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klau\OneDrive\Research\Dissertation\Data - Provisional\"/>
    </mc:Choice>
  </mc:AlternateContent>
  <xr:revisionPtr revIDLastSave="582" documentId="8_{49EB7BAE-2757-4BEB-9F51-8197EA83F04C}" xr6:coauthVersionLast="44" xr6:coauthVersionMax="44" xr10:uidLastSave="{84C54013-28F2-4FA7-8943-19228F67F508}"/>
  <bookViews>
    <workbookView xWindow="-120" yWindow="-120" windowWidth="20730" windowHeight="11160" tabRatio="702" xr2:uid="{3EEDA184-3328-48DD-8CE7-80B9C3550C5E}"/>
  </bookViews>
  <sheets>
    <sheet name="Sheet1" sheetId="15" r:id="rId1"/>
    <sheet name="AUD" sheetId="2" r:id="rId2"/>
    <sheet name="CAD" sheetId="4" r:id="rId3"/>
    <sheet name="EUR" sheetId="3" r:id="rId4"/>
    <sheet name="GBP" sheetId="9" r:id="rId5"/>
    <sheet name="INR" sheetId="14" r:id="rId6"/>
    <sheet name="JPY" sheetId="8" r:id="rId7"/>
    <sheet name="KRW" sheetId="5" r:id="rId8"/>
    <sheet name="NOK" sheetId="7" r:id="rId9"/>
    <sheet name="NZD" sheetId="6" r:id="rId10"/>
    <sheet name="PHP" sheetId="13" r:id="rId11"/>
    <sheet name="THB" sheetId="12" r:id="rId12"/>
    <sheet name="TWD" sheetId="10" r:id="rId13"/>
    <sheet name="ZAR" sheetId="11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" i="15" l="1"/>
  <c r="S3" i="15"/>
  <c r="R4" i="15"/>
  <c r="S4" i="15"/>
  <c r="R5" i="15"/>
  <c r="S5" i="15"/>
  <c r="R6" i="15"/>
  <c r="S6" i="15"/>
  <c r="R7" i="15"/>
  <c r="S7" i="15"/>
  <c r="R8" i="15"/>
  <c r="S8" i="15"/>
  <c r="R9" i="15"/>
  <c r="S9" i="15"/>
  <c r="R10" i="15"/>
  <c r="S10" i="15"/>
  <c r="R11" i="15"/>
  <c r="S11" i="15"/>
  <c r="R12" i="15"/>
  <c r="S12" i="15"/>
  <c r="R13" i="15"/>
  <c r="S13" i="15"/>
  <c r="R14" i="15"/>
  <c r="S14" i="15"/>
  <c r="R15" i="15"/>
  <c r="S15" i="15"/>
  <c r="R16" i="15"/>
  <c r="S16" i="15"/>
  <c r="R17" i="15"/>
  <c r="S17" i="15"/>
  <c r="R18" i="15"/>
  <c r="S18" i="15"/>
  <c r="R19" i="15"/>
  <c r="S19" i="15"/>
  <c r="R20" i="15"/>
  <c r="S20" i="15"/>
  <c r="R21" i="15"/>
  <c r="S21" i="15"/>
  <c r="R22" i="15"/>
  <c r="S22" i="15"/>
  <c r="R23" i="15"/>
  <c r="S23" i="15"/>
  <c r="R24" i="15"/>
  <c r="S24" i="15"/>
  <c r="R25" i="15"/>
  <c r="S25" i="15"/>
  <c r="R26" i="15"/>
  <c r="S26" i="15"/>
  <c r="R27" i="15"/>
  <c r="S27" i="15"/>
  <c r="R28" i="15"/>
  <c r="S28" i="15"/>
  <c r="R29" i="15"/>
  <c r="S29" i="15"/>
  <c r="R30" i="15"/>
  <c r="S30" i="15"/>
  <c r="R31" i="15"/>
  <c r="S31" i="15"/>
  <c r="R32" i="15"/>
  <c r="S32" i="15"/>
  <c r="R33" i="15"/>
  <c r="S33" i="15"/>
  <c r="R34" i="15"/>
  <c r="S34" i="15"/>
  <c r="R35" i="15"/>
  <c r="S35" i="15"/>
  <c r="R36" i="15"/>
  <c r="S36" i="15"/>
  <c r="R37" i="15"/>
  <c r="S37" i="15"/>
  <c r="R38" i="15"/>
  <c r="S38" i="15"/>
  <c r="R39" i="15"/>
  <c r="S39" i="15"/>
  <c r="R40" i="15"/>
  <c r="S40" i="15"/>
  <c r="R41" i="15"/>
  <c r="S41" i="15"/>
  <c r="R42" i="15"/>
  <c r="S42" i="15"/>
  <c r="R43" i="15"/>
  <c r="S43" i="15"/>
  <c r="R44" i="15"/>
  <c r="S44" i="15"/>
  <c r="R45" i="15"/>
  <c r="S45" i="15"/>
  <c r="R46" i="15"/>
  <c r="S46" i="15"/>
  <c r="R47" i="15"/>
  <c r="S47" i="15"/>
  <c r="R48" i="15"/>
  <c r="S48" i="15"/>
  <c r="R49" i="15"/>
  <c r="S49" i="15"/>
  <c r="R50" i="15"/>
  <c r="S50" i="15"/>
  <c r="R51" i="15"/>
  <c r="S51" i="15"/>
  <c r="R52" i="15"/>
  <c r="S52" i="15"/>
  <c r="R53" i="15"/>
  <c r="S53" i="15"/>
  <c r="R54" i="15"/>
  <c r="S54" i="15"/>
  <c r="R55" i="15"/>
  <c r="S55" i="15"/>
  <c r="R56" i="15"/>
  <c r="S56" i="15"/>
  <c r="R57" i="15"/>
  <c r="S57" i="15"/>
  <c r="R58" i="15"/>
  <c r="S58" i="15"/>
  <c r="R59" i="15"/>
  <c r="S59" i="15"/>
  <c r="R60" i="15"/>
  <c r="S60" i="15"/>
  <c r="R61" i="15"/>
  <c r="S61" i="15"/>
  <c r="R62" i="15"/>
  <c r="S62" i="15"/>
  <c r="R63" i="15"/>
  <c r="S63" i="15"/>
  <c r="R64" i="15"/>
  <c r="S64" i="15"/>
  <c r="R65" i="15"/>
  <c r="S65" i="15"/>
  <c r="R66" i="15"/>
  <c r="S66" i="15"/>
  <c r="R67" i="15"/>
  <c r="S67" i="15"/>
  <c r="R68" i="15"/>
  <c r="S68" i="15"/>
  <c r="R69" i="15"/>
  <c r="S69" i="15"/>
  <c r="R70" i="15"/>
  <c r="S70" i="15"/>
  <c r="R71" i="15"/>
  <c r="S71" i="15"/>
  <c r="R72" i="15"/>
  <c r="S72" i="15"/>
  <c r="R73" i="15"/>
  <c r="S73" i="15"/>
  <c r="R74" i="15"/>
  <c r="S74" i="15"/>
  <c r="R75" i="15"/>
  <c r="S75" i="15"/>
  <c r="R76" i="15"/>
  <c r="S76" i="15"/>
  <c r="R77" i="15"/>
  <c r="S77" i="15"/>
  <c r="R78" i="15"/>
  <c r="S78" i="15"/>
  <c r="R79" i="15"/>
  <c r="S79" i="15"/>
  <c r="R80" i="15"/>
  <c r="S80" i="15"/>
  <c r="R81" i="15"/>
  <c r="S81" i="15"/>
  <c r="R82" i="15"/>
  <c r="S82" i="15"/>
  <c r="R83" i="15"/>
  <c r="S83" i="15"/>
  <c r="R84" i="15"/>
  <c r="S84" i="15"/>
  <c r="R85" i="15"/>
  <c r="S85" i="15"/>
  <c r="R86" i="15"/>
  <c r="S86" i="15"/>
  <c r="R87" i="15"/>
  <c r="S87" i="15"/>
  <c r="R88" i="15"/>
  <c r="S88" i="15"/>
  <c r="R89" i="15"/>
  <c r="S89" i="15"/>
  <c r="R90" i="15"/>
  <c r="S90" i="15"/>
  <c r="R91" i="15"/>
  <c r="S91" i="15"/>
  <c r="R92" i="15"/>
  <c r="S92" i="15"/>
  <c r="R93" i="15"/>
  <c r="S93" i="15"/>
  <c r="R94" i="15"/>
  <c r="S94" i="15"/>
  <c r="R95" i="15"/>
  <c r="S95" i="15"/>
  <c r="R96" i="15"/>
  <c r="S96" i="15"/>
  <c r="R97" i="15"/>
  <c r="S97" i="15"/>
  <c r="R98" i="15"/>
  <c r="S98" i="15"/>
  <c r="R99" i="15"/>
  <c r="S99" i="15"/>
  <c r="R100" i="15"/>
  <c r="S100" i="15"/>
  <c r="R101" i="15"/>
  <c r="S101" i="15"/>
  <c r="R102" i="15"/>
  <c r="S102" i="15"/>
  <c r="R103" i="15"/>
  <c r="S103" i="15"/>
  <c r="R104" i="15"/>
  <c r="S104" i="15"/>
  <c r="R105" i="15"/>
  <c r="S105" i="15"/>
  <c r="R106" i="15"/>
  <c r="S106" i="15"/>
  <c r="R107" i="15"/>
  <c r="S107" i="15"/>
  <c r="R108" i="15"/>
  <c r="S108" i="15"/>
  <c r="R109" i="15"/>
  <c r="S109" i="15"/>
  <c r="R110" i="15"/>
  <c r="S110" i="15"/>
  <c r="R111" i="15"/>
  <c r="S111" i="15"/>
  <c r="R112" i="15"/>
  <c r="S112" i="15"/>
  <c r="R113" i="15"/>
  <c r="S113" i="15"/>
  <c r="R114" i="15"/>
  <c r="S114" i="15"/>
  <c r="R115" i="15"/>
  <c r="S115" i="15"/>
  <c r="R116" i="15"/>
  <c r="S116" i="15"/>
  <c r="R117" i="15"/>
  <c r="S117" i="15"/>
  <c r="R118" i="15"/>
  <c r="S118" i="15"/>
  <c r="R119" i="15"/>
  <c r="S119" i="15"/>
  <c r="R120" i="15"/>
  <c r="S120" i="15"/>
  <c r="R121" i="15"/>
  <c r="S121" i="15"/>
  <c r="R122" i="15"/>
  <c r="S122" i="15"/>
  <c r="R123" i="15"/>
  <c r="S123" i="15"/>
  <c r="R124" i="15"/>
  <c r="S124" i="15"/>
  <c r="R125" i="15"/>
  <c r="S125" i="15"/>
  <c r="R126" i="15"/>
  <c r="S126" i="15"/>
  <c r="R127" i="15"/>
  <c r="S127" i="15"/>
  <c r="R128" i="15"/>
  <c r="S128" i="15"/>
  <c r="R129" i="15"/>
  <c r="S129" i="15"/>
  <c r="R130" i="15"/>
  <c r="S130" i="15"/>
  <c r="R131" i="15"/>
  <c r="S131" i="15"/>
  <c r="R132" i="15"/>
  <c r="S132" i="15"/>
  <c r="R133" i="15"/>
  <c r="S133" i="15"/>
  <c r="R134" i="15"/>
  <c r="S134" i="15"/>
  <c r="R135" i="15"/>
  <c r="S135" i="15"/>
  <c r="R136" i="15"/>
  <c r="S136" i="15"/>
  <c r="R137" i="15"/>
  <c r="S137" i="15"/>
  <c r="R138" i="15"/>
  <c r="S138" i="15"/>
  <c r="R139" i="15"/>
  <c r="S139" i="15"/>
  <c r="R140" i="15"/>
  <c r="S140" i="15"/>
  <c r="R141" i="15"/>
  <c r="S141" i="15"/>
  <c r="R142" i="15"/>
  <c r="S142" i="15"/>
  <c r="R143" i="15"/>
  <c r="S143" i="15"/>
  <c r="R144" i="15"/>
  <c r="S144" i="15"/>
  <c r="R145" i="15"/>
  <c r="S145" i="15"/>
  <c r="R146" i="15"/>
  <c r="S146" i="15"/>
  <c r="R147" i="15"/>
  <c r="S147" i="15"/>
  <c r="R148" i="15"/>
  <c r="S148" i="15"/>
  <c r="R149" i="15"/>
  <c r="S149" i="15"/>
  <c r="R150" i="15"/>
  <c r="S150" i="15"/>
  <c r="R151" i="15"/>
  <c r="S151" i="15"/>
  <c r="R152" i="15"/>
  <c r="S152" i="15"/>
  <c r="R153" i="15"/>
  <c r="S153" i="15"/>
  <c r="R154" i="15"/>
  <c r="S154" i="15"/>
  <c r="R155" i="15"/>
  <c r="S155" i="15"/>
  <c r="R156" i="15"/>
  <c r="S156" i="15"/>
  <c r="R157" i="15"/>
  <c r="S157" i="15"/>
  <c r="R158" i="15"/>
  <c r="S158" i="15"/>
  <c r="R159" i="15"/>
  <c r="S159" i="15"/>
  <c r="R160" i="15"/>
  <c r="S160" i="15"/>
  <c r="R161" i="15"/>
  <c r="S161" i="15"/>
  <c r="R162" i="15"/>
  <c r="S162" i="15"/>
  <c r="R163" i="15"/>
  <c r="S163" i="15"/>
  <c r="R164" i="15"/>
  <c r="S164" i="15"/>
  <c r="R165" i="15"/>
  <c r="S165" i="15"/>
  <c r="R166" i="15"/>
  <c r="S166" i="15"/>
  <c r="R167" i="15"/>
  <c r="S167" i="15"/>
  <c r="R168" i="15"/>
  <c r="S168" i="15"/>
  <c r="R169" i="15"/>
  <c r="S169" i="15"/>
  <c r="R170" i="15"/>
  <c r="S170" i="15"/>
  <c r="R171" i="15"/>
  <c r="S171" i="15"/>
  <c r="R172" i="15"/>
  <c r="S172" i="15"/>
  <c r="R173" i="15"/>
  <c r="S173" i="15"/>
  <c r="R174" i="15"/>
  <c r="S174" i="15"/>
  <c r="R175" i="15"/>
  <c r="S175" i="15"/>
  <c r="R176" i="15"/>
  <c r="S176" i="15"/>
  <c r="R177" i="15"/>
  <c r="S177" i="15"/>
  <c r="R178" i="15"/>
  <c r="S178" i="15"/>
  <c r="R179" i="15"/>
  <c r="S179" i="15"/>
  <c r="R180" i="15"/>
  <c r="S180" i="15"/>
  <c r="R181" i="15"/>
  <c r="S181" i="15"/>
  <c r="R182" i="15"/>
  <c r="S182" i="15"/>
  <c r="R183" i="15"/>
  <c r="S183" i="15"/>
  <c r="R184" i="15"/>
  <c r="S184" i="15"/>
  <c r="R185" i="15"/>
  <c r="S185" i="15"/>
  <c r="R186" i="15"/>
  <c r="S186" i="15"/>
  <c r="R187" i="15"/>
  <c r="S187" i="15"/>
  <c r="R188" i="15"/>
  <c r="S188" i="15"/>
  <c r="R189" i="15"/>
  <c r="S189" i="15"/>
  <c r="R190" i="15"/>
  <c r="S190" i="15"/>
  <c r="R191" i="15"/>
  <c r="S191" i="15"/>
  <c r="R192" i="15"/>
  <c r="S192" i="15"/>
  <c r="R193" i="15"/>
  <c r="S193" i="15"/>
  <c r="R194" i="15"/>
  <c r="S194" i="15"/>
  <c r="R195" i="15"/>
  <c r="S195" i="15"/>
  <c r="R196" i="15"/>
  <c r="S196" i="15"/>
  <c r="R197" i="15"/>
  <c r="S197" i="15"/>
  <c r="R198" i="15"/>
  <c r="S198" i="15"/>
  <c r="R199" i="15"/>
  <c r="S199" i="15"/>
  <c r="R200" i="15"/>
  <c r="S200" i="15"/>
  <c r="R201" i="15"/>
  <c r="S201" i="15"/>
  <c r="R202" i="15"/>
  <c r="S202" i="15"/>
  <c r="R203" i="15"/>
  <c r="S203" i="15"/>
  <c r="R204" i="15"/>
  <c r="S204" i="15"/>
  <c r="R205" i="15"/>
  <c r="S205" i="15"/>
  <c r="R206" i="15"/>
  <c r="S206" i="15"/>
  <c r="R207" i="15"/>
  <c r="S207" i="15"/>
  <c r="R208" i="15"/>
  <c r="S208" i="15"/>
  <c r="R209" i="15"/>
  <c r="S209" i="15"/>
  <c r="R210" i="15"/>
  <c r="S210" i="15"/>
  <c r="R211" i="15"/>
  <c r="S211" i="15"/>
  <c r="R212" i="15"/>
  <c r="S212" i="15"/>
  <c r="R213" i="15"/>
  <c r="S213" i="15"/>
  <c r="R214" i="15"/>
  <c r="S214" i="15"/>
  <c r="R215" i="15"/>
  <c r="S215" i="15"/>
  <c r="R216" i="15"/>
  <c r="S216" i="15"/>
  <c r="R217" i="15"/>
  <c r="S217" i="15"/>
  <c r="R218" i="15"/>
  <c r="S218" i="15"/>
  <c r="R219" i="15"/>
  <c r="S219" i="15"/>
  <c r="R220" i="15"/>
  <c r="S220" i="15"/>
  <c r="R221" i="15"/>
  <c r="S221" i="15"/>
  <c r="R222" i="15"/>
  <c r="S222" i="15"/>
  <c r="R223" i="15"/>
  <c r="S223" i="15"/>
  <c r="R224" i="15"/>
  <c r="S224" i="15"/>
  <c r="R225" i="15"/>
  <c r="S225" i="15"/>
  <c r="R226" i="15"/>
  <c r="S226" i="15"/>
  <c r="R227" i="15"/>
  <c r="S227" i="15"/>
  <c r="R228" i="15"/>
  <c r="S228" i="15"/>
  <c r="R229" i="15"/>
  <c r="S229" i="15"/>
  <c r="R230" i="15"/>
  <c r="S230" i="15"/>
  <c r="R231" i="15"/>
  <c r="S231" i="15"/>
  <c r="R232" i="15"/>
  <c r="S232" i="15"/>
  <c r="R233" i="15"/>
  <c r="S233" i="15"/>
  <c r="R234" i="15"/>
  <c r="S234" i="15"/>
  <c r="R235" i="15"/>
  <c r="S235" i="15"/>
  <c r="R236" i="15"/>
  <c r="S236" i="15"/>
  <c r="R237" i="15"/>
  <c r="S237" i="15"/>
  <c r="R238" i="15"/>
  <c r="S238" i="15"/>
  <c r="R239" i="15"/>
  <c r="S239" i="15"/>
  <c r="R240" i="15"/>
  <c r="S240" i="15"/>
  <c r="R241" i="15"/>
  <c r="S241" i="15"/>
  <c r="R242" i="15"/>
  <c r="S242" i="15"/>
  <c r="R243" i="15"/>
  <c r="S243" i="15"/>
  <c r="R244" i="15"/>
  <c r="S244" i="15"/>
  <c r="R245" i="15"/>
  <c r="S245" i="15"/>
  <c r="R246" i="15"/>
  <c r="S246" i="15"/>
  <c r="R247" i="15"/>
  <c r="S247" i="15"/>
  <c r="R248" i="15"/>
  <c r="S248" i="15"/>
  <c r="R249" i="15"/>
  <c r="S249" i="15"/>
  <c r="R250" i="15"/>
  <c r="S250" i="15"/>
  <c r="R251" i="15"/>
  <c r="S251" i="15"/>
  <c r="R252" i="15"/>
  <c r="S252" i="15"/>
  <c r="R253" i="15"/>
  <c r="S253" i="15"/>
  <c r="R254" i="15"/>
  <c r="S254" i="15"/>
  <c r="R255" i="15"/>
  <c r="S255" i="15"/>
  <c r="R256" i="15"/>
  <c r="S256" i="15"/>
  <c r="R257" i="15"/>
  <c r="S257" i="15"/>
  <c r="R258" i="15"/>
  <c r="S258" i="15"/>
  <c r="R259" i="15"/>
  <c r="S259" i="15"/>
  <c r="R260" i="15"/>
  <c r="S260" i="15"/>
  <c r="R261" i="15"/>
  <c r="S261" i="15"/>
  <c r="R262" i="15"/>
  <c r="S262" i="15"/>
  <c r="R263" i="15"/>
  <c r="S263" i="15"/>
  <c r="R264" i="15"/>
  <c r="S264" i="15"/>
  <c r="R265" i="15"/>
  <c r="S265" i="15"/>
  <c r="R266" i="15"/>
  <c r="S266" i="15"/>
  <c r="R267" i="15"/>
  <c r="S267" i="15"/>
  <c r="R268" i="15"/>
  <c r="S268" i="15"/>
  <c r="R269" i="15"/>
  <c r="S269" i="15"/>
  <c r="R270" i="15"/>
  <c r="S270" i="15"/>
  <c r="R271" i="15"/>
  <c r="S271" i="15"/>
  <c r="R272" i="15"/>
  <c r="S272" i="15"/>
  <c r="R273" i="15"/>
  <c r="S273" i="15"/>
  <c r="R274" i="15"/>
  <c r="S274" i="15"/>
  <c r="R275" i="15"/>
  <c r="S275" i="15"/>
  <c r="R276" i="15"/>
  <c r="S276" i="15"/>
  <c r="R277" i="15"/>
  <c r="S277" i="15"/>
  <c r="R278" i="15"/>
  <c r="S278" i="15"/>
  <c r="R279" i="15"/>
  <c r="S279" i="15"/>
  <c r="R280" i="15"/>
  <c r="S280" i="15"/>
  <c r="R281" i="15"/>
  <c r="S281" i="15"/>
  <c r="R282" i="15"/>
  <c r="S282" i="15"/>
  <c r="R283" i="15"/>
  <c r="S283" i="15"/>
  <c r="R284" i="15"/>
  <c r="S284" i="15"/>
  <c r="R285" i="15"/>
  <c r="S285" i="15"/>
  <c r="R286" i="15"/>
  <c r="S286" i="15"/>
  <c r="R287" i="15"/>
  <c r="S287" i="15"/>
  <c r="R288" i="15"/>
  <c r="S288" i="15"/>
  <c r="R289" i="15"/>
  <c r="S289" i="15"/>
  <c r="R290" i="15"/>
  <c r="S290" i="15"/>
  <c r="R291" i="15"/>
  <c r="S291" i="15"/>
  <c r="R292" i="15"/>
  <c r="S292" i="15"/>
  <c r="R293" i="15"/>
  <c r="S293" i="15"/>
  <c r="R294" i="15"/>
  <c r="S294" i="15"/>
  <c r="R295" i="15"/>
  <c r="S295" i="15"/>
  <c r="R296" i="15"/>
  <c r="S296" i="15"/>
  <c r="R297" i="15"/>
  <c r="S297" i="15"/>
  <c r="R298" i="15"/>
  <c r="S298" i="15"/>
  <c r="R299" i="15"/>
  <c r="S299" i="15"/>
  <c r="R300" i="15"/>
  <c r="S300" i="15"/>
  <c r="R301" i="15"/>
  <c r="S301" i="15"/>
  <c r="R302" i="15"/>
  <c r="S302" i="15"/>
  <c r="R303" i="15"/>
  <c r="S303" i="15"/>
  <c r="R304" i="15"/>
  <c r="S304" i="15"/>
  <c r="R305" i="15"/>
  <c r="S305" i="15"/>
  <c r="R306" i="15"/>
  <c r="S306" i="15"/>
  <c r="R307" i="15"/>
  <c r="S307" i="15"/>
  <c r="R308" i="15"/>
  <c r="S308" i="15"/>
  <c r="R309" i="15"/>
  <c r="S309" i="15"/>
  <c r="R310" i="15"/>
  <c r="S310" i="15"/>
  <c r="R311" i="15"/>
  <c r="S311" i="15"/>
  <c r="R312" i="15"/>
  <c r="S312" i="15"/>
  <c r="R313" i="15"/>
  <c r="S313" i="15"/>
  <c r="R314" i="15"/>
  <c r="S314" i="15"/>
  <c r="R315" i="15"/>
  <c r="S315" i="15"/>
  <c r="R316" i="15"/>
  <c r="S316" i="15"/>
  <c r="R317" i="15"/>
  <c r="S317" i="15"/>
  <c r="R318" i="15"/>
  <c r="S318" i="15"/>
  <c r="R319" i="15"/>
  <c r="S319" i="15"/>
  <c r="R320" i="15"/>
  <c r="S320" i="15"/>
  <c r="R321" i="15"/>
  <c r="S321" i="15"/>
  <c r="R322" i="15"/>
  <c r="S322" i="15"/>
  <c r="R323" i="15"/>
  <c r="S323" i="15"/>
  <c r="R324" i="15"/>
  <c r="S324" i="15"/>
  <c r="R325" i="15"/>
  <c r="S325" i="15"/>
  <c r="R326" i="15"/>
  <c r="S326" i="15"/>
  <c r="R327" i="15"/>
  <c r="S327" i="15"/>
  <c r="R328" i="15"/>
  <c r="S328" i="15"/>
  <c r="R329" i="15"/>
  <c r="S329" i="15"/>
  <c r="R330" i="15"/>
  <c r="S330" i="15"/>
  <c r="R331" i="15"/>
  <c r="S331" i="15"/>
  <c r="R332" i="15"/>
  <c r="S332" i="15"/>
  <c r="R333" i="15"/>
  <c r="S333" i="15"/>
  <c r="R334" i="15"/>
  <c r="S334" i="15"/>
  <c r="R335" i="15"/>
  <c r="S335" i="15"/>
  <c r="R336" i="15"/>
  <c r="S336" i="15"/>
  <c r="R337" i="15"/>
  <c r="S337" i="15"/>
  <c r="R338" i="15"/>
  <c r="S338" i="15"/>
  <c r="R339" i="15"/>
  <c r="S339" i="15"/>
  <c r="R340" i="15"/>
  <c r="S340" i="15"/>
  <c r="R341" i="15"/>
  <c r="S341" i="15"/>
  <c r="R342" i="15"/>
  <c r="S342" i="15"/>
  <c r="R343" i="15"/>
  <c r="S343" i="15"/>
  <c r="R344" i="15"/>
  <c r="S344" i="15"/>
  <c r="R345" i="15"/>
  <c r="S345" i="15"/>
  <c r="R346" i="15"/>
  <c r="S346" i="15"/>
  <c r="R347" i="15"/>
  <c r="S347" i="15"/>
  <c r="R348" i="15"/>
  <c r="S348" i="15"/>
  <c r="R349" i="15"/>
  <c r="S349" i="15"/>
  <c r="R350" i="15"/>
  <c r="S350" i="15"/>
  <c r="R351" i="15"/>
  <c r="S351" i="15"/>
  <c r="R352" i="15"/>
  <c r="S352" i="15"/>
  <c r="R353" i="15"/>
  <c r="S353" i="15"/>
  <c r="R354" i="15"/>
  <c r="S354" i="15"/>
  <c r="R355" i="15"/>
  <c r="S355" i="15"/>
  <c r="R356" i="15"/>
  <c r="S356" i="15"/>
  <c r="R357" i="15"/>
  <c r="S357" i="15"/>
  <c r="R358" i="15"/>
  <c r="S358" i="15"/>
  <c r="R359" i="15"/>
  <c r="S359" i="15"/>
  <c r="R360" i="15"/>
  <c r="S360" i="15"/>
  <c r="R361" i="15"/>
  <c r="S361" i="15"/>
  <c r="R362" i="15"/>
  <c r="S362" i="15"/>
  <c r="R363" i="15"/>
  <c r="S363" i="15"/>
  <c r="R364" i="15"/>
  <c r="S364" i="15"/>
  <c r="R365" i="15"/>
  <c r="S365" i="15"/>
  <c r="R366" i="15"/>
  <c r="S366" i="15"/>
  <c r="R367" i="15"/>
  <c r="S367" i="15"/>
  <c r="R368" i="15"/>
  <c r="S368" i="15"/>
  <c r="R369" i="15"/>
  <c r="S369" i="15"/>
  <c r="R370" i="15"/>
  <c r="S370" i="15"/>
  <c r="R371" i="15"/>
  <c r="S371" i="15"/>
  <c r="R372" i="15"/>
  <c r="S372" i="15"/>
  <c r="R373" i="15"/>
  <c r="S373" i="15"/>
  <c r="R374" i="15"/>
  <c r="S374" i="15"/>
  <c r="R375" i="15"/>
  <c r="S375" i="15"/>
  <c r="R376" i="15"/>
  <c r="S376" i="15"/>
  <c r="R377" i="15"/>
  <c r="S377" i="15"/>
  <c r="R378" i="15"/>
  <c r="S378" i="15"/>
  <c r="R379" i="15"/>
  <c r="S379" i="15"/>
  <c r="R380" i="15"/>
  <c r="S380" i="15"/>
  <c r="R381" i="15"/>
  <c r="S381" i="15"/>
  <c r="R382" i="15"/>
  <c r="S382" i="15"/>
  <c r="R383" i="15"/>
  <c r="S383" i="15"/>
  <c r="R384" i="15"/>
  <c r="S384" i="15"/>
  <c r="R385" i="15"/>
  <c r="S385" i="15"/>
  <c r="R386" i="15"/>
  <c r="S386" i="15"/>
  <c r="R387" i="15"/>
  <c r="S387" i="15"/>
  <c r="R388" i="15"/>
  <c r="S388" i="15"/>
  <c r="R389" i="15"/>
  <c r="S389" i="15"/>
  <c r="R390" i="15"/>
  <c r="S390" i="15"/>
  <c r="R391" i="15"/>
  <c r="S391" i="15"/>
  <c r="R392" i="15"/>
  <c r="S392" i="15"/>
  <c r="R393" i="15"/>
  <c r="S393" i="15"/>
  <c r="R394" i="15"/>
  <c r="S394" i="15"/>
  <c r="R395" i="15"/>
  <c r="S395" i="15"/>
  <c r="R396" i="15"/>
  <c r="S396" i="15"/>
  <c r="R397" i="15"/>
  <c r="S397" i="15"/>
  <c r="R398" i="15"/>
  <c r="S398" i="15"/>
  <c r="R399" i="15"/>
  <c r="S399" i="15"/>
  <c r="R400" i="15"/>
  <c r="S400" i="15"/>
  <c r="R401" i="15"/>
  <c r="S401" i="15"/>
  <c r="R402" i="15"/>
  <c r="S402" i="15"/>
  <c r="R403" i="15"/>
  <c r="S403" i="15"/>
  <c r="R404" i="15"/>
  <c r="S404" i="15"/>
  <c r="R405" i="15"/>
  <c r="S405" i="15"/>
  <c r="R406" i="15"/>
  <c r="S406" i="15"/>
  <c r="R407" i="15"/>
  <c r="S407" i="15"/>
  <c r="R408" i="15"/>
  <c r="S408" i="15"/>
  <c r="R409" i="15"/>
  <c r="S409" i="15"/>
  <c r="R410" i="15"/>
  <c r="S410" i="15"/>
  <c r="R411" i="15"/>
  <c r="S411" i="15"/>
  <c r="R412" i="15"/>
  <c r="S412" i="15"/>
  <c r="R413" i="15"/>
  <c r="S413" i="15"/>
  <c r="R414" i="15"/>
  <c r="S414" i="15"/>
  <c r="R415" i="15"/>
  <c r="S415" i="15"/>
  <c r="R416" i="15"/>
  <c r="S416" i="15"/>
  <c r="R417" i="15"/>
  <c r="S417" i="15"/>
  <c r="R418" i="15"/>
  <c r="S418" i="15"/>
  <c r="R419" i="15"/>
  <c r="S419" i="15"/>
  <c r="R420" i="15"/>
  <c r="S420" i="15"/>
  <c r="R421" i="15"/>
  <c r="S421" i="15"/>
  <c r="R422" i="15"/>
  <c r="S422" i="15"/>
  <c r="R423" i="15"/>
  <c r="S423" i="15"/>
  <c r="R424" i="15"/>
  <c r="S424" i="15"/>
  <c r="R425" i="15"/>
  <c r="S425" i="15"/>
  <c r="R426" i="15"/>
  <c r="S426" i="15"/>
  <c r="R427" i="15"/>
  <c r="S427" i="15"/>
  <c r="R428" i="15"/>
  <c r="S428" i="15"/>
  <c r="R429" i="15"/>
  <c r="S429" i="15"/>
  <c r="R430" i="15"/>
  <c r="S430" i="15"/>
  <c r="R431" i="15"/>
  <c r="S431" i="15"/>
  <c r="R432" i="15"/>
  <c r="S432" i="15"/>
  <c r="R433" i="15"/>
  <c r="S433" i="15"/>
  <c r="R434" i="15"/>
  <c r="S434" i="15"/>
  <c r="R435" i="15"/>
  <c r="S435" i="15"/>
  <c r="R436" i="15"/>
  <c r="S436" i="15"/>
  <c r="R437" i="15"/>
  <c r="S437" i="15"/>
  <c r="R438" i="15"/>
  <c r="S438" i="15"/>
  <c r="R439" i="15"/>
  <c r="S439" i="15"/>
  <c r="R440" i="15"/>
  <c r="S440" i="15"/>
  <c r="R441" i="15"/>
  <c r="S441" i="15"/>
  <c r="R442" i="15"/>
  <c r="S442" i="15"/>
  <c r="R443" i="15"/>
  <c r="S443" i="15"/>
  <c r="R444" i="15"/>
  <c r="S444" i="15"/>
  <c r="R445" i="15"/>
  <c r="S445" i="15"/>
  <c r="R446" i="15"/>
  <c r="S446" i="15"/>
  <c r="R447" i="15"/>
  <c r="S447" i="15"/>
  <c r="R448" i="15"/>
  <c r="S448" i="15"/>
  <c r="R449" i="15"/>
  <c r="S449" i="15"/>
  <c r="R450" i="15"/>
  <c r="S450" i="15"/>
  <c r="R451" i="15"/>
  <c r="S451" i="15"/>
  <c r="R452" i="15"/>
  <c r="S452" i="15"/>
  <c r="R453" i="15"/>
  <c r="S453" i="15"/>
  <c r="R454" i="15"/>
  <c r="S454" i="15"/>
  <c r="R455" i="15"/>
  <c r="S455" i="15"/>
  <c r="R456" i="15"/>
  <c r="S456" i="15"/>
  <c r="R457" i="15"/>
  <c r="S457" i="15"/>
  <c r="R458" i="15"/>
  <c r="S458" i="15"/>
  <c r="R459" i="15"/>
  <c r="S459" i="15"/>
  <c r="R460" i="15"/>
  <c r="S460" i="15"/>
  <c r="R461" i="15"/>
  <c r="S461" i="15"/>
  <c r="R462" i="15"/>
  <c r="S462" i="15"/>
  <c r="R463" i="15"/>
  <c r="S463" i="15"/>
  <c r="R464" i="15"/>
  <c r="S464" i="15"/>
  <c r="R465" i="15"/>
  <c r="S465" i="15"/>
  <c r="R466" i="15"/>
  <c r="S466" i="15"/>
  <c r="R467" i="15"/>
  <c r="S467" i="15"/>
  <c r="R468" i="15"/>
  <c r="S468" i="15"/>
  <c r="R469" i="15"/>
  <c r="S469" i="15"/>
  <c r="R470" i="15"/>
  <c r="S470" i="15"/>
  <c r="R471" i="15"/>
  <c r="S471" i="15"/>
  <c r="R472" i="15"/>
  <c r="S472" i="15"/>
  <c r="R473" i="15"/>
  <c r="S473" i="15"/>
  <c r="R474" i="15"/>
  <c r="S474" i="15"/>
  <c r="R475" i="15"/>
  <c r="S475" i="15"/>
  <c r="R476" i="15"/>
  <c r="S476" i="15"/>
  <c r="R477" i="15"/>
  <c r="S477" i="15"/>
  <c r="R478" i="15"/>
  <c r="S478" i="15"/>
  <c r="R479" i="15"/>
  <c r="S479" i="15"/>
  <c r="R480" i="15"/>
  <c r="S480" i="15"/>
  <c r="R481" i="15"/>
  <c r="S481" i="15"/>
  <c r="R482" i="15"/>
  <c r="S482" i="15"/>
  <c r="R483" i="15"/>
  <c r="S483" i="15"/>
  <c r="R484" i="15"/>
  <c r="S484" i="15"/>
  <c r="R485" i="15"/>
  <c r="S485" i="15"/>
  <c r="R486" i="15"/>
  <c r="S486" i="15"/>
  <c r="R487" i="15"/>
  <c r="S487" i="15"/>
  <c r="R488" i="15"/>
  <c r="S488" i="15"/>
  <c r="R489" i="15"/>
  <c r="S489" i="15"/>
  <c r="R490" i="15"/>
  <c r="S490" i="15"/>
  <c r="R491" i="15"/>
  <c r="S491" i="15"/>
  <c r="R492" i="15"/>
  <c r="S492" i="15"/>
  <c r="R493" i="15"/>
  <c r="S493" i="15"/>
  <c r="R494" i="15"/>
  <c r="S494" i="15"/>
  <c r="R495" i="15"/>
  <c r="S495" i="15"/>
  <c r="R496" i="15"/>
  <c r="S496" i="15"/>
  <c r="R497" i="15"/>
  <c r="S497" i="15"/>
  <c r="R498" i="15"/>
  <c r="S498" i="15"/>
  <c r="R499" i="15"/>
  <c r="S499" i="15"/>
  <c r="R500" i="15"/>
  <c r="S500" i="15"/>
  <c r="R501" i="15"/>
  <c r="S501" i="15"/>
  <c r="R502" i="15"/>
  <c r="S502" i="15"/>
  <c r="R503" i="15"/>
  <c r="S503" i="15"/>
  <c r="R504" i="15"/>
  <c r="S504" i="15"/>
  <c r="R505" i="15"/>
  <c r="S505" i="15"/>
  <c r="R506" i="15"/>
  <c r="S506" i="15"/>
  <c r="R507" i="15"/>
  <c r="S507" i="15"/>
  <c r="R508" i="15"/>
  <c r="S508" i="15"/>
  <c r="R509" i="15"/>
  <c r="S509" i="15"/>
  <c r="R510" i="15"/>
  <c r="S510" i="15"/>
  <c r="R511" i="15"/>
  <c r="S511" i="15"/>
  <c r="R512" i="15"/>
  <c r="S512" i="15"/>
  <c r="R513" i="15"/>
  <c r="S513" i="15"/>
  <c r="R514" i="15"/>
  <c r="S514" i="15"/>
  <c r="R515" i="15"/>
  <c r="S515" i="15"/>
  <c r="R516" i="15"/>
  <c r="S516" i="15"/>
  <c r="R517" i="15"/>
  <c r="S517" i="15"/>
  <c r="R518" i="15"/>
  <c r="S518" i="15"/>
  <c r="R519" i="15"/>
  <c r="S519" i="15"/>
  <c r="R520" i="15"/>
  <c r="S520" i="15"/>
  <c r="R521" i="15"/>
  <c r="S521" i="15"/>
  <c r="R522" i="15"/>
  <c r="S522" i="15"/>
  <c r="R523" i="15"/>
  <c r="S523" i="15"/>
  <c r="R524" i="15"/>
  <c r="S524" i="15"/>
  <c r="R525" i="15"/>
  <c r="S525" i="15"/>
  <c r="R526" i="15"/>
  <c r="S526" i="15"/>
  <c r="R527" i="15"/>
  <c r="S527" i="15"/>
  <c r="R528" i="15"/>
  <c r="S528" i="15"/>
  <c r="R529" i="15"/>
  <c r="S529" i="15"/>
  <c r="R530" i="15"/>
  <c r="S530" i="15"/>
  <c r="R531" i="15"/>
  <c r="S531" i="15"/>
  <c r="R532" i="15"/>
  <c r="S532" i="15"/>
  <c r="R533" i="15"/>
  <c r="S533" i="15"/>
  <c r="R534" i="15"/>
  <c r="S534" i="15"/>
  <c r="R535" i="15"/>
  <c r="S535" i="15"/>
  <c r="R536" i="15"/>
  <c r="S536" i="15"/>
  <c r="R537" i="15"/>
  <c r="S537" i="15"/>
  <c r="R538" i="15"/>
  <c r="S538" i="15"/>
  <c r="R539" i="15"/>
  <c r="S539" i="15"/>
  <c r="R540" i="15"/>
  <c r="S540" i="15"/>
  <c r="R541" i="15"/>
  <c r="S541" i="15"/>
  <c r="R542" i="15"/>
  <c r="S542" i="15"/>
  <c r="R543" i="15"/>
  <c r="S543" i="15"/>
  <c r="R544" i="15"/>
  <c r="S544" i="15"/>
  <c r="R545" i="15"/>
  <c r="S545" i="15"/>
  <c r="R546" i="15"/>
  <c r="S546" i="15"/>
  <c r="R547" i="15"/>
  <c r="S547" i="15"/>
  <c r="R548" i="15"/>
  <c r="S548" i="15"/>
  <c r="R549" i="15"/>
  <c r="S549" i="15"/>
  <c r="R550" i="15"/>
  <c r="S550" i="15"/>
  <c r="R551" i="15"/>
  <c r="S551" i="15"/>
  <c r="R552" i="15"/>
  <c r="S552" i="15"/>
  <c r="R553" i="15"/>
  <c r="S553" i="15"/>
  <c r="R554" i="15"/>
  <c r="S554" i="15"/>
  <c r="R555" i="15"/>
  <c r="S555" i="15"/>
  <c r="R556" i="15"/>
  <c r="S556" i="15"/>
  <c r="R557" i="15"/>
  <c r="S557" i="15"/>
  <c r="R558" i="15"/>
  <c r="S558" i="15"/>
  <c r="R559" i="15"/>
  <c r="S559" i="15"/>
  <c r="R560" i="15"/>
  <c r="S560" i="15"/>
  <c r="R561" i="15"/>
  <c r="S561" i="15"/>
  <c r="R562" i="15"/>
  <c r="S562" i="15"/>
  <c r="R563" i="15"/>
  <c r="S563" i="15"/>
  <c r="R564" i="15"/>
  <c r="S564" i="15"/>
  <c r="R565" i="15"/>
  <c r="S565" i="15"/>
  <c r="R566" i="15"/>
  <c r="S566" i="15"/>
  <c r="R567" i="15"/>
  <c r="S567" i="15"/>
  <c r="R568" i="15"/>
  <c r="S568" i="15"/>
  <c r="R569" i="15"/>
  <c r="S569" i="15"/>
  <c r="R570" i="15"/>
  <c r="S570" i="15"/>
  <c r="R571" i="15"/>
  <c r="S571" i="15"/>
  <c r="R572" i="15"/>
  <c r="S572" i="15"/>
  <c r="R573" i="15"/>
  <c r="S573" i="15"/>
  <c r="R574" i="15"/>
  <c r="S574" i="15"/>
  <c r="R575" i="15"/>
  <c r="S575" i="15"/>
  <c r="R576" i="15"/>
  <c r="S576" i="15"/>
  <c r="R577" i="15"/>
  <c r="S577" i="15"/>
  <c r="R578" i="15"/>
  <c r="S578" i="15"/>
  <c r="R579" i="15"/>
  <c r="S579" i="15"/>
  <c r="R580" i="15"/>
  <c r="S580" i="15"/>
  <c r="R581" i="15"/>
  <c r="S581" i="15"/>
  <c r="R582" i="15"/>
  <c r="S582" i="15"/>
  <c r="R583" i="15"/>
  <c r="S583" i="15"/>
  <c r="R584" i="15"/>
  <c r="S584" i="15"/>
  <c r="R585" i="15"/>
  <c r="S585" i="15"/>
  <c r="R586" i="15"/>
  <c r="S586" i="15"/>
  <c r="R587" i="15"/>
  <c r="S587" i="15"/>
  <c r="R588" i="15"/>
  <c r="S588" i="15"/>
  <c r="R589" i="15"/>
  <c r="S589" i="15"/>
  <c r="R590" i="15"/>
  <c r="S590" i="15"/>
  <c r="R591" i="15"/>
  <c r="S591" i="15"/>
  <c r="R592" i="15"/>
  <c r="S592" i="15"/>
  <c r="R593" i="15"/>
  <c r="S593" i="15"/>
  <c r="R594" i="15"/>
  <c r="S594" i="15"/>
  <c r="R595" i="15"/>
  <c r="S595" i="15"/>
  <c r="R596" i="15"/>
  <c r="S596" i="15"/>
  <c r="R597" i="15"/>
  <c r="S597" i="15"/>
  <c r="R598" i="15"/>
  <c r="S598" i="15"/>
  <c r="R599" i="15"/>
  <c r="S599" i="15"/>
  <c r="R600" i="15"/>
  <c r="S600" i="15"/>
  <c r="R601" i="15"/>
  <c r="S601" i="15"/>
  <c r="R602" i="15"/>
  <c r="S602" i="15"/>
  <c r="R603" i="15"/>
  <c r="S603" i="15"/>
  <c r="R604" i="15"/>
  <c r="S604" i="15"/>
  <c r="R605" i="15"/>
  <c r="S605" i="15"/>
  <c r="R606" i="15"/>
  <c r="S606" i="15"/>
  <c r="R607" i="15"/>
  <c r="S607" i="15"/>
  <c r="R608" i="15"/>
  <c r="S608" i="15"/>
  <c r="R609" i="15"/>
  <c r="S609" i="15"/>
  <c r="R610" i="15"/>
  <c r="S610" i="15"/>
  <c r="R611" i="15"/>
  <c r="S611" i="15"/>
  <c r="R612" i="15"/>
  <c r="S612" i="15"/>
  <c r="R613" i="15"/>
  <c r="S613" i="15"/>
  <c r="R614" i="15"/>
  <c r="S614" i="15"/>
  <c r="R615" i="15"/>
  <c r="S615" i="15"/>
  <c r="R616" i="15"/>
  <c r="S616" i="15"/>
  <c r="R617" i="15"/>
  <c r="S617" i="15"/>
  <c r="R618" i="15"/>
  <c r="S618" i="15"/>
  <c r="R619" i="15"/>
  <c r="S619" i="15"/>
  <c r="R620" i="15"/>
  <c r="S620" i="15"/>
  <c r="R621" i="15"/>
  <c r="S621" i="15"/>
  <c r="R622" i="15"/>
  <c r="S622" i="15"/>
  <c r="R623" i="15"/>
  <c r="S623" i="15"/>
  <c r="R624" i="15"/>
  <c r="S624" i="15"/>
  <c r="R625" i="15"/>
  <c r="S625" i="15"/>
  <c r="R626" i="15"/>
  <c r="S626" i="15"/>
  <c r="R627" i="15"/>
  <c r="S627" i="15"/>
  <c r="R628" i="15"/>
  <c r="S628" i="15"/>
  <c r="R629" i="15"/>
  <c r="S629" i="15"/>
  <c r="R630" i="15"/>
  <c r="S630" i="15"/>
  <c r="R631" i="15"/>
  <c r="S631" i="15"/>
  <c r="R632" i="15"/>
  <c r="S632" i="15"/>
  <c r="R633" i="15"/>
  <c r="S633" i="15"/>
  <c r="R634" i="15"/>
  <c r="S634" i="15"/>
  <c r="R635" i="15"/>
  <c r="S635" i="15"/>
  <c r="R636" i="15"/>
  <c r="S636" i="15"/>
  <c r="R637" i="15"/>
  <c r="S637" i="15"/>
  <c r="R638" i="15"/>
  <c r="S638" i="15"/>
  <c r="R639" i="15"/>
  <c r="S639" i="15"/>
  <c r="R640" i="15"/>
  <c r="S640" i="15"/>
  <c r="R641" i="15"/>
  <c r="S641" i="15"/>
  <c r="R642" i="15"/>
  <c r="S642" i="15"/>
  <c r="R643" i="15"/>
  <c r="S643" i="15"/>
  <c r="R644" i="15"/>
  <c r="S644" i="15"/>
  <c r="R645" i="15"/>
  <c r="S645" i="15"/>
  <c r="R646" i="15"/>
  <c r="S646" i="15"/>
  <c r="R647" i="15"/>
  <c r="S647" i="15"/>
  <c r="R648" i="15"/>
  <c r="S648" i="15"/>
  <c r="R649" i="15"/>
  <c r="S649" i="15"/>
  <c r="R650" i="15"/>
  <c r="S650" i="15"/>
  <c r="R651" i="15"/>
  <c r="S651" i="15"/>
  <c r="R652" i="15"/>
  <c r="S652" i="15"/>
  <c r="R653" i="15"/>
  <c r="S653" i="15"/>
  <c r="R654" i="15"/>
  <c r="S654" i="15"/>
  <c r="R655" i="15"/>
  <c r="S655" i="15"/>
  <c r="R656" i="15"/>
  <c r="S656" i="15"/>
  <c r="R657" i="15"/>
  <c r="S657" i="15"/>
  <c r="R658" i="15"/>
  <c r="S658" i="15"/>
  <c r="R659" i="15"/>
  <c r="S659" i="15"/>
  <c r="R660" i="15"/>
  <c r="S660" i="15"/>
  <c r="R661" i="15"/>
  <c r="S661" i="15"/>
  <c r="R662" i="15"/>
  <c r="S662" i="15"/>
  <c r="R663" i="15"/>
  <c r="S663" i="15"/>
  <c r="R664" i="15"/>
  <c r="S664" i="15"/>
  <c r="R665" i="15"/>
  <c r="S665" i="15"/>
  <c r="R666" i="15"/>
  <c r="S666" i="15"/>
  <c r="R667" i="15"/>
  <c r="S667" i="15"/>
  <c r="R668" i="15"/>
  <c r="S668" i="15"/>
  <c r="R669" i="15"/>
  <c r="S669" i="15"/>
  <c r="R670" i="15"/>
  <c r="S670" i="15"/>
  <c r="R671" i="15"/>
  <c r="S671" i="15"/>
  <c r="R672" i="15"/>
  <c r="S672" i="15"/>
  <c r="R673" i="15"/>
  <c r="S673" i="15"/>
  <c r="R674" i="15"/>
  <c r="S674" i="15"/>
  <c r="R675" i="15"/>
  <c r="S675" i="15"/>
  <c r="R676" i="15"/>
  <c r="S676" i="15"/>
  <c r="R677" i="15"/>
  <c r="S677" i="15"/>
  <c r="R678" i="15"/>
  <c r="S678" i="15"/>
  <c r="R679" i="15"/>
  <c r="S679" i="15"/>
  <c r="R680" i="15"/>
  <c r="S680" i="15"/>
  <c r="R681" i="15"/>
  <c r="S681" i="15"/>
  <c r="R682" i="15"/>
  <c r="S682" i="15"/>
  <c r="R683" i="15"/>
  <c r="S683" i="15"/>
  <c r="R684" i="15"/>
  <c r="S684" i="15"/>
  <c r="R685" i="15"/>
  <c r="S685" i="15"/>
  <c r="R686" i="15"/>
  <c r="S686" i="15"/>
  <c r="R687" i="15"/>
  <c r="S687" i="15"/>
  <c r="R688" i="15"/>
  <c r="S688" i="15"/>
  <c r="R689" i="15"/>
  <c r="S689" i="15"/>
  <c r="R690" i="15"/>
  <c r="S690" i="15"/>
  <c r="R691" i="15"/>
  <c r="S691" i="15"/>
  <c r="R692" i="15"/>
  <c r="S692" i="15"/>
  <c r="R693" i="15"/>
  <c r="S693" i="15"/>
  <c r="R694" i="15"/>
  <c r="S694" i="15"/>
  <c r="R695" i="15"/>
  <c r="S695" i="15"/>
  <c r="R696" i="15"/>
  <c r="S696" i="15"/>
  <c r="R697" i="15"/>
  <c r="S697" i="15"/>
  <c r="R698" i="15"/>
  <c r="S698" i="15"/>
  <c r="R699" i="15"/>
  <c r="S699" i="15"/>
  <c r="R700" i="15"/>
  <c r="S700" i="15"/>
  <c r="R701" i="15"/>
  <c r="S701" i="15"/>
  <c r="R702" i="15"/>
  <c r="S702" i="15"/>
  <c r="R703" i="15"/>
  <c r="S703" i="15"/>
  <c r="R704" i="15"/>
  <c r="S704" i="15"/>
  <c r="R705" i="15"/>
  <c r="S705" i="15"/>
  <c r="R706" i="15"/>
  <c r="S706" i="15"/>
  <c r="R707" i="15"/>
  <c r="S707" i="15"/>
  <c r="R708" i="15"/>
  <c r="S708" i="15"/>
  <c r="R709" i="15"/>
  <c r="S709" i="15"/>
  <c r="R710" i="15"/>
  <c r="S710" i="15"/>
  <c r="R711" i="15"/>
  <c r="S711" i="15"/>
  <c r="R712" i="15"/>
  <c r="S712" i="15"/>
  <c r="R713" i="15"/>
  <c r="S713" i="15"/>
  <c r="R714" i="15"/>
  <c r="S714" i="15"/>
  <c r="R715" i="15"/>
  <c r="S715" i="15"/>
  <c r="R716" i="15"/>
  <c r="S716" i="15"/>
  <c r="R717" i="15"/>
  <c r="S717" i="15"/>
  <c r="R718" i="15"/>
  <c r="S718" i="15"/>
  <c r="R719" i="15"/>
  <c r="S719" i="15"/>
  <c r="R720" i="15"/>
  <c r="S720" i="15"/>
  <c r="R721" i="15"/>
  <c r="S721" i="15"/>
  <c r="R722" i="15"/>
  <c r="S722" i="15"/>
  <c r="R723" i="15"/>
  <c r="S723" i="15"/>
  <c r="R724" i="15"/>
  <c r="S724" i="15"/>
  <c r="R725" i="15"/>
  <c r="S725" i="15"/>
  <c r="R726" i="15"/>
  <c r="S726" i="15"/>
  <c r="R727" i="15"/>
  <c r="S727" i="15"/>
  <c r="R728" i="15"/>
  <c r="S728" i="15"/>
  <c r="R729" i="15"/>
  <c r="S729" i="15"/>
  <c r="R730" i="15"/>
  <c r="S730" i="15"/>
  <c r="R731" i="15"/>
  <c r="S731" i="15"/>
  <c r="R732" i="15"/>
  <c r="S732" i="15"/>
  <c r="R733" i="15"/>
  <c r="S733" i="15"/>
  <c r="R734" i="15"/>
  <c r="S734" i="15"/>
  <c r="R735" i="15"/>
  <c r="S735" i="15"/>
  <c r="R736" i="15"/>
  <c r="S736" i="15"/>
  <c r="R737" i="15"/>
  <c r="S737" i="15"/>
  <c r="R738" i="15"/>
  <c r="S738" i="15"/>
  <c r="R739" i="15"/>
  <c r="S739" i="15"/>
  <c r="R740" i="15"/>
  <c r="S740" i="15"/>
  <c r="R741" i="15"/>
  <c r="S741" i="15"/>
  <c r="R742" i="15"/>
  <c r="S742" i="15"/>
  <c r="R743" i="15"/>
  <c r="S743" i="15"/>
  <c r="R744" i="15"/>
  <c r="S744" i="15"/>
  <c r="R745" i="15"/>
  <c r="S745" i="15"/>
  <c r="R746" i="15"/>
  <c r="S746" i="15"/>
  <c r="R747" i="15"/>
  <c r="S747" i="15"/>
  <c r="R748" i="15"/>
  <c r="S748" i="15"/>
  <c r="R749" i="15"/>
  <c r="S749" i="15"/>
  <c r="R750" i="15"/>
  <c r="S750" i="15"/>
  <c r="R751" i="15"/>
  <c r="S751" i="15"/>
  <c r="R752" i="15"/>
  <c r="S752" i="15"/>
  <c r="R753" i="15"/>
  <c r="S753" i="15"/>
  <c r="R754" i="15"/>
  <c r="S754" i="15"/>
  <c r="R755" i="15"/>
  <c r="S755" i="15"/>
  <c r="R756" i="15"/>
  <c r="S756" i="15"/>
  <c r="R757" i="15"/>
  <c r="S757" i="15"/>
  <c r="R758" i="15"/>
  <c r="S758" i="15"/>
  <c r="R759" i="15"/>
  <c r="S759" i="15"/>
  <c r="R760" i="15"/>
  <c r="S760" i="15"/>
  <c r="R761" i="15"/>
  <c r="S761" i="15"/>
  <c r="R762" i="15"/>
  <c r="S762" i="15"/>
  <c r="R763" i="15"/>
  <c r="S763" i="15"/>
  <c r="R764" i="15"/>
  <c r="S764" i="15"/>
  <c r="R765" i="15"/>
  <c r="S765" i="15"/>
  <c r="R766" i="15"/>
  <c r="S766" i="15"/>
  <c r="R767" i="15"/>
  <c r="S767" i="15"/>
  <c r="R768" i="15"/>
  <c r="S768" i="15"/>
  <c r="R769" i="15"/>
  <c r="S769" i="15"/>
  <c r="R770" i="15"/>
  <c r="S770" i="15"/>
  <c r="R771" i="15"/>
  <c r="S771" i="15"/>
  <c r="R772" i="15"/>
  <c r="S772" i="15"/>
  <c r="R773" i="15"/>
  <c r="S773" i="15"/>
  <c r="R774" i="15"/>
  <c r="S774" i="15"/>
  <c r="R775" i="15"/>
  <c r="S775" i="15"/>
  <c r="R776" i="15"/>
  <c r="S776" i="15"/>
  <c r="R777" i="15"/>
  <c r="S777" i="15"/>
  <c r="R778" i="15"/>
  <c r="S778" i="15"/>
  <c r="R779" i="15"/>
  <c r="S779" i="15"/>
  <c r="R780" i="15"/>
  <c r="S780" i="15"/>
  <c r="R781" i="15"/>
  <c r="S781" i="15"/>
  <c r="R782" i="15"/>
  <c r="S782" i="15"/>
  <c r="R783" i="15"/>
  <c r="S783" i="15"/>
  <c r="R784" i="15"/>
  <c r="S784" i="15"/>
  <c r="R785" i="15"/>
  <c r="S785" i="15"/>
  <c r="R786" i="15"/>
  <c r="S786" i="15"/>
  <c r="R787" i="15"/>
  <c r="S787" i="15"/>
  <c r="R788" i="15"/>
  <c r="S788" i="15"/>
  <c r="R789" i="15"/>
  <c r="S789" i="15"/>
  <c r="R790" i="15"/>
  <c r="S790" i="15"/>
  <c r="R791" i="15"/>
  <c r="S791" i="15"/>
  <c r="R792" i="15"/>
  <c r="S792" i="15"/>
  <c r="R793" i="15"/>
  <c r="S793" i="15"/>
  <c r="R794" i="15"/>
  <c r="S794" i="15"/>
  <c r="R795" i="15"/>
  <c r="S795" i="15"/>
  <c r="R796" i="15"/>
  <c r="S796" i="15"/>
  <c r="R797" i="15"/>
  <c r="S797" i="15"/>
  <c r="R798" i="15"/>
  <c r="S798" i="15"/>
  <c r="R799" i="15"/>
  <c r="S799" i="15"/>
  <c r="R800" i="15"/>
  <c r="S800" i="15"/>
  <c r="R801" i="15"/>
  <c r="S801" i="15"/>
  <c r="R802" i="15"/>
  <c r="S802" i="15"/>
  <c r="R803" i="15"/>
  <c r="S803" i="15"/>
  <c r="R804" i="15"/>
  <c r="S804" i="15"/>
  <c r="R805" i="15"/>
  <c r="S805" i="15"/>
  <c r="R806" i="15"/>
  <c r="S806" i="15"/>
  <c r="R807" i="15"/>
  <c r="S807" i="15"/>
  <c r="R808" i="15"/>
  <c r="S808" i="15"/>
  <c r="R809" i="15"/>
  <c r="S809" i="15"/>
  <c r="R810" i="15"/>
  <c r="S810" i="15"/>
  <c r="R811" i="15"/>
  <c r="S811" i="15"/>
  <c r="R812" i="15"/>
  <c r="S812" i="15"/>
  <c r="R813" i="15"/>
  <c r="S813" i="15"/>
  <c r="R814" i="15"/>
  <c r="S814" i="15"/>
  <c r="R815" i="15"/>
  <c r="S815" i="15"/>
  <c r="R816" i="15"/>
  <c r="S816" i="15"/>
  <c r="R817" i="15"/>
  <c r="S817" i="15"/>
  <c r="R818" i="15"/>
  <c r="S818" i="15"/>
  <c r="R819" i="15"/>
  <c r="S819" i="15"/>
  <c r="R820" i="15"/>
  <c r="S820" i="15"/>
  <c r="R821" i="15"/>
  <c r="S821" i="15"/>
  <c r="R822" i="15"/>
  <c r="S822" i="15"/>
  <c r="R823" i="15"/>
  <c r="S823" i="15"/>
  <c r="R824" i="15"/>
  <c r="S824" i="15"/>
  <c r="R825" i="15"/>
  <c r="S825" i="15"/>
  <c r="R826" i="15"/>
  <c r="S826" i="15"/>
  <c r="R827" i="15"/>
  <c r="S827" i="15"/>
  <c r="R828" i="15"/>
  <c r="S828" i="15"/>
  <c r="R829" i="15"/>
  <c r="S829" i="15"/>
  <c r="R830" i="15"/>
  <c r="S830" i="15"/>
  <c r="R831" i="15"/>
  <c r="S831" i="15"/>
  <c r="R832" i="15"/>
  <c r="S832" i="15"/>
  <c r="R833" i="15"/>
  <c r="S833" i="15"/>
  <c r="R834" i="15"/>
  <c r="S834" i="15"/>
  <c r="R835" i="15"/>
  <c r="S835" i="15"/>
  <c r="R836" i="15"/>
  <c r="S836" i="15"/>
  <c r="R837" i="15"/>
  <c r="S837" i="15"/>
  <c r="R838" i="15"/>
  <c r="S838" i="15"/>
  <c r="R839" i="15"/>
  <c r="S839" i="15"/>
  <c r="R840" i="15"/>
  <c r="S840" i="15"/>
  <c r="R841" i="15"/>
  <c r="S841" i="15"/>
  <c r="R842" i="15"/>
  <c r="S842" i="15"/>
  <c r="R843" i="15"/>
  <c r="S843" i="15"/>
  <c r="R844" i="15"/>
  <c r="S844" i="15"/>
  <c r="R845" i="15"/>
  <c r="S845" i="15"/>
  <c r="R846" i="15"/>
  <c r="S846" i="15"/>
  <c r="R847" i="15"/>
  <c r="S847" i="15"/>
  <c r="R848" i="15"/>
  <c r="S848" i="15"/>
  <c r="R849" i="15"/>
  <c r="S849" i="15"/>
  <c r="R850" i="15"/>
  <c r="S850" i="15"/>
  <c r="R851" i="15"/>
  <c r="S851" i="15"/>
  <c r="R852" i="15"/>
  <c r="S852" i="15"/>
  <c r="R853" i="15"/>
  <c r="S853" i="15"/>
  <c r="R854" i="15"/>
  <c r="S854" i="15"/>
  <c r="R855" i="15"/>
  <c r="S855" i="15"/>
  <c r="R856" i="15"/>
  <c r="S856" i="15"/>
  <c r="R857" i="15"/>
  <c r="S857" i="15"/>
  <c r="R858" i="15"/>
  <c r="S858" i="15"/>
  <c r="R859" i="15"/>
  <c r="S859" i="15"/>
  <c r="R860" i="15"/>
  <c r="S860" i="15"/>
  <c r="R861" i="15"/>
  <c r="S861" i="15"/>
  <c r="R862" i="15"/>
  <c r="S862" i="15"/>
  <c r="R863" i="15"/>
  <c r="S863" i="15"/>
  <c r="R864" i="15"/>
  <c r="S864" i="15"/>
  <c r="R865" i="15"/>
  <c r="S865" i="15"/>
  <c r="R866" i="15"/>
  <c r="S866" i="15"/>
  <c r="R867" i="15"/>
  <c r="S867" i="15"/>
  <c r="R868" i="15"/>
  <c r="S868" i="15"/>
  <c r="R869" i="15"/>
  <c r="S869" i="15"/>
  <c r="R870" i="15"/>
  <c r="S870" i="15"/>
  <c r="R871" i="15"/>
  <c r="S871" i="15"/>
  <c r="R872" i="15"/>
  <c r="S872" i="15"/>
  <c r="R873" i="15"/>
  <c r="S873" i="15"/>
  <c r="R874" i="15"/>
  <c r="S874" i="15"/>
  <c r="R875" i="15"/>
  <c r="S875" i="15"/>
  <c r="R876" i="15"/>
  <c r="S876" i="15"/>
  <c r="R877" i="15"/>
  <c r="S877" i="15"/>
  <c r="R878" i="15"/>
  <c r="S878" i="15"/>
  <c r="R879" i="15"/>
  <c r="S879" i="15"/>
  <c r="R880" i="15"/>
  <c r="S880" i="15"/>
  <c r="R881" i="15"/>
  <c r="S881" i="15"/>
  <c r="R882" i="15"/>
  <c r="S882" i="15"/>
  <c r="R883" i="15"/>
  <c r="S883" i="15"/>
  <c r="R884" i="15"/>
  <c r="S884" i="15"/>
  <c r="R885" i="15"/>
  <c r="S885" i="15"/>
  <c r="R886" i="15"/>
  <c r="S886" i="15"/>
  <c r="R887" i="15"/>
  <c r="S887" i="15"/>
  <c r="R888" i="15"/>
  <c r="S888" i="15"/>
  <c r="R889" i="15"/>
  <c r="S889" i="15"/>
  <c r="R890" i="15"/>
  <c r="S890" i="15"/>
  <c r="R891" i="15"/>
  <c r="S891" i="15"/>
  <c r="R892" i="15"/>
  <c r="S892" i="15"/>
  <c r="R893" i="15"/>
  <c r="S893" i="15"/>
  <c r="R894" i="15"/>
  <c r="S894" i="15"/>
  <c r="R895" i="15"/>
  <c r="S895" i="15"/>
  <c r="R896" i="15"/>
  <c r="S896" i="15"/>
  <c r="R897" i="15"/>
  <c r="S897" i="15"/>
  <c r="R898" i="15"/>
  <c r="S898" i="15"/>
  <c r="R899" i="15"/>
  <c r="S899" i="15"/>
  <c r="R900" i="15"/>
  <c r="S900" i="15"/>
  <c r="R901" i="15"/>
  <c r="S901" i="15"/>
  <c r="R902" i="15"/>
  <c r="S902" i="15"/>
  <c r="R903" i="15"/>
  <c r="S903" i="15"/>
  <c r="R904" i="15"/>
  <c r="S904" i="15"/>
  <c r="R905" i="15"/>
  <c r="S905" i="15"/>
  <c r="R906" i="15"/>
  <c r="S906" i="15"/>
  <c r="R907" i="15"/>
  <c r="S907" i="15"/>
  <c r="R908" i="15"/>
  <c r="S908" i="15"/>
  <c r="R909" i="15"/>
  <c r="S909" i="15"/>
  <c r="R910" i="15"/>
  <c r="S910" i="15"/>
  <c r="R911" i="15"/>
  <c r="S911" i="15"/>
  <c r="R912" i="15"/>
  <c r="S912" i="15"/>
  <c r="R913" i="15"/>
  <c r="S913" i="15"/>
  <c r="R914" i="15"/>
  <c r="S914" i="15"/>
  <c r="R915" i="15"/>
  <c r="S915" i="15"/>
  <c r="R916" i="15"/>
  <c r="S916" i="15"/>
  <c r="R917" i="15"/>
  <c r="S917" i="15"/>
  <c r="R918" i="15"/>
  <c r="S918" i="15"/>
  <c r="R919" i="15"/>
  <c r="S919" i="15"/>
  <c r="R920" i="15"/>
  <c r="S920" i="15"/>
  <c r="R921" i="15"/>
  <c r="S921" i="15"/>
  <c r="R922" i="15"/>
  <c r="S922" i="15"/>
  <c r="R923" i="15"/>
  <c r="S923" i="15"/>
  <c r="R924" i="15"/>
  <c r="S924" i="15"/>
  <c r="R925" i="15"/>
  <c r="S925" i="15"/>
  <c r="R926" i="15"/>
  <c r="S926" i="15"/>
  <c r="R927" i="15"/>
  <c r="S927" i="15"/>
  <c r="R928" i="15"/>
  <c r="S928" i="15"/>
  <c r="R929" i="15"/>
  <c r="S929" i="15"/>
  <c r="R930" i="15"/>
  <c r="S930" i="15"/>
  <c r="R931" i="15"/>
  <c r="S931" i="15"/>
  <c r="R932" i="15"/>
  <c r="S932" i="15"/>
  <c r="R933" i="15"/>
  <c r="S933" i="15"/>
  <c r="R934" i="15"/>
  <c r="S934" i="15"/>
  <c r="R935" i="15"/>
  <c r="S935" i="15"/>
  <c r="R936" i="15"/>
  <c r="S936" i="15"/>
  <c r="R937" i="15"/>
  <c r="S937" i="15"/>
  <c r="R938" i="15"/>
  <c r="S938" i="15"/>
  <c r="R939" i="15"/>
  <c r="S939" i="15"/>
  <c r="R940" i="15"/>
  <c r="S940" i="15"/>
  <c r="R941" i="15"/>
  <c r="S941" i="15"/>
  <c r="R942" i="15"/>
  <c r="S942" i="15"/>
  <c r="R943" i="15"/>
  <c r="S943" i="15"/>
  <c r="R944" i="15"/>
  <c r="S944" i="15"/>
  <c r="R945" i="15"/>
  <c r="S945" i="15"/>
  <c r="R946" i="15"/>
  <c r="S946" i="15"/>
  <c r="R947" i="15"/>
  <c r="S947" i="15"/>
  <c r="R948" i="15"/>
  <c r="S948" i="15"/>
  <c r="R949" i="15"/>
  <c r="S949" i="15"/>
  <c r="R950" i="15"/>
  <c r="S950" i="15"/>
  <c r="R951" i="15"/>
  <c r="S951" i="15"/>
  <c r="R952" i="15"/>
  <c r="S952" i="15"/>
  <c r="R953" i="15"/>
  <c r="S953" i="15"/>
  <c r="R954" i="15"/>
  <c r="S954" i="15"/>
  <c r="R955" i="15"/>
  <c r="S955" i="15"/>
  <c r="R956" i="15"/>
  <c r="S956" i="15"/>
  <c r="R957" i="15"/>
  <c r="S957" i="15"/>
  <c r="R958" i="15"/>
  <c r="S958" i="15"/>
  <c r="R959" i="15"/>
  <c r="S959" i="15"/>
  <c r="R960" i="15"/>
  <c r="S960" i="15"/>
  <c r="R961" i="15"/>
  <c r="S961" i="15"/>
  <c r="R962" i="15"/>
  <c r="S962" i="15"/>
  <c r="R963" i="15"/>
  <c r="S963" i="15"/>
  <c r="R964" i="15"/>
  <c r="S964" i="15"/>
  <c r="R965" i="15"/>
  <c r="S965" i="15"/>
  <c r="R966" i="15"/>
  <c r="S966" i="15"/>
  <c r="R967" i="15"/>
  <c r="S967" i="15"/>
  <c r="R968" i="15"/>
  <c r="S968" i="15"/>
  <c r="R969" i="15"/>
  <c r="S969" i="15"/>
  <c r="R970" i="15"/>
  <c r="S970" i="15"/>
  <c r="R971" i="15"/>
  <c r="S971" i="15"/>
  <c r="R972" i="15"/>
  <c r="S972" i="15"/>
  <c r="R973" i="15"/>
  <c r="S973" i="15"/>
  <c r="R974" i="15"/>
  <c r="S974" i="15"/>
  <c r="R975" i="15"/>
  <c r="S975" i="15"/>
  <c r="R976" i="15"/>
  <c r="S976" i="15"/>
  <c r="R977" i="15"/>
  <c r="S977" i="15"/>
  <c r="R978" i="15"/>
  <c r="S978" i="15"/>
  <c r="R979" i="15"/>
  <c r="S979" i="15"/>
  <c r="R980" i="15"/>
  <c r="S980" i="15"/>
  <c r="R981" i="15"/>
  <c r="S981" i="15"/>
  <c r="R982" i="15"/>
  <c r="S982" i="15"/>
  <c r="R983" i="15"/>
  <c r="S983" i="15"/>
  <c r="R984" i="15"/>
  <c r="S984" i="15"/>
  <c r="R985" i="15"/>
  <c r="S985" i="15"/>
  <c r="R986" i="15"/>
  <c r="S986" i="15"/>
  <c r="R987" i="15"/>
  <c r="S987" i="15"/>
  <c r="R988" i="15"/>
  <c r="S988" i="15"/>
  <c r="R989" i="15"/>
  <c r="S989" i="15"/>
  <c r="R990" i="15"/>
  <c r="S990" i="15"/>
  <c r="R991" i="15"/>
  <c r="S991" i="15"/>
  <c r="R992" i="15"/>
  <c r="S992" i="15"/>
  <c r="R993" i="15"/>
  <c r="S993" i="15"/>
  <c r="R994" i="15"/>
  <c r="S994" i="15"/>
  <c r="R995" i="15"/>
  <c r="S995" i="15"/>
  <c r="R996" i="15"/>
  <c r="S996" i="15"/>
  <c r="R997" i="15"/>
  <c r="S997" i="15"/>
  <c r="R998" i="15"/>
  <c r="S998" i="15"/>
  <c r="R999" i="15"/>
  <c r="S999" i="15"/>
  <c r="R1000" i="15"/>
  <c r="S1000" i="15"/>
  <c r="R1001" i="15"/>
  <c r="S1001" i="15"/>
  <c r="R1002" i="15"/>
  <c r="S1002" i="15"/>
  <c r="R1003" i="15"/>
  <c r="S1003" i="15"/>
  <c r="R1004" i="15"/>
  <c r="S1004" i="15"/>
  <c r="R1005" i="15"/>
  <c r="S1005" i="15"/>
  <c r="R1006" i="15"/>
  <c r="S1006" i="15"/>
  <c r="R1007" i="15"/>
  <c r="S1007" i="15"/>
  <c r="R1008" i="15"/>
  <c r="S1008" i="15"/>
  <c r="R1009" i="15"/>
  <c r="S1009" i="15"/>
  <c r="R1010" i="15"/>
  <c r="S1010" i="15"/>
  <c r="R1011" i="15"/>
  <c r="S1011" i="15"/>
  <c r="R1012" i="15"/>
  <c r="S1012" i="15"/>
  <c r="R1013" i="15"/>
  <c r="S1013" i="15"/>
  <c r="R1014" i="15"/>
  <c r="S1014" i="15"/>
  <c r="R1015" i="15"/>
  <c r="S1015" i="15"/>
  <c r="R1016" i="15"/>
  <c r="S1016" i="15"/>
  <c r="R1017" i="15"/>
  <c r="S1017" i="15"/>
  <c r="R1018" i="15"/>
  <c r="S1018" i="15"/>
  <c r="R1019" i="15"/>
  <c r="S1019" i="15"/>
  <c r="R1020" i="15"/>
  <c r="S1020" i="15"/>
  <c r="R1021" i="15"/>
  <c r="S1021" i="15"/>
  <c r="R1022" i="15"/>
  <c r="S1022" i="15"/>
  <c r="R1023" i="15"/>
  <c r="S1023" i="15"/>
  <c r="R1024" i="15"/>
  <c r="S1024" i="15"/>
  <c r="R1025" i="15"/>
  <c r="S1025" i="15"/>
  <c r="R1026" i="15"/>
  <c r="S1026" i="15"/>
  <c r="R1027" i="15"/>
  <c r="S1027" i="15"/>
  <c r="R1028" i="15"/>
  <c r="S1028" i="15"/>
  <c r="R1029" i="15"/>
  <c r="S1029" i="15"/>
  <c r="R1030" i="15"/>
  <c r="S1030" i="15"/>
  <c r="R1031" i="15"/>
  <c r="S1031" i="15"/>
  <c r="R1032" i="15"/>
  <c r="S1032" i="15"/>
  <c r="R1033" i="15"/>
  <c r="S1033" i="15"/>
  <c r="R1034" i="15"/>
  <c r="S1034" i="15"/>
  <c r="R1035" i="15"/>
  <c r="S1035" i="15"/>
  <c r="R1036" i="15"/>
  <c r="S1036" i="15"/>
  <c r="R1037" i="15"/>
  <c r="S1037" i="15"/>
  <c r="R1038" i="15"/>
  <c r="S1038" i="15"/>
  <c r="R1039" i="15"/>
  <c r="S1039" i="15"/>
  <c r="R1040" i="15"/>
  <c r="S1040" i="15"/>
  <c r="R1041" i="15"/>
  <c r="S1041" i="15"/>
  <c r="R1042" i="15"/>
  <c r="S1042" i="15"/>
  <c r="R1043" i="15"/>
  <c r="S1043" i="15"/>
  <c r="R1044" i="15"/>
  <c r="S1044" i="15"/>
  <c r="R1045" i="15"/>
  <c r="S1045" i="15"/>
  <c r="R1046" i="15"/>
  <c r="S1046" i="15"/>
  <c r="R1047" i="15"/>
  <c r="S1047" i="15"/>
  <c r="R1048" i="15"/>
  <c r="S1048" i="15"/>
  <c r="R1049" i="15"/>
  <c r="S1049" i="15"/>
  <c r="R1050" i="15"/>
  <c r="S1050" i="15"/>
  <c r="R1051" i="15"/>
  <c r="S1051" i="15"/>
  <c r="R1052" i="15"/>
  <c r="S1052" i="15"/>
  <c r="R1053" i="15"/>
  <c r="S1053" i="15"/>
  <c r="R1054" i="15"/>
  <c r="S1054" i="15"/>
  <c r="R1055" i="15"/>
  <c r="S1055" i="15"/>
  <c r="R1056" i="15"/>
  <c r="S1056" i="15"/>
  <c r="R1057" i="15"/>
  <c r="S1057" i="15"/>
  <c r="R1058" i="15"/>
  <c r="S1058" i="15"/>
  <c r="R1059" i="15"/>
  <c r="S1059" i="15"/>
  <c r="R1060" i="15"/>
  <c r="S1060" i="15"/>
  <c r="R1061" i="15"/>
  <c r="S1061" i="15"/>
  <c r="R1062" i="15"/>
  <c r="S1062" i="15"/>
  <c r="R1063" i="15"/>
  <c r="S1063" i="15"/>
  <c r="R1064" i="15"/>
  <c r="S1064" i="15"/>
  <c r="R1065" i="15"/>
  <c r="S1065" i="15"/>
  <c r="R1066" i="15"/>
  <c r="S1066" i="15"/>
  <c r="R1067" i="15"/>
  <c r="S1067" i="15"/>
  <c r="R1068" i="15"/>
  <c r="S1068" i="15"/>
  <c r="R1069" i="15"/>
  <c r="S1069" i="15"/>
  <c r="R1070" i="15"/>
  <c r="S1070" i="15"/>
  <c r="R1071" i="15"/>
  <c r="S1071" i="15"/>
  <c r="R1072" i="15"/>
  <c r="S1072" i="15"/>
  <c r="R1073" i="15"/>
  <c r="S1073" i="15"/>
  <c r="R1074" i="15"/>
  <c r="S1074" i="15"/>
  <c r="R1075" i="15"/>
  <c r="S1075" i="15"/>
  <c r="R1076" i="15"/>
  <c r="S1076" i="15"/>
  <c r="R1077" i="15"/>
  <c r="S1077" i="15"/>
  <c r="R1078" i="15"/>
  <c r="S1078" i="15"/>
  <c r="R1079" i="15"/>
  <c r="S1079" i="15"/>
  <c r="R1080" i="15"/>
  <c r="S1080" i="15"/>
  <c r="R1081" i="15"/>
  <c r="S1081" i="15"/>
  <c r="R1082" i="15"/>
  <c r="S1082" i="15"/>
  <c r="R1083" i="15"/>
  <c r="S1083" i="15"/>
  <c r="R1084" i="15"/>
  <c r="S1084" i="15"/>
  <c r="R1085" i="15"/>
  <c r="S1085" i="15"/>
  <c r="R1086" i="15"/>
  <c r="S1086" i="15"/>
  <c r="R1087" i="15"/>
  <c r="S1087" i="15"/>
  <c r="R1088" i="15"/>
  <c r="S1088" i="15"/>
  <c r="R1089" i="15"/>
  <c r="S1089" i="15"/>
  <c r="R1090" i="15"/>
  <c r="S1090" i="15"/>
  <c r="R1091" i="15"/>
  <c r="S1091" i="15"/>
  <c r="R1092" i="15"/>
  <c r="S1092" i="15"/>
  <c r="R1093" i="15"/>
  <c r="S1093" i="15"/>
  <c r="R1094" i="15"/>
  <c r="S1094" i="15"/>
  <c r="R1095" i="15"/>
  <c r="S1095" i="15"/>
  <c r="R1096" i="15"/>
  <c r="S1096" i="15"/>
  <c r="R1097" i="15"/>
  <c r="S1097" i="15"/>
  <c r="R1098" i="15"/>
  <c r="S1098" i="15"/>
  <c r="R1099" i="15"/>
  <c r="S1099" i="15"/>
  <c r="R1100" i="15"/>
  <c r="S1100" i="15"/>
  <c r="R1101" i="15"/>
  <c r="S1101" i="15"/>
  <c r="R1102" i="15"/>
  <c r="S1102" i="15"/>
  <c r="R1103" i="15"/>
  <c r="S1103" i="15"/>
  <c r="R1104" i="15"/>
  <c r="S1104" i="15"/>
  <c r="R1105" i="15"/>
  <c r="S1105" i="15"/>
  <c r="R1106" i="15"/>
  <c r="S1106" i="15"/>
  <c r="R1107" i="15"/>
  <c r="S1107" i="15"/>
  <c r="R1108" i="15"/>
  <c r="S1108" i="15"/>
  <c r="R1109" i="15"/>
  <c r="S1109" i="15"/>
  <c r="R1110" i="15"/>
  <c r="S1110" i="15"/>
  <c r="R1111" i="15"/>
  <c r="S1111" i="15"/>
  <c r="R1112" i="15"/>
  <c r="S1112" i="15"/>
  <c r="R1113" i="15"/>
  <c r="S1113" i="15"/>
  <c r="R1114" i="15"/>
  <c r="S1114" i="15"/>
  <c r="R1115" i="15"/>
  <c r="S1115" i="15"/>
  <c r="R1116" i="15"/>
  <c r="S1116" i="15"/>
  <c r="R1117" i="15"/>
  <c r="S1117" i="15"/>
  <c r="R1118" i="15"/>
  <c r="S1118" i="15"/>
  <c r="R1119" i="15"/>
  <c r="S1119" i="15"/>
  <c r="R1120" i="15"/>
  <c r="S1120" i="15"/>
  <c r="R1121" i="15"/>
  <c r="S1121" i="15"/>
  <c r="R1122" i="15"/>
  <c r="S1122" i="15"/>
  <c r="R1123" i="15"/>
  <c r="S1123" i="15"/>
  <c r="R1124" i="15"/>
  <c r="S1124" i="15"/>
  <c r="R1125" i="15"/>
  <c r="S1125" i="15"/>
  <c r="R1126" i="15"/>
  <c r="S1126" i="15"/>
  <c r="R1127" i="15"/>
  <c r="S1127" i="15"/>
  <c r="R1128" i="15"/>
  <c r="S1128" i="15"/>
  <c r="R1129" i="15"/>
  <c r="S1129" i="15"/>
  <c r="R1130" i="15"/>
  <c r="S1130" i="15"/>
  <c r="R1131" i="15"/>
  <c r="S1131" i="15"/>
  <c r="R1132" i="15"/>
  <c r="S1132" i="15"/>
  <c r="R1133" i="15"/>
  <c r="S1133" i="15"/>
  <c r="R1134" i="15"/>
  <c r="S1134" i="15"/>
  <c r="R1135" i="15"/>
  <c r="S1135" i="15"/>
  <c r="R1136" i="15"/>
  <c r="S1136" i="15"/>
  <c r="R1137" i="15"/>
  <c r="S1137" i="15"/>
  <c r="R1138" i="15"/>
  <c r="S1138" i="15"/>
  <c r="R1139" i="15"/>
  <c r="S1139" i="15"/>
  <c r="R1140" i="15"/>
  <c r="S1140" i="15"/>
  <c r="R1141" i="15"/>
  <c r="S1141" i="15"/>
  <c r="R1142" i="15"/>
  <c r="S1142" i="15"/>
  <c r="R1143" i="15"/>
  <c r="S1143" i="15"/>
  <c r="R1144" i="15"/>
  <c r="S1144" i="15"/>
  <c r="R1145" i="15"/>
  <c r="S1145" i="15"/>
  <c r="R1146" i="15"/>
  <c r="S1146" i="15"/>
  <c r="R1147" i="15"/>
  <c r="S1147" i="15"/>
  <c r="R1148" i="15"/>
  <c r="S1148" i="15"/>
  <c r="R1149" i="15"/>
  <c r="S1149" i="15"/>
  <c r="R1150" i="15"/>
  <c r="S1150" i="15"/>
  <c r="R1151" i="15"/>
  <c r="S1151" i="15"/>
  <c r="R1152" i="15"/>
  <c r="S1152" i="15"/>
  <c r="R1153" i="15"/>
  <c r="S1153" i="15"/>
  <c r="R1154" i="15"/>
  <c r="S1154" i="15"/>
  <c r="R1155" i="15"/>
  <c r="S1155" i="15"/>
  <c r="R1156" i="15"/>
  <c r="S1156" i="15"/>
  <c r="R1157" i="15"/>
  <c r="S1157" i="15"/>
  <c r="R1158" i="15"/>
  <c r="S1158" i="15"/>
  <c r="R1159" i="15"/>
  <c r="S1159" i="15"/>
  <c r="R1160" i="15"/>
  <c r="S1160" i="15"/>
  <c r="R1161" i="15"/>
  <c r="S1161" i="15"/>
  <c r="R1162" i="15"/>
  <c r="S1162" i="15"/>
  <c r="R1163" i="15"/>
  <c r="S1163" i="15"/>
  <c r="R1164" i="15"/>
  <c r="S1164" i="15"/>
  <c r="R1165" i="15"/>
  <c r="S1165" i="15"/>
  <c r="R1166" i="15"/>
  <c r="S1166" i="15"/>
  <c r="R1167" i="15"/>
  <c r="S1167" i="15"/>
  <c r="R1168" i="15"/>
  <c r="S1168" i="15"/>
  <c r="R1169" i="15"/>
  <c r="S1169" i="15"/>
  <c r="R1170" i="15"/>
  <c r="S1170" i="15"/>
  <c r="R1171" i="15"/>
  <c r="S1171" i="15"/>
  <c r="R1172" i="15"/>
  <c r="S1172" i="15"/>
  <c r="R1173" i="15"/>
  <c r="S1173" i="15"/>
  <c r="R1174" i="15"/>
  <c r="S1174" i="15"/>
  <c r="R1175" i="15"/>
  <c r="S1175" i="15"/>
  <c r="R1176" i="15"/>
  <c r="S1176" i="15"/>
  <c r="R1177" i="15"/>
  <c r="S1177" i="15"/>
  <c r="R1178" i="15"/>
  <c r="S1178" i="15"/>
  <c r="R1179" i="15"/>
  <c r="S1179" i="15"/>
  <c r="R1180" i="15"/>
  <c r="S1180" i="15"/>
  <c r="R1181" i="15"/>
  <c r="S1181" i="15"/>
  <c r="R1182" i="15"/>
  <c r="S1182" i="15"/>
  <c r="R1183" i="15"/>
  <c r="S1183" i="15"/>
  <c r="R1184" i="15"/>
  <c r="S1184" i="15"/>
  <c r="R1185" i="15"/>
  <c r="S1185" i="15"/>
  <c r="R1186" i="15"/>
  <c r="S1186" i="15"/>
  <c r="R1187" i="15"/>
  <c r="S1187" i="15"/>
  <c r="R1188" i="15"/>
  <c r="S1188" i="15"/>
  <c r="R1189" i="15"/>
  <c r="S1189" i="15"/>
  <c r="R1190" i="15"/>
  <c r="S1190" i="15"/>
  <c r="R1191" i="15"/>
  <c r="S1191" i="15"/>
  <c r="R1192" i="15"/>
  <c r="S1192" i="15"/>
  <c r="R1193" i="15"/>
  <c r="S1193" i="15"/>
  <c r="R1194" i="15"/>
  <c r="S1194" i="15"/>
  <c r="R1195" i="15"/>
  <c r="S1195" i="15"/>
  <c r="R1196" i="15"/>
  <c r="S1196" i="15"/>
  <c r="R1197" i="15"/>
  <c r="S1197" i="15"/>
  <c r="R1198" i="15"/>
  <c r="S1198" i="15"/>
  <c r="R1199" i="15"/>
  <c r="S1199" i="15"/>
  <c r="R1200" i="15"/>
  <c r="S1200" i="15"/>
  <c r="R1201" i="15"/>
  <c r="S1201" i="15"/>
  <c r="R1202" i="15"/>
  <c r="S1202" i="15"/>
  <c r="R1203" i="15"/>
  <c r="S1203" i="15"/>
  <c r="R1204" i="15"/>
  <c r="S1204" i="15"/>
  <c r="R1205" i="15"/>
  <c r="S1205" i="15"/>
  <c r="R1206" i="15"/>
  <c r="S1206" i="15"/>
  <c r="R1207" i="15"/>
  <c r="S1207" i="15"/>
  <c r="R1208" i="15"/>
  <c r="S1208" i="15"/>
  <c r="R1209" i="15"/>
  <c r="S1209" i="15"/>
  <c r="R1210" i="15"/>
  <c r="S1210" i="15"/>
  <c r="R1211" i="15"/>
  <c r="S1211" i="15"/>
  <c r="R1212" i="15"/>
  <c r="S1212" i="15"/>
  <c r="R1213" i="15"/>
  <c r="S1213" i="15"/>
  <c r="R1214" i="15"/>
  <c r="S1214" i="15"/>
  <c r="R1215" i="15"/>
  <c r="S1215" i="15"/>
  <c r="R1216" i="15"/>
  <c r="S1216" i="15"/>
  <c r="R1217" i="15"/>
  <c r="S1217" i="15"/>
  <c r="R1218" i="15"/>
  <c r="S1218" i="15"/>
  <c r="R1219" i="15"/>
  <c r="S1219" i="15"/>
  <c r="R1220" i="15"/>
  <c r="S1220" i="15"/>
  <c r="R1221" i="15"/>
  <c r="S1221" i="15"/>
  <c r="R1222" i="15"/>
  <c r="S1222" i="15"/>
  <c r="R1223" i="15"/>
  <c r="S1223" i="15"/>
  <c r="R1224" i="15"/>
  <c r="S1224" i="15"/>
  <c r="R1225" i="15"/>
  <c r="S1225" i="15"/>
  <c r="R1226" i="15"/>
  <c r="S1226" i="15"/>
  <c r="R1227" i="15"/>
  <c r="S1227" i="15"/>
  <c r="R1228" i="15"/>
  <c r="S1228" i="15"/>
  <c r="R1229" i="15"/>
  <c r="S1229" i="15"/>
  <c r="R1230" i="15"/>
  <c r="S1230" i="15"/>
  <c r="R1231" i="15"/>
  <c r="S1231" i="15"/>
  <c r="R1232" i="15"/>
  <c r="S1232" i="15"/>
  <c r="R1233" i="15"/>
  <c r="S1233" i="15"/>
  <c r="R1234" i="15"/>
  <c r="S1234" i="15"/>
  <c r="R1235" i="15"/>
  <c r="S1235" i="15"/>
  <c r="R1236" i="15"/>
  <c r="S1236" i="15"/>
  <c r="R1237" i="15"/>
  <c r="S1237" i="15"/>
  <c r="R1238" i="15"/>
  <c r="S1238" i="15"/>
  <c r="R1239" i="15"/>
  <c r="S1239" i="15"/>
  <c r="R1240" i="15"/>
  <c r="S1240" i="15"/>
  <c r="R1241" i="15"/>
  <c r="S1241" i="15"/>
  <c r="R1242" i="15"/>
  <c r="S1242" i="15"/>
  <c r="R1243" i="15"/>
  <c r="S1243" i="15"/>
  <c r="R1244" i="15"/>
  <c r="S1244" i="15"/>
  <c r="R1245" i="15"/>
  <c r="S1245" i="15"/>
  <c r="R1246" i="15"/>
  <c r="S1246" i="15"/>
  <c r="R1247" i="15"/>
  <c r="S1247" i="15"/>
  <c r="R1248" i="15"/>
  <c r="S1248" i="15"/>
  <c r="R1249" i="15"/>
  <c r="S1249" i="15"/>
  <c r="R1250" i="15"/>
  <c r="S1250" i="15"/>
  <c r="R1251" i="15"/>
  <c r="S1251" i="15"/>
  <c r="R1252" i="15"/>
  <c r="S1252" i="15"/>
  <c r="R1253" i="15"/>
  <c r="S1253" i="15"/>
  <c r="R1254" i="15"/>
  <c r="S1254" i="15"/>
  <c r="R1255" i="15"/>
  <c r="S1255" i="15"/>
  <c r="R1256" i="15"/>
  <c r="S1256" i="15"/>
  <c r="R1257" i="15"/>
  <c r="S1257" i="15"/>
  <c r="R1258" i="15"/>
  <c r="S1258" i="15"/>
  <c r="R1259" i="15"/>
  <c r="S1259" i="15"/>
  <c r="R1260" i="15"/>
  <c r="S1260" i="15"/>
  <c r="R1261" i="15"/>
  <c r="S1261" i="15"/>
  <c r="R1262" i="15"/>
  <c r="S1262" i="15"/>
  <c r="R1263" i="15"/>
  <c r="S1263" i="15"/>
  <c r="R1264" i="15"/>
  <c r="S1264" i="15"/>
  <c r="R1265" i="15"/>
  <c r="S1265" i="15"/>
  <c r="R1266" i="15"/>
  <c r="S1266" i="15"/>
  <c r="R1267" i="15"/>
  <c r="S1267" i="15"/>
  <c r="R1268" i="15"/>
  <c r="S1268" i="15"/>
  <c r="R1269" i="15"/>
  <c r="S1269" i="15"/>
  <c r="R1270" i="15"/>
  <c r="S1270" i="15"/>
  <c r="R1271" i="15"/>
  <c r="S1271" i="15"/>
  <c r="R1272" i="15"/>
  <c r="S1272" i="15"/>
  <c r="R1273" i="15"/>
  <c r="S1273" i="15"/>
  <c r="R1274" i="15"/>
  <c r="S1274" i="15"/>
  <c r="R1275" i="15"/>
  <c r="S1275" i="15"/>
  <c r="R1276" i="15"/>
  <c r="S1276" i="15"/>
  <c r="R1277" i="15"/>
  <c r="S1277" i="15"/>
  <c r="R1278" i="15"/>
  <c r="S1278" i="15"/>
  <c r="R1279" i="15"/>
  <c r="S1279" i="15"/>
  <c r="R1280" i="15"/>
  <c r="S1280" i="15"/>
  <c r="R1281" i="15"/>
  <c r="S1281" i="15"/>
  <c r="R1282" i="15"/>
  <c r="S1282" i="15"/>
  <c r="R1283" i="15"/>
  <c r="S1283" i="15"/>
  <c r="R1284" i="15"/>
  <c r="S1284" i="15"/>
  <c r="R1285" i="15"/>
  <c r="S1285" i="15"/>
  <c r="R1286" i="15"/>
  <c r="S1286" i="15"/>
  <c r="R1287" i="15"/>
  <c r="S1287" i="15"/>
  <c r="R1288" i="15"/>
  <c r="S1288" i="15"/>
  <c r="R1289" i="15"/>
  <c r="S1289" i="15"/>
  <c r="R1290" i="15"/>
  <c r="S1290" i="15"/>
  <c r="R1291" i="15"/>
  <c r="S1291" i="15"/>
  <c r="R1292" i="15"/>
  <c r="S1292" i="15"/>
  <c r="R1293" i="15"/>
  <c r="S1293" i="15"/>
  <c r="R1294" i="15"/>
  <c r="S1294" i="15"/>
  <c r="R1295" i="15"/>
  <c r="S1295" i="15"/>
  <c r="R1296" i="15"/>
  <c r="S1296" i="15"/>
  <c r="R1297" i="15"/>
  <c r="S1297" i="15"/>
  <c r="R1298" i="15"/>
  <c r="S1298" i="15"/>
  <c r="R1299" i="15"/>
  <c r="S1299" i="15"/>
  <c r="R1300" i="15"/>
  <c r="S1300" i="15"/>
  <c r="R1301" i="15"/>
  <c r="S1301" i="15"/>
  <c r="R1302" i="15"/>
  <c r="S1302" i="15"/>
  <c r="R1303" i="15"/>
  <c r="S1303" i="15"/>
  <c r="R1304" i="15"/>
  <c r="S1304" i="15"/>
  <c r="R1305" i="15"/>
  <c r="S1305" i="15"/>
  <c r="R1306" i="15"/>
  <c r="S1306" i="15"/>
  <c r="R1307" i="15"/>
  <c r="S1307" i="15"/>
  <c r="R1308" i="15"/>
  <c r="S1308" i="15"/>
  <c r="R1309" i="15"/>
  <c r="S1309" i="15"/>
  <c r="R1310" i="15"/>
  <c r="S1310" i="15"/>
  <c r="R1311" i="15"/>
  <c r="S1311" i="15"/>
  <c r="R1312" i="15"/>
  <c r="S1312" i="15"/>
  <c r="R1313" i="15"/>
  <c r="S1313" i="15"/>
  <c r="R1314" i="15"/>
  <c r="S1314" i="15"/>
  <c r="R1315" i="15"/>
  <c r="S1315" i="15"/>
  <c r="R1316" i="15"/>
  <c r="S1316" i="15"/>
  <c r="R1317" i="15"/>
  <c r="S1317" i="15"/>
  <c r="R1318" i="15"/>
  <c r="S1318" i="15"/>
  <c r="R1319" i="15"/>
  <c r="S1319" i="15"/>
  <c r="R1320" i="15"/>
  <c r="S1320" i="15"/>
  <c r="R1321" i="15"/>
  <c r="S1321" i="15"/>
  <c r="R1322" i="15"/>
  <c r="S1322" i="15"/>
  <c r="R1323" i="15"/>
  <c r="S1323" i="15"/>
  <c r="R1324" i="15"/>
  <c r="S1324" i="15"/>
  <c r="R1325" i="15"/>
  <c r="S1325" i="15"/>
  <c r="R1326" i="15"/>
  <c r="S1326" i="15"/>
  <c r="R1327" i="15"/>
  <c r="S1327" i="15"/>
  <c r="R1328" i="15"/>
  <c r="S1328" i="15"/>
  <c r="R1329" i="15"/>
  <c r="S1329" i="15"/>
  <c r="R1330" i="15"/>
  <c r="S1330" i="15"/>
  <c r="R1331" i="15"/>
  <c r="S1331" i="15"/>
  <c r="R1332" i="15"/>
  <c r="S1332" i="15"/>
  <c r="R1333" i="15"/>
  <c r="S1333" i="15"/>
  <c r="R1334" i="15"/>
  <c r="S1334" i="15"/>
  <c r="R1335" i="15"/>
  <c r="S1335" i="15"/>
  <c r="R1336" i="15"/>
  <c r="S1336" i="15"/>
  <c r="R1337" i="15"/>
  <c r="S1337" i="15"/>
  <c r="R1338" i="15"/>
  <c r="S1338" i="15"/>
  <c r="R1339" i="15"/>
  <c r="S1339" i="15"/>
  <c r="R1340" i="15"/>
  <c r="S1340" i="15"/>
  <c r="R1341" i="15"/>
  <c r="S1341" i="15"/>
  <c r="R1342" i="15"/>
  <c r="S1342" i="15"/>
  <c r="R1343" i="15"/>
  <c r="S1343" i="15"/>
  <c r="R1344" i="15"/>
  <c r="S1344" i="15"/>
  <c r="R1345" i="15"/>
  <c r="S1345" i="15"/>
  <c r="R1346" i="15"/>
  <c r="S1346" i="15"/>
  <c r="R1347" i="15"/>
  <c r="S1347" i="15"/>
  <c r="R1348" i="15"/>
  <c r="S1348" i="15"/>
  <c r="R1349" i="15"/>
  <c r="S1349" i="15"/>
  <c r="R1350" i="15"/>
  <c r="S1350" i="15"/>
  <c r="R1351" i="15"/>
  <c r="S1351" i="15"/>
  <c r="R1352" i="15"/>
  <c r="S1352" i="15"/>
  <c r="R1353" i="15"/>
  <c r="S1353" i="15"/>
  <c r="R1354" i="15"/>
  <c r="S1354" i="15"/>
  <c r="R1355" i="15"/>
  <c r="S1355" i="15"/>
  <c r="R1356" i="15"/>
  <c r="S1356" i="15"/>
  <c r="R1357" i="15"/>
  <c r="S1357" i="15"/>
  <c r="R1358" i="15"/>
  <c r="S1358" i="15"/>
  <c r="R1359" i="15"/>
  <c r="S1359" i="15"/>
  <c r="R1360" i="15"/>
  <c r="S1360" i="15"/>
  <c r="R1361" i="15"/>
  <c r="S1361" i="15"/>
  <c r="R1362" i="15"/>
  <c r="S1362" i="15"/>
  <c r="R1363" i="15"/>
  <c r="S1363" i="15"/>
  <c r="R1364" i="15"/>
  <c r="S1364" i="15"/>
  <c r="R1365" i="15"/>
  <c r="S1365" i="15"/>
  <c r="R1366" i="15"/>
  <c r="S1366" i="15"/>
  <c r="R1367" i="15"/>
  <c r="S1367" i="15"/>
  <c r="R1368" i="15"/>
  <c r="S1368" i="15"/>
  <c r="R1369" i="15"/>
  <c r="S1369" i="15"/>
  <c r="R1370" i="15"/>
  <c r="S1370" i="15"/>
  <c r="R1371" i="15"/>
  <c r="S1371" i="15"/>
  <c r="R1372" i="15"/>
  <c r="S1372" i="15"/>
  <c r="R1373" i="15"/>
  <c r="S1373" i="15"/>
  <c r="R1374" i="15"/>
  <c r="S1374" i="15"/>
  <c r="R1375" i="15"/>
  <c r="S1375" i="15"/>
  <c r="R1376" i="15"/>
  <c r="S1376" i="15"/>
  <c r="R1377" i="15"/>
  <c r="S1377" i="15"/>
  <c r="R1378" i="15"/>
  <c r="S1378" i="15"/>
  <c r="R1379" i="15"/>
  <c r="S1379" i="15"/>
  <c r="R1380" i="15"/>
  <c r="S1380" i="15"/>
  <c r="R1381" i="15"/>
  <c r="S1381" i="15"/>
  <c r="R1382" i="15"/>
  <c r="S1382" i="15"/>
  <c r="R1383" i="15"/>
  <c r="S1383" i="15"/>
  <c r="R1384" i="15"/>
  <c r="S1384" i="15"/>
  <c r="R1385" i="15"/>
  <c r="S1385" i="15"/>
  <c r="R1386" i="15"/>
  <c r="S1386" i="15"/>
  <c r="R1387" i="15"/>
  <c r="S1387" i="15"/>
  <c r="R1388" i="15"/>
  <c r="S1388" i="15"/>
  <c r="R1389" i="15"/>
  <c r="S1389" i="15"/>
  <c r="R1390" i="15"/>
  <c r="S1390" i="15"/>
  <c r="R1391" i="15"/>
  <c r="S1391" i="15"/>
  <c r="R1392" i="15"/>
  <c r="S1392" i="15"/>
  <c r="R1393" i="15"/>
  <c r="S1393" i="15"/>
  <c r="R1394" i="15"/>
  <c r="S1394" i="15"/>
  <c r="R1395" i="15"/>
  <c r="S1395" i="15"/>
  <c r="R1396" i="15"/>
  <c r="S1396" i="15"/>
  <c r="R1397" i="15"/>
  <c r="S1397" i="15"/>
  <c r="R1398" i="15"/>
  <c r="S1398" i="15"/>
  <c r="R1399" i="15"/>
  <c r="S1399" i="15"/>
  <c r="R1400" i="15"/>
  <c r="S1400" i="15"/>
  <c r="R1401" i="15"/>
  <c r="S1401" i="15"/>
  <c r="R1402" i="15"/>
  <c r="S1402" i="15"/>
  <c r="R1403" i="15"/>
  <c r="S1403" i="15"/>
  <c r="R1404" i="15"/>
  <c r="S1404" i="15"/>
  <c r="R1405" i="15"/>
  <c r="S1405" i="15"/>
  <c r="R1406" i="15"/>
  <c r="S1406" i="15"/>
  <c r="R1407" i="15"/>
  <c r="S1407" i="15"/>
  <c r="R1408" i="15"/>
  <c r="S1408" i="15"/>
  <c r="R1409" i="15"/>
  <c r="S1409" i="15"/>
  <c r="R1410" i="15"/>
  <c r="S1410" i="15"/>
  <c r="R1411" i="15"/>
  <c r="S1411" i="15"/>
  <c r="R1412" i="15"/>
  <c r="S1412" i="15"/>
  <c r="R1413" i="15"/>
  <c r="S1413" i="15"/>
  <c r="R1414" i="15"/>
  <c r="S1414" i="15"/>
  <c r="R1415" i="15"/>
  <c r="S1415" i="15"/>
  <c r="R1416" i="15"/>
  <c r="S1416" i="15"/>
  <c r="R1417" i="15"/>
  <c r="S1417" i="15"/>
  <c r="R1418" i="15"/>
  <c r="S1418" i="15"/>
  <c r="R1419" i="15"/>
  <c r="S1419" i="15"/>
  <c r="R1420" i="15"/>
  <c r="S1420" i="15"/>
  <c r="R1421" i="15"/>
  <c r="S1421" i="15"/>
  <c r="R1422" i="15"/>
  <c r="S1422" i="15"/>
  <c r="R1423" i="15"/>
  <c r="S1423" i="15"/>
  <c r="R1424" i="15"/>
  <c r="S1424" i="15"/>
  <c r="R1425" i="15"/>
  <c r="S1425" i="15"/>
  <c r="R1426" i="15"/>
  <c r="S1426" i="15"/>
  <c r="R1427" i="15"/>
  <c r="S1427" i="15"/>
  <c r="R1428" i="15"/>
  <c r="S1428" i="15"/>
  <c r="R1429" i="15"/>
  <c r="S1429" i="15"/>
  <c r="R1430" i="15"/>
  <c r="S1430" i="15"/>
  <c r="R1431" i="15"/>
  <c r="S1431" i="15"/>
  <c r="R1432" i="15"/>
  <c r="S1432" i="15"/>
  <c r="R1433" i="15"/>
  <c r="S1433" i="15"/>
  <c r="R1434" i="15"/>
  <c r="S1434" i="15"/>
  <c r="R1435" i="15"/>
  <c r="S1435" i="15"/>
  <c r="R1436" i="15"/>
  <c r="S1436" i="15"/>
  <c r="R1437" i="15"/>
  <c r="S1437" i="15"/>
  <c r="R1438" i="15"/>
  <c r="S1438" i="15"/>
  <c r="R1439" i="15"/>
  <c r="S1439" i="15"/>
  <c r="R1440" i="15"/>
  <c r="S1440" i="15"/>
  <c r="R1441" i="15"/>
  <c r="S1441" i="15"/>
  <c r="R1442" i="15"/>
  <c r="S1442" i="15"/>
  <c r="R1443" i="15"/>
  <c r="S1443" i="15"/>
  <c r="R1444" i="15"/>
  <c r="S1444" i="15"/>
  <c r="R1445" i="15"/>
  <c r="S1445" i="15"/>
  <c r="R1446" i="15"/>
  <c r="S1446" i="15"/>
  <c r="R1447" i="15"/>
  <c r="S1447" i="15"/>
  <c r="R1448" i="15"/>
  <c r="S1448" i="15"/>
  <c r="R1449" i="15"/>
  <c r="S1449" i="15"/>
  <c r="R1450" i="15"/>
  <c r="S1450" i="15"/>
  <c r="R1451" i="15"/>
  <c r="S1451" i="15"/>
  <c r="R1452" i="15"/>
  <c r="S1452" i="15"/>
  <c r="R1453" i="15"/>
  <c r="S1453" i="15"/>
  <c r="R1454" i="15"/>
  <c r="S1454" i="15"/>
  <c r="R1455" i="15"/>
  <c r="S1455" i="15"/>
  <c r="R1456" i="15"/>
  <c r="S1456" i="15"/>
  <c r="R1457" i="15"/>
  <c r="S1457" i="15"/>
  <c r="R1458" i="15"/>
  <c r="S1458" i="15"/>
  <c r="R1459" i="15"/>
  <c r="S1459" i="15"/>
  <c r="R1460" i="15"/>
  <c r="S1460" i="15"/>
  <c r="R1461" i="15"/>
  <c r="S1461" i="15"/>
  <c r="R1462" i="15"/>
  <c r="S1462" i="15"/>
  <c r="R1463" i="15"/>
  <c r="S1463" i="15"/>
  <c r="R1464" i="15"/>
  <c r="S1464" i="15"/>
  <c r="R1465" i="15"/>
  <c r="S1465" i="15"/>
  <c r="R1466" i="15"/>
  <c r="S1466" i="15"/>
  <c r="R1467" i="15"/>
  <c r="S1467" i="15"/>
  <c r="R1468" i="15"/>
  <c r="S1468" i="15"/>
  <c r="R1469" i="15"/>
  <c r="S1469" i="15"/>
  <c r="R1470" i="15"/>
  <c r="S1470" i="15"/>
  <c r="R1471" i="15"/>
  <c r="S1471" i="15"/>
  <c r="R1472" i="15"/>
  <c r="S1472" i="15"/>
  <c r="R1473" i="15"/>
  <c r="S1473" i="15"/>
  <c r="R1474" i="15"/>
  <c r="S1474" i="15"/>
  <c r="R1475" i="15"/>
  <c r="S1475" i="15"/>
  <c r="R1476" i="15"/>
  <c r="S1476" i="15"/>
  <c r="R1477" i="15"/>
  <c r="S1477" i="15"/>
  <c r="R1478" i="15"/>
  <c r="S1478" i="15"/>
  <c r="R1479" i="15"/>
  <c r="S1479" i="15"/>
  <c r="R1480" i="15"/>
  <c r="S1480" i="15"/>
  <c r="R1481" i="15"/>
  <c r="S1481" i="15"/>
  <c r="R1482" i="15"/>
  <c r="S1482" i="15"/>
  <c r="R1483" i="15"/>
  <c r="S1483" i="15"/>
  <c r="R1484" i="15"/>
  <c r="S1484" i="15"/>
  <c r="R1485" i="15"/>
  <c r="S1485" i="15"/>
  <c r="R1486" i="15"/>
  <c r="S1486" i="15"/>
  <c r="R1487" i="15"/>
  <c r="S1487" i="15"/>
  <c r="R1488" i="15"/>
  <c r="S1488" i="15"/>
  <c r="R1489" i="15"/>
  <c r="S1489" i="15"/>
  <c r="R1490" i="15"/>
  <c r="S1490" i="15"/>
  <c r="R1491" i="15"/>
  <c r="S1491" i="15"/>
  <c r="R1492" i="15"/>
  <c r="S1492" i="15"/>
  <c r="R1493" i="15"/>
  <c r="S1493" i="15"/>
  <c r="R1494" i="15"/>
  <c r="S1494" i="15"/>
  <c r="R1495" i="15"/>
  <c r="S1495" i="15"/>
  <c r="R1496" i="15"/>
  <c r="S1496" i="15"/>
  <c r="R1497" i="15"/>
  <c r="S1497" i="15"/>
  <c r="R1498" i="15"/>
  <c r="S1498" i="15"/>
  <c r="R1499" i="15"/>
  <c r="S1499" i="15"/>
  <c r="R1500" i="15"/>
  <c r="S1500" i="15"/>
  <c r="R1501" i="15"/>
  <c r="S1501" i="15"/>
  <c r="R1502" i="15"/>
  <c r="S1502" i="15"/>
  <c r="R1503" i="15"/>
  <c r="S1503" i="15"/>
  <c r="R1504" i="15"/>
  <c r="S1504" i="15"/>
  <c r="R1505" i="15"/>
  <c r="S1505" i="15"/>
  <c r="R1506" i="15"/>
  <c r="S1506" i="15"/>
  <c r="R1507" i="15"/>
  <c r="S1507" i="15"/>
  <c r="R1508" i="15"/>
  <c r="S1508" i="15"/>
  <c r="R1509" i="15"/>
  <c r="S1509" i="15"/>
  <c r="R1510" i="15"/>
  <c r="S1510" i="15"/>
  <c r="R1511" i="15"/>
  <c r="S1511" i="15"/>
  <c r="R1512" i="15"/>
  <c r="S1512" i="15"/>
  <c r="R1513" i="15"/>
  <c r="S1513" i="15"/>
  <c r="R1514" i="15"/>
  <c r="S1514" i="15"/>
  <c r="R1515" i="15"/>
  <c r="S1515" i="15"/>
  <c r="R1516" i="15"/>
  <c r="S1516" i="15"/>
  <c r="R1517" i="15"/>
  <c r="S1517" i="15"/>
  <c r="R1518" i="15"/>
  <c r="S1518" i="15"/>
  <c r="R1519" i="15"/>
  <c r="S1519" i="15"/>
  <c r="R1520" i="15"/>
  <c r="S1520" i="15"/>
  <c r="R1521" i="15"/>
  <c r="S1521" i="15"/>
  <c r="R1522" i="15"/>
  <c r="S1522" i="15"/>
  <c r="R1523" i="15"/>
  <c r="S1523" i="15"/>
  <c r="R1524" i="15"/>
  <c r="S1524" i="15"/>
  <c r="R1525" i="15"/>
  <c r="S1525" i="15"/>
  <c r="R1526" i="15"/>
  <c r="S1526" i="15"/>
  <c r="R1527" i="15"/>
  <c r="S1527" i="15"/>
  <c r="R1528" i="15"/>
  <c r="S1528" i="15"/>
  <c r="R1529" i="15"/>
  <c r="S1529" i="15"/>
  <c r="R1530" i="15"/>
  <c r="S1530" i="15"/>
  <c r="R1531" i="15"/>
  <c r="S1531" i="15"/>
  <c r="R1532" i="15"/>
  <c r="S1532" i="15"/>
  <c r="R1533" i="15"/>
  <c r="S1533" i="15"/>
  <c r="R1534" i="15"/>
  <c r="S1534" i="15"/>
  <c r="R1535" i="15"/>
  <c r="S1535" i="15"/>
  <c r="R1536" i="15"/>
  <c r="S1536" i="15"/>
  <c r="R1537" i="15"/>
  <c r="S1537" i="15"/>
  <c r="R1538" i="15"/>
  <c r="S1538" i="15"/>
  <c r="R1539" i="15"/>
  <c r="S1539" i="15"/>
  <c r="R1540" i="15"/>
  <c r="S1540" i="15"/>
  <c r="R1541" i="15"/>
  <c r="S1541" i="15"/>
  <c r="R1542" i="15"/>
  <c r="S1542" i="15"/>
  <c r="R1543" i="15"/>
  <c r="S1543" i="15"/>
  <c r="R1544" i="15"/>
  <c r="S1544" i="15"/>
  <c r="R1545" i="15"/>
  <c r="S1545" i="15"/>
  <c r="R1546" i="15"/>
  <c r="S1546" i="15"/>
  <c r="R1547" i="15"/>
  <c r="S1547" i="15"/>
  <c r="R1548" i="15"/>
  <c r="S1548" i="15"/>
  <c r="R1549" i="15"/>
  <c r="S1549" i="15"/>
  <c r="R1550" i="15"/>
  <c r="S1550" i="15"/>
  <c r="R1551" i="15"/>
  <c r="S1551" i="15"/>
  <c r="R1552" i="15"/>
  <c r="S1552" i="15"/>
  <c r="R1553" i="15"/>
  <c r="S1553" i="15"/>
  <c r="R1554" i="15"/>
  <c r="S1554" i="15"/>
  <c r="R1555" i="15"/>
  <c r="S1555" i="15"/>
  <c r="R1556" i="15"/>
  <c r="S1556" i="15"/>
  <c r="R1557" i="15"/>
  <c r="S1557" i="15"/>
  <c r="R1558" i="15"/>
  <c r="S1558" i="15"/>
  <c r="R1559" i="15"/>
  <c r="S1559" i="15"/>
  <c r="R1560" i="15"/>
  <c r="S1560" i="15"/>
  <c r="R1561" i="15"/>
  <c r="S1561" i="15"/>
  <c r="R1562" i="15"/>
  <c r="S1562" i="15"/>
  <c r="R1563" i="15"/>
  <c r="S1563" i="15"/>
  <c r="R1564" i="15"/>
  <c r="S1564" i="15"/>
  <c r="R1565" i="15"/>
  <c r="S1565" i="15"/>
  <c r="R1566" i="15"/>
  <c r="S1566" i="15"/>
  <c r="R1567" i="15"/>
  <c r="S1567" i="15"/>
  <c r="R1568" i="15"/>
  <c r="S1568" i="15"/>
  <c r="R1569" i="15"/>
  <c r="S1569" i="15"/>
  <c r="R1570" i="15"/>
  <c r="S1570" i="15"/>
  <c r="R1571" i="15"/>
  <c r="S1571" i="15"/>
  <c r="R1572" i="15"/>
  <c r="S1572" i="15"/>
  <c r="R1573" i="15"/>
  <c r="S1573" i="15"/>
  <c r="R1574" i="15"/>
  <c r="S1574" i="15"/>
  <c r="R1575" i="15"/>
  <c r="S1575" i="15"/>
  <c r="R1576" i="15"/>
  <c r="S1576" i="15"/>
  <c r="R1577" i="15"/>
  <c r="S1577" i="15"/>
  <c r="R1578" i="15"/>
  <c r="S1578" i="15"/>
  <c r="R1579" i="15"/>
  <c r="S1579" i="15"/>
  <c r="R1580" i="15"/>
  <c r="S1580" i="15"/>
  <c r="R1581" i="15"/>
  <c r="S1581" i="15"/>
  <c r="R1582" i="15"/>
  <c r="S1582" i="15"/>
  <c r="R1583" i="15"/>
  <c r="S1583" i="15"/>
  <c r="R1584" i="15"/>
  <c r="S1584" i="15"/>
  <c r="R1585" i="15"/>
  <c r="S1585" i="15"/>
  <c r="R1586" i="15"/>
  <c r="S1586" i="15"/>
  <c r="R1587" i="15"/>
  <c r="S1587" i="15"/>
  <c r="R1588" i="15"/>
  <c r="S1588" i="15"/>
  <c r="R1589" i="15"/>
  <c r="S1589" i="15"/>
  <c r="R1590" i="15"/>
  <c r="S1590" i="15"/>
  <c r="R1591" i="15"/>
  <c r="S1591" i="15"/>
  <c r="R1592" i="15"/>
  <c r="S1592" i="15"/>
  <c r="R1593" i="15"/>
  <c r="S1593" i="15"/>
  <c r="R1594" i="15"/>
  <c r="S1594" i="15"/>
  <c r="R1595" i="15"/>
  <c r="S1595" i="15"/>
  <c r="R1596" i="15"/>
  <c r="S1596" i="15"/>
  <c r="R1597" i="15"/>
  <c r="S1597" i="15"/>
  <c r="R1598" i="15"/>
  <c r="S1598" i="15"/>
  <c r="R1599" i="15"/>
  <c r="S1599" i="15"/>
  <c r="R1600" i="15"/>
  <c r="S1600" i="15"/>
  <c r="R1601" i="15"/>
  <c r="S1601" i="15"/>
  <c r="R1602" i="15"/>
  <c r="S1602" i="15"/>
  <c r="R1603" i="15"/>
  <c r="S1603" i="15"/>
  <c r="R1604" i="15"/>
  <c r="S1604" i="15"/>
  <c r="R1605" i="15"/>
  <c r="S1605" i="15"/>
  <c r="R1606" i="15"/>
  <c r="S1606" i="15"/>
  <c r="R1607" i="15"/>
  <c r="S1607" i="15"/>
  <c r="R1608" i="15"/>
  <c r="S1608" i="15"/>
  <c r="R1609" i="15"/>
  <c r="S1609" i="15"/>
  <c r="R1610" i="15"/>
  <c r="S1610" i="15"/>
  <c r="R1611" i="15"/>
  <c r="S1611" i="15"/>
  <c r="R1612" i="15"/>
  <c r="S1612" i="15"/>
  <c r="R1613" i="15"/>
  <c r="S1613" i="15"/>
  <c r="R1614" i="15"/>
  <c r="S1614" i="15"/>
  <c r="R1615" i="15"/>
  <c r="S1615" i="15"/>
  <c r="R1616" i="15"/>
  <c r="S1616" i="15"/>
  <c r="R1617" i="15"/>
  <c r="S1617" i="15"/>
  <c r="R1618" i="15"/>
  <c r="S1618" i="15"/>
  <c r="R1619" i="15"/>
  <c r="S1619" i="15"/>
  <c r="R1620" i="15"/>
  <c r="S1620" i="15"/>
  <c r="R1621" i="15"/>
  <c r="S1621" i="15"/>
  <c r="R1622" i="15"/>
  <c r="S1622" i="15"/>
  <c r="R1623" i="15"/>
  <c r="S1623" i="15"/>
  <c r="R1624" i="15"/>
  <c r="S1624" i="15"/>
  <c r="R1625" i="15"/>
  <c r="S1625" i="15"/>
  <c r="R1626" i="15"/>
  <c r="S1626" i="15"/>
  <c r="R1627" i="15"/>
  <c r="S1627" i="15"/>
  <c r="R1628" i="15"/>
  <c r="S1628" i="15"/>
  <c r="R1629" i="15"/>
  <c r="S1629" i="15"/>
  <c r="R1630" i="15"/>
  <c r="S1630" i="15"/>
  <c r="R1631" i="15"/>
  <c r="S1631" i="15"/>
  <c r="R1632" i="15"/>
  <c r="S1632" i="15"/>
  <c r="R1633" i="15"/>
  <c r="S1633" i="15"/>
  <c r="R1634" i="15"/>
  <c r="S1634" i="15"/>
  <c r="R1635" i="15"/>
  <c r="S1635" i="15"/>
  <c r="R1636" i="15"/>
  <c r="S1636" i="15"/>
  <c r="R1637" i="15"/>
  <c r="S1637" i="15"/>
  <c r="R1638" i="15"/>
  <c r="S1638" i="15"/>
  <c r="R1639" i="15"/>
  <c r="S1639" i="15"/>
  <c r="R1640" i="15"/>
  <c r="S1640" i="15"/>
  <c r="R1641" i="15"/>
  <c r="S1641" i="15"/>
  <c r="R1642" i="15"/>
  <c r="S1642" i="15"/>
  <c r="R1643" i="15"/>
  <c r="S1643" i="15"/>
  <c r="R1644" i="15"/>
  <c r="S1644" i="15"/>
  <c r="R1645" i="15"/>
  <c r="S1645" i="15"/>
  <c r="R1646" i="15"/>
  <c r="S1646" i="15"/>
  <c r="R1647" i="15"/>
  <c r="S1647" i="15"/>
  <c r="R1648" i="15"/>
  <c r="S1648" i="15"/>
  <c r="R1649" i="15"/>
  <c r="S1649" i="15"/>
  <c r="R1650" i="15"/>
  <c r="S1650" i="15"/>
  <c r="R1651" i="15"/>
  <c r="S1651" i="15"/>
  <c r="R1652" i="15"/>
  <c r="S1652" i="15"/>
  <c r="R1653" i="15"/>
  <c r="S1653" i="15"/>
  <c r="R1654" i="15"/>
  <c r="S1654" i="15"/>
  <c r="R1655" i="15"/>
  <c r="S1655" i="15"/>
  <c r="R1656" i="15"/>
  <c r="S1656" i="15"/>
  <c r="R1657" i="15"/>
  <c r="S1657" i="15"/>
  <c r="R1658" i="15"/>
  <c r="S1658" i="15"/>
  <c r="R1659" i="15"/>
  <c r="S1659" i="15"/>
  <c r="R1660" i="15"/>
  <c r="S1660" i="15"/>
  <c r="R1661" i="15"/>
  <c r="S1661" i="15"/>
  <c r="R1662" i="15"/>
  <c r="S1662" i="15"/>
  <c r="R1663" i="15"/>
  <c r="S1663" i="15"/>
  <c r="R1664" i="15"/>
  <c r="S1664" i="15"/>
  <c r="R1665" i="15"/>
  <c r="S1665" i="15"/>
  <c r="R1666" i="15"/>
  <c r="S1666" i="15"/>
  <c r="R1667" i="15"/>
  <c r="S1667" i="15"/>
  <c r="R1668" i="15"/>
  <c r="S1668" i="15"/>
  <c r="R1669" i="15"/>
  <c r="S1669" i="15"/>
  <c r="R1670" i="15"/>
  <c r="S1670" i="15"/>
  <c r="R1671" i="15"/>
  <c r="S1671" i="15"/>
  <c r="R1672" i="15"/>
  <c r="S1672" i="15"/>
  <c r="R1673" i="15"/>
  <c r="S1673" i="15"/>
  <c r="R1674" i="15"/>
  <c r="S1674" i="15"/>
  <c r="R1675" i="15"/>
  <c r="S1675" i="15"/>
  <c r="R1676" i="15"/>
  <c r="S1676" i="15"/>
  <c r="R1677" i="15"/>
  <c r="S1677" i="15"/>
  <c r="R1678" i="15"/>
  <c r="S1678" i="15"/>
  <c r="R1679" i="15"/>
  <c r="S1679" i="15"/>
  <c r="R1680" i="15"/>
  <c r="S1680" i="15"/>
  <c r="R1681" i="15"/>
  <c r="S1681" i="15"/>
  <c r="R1682" i="15"/>
  <c r="S1682" i="15"/>
  <c r="R1683" i="15"/>
  <c r="S1683" i="15"/>
  <c r="R1684" i="15"/>
  <c r="S1684" i="15"/>
  <c r="R1685" i="15"/>
  <c r="S1685" i="15"/>
  <c r="R1686" i="15"/>
  <c r="S1686" i="15"/>
  <c r="R1687" i="15"/>
  <c r="S1687" i="15"/>
  <c r="R1688" i="15"/>
  <c r="S1688" i="15"/>
  <c r="R1689" i="15"/>
  <c r="S1689" i="15"/>
  <c r="R1690" i="15"/>
  <c r="S1690" i="15"/>
  <c r="R1691" i="15"/>
  <c r="S1691" i="15"/>
  <c r="R1692" i="15"/>
  <c r="S1692" i="15"/>
  <c r="R1693" i="15"/>
  <c r="S1693" i="15"/>
  <c r="R1694" i="15"/>
  <c r="S1694" i="15"/>
  <c r="R1695" i="15"/>
  <c r="S1695" i="15"/>
  <c r="R1696" i="15"/>
  <c r="S1696" i="15"/>
  <c r="R1697" i="15"/>
  <c r="S1697" i="15"/>
  <c r="R1698" i="15"/>
  <c r="S1698" i="15"/>
  <c r="R1699" i="15"/>
  <c r="S1699" i="15"/>
  <c r="R1700" i="15"/>
  <c r="S1700" i="15"/>
  <c r="R1701" i="15"/>
  <c r="S1701" i="15"/>
  <c r="R1702" i="15"/>
  <c r="S1702" i="15"/>
  <c r="R1703" i="15"/>
  <c r="S1703" i="15"/>
  <c r="R1704" i="15"/>
  <c r="S1704" i="15"/>
  <c r="R1705" i="15"/>
  <c r="S1705" i="15"/>
  <c r="R1706" i="15"/>
  <c r="S1706" i="15"/>
  <c r="R1707" i="15"/>
  <c r="S1707" i="15"/>
  <c r="R1708" i="15"/>
  <c r="S1708" i="15"/>
  <c r="R1709" i="15"/>
  <c r="S1709" i="15"/>
  <c r="R1710" i="15"/>
  <c r="S1710" i="15"/>
  <c r="R1711" i="15"/>
  <c r="S1711" i="15"/>
  <c r="R1712" i="15"/>
  <c r="S1712" i="15"/>
  <c r="R1713" i="15"/>
  <c r="S1713" i="15"/>
  <c r="R1714" i="15"/>
  <c r="S1714" i="15"/>
  <c r="R1715" i="15"/>
  <c r="S1715" i="15"/>
  <c r="R1716" i="15"/>
  <c r="S1716" i="15"/>
  <c r="R1717" i="15"/>
  <c r="S1717" i="15"/>
  <c r="R1718" i="15"/>
  <c r="S1718" i="15"/>
  <c r="R1719" i="15"/>
  <c r="S1719" i="15"/>
  <c r="R1720" i="15"/>
  <c r="S1720" i="15"/>
  <c r="R1721" i="15"/>
  <c r="S1721" i="15"/>
  <c r="R1722" i="15"/>
  <c r="S1722" i="15"/>
  <c r="R1723" i="15"/>
  <c r="S1723" i="15"/>
  <c r="R1724" i="15"/>
  <c r="S1724" i="15"/>
  <c r="R1725" i="15"/>
  <c r="S1725" i="15"/>
  <c r="R1726" i="15"/>
  <c r="S1726" i="15"/>
  <c r="R1727" i="15"/>
  <c r="S1727" i="15"/>
  <c r="R1728" i="15"/>
  <c r="S1728" i="15"/>
  <c r="R1729" i="15"/>
  <c r="S1729" i="15"/>
  <c r="R1730" i="15"/>
  <c r="S1730" i="15"/>
  <c r="R1731" i="15"/>
  <c r="S1731" i="15"/>
  <c r="R1732" i="15"/>
  <c r="S1732" i="15"/>
  <c r="R1733" i="15"/>
  <c r="S1733" i="15"/>
  <c r="R1734" i="15"/>
  <c r="S1734" i="15"/>
  <c r="R1735" i="15"/>
  <c r="S1735" i="15"/>
  <c r="R1736" i="15"/>
  <c r="S1736" i="15"/>
  <c r="R1737" i="15"/>
  <c r="S1737" i="15"/>
  <c r="R1738" i="15"/>
  <c r="S1738" i="15"/>
  <c r="R1739" i="15"/>
  <c r="S1739" i="15"/>
  <c r="R1740" i="15"/>
  <c r="S1740" i="15"/>
  <c r="R1741" i="15"/>
  <c r="S1741" i="15"/>
  <c r="R1742" i="15"/>
  <c r="S1742" i="15"/>
  <c r="R1743" i="15"/>
  <c r="S1743" i="15"/>
  <c r="R1744" i="15"/>
  <c r="S1744" i="15"/>
  <c r="R1745" i="15"/>
  <c r="S1745" i="15"/>
  <c r="R1746" i="15"/>
  <c r="S1746" i="15"/>
  <c r="R1747" i="15"/>
  <c r="S1747" i="15"/>
  <c r="R1748" i="15"/>
  <c r="S1748" i="15"/>
  <c r="R1749" i="15"/>
  <c r="S1749" i="15"/>
  <c r="R1750" i="15"/>
  <c r="S1750" i="15"/>
  <c r="R1751" i="15"/>
  <c r="S1751" i="15"/>
  <c r="R1752" i="15"/>
  <c r="S1752" i="15"/>
  <c r="R1753" i="15"/>
  <c r="S1753" i="15"/>
  <c r="R1754" i="15"/>
  <c r="S1754" i="15"/>
  <c r="R1755" i="15"/>
  <c r="S1755" i="15"/>
  <c r="R1756" i="15"/>
  <c r="S1756" i="15"/>
  <c r="R1757" i="15"/>
  <c r="S1757" i="15"/>
  <c r="R1758" i="15"/>
  <c r="S1758" i="15"/>
  <c r="R1759" i="15"/>
  <c r="S1759" i="15"/>
  <c r="R1760" i="15"/>
  <c r="S1760" i="15"/>
  <c r="R1761" i="15"/>
  <c r="S1761" i="15"/>
  <c r="R1762" i="15"/>
  <c r="S1762" i="15"/>
  <c r="R1763" i="15"/>
  <c r="S1763" i="15"/>
  <c r="R1764" i="15"/>
  <c r="S1764" i="15"/>
  <c r="R1765" i="15"/>
  <c r="S1765" i="15"/>
  <c r="R1766" i="15"/>
  <c r="S1766" i="15"/>
  <c r="R1767" i="15"/>
  <c r="S1767" i="15"/>
  <c r="R1768" i="15"/>
  <c r="S1768" i="15"/>
  <c r="R1769" i="15"/>
  <c r="S1769" i="15"/>
  <c r="R1770" i="15"/>
  <c r="S1770" i="15"/>
  <c r="R1771" i="15"/>
  <c r="S1771" i="15"/>
  <c r="R1772" i="15"/>
  <c r="S1772" i="15"/>
  <c r="R1773" i="15"/>
  <c r="S1773" i="15"/>
  <c r="R1774" i="15"/>
  <c r="S1774" i="15"/>
  <c r="R1775" i="15"/>
  <c r="S1775" i="15"/>
  <c r="R1776" i="15"/>
  <c r="S1776" i="15"/>
  <c r="R1777" i="15"/>
  <c r="S1777" i="15"/>
  <c r="R1778" i="15"/>
  <c r="S1778" i="15"/>
  <c r="R1779" i="15"/>
  <c r="S1779" i="15"/>
  <c r="R1780" i="15"/>
  <c r="S1780" i="15"/>
  <c r="R1781" i="15"/>
  <c r="S1781" i="15"/>
  <c r="R1782" i="15"/>
  <c r="S1782" i="15"/>
  <c r="R1783" i="15"/>
  <c r="S1783" i="15"/>
  <c r="R1784" i="15"/>
  <c r="S1784" i="15"/>
  <c r="R1785" i="15"/>
  <c r="S1785" i="15"/>
  <c r="R1786" i="15"/>
  <c r="S1786" i="15"/>
  <c r="R1787" i="15"/>
  <c r="S1787" i="15"/>
  <c r="R1788" i="15"/>
  <c r="S1788" i="15"/>
  <c r="R1789" i="15"/>
  <c r="S1789" i="15"/>
  <c r="R1790" i="15"/>
  <c r="S1790" i="15"/>
  <c r="R1791" i="15"/>
  <c r="S1791" i="15"/>
  <c r="R1792" i="15"/>
  <c r="S1792" i="15"/>
  <c r="R1793" i="15"/>
  <c r="S1793" i="15"/>
  <c r="R1794" i="15"/>
  <c r="S1794" i="15"/>
  <c r="R1795" i="15"/>
  <c r="S1795" i="15"/>
  <c r="R1796" i="15"/>
  <c r="S1796" i="15"/>
  <c r="R1797" i="15"/>
  <c r="S1797" i="15"/>
  <c r="R1798" i="15"/>
  <c r="S1798" i="15"/>
  <c r="R1799" i="15"/>
  <c r="S1799" i="15"/>
  <c r="R1800" i="15"/>
  <c r="S1800" i="15"/>
  <c r="R1801" i="15"/>
  <c r="S1801" i="15"/>
  <c r="R1802" i="15"/>
  <c r="S1802" i="15"/>
  <c r="R1803" i="15"/>
  <c r="S1803" i="15"/>
  <c r="R1804" i="15"/>
  <c r="S1804" i="15"/>
  <c r="R1805" i="15"/>
  <c r="S1805" i="15"/>
  <c r="R1806" i="15"/>
  <c r="S1806" i="15"/>
  <c r="R1807" i="15"/>
  <c r="S1807" i="15"/>
  <c r="R1808" i="15"/>
  <c r="S1808" i="15"/>
  <c r="R1809" i="15"/>
  <c r="S1809" i="15"/>
  <c r="R1810" i="15"/>
  <c r="S1810" i="15"/>
  <c r="R1811" i="15"/>
  <c r="S1811" i="15"/>
  <c r="R1812" i="15"/>
  <c r="S1812" i="15"/>
  <c r="R1813" i="15"/>
  <c r="S1813" i="15"/>
  <c r="R1814" i="15"/>
  <c r="S1814" i="15"/>
  <c r="R1815" i="15"/>
  <c r="S1815" i="15"/>
  <c r="R1816" i="15"/>
  <c r="S1816" i="15"/>
  <c r="R1817" i="15"/>
  <c r="S1817" i="15"/>
  <c r="R1818" i="15"/>
  <c r="S1818" i="15"/>
  <c r="R1819" i="15"/>
  <c r="S1819" i="15"/>
  <c r="R1820" i="15"/>
  <c r="S1820" i="15"/>
  <c r="R1821" i="15"/>
  <c r="S1821" i="15"/>
  <c r="R1822" i="15"/>
  <c r="S1822" i="15"/>
  <c r="R1823" i="15"/>
  <c r="S1823" i="15"/>
  <c r="R1824" i="15"/>
  <c r="S1824" i="15"/>
  <c r="R1825" i="15"/>
  <c r="S1825" i="15"/>
  <c r="R1826" i="15"/>
  <c r="S1826" i="15"/>
  <c r="R1827" i="15"/>
  <c r="S1827" i="15"/>
  <c r="R1828" i="15"/>
  <c r="S1828" i="15"/>
  <c r="R1829" i="15"/>
  <c r="S1829" i="15"/>
  <c r="R1830" i="15"/>
  <c r="S1830" i="15"/>
  <c r="R1831" i="15"/>
  <c r="S1831" i="15"/>
  <c r="R1832" i="15"/>
  <c r="S1832" i="15"/>
  <c r="R1833" i="15"/>
  <c r="S1833" i="15"/>
  <c r="R1834" i="15"/>
  <c r="S1834" i="15"/>
  <c r="R1835" i="15"/>
  <c r="S1835" i="15"/>
  <c r="R1836" i="15"/>
  <c r="S1836" i="15"/>
  <c r="R1837" i="15"/>
  <c r="S1837" i="15"/>
  <c r="R1838" i="15"/>
  <c r="S1838" i="15"/>
  <c r="R1839" i="15"/>
  <c r="S1839" i="15"/>
  <c r="R1840" i="15"/>
  <c r="S1840" i="15"/>
  <c r="R1841" i="15"/>
  <c r="S1841" i="15"/>
  <c r="R1842" i="15"/>
  <c r="S1842" i="15"/>
  <c r="R1843" i="15"/>
  <c r="S1843" i="15"/>
  <c r="R1844" i="15"/>
  <c r="S1844" i="15"/>
  <c r="R1845" i="15"/>
  <c r="S1845" i="15"/>
  <c r="R1846" i="15"/>
  <c r="S1846" i="15"/>
  <c r="R1847" i="15"/>
  <c r="S1847" i="15"/>
  <c r="R1848" i="15"/>
  <c r="S1848" i="15"/>
  <c r="R1849" i="15"/>
  <c r="S1849" i="15"/>
  <c r="R1850" i="15"/>
  <c r="S1850" i="15"/>
  <c r="R1851" i="15"/>
  <c r="S1851" i="15"/>
  <c r="R1852" i="15"/>
  <c r="S1852" i="15"/>
  <c r="R1853" i="15"/>
  <c r="S1853" i="15"/>
  <c r="R1854" i="15"/>
  <c r="S1854" i="15"/>
  <c r="R1855" i="15"/>
  <c r="S1855" i="15"/>
  <c r="R1856" i="15"/>
  <c r="S1856" i="15"/>
  <c r="R1857" i="15"/>
  <c r="S1857" i="15"/>
  <c r="R1858" i="15"/>
  <c r="S1858" i="15"/>
  <c r="R1859" i="15"/>
  <c r="S1859" i="15"/>
  <c r="R1860" i="15"/>
  <c r="S1860" i="15"/>
  <c r="R1861" i="15"/>
  <c r="S1861" i="15"/>
  <c r="R1862" i="15"/>
  <c r="S1862" i="15"/>
  <c r="R1863" i="15"/>
  <c r="S1863" i="15"/>
  <c r="R1864" i="15"/>
  <c r="S1864" i="15"/>
  <c r="R1865" i="15"/>
  <c r="S1865" i="15"/>
  <c r="R1866" i="15"/>
  <c r="S1866" i="15"/>
  <c r="R1867" i="15"/>
  <c r="S1867" i="15"/>
  <c r="R1868" i="15"/>
  <c r="S1868" i="15"/>
  <c r="R1869" i="15"/>
  <c r="S1869" i="15"/>
  <c r="R1870" i="15"/>
  <c r="S1870" i="15"/>
  <c r="R1871" i="15"/>
  <c r="S1871" i="15"/>
  <c r="R1872" i="15"/>
  <c r="S1872" i="15"/>
  <c r="R1873" i="15"/>
  <c r="S1873" i="15"/>
  <c r="R1874" i="15"/>
  <c r="S1874" i="15"/>
  <c r="R1875" i="15"/>
  <c r="S1875" i="15"/>
  <c r="R1876" i="15"/>
  <c r="S1876" i="15"/>
  <c r="R1877" i="15"/>
  <c r="S1877" i="15"/>
  <c r="R1878" i="15"/>
  <c r="S1878" i="15"/>
  <c r="R1879" i="15"/>
  <c r="S1879" i="15"/>
  <c r="R1880" i="15"/>
  <c r="S1880" i="15"/>
  <c r="R1881" i="15"/>
  <c r="S1881" i="15"/>
  <c r="R1882" i="15"/>
  <c r="S1882" i="15"/>
  <c r="R1883" i="15"/>
  <c r="S1883" i="15"/>
  <c r="R1884" i="15"/>
  <c r="S1884" i="15"/>
  <c r="R1885" i="15"/>
  <c r="S1885" i="15"/>
  <c r="R1886" i="15"/>
  <c r="S1886" i="15"/>
  <c r="R1887" i="15"/>
  <c r="S1887" i="15"/>
  <c r="R1888" i="15"/>
  <c r="S1888" i="15"/>
  <c r="R1889" i="15"/>
  <c r="S1889" i="15"/>
  <c r="R1890" i="15"/>
  <c r="S1890" i="15"/>
  <c r="R1891" i="15"/>
  <c r="S1891" i="15"/>
  <c r="R1892" i="15"/>
  <c r="S1892" i="15"/>
  <c r="R1893" i="15"/>
  <c r="S1893" i="15"/>
  <c r="R1894" i="15"/>
  <c r="S1894" i="15"/>
  <c r="R1895" i="15"/>
  <c r="S1895" i="15"/>
  <c r="R1896" i="15"/>
  <c r="S1896" i="15"/>
  <c r="R1897" i="15"/>
  <c r="S1897" i="15"/>
  <c r="R1898" i="15"/>
  <c r="S1898" i="15"/>
  <c r="R1899" i="15"/>
  <c r="S1899" i="15"/>
  <c r="R1900" i="15"/>
  <c r="S1900" i="15"/>
  <c r="R1901" i="15"/>
  <c r="S1901" i="15"/>
  <c r="R1902" i="15"/>
  <c r="S1902" i="15"/>
  <c r="R1903" i="15"/>
  <c r="S1903" i="15"/>
  <c r="R1904" i="15"/>
  <c r="S1904" i="15"/>
  <c r="R1905" i="15"/>
  <c r="S1905" i="15"/>
  <c r="R1906" i="15"/>
  <c r="S1906" i="15"/>
  <c r="R1907" i="15"/>
  <c r="S1907" i="15"/>
  <c r="R1908" i="15"/>
  <c r="S1908" i="15"/>
  <c r="R1909" i="15"/>
  <c r="S1909" i="15"/>
  <c r="R1910" i="15"/>
  <c r="S1910" i="15"/>
  <c r="R1911" i="15"/>
  <c r="S1911" i="15"/>
  <c r="R1912" i="15"/>
  <c r="S1912" i="15"/>
  <c r="R1913" i="15"/>
  <c r="S1913" i="15"/>
  <c r="R1914" i="15"/>
  <c r="S1914" i="15"/>
  <c r="R1915" i="15"/>
  <c r="S1915" i="15"/>
  <c r="R1916" i="15"/>
  <c r="S1916" i="15"/>
  <c r="R1917" i="15"/>
  <c r="S1917" i="15"/>
  <c r="R1918" i="15"/>
  <c r="S1918" i="15"/>
  <c r="R1919" i="15"/>
  <c r="S1919" i="15"/>
  <c r="R1920" i="15"/>
  <c r="S1920" i="15"/>
  <c r="R1921" i="15"/>
  <c r="S1921" i="15"/>
  <c r="R1922" i="15"/>
  <c r="S1922" i="15"/>
  <c r="R1923" i="15"/>
  <c r="S1923" i="15"/>
  <c r="R1924" i="15"/>
  <c r="S1924" i="15"/>
  <c r="R1925" i="15"/>
  <c r="S1925" i="15"/>
  <c r="R1926" i="15"/>
  <c r="S1926" i="15"/>
  <c r="R1927" i="15"/>
  <c r="S1927" i="15"/>
  <c r="R1928" i="15"/>
  <c r="S1928" i="15"/>
  <c r="R1929" i="15"/>
  <c r="S1929" i="15"/>
  <c r="R1930" i="15"/>
  <c r="S1930" i="15"/>
  <c r="R1931" i="15"/>
  <c r="S1931" i="15"/>
  <c r="R1932" i="15"/>
  <c r="S1932" i="15"/>
  <c r="R1933" i="15"/>
  <c r="S1933" i="15"/>
  <c r="R1934" i="15"/>
  <c r="S1934" i="15"/>
  <c r="R1935" i="15"/>
  <c r="S1935" i="15"/>
  <c r="R1936" i="15"/>
  <c r="S1936" i="15"/>
  <c r="R1937" i="15"/>
  <c r="S1937" i="15"/>
  <c r="R1938" i="15"/>
  <c r="S1938" i="15"/>
  <c r="R1939" i="15"/>
  <c r="S1939" i="15"/>
  <c r="R1940" i="15"/>
  <c r="S1940" i="15"/>
  <c r="R1941" i="15"/>
  <c r="S1941" i="15"/>
  <c r="R1942" i="15"/>
  <c r="S1942" i="15"/>
  <c r="R1943" i="15"/>
  <c r="S1943" i="15"/>
  <c r="R1944" i="15"/>
  <c r="S1944" i="15"/>
  <c r="R1945" i="15"/>
  <c r="S1945" i="15"/>
  <c r="R1946" i="15"/>
  <c r="S1946" i="15"/>
  <c r="R1947" i="15"/>
  <c r="S1947" i="15"/>
  <c r="R1948" i="15"/>
  <c r="S1948" i="15"/>
  <c r="R1949" i="15"/>
  <c r="S1949" i="15"/>
  <c r="R1950" i="15"/>
  <c r="S1950" i="15"/>
  <c r="R1951" i="15"/>
  <c r="S1951" i="15"/>
  <c r="R1952" i="15"/>
  <c r="S1952" i="15"/>
  <c r="R1953" i="15"/>
  <c r="S1953" i="15"/>
  <c r="R1954" i="15"/>
  <c r="S1954" i="15"/>
  <c r="R1955" i="15"/>
  <c r="S1955" i="15"/>
  <c r="R1956" i="15"/>
  <c r="S1956" i="15"/>
  <c r="R1957" i="15"/>
  <c r="S1957" i="15"/>
  <c r="R1958" i="15"/>
  <c r="S1958" i="15"/>
  <c r="R1959" i="15"/>
  <c r="S1959" i="15"/>
  <c r="R1960" i="15"/>
  <c r="S1960" i="15"/>
  <c r="R1961" i="15"/>
  <c r="S1961" i="15"/>
  <c r="R1962" i="15"/>
  <c r="S1962" i="15"/>
  <c r="R1963" i="15"/>
  <c r="S1963" i="15"/>
  <c r="R1964" i="15"/>
  <c r="S1964" i="15"/>
  <c r="R1965" i="15"/>
  <c r="S1965" i="15"/>
  <c r="R1966" i="15"/>
  <c r="S1966" i="15"/>
  <c r="R1967" i="15"/>
  <c r="S1967" i="15"/>
  <c r="R1968" i="15"/>
  <c r="S1968" i="15"/>
  <c r="R1969" i="15"/>
  <c r="S1969" i="15"/>
  <c r="R1970" i="15"/>
  <c r="S1970" i="15"/>
  <c r="R1971" i="15"/>
  <c r="S1971" i="15"/>
  <c r="R1972" i="15"/>
  <c r="S1972" i="15"/>
  <c r="R1973" i="15"/>
  <c r="S1973" i="15"/>
  <c r="R1974" i="15"/>
  <c r="S1974" i="15"/>
  <c r="R1975" i="15"/>
  <c r="S1975" i="15"/>
  <c r="R1976" i="15"/>
  <c r="S1976" i="15"/>
  <c r="R1977" i="15"/>
  <c r="S1977" i="15"/>
  <c r="R1978" i="15"/>
  <c r="S1978" i="15"/>
  <c r="R1979" i="15"/>
  <c r="S1979" i="15"/>
  <c r="R1980" i="15"/>
  <c r="S1980" i="15"/>
  <c r="R1981" i="15"/>
  <c r="S1981" i="15"/>
  <c r="R1982" i="15"/>
  <c r="S1982" i="15"/>
  <c r="R1983" i="15"/>
  <c r="S1983" i="15"/>
  <c r="R1984" i="15"/>
  <c r="S1984" i="15"/>
  <c r="R1985" i="15"/>
  <c r="S1985" i="15"/>
  <c r="R1986" i="15"/>
  <c r="S1986" i="15"/>
  <c r="R1987" i="15"/>
  <c r="S1987" i="15"/>
  <c r="R1988" i="15"/>
  <c r="S1988" i="15"/>
  <c r="R1989" i="15"/>
  <c r="S1989" i="15"/>
  <c r="R1990" i="15"/>
  <c r="S1990" i="15"/>
  <c r="R1991" i="15"/>
  <c r="S1991" i="15"/>
  <c r="R1992" i="15"/>
  <c r="S1992" i="15"/>
  <c r="R1993" i="15"/>
  <c r="S1993" i="15"/>
  <c r="R1994" i="15"/>
  <c r="S1994" i="15"/>
  <c r="R1995" i="15"/>
  <c r="S1995" i="15"/>
  <c r="R1996" i="15"/>
  <c r="S1996" i="15"/>
  <c r="R1997" i="15"/>
  <c r="S1997" i="15"/>
  <c r="R1998" i="15"/>
  <c r="S1998" i="15"/>
  <c r="R1999" i="15"/>
  <c r="S1999" i="15"/>
  <c r="R2000" i="15"/>
  <c r="S2000" i="15"/>
  <c r="R2001" i="15"/>
  <c r="S2001" i="15"/>
  <c r="R2002" i="15"/>
  <c r="S2002" i="15"/>
  <c r="R2003" i="15"/>
  <c r="S2003" i="15"/>
  <c r="R2004" i="15"/>
  <c r="S2004" i="15"/>
  <c r="R2005" i="15"/>
  <c r="S2005" i="15"/>
  <c r="R2006" i="15"/>
  <c r="S2006" i="15"/>
  <c r="R2007" i="15"/>
  <c r="S2007" i="15"/>
  <c r="R2008" i="15"/>
  <c r="S2008" i="15"/>
  <c r="R2009" i="15"/>
  <c r="S2009" i="15"/>
  <c r="R2010" i="15"/>
  <c r="S2010" i="15"/>
  <c r="R2011" i="15"/>
  <c r="S2011" i="15"/>
  <c r="R2012" i="15"/>
  <c r="S2012" i="15"/>
  <c r="R2013" i="15"/>
  <c r="S2013" i="15"/>
  <c r="R2014" i="15"/>
  <c r="S2014" i="15"/>
  <c r="R2015" i="15"/>
  <c r="S2015" i="15"/>
  <c r="R2016" i="15"/>
  <c r="S2016" i="15"/>
  <c r="R2017" i="15"/>
  <c r="S2017" i="15"/>
  <c r="R2018" i="15"/>
  <c r="S2018" i="15"/>
  <c r="R2019" i="15"/>
  <c r="S2019" i="15"/>
  <c r="R2020" i="15"/>
  <c r="S2020" i="15"/>
  <c r="R2021" i="15"/>
  <c r="S2021" i="15"/>
  <c r="R2022" i="15"/>
  <c r="S2022" i="15"/>
  <c r="R2023" i="15"/>
  <c r="S2023" i="15"/>
  <c r="R2024" i="15"/>
  <c r="S2024" i="15"/>
  <c r="R2025" i="15"/>
  <c r="S2025" i="15"/>
  <c r="R2026" i="15"/>
  <c r="S2026" i="15"/>
  <c r="R2027" i="15"/>
  <c r="S2027" i="15"/>
  <c r="R2028" i="15"/>
  <c r="S2028" i="15"/>
  <c r="R2029" i="15"/>
  <c r="S2029" i="15"/>
  <c r="R2030" i="15"/>
  <c r="S2030" i="15"/>
  <c r="R2031" i="15"/>
  <c r="S2031" i="15"/>
  <c r="R2032" i="15"/>
  <c r="S2032" i="15"/>
  <c r="R2033" i="15"/>
  <c r="S2033" i="15"/>
  <c r="R2034" i="15"/>
  <c r="S2034" i="15"/>
  <c r="R2035" i="15"/>
  <c r="S2035" i="15"/>
  <c r="R2036" i="15"/>
  <c r="S2036" i="15"/>
  <c r="R2037" i="15"/>
  <c r="S2037" i="15"/>
  <c r="R2038" i="15"/>
  <c r="S2038" i="15"/>
  <c r="R2039" i="15"/>
  <c r="S2039" i="15"/>
  <c r="R2040" i="15"/>
  <c r="S2040" i="15"/>
  <c r="R2041" i="15"/>
  <c r="S2041" i="15"/>
  <c r="R2042" i="15"/>
  <c r="S2042" i="15"/>
  <c r="R2043" i="15"/>
  <c r="S2043" i="15"/>
  <c r="R2044" i="15"/>
  <c r="S2044" i="15"/>
  <c r="R2045" i="15"/>
  <c r="S2045" i="15"/>
  <c r="R2046" i="15"/>
  <c r="S2046" i="15"/>
  <c r="R2047" i="15"/>
  <c r="S2047" i="15"/>
  <c r="R2048" i="15"/>
  <c r="S2048" i="15"/>
  <c r="R2049" i="15"/>
  <c r="S2049" i="15"/>
  <c r="R2050" i="15"/>
  <c r="S2050" i="15"/>
  <c r="R2051" i="15"/>
  <c r="S2051" i="15"/>
  <c r="R2052" i="15"/>
  <c r="S2052" i="15"/>
  <c r="R2053" i="15"/>
  <c r="S2053" i="15"/>
  <c r="R2054" i="15"/>
  <c r="S2054" i="15"/>
  <c r="R2055" i="15"/>
  <c r="S2055" i="15"/>
  <c r="R2056" i="15"/>
  <c r="S2056" i="15"/>
  <c r="R2057" i="15"/>
  <c r="S2057" i="15"/>
  <c r="R2058" i="15"/>
  <c r="S2058" i="15"/>
  <c r="R2059" i="15"/>
  <c r="S2059" i="15"/>
  <c r="R2060" i="15"/>
  <c r="S2060" i="15"/>
  <c r="R2061" i="15"/>
  <c r="S2061" i="15"/>
  <c r="R2062" i="15"/>
  <c r="S2062" i="15"/>
  <c r="R2063" i="15"/>
  <c r="S2063" i="15"/>
  <c r="R2064" i="15"/>
  <c r="S2064" i="15"/>
  <c r="R2065" i="15"/>
  <c r="S2065" i="15"/>
  <c r="R2066" i="15"/>
  <c r="S2066" i="15"/>
  <c r="R2067" i="15"/>
  <c r="S2067" i="15"/>
  <c r="R2068" i="15"/>
  <c r="S2068" i="15"/>
  <c r="R2069" i="15"/>
  <c r="S2069" i="15"/>
  <c r="R2070" i="15"/>
  <c r="S2070" i="15"/>
  <c r="R2071" i="15"/>
  <c r="S2071" i="15"/>
  <c r="R2072" i="15"/>
  <c r="S2072" i="15"/>
  <c r="R2073" i="15"/>
  <c r="S2073" i="15"/>
  <c r="R2074" i="15"/>
  <c r="S2074" i="15"/>
  <c r="R2075" i="15"/>
  <c r="S2075" i="15"/>
  <c r="R2076" i="15"/>
  <c r="S2076" i="15"/>
  <c r="R2077" i="15"/>
  <c r="S2077" i="15"/>
  <c r="R2078" i="15"/>
  <c r="S2078" i="15"/>
  <c r="R2079" i="15"/>
  <c r="S2079" i="15"/>
  <c r="R2080" i="15"/>
  <c r="S2080" i="15"/>
  <c r="R2081" i="15"/>
  <c r="S2081" i="15"/>
  <c r="R2082" i="15"/>
  <c r="S2082" i="15"/>
  <c r="R2083" i="15"/>
  <c r="S2083" i="15"/>
  <c r="R2084" i="15"/>
  <c r="S2084" i="15"/>
  <c r="R2085" i="15"/>
  <c r="S2085" i="15"/>
  <c r="R2086" i="15"/>
  <c r="S2086" i="15"/>
  <c r="R2087" i="15"/>
  <c r="S2087" i="15"/>
  <c r="R2088" i="15"/>
  <c r="S2088" i="15"/>
  <c r="R2089" i="15"/>
  <c r="S2089" i="15"/>
  <c r="R2090" i="15"/>
  <c r="S2090" i="15"/>
  <c r="R2091" i="15"/>
  <c r="S2091" i="15"/>
  <c r="R2092" i="15"/>
  <c r="S2092" i="15"/>
  <c r="R2093" i="15"/>
  <c r="S2093" i="15"/>
  <c r="R2094" i="15"/>
  <c r="S2094" i="15"/>
  <c r="R2095" i="15"/>
  <c r="S2095" i="15"/>
  <c r="R2096" i="15"/>
  <c r="S2096" i="15"/>
  <c r="R2097" i="15"/>
  <c r="S2097" i="15"/>
  <c r="R2098" i="15"/>
  <c r="S2098" i="15"/>
  <c r="R2099" i="15"/>
  <c r="S2099" i="15"/>
  <c r="R2100" i="15"/>
  <c r="S2100" i="15"/>
  <c r="R2101" i="15"/>
  <c r="S2101" i="15"/>
  <c r="R2102" i="15"/>
  <c r="S2102" i="15"/>
  <c r="R2103" i="15"/>
  <c r="S2103" i="15"/>
  <c r="R2104" i="15"/>
  <c r="S2104" i="15"/>
  <c r="R2105" i="15"/>
  <c r="S2105" i="15"/>
  <c r="R2106" i="15"/>
  <c r="S2106" i="15"/>
  <c r="R2107" i="15"/>
  <c r="S2107" i="15"/>
  <c r="R2108" i="15"/>
  <c r="S2108" i="15"/>
  <c r="R2109" i="15"/>
  <c r="S2109" i="15"/>
  <c r="R2110" i="15"/>
  <c r="S2110" i="15"/>
  <c r="R2111" i="15"/>
  <c r="S2111" i="15"/>
  <c r="R2112" i="15"/>
  <c r="S2112" i="15"/>
  <c r="R2113" i="15"/>
  <c r="S2113" i="15"/>
  <c r="R2114" i="15"/>
  <c r="S2114" i="15"/>
  <c r="R2115" i="15"/>
  <c r="S2115" i="15"/>
  <c r="R2116" i="15"/>
  <c r="S2116" i="15"/>
  <c r="R2117" i="15"/>
  <c r="S2117" i="15"/>
  <c r="R2118" i="15"/>
  <c r="S2118" i="15"/>
  <c r="R2119" i="15"/>
  <c r="S2119" i="15"/>
  <c r="R2120" i="15"/>
  <c r="S2120" i="15"/>
  <c r="R2121" i="15"/>
  <c r="S2121" i="15"/>
  <c r="R2122" i="15"/>
  <c r="S2122" i="15"/>
  <c r="R2123" i="15"/>
  <c r="S2123" i="15"/>
  <c r="R2124" i="15"/>
  <c r="S2124" i="15"/>
  <c r="R2125" i="15"/>
  <c r="S2125" i="15"/>
  <c r="R2126" i="15"/>
  <c r="S2126" i="15"/>
  <c r="R2127" i="15"/>
  <c r="S2127" i="15"/>
  <c r="R2128" i="15"/>
  <c r="S2128" i="15"/>
  <c r="R2129" i="15"/>
  <c r="S2129" i="15"/>
  <c r="R2130" i="15"/>
  <c r="S2130" i="15"/>
  <c r="R2131" i="15"/>
  <c r="S2131" i="15"/>
  <c r="R2132" i="15"/>
  <c r="S2132" i="15"/>
  <c r="R2133" i="15"/>
  <c r="S2133" i="15"/>
  <c r="R2134" i="15"/>
  <c r="S2134" i="15"/>
  <c r="R2135" i="15"/>
  <c r="S2135" i="15"/>
  <c r="R2136" i="15"/>
  <c r="S2136" i="15"/>
  <c r="R2137" i="15"/>
  <c r="S2137" i="15"/>
  <c r="R2138" i="15"/>
  <c r="S2138" i="15"/>
  <c r="R2139" i="15"/>
  <c r="S2139" i="15"/>
  <c r="R2140" i="15"/>
  <c r="S2140" i="15"/>
  <c r="R2141" i="15"/>
  <c r="S2141" i="15"/>
  <c r="R2142" i="15"/>
  <c r="S2142" i="15"/>
  <c r="R2143" i="15"/>
  <c r="S2143" i="15"/>
  <c r="R2144" i="15"/>
  <c r="S2144" i="15"/>
  <c r="R2145" i="15"/>
  <c r="S2145" i="15"/>
  <c r="R2146" i="15"/>
  <c r="S2146" i="15"/>
  <c r="R2147" i="15"/>
  <c r="S2147" i="15"/>
  <c r="R2148" i="15"/>
  <c r="S2148" i="15"/>
  <c r="R2149" i="15"/>
  <c r="S2149" i="15"/>
  <c r="R2150" i="15"/>
  <c r="S2150" i="15"/>
  <c r="R2151" i="15"/>
  <c r="S2151" i="15"/>
  <c r="R2152" i="15"/>
  <c r="S2152" i="15"/>
  <c r="R2153" i="15"/>
  <c r="S2153" i="15"/>
  <c r="R2154" i="15"/>
  <c r="S2154" i="15"/>
  <c r="R2155" i="15"/>
  <c r="S2155" i="15"/>
  <c r="R2156" i="15"/>
  <c r="S2156" i="15"/>
  <c r="R2157" i="15"/>
  <c r="S2157" i="15"/>
  <c r="R2158" i="15"/>
  <c r="S2158" i="15"/>
  <c r="R2159" i="15"/>
  <c r="S2159" i="15"/>
  <c r="R2160" i="15"/>
  <c r="S2160" i="15"/>
  <c r="R2161" i="15"/>
  <c r="S2161" i="15"/>
  <c r="R2162" i="15"/>
  <c r="S2162" i="15"/>
  <c r="R2163" i="15"/>
  <c r="S2163" i="15"/>
  <c r="R2164" i="15"/>
  <c r="S2164" i="15"/>
  <c r="R2165" i="15"/>
  <c r="S2165" i="15"/>
  <c r="R2166" i="15"/>
  <c r="S2166" i="15"/>
  <c r="R2167" i="15"/>
  <c r="S2167" i="15"/>
  <c r="R2168" i="15"/>
  <c r="S2168" i="15"/>
  <c r="R2169" i="15"/>
  <c r="S2169" i="15"/>
  <c r="R2170" i="15"/>
  <c r="S2170" i="15"/>
  <c r="R2171" i="15"/>
  <c r="S2171" i="15"/>
  <c r="R2172" i="15"/>
  <c r="S2172" i="15"/>
  <c r="R2173" i="15"/>
  <c r="S2173" i="15"/>
  <c r="R2174" i="15"/>
  <c r="S2174" i="15"/>
  <c r="R2175" i="15"/>
  <c r="S2175" i="15"/>
  <c r="R2176" i="15"/>
  <c r="S2176" i="15"/>
  <c r="R2177" i="15"/>
  <c r="S2177" i="15"/>
  <c r="R2178" i="15"/>
  <c r="S2178" i="15"/>
  <c r="R2179" i="15"/>
  <c r="S2179" i="15"/>
  <c r="R2180" i="15"/>
  <c r="S2180" i="15"/>
  <c r="R2181" i="15"/>
  <c r="S2181" i="15"/>
  <c r="R2182" i="15"/>
  <c r="S2182" i="15"/>
  <c r="R2183" i="15"/>
  <c r="S2183" i="15"/>
  <c r="R2184" i="15"/>
  <c r="S2184" i="15"/>
  <c r="R2185" i="15"/>
  <c r="S2185" i="15"/>
  <c r="R2186" i="15"/>
  <c r="S2186" i="15"/>
  <c r="R2187" i="15"/>
  <c r="S2187" i="15"/>
  <c r="R2188" i="15"/>
  <c r="S2188" i="15"/>
  <c r="R2189" i="15"/>
  <c r="S2189" i="15"/>
  <c r="R2190" i="15"/>
  <c r="S2190" i="15"/>
  <c r="R2191" i="15"/>
  <c r="S2191" i="15"/>
  <c r="R2192" i="15"/>
  <c r="S2192" i="15"/>
  <c r="R2193" i="15"/>
  <c r="S2193" i="15"/>
  <c r="R2194" i="15"/>
  <c r="S2194" i="15"/>
  <c r="R2195" i="15"/>
  <c r="S2195" i="15"/>
  <c r="R2196" i="15"/>
  <c r="S2196" i="15"/>
  <c r="R2197" i="15"/>
  <c r="S2197" i="15"/>
  <c r="R2198" i="15"/>
  <c r="S2198" i="15"/>
  <c r="R2199" i="15"/>
  <c r="S2199" i="15"/>
  <c r="R2200" i="15"/>
  <c r="S2200" i="15"/>
  <c r="R2201" i="15"/>
  <c r="S2201" i="15"/>
  <c r="R2202" i="15"/>
  <c r="S2202" i="15"/>
  <c r="R2203" i="15"/>
  <c r="S2203" i="15"/>
  <c r="R2204" i="15"/>
  <c r="S2204" i="15"/>
  <c r="R2205" i="15"/>
  <c r="S2205" i="15"/>
  <c r="R2206" i="15"/>
  <c r="S2206" i="15"/>
  <c r="R2207" i="15"/>
  <c r="S2207" i="15"/>
  <c r="R2208" i="15"/>
  <c r="S2208" i="15"/>
  <c r="R2209" i="15"/>
  <c r="S2209" i="15"/>
  <c r="R2210" i="15"/>
  <c r="S2210" i="15"/>
  <c r="R2211" i="15"/>
  <c r="S2211" i="15"/>
  <c r="R2212" i="15"/>
  <c r="S2212" i="15"/>
  <c r="R2213" i="15"/>
  <c r="S2213" i="15"/>
  <c r="R2214" i="15"/>
  <c r="S2214" i="15"/>
  <c r="R2215" i="15"/>
  <c r="S2215" i="15"/>
  <c r="R2216" i="15"/>
  <c r="S2216" i="15"/>
  <c r="R2217" i="15"/>
  <c r="S2217" i="15"/>
  <c r="R2218" i="15"/>
  <c r="S2218" i="15"/>
  <c r="R2219" i="15"/>
  <c r="S2219" i="15"/>
  <c r="R2220" i="15"/>
  <c r="S2220" i="15"/>
  <c r="R2221" i="15"/>
  <c r="S2221" i="15"/>
  <c r="R2222" i="15"/>
  <c r="S2222" i="15"/>
  <c r="R2223" i="15"/>
  <c r="S2223" i="15"/>
  <c r="R2224" i="15"/>
  <c r="S2224" i="15"/>
  <c r="R2225" i="15"/>
  <c r="S2225" i="15"/>
  <c r="R2226" i="15"/>
  <c r="S2226" i="15"/>
  <c r="R2227" i="15"/>
  <c r="S2227" i="15"/>
  <c r="R2228" i="15"/>
  <c r="S2228" i="15"/>
  <c r="R2229" i="15"/>
  <c r="S2229" i="15"/>
  <c r="R2230" i="15"/>
  <c r="S2230" i="15"/>
  <c r="R2231" i="15"/>
  <c r="S2231" i="15"/>
  <c r="R2232" i="15"/>
  <c r="S2232" i="15"/>
  <c r="R2233" i="15"/>
  <c r="S2233" i="15"/>
  <c r="R2234" i="15"/>
  <c r="S2234" i="15"/>
  <c r="R2235" i="15"/>
  <c r="S2235" i="15"/>
  <c r="R2236" i="15"/>
  <c r="S2236" i="15"/>
  <c r="R2237" i="15"/>
  <c r="S2237" i="15"/>
  <c r="R2238" i="15"/>
  <c r="S2238" i="15"/>
  <c r="R2239" i="15"/>
  <c r="S2239" i="15"/>
  <c r="R2240" i="15"/>
  <c r="S2240" i="15"/>
  <c r="R2241" i="15"/>
  <c r="S2241" i="15"/>
  <c r="R2242" i="15"/>
  <c r="S2242" i="15"/>
  <c r="R2243" i="15"/>
  <c r="S2243" i="15"/>
  <c r="R2244" i="15"/>
  <c r="S2244" i="15"/>
  <c r="R2245" i="15"/>
  <c r="S2245" i="15"/>
  <c r="R2246" i="15"/>
  <c r="S2246" i="15"/>
  <c r="R2247" i="15"/>
  <c r="S2247" i="15"/>
  <c r="R2248" i="15"/>
  <c r="S2248" i="15"/>
  <c r="R2249" i="15"/>
  <c r="S2249" i="15"/>
  <c r="R2250" i="15"/>
  <c r="S2250" i="15"/>
  <c r="R2251" i="15"/>
  <c r="S2251" i="15"/>
  <c r="R2252" i="15"/>
  <c r="S2252" i="15"/>
  <c r="R2253" i="15"/>
  <c r="S2253" i="15"/>
  <c r="R2254" i="15"/>
  <c r="S2254" i="15"/>
  <c r="R2255" i="15"/>
  <c r="S2255" i="15"/>
  <c r="R2256" i="15"/>
  <c r="S2256" i="15"/>
  <c r="R2257" i="15"/>
  <c r="S2257" i="15"/>
  <c r="R2258" i="15"/>
  <c r="S2258" i="15"/>
  <c r="R2259" i="15"/>
  <c r="S2259" i="15"/>
  <c r="R2260" i="15"/>
  <c r="S2260" i="15"/>
  <c r="R2261" i="15"/>
  <c r="S2261" i="15"/>
  <c r="R2262" i="15"/>
  <c r="S2262" i="15"/>
  <c r="R2263" i="15"/>
  <c r="S2263" i="15"/>
  <c r="R2264" i="15"/>
  <c r="S2264" i="15"/>
  <c r="R2265" i="15"/>
  <c r="S2265" i="15"/>
  <c r="R2266" i="15"/>
  <c r="S2266" i="15"/>
  <c r="R2267" i="15"/>
  <c r="S2267" i="15"/>
  <c r="R2268" i="15"/>
  <c r="S2268" i="15"/>
  <c r="R2269" i="15"/>
  <c r="S2269" i="15"/>
  <c r="R2270" i="15"/>
  <c r="S2270" i="15"/>
  <c r="R2271" i="15"/>
  <c r="S2271" i="15"/>
  <c r="R2272" i="15"/>
  <c r="S2272" i="15"/>
  <c r="R2273" i="15"/>
  <c r="S2273" i="15"/>
  <c r="R2274" i="15"/>
  <c r="S2274" i="15"/>
  <c r="R2275" i="15"/>
  <c r="S2275" i="15"/>
  <c r="R2276" i="15"/>
  <c r="S2276" i="15"/>
  <c r="R2277" i="15"/>
  <c r="S2277" i="15"/>
  <c r="R2278" i="15"/>
  <c r="S2278" i="15"/>
  <c r="R2279" i="15"/>
  <c r="S2279" i="15"/>
  <c r="R2280" i="15"/>
  <c r="S2280" i="15"/>
  <c r="R2281" i="15"/>
  <c r="S2281" i="15"/>
  <c r="R2282" i="15"/>
  <c r="S2282" i="15"/>
  <c r="R2283" i="15"/>
  <c r="S2283" i="15"/>
  <c r="R2284" i="15"/>
  <c r="S2284" i="15"/>
  <c r="R2285" i="15"/>
  <c r="S2285" i="15"/>
  <c r="R2286" i="15"/>
  <c r="S2286" i="15"/>
  <c r="R2287" i="15"/>
  <c r="S2287" i="15"/>
  <c r="R2288" i="15"/>
  <c r="S2288" i="15"/>
  <c r="R2289" i="15"/>
  <c r="S2289" i="15"/>
  <c r="R2290" i="15"/>
  <c r="S2290" i="15"/>
  <c r="R2291" i="15"/>
  <c r="S2291" i="15"/>
  <c r="R2292" i="15"/>
  <c r="S2292" i="15"/>
  <c r="R2293" i="15"/>
  <c r="S2293" i="15"/>
  <c r="R2294" i="15"/>
  <c r="S2294" i="15"/>
  <c r="R2295" i="15"/>
  <c r="S2295" i="15"/>
  <c r="R2296" i="15"/>
  <c r="S2296" i="15"/>
  <c r="R2297" i="15"/>
  <c r="S2297" i="15"/>
  <c r="R2298" i="15"/>
  <c r="S2298" i="15"/>
  <c r="R2299" i="15"/>
  <c r="S2299" i="15"/>
  <c r="R2300" i="15"/>
  <c r="S2300" i="15"/>
  <c r="R2301" i="15"/>
  <c r="S2301" i="15"/>
  <c r="R2302" i="15"/>
  <c r="S2302" i="15"/>
  <c r="R2303" i="15"/>
  <c r="S2303" i="15"/>
  <c r="R2304" i="15"/>
  <c r="S2304" i="15"/>
  <c r="R2305" i="15"/>
  <c r="S2305" i="15"/>
  <c r="R2306" i="15"/>
  <c r="S2306" i="15"/>
  <c r="R2307" i="15"/>
  <c r="S2307" i="15"/>
  <c r="R2308" i="15"/>
  <c r="S2308" i="15"/>
  <c r="R2309" i="15"/>
  <c r="S2309" i="15"/>
  <c r="R2310" i="15"/>
  <c r="S2310" i="15"/>
  <c r="R2311" i="15"/>
  <c r="S2311" i="15"/>
  <c r="R2312" i="15"/>
  <c r="S2312" i="15"/>
  <c r="R2313" i="15"/>
  <c r="S2313" i="15"/>
  <c r="R2314" i="15"/>
  <c r="S2314" i="15"/>
  <c r="R2315" i="15"/>
  <c r="S2315" i="15"/>
  <c r="R2316" i="15"/>
  <c r="S2316" i="15"/>
  <c r="R2317" i="15"/>
  <c r="S2317" i="15"/>
  <c r="R2318" i="15"/>
  <c r="S2318" i="15"/>
  <c r="R2319" i="15"/>
  <c r="S2319" i="15"/>
  <c r="R2320" i="15"/>
  <c r="S2320" i="15"/>
  <c r="R2321" i="15"/>
  <c r="S2321" i="15"/>
  <c r="R2322" i="15"/>
  <c r="S2322" i="15"/>
  <c r="R2323" i="15"/>
  <c r="S2323" i="15"/>
  <c r="R2324" i="15"/>
  <c r="S2324" i="15"/>
  <c r="R2325" i="15"/>
  <c r="S2325" i="15"/>
  <c r="R2326" i="15"/>
  <c r="S2326" i="15"/>
  <c r="R2327" i="15"/>
  <c r="S2327" i="15"/>
  <c r="R2328" i="15"/>
  <c r="S2328" i="15"/>
  <c r="R2329" i="15"/>
  <c r="S2329" i="15"/>
  <c r="R2330" i="15"/>
  <c r="S2330" i="15"/>
  <c r="R2331" i="15"/>
  <c r="S2331" i="15"/>
  <c r="R2332" i="15"/>
  <c r="S2332" i="15"/>
  <c r="R2333" i="15"/>
  <c r="S2333" i="15"/>
  <c r="R2334" i="15"/>
  <c r="S2334" i="15"/>
  <c r="R2335" i="15"/>
  <c r="S2335" i="15"/>
  <c r="R2336" i="15"/>
  <c r="S2336" i="15"/>
  <c r="R2337" i="15"/>
  <c r="S2337" i="15"/>
  <c r="R2338" i="15"/>
  <c r="S2338" i="15"/>
  <c r="R2339" i="15"/>
  <c r="S2339" i="15"/>
  <c r="R2340" i="15"/>
  <c r="S2340" i="15"/>
  <c r="R2341" i="15"/>
  <c r="S2341" i="15"/>
  <c r="R2342" i="15"/>
  <c r="S2342" i="15"/>
  <c r="R2343" i="15"/>
  <c r="S2343" i="15"/>
  <c r="R2344" i="15"/>
  <c r="S2344" i="15"/>
  <c r="R2345" i="15"/>
  <c r="S2345" i="15"/>
  <c r="R2346" i="15"/>
  <c r="S2346" i="15"/>
  <c r="R2347" i="15"/>
  <c r="S2347" i="15"/>
  <c r="R2348" i="15"/>
  <c r="S2348" i="15"/>
  <c r="R2349" i="15"/>
  <c r="S2349" i="15"/>
  <c r="R2350" i="15"/>
  <c r="S2350" i="15"/>
  <c r="R2351" i="15"/>
  <c r="S2351" i="15"/>
  <c r="R2352" i="15"/>
  <c r="S2352" i="15"/>
  <c r="R2353" i="15"/>
  <c r="S2353" i="15"/>
  <c r="R2354" i="15"/>
  <c r="S2354" i="15"/>
  <c r="R2355" i="15"/>
  <c r="S2355" i="15"/>
  <c r="R2356" i="15"/>
  <c r="S2356" i="15"/>
  <c r="R2357" i="15"/>
  <c r="S2357" i="15"/>
  <c r="R2358" i="15"/>
  <c r="S2358" i="15"/>
  <c r="R2359" i="15"/>
  <c r="S2359" i="15"/>
  <c r="R2360" i="15"/>
  <c r="S2360" i="15"/>
  <c r="R2361" i="15"/>
  <c r="S2361" i="15"/>
  <c r="R2362" i="15"/>
  <c r="S2362" i="15"/>
  <c r="R2363" i="15"/>
  <c r="S2363" i="15"/>
  <c r="R2364" i="15"/>
  <c r="S2364" i="15"/>
  <c r="R2365" i="15"/>
  <c r="S2365" i="15"/>
  <c r="R2366" i="15"/>
  <c r="S2366" i="15"/>
  <c r="R2367" i="15"/>
  <c r="S2367" i="15"/>
  <c r="R2368" i="15"/>
  <c r="S2368" i="15"/>
  <c r="R2369" i="15"/>
  <c r="S2369" i="15"/>
  <c r="R2370" i="15"/>
  <c r="S2370" i="15"/>
  <c r="R2371" i="15"/>
  <c r="S2371" i="15"/>
  <c r="R2372" i="15"/>
  <c r="S2372" i="15"/>
  <c r="R2373" i="15"/>
  <c r="S2373" i="15"/>
  <c r="R2374" i="15"/>
  <c r="S2374" i="15"/>
  <c r="R2375" i="15"/>
  <c r="S2375" i="15"/>
  <c r="R2376" i="15"/>
  <c r="S2376" i="15"/>
  <c r="R2377" i="15"/>
  <c r="S2377" i="15"/>
  <c r="R2378" i="15"/>
  <c r="S2378" i="15"/>
  <c r="R2379" i="15"/>
  <c r="S2379" i="15"/>
  <c r="R2380" i="15"/>
  <c r="S2380" i="15"/>
  <c r="R2381" i="15"/>
  <c r="S2381" i="15"/>
  <c r="R2382" i="15"/>
  <c r="S2382" i="15"/>
  <c r="R2383" i="15"/>
  <c r="S2383" i="15"/>
  <c r="R2384" i="15"/>
  <c r="S2384" i="15"/>
  <c r="R2385" i="15"/>
  <c r="S2385" i="15"/>
  <c r="R2386" i="15"/>
  <c r="S2386" i="15"/>
  <c r="R2387" i="15"/>
  <c r="S2387" i="15"/>
  <c r="R2388" i="15"/>
  <c r="S2388" i="15"/>
  <c r="R2389" i="15"/>
  <c r="S2389" i="15"/>
  <c r="R2390" i="15"/>
  <c r="S2390" i="15"/>
  <c r="R2391" i="15"/>
  <c r="S2391" i="15"/>
  <c r="R2392" i="15"/>
  <c r="S2392" i="15"/>
  <c r="R2393" i="15"/>
  <c r="S2393" i="15"/>
  <c r="R2394" i="15"/>
  <c r="S2394" i="15"/>
  <c r="R2395" i="15"/>
  <c r="S2395" i="15"/>
  <c r="R2396" i="15"/>
  <c r="S2396" i="15"/>
  <c r="R2397" i="15"/>
  <c r="S2397" i="15"/>
  <c r="R2398" i="15"/>
  <c r="S2398" i="15"/>
  <c r="R2399" i="15"/>
  <c r="S2399" i="15"/>
  <c r="R2400" i="15"/>
  <c r="S2400" i="15"/>
  <c r="R2401" i="15"/>
  <c r="S2401" i="15"/>
  <c r="R2402" i="15"/>
  <c r="S2402" i="15"/>
  <c r="R2403" i="15"/>
  <c r="S2403" i="15"/>
  <c r="R2404" i="15"/>
  <c r="S2404" i="15"/>
  <c r="R2405" i="15"/>
  <c r="S2405" i="15"/>
  <c r="R2406" i="15"/>
  <c r="S2406" i="15"/>
  <c r="R2407" i="15"/>
  <c r="S2407" i="15"/>
  <c r="R2408" i="15"/>
  <c r="S2408" i="15"/>
  <c r="R2409" i="15"/>
  <c r="S2409" i="15"/>
  <c r="R2410" i="15"/>
  <c r="S2410" i="15"/>
  <c r="R2411" i="15"/>
  <c r="S2411" i="15"/>
  <c r="R2412" i="15"/>
  <c r="S2412" i="15"/>
  <c r="R2413" i="15"/>
  <c r="S2413" i="15"/>
  <c r="R2414" i="15"/>
  <c r="S2414" i="15"/>
  <c r="R2415" i="15"/>
  <c r="S2415" i="15"/>
  <c r="R2416" i="15"/>
  <c r="S2416" i="15"/>
  <c r="R2417" i="15"/>
  <c r="S2417" i="15"/>
  <c r="R2418" i="15"/>
  <c r="S2418" i="15"/>
  <c r="R2419" i="15"/>
  <c r="S2419" i="15"/>
  <c r="R2420" i="15"/>
  <c r="S2420" i="15"/>
  <c r="R2421" i="15"/>
  <c r="S2421" i="15"/>
  <c r="R2422" i="15"/>
  <c r="S2422" i="15"/>
  <c r="R2423" i="15"/>
  <c r="S2423" i="15"/>
  <c r="R2424" i="15"/>
  <c r="S2424" i="15"/>
  <c r="R2425" i="15"/>
  <c r="S2425" i="15"/>
  <c r="R2426" i="15"/>
  <c r="S2426" i="15"/>
  <c r="R2427" i="15"/>
  <c r="S2427" i="15"/>
  <c r="R2428" i="15"/>
  <c r="S2428" i="15"/>
  <c r="R2429" i="15"/>
  <c r="S2429" i="15"/>
  <c r="R2430" i="15"/>
  <c r="S2430" i="15"/>
  <c r="R2431" i="15"/>
  <c r="S2431" i="15"/>
  <c r="R2432" i="15"/>
  <c r="S2432" i="15"/>
  <c r="R2433" i="15"/>
  <c r="S2433" i="15"/>
  <c r="R2434" i="15"/>
  <c r="S2434" i="15"/>
  <c r="R2435" i="15"/>
  <c r="S2435" i="15"/>
  <c r="R2436" i="15"/>
  <c r="S2436" i="15"/>
  <c r="R2437" i="15"/>
  <c r="S2437" i="15"/>
  <c r="R2438" i="15"/>
  <c r="S2438" i="15"/>
  <c r="R2439" i="15"/>
  <c r="S2439" i="15"/>
  <c r="R2440" i="15"/>
  <c r="S2440" i="15"/>
  <c r="R2441" i="15"/>
  <c r="S2441" i="15"/>
  <c r="R2442" i="15"/>
  <c r="S2442" i="15"/>
  <c r="R2443" i="15"/>
  <c r="S2443" i="15"/>
  <c r="R2444" i="15"/>
  <c r="S2444" i="15"/>
  <c r="R2445" i="15"/>
  <c r="S2445" i="15"/>
  <c r="R2446" i="15"/>
  <c r="S2446" i="15"/>
  <c r="R2447" i="15"/>
  <c r="S2447" i="15"/>
  <c r="R2448" i="15"/>
  <c r="S2448" i="15"/>
  <c r="R2449" i="15"/>
  <c r="S2449" i="15"/>
  <c r="R2450" i="15"/>
  <c r="S2450" i="15"/>
  <c r="R2451" i="15"/>
  <c r="S2451" i="15"/>
  <c r="R2452" i="15"/>
  <c r="S2452" i="15"/>
  <c r="R2453" i="15"/>
  <c r="S2453" i="15"/>
  <c r="R2454" i="15"/>
  <c r="S2454" i="15"/>
  <c r="R2455" i="15"/>
  <c r="S2455" i="15"/>
  <c r="R2456" i="15"/>
  <c r="S2456" i="15"/>
  <c r="R2457" i="15"/>
  <c r="S2457" i="15"/>
  <c r="R2458" i="15"/>
  <c r="S2458" i="15"/>
  <c r="R2459" i="15"/>
  <c r="S2459" i="15"/>
  <c r="R2460" i="15"/>
  <c r="S2460" i="15"/>
  <c r="R2461" i="15"/>
  <c r="S2461" i="15"/>
  <c r="R2462" i="15"/>
  <c r="S2462" i="15"/>
  <c r="R2463" i="15"/>
  <c r="S2463" i="15"/>
  <c r="R2464" i="15"/>
  <c r="S2464" i="15"/>
  <c r="R2465" i="15"/>
  <c r="S2465" i="15"/>
  <c r="R2466" i="15"/>
  <c r="S2466" i="15"/>
  <c r="R2467" i="15"/>
  <c r="S2467" i="15"/>
  <c r="R2468" i="15"/>
  <c r="S2468" i="15"/>
  <c r="R2469" i="15"/>
  <c r="S2469" i="15"/>
  <c r="R2470" i="15"/>
  <c r="S2470" i="15"/>
  <c r="R2471" i="15"/>
  <c r="S2471" i="15"/>
  <c r="R2472" i="15"/>
  <c r="S2472" i="15"/>
  <c r="R2473" i="15"/>
  <c r="S2473" i="15"/>
  <c r="R2474" i="15"/>
  <c r="S2474" i="15"/>
  <c r="R2475" i="15"/>
  <c r="S2475" i="15"/>
  <c r="R2476" i="15"/>
  <c r="S2476" i="15"/>
  <c r="R2477" i="15"/>
  <c r="S2477" i="15"/>
  <c r="R2478" i="15"/>
  <c r="S2478" i="15"/>
  <c r="R2479" i="15"/>
  <c r="S2479" i="15"/>
  <c r="R2480" i="15"/>
  <c r="S2480" i="15"/>
  <c r="R2481" i="15"/>
  <c r="S2481" i="15"/>
  <c r="R2482" i="15"/>
  <c r="S2482" i="15"/>
  <c r="R2483" i="15"/>
  <c r="S2483" i="15"/>
  <c r="R2484" i="15"/>
  <c r="S2484" i="15"/>
  <c r="R2485" i="15"/>
  <c r="S2485" i="15"/>
  <c r="R2486" i="15"/>
  <c r="S2486" i="15"/>
  <c r="R2487" i="15"/>
  <c r="S2487" i="15"/>
  <c r="R2488" i="15"/>
  <c r="S2488" i="15"/>
  <c r="R2489" i="15"/>
  <c r="S2489" i="15"/>
  <c r="R2490" i="15"/>
  <c r="S2490" i="15"/>
  <c r="R2491" i="15"/>
  <c r="S2491" i="15"/>
  <c r="R2492" i="15"/>
  <c r="S2492" i="15"/>
  <c r="R2493" i="15"/>
  <c r="S2493" i="15"/>
  <c r="R2494" i="15"/>
  <c r="S2494" i="15"/>
  <c r="R2495" i="15"/>
  <c r="S2495" i="15"/>
  <c r="R2496" i="15"/>
  <c r="S2496" i="15"/>
  <c r="R2497" i="15"/>
  <c r="S2497" i="15"/>
  <c r="R2498" i="15"/>
  <c r="S2498" i="15"/>
  <c r="R2499" i="15"/>
  <c r="S2499" i="15"/>
  <c r="R2500" i="15"/>
  <c r="S2500" i="15"/>
  <c r="R2501" i="15"/>
  <c r="S2501" i="15"/>
  <c r="R2502" i="15"/>
  <c r="S2502" i="15"/>
  <c r="R2503" i="15"/>
  <c r="S2503" i="15"/>
  <c r="R2504" i="15"/>
  <c r="S2504" i="15"/>
  <c r="R2505" i="15"/>
  <c r="S2505" i="15"/>
  <c r="R2506" i="15"/>
  <c r="S2506" i="15"/>
  <c r="R2507" i="15"/>
  <c r="S2507" i="15"/>
  <c r="R2508" i="15"/>
  <c r="S2508" i="15"/>
  <c r="R2509" i="15"/>
  <c r="S2509" i="15"/>
  <c r="R2510" i="15"/>
  <c r="S2510" i="15"/>
  <c r="R2511" i="15"/>
  <c r="S2511" i="15"/>
  <c r="R2512" i="15"/>
  <c r="S2512" i="15"/>
  <c r="R2513" i="15"/>
  <c r="S2513" i="15"/>
  <c r="R2514" i="15"/>
  <c r="S2514" i="15"/>
  <c r="R2515" i="15"/>
  <c r="S2515" i="15"/>
  <c r="R2516" i="15"/>
  <c r="S2516" i="15"/>
  <c r="R2517" i="15"/>
  <c r="S2517" i="15"/>
  <c r="R2518" i="15"/>
  <c r="S2518" i="15"/>
  <c r="R2519" i="15"/>
  <c r="S2519" i="15"/>
  <c r="R2520" i="15"/>
  <c r="S2520" i="15"/>
  <c r="R2521" i="15"/>
  <c r="S2521" i="15"/>
  <c r="R2522" i="15"/>
  <c r="S2522" i="15"/>
  <c r="R2523" i="15"/>
  <c r="S2523" i="15"/>
  <c r="R2524" i="15"/>
  <c r="S2524" i="15"/>
  <c r="R2525" i="15"/>
  <c r="S2525" i="15"/>
  <c r="R2526" i="15"/>
  <c r="S2526" i="15"/>
  <c r="R2527" i="15"/>
  <c r="S2527" i="15"/>
  <c r="R2528" i="15"/>
  <c r="S2528" i="15"/>
  <c r="R2529" i="15"/>
  <c r="S2529" i="15"/>
  <c r="R2530" i="15"/>
  <c r="S2530" i="15"/>
  <c r="R2531" i="15"/>
  <c r="S2531" i="15"/>
  <c r="R2532" i="15"/>
  <c r="S2532" i="15"/>
  <c r="R2533" i="15"/>
  <c r="S2533" i="15"/>
  <c r="R2534" i="15"/>
  <c r="S2534" i="15"/>
  <c r="R2535" i="15"/>
  <c r="S2535" i="15"/>
  <c r="R2536" i="15"/>
  <c r="S2536" i="15"/>
  <c r="R2537" i="15"/>
  <c r="S2537" i="15"/>
  <c r="R2538" i="15"/>
  <c r="S2538" i="15"/>
  <c r="R2539" i="15"/>
  <c r="S2539" i="15"/>
  <c r="R2540" i="15"/>
  <c r="S2540" i="15"/>
  <c r="R2541" i="15"/>
  <c r="S2541" i="15"/>
  <c r="R2542" i="15"/>
  <c r="S2542" i="15"/>
  <c r="R2543" i="15"/>
  <c r="S2543" i="15"/>
  <c r="R2544" i="15"/>
  <c r="S2544" i="15"/>
  <c r="R2545" i="15"/>
  <c r="S2545" i="15"/>
  <c r="R2546" i="15"/>
  <c r="S2546" i="15"/>
  <c r="R2547" i="15"/>
  <c r="S2547" i="15"/>
  <c r="R2548" i="15"/>
  <c r="S2548" i="15"/>
  <c r="R2549" i="15"/>
  <c r="S2549" i="15"/>
  <c r="R2550" i="15"/>
  <c r="S2550" i="15"/>
  <c r="R2551" i="15"/>
  <c r="S2551" i="15"/>
  <c r="R2552" i="15"/>
  <c r="S2552" i="15"/>
  <c r="R2553" i="15"/>
  <c r="S2553" i="15"/>
  <c r="R2554" i="15"/>
  <c r="S2554" i="15"/>
  <c r="R2555" i="15"/>
  <c r="S2555" i="15"/>
  <c r="R2556" i="15"/>
  <c r="S2556" i="15"/>
  <c r="R2557" i="15"/>
  <c r="S2557" i="15"/>
  <c r="R2558" i="15"/>
  <c r="S2558" i="15"/>
  <c r="R2559" i="15"/>
  <c r="S2559" i="15"/>
  <c r="R2560" i="15"/>
  <c r="S2560" i="15"/>
  <c r="R2561" i="15"/>
  <c r="S2561" i="15"/>
  <c r="R2562" i="15"/>
  <c r="S2562" i="15"/>
  <c r="R2563" i="15"/>
  <c r="S2563" i="15"/>
  <c r="R2564" i="15"/>
  <c r="S2564" i="15"/>
  <c r="R2565" i="15"/>
  <c r="S2565" i="15"/>
  <c r="R2566" i="15"/>
  <c r="S2566" i="15"/>
  <c r="R2567" i="15"/>
  <c r="S2567" i="15"/>
  <c r="R2568" i="15"/>
  <c r="S2568" i="15"/>
  <c r="R2569" i="15"/>
  <c r="S2569" i="15"/>
  <c r="R2570" i="15"/>
  <c r="S2570" i="15"/>
  <c r="R2571" i="15"/>
  <c r="S2571" i="15"/>
  <c r="R2572" i="15"/>
  <c r="S2572" i="15"/>
  <c r="R2573" i="15"/>
  <c r="S2573" i="15"/>
  <c r="R2574" i="15"/>
  <c r="S2574" i="15"/>
  <c r="R2575" i="15"/>
  <c r="S2575" i="15"/>
  <c r="R2576" i="15"/>
  <c r="S2576" i="15"/>
  <c r="R2577" i="15"/>
  <c r="S2577" i="15"/>
  <c r="R2578" i="15"/>
  <c r="S2578" i="15"/>
  <c r="R2579" i="15"/>
  <c r="S2579" i="15"/>
  <c r="R2580" i="15"/>
  <c r="S2580" i="15"/>
  <c r="R2581" i="15"/>
  <c r="S2581" i="15"/>
  <c r="R2582" i="15"/>
  <c r="S2582" i="15"/>
  <c r="R2583" i="15"/>
  <c r="S2583" i="15"/>
  <c r="R2584" i="15"/>
  <c r="S2584" i="15"/>
  <c r="R2585" i="15"/>
  <c r="S2585" i="15"/>
  <c r="R2586" i="15"/>
  <c r="S2586" i="15"/>
  <c r="R2587" i="15"/>
  <c r="S2587" i="15"/>
  <c r="R2588" i="15"/>
  <c r="S2588" i="15"/>
  <c r="R2589" i="15"/>
  <c r="S2589" i="15"/>
  <c r="R2590" i="15"/>
  <c r="S2590" i="15"/>
  <c r="R2591" i="15"/>
  <c r="S2591" i="15"/>
  <c r="R2592" i="15"/>
  <c r="S2592" i="15"/>
  <c r="R2593" i="15"/>
  <c r="S2593" i="15"/>
  <c r="R2594" i="15"/>
  <c r="S2594" i="15"/>
  <c r="R2595" i="15"/>
  <c r="S2595" i="15"/>
  <c r="R2596" i="15"/>
  <c r="S2596" i="15"/>
  <c r="R2597" i="15"/>
  <c r="S2597" i="15"/>
  <c r="R2598" i="15"/>
  <c r="S2598" i="15"/>
  <c r="R2599" i="15"/>
  <c r="S2599" i="15"/>
  <c r="R2600" i="15"/>
  <c r="S2600" i="15"/>
  <c r="R2601" i="15"/>
  <c r="S2601" i="15"/>
  <c r="R2602" i="15"/>
  <c r="S2602" i="15"/>
  <c r="R2603" i="15"/>
  <c r="S2603" i="15"/>
  <c r="R2604" i="15"/>
  <c r="S2604" i="15"/>
  <c r="R2605" i="15"/>
  <c r="S2605" i="15"/>
  <c r="R2606" i="15"/>
  <c r="S2606" i="15"/>
  <c r="R2607" i="15"/>
  <c r="S2607" i="15"/>
  <c r="R2608" i="15"/>
  <c r="S2608" i="15"/>
  <c r="R2609" i="15"/>
  <c r="S2609" i="15"/>
  <c r="R2610" i="15"/>
  <c r="S2610" i="15"/>
  <c r="R2611" i="15"/>
  <c r="S2611" i="15"/>
  <c r="R2612" i="15"/>
  <c r="S2612" i="15"/>
  <c r="S2" i="15"/>
  <c r="R2" i="15"/>
  <c r="H3" i="15"/>
  <c r="I3" i="15"/>
  <c r="H4" i="15"/>
  <c r="I4" i="15"/>
  <c r="H5" i="15"/>
  <c r="I5" i="15"/>
  <c r="H6" i="15"/>
  <c r="I6" i="15"/>
  <c r="H7" i="15"/>
  <c r="I7" i="15"/>
  <c r="H8" i="15"/>
  <c r="I8" i="15"/>
  <c r="H9" i="15"/>
  <c r="I9" i="15"/>
  <c r="H10" i="15"/>
  <c r="I10" i="15"/>
  <c r="H11" i="15"/>
  <c r="I11" i="15"/>
  <c r="H12" i="15"/>
  <c r="I12" i="15"/>
  <c r="H13" i="15"/>
  <c r="I13" i="15"/>
  <c r="H14" i="15"/>
  <c r="I14" i="15"/>
  <c r="H15" i="15"/>
  <c r="I15" i="15"/>
  <c r="H16" i="15"/>
  <c r="I16" i="15"/>
  <c r="H17" i="15"/>
  <c r="I17" i="15"/>
  <c r="H18" i="15"/>
  <c r="I18" i="15"/>
  <c r="H19" i="15"/>
  <c r="I19" i="15"/>
  <c r="H20" i="15"/>
  <c r="I20" i="15"/>
  <c r="H21" i="15"/>
  <c r="I21" i="15"/>
  <c r="H22" i="15"/>
  <c r="I22" i="15"/>
  <c r="H23" i="15"/>
  <c r="I23" i="15"/>
  <c r="H24" i="15"/>
  <c r="I24" i="15"/>
  <c r="H25" i="15"/>
  <c r="I25" i="15"/>
  <c r="H26" i="15"/>
  <c r="I26" i="15"/>
  <c r="H27" i="15"/>
  <c r="I27" i="15"/>
  <c r="H28" i="15"/>
  <c r="I28" i="15"/>
  <c r="H29" i="15"/>
  <c r="I29" i="15"/>
  <c r="H30" i="15"/>
  <c r="I30" i="15"/>
  <c r="H31" i="15"/>
  <c r="I31" i="15"/>
  <c r="H32" i="15"/>
  <c r="I32" i="15"/>
  <c r="H33" i="15"/>
  <c r="I33" i="15"/>
  <c r="H34" i="15"/>
  <c r="I34" i="15"/>
  <c r="H35" i="15"/>
  <c r="I35" i="15"/>
  <c r="H36" i="15"/>
  <c r="I36" i="15"/>
  <c r="H37" i="15"/>
  <c r="I37" i="15"/>
  <c r="H38" i="15"/>
  <c r="I38" i="15"/>
  <c r="H39" i="15"/>
  <c r="I39" i="15"/>
  <c r="H40" i="15"/>
  <c r="I40" i="15"/>
  <c r="H41" i="15"/>
  <c r="I41" i="15"/>
  <c r="H42" i="15"/>
  <c r="I42" i="15"/>
  <c r="H43" i="15"/>
  <c r="I43" i="15"/>
  <c r="H44" i="15"/>
  <c r="I44" i="15"/>
  <c r="H45" i="15"/>
  <c r="I45" i="15"/>
  <c r="H46" i="15"/>
  <c r="I46" i="15"/>
  <c r="H47" i="15"/>
  <c r="I47" i="15"/>
  <c r="H48" i="15"/>
  <c r="I48" i="15"/>
  <c r="H49" i="15"/>
  <c r="I49" i="15"/>
  <c r="H50" i="15"/>
  <c r="I50" i="15"/>
  <c r="H51" i="15"/>
  <c r="I51" i="15"/>
  <c r="H52" i="15"/>
  <c r="I52" i="15"/>
  <c r="H53" i="15"/>
  <c r="I53" i="15"/>
  <c r="H54" i="15"/>
  <c r="I54" i="15"/>
  <c r="H55" i="15"/>
  <c r="I55" i="15"/>
  <c r="H56" i="15"/>
  <c r="I56" i="15"/>
  <c r="H57" i="15"/>
  <c r="I57" i="15"/>
  <c r="H58" i="15"/>
  <c r="I58" i="15"/>
  <c r="H59" i="15"/>
  <c r="I59" i="15"/>
  <c r="H60" i="15"/>
  <c r="I60" i="15"/>
  <c r="H61" i="15"/>
  <c r="I61" i="15"/>
  <c r="H62" i="15"/>
  <c r="I62" i="15"/>
  <c r="H63" i="15"/>
  <c r="I63" i="15"/>
  <c r="H64" i="15"/>
  <c r="I64" i="15"/>
  <c r="H65" i="15"/>
  <c r="I65" i="15"/>
  <c r="H66" i="15"/>
  <c r="I66" i="15"/>
  <c r="H67" i="15"/>
  <c r="I67" i="15"/>
  <c r="H68" i="15"/>
  <c r="I68" i="15"/>
  <c r="H69" i="15"/>
  <c r="I69" i="15"/>
  <c r="H70" i="15"/>
  <c r="I70" i="15"/>
  <c r="H71" i="15"/>
  <c r="I71" i="15"/>
  <c r="H72" i="15"/>
  <c r="I72" i="15"/>
  <c r="H73" i="15"/>
  <c r="I73" i="15"/>
  <c r="H74" i="15"/>
  <c r="I74" i="15"/>
  <c r="H75" i="15"/>
  <c r="I75" i="15"/>
  <c r="H76" i="15"/>
  <c r="I76" i="15"/>
  <c r="H77" i="15"/>
  <c r="I77" i="15"/>
  <c r="H78" i="15"/>
  <c r="I78" i="15"/>
  <c r="H79" i="15"/>
  <c r="I79" i="15"/>
  <c r="H80" i="15"/>
  <c r="I80" i="15"/>
  <c r="H81" i="15"/>
  <c r="I81" i="15"/>
  <c r="H82" i="15"/>
  <c r="I82" i="15"/>
  <c r="H83" i="15"/>
  <c r="I83" i="15"/>
  <c r="H84" i="15"/>
  <c r="I84" i="15"/>
  <c r="H85" i="15"/>
  <c r="I85" i="15"/>
  <c r="H86" i="15"/>
  <c r="I86" i="15"/>
  <c r="H87" i="15"/>
  <c r="I87" i="15"/>
  <c r="H88" i="15"/>
  <c r="I88" i="15"/>
  <c r="H89" i="15"/>
  <c r="I89" i="15"/>
  <c r="H90" i="15"/>
  <c r="I90" i="15"/>
  <c r="H91" i="15"/>
  <c r="I91" i="15"/>
  <c r="H92" i="15"/>
  <c r="I92" i="15"/>
  <c r="H93" i="15"/>
  <c r="I93" i="15"/>
  <c r="H94" i="15"/>
  <c r="I94" i="15"/>
  <c r="H95" i="15"/>
  <c r="I95" i="15"/>
  <c r="H96" i="15"/>
  <c r="I96" i="15"/>
  <c r="H97" i="15"/>
  <c r="I97" i="15"/>
  <c r="H98" i="15"/>
  <c r="I98" i="15"/>
  <c r="H99" i="15"/>
  <c r="I99" i="15"/>
  <c r="H100" i="15"/>
  <c r="I100" i="15"/>
  <c r="H101" i="15"/>
  <c r="I101" i="15"/>
  <c r="H102" i="15"/>
  <c r="I102" i="15"/>
  <c r="H103" i="15"/>
  <c r="I103" i="15"/>
  <c r="H104" i="15"/>
  <c r="I104" i="15"/>
  <c r="H105" i="15"/>
  <c r="I105" i="15"/>
  <c r="H106" i="15"/>
  <c r="I106" i="15"/>
  <c r="H107" i="15"/>
  <c r="I107" i="15"/>
  <c r="H108" i="15"/>
  <c r="I108" i="15"/>
  <c r="H109" i="15"/>
  <c r="I109" i="15"/>
  <c r="H110" i="15"/>
  <c r="I110" i="15"/>
  <c r="H111" i="15"/>
  <c r="I111" i="15"/>
  <c r="H112" i="15"/>
  <c r="I112" i="15"/>
  <c r="H113" i="15"/>
  <c r="I113" i="15"/>
  <c r="H114" i="15"/>
  <c r="I114" i="15"/>
  <c r="H115" i="15"/>
  <c r="I115" i="15"/>
  <c r="H116" i="15"/>
  <c r="I116" i="15"/>
  <c r="H117" i="15"/>
  <c r="I117" i="15"/>
  <c r="H118" i="15"/>
  <c r="I118" i="15"/>
  <c r="H119" i="15"/>
  <c r="I119" i="15"/>
  <c r="H120" i="15"/>
  <c r="I120" i="15"/>
  <c r="H121" i="15"/>
  <c r="I121" i="15"/>
  <c r="H122" i="15"/>
  <c r="I122" i="15"/>
  <c r="H123" i="15"/>
  <c r="I123" i="15"/>
  <c r="H124" i="15"/>
  <c r="I124" i="15"/>
  <c r="H125" i="15"/>
  <c r="I125" i="15"/>
  <c r="H126" i="15"/>
  <c r="I126" i="15"/>
  <c r="H127" i="15"/>
  <c r="I127" i="15"/>
  <c r="H128" i="15"/>
  <c r="I128" i="15"/>
  <c r="H129" i="15"/>
  <c r="I129" i="15"/>
  <c r="H130" i="15"/>
  <c r="I130" i="15"/>
  <c r="H131" i="15"/>
  <c r="I131" i="15"/>
  <c r="H132" i="15"/>
  <c r="I132" i="15"/>
  <c r="H133" i="15"/>
  <c r="I133" i="15"/>
  <c r="H134" i="15"/>
  <c r="I134" i="15"/>
  <c r="H135" i="15"/>
  <c r="I135" i="15"/>
  <c r="H136" i="15"/>
  <c r="I136" i="15"/>
  <c r="H137" i="15"/>
  <c r="I137" i="15"/>
  <c r="H138" i="15"/>
  <c r="I138" i="15"/>
  <c r="H139" i="15"/>
  <c r="I139" i="15"/>
  <c r="H140" i="15"/>
  <c r="I140" i="15"/>
  <c r="H141" i="15"/>
  <c r="I141" i="15"/>
  <c r="H142" i="15"/>
  <c r="I142" i="15"/>
  <c r="H143" i="15"/>
  <c r="I143" i="15"/>
  <c r="H144" i="15"/>
  <c r="I144" i="15"/>
  <c r="H145" i="15"/>
  <c r="I145" i="15"/>
  <c r="H146" i="15"/>
  <c r="I146" i="15"/>
  <c r="H147" i="15"/>
  <c r="I147" i="15"/>
  <c r="H148" i="15"/>
  <c r="I148" i="15"/>
  <c r="H149" i="15"/>
  <c r="I149" i="15"/>
  <c r="H150" i="15"/>
  <c r="I150" i="15"/>
  <c r="H151" i="15"/>
  <c r="I151" i="15"/>
  <c r="H152" i="15"/>
  <c r="I152" i="15"/>
  <c r="H153" i="15"/>
  <c r="I153" i="15"/>
  <c r="H154" i="15"/>
  <c r="I154" i="15"/>
  <c r="H155" i="15"/>
  <c r="I155" i="15"/>
  <c r="H156" i="15"/>
  <c r="I156" i="15"/>
  <c r="H157" i="15"/>
  <c r="I157" i="15"/>
  <c r="H158" i="15"/>
  <c r="I158" i="15"/>
  <c r="H159" i="15"/>
  <c r="I159" i="15"/>
  <c r="H160" i="15"/>
  <c r="I160" i="15"/>
  <c r="H161" i="15"/>
  <c r="I161" i="15"/>
  <c r="H162" i="15"/>
  <c r="I162" i="15"/>
  <c r="H163" i="15"/>
  <c r="I163" i="15"/>
  <c r="H164" i="15"/>
  <c r="I164" i="15"/>
  <c r="H165" i="15"/>
  <c r="I165" i="15"/>
  <c r="H166" i="15"/>
  <c r="I166" i="15"/>
  <c r="H167" i="15"/>
  <c r="I167" i="15"/>
  <c r="H168" i="15"/>
  <c r="I168" i="15"/>
  <c r="H169" i="15"/>
  <c r="I169" i="15"/>
  <c r="H170" i="15"/>
  <c r="I170" i="15"/>
  <c r="H171" i="15"/>
  <c r="I171" i="15"/>
  <c r="H172" i="15"/>
  <c r="I172" i="15"/>
  <c r="H173" i="15"/>
  <c r="I173" i="15"/>
  <c r="H174" i="15"/>
  <c r="I174" i="15"/>
  <c r="H175" i="15"/>
  <c r="I175" i="15"/>
  <c r="H176" i="15"/>
  <c r="I176" i="15"/>
  <c r="H177" i="15"/>
  <c r="I177" i="15"/>
  <c r="H178" i="15"/>
  <c r="I178" i="15"/>
  <c r="H179" i="15"/>
  <c r="I179" i="15"/>
  <c r="H180" i="15"/>
  <c r="I180" i="15"/>
  <c r="H181" i="15"/>
  <c r="I181" i="15"/>
  <c r="H182" i="15"/>
  <c r="I182" i="15"/>
  <c r="H183" i="15"/>
  <c r="I183" i="15"/>
  <c r="H184" i="15"/>
  <c r="I184" i="15"/>
  <c r="H185" i="15"/>
  <c r="I185" i="15"/>
  <c r="H186" i="15"/>
  <c r="I186" i="15"/>
  <c r="H187" i="15"/>
  <c r="I187" i="15"/>
  <c r="H188" i="15"/>
  <c r="I188" i="15"/>
  <c r="H189" i="15"/>
  <c r="I189" i="15"/>
  <c r="H190" i="15"/>
  <c r="I190" i="15"/>
  <c r="H191" i="15"/>
  <c r="I191" i="15"/>
  <c r="H192" i="15"/>
  <c r="I192" i="15"/>
  <c r="H193" i="15"/>
  <c r="I193" i="15"/>
  <c r="H194" i="15"/>
  <c r="I194" i="15"/>
  <c r="H195" i="15"/>
  <c r="I195" i="15"/>
  <c r="H196" i="15"/>
  <c r="I196" i="15"/>
  <c r="H197" i="15"/>
  <c r="I197" i="15"/>
  <c r="H198" i="15"/>
  <c r="I198" i="15"/>
  <c r="H199" i="15"/>
  <c r="I199" i="15"/>
  <c r="H200" i="15"/>
  <c r="I200" i="15"/>
  <c r="H201" i="15"/>
  <c r="I201" i="15"/>
  <c r="H202" i="15"/>
  <c r="I202" i="15"/>
  <c r="H203" i="15"/>
  <c r="I203" i="15"/>
  <c r="H204" i="15"/>
  <c r="I204" i="15"/>
  <c r="H205" i="15"/>
  <c r="I205" i="15"/>
  <c r="H206" i="15"/>
  <c r="I206" i="15"/>
  <c r="H207" i="15"/>
  <c r="I207" i="15"/>
  <c r="H208" i="15"/>
  <c r="I208" i="15"/>
  <c r="H209" i="15"/>
  <c r="I209" i="15"/>
  <c r="H210" i="15"/>
  <c r="I210" i="15"/>
  <c r="H211" i="15"/>
  <c r="I211" i="15"/>
  <c r="H212" i="15"/>
  <c r="I212" i="15"/>
  <c r="H213" i="15"/>
  <c r="I213" i="15"/>
  <c r="H214" i="15"/>
  <c r="I214" i="15"/>
  <c r="H215" i="15"/>
  <c r="I215" i="15"/>
  <c r="H216" i="15"/>
  <c r="I216" i="15"/>
  <c r="H217" i="15"/>
  <c r="I217" i="15"/>
  <c r="H218" i="15"/>
  <c r="I218" i="15"/>
  <c r="H219" i="15"/>
  <c r="I219" i="15"/>
  <c r="H220" i="15"/>
  <c r="I220" i="15"/>
  <c r="H221" i="15"/>
  <c r="I221" i="15"/>
  <c r="H222" i="15"/>
  <c r="I222" i="15"/>
  <c r="H223" i="15"/>
  <c r="I223" i="15"/>
  <c r="H224" i="15"/>
  <c r="I224" i="15"/>
  <c r="H225" i="15"/>
  <c r="I225" i="15"/>
  <c r="H226" i="15"/>
  <c r="I226" i="15"/>
  <c r="H227" i="15"/>
  <c r="I227" i="15"/>
  <c r="H228" i="15"/>
  <c r="I228" i="15"/>
  <c r="H229" i="15"/>
  <c r="I229" i="15"/>
  <c r="H230" i="15"/>
  <c r="I230" i="15"/>
  <c r="H231" i="15"/>
  <c r="I231" i="15"/>
  <c r="H232" i="15"/>
  <c r="I232" i="15"/>
  <c r="H233" i="15"/>
  <c r="I233" i="15"/>
  <c r="H234" i="15"/>
  <c r="I234" i="15"/>
  <c r="H235" i="15"/>
  <c r="I235" i="15"/>
  <c r="H236" i="15"/>
  <c r="I236" i="15"/>
  <c r="H237" i="15"/>
  <c r="I237" i="15"/>
  <c r="H238" i="15"/>
  <c r="I238" i="15"/>
  <c r="H239" i="15"/>
  <c r="I239" i="15"/>
  <c r="H240" i="15"/>
  <c r="I240" i="15"/>
  <c r="H241" i="15"/>
  <c r="I241" i="15"/>
  <c r="H242" i="15"/>
  <c r="I242" i="15"/>
  <c r="H243" i="15"/>
  <c r="I243" i="15"/>
  <c r="H244" i="15"/>
  <c r="I244" i="15"/>
  <c r="H245" i="15"/>
  <c r="I245" i="15"/>
  <c r="H246" i="15"/>
  <c r="I246" i="15"/>
  <c r="H247" i="15"/>
  <c r="I247" i="15"/>
  <c r="H248" i="15"/>
  <c r="I248" i="15"/>
  <c r="H249" i="15"/>
  <c r="I249" i="15"/>
  <c r="H250" i="15"/>
  <c r="I250" i="15"/>
  <c r="H251" i="15"/>
  <c r="I251" i="15"/>
  <c r="H252" i="15"/>
  <c r="I252" i="15"/>
  <c r="H253" i="15"/>
  <c r="I253" i="15"/>
  <c r="H254" i="15"/>
  <c r="I254" i="15"/>
  <c r="H255" i="15"/>
  <c r="I255" i="15"/>
  <c r="H256" i="15"/>
  <c r="I256" i="15"/>
  <c r="H257" i="15"/>
  <c r="I257" i="15"/>
  <c r="H258" i="15"/>
  <c r="I258" i="15"/>
  <c r="H259" i="15"/>
  <c r="I259" i="15"/>
  <c r="H260" i="15"/>
  <c r="I260" i="15"/>
  <c r="H261" i="15"/>
  <c r="I261" i="15"/>
  <c r="H262" i="15"/>
  <c r="I262" i="15"/>
  <c r="H263" i="15"/>
  <c r="I263" i="15"/>
  <c r="H264" i="15"/>
  <c r="I264" i="15"/>
  <c r="H265" i="15"/>
  <c r="I265" i="15"/>
  <c r="H266" i="15"/>
  <c r="I266" i="15"/>
  <c r="H267" i="15"/>
  <c r="I267" i="15"/>
  <c r="H268" i="15"/>
  <c r="I268" i="15"/>
  <c r="H269" i="15"/>
  <c r="I269" i="15"/>
  <c r="H270" i="15"/>
  <c r="I270" i="15"/>
  <c r="H271" i="15"/>
  <c r="I271" i="15"/>
  <c r="H272" i="15"/>
  <c r="I272" i="15"/>
  <c r="H273" i="15"/>
  <c r="I273" i="15"/>
  <c r="H274" i="15"/>
  <c r="I274" i="15"/>
  <c r="H275" i="15"/>
  <c r="I275" i="15"/>
  <c r="H276" i="15"/>
  <c r="I276" i="15"/>
  <c r="H277" i="15"/>
  <c r="I277" i="15"/>
  <c r="H278" i="15"/>
  <c r="I278" i="15"/>
  <c r="H279" i="15"/>
  <c r="I279" i="15"/>
  <c r="H280" i="15"/>
  <c r="I280" i="15"/>
  <c r="H281" i="15"/>
  <c r="I281" i="15"/>
  <c r="H282" i="15"/>
  <c r="I282" i="15"/>
  <c r="H283" i="15"/>
  <c r="I283" i="15"/>
  <c r="H284" i="15"/>
  <c r="I284" i="15"/>
  <c r="H285" i="15"/>
  <c r="I285" i="15"/>
  <c r="H286" i="15"/>
  <c r="I286" i="15"/>
  <c r="H287" i="15"/>
  <c r="I287" i="15"/>
  <c r="H288" i="15"/>
  <c r="I288" i="15"/>
  <c r="H289" i="15"/>
  <c r="I289" i="15"/>
  <c r="H290" i="15"/>
  <c r="I290" i="15"/>
  <c r="H291" i="15"/>
  <c r="I291" i="15"/>
  <c r="H292" i="15"/>
  <c r="I292" i="15"/>
  <c r="H293" i="15"/>
  <c r="I293" i="15"/>
  <c r="H294" i="15"/>
  <c r="I294" i="15"/>
  <c r="H295" i="15"/>
  <c r="I295" i="15"/>
  <c r="H296" i="15"/>
  <c r="I296" i="15"/>
  <c r="H297" i="15"/>
  <c r="I297" i="15"/>
  <c r="H298" i="15"/>
  <c r="I298" i="15"/>
  <c r="H299" i="15"/>
  <c r="I299" i="15"/>
  <c r="H300" i="15"/>
  <c r="I300" i="15"/>
  <c r="H301" i="15"/>
  <c r="I301" i="15"/>
  <c r="H302" i="15"/>
  <c r="I302" i="15"/>
  <c r="H303" i="15"/>
  <c r="I303" i="15"/>
  <c r="H304" i="15"/>
  <c r="I304" i="15"/>
  <c r="H305" i="15"/>
  <c r="I305" i="15"/>
  <c r="H306" i="15"/>
  <c r="I306" i="15"/>
  <c r="H307" i="15"/>
  <c r="I307" i="15"/>
  <c r="H308" i="15"/>
  <c r="I308" i="15"/>
  <c r="H309" i="15"/>
  <c r="I309" i="15"/>
  <c r="H310" i="15"/>
  <c r="I310" i="15"/>
  <c r="H311" i="15"/>
  <c r="I311" i="15"/>
  <c r="H312" i="15"/>
  <c r="I312" i="15"/>
  <c r="H313" i="15"/>
  <c r="I313" i="15"/>
  <c r="H314" i="15"/>
  <c r="I314" i="15"/>
  <c r="H315" i="15"/>
  <c r="I315" i="15"/>
  <c r="H316" i="15"/>
  <c r="I316" i="15"/>
  <c r="H317" i="15"/>
  <c r="I317" i="15"/>
  <c r="H318" i="15"/>
  <c r="I318" i="15"/>
  <c r="H319" i="15"/>
  <c r="I319" i="15"/>
  <c r="H320" i="15"/>
  <c r="I320" i="15"/>
  <c r="H321" i="15"/>
  <c r="I321" i="15"/>
  <c r="H322" i="15"/>
  <c r="I322" i="15"/>
  <c r="H323" i="15"/>
  <c r="I323" i="15"/>
  <c r="H324" i="15"/>
  <c r="I324" i="15"/>
  <c r="H325" i="15"/>
  <c r="I325" i="15"/>
  <c r="H326" i="15"/>
  <c r="I326" i="15"/>
  <c r="H327" i="15"/>
  <c r="I327" i="15"/>
  <c r="H328" i="15"/>
  <c r="I328" i="15"/>
  <c r="H329" i="15"/>
  <c r="I329" i="15"/>
  <c r="H330" i="15"/>
  <c r="I330" i="15"/>
  <c r="H331" i="15"/>
  <c r="I331" i="15"/>
  <c r="H332" i="15"/>
  <c r="I332" i="15"/>
  <c r="H333" i="15"/>
  <c r="I333" i="15"/>
  <c r="H334" i="15"/>
  <c r="I334" i="15"/>
  <c r="H335" i="15"/>
  <c r="I335" i="15"/>
  <c r="H336" i="15"/>
  <c r="I336" i="15"/>
  <c r="H337" i="15"/>
  <c r="I337" i="15"/>
  <c r="H338" i="15"/>
  <c r="I338" i="15"/>
  <c r="H339" i="15"/>
  <c r="I339" i="15"/>
  <c r="H340" i="15"/>
  <c r="I340" i="15"/>
  <c r="H341" i="15"/>
  <c r="I341" i="15"/>
  <c r="H342" i="15"/>
  <c r="I342" i="15"/>
  <c r="H343" i="15"/>
  <c r="I343" i="15"/>
  <c r="H344" i="15"/>
  <c r="I344" i="15"/>
  <c r="H345" i="15"/>
  <c r="I345" i="15"/>
  <c r="H346" i="15"/>
  <c r="I346" i="15"/>
  <c r="H347" i="15"/>
  <c r="I347" i="15"/>
  <c r="H348" i="15"/>
  <c r="I348" i="15"/>
  <c r="H349" i="15"/>
  <c r="I349" i="15"/>
  <c r="H350" i="15"/>
  <c r="I350" i="15"/>
  <c r="H351" i="15"/>
  <c r="I351" i="15"/>
  <c r="H352" i="15"/>
  <c r="I352" i="15"/>
  <c r="H353" i="15"/>
  <c r="I353" i="15"/>
  <c r="H354" i="15"/>
  <c r="I354" i="15"/>
  <c r="H355" i="15"/>
  <c r="I355" i="15"/>
  <c r="H356" i="15"/>
  <c r="I356" i="15"/>
  <c r="H357" i="15"/>
  <c r="I357" i="15"/>
  <c r="H358" i="15"/>
  <c r="I358" i="15"/>
  <c r="H359" i="15"/>
  <c r="I359" i="15"/>
  <c r="H360" i="15"/>
  <c r="I360" i="15"/>
  <c r="H361" i="15"/>
  <c r="I361" i="15"/>
  <c r="H362" i="15"/>
  <c r="I362" i="15"/>
  <c r="H363" i="15"/>
  <c r="I363" i="15"/>
  <c r="H364" i="15"/>
  <c r="I364" i="15"/>
  <c r="H365" i="15"/>
  <c r="I365" i="15"/>
  <c r="H366" i="15"/>
  <c r="I366" i="15"/>
  <c r="H367" i="15"/>
  <c r="I367" i="15"/>
  <c r="H368" i="15"/>
  <c r="I368" i="15"/>
  <c r="H369" i="15"/>
  <c r="I369" i="15"/>
  <c r="H370" i="15"/>
  <c r="I370" i="15"/>
  <c r="H371" i="15"/>
  <c r="I371" i="15"/>
  <c r="H372" i="15"/>
  <c r="I372" i="15"/>
  <c r="H373" i="15"/>
  <c r="I373" i="15"/>
  <c r="H374" i="15"/>
  <c r="I374" i="15"/>
  <c r="H375" i="15"/>
  <c r="I375" i="15"/>
  <c r="H376" i="15"/>
  <c r="I376" i="15"/>
  <c r="H377" i="15"/>
  <c r="I377" i="15"/>
  <c r="H378" i="15"/>
  <c r="I378" i="15"/>
  <c r="H379" i="15"/>
  <c r="I379" i="15"/>
  <c r="H380" i="15"/>
  <c r="I380" i="15"/>
  <c r="H381" i="15"/>
  <c r="I381" i="15"/>
  <c r="H382" i="15"/>
  <c r="I382" i="15"/>
  <c r="H383" i="15"/>
  <c r="I383" i="15"/>
  <c r="H384" i="15"/>
  <c r="I384" i="15"/>
  <c r="H385" i="15"/>
  <c r="I385" i="15"/>
  <c r="H386" i="15"/>
  <c r="I386" i="15"/>
  <c r="H387" i="15"/>
  <c r="I387" i="15"/>
  <c r="H388" i="15"/>
  <c r="I388" i="15"/>
  <c r="H389" i="15"/>
  <c r="I389" i="15"/>
  <c r="H390" i="15"/>
  <c r="I390" i="15"/>
  <c r="H391" i="15"/>
  <c r="I391" i="15"/>
  <c r="H392" i="15"/>
  <c r="I392" i="15"/>
  <c r="H393" i="15"/>
  <c r="I393" i="15"/>
  <c r="H394" i="15"/>
  <c r="I394" i="15"/>
  <c r="H395" i="15"/>
  <c r="I395" i="15"/>
  <c r="H396" i="15"/>
  <c r="I396" i="15"/>
  <c r="H397" i="15"/>
  <c r="I397" i="15"/>
  <c r="H398" i="15"/>
  <c r="I398" i="15"/>
  <c r="H399" i="15"/>
  <c r="I399" i="15"/>
  <c r="H400" i="15"/>
  <c r="I400" i="15"/>
  <c r="H401" i="15"/>
  <c r="I401" i="15"/>
  <c r="H402" i="15"/>
  <c r="I402" i="15"/>
  <c r="H403" i="15"/>
  <c r="I403" i="15"/>
  <c r="H404" i="15"/>
  <c r="I404" i="15"/>
  <c r="H405" i="15"/>
  <c r="I405" i="15"/>
  <c r="H406" i="15"/>
  <c r="I406" i="15"/>
  <c r="H407" i="15"/>
  <c r="I407" i="15"/>
  <c r="H408" i="15"/>
  <c r="I408" i="15"/>
  <c r="H409" i="15"/>
  <c r="I409" i="15"/>
  <c r="H410" i="15"/>
  <c r="I410" i="15"/>
  <c r="H411" i="15"/>
  <c r="I411" i="15"/>
  <c r="H412" i="15"/>
  <c r="I412" i="15"/>
  <c r="H413" i="15"/>
  <c r="I413" i="15"/>
  <c r="H414" i="15"/>
  <c r="I414" i="15"/>
  <c r="H415" i="15"/>
  <c r="I415" i="15"/>
  <c r="H416" i="15"/>
  <c r="I416" i="15"/>
  <c r="H417" i="15"/>
  <c r="I417" i="15"/>
  <c r="H418" i="15"/>
  <c r="I418" i="15"/>
  <c r="H419" i="15"/>
  <c r="I419" i="15"/>
  <c r="H420" i="15"/>
  <c r="I420" i="15"/>
  <c r="H421" i="15"/>
  <c r="I421" i="15"/>
  <c r="H422" i="15"/>
  <c r="I422" i="15"/>
  <c r="H423" i="15"/>
  <c r="I423" i="15"/>
  <c r="H424" i="15"/>
  <c r="I424" i="15"/>
  <c r="H425" i="15"/>
  <c r="I425" i="15"/>
  <c r="H426" i="15"/>
  <c r="I426" i="15"/>
  <c r="H427" i="15"/>
  <c r="I427" i="15"/>
  <c r="H428" i="15"/>
  <c r="I428" i="15"/>
  <c r="H429" i="15"/>
  <c r="I429" i="15"/>
  <c r="H430" i="15"/>
  <c r="I430" i="15"/>
  <c r="H431" i="15"/>
  <c r="I431" i="15"/>
  <c r="H432" i="15"/>
  <c r="I432" i="15"/>
  <c r="H433" i="15"/>
  <c r="I433" i="15"/>
  <c r="H434" i="15"/>
  <c r="I434" i="15"/>
  <c r="H435" i="15"/>
  <c r="I435" i="15"/>
  <c r="H436" i="15"/>
  <c r="I436" i="15"/>
  <c r="H437" i="15"/>
  <c r="I437" i="15"/>
  <c r="H438" i="15"/>
  <c r="I438" i="15"/>
  <c r="H439" i="15"/>
  <c r="I439" i="15"/>
  <c r="H440" i="15"/>
  <c r="I440" i="15"/>
  <c r="H441" i="15"/>
  <c r="I441" i="15"/>
  <c r="H442" i="15"/>
  <c r="I442" i="15"/>
  <c r="H443" i="15"/>
  <c r="I443" i="15"/>
  <c r="H444" i="15"/>
  <c r="I444" i="15"/>
  <c r="H445" i="15"/>
  <c r="I445" i="15"/>
  <c r="H446" i="15"/>
  <c r="I446" i="15"/>
  <c r="H447" i="15"/>
  <c r="I447" i="15"/>
  <c r="H448" i="15"/>
  <c r="I448" i="15"/>
  <c r="H449" i="15"/>
  <c r="I449" i="15"/>
  <c r="H450" i="15"/>
  <c r="I450" i="15"/>
  <c r="H451" i="15"/>
  <c r="I451" i="15"/>
  <c r="H452" i="15"/>
  <c r="I452" i="15"/>
  <c r="H453" i="15"/>
  <c r="I453" i="15"/>
  <c r="H454" i="15"/>
  <c r="I454" i="15"/>
  <c r="H455" i="15"/>
  <c r="I455" i="15"/>
  <c r="H456" i="15"/>
  <c r="I456" i="15"/>
  <c r="H457" i="15"/>
  <c r="I457" i="15"/>
  <c r="H458" i="15"/>
  <c r="I458" i="15"/>
  <c r="H459" i="15"/>
  <c r="I459" i="15"/>
  <c r="H460" i="15"/>
  <c r="I460" i="15"/>
  <c r="H461" i="15"/>
  <c r="I461" i="15"/>
  <c r="H462" i="15"/>
  <c r="I462" i="15"/>
  <c r="H463" i="15"/>
  <c r="I463" i="15"/>
  <c r="H464" i="15"/>
  <c r="I464" i="15"/>
  <c r="H465" i="15"/>
  <c r="I465" i="15"/>
  <c r="H466" i="15"/>
  <c r="I466" i="15"/>
  <c r="H467" i="15"/>
  <c r="I467" i="15"/>
  <c r="H468" i="15"/>
  <c r="I468" i="15"/>
  <c r="H469" i="15"/>
  <c r="I469" i="15"/>
  <c r="H470" i="15"/>
  <c r="I470" i="15"/>
  <c r="H471" i="15"/>
  <c r="I471" i="15"/>
  <c r="H472" i="15"/>
  <c r="I472" i="15"/>
  <c r="H473" i="15"/>
  <c r="I473" i="15"/>
  <c r="H474" i="15"/>
  <c r="I474" i="15"/>
  <c r="H475" i="15"/>
  <c r="I475" i="15"/>
  <c r="H476" i="15"/>
  <c r="I476" i="15"/>
  <c r="H477" i="15"/>
  <c r="I477" i="15"/>
  <c r="H478" i="15"/>
  <c r="I478" i="15"/>
  <c r="H479" i="15"/>
  <c r="I479" i="15"/>
  <c r="H480" i="15"/>
  <c r="I480" i="15"/>
  <c r="H481" i="15"/>
  <c r="I481" i="15"/>
  <c r="H482" i="15"/>
  <c r="I482" i="15"/>
  <c r="H483" i="15"/>
  <c r="I483" i="15"/>
  <c r="H484" i="15"/>
  <c r="I484" i="15"/>
  <c r="H485" i="15"/>
  <c r="I485" i="15"/>
  <c r="H486" i="15"/>
  <c r="I486" i="15"/>
  <c r="H487" i="15"/>
  <c r="I487" i="15"/>
  <c r="H488" i="15"/>
  <c r="I488" i="15"/>
  <c r="H489" i="15"/>
  <c r="I489" i="15"/>
  <c r="H490" i="15"/>
  <c r="I490" i="15"/>
  <c r="H491" i="15"/>
  <c r="I491" i="15"/>
  <c r="H492" i="15"/>
  <c r="I492" i="15"/>
  <c r="H493" i="15"/>
  <c r="I493" i="15"/>
  <c r="H494" i="15"/>
  <c r="I494" i="15"/>
  <c r="H495" i="15"/>
  <c r="I495" i="15"/>
  <c r="H496" i="15"/>
  <c r="I496" i="15"/>
  <c r="H497" i="15"/>
  <c r="I497" i="15"/>
  <c r="H498" i="15"/>
  <c r="I498" i="15"/>
  <c r="H499" i="15"/>
  <c r="I499" i="15"/>
  <c r="H500" i="15"/>
  <c r="I500" i="15"/>
  <c r="H501" i="15"/>
  <c r="I501" i="15"/>
  <c r="H502" i="15"/>
  <c r="I502" i="15"/>
  <c r="H503" i="15"/>
  <c r="I503" i="15"/>
  <c r="H504" i="15"/>
  <c r="I504" i="15"/>
  <c r="H505" i="15"/>
  <c r="I505" i="15"/>
  <c r="H506" i="15"/>
  <c r="I506" i="15"/>
  <c r="H507" i="15"/>
  <c r="I507" i="15"/>
  <c r="H508" i="15"/>
  <c r="I508" i="15"/>
  <c r="H509" i="15"/>
  <c r="I509" i="15"/>
  <c r="H510" i="15"/>
  <c r="I510" i="15"/>
  <c r="H511" i="15"/>
  <c r="I511" i="15"/>
  <c r="H512" i="15"/>
  <c r="I512" i="15"/>
  <c r="H513" i="15"/>
  <c r="I513" i="15"/>
  <c r="H514" i="15"/>
  <c r="I514" i="15"/>
  <c r="H515" i="15"/>
  <c r="I515" i="15"/>
  <c r="H516" i="15"/>
  <c r="I516" i="15"/>
  <c r="H517" i="15"/>
  <c r="I517" i="15"/>
  <c r="H518" i="15"/>
  <c r="I518" i="15"/>
  <c r="H519" i="15"/>
  <c r="I519" i="15"/>
  <c r="H520" i="15"/>
  <c r="I520" i="15"/>
  <c r="H521" i="15"/>
  <c r="I521" i="15"/>
  <c r="H522" i="15"/>
  <c r="I522" i="15"/>
  <c r="H523" i="15"/>
  <c r="I523" i="15"/>
  <c r="H524" i="15"/>
  <c r="I524" i="15"/>
  <c r="H525" i="15"/>
  <c r="I525" i="15"/>
  <c r="H526" i="15"/>
  <c r="I526" i="15"/>
  <c r="H527" i="15"/>
  <c r="I527" i="15"/>
  <c r="H528" i="15"/>
  <c r="I528" i="15"/>
  <c r="H529" i="15"/>
  <c r="I529" i="15"/>
  <c r="H530" i="15"/>
  <c r="I530" i="15"/>
  <c r="H531" i="15"/>
  <c r="I531" i="15"/>
  <c r="H532" i="15"/>
  <c r="I532" i="15"/>
  <c r="H533" i="15"/>
  <c r="I533" i="15"/>
  <c r="H534" i="15"/>
  <c r="I534" i="15"/>
  <c r="H535" i="15"/>
  <c r="I535" i="15"/>
  <c r="H536" i="15"/>
  <c r="I536" i="15"/>
  <c r="H537" i="15"/>
  <c r="I537" i="15"/>
  <c r="H538" i="15"/>
  <c r="I538" i="15"/>
  <c r="H539" i="15"/>
  <c r="I539" i="15"/>
  <c r="H540" i="15"/>
  <c r="I540" i="15"/>
  <c r="H541" i="15"/>
  <c r="I541" i="15"/>
  <c r="H542" i="15"/>
  <c r="I542" i="15"/>
  <c r="H543" i="15"/>
  <c r="I543" i="15"/>
  <c r="H544" i="15"/>
  <c r="I544" i="15"/>
  <c r="H545" i="15"/>
  <c r="I545" i="15"/>
  <c r="H546" i="15"/>
  <c r="I546" i="15"/>
  <c r="H547" i="15"/>
  <c r="I547" i="15"/>
  <c r="H548" i="15"/>
  <c r="I548" i="15"/>
  <c r="H549" i="15"/>
  <c r="I549" i="15"/>
  <c r="H550" i="15"/>
  <c r="I550" i="15"/>
  <c r="H551" i="15"/>
  <c r="I551" i="15"/>
  <c r="H552" i="15"/>
  <c r="I552" i="15"/>
  <c r="H553" i="15"/>
  <c r="I553" i="15"/>
  <c r="H554" i="15"/>
  <c r="I554" i="15"/>
  <c r="H555" i="15"/>
  <c r="I555" i="15"/>
  <c r="H556" i="15"/>
  <c r="I556" i="15"/>
  <c r="H557" i="15"/>
  <c r="I557" i="15"/>
  <c r="H558" i="15"/>
  <c r="I558" i="15"/>
  <c r="H559" i="15"/>
  <c r="I559" i="15"/>
  <c r="H560" i="15"/>
  <c r="I560" i="15"/>
  <c r="H561" i="15"/>
  <c r="I561" i="15"/>
  <c r="H562" i="15"/>
  <c r="I562" i="15"/>
  <c r="H563" i="15"/>
  <c r="I563" i="15"/>
  <c r="H564" i="15"/>
  <c r="I564" i="15"/>
  <c r="H565" i="15"/>
  <c r="I565" i="15"/>
  <c r="H566" i="15"/>
  <c r="I566" i="15"/>
  <c r="H567" i="15"/>
  <c r="I567" i="15"/>
  <c r="H568" i="15"/>
  <c r="I568" i="15"/>
  <c r="H569" i="15"/>
  <c r="I569" i="15"/>
  <c r="H570" i="15"/>
  <c r="I570" i="15"/>
  <c r="H571" i="15"/>
  <c r="I571" i="15"/>
  <c r="H572" i="15"/>
  <c r="I572" i="15"/>
  <c r="H573" i="15"/>
  <c r="I573" i="15"/>
  <c r="H574" i="15"/>
  <c r="I574" i="15"/>
  <c r="H575" i="15"/>
  <c r="I575" i="15"/>
  <c r="H576" i="15"/>
  <c r="I576" i="15"/>
  <c r="H577" i="15"/>
  <c r="I577" i="15"/>
  <c r="H578" i="15"/>
  <c r="I578" i="15"/>
  <c r="H579" i="15"/>
  <c r="I579" i="15"/>
  <c r="H580" i="15"/>
  <c r="I580" i="15"/>
  <c r="H581" i="15"/>
  <c r="I581" i="15"/>
  <c r="H582" i="15"/>
  <c r="I582" i="15"/>
  <c r="H583" i="15"/>
  <c r="I583" i="15"/>
  <c r="H584" i="15"/>
  <c r="I584" i="15"/>
  <c r="H585" i="15"/>
  <c r="I585" i="15"/>
  <c r="H586" i="15"/>
  <c r="I586" i="15"/>
  <c r="H587" i="15"/>
  <c r="I587" i="15"/>
  <c r="H588" i="15"/>
  <c r="I588" i="15"/>
  <c r="H589" i="15"/>
  <c r="I589" i="15"/>
  <c r="H590" i="15"/>
  <c r="I590" i="15"/>
  <c r="H591" i="15"/>
  <c r="I591" i="15"/>
  <c r="H592" i="15"/>
  <c r="I592" i="15"/>
  <c r="H593" i="15"/>
  <c r="I593" i="15"/>
  <c r="H594" i="15"/>
  <c r="I594" i="15"/>
  <c r="H595" i="15"/>
  <c r="I595" i="15"/>
  <c r="H596" i="15"/>
  <c r="I596" i="15"/>
  <c r="H597" i="15"/>
  <c r="I597" i="15"/>
  <c r="H598" i="15"/>
  <c r="I598" i="15"/>
  <c r="H599" i="15"/>
  <c r="I599" i="15"/>
  <c r="H600" i="15"/>
  <c r="I600" i="15"/>
  <c r="H601" i="15"/>
  <c r="I601" i="15"/>
  <c r="H602" i="15"/>
  <c r="I602" i="15"/>
  <c r="H603" i="15"/>
  <c r="I603" i="15"/>
  <c r="H604" i="15"/>
  <c r="I604" i="15"/>
  <c r="H605" i="15"/>
  <c r="I605" i="15"/>
  <c r="H606" i="15"/>
  <c r="I606" i="15"/>
  <c r="H607" i="15"/>
  <c r="I607" i="15"/>
  <c r="H608" i="15"/>
  <c r="I608" i="15"/>
  <c r="H609" i="15"/>
  <c r="I609" i="15"/>
  <c r="H610" i="15"/>
  <c r="I610" i="15"/>
  <c r="H611" i="15"/>
  <c r="I611" i="15"/>
  <c r="H612" i="15"/>
  <c r="I612" i="15"/>
  <c r="H613" i="15"/>
  <c r="I613" i="15"/>
  <c r="H614" i="15"/>
  <c r="I614" i="15"/>
  <c r="H615" i="15"/>
  <c r="I615" i="15"/>
  <c r="H616" i="15"/>
  <c r="I616" i="15"/>
  <c r="H617" i="15"/>
  <c r="I617" i="15"/>
  <c r="H618" i="15"/>
  <c r="I618" i="15"/>
  <c r="H619" i="15"/>
  <c r="I619" i="15"/>
  <c r="H620" i="15"/>
  <c r="I620" i="15"/>
  <c r="H621" i="15"/>
  <c r="I621" i="15"/>
  <c r="H622" i="15"/>
  <c r="I622" i="15"/>
  <c r="H623" i="15"/>
  <c r="I623" i="15"/>
  <c r="H624" i="15"/>
  <c r="I624" i="15"/>
  <c r="H625" i="15"/>
  <c r="I625" i="15"/>
  <c r="H626" i="15"/>
  <c r="I626" i="15"/>
  <c r="H627" i="15"/>
  <c r="I627" i="15"/>
  <c r="H628" i="15"/>
  <c r="I628" i="15"/>
  <c r="H629" i="15"/>
  <c r="I629" i="15"/>
  <c r="H630" i="15"/>
  <c r="I630" i="15"/>
  <c r="H631" i="15"/>
  <c r="I631" i="15"/>
  <c r="H632" i="15"/>
  <c r="I632" i="15"/>
  <c r="H633" i="15"/>
  <c r="I633" i="15"/>
  <c r="H634" i="15"/>
  <c r="I634" i="15"/>
  <c r="H635" i="15"/>
  <c r="I635" i="15"/>
  <c r="H636" i="15"/>
  <c r="I636" i="15"/>
  <c r="H637" i="15"/>
  <c r="I637" i="15"/>
  <c r="H638" i="15"/>
  <c r="I638" i="15"/>
  <c r="H639" i="15"/>
  <c r="I639" i="15"/>
  <c r="H640" i="15"/>
  <c r="I640" i="15"/>
  <c r="H641" i="15"/>
  <c r="I641" i="15"/>
  <c r="H642" i="15"/>
  <c r="I642" i="15"/>
  <c r="H643" i="15"/>
  <c r="I643" i="15"/>
  <c r="H644" i="15"/>
  <c r="I644" i="15"/>
  <c r="H645" i="15"/>
  <c r="I645" i="15"/>
  <c r="H646" i="15"/>
  <c r="I646" i="15"/>
  <c r="H647" i="15"/>
  <c r="I647" i="15"/>
  <c r="H648" i="15"/>
  <c r="I648" i="15"/>
  <c r="H649" i="15"/>
  <c r="I649" i="15"/>
  <c r="H650" i="15"/>
  <c r="I650" i="15"/>
  <c r="H651" i="15"/>
  <c r="I651" i="15"/>
  <c r="H652" i="15"/>
  <c r="I652" i="15"/>
  <c r="H653" i="15"/>
  <c r="I653" i="15"/>
  <c r="H654" i="15"/>
  <c r="I654" i="15"/>
  <c r="H655" i="15"/>
  <c r="I655" i="15"/>
  <c r="H656" i="15"/>
  <c r="I656" i="15"/>
  <c r="H657" i="15"/>
  <c r="I657" i="15"/>
  <c r="H658" i="15"/>
  <c r="I658" i="15"/>
  <c r="H659" i="15"/>
  <c r="I659" i="15"/>
  <c r="H660" i="15"/>
  <c r="I660" i="15"/>
  <c r="H661" i="15"/>
  <c r="I661" i="15"/>
  <c r="H662" i="15"/>
  <c r="I662" i="15"/>
  <c r="H663" i="15"/>
  <c r="I663" i="15"/>
  <c r="H664" i="15"/>
  <c r="I664" i="15"/>
  <c r="H665" i="15"/>
  <c r="I665" i="15"/>
  <c r="H666" i="15"/>
  <c r="I666" i="15"/>
  <c r="H667" i="15"/>
  <c r="I667" i="15"/>
  <c r="H668" i="15"/>
  <c r="I668" i="15"/>
  <c r="H669" i="15"/>
  <c r="I669" i="15"/>
  <c r="H670" i="15"/>
  <c r="I670" i="15"/>
  <c r="H671" i="15"/>
  <c r="I671" i="15"/>
  <c r="H672" i="15"/>
  <c r="I672" i="15"/>
  <c r="H673" i="15"/>
  <c r="I673" i="15"/>
  <c r="H674" i="15"/>
  <c r="I674" i="15"/>
  <c r="H675" i="15"/>
  <c r="I675" i="15"/>
  <c r="H676" i="15"/>
  <c r="I676" i="15"/>
  <c r="H677" i="15"/>
  <c r="I677" i="15"/>
  <c r="H678" i="15"/>
  <c r="I678" i="15"/>
  <c r="H679" i="15"/>
  <c r="I679" i="15"/>
  <c r="H680" i="15"/>
  <c r="I680" i="15"/>
  <c r="H681" i="15"/>
  <c r="I681" i="15"/>
  <c r="H682" i="15"/>
  <c r="I682" i="15"/>
  <c r="H683" i="15"/>
  <c r="I683" i="15"/>
  <c r="H684" i="15"/>
  <c r="I684" i="15"/>
  <c r="H685" i="15"/>
  <c r="I685" i="15"/>
  <c r="H686" i="15"/>
  <c r="I686" i="15"/>
  <c r="H687" i="15"/>
  <c r="I687" i="15"/>
  <c r="H688" i="15"/>
  <c r="I688" i="15"/>
  <c r="H689" i="15"/>
  <c r="I689" i="15"/>
  <c r="H690" i="15"/>
  <c r="I690" i="15"/>
  <c r="H691" i="15"/>
  <c r="I691" i="15"/>
  <c r="H692" i="15"/>
  <c r="I692" i="15"/>
  <c r="H693" i="15"/>
  <c r="I693" i="15"/>
  <c r="H694" i="15"/>
  <c r="I694" i="15"/>
  <c r="H695" i="15"/>
  <c r="I695" i="15"/>
  <c r="H696" i="15"/>
  <c r="I696" i="15"/>
  <c r="H697" i="15"/>
  <c r="I697" i="15"/>
  <c r="H698" i="15"/>
  <c r="I698" i="15"/>
  <c r="H699" i="15"/>
  <c r="I699" i="15"/>
  <c r="H700" i="15"/>
  <c r="I700" i="15"/>
  <c r="H701" i="15"/>
  <c r="I701" i="15"/>
  <c r="H702" i="15"/>
  <c r="I702" i="15"/>
  <c r="H703" i="15"/>
  <c r="I703" i="15"/>
  <c r="H704" i="15"/>
  <c r="I704" i="15"/>
  <c r="H705" i="15"/>
  <c r="I705" i="15"/>
  <c r="H706" i="15"/>
  <c r="I706" i="15"/>
  <c r="H707" i="15"/>
  <c r="I707" i="15"/>
  <c r="H708" i="15"/>
  <c r="I708" i="15"/>
  <c r="H709" i="15"/>
  <c r="I709" i="15"/>
  <c r="H710" i="15"/>
  <c r="I710" i="15"/>
  <c r="H711" i="15"/>
  <c r="I711" i="15"/>
  <c r="H712" i="15"/>
  <c r="I712" i="15"/>
  <c r="H713" i="15"/>
  <c r="I713" i="15"/>
  <c r="H714" i="15"/>
  <c r="I714" i="15"/>
  <c r="H715" i="15"/>
  <c r="I715" i="15"/>
  <c r="H716" i="15"/>
  <c r="I716" i="15"/>
  <c r="H717" i="15"/>
  <c r="I717" i="15"/>
  <c r="H718" i="15"/>
  <c r="I718" i="15"/>
  <c r="H719" i="15"/>
  <c r="I719" i="15"/>
  <c r="H720" i="15"/>
  <c r="I720" i="15"/>
  <c r="H721" i="15"/>
  <c r="I721" i="15"/>
  <c r="H722" i="15"/>
  <c r="I722" i="15"/>
  <c r="H723" i="15"/>
  <c r="I723" i="15"/>
  <c r="H724" i="15"/>
  <c r="I724" i="15"/>
  <c r="H725" i="15"/>
  <c r="I725" i="15"/>
  <c r="H726" i="15"/>
  <c r="I726" i="15"/>
  <c r="H727" i="15"/>
  <c r="I727" i="15"/>
  <c r="H728" i="15"/>
  <c r="I728" i="15"/>
  <c r="H729" i="15"/>
  <c r="I729" i="15"/>
  <c r="H730" i="15"/>
  <c r="I730" i="15"/>
  <c r="H731" i="15"/>
  <c r="I731" i="15"/>
  <c r="H732" i="15"/>
  <c r="I732" i="15"/>
  <c r="H733" i="15"/>
  <c r="I733" i="15"/>
  <c r="H734" i="15"/>
  <c r="I734" i="15"/>
  <c r="H735" i="15"/>
  <c r="I735" i="15"/>
  <c r="H736" i="15"/>
  <c r="I736" i="15"/>
  <c r="H737" i="15"/>
  <c r="I737" i="15"/>
  <c r="H738" i="15"/>
  <c r="I738" i="15"/>
  <c r="H739" i="15"/>
  <c r="I739" i="15"/>
  <c r="H740" i="15"/>
  <c r="I740" i="15"/>
  <c r="H741" i="15"/>
  <c r="I741" i="15"/>
  <c r="H742" i="15"/>
  <c r="I742" i="15"/>
  <c r="H743" i="15"/>
  <c r="I743" i="15"/>
  <c r="H744" i="15"/>
  <c r="I744" i="15"/>
  <c r="H745" i="15"/>
  <c r="I745" i="15"/>
  <c r="H746" i="15"/>
  <c r="I746" i="15"/>
  <c r="H747" i="15"/>
  <c r="I747" i="15"/>
  <c r="H748" i="15"/>
  <c r="I748" i="15"/>
  <c r="H749" i="15"/>
  <c r="I749" i="15"/>
  <c r="H750" i="15"/>
  <c r="I750" i="15"/>
  <c r="H751" i="15"/>
  <c r="I751" i="15"/>
  <c r="H752" i="15"/>
  <c r="I752" i="15"/>
  <c r="H753" i="15"/>
  <c r="I753" i="15"/>
  <c r="H754" i="15"/>
  <c r="I754" i="15"/>
  <c r="H755" i="15"/>
  <c r="I755" i="15"/>
  <c r="H756" i="15"/>
  <c r="I756" i="15"/>
  <c r="H757" i="15"/>
  <c r="I757" i="15"/>
  <c r="H758" i="15"/>
  <c r="I758" i="15"/>
  <c r="H759" i="15"/>
  <c r="I759" i="15"/>
  <c r="H760" i="15"/>
  <c r="I760" i="15"/>
  <c r="H761" i="15"/>
  <c r="I761" i="15"/>
  <c r="H762" i="15"/>
  <c r="I762" i="15"/>
  <c r="H763" i="15"/>
  <c r="I763" i="15"/>
  <c r="H764" i="15"/>
  <c r="I764" i="15"/>
  <c r="H765" i="15"/>
  <c r="I765" i="15"/>
  <c r="H766" i="15"/>
  <c r="I766" i="15"/>
  <c r="H767" i="15"/>
  <c r="I767" i="15"/>
  <c r="H768" i="15"/>
  <c r="I768" i="15"/>
  <c r="H769" i="15"/>
  <c r="I769" i="15"/>
  <c r="H770" i="15"/>
  <c r="I770" i="15"/>
  <c r="H771" i="15"/>
  <c r="I771" i="15"/>
  <c r="H772" i="15"/>
  <c r="I772" i="15"/>
  <c r="H773" i="15"/>
  <c r="I773" i="15"/>
  <c r="H774" i="15"/>
  <c r="I774" i="15"/>
  <c r="H775" i="15"/>
  <c r="I775" i="15"/>
  <c r="H776" i="15"/>
  <c r="I776" i="15"/>
  <c r="H777" i="15"/>
  <c r="I777" i="15"/>
  <c r="H778" i="15"/>
  <c r="I778" i="15"/>
  <c r="H779" i="15"/>
  <c r="I779" i="15"/>
  <c r="H780" i="15"/>
  <c r="I780" i="15"/>
  <c r="H781" i="15"/>
  <c r="I781" i="15"/>
  <c r="H782" i="15"/>
  <c r="I782" i="15"/>
  <c r="H783" i="15"/>
  <c r="I783" i="15"/>
  <c r="H784" i="15"/>
  <c r="I784" i="15"/>
  <c r="H785" i="15"/>
  <c r="I785" i="15"/>
  <c r="H786" i="15"/>
  <c r="I786" i="15"/>
  <c r="H787" i="15"/>
  <c r="I787" i="15"/>
  <c r="H788" i="15"/>
  <c r="I788" i="15"/>
  <c r="H789" i="15"/>
  <c r="I789" i="15"/>
  <c r="H790" i="15"/>
  <c r="I790" i="15"/>
  <c r="H791" i="15"/>
  <c r="I791" i="15"/>
  <c r="H792" i="15"/>
  <c r="I792" i="15"/>
  <c r="H793" i="15"/>
  <c r="I793" i="15"/>
  <c r="H794" i="15"/>
  <c r="I794" i="15"/>
  <c r="H795" i="15"/>
  <c r="I795" i="15"/>
  <c r="H796" i="15"/>
  <c r="I796" i="15"/>
  <c r="H797" i="15"/>
  <c r="I797" i="15"/>
  <c r="H798" i="15"/>
  <c r="I798" i="15"/>
  <c r="H799" i="15"/>
  <c r="I799" i="15"/>
  <c r="H800" i="15"/>
  <c r="I800" i="15"/>
  <c r="H801" i="15"/>
  <c r="I801" i="15"/>
  <c r="H802" i="15"/>
  <c r="I802" i="15"/>
  <c r="H803" i="15"/>
  <c r="I803" i="15"/>
  <c r="H804" i="15"/>
  <c r="I804" i="15"/>
  <c r="H805" i="15"/>
  <c r="I805" i="15"/>
  <c r="H806" i="15"/>
  <c r="I806" i="15"/>
  <c r="H807" i="15"/>
  <c r="I807" i="15"/>
  <c r="H808" i="15"/>
  <c r="I808" i="15"/>
  <c r="H809" i="15"/>
  <c r="I809" i="15"/>
  <c r="H810" i="15"/>
  <c r="I810" i="15"/>
  <c r="H811" i="15"/>
  <c r="I811" i="15"/>
  <c r="H812" i="15"/>
  <c r="I812" i="15"/>
  <c r="H813" i="15"/>
  <c r="I813" i="15"/>
  <c r="H814" i="15"/>
  <c r="I814" i="15"/>
  <c r="H815" i="15"/>
  <c r="I815" i="15"/>
  <c r="H816" i="15"/>
  <c r="I816" i="15"/>
  <c r="H817" i="15"/>
  <c r="I817" i="15"/>
  <c r="H818" i="15"/>
  <c r="I818" i="15"/>
  <c r="H819" i="15"/>
  <c r="I819" i="15"/>
  <c r="H820" i="15"/>
  <c r="I820" i="15"/>
  <c r="H821" i="15"/>
  <c r="I821" i="15"/>
  <c r="H822" i="15"/>
  <c r="I822" i="15"/>
  <c r="H823" i="15"/>
  <c r="I823" i="15"/>
  <c r="H824" i="15"/>
  <c r="I824" i="15"/>
  <c r="H825" i="15"/>
  <c r="I825" i="15"/>
  <c r="H826" i="15"/>
  <c r="I826" i="15"/>
  <c r="H827" i="15"/>
  <c r="I827" i="15"/>
  <c r="H828" i="15"/>
  <c r="I828" i="15"/>
  <c r="H829" i="15"/>
  <c r="I829" i="15"/>
  <c r="H830" i="15"/>
  <c r="I830" i="15"/>
  <c r="H831" i="15"/>
  <c r="I831" i="15"/>
  <c r="H832" i="15"/>
  <c r="I832" i="15"/>
  <c r="H833" i="15"/>
  <c r="I833" i="15"/>
  <c r="H834" i="15"/>
  <c r="I834" i="15"/>
  <c r="H835" i="15"/>
  <c r="I835" i="15"/>
  <c r="H836" i="15"/>
  <c r="I836" i="15"/>
  <c r="H837" i="15"/>
  <c r="I837" i="15"/>
  <c r="H838" i="15"/>
  <c r="I838" i="15"/>
  <c r="H839" i="15"/>
  <c r="I839" i="15"/>
  <c r="H840" i="15"/>
  <c r="I840" i="15"/>
  <c r="H841" i="15"/>
  <c r="I841" i="15"/>
  <c r="H842" i="15"/>
  <c r="I842" i="15"/>
  <c r="H843" i="15"/>
  <c r="I843" i="15"/>
  <c r="H844" i="15"/>
  <c r="I844" i="15"/>
  <c r="H845" i="15"/>
  <c r="I845" i="15"/>
  <c r="H846" i="15"/>
  <c r="I846" i="15"/>
  <c r="H847" i="15"/>
  <c r="I847" i="15"/>
  <c r="H848" i="15"/>
  <c r="I848" i="15"/>
  <c r="H849" i="15"/>
  <c r="I849" i="15"/>
  <c r="H850" i="15"/>
  <c r="I850" i="15"/>
  <c r="H851" i="15"/>
  <c r="I851" i="15"/>
  <c r="H852" i="15"/>
  <c r="I852" i="15"/>
  <c r="H853" i="15"/>
  <c r="I853" i="15"/>
  <c r="H854" i="15"/>
  <c r="I854" i="15"/>
  <c r="H855" i="15"/>
  <c r="I855" i="15"/>
  <c r="H856" i="15"/>
  <c r="I856" i="15"/>
  <c r="H857" i="15"/>
  <c r="I857" i="15"/>
  <c r="H858" i="15"/>
  <c r="I858" i="15"/>
  <c r="H859" i="15"/>
  <c r="I859" i="15"/>
  <c r="H860" i="15"/>
  <c r="I860" i="15"/>
  <c r="H861" i="15"/>
  <c r="I861" i="15"/>
  <c r="H862" i="15"/>
  <c r="I862" i="15"/>
  <c r="H863" i="15"/>
  <c r="I863" i="15"/>
  <c r="H864" i="15"/>
  <c r="I864" i="15"/>
  <c r="H865" i="15"/>
  <c r="I865" i="15"/>
  <c r="H866" i="15"/>
  <c r="I866" i="15"/>
  <c r="H867" i="15"/>
  <c r="I867" i="15"/>
  <c r="H868" i="15"/>
  <c r="I868" i="15"/>
  <c r="H869" i="15"/>
  <c r="I869" i="15"/>
  <c r="H870" i="15"/>
  <c r="I870" i="15"/>
  <c r="H871" i="15"/>
  <c r="I871" i="15"/>
  <c r="H872" i="15"/>
  <c r="I872" i="15"/>
  <c r="H873" i="15"/>
  <c r="I873" i="15"/>
  <c r="H874" i="15"/>
  <c r="I874" i="15"/>
  <c r="H875" i="15"/>
  <c r="I875" i="15"/>
  <c r="H876" i="15"/>
  <c r="I876" i="15"/>
  <c r="H877" i="15"/>
  <c r="I877" i="15"/>
  <c r="H878" i="15"/>
  <c r="I878" i="15"/>
  <c r="H879" i="15"/>
  <c r="I879" i="15"/>
  <c r="H880" i="15"/>
  <c r="I880" i="15"/>
  <c r="H881" i="15"/>
  <c r="I881" i="15"/>
  <c r="H882" i="15"/>
  <c r="I882" i="15"/>
  <c r="H883" i="15"/>
  <c r="I883" i="15"/>
  <c r="H884" i="15"/>
  <c r="I884" i="15"/>
  <c r="H885" i="15"/>
  <c r="I885" i="15"/>
  <c r="H886" i="15"/>
  <c r="I886" i="15"/>
  <c r="H887" i="15"/>
  <c r="I887" i="15"/>
  <c r="H888" i="15"/>
  <c r="I888" i="15"/>
  <c r="H889" i="15"/>
  <c r="I889" i="15"/>
  <c r="H890" i="15"/>
  <c r="I890" i="15"/>
  <c r="H891" i="15"/>
  <c r="I891" i="15"/>
  <c r="H892" i="15"/>
  <c r="I892" i="15"/>
  <c r="H893" i="15"/>
  <c r="I893" i="15"/>
  <c r="H894" i="15"/>
  <c r="I894" i="15"/>
  <c r="H895" i="15"/>
  <c r="I895" i="15"/>
  <c r="H896" i="15"/>
  <c r="I896" i="15"/>
  <c r="H897" i="15"/>
  <c r="I897" i="15"/>
  <c r="H898" i="15"/>
  <c r="I898" i="15"/>
  <c r="H899" i="15"/>
  <c r="I899" i="15"/>
  <c r="H900" i="15"/>
  <c r="I900" i="15"/>
  <c r="H901" i="15"/>
  <c r="I901" i="15"/>
  <c r="H902" i="15"/>
  <c r="I902" i="15"/>
  <c r="H903" i="15"/>
  <c r="I903" i="15"/>
  <c r="H904" i="15"/>
  <c r="I904" i="15"/>
  <c r="H905" i="15"/>
  <c r="I905" i="15"/>
  <c r="H906" i="15"/>
  <c r="I906" i="15"/>
  <c r="H907" i="15"/>
  <c r="I907" i="15"/>
  <c r="H908" i="15"/>
  <c r="I908" i="15"/>
  <c r="H909" i="15"/>
  <c r="I909" i="15"/>
  <c r="H910" i="15"/>
  <c r="I910" i="15"/>
  <c r="H911" i="15"/>
  <c r="I911" i="15"/>
  <c r="H912" i="15"/>
  <c r="I912" i="15"/>
  <c r="H913" i="15"/>
  <c r="I913" i="15"/>
  <c r="H914" i="15"/>
  <c r="I914" i="15"/>
  <c r="H915" i="15"/>
  <c r="I915" i="15"/>
  <c r="H916" i="15"/>
  <c r="I916" i="15"/>
  <c r="H917" i="15"/>
  <c r="I917" i="15"/>
  <c r="H918" i="15"/>
  <c r="I918" i="15"/>
  <c r="H919" i="15"/>
  <c r="I919" i="15"/>
  <c r="H920" i="15"/>
  <c r="I920" i="15"/>
  <c r="H921" i="15"/>
  <c r="I921" i="15"/>
  <c r="H922" i="15"/>
  <c r="I922" i="15"/>
  <c r="H923" i="15"/>
  <c r="I923" i="15"/>
  <c r="H924" i="15"/>
  <c r="I924" i="15"/>
  <c r="H925" i="15"/>
  <c r="I925" i="15"/>
  <c r="H926" i="15"/>
  <c r="I926" i="15"/>
  <c r="H927" i="15"/>
  <c r="I927" i="15"/>
  <c r="H928" i="15"/>
  <c r="I928" i="15"/>
  <c r="H929" i="15"/>
  <c r="I929" i="15"/>
  <c r="H930" i="15"/>
  <c r="I930" i="15"/>
  <c r="H931" i="15"/>
  <c r="I931" i="15"/>
  <c r="H932" i="15"/>
  <c r="I932" i="15"/>
  <c r="H933" i="15"/>
  <c r="I933" i="15"/>
  <c r="H934" i="15"/>
  <c r="I934" i="15"/>
  <c r="H935" i="15"/>
  <c r="I935" i="15"/>
  <c r="H936" i="15"/>
  <c r="I936" i="15"/>
  <c r="H937" i="15"/>
  <c r="I937" i="15"/>
  <c r="H938" i="15"/>
  <c r="I938" i="15"/>
  <c r="H939" i="15"/>
  <c r="I939" i="15"/>
  <c r="H940" i="15"/>
  <c r="I940" i="15"/>
  <c r="H941" i="15"/>
  <c r="I941" i="15"/>
  <c r="H942" i="15"/>
  <c r="I942" i="15"/>
  <c r="H943" i="15"/>
  <c r="I943" i="15"/>
  <c r="H944" i="15"/>
  <c r="I944" i="15"/>
  <c r="H945" i="15"/>
  <c r="I945" i="15"/>
  <c r="H946" i="15"/>
  <c r="I946" i="15"/>
  <c r="H947" i="15"/>
  <c r="I947" i="15"/>
  <c r="H948" i="15"/>
  <c r="I948" i="15"/>
  <c r="H949" i="15"/>
  <c r="I949" i="15"/>
  <c r="H950" i="15"/>
  <c r="I950" i="15"/>
  <c r="H951" i="15"/>
  <c r="I951" i="15"/>
  <c r="H952" i="15"/>
  <c r="I952" i="15"/>
  <c r="H953" i="15"/>
  <c r="I953" i="15"/>
  <c r="H954" i="15"/>
  <c r="I954" i="15"/>
  <c r="H955" i="15"/>
  <c r="I955" i="15"/>
  <c r="H956" i="15"/>
  <c r="I956" i="15"/>
  <c r="H957" i="15"/>
  <c r="I957" i="15"/>
  <c r="H958" i="15"/>
  <c r="I958" i="15"/>
  <c r="H959" i="15"/>
  <c r="I959" i="15"/>
  <c r="H960" i="15"/>
  <c r="I960" i="15"/>
  <c r="H961" i="15"/>
  <c r="I961" i="15"/>
  <c r="H962" i="15"/>
  <c r="I962" i="15"/>
  <c r="H963" i="15"/>
  <c r="I963" i="15"/>
  <c r="H964" i="15"/>
  <c r="I964" i="15"/>
  <c r="H965" i="15"/>
  <c r="I965" i="15"/>
  <c r="H966" i="15"/>
  <c r="I966" i="15"/>
  <c r="H967" i="15"/>
  <c r="I967" i="15"/>
  <c r="H968" i="15"/>
  <c r="I968" i="15"/>
  <c r="H969" i="15"/>
  <c r="I969" i="15"/>
  <c r="H970" i="15"/>
  <c r="I970" i="15"/>
  <c r="H971" i="15"/>
  <c r="I971" i="15"/>
  <c r="H972" i="15"/>
  <c r="I972" i="15"/>
  <c r="H973" i="15"/>
  <c r="I973" i="15"/>
  <c r="H974" i="15"/>
  <c r="I974" i="15"/>
  <c r="H975" i="15"/>
  <c r="I975" i="15"/>
  <c r="H976" i="15"/>
  <c r="I976" i="15"/>
  <c r="H977" i="15"/>
  <c r="I977" i="15"/>
  <c r="H978" i="15"/>
  <c r="I978" i="15"/>
  <c r="H979" i="15"/>
  <c r="I979" i="15"/>
  <c r="H980" i="15"/>
  <c r="I980" i="15"/>
  <c r="H981" i="15"/>
  <c r="I981" i="15"/>
  <c r="H982" i="15"/>
  <c r="I982" i="15"/>
  <c r="H983" i="15"/>
  <c r="I983" i="15"/>
  <c r="H984" i="15"/>
  <c r="I984" i="15"/>
  <c r="H985" i="15"/>
  <c r="I985" i="15"/>
  <c r="H986" i="15"/>
  <c r="I986" i="15"/>
  <c r="H987" i="15"/>
  <c r="I987" i="15"/>
  <c r="H988" i="15"/>
  <c r="I988" i="15"/>
  <c r="H989" i="15"/>
  <c r="I989" i="15"/>
  <c r="H990" i="15"/>
  <c r="I990" i="15"/>
  <c r="H991" i="15"/>
  <c r="I991" i="15"/>
  <c r="H992" i="15"/>
  <c r="I992" i="15"/>
  <c r="H993" i="15"/>
  <c r="I993" i="15"/>
  <c r="H994" i="15"/>
  <c r="I994" i="15"/>
  <c r="H995" i="15"/>
  <c r="I995" i="15"/>
  <c r="H996" i="15"/>
  <c r="I996" i="15"/>
  <c r="H997" i="15"/>
  <c r="I997" i="15"/>
  <c r="H998" i="15"/>
  <c r="I998" i="15"/>
  <c r="H999" i="15"/>
  <c r="I999" i="15"/>
  <c r="H1000" i="15"/>
  <c r="I1000" i="15"/>
  <c r="H1001" i="15"/>
  <c r="I1001" i="15"/>
  <c r="H1002" i="15"/>
  <c r="I1002" i="15"/>
  <c r="H1003" i="15"/>
  <c r="I1003" i="15"/>
  <c r="H1004" i="15"/>
  <c r="I1004" i="15"/>
  <c r="H1005" i="15"/>
  <c r="I1005" i="15"/>
  <c r="H1006" i="15"/>
  <c r="I1006" i="15"/>
  <c r="H1007" i="15"/>
  <c r="I1007" i="15"/>
  <c r="H1008" i="15"/>
  <c r="I1008" i="15"/>
  <c r="H1009" i="15"/>
  <c r="I1009" i="15"/>
  <c r="H1010" i="15"/>
  <c r="I1010" i="15"/>
  <c r="H1011" i="15"/>
  <c r="I1011" i="15"/>
  <c r="H1012" i="15"/>
  <c r="I1012" i="15"/>
  <c r="H1013" i="15"/>
  <c r="I1013" i="15"/>
  <c r="H1014" i="15"/>
  <c r="I1014" i="15"/>
  <c r="H1015" i="15"/>
  <c r="I1015" i="15"/>
  <c r="H1016" i="15"/>
  <c r="I1016" i="15"/>
  <c r="H1017" i="15"/>
  <c r="I1017" i="15"/>
  <c r="H1018" i="15"/>
  <c r="I1018" i="15"/>
  <c r="H1019" i="15"/>
  <c r="I1019" i="15"/>
  <c r="H1020" i="15"/>
  <c r="I1020" i="15"/>
  <c r="H1021" i="15"/>
  <c r="I1021" i="15"/>
  <c r="H1022" i="15"/>
  <c r="I1022" i="15"/>
  <c r="H1023" i="15"/>
  <c r="I1023" i="15"/>
  <c r="H1024" i="15"/>
  <c r="I1024" i="15"/>
  <c r="H1025" i="15"/>
  <c r="I1025" i="15"/>
  <c r="H1026" i="15"/>
  <c r="I1026" i="15"/>
  <c r="H1027" i="15"/>
  <c r="I1027" i="15"/>
  <c r="H1028" i="15"/>
  <c r="I1028" i="15"/>
  <c r="H1029" i="15"/>
  <c r="I1029" i="15"/>
  <c r="H1030" i="15"/>
  <c r="I1030" i="15"/>
  <c r="H1031" i="15"/>
  <c r="I1031" i="15"/>
  <c r="H1032" i="15"/>
  <c r="I1032" i="15"/>
  <c r="H1033" i="15"/>
  <c r="I1033" i="15"/>
  <c r="H1034" i="15"/>
  <c r="I1034" i="15"/>
  <c r="H1035" i="15"/>
  <c r="I1035" i="15"/>
  <c r="H1036" i="15"/>
  <c r="I1036" i="15"/>
  <c r="H1037" i="15"/>
  <c r="I1037" i="15"/>
  <c r="H1038" i="15"/>
  <c r="I1038" i="15"/>
  <c r="H1039" i="15"/>
  <c r="I1039" i="15"/>
  <c r="H1040" i="15"/>
  <c r="I1040" i="15"/>
  <c r="H1041" i="15"/>
  <c r="I1041" i="15"/>
  <c r="H1042" i="15"/>
  <c r="I1042" i="15"/>
  <c r="H1043" i="15"/>
  <c r="I1043" i="15"/>
  <c r="H1044" i="15"/>
  <c r="I1044" i="15"/>
  <c r="H1045" i="15"/>
  <c r="I1045" i="15"/>
  <c r="H1046" i="15"/>
  <c r="I1046" i="15"/>
  <c r="H1047" i="15"/>
  <c r="I1047" i="15"/>
  <c r="H1048" i="15"/>
  <c r="I1048" i="15"/>
  <c r="H1049" i="15"/>
  <c r="I1049" i="15"/>
  <c r="H1050" i="15"/>
  <c r="I1050" i="15"/>
  <c r="H1051" i="15"/>
  <c r="I1051" i="15"/>
  <c r="H1052" i="15"/>
  <c r="I1052" i="15"/>
  <c r="H1053" i="15"/>
  <c r="I1053" i="15"/>
  <c r="H1054" i="15"/>
  <c r="I1054" i="15"/>
  <c r="H1055" i="15"/>
  <c r="I1055" i="15"/>
  <c r="H1056" i="15"/>
  <c r="I1056" i="15"/>
  <c r="H1057" i="15"/>
  <c r="I1057" i="15"/>
  <c r="H1058" i="15"/>
  <c r="I1058" i="15"/>
  <c r="H1059" i="15"/>
  <c r="I1059" i="15"/>
  <c r="H1060" i="15"/>
  <c r="I1060" i="15"/>
  <c r="H1061" i="15"/>
  <c r="I1061" i="15"/>
  <c r="H1062" i="15"/>
  <c r="I1062" i="15"/>
  <c r="H1063" i="15"/>
  <c r="I1063" i="15"/>
  <c r="H1064" i="15"/>
  <c r="I1064" i="15"/>
  <c r="H1065" i="15"/>
  <c r="I1065" i="15"/>
  <c r="H1066" i="15"/>
  <c r="I1066" i="15"/>
  <c r="H1067" i="15"/>
  <c r="I1067" i="15"/>
  <c r="H1068" i="15"/>
  <c r="I1068" i="15"/>
  <c r="H1069" i="15"/>
  <c r="I1069" i="15"/>
  <c r="H1070" i="15"/>
  <c r="I1070" i="15"/>
  <c r="H1071" i="15"/>
  <c r="I1071" i="15"/>
  <c r="H1072" i="15"/>
  <c r="I1072" i="15"/>
  <c r="H1073" i="15"/>
  <c r="I1073" i="15"/>
  <c r="H1074" i="15"/>
  <c r="I1074" i="15"/>
  <c r="H1075" i="15"/>
  <c r="I1075" i="15"/>
  <c r="H1076" i="15"/>
  <c r="I1076" i="15"/>
  <c r="H1077" i="15"/>
  <c r="I1077" i="15"/>
  <c r="H1078" i="15"/>
  <c r="I1078" i="15"/>
  <c r="H1079" i="15"/>
  <c r="I1079" i="15"/>
  <c r="H1080" i="15"/>
  <c r="I1080" i="15"/>
  <c r="H1081" i="15"/>
  <c r="I1081" i="15"/>
  <c r="H1082" i="15"/>
  <c r="I1082" i="15"/>
  <c r="H1083" i="15"/>
  <c r="I1083" i="15"/>
  <c r="H1084" i="15"/>
  <c r="I1084" i="15"/>
  <c r="H1085" i="15"/>
  <c r="I1085" i="15"/>
  <c r="H1086" i="15"/>
  <c r="I1086" i="15"/>
  <c r="H1087" i="15"/>
  <c r="I1087" i="15"/>
  <c r="H1088" i="15"/>
  <c r="I1088" i="15"/>
  <c r="H1089" i="15"/>
  <c r="I1089" i="15"/>
  <c r="H1090" i="15"/>
  <c r="I1090" i="15"/>
  <c r="H1091" i="15"/>
  <c r="I1091" i="15"/>
  <c r="H1092" i="15"/>
  <c r="I1092" i="15"/>
  <c r="H1093" i="15"/>
  <c r="I1093" i="15"/>
  <c r="H1094" i="15"/>
  <c r="I1094" i="15"/>
  <c r="H1095" i="15"/>
  <c r="I1095" i="15"/>
  <c r="H1096" i="15"/>
  <c r="I1096" i="15"/>
  <c r="H1097" i="15"/>
  <c r="I1097" i="15"/>
  <c r="H1098" i="15"/>
  <c r="I1098" i="15"/>
  <c r="H1099" i="15"/>
  <c r="I1099" i="15"/>
  <c r="H1100" i="15"/>
  <c r="I1100" i="15"/>
  <c r="H1101" i="15"/>
  <c r="I1101" i="15"/>
  <c r="H1102" i="15"/>
  <c r="I1102" i="15"/>
  <c r="H1103" i="15"/>
  <c r="I1103" i="15"/>
  <c r="H1104" i="15"/>
  <c r="I1104" i="15"/>
  <c r="H1105" i="15"/>
  <c r="I1105" i="15"/>
  <c r="H1106" i="15"/>
  <c r="I1106" i="15"/>
  <c r="H1107" i="15"/>
  <c r="I1107" i="15"/>
  <c r="H1108" i="15"/>
  <c r="I1108" i="15"/>
  <c r="H1109" i="15"/>
  <c r="I1109" i="15"/>
  <c r="H1110" i="15"/>
  <c r="I1110" i="15"/>
  <c r="H1111" i="15"/>
  <c r="I1111" i="15"/>
  <c r="H1112" i="15"/>
  <c r="I1112" i="15"/>
  <c r="H1113" i="15"/>
  <c r="I1113" i="15"/>
  <c r="H1114" i="15"/>
  <c r="I1114" i="15"/>
  <c r="H1115" i="15"/>
  <c r="I1115" i="15"/>
  <c r="H1116" i="15"/>
  <c r="I1116" i="15"/>
  <c r="H1117" i="15"/>
  <c r="I1117" i="15"/>
  <c r="H1118" i="15"/>
  <c r="I1118" i="15"/>
  <c r="H1119" i="15"/>
  <c r="I1119" i="15"/>
  <c r="H1120" i="15"/>
  <c r="I1120" i="15"/>
  <c r="H1121" i="15"/>
  <c r="I1121" i="15"/>
  <c r="H1122" i="15"/>
  <c r="I1122" i="15"/>
  <c r="H1123" i="15"/>
  <c r="I1123" i="15"/>
  <c r="H1124" i="15"/>
  <c r="I1124" i="15"/>
  <c r="H1125" i="15"/>
  <c r="I1125" i="15"/>
  <c r="H1126" i="15"/>
  <c r="I1126" i="15"/>
  <c r="H1127" i="15"/>
  <c r="I1127" i="15"/>
  <c r="H1128" i="15"/>
  <c r="I1128" i="15"/>
  <c r="H1129" i="15"/>
  <c r="I1129" i="15"/>
  <c r="H1130" i="15"/>
  <c r="I1130" i="15"/>
  <c r="H1131" i="15"/>
  <c r="I1131" i="15"/>
  <c r="H1132" i="15"/>
  <c r="I1132" i="15"/>
  <c r="H1133" i="15"/>
  <c r="I1133" i="15"/>
  <c r="H1134" i="15"/>
  <c r="I1134" i="15"/>
  <c r="H1135" i="15"/>
  <c r="I1135" i="15"/>
  <c r="H1136" i="15"/>
  <c r="I1136" i="15"/>
  <c r="H1137" i="15"/>
  <c r="I1137" i="15"/>
  <c r="H1138" i="15"/>
  <c r="I1138" i="15"/>
  <c r="H1139" i="15"/>
  <c r="I1139" i="15"/>
  <c r="H1140" i="15"/>
  <c r="I1140" i="15"/>
  <c r="H1141" i="15"/>
  <c r="I1141" i="15"/>
  <c r="H1142" i="15"/>
  <c r="I1142" i="15"/>
  <c r="H1143" i="15"/>
  <c r="I1143" i="15"/>
  <c r="H1144" i="15"/>
  <c r="I1144" i="15"/>
  <c r="H1145" i="15"/>
  <c r="I1145" i="15"/>
  <c r="H1146" i="15"/>
  <c r="I1146" i="15"/>
  <c r="H1147" i="15"/>
  <c r="I1147" i="15"/>
  <c r="H1148" i="15"/>
  <c r="I1148" i="15"/>
  <c r="H1149" i="15"/>
  <c r="I1149" i="15"/>
  <c r="H1150" i="15"/>
  <c r="I1150" i="15"/>
  <c r="H1151" i="15"/>
  <c r="I1151" i="15"/>
  <c r="H1152" i="15"/>
  <c r="I1152" i="15"/>
  <c r="H1153" i="15"/>
  <c r="I1153" i="15"/>
  <c r="H1154" i="15"/>
  <c r="I1154" i="15"/>
  <c r="H1155" i="15"/>
  <c r="I1155" i="15"/>
  <c r="H1156" i="15"/>
  <c r="I1156" i="15"/>
  <c r="H1157" i="15"/>
  <c r="I1157" i="15"/>
  <c r="H1158" i="15"/>
  <c r="I1158" i="15"/>
  <c r="H1159" i="15"/>
  <c r="I1159" i="15"/>
  <c r="H1160" i="15"/>
  <c r="I1160" i="15"/>
  <c r="H1161" i="15"/>
  <c r="I1161" i="15"/>
  <c r="H1162" i="15"/>
  <c r="I1162" i="15"/>
  <c r="H1163" i="15"/>
  <c r="I1163" i="15"/>
  <c r="H1164" i="15"/>
  <c r="I1164" i="15"/>
  <c r="H1165" i="15"/>
  <c r="I1165" i="15"/>
  <c r="H1166" i="15"/>
  <c r="I1166" i="15"/>
  <c r="H1167" i="15"/>
  <c r="I1167" i="15"/>
  <c r="H1168" i="15"/>
  <c r="I1168" i="15"/>
  <c r="H1169" i="15"/>
  <c r="I1169" i="15"/>
  <c r="H1170" i="15"/>
  <c r="I1170" i="15"/>
  <c r="H1171" i="15"/>
  <c r="I1171" i="15"/>
  <c r="H1172" i="15"/>
  <c r="I1172" i="15"/>
  <c r="H1173" i="15"/>
  <c r="I1173" i="15"/>
  <c r="H1174" i="15"/>
  <c r="I1174" i="15"/>
  <c r="H1175" i="15"/>
  <c r="I1175" i="15"/>
  <c r="H1176" i="15"/>
  <c r="I1176" i="15"/>
  <c r="H1177" i="15"/>
  <c r="I1177" i="15"/>
  <c r="H1178" i="15"/>
  <c r="I1178" i="15"/>
  <c r="H1179" i="15"/>
  <c r="I1179" i="15"/>
  <c r="H1180" i="15"/>
  <c r="I1180" i="15"/>
  <c r="H1181" i="15"/>
  <c r="I1181" i="15"/>
  <c r="H1182" i="15"/>
  <c r="I1182" i="15"/>
  <c r="H1183" i="15"/>
  <c r="I1183" i="15"/>
  <c r="H1184" i="15"/>
  <c r="I1184" i="15"/>
  <c r="H1185" i="15"/>
  <c r="I1185" i="15"/>
  <c r="H1186" i="15"/>
  <c r="I1186" i="15"/>
  <c r="H1187" i="15"/>
  <c r="I1187" i="15"/>
  <c r="H1188" i="15"/>
  <c r="I1188" i="15"/>
  <c r="H1189" i="15"/>
  <c r="I1189" i="15"/>
  <c r="H1190" i="15"/>
  <c r="I1190" i="15"/>
  <c r="H1191" i="15"/>
  <c r="I1191" i="15"/>
  <c r="H1192" i="15"/>
  <c r="I1192" i="15"/>
  <c r="H1193" i="15"/>
  <c r="I1193" i="15"/>
  <c r="H1194" i="15"/>
  <c r="I1194" i="15"/>
  <c r="H1195" i="15"/>
  <c r="I1195" i="15"/>
  <c r="H1196" i="15"/>
  <c r="I1196" i="15"/>
  <c r="H1197" i="15"/>
  <c r="I1197" i="15"/>
  <c r="H1198" i="15"/>
  <c r="I1198" i="15"/>
  <c r="H1199" i="15"/>
  <c r="I1199" i="15"/>
  <c r="H1200" i="15"/>
  <c r="I1200" i="15"/>
  <c r="H1201" i="15"/>
  <c r="I1201" i="15"/>
  <c r="H1202" i="15"/>
  <c r="I1202" i="15"/>
  <c r="H1203" i="15"/>
  <c r="I1203" i="15"/>
  <c r="H1204" i="15"/>
  <c r="I1204" i="15"/>
  <c r="H1205" i="15"/>
  <c r="I1205" i="15"/>
  <c r="H1206" i="15"/>
  <c r="I1206" i="15"/>
  <c r="H1207" i="15"/>
  <c r="I1207" i="15"/>
  <c r="H1208" i="15"/>
  <c r="I1208" i="15"/>
  <c r="H1209" i="15"/>
  <c r="I1209" i="15"/>
  <c r="H1210" i="15"/>
  <c r="I1210" i="15"/>
  <c r="H1211" i="15"/>
  <c r="I1211" i="15"/>
  <c r="H1212" i="15"/>
  <c r="I1212" i="15"/>
  <c r="H1213" i="15"/>
  <c r="I1213" i="15"/>
  <c r="H1214" i="15"/>
  <c r="I1214" i="15"/>
  <c r="H1215" i="15"/>
  <c r="I1215" i="15"/>
  <c r="H1216" i="15"/>
  <c r="I1216" i="15"/>
  <c r="H1217" i="15"/>
  <c r="I1217" i="15"/>
  <c r="H1218" i="15"/>
  <c r="I1218" i="15"/>
  <c r="H1219" i="15"/>
  <c r="I1219" i="15"/>
  <c r="H1220" i="15"/>
  <c r="I1220" i="15"/>
  <c r="H1221" i="15"/>
  <c r="I1221" i="15"/>
  <c r="H1222" i="15"/>
  <c r="I1222" i="15"/>
  <c r="H1223" i="15"/>
  <c r="I1223" i="15"/>
  <c r="H1224" i="15"/>
  <c r="I1224" i="15"/>
  <c r="H1225" i="15"/>
  <c r="I1225" i="15"/>
  <c r="H1226" i="15"/>
  <c r="I1226" i="15"/>
  <c r="H1227" i="15"/>
  <c r="I1227" i="15"/>
  <c r="H1228" i="15"/>
  <c r="I1228" i="15"/>
  <c r="H1229" i="15"/>
  <c r="I1229" i="15"/>
  <c r="H1230" i="15"/>
  <c r="I1230" i="15"/>
  <c r="H1231" i="15"/>
  <c r="I1231" i="15"/>
  <c r="H1232" i="15"/>
  <c r="I1232" i="15"/>
  <c r="H1233" i="15"/>
  <c r="I1233" i="15"/>
  <c r="H1234" i="15"/>
  <c r="I1234" i="15"/>
  <c r="H1235" i="15"/>
  <c r="I1235" i="15"/>
  <c r="H1236" i="15"/>
  <c r="I1236" i="15"/>
  <c r="H1237" i="15"/>
  <c r="I1237" i="15"/>
  <c r="H1238" i="15"/>
  <c r="I1238" i="15"/>
  <c r="H1239" i="15"/>
  <c r="I1239" i="15"/>
  <c r="H1240" i="15"/>
  <c r="I1240" i="15"/>
  <c r="H1241" i="15"/>
  <c r="I1241" i="15"/>
  <c r="H1242" i="15"/>
  <c r="I1242" i="15"/>
  <c r="H1243" i="15"/>
  <c r="I1243" i="15"/>
  <c r="H1244" i="15"/>
  <c r="I1244" i="15"/>
  <c r="H1245" i="15"/>
  <c r="I1245" i="15"/>
  <c r="H1246" i="15"/>
  <c r="I1246" i="15"/>
  <c r="H1247" i="15"/>
  <c r="I1247" i="15"/>
  <c r="H1248" i="15"/>
  <c r="I1248" i="15"/>
  <c r="H1249" i="15"/>
  <c r="I1249" i="15"/>
  <c r="H1250" i="15"/>
  <c r="I1250" i="15"/>
  <c r="H1251" i="15"/>
  <c r="I1251" i="15"/>
  <c r="H1252" i="15"/>
  <c r="I1252" i="15"/>
  <c r="H1253" i="15"/>
  <c r="I1253" i="15"/>
  <c r="H1254" i="15"/>
  <c r="I1254" i="15"/>
  <c r="H1255" i="15"/>
  <c r="I1255" i="15"/>
  <c r="H1256" i="15"/>
  <c r="I1256" i="15"/>
  <c r="H1257" i="15"/>
  <c r="I1257" i="15"/>
  <c r="H1258" i="15"/>
  <c r="I1258" i="15"/>
  <c r="H1259" i="15"/>
  <c r="I1259" i="15"/>
  <c r="H1260" i="15"/>
  <c r="I1260" i="15"/>
  <c r="H1261" i="15"/>
  <c r="I1261" i="15"/>
  <c r="H1262" i="15"/>
  <c r="I1262" i="15"/>
  <c r="H1263" i="15"/>
  <c r="I1263" i="15"/>
  <c r="H1264" i="15"/>
  <c r="I1264" i="15"/>
  <c r="H1265" i="15"/>
  <c r="I1265" i="15"/>
  <c r="H1266" i="15"/>
  <c r="I1266" i="15"/>
  <c r="H1267" i="15"/>
  <c r="I1267" i="15"/>
  <c r="H1268" i="15"/>
  <c r="I1268" i="15"/>
  <c r="H1269" i="15"/>
  <c r="I1269" i="15"/>
  <c r="H1270" i="15"/>
  <c r="I1270" i="15"/>
  <c r="H1271" i="15"/>
  <c r="I1271" i="15"/>
  <c r="H1272" i="15"/>
  <c r="I1272" i="15"/>
  <c r="H1273" i="15"/>
  <c r="I1273" i="15"/>
  <c r="H1274" i="15"/>
  <c r="I1274" i="15"/>
  <c r="H1275" i="15"/>
  <c r="I1275" i="15"/>
  <c r="H1276" i="15"/>
  <c r="I1276" i="15"/>
  <c r="H1277" i="15"/>
  <c r="I1277" i="15"/>
  <c r="H1278" i="15"/>
  <c r="I1278" i="15"/>
  <c r="H1279" i="15"/>
  <c r="I1279" i="15"/>
  <c r="H1280" i="15"/>
  <c r="I1280" i="15"/>
  <c r="H1281" i="15"/>
  <c r="I1281" i="15"/>
  <c r="H1282" i="15"/>
  <c r="I1282" i="15"/>
  <c r="H1283" i="15"/>
  <c r="I1283" i="15"/>
  <c r="H1284" i="15"/>
  <c r="I1284" i="15"/>
  <c r="H1285" i="15"/>
  <c r="I1285" i="15"/>
  <c r="H1286" i="15"/>
  <c r="I1286" i="15"/>
  <c r="H1287" i="15"/>
  <c r="I1287" i="15"/>
  <c r="H1288" i="15"/>
  <c r="I1288" i="15"/>
  <c r="H1289" i="15"/>
  <c r="I1289" i="15"/>
  <c r="H1290" i="15"/>
  <c r="I1290" i="15"/>
  <c r="H1291" i="15"/>
  <c r="I1291" i="15"/>
  <c r="H1292" i="15"/>
  <c r="I1292" i="15"/>
  <c r="H1293" i="15"/>
  <c r="I1293" i="15"/>
  <c r="H1294" i="15"/>
  <c r="I1294" i="15"/>
  <c r="H1295" i="15"/>
  <c r="I1295" i="15"/>
  <c r="H1296" i="15"/>
  <c r="I1296" i="15"/>
  <c r="H1297" i="15"/>
  <c r="I1297" i="15"/>
  <c r="H1298" i="15"/>
  <c r="I1298" i="15"/>
  <c r="H1299" i="15"/>
  <c r="I1299" i="15"/>
  <c r="H1300" i="15"/>
  <c r="I1300" i="15"/>
  <c r="H1301" i="15"/>
  <c r="I1301" i="15"/>
  <c r="H1302" i="15"/>
  <c r="I1302" i="15"/>
  <c r="H1303" i="15"/>
  <c r="I1303" i="15"/>
  <c r="H1304" i="15"/>
  <c r="I1304" i="15"/>
  <c r="H1305" i="15"/>
  <c r="I1305" i="15"/>
  <c r="H1306" i="15"/>
  <c r="I1306" i="15"/>
  <c r="H1307" i="15"/>
  <c r="I1307" i="15"/>
  <c r="H1308" i="15"/>
  <c r="I1308" i="15"/>
  <c r="H1309" i="15"/>
  <c r="I1309" i="15"/>
  <c r="H1310" i="15"/>
  <c r="I1310" i="15"/>
  <c r="H1311" i="15"/>
  <c r="I1311" i="15"/>
  <c r="H1312" i="15"/>
  <c r="I1312" i="15"/>
  <c r="H1313" i="15"/>
  <c r="I1313" i="15"/>
  <c r="H1314" i="15"/>
  <c r="I1314" i="15"/>
  <c r="H1315" i="15"/>
  <c r="I1315" i="15"/>
  <c r="H1316" i="15"/>
  <c r="I1316" i="15"/>
  <c r="H1317" i="15"/>
  <c r="I1317" i="15"/>
  <c r="H1318" i="15"/>
  <c r="I1318" i="15"/>
  <c r="H1319" i="15"/>
  <c r="I1319" i="15"/>
  <c r="H1320" i="15"/>
  <c r="I1320" i="15"/>
  <c r="H1321" i="15"/>
  <c r="I1321" i="15"/>
  <c r="H1322" i="15"/>
  <c r="I1322" i="15"/>
  <c r="H1323" i="15"/>
  <c r="I1323" i="15"/>
  <c r="H1324" i="15"/>
  <c r="I1324" i="15"/>
  <c r="H1325" i="15"/>
  <c r="I1325" i="15"/>
  <c r="H1326" i="15"/>
  <c r="I1326" i="15"/>
  <c r="H1327" i="15"/>
  <c r="I1327" i="15"/>
  <c r="H1328" i="15"/>
  <c r="I1328" i="15"/>
  <c r="H1329" i="15"/>
  <c r="I1329" i="15"/>
  <c r="H1330" i="15"/>
  <c r="I1330" i="15"/>
  <c r="H1331" i="15"/>
  <c r="I1331" i="15"/>
  <c r="H1332" i="15"/>
  <c r="I1332" i="15"/>
  <c r="H1333" i="15"/>
  <c r="I1333" i="15"/>
  <c r="H1334" i="15"/>
  <c r="I1334" i="15"/>
  <c r="H1335" i="15"/>
  <c r="I1335" i="15"/>
  <c r="H1336" i="15"/>
  <c r="I1336" i="15"/>
  <c r="H1337" i="15"/>
  <c r="I1337" i="15"/>
  <c r="H1338" i="15"/>
  <c r="I1338" i="15"/>
  <c r="H1339" i="15"/>
  <c r="I1339" i="15"/>
  <c r="H1340" i="15"/>
  <c r="I1340" i="15"/>
  <c r="H1341" i="15"/>
  <c r="I1341" i="15"/>
  <c r="H1342" i="15"/>
  <c r="I1342" i="15"/>
  <c r="H1343" i="15"/>
  <c r="I1343" i="15"/>
  <c r="H1344" i="15"/>
  <c r="I1344" i="15"/>
  <c r="H1345" i="15"/>
  <c r="I1345" i="15"/>
  <c r="H1346" i="15"/>
  <c r="I1346" i="15"/>
  <c r="H1347" i="15"/>
  <c r="I1347" i="15"/>
  <c r="H1348" i="15"/>
  <c r="I1348" i="15"/>
  <c r="H1349" i="15"/>
  <c r="I1349" i="15"/>
  <c r="H1350" i="15"/>
  <c r="I1350" i="15"/>
  <c r="H1351" i="15"/>
  <c r="I1351" i="15"/>
  <c r="H1352" i="15"/>
  <c r="I1352" i="15"/>
  <c r="H1353" i="15"/>
  <c r="I1353" i="15"/>
  <c r="H1354" i="15"/>
  <c r="I1354" i="15"/>
  <c r="H1355" i="15"/>
  <c r="I1355" i="15"/>
  <c r="H1356" i="15"/>
  <c r="I1356" i="15"/>
  <c r="H1357" i="15"/>
  <c r="I1357" i="15"/>
  <c r="H1358" i="15"/>
  <c r="I1358" i="15"/>
  <c r="H1359" i="15"/>
  <c r="I1359" i="15"/>
  <c r="H1360" i="15"/>
  <c r="I1360" i="15"/>
  <c r="H1361" i="15"/>
  <c r="I1361" i="15"/>
  <c r="H1362" i="15"/>
  <c r="I1362" i="15"/>
  <c r="H1363" i="15"/>
  <c r="I1363" i="15"/>
  <c r="H1364" i="15"/>
  <c r="I1364" i="15"/>
  <c r="H1365" i="15"/>
  <c r="I1365" i="15"/>
  <c r="H1366" i="15"/>
  <c r="I1366" i="15"/>
  <c r="H1367" i="15"/>
  <c r="I1367" i="15"/>
  <c r="H1368" i="15"/>
  <c r="I1368" i="15"/>
  <c r="H1369" i="15"/>
  <c r="I1369" i="15"/>
  <c r="H1370" i="15"/>
  <c r="I1370" i="15"/>
  <c r="H1371" i="15"/>
  <c r="I1371" i="15"/>
  <c r="H1372" i="15"/>
  <c r="I1372" i="15"/>
  <c r="H1373" i="15"/>
  <c r="I1373" i="15"/>
  <c r="H1374" i="15"/>
  <c r="I1374" i="15"/>
  <c r="H1375" i="15"/>
  <c r="I1375" i="15"/>
  <c r="H1376" i="15"/>
  <c r="I1376" i="15"/>
  <c r="H1377" i="15"/>
  <c r="I1377" i="15"/>
  <c r="H1378" i="15"/>
  <c r="I1378" i="15"/>
  <c r="H1379" i="15"/>
  <c r="I1379" i="15"/>
  <c r="H1380" i="15"/>
  <c r="I1380" i="15"/>
  <c r="H1381" i="15"/>
  <c r="I1381" i="15"/>
  <c r="H1382" i="15"/>
  <c r="I1382" i="15"/>
  <c r="H1383" i="15"/>
  <c r="I1383" i="15"/>
  <c r="H1384" i="15"/>
  <c r="I1384" i="15"/>
  <c r="H1385" i="15"/>
  <c r="I1385" i="15"/>
  <c r="H1386" i="15"/>
  <c r="I1386" i="15"/>
  <c r="H1387" i="15"/>
  <c r="I1387" i="15"/>
  <c r="H1388" i="15"/>
  <c r="I1388" i="15"/>
  <c r="H1389" i="15"/>
  <c r="I1389" i="15"/>
  <c r="H1390" i="15"/>
  <c r="I1390" i="15"/>
  <c r="H1391" i="15"/>
  <c r="I1391" i="15"/>
  <c r="H1392" i="15"/>
  <c r="I1392" i="15"/>
  <c r="H1393" i="15"/>
  <c r="I1393" i="15"/>
  <c r="H1394" i="15"/>
  <c r="I1394" i="15"/>
  <c r="H1395" i="15"/>
  <c r="I1395" i="15"/>
  <c r="H1396" i="15"/>
  <c r="I1396" i="15"/>
  <c r="H1397" i="15"/>
  <c r="I1397" i="15"/>
  <c r="H1398" i="15"/>
  <c r="I1398" i="15"/>
  <c r="H1399" i="15"/>
  <c r="I1399" i="15"/>
  <c r="H1400" i="15"/>
  <c r="I1400" i="15"/>
  <c r="H1401" i="15"/>
  <c r="I1401" i="15"/>
  <c r="H1402" i="15"/>
  <c r="I1402" i="15"/>
  <c r="H1403" i="15"/>
  <c r="I1403" i="15"/>
  <c r="H1404" i="15"/>
  <c r="I1404" i="15"/>
  <c r="H1405" i="15"/>
  <c r="I1405" i="15"/>
  <c r="H1406" i="15"/>
  <c r="I1406" i="15"/>
  <c r="H1407" i="15"/>
  <c r="I1407" i="15"/>
  <c r="H1408" i="15"/>
  <c r="I1408" i="15"/>
  <c r="H1409" i="15"/>
  <c r="I1409" i="15"/>
  <c r="H1410" i="15"/>
  <c r="I1410" i="15"/>
  <c r="H1411" i="15"/>
  <c r="I1411" i="15"/>
  <c r="H1412" i="15"/>
  <c r="I1412" i="15"/>
  <c r="H1413" i="15"/>
  <c r="I1413" i="15"/>
  <c r="H1414" i="15"/>
  <c r="I1414" i="15"/>
  <c r="H1415" i="15"/>
  <c r="I1415" i="15"/>
  <c r="H1416" i="15"/>
  <c r="I1416" i="15"/>
  <c r="H1417" i="15"/>
  <c r="I1417" i="15"/>
  <c r="H1418" i="15"/>
  <c r="I1418" i="15"/>
  <c r="H1419" i="15"/>
  <c r="I1419" i="15"/>
  <c r="H1420" i="15"/>
  <c r="I1420" i="15"/>
  <c r="H1421" i="15"/>
  <c r="I1421" i="15"/>
  <c r="H1422" i="15"/>
  <c r="I1422" i="15"/>
  <c r="H1423" i="15"/>
  <c r="I1423" i="15"/>
  <c r="H1424" i="15"/>
  <c r="I1424" i="15"/>
  <c r="H1425" i="15"/>
  <c r="I1425" i="15"/>
  <c r="H1426" i="15"/>
  <c r="I1426" i="15"/>
  <c r="H1427" i="15"/>
  <c r="I1427" i="15"/>
  <c r="H1428" i="15"/>
  <c r="I1428" i="15"/>
  <c r="H1429" i="15"/>
  <c r="I1429" i="15"/>
  <c r="H1430" i="15"/>
  <c r="I1430" i="15"/>
  <c r="H1431" i="15"/>
  <c r="I1431" i="15"/>
  <c r="H1432" i="15"/>
  <c r="I1432" i="15"/>
  <c r="H1433" i="15"/>
  <c r="I1433" i="15"/>
  <c r="H1434" i="15"/>
  <c r="I1434" i="15"/>
  <c r="H1435" i="15"/>
  <c r="I1435" i="15"/>
  <c r="H1436" i="15"/>
  <c r="I1436" i="15"/>
  <c r="H1437" i="15"/>
  <c r="I1437" i="15"/>
  <c r="H1438" i="15"/>
  <c r="I1438" i="15"/>
  <c r="H1439" i="15"/>
  <c r="I1439" i="15"/>
  <c r="H1440" i="15"/>
  <c r="I1440" i="15"/>
  <c r="H1441" i="15"/>
  <c r="I1441" i="15"/>
  <c r="H1442" i="15"/>
  <c r="I1442" i="15"/>
  <c r="H1443" i="15"/>
  <c r="I1443" i="15"/>
  <c r="H1444" i="15"/>
  <c r="I1444" i="15"/>
  <c r="H1445" i="15"/>
  <c r="I1445" i="15"/>
  <c r="H1446" i="15"/>
  <c r="I1446" i="15"/>
  <c r="H1447" i="15"/>
  <c r="I1447" i="15"/>
  <c r="H1448" i="15"/>
  <c r="I1448" i="15"/>
  <c r="H1449" i="15"/>
  <c r="I1449" i="15"/>
  <c r="H1450" i="15"/>
  <c r="I1450" i="15"/>
  <c r="H1451" i="15"/>
  <c r="I1451" i="15"/>
  <c r="H1452" i="15"/>
  <c r="I1452" i="15"/>
  <c r="H1453" i="15"/>
  <c r="I1453" i="15"/>
  <c r="H1454" i="15"/>
  <c r="I1454" i="15"/>
  <c r="H1455" i="15"/>
  <c r="I1455" i="15"/>
  <c r="H1456" i="15"/>
  <c r="I1456" i="15"/>
  <c r="H1457" i="15"/>
  <c r="I1457" i="15"/>
  <c r="H1458" i="15"/>
  <c r="I1458" i="15"/>
  <c r="H1459" i="15"/>
  <c r="I1459" i="15"/>
  <c r="H1460" i="15"/>
  <c r="I1460" i="15"/>
  <c r="H1461" i="15"/>
  <c r="I1461" i="15"/>
  <c r="H1462" i="15"/>
  <c r="I1462" i="15"/>
  <c r="H1463" i="15"/>
  <c r="I1463" i="15"/>
  <c r="H1464" i="15"/>
  <c r="I1464" i="15"/>
  <c r="H1465" i="15"/>
  <c r="I1465" i="15"/>
  <c r="H1466" i="15"/>
  <c r="I1466" i="15"/>
  <c r="H1467" i="15"/>
  <c r="I1467" i="15"/>
  <c r="H1468" i="15"/>
  <c r="I1468" i="15"/>
  <c r="H1469" i="15"/>
  <c r="I1469" i="15"/>
  <c r="H1470" i="15"/>
  <c r="I1470" i="15"/>
  <c r="H1471" i="15"/>
  <c r="I1471" i="15"/>
  <c r="H1472" i="15"/>
  <c r="I1472" i="15"/>
  <c r="H1473" i="15"/>
  <c r="I1473" i="15"/>
  <c r="H1474" i="15"/>
  <c r="I1474" i="15"/>
  <c r="H1475" i="15"/>
  <c r="I1475" i="15"/>
  <c r="H1476" i="15"/>
  <c r="I1476" i="15"/>
  <c r="H1477" i="15"/>
  <c r="I1477" i="15"/>
  <c r="H1478" i="15"/>
  <c r="I1478" i="15"/>
  <c r="H1479" i="15"/>
  <c r="I1479" i="15"/>
  <c r="H1480" i="15"/>
  <c r="I1480" i="15"/>
  <c r="H1481" i="15"/>
  <c r="I1481" i="15"/>
  <c r="H1482" i="15"/>
  <c r="I1482" i="15"/>
  <c r="H1483" i="15"/>
  <c r="I1483" i="15"/>
  <c r="H1484" i="15"/>
  <c r="I1484" i="15"/>
  <c r="H1485" i="15"/>
  <c r="I1485" i="15"/>
  <c r="H1486" i="15"/>
  <c r="I1486" i="15"/>
  <c r="H1487" i="15"/>
  <c r="I1487" i="15"/>
  <c r="H1488" i="15"/>
  <c r="I1488" i="15"/>
  <c r="H1489" i="15"/>
  <c r="I1489" i="15"/>
  <c r="H1490" i="15"/>
  <c r="I1490" i="15"/>
  <c r="H1491" i="15"/>
  <c r="I1491" i="15"/>
  <c r="H1492" i="15"/>
  <c r="I1492" i="15"/>
  <c r="H1493" i="15"/>
  <c r="I1493" i="15"/>
  <c r="H1494" i="15"/>
  <c r="I1494" i="15"/>
  <c r="H1495" i="15"/>
  <c r="I1495" i="15"/>
  <c r="H1496" i="15"/>
  <c r="I1496" i="15"/>
  <c r="H1497" i="15"/>
  <c r="I1497" i="15"/>
  <c r="H1498" i="15"/>
  <c r="I1498" i="15"/>
  <c r="H1499" i="15"/>
  <c r="I1499" i="15"/>
  <c r="H1500" i="15"/>
  <c r="I1500" i="15"/>
  <c r="H1501" i="15"/>
  <c r="I1501" i="15"/>
  <c r="H1502" i="15"/>
  <c r="I1502" i="15"/>
  <c r="H1503" i="15"/>
  <c r="I1503" i="15"/>
  <c r="H1504" i="15"/>
  <c r="I1504" i="15"/>
  <c r="H1505" i="15"/>
  <c r="I1505" i="15"/>
  <c r="H1506" i="15"/>
  <c r="I1506" i="15"/>
  <c r="H1507" i="15"/>
  <c r="I1507" i="15"/>
  <c r="H1508" i="15"/>
  <c r="I1508" i="15"/>
  <c r="H1509" i="15"/>
  <c r="I1509" i="15"/>
  <c r="H1510" i="15"/>
  <c r="I1510" i="15"/>
  <c r="H1511" i="15"/>
  <c r="I1511" i="15"/>
  <c r="H1512" i="15"/>
  <c r="I1512" i="15"/>
  <c r="H1513" i="15"/>
  <c r="I1513" i="15"/>
  <c r="H1514" i="15"/>
  <c r="I1514" i="15"/>
  <c r="H1515" i="15"/>
  <c r="I1515" i="15"/>
  <c r="H1516" i="15"/>
  <c r="I1516" i="15"/>
  <c r="H1517" i="15"/>
  <c r="I1517" i="15"/>
  <c r="H1518" i="15"/>
  <c r="I1518" i="15"/>
  <c r="H1519" i="15"/>
  <c r="I1519" i="15"/>
  <c r="H1520" i="15"/>
  <c r="I1520" i="15"/>
  <c r="H1521" i="15"/>
  <c r="I1521" i="15"/>
  <c r="H1522" i="15"/>
  <c r="I1522" i="15"/>
  <c r="H1523" i="15"/>
  <c r="I1523" i="15"/>
  <c r="H1524" i="15"/>
  <c r="I1524" i="15"/>
  <c r="H1525" i="15"/>
  <c r="I1525" i="15"/>
  <c r="H1526" i="15"/>
  <c r="I1526" i="15"/>
  <c r="H1527" i="15"/>
  <c r="I1527" i="15"/>
  <c r="H1528" i="15"/>
  <c r="I1528" i="15"/>
  <c r="H1529" i="15"/>
  <c r="I1529" i="15"/>
  <c r="H1530" i="15"/>
  <c r="I1530" i="15"/>
  <c r="H1531" i="15"/>
  <c r="I1531" i="15"/>
  <c r="H1532" i="15"/>
  <c r="I1532" i="15"/>
  <c r="H1533" i="15"/>
  <c r="I1533" i="15"/>
  <c r="H1534" i="15"/>
  <c r="I1534" i="15"/>
  <c r="H1535" i="15"/>
  <c r="I1535" i="15"/>
  <c r="H1536" i="15"/>
  <c r="I1536" i="15"/>
  <c r="H1537" i="15"/>
  <c r="I1537" i="15"/>
  <c r="H1538" i="15"/>
  <c r="I1538" i="15"/>
  <c r="H1539" i="15"/>
  <c r="I1539" i="15"/>
  <c r="H1540" i="15"/>
  <c r="I1540" i="15"/>
  <c r="H1541" i="15"/>
  <c r="I1541" i="15"/>
  <c r="H1542" i="15"/>
  <c r="I1542" i="15"/>
  <c r="H1543" i="15"/>
  <c r="I1543" i="15"/>
  <c r="H1544" i="15"/>
  <c r="I1544" i="15"/>
  <c r="H1545" i="15"/>
  <c r="I1545" i="15"/>
  <c r="H1546" i="15"/>
  <c r="I1546" i="15"/>
  <c r="H1547" i="15"/>
  <c r="I1547" i="15"/>
  <c r="H1548" i="15"/>
  <c r="I1548" i="15"/>
  <c r="H1549" i="15"/>
  <c r="I1549" i="15"/>
  <c r="H1550" i="15"/>
  <c r="I1550" i="15"/>
  <c r="H1551" i="15"/>
  <c r="I1551" i="15"/>
  <c r="H1552" i="15"/>
  <c r="I1552" i="15"/>
  <c r="H1553" i="15"/>
  <c r="I1553" i="15"/>
  <c r="H1554" i="15"/>
  <c r="I1554" i="15"/>
  <c r="H1555" i="15"/>
  <c r="I1555" i="15"/>
  <c r="H1556" i="15"/>
  <c r="I1556" i="15"/>
  <c r="H1557" i="15"/>
  <c r="I1557" i="15"/>
  <c r="H1558" i="15"/>
  <c r="I1558" i="15"/>
  <c r="H1559" i="15"/>
  <c r="I1559" i="15"/>
  <c r="H1560" i="15"/>
  <c r="I1560" i="15"/>
  <c r="H1561" i="15"/>
  <c r="I1561" i="15"/>
  <c r="H1562" i="15"/>
  <c r="I1562" i="15"/>
  <c r="H1563" i="15"/>
  <c r="I1563" i="15"/>
  <c r="H1564" i="15"/>
  <c r="I1564" i="15"/>
  <c r="H1565" i="15"/>
  <c r="I1565" i="15"/>
  <c r="H1566" i="15"/>
  <c r="I1566" i="15"/>
  <c r="H1567" i="15"/>
  <c r="I1567" i="15"/>
  <c r="H1568" i="15"/>
  <c r="I1568" i="15"/>
  <c r="H1569" i="15"/>
  <c r="I1569" i="15"/>
  <c r="H1570" i="15"/>
  <c r="I1570" i="15"/>
  <c r="H1571" i="15"/>
  <c r="I1571" i="15"/>
  <c r="H1572" i="15"/>
  <c r="I1572" i="15"/>
  <c r="H1573" i="15"/>
  <c r="I1573" i="15"/>
  <c r="H1574" i="15"/>
  <c r="I1574" i="15"/>
  <c r="H1575" i="15"/>
  <c r="I1575" i="15"/>
  <c r="H1576" i="15"/>
  <c r="I1576" i="15"/>
  <c r="H1577" i="15"/>
  <c r="I1577" i="15"/>
  <c r="H1578" i="15"/>
  <c r="I1578" i="15"/>
  <c r="H1579" i="15"/>
  <c r="I1579" i="15"/>
  <c r="H1580" i="15"/>
  <c r="I1580" i="15"/>
  <c r="H1581" i="15"/>
  <c r="I1581" i="15"/>
  <c r="H1582" i="15"/>
  <c r="I1582" i="15"/>
  <c r="H1583" i="15"/>
  <c r="I1583" i="15"/>
  <c r="H1584" i="15"/>
  <c r="I1584" i="15"/>
  <c r="H1585" i="15"/>
  <c r="I1585" i="15"/>
  <c r="H1586" i="15"/>
  <c r="I1586" i="15"/>
  <c r="H1587" i="15"/>
  <c r="I1587" i="15"/>
  <c r="H1588" i="15"/>
  <c r="I1588" i="15"/>
  <c r="H1589" i="15"/>
  <c r="I1589" i="15"/>
  <c r="H1590" i="15"/>
  <c r="I1590" i="15"/>
  <c r="H1591" i="15"/>
  <c r="I1591" i="15"/>
  <c r="H1592" i="15"/>
  <c r="I1592" i="15"/>
  <c r="H1593" i="15"/>
  <c r="I1593" i="15"/>
  <c r="H1594" i="15"/>
  <c r="I1594" i="15"/>
  <c r="H1595" i="15"/>
  <c r="I1595" i="15"/>
  <c r="H1596" i="15"/>
  <c r="I1596" i="15"/>
  <c r="H1597" i="15"/>
  <c r="I1597" i="15"/>
  <c r="H1598" i="15"/>
  <c r="I1598" i="15"/>
  <c r="H1599" i="15"/>
  <c r="I1599" i="15"/>
  <c r="H1600" i="15"/>
  <c r="I1600" i="15"/>
  <c r="H1601" i="15"/>
  <c r="I1601" i="15"/>
  <c r="H1602" i="15"/>
  <c r="I1602" i="15"/>
  <c r="H1603" i="15"/>
  <c r="I1603" i="15"/>
  <c r="H1604" i="15"/>
  <c r="I1604" i="15"/>
  <c r="H1605" i="15"/>
  <c r="I1605" i="15"/>
  <c r="H1606" i="15"/>
  <c r="I1606" i="15"/>
  <c r="H1607" i="15"/>
  <c r="I1607" i="15"/>
  <c r="H1608" i="15"/>
  <c r="I1608" i="15"/>
  <c r="H1609" i="15"/>
  <c r="I1609" i="15"/>
  <c r="H1610" i="15"/>
  <c r="I1610" i="15"/>
  <c r="H1611" i="15"/>
  <c r="I1611" i="15"/>
  <c r="H1612" i="15"/>
  <c r="I1612" i="15"/>
  <c r="H1613" i="15"/>
  <c r="I1613" i="15"/>
  <c r="H1614" i="15"/>
  <c r="I1614" i="15"/>
  <c r="H1615" i="15"/>
  <c r="I1615" i="15"/>
  <c r="H1616" i="15"/>
  <c r="I1616" i="15"/>
  <c r="H1617" i="15"/>
  <c r="I1617" i="15"/>
  <c r="H1618" i="15"/>
  <c r="I1618" i="15"/>
  <c r="H1619" i="15"/>
  <c r="I1619" i="15"/>
  <c r="H1620" i="15"/>
  <c r="I1620" i="15"/>
  <c r="H1621" i="15"/>
  <c r="I1621" i="15"/>
  <c r="H1622" i="15"/>
  <c r="I1622" i="15"/>
  <c r="H1623" i="15"/>
  <c r="I1623" i="15"/>
  <c r="H1624" i="15"/>
  <c r="I1624" i="15"/>
  <c r="H1625" i="15"/>
  <c r="I1625" i="15"/>
  <c r="H1626" i="15"/>
  <c r="I1626" i="15"/>
  <c r="H1627" i="15"/>
  <c r="I1627" i="15"/>
  <c r="H1628" i="15"/>
  <c r="I1628" i="15"/>
  <c r="H1629" i="15"/>
  <c r="I1629" i="15"/>
  <c r="H1630" i="15"/>
  <c r="I1630" i="15"/>
  <c r="H1631" i="15"/>
  <c r="I1631" i="15"/>
  <c r="H1632" i="15"/>
  <c r="I1632" i="15"/>
  <c r="H1633" i="15"/>
  <c r="I1633" i="15"/>
  <c r="H1634" i="15"/>
  <c r="I1634" i="15"/>
  <c r="H1635" i="15"/>
  <c r="I1635" i="15"/>
  <c r="H1636" i="15"/>
  <c r="I1636" i="15"/>
  <c r="H1637" i="15"/>
  <c r="I1637" i="15"/>
  <c r="H1638" i="15"/>
  <c r="I1638" i="15"/>
  <c r="H1639" i="15"/>
  <c r="I1639" i="15"/>
  <c r="H1640" i="15"/>
  <c r="I1640" i="15"/>
  <c r="H1641" i="15"/>
  <c r="I1641" i="15"/>
  <c r="H1642" i="15"/>
  <c r="I1642" i="15"/>
  <c r="H1643" i="15"/>
  <c r="I1643" i="15"/>
  <c r="H1644" i="15"/>
  <c r="I1644" i="15"/>
  <c r="H1645" i="15"/>
  <c r="I1645" i="15"/>
  <c r="H1646" i="15"/>
  <c r="I1646" i="15"/>
  <c r="H1647" i="15"/>
  <c r="I1647" i="15"/>
  <c r="H1648" i="15"/>
  <c r="I1648" i="15"/>
  <c r="H1649" i="15"/>
  <c r="I1649" i="15"/>
  <c r="H1650" i="15"/>
  <c r="I1650" i="15"/>
  <c r="H1651" i="15"/>
  <c r="I1651" i="15"/>
  <c r="H1652" i="15"/>
  <c r="I1652" i="15"/>
  <c r="H1653" i="15"/>
  <c r="I1653" i="15"/>
  <c r="H1654" i="15"/>
  <c r="I1654" i="15"/>
  <c r="H1655" i="15"/>
  <c r="I1655" i="15"/>
  <c r="H1656" i="15"/>
  <c r="I1656" i="15"/>
  <c r="H1657" i="15"/>
  <c r="I1657" i="15"/>
  <c r="H1658" i="15"/>
  <c r="I1658" i="15"/>
  <c r="H1659" i="15"/>
  <c r="I1659" i="15"/>
  <c r="H1660" i="15"/>
  <c r="I1660" i="15"/>
  <c r="H1661" i="15"/>
  <c r="I1661" i="15"/>
  <c r="H1662" i="15"/>
  <c r="I1662" i="15"/>
  <c r="H1663" i="15"/>
  <c r="I1663" i="15"/>
  <c r="H1664" i="15"/>
  <c r="I1664" i="15"/>
  <c r="H1665" i="15"/>
  <c r="I1665" i="15"/>
  <c r="H1666" i="15"/>
  <c r="I1666" i="15"/>
  <c r="H1667" i="15"/>
  <c r="I1667" i="15"/>
  <c r="H1668" i="15"/>
  <c r="I1668" i="15"/>
  <c r="H1669" i="15"/>
  <c r="I1669" i="15"/>
  <c r="H1670" i="15"/>
  <c r="I1670" i="15"/>
  <c r="H1671" i="15"/>
  <c r="I1671" i="15"/>
  <c r="H1672" i="15"/>
  <c r="I1672" i="15"/>
  <c r="H1673" i="15"/>
  <c r="I1673" i="15"/>
  <c r="H1674" i="15"/>
  <c r="I1674" i="15"/>
  <c r="H1675" i="15"/>
  <c r="I1675" i="15"/>
  <c r="H1676" i="15"/>
  <c r="I1676" i="15"/>
  <c r="H1677" i="15"/>
  <c r="I1677" i="15"/>
  <c r="H1678" i="15"/>
  <c r="I1678" i="15"/>
  <c r="H1679" i="15"/>
  <c r="I1679" i="15"/>
  <c r="H1680" i="15"/>
  <c r="I1680" i="15"/>
  <c r="H1681" i="15"/>
  <c r="I1681" i="15"/>
  <c r="H1682" i="15"/>
  <c r="I1682" i="15"/>
  <c r="H1683" i="15"/>
  <c r="I1683" i="15"/>
  <c r="H1684" i="15"/>
  <c r="I1684" i="15"/>
  <c r="H1685" i="15"/>
  <c r="I1685" i="15"/>
  <c r="H1686" i="15"/>
  <c r="I1686" i="15"/>
  <c r="H1687" i="15"/>
  <c r="I1687" i="15"/>
  <c r="H1688" i="15"/>
  <c r="I1688" i="15"/>
  <c r="H1689" i="15"/>
  <c r="I1689" i="15"/>
  <c r="H1690" i="15"/>
  <c r="I1690" i="15"/>
  <c r="H1691" i="15"/>
  <c r="I1691" i="15"/>
  <c r="H1692" i="15"/>
  <c r="I1692" i="15"/>
  <c r="H1693" i="15"/>
  <c r="I1693" i="15"/>
  <c r="H1694" i="15"/>
  <c r="I1694" i="15"/>
  <c r="H1695" i="15"/>
  <c r="I1695" i="15"/>
  <c r="H1696" i="15"/>
  <c r="I1696" i="15"/>
  <c r="H1697" i="15"/>
  <c r="I1697" i="15"/>
  <c r="H1698" i="15"/>
  <c r="I1698" i="15"/>
  <c r="H1699" i="15"/>
  <c r="I1699" i="15"/>
  <c r="H1700" i="15"/>
  <c r="I1700" i="15"/>
  <c r="H1701" i="15"/>
  <c r="I1701" i="15"/>
  <c r="H1702" i="15"/>
  <c r="I1702" i="15"/>
  <c r="H1703" i="15"/>
  <c r="I1703" i="15"/>
  <c r="H1704" i="15"/>
  <c r="I1704" i="15"/>
  <c r="H1705" i="15"/>
  <c r="I1705" i="15"/>
  <c r="H1706" i="15"/>
  <c r="I1706" i="15"/>
  <c r="H1707" i="15"/>
  <c r="I1707" i="15"/>
  <c r="H1708" i="15"/>
  <c r="I1708" i="15"/>
  <c r="H1709" i="15"/>
  <c r="I1709" i="15"/>
  <c r="H1710" i="15"/>
  <c r="I1710" i="15"/>
  <c r="H1711" i="15"/>
  <c r="I1711" i="15"/>
  <c r="H1712" i="15"/>
  <c r="I1712" i="15"/>
  <c r="H1713" i="15"/>
  <c r="I1713" i="15"/>
  <c r="H1714" i="15"/>
  <c r="I1714" i="15"/>
  <c r="H1715" i="15"/>
  <c r="I1715" i="15"/>
  <c r="H1716" i="15"/>
  <c r="I1716" i="15"/>
  <c r="H1717" i="15"/>
  <c r="I1717" i="15"/>
  <c r="H1718" i="15"/>
  <c r="I1718" i="15"/>
  <c r="H1719" i="15"/>
  <c r="I1719" i="15"/>
  <c r="H1720" i="15"/>
  <c r="I1720" i="15"/>
  <c r="H1721" i="15"/>
  <c r="I1721" i="15"/>
  <c r="H1722" i="15"/>
  <c r="I1722" i="15"/>
  <c r="H1723" i="15"/>
  <c r="I1723" i="15"/>
  <c r="H1724" i="15"/>
  <c r="I1724" i="15"/>
  <c r="H1725" i="15"/>
  <c r="I1725" i="15"/>
  <c r="H1726" i="15"/>
  <c r="I1726" i="15"/>
  <c r="H1727" i="15"/>
  <c r="I1727" i="15"/>
  <c r="H1728" i="15"/>
  <c r="I1728" i="15"/>
  <c r="H1729" i="15"/>
  <c r="I1729" i="15"/>
  <c r="H1730" i="15"/>
  <c r="I1730" i="15"/>
  <c r="H1731" i="15"/>
  <c r="I1731" i="15"/>
  <c r="H1732" i="15"/>
  <c r="I1732" i="15"/>
  <c r="H1733" i="15"/>
  <c r="I1733" i="15"/>
  <c r="H1734" i="15"/>
  <c r="I1734" i="15"/>
  <c r="H1735" i="15"/>
  <c r="I1735" i="15"/>
  <c r="H1736" i="15"/>
  <c r="I1736" i="15"/>
  <c r="H1737" i="15"/>
  <c r="I1737" i="15"/>
  <c r="H1738" i="15"/>
  <c r="I1738" i="15"/>
  <c r="H1739" i="15"/>
  <c r="I1739" i="15"/>
  <c r="H1740" i="15"/>
  <c r="I1740" i="15"/>
  <c r="H1741" i="15"/>
  <c r="I1741" i="15"/>
  <c r="H1742" i="15"/>
  <c r="I1742" i="15"/>
  <c r="H1743" i="15"/>
  <c r="I1743" i="15"/>
  <c r="H1744" i="15"/>
  <c r="I1744" i="15"/>
  <c r="H1745" i="15"/>
  <c r="I1745" i="15"/>
  <c r="H1746" i="15"/>
  <c r="I1746" i="15"/>
  <c r="H1747" i="15"/>
  <c r="I1747" i="15"/>
  <c r="H1748" i="15"/>
  <c r="I1748" i="15"/>
  <c r="H1749" i="15"/>
  <c r="I1749" i="15"/>
  <c r="H1750" i="15"/>
  <c r="I1750" i="15"/>
  <c r="H1751" i="15"/>
  <c r="I1751" i="15"/>
  <c r="H1752" i="15"/>
  <c r="I1752" i="15"/>
  <c r="H1753" i="15"/>
  <c r="I1753" i="15"/>
  <c r="H1754" i="15"/>
  <c r="I1754" i="15"/>
  <c r="H1755" i="15"/>
  <c r="I1755" i="15"/>
  <c r="H1756" i="15"/>
  <c r="I1756" i="15"/>
  <c r="H1757" i="15"/>
  <c r="I1757" i="15"/>
  <c r="H1758" i="15"/>
  <c r="I1758" i="15"/>
  <c r="H1759" i="15"/>
  <c r="I1759" i="15"/>
  <c r="H1760" i="15"/>
  <c r="I1760" i="15"/>
  <c r="H1761" i="15"/>
  <c r="I1761" i="15"/>
  <c r="H1762" i="15"/>
  <c r="I1762" i="15"/>
  <c r="H1763" i="15"/>
  <c r="I1763" i="15"/>
  <c r="H1764" i="15"/>
  <c r="I1764" i="15"/>
  <c r="H1765" i="15"/>
  <c r="I1765" i="15"/>
  <c r="H1766" i="15"/>
  <c r="I1766" i="15"/>
  <c r="H1767" i="15"/>
  <c r="I1767" i="15"/>
  <c r="H1768" i="15"/>
  <c r="I1768" i="15"/>
  <c r="H1769" i="15"/>
  <c r="I1769" i="15"/>
  <c r="H1770" i="15"/>
  <c r="I1770" i="15"/>
  <c r="H1771" i="15"/>
  <c r="I1771" i="15"/>
  <c r="H1772" i="15"/>
  <c r="I1772" i="15"/>
  <c r="H1773" i="15"/>
  <c r="I1773" i="15"/>
  <c r="H1774" i="15"/>
  <c r="I1774" i="15"/>
  <c r="H1775" i="15"/>
  <c r="I1775" i="15"/>
  <c r="H1776" i="15"/>
  <c r="I1776" i="15"/>
  <c r="H1777" i="15"/>
  <c r="I1777" i="15"/>
  <c r="H1778" i="15"/>
  <c r="I1778" i="15"/>
  <c r="H1779" i="15"/>
  <c r="I1779" i="15"/>
  <c r="H1780" i="15"/>
  <c r="I1780" i="15"/>
  <c r="H1781" i="15"/>
  <c r="I1781" i="15"/>
  <c r="H1782" i="15"/>
  <c r="I1782" i="15"/>
  <c r="H1783" i="15"/>
  <c r="I1783" i="15"/>
  <c r="H1784" i="15"/>
  <c r="I1784" i="15"/>
  <c r="H1785" i="15"/>
  <c r="I1785" i="15"/>
  <c r="H1786" i="15"/>
  <c r="I1786" i="15"/>
  <c r="H1787" i="15"/>
  <c r="I1787" i="15"/>
  <c r="H1788" i="15"/>
  <c r="I1788" i="15"/>
  <c r="H1789" i="15"/>
  <c r="I1789" i="15"/>
  <c r="H1790" i="15"/>
  <c r="I1790" i="15"/>
  <c r="H1791" i="15"/>
  <c r="I1791" i="15"/>
  <c r="H1792" i="15"/>
  <c r="I1792" i="15"/>
  <c r="H1793" i="15"/>
  <c r="I1793" i="15"/>
  <c r="H1794" i="15"/>
  <c r="I1794" i="15"/>
  <c r="H1795" i="15"/>
  <c r="I1795" i="15"/>
  <c r="H1796" i="15"/>
  <c r="I1796" i="15"/>
  <c r="H1797" i="15"/>
  <c r="I1797" i="15"/>
  <c r="H1798" i="15"/>
  <c r="I1798" i="15"/>
  <c r="H1799" i="15"/>
  <c r="I1799" i="15"/>
  <c r="H1800" i="15"/>
  <c r="I1800" i="15"/>
  <c r="H1801" i="15"/>
  <c r="I1801" i="15"/>
  <c r="H1802" i="15"/>
  <c r="I1802" i="15"/>
  <c r="H1803" i="15"/>
  <c r="I1803" i="15"/>
  <c r="H1804" i="15"/>
  <c r="I1804" i="15"/>
  <c r="H1805" i="15"/>
  <c r="I1805" i="15"/>
  <c r="H1806" i="15"/>
  <c r="I1806" i="15"/>
  <c r="H1807" i="15"/>
  <c r="I1807" i="15"/>
  <c r="H1808" i="15"/>
  <c r="I1808" i="15"/>
  <c r="H1809" i="15"/>
  <c r="I1809" i="15"/>
  <c r="H1810" i="15"/>
  <c r="I1810" i="15"/>
  <c r="H1811" i="15"/>
  <c r="I1811" i="15"/>
  <c r="H1812" i="15"/>
  <c r="I1812" i="15"/>
  <c r="H1813" i="15"/>
  <c r="I1813" i="15"/>
  <c r="H1814" i="15"/>
  <c r="I1814" i="15"/>
  <c r="H1815" i="15"/>
  <c r="I1815" i="15"/>
  <c r="H1816" i="15"/>
  <c r="I1816" i="15"/>
  <c r="H1817" i="15"/>
  <c r="I1817" i="15"/>
  <c r="H1818" i="15"/>
  <c r="I1818" i="15"/>
  <c r="H1819" i="15"/>
  <c r="I1819" i="15"/>
  <c r="H1820" i="15"/>
  <c r="I1820" i="15"/>
  <c r="H1821" i="15"/>
  <c r="I1821" i="15"/>
  <c r="H1822" i="15"/>
  <c r="I1822" i="15"/>
  <c r="H1823" i="15"/>
  <c r="I1823" i="15"/>
  <c r="H1824" i="15"/>
  <c r="I1824" i="15"/>
  <c r="H1825" i="15"/>
  <c r="I1825" i="15"/>
  <c r="H1826" i="15"/>
  <c r="I1826" i="15"/>
  <c r="H1827" i="15"/>
  <c r="I1827" i="15"/>
  <c r="H1828" i="15"/>
  <c r="I1828" i="15"/>
  <c r="H1829" i="15"/>
  <c r="I1829" i="15"/>
  <c r="H1830" i="15"/>
  <c r="I1830" i="15"/>
  <c r="H1831" i="15"/>
  <c r="I1831" i="15"/>
  <c r="H1832" i="15"/>
  <c r="I1832" i="15"/>
  <c r="H1833" i="15"/>
  <c r="I1833" i="15"/>
  <c r="H1834" i="15"/>
  <c r="I1834" i="15"/>
  <c r="H1835" i="15"/>
  <c r="I1835" i="15"/>
  <c r="H1836" i="15"/>
  <c r="I1836" i="15"/>
  <c r="H1837" i="15"/>
  <c r="I1837" i="15"/>
  <c r="H1838" i="15"/>
  <c r="I1838" i="15"/>
  <c r="H1839" i="15"/>
  <c r="I1839" i="15"/>
  <c r="H1840" i="15"/>
  <c r="I1840" i="15"/>
  <c r="H1841" i="15"/>
  <c r="I1841" i="15"/>
  <c r="H1842" i="15"/>
  <c r="I1842" i="15"/>
  <c r="H1843" i="15"/>
  <c r="I1843" i="15"/>
  <c r="H1844" i="15"/>
  <c r="I1844" i="15"/>
  <c r="H1845" i="15"/>
  <c r="I1845" i="15"/>
  <c r="H1846" i="15"/>
  <c r="I1846" i="15"/>
  <c r="H1847" i="15"/>
  <c r="I1847" i="15"/>
  <c r="H1848" i="15"/>
  <c r="I1848" i="15"/>
  <c r="H1849" i="15"/>
  <c r="I1849" i="15"/>
  <c r="H1850" i="15"/>
  <c r="I1850" i="15"/>
  <c r="H1851" i="15"/>
  <c r="I1851" i="15"/>
  <c r="H1852" i="15"/>
  <c r="I1852" i="15"/>
  <c r="H1853" i="15"/>
  <c r="I1853" i="15"/>
  <c r="H1854" i="15"/>
  <c r="I1854" i="15"/>
  <c r="H1855" i="15"/>
  <c r="I1855" i="15"/>
  <c r="H1856" i="15"/>
  <c r="I1856" i="15"/>
  <c r="H1857" i="15"/>
  <c r="I1857" i="15"/>
  <c r="H1858" i="15"/>
  <c r="I1858" i="15"/>
  <c r="H1859" i="15"/>
  <c r="I1859" i="15"/>
  <c r="H1860" i="15"/>
  <c r="I1860" i="15"/>
  <c r="H1861" i="15"/>
  <c r="I1861" i="15"/>
  <c r="H1862" i="15"/>
  <c r="I1862" i="15"/>
  <c r="H1863" i="15"/>
  <c r="I1863" i="15"/>
  <c r="H1864" i="15"/>
  <c r="I1864" i="15"/>
  <c r="H1865" i="15"/>
  <c r="I1865" i="15"/>
  <c r="H1866" i="15"/>
  <c r="I1866" i="15"/>
  <c r="H1867" i="15"/>
  <c r="I1867" i="15"/>
  <c r="H1868" i="15"/>
  <c r="I1868" i="15"/>
  <c r="H1869" i="15"/>
  <c r="I1869" i="15"/>
  <c r="H1870" i="15"/>
  <c r="I1870" i="15"/>
  <c r="H1871" i="15"/>
  <c r="I1871" i="15"/>
  <c r="H1872" i="15"/>
  <c r="I1872" i="15"/>
  <c r="H1873" i="15"/>
  <c r="I1873" i="15"/>
  <c r="H1874" i="15"/>
  <c r="I1874" i="15"/>
  <c r="H1875" i="15"/>
  <c r="I1875" i="15"/>
  <c r="H1876" i="15"/>
  <c r="I1876" i="15"/>
  <c r="H1877" i="15"/>
  <c r="I1877" i="15"/>
  <c r="H1878" i="15"/>
  <c r="I1878" i="15"/>
  <c r="H1879" i="15"/>
  <c r="I1879" i="15"/>
  <c r="H1880" i="15"/>
  <c r="I1880" i="15"/>
  <c r="H1881" i="15"/>
  <c r="I1881" i="15"/>
  <c r="H1882" i="15"/>
  <c r="I1882" i="15"/>
  <c r="H1883" i="15"/>
  <c r="I1883" i="15"/>
  <c r="H1884" i="15"/>
  <c r="I1884" i="15"/>
  <c r="H1885" i="15"/>
  <c r="I1885" i="15"/>
  <c r="H1886" i="15"/>
  <c r="I1886" i="15"/>
  <c r="H1887" i="15"/>
  <c r="I1887" i="15"/>
  <c r="H1888" i="15"/>
  <c r="I1888" i="15"/>
  <c r="H1889" i="15"/>
  <c r="I1889" i="15"/>
  <c r="H1890" i="15"/>
  <c r="I1890" i="15"/>
  <c r="H1891" i="15"/>
  <c r="I1891" i="15"/>
  <c r="H1892" i="15"/>
  <c r="I1892" i="15"/>
  <c r="H1893" i="15"/>
  <c r="I1893" i="15"/>
  <c r="H1894" i="15"/>
  <c r="I1894" i="15"/>
  <c r="H1895" i="15"/>
  <c r="I1895" i="15"/>
  <c r="H1896" i="15"/>
  <c r="I1896" i="15"/>
  <c r="H1897" i="15"/>
  <c r="I1897" i="15"/>
  <c r="H1898" i="15"/>
  <c r="I1898" i="15"/>
  <c r="H1899" i="15"/>
  <c r="I1899" i="15"/>
  <c r="H1900" i="15"/>
  <c r="I1900" i="15"/>
  <c r="H1901" i="15"/>
  <c r="I1901" i="15"/>
  <c r="H1902" i="15"/>
  <c r="I1902" i="15"/>
  <c r="H1903" i="15"/>
  <c r="I1903" i="15"/>
  <c r="H1904" i="15"/>
  <c r="I1904" i="15"/>
  <c r="H1905" i="15"/>
  <c r="I1905" i="15"/>
  <c r="H1906" i="15"/>
  <c r="I1906" i="15"/>
  <c r="H1907" i="15"/>
  <c r="I1907" i="15"/>
  <c r="H1908" i="15"/>
  <c r="I1908" i="15"/>
  <c r="H1909" i="15"/>
  <c r="I1909" i="15"/>
  <c r="H1910" i="15"/>
  <c r="I1910" i="15"/>
  <c r="H1911" i="15"/>
  <c r="I1911" i="15"/>
  <c r="H1912" i="15"/>
  <c r="I1912" i="15"/>
  <c r="H1913" i="15"/>
  <c r="I1913" i="15"/>
  <c r="H1914" i="15"/>
  <c r="I1914" i="15"/>
  <c r="H1915" i="15"/>
  <c r="I1915" i="15"/>
  <c r="H1916" i="15"/>
  <c r="I1916" i="15"/>
  <c r="H1917" i="15"/>
  <c r="I1917" i="15"/>
  <c r="H1918" i="15"/>
  <c r="I1918" i="15"/>
  <c r="H1919" i="15"/>
  <c r="I1919" i="15"/>
  <c r="H1920" i="15"/>
  <c r="I1920" i="15"/>
  <c r="H1921" i="15"/>
  <c r="I1921" i="15"/>
  <c r="H1922" i="15"/>
  <c r="I1922" i="15"/>
  <c r="H1923" i="15"/>
  <c r="I1923" i="15"/>
  <c r="H1924" i="15"/>
  <c r="I1924" i="15"/>
  <c r="H1925" i="15"/>
  <c r="I1925" i="15"/>
  <c r="H1926" i="15"/>
  <c r="I1926" i="15"/>
  <c r="H1927" i="15"/>
  <c r="I1927" i="15"/>
  <c r="H1928" i="15"/>
  <c r="I1928" i="15"/>
  <c r="H1929" i="15"/>
  <c r="I1929" i="15"/>
  <c r="H1930" i="15"/>
  <c r="I1930" i="15"/>
  <c r="H1931" i="15"/>
  <c r="I1931" i="15"/>
  <c r="H1932" i="15"/>
  <c r="I1932" i="15"/>
  <c r="H1933" i="15"/>
  <c r="I1933" i="15"/>
  <c r="H1934" i="15"/>
  <c r="I1934" i="15"/>
  <c r="H1935" i="15"/>
  <c r="I1935" i="15"/>
  <c r="H1936" i="15"/>
  <c r="I1936" i="15"/>
  <c r="H1937" i="15"/>
  <c r="I1937" i="15"/>
  <c r="H1938" i="15"/>
  <c r="I1938" i="15"/>
  <c r="H1939" i="15"/>
  <c r="I1939" i="15"/>
  <c r="H1940" i="15"/>
  <c r="I1940" i="15"/>
  <c r="H1941" i="15"/>
  <c r="I1941" i="15"/>
  <c r="H1942" i="15"/>
  <c r="I1942" i="15"/>
  <c r="H1943" i="15"/>
  <c r="I1943" i="15"/>
  <c r="H1944" i="15"/>
  <c r="I1944" i="15"/>
  <c r="H1945" i="15"/>
  <c r="I1945" i="15"/>
  <c r="H1946" i="15"/>
  <c r="I1946" i="15"/>
  <c r="H1947" i="15"/>
  <c r="I1947" i="15"/>
  <c r="H1948" i="15"/>
  <c r="I1948" i="15"/>
  <c r="H1949" i="15"/>
  <c r="I1949" i="15"/>
  <c r="H1950" i="15"/>
  <c r="I1950" i="15"/>
  <c r="H1951" i="15"/>
  <c r="I1951" i="15"/>
  <c r="H1952" i="15"/>
  <c r="I1952" i="15"/>
  <c r="H1953" i="15"/>
  <c r="I1953" i="15"/>
  <c r="H1954" i="15"/>
  <c r="I1954" i="15"/>
  <c r="H1955" i="15"/>
  <c r="I1955" i="15"/>
  <c r="H1956" i="15"/>
  <c r="I1956" i="15"/>
  <c r="H1957" i="15"/>
  <c r="I1957" i="15"/>
  <c r="H1958" i="15"/>
  <c r="I1958" i="15"/>
  <c r="H1959" i="15"/>
  <c r="I1959" i="15"/>
  <c r="H1960" i="15"/>
  <c r="I1960" i="15"/>
  <c r="H1961" i="15"/>
  <c r="I1961" i="15"/>
  <c r="H1962" i="15"/>
  <c r="I1962" i="15"/>
  <c r="H1963" i="15"/>
  <c r="I1963" i="15"/>
  <c r="H1964" i="15"/>
  <c r="I1964" i="15"/>
  <c r="H1965" i="15"/>
  <c r="I1965" i="15"/>
  <c r="H1966" i="15"/>
  <c r="I1966" i="15"/>
  <c r="H1967" i="15"/>
  <c r="I1967" i="15"/>
  <c r="H1968" i="15"/>
  <c r="I1968" i="15"/>
  <c r="H1969" i="15"/>
  <c r="I1969" i="15"/>
  <c r="H1970" i="15"/>
  <c r="I1970" i="15"/>
  <c r="H1971" i="15"/>
  <c r="I1971" i="15"/>
  <c r="H1972" i="15"/>
  <c r="I1972" i="15"/>
  <c r="H1973" i="15"/>
  <c r="I1973" i="15"/>
  <c r="H1974" i="15"/>
  <c r="I1974" i="15"/>
  <c r="H1975" i="15"/>
  <c r="I1975" i="15"/>
  <c r="H1976" i="15"/>
  <c r="I1976" i="15"/>
  <c r="H1977" i="15"/>
  <c r="I1977" i="15"/>
  <c r="H1978" i="15"/>
  <c r="I1978" i="15"/>
  <c r="H1979" i="15"/>
  <c r="I1979" i="15"/>
  <c r="H1980" i="15"/>
  <c r="I1980" i="15"/>
  <c r="H1981" i="15"/>
  <c r="I1981" i="15"/>
  <c r="H1982" i="15"/>
  <c r="I1982" i="15"/>
  <c r="H1983" i="15"/>
  <c r="I1983" i="15"/>
  <c r="H1984" i="15"/>
  <c r="I1984" i="15"/>
  <c r="H1985" i="15"/>
  <c r="I1985" i="15"/>
  <c r="H1986" i="15"/>
  <c r="I1986" i="15"/>
  <c r="H1987" i="15"/>
  <c r="I1987" i="15"/>
  <c r="H1988" i="15"/>
  <c r="I1988" i="15"/>
  <c r="H1989" i="15"/>
  <c r="I1989" i="15"/>
  <c r="H1990" i="15"/>
  <c r="I1990" i="15"/>
  <c r="H1991" i="15"/>
  <c r="I1991" i="15"/>
  <c r="H1992" i="15"/>
  <c r="I1992" i="15"/>
  <c r="H1993" i="15"/>
  <c r="I1993" i="15"/>
  <c r="H1994" i="15"/>
  <c r="I1994" i="15"/>
  <c r="H1995" i="15"/>
  <c r="I1995" i="15"/>
  <c r="H1996" i="15"/>
  <c r="I1996" i="15"/>
  <c r="H1997" i="15"/>
  <c r="I1997" i="15"/>
  <c r="H1998" i="15"/>
  <c r="I1998" i="15"/>
  <c r="H1999" i="15"/>
  <c r="I1999" i="15"/>
  <c r="H2000" i="15"/>
  <c r="I2000" i="15"/>
  <c r="H2001" i="15"/>
  <c r="I2001" i="15"/>
  <c r="H2002" i="15"/>
  <c r="I2002" i="15"/>
  <c r="H2003" i="15"/>
  <c r="I2003" i="15"/>
  <c r="H2004" i="15"/>
  <c r="I2004" i="15"/>
  <c r="H2005" i="15"/>
  <c r="I2005" i="15"/>
  <c r="H2006" i="15"/>
  <c r="I2006" i="15"/>
  <c r="H2007" i="15"/>
  <c r="I2007" i="15"/>
  <c r="H2008" i="15"/>
  <c r="I2008" i="15"/>
  <c r="H2009" i="15"/>
  <c r="I2009" i="15"/>
  <c r="H2010" i="15"/>
  <c r="I2010" i="15"/>
  <c r="H2011" i="15"/>
  <c r="I2011" i="15"/>
  <c r="H2012" i="15"/>
  <c r="I2012" i="15"/>
  <c r="H2013" i="15"/>
  <c r="I2013" i="15"/>
  <c r="H2014" i="15"/>
  <c r="I2014" i="15"/>
  <c r="H2015" i="15"/>
  <c r="I2015" i="15"/>
  <c r="H2016" i="15"/>
  <c r="I2016" i="15"/>
  <c r="H2017" i="15"/>
  <c r="I2017" i="15"/>
  <c r="H2018" i="15"/>
  <c r="I2018" i="15"/>
  <c r="H2019" i="15"/>
  <c r="I2019" i="15"/>
  <c r="H2020" i="15"/>
  <c r="I2020" i="15"/>
  <c r="H2021" i="15"/>
  <c r="I2021" i="15"/>
  <c r="H2022" i="15"/>
  <c r="I2022" i="15"/>
  <c r="H2023" i="15"/>
  <c r="I2023" i="15"/>
  <c r="H2024" i="15"/>
  <c r="I2024" i="15"/>
  <c r="H2025" i="15"/>
  <c r="I2025" i="15"/>
  <c r="H2026" i="15"/>
  <c r="I2026" i="15"/>
  <c r="H2027" i="15"/>
  <c r="I2027" i="15"/>
  <c r="H2028" i="15"/>
  <c r="I2028" i="15"/>
  <c r="H2029" i="15"/>
  <c r="I2029" i="15"/>
  <c r="H2030" i="15"/>
  <c r="I2030" i="15"/>
  <c r="H2031" i="15"/>
  <c r="I2031" i="15"/>
  <c r="H2032" i="15"/>
  <c r="I2032" i="15"/>
  <c r="H2033" i="15"/>
  <c r="I2033" i="15"/>
  <c r="H2034" i="15"/>
  <c r="I2034" i="15"/>
  <c r="H2035" i="15"/>
  <c r="I2035" i="15"/>
  <c r="H2036" i="15"/>
  <c r="I2036" i="15"/>
  <c r="H2037" i="15"/>
  <c r="I2037" i="15"/>
  <c r="H2038" i="15"/>
  <c r="I2038" i="15"/>
  <c r="H2039" i="15"/>
  <c r="I2039" i="15"/>
  <c r="H2040" i="15"/>
  <c r="I2040" i="15"/>
  <c r="H2041" i="15"/>
  <c r="I2041" i="15"/>
  <c r="H2042" i="15"/>
  <c r="I2042" i="15"/>
  <c r="H2043" i="15"/>
  <c r="I2043" i="15"/>
  <c r="H2044" i="15"/>
  <c r="I2044" i="15"/>
  <c r="H2045" i="15"/>
  <c r="I2045" i="15"/>
  <c r="H2046" i="15"/>
  <c r="I2046" i="15"/>
  <c r="H2047" i="15"/>
  <c r="I2047" i="15"/>
  <c r="H2048" i="15"/>
  <c r="I2048" i="15"/>
  <c r="H2049" i="15"/>
  <c r="I2049" i="15"/>
  <c r="H2050" i="15"/>
  <c r="I2050" i="15"/>
  <c r="H2051" i="15"/>
  <c r="I2051" i="15"/>
  <c r="H2052" i="15"/>
  <c r="I2052" i="15"/>
  <c r="H2053" i="15"/>
  <c r="I2053" i="15"/>
  <c r="H2054" i="15"/>
  <c r="I2054" i="15"/>
  <c r="H2055" i="15"/>
  <c r="I2055" i="15"/>
  <c r="H2056" i="15"/>
  <c r="I2056" i="15"/>
  <c r="H2057" i="15"/>
  <c r="I2057" i="15"/>
  <c r="H2058" i="15"/>
  <c r="I2058" i="15"/>
  <c r="H2059" i="15"/>
  <c r="I2059" i="15"/>
  <c r="H2060" i="15"/>
  <c r="I2060" i="15"/>
  <c r="H2061" i="15"/>
  <c r="I2061" i="15"/>
  <c r="H2062" i="15"/>
  <c r="I2062" i="15"/>
  <c r="H2063" i="15"/>
  <c r="I2063" i="15"/>
  <c r="H2064" i="15"/>
  <c r="I2064" i="15"/>
  <c r="H2065" i="15"/>
  <c r="I2065" i="15"/>
  <c r="H2066" i="15"/>
  <c r="I2066" i="15"/>
  <c r="H2067" i="15"/>
  <c r="I2067" i="15"/>
  <c r="H2068" i="15"/>
  <c r="I2068" i="15"/>
  <c r="H2069" i="15"/>
  <c r="I2069" i="15"/>
  <c r="H2070" i="15"/>
  <c r="I2070" i="15"/>
  <c r="H2071" i="15"/>
  <c r="I2071" i="15"/>
  <c r="H2072" i="15"/>
  <c r="I2072" i="15"/>
  <c r="H2073" i="15"/>
  <c r="I2073" i="15"/>
  <c r="H2074" i="15"/>
  <c r="I2074" i="15"/>
  <c r="H2075" i="15"/>
  <c r="I2075" i="15"/>
  <c r="H2076" i="15"/>
  <c r="I2076" i="15"/>
  <c r="H2077" i="15"/>
  <c r="I2077" i="15"/>
  <c r="H2078" i="15"/>
  <c r="I2078" i="15"/>
  <c r="H2079" i="15"/>
  <c r="I2079" i="15"/>
  <c r="H2080" i="15"/>
  <c r="I2080" i="15"/>
  <c r="H2081" i="15"/>
  <c r="I2081" i="15"/>
  <c r="H2082" i="15"/>
  <c r="I2082" i="15"/>
  <c r="H2083" i="15"/>
  <c r="I2083" i="15"/>
  <c r="H2084" i="15"/>
  <c r="I2084" i="15"/>
  <c r="H2085" i="15"/>
  <c r="I2085" i="15"/>
  <c r="H2086" i="15"/>
  <c r="I2086" i="15"/>
  <c r="H2087" i="15"/>
  <c r="I2087" i="15"/>
  <c r="H2088" i="15"/>
  <c r="I2088" i="15"/>
  <c r="H2089" i="15"/>
  <c r="I2089" i="15"/>
  <c r="H2090" i="15"/>
  <c r="I2090" i="15"/>
  <c r="H2091" i="15"/>
  <c r="I2091" i="15"/>
  <c r="H2092" i="15"/>
  <c r="I2092" i="15"/>
  <c r="H2093" i="15"/>
  <c r="I2093" i="15"/>
  <c r="H2094" i="15"/>
  <c r="I2094" i="15"/>
  <c r="H2095" i="15"/>
  <c r="I2095" i="15"/>
  <c r="H2096" i="15"/>
  <c r="I2096" i="15"/>
  <c r="H2097" i="15"/>
  <c r="I2097" i="15"/>
  <c r="H2098" i="15"/>
  <c r="I2098" i="15"/>
  <c r="H2099" i="15"/>
  <c r="I2099" i="15"/>
  <c r="H2100" i="15"/>
  <c r="I2100" i="15"/>
  <c r="H2101" i="15"/>
  <c r="I2101" i="15"/>
  <c r="H2102" i="15"/>
  <c r="I2102" i="15"/>
  <c r="H2103" i="15"/>
  <c r="I2103" i="15"/>
  <c r="H2104" i="15"/>
  <c r="I2104" i="15"/>
  <c r="H2105" i="15"/>
  <c r="I2105" i="15"/>
  <c r="H2106" i="15"/>
  <c r="I2106" i="15"/>
  <c r="H2107" i="15"/>
  <c r="I2107" i="15"/>
  <c r="H2108" i="15"/>
  <c r="I2108" i="15"/>
  <c r="H2109" i="15"/>
  <c r="I2109" i="15"/>
  <c r="H2110" i="15"/>
  <c r="I2110" i="15"/>
  <c r="H2111" i="15"/>
  <c r="I2111" i="15"/>
  <c r="H2112" i="15"/>
  <c r="I2112" i="15"/>
  <c r="H2113" i="15"/>
  <c r="I2113" i="15"/>
  <c r="H2114" i="15"/>
  <c r="I2114" i="15"/>
  <c r="H2115" i="15"/>
  <c r="I2115" i="15"/>
  <c r="H2116" i="15"/>
  <c r="I2116" i="15"/>
  <c r="H2117" i="15"/>
  <c r="I2117" i="15"/>
  <c r="H2118" i="15"/>
  <c r="I2118" i="15"/>
  <c r="H2119" i="15"/>
  <c r="I2119" i="15"/>
  <c r="H2120" i="15"/>
  <c r="I2120" i="15"/>
  <c r="H2121" i="15"/>
  <c r="I2121" i="15"/>
  <c r="H2122" i="15"/>
  <c r="I2122" i="15"/>
  <c r="H2123" i="15"/>
  <c r="I2123" i="15"/>
  <c r="H2124" i="15"/>
  <c r="I2124" i="15"/>
  <c r="H2125" i="15"/>
  <c r="I2125" i="15"/>
  <c r="H2126" i="15"/>
  <c r="I2126" i="15"/>
  <c r="H2127" i="15"/>
  <c r="I2127" i="15"/>
  <c r="H2128" i="15"/>
  <c r="I2128" i="15"/>
  <c r="H2129" i="15"/>
  <c r="I2129" i="15"/>
  <c r="H2130" i="15"/>
  <c r="I2130" i="15"/>
  <c r="H2131" i="15"/>
  <c r="I2131" i="15"/>
  <c r="H2132" i="15"/>
  <c r="I2132" i="15"/>
  <c r="H2133" i="15"/>
  <c r="I2133" i="15"/>
  <c r="H2134" i="15"/>
  <c r="I2134" i="15"/>
  <c r="H2135" i="15"/>
  <c r="I2135" i="15"/>
  <c r="H2136" i="15"/>
  <c r="I2136" i="15"/>
  <c r="H2137" i="15"/>
  <c r="I2137" i="15"/>
  <c r="H2138" i="15"/>
  <c r="I2138" i="15"/>
  <c r="H2139" i="15"/>
  <c r="I2139" i="15"/>
  <c r="H2140" i="15"/>
  <c r="I2140" i="15"/>
  <c r="H2141" i="15"/>
  <c r="I2141" i="15"/>
  <c r="H2142" i="15"/>
  <c r="I2142" i="15"/>
  <c r="H2143" i="15"/>
  <c r="I2143" i="15"/>
  <c r="H2144" i="15"/>
  <c r="I2144" i="15"/>
  <c r="H2145" i="15"/>
  <c r="I2145" i="15"/>
  <c r="H2146" i="15"/>
  <c r="I2146" i="15"/>
  <c r="H2147" i="15"/>
  <c r="I2147" i="15"/>
  <c r="H2148" i="15"/>
  <c r="I2148" i="15"/>
  <c r="H2149" i="15"/>
  <c r="I2149" i="15"/>
  <c r="H2150" i="15"/>
  <c r="I2150" i="15"/>
  <c r="H2151" i="15"/>
  <c r="I2151" i="15"/>
  <c r="H2152" i="15"/>
  <c r="I2152" i="15"/>
  <c r="H2153" i="15"/>
  <c r="I2153" i="15"/>
  <c r="H2154" i="15"/>
  <c r="I2154" i="15"/>
  <c r="H2155" i="15"/>
  <c r="I2155" i="15"/>
  <c r="H2156" i="15"/>
  <c r="I2156" i="15"/>
  <c r="H2157" i="15"/>
  <c r="I2157" i="15"/>
  <c r="H2158" i="15"/>
  <c r="I2158" i="15"/>
  <c r="H2159" i="15"/>
  <c r="I2159" i="15"/>
  <c r="H2160" i="15"/>
  <c r="I2160" i="15"/>
  <c r="H2161" i="15"/>
  <c r="I2161" i="15"/>
  <c r="H2162" i="15"/>
  <c r="I2162" i="15"/>
  <c r="H2163" i="15"/>
  <c r="I2163" i="15"/>
  <c r="H2164" i="15"/>
  <c r="I2164" i="15"/>
  <c r="H2165" i="15"/>
  <c r="I2165" i="15"/>
  <c r="H2166" i="15"/>
  <c r="I2166" i="15"/>
  <c r="H2167" i="15"/>
  <c r="I2167" i="15"/>
  <c r="H2168" i="15"/>
  <c r="I2168" i="15"/>
  <c r="H2169" i="15"/>
  <c r="I2169" i="15"/>
  <c r="H2170" i="15"/>
  <c r="I2170" i="15"/>
  <c r="H2171" i="15"/>
  <c r="I2171" i="15"/>
  <c r="H2172" i="15"/>
  <c r="I2172" i="15"/>
  <c r="H2173" i="15"/>
  <c r="I2173" i="15"/>
  <c r="H2174" i="15"/>
  <c r="I2174" i="15"/>
  <c r="H2175" i="15"/>
  <c r="I2175" i="15"/>
  <c r="H2176" i="15"/>
  <c r="I2176" i="15"/>
  <c r="H2177" i="15"/>
  <c r="I2177" i="15"/>
  <c r="H2178" i="15"/>
  <c r="I2178" i="15"/>
  <c r="H2179" i="15"/>
  <c r="I2179" i="15"/>
  <c r="H2180" i="15"/>
  <c r="I2180" i="15"/>
  <c r="H2181" i="15"/>
  <c r="I2181" i="15"/>
  <c r="H2182" i="15"/>
  <c r="I2182" i="15"/>
  <c r="H2183" i="15"/>
  <c r="I2183" i="15"/>
  <c r="H2184" i="15"/>
  <c r="I2184" i="15"/>
  <c r="H2185" i="15"/>
  <c r="I2185" i="15"/>
  <c r="H2186" i="15"/>
  <c r="I2186" i="15"/>
  <c r="H2187" i="15"/>
  <c r="I2187" i="15"/>
  <c r="H2188" i="15"/>
  <c r="I2188" i="15"/>
  <c r="H2189" i="15"/>
  <c r="I2189" i="15"/>
  <c r="H2190" i="15"/>
  <c r="I2190" i="15"/>
  <c r="H2191" i="15"/>
  <c r="I2191" i="15"/>
  <c r="H2192" i="15"/>
  <c r="I2192" i="15"/>
  <c r="H2193" i="15"/>
  <c r="I2193" i="15"/>
  <c r="H2194" i="15"/>
  <c r="I2194" i="15"/>
  <c r="H2195" i="15"/>
  <c r="I2195" i="15"/>
  <c r="H2196" i="15"/>
  <c r="I2196" i="15"/>
  <c r="H2197" i="15"/>
  <c r="I2197" i="15"/>
  <c r="H2198" i="15"/>
  <c r="I2198" i="15"/>
  <c r="H2199" i="15"/>
  <c r="I2199" i="15"/>
  <c r="H2200" i="15"/>
  <c r="I2200" i="15"/>
  <c r="H2201" i="15"/>
  <c r="I2201" i="15"/>
  <c r="H2202" i="15"/>
  <c r="I2202" i="15"/>
  <c r="H2203" i="15"/>
  <c r="I2203" i="15"/>
  <c r="H2204" i="15"/>
  <c r="I2204" i="15"/>
  <c r="H2205" i="15"/>
  <c r="I2205" i="15"/>
  <c r="H2206" i="15"/>
  <c r="I2206" i="15"/>
  <c r="H2207" i="15"/>
  <c r="I2207" i="15"/>
  <c r="H2208" i="15"/>
  <c r="I2208" i="15"/>
  <c r="H2209" i="15"/>
  <c r="I2209" i="15"/>
  <c r="H2210" i="15"/>
  <c r="I2210" i="15"/>
  <c r="H2211" i="15"/>
  <c r="I2211" i="15"/>
  <c r="H2212" i="15"/>
  <c r="I2212" i="15"/>
  <c r="H2213" i="15"/>
  <c r="I2213" i="15"/>
  <c r="H2214" i="15"/>
  <c r="I2214" i="15"/>
  <c r="H2215" i="15"/>
  <c r="I2215" i="15"/>
  <c r="H2216" i="15"/>
  <c r="I2216" i="15"/>
  <c r="H2217" i="15"/>
  <c r="I2217" i="15"/>
  <c r="H2218" i="15"/>
  <c r="I2218" i="15"/>
  <c r="H2219" i="15"/>
  <c r="I2219" i="15"/>
  <c r="H2220" i="15"/>
  <c r="I2220" i="15"/>
  <c r="H2221" i="15"/>
  <c r="I2221" i="15"/>
  <c r="H2222" i="15"/>
  <c r="I2222" i="15"/>
  <c r="H2223" i="15"/>
  <c r="I2223" i="15"/>
  <c r="H2224" i="15"/>
  <c r="I2224" i="15"/>
  <c r="H2225" i="15"/>
  <c r="I2225" i="15"/>
  <c r="H2226" i="15"/>
  <c r="I2226" i="15"/>
  <c r="H2227" i="15"/>
  <c r="I2227" i="15"/>
  <c r="H2228" i="15"/>
  <c r="I2228" i="15"/>
  <c r="H2229" i="15"/>
  <c r="I2229" i="15"/>
  <c r="H2230" i="15"/>
  <c r="I2230" i="15"/>
  <c r="H2231" i="15"/>
  <c r="I2231" i="15"/>
  <c r="H2232" i="15"/>
  <c r="I2232" i="15"/>
  <c r="H2233" i="15"/>
  <c r="I2233" i="15"/>
  <c r="H2234" i="15"/>
  <c r="I2234" i="15"/>
  <c r="H2235" i="15"/>
  <c r="I2235" i="15"/>
  <c r="H2236" i="15"/>
  <c r="I2236" i="15"/>
  <c r="H2237" i="15"/>
  <c r="I2237" i="15"/>
  <c r="H2238" i="15"/>
  <c r="I2238" i="15"/>
  <c r="H2239" i="15"/>
  <c r="I2239" i="15"/>
  <c r="H2240" i="15"/>
  <c r="I2240" i="15"/>
  <c r="H2241" i="15"/>
  <c r="I2241" i="15"/>
  <c r="H2242" i="15"/>
  <c r="I2242" i="15"/>
  <c r="H2243" i="15"/>
  <c r="I2243" i="15"/>
  <c r="H2244" i="15"/>
  <c r="I2244" i="15"/>
  <c r="H2245" i="15"/>
  <c r="I2245" i="15"/>
  <c r="H2246" i="15"/>
  <c r="I2246" i="15"/>
  <c r="H2247" i="15"/>
  <c r="I2247" i="15"/>
  <c r="H2248" i="15"/>
  <c r="I2248" i="15"/>
  <c r="H2249" i="15"/>
  <c r="I2249" i="15"/>
  <c r="H2250" i="15"/>
  <c r="I2250" i="15"/>
  <c r="H2251" i="15"/>
  <c r="I2251" i="15"/>
  <c r="H2252" i="15"/>
  <c r="I2252" i="15"/>
  <c r="H2253" i="15"/>
  <c r="I2253" i="15"/>
  <c r="H2254" i="15"/>
  <c r="I2254" i="15"/>
  <c r="H2255" i="15"/>
  <c r="I2255" i="15"/>
  <c r="H2256" i="15"/>
  <c r="I2256" i="15"/>
  <c r="H2257" i="15"/>
  <c r="I2257" i="15"/>
  <c r="H2258" i="15"/>
  <c r="I2258" i="15"/>
  <c r="H2259" i="15"/>
  <c r="I2259" i="15"/>
  <c r="H2260" i="15"/>
  <c r="I2260" i="15"/>
  <c r="H2261" i="15"/>
  <c r="I2261" i="15"/>
  <c r="H2262" i="15"/>
  <c r="I2262" i="15"/>
  <c r="H2263" i="15"/>
  <c r="I2263" i="15"/>
  <c r="H2264" i="15"/>
  <c r="I2264" i="15"/>
  <c r="H2265" i="15"/>
  <c r="I2265" i="15"/>
  <c r="H2266" i="15"/>
  <c r="I2266" i="15"/>
  <c r="H2267" i="15"/>
  <c r="I2267" i="15"/>
  <c r="H2268" i="15"/>
  <c r="I2268" i="15"/>
  <c r="H2269" i="15"/>
  <c r="I2269" i="15"/>
  <c r="H2270" i="15"/>
  <c r="I2270" i="15"/>
  <c r="H2271" i="15"/>
  <c r="I2271" i="15"/>
  <c r="H2272" i="15"/>
  <c r="I2272" i="15"/>
  <c r="H2273" i="15"/>
  <c r="I2273" i="15"/>
  <c r="H2274" i="15"/>
  <c r="I2274" i="15"/>
  <c r="H2275" i="15"/>
  <c r="I2275" i="15"/>
  <c r="H2276" i="15"/>
  <c r="I2276" i="15"/>
  <c r="H2277" i="15"/>
  <c r="I2277" i="15"/>
  <c r="H2278" i="15"/>
  <c r="I2278" i="15"/>
  <c r="H2279" i="15"/>
  <c r="I2279" i="15"/>
  <c r="H2280" i="15"/>
  <c r="I2280" i="15"/>
  <c r="H2281" i="15"/>
  <c r="I2281" i="15"/>
  <c r="H2282" i="15"/>
  <c r="I2282" i="15"/>
  <c r="H2283" i="15"/>
  <c r="I2283" i="15"/>
  <c r="H2284" i="15"/>
  <c r="I2284" i="15"/>
  <c r="H2285" i="15"/>
  <c r="I2285" i="15"/>
  <c r="H2286" i="15"/>
  <c r="I2286" i="15"/>
  <c r="H2287" i="15"/>
  <c r="I2287" i="15"/>
  <c r="H2288" i="15"/>
  <c r="I2288" i="15"/>
  <c r="H2289" i="15"/>
  <c r="I2289" i="15"/>
  <c r="H2290" i="15"/>
  <c r="I2290" i="15"/>
  <c r="H2291" i="15"/>
  <c r="I2291" i="15"/>
  <c r="H2292" i="15"/>
  <c r="I2292" i="15"/>
  <c r="H2293" i="15"/>
  <c r="I2293" i="15"/>
  <c r="H2294" i="15"/>
  <c r="I2294" i="15"/>
  <c r="H2295" i="15"/>
  <c r="I2295" i="15"/>
  <c r="H2296" i="15"/>
  <c r="I2296" i="15"/>
  <c r="H2297" i="15"/>
  <c r="I2297" i="15"/>
  <c r="H2298" i="15"/>
  <c r="I2298" i="15"/>
  <c r="H2299" i="15"/>
  <c r="I2299" i="15"/>
  <c r="H2300" i="15"/>
  <c r="I2300" i="15"/>
  <c r="H2301" i="15"/>
  <c r="I2301" i="15"/>
  <c r="H2302" i="15"/>
  <c r="I2302" i="15"/>
  <c r="H2303" i="15"/>
  <c r="I2303" i="15"/>
  <c r="H2304" i="15"/>
  <c r="I2304" i="15"/>
  <c r="H2305" i="15"/>
  <c r="I2305" i="15"/>
  <c r="H2306" i="15"/>
  <c r="I2306" i="15"/>
  <c r="H2307" i="15"/>
  <c r="I2307" i="15"/>
  <c r="H2308" i="15"/>
  <c r="I2308" i="15"/>
  <c r="H2309" i="15"/>
  <c r="I2309" i="15"/>
  <c r="H2310" i="15"/>
  <c r="I2310" i="15"/>
  <c r="H2311" i="15"/>
  <c r="I2311" i="15"/>
  <c r="H2312" i="15"/>
  <c r="I2312" i="15"/>
  <c r="H2313" i="15"/>
  <c r="I2313" i="15"/>
  <c r="H2314" i="15"/>
  <c r="I2314" i="15"/>
  <c r="H2315" i="15"/>
  <c r="I2315" i="15"/>
  <c r="H2316" i="15"/>
  <c r="I2316" i="15"/>
  <c r="H2317" i="15"/>
  <c r="I2317" i="15"/>
  <c r="H2318" i="15"/>
  <c r="I2318" i="15"/>
  <c r="H2319" i="15"/>
  <c r="I2319" i="15"/>
  <c r="H2320" i="15"/>
  <c r="I2320" i="15"/>
  <c r="H2321" i="15"/>
  <c r="I2321" i="15"/>
  <c r="H2322" i="15"/>
  <c r="I2322" i="15"/>
  <c r="H2323" i="15"/>
  <c r="I2323" i="15"/>
  <c r="H2324" i="15"/>
  <c r="I2324" i="15"/>
  <c r="H2325" i="15"/>
  <c r="I2325" i="15"/>
  <c r="H2326" i="15"/>
  <c r="I2326" i="15"/>
  <c r="H2327" i="15"/>
  <c r="I2327" i="15"/>
  <c r="H2328" i="15"/>
  <c r="I2328" i="15"/>
  <c r="H2329" i="15"/>
  <c r="I2329" i="15"/>
  <c r="H2330" i="15"/>
  <c r="I2330" i="15"/>
  <c r="H2331" i="15"/>
  <c r="I2331" i="15"/>
  <c r="H2332" i="15"/>
  <c r="I2332" i="15"/>
  <c r="H2333" i="15"/>
  <c r="I2333" i="15"/>
  <c r="H2334" i="15"/>
  <c r="I2334" i="15"/>
  <c r="H2335" i="15"/>
  <c r="I2335" i="15"/>
  <c r="H2336" i="15"/>
  <c r="I2336" i="15"/>
  <c r="H2337" i="15"/>
  <c r="I2337" i="15"/>
  <c r="H2338" i="15"/>
  <c r="I2338" i="15"/>
  <c r="H2339" i="15"/>
  <c r="I2339" i="15"/>
  <c r="H2340" i="15"/>
  <c r="I2340" i="15"/>
  <c r="H2341" i="15"/>
  <c r="I2341" i="15"/>
  <c r="H2342" i="15"/>
  <c r="I2342" i="15"/>
  <c r="H2343" i="15"/>
  <c r="I2343" i="15"/>
  <c r="H2344" i="15"/>
  <c r="I2344" i="15"/>
  <c r="H2345" i="15"/>
  <c r="I2345" i="15"/>
  <c r="H2346" i="15"/>
  <c r="I2346" i="15"/>
  <c r="H2347" i="15"/>
  <c r="I2347" i="15"/>
  <c r="H2348" i="15"/>
  <c r="I2348" i="15"/>
  <c r="H2349" i="15"/>
  <c r="I2349" i="15"/>
  <c r="H2350" i="15"/>
  <c r="I2350" i="15"/>
  <c r="H2351" i="15"/>
  <c r="I2351" i="15"/>
  <c r="H2352" i="15"/>
  <c r="I2352" i="15"/>
  <c r="H2353" i="15"/>
  <c r="I2353" i="15"/>
  <c r="H2354" i="15"/>
  <c r="I2354" i="15"/>
  <c r="H2355" i="15"/>
  <c r="I2355" i="15"/>
  <c r="H2356" i="15"/>
  <c r="I2356" i="15"/>
  <c r="H2357" i="15"/>
  <c r="I2357" i="15"/>
  <c r="H2358" i="15"/>
  <c r="I2358" i="15"/>
  <c r="H2359" i="15"/>
  <c r="I2359" i="15"/>
  <c r="H2360" i="15"/>
  <c r="I2360" i="15"/>
  <c r="H2361" i="15"/>
  <c r="I2361" i="15"/>
  <c r="H2362" i="15"/>
  <c r="I2362" i="15"/>
  <c r="H2363" i="15"/>
  <c r="I2363" i="15"/>
  <c r="H2364" i="15"/>
  <c r="I2364" i="15"/>
  <c r="H2365" i="15"/>
  <c r="I2365" i="15"/>
  <c r="H2366" i="15"/>
  <c r="I2366" i="15"/>
  <c r="H2367" i="15"/>
  <c r="I2367" i="15"/>
  <c r="H2368" i="15"/>
  <c r="I2368" i="15"/>
  <c r="H2369" i="15"/>
  <c r="I2369" i="15"/>
  <c r="H2370" i="15"/>
  <c r="I2370" i="15"/>
  <c r="H2371" i="15"/>
  <c r="I2371" i="15"/>
  <c r="H2372" i="15"/>
  <c r="I2372" i="15"/>
  <c r="H2373" i="15"/>
  <c r="I2373" i="15"/>
  <c r="H2374" i="15"/>
  <c r="I2374" i="15"/>
  <c r="H2375" i="15"/>
  <c r="I2375" i="15"/>
  <c r="H2376" i="15"/>
  <c r="I2376" i="15"/>
  <c r="H2377" i="15"/>
  <c r="I2377" i="15"/>
  <c r="H2378" i="15"/>
  <c r="I2378" i="15"/>
  <c r="H2379" i="15"/>
  <c r="I2379" i="15"/>
  <c r="H2380" i="15"/>
  <c r="I2380" i="15"/>
  <c r="H2381" i="15"/>
  <c r="I2381" i="15"/>
  <c r="H2382" i="15"/>
  <c r="I2382" i="15"/>
  <c r="H2383" i="15"/>
  <c r="I2383" i="15"/>
  <c r="H2384" i="15"/>
  <c r="I2384" i="15"/>
  <c r="H2385" i="15"/>
  <c r="I2385" i="15"/>
  <c r="H2386" i="15"/>
  <c r="I2386" i="15"/>
  <c r="H2387" i="15"/>
  <c r="I2387" i="15"/>
  <c r="H2388" i="15"/>
  <c r="I2388" i="15"/>
  <c r="H2389" i="15"/>
  <c r="I2389" i="15"/>
  <c r="H2390" i="15"/>
  <c r="I2390" i="15"/>
  <c r="H2391" i="15"/>
  <c r="I2391" i="15"/>
  <c r="H2392" i="15"/>
  <c r="I2392" i="15"/>
  <c r="H2393" i="15"/>
  <c r="I2393" i="15"/>
  <c r="H2394" i="15"/>
  <c r="I2394" i="15"/>
  <c r="H2395" i="15"/>
  <c r="I2395" i="15"/>
  <c r="H2396" i="15"/>
  <c r="I2396" i="15"/>
  <c r="H2397" i="15"/>
  <c r="I2397" i="15"/>
  <c r="H2398" i="15"/>
  <c r="I2398" i="15"/>
  <c r="H2399" i="15"/>
  <c r="I2399" i="15"/>
  <c r="H2400" i="15"/>
  <c r="I2400" i="15"/>
  <c r="H2401" i="15"/>
  <c r="I2401" i="15"/>
  <c r="H2402" i="15"/>
  <c r="I2402" i="15"/>
  <c r="H2403" i="15"/>
  <c r="I2403" i="15"/>
  <c r="H2404" i="15"/>
  <c r="I2404" i="15"/>
  <c r="H2405" i="15"/>
  <c r="I2405" i="15"/>
  <c r="H2406" i="15"/>
  <c r="I2406" i="15"/>
  <c r="H2407" i="15"/>
  <c r="I2407" i="15"/>
  <c r="H2408" i="15"/>
  <c r="I2408" i="15"/>
  <c r="H2409" i="15"/>
  <c r="I2409" i="15"/>
  <c r="H2410" i="15"/>
  <c r="I2410" i="15"/>
  <c r="H2411" i="15"/>
  <c r="I2411" i="15"/>
  <c r="H2412" i="15"/>
  <c r="I2412" i="15"/>
  <c r="H2413" i="15"/>
  <c r="I2413" i="15"/>
  <c r="H2414" i="15"/>
  <c r="I2414" i="15"/>
  <c r="H2415" i="15"/>
  <c r="I2415" i="15"/>
  <c r="H2416" i="15"/>
  <c r="I2416" i="15"/>
  <c r="H2417" i="15"/>
  <c r="I2417" i="15"/>
  <c r="H2418" i="15"/>
  <c r="I2418" i="15"/>
  <c r="H2419" i="15"/>
  <c r="I2419" i="15"/>
  <c r="H2420" i="15"/>
  <c r="I2420" i="15"/>
  <c r="H2421" i="15"/>
  <c r="I2421" i="15"/>
  <c r="H2422" i="15"/>
  <c r="I2422" i="15"/>
  <c r="H2423" i="15"/>
  <c r="I2423" i="15"/>
  <c r="H2424" i="15"/>
  <c r="I2424" i="15"/>
  <c r="H2425" i="15"/>
  <c r="I2425" i="15"/>
  <c r="H2426" i="15"/>
  <c r="I2426" i="15"/>
  <c r="H2427" i="15"/>
  <c r="I2427" i="15"/>
  <c r="H2428" i="15"/>
  <c r="I2428" i="15"/>
  <c r="H2429" i="15"/>
  <c r="I2429" i="15"/>
  <c r="H2430" i="15"/>
  <c r="I2430" i="15"/>
  <c r="H2431" i="15"/>
  <c r="I2431" i="15"/>
  <c r="H2432" i="15"/>
  <c r="I2432" i="15"/>
  <c r="H2433" i="15"/>
  <c r="I2433" i="15"/>
  <c r="H2434" i="15"/>
  <c r="I2434" i="15"/>
  <c r="H2435" i="15"/>
  <c r="I2435" i="15"/>
  <c r="H2436" i="15"/>
  <c r="I2436" i="15"/>
  <c r="H2437" i="15"/>
  <c r="I2437" i="15"/>
  <c r="H2438" i="15"/>
  <c r="I2438" i="15"/>
  <c r="H2439" i="15"/>
  <c r="I2439" i="15"/>
  <c r="H2440" i="15"/>
  <c r="I2440" i="15"/>
  <c r="H2441" i="15"/>
  <c r="I2441" i="15"/>
  <c r="H2442" i="15"/>
  <c r="I2442" i="15"/>
  <c r="H2443" i="15"/>
  <c r="I2443" i="15"/>
  <c r="H2444" i="15"/>
  <c r="I2444" i="15"/>
  <c r="H2445" i="15"/>
  <c r="I2445" i="15"/>
  <c r="H2446" i="15"/>
  <c r="I2446" i="15"/>
  <c r="H2447" i="15"/>
  <c r="I2447" i="15"/>
  <c r="H2448" i="15"/>
  <c r="I2448" i="15"/>
  <c r="H2449" i="15"/>
  <c r="I2449" i="15"/>
  <c r="H2450" i="15"/>
  <c r="I2450" i="15"/>
  <c r="H2451" i="15"/>
  <c r="I2451" i="15"/>
  <c r="H2452" i="15"/>
  <c r="I2452" i="15"/>
  <c r="H2453" i="15"/>
  <c r="I2453" i="15"/>
  <c r="H2454" i="15"/>
  <c r="I2454" i="15"/>
  <c r="H2455" i="15"/>
  <c r="I2455" i="15"/>
  <c r="H2456" i="15"/>
  <c r="I2456" i="15"/>
  <c r="H2457" i="15"/>
  <c r="I2457" i="15"/>
  <c r="H2458" i="15"/>
  <c r="I2458" i="15"/>
  <c r="H2459" i="15"/>
  <c r="I2459" i="15"/>
  <c r="H2460" i="15"/>
  <c r="I2460" i="15"/>
  <c r="H2461" i="15"/>
  <c r="I2461" i="15"/>
  <c r="H2462" i="15"/>
  <c r="I2462" i="15"/>
  <c r="H2463" i="15"/>
  <c r="I2463" i="15"/>
  <c r="H2464" i="15"/>
  <c r="I2464" i="15"/>
  <c r="H2465" i="15"/>
  <c r="I2465" i="15"/>
  <c r="H2466" i="15"/>
  <c r="I2466" i="15"/>
  <c r="H2467" i="15"/>
  <c r="I2467" i="15"/>
  <c r="H2468" i="15"/>
  <c r="I2468" i="15"/>
  <c r="H2469" i="15"/>
  <c r="I2469" i="15"/>
  <c r="H2470" i="15"/>
  <c r="I2470" i="15"/>
  <c r="H2471" i="15"/>
  <c r="I2471" i="15"/>
  <c r="H2472" i="15"/>
  <c r="I2472" i="15"/>
  <c r="H2473" i="15"/>
  <c r="I2473" i="15"/>
  <c r="H2474" i="15"/>
  <c r="I2474" i="15"/>
  <c r="H2475" i="15"/>
  <c r="I2475" i="15"/>
  <c r="H2476" i="15"/>
  <c r="I2476" i="15"/>
  <c r="H2477" i="15"/>
  <c r="I2477" i="15"/>
  <c r="H2478" i="15"/>
  <c r="I2478" i="15"/>
  <c r="H2479" i="15"/>
  <c r="I2479" i="15"/>
  <c r="H2480" i="15"/>
  <c r="I2480" i="15"/>
  <c r="H2481" i="15"/>
  <c r="I2481" i="15"/>
  <c r="H2482" i="15"/>
  <c r="I2482" i="15"/>
  <c r="H2483" i="15"/>
  <c r="I2483" i="15"/>
  <c r="H2484" i="15"/>
  <c r="I2484" i="15"/>
  <c r="H2485" i="15"/>
  <c r="I2485" i="15"/>
  <c r="H2486" i="15"/>
  <c r="I2486" i="15"/>
  <c r="H2487" i="15"/>
  <c r="I2487" i="15"/>
  <c r="H2488" i="15"/>
  <c r="I2488" i="15"/>
  <c r="H2489" i="15"/>
  <c r="I2489" i="15"/>
  <c r="H2490" i="15"/>
  <c r="I2490" i="15"/>
  <c r="H2491" i="15"/>
  <c r="I2491" i="15"/>
  <c r="H2492" i="15"/>
  <c r="I2492" i="15"/>
  <c r="H2493" i="15"/>
  <c r="I2493" i="15"/>
  <c r="H2494" i="15"/>
  <c r="I2494" i="15"/>
  <c r="H2495" i="15"/>
  <c r="I2495" i="15"/>
  <c r="H2496" i="15"/>
  <c r="I2496" i="15"/>
  <c r="H2497" i="15"/>
  <c r="I2497" i="15"/>
  <c r="H2498" i="15"/>
  <c r="I2498" i="15"/>
  <c r="H2499" i="15"/>
  <c r="I2499" i="15"/>
  <c r="H2500" i="15"/>
  <c r="I2500" i="15"/>
  <c r="H2501" i="15"/>
  <c r="I2501" i="15"/>
  <c r="H2502" i="15"/>
  <c r="I2502" i="15"/>
  <c r="H2503" i="15"/>
  <c r="I2503" i="15"/>
  <c r="H2504" i="15"/>
  <c r="I2504" i="15"/>
  <c r="H2505" i="15"/>
  <c r="I2505" i="15"/>
  <c r="H2506" i="15"/>
  <c r="I2506" i="15"/>
  <c r="H2507" i="15"/>
  <c r="I2507" i="15"/>
  <c r="H2508" i="15"/>
  <c r="I2508" i="15"/>
  <c r="H2509" i="15"/>
  <c r="I2509" i="15"/>
  <c r="H2510" i="15"/>
  <c r="I2510" i="15"/>
  <c r="H2511" i="15"/>
  <c r="I2511" i="15"/>
  <c r="H2512" i="15"/>
  <c r="I2512" i="15"/>
  <c r="H2513" i="15"/>
  <c r="I2513" i="15"/>
  <c r="H2514" i="15"/>
  <c r="I2514" i="15"/>
  <c r="H2515" i="15"/>
  <c r="I2515" i="15"/>
  <c r="H2516" i="15"/>
  <c r="I2516" i="15"/>
  <c r="H2517" i="15"/>
  <c r="I2517" i="15"/>
  <c r="H2518" i="15"/>
  <c r="I2518" i="15"/>
  <c r="H2519" i="15"/>
  <c r="I2519" i="15"/>
  <c r="H2520" i="15"/>
  <c r="I2520" i="15"/>
  <c r="H2521" i="15"/>
  <c r="I2521" i="15"/>
  <c r="H2522" i="15"/>
  <c r="I2522" i="15"/>
  <c r="H2523" i="15"/>
  <c r="I2523" i="15"/>
  <c r="H2524" i="15"/>
  <c r="I2524" i="15"/>
  <c r="H2525" i="15"/>
  <c r="I2525" i="15"/>
  <c r="H2526" i="15"/>
  <c r="I2526" i="15"/>
  <c r="H2527" i="15"/>
  <c r="I2527" i="15"/>
  <c r="H2528" i="15"/>
  <c r="I2528" i="15"/>
  <c r="H2529" i="15"/>
  <c r="I2529" i="15"/>
  <c r="H2530" i="15"/>
  <c r="I2530" i="15"/>
  <c r="H2531" i="15"/>
  <c r="I2531" i="15"/>
  <c r="H2532" i="15"/>
  <c r="I2532" i="15"/>
  <c r="H2533" i="15"/>
  <c r="I2533" i="15"/>
  <c r="H2534" i="15"/>
  <c r="I2534" i="15"/>
  <c r="H2535" i="15"/>
  <c r="I2535" i="15"/>
  <c r="H2536" i="15"/>
  <c r="I2536" i="15"/>
  <c r="H2537" i="15"/>
  <c r="I2537" i="15"/>
  <c r="H2538" i="15"/>
  <c r="I2538" i="15"/>
  <c r="H2539" i="15"/>
  <c r="I2539" i="15"/>
  <c r="H2540" i="15"/>
  <c r="I2540" i="15"/>
  <c r="H2541" i="15"/>
  <c r="I2541" i="15"/>
  <c r="H2542" i="15"/>
  <c r="I2542" i="15"/>
  <c r="H2543" i="15"/>
  <c r="I2543" i="15"/>
  <c r="H2544" i="15"/>
  <c r="I2544" i="15"/>
  <c r="H2545" i="15"/>
  <c r="I2545" i="15"/>
  <c r="H2546" i="15"/>
  <c r="I2546" i="15"/>
  <c r="H2547" i="15"/>
  <c r="I2547" i="15"/>
  <c r="H2548" i="15"/>
  <c r="I2548" i="15"/>
  <c r="H2549" i="15"/>
  <c r="I2549" i="15"/>
  <c r="H2550" i="15"/>
  <c r="I2550" i="15"/>
  <c r="H2551" i="15"/>
  <c r="I2551" i="15"/>
  <c r="H2552" i="15"/>
  <c r="I2552" i="15"/>
  <c r="H2553" i="15"/>
  <c r="I2553" i="15"/>
  <c r="H2554" i="15"/>
  <c r="I2554" i="15"/>
  <c r="H2555" i="15"/>
  <c r="I2555" i="15"/>
  <c r="H2556" i="15"/>
  <c r="I2556" i="15"/>
  <c r="H2557" i="15"/>
  <c r="I2557" i="15"/>
  <c r="H2558" i="15"/>
  <c r="I2558" i="15"/>
  <c r="H2559" i="15"/>
  <c r="I2559" i="15"/>
  <c r="H2560" i="15"/>
  <c r="I2560" i="15"/>
  <c r="H2561" i="15"/>
  <c r="I2561" i="15"/>
  <c r="H2562" i="15"/>
  <c r="I2562" i="15"/>
  <c r="H2563" i="15"/>
  <c r="I2563" i="15"/>
  <c r="H2564" i="15"/>
  <c r="I2564" i="15"/>
  <c r="H2565" i="15"/>
  <c r="I2565" i="15"/>
  <c r="H2566" i="15"/>
  <c r="I2566" i="15"/>
  <c r="H2567" i="15"/>
  <c r="I2567" i="15"/>
  <c r="H2568" i="15"/>
  <c r="I2568" i="15"/>
  <c r="H2569" i="15"/>
  <c r="I2569" i="15"/>
  <c r="H2570" i="15"/>
  <c r="I2570" i="15"/>
  <c r="H2571" i="15"/>
  <c r="I2571" i="15"/>
  <c r="H2572" i="15"/>
  <c r="I2572" i="15"/>
  <c r="H2573" i="15"/>
  <c r="I2573" i="15"/>
  <c r="H2574" i="15"/>
  <c r="I2574" i="15"/>
  <c r="H2575" i="15"/>
  <c r="I2575" i="15"/>
  <c r="H2576" i="15"/>
  <c r="I2576" i="15"/>
  <c r="H2577" i="15"/>
  <c r="I2577" i="15"/>
  <c r="H2578" i="15"/>
  <c r="I2578" i="15"/>
  <c r="H2579" i="15"/>
  <c r="I2579" i="15"/>
  <c r="H2580" i="15"/>
  <c r="I2580" i="15"/>
  <c r="H2581" i="15"/>
  <c r="I2581" i="15"/>
  <c r="H2582" i="15"/>
  <c r="I2582" i="15"/>
  <c r="H2583" i="15"/>
  <c r="I2583" i="15"/>
  <c r="H2584" i="15"/>
  <c r="I2584" i="15"/>
  <c r="H2585" i="15"/>
  <c r="I2585" i="15"/>
  <c r="H2586" i="15"/>
  <c r="I2586" i="15"/>
  <c r="H2587" i="15"/>
  <c r="I2587" i="15"/>
  <c r="H2588" i="15"/>
  <c r="I2588" i="15"/>
  <c r="H2589" i="15"/>
  <c r="I2589" i="15"/>
  <c r="H2590" i="15"/>
  <c r="I2590" i="15"/>
  <c r="H2591" i="15"/>
  <c r="I2591" i="15"/>
  <c r="H2592" i="15"/>
  <c r="I2592" i="15"/>
  <c r="H2593" i="15"/>
  <c r="I2593" i="15"/>
  <c r="H2594" i="15"/>
  <c r="I2594" i="15"/>
  <c r="H2595" i="15"/>
  <c r="I2595" i="15"/>
  <c r="H2596" i="15"/>
  <c r="I2596" i="15"/>
  <c r="H2597" i="15"/>
  <c r="I2597" i="15"/>
  <c r="H2598" i="15"/>
  <c r="I2598" i="15"/>
  <c r="H2599" i="15"/>
  <c r="I2599" i="15"/>
  <c r="H2600" i="15"/>
  <c r="I2600" i="15"/>
  <c r="H2601" i="15"/>
  <c r="I2601" i="15"/>
  <c r="H2602" i="15"/>
  <c r="I2602" i="15"/>
  <c r="H2603" i="15"/>
  <c r="I2603" i="15"/>
  <c r="H2604" i="15"/>
  <c r="I2604" i="15"/>
  <c r="H2605" i="15"/>
  <c r="I2605" i="15"/>
  <c r="H2606" i="15"/>
  <c r="I2606" i="15"/>
  <c r="H2607" i="15"/>
  <c r="I2607" i="15"/>
  <c r="H2608" i="15"/>
  <c r="I2608" i="15"/>
  <c r="H2609" i="15"/>
  <c r="I2609" i="15"/>
  <c r="H2610" i="15"/>
  <c r="I2610" i="15"/>
  <c r="H2611" i="15"/>
  <c r="I2611" i="15"/>
  <c r="H2612" i="15"/>
  <c r="I2612" i="15"/>
  <c r="I2" i="15"/>
  <c r="H2" i="15"/>
  <c r="F3" i="15"/>
  <c r="G3" i="15"/>
  <c r="F4" i="15"/>
  <c r="G4" i="15"/>
  <c r="F5" i="15"/>
  <c r="G5" i="15"/>
  <c r="F6" i="15"/>
  <c r="G6" i="15"/>
  <c r="F7" i="15"/>
  <c r="G7" i="15"/>
  <c r="F8" i="15"/>
  <c r="G8" i="15"/>
  <c r="F9" i="15"/>
  <c r="G9" i="15"/>
  <c r="F10" i="15"/>
  <c r="G10" i="15"/>
  <c r="F11" i="15"/>
  <c r="G11" i="15"/>
  <c r="F12" i="15"/>
  <c r="G12" i="15"/>
  <c r="F13" i="15"/>
  <c r="G13" i="15"/>
  <c r="F14" i="15"/>
  <c r="G14" i="15"/>
  <c r="F15" i="15"/>
  <c r="G15" i="15"/>
  <c r="F16" i="15"/>
  <c r="G16" i="15"/>
  <c r="F17" i="15"/>
  <c r="G17" i="15"/>
  <c r="F18" i="15"/>
  <c r="G18" i="15"/>
  <c r="F19" i="15"/>
  <c r="G19" i="15"/>
  <c r="F20" i="15"/>
  <c r="G20" i="15"/>
  <c r="F21" i="15"/>
  <c r="G21" i="15"/>
  <c r="F22" i="15"/>
  <c r="G22" i="15"/>
  <c r="F23" i="15"/>
  <c r="G23" i="15"/>
  <c r="F24" i="15"/>
  <c r="G24" i="15"/>
  <c r="F25" i="15"/>
  <c r="G25" i="15"/>
  <c r="F26" i="15"/>
  <c r="G26" i="15"/>
  <c r="F27" i="15"/>
  <c r="G27" i="15"/>
  <c r="F28" i="15"/>
  <c r="G28" i="15"/>
  <c r="F29" i="15"/>
  <c r="G29" i="15"/>
  <c r="F30" i="15"/>
  <c r="G30" i="15"/>
  <c r="F31" i="15"/>
  <c r="G31" i="15"/>
  <c r="F32" i="15"/>
  <c r="G32" i="15"/>
  <c r="F33" i="15"/>
  <c r="G33" i="15"/>
  <c r="F34" i="15"/>
  <c r="G34" i="15"/>
  <c r="F35" i="15"/>
  <c r="G35" i="15"/>
  <c r="F36" i="15"/>
  <c r="G36" i="15"/>
  <c r="F37" i="15"/>
  <c r="G37" i="15"/>
  <c r="F38" i="15"/>
  <c r="G38" i="15"/>
  <c r="F39" i="15"/>
  <c r="G39" i="15"/>
  <c r="F40" i="15"/>
  <c r="G40" i="15"/>
  <c r="F41" i="15"/>
  <c r="G41" i="15"/>
  <c r="F42" i="15"/>
  <c r="G42" i="15"/>
  <c r="F43" i="15"/>
  <c r="G43" i="15"/>
  <c r="F44" i="15"/>
  <c r="G44" i="15"/>
  <c r="F45" i="15"/>
  <c r="G45" i="15"/>
  <c r="F46" i="15"/>
  <c r="G46" i="15"/>
  <c r="F47" i="15"/>
  <c r="G47" i="15"/>
  <c r="F48" i="15"/>
  <c r="G48" i="15"/>
  <c r="F49" i="15"/>
  <c r="G49" i="15"/>
  <c r="F50" i="15"/>
  <c r="G50" i="15"/>
  <c r="F51" i="15"/>
  <c r="G51" i="15"/>
  <c r="F52" i="15"/>
  <c r="G52" i="15"/>
  <c r="F53" i="15"/>
  <c r="G53" i="15"/>
  <c r="F54" i="15"/>
  <c r="G54" i="15"/>
  <c r="F55" i="15"/>
  <c r="G55" i="15"/>
  <c r="F56" i="15"/>
  <c r="G56" i="15"/>
  <c r="F57" i="15"/>
  <c r="G57" i="15"/>
  <c r="F58" i="15"/>
  <c r="G58" i="15"/>
  <c r="F59" i="15"/>
  <c r="G59" i="15"/>
  <c r="F60" i="15"/>
  <c r="G60" i="15"/>
  <c r="F61" i="15"/>
  <c r="G61" i="15"/>
  <c r="F62" i="15"/>
  <c r="G62" i="15"/>
  <c r="F63" i="15"/>
  <c r="G63" i="15"/>
  <c r="F64" i="15"/>
  <c r="G64" i="15"/>
  <c r="F65" i="15"/>
  <c r="G65" i="15"/>
  <c r="F66" i="15"/>
  <c r="G66" i="15"/>
  <c r="F67" i="15"/>
  <c r="G67" i="15"/>
  <c r="F68" i="15"/>
  <c r="G68" i="15"/>
  <c r="F69" i="15"/>
  <c r="G69" i="15"/>
  <c r="F70" i="15"/>
  <c r="G70" i="15"/>
  <c r="F71" i="15"/>
  <c r="G71" i="15"/>
  <c r="F72" i="15"/>
  <c r="G72" i="15"/>
  <c r="F73" i="15"/>
  <c r="G73" i="15"/>
  <c r="F74" i="15"/>
  <c r="G74" i="15"/>
  <c r="F75" i="15"/>
  <c r="G75" i="15"/>
  <c r="F76" i="15"/>
  <c r="G76" i="15"/>
  <c r="F77" i="15"/>
  <c r="G77" i="15"/>
  <c r="F78" i="15"/>
  <c r="G78" i="15"/>
  <c r="F79" i="15"/>
  <c r="G79" i="15"/>
  <c r="F80" i="15"/>
  <c r="G80" i="15"/>
  <c r="F81" i="15"/>
  <c r="G81" i="15"/>
  <c r="F82" i="15"/>
  <c r="G82" i="15"/>
  <c r="F83" i="15"/>
  <c r="G83" i="15"/>
  <c r="F84" i="15"/>
  <c r="G84" i="15"/>
  <c r="F85" i="15"/>
  <c r="G85" i="15"/>
  <c r="F86" i="15"/>
  <c r="G86" i="15"/>
  <c r="F87" i="15"/>
  <c r="G87" i="15"/>
  <c r="F88" i="15"/>
  <c r="G88" i="15"/>
  <c r="F89" i="15"/>
  <c r="G89" i="15"/>
  <c r="F90" i="15"/>
  <c r="G90" i="15"/>
  <c r="F91" i="15"/>
  <c r="G91" i="15"/>
  <c r="F92" i="15"/>
  <c r="G92" i="15"/>
  <c r="F93" i="15"/>
  <c r="G93" i="15"/>
  <c r="F94" i="15"/>
  <c r="G94" i="15"/>
  <c r="F95" i="15"/>
  <c r="G95" i="15"/>
  <c r="F96" i="15"/>
  <c r="G96" i="15"/>
  <c r="F97" i="15"/>
  <c r="G97" i="15"/>
  <c r="F98" i="15"/>
  <c r="G98" i="15"/>
  <c r="F99" i="15"/>
  <c r="G99" i="15"/>
  <c r="F100" i="15"/>
  <c r="G100" i="15"/>
  <c r="F101" i="15"/>
  <c r="G101" i="15"/>
  <c r="F102" i="15"/>
  <c r="G102" i="15"/>
  <c r="F103" i="15"/>
  <c r="G103" i="15"/>
  <c r="F104" i="15"/>
  <c r="G104" i="15"/>
  <c r="F105" i="15"/>
  <c r="G105" i="15"/>
  <c r="F106" i="15"/>
  <c r="G106" i="15"/>
  <c r="F107" i="15"/>
  <c r="G107" i="15"/>
  <c r="F108" i="15"/>
  <c r="G108" i="15"/>
  <c r="F109" i="15"/>
  <c r="G109" i="15"/>
  <c r="F110" i="15"/>
  <c r="G110" i="15"/>
  <c r="F111" i="15"/>
  <c r="G111" i="15"/>
  <c r="F112" i="15"/>
  <c r="G112" i="15"/>
  <c r="F113" i="15"/>
  <c r="G113" i="15"/>
  <c r="F114" i="15"/>
  <c r="G114" i="15"/>
  <c r="F115" i="15"/>
  <c r="G115" i="15"/>
  <c r="F116" i="15"/>
  <c r="G116" i="15"/>
  <c r="F117" i="15"/>
  <c r="G117" i="15"/>
  <c r="F118" i="15"/>
  <c r="G118" i="15"/>
  <c r="F119" i="15"/>
  <c r="G119" i="15"/>
  <c r="F120" i="15"/>
  <c r="G120" i="15"/>
  <c r="F121" i="15"/>
  <c r="G121" i="15"/>
  <c r="F122" i="15"/>
  <c r="G122" i="15"/>
  <c r="F123" i="15"/>
  <c r="G123" i="15"/>
  <c r="F124" i="15"/>
  <c r="G124" i="15"/>
  <c r="F125" i="15"/>
  <c r="G125" i="15"/>
  <c r="F126" i="15"/>
  <c r="G126" i="15"/>
  <c r="F127" i="15"/>
  <c r="G127" i="15"/>
  <c r="F128" i="15"/>
  <c r="G128" i="15"/>
  <c r="F129" i="15"/>
  <c r="G129" i="15"/>
  <c r="F130" i="15"/>
  <c r="G130" i="15"/>
  <c r="F131" i="15"/>
  <c r="G131" i="15"/>
  <c r="F132" i="15"/>
  <c r="G132" i="15"/>
  <c r="F133" i="15"/>
  <c r="G133" i="15"/>
  <c r="F134" i="15"/>
  <c r="G134" i="15"/>
  <c r="F135" i="15"/>
  <c r="G135" i="15"/>
  <c r="F136" i="15"/>
  <c r="G136" i="15"/>
  <c r="F137" i="15"/>
  <c r="G137" i="15"/>
  <c r="F138" i="15"/>
  <c r="G138" i="15"/>
  <c r="F139" i="15"/>
  <c r="G139" i="15"/>
  <c r="F140" i="15"/>
  <c r="G140" i="15"/>
  <c r="F141" i="15"/>
  <c r="G141" i="15"/>
  <c r="F142" i="15"/>
  <c r="G142" i="15"/>
  <c r="F143" i="15"/>
  <c r="G143" i="15"/>
  <c r="F144" i="15"/>
  <c r="G144" i="15"/>
  <c r="F145" i="15"/>
  <c r="G145" i="15"/>
  <c r="F146" i="15"/>
  <c r="G146" i="15"/>
  <c r="F147" i="15"/>
  <c r="G147" i="15"/>
  <c r="F148" i="15"/>
  <c r="G148" i="15"/>
  <c r="F149" i="15"/>
  <c r="G149" i="15"/>
  <c r="F150" i="15"/>
  <c r="G150" i="15"/>
  <c r="F151" i="15"/>
  <c r="G151" i="15"/>
  <c r="F152" i="15"/>
  <c r="G152" i="15"/>
  <c r="F153" i="15"/>
  <c r="G153" i="15"/>
  <c r="F154" i="15"/>
  <c r="G154" i="15"/>
  <c r="F155" i="15"/>
  <c r="G155" i="15"/>
  <c r="F156" i="15"/>
  <c r="G156" i="15"/>
  <c r="F157" i="15"/>
  <c r="G157" i="15"/>
  <c r="F158" i="15"/>
  <c r="G158" i="15"/>
  <c r="F159" i="15"/>
  <c r="G159" i="15"/>
  <c r="F160" i="15"/>
  <c r="G160" i="15"/>
  <c r="F161" i="15"/>
  <c r="G161" i="15"/>
  <c r="F162" i="15"/>
  <c r="G162" i="15"/>
  <c r="F163" i="15"/>
  <c r="G163" i="15"/>
  <c r="F164" i="15"/>
  <c r="G164" i="15"/>
  <c r="F165" i="15"/>
  <c r="G165" i="15"/>
  <c r="F166" i="15"/>
  <c r="G166" i="15"/>
  <c r="F167" i="15"/>
  <c r="G167" i="15"/>
  <c r="F168" i="15"/>
  <c r="G168" i="15"/>
  <c r="F169" i="15"/>
  <c r="G169" i="15"/>
  <c r="F170" i="15"/>
  <c r="G170" i="15"/>
  <c r="F171" i="15"/>
  <c r="G171" i="15"/>
  <c r="F172" i="15"/>
  <c r="G172" i="15"/>
  <c r="F173" i="15"/>
  <c r="G173" i="15"/>
  <c r="F174" i="15"/>
  <c r="G174" i="15"/>
  <c r="F175" i="15"/>
  <c r="G175" i="15"/>
  <c r="F176" i="15"/>
  <c r="G176" i="15"/>
  <c r="F177" i="15"/>
  <c r="G177" i="15"/>
  <c r="F178" i="15"/>
  <c r="G178" i="15"/>
  <c r="F179" i="15"/>
  <c r="G179" i="15"/>
  <c r="F180" i="15"/>
  <c r="G180" i="15"/>
  <c r="F181" i="15"/>
  <c r="G181" i="15"/>
  <c r="F182" i="15"/>
  <c r="G182" i="15"/>
  <c r="F183" i="15"/>
  <c r="G183" i="15"/>
  <c r="F184" i="15"/>
  <c r="G184" i="15"/>
  <c r="F185" i="15"/>
  <c r="G185" i="15"/>
  <c r="F186" i="15"/>
  <c r="G186" i="15"/>
  <c r="F187" i="15"/>
  <c r="G187" i="15"/>
  <c r="F188" i="15"/>
  <c r="G188" i="15"/>
  <c r="F189" i="15"/>
  <c r="G189" i="15"/>
  <c r="F190" i="15"/>
  <c r="G190" i="15"/>
  <c r="F191" i="15"/>
  <c r="G191" i="15"/>
  <c r="F192" i="15"/>
  <c r="G192" i="15"/>
  <c r="F193" i="15"/>
  <c r="G193" i="15"/>
  <c r="F194" i="15"/>
  <c r="G194" i="15"/>
  <c r="F195" i="15"/>
  <c r="G195" i="15"/>
  <c r="F196" i="15"/>
  <c r="G196" i="15"/>
  <c r="F197" i="15"/>
  <c r="G197" i="15"/>
  <c r="F198" i="15"/>
  <c r="G198" i="15"/>
  <c r="F199" i="15"/>
  <c r="G199" i="15"/>
  <c r="F200" i="15"/>
  <c r="G200" i="15"/>
  <c r="F201" i="15"/>
  <c r="G201" i="15"/>
  <c r="F202" i="15"/>
  <c r="G202" i="15"/>
  <c r="F203" i="15"/>
  <c r="G203" i="15"/>
  <c r="F204" i="15"/>
  <c r="G204" i="15"/>
  <c r="F205" i="15"/>
  <c r="G205" i="15"/>
  <c r="F206" i="15"/>
  <c r="G206" i="15"/>
  <c r="F207" i="15"/>
  <c r="G207" i="15"/>
  <c r="F208" i="15"/>
  <c r="G208" i="15"/>
  <c r="F209" i="15"/>
  <c r="G209" i="15"/>
  <c r="F210" i="15"/>
  <c r="G210" i="15"/>
  <c r="F211" i="15"/>
  <c r="G211" i="15"/>
  <c r="F212" i="15"/>
  <c r="G212" i="15"/>
  <c r="F213" i="15"/>
  <c r="G213" i="15"/>
  <c r="F214" i="15"/>
  <c r="G214" i="15"/>
  <c r="F215" i="15"/>
  <c r="G215" i="15"/>
  <c r="F216" i="15"/>
  <c r="G216" i="15"/>
  <c r="F217" i="15"/>
  <c r="G217" i="15"/>
  <c r="F218" i="15"/>
  <c r="G218" i="15"/>
  <c r="F219" i="15"/>
  <c r="G219" i="15"/>
  <c r="F220" i="15"/>
  <c r="G220" i="15"/>
  <c r="F221" i="15"/>
  <c r="G221" i="15"/>
  <c r="F222" i="15"/>
  <c r="G222" i="15"/>
  <c r="F223" i="15"/>
  <c r="G223" i="15"/>
  <c r="F224" i="15"/>
  <c r="G224" i="15"/>
  <c r="F225" i="15"/>
  <c r="G225" i="15"/>
  <c r="F226" i="15"/>
  <c r="G226" i="15"/>
  <c r="F227" i="15"/>
  <c r="G227" i="15"/>
  <c r="F228" i="15"/>
  <c r="G228" i="15"/>
  <c r="F229" i="15"/>
  <c r="G229" i="15"/>
  <c r="F230" i="15"/>
  <c r="G230" i="15"/>
  <c r="F231" i="15"/>
  <c r="G231" i="15"/>
  <c r="F232" i="15"/>
  <c r="G232" i="15"/>
  <c r="F233" i="15"/>
  <c r="G233" i="15"/>
  <c r="F234" i="15"/>
  <c r="G234" i="15"/>
  <c r="F235" i="15"/>
  <c r="G235" i="15"/>
  <c r="F236" i="15"/>
  <c r="G236" i="15"/>
  <c r="F237" i="15"/>
  <c r="G237" i="15"/>
  <c r="F238" i="15"/>
  <c r="G238" i="15"/>
  <c r="F239" i="15"/>
  <c r="G239" i="15"/>
  <c r="F240" i="15"/>
  <c r="G240" i="15"/>
  <c r="F241" i="15"/>
  <c r="G241" i="15"/>
  <c r="F242" i="15"/>
  <c r="G242" i="15"/>
  <c r="F243" i="15"/>
  <c r="G243" i="15"/>
  <c r="F244" i="15"/>
  <c r="G244" i="15"/>
  <c r="F245" i="15"/>
  <c r="G245" i="15"/>
  <c r="F246" i="15"/>
  <c r="G246" i="15"/>
  <c r="F247" i="15"/>
  <c r="G247" i="15"/>
  <c r="F248" i="15"/>
  <c r="G248" i="15"/>
  <c r="F249" i="15"/>
  <c r="G249" i="15"/>
  <c r="F250" i="15"/>
  <c r="G250" i="15"/>
  <c r="F251" i="15"/>
  <c r="G251" i="15"/>
  <c r="F252" i="15"/>
  <c r="G252" i="15"/>
  <c r="F253" i="15"/>
  <c r="G253" i="15"/>
  <c r="F254" i="15"/>
  <c r="G254" i="15"/>
  <c r="F255" i="15"/>
  <c r="G255" i="15"/>
  <c r="F256" i="15"/>
  <c r="G256" i="15"/>
  <c r="F257" i="15"/>
  <c r="G257" i="15"/>
  <c r="F258" i="15"/>
  <c r="G258" i="15"/>
  <c r="F259" i="15"/>
  <c r="G259" i="15"/>
  <c r="F260" i="15"/>
  <c r="G260" i="15"/>
  <c r="F261" i="15"/>
  <c r="G261" i="15"/>
  <c r="F262" i="15"/>
  <c r="G262" i="15"/>
  <c r="F263" i="15"/>
  <c r="G263" i="15"/>
  <c r="F264" i="15"/>
  <c r="G264" i="15"/>
  <c r="F265" i="15"/>
  <c r="G265" i="15"/>
  <c r="F266" i="15"/>
  <c r="G266" i="15"/>
  <c r="F267" i="15"/>
  <c r="G267" i="15"/>
  <c r="F268" i="15"/>
  <c r="G268" i="15"/>
  <c r="F269" i="15"/>
  <c r="G269" i="15"/>
  <c r="F270" i="15"/>
  <c r="G270" i="15"/>
  <c r="F271" i="15"/>
  <c r="G271" i="15"/>
  <c r="F272" i="15"/>
  <c r="G272" i="15"/>
  <c r="F273" i="15"/>
  <c r="G273" i="15"/>
  <c r="F274" i="15"/>
  <c r="G274" i="15"/>
  <c r="F275" i="15"/>
  <c r="G275" i="15"/>
  <c r="F276" i="15"/>
  <c r="G276" i="15"/>
  <c r="F277" i="15"/>
  <c r="G277" i="15"/>
  <c r="F278" i="15"/>
  <c r="G278" i="15"/>
  <c r="F279" i="15"/>
  <c r="G279" i="15"/>
  <c r="F280" i="15"/>
  <c r="G280" i="15"/>
  <c r="F281" i="15"/>
  <c r="G281" i="15"/>
  <c r="F282" i="15"/>
  <c r="G282" i="15"/>
  <c r="F283" i="15"/>
  <c r="G283" i="15"/>
  <c r="F284" i="15"/>
  <c r="G284" i="15"/>
  <c r="F285" i="15"/>
  <c r="G285" i="15"/>
  <c r="F286" i="15"/>
  <c r="G286" i="15"/>
  <c r="F287" i="15"/>
  <c r="G287" i="15"/>
  <c r="F288" i="15"/>
  <c r="G288" i="15"/>
  <c r="F289" i="15"/>
  <c r="G289" i="15"/>
  <c r="F290" i="15"/>
  <c r="G290" i="15"/>
  <c r="F291" i="15"/>
  <c r="G291" i="15"/>
  <c r="F292" i="15"/>
  <c r="G292" i="15"/>
  <c r="F293" i="15"/>
  <c r="G293" i="15"/>
  <c r="F294" i="15"/>
  <c r="G294" i="15"/>
  <c r="F295" i="15"/>
  <c r="G295" i="15"/>
  <c r="F296" i="15"/>
  <c r="G296" i="15"/>
  <c r="F297" i="15"/>
  <c r="G297" i="15"/>
  <c r="F298" i="15"/>
  <c r="G298" i="15"/>
  <c r="F299" i="15"/>
  <c r="G299" i="15"/>
  <c r="F300" i="15"/>
  <c r="G300" i="15"/>
  <c r="F301" i="15"/>
  <c r="G301" i="15"/>
  <c r="F302" i="15"/>
  <c r="G302" i="15"/>
  <c r="F303" i="15"/>
  <c r="G303" i="15"/>
  <c r="F304" i="15"/>
  <c r="G304" i="15"/>
  <c r="F305" i="15"/>
  <c r="G305" i="15"/>
  <c r="F306" i="15"/>
  <c r="G306" i="15"/>
  <c r="F307" i="15"/>
  <c r="G307" i="15"/>
  <c r="F308" i="15"/>
  <c r="G308" i="15"/>
  <c r="F309" i="15"/>
  <c r="G309" i="15"/>
  <c r="F310" i="15"/>
  <c r="G310" i="15"/>
  <c r="F311" i="15"/>
  <c r="G311" i="15"/>
  <c r="F312" i="15"/>
  <c r="G312" i="15"/>
  <c r="F313" i="15"/>
  <c r="G313" i="15"/>
  <c r="F314" i="15"/>
  <c r="G314" i="15"/>
  <c r="F315" i="15"/>
  <c r="G315" i="15"/>
  <c r="F316" i="15"/>
  <c r="G316" i="15"/>
  <c r="F317" i="15"/>
  <c r="G317" i="15"/>
  <c r="F318" i="15"/>
  <c r="G318" i="15"/>
  <c r="F319" i="15"/>
  <c r="G319" i="15"/>
  <c r="F320" i="15"/>
  <c r="G320" i="15"/>
  <c r="F321" i="15"/>
  <c r="G321" i="15"/>
  <c r="F322" i="15"/>
  <c r="G322" i="15"/>
  <c r="F323" i="15"/>
  <c r="G323" i="15"/>
  <c r="F324" i="15"/>
  <c r="G324" i="15"/>
  <c r="F325" i="15"/>
  <c r="G325" i="15"/>
  <c r="F326" i="15"/>
  <c r="G326" i="15"/>
  <c r="F327" i="15"/>
  <c r="G327" i="15"/>
  <c r="F328" i="15"/>
  <c r="G328" i="15"/>
  <c r="F329" i="15"/>
  <c r="G329" i="15"/>
  <c r="F330" i="15"/>
  <c r="G330" i="15"/>
  <c r="F331" i="15"/>
  <c r="G331" i="15"/>
  <c r="F332" i="15"/>
  <c r="G332" i="15"/>
  <c r="F333" i="15"/>
  <c r="G333" i="15"/>
  <c r="F334" i="15"/>
  <c r="G334" i="15"/>
  <c r="F335" i="15"/>
  <c r="G335" i="15"/>
  <c r="F336" i="15"/>
  <c r="G336" i="15"/>
  <c r="F337" i="15"/>
  <c r="G337" i="15"/>
  <c r="F338" i="15"/>
  <c r="G338" i="15"/>
  <c r="F339" i="15"/>
  <c r="G339" i="15"/>
  <c r="F340" i="15"/>
  <c r="G340" i="15"/>
  <c r="F341" i="15"/>
  <c r="G341" i="15"/>
  <c r="F342" i="15"/>
  <c r="G342" i="15"/>
  <c r="F343" i="15"/>
  <c r="G343" i="15"/>
  <c r="F344" i="15"/>
  <c r="G344" i="15"/>
  <c r="F345" i="15"/>
  <c r="G345" i="15"/>
  <c r="F346" i="15"/>
  <c r="G346" i="15"/>
  <c r="F347" i="15"/>
  <c r="G347" i="15"/>
  <c r="F348" i="15"/>
  <c r="G348" i="15"/>
  <c r="F349" i="15"/>
  <c r="G349" i="15"/>
  <c r="F350" i="15"/>
  <c r="G350" i="15"/>
  <c r="F351" i="15"/>
  <c r="G351" i="15"/>
  <c r="F352" i="15"/>
  <c r="G352" i="15"/>
  <c r="F353" i="15"/>
  <c r="G353" i="15"/>
  <c r="F354" i="15"/>
  <c r="G354" i="15"/>
  <c r="F355" i="15"/>
  <c r="G355" i="15"/>
  <c r="F356" i="15"/>
  <c r="G356" i="15"/>
  <c r="F357" i="15"/>
  <c r="G357" i="15"/>
  <c r="F358" i="15"/>
  <c r="G358" i="15"/>
  <c r="F359" i="15"/>
  <c r="G359" i="15"/>
  <c r="F360" i="15"/>
  <c r="G360" i="15"/>
  <c r="F361" i="15"/>
  <c r="G361" i="15"/>
  <c r="F362" i="15"/>
  <c r="G362" i="15"/>
  <c r="F363" i="15"/>
  <c r="G363" i="15"/>
  <c r="F364" i="15"/>
  <c r="G364" i="15"/>
  <c r="F365" i="15"/>
  <c r="G365" i="15"/>
  <c r="F366" i="15"/>
  <c r="G366" i="15"/>
  <c r="F367" i="15"/>
  <c r="G367" i="15"/>
  <c r="F368" i="15"/>
  <c r="G368" i="15"/>
  <c r="F369" i="15"/>
  <c r="G369" i="15"/>
  <c r="F370" i="15"/>
  <c r="G370" i="15"/>
  <c r="F371" i="15"/>
  <c r="G371" i="15"/>
  <c r="F372" i="15"/>
  <c r="G372" i="15"/>
  <c r="F373" i="15"/>
  <c r="G373" i="15"/>
  <c r="F374" i="15"/>
  <c r="G374" i="15"/>
  <c r="F375" i="15"/>
  <c r="G375" i="15"/>
  <c r="F376" i="15"/>
  <c r="G376" i="15"/>
  <c r="F377" i="15"/>
  <c r="G377" i="15"/>
  <c r="F378" i="15"/>
  <c r="G378" i="15"/>
  <c r="F379" i="15"/>
  <c r="G379" i="15"/>
  <c r="F380" i="15"/>
  <c r="G380" i="15"/>
  <c r="F381" i="15"/>
  <c r="G381" i="15"/>
  <c r="F382" i="15"/>
  <c r="G382" i="15"/>
  <c r="F383" i="15"/>
  <c r="G383" i="15"/>
  <c r="F384" i="15"/>
  <c r="G384" i="15"/>
  <c r="F385" i="15"/>
  <c r="G385" i="15"/>
  <c r="F386" i="15"/>
  <c r="G386" i="15"/>
  <c r="F387" i="15"/>
  <c r="G387" i="15"/>
  <c r="F388" i="15"/>
  <c r="G388" i="15"/>
  <c r="F389" i="15"/>
  <c r="G389" i="15"/>
  <c r="F390" i="15"/>
  <c r="G390" i="15"/>
  <c r="F391" i="15"/>
  <c r="G391" i="15"/>
  <c r="F392" i="15"/>
  <c r="G392" i="15"/>
  <c r="F393" i="15"/>
  <c r="G393" i="15"/>
  <c r="F394" i="15"/>
  <c r="G394" i="15"/>
  <c r="F395" i="15"/>
  <c r="G395" i="15"/>
  <c r="F396" i="15"/>
  <c r="G396" i="15"/>
  <c r="F397" i="15"/>
  <c r="G397" i="15"/>
  <c r="F398" i="15"/>
  <c r="G398" i="15"/>
  <c r="F399" i="15"/>
  <c r="G399" i="15"/>
  <c r="F400" i="15"/>
  <c r="G400" i="15"/>
  <c r="F401" i="15"/>
  <c r="G401" i="15"/>
  <c r="F402" i="15"/>
  <c r="G402" i="15"/>
  <c r="F403" i="15"/>
  <c r="G403" i="15"/>
  <c r="F404" i="15"/>
  <c r="G404" i="15"/>
  <c r="F405" i="15"/>
  <c r="G405" i="15"/>
  <c r="F406" i="15"/>
  <c r="G406" i="15"/>
  <c r="F407" i="15"/>
  <c r="G407" i="15"/>
  <c r="F408" i="15"/>
  <c r="G408" i="15"/>
  <c r="F409" i="15"/>
  <c r="G409" i="15"/>
  <c r="F410" i="15"/>
  <c r="G410" i="15"/>
  <c r="F411" i="15"/>
  <c r="G411" i="15"/>
  <c r="F412" i="15"/>
  <c r="G412" i="15"/>
  <c r="F413" i="15"/>
  <c r="G413" i="15"/>
  <c r="F414" i="15"/>
  <c r="G414" i="15"/>
  <c r="F415" i="15"/>
  <c r="G415" i="15"/>
  <c r="F416" i="15"/>
  <c r="G416" i="15"/>
  <c r="F417" i="15"/>
  <c r="G417" i="15"/>
  <c r="F418" i="15"/>
  <c r="G418" i="15"/>
  <c r="F419" i="15"/>
  <c r="G419" i="15"/>
  <c r="F420" i="15"/>
  <c r="G420" i="15"/>
  <c r="F421" i="15"/>
  <c r="G421" i="15"/>
  <c r="F422" i="15"/>
  <c r="G422" i="15"/>
  <c r="F423" i="15"/>
  <c r="G423" i="15"/>
  <c r="F424" i="15"/>
  <c r="G424" i="15"/>
  <c r="F425" i="15"/>
  <c r="G425" i="15"/>
  <c r="F426" i="15"/>
  <c r="G426" i="15"/>
  <c r="F427" i="15"/>
  <c r="G427" i="15"/>
  <c r="F428" i="15"/>
  <c r="G428" i="15"/>
  <c r="F429" i="15"/>
  <c r="G429" i="15"/>
  <c r="F430" i="15"/>
  <c r="G430" i="15"/>
  <c r="F431" i="15"/>
  <c r="G431" i="15"/>
  <c r="F432" i="15"/>
  <c r="G432" i="15"/>
  <c r="F433" i="15"/>
  <c r="G433" i="15"/>
  <c r="F434" i="15"/>
  <c r="G434" i="15"/>
  <c r="F435" i="15"/>
  <c r="G435" i="15"/>
  <c r="F436" i="15"/>
  <c r="G436" i="15"/>
  <c r="F437" i="15"/>
  <c r="G437" i="15"/>
  <c r="F438" i="15"/>
  <c r="G438" i="15"/>
  <c r="F439" i="15"/>
  <c r="G439" i="15"/>
  <c r="F440" i="15"/>
  <c r="G440" i="15"/>
  <c r="F441" i="15"/>
  <c r="G441" i="15"/>
  <c r="F442" i="15"/>
  <c r="G442" i="15"/>
  <c r="F443" i="15"/>
  <c r="G443" i="15"/>
  <c r="F444" i="15"/>
  <c r="G444" i="15"/>
  <c r="F445" i="15"/>
  <c r="G445" i="15"/>
  <c r="F446" i="15"/>
  <c r="G446" i="15"/>
  <c r="F447" i="15"/>
  <c r="G447" i="15"/>
  <c r="F448" i="15"/>
  <c r="G448" i="15"/>
  <c r="F449" i="15"/>
  <c r="G449" i="15"/>
  <c r="F450" i="15"/>
  <c r="G450" i="15"/>
  <c r="F451" i="15"/>
  <c r="G451" i="15"/>
  <c r="F452" i="15"/>
  <c r="G452" i="15"/>
  <c r="F453" i="15"/>
  <c r="G453" i="15"/>
  <c r="F454" i="15"/>
  <c r="G454" i="15"/>
  <c r="F455" i="15"/>
  <c r="G455" i="15"/>
  <c r="F456" i="15"/>
  <c r="G456" i="15"/>
  <c r="F457" i="15"/>
  <c r="G457" i="15"/>
  <c r="F458" i="15"/>
  <c r="G458" i="15"/>
  <c r="F459" i="15"/>
  <c r="G459" i="15"/>
  <c r="F460" i="15"/>
  <c r="G460" i="15"/>
  <c r="F461" i="15"/>
  <c r="G461" i="15"/>
  <c r="F462" i="15"/>
  <c r="G462" i="15"/>
  <c r="F463" i="15"/>
  <c r="G463" i="15"/>
  <c r="F464" i="15"/>
  <c r="G464" i="15"/>
  <c r="F465" i="15"/>
  <c r="G465" i="15"/>
  <c r="F466" i="15"/>
  <c r="G466" i="15"/>
  <c r="F467" i="15"/>
  <c r="G467" i="15"/>
  <c r="F468" i="15"/>
  <c r="G468" i="15"/>
  <c r="F469" i="15"/>
  <c r="G469" i="15"/>
  <c r="F470" i="15"/>
  <c r="G470" i="15"/>
  <c r="F471" i="15"/>
  <c r="G471" i="15"/>
  <c r="F472" i="15"/>
  <c r="G472" i="15"/>
  <c r="F473" i="15"/>
  <c r="G473" i="15"/>
  <c r="F474" i="15"/>
  <c r="G474" i="15"/>
  <c r="F475" i="15"/>
  <c r="G475" i="15"/>
  <c r="F476" i="15"/>
  <c r="G476" i="15"/>
  <c r="F477" i="15"/>
  <c r="G477" i="15"/>
  <c r="F478" i="15"/>
  <c r="G478" i="15"/>
  <c r="F479" i="15"/>
  <c r="G479" i="15"/>
  <c r="F480" i="15"/>
  <c r="G480" i="15"/>
  <c r="F481" i="15"/>
  <c r="G481" i="15"/>
  <c r="F482" i="15"/>
  <c r="G482" i="15"/>
  <c r="F483" i="15"/>
  <c r="G483" i="15"/>
  <c r="F484" i="15"/>
  <c r="G484" i="15"/>
  <c r="F485" i="15"/>
  <c r="G485" i="15"/>
  <c r="F486" i="15"/>
  <c r="G486" i="15"/>
  <c r="F487" i="15"/>
  <c r="G487" i="15"/>
  <c r="F488" i="15"/>
  <c r="G488" i="15"/>
  <c r="F489" i="15"/>
  <c r="G489" i="15"/>
  <c r="F490" i="15"/>
  <c r="G490" i="15"/>
  <c r="F491" i="15"/>
  <c r="G491" i="15"/>
  <c r="F492" i="15"/>
  <c r="G492" i="15"/>
  <c r="F493" i="15"/>
  <c r="G493" i="15"/>
  <c r="F494" i="15"/>
  <c r="G494" i="15"/>
  <c r="F495" i="15"/>
  <c r="G495" i="15"/>
  <c r="F496" i="15"/>
  <c r="G496" i="15"/>
  <c r="F497" i="15"/>
  <c r="G497" i="15"/>
  <c r="F498" i="15"/>
  <c r="G498" i="15"/>
  <c r="F499" i="15"/>
  <c r="G499" i="15"/>
  <c r="F500" i="15"/>
  <c r="G500" i="15"/>
  <c r="F501" i="15"/>
  <c r="G501" i="15"/>
  <c r="F502" i="15"/>
  <c r="G502" i="15"/>
  <c r="F503" i="15"/>
  <c r="G503" i="15"/>
  <c r="F504" i="15"/>
  <c r="G504" i="15"/>
  <c r="F505" i="15"/>
  <c r="G505" i="15"/>
  <c r="F506" i="15"/>
  <c r="G506" i="15"/>
  <c r="F507" i="15"/>
  <c r="G507" i="15"/>
  <c r="F508" i="15"/>
  <c r="G508" i="15"/>
  <c r="F509" i="15"/>
  <c r="G509" i="15"/>
  <c r="F510" i="15"/>
  <c r="G510" i="15"/>
  <c r="F511" i="15"/>
  <c r="G511" i="15"/>
  <c r="F512" i="15"/>
  <c r="G512" i="15"/>
  <c r="F513" i="15"/>
  <c r="G513" i="15"/>
  <c r="F514" i="15"/>
  <c r="G514" i="15"/>
  <c r="F515" i="15"/>
  <c r="G515" i="15"/>
  <c r="F516" i="15"/>
  <c r="G516" i="15"/>
  <c r="F517" i="15"/>
  <c r="G517" i="15"/>
  <c r="F518" i="15"/>
  <c r="G518" i="15"/>
  <c r="F519" i="15"/>
  <c r="G519" i="15"/>
  <c r="F520" i="15"/>
  <c r="G520" i="15"/>
  <c r="F521" i="15"/>
  <c r="G521" i="15"/>
  <c r="F522" i="15"/>
  <c r="G522" i="15"/>
  <c r="F523" i="15"/>
  <c r="G523" i="15"/>
  <c r="F524" i="15"/>
  <c r="G524" i="15"/>
  <c r="F525" i="15"/>
  <c r="G525" i="15"/>
  <c r="F526" i="15"/>
  <c r="G526" i="15"/>
  <c r="F527" i="15"/>
  <c r="G527" i="15"/>
  <c r="F528" i="15"/>
  <c r="G528" i="15"/>
  <c r="F529" i="15"/>
  <c r="G529" i="15"/>
  <c r="F530" i="15"/>
  <c r="G530" i="15"/>
  <c r="F531" i="15"/>
  <c r="G531" i="15"/>
  <c r="F532" i="15"/>
  <c r="G532" i="15"/>
  <c r="F533" i="15"/>
  <c r="G533" i="15"/>
  <c r="F534" i="15"/>
  <c r="G534" i="15"/>
  <c r="F535" i="15"/>
  <c r="G535" i="15"/>
  <c r="F536" i="15"/>
  <c r="G536" i="15"/>
  <c r="F537" i="15"/>
  <c r="G537" i="15"/>
  <c r="F538" i="15"/>
  <c r="G538" i="15"/>
  <c r="F539" i="15"/>
  <c r="G539" i="15"/>
  <c r="F540" i="15"/>
  <c r="G540" i="15"/>
  <c r="F541" i="15"/>
  <c r="G541" i="15"/>
  <c r="F542" i="15"/>
  <c r="G542" i="15"/>
  <c r="F543" i="15"/>
  <c r="G543" i="15"/>
  <c r="F544" i="15"/>
  <c r="G544" i="15"/>
  <c r="F545" i="15"/>
  <c r="G545" i="15"/>
  <c r="F546" i="15"/>
  <c r="G546" i="15"/>
  <c r="F547" i="15"/>
  <c r="G547" i="15"/>
  <c r="F548" i="15"/>
  <c r="G548" i="15"/>
  <c r="F549" i="15"/>
  <c r="G549" i="15"/>
  <c r="F550" i="15"/>
  <c r="G550" i="15"/>
  <c r="F551" i="15"/>
  <c r="G551" i="15"/>
  <c r="F552" i="15"/>
  <c r="G552" i="15"/>
  <c r="F553" i="15"/>
  <c r="G553" i="15"/>
  <c r="F554" i="15"/>
  <c r="G554" i="15"/>
  <c r="F555" i="15"/>
  <c r="G555" i="15"/>
  <c r="F556" i="15"/>
  <c r="G556" i="15"/>
  <c r="F557" i="15"/>
  <c r="G557" i="15"/>
  <c r="F558" i="15"/>
  <c r="G558" i="15"/>
  <c r="F559" i="15"/>
  <c r="G559" i="15"/>
  <c r="F560" i="15"/>
  <c r="G560" i="15"/>
  <c r="F561" i="15"/>
  <c r="G561" i="15"/>
  <c r="F562" i="15"/>
  <c r="G562" i="15"/>
  <c r="F563" i="15"/>
  <c r="G563" i="15"/>
  <c r="F564" i="15"/>
  <c r="G564" i="15"/>
  <c r="F565" i="15"/>
  <c r="G565" i="15"/>
  <c r="F566" i="15"/>
  <c r="G566" i="15"/>
  <c r="F567" i="15"/>
  <c r="G567" i="15"/>
  <c r="F568" i="15"/>
  <c r="G568" i="15"/>
  <c r="F569" i="15"/>
  <c r="G569" i="15"/>
  <c r="F570" i="15"/>
  <c r="G570" i="15"/>
  <c r="F571" i="15"/>
  <c r="G571" i="15"/>
  <c r="F572" i="15"/>
  <c r="G572" i="15"/>
  <c r="F573" i="15"/>
  <c r="G573" i="15"/>
  <c r="F574" i="15"/>
  <c r="G574" i="15"/>
  <c r="F575" i="15"/>
  <c r="G575" i="15"/>
  <c r="F576" i="15"/>
  <c r="G576" i="15"/>
  <c r="F577" i="15"/>
  <c r="G577" i="15"/>
  <c r="F578" i="15"/>
  <c r="G578" i="15"/>
  <c r="F579" i="15"/>
  <c r="G579" i="15"/>
  <c r="F580" i="15"/>
  <c r="G580" i="15"/>
  <c r="F581" i="15"/>
  <c r="G581" i="15"/>
  <c r="F582" i="15"/>
  <c r="G582" i="15"/>
  <c r="F583" i="15"/>
  <c r="G583" i="15"/>
  <c r="F584" i="15"/>
  <c r="G584" i="15"/>
  <c r="F585" i="15"/>
  <c r="G585" i="15"/>
  <c r="F586" i="15"/>
  <c r="G586" i="15"/>
  <c r="F587" i="15"/>
  <c r="G587" i="15"/>
  <c r="F588" i="15"/>
  <c r="G588" i="15"/>
  <c r="F589" i="15"/>
  <c r="G589" i="15"/>
  <c r="F590" i="15"/>
  <c r="G590" i="15"/>
  <c r="F591" i="15"/>
  <c r="G591" i="15"/>
  <c r="F592" i="15"/>
  <c r="G592" i="15"/>
  <c r="F593" i="15"/>
  <c r="G593" i="15"/>
  <c r="F594" i="15"/>
  <c r="G594" i="15"/>
  <c r="F595" i="15"/>
  <c r="G595" i="15"/>
  <c r="F596" i="15"/>
  <c r="G596" i="15"/>
  <c r="F597" i="15"/>
  <c r="G597" i="15"/>
  <c r="F598" i="15"/>
  <c r="G598" i="15"/>
  <c r="F599" i="15"/>
  <c r="G599" i="15"/>
  <c r="F600" i="15"/>
  <c r="G600" i="15"/>
  <c r="F601" i="15"/>
  <c r="G601" i="15"/>
  <c r="F602" i="15"/>
  <c r="G602" i="15"/>
  <c r="F603" i="15"/>
  <c r="G603" i="15"/>
  <c r="F604" i="15"/>
  <c r="G604" i="15"/>
  <c r="F605" i="15"/>
  <c r="G605" i="15"/>
  <c r="F606" i="15"/>
  <c r="G606" i="15"/>
  <c r="F607" i="15"/>
  <c r="G607" i="15"/>
  <c r="F608" i="15"/>
  <c r="G608" i="15"/>
  <c r="F609" i="15"/>
  <c r="G609" i="15"/>
  <c r="F610" i="15"/>
  <c r="G610" i="15"/>
  <c r="F611" i="15"/>
  <c r="G611" i="15"/>
  <c r="F612" i="15"/>
  <c r="G612" i="15"/>
  <c r="F613" i="15"/>
  <c r="G613" i="15"/>
  <c r="F614" i="15"/>
  <c r="G614" i="15"/>
  <c r="F615" i="15"/>
  <c r="G615" i="15"/>
  <c r="F616" i="15"/>
  <c r="G616" i="15"/>
  <c r="F617" i="15"/>
  <c r="G617" i="15"/>
  <c r="F618" i="15"/>
  <c r="G618" i="15"/>
  <c r="F619" i="15"/>
  <c r="G619" i="15"/>
  <c r="F620" i="15"/>
  <c r="G620" i="15"/>
  <c r="F621" i="15"/>
  <c r="G621" i="15"/>
  <c r="F622" i="15"/>
  <c r="G622" i="15"/>
  <c r="F623" i="15"/>
  <c r="G623" i="15"/>
  <c r="F624" i="15"/>
  <c r="G624" i="15"/>
  <c r="F625" i="15"/>
  <c r="G625" i="15"/>
  <c r="F626" i="15"/>
  <c r="G626" i="15"/>
  <c r="F627" i="15"/>
  <c r="G627" i="15"/>
  <c r="F628" i="15"/>
  <c r="G628" i="15"/>
  <c r="F629" i="15"/>
  <c r="G629" i="15"/>
  <c r="F630" i="15"/>
  <c r="G630" i="15"/>
  <c r="F631" i="15"/>
  <c r="G631" i="15"/>
  <c r="F632" i="15"/>
  <c r="G632" i="15"/>
  <c r="F633" i="15"/>
  <c r="G633" i="15"/>
  <c r="F634" i="15"/>
  <c r="G634" i="15"/>
  <c r="F635" i="15"/>
  <c r="G635" i="15"/>
  <c r="F636" i="15"/>
  <c r="G636" i="15"/>
  <c r="F637" i="15"/>
  <c r="G637" i="15"/>
  <c r="F638" i="15"/>
  <c r="G638" i="15"/>
  <c r="F639" i="15"/>
  <c r="G639" i="15"/>
  <c r="F640" i="15"/>
  <c r="G640" i="15"/>
  <c r="F641" i="15"/>
  <c r="G641" i="15"/>
  <c r="F642" i="15"/>
  <c r="G642" i="15"/>
  <c r="F643" i="15"/>
  <c r="G643" i="15"/>
  <c r="F644" i="15"/>
  <c r="G644" i="15"/>
  <c r="F645" i="15"/>
  <c r="G645" i="15"/>
  <c r="F646" i="15"/>
  <c r="G646" i="15"/>
  <c r="F647" i="15"/>
  <c r="G647" i="15"/>
  <c r="F648" i="15"/>
  <c r="G648" i="15"/>
  <c r="F649" i="15"/>
  <c r="G649" i="15"/>
  <c r="F650" i="15"/>
  <c r="G650" i="15"/>
  <c r="F651" i="15"/>
  <c r="G651" i="15"/>
  <c r="F652" i="15"/>
  <c r="G652" i="15"/>
  <c r="F653" i="15"/>
  <c r="G653" i="15"/>
  <c r="F654" i="15"/>
  <c r="G654" i="15"/>
  <c r="F655" i="15"/>
  <c r="G655" i="15"/>
  <c r="F656" i="15"/>
  <c r="G656" i="15"/>
  <c r="F657" i="15"/>
  <c r="G657" i="15"/>
  <c r="F658" i="15"/>
  <c r="G658" i="15"/>
  <c r="F659" i="15"/>
  <c r="G659" i="15"/>
  <c r="F660" i="15"/>
  <c r="G660" i="15"/>
  <c r="F661" i="15"/>
  <c r="G661" i="15"/>
  <c r="F662" i="15"/>
  <c r="G662" i="15"/>
  <c r="F663" i="15"/>
  <c r="G663" i="15"/>
  <c r="F664" i="15"/>
  <c r="G664" i="15"/>
  <c r="F665" i="15"/>
  <c r="G665" i="15"/>
  <c r="F666" i="15"/>
  <c r="G666" i="15"/>
  <c r="F667" i="15"/>
  <c r="G667" i="15"/>
  <c r="F668" i="15"/>
  <c r="G668" i="15"/>
  <c r="F669" i="15"/>
  <c r="G669" i="15"/>
  <c r="F670" i="15"/>
  <c r="G670" i="15"/>
  <c r="F671" i="15"/>
  <c r="G671" i="15"/>
  <c r="F672" i="15"/>
  <c r="G672" i="15"/>
  <c r="F673" i="15"/>
  <c r="G673" i="15"/>
  <c r="F674" i="15"/>
  <c r="G674" i="15"/>
  <c r="F675" i="15"/>
  <c r="G675" i="15"/>
  <c r="F676" i="15"/>
  <c r="G676" i="15"/>
  <c r="F677" i="15"/>
  <c r="G677" i="15"/>
  <c r="F678" i="15"/>
  <c r="G678" i="15"/>
  <c r="F679" i="15"/>
  <c r="G679" i="15"/>
  <c r="F680" i="15"/>
  <c r="G680" i="15"/>
  <c r="F681" i="15"/>
  <c r="G681" i="15"/>
  <c r="F682" i="15"/>
  <c r="G682" i="15"/>
  <c r="F683" i="15"/>
  <c r="G683" i="15"/>
  <c r="F684" i="15"/>
  <c r="G684" i="15"/>
  <c r="F685" i="15"/>
  <c r="G685" i="15"/>
  <c r="F686" i="15"/>
  <c r="G686" i="15"/>
  <c r="F687" i="15"/>
  <c r="G687" i="15"/>
  <c r="F688" i="15"/>
  <c r="G688" i="15"/>
  <c r="F689" i="15"/>
  <c r="G689" i="15"/>
  <c r="F690" i="15"/>
  <c r="G690" i="15"/>
  <c r="F691" i="15"/>
  <c r="G691" i="15"/>
  <c r="F692" i="15"/>
  <c r="G692" i="15"/>
  <c r="F693" i="15"/>
  <c r="G693" i="15"/>
  <c r="F694" i="15"/>
  <c r="G694" i="15"/>
  <c r="F695" i="15"/>
  <c r="G695" i="15"/>
  <c r="F696" i="15"/>
  <c r="G696" i="15"/>
  <c r="F697" i="15"/>
  <c r="G697" i="15"/>
  <c r="F698" i="15"/>
  <c r="G698" i="15"/>
  <c r="F699" i="15"/>
  <c r="G699" i="15"/>
  <c r="F700" i="15"/>
  <c r="G700" i="15"/>
  <c r="F701" i="15"/>
  <c r="G701" i="15"/>
  <c r="F702" i="15"/>
  <c r="G702" i="15"/>
  <c r="F703" i="15"/>
  <c r="G703" i="15"/>
  <c r="F704" i="15"/>
  <c r="G704" i="15"/>
  <c r="F705" i="15"/>
  <c r="G705" i="15"/>
  <c r="F706" i="15"/>
  <c r="G706" i="15"/>
  <c r="F707" i="15"/>
  <c r="G707" i="15"/>
  <c r="F708" i="15"/>
  <c r="G708" i="15"/>
  <c r="F709" i="15"/>
  <c r="G709" i="15"/>
  <c r="F710" i="15"/>
  <c r="G710" i="15"/>
  <c r="F711" i="15"/>
  <c r="G711" i="15"/>
  <c r="F712" i="15"/>
  <c r="G712" i="15"/>
  <c r="F713" i="15"/>
  <c r="G713" i="15"/>
  <c r="F714" i="15"/>
  <c r="G714" i="15"/>
  <c r="F715" i="15"/>
  <c r="G715" i="15"/>
  <c r="F716" i="15"/>
  <c r="G716" i="15"/>
  <c r="F717" i="15"/>
  <c r="G717" i="15"/>
  <c r="F718" i="15"/>
  <c r="G718" i="15"/>
  <c r="F719" i="15"/>
  <c r="G719" i="15"/>
  <c r="F720" i="15"/>
  <c r="G720" i="15"/>
  <c r="F721" i="15"/>
  <c r="G721" i="15"/>
  <c r="F722" i="15"/>
  <c r="G722" i="15"/>
  <c r="F723" i="15"/>
  <c r="G723" i="15"/>
  <c r="F724" i="15"/>
  <c r="G724" i="15"/>
  <c r="F725" i="15"/>
  <c r="G725" i="15"/>
  <c r="F726" i="15"/>
  <c r="G726" i="15"/>
  <c r="F727" i="15"/>
  <c r="G727" i="15"/>
  <c r="F728" i="15"/>
  <c r="G728" i="15"/>
  <c r="F729" i="15"/>
  <c r="G729" i="15"/>
  <c r="F730" i="15"/>
  <c r="G730" i="15"/>
  <c r="F731" i="15"/>
  <c r="G731" i="15"/>
  <c r="F732" i="15"/>
  <c r="G732" i="15"/>
  <c r="F733" i="15"/>
  <c r="G733" i="15"/>
  <c r="F734" i="15"/>
  <c r="G734" i="15"/>
  <c r="F735" i="15"/>
  <c r="G735" i="15"/>
  <c r="F736" i="15"/>
  <c r="G736" i="15"/>
  <c r="F737" i="15"/>
  <c r="G737" i="15"/>
  <c r="F738" i="15"/>
  <c r="G738" i="15"/>
  <c r="F739" i="15"/>
  <c r="G739" i="15"/>
  <c r="F740" i="15"/>
  <c r="G740" i="15"/>
  <c r="F741" i="15"/>
  <c r="G741" i="15"/>
  <c r="F742" i="15"/>
  <c r="G742" i="15"/>
  <c r="F743" i="15"/>
  <c r="G743" i="15"/>
  <c r="F744" i="15"/>
  <c r="G744" i="15"/>
  <c r="F745" i="15"/>
  <c r="G745" i="15"/>
  <c r="F746" i="15"/>
  <c r="G746" i="15"/>
  <c r="F747" i="15"/>
  <c r="G747" i="15"/>
  <c r="F748" i="15"/>
  <c r="G748" i="15"/>
  <c r="F749" i="15"/>
  <c r="G749" i="15"/>
  <c r="F750" i="15"/>
  <c r="G750" i="15"/>
  <c r="F751" i="15"/>
  <c r="G751" i="15"/>
  <c r="F752" i="15"/>
  <c r="G752" i="15"/>
  <c r="F753" i="15"/>
  <c r="G753" i="15"/>
  <c r="F754" i="15"/>
  <c r="G754" i="15"/>
  <c r="F755" i="15"/>
  <c r="G755" i="15"/>
  <c r="F756" i="15"/>
  <c r="G756" i="15"/>
  <c r="F757" i="15"/>
  <c r="G757" i="15"/>
  <c r="F758" i="15"/>
  <c r="G758" i="15"/>
  <c r="F759" i="15"/>
  <c r="G759" i="15"/>
  <c r="F760" i="15"/>
  <c r="G760" i="15"/>
  <c r="F761" i="15"/>
  <c r="G761" i="15"/>
  <c r="F762" i="15"/>
  <c r="G762" i="15"/>
  <c r="F763" i="15"/>
  <c r="G763" i="15"/>
  <c r="F764" i="15"/>
  <c r="G764" i="15"/>
  <c r="F765" i="15"/>
  <c r="G765" i="15"/>
  <c r="F766" i="15"/>
  <c r="G766" i="15"/>
  <c r="F767" i="15"/>
  <c r="G767" i="15"/>
  <c r="F768" i="15"/>
  <c r="G768" i="15"/>
  <c r="F769" i="15"/>
  <c r="G769" i="15"/>
  <c r="F770" i="15"/>
  <c r="G770" i="15"/>
  <c r="F771" i="15"/>
  <c r="G771" i="15"/>
  <c r="F772" i="15"/>
  <c r="G772" i="15"/>
  <c r="F773" i="15"/>
  <c r="G773" i="15"/>
  <c r="F774" i="15"/>
  <c r="G774" i="15"/>
  <c r="F775" i="15"/>
  <c r="G775" i="15"/>
  <c r="F776" i="15"/>
  <c r="G776" i="15"/>
  <c r="F777" i="15"/>
  <c r="G777" i="15"/>
  <c r="F778" i="15"/>
  <c r="G778" i="15"/>
  <c r="F779" i="15"/>
  <c r="G779" i="15"/>
  <c r="F780" i="15"/>
  <c r="G780" i="15"/>
  <c r="F781" i="15"/>
  <c r="G781" i="15"/>
  <c r="F782" i="15"/>
  <c r="G782" i="15"/>
  <c r="F783" i="15"/>
  <c r="G783" i="15"/>
  <c r="F784" i="15"/>
  <c r="G784" i="15"/>
  <c r="F785" i="15"/>
  <c r="G785" i="15"/>
  <c r="F786" i="15"/>
  <c r="G786" i="15"/>
  <c r="F787" i="15"/>
  <c r="G787" i="15"/>
  <c r="F788" i="15"/>
  <c r="G788" i="15"/>
  <c r="F789" i="15"/>
  <c r="G789" i="15"/>
  <c r="F790" i="15"/>
  <c r="G790" i="15"/>
  <c r="F791" i="15"/>
  <c r="G791" i="15"/>
  <c r="F792" i="15"/>
  <c r="G792" i="15"/>
  <c r="F793" i="15"/>
  <c r="G793" i="15"/>
  <c r="F794" i="15"/>
  <c r="G794" i="15"/>
  <c r="F795" i="15"/>
  <c r="G795" i="15"/>
  <c r="F796" i="15"/>
  <c r="G796" i="15"/>
  <c r="F797" i="15"/>
  <c r="G797" i="15"/>
  <c r="F798" i="15"/>
  <c r="G798" i="15"/>
  <c r="F799" i="15"/>
  <c r="G799" i="15"/>
  <c r="F800" i="15"/>
  <c r="G800" i="15"/>
  <c r="F801" i="15"/>
  <c r="G801" i="15"/>
  <c r="F802" i="15"/>
  <c r="G802" i="15"/>
  <c r="F803" i="15"/>
  <c r="G803" i="15"/>
  <c r="F804" i="15"/>
  <c r="G804" i="15"/>
  <c r="F805" i="15"/>
  <c r="G805" i="15"/>
  <c r="F806" i="15"/>
  <c r="G806" i="15"/>
  <c r="F807" i="15"/>
  <c r="G807" i="15"/>
  <c r="F808" i="15"/>
  <c r="G808" i="15"/>
  <c r="F809" i="15"/>
  <c r="G809" i="15"/>
  <c r="F810" i="15"/>
  <c r="G810" i="15"/>
  <c r="F811" i="15"/>
  <c r="G811" i="15"/>
  <c r="F812" i="15"/>
  <c r="G812" i="15"/>
  <c r="F813" i="15"/>
  <c r="G813" i="15"/>
  <c r="F814" i="15"/>
  <c r="G814" i="15"/>
  <c r="F815" i="15"/>
  <c r="G815" i="15"/>
  <c r="F816" i="15"/>
  <c r="G816" i="15"/>
  <c r="F817" i="15"/>
  <c r="G817" i="15"/>
  <c r="F818" i="15"/>
  <c r="G818" i="15"/>
  <c r="F819" i="15"/>
  <c r="G819" i="15"/>
  <c r="F820" i="15"/>
  <c r="G820" i="15"/>
  <c r="F821" i="15"/>
  <c r="G821" i="15"/>
  <c r="F822" i="15"/>
  <c r="G822" i="15"/>
  <c r="F823" i="15"/>
  <c r="G823" i="15"/>
  <c r="F824" i="15"/>
  <c r="G824" i="15"/>
  <c r="F825" i="15"/>
  <c r="G825" i="15"/>
  <c r="F826" i="15"/>
  <c r="G826" i="15"/>
  <c r="F827" i="15"/>
  <c r="G827" i="15"/>
  <c r="F828" i="15"/>
  <c r="G828" i="15"/>
  <c r="F829" i="15"/>
  <c r="G829" i="15"/>
  <c r="F830" i="15"/>
  <c r="G830" i="15"/>
  <c r="F831" i="15"/>
  <c r="G831" i="15"/>
  <c r="F832" i="15"/>
  <c r="G832" i="15"/>
  <c r="F833" i="15"/>
  <c r="G833" i="15"/>
  <c r="F834" i="15"/>
  <c r="G834" i="15"/>
  <c r="F835" i="15"/>
  <c r="G835" i="15"/>
  <c r="F836" i="15"/>
  <c r="G836" i="15"/>
  <c r="F837" i="15"/>
  <c r="G837" i="15"/>
  <c r="F838" i="15"/>
  <c r="G838" i="15"/>
  <c r="F839" i="15"/>
  <c r="G839" i="15"/>
  <c r="F840" i="15"/>
  <c r="G840" i="15"/>
  <c r="F841" i="15"/>
  <c r="G841" i="15"/>
  <c r="F842" i="15"/>
  <c r="G842" i="15"/>
  <c r="F843" i="15"/>
  <c r="G843" i="15"/>
  <c r="F844" i="15"/>
  <c r="G844" i="15"/>
  <c r="F845" i="15"/>
  <c r="G845" i="15"/>
  <c r="F846" i="15"/>
  <c r="G846" i="15"/>
  <c r="F847" i="15"/>
  <c r="G847" i="15"/>
  <c r="F848" i="15"/>
  <c r="G848" i="15"/>
  <c r="F849" i="15"/>
  <c r="G849" i="15"/>
  <c r="F850" i="15"/>
  <c r="G850" i="15"/>
  <c r="F851" i="15"/>
  <c r="G851" i="15"/>
  <c r="F852" i="15"/>
  <c r="G852" i="15"/>
  <c r="F853" i="15"/>
  <c r="G853" i="15"/>
  <c r="F854" i="15"/>
  <c r="G854" i="15"/>
  <c r="F855" i="15"/>
  <c r="G855" i="15"/>
  <c r="F856" i="15"/>
  <c r="G856" i="15"/>
  <c r="F857" i="15"/>
  <c r="G857" i="15"/>
  <c r="F858" i="15"/>
  <c r="G858" i="15"/>
  <c r="F859" i="15"/>
  <c r="G859" i="15"/>
  <c r="F860" i="15"/>
  <c r="G860" i="15"/>
  <c r="F861" i="15"/>
  <c r="G861" i="15"/>
  <c r="F862" i="15"/>
  <c r="G862" i="15"/>
  <c r="F863" i="15"/>
  <c r="G863" i="15"/>
  <c r="F864" i="15"/>
  <c r="G864" i="15"/>
  <c r="F865" i="15"/>
  <c r="G865" i="15"/>
  <c r="F866" i="15"/>
  <c r="G866" i="15"/>
  <c r="F867" i="15"/>
  <c r="G867" i="15"/>
  <c r="F868" i="15"/>
  <c r="G868" i="15"/>
  <c r="F869" i="15"/>
  <c r="G869" i="15"/>
  <c r="F870" i="15"/>
  <c r="G870" i="15"/>
  <c r="F871" i="15"/>
  <c r="G871" i="15"/>
  <c r="F872" i="15"/>
  <c r="G872" i="15"/>
  <c r="F873" i="15"/>
  <c r="G873" i="15"/>
  <c r="F874" i="15"/>
  <c r="G874" i="15"/>
  <c r="F875" i="15"/>
  <c r="G875" i="15"/>
  <c r="F876" i="15"/>
  <c r="G876" i="15"/>
  <c r="F877" i="15"/>
  <c r="G877" i="15"/>
  <c r="F878" i="15"/>
  <c r="G878" i="15"/>
  <c r="F879" i="15"/>
  <c r="G879" i="15"/>
  <c r="F880" i="15"/>
  <c r="G880" i="15"/>
  <c r="F881" i="15"/>
  <c r="G881" i="15"/>
  <c r="F882" i="15"/>
  <c r="G882" i="15"/>
  <c r="F883" i="15"/>
  <c r="G883" i="15"/>
  <c r="F884" i="15"/>
  <c r="G884" i="15"/>
  <c r="F885" i="15"/>
  <c r="G885" i="15"/>
  <c r="F886" i="15"/>
  <c r="G886" i="15"/>
  <c r="F887" i="15"/>
  <c r="G887" i="15"/>
  <c r="F888" i="15"/>
  <c r="G888" i="15"/>
  <c r="F889" i="15"/>
  <c r="G889" i="15"/>
  <c r="F890" i="15"/>
  <c r="G890" i="15"/>
  <c r="F891" i="15"/>
  <c r="G891" i="15"/>
  <c r="F892" i="15"/>
  <c r="G892" i="15"/>
  <c r="F893" i="15"/>
  <c r="G893" i="15"/>
  <c r="F894" i="15"/>
  <c r="G894" i="15"/>
  <c r="F895" i="15"/>
  <c r="G895" i="15"/>
  <c r="F896" i="15"/>
  <c r="G896" i="15"/>
  <c r="F897" i="15"/>
  <c r="G897" i="15"/>
  <c r="F898" i="15"/>
  <c r="G898" i="15"/>
  <c r="F899" i="15"/>
  <c r="G899" i="15"/>
  <c r="F900" i="15"/>
  <c r="G900" i="15"/>
  <c r="F901" i="15"/>
  <c r="G901" i="15"/>
  <c r="F902" i="15"/>
  <c r="G902" i="15"/>
  <c r="F903" i="15"/>
  <c r="G903" i="15"/>
  <c r="F904" i="15"/>
  <c r="G904" i="15"/>
  <c r="F905" i="15"/>
  <c r="G905" i="15"/>
  <c r="F906" i="15"/>
  <c r="G906" i="15"/>
  <c r="F907" i="15"/>
  <c r="G907" i="15"/>
  <c r="F908" i="15"/>
  <c r="G908" i="15"/>
  <c r="F909" i="15"/>
  <c r="G909" i="15"/>
  <c r="F910" i="15"/>
  <c r="G910" i="15"/>
  <c r="F911" i="15"/>
  <c r="G911" i="15"/>
  <c r="F912" i="15"/>
  <c r="G912" i="15"/>
  <c r="F913" i="15"/>
  <c r="G913" i="15"/>
  <c r="F914" i="15"/>
  <c r="G914" i="15"/>
  <c r="F915" i="15"/>
  <c r="G915" i="15"/>
  <c r="F916" i="15"/>
  <c r="G916" i="15"/>
  <c r="F917" i="15"/>
  <c r="G917" i="15"/>
  <c r="F918" i="15"/>
  <c r="G918" i="15"/>
  <c r="F919" i="15"/>
  <c r="G919" i="15"/>
  <c r="F920" i="15"/>
  <c r="G920" i="15"/>
  <c r="F921" i="15"/>
  <c r="G921" i="15"/>
  <c r="F922" i="15"/>
  <c r="G922" i="15"/>
  <c r="F923" i="15"/>
  <c r="G923" i="15"/>
  <c r="F924" i="15"/>
  <c r="G924" i="15"/>
  <c r="F925" i="15"/>
  <c r="G925" i="15"/>
  <c r="F926" i="15"/>
  <c r="G926" i="15"/>
  <c r="F927" i="15"/>
  <c r="G927" i="15"/>
  <c r="F928" i="15"/>
  <c r="G928" i="15"/>
  <c r="F929" i="15"/>
  <c r="G929" i="15"/>
  <c r="F930" i="15"/>
  <c r="G930" i="15"/>
  <c r="F931" i="15"/>
  <c r="G931" i="15"/>
  <c r="F932" i="15"/>
  <c r="G932" i="15"/>
  <c r="F933" i="15"/>
  <c r="G933" i="15"/>
  <c r="F934" i="15"/>
  <c r="G934" i="15"/>
  <c r="F935" i="15"/>
  <c r="G935" i="15"/>
  <c r="F936" i="15"/>
  <c r="G936" i="15"/>
  <c r="F937" i="15"/>
  <c r="G937" i="15"/>
  <c r="F938" i="15"/>
  <c r="G938" i="15"/>
  <c r="F939" i="15"/>
  <c r="G939" i="15"/>
  <c r="F940" i="15"/>
  <c r="G940" i="15"/>
  <c r="F941" i="15"/>
  <c r="G941" i="15"/>
  <c r="F942" i="15"/>
  <c r="G942" i="15"/>
  <c r="F943" i="15"/>
  <c r="G943" i="15"/>
  <c r="F944" i="15"/>
  <c r="G944" i="15"/>
  <c r="F945" i="15"/>
  <c r="G945" i="15"/>
  <c r="F946" i="15"/>
  <c r="G946" i="15"/>
  <c r="F947" i="15"/>
  <c r="G947" i="15"/>
  <c r="F948" i="15"/>
  <c r="G948" i="15"/>
  <c r="F949" i="15"/>
  <c r="G949" i="15"/>
  <c r="F950" i="15"/>
  <c r="G950" i="15"/>
  <c r="F951" i="15"/>
  <c r="G951" i="15"/>
  <c r="F952" i="15"/>
  <c r="G952" i="15"/>
  <c r="F953" i="15"/>
  <c r="G953" i="15"/>
  <c r="F954" i="15"/>
  <c r="G954" i="15"/>
  <c r="F955" i="15"/>
  <c r="G955" i="15"/>
  <c r="F956" i="15"/>
  <c r="G956" i="15"/>
  <c r="F957" i="15"/>
  <c r="G957" i="15"/>
  <c r="F958" i="15"/>
  <c r="G958" i="15"/>
  <c r="F959" i="15"/>
  <c r="G959" i="15"/>
  <c r="F960" i="15"/>
  <c r="G960" i="15"/>
  <c r="F961" i="15"/>
  <c r="G961" i="15"/>
  <c r="F962" i="15"/>
  <c r="G962" i="15"/>
  <c r="F963" i="15"/>
  <c r="G963" i="15"/>
  <c r="F964" i="15"/>
  <c r="G964" i="15"/>
  <c r="F965" i="15"/>
  <c r="G965" i="15"/>
  <c r="F966" i="15"/>
  <c r="G966" i="15"/>
  <c r="F967" i="15"/>
  <c r="G967" i="15"/>
  <c r="F968" i="15"/>
  <c r="G968" i="15"/>
  <c r="F969" i="15"/>
  <c r="G969" i="15"/>
  <c r="F970" i="15"/>
  <c r="G970" i="15"/>
  <c r="F971" i="15"/>
  <c r="G971" i="15"/>
  <c r="F972" i="15"/>
  <c r="G972" i="15"/>
  <c r="F973" i="15"/>
  <c r="G973" i="15"/>
  <c r="F974" i="15"/>
  <c r="G974" i="15"/>
  <c r="F975" i="15"/>
  <c r="G975" i="15"/>
  <c r="F976" i="15"/>
  <c r="G976" i="15"/>
  <c r="F977" i="15"/>
  <c r="G977" i="15"/>
  <c r="F978" i="15"/>
  <c r="G978" i="15"/>
  <c r="F979" i="15"/>
  <c r="G979" i="15"/>
  <c r="F980" i="15"/>
  <c r="G980" i="15"/>
  <c r="F981" i="15"/>
  <c r="G981" i="15"/>
  <c r="F982" i="15"/>
  <c r="G982" i="15"/>
  <c r="F983" i="15"/>
  <c r="G983" i="15"/>
  <c r="F984" i="15"/>
  <c r="G984" i="15"/>
  <c r="F985" i="15"/>
  <c r="G985" i="15"/>
  <c r="F986" i="15"/>
  <c r="G986" i="15"/>
  <c r="F987" i="15"/>
  <c r="G987" i="15"/>
  <c r="F988" i="15"/>
  <c r="G988" i="15"/>
  <c r="F989" i="15"/>
  <c r="G989" i="15"/>
  <c r="F990" i="15"/>
  <c r="G990" i="15"/>
  <c r="F991" i="15"/>
  <c r="G991" i="15"/>
  <c r="F992" i="15"/>
  <c r="G992" i="15"/>
  <c r="F993" i="15"/>
  <c r="G993" i="15"/>
  <c r="F994" i="15"/>
  <c r="G994" i="15"/>
  <c r="F995" i="15"/>
  <c r="G995" i="15"/>
  <c r="F996" i="15"/>
  <c r="G996" i="15"/>
  <c r="F997" i="15"/>
  <c r="G997" i="15"/>
  <c r="F998" i="15"/>
  <c r="G998" i="15"/>
  <c r="F999" i="15"/>
  <c r="G999" i="15"/>
  <c r="F1000" i="15"/>
  <c r="G1000" i="15"/>
  <c r="F1001" i="15"/>
  <c r="G1001" i="15"/>
  <c r="F1002" i="15"/>
  <c r="G1002" i="15"/>
  <c r="F1003" i="15"/>
  <c r="G1003" i="15"/>
  <c r="F1004" i="15"/>
  <c r="G1004" i="15"/>
  <c r="F1005" i="15"/>
  <c r="G1005" i="15"/>
  <c r="F1006" i="15"/>
  <c r="G1006" i="15"/>
  <c r="F1007" i="15"/>
  <c r="G1007" i="15"/>
  <c r="F1008" i="15"/>
  <c r="G1008" i="15"/>
  <c r="F1009" i="15"/>
  <c r="G1009" i="15"/>
  <c r="F1010" i="15"/>
  <c r="G1010" i="15"/>
  <c r="F1011" i="15"/>
  <c r="G1011" i="15"/>
  <c r="F1012" i="15"/>
  <c r="G1012" i="15"/>
  <c r="F1013" i="15"/>
  <c r="G1013" i="15"/>
  <c r="F1014" i="15"/>
  <c r="G1014" i="15"/>
  <c r="F1015" i="15"/>
  <c r="G1015" i="15"/>
  <c r="F1016" i="15"/>
  <c r="G1016" i="15"/>
  <c r="F1017" i="15"/>
  <c r="G1017" i="15"/>
  <c r="F1018" i="15"/>
  <c r="G1018" i="15"/>
  <c r="F1019" i="15"/>
  <c r="G1019" i="15"/>
  <c r="F1020" i="15"/>
  <c r="G1020" i="15"/>
  <c r="F1021" i="15"/>
  <c r="G1021" i="15"/>
  <c r="F1022" i="15"/>
  <c r="G1022" i="15"/>
  <c r="F1023" i="15"/>
  <c r="G1023" i="15"/>
  <c r="F1024" i="15"/>
  <c r="G1024" i="15"/>
  <c r="F1025" i="15"/>
  <c r="G1025" i="15"/>
  <c r="F1026" i="15"/>
  <c r="G1026" i="15"/>
  <c r="F1027" i="15"/>
  <c r="G1027" i="15"/>
  <c r="F1028" i="15"/>
  <c r="G1028" i="15"/>
  <c r="F1029" i="15"/>
  <c r="G1029" i="15"/>
  <c r="F1030" i="15"/>
  <c r="G1030" i="15"/>
  <c r="F1031" i="15"/>
  <c r="G1031" i="15"/>
  <c r="F1032" i="15"/>
  <c r="G1032" i="15"/>
  <c r="F1033" i="15"/>
  <c r="G1033" i="15"/>
  <c r="F1034" i="15"/>
  <c r="G1034" i="15"/>
  <c r="F1035" i="15"/>
  <c r="G1035" i="15"/>
  <c r="F1036" i="15"/>
  <c r="G1036" i="15"/>
  <c r="F1037" i="15"/>
  <c r="G1037" i="15"/>
  <c r="F1038" i="15"/>
  <c r="G1038" i="15"/>
  <c r="F1039" i="15"/>
  <c r="G1039" i="15"/>
  <c r="F1040" i="15"/>
  <c r="G1040" i="15"/>
  <c r="F1041" i="15"/>
  <c r="G1041" i="15"/>
  <c r="F1042" i="15"/>
  <c r="G1042" i="15"/>
  <c r="F1043" i="15"/>
  <c r="G1043" i="15"/>
  <c r="F1044" i="15"/>
  <c r="G1044" i="15"/>
  <c r="F1045" i="15"/>
  <c r="G1045" i="15"/>
  <c r="F1046" i="15"/>
  <c r="G1046" i="15"/>
  <c r="F1047" i="15"/>
  <c r="G1047" i="15"/>
  <c r="F1048" i="15"/>
  <c r="G1048" i="15"/>
  <c r="F1049" i="15"/>
  <c r="G1049" i="15"/>
  <c r="F1050" i="15"/>
  <c r="G1050" i="15"/>
  <c r="F1051" i="15"/>
  <c r="G1051" i="15"/>
  <c r="F1052" i="15"/>
  <c r="G1052" i="15"/>
  <c r="F1053" i="15"/>
  <c r="G1053" i="15"/>
  <c r="F1054" i="15"/>
  <c r="G1054" i="15"/>
  <c r="F1055" i="15"/>
  <c r="G1055" i="15"/>
  <c r="F1056" i="15"/>
  <c r="G1056" i="15"/>
  <c r="F1057" i="15"/>
  <c r="G1057" i="15"/>
  <c r="F1058" i="15"/>
  <c r="G1058" i="15"/>
  <c r="F1059" i="15"/>
  <c r="G1059" i="15"/>
  <c r="F1060" i="15"/>
  <c r="G1060" i="15"/>
  <c r="F1061" i="15"/>
  <c r="G1061" i="15"/>
  <c r="F1062" i="15"/>
  <c r="G1062" i="15"/>
  <c r="F1063" i="15"/>
  <c r="G1063" i="15"/>
  <c r="F1064" i="15"/>
  <c r="G1064" i="15"/>
  <c r="F1065" i="15"/>
  <c r="G1065" i="15"/>
  <c r="F1066" i="15"/>
  <c r="G1066" i="15"/>
  <c r="F1067" i="15"/>
  <c r="G1067" i="15"/>
  <c r="F1068" i="15"/>
  <c r="G1068" i="15"/>
  <c r="F1069" i="15"/>
  <c r="G1069" i="15"/>
  <c r="F1070" i="15"/>
  <c r="G1070" i="15"/>
  <c r="F1071" i="15"/>
  <c r="G1071" i="15"/>
  <c r="F1072" i="15"/>
  <c r="G1072" i="15"/>
  <c r="F1073" i="15"/>
  <c r="G1073" i="15"/>
  <c r="F1074" i="15"/>
  <c r="G1074" i="15"/>
  <c r="F1075" i="15"/>
  <c r="G1075" i="15"/>
  <c r="F1076" i="15"/>
  <c r="G1076" i="15"/>
  <c r="F1077" i="15"/>
  <c r="G1077" i="15"/>
  <c r="F1078" i="15"/>
  <c r="G1078" i="15"/>
  <c r="F1079" i="15"/>
  <c r="G1079" i="15"/>
  <c r="F1080" i="15"/>
  <c r="G1080" i="15"/>
  <c r="F1081" i="15"/>
  <c r="G1081" i="15"/>
  <c r="F1082" i="15"/>
  <c r="G1082" i="15"/>
  <c r="F1083" i="15"/>
  <c r="G1083" i="15"/>
  <c r="F1084" i="15"/>
  <c r="G1084" i="15"/>
  <c r="F1085" i="15"/>
  <c r="G1085" i="15"/>
  <c r="F1086" i="15"/>
  <c r="G1086" i="15"/>
  <c r="F1087" i="15"/>
  <c r="G1087" i="15"/>
  <c r="F1088" i="15"/>
  <c r="G1088" i="15"/>
  <c r="F1089" i="15"/>
  <c r="G1089" i="15"/>
  <c r="F1090" i="15"/>
  <c r="G1090" i="15"/>
  <c r="F1091" i="15"/>
  <c r="G1091" i="15"/>
  <c r="F1092" i="15"/>
  <c r="G1092" i="15"/>
  <c r="F1093" i="15"/>
  <c r="G1093" i="15"/>
  <c r="F1094" i="15"/>
  <c r="G1094" i="15"/>
  <c r="F1095" i="15"/>
  <c r="G1095" i="15"/>
  <c r="F1096" i="15"/>
  <c r="G1096" i="15"/>
  <c r="F1097" i="15"/>
  <c r="G1097" i="15"/>
  <c r="F1098" i="15"/>
  <c r="G1098" i="15"/>
  <c r="F1099" i="15"/>
  <c r="G1099" i="15"/>
  <c r="F1100" i="15"/>
  <c r="G1100" i="15"/>
  <c r="F1101" i="15"/>
  <c r="G1101" i="15"/>
  <c r="F1102" i="15"/>
  <c r="G1102" i="15"/>
  <c r="F1103" i="15"/>
  <c r="G1103" i="15"/>
  <c r="F1104" i="15"/>
  <c r="G1104" i="15"/>
  <c r="F1105" i="15"/>
  <c r="G1105" i="15"/>
  <c r="F1106" i="15"/>
  <c r="G1106" i="15"/>
  <c r="F1107" i="15"/>
  <c r="G1107" i="15"/>
  <c r="F1108" i="15"/>
  <c r="G1108" i="15"/>
  <c r="F1109" i="15"/>
  <c r="G1109" i="15"/>
  <c r="F1110" i="15"/>
  <c r="G1110" i="15"/>
  <c r="F1111" i="15"/>
  <c r="G1111" i="15"/>
  <c r="F1112" i="15"/>
  <c r="G1112" i="15"/>
  <c r="F1113" i="15"/>
  <c r="G1113" i="15"/>
  <c r="F1114" i="15"/>
  <c r="G1114" i="15"/>
  <c r="F1115" i="15"/>
  <c r="G1115" i="15"/>
  <c r="F1116" i="15"/>
  <c r="G1116" i="15"/>
  <c r="F1117" i="15"/>
  <c r="G1117" i="15"/>
  <c r="F1118" i="15"/>
  <c r="G1118" i="15"/>
  <c r="F1119" i="15"/>
  <c r="G1119" i="15"/>
  <c r="F1120" i="15"/>
  <c r="G1120" i="15"/>
  <c r="F1121" i="15"/>
  <c r="G1121" i="15"/>
  <c r="F1122" i="15"/>
  <c r="G1122" i="15"/>
  <c r="F1123" i="15"/>
  <c r="G1123" i="15"/>
  <c r="F1124" i="15"/>
  <c r="G1124" i="15"/>
  <c r="F1125" i="15"/>
  <c r="G1125" i="15"/>
  <c r="F1126" i="15"/>
  <c r="G1126" i="15"/>
  <c r="F1127" i="15"/>
  <c r="G1127" i="15"/>
  <c r="F1128" i="15"/>
  <c r="G1128" i="15"/>
  <c r="F1129" i="15"/>
  <c r="G1129" i="15"/>
  <c r="F1130" i="15"/>
  <c r="G1130" i="15"/>
  <c r="F1131" i="15"/>
  <c r="G1131" i="15"/>
  <c r="F1132" i="15"/>
  <c r="G1132" i="15"/>
  <c r="F1133" i="15"/>
  <c r="G1133" i="15"/>
  <c r="F1134" i="15"/>
  <c r="G1134" i="15"/>
  <c r="F1135" i="15"/>
  <c r="G1135" i="15"/>
  <c r="F1136" i="15"/>
  <c r="G1136" i="15"/>
  <c r="F1137" i="15"/>
  <c r="G1137" i="15"/>
  <c r="F1138" i="15"/>
  <c r="G1138" i="15"/>
  <c r="F1139" i="15"/>
  <c r="G1139" i="15"/>
  <c r="F1140" i="15"/>
  <c r="G1140" i="15"/>
  <c r="F1141" i="15"/>
  <c r="G1141" i="15"/>
  <c r="F1142" i="15"/>
  <c r="G1142" i="15"/>
  <c r="F1143" i="15"/>
  <c r="G1143" i="15"/>
  <c r="F1144" i="15"/>
  <c r="G1144" i="15"/>
  <c r="F1145" i="15"/>
  <c r="G1145" i="15"/>
  <c r="F1146" i="15"/>
  <c r="G1146" i="15"/>
  <c r="F1147" i="15"/>
  <c r="G1147" i="15"/>
  <c r="F1148" i="15"/>
  <c r="G1148" i="15"/>
  <c r="F1149" i="15"/>
  <c r="G1149" i="15"/>
  <c r="F1150" i="15"/>
  <c r="G1150" i="15"/>
  <c r="F1151" i="15"/>
  <c r="G1151" i="15"/>
  <c r="F1152" i="15"/>
  <c r="G1152" i="15"/>
  <c r="F1153" i="15"/>
  <c r="G1153" i="15"/>
  <c r="F1154" i="15"/>
  <c r="G1154" i="15"/>
  <c r="F1155" i="15"/>
  <c r="G1155" i="15"/>
  <c r="F1156" i="15"/>
  <c r="G1156" i="15"/>
  <c r="F1157" i="15"/>
  <c r="G1157" i="15"/>
  <c r="F1158" i="15"/>
  <c r="G1158" i="15"/>
  <c r="F1159" i="15"/>
  <c r="G1159" i="15"/>
  <c r="F1160" i="15"/>
  <c r="G1160" i="15"/>
  <c r="F1161" i="15"/>
  <c r="G1161" i="15"/>
  <c r="F1162" i="15"/>
  <c r="G1162" i="15"/>
  <c r="F1163" i="15"/>
  <c r="G1163" i="15"/>
  <c r="F1164" i="15"/>
  <c r="G1164" i="15"/>
  <c r="F1165" i="15"/>
  <c r="G1165" i="15"/>
  <c r="F1166" i="15"/>
  <c r="G1166" i="15"/>
  <c r="F1167" i="15"/>
  <c r="G1167" i="15"/>
  <c r="F1168" i="15"/>
  <c r="G1168" i="15"/>
  <c r="F1169" i="15"/>
  <c r="G1169" i="15"/>
  <c r="F1170" i="15"/>
  <c r="G1170" i="15"/>
  <c r="F1171" i="15"/>
  <c r="G1171" i="15"/>
  <c r="F1172" i="15"/>
  <c r="G1172" i="15"/>
  <c r="F1173" i="15"/>
  <c r="G1173" i="15"/>
  <c r="F1174" i="15"/>
  <c r="G1174" i="15"/>
  <c r="F1175" i="15"/>
  <c r="G1175" i="15"/>
  <c r="F1176" i="15"/>
  <c r="G1176" i="15"/>
  <c r="F1177" i="15"/>
  <c r="G1177" i="15"/>
  <c r="F1178" i="15"/>
  <c r="G1178" i="15"/>
  <c r="F1179" i="15"/>
  <c r="G1179" i="15"/>
  <c r="F1180" i="15"/>
  <c r="G1180" i="15"/>
  <c r="F1181" i="15"/>
  <c r="G1181" i="15"/>
  <c r="F1182" i="15"/>
  <c r="G1182" i="15"/>
  <c r="F1183" i="15"/>
  <c r="G1183" i="15"/>
  <c r="F1184" i="15"/>
  <c r="G1184" i="15"/>
  <c r="F1185" i="15"/>
  <c r="G1185" i="15"/>
  <c r="F1186" i="15"/>
  <c r="G1186" i="15"/>
  <c r="F1187" i="15"/>
  <c r="G1187" i="15"/>
  <c r="F1188" i="15"/>
  <c r="G1188" i="15"/>
  <c r="F1189" i="15"/>
  <c r="G1189" i="15"/>
  <c r="F1190" i="15"/>
  <c r="G1190" i="15"/>
  <c r="F1191" i="15"/>
  <c r="G1191" i="15"/>
  <c r="F1192" i="15"/>
  <c r="G1192" i="15"/>
  <c r="F1193" i="15"/>
  <c r="G1193" i="15"/>
  <c r="F1194" i="15"/>
  <c r="G1194" i="15"/>
  <c r="F1195" i="15"/>
  <c r="G1195" i="15"/>
  <c r="F1196" i="15"/>
  <c r="G1196" i="15"/>
  <c r="F1197" i="15"/>
  <c r="G1197" i="15"/>
  <c r="F1198" i="15"/>
  <c r="G1198" i="15"/>
  <c r="F1199" i="15"/>
  <c r="G1199" i="15"/>
  <c r="F1200" i="15"/>
  <c r="G1200" i="15"/>
  <c r="F1201" i="15"/>
  <c r="G1201" i="15"/>
  <c r="F1202" i="15"/>
  <c r="G1202" i="15"/>
  <c r="F1203" i="15"/>
  <c r="G1203" i="15"/>
  <c r="F1204" i="15"/>
  <c r="G1204" i="15"/>
  <c r="F1205" i="15"/>
  <c r="G1205" i="15"/>
  <c r="F1206" i="15"/>
  <c r="G1206" i="15"/>
  <c r="F1207" i="15"/>
  <c r="G1207" i="15"/>
  <c r="F1208" i="15"/>
  <c r="G1208" i="15"/>
  <c r="F1209" i="15"/>
  <c r="G1209" i="15"/>
  <c r="F1210" i="15"/>
  <c r="G1210" i="15"/>
  <c r="F1211" i="15"/>
  <c r="G1211" i="15"/>
  <c r="F1212" i="15"/>
  <c r="G1212" i="15"/>
  <c r="F1213" i="15"/>
  <c r="G1213" i="15"/>
  <c r="F1214" i="15"/>
  <c r="G1214" i="15"/>
  <c r="F1215" i="15"/>
  <c r="G1215" i="15"/>
  <c r="F1216" i="15"/>
  <c r="G1216" i="15"/>
  <c r="F1217" i="15"/>
  <c r="G1217" i="15"/>
  <c r="F1218" i="15"/>
  <c r="G1218" i="15"/>
  <c r="F1219" i="15"/>
  <c r="G1219" i="15"/>
  <c r="F1220" i="15"/>
  <c r="G1220" i="15"/>
  <c r="F1221" i="15"/>
  <c r="G1221" i="15"/>
  <c r="F1222" i="15"/>
  <c r="G1222" i="15"/>
  <c r="F1223" i="15"/>
  <c r="G1223" i="15"/>
  <c r="F1224" i="15"/>
  <c r="G1224" i="15"/>
  <c r="F1225" i="15"/>
  <c r="G1225" i="15"/>
  <c r="F1226" i="15"/>
  <c r="G1226" i="15"/>
  <c r="F1227" i="15"/>
  <c r="G1227" i="15"/>
  <c r="F1228" i="15"/>
  <c r="G1228" i="15"/>
  <c r="F1229" i="15"/>
  <c r="G1229" i="15"/>
  <c r="F1230" i="15"/>
  <c r="G1230" i="15"/>
  <c r="F1231" i="15"/>
  <c r="G1231" i="15"/>
  <c r="F1232" i="15"/>
  <c r="G1232" i="15"/>
  <c r="F1233" i="15"/>
  <c r="G1233" i="15"/>
  <c r="F1234" i="15"/>
  <c r="G1234" i="15"/>
  <c r="F1235" i="15"/>
  <c r="G1235" i="15"/>
  <c r="F1236" i="15"/>
  <c r="G1236" i="15"/>
  <c r="F1237" i="15"/>
  <c r="G1237" i="15"/>
  <c r="F1238" i="15"/>
  <c r="G1238" i="15"/>
  <c r="F1239" i="15"/>
  <c r="G1239" i="15"/>
  <c r="F1240" i="15"/>
  <c r="G1240" i="15"/>
  <c r="F1241" i="15"/>
  <c r="G1241" i="15"/>
  <c r="F1242" i="15"/>
  <c r="G1242" i="15"/>
  <c r="F1243" i="15"/>
  <c r="G1243" i="15"/>
  <c r="F1244" i="15"/>
  <c r="G1244" i="15"/>
  <c r="F1245" i="15"/>
  <c r="G1245" i="15"/>
  <c r="F1246" i="15"/>
  <c r="G1246" i="15"/>
  <c r="F1247" i="15"/>
  <c r="G1247" i="15"/>
  <c r="F1248" i="15"/>
  <c r="G1248" i="15"/>
  <c r="F1249" i="15"/>
  <c r="G1249" i="15"/>
  <c r="F1250" i="15"/>
  <c r="G1250" i="15"/>
  <c r="F1251" i="15"/>
  <c r="G1251" i="15"/>
  <c r="F1252" i="15"/>
  <c r="G1252" i="15"/>
  <c r="F1253" i="15"/>
  <c r="G1253" i="15"/>
  <c r="F1254" i="15"/>
  <c r="G1254" i="15"/>
  <c r="F1255" i="15"/>
  <c r="G1255" i="15"/>
  <c r="F1256" i="15"/>
  <c r="G1256" i="15"/>
  <c r="F1257" i="15"/>
  <c r="G1257" i="15"/>
  <c r="F1258" i="15"/>
  <c r="G1258" i="15"/>
  <c r="F1259" i="15"/>
  <c r="G1259" i="15"/>
  <c r="F1260" i="15"/>
  <c r="G1260" i="15"/>
  <c r="F1261" i="15"/>
  <c r="G1261" i="15"/>
  <c r="F1262" i="15"/>
  <c r="G1262" i="15"/>
  <c r="F1263" i="15"/>
  <c r="G1263" i="15"/>
  <c r="F1264" i="15"/>
  <c r="G1264" i="15"/>
  <c r="F1265" i="15"/>
  <c r="G1265" i="15"/>
  <c r="F1266" i="15"/>
  <c r="G1266" i="15"/>
  <c r="F1267" i="15"/>
  <c r="G1267" i="15"/>
  <c r="F1268" i="15"/>
  <c r="G1268" i="15"/>
  <c r="F1269" i="15"/>
  <c r="G1269" i="15"/>
  <c r="F1270" i="15"/>
  <c r="G1270" i="15"/>
  <c r="F1271" i="15"/>
  <c r="G1271" i="15"/>
  <c r="F1272" i="15"/>
  <c r="G1272" i="15"/>
  <c r="F1273" i="15"/>
  <c r="G1273" i="15"/>
  <c r="F1274" i="15"/>
  <c r="G1274" i="15"/>
  <c r="F1275" i="15"/>
  <c r="G1275" i="15"/>
  <c r="F1276" i="15"/>
  <c r="G1276" i="15"/>
  <c r="F1277" i="15"/>
  <c r="G1277" i="15"/>
  <c r="F1278" i="15"/>
  <c r="G1278" i="15"/>
  <c r="F1279" i="15"/>
  <c r="G1279" i="15"/>
  <c r="F1280" i="15"/>
  <c r="G1280" i="15"/>
  <c r="F1281" i="15"/>
  <c r="G1281" i="15"/>
  <c r="F1282" i="15"/>
  <c r="G1282" i="15"/>
  <c r="F1283" i="15"/>
  <c r="G1283" i="15"/>
  <c r="F1284" i="15"/>
  <c r="G1284" i="15"/>
  <c r="F1285" i="15"/>
  <c r="G1285" i="15"/>
  <c r="F1286" i="15"/>
  <c r="G1286" i="15"/>
  <c r="F1287" i="15"/>
  <c r="G1287" i="15"/>
  <c r="F1288" i="15"/>
  <c r="G1288" i="15"/>
  <c r="F1289" i="15"/>
  <c r="G1289" i="15"/>
  <c r="F1290" i="15"/>
  <c r="G1290" i="15"/>
  <c r="F1291" i="15"/>
  <c r="G1291" i="15"/>
  <c r="F1292" i="15"/>
  <c r="G1292" i="15"/>
  <c r="F1293" i="15"/>
  <c r="G1293" i="15"/>
  <c r="F1294" i="15"/>
  <c r="G1294" i="15"/>
  <c r="F1295" i="15"/>
  <c r="G1295" i="15"/>
  <c r="F1296" i="15"/>
  <c r="G1296" i="15"/>
  <c r="F1297" i="15"/>
  <c r="G1297" i="15"/>
  <c r="F1298" i="15"/>
  <c r="G1298" i="15"/>
  <c r="F1299" i="15"/>
  <c r="G1299" i="15"/>
  <c r="F1300" i="15"/>
  <c r="G1300" i="15"/>
  <c r="F1301" i="15"/>
  <c r="G1301" i="15"/>
  <c r="F1302" i="15"/>
  <c r="G1302" i="15"/>
  <c r="F1303" i="15"/>
  <c r="G1303" i="15"/>
  <c r="F1304" i="15"/>
  <c r="G1304" i="15"/>
  <c r="F1305" i="15"/>
  <c r="G1305" i="15"/>
  <c r="F1306" i="15"/>
  <c r="G1306" i="15"/>
  <c r="F1307" i="15"/>
  <c r="G1307" i="15"/>
  <c r="F1308" i="15"/>
  <c r="G1308" i="15"/>
  <c r="F1309" i="15"/>
  <c r="G1309" i="15"/>
  <c r="F1310" i="15"/>
  <c r="G1310" i="15"/>
  <c r="F1311" i="15"/>
  <c r="G1311" i="15"/>
  <c r="F1312" i="15"/>
  <c r="G1312" i="15"/>
  <c r="F1313" i="15"/>
  <c r="G1313" i="15"/>
  <c r="F1314" i="15"/>
  <c r="G1314" i="15"/>
  <c r="F1315" i="15"/>
  <c r="G1315" i="15"/>
  <c r="F1316" i="15"/>
  <c r="G1316" i="15"/>
  <c r="F1317" i="15"/>
  <c r="G1317" i="15"/>
  <c r="F1318" i="15"/>
  <c r="G1318" i="15"/>
  <c r="F1319" i="15"/>
  <c r="G1319" i="15"/>
  <c r="F1320" i="15"/>
  <c r="G1320" i="15"/>
  <c r="F1321" i="15"/>
  <c r="G1321" i="15"/>
  <c r="F1322" i="15"/>
  <c r="G1322" i="15"/>
  <c r="F1323" i="15"/>
  <c r="G1323" i="15"/>
  <c r="F1324" i="15"/>
  <c r="G1324" i="15"/>
  <c r="F1325" i="15"/>
  <c r="G1325" i="15"/>
  <c r="F1326" i="15"/>
  <c r="G1326" i="15"/>
  <c r="F1327" i="15"/>
  <c r="G1327" i="15"/>
  <c r="F1328" i="15"/>
  <c r="G1328" i="15"/>
  <c r="F1329" i="15"/>
  <c r="G1329" i="15"/>
  <c r="F1330" i="15"/>
  <c r="G1330" i="15"/>
  <c r="F1331" i="15"/>
  <c r="G1331" i="15"/>
  <c r="F1332" i="15"/>
  <c r="G1332" i="15"/>
  <c r="F1333" i="15"/>
  <c r="G1333" i="15"/>
  <c r="F1334" i="15"/>
  <c r="G1334" i="15"/>
  <c r="F1335" i="15"/>
  <c r="G1335" i="15"/>
  <c r="F1336" i="15"/>
  <c r="G1336" i="15"/>
  <c r="F1337" i="15"/>
  <c r="G1337" i="15"/>
  <c r="F1338" i="15"/>
  <c r="G1338" i="15"/>
  <c r="F1339" i="15"/>
  <c r="G1339" i="15"/>
  <c r="F1340" i="15"/>
  <c r="G1340" i="15"/>
  <c r="F1341" i="15"/>
  <c r="G1341" i="15"/>
  <c r="F1342" i="15"/>
  <c r="G1342" i="15"/>
  <c r="F1343" i="15"/>
  <c r="G1343" i="15"/>
  <c r="F1344" i="15"/>
  <c r="G1344" i="15"/>
  <c r="F1345" i="15"/>
  <c r="G1345" i="15"/>
  <c r="F1346" i="15"/>
  <c r="G1346" i="15"/>
  <c r="F1347" i="15"/>
  <c r="G1347" i="15"/>
  <c r="F1348" i="15"/>
  <c r="G1348" i="15"/>
  <c r="F1349" i="15"/>
  <c r="G1349" i="15"/>
  <c r="F1350" i="15"/>
  <c r="G1350" i="15"/>
  <c r="F1351" i="15"/>
  <c r="G1351" i="15"/>
  <c r="F1352" i="15"/>
  <c r="G1352" i="15"/>
  <c r="F1353" i="15"/>
  <c r="G1353" i="15"/>
  <c r="F1354" i="15"/>
  <c r="G1354" i="15"/>
  <c r="F1355" i="15"/>
  <c r="G1355" i="15"/>
  <c r="F1356" i="15"/>
  <c r="G1356" i="15"/>
  <c r="F1357" i="15"/>
  <c r="G1357" i="15"/>
  <c r="F1358" i="15"/>
  <c r="G1358" i="15"/>
  <c r="F1359" i="15"/>
  <c r="G1359" i="15"/>
  <c r="F1360" i="15"/>
  <c r="G1360" i="15"/>
  <c r="F1361" i="15"/>
  <c r="G1361" i="15"/>
  <c r="F1362" i="15"/>
  <c r="G1362" i="15"/>
  <c r="F1363" i="15"/>
  <c r="G1363" i="15"/>
  <c r="F1364" i="15"/>
  <c r="G1364" i="15"/>
  <c r="F1365" i="15"/>
  <c r="G1365" i="15"/>
  <c r="F1366" i="15"/>
  <c r="G1366" i="15"/>
  <c r="F1367" i="15"/>
  <c r="G1367" i="15"/>
  <c r="F1368" i="15"/>
  <c r="G1368" i="15"/>
  <c r="F1369" i="15"/>
  <c r="G1369" i="15"/>
  <c r="F1370" i="15"/>
  <c r="G1370" i="15"/>
  <c r="F1371" i="15"/>
  <c r="G1371" i="15"/>
  <c r="F1372" i="15"/>
  <c r="G1372" i="15"/>
  <c r="F1373" i="15"/>
  <c r="G1373" i="15"/>
  <c r="F1374" i="15"/>
  <c r="G1374" i="15"/>
  <c r="F1375" i="15"/>
  <c r="G1375" i="15"/>
  <c r="F1376" i="15"/>
  <c r="G1376" i="15"/>
  <c r="F1377" i="15"/>
  <c r="G1377" i="15"/>
  <c r="F1378" i="15"/>
  <c r="G1378" i="15"/>
  <c r="F1379" i="15"/>
  <c r="G1379" i="15"/>
  <c r="F1380" i="15"/>
  <c r="G1380" i="15"/>
  <c r="F1381" i="15"/>
  <c r="G1381" i="15"/>
  <c r="F1382" i="15"/>
  <c r="G1382" i="15"/>
  <c r="F1383" i="15"/>
  <c r="G1383" i="15"/>
  <c r="F1384" i="15"/>
  <c r="G1384" i="15"/>
  <c r="F1385" i="15"/>
  <c r="G1385" i="15"/>
  <c r="F1386" i="15"/>
  <c r="G1386" i="15"/>
  <c r="F1387" i="15"/>
  <c r="G1387" i="15"/>
  <c r="F1388" i="15"/>
  <c r="G1388" i="15"/>
  <c r="F1389" i="15"/>
  <c r="G1389" i="15"/>
  <c r="F1390" i="15"/>
  <c r="G1390" i="15"/>
  <c r="F1391" i="15"/>
  <c r="G1391" i="15"/>
  <c r="F1392" i="15"/>
  <c r="G1392" i="15"/>
  <c r="F1393" i="15"/>
  <c r="G1393" i="15"/>
  <c r="F1394" i="15"/>
  <c r="G1394" i="15"/>
  <c r="F1395" i="15"/>
  <c r="G1395" i="15"/>
  <c r="F1396" i="15"/>
  <c r="G1396" i="15"/>
  <c r="F1397" i="15"/>
  <c r="G1397" i="15"/>
  <c r="F1398" i="15"/>
  <c r="G1398" i="15"/>
  <c r="F1399" i="15"/>
  <c r="G1399" i="15"/>
  <c r="F1400" i="15"/>
  <c r="G1400" i="15"/>
  <c r="F1401" i="15"/>
  <c r="G1401" i="15"/>
  <c r="F1402" i="15"/>
  <c r="G1402" i="15"/>
  <c r="F1403" i="15"/>
  <c r="G1403" i="15"/>
  <c r="F1404" i="15"/>
  <c r="G1404" i="15"/>
  <c r="F1405" i="15"/>
  <c r="G1405" i="15"/>
  <c r="F1406" i="15"/>
  <c r="G1406" i="15"/>
  <c r="F1407" i="15"/>
  <c r="G1407" i="15"/>
  <c r="F1408" i="15"/>
  <c r="G1408" i="15"/>
  <c r="F1409" i="15"/>
  <c r="G1409" i="15"/>
  <c r="F1410" i="15"/>
  <c r="G1410" i="15"/>
  <c r="F1411" i="15"/>
  <c r="G1411" i="15"/>
  <c r="F1412" i="15"/>
  <c r="G1412" i="15"/>
  <c r="F1413" i="15"/>
  <c r="G1413" i="15"/>
  <c r="F1414" i="15"/>
  <c r="G1414" i="15"/>
  <c r="F1415" i="15"/>
  <c r="G1415" i="15"/>
  <c r="F1416" i="15"/>
  <c r="G1416" i="15"/>
  <c r="F1417" i="15"/>
  <c r="G1417" i="15"/>
  <c r="F1418" i="15"/>
  <c r="G1418" i="15"/>
  <c r="F1419" i="15"/>
  <c r="G1419" i="15"/>
  <c r="F1420" i="15"/>
  <c r="G1420" i="15"/>
  <c r="F1421" i="15"/>
  <c r="G1421" i="15"/>
  <c r="F1422" i="15"/>
  <c r="G1422" i="15"/>
  <c r="F1423" i="15"/>
  <c r="G1423" i="15"/>
  <c r="F1424" i="15"/>
  <c r="G1424" i="15"/>
  <c r="F1425" i="15"/>
  <c r="G1425" i="15"/>
  <c r="F1426" i="15"/>
  <c r="G1426" i="15"/>
  <c r="F1427" i="15"/>
  <c r="G1427" i="15"/>
  <c r="F1428" i="15"/>
  <c r="G1428" i="15"/>
  <c r="F1429" i="15"/>
  <c r="G1429" i="15"/>
  <c r="F1430" i="15"/>
  <c r="G1430" i="15"/>
  <c r="F1431" i="15"/>
  <c r="G1431" i="15"/>
  <c r="F1432" i="15"/>
  <c r="G1432" i="15"/>
  <c r="F1433" i="15"/>
  <c r="G1433" i="15"/>
  <c r="F1434" i="15"/>
  <c r="G1434" i="15"/>
  <c r="F1435" i="15"/>
  <c r="G1435" i="15"/>
  <c r="F1436" i="15"/>
  <c r="G1436" i="15"/>
  <c r="F1437" i="15"/>
  <c r="G1437" i="15"/>
  <c r="F1438" i="15"/>
  <c r="G1438" i="15"/>
  <c r="F1439" i="15"/>
  <c r="G1439" i="15"/>
  <c r="F1440" i="15"/>
  <c r="G1440" i="15"/>
  <c r="F1441" i="15"/>
  <c r="G1441" i="15"/>
  <c r="F1442" i="15"/>
  <c r="G1442" i="15"/>
  <c r="F1443" i="15"/>
  <c r="G1443" i="15"/>
  <c r="F1444" i="15"/>
  <c r="G1444" i="15"/>
  <c r="F1445" i="15"/>
  <c r="G1445" i="15"/>
  <c r="F1446" i="15"/>
  <c r="G1446" i="15"/>
  <c r="F1447" i="15"/>
  <c r="G1447" i="15"/>
  <c r="F1448" i="15"/>
  <c r="G1448" i="15"/>
  <c r="F1449" i="15"/>
  <c r="G1449" i="15"/>
  <c r="F1450" i="15"/>
  <c r="G1450" i="15"/>
  <c r="F1451" i="15"/>
  <c r="G1451" i="15"/>
  <c r="F1452" i="15"/>
  <c r="G1452" i="15"/>
  <c r="F1453" i="15"/>
  <c r="G1453" i="15"/>
  <c r="F1454" i="15"/>
  <c r="G1454" i="15"/>
  <c r="F1455" i="15"/>
  <c r="G1455" i="15"/>
  <c r="F1456" i="15"/>
  <c r="G1456" i="15"/>
  <c r="F1457" i="15"/>
  <c r="G1457" i="15"/>
  <c r="F1458" i="15"/>
  <c r="G1458" i="15"/>
  <c r="F1459" i="15"/>
  <c r="G1459" i="15"/>
  <c r="F1460" i="15"/>
  <c r="G1460" i="15"/>
  <c r="F1461" i="15"/>
  <c r="G1461" i="15"/>
  <c r="F1462" i="15"/>
  <c r="G1462" i="15"/>
  <c r="F1463" i="15"/>
  <c r="G1463" i="15"/>
  <c r="F1464" i="15"/>
  <c r="G1464" i="15"/>
  <c r="F1465" i="15"/>
  <c r="G1465" i="15"/>
  <c r="F1466" i="15"/>
  <c r="G1466" i="15"/>
  <c r="F1467" i="15"/>
  <c r="G1467" i="15"/>
  <c r="F1468" i="15"/>
  <c r="G1468" i="15"/>
  <c r="F1469" i="15"/>
  <c r="G1469" i="15"/>
  <c r="F1470" i="15"/>
  <c r="G1470" i="15"/>
  <c r="F1471" i="15"/>
  <c r="G1471" i="15"/>
  <c r="F1472" i="15"/>
  <c r="G1472" i="15"/>
  <c r="F1473" i="15"/>
  <c r="G1473" i="15"/>
  <c r="F1474" i="15"/>
  <c r="G1474" i="15"/>
  <c r="F1475" i="15"/>
  <c r="G1475" i="15"/>
  <c r="F1476" i="15"/>
  <c r="G1476" i="15"/>
  <c r="F1477" i="15"/>
  <c r="G1477" i="15"/>
  <c r="F1478" i="15"/>
  <c r="G1478" i="15"/>
  <c r="F1479" i="15"/>
  <c r="G1479" i="15"/>
  <c r="F1480" i="15"/>
  <c r="G1480" i="15"/>
  <c r="F1481" i="15"/>
  <c r="G1481" i="15"/>
  <c r="F1482" i="15"/>
  <c r="G1482" i="15"/>
  <c r="F1483" i="15"/>
  <c r="G1483" i="15"/>
  <c r="F1484" i="15"/>
  <c r="G1484" i="15"/>
  <c r="F1485" i="15"/>
  <c r="G1485" i="15"/>
  <c r="F1486" i="15"/>
  <c r="G1486" i="15"/>
  <c r="F1487" i="15"/>
  <c r="G1487" i="15"/>
  <c r="F1488" i="15"/>
  <c r="G1488" i="15"/>
  <c r="F1489" i="15"/>
  <c r="G1489" i="15"/>
  <c r="F1490" i="15"/>
  <c r="G1490" i="15"/>
  <c r="F1491" i="15"/>
  <c r="G1491" i="15"/>
  <c r="F1492" i="15"/>
  <c r="G1492" i="15"/>
  <c r="F1493" i="15"/>
  <c r="G1493" i="15"/>
  <c r="F1494" i="15"/>
  <c r="G1494" i="15"/>
  <c r="F1495" i="15"/>
  <c r="G1495" i="15"/>
  <c r="F1496" i="15"/>
  <c r="G1496" i="15"/>
  <c r="F1497" i="15"/>
  <c r="G1497" i="15"/>
  <c r="F1498" i="15"/>
  <c r="G1498" i="15"/>
  <c r="F1499" i="15"/>
  <c r="G1499" i="15"/>
  <c r="F1500" i="15"/>
  <c r="G1500" i="15"/>
  <c r="F1501" i="15"/>
  <c r="G1501" i="15"/>
  <c r="F1502" i="15"/>
  <c r="G1502" i="15"/>
  <c r="F1503" i="15"/>
  <c r="G1503" i="15"/>
  <c r="F1504" i="15"/>
  <c r="G1504" i="15"/>
  <c r="F1505" i="15"/>
  <c r="G1505" i="15"/>
  <c r="F1506" i="15"/>
  <c r="G1506" i="15"/>
  <c r="F1507" i="15"/>
  <c r="G1507" i="15"/>
  <c r="F1508" i="15"/>
  <c r="G1508" i="15"/>
  <c r="F1509" i="15"/>
  <c r="G1509" i="15"/>
  <c r="F1510" i="15"/>
  <c r="G1510" i="15"/>
  <c r="F1511" i="15"/>
  <c r="G1511" i="15"/>
  <c r="F1512" i="15"/>
  <c r="G1512" i="15"/>
  <c r="F1513" i="15"/>
  <c r="G1513" i="15"/>
  <c r="F1514" i="15"/>
  <c r="G1514" i="15"/>
  <c r="F1515" i="15"/>
  <c r="G1515" i="15"/>
  <c r="F1516" i="15"/>
  <c r="G1516" i="15"/>
  <c r="F1517" i="15"/>
  <c r="G1517" i="15"/>
  <c r="F1518" i="15"/>
  <c r="G1518" i="15"/>
  <c r="F1519" i="15"/>
  <c r="G1519" i="15"/>
  <c r="F1520" i="15"/>
  <c r="G1520" i="15"/>
  <c r="F1521" i="15"/>
  <c r="G1521" i="15"/>
  <c r="F1522" i="15"/>
  <c r="G1522" i="15"/>
  <c r="F1523" i="15"/>
  <c r="G1523" i="15"/>
  <c r="F1524" i="15"/>
  <c r="G1524" i="15"/>
  <c r="F1525" i="15"/>
  <c r="G1525" i="15"/>
  <c r="F1526" i="15"/>
  <c r="G1526" i="15"/>
  <c r="F1527" i="15"/>
  <c r="G1527" i="15"/>
  <c r="F1528" i="15"/>
  <c r="G1528" i="15"/>
  <c r="F1529" i="15"/>
  <c r="G1529" i="15"/>
  <c r="F1530" i="15"/>
  <c r="G1530" i="15"/>
  <c r="F1531" i="15"/>
  <c r="G1531" i="15"/>
  <c r="F1532" i="15"/>
  <c r="G1532" i="15"/>
  <c r="F1533" i="15"/>
  <c r="G1533" i="15"/>
  <c r="F1534" i="15"/>
  <c r="G1534" i="15"/>
  <c r="F1535" i="15"/>
  <c r="G1535" i="15"/>
  <c r="F1536" i="15"/>
  <c r="G1536" i="15"/>
  <c r="F1537" i="15"/>
  <c r="G1537" i="15"/>
  <c r="F1538" i="15"/>
  <c r="G1538" i="15"/>
  <c r="F1539" i="15"/>
  <c r="G1539" i="15"/>
  <c r="F1540" i="15"/>
  <c r="G1540" i="15"/>
  <c r="F1541" i="15"/>
  <c r="G1541" i="15"/>
  <c r="F1542" i="15"/>
  <c r="G1542" i="15"/>
  <c r="F1543" i="15"/>
  <c r="G1543" i="15"/>
  <c r="F1544" i="15"/>
  <c r="G1544" i="15"/>
  <c r="F1545" i="15"/>
  <c r="G1545" i="15"/>
  <c r="F1546" i="15"/>
  <c r="G1546" i="15"/>
  <c r="F1547" i="15"/>
  <c r="G1547" i="15"/>
  <c r="F1548" i="15"/>
  <c r="G1548" i="15"/>
  <c r="F1549" i="15"/>
  <c r="G1549" i="15"/>
  <c r="F1550" i="15"/>
  <c r="G1550" i="15"/>
  <c r="F1551" i="15"/>
  <c r="G1551" i="15"/>
  <c r="F1552" i="15"/>
  <c r="G1552" i="15"/>
  <c r="F1553" i="15"/>
  <c r="G1553" i="15"/>
  <c r="F1554" i="15"/>
  <c r="G1554" i="15"/>
  <c r="F1555" i="15"/>
  <c r="G1555" i="15"/>
  <c r="F1556" i="15"/>
  <c r="G1556" i="15"/>
  <c r="F1557" i="15"/>
  <c r="G1557" i="15"/>
  <c r="F1558" i="15"/>
  <c r="G1558" i="15"/>
  <c r="F1559" i="15"/>
  <c r="G1559" i="15"/>
  <c r="F1560" i="15"/>
  <c r="G1560" i="15"/>
  <c r="F1561" i="15"/>
  <c r="G1561" i="15"/>
  <c r="F1562" i="15"/>
  <c r="G1562" i="15"/>
  <c r="F1563" i="15"/>
  <c r="G1563" i="15"/>
  <c r="F1564" i="15"/>
  <c r="G1564" i="15"/>
  <c r="F1565" i="15"/>
  <c r="G1565" i="15"/>
  <c r="F1566" i="15"/>
  <c r="G1566" i="15"/>
  <c r="F1567" i="15"/>
  <c r="G1567" i="15"/>
  <c r="F1568" i="15"/>
  <c r="G1568" i="15"/>
  <c r="F1569" i="15"/>
  <c r="G1569" i="15"/>
  <c r="F1570" i="15"/>
  <c r="G1570" i="15"/>
  <c r="F1571" i="15"/>
  <c r="G1571" i="15"/>
  <c r="F1572" i="15"/>
  <c r="G1572" i="15"/>
  <c r="F1573" i="15"/>
  <c r="G1573" i="15"/>
  <c r="F1574" i="15"/>
  <c r="G1574" i="15"/>
  <c r="F1575" i="15"/>
  <c r="G1575" i="15"/>
  <c r="F1576" i="15"/>
  <c r="G1576" i="15"/>
  <c r="F1577" i="15"/>
  <c r="G1577" i="15"/>
  <c r="F1578" i="15"/>
  <c r="G1578" i="15"/>
  <c r="F1579" i="15"/>
  <c r="G1579" i="15"/>
  <c r="F1580" i="15"/>
  <c r="G1580" i="15"/>
  <c r="F1581" i="15"/>
  <c r="G1581" i="15"/>
  <c r="F1582" i="15"/>
  <c r="G1582" i="15"/>
  <c r="F1583" i="15"/>
  <c r="G1583" i="15"/>
  <c r="F1584" i="15"/>
  <c r="G1584" i="15"/>
  <c r="F1585" i="15"/>
  <c r="G1585" i="15"/>
  <c r="F1586" i="15"/>
  <c r="G1586" i="15"/>
  <c r="F1587" i="15"/>
  <c r="G1587" i="15"/>
  <c r="F1588" i="15"/>
  <c r="G1588" i="15"/>
  <c r="F1589" i="15"/>
  <c r="G1589" i="15"/>
  <c r="F1590" i="15"/>
  <c r="G1590" i="15"/>
  <c r="F1591" i="15"/>
  <c r="G1591" i="15"/>
  <c r="F1592" i="15"/>
  <c r="G1592" i="15"/>
  <c r="F1593" i="15"/>
  <c r="G1593" i="15"/>
  <c r="F1594" i="15"/>
  <c r="G1594" i="15"/>
  <c r="F1595" i="15"/>
  <c r="G1595" i="15"/>
  <c r="F1596" i="15"/>
  <c r="G1596" i="15"/>
  <c r="F1597" i="15"/>
  <c r="G1597" i="15"/>
  <c r="F1598" i="15"/>
  <c r="G1598" i="15"/>
  <c r="F1599" i="15"/>
  <c r="G1599" i="15"/>
  <c r="F1600" i="15"/>
  <c r="G1600" i="15"/>
  <c r="F1601" i="15"/>
  <c r="G1601" i="15"/>
  <c r="F1602" i="15"/>
  <c r="G1602" i="15"/>
  <c r="F1603" i="15"/>
  <c r="G1603" i="15"/>
  <c r="F1604" i="15"/>
  <c r="G1604" i="15"/>
  <c r="F1605" i="15"/>
  <c r="G1605" i="15"/>
  <c r="F1606" i="15"/>
  <c r="G1606" i="15"/>
  <c r="F1607" i="15"/>
  <c r="G1607" i="15"/>
  <c r="F1608" i="15"/>
  <c r="G1608" i="15"/>
  <c r="F1609" i="15"/>
  <c r="G1609" i="15"/>
  <c r="F1610" i="15"/>
  <c r="G1610" i="15"/>
  <c r="F1611" i="15"/>
  <c r="G1611" i="15"/>
  <c r="F1612" i="15"/>
  <c r="G1612" i="15"/>
  <c r="F1613" i="15"/>
  <c r="G1613" i="15"/>
  <c r="F1614" i="15"/>
  <c r="G1614" i="15"/>
  <c r="F1615" i="15"/>
  <c r="G1615" i="15"/>
  <c r="F1616" i="15"/>
  <c r="G1616" i="15"/>
  <c r="F1617" i="15"/>
  <c r="G1617" i="15"/>
  <c r="F1618" i="15"/>
  <c r="G1618" i="15"/>
  <c r="F1619" i="15"/>
  <c r="G1619" i="15"/>
  <c r="F1620" i="15"/>
  <c r="G1620" i="15"/>
  <c r="F1621" i="15"/>
  <c r="G1621" i="15"/>
  <c r="F1622" i="15"/>
  <c r="G1622" i="15"/>
  <c r="F1623" i="15"/>
  <c r="G1623" i="15"/>
  <c r="F1624" i="15"/>
  <c r="G1624" i="15"/>
  <c r="F1625" i="15"/>
  <c r="G1625" i="15"/>
  <c r="F1626" i="15"/>
  <c r="G1626" i="15"/>
  <c r="F1627" i="15"/>
  <c r="G1627" i="15"/>
  <c r="F1628" i="15"/>
  <c r="G1628" i="15"/>
  <c r="F1629" i="15"/>
  <c r="G1629" i="15"/>
  <c r="F1630" i="15"/>
  <c r="G1630" i="15"/>
  <c r="F1631" i="15"/>
  <c r="G1631" i="15"/>
  <c r="F1632" i="15"/>
  <c r="G1632" i="15"/>
  <c r="F1633" i="15"/>
  <c r="G1633" i="15"/>
  <c r="F1634" i="15"/>
  <c r="G1634" i="15"/>
  <c r="F1635" i="15"/>
  <c r="G1635" i="15"/>
  <c r="F1636" i="15"/>
  <c r="G1636" i="15"/>
  <c r="F1637" i="15"/>
  <c r="G1637" i="15"/>
  <c r="F1638" i="15"/>
  <c r="G1638" i="15"/>
  <c r="F1639" i="15"/>
  <c r="G1639" i="15"/>
  <c r="F1640" i="15"/>
  <c r="G1640" i="15"/>
  <c r="F1641" i="15"/>
  <c r="G1641" i="15"/>
  <c r="F1642" i="15"/>
  <c r="G1642" i="15"/>
  <c r="F1643" i="15"/>
  <c r="G1643" i="15"/>
  <c r="F1644" i="15"/>
  <c r="G1644" i="15"/>
  <c r="F1645" i="15"/>
  <c r="G1645" i="15"/>
  <c r="F1646" i="15"/>
  <c r="G1646" i="15"/>
  <c r="F1647" i="15"/>
  <c r="G1647" i="15"/>
  <c r="F1648" i="15"/>
  <c r="G1648" i="15"/>
  <c r="F1649" i="15"/>
  <c r="G1649" i="15"/>
  <c r="F1650" i="15"/>
  <c r="G1650" i="15"/>
  <c r="F1651" i="15"/>
  <c r="G1651" i="15"/>
  <c r="F1652" i="15"/>
  <c r="G1652" i="15"/>
  <c r="F1653" i="15"/>
  <c r="G1653" i="15"/>
  <c r="F1654" i="15"/>
  <c r="G1654" i="15"/>
  <c r="F1655" i="15"/>
  <c r="G1655" i="15"/>
  <c r="F1656" i="15"/>
  <c r="G1656" i="15"/>
  <c r="F1657" i="15"/>
  <c r="G1657" i="15"/>
  <c r="F1658" i="15"/>
  <c r="G1658" i="15"/>
  <c r="F1659" i="15"/>
  <c r="G1659" i="15"/>
  <c r="F1660" i="15"/>
  <c r="G1660" i="15"/>
  <c r="F1661" i="15"/>
  <c r="G1661" i="15"/>
  <c r="F1662" i="15"/>
  <c r="G1662" i="15"/>
  <c r="F1663" i="15"/>
  <c r="G1663" i="15"/>
  <c r="F1664" i="15"/>
  <c r="G1664" i="15"/>
  <c r="F1665" i="15"/>
  <c r="G1665" i="15"/>
  <c r="F1666" i="15"/>
  <c r="G1666" i="15"/>
  <c r="F1667" i="15"/>
  <c r="G1667" i="15"/>
  <c r="F1668" i="15"/>
  <c r="G1668" i="15"/>
  <c r="F1669" i="15"/>
  <c r="G1669" i="15"/>
  <c r="F1670" i="15"/>
  <c r="G1670" i="15"/>
  <c r="F1671" i="15"/>
  <c r="G1671" i="15"/>
  <c r="F1672" i="15"/>
  <c r="G1672" i="15"/>
  <c r="F1673" i="15"/>
  <c r="G1673" i="15"/>
  <c r="F1674" i="15"/>
  <c r="G1674" i="15"/>
  <c r="F1675" i="15"/>
  <c r="G1675" i="15"/>
  <c r="F1676" i="15"/>
  <c r="G1676" i="15"/>
  <c r="F1677" i="15"/>
  <c r="G1677" i="15"/>
  <c r="F1678" i="15"/>
  <c r="G1678" i="15"/>
  <c r="F1679" i="15"/>
  <c r="G1679" i="15"/>
  <c r="F1680" i="15"/>
  <c r="G1680" i="15"/>
  <c r="F1681" i="15"/>
  <c r="G1681" i="15"/>
  <c r="F1682" i="15"/>
  <c r="G1682" i="15"/>
  <c r="F1683" i="15"/>
  <c r="G1683" i="15"/>
  <c r="F1684" i="15"/>
  <c r="G1684" i="15"/>
  <c r="F1685" i="15"/>
  <c r="G1685" i="15"/>
  <c r="F1686" i="15"/>
  <c r="G1686" i="15"/>
  <c r="F1687" i="15"/>
  <c r="G1687" i="15"/>
  <c r="F1688" i="15"/>
  <c r="G1688" i="15"/>
  <c r="F1689" i="15"/>
  <c r="G1689" i="15"/>
  <c r="F1690" i="15"/>
  <c r="G1690" i="15"/>
  <c r="F1691" i="15"/>
  <c r="G1691" i="15"/>
  <c r="F1692" i="15"/>
  <c r="G1692" i="15"/>
  <c r="F1693" i="15"/>
  <c r="G1693" i="15"/>
  <c r="F1694" i="15"/>
  <c r="G1694" i="15"/>
  <c r="F1695" i="15"/>
  <c r="G1695" i="15"/>
  <c r="F1696" i="15"/>
  <c r="G1696" i="15"/>
  <c r="F1697" i="15"/>
  <c r="G1697" i="15"/>
  <c r="F1698" i="15"/>
  <c r="G1698" i="15"/>
  <c r="F1699" i="15"/>
  <c r="G1699" i="15"/>
  <c r="F1700" i="15"/>
  <c r="G1700" i="15"/>
  <c r="F1701" i="15"/>
  <c r="G1701" i="15"/>
  <c r="F1702" i="15"/>
  <c r="G1702" i="15"/>
  <c r="F1703" i="15"/>
  <c r="G1703" i="15"/>
  <c r="F1704" i="15"/>
  <c r="G1704" i="15"/>
  <c r="F1705" i="15"/>
  <c r="G1705" i="15"/>
  <c r="F1706" i="15"/>
  <c r="G1706" i="15"/>
  <c r="F1707" i="15"/>
  <c r="G1707" i="15"/>
  <c r="F1708" i="15"/>
  <c r="G1708" i="15"/>
  <c r="F1709" i="15"/>
  <c r="G1709" i="15"/>
  <c r="F1710" i="15"/>
  <c r="G1710" i="15"/>
  <c r="F1711" i="15"/>
  <c r="G1711" i="15"/>
  <c r="F1712" i="15"/>
  <c r="G1712" i="15"/>
  <c r="F1713" i="15"/>
  <c r="G1713" i="15"/>
  <c r="F1714" i="15"/>
  <c r="G1714" i="15"/>
  <c r="F1715" i="15"/>
  <c r="G1715" i="15"/>
  <c r="F1716" i="15"/>
  <c r="G1716" i="15"/>
  <c r="F1717" i="15"/>
  <c r="G1717" i="15"/>
  <c r="F1718" i="15"/>
  <c r="G1718" i="15"/>
  <c r="F1719" i="15"/>
  <c r="G1719" i="15"/>
  <c r="F1720" i="15"/>
  <c r="G1720" i="15"/>
  <c r="F1721" i="15"/>
  <c r="G1721" i="15"/>
  <c r="F1722" i="15"/>
  <c r="G1722" i="15"/>
  <c r="F1723" i="15"/>
  <c r="G1723" i="15"/>
  <c r="F1724" i="15"/>
  <c r="G1724" i="15"/>
  <c r="F1725" i="15"/>
  <c r="G1725" i="15"/>
  <c r="F1726" i="15"/>
  <c r="G1726" i="15"/>
  <c r="F1727" i="15"/>
  <c r="G1727" i="15"/>
  <c r="F1728" i="15"/>
  <c r="G1728" i="15"/>
  <c r="F1729" i="15"/>
  <c r="G1729" i="15"/>
  <c r="F1730" i="15"/>
  <c r="G1730" i="15"/>
  <c r="F1731" i="15"/>
  <c r="G1731" i="15"/>
  <c r="F1732" i="15"/>
  <c r="G1732" i="15"/>
  <c r="F1733" i="15"/>
  <c r="G1733" i="15"/>
  <c r="F1734" i="15"/>
  <c r="G1734" i="15"/>
  <c r="F1735" i="15"/>
  <c r="G1735" i="15"/>
  <c r="F1736" i="15"/>
  <c r="G1736" i="15"/>
  <c r="F1737" i="15"/>
  <c r="G1737" i="15"/>
  <c r="F1738" i="15"/>
  <c r="G1738" i="15"/>
  <c r="F1739" i="15"/>
  <c r="G1739" i="15"/>
  <c r="F1740" i="15"/>
  <c r="G1740" i="15"/>
  <c r="F1741" i="15"/>
  <c r="G1741" i="15"/>
  <c r="F1742" i="15"/>
  <c r="G1742" i="15"/>
  <c r="F1743" i="15"/>
  <c r="G1743" i="15"/>
  <c r="F1744" i="15"/>
  <c r="G1744" i="15"/>
  <c r="F1745" i="15"/>
  <c r="G1745" i="15"/>
  <c r="F1746" i="15"/>
  <c r="G1746" i="15"/>
  <c r="F1747" i="15"/>
  <c r="G1747" i="15"/>
  <c r="F1748" i="15"/>
  <c r="G1748" i="15"/>
  <c r="F1749" i="15"/>
  <c r="G1749" i="15"/>
  <c r="F1750" i="15"/>
  <c r="G1750" i="15"/>
  <c r="F1751" i="15"/>
  <c r="G1751" i="15"/>
  <c r="F1752" i="15"/>
  <c r="G1752" i="15"/>
  <c r="F1753" i="15"/>
  <c r="G1753" i="15"/>
  <c r="F1754" i="15"/>
  <c r="G1754" i="15"/>
  <c r="F1755" i="15"/>
  <c r="G1755" i="15"/>
  <c r="F1756" i="15"/>
  <c r="G1756" i="15"/>
  <c r="F1757" i="15"/>
  <c r="G1757" i="15"/>
  <c r="F1758" i="15"/>
  <c r="G1758" i="15"/>
  <c r="F1759" i="15"/>
  <c r="G1759" i="15"/>
  <c r="F1760" i="15"/>
  <c r="G1760" i="15"/>
  <c r="F1761" i="15"/>
  <c r="G1761" i="15"/>
  <c r="F1762" i="15"/>
  <c r="G1762" i="15"/>
  <c r="F1763" i="15"/>
  <c r="G1763" i="15"/>
  <c r="F1764" i="15"/>
  <c r="G1764" i="15"/>
  <c r="F1765" i="15"/>
  <c r="G1765" i="15"/>
  <c r="F1766" i="15"/>
  <c r="G1766" i="15"/>
  <c r="F1767" i="15"/>
  <c r="G1767" i="15"/>
  <c r="F1768" i="15"/>
  <c r="G1768" i="15"/>
  <c r="F1769" i="15"/>
  <c r="G1769" i="15"/>
  <c r="F1770" i="15"/>
  <c r="G1770" i="15"/>
  <c r="F1771" i="15"/>
  <c r="G1771" i="15"/>
  <c r="F1772" i="15"/>
  <c r="G1772" i="15"/>
  <c r="F1773" i="15"/>
  <c r="G1773" i="15"/>
  <c r="F1774" i="15"/>
  <c r="G1774" i="15"/>
  <c r="F1775" i="15"/>
  <c r="G1775" i="15"/>
  <c r="F1776" i="15"/>
  <c r="G1776" i="15"/>
  <c r="F1777" i="15"/>
  <c r="G1777" i="15"/>
  <c r="F1778" i="15"/>
  <c r="G1778" i="15"/>
  <c r="F1779" i="15"/>
  <c r="G1779" i="15"/>
  <c r="F1780" i="15"/>
  <c r="G1780" i="15"/>
  <c r="F1781" i="15"/>
  <c r="G1781" i="15"/>
  <c r="F1782" i="15"/>
  <c r="G1782" i="15"/>
  <c r="F1783" i="15"/>
  <c r="G1783" i="15"/>
  <c r="F1784" i="15"/>
  <c r="G1784" i="15"/>
  <c r="F1785" i="15"/>
  <c r="G1785" i="15"/>
  <c r="F1786" i="15"/>
  <c r="G1786" i="15"/>
  <c r="F1787" i="15"/>
  <c r="G1787" i="15"/>
  <c r="F1788" i="15"/>
  <c r="G1788" i="15"/>
  <c r="F1789" i="15"/>
  <c r="G1789" i="15"/>
  <c r="F1790" i="15"/>
  <c r="G1790" i="15"/>
  <c r="F1791" i="15"/>
  <c r="G1791" i="15"/>
  <c r="F1792" i="15"/>
  <c r="G1792" i="15"/>
  <c r="F1793" i="15"/>
  <c r="G1793" i="15"/>
  <c r="F1794" i="15"/>
  <c r="G1794" i="15"/>
  <c r="F1795" i="15"/>
  <c r="G1795" i="15"/>
  <c r="F1796" i="15"/>
  <c r="G1796" i="15"/>
  <c r="F1797" i="15"/>
  <c r="G1797" i="15"/>
  <c r="F1798" i="15"/>
  <c r="G1798" i="15"/>
  <c r="F1799" i="15"/>
  <c r="G1799" i="15"/>
  <c r="F1800" i="15"/>
  <c r="G1800" i="15"/>
  <c r="F1801" i="15"/>
  <c r="G1801" i="15"/>
  <c r="F1802" i="15"/>
  <c r="G1802" i="15"/>
  <c r="F1803" i="15"/>
  <c r="G1803" i="15"/>
  <c r="F1804" i="15"/>
  <c r="G1804" i="15"/>
  <c r="F1805" i="15"/>
  <c r="G1805" i="15"/>
  <c r="F1806" i="15"/>
  <c r="G1806" i="15"/>
  <c r="F1807" i="15"/>
  <c r="G1807" i="15"/>
  <c r="F1808" i="15"/>
  <c r="G1808" i="15"/>
  <c r="F1809" i="15"/>
  <c r="G1809" i="15"/>
  <c r="F1810" i="15"/>
  <c r="G1810" i="15"/>
  <c r="F1811" i="15"/>
  <c r="G1811" i="15"/>
  <c r="F1812" i="15"/>
  <c r="G1812" i="15"/>
  <c r="F1813" i="15"/>
  <c r="G1813" i="15"/>
  <c r="F1814" i="15"/>
  <c r="G1814" i="15"/>
  <c r="F1815" i="15"/>
  <c r="G1815" i="15"/>
  <c r="F1816" i="15"/>
  <c r="G1816" i="15"/>
  <c r="F1817" i="15"/>
  <c r="G1817" i="15"/>
  <c r="F1818" i="15"/>
  <c r="G1818" i="15"/>
  <c r="F1819" i="15"/>
  <c r="G1819" i="15"/>
  <c r="F1820" i="15"/>
  <c r="G1820" i="15"/>
  <c r="F1821" i="15"/>
  <c r="G1821" i="15"/>
  <c r="F1822" i="15"/>
  <c r="G1822" i="15"/>
  <c r="F1823" i="15"/>
  <c r="G1823" i="15"/>
  <c r="F1824" i="15"/>
  <c r="G1824" i="15"/>
  <c r="F1825" i="15"/>
  <c r="G1825" i="15"/>
  <c r="F1826" i="15"/>
  <c r="G1826" i="15"/>
  <c r="F1827" i="15"/>
  <c r="G1827" i="15"/>
  <c r="F1828" i="15"/>
  <c r="G1828" i="15"/>
  <c r="F1829" i="15"/>
  <c r="G1829" i="15"/>
  <c r="F1830" i="15"/>
  <c r="G1830" i="15"/>
  <c r="F1831" i="15"/>
  <c r="G1831" i="15"/>
  <c r="F1832" i="15"/>
  <c r="G1832" i="15"/>
  <c r="F1833" i="15"/>
  <c r="G1833" i="15"/>
  <c r="F1834" i="15"/>
  <c r="G1834" i="15"/>
  <c r="F1835" i="15"/>
  <c r="G1835" i="15"/>
  <c r="F1836" i="15"/>
  <c r="G1836" i="15"/>
  <c r="F1837" i="15"/>
  <c r="G1837" i="15"/>
  <c r="F1838" i="15"/>
  <c r="G1838" i="15"/>
  <c r="F1839" i="15"/>
  <c r="G1839" i="15"/>
  <c r="F1840" i="15"/>
  <c r="G1840" i="15"/>
  <c r="F1841" i="15"/>
  <c r="G1841" i="15"/>
  <c r="F1842" i="15"/>
  <c r="G1842" i="15"/>
  <c r="F1843" i="15"/>
  <c r="G1843" i="15"/>
  <c r="F1844" i="15"/>
  <c r="G1844" i="15"/>
  <c r="F1845" i="15"/>
  <c r="G1845" i="15"/>
  <c r="F1846" i="15"/>
  <c r="G1846" i="15"/>
  <c r="F1847" i="15"/>
  <c r="G1847" i="15"/>
  <c r="F1848" i="15"/>
  <c r="G1848" i="15"/>
  <c r="F1849" i="15"/>
  <c r="G1849" i="15"/>
  <c r="F1850" i="15"/>
  <c r="G1850" i="15"/>
  <c r="F1851" i="15"/>
  <c r="G1851" i="15"/>
  <c r="F1852" i="15"/>
  <c r="G1852" i="15"/>
  <c r="F1853" i="15"/>
  <c r="G1853" i="15"/>
  <c r="F1854" i="15"/>
  <c r="G1854" i="15"/>
  <c r="F1855" i="15"/>
  <c r="G1855" i="15"/>
  <c r="F1856" i="15"/>
  <c r="G1856" i="15"/>
  <c r="F1857" i="15"/>
  <c r="G1857" i="15"/>
  <c r="F1858" i="15"/>
  <c r="G1858" i="15"/>
  <c r="F1859" i="15"/>
  <c r="G1859" i="15"/>
  <c r="F1860" i="15"/>
  <c r="G1860" i="15"/>
  <c r="F1861" i="15"/>
  <c r="G1861" i="15"/>
  <c r="F1862" i="15"/>
  <c r="G1862" i="15"/>
  <c r="F1863" i="15"/>
  <c r="G1863" i="15"/>
  <c r="F1864" i="15"/>
  <c r="G1864" i="15"/>
  <c r="F1865" i="15"/>
  <c r="G1865" i="15"/>
  <c r="F1866" i="15"/>
  <c r="G1866" i="15"/>
  <c r="F1867" i="15"/>
  <c r="G1867" i="15"/>
  <c r="F1868" i="15"/>
  <c r="G1868" i="15"/>
  <c r="F1869" i="15"/>
  <c r="G1869" i="15"/>
  <c r="F1870" i="15"/>
  <c r="G1870" i="15"/>
  <c r="F1871" i="15"/>
  <c r="G1871" i="15"/>
  <c r="F1872" i="15"/>
  <c r="G1872" i="15"/>
  <c r="F1873" i="15"/>
  <c r="G1873" i="15"/>
  <c r="F1874" i="15"/>
  <c r="G1874" i="15"/>
  <c r="F1875" i="15"/>
  <c r="G1875" i="15"/>
  <c r="F1876" i="15"/>
  <c r="G1876" i="15"/>
  <c r="F1877" i="15"/>
  <c r="G1877" i="15"/>
  <c r="F1878" i="15"/>
  <c r="G1878" i="15"/>
  <c r="F1879" i="15"/>
  <c r="G1879" i="15"/>
  <c r="F1880" i="15"/>
  <c r="G1880" i="15"/>
  <c r="F1881" i="15"/>
  <c r="G1881" i="15"/>
  <c r="F1882" i="15"/>
  <c r="G1882" i="15"/>
  <c r="F1883" i="15"/>
  <c r="G1883" i="15"/>
  <c r="F1884" i="15"/>
  <c r="G1884" i="15"/>
  <c r="F1885" i="15"/>
  <c r="G1885" i="15"/>
  <c r="F1886" i="15"/>
  <c r="G1886" i="15"/>
  <c r="F1887" i="15"/>
  <c r="G1887" i="15"/>
  <c r="F1888" i="15"/>
  <c r="G1888" i="15"/>
  <c r="F1889" i="15"/>
  <c r="G1889" i="15"/>
  <c r="F1890" i="15"/>
  <c r="G1890" i="15"/>
  <c r="F1891" i="15"/>
  <c r="G1891" i="15"/>
  <c r="F1892" i="15"/>
  <c r="G1892" i="15"/>
  <c r="F1893" i="15"/>
  <c r="G1893" i="15"/>
  <c r="F1894" i="15"/>
  <c r="G1894" i="15"/>
  <c r="F1895" i="15"/>
  <c r="G1895" i="15"/>
  <c r="F1896" i="15"/>
  <c r="G1896" i="15"/>
  <c r="F1897" i="15"/>
  <c r="G1897" i="15"/>
  <c r="F1898" i="15"/>
  <c r="G1898" i="15"/>
  <c r="F1899" i="15"/>
  <c r="G1899" i="15"/>
  <c r="F1900" i="15"/>
  <c r="G1900" i="15"/>
  <c r="F1901" i="15"/>
  <c r="G1901" i="15"/>
  <c r="F1902" i="15"/>
  <c r="G1902" i="15"/>
  <c r="F1903" i="15"/>
  <c r="G1903" i="15"/>
  <c r="F1904" i="15"/>
  <c r="G1904" i="15"/>
  <c r="F1905" i="15"/>
  <c r="G1905" i="15"/>
  <c r="F1906" i="15"/>
  <c r="G1906" i="15"/>
  <c r="F1907" i="15"/>
  <c r="G1907" i="15"/>
  <c r="F1908" i="15"/>
  <c r="G1908" i="15"/>
  <c r="F1909" i="15"/>
  <c r="G1909" i="15"/>
  <c r="F1910" i="15"/>
  <c r="G1910" i="15"/>
  <c r="F1911" i="15"/>
  <c r="G1911" i="15"/>
  <c r="F1912" i="15"/>
  <c r="G1912" i="15"/>
  <c r="F1913" i="15"/>
  <c r="G1913" i="15"/>
  <c r="F1914" i="15"/>
  <c r="G1914" i="15"/>
  <c r="F1915" i="15"/>
  <c r="G1915" i="15"/>
  <c r="F1916" i="15"/>
  <c r="G1916" i="15"/>
  <c r="F1917" i="15"/>
  <c r="G1917" i="15"/>
  <c r="F1918" i="15"/>
  <c r="G1918" i="15"/>
  <c r="F1919" i="15"/>
  <c r="G1919" i="15"/>
  <c r="F1920" i="15"/>
  <c r="G1920" i="15"/>
  <c r="F1921" i="15"/>
  <c r="G1921" i="15"/>
  <c r="F1922" i="15"/>
  <c r="G1922" i="15"/>
  <c r="F1923" i="15"/>
  <c r="G1923" i="15"/>
  <c r="F1924" i="15"/>
  <c r="G1924" i="15"/>
  <c r="F1925" i="15"/>
  <c r="G1925" i="15"/>
  <c r="F1926" i="15"/>
  <c r="G1926" i="15"/>
  <c r="F1927" i="15"/>
  <c r="G1927" i="15"/>
  <c r="F1928" i="15"/>
  <c r="G1928" i="15"/>
  <c r="F1929" i="15"/>
  <c r="G1929" i="15"/>
  <c r="F1930" i="15"/>
  <c r="G1930" i="15"/>
  <c r="F1931" i="15"/>
  <c r="G1931" i="15"/>
  <c r="F1932" i="15"/>
  <c r="G1932" i="15"/>
  <c r="F1933" i="15"/>
  <c r="G1933" i="15"/>
  <c r="F1934" i="15"/>
  <c r="G1934" i="15"/>
  <c r="F1935" i="15"/>
  <c r="G1935" i="15"/>
  <c r="F1936" i="15"/>
  <c r="G1936" i="15"/>
  <c r="F1937" i="15"/>
  <c r="G1937" i="15"/>
  <c r="F1938" i="15"/>
  <c r="G1938" i="15"/>
  <c r="F1939" i="15"/>
  <c r="G1939" i="15"/>
  <c r="F1940" i="15"/>
  <c r="G1940" i="15"/>
  <c r="F1941" i="15"/>
  <c r="G1941" i="15"/>
  <c r="F1942" i="15"/>
  <c r="G1942" i="15"/>
  <c r="F1943" i="15"/>
  <c r="G1943" i="15"/>
  <c r="F1944" i="15"/>
  <c r="G1944" i="15"/>
  <c r="F1945" i="15"/>
  <c r="G1945" i="15"/>
  <c r="F1946" i="15"/>
  <c r="G1946" i="15"/>
  <c r="F1947" i="15"/>
  <c r="G1947" i="15"/>
  <c r="F1948" i="15"/>
  <c r="G1948" i="15"/>
  <c r="F1949" i="15"/>
  <c r="G1949" i="15"/>
  <c r="F1950" i="15"/>
  <c r="G1950" i="15"/>
  <c r="F1951" i="15"/>
  <c r="G1951" i="15"/>
  <c r="F1952" i="15"/>
  <c r="G1952" i="15"/>
  <c r="F1953" i="15"/>
  <c r="G1953" i="15"/>
  <c r="F1954" i="15"/>
  <c r="G1954" i="15"/>
  <c r="F1955" i="15"/>
  <c r="G1955" i="15"/>
  <c r="F1956" i="15"/>
  <c r="G1956" i="15"/>
  <c r="F1957" i="15"/>
  <c r="G1957" i="15"/>
  <c r="F1958" i="15"/>
  <c r="G1958" i="15"/>
  <c r="F1959" i="15"/>
  <c r="G1959" i="15"/>
  <c r="F1960" i="15"/>
  <c r="G1960" i="15"/>
  <c r="F1961" i="15"/>
  <c r="G1961" i="15"/>
  <c r="F1962" i="15"/>
  <c r="G1962" i="15"/>
  <c r="F1963" i="15"/>
  <c r="G1963" i="15"/>
  <c r="F1964" i="15"/>
  <c r="G1964" i="15"/>
  <c r="F1965" i="15"/>
  <c r="G1965" i="15"/>
  <c r="F1966" i="15"/>
  <c r="G1966" i="15"/>
  <c r="F1967" i="15"/>
  <c r="G1967" i="15"/>
  <c r="F1968" i="15"/>
  <c r="G1968" i="15"/>
  <c r="F1969" i="15"/>
  <c r="G1969" i="15"/>
  <c r="F1970" i="15"/>
  <c r="G1970" i="15"/>
  <c r="F1971" i="15"/>
  <c r="G1971" i="15"/>
  <c r="F1972" i="15"/>
  <c r="G1972" i="15"/>
  <c r="F1973" i="15"/>
  <c r="G1973" i="15"/>
  <c r="F1974" i="15"/>
  <c r="G1974" i="15"/>
  <c r="F1975" i="15"/>
  <c r="G1975" i="15"/>
  <c r="F1976" i="15"/>
  <c r="G1976" i="15"/>
  <c r="F1977" i="15"/>
  <c r="G1977" i="15"/>
  <c r="F1978" i="15"/>
  <c r="G1978" i="15"/>
  <c r="F1979" i="15"/>
  <c r="G1979" i="15"/>
  <c r="F1980" i="15"/>
  <c r="G1980" i="15"/>
  <c r="F1981" i="15"/>
  <c r="G1981" i="15"/>
  <c r="F1982" i="15"/>
  <c r="G1982" i="15"/>
  <c r="F1983" i="15"/>
  <c r="G1983" i="15"/>
  <c r="F1984" i="15"/>
  <c r="G1984" i="15"/>
  <c r="F1985" i="15"/>
  <c r="G1985" i="15"/>
  <c r="F1986" i="15"/>
  <c r="G1986" i="15"/>
  <c r="F1987" i="15"/>
  <c r="G1987" i="15"/>
  <c r="F1988" i="15"/>
  <c r="G1988" i="15"/>
  <c r="F1989" i="15"/>
  <c r="G1989" i="15"/>
  <c r="F1990" i="15"/>
  <c r="G1990" i="15"/>
  <c r="F1991" i="15"/>
  <c r="G1991" i="15"/>
  <c r="F1992" i="15"/>
  <c r="G1992" i="15"/>
  <c r="F1993" i="15"/>
  <c r="G1993" i="15"/>
  <c r="F1994" i="15"/>
  <c r="G1994" i="15"/>
  <c r="F1995" i="15"/>
  <c r="G1995" i="15"/>
  <c r="F1996" i="15"/>
  <c r="G1996" i="15"/>
  <c r="F1997" i="15"/>
  <c r="G1997" i="15"/>
  <c r="F1998" i="15"/>
  <c r="G1998" i="15"/>
  <c r="F1999" i="15"/>
  <c r="G1999" i="15"/>
  <c r="F2000" i="15"/>
  <c r="G2000" i="15"/>
  <c r="F2001" i="15"/>
  <c r="G2001" i="15"/>
  <c r="F2002" i="15"/>
  <c r="G2002" i="15"/>
  <c r="F2003" i="15"/>
  <c r="G2003" i="15"/>
  <c r="F2004" i="15"/>
  <c r="G2004" i="15"/>
  <c r="F2005" i="15"/>
  <c r="G2005" i="15"/>
  <c r="F2006" i="15"/>
  <c r="G2006" i="15"/>
  <c r="F2007" i="15"/>
  <c r="G2007" i="15"/>
  <c r="F2008" i="15"/>
  <c r="G2008" i="15"/>
  <c r="F2009" i="15"/>
  <c r="G2009" i="15"/>
  <c r="F2010" i="15"/>
  <c r="G2010" i="15"/>
  <c r="F2011" i="15"/>
  <c r="G2011" i="15"/>
  <c r="F2012" i="15"/>
  <c r="G2012" i="15"/>
  <c r="F2013" i="15"/>
  <c r="G2013" i="15"/>
  <c r="F2014" i="15"/>
  <c r="G2014" i="15"/>
  <c r="F2015" i="15"/>
  <c r="G2015" i="15"/>
  <c r="F2016" i="15"/>
  <c r="G2016" i="15"/>
  <c r="F2017" i="15"/>
  <c r="G2017" i="15"/>
  <c r="F2018" i="15"/>
  <c r="G2018" i="15"/>
  <c r="F2019" i="15"/>
  <c r="G2019" i="15"/>
  <c r="F2020" i="15"/>
  <c r="G2020" i="15"/>
  <c r="F2021" i="15"/>
  <c r="G2021" i="15"/>
  <c r="F2022" i="15"/>
  <c r="G2022" i="15"/>
  <c r="F2023" i="15"/>
  <c r="G2023" i="15"/>
  <c r="F2024" i="15"/>
  <c r="G2024" i="15"/>
  <c r="F2025" i="15"/>
  <c r="G2025" i="15"/>
  <c r="F2026" i="15"/>
  <c r="G2026" i="15"/>
  <c r="F2027" i="15"/>
  <c r="G2027" i="15"/>
  <c r="F2028" i="15"/>
  <c r="G2028" i="15"/>
  <c r="F2029" i="15"/>
  <c r="G2029" i="15"/>
  <c r="F2030" i="15"/>
  <c r="G2030" i="15"/>
  <c r="F2031" i="15"/>
  <c r="G2031" i="15"/>
  <c r="F2032" i="15"/>
  <c r="G2032" i="15"/>
  <c r="F2033" i="15"/>
  <c r="G2033" i="15"/>
  <c r="F2034" i="15"/>
  <c r="G2034" i="15"/>
  <c r="F2035" i="15"/>
  <c r="G2035" i="15"/>
  <c r="F2036" i="15"/>
  <c r="G2036" i="15"/>
  <c r="F2037" i="15"/>
  <c r="G2037" i="15"/>
  <c r="F2038" i="15"/>
  <c r="G2038" i="15"/>
  <c r="F2039" i="15"/>
  <c r="G2039" i="15"/>
  <c r="F2040" i="15"/>
  <c r="G2040" i="15"/>
  <c r="F2041" i="15"/>
  <c r="G2041" i="15"/>
  <c r="F2042" i="15"/>
  <c r="G2042" i="15"/>
  <c r="F2043" i="15"/>
  <c r="G2043" i="15"/>
  <c r="F2044" i="15"/>
  <c r="G2044" i="15"/>
  <c r="F2045" i="15"/>
  <c r="G2045" i="15"/>
  <c r="F2046" i="15"/>
  <c r="G2046" i="15"/>
  <c r="F2047" i="15"/>
  <c r="G2047" i="15"/>
  <c r="F2048" i="15"/>
  <c r="G2048" i="15"/>
  <c r="F2049" i="15"/>
  <c r="G2049" i="15"/>
  <c r="F2050" i="15"/>
  <c r="G2050" i="15"/>
  <c r="F2051" i="15"/>
  <c r="G2051" i="15"/>
  <c r="F2052" i="15"/>
  <c r="G2052" i="15"/>
  <c r="F2053" i="15"/>
  <c r="G2053" i="15"/>
  <c r="F2054" i="15"/>
  <c r="G2054" i="15"/>
  <c r="F2055" i="15"/>
  <c r="G2055" i="15"/>
  <c r="F2056" i="15"/>
  <c r="G2056" i="15"/>
  <c r="F2057" i="15"/>
  <c r="G2057" i="15"/>
  <c r="F2058" i="15"/>
  <c r="G2058" i="15"/>
  <c r="F2059" i="15"/>
  <c r="G2059" i="15"/>
  <c r="F2060" i="15"/>
  <c r="G2060" i="15"/>
  <c r="F2061" i="15"/>
  <c r="G2061" i="15"/>
  <c r="F2062" i="15"/>
  <c r="G2062" i="15"/>
  <c r="F2063" i="15"/>
  <c r="G2063" i="15"/>
  <c r="F2064" i="15"/>
  <c r="G2064" i="15"/>
  <c r="F2065" i="15"/>
  <c r="G2065" i="15"/>
  <c r="F2066" i="15"/>
  <c r="G2066" i="15"/>
  <c r="F2067" i="15"/>
  <c r="G2067" i="15"/>
  <c r="F2068" i="15"/>
  <c r="G2068" i="15"/>
  <c r="F2069" i="15"/>
  <c r="G2069" i="15"/>
  <c r="F2070" i="15"/>
  <c r="G2070" i="15"/>
  <c r="F2071" i="15"/>
  <c r="G2071" i="15"/>
  <c r="F2072" i="15"/>
  <c r="G2072" i="15"/>
  <c r="F2073" i="15"/>
  <c r="G2073" i="15"/>
  <c r="F2074" i="15"/>
  <c r="G2074" i="15"/>
  <c r="F2075" i="15"/>
  <c r="G2075" i="15"/>
  <c r="F2076" i="15"/>
  <c r="G2076" i="15"/>
  <c r="F2077" i="15"/>
  <c r="G2077" i="15"/>
  <c r="F2078" i="15"/>
  <c r="G2078" i="15"/>
  <c r="F2079" i="15"/>
  <c r="G2079" i="15"/>
  <c r="F2080" i="15"/>
  <c r="G2080" i="15"/>
  <c r="F2081" i="15"/>
  <c r="G2081" i="15"/>
  <c r="F2082" i="15"/>
  <c r="G2082" i="15"/>
  <c r="F2083" i="15"/>
  <c r="G2083" i="15"/>
  <c r="F2084" i="15"/>
  <c r="G2084" i="15"/>
  <c r="F2085" i="15"/>
  <c r="G2085" i="15"/>
  <c r="F2086" i="15"/>
  <c r="G2086" i="15"/>
  <c r="F2087" i="15"/>
  <c r="G2087" i="15"/>
  <c r="F2088" i="15"/>
  <c r="G2088" i="15"/>
  <c r="F2089" i="15"/>
  <c r="G2089" i="15"/>
  <c r="F2090" i="15"/>
  <c r="G2090" i="15"/>
  <c r="F2091" i="15"/>
  <c r="G2091" i="15"/>
  <c r="F2092" i="15"/>
  <c r="G2092" i="15"/>
  <c r="F2093" i="15"/>
  <c r="G2093" i="15"/>
  <c r="F2094" i="15"/>
  <c r="G2094" i="15"/>
  <c r="F2095" i="15"/>
  <c r="G2095" i="15"/>
  <c r="F2096" i="15"/>
  <c r="G2096" i="15"/>
  <c r="F2097" i="15"/>
  <c r="G2097" i="15"/>
  <c r="F2098" i="15"/>
  <c r="G2098" i="15"/>
  <c r="F2099" i="15"/>
  <c r="G2099" i="15"/>
  <c r="F2100" i="15"/>
  <c r="G2100" i="15"/>
  <c r="F2101" i="15"/>
  <c r="G2101" i="15"/>
  <c r="F2102" i="15"/>
  <c r="G2102" i="15"/>
  <c r="F2103" i="15"/>
  <c r="G2103" i="15"/>
  <c r="F2104" i="15"/>
  <c r="G2104" i="15"/>
  <c r="F2105" i="15"/>
  <c r="G2105" i="15"/>
  <c r="F2106" i="15"/>
  <c r="G2106" i="15"/>
  <c r="F2107" i="15"/>
  <c r="G2107" i="15"/>
  <c r="F2108" i="15"/>
  <c r="G2108" i="15"/>
  <c r="F2109" i="15"/>
  <c r="G2109" i="15"/>
  <c r="F2110" i="15"/>
  <c r="G2110" i="15"/>
  <c r="F2111" i="15"/>
  <c r="G2111" i="15"/>
  <c r="F2112" i="15"/>
  <c r="G2112" i="15"/>
  <c r="F2113" i="15"/>
  <c r="G2113" i="15"/>
  <c r="F2114" i="15"/>
  <c r="G2114" i="15"/>
  <c r="F2115" i="15"/>
  <c r="G2115" i="15"/>
  <c r="F2116" i="15"/>
  <c r="G2116" i="15"/>
  <c r="F2117" i="15"/>
  <c r="G2117" i="15"/>
  <c r="F2118" i="15"/>
  <c r="G2118" i="15"/>
  <c r="F2119" i="15"/>
  <c r="G2119" i="15"/>
  <c r="F2120" i="15"/>
  <c r="G2120" i="15"/>
  <c r="F2121" i="15"/>
  <c r="G2121" i="15"/>
  <c r="F2122" i="15"/>
  <c r="G2122" i="15"/>
  <c r="F2123" i="15"/>
  <c r="G2123" i="15"/>
  <c r="F2124" i="15"/>
  <c r="G2124" i="15"/>
  <c r="F2125" i="15"/>
  <c r="G2125" i="15"/>
  <c r="F2126" i="15"/>
  <c r="G2126" i="15"/>
  <c r="F2127" i="15"/>
  <c r="G2127" i="15"/>
  <c r="F2128" i="15"/>
  <c r="G2128" i="15"/>
  <c r="F2129" i="15"/>
  <c r="G2129" i="15"/>
  <c r="F2130" i="15"/>
  <c r="G2130" i="15"/>
  <c r="F2131" i="15"/>
  <c r="G2131" i="15"/>
  <c r="F2132" i="15"/>
  <c r="G2132" i="15"/>
  <c r="F2133" i="15"/>
  <c r="G2133" i="15"/>
  <c r="F2134" i="15"/>
  <c r="G2134" i="15"/>
  <c r="F2135" i="15"/>
  <c r="G2135" i="15"/>
  <c r="F2136" i="15"/>
  <c r="G2136" i="15"/>
  <c r="F2137" i="15"/>
  <c r="G2137" i="15"/>
  <c r="F2138" i="15"/>
  <c r="G2138" i="15"/>
  <c r="F2139" i="15"/>
  <c r="G2139" i="15"/>
  <c r="F2140" i="15"/>
  <c r="G2140" i="15"/>
  <c r="F2141" i="15"/>
  <c r="G2141" i="15"/>
  <c r="F2142" i="15"/>
  <c r="G2142" i="15"/>
  <c r="F2143" i="15"/>
  <c r="G2143" i="15"/>
  <c r="F2144" i="15"/>
  <c r="G2144" i="15"/>
  <c r="F2145" i="15"/>
  <c r="G2145" i="15"/>
  <c r="F2146" i="15"/>
  <c r="G2146" i="15"/>
  <c r="F2147" i="15"/>
  <c r="G2147" i="15"/>
  <c r="F2148" i="15"/>
  <c r="G2148" i="15"/>
  <c r="F2149" i="15"/>
  <c r="G2149" i="15"/>
  <c r="F2150" i="15"/>
  <c r="G2150" i="15"/>
  <c r="F2151" i="15"/>
  <c r="G2151" i="15"/>
  <c r="F2152" i="15"/>
  <c r="G2152" i="15"/>
  <c r="F2153" i="15"/>
  <c r="G2153" i="15"/>
  <c r="F2154" i="15"/>
  <c r="G2154" i="15"/>
  <c r="F2155" i="15"/>
  <c r="G2155" i="15"/>
  <c r="F2156" i="15"/>
  <c r="G2156" i="15"/>
  <c r="F2157" i="15"/>
  <c r="G2157" i="15"/>
  <c r="F2158" i="15"/>
  <c r="G2158" i="15"/>
  <c r="F2159" i="15"/>
  <c r="G2159" i="15"/>
  <c r="F2160" i="15"/>
  <c r="G2160" i="15"/>
  <c r="F2161" i="15"/>
  <c r="G2161" i="15"/>
  <c r="F2162" i="15"/>
  <c r="G2162" i="15"/>
  <c r="F2163" i="15"/>
  <c r="G2163" i="15"/>
  <c r="F2164" i="15"/>
  <c r="G2164" i="15"/>
  <c r="F2165" i="15"/>
  <c r="G2165" i="15"/>
  <c r="F2166" i="15"/>
  <c r="G2166" i="15"/>
  <c r="F2167" i="15"/>
  <c r="G2167" i="15"/>
  <c r="F2168" i="15"/>
  <c r="G2168" i="15"/>
  <c r="F2169" i="15"/>
  <c r="G2169" i="15"/>
  <c r="F2170" i="15"/>
  <c r="G2170" i="15"/>
  <c r="F2171" i="15"/>
  <c r="G2171" i="15"/>
  <c r="F2172" i="15"/>
  <c r="G2172" i="15"/>
  <c r="F2173" i="15"/>
  <c r="G2173" i="15"/>
  <c r="F2174" i="15"/>
  <c r="G2174" i="15"/>
  <c r="F2175" i="15"/>
  <c r="G2175" i="15"/>
  <c r="F2176" i="15"/>
  <c r="G2176" i="15"/>
  <c r="F2177" i="15"/>
  <c r="G2177" i="15"/>
  <c r="F2178" i="15"/>
  <c r="G2178" i="15"/>
  <c r="F2179" i="15"/>
  <c r="G2179" i="15"/>
  <c r="F2180" i="15"/>
  <c r="G2180" i="15"/>
  <c r="F2181" i="15"/>
  <c r="G2181" i="15"/>
  <c r="F2182" i="15"/>
  <c r="G2182" i="15"/>
  <c r="F2183" i="15"/>
  <c r="G2183" i="15"/>
  <c r="F2184" i="15"/>
  <c r="G2184" i="15"/>
  <c r="F2185" i="15"/>
  <c r="G2185" i="15"/>
  <c r="F2186" i="15"/>
  <c r="G2186" i="15"/>
  <c r="F2187" i="15"/>
  <c r="G2187" i="15"/>
  <c r="F2188" i="15"/>
  <c r="G2188" i="15"/>
  <c r="F2189" i="15"/>
  <c r="G2189" i="15"/>
  <c r="F2190" i="15"/>
  <c r="G2190" i="15"/>
  <c r="F2191" i="15"/>
  <c r="G2191" i="15"/>
  <c r="F2192" i="15"/>
  <c r="G2192" i="15"/>
  <c r="F2193" i="15"/>
  <c r="G2193" i="15"/>
  <c r="F2194" i="15"/>
  <c r="G2194" i="15"/>
  <c r="F2195" i="15"/>
  <c r="G2195" i="15"/>
  <c r="F2196" i="15"/>
  <c r="G2196" i="15"/>
  <c r="F2197" i="15"/>
  <c r="G2197" i="15"/>
  <c r="F2198" i="15"/>
  <c r="G2198" i="15"/>
  <c r="F2199" i="15"/>
  <c r="G2199" i="15"/>
  <c r="F2200" i="15"/>
  <c r="G2200" i="15"/>
  <c r="F2201" i="15"/>
  <c r="G2201" i="15"/>
  <c r="F2202" i="15"/>
  <c r="G2202" i="15"/>
  <c r="F2203" i="15"/>
  <c r="G2203" i="15"/>
  <c r="F2204" i="15"/>
  <c r="G2204" i="15"/>
  <c r="F2205" i="15"/>
  <c r="G2205" i="15"/>
  <c r="F2206" i="15"/>
  <c r="G2206" i="15"/>
  <c r="F2207" i="15"/>
  <c r="G2207" i="15"/>
  <c r="F2208" i="15"/>
  <c r="G2208" i="15"/>
  <c r="F2209" i="15"/>
  <c r="G2209" i="15"/>
  <c r="F2210" i="15"/>
  <c r="G2210" i="15"/>
  <c r="F2211" i="15"/>
  <c r="G2211" i="15"/>
  <c r="F2212" i="15"/>
  <c r="G2212" i="15"/>
  <c r="F2213" i="15"/>
  <c r="G2213" i="15"/>
  <c r="F2214" i="15"/>
  <c r="G2214" i="15"/>
  <c r="F2215" i="15"/>
  <c r="G2215" i="15"/>
  <c r="F2216" i="15"/>
  <c r="G2216" i="15"/>
  <c r="F2217" i="15"/>
  <c r="G2217" i="15"/>
  <c r="F2218" i="15"/>
  <c r="G2218" i="15"/>
  <c r="F2219" i="15"/>
  <c r="G2219" i="15"/>
  <c r="F2220" i="15"/>
  <c r="G2220" i="15"/>
  <c r="F2221" i="15"/>
  <c r="G2221" i="15"/>
  <c r="F2222" i="15"/>
  <c r="G2222" i="15"/>
  <c r="F2223" i="15"/>
  <c r="G2223" i="15"/>
  <c r="F2224" i="15"/>
  <c r="G2224" i="15"/>
  <c r="F2225" i="15"/>
  <c r="G2225" i="15"/>
  <c r="F2226" i="15"/>
  <c r="G2226" i="15"/>
  <c r="F2227" i="15"/>
  <c r="G2227" i="15"/>
  <c r="F2228" i="15"/>
  <c r="G2228" i="15"/>
  <c r="F2229" i="15"/>
  <c r="G2229" i="15"/>
  <c r="F2230" i="15"/>
  <c r="G2230" i="15"/>
  <c r="F2231" i="15"/>
  <c r="G2231" i="15"/>
  <c r="F2232" i="15"/>
  <c r="G2232" i="15"/>
  <c r="F2233" i="15"/>
  <c r="G2233" i="15"/>
  <c r="F2234" i="15"/>
  <c r="G2234" i="15"/>
  <c r="F2235" i="15"/>
  <c r="G2235" i="15"/>
  <c r="F2236" i="15"/>
  <c r="G2236" i="15"/>
  <c r="F2237" i="15"/>
  <c r="G2237" i="15"/>
  <c r="F2238" i="15"/>
  <c r="G2238" i="15"/>
  <c r="F2239" i="15"/>
  <c r="G2239" i="15"/>
  <c r="F2240" i="15"/>
  <c r="G2240" i="15"/>
  <c r="F2241" i="15"/>
  <c r="G2241" i="15"/>
  <c r="F2242" i="15"/>
  <c r="G2242" i="15"/>
  <c r="F2243" i="15"/>
  <c r="G2243" i="15"/>
  <c r="F2244" i="15"/>
  <c r="G2244" i="15"/>
  <c r="F2245" i="15"/>
  <c r="G2245" i="15"/>
  <c r="F2246" i="15"/>
  <c r="G2246" i="15"/>
  <c r="F2247" i="15"/>
  <c r="G2247" i="15"/>
  <c r="F2248" i="15"/>
  <c r="G2248" i="15"/>
  <c r="F2249" i="15"/>
  <c r="G2249" i="15"/>
  <c r="F2250" i="15"/>
  <c r="G2250" i="15"/>
  <c r="F2251" i="15"/>
  <c r="G2251" i="15"/>
  <c r="F2252" i="15"/>
  <c r="G2252" i="15"/>
  <c r="F2253" i="15"/>
  <c r="G2253" i="15"/>
  <c r="F2254" i="15"/>
  <c r="G2254" i="15"/>
  <c r="F2255" i="15"/>
  <c r="G2255" i="15"/>
  <c r="F2256" i="15"/>
  <c r="G2256" i="15"/>
  <c r="F2257" i="15"/>
  <c r="G2257" i="15"/>
  <c r="F2258" i="15"/>
  <c r="G2258" i="15"/>
  <c r="F2259" i="15"/>
  <c r="G2259" i="15"/>
  <c r="F2260" i="15"/>
  <c r="G2260" i="15"/>
  <c r="F2261" i="15"/>
  <c r="G2261" i="15"/>
  <c r="F2262" i="15"/>
  <c r="G2262" i="15"/>
  <c r="F2263" i="15"/>
  <c r="G2263" i="15"/>
  <c r="F2264" i="15"/>
  <c r="G2264" i="15"/>
  <c r="F2265" i="15"/>
  <c r="G2265" i="15"/>
  <c r="F2266" i="15"/>
  <c r="G2266" i="15"/>
  <c r="F2267" i="15"/>
  <c r="G2267" i="15"/>
  <c r="F2268" i="15"/>
  <c r="G2268" i="15"/>
  <c r="F2269" i="15"/>
  <c r="G2269" i="15"/>
  <c r="F2270" i="15"/>
  <c r="G2270" i="15"/>
  <c r="F2271" i="15"/>
  <c r="G2271" i="15"/>
  <c r="F2272" i="15"/>
  <c r="G2272" i="15"/>
  <c r="F2273" i="15"/>
  <c r="G2273" i="15"/>
  <c r="F2274" i="15"/>
  <c r="G2274" i="15"/>
  <c r="F2275" i="15"/>
  <c r="G2275" i="15"/>
  <c r="F2276" i="15"/>
  <c r="G2276" i="15"/>
  <c r="F2277" i="15"/>
  <c r="G2277" i="15"/>
  <c r="F2278" i="15"/>
  <c r="G2278" i="15"/>
  <c r="F2279" i="15"/>
  <c r="G2279" i="15"/>
  <c r="F2280" i="15"/>
  <c r="G2280" i="15"/>
  <c r="F2281" i="15"/>
  <c r="G2281" i="15"/>
  <c r="F2282" i="15"/>
  <c r="G2282" i="15"/>
  <c r="F2283" i="15"/>
  <c r="G2283" i="15"/>
  <c r="F2284" i="15"/>
  <c r="G2284" i="15"/>
  <c r="F2285" i="15"/>
  <c r="G2285" i="15"/>
  <c r="F2286" i="15"/>
  <c r="G2286" i="15"/>
  <c r="F2287" i="15"/>
  <c r="G2287" i="15"/>
  <c r="F2288" i="15"/>
  <c r="G2288" i="15"/>
  <c r="F2289" i="15"/>
  <c r="G2289" i="15"/>
  <c r="F2290" i="15"/>
  <c r="G2290" i="15"/>
  <c r="F2291" i="15"/>
  <c r="G2291" i="15"/>
  <c r="F2292" i="15"/>
  <c r="G2292" i="15"/>
  <c r="F2293" i="15"/>
  <c r="G2293" i="15"/>
  <c r="F2294" i="15"/>
  <c r="G2294" i="15"/>
  <c r="F2295" i="15"/>
  <c r="G2295" i="15"/>
  <c r="F2296" i="15"/>
  <c r="G2296" i="15"/>
  <c r="F2297" i="15"/>
  <c r="G2297" i="15"/>
  <c r="F2298" i="15"/>
  <c r="G2298" i="15"/>
  <c r="F2299" i="15"/>
  <c r="G2299" i="15"/>
  <c r="F2300" i="15"/>
  <c r="G2300" i="15"/>
  <c r="F2301" i="15"/>
  <c r="G2301" i="15"/>
  <c r="F2302" i="15"/>
  <c r="G2302" i="15"/>
  <c r="F2303" i="15"/>
  <c r="G2303" i="15"/>
  <c r="F2304" i="15"/>
  <c r="G2304" i="15"/>
  <c r="F2305" i="15"/>
  <c r="G2305" i="15"/>
  <c r="F2306" i="15"/>
  <c r="G2306" i="15"/>
  <c r="F2307" i="15"/>
  <c r="G2307" i="15"/>
  <c r="F2308" i="15"/>
  <c r="G2308" i="15"/>
  <c r="F2309" i="15"/>
  <c r="G2309" i="15"/>
  <c r="F2310" i="15"/>
  <c r="G2310" i="15"/>
  <c r="F2311" i="15"/>
  <c r="G2311" i="15"/>
  <c r="F2312" i="15"/>
  <c r="G2312" i="15"/>
  <c r="F2313" i="15"/>
  <c r="G2313" i="15"/>
  <c r="F2314" i="15"/>
  <c r="G2314" i="15"/>
  <c r="F2315" i="15"/>
  <c r="G2315" i="15"/>
  <c r="F2316" i="15"/>
  <c r="G2316" i="15"/>
  <c r="F2317" i="15"/>
  <c r="G2317" i="15"/>
  <c r="F2318" i="15"/>
  <c r="G2318" i="15"/>
  <c r="F2319" i="15"/>
  <c r="G2319" i="15"/>
  <c r="F2320" i="15"/>
  <c r="G2320" i="15"/>
  <c r="F2321" i="15"/>
  <c r="G2321" i="15"/>
  <c r="F2322" i="15"/>
  <c r="G2322" i="15"/>
  <c r="F2323" i="15"/>
  <c r="G2323" i="15"/>
  <c r="F2324" i="15"/>
  <c r="G2324" i="15"/>
  <c r="F2325" i="15"/>
  <c r="G2325" i="15"/>
  <c r="F2326" i="15"/>
  <c r="G2326" i="15"/>
  <c r="F2327" i="15"/>
  <c r="G2327" i="15"/>
  <c r="F2328" i="15"/>
  <c r="G2328" i="15"/>
  <c r="F2329" i="15"/>
  <c r="G2329" i="15"/>
  <c r="F2330" i="15"/>
  <c r="G2330" i="15"/>
  <c r="F2331" i="15"/>
  <c r="G2331" i="15"/>
  <c r="F2332" i="15"/>
  <c r="G2332" i="15"/>
  <c r="F2333" i="15"/>
  <c r="G2333" i="15"/>
  <c r="F2334" i="15"/>
  <c r="G2334" i="15"/>
  <c r="F2335" i="15"/>
  <c r="G2335" i="15"/>
  <c r="F2336" i="15"/>
  <c r="G2336" i="15"/>
  <c r="F2337" i="15"/>
  <c r="G2337" i="15"/>
  <c r="F2338" i="15"/>
  <c r="G2338" i="15"/>
  <c r="F2339" i="15"/>
  <c r="G2339" i="15"/>
  <c r="F2340" i="15"/>
  <c r="G2340" i="15"/>
  <c r="F2341" i="15"/>
  <c r="G2341" i="15"/>
  <c r="F2342" i="15"/>
  <c r="G2342" i="15"/>
  <c r="F2343" i="15"/>
  <c r="G2343" i="15"/>
  <c r="F2344" i="15"/>
  <c r="G2344" i="15"/>
  <c r="F2345" i="15"/>
  <c r="G2345" i="15"/>
  <c r="F2346" i="15"/>
  <c r="G2346" i="15"/>
  <c r="F2347" i="15"/>
  <c r="G2347" i="15"/>
  <c r="F2348" i="15"/>
  <c r="G2348" i="15"/>
  <c r="F2349" i="15"/>
  <c r="G2349" i="15"/>
  <c r="F2350" i="15"/>
  <c r="G2350" i="15"/>
  <c r="F2351" i="15"/>
  <c r="G2351" i="15"/>
  <c r="F2352" i="15"/>
  <c r="G2352" i="15"/>
  <c r="F2353" i="15"/>
  <c r="G2353" i="15"/>
  <c r="F2354" i="15"/>
  <c r="G2354" i="15"/>
  <c r="F2355" i="15"/>
  <c r="G2355" i="15"/>
  <c r="F2356" i="15"/>
  <c r="G2356" i="15"/>
  <c r="F2357" i="15"/>
  <c r="G2357" i="15"/>
  <c r="F2358" i="15"/>
  <c r="G2358" i="15"/>
  <c r="F2359" i="15"/>
  <c r="G2359" i="15"/>
  <c r="F2360" i="15"/>
  <c r="G2360" i="15"/>
  <c r="F2361" i="15"/>
  <c r="G2361" i="15"/>
  <c r="F2362" i="15"/>
  <c r="G2362" i="15"/>
  <c r="F2363" i="15"/>
  <c r="G2363" i="15"/>
  <c r="F2364" i="15"/>
  <c r="G2364" i="15"/>
  <c r="F2365" i="15"/>
  <c r="G2365" i="15"/>
  <c r="F2366" i="15"/>
  <c r="G2366" i="15"/>
  <c r="F2367" i="15"/>
  <c r="G2367" i="15"/>
  <c r="F2368" i="15"/>
  <c r="G2368" i="15"/>
  <c r="F2369" i="15"/>
  <c r="G2369" i="15"/>
  <c r="F2370" i="15"/>
  <c r="G2370" i="15"/>
  <c r="F2371" i="15"/>
  <c r="G2371" i="15"/>
  <c r="F2372" i="15"/>
  <c r="G2372" i="15"/>
  <c r="F2373" i="15"/>
  <c r="G2373" i="15"/>
  <c r="F2374" i="15"/>
  <c r="G2374" i="15"/>
  <c r="F2375" i="15"/>
  <c r="G2375" i="15"/>
  <c r="F2376" i="15"/>
  <c r="G2376" i="15"/>
  <c r="F2377" i="15"/>
  <c r="G2377" i="15"/>
  <c r="F2378" i="15"/>
  <c r="G2378" i="15"/>
  <c r="F2379" i="15"/>
  <c r="G2379" i="15"/>
  <c r="F2380" i="15"/>
  <c r="G2380" i="15"/>
  <c r="F2381" i="15"/>
  <c r="G2381" i="15"/>
  <c r="F2382" i="15"/>
  <c r="G2382" i="15"/>
  <c r="F2383" i="15"/>
  <c r="G2383" i="15"/>
  <c r="F2384" i="15"/>
  <c r="G2384" i="15"/>
  <c r="F2385" i="15"/>
  <c r="G2385" i="15"/>
  <c r="F2386" i="15"/>
  <c r="G2386" i="15"/>
  <c r="F2387" i="15"/>
  <c r="G2387" i="15"/>
  <c r="F2388" i="15"/>
  <c r="G2388" i="15"/>
  <c r="F2389" i="15"/>
  <c r="G2389" i="15"/>
  <c r="F2390" i="15"/>
  <c r="G2390" i="15"/>
  <c r="F2391" i="15"/>
  <c r="G2391" i="15"/>
  <c r="F2392" i="15"/>
  <c r="G2392" i="15"/>
  <c r="F2393" i="15"/>
  <c r="G2393" i="15"/>
  <c r="F2394" i="15"/>
  <c r="G2394" i="15"/>
  <c r="F2395" i="15"/>
  <c r="G2395" i="15"/>
  <c r="F2396" i="15"/>
  <c r="G2396" i="15"/>
  <c r="F2397" i="15"/>
  <c r="G2397" i="15"/>
  <c r="F2398" i="15"/>
  <c r="G2398" i="15"/>
  <c r="F2399" i="15"/>
  <c r="G2399" i="15"/>
  <c r="F2400" i="15"/>
  <c r="G2400" i="15"/>
  <c r="F2401" i="15"/>
  <c r="G2401" i="15"/>
  <c r="F2402" i="15"/>
  <c r="G2402" i="15"/>
  <c r="F2403" i="15"/>
  <c r="G2403" i="15"/>
  <c r="F2404" i="15"/>
  <c r="G2404" i="15"/>
  <c r="F2405" i="15"/>
  <c r="G2405" i="15"/>
  <c r="F2406" i="15"/>
  <c r="G2406" i="15"/>
  <c r="F2407" i="15"/>
  <c r="G2407" i="15"/>
  <c r="F2408" i="15"/>
  <c r="G2408" i="15"/>
  <c r="F2409" i="15"/>
  <c r="G2409" i="15"/>
  <c r="F2410" i="15"/>
  <c r="G2410" i="15"/>
  <c r="F2411" i="15"/>
  <c r="G2411" i="15"/>
  <c r="F2412" i="15"/>
  <c r="G2412" i="15"/>
  <c r="F2413" i="15"/>
  <c r="G2413" i="15"/>
  <c r="F2414" i="15"/>
  <c r="G2414" i="15"/>
  <c r="F2415" i="15"/>
  <c r="G2415" i="15"/>
  <c r="F2416" i="15"/>
  <c r="G2416" i="15"/>
  <c r="F2417" i="15"/>
  <c r="G2417" i="15"/>
  <c r="F2418" i="15"/>
  <c r="G2418" i="15"/>
  <c r="F2419" i="15"/>
  <c r="G2419" i="15"/>
  <c r="F2420" i="15"/>
  <c r="G2420" i="15"/>
  <c r="F2421" i="15"/>
  <c r="G2421" i="15"/>
  <c r="F2422" i="15"/>
  <c r="G2422" i="15"/>
  <c r="F2423" i="15"/>
  <c r="G2423" i="15"/>
  <c r="F2424" i="15"/>
  <c r="G2424" i="15"/>
  <c r="F2425" i="15"/>
  <c r="G2425" i="15"/>
  <c r="F2426" i="15"/>
  <c r="G2426" i="15"/>
  <c r="F2427" i="15"/>
  <c r="G2427" i="15"/>
  <c r="F2428" i="15"/>
  <c r="G2428" i="15"/>
  <c r="F2429" i="15"/>
  <c r="G2429" i="15"/>
  <c r="F2430" i="15"/>
  <c r="G2430" i="15"/>
  <c r="F2431" i="15"/>
  <c r="G2431" i="15"/>
  <c r="F2432" i="15"/>
  <c r="G2432" i="15"/>
  <c r="F2433" i="15"/>
  <c r="G2433" i="15"/>
  <c r="F2434" i="15"/>
  <c r="G2434" i="15"/>
  <c r="F2435" i="15"/>
  <c r="G2435" i="15"/>
  <c r="F2436" i="15"/>
  <c r="G2436" i="15"/>
  <c r="F2437" i="15"/>
  <c r="G2437" i="15"/>
  <c r="F2438" i="15"/>
  <c r="G2438" i="15"/>
  <c r="F2439" i="15"/>
  <c r="G2439" i="15"/>
  <c r="F2440" i="15"/>
  <c r="G2440" i="15"/>
  <c r="F2441" i="15"/>
  <c r="G2441" i="15"/>
  <c r="F2442" i="15"/>
  <c r="G2442" i="15"/>
  <c r="F2443" i="15"/>
  <c r="G2443" i="15"/>
  <c r="F2444" i="15"/>
  <c r="G2444" i="15"/>
  <c r="F2445" i="15"/>
  <c r="G2445" i="15"/>
  <c r="F2446" i="15"/>
  <c r="G2446" i="15"/>
  <c r="F2447" i="15"/>
  <c r="G2447" i="15"/>
  <c r="F2448" i="15"/>
  <c r="G2448" i="15"/>
  <c r="F2449" i="15"/>
  <c r="G2449" i="15"/>
  <c r="F2450" i="15"/>
  <c r="G2450" i="15"/>
  <c r="F2451" i="15"/>
  <c r="G2451" i="15"/>
  <c r="F2452" i="15"/>
  <c r="G2452" i="15"/>
  <c r="F2453" i="15"/>
  <c r="G2453" i="15"/>
  <c r="F2454" i="15"/>
  <c r="G2454" i="15"/>
  <c r="F2455" i="15"/>
  <c r="G2455" i="15"/>
  <c r="F2456" i="15"/>
  <c r="G2456" i="15"/>
  <c r="F2457" i="15"/>
  <c r="G2457" i="15"/>
  <c r="F2458" i="15"/>
  <c r="G2458" i="15"/>
  <c r="F2459" i="15"/>
  <c r="G2459" i="15"/>
  <c r="F2460" i="15"/>
  <c r="G2460" i="15"/>
  <c r="F2461" i="15"/>
  <c r="G2461" i="15"/>
  <c r="F2462" i="15"/>
  <c r="G2462" i="15"/>
  <c r="F2463" i="15"/>
  <c r="G2463" i="15"/>
  <c r="F2464" i="15"/>
  <c r="G2464" i="15"/>
  <c r="F2465" i="15"/>
  <c r="G2465" i="15"/>
  <c r="F2466" i="15"/>
  <c r="G2466" i="15"/>
  <c r="F2467" i="15"/>
  <c r="G2467" i="15"/>
  <c r="F2468" i="15"/>
  <c r="G2468" i="15"/>
  <c r="F2469" i="15"/>
  <c r="G2469" i="15"/>
  <c r="F2470" i="15"/>
  <c r="G2470" i="15"/>
  <c r="F2471" i="15"/>
  <c r="G2471" i="15"/>
  <c r="F2472" i="15"/>
  <c r="G2472" i="15"/>
  <c r="F2473" i="15"/>
  <c r="G2473" i="15"/>
  <c r="F2474" i="15"/>
  <c r="G2474" i="15"/>
  <c r="F2475" i="15"/>
  <c r="G2475" i="15"/>
  <c r="F2476" i="15"/>
  <c r="G2476" i="15"/>
  <c r="F2477" i="15"/>
  <c r="G2477" i="15"/>
  <c r="F2478" i="15"/>
  <c r="G2478" i="15"/>
  <c r="F2479" i="15"/>
  <c r="G2479" i="15"/>
  <c r="F2480" i="15"/>
  <c r="G2480" i="15"/>
  <c r="F2481" i="15"/>
  <c r="G2481" i="15"/>
  <c r="F2482" i="15"/>
  <c r="G2482" i="15"/>
  <c r="F2483" i="15"/>
  <c r="G2483" i="15"/>
  <c r="F2484" i="15"/>
  <c r="G2484" i="15"/>
  <c r="F2485" i="15"/>
  <c r="G2485" i="15"/>
  <c r="F2486" i="15"/>
  <c r="G2486" i="15"/>
  <c r="F2487" i="15"/>
  <c r="G2487" i="15"/>
  <c r="F2488" i="15"/>
  <c r="G2488" i="15"/>
  <c r="F2489" i="15"/>
  <c r="G2489" i="15"/>
  <c r="F2490" i="15"/>
  <c r="G2490" i="15"/>
  <c r="F2491" i="15"/>
  <c r="G2491" i="15"/>
  <c r="F2492" i="15"/>
  <c r="G2492" i="15"/>
  <c r="F2493" i="15"/>
  <c r="G2493" i="15"/>
  <c r="F2494" i="15"/>
  <c r="G2494" i="15"/>
  <c r="F2495" i="15"/>
  <c r="G2495" i="15"/>
  <c r="F2496" i="15"/>
  <c r="G2496" i="15"/>
  <c r="F2497" i="15"/>
  <c r="G2497" i="15"/>
  <c r="F2498" i="15"/>
  <c r="G2498" i="15"/>
  <c r="F2499" i="15"/>
  <c r="G2499" i="15"/>
  <c r="F2500" i="15"/>
  <c r="G2500" i="15"/>
  <c r="F2501" i="15"/>
  <c r="G2501" i="15"/>
  <c r="F2502" i="15"/>
  <c r="G2502" i="15"/>
  <c r="F2503" i="15"/>
  <c r="G2503" i="15"/>
  <c r="F2504" i="15"/>
  <c r="G2504" i="15"/>
  <c r="F2505" i="15"/>
  <c r="G2505" i="15"/>
  <c r="F2506" i="15"/>
  <c r="G2506" i="15"/>
  <c r="F2507" i="15"/>
  <c r="G2507" i="15"/>
  <c r="F2508" i="15"/>
  <c r="G2508" i="15"/>
  <c r="F2509" i="15"/>
  <c r="G2509" i="15"/>
  <c r="F2510" i="15"/>
  <c r="G2510" i="15"/>
  <c r="F2511" i="15"/>
  <c r="G2511" i="15"/>
  <c r="F2512" i="15"/>
  <c r="G2512" i="15"/>
  <c r="F2513" i="15"/>
  <c r="G2513" i="15"/>
  <c r="F2514" i="15"/>
  <c r="G2514" i="15"/>
  <c r="F2515" i="15"/>
  <c r="G2515" i="15"/>
  <c r="F2516" i="15"/>
  <c r="G2516" i="15"/>
  <c r="F2517" i="15"/>
  <c r="G2517" i="15"/>
  <c r="F2518" i="15"/>
  <c r="G2518" i="15"/>
  <c r="F2519" i="15"/>
  <c r="G2519" i="15"/>
  <c r="F2520" i="15"/>
  <c r="G2520" i="15"/>
  <c r="F2521" i="15"/>
  <c r="G2521" i="15"/>
  <c r="F2522" i="15"/>
  <c r="G2522" i="15"/>
  <c r="F2523" i="15"/>
  <c r="G2523" i="15"/>
  <c r="F2524" i="15"/>
  <c r="G2524" i="15"/>
  <c r="F2525" i="15"/>
  <c r="G2525" i="15"/>
  <c r="F2526" i="15"/>
  <c r="G2526" i="15"/>
  <c r="F2527" i="15"/>
  <c r="G2527" i="15"/>
  <c r="F2528" i="15"/>
  <c r="G2528" i="15"/>
  <c r="F2529" i="15"/>
  <c r="G2529" i="15"/>
  <c r="F2530" i="15"/>
  <c r="G2530" i="15"/>
  <c r="F2531" i="15"/>
  <c r="G2531" i="15"/>
  <c r="F2532" i="15"/>
  <c r="G2532" i="15"/>
  <c r="F2533" i="15"/>
  <c r="G2533" i="15"/>
  <c r="F2534" i="15"/>
  <c r="G2534" i="15"/>
  <c r="F2535" i="15"/>
  <c r="G2535" i="15"/>
  <c r="F2536" i="15"/>
  <c r="G2536" i="15"/>
  <c r="F2537" i="15"/>
  <c r="G2537" i="15"/>
  <c r="F2538" i="15"/>
  <c r="G2538" i="15"/>
  <c r="F2539" i="15"/>
  <c r="G2539" i="15"/>
  <c r="F2540" i="15"/>
  <c r="G2540" i="15"/>
  <c r="F2541" i="15"/>
  <c r="G2541" i="15"/>
  <c r="F2542" i="15"/>
  <c r="G2542" i="15"/>
  <c r="F2543" i="15"/>
  <c r="G2543" i="15"/>
  <c r="F2544" i="15"/>
  <c r="G2544" i="15"/>
  <c r="F2545" i="15"/>
  <c r="G2545" i="15"/>
  <c r="F2546" i="15"/>
  <c r="G2546" i="15"/>
  <c r="F2547" i="15"/>
  <c r="G2547" i="15"/>
  <c r="F2548" i="15"/>
  <c r="G2548" i="15"/>
  <c r="F2549" i="15"/>
  <c r="G2549" i="15"/>
  <c r="F2550" i="15"/>
  <c r="G2550" i="15"/>
  <c r="F2551" i="15"/>
  <c r="G2551" i="15"/>
  <c r="F2552" i="15"/>
  <c r="G2552" i="15"/>
  <c r="F2553" i="15"/>
  <c r="G2553" i="15"/>
  <c r="F2554" i="15"/>
  <c r="G2554" i="15"/>
  <c r="F2555" i="15"/>
  <c r="G2555" i="15"/>
  <c r="F2556" i="15"/>
  <c r="G2556" i="15"/>
  <c r="F2557" i="15"/>
  <c r="G2557" i="15"/>
  <c r="F2558" i="15"/>
  <c r="G2558" i="15"/>
  <c r="F2559" i="15"/>
  <c r="G2559" i="15"/>
  <c r="F2560" i="15"/>
  <c r="G2560" i="15"/>
  <c r="F2561" i="15"/>
  <c r="G2561" i="15"/>
  <c r="F2562" i="15"/>
  <c r="G2562" i="15"/>
  <c r="F2563" i="15"/>
  <c r="G2563" i="15"/>
  <c r="F2564" i="15"/>
  <c r="G2564" i="15"/>
  <c r="F2565" i="15"/>
  <c r="G2565" i="15"/>
  <c r="F2566" i="15"/>
  <c r="G2566" i="15"/>
  <c r="F2567" i="15"/>
  <c r="G2567" i="15"/>
  <c r="F2568" i="15"/>
  <c r="G2568" i="15"/>
  <c r="F2569" i="15"/>
  <c r="G2569" i="15"/>
  <c r="F2570" i="15"/>
  <c r="G2570" i="15"/>
  <c r="F2571" i="15"/>
  <c r="G2571" i="15"/>
  <c r="F2572" i="15"/>
  <c r="G2572" i="15"/>
  <c r="F2573" i="15"/>
  <c r="G2573" i="15"/>
  <c r="F2574" i="15"/>
  <c r="G2574" i="15"/>
  <c r="F2575" i="15"/>
  <c r="G2575" i="15"/>
  <c r="F2576" i="15"/>
  <c r="G2576" i="15"/>
  <c r="F2577" i="15"/>
  <c r="G2577" i="15"/>
  <c r="F2578" i="15"/>
  <c r="G2578" i="15"/>
  <c r="F2579" i="15"/>
  <c r="G2579" i="15"/>
  <c r="F2580" i="15"/>
  <c r="G2580" i="15"/>
  <c r="F2581" i="15"/>
  <c r="G2581" i="15"/>
  <c r="F2582" i="15"/>
  <c r="G2582" i="15"/>
  <c r="F2583" i="15"/>
  <c r="G2583" i="15"/>
  <c r="F2584" i="15"/>
  <c r="G2584" i="15"/>
  <c r="F2585" i="15"/>
  <c r="G2585" i="15"/>
  <c r="F2586" i="15"/>
  <c r="G2586" i="15"/>
  <c r="F2587" i="15"/>
  <c r="G2587" i="15"/>
  <c r="F2588" i="15"/>
  <c r="G2588" i="15"/>
  <c r="F2589" i="15"/>
  <c r="G2589" i="15"/>
  <c r="F2590" i="15"/>
  <c r="G2590" i="15"/>
  <c r="F2591" i="15"/>
  <c r="G2591" i="15"/>
  <c r="F2592" i="15"/>
  <c r="G2592" i="15"/>
  <c r="F2593" i="15"/>
  <c r="G2593" i="15"/>
  <c r="F2594" i="15"/>
  <c r="G2594" i="15"/>
  <c r="F2595" i="15"/>
  <c r="G2595" i="15"/>
  <c r="F2596" i="15"/>
  <c r="G2596" i="15"/>
  <c r="F2597" i="15"/>
  <c r="G2597" i="15"/>
  <c r="F2598" i="15"/>
  <c r="G2598" i="15"/>
  <c r="F2599" i="15"/>
  <c r="G2599" i="15"/>
  <c r="F2600" i="15"/>
  <c r="G2600" i="15"/>
  <c r="F2601" i="15"/>
  <c r="G2601" i="15"/>
  <c r="F2602" i="15"/>
  <c r="G2602" i="15"/>
  <c r="F2603" i="15"/>
  <c r="G2603" i="15"/>
  <c r="F2604" i="15"/>
  <c r="G2604" i="15"/>
  <c r="F2605" i="15"/>
  <c r="G2605" i="15"/>
  <c r="F2606" i="15"/>
  <c r="G2606" i="15"/>
  <c r="F2607" i="15"/>
  <c r="G2607" i="15"/>
  <c r="F2608" i="15"/>
  <c r="G2608" i="15"/>
  <c r="F2609" i="15"/>
  <c r="G2609" i="15"/>
  <c r="F2610" i="15"/>
  <c r="G2610" i="15"/>
  <c r="F2611" i="15"/>
  <c r="G2611" i="15"/>
  <c r="F2612" i="15"/>
  <c r="G2612" i="15"/>
  <c r="G2" i="15"/>
  <c r="F2" i="15"/>
  <c r="B2612" i="15" l="1"/>
  <c r="C2612" i="15"/>
  <c r="D2612" i="15"/>
  <c r="E2612" i="15"/>
  <c r="J2612" i="15"/>
  <c r="K2612" i="15"/>
  <c r="L2612" i="15"/>
  <c r="M2612" i="15"/>
  <c r="N2612" i="15"/>
  <c r="O2612" i="15"/>
  <c r="P2612" i="15"/>
  <c r="Q2612" i="15"/>
  <c r="T2612" i="15"/>
  <c r="U2612" i="15"/>
  <c r="V2612" i="15"/>
  <c r="W2612" i="15"/>
  <c r="X2612" i="15"/>
  <c r="Y2612" i="15"/>
  <c r="Z2612" i="15"/>
  <c r="AA2612" i="15"/>
  <c r="B3" i="15"/>
  <c r="C3" i="15"/>
  <c r="D3" i="15"/>
  <c r="E3" i="15"/>
  <c r="J3" i="15"/>
  <c r="K3" i="15"/>
  <c r="L3" i="15"/>
  <c r="M3" i="15"/>
  <c r="N3" i="15"/>
  <c r="O3" i="15"/>
  <c r="P3" i="15"/>
  <c r="Q3" i="15"/>
  <c r="T3" i="15"/>
  <c r="U3" i="15"/>
  <c r="V3" i="15"/>
  <c r="W3" i="15"/>
  <c r="X3" i="15"/>
  <c r="Y3" i="15"/>
  <c r="Z3" i="15"/>
  <c r="AA3" i="15"/>
  <c r="B4" i="15"/>
  <c r="C4" i="15"/>
  <c r="D4" i="15"/>
  <c r="E4" i="15"/>
  <c r="J4" i="15"/>
  <c r="K4" i="15"/>
  <c r="L4" i="15"/>
  <c r="M4" i="15"/>
  <c r="N4" i="15"/>
  <c r="O4" i="15"/>
  <c r="P4" i="15"/>
  <c r="Q4" i="15"/>
  <c r="T4" i="15"/>
  <c r="U4" i="15"/>
  <c r="V4" i="15"/>
  <c r="W4" i="15"/>
  <c r="X4" i="15"/>
  <c r="Y4" i="15"/>
  <c r="Z4" i="15"/>
  <c r="AA4" i="15"/>
  <c r="B5" i="15"/>
  <c r="C5" i="15"/>
  <c r="D5" i="15"/>
  <c r="E5" i="15"/>
  <c r="J5" i="15"/>
  <c r="K5" i="15"/>
  <c r="L5" i="15"/>
  <c r="M5" i="15"/>
  <c r="N5" i="15"/>
  <c r="O5" i="15"/>
  <c r="P5" i="15"/>
  <c r="Q5" i="15"/>
  <c r="T5" i="15"/>
  <c r="U5" i="15"/>
  <c r="V5" i="15"/>
  <c r="W5" i="15"/>
  <c r="X5" i="15"/>
  <c r="Y5" i="15"/>
  <c r="Z5" i="15"/>
  <c r="AA5" i="15"/>
  <c r="B6" i="15"/>
  <c r="C6" i="15"/>
  <c r="D6" i="15"/>
  <c r="E6" i="15"/>
  <c r="J6" i="15"/>
  <c r="K6" i="15"/>
  <c r="L6" i="15"/>
  <c r="M6" i="15"/>
  <c r="N6" i="15"/>
  <c r="O6" i="15"/>
  <c r="P6" i="15"/>
  <c r="Q6" i="15"/>
  <c r="T6" i="15"/>
  <c r="U6" i="15"/>
  <c r="V6" i="15"/>
  <c r="W6" i="15"/>
  <c r="X6" i="15"/>
  <c r="Y6" i="15"/>
  <c r="Z6" i="15"/>
  <c r="AA6" i="15"/>
  <c r="B7" i="15"/>
  <c r="C7" i="15"/>
  <c r="D7" i="15"/>
  <c r="E7" i="15"/>
  <c r="J7" i="15"/>
  <c r="K7" i="15"/>
  <c r="L7" i="15"/>
  <c r="M7" i="15"/>
  <c r="N7" i="15"/>
  <c r="O7" i="15"/>
  <c r="P7" i="15"/>
  <c r="Q7" i="15"/>
  <c r="T7" i="15"/>
  <c r="U7" i="15"/>
  <c r="V7" i="15"/>
  <c r="W7" i="15"/>
  <c r="X7" i="15"/>
  <c r="Y7" i="15"/>
  <c r="Z7" i="15"/>
  <c r="AA7" i="15"/>
  <c r="B8" i="15"/>
  <c r="C8" i="15"/>
  <c r="D8" i="15"/>
  <c r="E8" i="15"/>
  <c r="J8" i="15"/>
  <c r="K8" i="15"/>
  <c r="L8" i="15"/>
  <c r="M8" i="15"/>
  <c r="N8" i="15"/>
  <c r="O8" i="15"/>
  <c r="P8" i="15"/>
  <c r="Q8" i="15"/>
  <c r="T8" i="15"/>
  <c r="U8" i="15"/>
  <c r="V8" i="15"/>
  <c r="W8" i="15"/>
  <c r="X8" i="15"/>
  <c r="Y8" i="15"/>
  <c r="Z8" i="15"/>
  <c r="AA8" i="15"/>
  <c r="B9" i="15"/>
  <c r="C9" i="15"/>
  <c r="D9" i="15"/>
  <c r="E9" i="15"/>
  <c r="J9" i="15"/>
  <c r="K9" i="15"/>
  <c r="L9" i="15"/>
  <c r="M9" i="15"/>
  <c r="N9" i="15"/>
  <c r="O9" i="15"/>
  <c r="P9" i="15"/>
  <c r="Q9" i="15"/>
  <c r="T9" i="15"/>
  <c r="U9" i="15"/>
  <c r="V9" i="15"/>
  <c r="W9" i="15"/>
  <c r="X9" i="15"/>
  <c r="Y9" i="15"/>
  <c r="Z9" i="15"/>
  <c r="AA9" i="15"/>
  <c r="B10" i="15"/>
  <c r="C10" i="15"/>
  <c r="D10" i="15"/>
  <c r="E10" i="15"/>
  <c r="J10" i="15"/>
  <c r="K10" i="15"/>
  <c r="L10" i="15"/>
  <c r="M10" i="15"/>
  <c r="N10" i="15"/>
  <c r="O10" i="15"/>
  <c r="P10" i="15"/>
  <c r="Q10" i="15"/>
  <c r="T10" i="15"/>
  <c r="U10" i="15"/>
  <c r="V10" i="15"/>
  <c r="W10" i="15"/>
  <c r="X10" i="15"/>
  <c r="Y10" i="15"/>
  <c r="Z10" i="15"/>
  <c r="AA10" i="15"/>
  <c r="B11" i="15"/>
  <c r="C11" i="15"/>
  <c r="D11" i="15"/>
  <c r="E11" i="15"/>
  <c r="J11" i="15"/>
  <c r="K11" i="15"/>
  <c r="L11" i="15"/>
  <c r="M11" i="15"/>
  <c r="N11" i="15"/>
  <c r="O11" i="15"/>
  <c r="P11" i="15"/>
  <c r="Q11" i="15"/>
  <c r="T11" i="15"/>
  <c r="U11" i="15"/>
  <c r="V11" i="15"/>
  <c r="W11" i="15"/>
  <c r="X11" i="15"/>
  <c r="Y11" i="15"/>
  <c r="Z11" i="15"/>
  <c r="AA11" i="15"/>
  <c r="B12" i="15"/>
  <c r="C12" i="15"/>
  <c r="D12" i="15"/>
  <c r="E12" i="15"/>
  <c r="J12" i="15"/>
  <c r="K12" i="15"/>
  <c r="L12" i="15"/>
  <c r="M12" i="15"/>
  <c r="N12" i="15"/>
  <c r="O12" i="15"/>
  <c r="P12" i="15"/>
  <c r="Q12" i="15"/>
  <c r="T12" i="15"/>
  <c r="U12" i="15"/>
  <c r="V12" i="15"/>
  <c r="W12" i="15"/>
  <c r="X12" i="15"/>
  <c r="Y12" i="15"/>
  <c r="Z12" i="15"/>
  <c r="AA12" i="15"/>
  <c r="B13" i="15"/>
  <c r="C13" i="15"/>
  <c r="D13" i="15"/>
  <c r="E13" i="15"/>
  <c r="J13" i="15"/>
  <c r="K13" i="15"/>
  <c r="L13" i="15"/>
  <c r="M13" i="15"/>
  <c r="N13" i="15"/>
  <c r="O13" i="15"/>
  <c r="P13" i="15"/>
  <c r="Q13" i="15"/>
  <c r="T13" i="15"/>
  <c r="U13" i="15"/>
  <c r="V13" i="15"/>
  <c r="W13" i="15"/>
  <c r="X13" i="15"/>
  <c r="Y13" i="15"/>
  <c r="Z13" i="15"/>
  <c r="AA13" i="15"/>
  <c r="B14" i="15"/>
  <c r="C14" i="15"/>
  <c r="D14" i="15"/>
  <c r="E14" i="15"/>
  <c r="J14" i="15"/>
  <c r="K14" i="15"/>
  <c r="L14" i="15"/>
  <c r="M14" i="15"/>
  <c r="N14" i="15"/>
  <c r="O14" i="15"/>
  <c r="P14" i="15"/>
  <c r="Q14" i="15"/>
  <c r="T14" i="15"/>
  <c r="U14" i="15"/>
  <c r="V14" i="15"/>
  <c r="W14" i="15"/>
  <c r="X14" i="15"/>
  <c r="Y14" i="15"/>
  <c r="Z14" i="15"/>
  <c r="AA14" i="15"/>
  <c r="B15" i="15"/>
  <c r="C15" i="15"/>
  <c r="D15" i="15"/>
  <c r="E15" i="15"/>
  <c r="J15" i="15"/>
  <c r="K15" i="15"/>
  <c r="L15" i="15"/>
  <c r="M15" i="15"/>
  <c r="N15" i="15"/>
  <c r="O15" i="15"/>
  <c r="P15" i="15"/>
  <c r="Q15" i="15"/>
  <c r="T15" i="15"/>
  <c r="U15" i="15"/>
  <c r="V15" i="15"/>
  <c r="W15" i="15"/>
  <c r="X15" i="15"/>
  <c r="Y15" i="15"/>
  <c r="Z15" i="15"/>
  <c r="AA15" i="15"/>
  <c r="B16" i="15"/>
  <c r="C16" i="15"/>
  <c r="D16" i="15"/>
  <c r="E16" i="15"/>
  <c r="J16" i="15"/>
  <c r="K16" i="15"/>
  <c r="L16" i="15"/>
  <c r="M16" i="15"/>
  <c r="N16" i="15"/>
  <c r="O16" i="15"/>
  <c r="P16" i="15"/>
  <c r="Q16" i="15"/>
  <c r="T16" i="15"/>
  <c r="U16" i="15"/>
  <c r="V16" i="15"/>
  <c r="W16" i="15"/>
  <c r="X16" i="15"/>
  <c r="Y16" i="15"/>
  <c r="Z16" i="15"/>
  <c r="AA16" i="15"/>
  <c r="B17" i="15"/>
  <c r="C17" i="15"/>
  <c r="D17" i="15"/>
  <c r="E17" i="15"/>
  <c r="J17" i="15"/>
  <c r="K17" i="15"/>
  <c r="L17" i="15"/>
  <c r="M17" i="15"/>
  <c r="N17" i="15"/>
  <c r="O17" i="15"/>
  <c r="P17" i="15"/>
  <c r="Q17" i="15"/>
  <c r="T17" i="15"/>
  <c r="U17" i="15"/>
  <c r="V17" i="15"/>
  <c r="W17" i="15"/>
  <c r="X17" i="15"/>
  <c r="Y17" i="15"/>
  <c r="Z17" i="15"/>
  <c r="AA17" i="15"/>
  <c r="B18" i="15"/>
  <c r="C18" i="15"/>
  <c r="D18" i="15"/>
  <c r="E18" i="15"/>
  <c r="J18" i="15"/>
  <c r="K18" i="15"/>
  <c r="L18" i="15"/>
  <c r="M18" i="15"/>
  <c r="N18" i="15"/>
  <c r="O18" i="15"/>
  <c r="P18" i="15"/>
  <c r="Q18" i="15"/>
  <c r="T18" i="15"/>
  <c r="U18" i="15"/>
  <c r="V18" i="15"/>
  <c r="W18" i="15"/>
  <c r="X18" i="15"/>
  <c r="Y18" i="15"/>
  <c r="Z18" i="15"/>
  <c r="AA18" i="15"/>
  <c r="B19" i="15"/>
  <c r="C19" i="15"/>
  <c r="D19" i="15"/>
  <c r="E19" i="15"/>
  <c r="J19" i="15"/>
  <c r="K19" i="15"/>
  <c r="L19" i="15"/>
  <c r="M19" i="15"/>
  <c r="N19" i="15"/>
  <c r="O19" i="15"/>
  <c r="P19" i="15"/>
  <c r="Q19" i="15"/>
  <c r="T19" i="15"/>
  <c r="U19" i="15"/>
  <c r="V19" i="15"/>
  <c r="W19" i="15"/>
  <c r="X19" i="15"/>
  <c r="Y19" i="15"/>
  <c r="Z19" i="15"/>
  <c r="AA19" i="15"/>
  <c r="B20" i="15"/>
  <c r="C20" i="15"/>
  <c r="D20" i="15"/>
  <c r="E20" i="15"/>
  <c r="J20" i="15"/>
  <c r="K20" i="15"/>
  <c r="L20" i="15"/>
  <c r="M20" i="15"/>
  <c r="N20" i="15"/>
  <c r="O20" i="15"/>
  <c r="P20" i="15"/>
  <c r="Q20" i="15"/>
  <c r="T20" i="15"/>
  <c r="U20" i="15"/>
  <c r="V20" i="15"/>
  <c r="W20" i="15"/>
  <c r="X20" i="15"/>
  <c r="Y20" i="15"/>
  <c r="Z20" i="15"/>
  <c r="AA20" i="15"/>
  <c r="B21" i="15"/>
  <c r="C21" i="15"/>
  <c r="D21" i="15"/>
  <c r="E21" i="15"/>
  <c r="J21" i="15"/>
  <c r="K21" i="15"/>
  <c r="L21" i="15"/>
  <c r="M21" i="15"/>
  <c r="N21" i="15"/>
  <c r="O21" i="15"/>
  <c r="P21" i="15"/>
  <c r="Q21" i="15"/>
  <c r="T21" i="15"/>
  <c r="U21" i="15"/>
  <c r="V21" i="15"/>
  <c r="W21" i="15"/>
  <c r="X21" i="15"/>
  <c r="Y21" i="15"/>
  <c r="Z21" i="15"/>
  <c r="AA21" i="15"/>
  <c r="B22" i="15"/>
  <c r="C22" i="15"/>
  <c r="D22" i="15"/>
  <c r="E22" i="15"/>
  <c r="J22" i="15"/>
  <c r="K22" i="15"/>
  <c r="L22" i="15"/>
  <c r="M22" i="15"/>
  <c r="N22" i="15"/>
  <c r="O22" i="15"/>
  <c r="P22" i="15"/>
  <c r="Q22" i="15"/>
  <c r="T22" i="15"/>
  <c r="U22" i="15"/>
  <c r="V22" i="15"/>
  <c r="W22" i="15"/>
  <c r="X22" i="15"/>
  <c r="Y22" i="15"/>
  <c r="Z22" i="15"/>
  <c r="AA22" i="15"/>
  <c r="B23" i="15"/>
  <c r="C23" i="15"/>
  <c r="D23" i="15"/>
  <c r="E23" i="15"/>
  <c r="J23" i="15"/>
  <c r="K23" i="15"/>
  <c r="L23" i="15"/>
  <c r="M23" i="15"/>
  <c r="N23" i="15"/>
  <c r="O23" i="15"/>
  <c r="P23" i="15"/>
  <c r="Q23" i="15"/>
  <c r="T23" i="15"/>
  <c r="U23" i="15"/>
  <c r="V23" i="15"/>
  <c r="W23" i="15"/>
  <c r="X23" i="15"/>
  <c r="Y23" i="15"/>
  <c r="Z23" i="15"/>
  <c r="AA23" i="15"/>
  <c r="B24" i="15"/>
  <c r="C24" i="15"/>
  <c r="D24" i="15"/>
  <c r="E24" i="15"/>
  <c r="J24" i="15"/>
  <c r="K24" i="15"/>
  <c r="L24" i="15"/>
  <c r="M24" i="15"/>
  <c r="N24" i="15"/>
  <c r="O24" i="15"/>
  <c r="P24" i="15"/>
  <c r="Q24" i="15"/>
  <c r="T24" i="15"/>
  <c r="U24" i="15"/>
  <c r="V24" i="15"/>
  <c r="W24" i="15"/>
  <c r="X24" i="15"/>
  <c r="Y24" i="15"/>
  <c r="Z24" i="15"/>
  <c r="AA24" i="15"/>
  <c r="B25" i="15"/>
  <c r="C25" i="15"/>
  <c r="D25" i="15"/>
  <c r="E25" i="15"/>
  <c r="J25" i="15"/>
  <c r="K25" i="15"/>
  <c r="L25" i="15"/>
  <c r="M25" i="15"/>
  <c r="N25" i="15"/>
  <c r="O25" i="15"/>
  <c r="P25" i="15"/>
  <c r="Q25" i="15"/>
  <c r="T25" i="15"/>
  <c r="U25" i="15"/>
  <c r="V25" i="15"/>
  <c r="W25" i="15"/>
  <c r="X25" i="15"/>
  <c r="Y25" i="15"/>
  <c r="Z25" i="15"/>
  <c r="AA25" i="15"/>
  <c r="B26" i="15"/>
  <c r="C26" i="15"/>
  <c r="D26" i="15"/>
  <c r="E26" i="15"/>
  <c r="J26" i="15"/>
  <c r="K26" i="15"/>
  <c r="L26" i="15"/>
  <c r="M26" i="15"/>
  <c r="N26" i="15"/>
  <c r="O26" i="15"/>
  <c r="P26" i="15"/>
  <c r="Q26" i="15"/>
  <c r="T26" i="15"/>
  <c r="U26" i="15"/>
  <c r="V26" i="15"/>
  <c r="W26" i="15"/>
  <c r="X26" i="15"/>
  <c r="Y26" i="15"/>
  <c r="Z26" i="15"/>
  <c r="AA26" i="15"/>
  <c r="B27" i="15"/>
  <c r="C27" i="15"/>
  <c r="D27" i="15"/>
  <c r="E27" i="15"/>
  <c r="J27" i="15"/>
  <c r="K27" i="15"/>
  <c r="L27" i="15"/>
  <c r="M27" i="15"/>
  <c r="N27" i="15"/>
  <c r="O27" i="15"/>
  <c r="P27" i="15"/>
  <c r="Q27" i="15"/>
  <c r="T27" i="15"/>
  <c r="U27" i="15"/>
  <c r="V27" i="15"/>
  <c r="W27" i="15"/>
  <c r="X27" i="15"/>
  <c r="Y27" i="15"/>
  <c r="Z27" i="15"/>
  <c r="AA27" i="15"/>
  <c r="B28" i="15"/>
  <c r="C28" i="15"/>
  <c r="D28" i="15"/>
  <c r="E28" i="15"/>
  <c r="J28" i="15"/>
  <c r="K28" i="15"/>
  <c r="L28" i="15"/>
  <c r="M28" i="15"/>
  <c r="N28" i="15"/>
  <c r="O28" i="15"/>
  <c r="P28" i="15"/>
  <c r="Q28" i="15"/>
  <c r="T28" i="15"/>
  <c r="U28" i="15"/>
  <c r="V28" i="15"/>
  <c r="W28" i="15"/>
  <c r="X28" i="15"/>
  <c r="Y28" i="15"/>
  <c r="Z28" i="15"/>
  <c r="AA28" i="15"/>
  <c r="B29" i="15"/>
  <c r="C29" i="15"/>
  <c r="D29" i="15"/>
  <c r="E29" i="15"/>
  <c r="J29" i="15"/>
  <c r="K29" i="15"/>
  <c r="L29" i="15"/>
  <c r="M29" i="15"/>
  <c r="N29" i="15"/>
  <c r="O29" i="15"/>
  <c r="P29" i="15"/>
  <c r="Q29" i="15"/>
  <c r="T29" i="15"/>
  <c r="U29" i="15"/>
  <c r="V29" i="15"/>
  <c r="W29" i="15"/>
  <c r="X29" i="15"/>
  <c r="Y29" i="15"/>
  <c r="Z29" i="15"/>
  <c r="AA29" i="15"/>
  <c r="B30" i="15"/>
  <c r="C30" i="15"/>
  <c r="D30" i="15"/>
  <c r="E30" i="15"/>
  <c r="J30" i="15"/>
  <c r="K30" i="15"/>
  <c r="L30" i="15"/>
  <c r="M30" i="15"/>
  <c r="N30" i="15"/>
  <c r="O30" i="15"/>
  <c r="P30" i="15"/>
  <c r="Q30" i="15"/>
  <c r="T30" i="15"/>
  <c r="U30" i="15"/>
  <c r="V30" i="15"/>
  <c r="W30" i="15"/>
  <c r="X30" i="15"/>
  <c r="Y30" i="15"/>
  <c r="Z30" i="15"/>
  <c r="AA30" i="15"/>
  <c r="B31" i="15"/>
  <c r="C31" i="15"/>
  <c r="D31" i="15"/>
  <c r="E31" i="15"/>
  <c r="J31" i="15"/>
  <c r="K31" i="15"/>
  <c r="L31" i="15"/>
  <c r="M31" i="15"/>
  <c r="N31" i="15"/>
  <c r="O31" i="15"/>
  <c r="P31" i="15"/>
  <c r="Q31" i="15"/>
  <c r="T31" i="15"/>
  <c r="U31" i="15"/>
  <c r="V31" i="15"/>
  <c r="W31" i="15"/>
  <c r="X31" i="15"/>
  <c r="Y31" i="15"/>
  <c r="Z31" i="15"/>
  <c r="AA31" i="15"/>
  <c r="B32" i="15"/>
  <c r="C32" i="15"/>
  <c r="D32" i="15"/>
  <c r="E32" i="15"/>
  <c r="J32" i="15"/>
  <c r="K32" i="15"/>
  <c r="L32" i="15"/>
  <c r="M32" i="15"/>
  <c r="N32" i="15"/>
  <c r="O32" i="15"/>
  <c r="P32" i="15"/>
  <c r="Q32" i="15"/>
  <c r="T32" i="15"/>
  <c r="U32" i="15"/>
  <c r="V32" i="15"/>
  <c r="W32" i="15"/>
  <c r="X32" i="15"/>
  <c r="Y32" i="15"/>
  <c r="Z32" i="15"/>
  <c r="AA32" i="15"/>
  <c r="B33" i="15"/>
  <c r="C33" i="15"/>
  <c r="D33" i="15"/>
  <c r="E33" i="15"/>
  <c r="J33" i="15"/>
  <c r="K33" i="15"/>
  <c r="L33" i="15"/>
  <c r="M33" i="15"/>
  <c r="N33" i="15"/>
  <c r="O33" i="15"/>
  <c r="P33" i="15"/>
  <c r="Q33" i="15"/>
  <c r="T33" i="15"/>
  <c r="U33" i="15"/>
  <c r="V33" i="15"/>
  <c r="W33" i="15"/>
  <c r="X33" i="15"/>
  <c r="Y33" i="15"/>
  <c r="Z33" i="15"/>
  <c r="AA33" i="15"/>
  <c r="B34" i="15"/>
  <c r="C34" i="15"/>
  <c r="D34" i="15"/>
  <c r="E34" i="15"/>
  <c r="J34" i="15"/>
  <c r="K34" i="15"/>
  <c r="L34" i="15"/>
  <c r="M34" i="15"/>
  <c r="N34" i="15"/>
  <c r="O34" i="15"/>
  <c r="P34" i="15"/>
  <c r="Q34" i="15"/>
  <c r="T34" i="15"/>
  <c r="U34" i="15"/>
  <c r="V34" i="15"/>
  <c r="W34" i="15"/>
  <c r="X34" i="15"/>
  <c r="Y34" i="15"/>
  <c r="Z34" i="15"/>
  <c r="AA34" i="15"/>
  <c r="B35" i="15"/>
  <c r="C35" i="15"/>
  <c r="D35" i="15"/>
  <c r="E35" i="15"/>
  <c r="J35" i="15"/>
  <c r="K35" i="15"/>
  <c r="L35" i="15"/>
  <c r="M35" i="15"/>
  <c r="N35" i="15"/>
  <c r="O35" i="15"/>
  <c r="P35" i="15"/>
  <c r="Q35" i="15"/>
  <c r="T35" i="15"/>
  <c r="U35" i="15"/>
  <c r="V35" i="15"/>
  <c r="W35" i="15"/>
  <c r="X35" i="15"/>
  <c r="Y35" i="15"/>
  <c r="Z35" i="15"/>
  <c r="AA35" i="15"/>
  <c r="B36" i="15"/>
  <c r="C36" i="15"/>
  <c r="D36" i="15"/>
  <c r="E36" i="15"/>
  <c r="J36" i="15"/>
  <c r="K36" i="15"/>
  <c r="L36" i="15"/>
  <c r="M36" i="15"/>
  <c r="N36" i="15"/>
  <c r="O36" i="15"/>
  <c r="P36" i="15"/>
  <c r="Q36" i="15"/>
  <c r="T36" i="15"/>
  <c r="U36" i="15"/>
  <c r="V36" i="15"/>
  <c r="W36" i="15"/>
  <c r="X36" i="15"/>
  <c r="Y36" i="15"/>
  <c r="Z36" i="15"/>
  <c r="AA36" i="15"/>
  <c r="B37" i="15"/>
  <c r="C37" i="15"/>
  <c r="D37" i="15"/>
  <c r="E37" i="15"/>
  <c r="J37" i="15"/>
  <c r="K37" i="15"/>
  <c r="L37" i="15"/>
  <c r="M37" i="15"/>
  <c r="N37" i="15"/>
  <c r="O37" i="15"/>
  <c r="P37" i="15"/>
  <c r="Q37" i="15"/>
  <c r="T37" i="15"/>
  <c r="U37" i="15"/>
  <c r="V37" i="15"/>
  <c r="W37" i="15"/>
  <c r="X37" i="15"/>
  <c r="Y37" i="15"/>
  <c r="Z37" i="15"/>
  <c r="AA37" i="15"/>
  <c r="B38" i="15"/>
  <c r="C38" i="15"/>
  <c r="D38" i="15"/>
  <c r="E38" i="15"/>
  <c r="J38" i="15"/>
  <c r="K38" i="15"/>
  <c r="L38" i="15"/>
  <c r="M38" i="15"/>
  <c r="N38" i="15"/>
  <c r="O38" i="15"/>
  <c r="P38" i="15"/>
  <c r="Q38" i="15"/>
  <c r="T38" i="15"/>
  <c r="U38" i="15"/>
  <c r="V38" i="15"/>
  <c r="W38" i="15"/>
  <c r="X38" i="15"/>
  <c r="Y38" i="15"/>
  <c r="Z38" i="15"/>
  <c r="AA38" i="15"/>
  <c r="B39" i="15"/>
  <c r="C39" i="15"/>
  <c r="D39" i="15"/>
  <c r="E39" i="15"/>
  <c r="J39" i="15"/>
  <c r="K39" i="15"/>
  <c r="L39" i="15"/>
  <c r="M39" i="15"/>
  <c r="N39" i="15"/>
  <c r="O39" i="15"/>
  <c r="P39" i="15"/>
  <c r="Q39" i="15"/>
  <c r="T39" i="15"/>
  <c r="U39" i="15"/>
  <c r="V39" i="15"/>
  <c r="W39" i="15"/>
  <c r="X39" i="15"/>
  <c r="Y39" i="15"/>
  <c r="Z39" i="15"/>
  <c r="AA39" i="15"/>
  <c r="B40" i="15"/>
  <c r="C40" i="15"/>
  <c r="D40" i="15"/>
  <c r="E40" i="15"/>
  <c r="J40" i="15"/>
  <c r="K40" i="15"/>
  <c r="L40" i="15"/>
  <c r="M40" i="15"/>
  <c r="N40" i="15"/>
  <c r="O40" i="15"/>
  <c r="P40" i="15"/>
  <c r="Q40" i="15"/>
  <c r="T40" i="15"/>
  <c r="U40" i="15"/>
  <c r="V40" i="15"/>
  <c r="W40" i="15"/>
  <c r="X40" i="15"/>
  <c r="Y40" i="15"/>
  <c r="Z40" i="15"/>
  <c r="AA40" i="15"/>
  <c r="B41" i="15"/>
  <c r="C41" i="15"/>
  <c r="D41" i="15"/>
  <c r="E41" i="15"/>
  <c r="J41" i="15"/>
  <c r="K41" i="15"/>
  <c r="L41" i="15"/>
  <c r="M41" i="15"/>
  <c r="N41" i="15"/>
  <c r="O41" i="15"/>
  <c r="P41" i="15"/>
  <c r="Q41" i="15"/>
  <c r="T41" i="15"/>
  <c r="U41" i="15"/>
  <c r="V41" i="15"/>
  <c r="W41" i="15"/>
  <c r="X41" i="15"/>
  <c r="Y41" i="15"/>
  <c r="Z41" i="15"/>
  <c r="AA41" i="15"/>
  <c r="B42" i="15"/>
  <c r="C42" i="15"/>
  <c r="D42" i="15"/>
  <c r="E42" i="15"/>
  <c r="J42" i="15"/>
  <c r="K42" i="15"/>
  <c r="L42" i="15"/>
  <c r="M42" i="15"/>
  <c r="N42" i="15"/>
  <c r="O42" i="15"/>
  <c r="P42" i="15"/>
  <c r="Q42" i="15"/>
  <c r="T42" i="15"/>
  <c r="U42" i="15"/>
  <c r="V42" i="15"/>
  <c r="W42" i="15"/>
  <c r="X42" i="15"/>
  <c r="Y42" i="15"/>
  <c r="Z42" i="15"/>
  <c r="AA42" i="15"/>
  <c r="B43" i="15"/>
  <c r="C43" i="15"/>
  <c r="D43" i="15"/>
  <c r="E43" i="15"/>
  <c r="J43" i="15"/>
  <c r="K43" i="15"/>
  <c r="L43" i="15"/>
  <c r="M43" i="15"/>
  <c r="N43" i="15"/>
  <c r="O43" i="15"/>
  <c r="P43" i="15"/>
  <c r="Q43" i="15"/>
  <c r="T43" i="15"/>
  <c r="U43" i="15"/>
  <c r="V43" i="15"/>
  <c r="W43" i="15"/>
  <c r="X43" i="15"/>
  <c r="Y43" i="15"/>
  <c r="Z43" i="15"/>
  <c r="AA43" i="15"/>
  <c r="B44" i="15"/>
  <c r="C44" i="15"/>
  <c r="D44" i="15"/>
  <c r="E44" i="15"/>
  <c r="J44" i="15"/>
  <c r="K44" i="15"/>
  <c r="L44" i="15"/>
  <c r="M44" i="15"/>
  <c r="N44" i="15"/>
  <c r="O44" i="15"/>
  <c r="P44" i="15"/>
  <c r="Q44" i="15"/>
  <c r="T44" i="15"/>
  <c r="U44" i="15"/>
  <c r="V44" i="15"/>
  <c r="W44" i="15"/>
  <c r="X44" i="15"/>
  <c r="Y44" i="15"/>
  <c r="Z44" i="15"/>
  <c r="AA44" i="15"/>
  <c r="B45" i="15"/>
  <c r="C45" i="15"/>
  <c r="D45" i="15"/>
  <c r="E45" i="15"/>
  <c r="J45" i="15"/>
  <c r="K45" i="15"/>
  <c r="L45" i="15"/>
  <c r="M45" i="15"/>
  <c r="N45" i="15"/>
  <c r="O45" i="15"/>
  <c r="P45" i="15"/>
  <c r="Q45" i="15"/>
  <c r="T45" i="15"/>
  <c r="U45" i="15"/>
  <c r="V45" i="15"/>
  <c r="W45" i="15"/>
  <c r="X45" i="15"/>
  <c r="Y45" i="15"/>
  <c r="Z45" i="15"/>
  <c r="AA45" i="15"/>
  <c r="B46" i="15"/>
  <c r="C46" i="15"/>
  <c r="D46" i="15"/>
  <c r="E46" i="15"/>
  <c r="J46" i="15"/>
  <c r="K46" i="15"/>
  <c r="L46" i="15"/>
  <c r="M46" i="15"/>
  <c r="N46" i="15"/>
  <c r="O46" i="15"/>
  <c r="P46" i="15"/>
  <c r="Q46" i="15"/>
  <c r="T46" i="15"/>
  <c r="U46" i="15"/>
  <c r="V46" i="15"/>
  <c r="W46" i="15"/>
  <c r="X46" i="15"/>
  <c r="Y46" i="15"/>
  <c r="Z46" i="15"/>
  <c r="AA46" i="15"/>
  <c r="B47" i="15"/>
  <c r="C47" i="15"/>
  <c r="D47" i="15"/>
  <c r="E47" i="15"/>
  <c r="J47" i="15"/>
  <c r="K47" i="15"/>
  <c r="L47" i="15"/>
  <c r="M47" i="15"/>
  <c r="N47" i="15"/>
  <c r="O47" i="15"/>
  <c r="P47" i="15"/>
  <c r="Q47" i="15"/>
  <c r="T47" i="15"/>
  <c r="U47" i="15"/>
  <c r="V47" i="15"/>
  <c r="W47" i="15"/>
  <c r="X47" i="15"/>
  <c r="Y47" i="15"/>
  <c r="Z47" i="15"/>
  <c r="AA47" i="15"/>
  <c r="B48" i="15"/>
  <c r="C48" i="15"/>
  <c r="D48" i="15"/>
  <c r="E48" i="15"/>
  <c r="J48" i="15"/>
  <c r="K48" i="15"/>
  <c r="L48" i="15"/>
  <c r="M48" i="15"/>
  <c r="N48" i="15"/>
  <c r="O48" i="15"/>
  <c r="P48" i="15"/>
  <c r="Q48" i="15"/>
  <c r="T48" i="15"/>
  <c r="U48" i="15"/>
  <c r="V48" i="15"/>
  <c r="W48" i="15"/>
  <c r="X48" i="15"/>
  <c r="Y48" i="15"/>
  <c r="Z48" i="15"/>
  <c r="AA48" i="15"/>
  <c r="B49" i="15"/>
  <c r="C49" i="15"/>
  <c r="D49" i="15"/>
  <c r="E49" i="15"/>
  <c r="J49" i="15"/>
  <c r="K49" i="15"/>
  <c r="L49" i="15"/>
  <c r="M49" i="15"/>
  <c r="N49" i="15"/>
  <c r="O49" i="15"/>
  <c r="P49" i="15"/>
  <c r="Q49" i="15"/>
  <c r="T49" i="15"/>
  <c r="U49" i="15"/>
  <c r="V49" i="15"/>
  <c r="W49" i="15"/>
  <c r="X49" i="15"/>
  <c r="Y49" i="15"/>
  <c r="Z49" i="15"/>
  <c r="AA49" i="15"/>
  <c r="B50" i="15"/>
  <c r="C50" i="15"/>
  <c r="D50" i="15"/>
  <c r="E50" i="15"/>
  <c r="J50" i="15"/>
  <c r="K50" i="15"/>
  <c r="L50" i="15"/>
  <c r="M50" i="15"/>
  <c r="N50" i="15"/>
  <c r="O50" i="15"/>
  <c r="P50" i="15"/>
  <c r="Q50" i="15"/>
  <c r="T50" i="15"/>
  <c r="U50" i="15"/>
  <c r="V50" i="15"/>
  <c r="W50" i="15"/>
  <c r="X50" i="15"/>
  <c r="Y50" i="15"/>
  <c r="Z50" i="15"/>
  <c r="AA50" i="15"/>
  <c r="B51" i="15"/>
  <c r="C51" i="15"/>
  <c r="D51" i="15"/>
  <c r="E51" i="15"/>
  <c r="J51" i="15"/>
  <c r="K51" i="15"/>
  <c r="L51" i="15"/>
  <c r="M51" i="15"/>
  <c r="N51" i="15"/>
  <c r="O51" i="15"/>
  <c r="P51" i="15"/>
  <c r="Q51" i="15"/>
  <c r="T51" i="15"/>
  <c r="U51" i="15"/>
  <c r="V51" i="15"/>
  <c r="W51" i="15"/>
  <c r="X51" i="15"/>
  <c r="Y51" i="15"/>
  <c r="Z51" i="15"/>
  <c r="AA51" i="15"/>
  <c r="B52" i="15"/>
  <c r="C52" i="15"/>
  <c r="D52" i="15"/>
  <c r="E52" i="15"/>
  <c r="J52" i="15"/>
  <c r="K52" i="15"/>
  <c r="L52" i="15"/>
  <c r="M52" i="15"/>
  <c r="N52" i="15"/>
  <c r="O52" i="15"/>
  <c r="P52" i="15"/>
  <c r="Q52" i="15"/>
  <c r="T52" i="15"/>
  <c r="U52" i="15"/>
  <c r="V52" i="15"/>
  <c r="W52" i="15"/>
  <c r="X52" i="15"/>
  <c r="Y52" i="15"/>
  <c r="Z52" i="15"/>
  <c r="AA52" i="15"/>
  <c r="B53" i="15"/>
  <c r="C53" i="15"/>
  <c r="D53" i="15"/>
  <c r="E53" i="15"/>
  <c r="J53" i="15"/>
  <c r="K53" i="15"/>
  <c r="L53" i="15"/>
  <c r="M53" i="15"/>
  <c r="N53" i="15"/>
  <c r="O53" i="15"/>
  <c r="P53" i="15"/>
  <c r="Q53" i="15"/>
  <c r="T53" i="15"/>
  <c r="U53" i="15"/>
  <c r="V53" i="15"/>
  <c r="W53" i="15"/>
  <c r="X53" i="15"/>
  <c r="Y53" i="15"/>
  <c r="Z53" i="15"/>
  <c r="AA53" i="15"/>
  <c r="B54" i="15"/>
  <c r="C54" i="15"/>
  <c r="D54" i="15"/>
  <c r="E54" i="15"/>
  <c r="J54" i="15"/>
  <c r="K54" i="15"/>
  <c r="L54" i="15"/>
  <c r="M54" i="15"/>
  <c r="N54" i="15"/>
  <c r="O54" i="15"/>
  <c r="P54" i="15"/>
  <c r="Q54" i="15"/>
  <c r="T54" i="15"/>
  <c r="U54" i="15"/>
  <c r="V54" i="15"/>
  <c r="W54" i="15"/>
  <c r="X54" i="15"/>
  <c r="Y54" i="15"/>
  <c r="Z54" i="15"/>
  <c r="AA54" i="15"/>
  <c r="B55" i="15"/>
  <c r="C55" i="15"/>
  <c r="D55" i="15"/>
  <c r="E55" i="15"/>
  <c r="J55" i="15"/>
  <c r="K55" i="15"/>
  <c r="L55" i="15"/>
  <c r="M55" i="15"/>
  <c r="N55" i="15"/>
  <c r="O55" i="15"/>
  <c r="P55" i="15"/>
  <c r="Q55" i="15"/>
  <c r="T55" i="15"/>
  <c r="U55" i="15"/>
  <c r="V55" i="15"/>
  <c r="W55" i="15"/>
  <c r="X55" i="15"/>
  <c r="Y55" i="15"/>
  <c r="Z55" i="15"/>
  <c r="AA55" i="15"/>
  <c r="B56" i="15"/>
  <c r="C56" i="15"/>
  <c r="D56" i="15"/>
  <c r="E56" i="15"/>
  <c r="J56" i="15"/>
  <c r="K56" i="15"/>
  <c r="L56" i="15"/>
  <c r="M56" i="15"/>
  <c r="N56" i="15"/>
  <c r="O56" i="15"/>
  <c r="P56" i="15"/>
  <c r="Q56" i="15"/>
  <c r="T56" i="15"/>
  <c r="U56" i="15"/>
  <c r="V56" i="15"/>
  <c r="W56" i="15"/>
  <c r="X56" i="15"/>
  <c r="Y56" i="15"/>
  <c r="Z56" i="15"/>
  <c r="AA56" i="15"/>
  <c r="B57" i="15"/>
  <c r="C57" i="15"/>
  <c r="D57" i="15"/>
  <c r="E57" i="15"/>
  <c r="J57" i="15"/>
  <c r="K57" i="15"/>
  <c r="L57" i="15"/>
  <c r="M57" i="15"/>
  <c r="N57" i="15"/>
  <c r="O57" i="15"/>
  <c r="P57" i="15"/>
  <c r="Q57" i="15"/>
  <c r="T57" i="15"/>
  <c r="U57" i="15"/>
  <c r="V57" i="15"/>
  <c r="W57" i="15"/>
  <c r="X57" i="15"/>
  <c r="Y57" i="15"/>
  <c r="Z57" i="15"/>
  <c r="AA57" i="15"/>
  <c r="B58" i="15"/>
  <c r="C58" i="15"/>
  <c r="D58" i="15"/>
  <c r="E58" i="15"/>
  <c r="J58" i="15"/>
  <c r="K58" i="15"/>
  <c r="L58" i="15"/>
  <c r="M58" i="15"/>
  <c r="N58" i="15"/>
  <c r="O58" i="15"/>
  <c r="P58" i="15"/>
  <c r="Q58" i="15"/>
  <c r="T58" i="15"/>
  <c r="U58" i="15"/>
  <c r="V58" i="15"/>
  <c r="W58" i="15"/>
  <c r="X58" i="15"/>
  <c r="Y58" i="15"/>
  <c r="Z58" i="15"/>
  <c r="AA58" i="15"/>
  <c r="B59" i="15"/>
  <c r="C59" i="15"/>
  <c r="D59" i="15"/>
  <c r="E59" i="15"/>
  <c r="J59" i="15"/>
  <c r="K59" i="15"/>
  <c r="L59" i="15"/>
  <c r="M59" i="15"/>
  <c r="N59" i="15"/>
  <c r="O59" i="15"/>
  <c r="P59" i="15"/>
  <c r="Q59" i="15"/>
  <c r="T59" i="15"/>
  <c r="U59" i="15"/>
  <c r="V59" i="15"/>
  <c r="W59" i="15"/>
  <c r="X59" i="15"/>
  <c r="Y59" i="15"/>
  <c r="Z59" i="15"/>
  <c r="AA59" i="15"/>
  <c r="B60" i="15"/>
  <c r="C60" i="15"/>
  <c r="D60" i="15"/>
  <c r="E60" i="15"/>
  <c r="J60" i="15"/>
  <c r="K60" i="15"/>
  <c r="L60" i="15"/>
  <c r="M60" i="15"/>
  <c r="N60" i="15"/>
  <c r="O60" i="15"/>
  <c r="P60" i="15"/>
  <c r="Q60" i="15"/>
  <c r="T60" i="15"/>
  <c r="U60" i="15"/>
  <c r="V60" i="15"/>
  <c r="W60" i="15"/>
  <c r="X60" i="15"/>
  <c r="Y60" i="15"/>
  <c r="Z60" i="15"/>
  <c r="AA60" i="15"/>
  <c r="B61" i="15"/>
  <c r="C61" i="15"/>
  <c r="D61" i="15"/>
  <c r="E61" i="15"/>
  <c r="J61" i="15"/>
  <c r="K61" i="15"/>
  <c r="L61" i="15"/>
  <c r="M61" i="15"/>
  <c r="N61" i="15"/>
  <c r="O61" i="15"/>
  <c r="P61" i="15"/>
  <c r="Q61" i="15"/>
  <c r="T61" i="15"/>
  <c r="U61" i="15"/>
  <c r="V61" i="15"/>
  <c r="W61" i="15"/>
  <c r="X61" i="15"/>
  <c r="Y61" i="15"/>
  <c r="Z61" i="15"/>
  <c r="AA61" i="15"/>
  <c r="B62" i="15"/>
  <c r="C62" i="15"/>
  <c r="D62" i="15"/>
  <c r="E62" i="15"/>
  <c r="J62" i="15"/>
  <c r="K62" i="15"/>
  <c r="L62" i="15"/>
  <c r="M62" i="15"/>
  <c r="N62" i="15"/>
  <c r="O62" i="15"/>
  <c r="P62" i="15"/>
  <c r="Q62" i="15"/>
  <c r="T62" i="15"/>
  <c r="U62" i="15"/>
  <c r="V62" i="15"/>
  <c r="W62" i="15"/>
  <c r="X62" i="15"/>
  <c r="Y62" i="15"/>
  <c r="Z62" i="15"/>
  <c r="AA62" i="15"/>
  <c r="B63" i="15"/>
  <c r="C63" i="15"/>
  <c r="D63" i="15"/>
  <c r="E63" i="15"/>
  <c r="J63" i="15"/>
  <c r="K63" i="15"/>
  <c r="L63" i="15"/>
  <c r="M63" i="15"/>
  <c r="N63" i="15"/>
  <c r="O63" i="15"/>
  <c r="P63" i="15"/>
  <c r="Q63" i="15"/>
  <c r="T63" i="15"/>
  <c r="U63" i="15"/>
  <c r="V63" i="15"/>
  <c r="W63" i="15"/>
  <c r="X63" i="15"/>
  <c r="Y63" i="15"/>
  <c r="Z63" i="15"/>
  <c r="AA63" i="15"/>
  <c r="B64" i="15"/>
  <c r="C64" i="15"/>
  <c r="D64" i="15"/>
  <c r="E64" i="15"/>
  <c r="J64" i="15"/>
  <c r="K64" i="15"/>
  <c r="L64" i="15"/>
  <c r="M64" i="15"/>
  <c r="N64" i="15"/>
  <c r="O64" i="15"/>
  <c r="P64" i="15"/>
  <c r="Q64" i="15"/>
  <c r="T64" i="15"/>
  <c r="U64" i="15"/>
  <c r="V64" i="15"/>
  <c r="W64" i="15"/>
  <c r="X64" i="15"/>
  <c r="Y64" i="15"/>
  <c r="Z64" i="15"/>
  <c r="AA64" i="15"/>
  <c r="B65" i="15"/>
  <c r="C65" i="15"/>
  <c r="D65" i="15"/>
  <c r="E65" i="15"/>
  <c r="J65" i="15"/>
  <c r="K65" i="15"/>
  <c r="L65" i="15"/>
  <c r="M65" i="15"/>
  <c r="N65" i="15"/>
  <c r="O65" i="15"/>
  <c r="P65" i="15"/>
  <c r="Q65" i="15"/>
  <c r="T65" i="15"/>
  <c r="U65" i="15"/>
  <c r="V65" i="15"/>
  <c r="W65" i="15"/>
  <c r="X65" i="15"/>
  <c r="Y65" i="15"/>
  <c r="Z65" i="15"/>
  <c r="AA65" i="15"/>
  <c r="B66" i="15"/>
  <c r="C66" i="15"/>
  <c r="D66" i="15"/>
  <c r="E66" i="15"/>
  <c r="J66" i="15"/>
  <c r="K66" i="15"/>
  <c r="L66" i="15"/>
  <c r="M66" i="15"/>
  <c r="N66" i="15"/>
  <c r="O66" i="15"/>
  <c r="P66" i="15"/>
  <c r="Q66" i="15"/>
  <c r="T66" i="15"/>
  <c r="U66" i="15"/>
  <c r="V66" i="15"/>
  <c r="W66" i="15"/>
  <c r="X66" i="15"/>
  <c r="Y66" i="15"/>
  <c r="Z66" i="15"/>
  <c r="AA66" i="15"/>
  <c r="B67" i="15"/>
  <c r="C67" i="15"/>
  <c r="D67" i="15"/>
  <c r="E67" i="15"/>
  <c r="J67" i="15"/>
  <c r="K67" i="15"/>
  <c r="L67" i="15"/>
  <c r="M67" i="15"/>
  <c r="N67" i="15"/>
  <c r="O67" i="15"/>
  <c r="P67" i="15"/>
  <c r="Q67" i="15"/>
  <c r="T67" i="15"/>
  <c r="U67" i="15"/>
  <c r="V67" i="15"/>
  <c r="W67" i="15"/>
  <c r="X67" i="15"/>
  <c r="Y67" i="15"/>
  <c r="Z67" i="15"/>
  <c r="AA67" i="15"/>
  <c r="B68" i="15"/>
  <c r="C68" i="15"/>
  <c r="D68" i="15"/>
  <c r="E68" i="15"/>
  <c r="J68" i="15"/>
  <c r="K68" i="15"/>
  <c r="L68" i="15"/>
  <c r="M68" i="15"/>
  <c r="N68" i="15"/>
  <c r="O68" i="15"/>
  <c r="P68" i="15"/>
  <c r="Q68" i="15"/>
  <c r="T68" i="15"/>
  <c r="U68" i="15"/>
  <c r="V68" i="15"/>
  <c r="W68" i="15"/>
  <c r="X68" i="15"/>
  <c r="Y68" i="15"/>
  <c r="Z68" i="15"/>
  <c r="AA68" i="15"/>
  <c r="B69" i="15"/>
  <c r="C69" i="15"/>
  <c r="D69" i="15"/>
  <c r="E69" i="15"/>
  <c r="J69" i="15"/>
  <c r="K69" i="15"/>
  <c r="L69" i="15"/>
  <c r="M69" i="15"/>
  <c r="N69" i="15"/>
  <c r="O69" i="15"/>
  <c r="P69" i="15"/>
  <c r="Q69" i="15"/>
  <c r="T69" i="15"/>
  <c r="U69" i="15"/>
  <c r="V69" i="15"/>
  <c r="W69" i="15"/>
  <c r="X69" i="15"/>
  <c r="Y69" i="15"/>
  <c r="Z69" i="15"/>
  <c r="AA69" i="15"/>
  <c r="B70" i="15"/>
  <c r="C70" i="15"/>
  <c r="D70" i="15"/>
  <c r="E70" i="15"/>
  <c r="J70" i="15"/>
  <c r="K70" i="15"/>
  <c r="L70" i="15"/>
  <c r="M70" i="15"/>
  <c r="N70" i="15"/>
  <c r="O70" i="15"/>
  <c r="P70" i="15"/>
  <c r="Q70" i="15"/>
  <c r="T70" i="15"/>
  <c r="U70" i="15"/>
  <c r="V70" i="15"/>
  <c r="W70" i="15"/>
  <c r="X70" i="15"/>
  <c r="Y70" i="15"/>
  <c r="Z70" i="15"/>
  <c r="AA70" i="15"/>
  <c r="B71" i="15"/>
  <c r="C71" i="15"/>
  <c r="D71" i="15"/>
  <c r="E71" i="15"/>
  <c r="J71" i="15"/>
  <c r="K71" i="15"/>
  <c r="L71" i="15"/>
  <c r="M71" i="15"/>
  <c r="N71" i="15"/>
  <c r="O71" i="15"/>
  <c r="P71" i="15"/>
  <c r="Q71" i="15"/>
  <c r="T71" i="15"/>
  <c r="U71" i="15"/>
  <c r="V71" i="15"/>
  <c r="W71" i="15"/>
  <c r="X71" i="15"/>
  <c r="Y71" i="15"/>
  <c r="Z71" i="15"/>
  <c r="AA71" i="15"/>
  <c r="B72" i="15"/>
  <c r="C72" i="15"/>
  <c r="D72" i="15"/>
  <c r="E72" i="15"/>
  <c r="J72" i="15"/>
  <c r="K72" i="15"/>
  <c r="L72" i="15"/>
  <c r="M72" i="15"/>
  <c r="N72" i="15"/>
  <c r="O72" i="15"/>
  <c r="P72" i="15"/>
  <c r="Q72" i="15"/>
  <c r="T72" i="15"/>
  <c r="U72" i="15"/>
  <c r="V72" i="15"/>
  <c r="W72" i="15"/>
  <c r="X72" i="15"/>
  <c r="Y72" i="15"/>
  <c r="Z72" i="15"/>
  <c r="AA72" i="15"/>
  <c r="B73" i="15"/>
  <c r="C73" i="15"/>
  <c r="D73" i="15"/>
  <c r="E73" i="15"/>
  <c r="J73" i="15"/>
  <c r="K73" i="15"/>
  <c r="L73" i="15"/>
  <c r="M73" i="15"/>
  <c r="N73" i="15"/>
  <c r="O73" i="15"/>
  <c r="P73" i="15"/>
  <c r="Q73" i="15"/>
  <c r="T73" i="15"/>
  <c r="U73" i="15"/>
  <c r="V73" i="15"/>
  <c r="W73" i="15"/>
  <c r="X73" i="15"/>
  <c r="Y73" i="15"/>
  <c r="Z73" i="15"/>
  <c r="AA73" i="15"/>
  <c r="B74" i="15"/>
  <c r="C74" i="15"/>
  <c r="D74" i="15"/>
  <c r="E74" i="15"/>
  <c r="J74" i="15"/>
  <c r="K74" i="15"/>
  <c r="L74" i="15"/>
  <c r="M74" i="15"/>
  <c r="N74" i="15"/>
  <c r="O74" i="15"/>
  <c r="P74" i="15"/>
  <c r="Q74" i="15"/>
  <c r="T74" i="15"/>
  <c r="U74" i="15"/>
  <c r="V74" i="15"/>
  <c r="W74" i="15"/>
  <c r="X74" i="15"/>
  <c r="Y74" i="15"/>
  <c r="Z74" i="15"/>
  <c r="AA74" i="15"/>
  <c r="B75" i="15"/>
  <c r="C75" i="15"/>
  <c r="D75" i="15"/>
  <c r="E75" i="15"/>
  <c r="J75" i="15"/>
  <c r="K75" i="15"/>
  <c r="L75" i="15"/>
  <c r="M75" i="15"/>
  <c r="N75" i="15"/>
  <c r="O75" i="15"/>
  <c r="P75" i="15"/>
  <c r="Q75" i="15"/>
  <c r="T75" i="15"/>
  <c r="U75" i="15"/>
  <c r="V75" i="15"/>
  <c r="W75" i="15"/>
  <c r="X75" i="15"/>
  <c r="Y75" i="15"/>
  <c r="Z75" i="15"/>
  <c r="AA75" i="15"/>
  <c r="B76" i="15"/>
  <c r="C76" i="15"/>
  <c r="D76" i="15"/>
  <c r="E76" i="15"/>
  <c r="J76" i="15"/>
  <c r="K76" i="15"/>
  <c r="L76" i="15"/>
  <c r="M76" i="15"/>
  <c r="N76" i="15"/>
  <c r="O76" i="15"/>
  <c r="P76" i="15"/>
  <c r="Q76" i="15"/>
  <c r="T76" i="15"/>
  <c r="U76" i="15"/>
  <c r="V76" i="15"/>
  <c r="W76" i="15"/>
  <c r="X76" i="15"/>
  <c r="Y76" i="15"/>
  <c r="Z76" i="15"/>
  <c r="AA76" i="15"/>
  <c r="B77" i="15"/>
  <c r="C77" i="15"/>
  <c r="D77" i="15"/>
  <c r="E77" i="15"/>
  <c r="J77" i="15"/>
  <c r="K77" i="15"/>
  <c r="L77" i="15"/>
  <c r="M77" i="15"/>
  <c r="N77" i="15"/>
  <c r="O77" i="15"/>
  <c r="P77" i="15"/>
  <c r="Q77" i="15"/>
  <c r="T77" i="15"/>
  <c r="U77" i="15"/>
  <c r="V77" i="15"/>
  <c r="W77" i="15"/>
  <c r="X77" i="15"/>
  <c r="Y77" i="15"/>
  <c r="Z77" i="15"/>
  <c r="AA77" i="15"/>
  <c r="B78" i="15"/>
  <c r="C78" i="15"/>
  <c r="D78" i="15"/>
  <c r="E78" i="15"/>
  <c r="J78" i="15"/>
  <c r="K78" i="15"/>
  <c r="L78" i="15"/>
  <c r="M78" i="15"/>
  <c r="N78" i="15"/>
  <c r="O78" i="15"/>
  <c r="P78" i="15"/>
  <c r="Q78" i="15"/>
  <c r="T78" i="15"/>
  <c r="U78" i="15"/>
  <c r="V78" i="15"/>
  <c r="W78" i="15"/>
  <c r="X78" i="15"/>
  <c r="Y78" i="15"/>
  <c r="Z78" i="15"/>
  <c r="AA78" i="15"/>
  <c r="B79" i="15"/>
  <c r="C79" i="15"/>
  <c r="D79" i="15"/>
  <c r="E79" i="15"/>
  <c r="J79" i="15"/>
  <c r="K79" i="15"/>
  <c r="L79" i="15"/>
  <c r="M79" i="15"/>
  <c r="N79" i="15"/>
  <c r="O79" i="15"/>
  <c r="P79" i="15"/>
  <c r="Q79" i="15"/>
  <c r="T79" i="15"/>
  <c r="U79" i="15"/>
  <c r="V79" i="15"/>
  <c r="W79" i="15"/>
  <c r="X79" i="15"/>
  <c r="Y79" i="15"/>
  <c r="Z79" i="15"/>
  <c r="AA79" i="15"/>
  <c r="B80" i="15"/>
  <c r="C80" i="15"/>
  <c r="D80" i="15"/>
  <c r="E80" i="15"/>
  <c r="J80" i="15"/>
  <c r="K80" i="15"/>
  <c r="L80" i="15"/>
  <c r="M80" i="15"/>
  <c r="N80" i="15"/>
  <c r="O80" i="15"/>
  <c r="P80" i="15"/>
  <c r="Q80" i="15"/>
  <c r="T80" i="15"/>
  <c r="U80" i="15"/>
  <c r="V80" i="15"/>
  <c r="W80" i="15"/>
  <c r="X80" i="15"/>
  <c r="Y80" i="15"/>
  <c r="Z80" i="15"/>
  <c r="AA80" i="15"/>
  <c r="B81" i="15"/>
  <c r="C81" i="15"/>
  <c r="D81" i="15"/>
  <c r="E81" i="15"/>
  <c r="J81" i="15"/>
  <c r="K81" i="15"/>
  <c r="L81" i="15"/>
  <c r="M81" i="15"/>
  <c r="N81" i="15"/>
  <c r="O81" i="15"/>
  <c r="P81" i="15"/>
  <c r="Q81" i="15"/>
  <c r="T81" i="15"/>
  <c r="U81" i="15"/>
  <c r="V81" i="15"/>
  <c r="W81" i="15"/>
  <c r="X81" i="15"/>
  <c r="Y81" i="15"/>
  <c r="Z81" i="15"/>
  <c r="AA81" i="15"/>
  <c r="B82" i="15"/>
  <c r="C82" i="15"/>
  <c r="D82" i="15"/>
  <c r="E82" i="15"/>
  <c r="J82" i="15"/>
  <c r="K82" i="15"/>
  <c r="L82" i="15"/>
  <c r="M82" i="15"/>
  <c r="N82" i="15"/>
  <c r="O82" i="15"/>
  <c r="P82" i="15"/>
  <c r="Q82" i="15"/>
  <c r="T82" i="15"/>
  <c r="U82" i="15"/>
  <c r="V82" i="15"/>
  <c r="W82" i="15"/>
  <c r="X82" i="15"/>
  <c r="Y82" i="15"/>
  <c r="Z82" i="15"/>
  <c r="AA82" i="15"/>
  <c r="B83" i="15"/>
  <c r="C83" i="15"/>
  <c r="D83" i="15"/>
  <c r="E83" i="15"/>
  <c r="J83" i="15"/>
  <c r="K83" i="15"/>
  <c r="L83" i="15"/>
  <c r="M83" i="15"/>
  <c r="N83" i="15"/>
  <c r="O83" i="15"/>
  <c r="P83" i="15"/>
  <c r="Q83" i="15"/>
  <c r="T83" i="15"/>
  <c r="U83" i="15"/>
  <c r="V83" i="15"/>
  <c r="W83" i="15"/>
  <c r="X83" i="15"/>
  <c r="Y83" i="15"/>
  <c r="Z83" i="15"/>
  <c r="AA83" i="15"/>
  <c r="B84" i="15"/>
  <c r="C84" i="15"/>
  <c r="D84" i="15"/>
  <c r="E84" i="15"/>
  <c r="J84" i="15"/>
  <c r="K84" i="15"/>
  <c r="L84" i="15"/>
  <c r="M84" i="15"/>
  <c r="N84" i="15"/>
  <c r="O84" i="15"/>
  <c r="P84" i="15"/>
  <c r="Q84" i="15"/>
  <c r="T84" i="15"/>
  <c r="U84" i="15"/>
  <c r="V84" i="15"/>
  <c r="W84" i="15"/>
  <c r="X84" i="15"/>
  <c r="Y84" i="15"/>
  <c r="Z84" i="15"/>
  <c r="AA84" i="15"/>
  <c r="B85" i="15"/>
  <c r="C85" i="15"/>
  <c r="D85" i="15"/>
  <c r="E85" i="15"/>
  <c r="J85" i="15"/>
  <c r="K85" i="15"/>
  <c r="L85" i="15"/>
  <c r="M85" i="15"/>
  <c r="N85" i="15"/>
  <c r="O85" i="15"/>
  <c r="P85" i="15"/>
  <c r="Q85" i="15"/>
  <c r="T85" i="15"/>
  <c r="U85" i="15"/>
  <c r="V85" i="15"/>
  <c r="W85" i="15"/>
  <c r="X85" i="15"/>
  <c r="Y85" i="15"/>
  <c r="Z85" i="15"/>
  <c r="AA85" i="15"/>
  <c r="B86" i="15"/>
  <c r="C86" i="15"/>
  <c r="D86" i="15"/>
  <c r="E86" i="15"/>
  <c r="J86" i="15"/>
  <c r="K86" i="15"/>
  <c r="L86" i="15"/>
  <c r="M86" i="15"/>
  <c r="N86" i="15"/>
  <c r="O86" i="15"/>
  <c r="P86" i="15"/>
  <c r="Q86" i="15"/>
  <c r="T86" i="15"/>
  <c r="U86" i="15"/>
  <c r="V86" i="15"/>
  <c r="W86" i="15"/>
  <c r="X86" i="15"/>
  <c r="Y86" i="15"/>
  <c r="Z86" i="15"/>
  <c r="AA86" i="15"/>
  <c r="B87" i="15"/>
  <c r="C87" i="15"/>
  <c r="D87" i="15"/>
  <c r="E87" i="15"/>
  <c r="J87" i="15"/>
  <c r="K87" i="15"/>
  <c r="L87" i="15"/>
  <c r="M87" i="15"/>
  <c r="N87" i="15"/>
  <c r="O87" i="15"/>
  <c r="P87" i="15"/>
  <c r="Q87" i="15"/>
  <c r="T87" i="15"/>
  <c r="U87" i="15"/>
  <c r="V87" i="15"/>
  <c r="W87" i="15"/>
  <c r="X87" i="15"/>
  <c r="Y87" i="15"/>
  <c r="Z87" i="15"/>
  <c r="AA87" i="15"/>
  <c r="B88" i="15"/>
  <c r="C88" i="15"/>
  <c r="D88" i="15"/>
  <c r="E88" i="15"/>
  <c r="J88" i="15"/>
  <c r="K88" i="15"/>
  <c r="L88" i="15"/>
  <c r="M88" i="15"/>
  <c r="N88" i="15"/>
  <c r="O88" i="15"/>
  <c r="P88" i="15"/>
  <c r="Q88" i="15"/>
  <c r="T88" i="15"/>
  <c r="U88" i="15"/>
  <c r="V88" i="15"/>
  <c r="W88" i="15"/>
  <c r="X88" i="15"/>
  <c r="Y88" i="15"/>
  <c r="Z88" i="15"/>
  <c r="AA88" i="15"/>
  <c r="B89" i="15"/>
  <c r="C89" i="15"/>
  <c r="D89" i="15"/>
  <c r="E89" i="15"/>
  <c r="J89" i="15"/>
  <c r="K89" i="15"/>
  <c r="L89" i="15"/>
  <c r="M89" i="15"/>
  <c r="N89" i="15"/>
  <c r="O89" i="15"/>
  <c r="P89" i="15"/>
  <c r="Q89" i="15"/>
  <c r="T89" i="15"/>
  <c r="U89" i="15"/>
  <c r="V89" i="15"/>
  <c r="W89" i="15"/>
  <c r="X89" i="15"/>
  <c r="Y89" i="15"/>
  <c r="Z89" i="15"/>
  <c r="AA89" i="15"/>
  <c r="B90" i="15"/>
  <c r="C90" i="15"/>
  <c r="D90" i="15"/>
  <c r="E90" i="15"/>
  <c r="J90" i="15"/>
  <c r="K90" i="15"/>
  <c r="L90" i="15"/>
  <c r="M90" i="15"/>
  <c r="N90" i="15"/>
  <c r="O90" i="15"/>
  <c r="P90" i="15"/>
  <c r="Q90" i="15"/>
  <c r="T90" i="15"/>
  <c r="U90" i="15"/>
  <c r="V90" i="15"/>
  <c r="W90" i="15"/>
  <c r="X90" i="15"/>
  <c r="Y90" i="15"/>
  <c r="Z90" i="15"/>
  <c r="AA90" i="15"/>
  <c r="B91" i="15"/>
  <c r="C91" i="15"/>
  <c r="D91" i="15"/>
  <c r="E91" i="15"/>
  <c r="J91" i="15"/>
  <c r="K91" i="15"/>
  <c r="L91" i="15"/>
  <c r="M91" i="15"/>
  <c r="N91" i="15"/>
  <c r="O91" i="15"/>
  <c r="P91" i="15"/>
  <c r="Q91" i="15"/>
  <c r="T91" i="15"/>
  <c r="U91" i="15"/>
  <c r="V91" i="15"/>
  <c r="W91" i="15"/>
  <c r="X91" i="15"/>
  <c r="Y91" i="15"/>
  <c r="Z91" i="15"/>
  <c r="AA91" i="15"/>
  <c r="B92" i="15"/>
  <c r="C92" i="15"/>
  <c r="D92" i="15"/>
  <c r="E92" i="15"/>
  <c r="J92" i="15"/>
  <c r="K92" i="15"/>
  <c r="L92" i="15"/>
  <c r="M92" i="15"/>
  <c r="N92" i="15"/>
  <c r="O92" i="15"/>
  <c r="P92" i="15"/>
  <c r="Q92" i="15"/>
  <c r="T92" i="15"/>
  <c r="U92" i="15"/>
  <c r="V92" i="15"/>
  <c r="W92" i="15"/>
  <c r="X92" i="15"/>
  <c r="Y92" i="15"/>
  <c r="Z92" i="15"/>
  <c r="AA92" i="15"/>
  <c r="B93" i="15"/>
  <c r="C93" i="15"/>
  <c r="D93" i="15"/>
  <c r="E93" i="15"/>
  <c r="J93" i="15"/>
  <c r="K93" i="15"/>
  <c r="L93" i="15"/>
  <c r="M93" i="15"/>
  <c r="N93" i="15"/>
  <c r="O93" i="15"/>
  <c r="P93" i="15"/>
  <c r="Q93" i="15"/>
  <c r="T93" i="15"/>
  <c r="U93" i="15"/>
  <c r="V93" i="15"/>
  <c r="W93" i="15"/>
  <c r="X93" i="15"/>
  <c r="Y93" i="15"/>
  <c r="Z93" i="15"/>
  <c r="AA93" i="15"/>
  <c r="B94" i="15"/>
  <c r="C94" i="15"/>
  <c r="D94" i="15"/>
  <c r="E94" i="15"/>
  <c r="J94" i="15"/>
  <c r="K94" i="15"/>
  <c r="L94" i="15"/>
  <c r="M94" i="15"/>
  <c r="N94" i="15"/>
  <c r="O94" i="15"/>
  <c r="P94" i="15"/>
  <c r="Q94" i="15"/>
  <c r="T94" i="15"/>
  <c r="U94" i="15"/>
  <c r="V94" i="15"/>
  <c r="W94" i="15"/>
  <c r="X94" i="15"/>
  <c r="Y94" i="15"/>
  <c r="Z94" i="15"/>
  <c r="AA94" i="15"/>
  <c r="B95" i="15"/>
  <c r="C95" i="15"/>
  <c r="D95" i="15"/>
  <c r="E95" i="15"/>
  <c r="J95" i="15"/>
  <c r="K95" i="15"/>
  <c r="L95" i="15"/>
  <c r="M95" i="15"/>
  <c r="N95" i="15"/>
  <c r="O95" i="15"/>
  <c r="P95" i="15"/>
  <c r="Q95" i="15"/>
  <c r="T95" i="15"/>
  <c r="U95" i="15"/>
  <c r="V95" i="15"/>
  <c r="W95" i="15"/>
  <c r="X95" i="15"/>
  <c r="Y95" i="15"/>
  <c r="Z95" i="15"/>
  <c r="AA95" i="15"/>
  <c r="B96" i="15"/>
  <c r="C96" i="15"/>
  <c r="D96" i="15"/>
  <c r="E96" i="15"/>
  <c r="J96" i="15"/>
  <c r="K96" i="15"/>
  <c r="L96" i="15"/>
  <c r="M96" i="15"/>
  <c r="N96" i="15"/>
  <c r="O96" i="15"/>
  <c r="P96" i="15"/>
  <c r="Q96" i="15"/>
  <c r="T96" i="15"/>
  <c r="U96" i="15"/>
  <c r="V96" i="15"/>
  <c r="W96" i="15"/>
  <c r="X96" i="15"/>
  <c r="Y96" i="15"/>
  <c r="Z96" i="15"/>
  <c r="AA96" i="15"/>
  <c r="B97" i="15"/>
  <c r="C97" i="15"/>
  <c r="D97" i="15"/>
  <c r="E97" i="15"/>
  <c r="J97" i="15"/>
  <c r="K97" i="15"/>
  <c r="L97" i="15"/>
  <c r="M97" i="15"/>
  <c r="N97" i="15"/>
  <c r="O97" i="15"/>
  <c r="P97" i="15"/>
  <c r="Q97" i="15"/>
  <c r="T97" i="15"/>
  <c r="U97" i="15"/>
  <c r="V97" i="15"/>
  <c r="W97" i="15"/>
  <c r="X97" i="15"/>
  <c r="Y97" i="15"/>
  <c r="Z97" i="15"/>
  <c r="AA97" i="15"/>
  <c r="B98" i="15"/>
  <c r="C98" i="15"/>
  <c r="D98" i="15"/>
  <c r="E98" i="15"/>
  <c r="J98" i="15"/>
  <c r="K98" i="15"/>
  <c r="L98" i="15"/>
  <c r="M98" i="15"/>
  <c r="N98" i="15"/>
  <c r="O98" i="15"/>
  <c r="P98" i="15"/>
  <c r="Q98" i="15"/>
  <c r="T98" i="15"/>
  <c r="U98" i="15"/>
  <c r="V98" i="15"/>
  <c r="W98" i="15"/>
  <c r="X98" i="15"/>
  <c r="Y98" i="15"/>
  <c r="Z98" i="15"/>
  <c r="AA98" i="15"/>
  <c r="B99" i="15"/>
  <c r="C99" i="15"/>
  <c r="D99" i="15"/>
  <c r="E99" i="15"/>
  <c r="J99" i="15"/>
  <c r="K99" i="15"/>
  <c r="L99" i="15"/>
  <c r="M99" i="15"/>
  <c r="N99" i="15"/>
  <c r="O99" i="15"/>
  <c r="P99" i="15"/>
  <c r="Q99" i="15"/>
  <c r="T99" i="15"/>
  <c r="U99" i="15"/>
  <c r="V99" i="15"/>
  <c r="W99" i="15"/>
  <c r="X99" i="15"/>
  <c r="Y99" i="15"/>
  <c r="Z99" i="15"/>
  <c r="AA99" i="15"/>
  <c r="B100" i="15"/>
  <c r="C100" i="15"/>
  <c r="D100" i="15"/>
  <c r="E100" i="15"/>
  <c r="J100" i="15"/>
  <c r="K100" i="15"/>
  <c r="L100" i="15"/>
  <c r="M100" i="15"/>
  <c r="N100" i="15"/>
  <c r="O100" i="15"/>
  <c r="P100" i="15"/>
  <c r="Q100" i="15"/>
  <c r="T100" i="15"/>
  <c r="U100" i="15"/>
  <c r="V100" i="15"/>
  <c r="W100" i="15"/>
  <c r="X100" i="15"/>
  <c r="Y100" i="15"/>
  <c r="Z100" i="15"/>
  <c r="AA100" i="15"/>
  <c r="B101" i="15"/>
  <c r="C101" i="15"/>
  <c r="D101" i="15"/>
  <c r="E101" i="15"/>
  <c r="J101" i="15"/>
  <c r="K101" i="15"/>
  <c r="L101" i="15"/>
  <c r="M101" i="15"/>
  <c r="N101" i="15"/>
  <c r="O101" i="15"/>
  <c r="P101" i="15"/>
  <c r="Q101" i="15"/>
  <c r="T101" i="15"/>
  <c r="U101" i="15"/>
  <c r="V101" i="15"/>
  <c r="W101" i="15"/>
  <c r="X101" i="15"/>
  <c r="Y101" i="15"/>
  <c r="Z101" i="15"/>
  <c r="AA101" i="15"/>
  <c r="B102" i="15"/>
  <c r="C102" i="15"/>
  <c r="D102" i="15"/>
  <c r="E102" i="15"/>
  <c r="J102" i="15"/>
  <c r="K102" i="15"/>
  <c r="L102" i="15"/>
  <c r="M102" i="15"/>
  <c r="N102" i="15"/>
  <c r="O102" i="15"/>
  <c r="P102" i="15"/>
  <c r="Q102" i="15"/>
  <c r="T102" i="15"/>
  <c r="U102" i="15"/>
  <c r="V102" i="15"/>
  <c r="W102" i="15"/>
  <c r="X102" i="15"/>
  <c r="Y102" i="15"/>
  <c r="Z102" i="15"/>
  <c r="AA102" i="15"/>
  <c r="B103" i="15"/>
  <c r="C103" i="15"/>
  <c r="D103" i="15"/>
  <c r="E103" i="15"/>
  <c r="J103" i="15"/>
  <c r="K103" i="15"/>
  <c r="L103" i="15"/>
  <c r="M103" i="15"/>
  <c r="N103" i="15"/>
  <c r="O103" i="15"/>
  <c r="P103" i="15"/>
  <c r="Q103" i="15"/>
  <c r="T103" i="15"/>
  <c r="U103" i="15"/>
  <c r="V103" i="15"/>
  <c r="W103" i="15"/>
  <c r="X103" i="15"/>
  <c r="Y103" i="15"/>
  <c r="Z103" i="15"/>
  <c r="AA103" i="15"/>
  <c r="B104" i="15"/>
  <c r="C104" i="15"/>
  <c r="D104" i="15"/>
  <c r="E104" i="15"/>
  <c r="J104" i="15"/>
  <c r="K104" i="15"/>
  <c r="L104" i="15"/>
  <c r="M104" i="15"/>
  <c r="N104" i="15"/>
  <c r="O104" i="15"/>
  <c r="P104" i="15"/>
  <c r="Q104" i="15"/>
  <c r="T104" i="15"/>
  <c r="U104" i="15"/>
  <c r="V104" i="15"/>
  <c r="W104" i="15"/>
  <c r="X104" i="15"/>
  <c r="Y104" i="15"/>
  <c r="Z104" i="15"/>
  <c r="AA104" i="15"/>
  <c r="B105" i="15"/>
  <c r="C105" i="15"/>
  <c r="D105" i="15"/>
  <c r="E105" i="15"/>
  <c r="J105" i="15"/>
  <c r="K105" i="15"/>
  <c r="L105" i="15"/>
  <c r="M105" i="15"/>
  <c r="N105" i="15"/>
  <c r="O105" i="15"/>
  <c r="P105" i="15"/>
  <c r="Q105" i="15"/>
  <c r="T105" i="15"/>
  <c r="U105" i="15"/>
  <c r="V105" i="15"/>
  <c r="W105" i="15"/>
  <c r="X105" i="15"/>
  <c r="Y105" i="15"/>
  <c r="Z105" i="15"/>
  <c r="AA105" i="15"/>
  <c r="B106" i="15"/>
  <c r="C106" i="15"/>
  <c r="D106" i="15"/>
  <c r="E106" i="15"/>
  <c r="J106" i="15"/>
  <c r="K106" i="15"/>
  <c r="L106" i="15"/>
  <c r="M106" i="15"/>
  <c r="N106" i="15"/>
  <c r="O106" i="15"/>
  <c r="P106" i="15"/>
  <c r="Q106" i="15"/>
  <c r="T106" i="15"/>
  <c r="U106" i="15"/>
  <c r="V106" i="15"/>
  <c r="W106" i="15"/>
  <c r="X106" i="15"/>
  <c r="Y106" i="15"/>
  <c r="Z106" i="15"/>
  <c r="AA106" i="15"/>
  <c r="B107" i="15"/>
  <c r="C107" i="15"/>
  <c r="D107" i="15"/>
  <c r="E107" i="15"/>
  <c r="J107" i="15"/>
  <c r="K107" i="15"/>
  <c r="L107" i="15"/>
  <c r="M107" i="15"/>
  <c r="N107" i="15"/>
  <c r="O107" i="15"/>
  <c r="P107" i="15"/>
  <c r="Q107" i="15"/>
  <c r="T107" i="15"/>
  <c r="U107" i="15"/>
  <c r="V107" i="15"/>
  <c r="W107" i="15"/>
  <c r="X107" i="15"/>
  <c r="Y107" i="15"/>
  <c r="Z107" i="15"/>
  <c r="AA107" i="15"/>
  <c r="B108" i="15"/>
  <c r="C108" i="15"/>
  <c r="D108" i="15"/>
  <c r="E108" i="15"/>
  <c r="J108" i="15"/>
  <c r="K108" i="15"/>
  <c r="L108" i="15"/>
  <c r="M108" i="15"/>
  <c r="N108" i="15"/>
  <c r="O108" i="15"/>
  <c r="P108" i="15"/>
  <c r="Q108" i="15"/>
  <c r="T108" i="15"/>
  <c r="U108" i="15"/>
  <c r="V108" i="15"/>
  <c r="W108" i="15"/>
  <c r="X108" i="15"/>
  <c r="Y108" i="15"/>
  <c r="Z108" i="15"/>
  <c r="AA108" i="15"/>
  <c r="B109" i="15"/>
  <c r="C109" i="15"/>
  <c r="D109" i="15"/>
  <c r="E109" i="15"/>
  <c r="J109" i="15"/>
  <c r="K109" i="15"/>
  <c r="L109" i="15"/>
  <c r="M109" i="15"/>
  <c r="N109" i="15"/>
  <c r="O109" i="15"/>
  <c r="P109" i="15"/>
  <c r="Q109" i="15"/>
  <c r="T109" i="15"/>
  <c r="U109" i="15"/>
  <c r="V109" i="15"/>
  <c r="W109" i="15"/>
  <c r="X109" i="15"/>
  <c r="Y109" i="15"/>
  <c r="Z109" i="15"/>
  <c r="AA109" i="15"/>
  <c r="B110" i="15"/>
  <c r="C110" i="15"/>
  <c r="D110" i="15"/>
  <c r="E110" i="15"/>
  <c r="J110" i="15"/>
  <c r="K110" i="15"/>
  <c r="L110" i="15"/>
  <c r="M110" i="15"/>
  <c r="N110" i="15"/>
  <c r="O110" i="15"/>
  <c r="P110" i="15"/>
  <c r="Q110" i="15"/>
  <c r="T110" i="15"/>
  <c r="U110" i="15"/>
  <c r="V110" i="15"/>
  <c r="W110" i="15"/>
  <c r="X110" i="15"/>
  <c r="Y110" i="15"/>
  <c r="Z110" i="15"/>
  <c r="AA110" i="15"/>
  <c r="B111" i="15"/>
  <c r="C111" i="15"/>
  <c r="D111" i="15"/>
  <c r="E111" i="15"/>
  <c r="J111" i="15"/>
  <c r="K111" i="15"/>
  <c r="L111" i="15"/>
  <c r="M111" i="15"/>
  <c r="N111" i="15"/>
  <c r="O111" i="15"/>
  <c r="P111" i="15"/>
  <c r="Q111" i="15"/>
  <c r="T111" i="15"/>
  <c r="U111" i="15"/>
  <c r="V111" i="15"/>
  <c r="W111" i="15"/>
  <c r="X111" i="15"/>
  <c r="Y111" i="15"/>
  <c r="Z111" i="15"/>
  <c r="AA111" i="15"/>
  <c r="B112" i="15"/>
  <c r="C112" i="15"/>
  <c r="D112" i="15"/>
  <c r="E112" i="15"/>
  <c r="J112" i="15"/>
  <c r="K112" i="15"/>
  <c r="L112" i="15"/>
  <c r="M112" i="15"/>
  <c r="N112" i="15"/>
  <c r="O112" i="15"/>
  <c r="P112" i="15"/>
  <c r="Q112" i="15"/>
  <c r="T112" i="15"/>
  <c r="U112" i="15"/>
  <c r="V112" i="15"/>
  <c r="W112" i="15"/>
  <c r="X112" i="15"/>
  <c r="Y112" i="15"/>
  <c r="Z112" i="15"/>
  <c r="AA112" i="15"/>
  <c r="B113" i="15"/>
  <c r="C113" i="15"/>
  <c r="D113" i="15"/>
  <c r="E113" i="15"/>
  <c r="J113" i="15"/>
  <c r="K113" i="15"/>
  <c r="L113" i="15"/>
  <c r="M113" i="15"/>
  <c r="N113" i="15"/>
  <c r="O113" i="15"/>
  <c r="P113" i="15"/>
  <c r="Q113" i="15"/>
  <c r="T113" i="15"/>
  <c r="U113" i="15"/>
  <c r="V113" i="15"/>
  <c r="W113" i="15"/>
  <c r="X113" i="15"/>
  <c r="Y113" i="15"/>
  <c r="Z113" i="15"/>
  <c r="AA113" i="15"/>
  <c r="B114" i="15"/>
  <c r="C114" i="15"/>
  <c r="D114" i="15"/>
  <c r="E114" i="15"/>
  <c r="J114" i="15"/>
  <c r="K114" i="15"/>
  <c r="L114" i="15"/>
  <c r="M114" i="15"/>
  <c r="N114" i="15"/>
  <c r="O114" i="15"/>
  <c r="P114" i="15"/>
  <c r="Q114" i="15"/>
  <c r="T114" i="15"/>
  <c r="U114" i="15"/>
  <c r="V114" i="15"/>
  <c r="W114" i="15"/>
  <c r="X114" i="15"/>
  <c r="Y114" i="15"/>
  <c r="Z114" i="15"/>
  <c r="AA114" i="15"/>
  <c r="B115" i="15"/>
  <c r="C115" i="15"/>
  <c r="D115" i="15"/>
  <c r="E115" i="15"/>
  <c r="J115" i="15"/>
  <c r="K115" i="15"/>
  <c r="L115" i="15"/>
  <c r="M115" i="15"/>
  <c r="N115" i="15"/>
  <c r="O115" i="15"/>
  <c r="P115" i="15"/>
  <c r="Q115" i="15"/>
  <c r="T115" i="15"/>
  <c r="U115" i="15"/>
  <c r="V115" i="15"/>
  <c r="W115" i="15"/>
  <c r="X115" i="15"/>
  <c r="Y115" i="15"/>
  <c r="Z115" i="15"/>
  <c r="AA115" i="15"/>
  <c r="B116" i="15"/>
  <c r="C116" i="15"/>
  <c r="D116" i="15"/>
  <c r="E116" i="15"/>
  <c r="J116" i="15"/>
  <c r="K116" i="15"/>
  <c r="L116" i="15"/>
  <c r="M116" i="15"/>
  <c r="N116" i="15"/>
  <c r="O116" i="15"/>
  <c r="P116" i="15"/>
  <c r="Q116" i="15"/>
  <c r="T116" i="15"/>
  <c r="U116" i="15"/>
  <c r="V116" i="15"/>
  <c r="W116" i="15"/>
  <c r="X116" i="15"/>
  <c r="Y116" i="15"/>
  <c r="Z116" i="15"/>
  <c r="AA116" i="15"/>
  <c r="B117" i="15"/>
  <c r="C117" i="15"/>
  <c r="D117" i="15"/>
  <c r="E117" i="15"/>
  <c r="J117" i="15"/>
  <c r="K117" i="15"/>
  <c r="L117" i="15"/>
  <c r="M117" i="15"/>
  <c r="N117" i="15"/>
  <c r="O117" i="15"/>
  <c r="P117" i="15"/>
  <c r="Q117" i="15"/>
  <c r="T117" i="15"/>
  <c r="U117" i="15"/>
  <c r="V117" i="15"/>
  <c r="W117" i="15"/>
  <c r="X117" i="15"/>
  <c r="Y117" i="15"/>
  <c r="Z117" i="15"/>
  <c r="AA117" i="15"/>
  <c r="B118" i="15"/>
  <c r="C118" i="15"/>
  <c r="D118" i="15"/>
  <c r="E118" i="15"/>
  <c r="J118" i="15"/>
  <c r="K118" i="15"/>
  <c r="L118" i="15"/>
  <c r="M118" i="15"/>
  <c r="N118" i="15"/>
  <c r="O118" i="15"/>
  <c r="P118" i="15"/>
  <c r="Q118" i="15"/>
  <c r="T118" i="15"/>
  <c r="U118" i="15"/>
  <c r="V118" i="15"/>
  <c r="W118" i="15"/>
  <c r="X118" i="15"/>
  <c r="Y118" i="15"/>
  <c r="Z118" i="15"/>
  <c r="AA118" i="15"/>
  <c r="B119" i="15"/>
  <c r="C119" i="15"/>
  <c r="D119" i="15"/>
  <c r="E119" i="15"/>
  <c r="J119" i="15"/>
  <c r="K119" i="15"/>
  <c r="L119" i="15"/>
  <c r="M119" i="15"/>
  <c r="N119" i="15"/>
  <c r="O119" i="15"/>
  <c r="P119" i="15"/>
  <c r="Q119" i="15"/>
  <c r="T119" i="15"/>
  <c r="U119" i="15"/>
  <c r="V119" i="15"/>
  <c r="W119" i="15"/>
  <c r="X119" i="15"/>
  <c r="Y119" i="15"/>
  <c r="Z119" i="15"/>
  <c r="AA119" i="15"/>
  <c r="B120" i="15"/>
  <c r="C120" i="15"/>
  <c r="D120" i="15"/>
  <c r="E120" i="15"/>
  <c r="J120" i="15"/>
  <c r="K120" i="15"/>
  <c r="L120" i="15"/>
  <c r="M120" i="15"/>
  <c r="N120" i="15"/>
  <c r="O120" i="15"/>
  <c r="P120" i="15"/>
  <c r="Q120" i="15"/>
  <c r="T120" i="15"/>
  <c r="U120" i="15"/>
  <c r="V120" i="15"/>
  <c r="W120" i="15"/>
  <c r="X120" i="15"/>
  <c r="Y120" i="15"/>
  <c r="Z120" i="15"/>
  <c r="AA120" i="15"/>
  <c r="B121" i="15"/>
  <c r="C121" i="15"/>
  <c r="D121" i="15"/>
  <c r="E121" i="15"/>
  <c r="J121" i="15"/>
  <c r="K121" i="15"/>
  <c r="L121" i="15"/>
  <c r="M121" i="15"/>
  <c r="N121" i="15"/>
  <c r="O121" i="15"/>
  <c r="P121" i="15"/>
  <c r="Q121" i="15"/>
  <c r="T121" i="15"/>
  <c r="U121" i="15"/>
  <c r="V121" i="15"/>
  <c r="W121" i="15"/>
  <c r="X121" i="15"/>
  <c r="Y121" i="15"/>
  <c r="Z121" i="15"/>
  <c r="AA121" i="15"/>
  <c r="B122" i="15"/>
  <c r="C122" i="15"/>
  <c r="D122" i="15"/>
  <c r="E122" i="15"/>
  <c r="J122" i="15"/>
  <c r="K122" i="15"/>
  <c r="L122" i="15"/>
  <c r="M122" i="15"/>
  <c r="N122" i="15"/>
  <c r="O122" i="15"/>
  <c r="P122" i="15"/>
  <c r="Q122" i="15"/>
  <c r="T122" i="15"/>
  <c r="U122" i="15"/>
  <c r="V122" i="15"/>
  <c r="W122" i="15"/>
  <c r="X122" i="15"/>
  <c r="Y122" i="15"/>
  <c r="Z122" i="15"/>
  <c r="AA122" i="15"/>
  <c r="B123" i="15"/>
  <c r="C123" i="15"/>
  <c r="D123" i="15"/>
  <c r="E123" i="15"/>
  <c r="J123" i="15"/>
  <c r="K123" i="15"/>
  <c r="L123" i="15"/>
  <c r="M123" i="15"/>
  <c r="N123" i="15"/>
  <c r="O123" i="15"/>
  <c r="P123" i="15"/>
  <c r="Q123" i="15"/>
  <c r="T123" i="15"/>
  <c r="U123" i="15"/>
  <c r="V123" i="15"/>
  <c r="W123" i="15"/>
  <c r="X123" i="15"/>
  <c r="Y123" i="15"/>
  <c r="Z123" i="15"/>
  <c r="AA123" i="15"/>
  <c r="B124" i="15"/>
  <c r="C124" i="15"/>
  <c r="D124" i="15"/>
  <c r="E124" i="15"/>
  <c r="J124" i="15"/>
  <c r="K124" i="15"/>
  <c r="L124" i="15"/>
  <c r="M124" i="15"/>
  <c r="N124" i="15"/>
  <c r="O124" i="15"/>
  <c r="P124" i="15"/>
  <c r="Q124" i="15"/>
  <c r="T124" i="15"/>
  <c r="U124" i="15"/>
  <c r="V124" i="15"/>
  <c r="W124" i="15"/>
  <c r="X124" i="15"/>
  <c r="Y124" i="15"/>
  <c r="Z124" i="15"/>
  <c r="AA124" i="15"/>
  <c r="B125" i="15"/>
  <c r="C125" i="15"/>
  <c r="D125" i="15"/>
  <c r="E125" i="15"/>
  <c r="J125" i="15"/>
  <c r="K125" i="15"/>
  <c r="L125" i="15"/>
  <c r="M125" i="15"/>
  <c r="N125" i="15"/>
  <c r="O125" i="15"/>
  <c r="P125" i="15"/>
  <c r="Q125" i="15"/>
  <c r="T125" i="15"/>
  <c r="U125" i="15"/>
  <c r="V125" i="15"/>
  <c r="W125" i="15"/>
  <c r="X125" i="15"/>
  <c r="Y125" i="15"/>
  <c r="Z125" i="15"/>
  <c r="AA125" i="15"/>
  <c r="B126" i="15"/>
  <c r="C126" i="15"/>
  <c r="D126" i="15"/>
  <c r="E126" i="15"/>
  <c r="J126" i="15"/>
  <c r="K126" i="15"/>
  <c r="L126" i="15"/>
  <c r="M126" i="15"/>
  <c r="N126" i="15"/>
  <c r="O126" i="15"/>
  <c r="P126" i="15"/>
  <c r="Q126" i="15"/>
  <c r="T126" i="15"/>
  <c r="U126" i="15"/>
  <c r="V126" i="15"/>
  <c r="W126" i="15"/>
  <c r="X126" i="15"/>
  <c r="Y126" i="15"/>
  <c r="Z126" i="15"/>
  <c r="AA126" i="15"/>
  <c r="B127" i="15"/>
  <c r="C127" i="15"/>
  <c r="D127" i="15"/>
  <c r="E127" i="15"/>
  <c r="J127" i="15"/>
  <c r="K127" i="15"/>
  <c r="L127" i="15"/>
  <c r="M127" i="15"/>
  <c r="N127" i="15"/>
  <c r="O127" i="15"/>
  <c r="P127" i="15"/>
  <c r="Q127" i="15"/>
  <c r="T127" i="15"/>
  <c r="U127" i="15"/>
  <c r="V127" i="15"/>
  <c r="W127" i="15"/>
  <c r="X127" i="15"/>
  <c r="Y127" i="15"/>
  <c r="Z127" i="15"/>
  <c r="AA127" i="15"/>
  <c r="B128" i="15"/>
  <c r="C128" i="15"/>
  <c r="D128" i="15"/>
  <c r="E128" i="15"/>
  <c r="J128" i="15"/>
  <c r="K128" i="15"/>
  <c r="L128" i="15"/>
  <c r="M128" i="15"/>
  <c r="N128" i="15"/>
  <c r="O128" i="15"/>
  <c r="P128" i="15"/>
  <c r="Q128" i="15"/>
  <c r="T128" i="15"/>
  <c r="U128" i="15"/>
  <c r="V128" i="15"/>
  <c r="W128" i="15"/>
  <c r="X128" i="15"/>
  <c r="Y128" i="15"/>
  <c r="Z128" i="15"/>
  <c r="AA128" i="15"/>
  <c r="B129" i="15"/>
  <c r="C129" i="15"/>
  <c r="D129" i="15"/>
  <c r="E129" i="15"/>
  <c r="J129" i="15"/>
  <c r="K129" i="15"/>
  <c r="L129" i="15"/>
  <c r="M129" i="15"/>
  <c r="N129" i="15"/>
  <c r="O129" i="15"/>
  <c r="P129" i="15"/>
  <c r="Q129" i="15"/>
  <c r="T129" i="15"/>
  <c r="U129" i="15"/>
  <c r="V129" i="15"/>
  <c r="W129" i="15"/>
  <c r="X129" i="15"/>
  <c r="Y129" i="15"/>
  <c r="Z129" i="15"/>
  <c r="AA129" i="15"/>
  <c r="B130" i="15"/>
  <c r="C130" i="15"/>
  <c r="D130" i="15"/>
  <c r="E130" i="15"/>
  <c r="J130" i="15"/>
  <c r="K130" i="15"/>
  <c r="L130" i="15"/>
  <c r="M130" i="15"/>
  <c r="N130" i="15"/>
  <c r="O130" i="15"/>
  <c r="P130" i="15"/>
  <c r="Q130" i="15"/>
  <c r="T130" i="15"/>
  <c r="U130" i="15"/>
  <c r="V130" i="15"/>
  <c r="W130" i="15"/>
  <c r="X130" i="15"/>
  <c r="Y130" i="15"/>
  <c r="Z130" i="15"/>
  <c r="AA130" i="15"/>
  <c r="B131" i="15"/>
  <c r="C131" i="15"/>
  <c r="D131" i="15"/>
  <c r="E131" i="15"/>
  <c r="J131" i="15"/>
  <c r="K131" i="15"/>
  <c r="L131" i="15"/>
  <c r="M131" i="15"/>
  <c r="N131" i="15"/>
  <c r="O131" i="15"/>
  <c r="P131" i="15"/>
  <c r="Q131" i="15"/>
  <c r="T131" i="15"/>
  <c r="U131" i="15"/>
  <c r="V131" i="15"/>
  <c r="W131" i="15"/>
  <c r="X131" i="15"/>
  <c r="Y131" i="15"/>
  <c r="Z131" i="15"/>
  <c r="AA131" i="15"/>
  <c r="B132" i="15"/>
  <c r="C132" i="15"/>
  <c r="D132" i="15"/>
  <c r="E132" i="15"/>
  <c r="J132" i="15"/>
  <c r="K132" i="15"/>
  <c r="L132" i="15"/>
  <c r="M132" i="15"/>
  <c r="N132" i="15"/>
  <c r="O132" i="15"/>
  <c r="P132" i="15"/>
  <c r="Q132" i="15"/>
  <c r="T132" i="15"/>
  <c r="U132" i="15"/>
  <c r="V132" i="15"/>
  <c r="W132" i="15"/>
  <c r="X132" i="15"/>
  <c r="Y132" i="15"/>
  <c r="Z132" i="15"/>
  <c r="AA132" i="15"/>
  <c r="B133" i="15"/>
  <c r="C133" i="15"/>
  <c r="D133" i="15"/>
  <c r="E133" i="15"/>
  <c r="J133" i="15"/>
  <c r="K133" i="15"/>
  <c r="L133" i="15"/>
  <c r="M133" i="15"/>
  <c r="N133" i="15"/>
  <c r="O133" i="15"/>
  <c r="P133" i="15"/>
  <c r="Q133" i="15"/>
  <c r="T133" i="15"/>
  <c r="U133" i="15"/>
  <c r="V133" i="15"/>
  <c r="W133" i="15"/>
  <c r="X133" i="15"/>
  <c r="Y133" i="15"/>
  <c r="Z133" i="15"/>
  <c r="AA133" i="15"/>
  <c r="B134" i="15"/>
  <c r="C134" i="15"/>
  <c r="D134" i="15"/>
  <c r="E134" i="15"/>
  <c r="J134" i="15"/>
  <c r="K134" i="15"/>
  <c r="L134" i="15"/>
  <c r="M134" i="15"/>
  <c r="N134" i="15"/>
  <c r="O134" i="15"/>
  <c r="P134" i="15"/>
  <c r="Q134" i="15"/>
  <c r="T134" i="15"/>
  <c r="U134" i="15"/>
  <c r="V134" i="15"/>
  <c r="W134" i="15"/>
  <c r="X134" i="15"/>
  <c r="Y134" i="15"/>
  <c r="Z134" i="15"/>
  <c r="AA134" i="15"/>
  <c r="B135" i="15"/>
  <c r="C135" i="15"/>
  <c r="D135" i="15"/>
  <c r="E135" i="15"/>
  <c r="J135" i="15"/>
  <c r="K135" i="15"/>
  <c r="L135" i="15"/>
  <c r="M135" i="15"/>
  <c r="N135" i="15"/>
  <c r="O135" i="15"/>
  <c r="P135" i="15"/>
  <c r="Q135" i="15"/>
  <c r="T135" i="15"/>
  <c r="U135" i="15"/>
  <c r="V135" i="15"/>
  <c r="W135" i="15"/>
  <c r="X135" i="15"/>
  <c r="Y135" i="15"/>
  <c r="Z135" i="15"/>
  <c r="AA135" i="15"/>
  <c r="B136" i="15"/>
  <c r="C136" i="15"/>
  <c r="D136" i="15"/>
  <c r="E136" i="15"/>
  <c r="J136" i="15"/>
  <c r="K136" i="15"/>
  <c r="L136" i="15"/>
  <c r="M136" i="15"/>
  <c r="N136" i="15"/>
  <c r="O136" i="15"/>
  <c r="P136" i="15"/>
  <c r="Q136" i="15"/>
  <c r="T136" i="15"/>
  <c r="U136" i="15"/>
  <c r="V136" i="15"/>
  <c r="W136" i="15"/>
  <c r="X136" i="15"/>
  <c r="Y136" i="15"/>
  <c r="Z136" i="15"/>
  <c r="AA136" i="15"/>
  <c r="B137" i="15"/>
  <c r="C137" i="15"/>
  <c r="D137" i="15"/>
  <c r="E137" i="15"/>
  <c r="J137" i="15"/>
  <c r="K137" i="15"/>
  <c r="L137" i="15"/>
  <c r="M137" i="15"/>
  <c r="N137" i="15"/>
  <c r="O137" i="15"/>
  <c r="P137" i="15"/>
  <c r="Q137" i="15"/>
  <c r="T137" i="15"/>
  <c r="U137" i="15"/>
  <c r="V137" i="15"/>
  <c r="W137" i="15"/>
  <c r="X137" i="15"/>
  <c r="Y137" i="15"/>
  <c r="Z137" i="15"/>
  <c r="AA137" i="15"/>
  <c r="B138" i="15"/>
  <c r="C138" i="15"/>
  <c r="D138" i="15"/>
  <c r="E138" i="15"/>
  <c r="J138" i="15"/>
  <c r="K138" i="15"/>
  <c r="L138" i="15"/>
  <c r="M138" i="15"/>
  <c r="N138" i="15"/>
  <c r="O138" i="15"/>
  <c r="P138" i="15"/>
  <c r="Q138" i="15"/>
  <c r="T138" i="15"/>
  <c r="U138" i="15"/>
  <c r="V138" i="15"/>
  <c r="W138" i="15"/>
  <c r="X138" i="15"/>
  <c r="Y138" i="15"/>
  <c r="Z138" i="15"/>
  <c r="AA138" i="15"/>
  <c r="B139" i="15"/>
  <c r="C139" i="15"/>
  <c r="D139" i="15"/>
  <c r="E139" i="15"/>
  <c r="J139" i="15"/>
  <c r="K139" i="15"/>
  <c r="L139" i="15"/>
  <c r="M139" i="15"/>
  <c r="N139" i="15"/>
  <c r="O139" i="15"/>
  <c r="P139" i="15"/>
  <c r="Q139" i="15"/>
  <c r="T139" i="15"/>
  <c r="U139" i="15"/>
  <c r="V139" i="15"/>
  <c r="W139" i="15"/>
  <c r="X139" i="15"/>
  <c r="Y139" i="15"/>
  <c r="Z139" i="15"/>
  <c r="AA139" i="15"/>
  <c r="B140" i="15"/>
  <c r="C140" i="15"/>
  <c r="D140" i="15"/>
  <c r="E140" i="15"/>
  <c r="J140" i="15"/>
  <c r="K140" i="15"/>
  <c r="L140" i="15"/>
  <c r="M140" i="15"/>
  <c r="N140" i="15"/>
  <c r="O140" i="15"/>
  <c r="P140" i="15"/>
  <c r="Q140" i="15"/>
  <c r="T140" i="15"/>
  <c r="U140" i="15"/>
  <c r="V140" i="15"/>
  <c r="W140" i="15"/>
  <c r="X140" i="15"/>
  <c r="Y140" i="15"/>
  <c r="Z140" i="15"/>
  <c r="AA140" i="15"/>
  <c r="B141" i="15"/>
  <c r="C141" i="15"/>
  <c r="D141" i="15"/>
  <c r="E141" i="15"/>
  <c r="J141" i="15"/>
  <c r="K141" i="15"/>
  <c r="L141" i="15"/>
  <c r="M141" i="15"/>
  <c r="N141" i="15"/>
  <c r="O141" i="15"/>
  <c r="P141" i="15"/>
  <c r="Q141" i="15"/>
  <c r="T141" i="15"/>
  <c r="U141" i="15"/>
  <c r="V141" i="15"/>
  <c r="W141" i="15"/>
  <c r="X141" i="15"/>
  <c r="Y141" i="15"/>
  <c r="Z141" i="15"/>
  <c r="AA141" i="15"/>
  <c r="B142" i="15"/>
  <c r="C142" i="15"/>
  <c r="D142" i="15"/>
  <c r="E142" i="15"/>
  <c r="J142" i="15"/>
  <c r="K142" i="15"/>
  <c r="L142" i="15"/>
  <c r="M142" i="15"/>
  <c r="N142" i="15"/>
  <c r="O142" i="15"/>
  <c r="P142" i="15"/>
  <c r="Q142" i="15"/>
  <c r="T142" i="15"/>
  <c r="U142" i="15"/>
  <c r="V142" i="15"/>
  <c r="W142" i="15"/>
  <c r="X142" i="15"/>
  <c r="Y142" i="15"/>
  <c r="Z142" i="15"/>
  <c r="AA142" i="15"/>
  <c r="B143" i="15"/>
  <c r="C143" i="15"/>
  <c r="D143" i="15"/>
  <c r="E143" i="15"/>
  <c r="J143" i="15"/>
  <c r="K143" i="15"/>
  <c r="L143" i="15"/>
  <c r="M143" i="15"/>
  <c r="N143" i="15"/>
  <c r="O143" i="15"/>
  <c r="P143" i="15"/>
  <c r="Q143" i="15"/>
  <c r="T143" i="15"/>
  <c r="U143" i="15"/>
  <c r="V143" i="15"/>
  <c r="W143" i="15"/>
  <c r="X143" i="15"/>
  <c r="Y143" i="15"/>
  <c r="Z143" i="15"/>
  <c r="AA143" i="15"/>
  <c r="B144" i="15"/>
  <c r="C144" i="15"/>
  <c r="D144" i="15"/>
  <c r="E144" i="15"/>
  <c r="J144" i="15"/>
  <c r="K144" i="15"/>
  <c r="L144" i="15"/>
  <c r="M144" i="15"/>
  <c r="N144" i="15"/>
  <c r="O144" i="15"/>
  <c r="P144" i="15"/>
  <c r="Q144" i="15"/>
  <c r="T144" i="15"/>
  <c r="U144" i="15"/>
  <c r="V144" i="15"/>
  <c r="W144" i="15"/>
  <c r="X144" i="15"/>
  <c r="Y144" i="15"/>
  <c r="Z144" i="15"/>
  <c r="AA144" i="15"/>
  <c r="B145" i="15"/>
  <c r="C145" i="15"/>
  <c r="D145" i="15"/>
  <c r="E145" i="15"/>
  <c r="J145" i="15"/>
  <c r="K145" i="15"/>
  <c r="L145" i="15"/>
  <c r="M145" i="15"/>
  <c r="N145" i="15"/>
  <c r="O145" i="15"/>
  <c r="P145" i="15"/>
  <c r="Q145" i="15"/>
  <c r="T145" i="15"/>
  <c r="U145" i="15"/>
  <c r="V145" i="15"/>
  <c r="W145" i="15"/>
  <c r="X145" i="15"/>
  <c r="Y145" i="15"/>
  <c r="Z145" i="15"/>
  <c r="AA145" i="15"/>
  <c r="B146" i="15"/>
  <c r="C146" i="15"/>
  <c r="D146" i="15"/>
  <c r="E146" i="15"/>
  <c r="J146" i="15"/>
  <c r="K146" i="15"/>
  <c r="L146" i="15"/>
  <c r="M146" i="15"/>
  <c r="N146" i="15"/>
  <c r="O146" i="15"/>
  <c r="P146" i="15"/>
  <c r="Q146" i="15"/>
  <c r="T146" i="15"/>
  <c r="U146" i="15"/>
  <c r="V146" i="15"/>
  <c r="W146" i="15"/>
  <c r="X146" i="15"/>
  <c r="Y146" i="15"/>
  <c r="Z146" i="15"/>
  <c r="AA146" i="15"/>
  <c r="B147" i="15"/>
  <c r="C147" i="15"/>
  <c r="D147" i="15"/>
  <c r="E147" i="15"/>
  <c r="J147" i="15"/>
  <c r="K147" i="15"/>
  <c r="L147" i="15"/>
  <c r="M147" i="15"/>
  <c r="N147" i="15"/>
  <c r="O147" i="15"/>
  <c r="P147" i="15"/>
  <c r="Q147" i="15"/>
  <c r="T147" i="15"/>
  <c r="U147" i="15"/>
  <c r="V147" i="15"/>
  <c r="W147" i="15"/>
  <c r="X147" i="15"/>
  <c r="Y147" i="15"/>
  <c r="Z147" i="15"/>
  <c r="AA147" i="15"/>
  <c r="B148" i="15"/>
  <c r="C148" i="15"/>
  <c r="D148" i="15"/>
  <c r="E148" i="15"/>
  <c r="J148" i="15"/>
  <c r="K148" i="15"/>
  <c r="L148" i="15"/>
  <c r="M148" i="15"/>
  <c r="N148" i="15"/>
  <c r="O148" i="15"/>
  <c r="P148" i="15"/>
  <c r="Q148" i="15"/>
  <c r="T148" i="15"/>
  <c r="U148" i="15"/>
  <c r="V148" i="15"/>
  <c r="W148" i="15"/>
  <c r="X148" i="15"/>
  <c r="Y148" i="15"/>
  <c r="Z148" i="15"/>
  <c r="AA148" i="15"/>
  <c r="B149" i="15"/>
  <c r="C149" i="15"/>
  <c r="D149" i="15"/>
  <c r="E149" i="15"/>
  <c r="J149" i="15"/>
  <c r="K149" i="15"/>
  <c r="L149" i="15"/>
  <c r="M149" i="15"/>
  <c r="N149" i="15"/>
  <c r="O149" i="15"/>
  <c r="P149" i="15"/>
  <c r="Q149" i="15"/>
  <c r="T149" i="15"/>
  <c r="U149" i="15"/>
  <c r="V149" i="15"/>
  <c r="W149" i="15"/>
  <c r="X149" i="15"/>
  <c r="Y149" i="15"/>
  <c r="Z149" i="15"/>
  <c r="AA149" i="15"/>
  <c r="B150" i="15"/>
  <c r="C150" i="15"/>
  <c r="D150" i="15"/>
  <c r="E150" i="15"/>
  <c r="J150" i="15"/>
  <c r="K150" i="15"/>
  <c r="L150" i="15"/>
  <c r="M150" i="15"/>
  <c r="N150" i="15"/>
  <c r="O150" i="15"/>
  <c r="P150" i="15"/>
  <c r="Q150" i="15"/>
  <c r="T150" i="15"/>
  <c r="U150" i="15"/>
  <c r="V150" i="15"/>
  <c r="W150" i="15"/>
  <c r="X150" i="15"/>
  <c r="Y150" i="15"/>
  <c r="Z150" i="15"/>
  <c r="AA150" i="15"/>
  <c r="B151" i="15"/>
  <c r="C151" i="15"/>
  <c r="D151" i="15"/>
  <c r="E151" i="15"/>
  <c r="J151" i="15"/>
  <c r="K151" i="15"/>
  <c r="L151" i="15"/>
  <c r="M151" i="15"/>
  <c r="N151" i="15"/>
  <c r="O151" i="15"/>
  <c r="P151" i="15"/>
  <c r="Q151" i="15"/>
  <c r="T151" i="15"/>
  <c r="U151" i="15"/>
  <c r="V151" i="15"/>
  <c r="W151" i="15"/>
  <c r="X151" i="15"/>
  <c r="Y151" i="15"/>
  <c r="Z151" i="15"/>
  <c r="AA151" i="15"/>
  <c r="B152" i="15"/>
  <c r="C152" i="15"/>
  <c r="D152" i="15"/>
  <c r="E152" i="15"/>
  <c r="J152" i="15"/>
  <c r="K152" i="15"/>
  <c r="L152" i="15"/>
  <c r="M152" i="15"/>
  <c r="N152" i="15"/>
  <c r="O152" i="15"/>
  <c r="P152" i="15"/>
  <c r="Q152" i="15"/>
  <c r="T152" i="15"/>
  <c r="U152" i="15"/>
  <c r="V152" i="15"/>
  <c r="W152" i="15"/>
  <c r="X152" i="15"/>
  <c r="Y152" i="15"/>
  <c r="Z152" i="15"/>
  <c r="AA152" i="15"/>
  <c r="B153" i="15"/>
  <c r="C153" i="15"/>
  <c r="D153" i="15"/>
  <c r="E153" i="15"/>
  <c r="J153" i="15"/>
  <c r="K153" i="15"/>
  <c r="L153" i="15"/>
  <c r="M153" i="15"/>
  <c r="N153" i="15"/>
  <c r="O153" i="15"/>
  <c r="P153" i="15"/>
  <c r="Q153" i="15"/>
  <c r="T153" i="15"/>
  <c r="U153" i="15"/>
  <c r="V153" i="15"/>
  <c r="W153" i="15"/>
  <c r="X153" i="15"/>
  <c r="Y153" i="15"/>
  <c r="Z153" i="15"/>
  <c r="AA153" i="15"/>
  <c r="B154" i="15"/>
  <c r="C154" i="15"/>
  <c r="D154" i="15"/>
  <c r="E154" i="15"/>
  <c r="J154" i="15"/>
  <c r="K154" i="15"/>
  <c r="L154" i="15"/>
  <c r="M154" i="15"/>
  <c r="N154" i="15"/>
  <c r="O154" i="15"/>
  <c r="P154" i="15"/>
  <c r="Q154" i="15"/>
  <c r="T154" i="15"/>
  <c r="U154" i="15"/>
  <c r="V154" i="15"/>
  <c r="W154" i="15"/>
  <c r="X154" i="15"/>
  <c r="Y154" i="15"/>
  <c r="Z154" i="15"/>
  <c r="AA154" i="15"/>
  <c r="B155" i="15"/>
  <c r="C155" i="15"/>
  <c r="D155" i="15"/>
  <c r="E155" i="15"/>
  <c r="J155" i="15"/>
  <c r="K155" i="15"/>
  <c r="L155" i="15"/>
  <c r="M155" i="15"/>
  <c r="N155" i="15"/>
  <c r="O155" i="15"/>
  <c r="P155" i="15"/>
  <c r="Q155" i="15"/>
  <c r="T155" i="15"/>
  <c r="U155" i="15"/>
  <c r="V155" i="15"/>
  <c r="W155" i="15"/>
  <c r="X155" i="15"/>
  <c r="Y155" i="15"/>
  <c r="Z155" i="15"/>
  <c r="AA155" i="15"/>
  <c r="B156" i="15"/>
  <c r="C156" i="15"/>
  <c r="D156" i="15"/>
  <c r="E156" i="15"/>
  <c r="J156" i="15"/>
  <c r="K156" i="15"/>
  <c r="L156" i="15"/>
  <c r="M156" i="15"/>
  <c r="N156" i="15"/>
  <c r="O156" i="15"/>
  <c r="P156" i="15"/>
  <c r="Q156" i="15"/>
  <c r="T156" i="15"/>
  <c r="U156" i="15"/>
  <c r="V156" i="15"/>
  <c r="W156" i="15"/>
  <c r="X156" i="15"/>
  <c r="Y156" i="15"/>
  <c r="Z156" i="15"/>
  <c r="AA156" i="15"/>
  <c r="B157" i="15"/>
  <c r="C157" i="15"/>
  <c r="D157" i="15"/>
  <c r="E157" i="15"/>
  <c r="J157" i="15"/>
  <c r="K157" i="15"/>
  <c r="L157" i="15"/>
  <c r="M157" i="15"/>
  <c r="N157" i="15"/>
  <c r="O157" i="15"/>
  <c r="P157" i="15"/>
  <c r="Q157" i="15"/>
  <c r="T157" i="15"/>
  <c r="U157" i="15"/>
  <c r="V157" i="15"/>
  <c r="W157" i="15"/>
  <c r="X157" i="15"/>
  <c r="Y157" i="15"/>
  <c r="Z157" i="15"/>
  <c r="AA157" i="15"/>
  <c r="B158" i="15"/>
  <c r="C158" i="15"/>
  <c r="D158" i="15"/>
  <c r="E158" i="15"/>
  <c r="J158" i="15"/>
  <c r="K158" i="15"/>
  <c r="L158" i="15"/>
  <c r="M158" i="15"/>
  <c r="N158" i="15"/>
  <c r="O158" i="15"/>
  <c r="P158" i="15"/>
  <c r="Q158" i="15"/>
  <c r="T158" i="15"/>
  <c r="U158" i="15"/>
  <c r="V158" i="15"/>
  <c r="W158" i="15"/>
  <c r="X158" i="15"/>
  <c r="Y158" i="15"/>
  <c r="Z158" i="15"/>
  <c r="AA158" i="15"/>
  <c r="B159" i="15"/>
  <c r="C159" i="15"/>
  <c r="D159" i="15"/>
  <c r="E159" i="15"/>
  <c r="J159" i="15"/>
  <c r="K159" i="15"/>
  <c r="L159" i="15"/>
  <c r="M159" i="15"/>
  <c r="N159" i="15"/>
  <c r="O159" i="15"/>
  <c r="P159" i="15"/>
  <c r="Q159" i="15"/>
  <c r="T159" i="15"/>
  <c r="U159" i="15"/>
  <c r="V159" i="15"/>
  <c r="W159" i="15"/>
  <c r="X159" i="15"/>
  <c r="Y159" i="15"/>
  <c r="Z159" i="15"/>
  <c r="AA159" i="15"/>
  <c r="B160" i="15"/>
  <c r="C160" i="15"/>
  <c r="D160" i="15"/>
  <c r="E160" i="15"/>
  <c r="J160" i="15"/>
  <c r="K160" i="15"/>
  <c r="L160" i="15"/>
  <c r="M160" i="15"/>
  <c r="N160" i="15"/>
  <c r="O160" i="15"/>
  <c r="P160" i="15"/>
  <c r="Q160" i="15"/>
  <c r="T160" i="15"/>
  <c r="U160" i="15"/>
  <c r="V160" i="15"/>
  <c r="W160" i="15"/>
  <c r="X160" i="15"/>
  <c r="Y160" i="15"/>
  <c r="Z160" i="15"/>
  <c r="AA160" i="15"/>
  <c r="B161" i="15"/>
  <c r="C161" i="15"/>
  <c r="D161" i="15"/>
  <c r="E161" i="15"/>
  <c r="J161" i="15"/>
  <c r="K161" i="15"/>
  <c r="L161" i="15"/>
  <c r="M161" i="15"/>
  <c r="N161" i="15"/>
  <c r="O161" i="15"/>
  <c r="P161" i="15"/>
  <c r="Q161" i="15"/>
  <c r="T161" i="15"/>
  <c r="U161" i="15"/>
  <c r="V161" i="15"/>
  <c r="W161" i="15"/>
  <c r="X161" i="15"/>
  <c r="Y161" i="15"/>
  <c r="Z161" i="15"/>
  <c r="AA161" i="15"/>
  <c r="B162" i="15"/>
  <c r="C162" i="15"/>
  <c r="D162" i="15"/>
  <c r="E162" i="15"/>
  <c r="J162" i="15"/>
  <c r="K162" i="15"/>
  <c r="L162" i="15"/>
  <c r="M162" i="15"/>
  <c r="N162" i="15"/>
  <c r="O162" i="15"/>
  <c r="P162" i="15"/>
  <c r="Q162" i="15"/>
  <c r="T162" i="15"/>
  <c r="U162" i="15"/>
  <c r="V162" i="15"/>
  <c r="W162" i="15"/>
  <c r="X162" i="15"/>
  <c r="Y162" i="15"/>
  <c r="Z162" i="15"/>
  <c r="AA162" i="15"/>
  <c r="B163" i="15"/>
  <c r="C163" i="15"/>
  <c r="D163" i="15"/>
  <c r="E163" i="15"/>
  <c r="J163" i="15"/>
  <c r="K163" i="15"/>
  <c r="L163" i="15"/>
  <c r="M163" i="15"/>
  <c r="N163" i="15"/>
  <c r="O163" i="15"/>
  <c r="P163" i="15"/>
  <c r="Q163" i="15"/>
  <c r="T163" i="15"/>
  <c r="U163" i="15"/>
  <c r="V163" i="15"/>
  <c r="W163" i="15"/>
  <c r="X163" i="15"/>
  <c r="Y163" i="15"/>
  <c r="Z163" i="15"/>
  <c r="AA163" i="15"/>
  <c r="B164" i="15"/>
  <c r="C164" i="15"/>
  <c r="D164" i="15"/>
  <c r="E164" i="15"/>
  <c r="J164" i="15"/>
  <c r="K164" i="15"/>
  <c r="L164" i="15"/>
  <c r="M164" i="15"/>
  <c r="N164" i="15"/>
  <c r="O164" i="15"/>
  <c r="P164" i="15"/>
  <c r="Q164" i="15"/>
  <c r="T164" i="15"/>
  <c r="U164" i="15"/>
  <c r="V164" i="15"/>
  <c r="W164" i="15"/>
  <c r="X164" i="15"/>
  <c r="Y164" i="15"/>
  <c r="Z164" i="15"/>
  <c r="AA164" i="15"/>
  <c r="B165" i="15"/>
  <c r="C165" i="15"/>
  <c r="D165" i="15"/>
  <c r="E165" i="15"/>
  <c r="J165" i="15"/>
  <c r="K165" i="15"/>
  <c r="L165" i="15"/>
  <c r="M165" i="15"/>
  <c r="N165" i="15"/>
  <c r="O165" i="15"/>
  <c r="P165" i="15"/>
  <c r="Q165" i="15"/>
  <c r="T165" i="15"/>
  <c r="U165" i="15"/>
  <c r="V165" i="15"/>
  <c r="W165" i="15"/>
  <c r="X165" i="15"/>
  <c r="Y165" i="15"/>
  <c r="Z165" i="15"/>
  <c r="AA165" i="15"/>
  <c r="B166" i="15"/>
  <c r="C166" i="15"/>
  <c r="D166" i="15"/>
  <c r="E166" i="15"/>
  <c r="J166" i="15"/>
  <c r="K166" i="15"/>
  <c r="L166" i="15"/>
  <c r="M166" i="15"/>
  <c r="N166" i="15"/>
  <c r="O166" i="15"/>
  <c r="P166" i="15"/>
  <c r="Q166" i="15"/>
  <c r="T166" i="15"/>
  <c r="U166" i="15"/>
  <c r="V166" i="15"/>
  <c r="W166" i="15"/>
  <c r="X166" i="15"/>
  <c r="Y166" i="15"/>
  <c r="Z166" i="15"/>
  <c r="AA166" i="15"/>
  <c r="B167" i="15"/>
  <c r="C167" i="15"/>
  <c r="D167" i="15"/>
  <c r="E167" i="15"/>
  <c r="J167" i="15"/>
  <c r="K167" i="15"/>
  <c r="L167" i="15"/>
  <c r="M167" i="15"/>
  <c r="N167" i="15"/>
  <c r="O167" i="15"/>
  <c r="P167" i="15"/>
  <c r="Q167" i="15"/>
  <c r="T167" i="15"/>
  <c r="U167" i="15"/>
  <c r="V167" i="15"/>
  <c r="W167" i="15"/>
  <c r="X167" i="15"/>
  <c r="Y167" i="15"/>
  <c r="Z167" i="15"/>
  <c r="AA167" i="15"/>
  <c r="B168" i="15"/>
  <c r="C168" i="15"/>
  <c r="D168" i="15"/>
  <c r="E168" i="15"/>
  <c r="J168" i="15"/>
  <c r="K168" i="15"/>
  <c r="L168" i="15"/>
  <c r="M168" i="15"/>
  <c r="N168" i="15"/>
  <c r="O168" i="15"/>
  <c r="P168" i="15"/>
  <c r="Q168" i="15"/>
  <c r="T168" i="15"/>
  <c r="U168" i="15"/>
  <c r="V168" i="15"/>
  <c r="W168" i="15"/>
  <c r="X168" i="15"/>
  <c r="Y168" i="15"/>
  <c r="Z168" i="15"/>
  <c r="AA168" i="15"/>
  <c r="B169" i="15"/>
  <c r="C169" i="15"/>
  <c r="D169" i="15"/>
  <c r="E169" i="15"/>
  <c r="J169" i="15"/>
  <c r="K169" i="15"/>
  <c r="L169" i="15"/>
  <c r="M169" i="15"/>
  <c r="N169" i="15"/>
  <c r="O169" i="15"/>
  <c r="P169" i="15"/>
  <c r="Q169" i="15"/>
  <c r="T169" i="15"/>
  <c r="U169" i="15"/>
  <c r="V169" i="15"/>
  <c r="W169" i="15"/>
  <c r="X169" i="15"/>
  <c r="Y169" i="15"/>
  <c r="Z169" i="15"/>
  <c r="AA169" i="15"/>
  <c r="B170" i="15"/>
  <c r="C170" i="15"/>
  <c r="D170" i="15"/>
  <c r="E170" i="15"/>
  <c r="J170" i="15"/>
  <c r="K170" i="15"/>
  <c r="L170" i="15"/>
  <c r="M170" i="15"/>
  <c r="N170" i="15"/>
  <c r="O170" i="15"/>
  <c r="P170" i="15"/>
  <c r="Q170" i="15"/>
  <c r="T170" i="15"/>
  <c r="U170" i="15"/>
  <c r="V170" i="15"/>
  <c r="W170" i="15"/>
  <c r="X170" i="15"/>
  <c r="Y170" i="15"/>
  <c r="Z170" i="15"/>
  <c r="AA170" i="15"/>
  <c r="B171" i="15"/>
  <c r="C171" i="15"/>
  <c r="D171" i="15"/>
  <c r="E171" i="15"/>
  <c r="J171" i="15"/>
  <c r="K171" i="15"/>
  <c r="L171" i="15"/>
  <c r="M171" i="15"/>
  <c r="N171" i="15"/>
  <c r="O171" i="15"/>
  <c r="P171" i="15"/>
  <c r="Q171" i="15"/>
  <c r="T171" i="15"/>
  <c r="U171" i="15"/>
  <c r="V171" i="15"/>
  <c r="W171" i="15"/>
  <c r="X171" i="15"/>
  <c r="Y171" i="15"/>
  <c r="Z171" i="15"/>
  <c r="AA171" i="15"/>
  <c r="B172" i="15"/>
  <c r="C172" i="15"/>
  <c r="D172" i="15"/>
  <c r="E172" i="15"/>
  <c r="J172" i="15"/>
  <c r="K172" i="15"/>
  <c r="L172" i="15"/>
  <c r="M172" i="15"/>
  <c r="N172" i="15"/>
  <c r="O172" i="15"/>
  <c r="P172" i="15"/>
  <c r="Q172" i="15"/>
  <c r="T172" i="15"/>
  <c r="U172" i="15"/>
  <c r="V172" i="15"/>
  <c r="W172" i="15"/>
  <c r="X172" i="15"/>
  <c r="Y172" i="15"/>
  <c r="Z172" i="15"/>
  <c r="AA172" i="15"/>
  <c r="B173" i="15"/>
  <c r="C173" i="15"/>
  <c r="D173" i="15"/>
  <c r="E173" i="15"/>
  <c r="J173" i="15"/>
  <c r="K173" i="15"/>
  <c r="L173" i="15"/>
  <c r="M173" i="15"/>
  <c r="N173" i="15"/>
  <c r="O173" i="15"/>
  <c r="P173" i="15"/>
  <c r="Q173" i="15"/>
  <c r="T173" i="15"/>
  <c r="U173" i="15"/>
  <c r="V173" i="15"/>
  <c r="W173" i="15"/>
  <c r="X173" i="15"/>
  <c r="Y173" i="15"/>
  <c r="Z173" i="15"/>
  <c r="AA173" i="15"/>
  <c r="B174" i="15"/>
  <c r="C174" i="15"/>
  <c r="D174" i="15"/>
  <c r="E174" i="15"/>
  <c r="J174" i="15"/>
  <c r="K174" i="15"/>
  <c r="L174" i="15"/>
  <c r="M174" i="15"/>
  <c r="N174" i="15"/>
  <c r="O174" i="15"/>
  <c r="P174" i="15"/>
  <c r="Q174" i="15"/>
  <c r="T174" i="15"/>
  <c r="U174" i="15"/>
  <c r="V174" i="15"/>
  <c r="W174" i="15"/>
  <c r="X174" i="15"/>
  <c r="Y174" i="15"/>
  <c r="Z174" i="15"/>
  <c r="AA174" i="15"/>
  <c r="B175" i="15"/>
  <c r="C175" i="15"/>
  <c r="D175" i="15"/>
  <c r="E175" i="15"/>
  <c r="J175" i="15"/>
  <c r="K175" i="15"/>
  <c r="L175" i="15"/>
  <c r="M175" i="15"/>
  <c r="N175" i="15"/>
  <c r="O175" i="15"/>
  <c r="P175" i="15"/>
  <c r="Q175" i="15"/>
  <c r="T175" i="15"/>
  <c r="U175" i="15"/>
  <c r="V175" i="15"/>
  <c r="W175" i="15"/>
  <c r="X175" i="15"/>
  <c r="Y175" i="15"/>
  <c r="Z175" i="15"/>
  <c r="AA175" i="15"/>
  <c r="B176" i="15"/>
  <c r="C176" i="15"/>
  <c r="D176" i="15"/>
  <c r="E176" i="15"/>
  <c r="J176" i="15"/>
  <c r="K176" i="15"/>
  <c r="L176" i="15"/>
  <c r="M176" i="15"/>
  <c r="N176" i="15"/>
  <c r="O176" i="15"/>
  <c r="P176" i="15"/>
  <c r="Q176" i="15"/>
  <c r="T176" i="15"/>
  <c r="U176" i="15"/>
  <c r="V176" i="15"/>
  <c r="W176" i="15"/>
  <c r="X176" i="15"/>
  <c r="Y176" i="15"/>
  <c r="Z176" i="15"/>
  <c r="AA176" i="15"/>
  <c r="B177" i="15"/>
  <c r="C177" i="15"/>
  <c r="D177" i="15"/>
  <c r="E177" i="15"/>
  <c r="J177" i="15"/>
  <c r="K177" i="15"/>
  <c r="L177" i="15"/>
  <c r="M177" i="15"/>
  <c r="N177" i="15"/>
  <c r="O177" i="15"/>
  <c r="P177" i="15"/>
  <c r="Q177" i="15"/>
  <c r="T177" i="15"/>
  <c r="U177" i="15"/>
  <c r="V177" i="15"/>
  <c r="W177" i="15"/>
  <c r="X177" i="15"/>
  <c r="Y177" i="15"/>
  <c r="Z177" i="15"/>
  <c r="AA177" i="15"/>
  <c r="B178" i="15"/>
  <c r="C178" i="15"/>
  <c r="D178" i="15"/>
  <c r="E178" i="15"/>
  <c r="J178" i="15"/>
  <c r="K178" i="15"/>
  <c r="L178" i="15"/>
  <c r="M178" i="15"/>
  <c r="N178" i="15"/>
  <c r="O178" i="15"/>
  <c r="P178" i="15"/>
  <c r="Q178" i="15"/>
  <c r="T178" i="15"/>
  <c r="U178" i="15"/>
  <c r="V178" i="15"/>
  <c r="W178" i="15"/>
  <c r="X178" i="15"/>
  <c r="Y178" i="15"/>
  <c r="Z178" i="15"/>
  <c r="AA178" i="15"/>
  <c r="B179" i="15"/>
  <c r="C179" i="15"/>
  <c r="D179" i="15"/>
  <c r="E179" i="15"/>
  <c r="J179" i="15"/>
  <c r="K179" i="15"/>
  <c r="L179" i="15"/>
  <c r="M179" i="15"/>
  <c r="N179" i="15"/>
  <c r="O179" i="15"/>
  <c r="P179" i="15"/>
  <c r="Q179" i="15"/>
  <c r="T179" i="15"/>
  <c r="U179" i="15"/>
  <c r="V179" i="15"/>
  <c r="W179" i="15"/>
  <c r="X179" i="15"/>
  <c r="Y179" i="15"/>
  <c r="Z179" i="15"/>
  <c r="AA179" i="15"/>
  <c r="B180" i="15"/>
  <c r="C180" i="15"/>
  <c r="D180" i="15"/>
  <c r="E180" i="15"/>
  <c r="J180" i="15"/>
  <c r="K180" i="15"/>
  <c r="L180" i="15"/>
  <c r="M180" i="15"/>
  <c r="N180" i="15"/>
  <c r="O180" i="15"/>
  <c r="P180" i="15"/>
  <c r="Q180" i="15"/>
  <c r="T180" i="15"/>
  <c r="U180" i="15"/>
  <c r="V180" i="15"/>
  <c r="W180" i="15"/>
  <c r="X180" i="15"/>
  <c r="Y180" i="15"/>
  <c r="Z180" i="15"/>
  <c r="AA180" i="15"/>
  <c r="B181" i="15"/>
  <c r="C181" i="15"/>
  <c r="D181" i="15"/>
  <c r="E181" i="15"/>
  <c r="J181" i="15"/>
  <c r="K181" i="15"/>
  <c r="L181" i="15"/>
  <c r="M181" i="15"/>
  <c r="N181" i="15"/>
  <c r="O181" i="15"/>
  <c r="P181" i="15"/>
  <c r="Q181" i="15"/>
  <c r="T181" i="15"/>
  <c r="U181" i="15"/>
  <c r="V181" i="15"/>
  <c r="W181" i="15"/>
  <c r="X181" i="15"/>
  <c r="Y181" i="15"/>
  <c r="Z181" i="15"/>
  <c r="AA181" i="15"/>
  <c r="B182" i="15"/>
  <c r="C182" i="15"/>
  <c r="D182" i="15"/>
  <c r="E182" i="15"/>
  <c r="J182" i="15"/>
  <c r="K182" i="15"/>
  <c r="L182" i="15"/>
  <c r="M182" i="15"/>
  <c r="N182" i="15"/>
  <c r="O182" i="15"/>
  <c r="P182" i="15"/>
  <c r="Q182" i="15"/>
  <c r="T182" i="15"/>
  <c r="U182" i="15"/>
  <c r="V182" i="15"/>
  <c r="W182" i="15"/>
  <c r="X182" i="15"/>
  <c r="Y182" i="15"/>
  <c r="Z182" i="15"/>
  <c r="AA182" i="15"/>
  <c r="B183" i="15"/>
  <c r="C183" i="15"/>
  <c r="D183" i="15"/>
  <c r="E183" i="15"/>
  <c r="J183" i="15"/>
  <c r="K183" i="15"/>
  <c r="L183" i="15"/>
  <c r="M183" i="15"/>
  <c r="N183" i="15"/>
  <c r="O183" i="15"/>
  <c r="P183" i="15"/>
  <c r="Q183" i="15"/>
  <c r="T183" i="15"/>
  <c r="U183" i="15"/>
  <c r="V183" i="15"/>
  <c r="W183" i="15"/>
  <c r="X183" i="15"/>
  <c r="Y183" i="15"/>
  <c r="Z183" i="15"/>
  <c r="AA183" i="15"/>
  <c r="B184" i="15"/>
  <c r="C184" i="15"/>
  <c r="D184" i="15"/>
  <c r="E184" i="15"/>
  <c r="J184" i="15"/>
  <c r="K184" i="15"/>
  <c r="L184" i="15"/>
  <c r="M184" i="15"/>
  <c r="N184" i="15"/>
  <c r="O184" i="15"/>
  <c r="P184" i="15"/>
  <c r="Q184" i="15"/>
  <c r="T184" i="15"/>
  <c r="U184" i="15"/>
  <c r="V184" i="15"/>
  <c r="W184" i="15"/>
  <c r="X184" i="15"/>
  <c r="Y184" i="15"/>
  <c r="Z184" i="15"/>
  <c r="AA184" i="15"/>
  <c r="B185" i="15"/>
  <c r="C185" i="15"/>
  <c r="D185" i="15"/>
  <c r="E185" i="15"/>
  <c r="J185" i="15"/>
  <c r="K185" i="15"/>
  <c r="L185" i="15"/>
  <c r="M185" i="15"/>
  <c r="N185" i="15"/>
  <c r="O185" i="15"/>
  <c r="P185" i="15"/>
  <c r="Q185" i="15"/>
  <c r="T185" i="15"/>
  <c r="U185" i="15"/>
  <c r="V185" i="15"/>
  <c r="W185" i="15"/>
  <c r="X185" i="15"/>
  <c r="Y185" i="15"/>
  <c r="Z185" i="15"/>
  <c r="AA185" i="15"/>
  <c r="B186" i="15"/>
  <c r="C186" i="15"/>
  <c r="D186" i="15"/>
  <c r="E186" i="15"/>
  <c r="J186" i="15"/>
  <c r="K186" i="15"/>
  <c r="L186" i="15"/>
  <c r="M186" i="15"/>
  <c r="N186" i="15"/>
  <c r="O186" i="15"/>
  <c r="P186" i="15"/>
  <c r="Q186" i="15"/>
  <c r="T186" i="15"/>
  <c r="U186" i="15"/>
  <c r="V186" i="15"/>
  <c r="W186" i="15"/>
  <c r="X186" i="15"/>
  <c r="Y186" i="15"/>
  <c r="Z186" i="15"/>
  <c r="AA186" i="15"/>
  <c r="B187" i="15"/>
  <c r="C187" i="15"/>
  <c r="D187" i="15"/>
  <c r="E187" i="15"/>
  <c r="J187" i="15"/>
  <c r="K187" i="15"/>
  <c r="L187" i="15"/>
  <c r="M187" i="15"/>
  <c r="N187" i="15"/>
  <c r="O187" i="15"/>
  <c r="P187" i="15"/>
  <c r="Q187" i="15"/>
  <c r="T187" i="15"/>
  <c r="U187" i="15"/>
  <c r="V187" i="15"/>
  <c r="W187" i="15"/>
  <c r="X187" i="15"/>
  <c r="Y187" i="15"/>
  <c r="Z187" i="15"/>
  <c r="AA187" i="15"/>
  <c r="B188" i="15"/>
  <c r="C188" i="15"/>
  <c r="D188" i="15"/>
  <c r="E188" i="15"/>
  <c r="J188" i="15"/>
  <c r="K188" i="15"/>
  <c r="L188" i="15"/>
  <c r="M188" i="15"/>
  <c r="N188" i="15"/>
  <c r="O188" i="15"/>
  <c r="P188" i="15"/>
  <c r="Q188" i="15"/>
  <c r="T188" i="15"/>
  <c r="U188" i="15"/>
  <c r="V188" i="15"/>
  <c r="W188" i="15"/>
  <c r="X188" i="15"/>
  <c r="Y188" i="15"/>
  <c r="Z188" i="15"/>
  <c r="AA188" i="15"/>
  <c r="B189" i="15"/>
  <c r="C189" i="15"/>
  <c r="D189" i="15"/>
  <c r="E189" i="15"/>
  <c r="J189" i="15"/>
  <c r="K189" i="15"/>
  <c r="L189" i="15"/>
  <c r="M189" i="15"/>
  <c r="N189" i="15"/>
  <c r="O189" i="15"/>
  <c r="P189" i="15"/>
  <c r="Q189" i="15"/>
  <c r="T189" i="15"/>
  <c r="U189" i="15"/>
  <c r="V189" i="15"/>
  <c r="W189" i="15"/>
  <c r="X189" i="15"/>
  <c r="Y189" i="15"/>
  <c r="Z189" i="15"/>
  <c r="AA189" i="15"/>
  <c r="B190" i="15"/>
  <c r="C190" i="15"/>
  <c r="D190" i="15"/>
  <c r="E190" i="15"/>
  <c r="J190" i="15"/>
  <c r="K190" i="15"/>
  <c r="L190" i="15"/>
  <c r="M190" i="15"/>
  <c r="N190" i="15"/>
  <c r="O190" i="15"/>
  <c r="P190" i="15"/>
  <c r="Q190" i="15"/>
  <c r="T190" i="15"/>
  <c r="U190" i="15"/>
  <c r="V190" i="15"/>
  <c r="W190" i="15"/>
  <c r="X190" i="15"/>
  <c r="Y190" i="15"/>
  <c r="Z190" i="15"/>
  <c r="AA190" i="15"/>
  <c r="B191" i="15"/>
  <c r="C191" i="15"/>
  <c r="D191" i="15"/>
  <c r="E191" i="15"/>
  <c r="J191" i="15"/>
  <c r="K191" i="15"/>
  <c r="L191" i="15"/>
  <c r="M191" i="15"/>
  <c r="N191" i="15"/>
  <c r="O191" i="15"/>
  <c r="P191" i="15"/>
  <c r="Q191" i="15"/>
  <c r="T191" i="15"/>
  <c r="U191" i="15"/>
  <c r="V191" i="15"/>
  <c r="W191" i="15"/>
  <c r="X191" i="15"/>
  <c r="Y191" i="15"/>
  <c r="Z191" i="15"/>
  <c r="AA191" i="15"/>
  <c r="B192" i="15"/>
  <c r="C192" i="15"/>
  <c r="D192" i="15"/>
  <c r="E192" i="15"/>
  <c r="J192" i="15"/>
  <c r="K192" i="15"/>
  <c r="L192" i="15"/>
  <c r="M192" i="15"/>
  <c r="N192" i="15"/>
  <c r="O192" i="15"/>
  <c r="P192" i="15"/>
  <c r="Q192" i="15"/>
  <c r="T192" i="15"/>
  <c r="U192" i="15"/>
  <c r="V192" i="15"/>
  <c r="W192" i="15"/>
  <c r="X192" i="15"/>
  <c r="Y192" i="15"/>
  <c r="Z192" i="15"/>
  <c r="AA192" i="15"/>
  <c r="B193" i="15"/>
  <c r="C193" i="15"/>
  <c r="D193" i="15"/>
  <c r="E193" i="15"/>
  <c r="J193" i="15"/>
  <c r="K193" i="15"/>
  <c r="L193" i="15"/>
  <c r="M193" i="15"/>
  <c r="N193" i="15"/>
  <c r="O193" i="15"/>
  <c r="P193" i="15"/>
  <c r="Q193" i="15"/>
  <c r="T193" i="15"/>
  <c r="U193" i="15"/>
  <c r="V193" i="15"/>
  <c r="W193" i="15"/>
  <c r="X193" i="15"/>
  <c r="Y193" i="15"/>
  <c r="Z193" i="15"/>
  <c r="AA193" i="15"/>
  <c r="B194" i="15"/>
  <c r="C194" i="15"/>
  <c r="D194" i="15"/>
  <c r="E194" i="15"/>
  <c r="J194" i="15"/>
  <c r="K194" i="15"/>
  <c r="L194" i="15"/>
  <c r="M194" i="15"/>
  <c r="N194" i="15"/>
  <c r="O194" i="15"/>
  <c r="P194" i="15"/>
  <c r="Q194" i="15"/>
  <c r="T194" i="15"/>
  <c r="U194" i="15"/>
  <c r="V194" i="15"/>
  <c r="W194" i="15"/>
  <c r="X194" i="15"/>
  <c r="Y194" i="15"/>
  <c r="Z194" i="15"/>
  <c r="AA194" i="15"/>
  <c r="B195" i="15"/>
  <c r="C195" i="15"/>
  <c r="D195" i="15"/>
  <c r="E195" i="15"/>
  <c r="J195" i="15"/>
  <c r="K195" i="15"/>
  <c r="L195" i="15"/>
  <c r="M195" i="15"/>
  <c r="N195" i="15"/>
  <c r="O195" i="15"/>
  <c r="P195" i="15"/>
  <c r="Q195" i="15"/>
  <c r="T195" i="15"/>
  <c r="U195" i="15"/>
  <c r="V195" i="15"/>
  <c r="W195" i="15"/>
  <c r="X195" i="15"/>
  <c r="Y195" i="15"/>
  <c r="Z195" i="15"/>
  <c r="AA195" i="15"/>
  <c r="B196" i="15"/>
  <c r="C196" i="15"/>
  <c r="D196" i="15"/>
  <c r="E196" i="15"/>
  <c r="J196" i="15"/>
  <c r="K196" i="15"/>
  <c r="L196" i="15"/>
  <c r="M196" i="15"/>
  <c r="N196" i="15"/>
  <c r="O196" i="15"/>
  <c r="P196" i="15"/>
  <c r="Q196" i="15"/>
  <c r="T196" i="15"/>
  <c r="U196" i="15"/>
  <c r="V196" i="15"/>
  <c r="W196" i="15"/>
  <c r="X196" i="15"/>
  <c r="Y196" i="15"/>
  <c r="Z196" i="15"/>
  <c r="AA196" i="15"/>
  <c r="B197" i="15"/>
  <c r="C197" i="15"/>
  <c r="D197" i="15"/>
  <c r="E197" i="15"/>
  <c r="J197" i="15"/>
  <c r="K197" i="15"/>
  <c r="L197" i="15"/>
  <c r="M197" i="15"/>
  <c r="N197" i="15"/>
  <c r="O197" i="15"/>
  <c r="P197" i="15"/>
  <c r="Q197" i="15"/>
  <c r="T197" i="15"/>
  <c r="U197" i="15"/>
  <c r="V197" i="15"/>
  <c r="W197" i="15"/>
  <c r="X197" i="15"/>
  <c r="Y197" i="15"/>
  <c r="Z197" i="15"/>
  <c r="AA197" i="15"/>
  <c r="B198" i="15"/>
  <c r="C198" i="15"/>
  <c r="D198" i="15"/>
  <c r="E198" i="15"/>
  <c r="J198" i="15"/>
  <c r="K198" i="15"/>
  <c r="L198" i="15"/>
  <c r="M198" i="15"/>
  <c r="N198" i="15"/>
  <c r="O198" i="15"/>
  <c r="P198" i="15"/>
  <c r="Q198" i="15"/>
  <c r="T198" i="15"/>
  <c r="U198" i="15"/>
  <c r="V198" i="15"/>
  <c r="W198" i="15"/>
  <c r="X198" i="15"/>
  <c r="Y198" i="15"/>
  <c r="Z198" i="15"/>
  <c r="AA198" i="15"/>
  <c r="B199" i="15"/>
  <c r="C199" i="15"/>
  <c r="D199" i="15"/>
  <c r="E199" i="15"/>
  <c r="J199" i="15"/>
  <c r="K199" i="15"/>
  <c r="L199" i="15"/>
  <c r="M199" i="15"/>
  <c r="N199" i="15"/>
  <c r="O199" i="15"/>
  <c r="P199" i="15"/>
  <c r="Q199" i="15"/>
  <c r="T199" i="15"/>
  <c r="U199" i="15"/>
  <c r="V199" i="15"/>
  <c r="W199" i="15"/>
  <c r="X199" i="15"/>
  <c r="Y199" i="15"/>
  <c r="Z199" i="15"/>
  <c r="AA199" i="15"/>
  <c r="B200" i="15"/>
  <c r="C200" i="15"/>
  <c r="D200" i="15"/>
  <c r="E200" i="15"/>
  <c r="J200" i="15"/>
  <c r="K200" i="15"/>
  <c r="L200" i="15"/>
  <c r="M200" i="15"/>
  <c r="N200" i="15"/>
  <c r="O200" i="15"/>
  <c r="P200" i="15"/>
  <c r="Q200" i="15"/>
  <c r="T200" i="15"/>
  <c r="U200" i="15"/>
  <c r="V200" i="15"/>
  <c r="W200" i="15"/>
  <c r="X200" i="15"/>
  <c r="Y200" i="15"/>
  <c r="Z200" i="15"/>
  <c r="AA200" i="15"/>
  <c r="B201" i="15"/>
  <c r="C201" i="15"/>
  <c r="D201" i="15"/>
  <c r="E201" i="15"/>
  <c r="J201" i="15"/>
  <c r="K201" i="15"/>
  <c r="L201" i="15"/>
  <c r="M201" i="15"/>
  <c r="N201" i="15"/>
  <c r="O201" i="15"/>
  <c r="P201" i="15"/>
  <c r="Q201" i="15"/>
  <c r="T201" i="15"/>
  <c r="U201" i="15"/>
  <c r="V201" i="15"/>
  <c r="W201" i="15"/>
  <c r="X201" i="15"/>
  <c r="Y201" i="15"/>
  <c r="Z201" i="15"/>
  <c r="AA201" i="15"/>
  <c r="B202" i="15"/>
  <c r="C202" i="15"/>
  <c r="D202" i="15"/>
  <c r="E202" i="15"/>
  <c r="J202" i="15"/>
  <c r="K202" i="15"/>
  <c r="L202" i="15"/>
  <c r="M202" i="15"/>
  <c r="N202" i="15"/>
  <c r="O202" i="15"/>
  <c r="P202" i="15"/>
  <c r="Q202" i="15"/>
  <c r="T202" i="15"/>
  <c r="U202" i="15"/>
  <c r="V202" i="15"/>
  <c r="W202" i="15"/>
  <c r="X202" i="15"/>
  <c r="Y202" i="15"/>
  <c r="Z202" i="15"/>
  <c r="AA202" i="15"/>
  <c r="B203" i="15"/>
  <c r="C203" i="15"/>
  <c r="D203" i="15"/>
  <c r="E203" i="15"/>
  <c r="J203" i="15"/>
  <c r="K203" i="15"/>
  <c r="L203" i="15"/>
  <c r="M203" i="15"/>
  <c r="N203" i="15"/>
  <c r="O203" i="15"/>
  <c r="P203" i="15"/>
  <c r="Q203" i="15"/>
  <c r="T203" i="15"/>
  <c r="U203" i="15"/>
  <c r="V203" i="15"/>
  <c r="W203" i="15"/>
  <c r="X203" i="15"/>
  <c r="Y203" i="15"/>
  <c r="Z203" i="15"/>
  <c r="AA203" i="15"/>
  <c r="B204" i="15"/>
  <c r="C204" i="15"/>
  <c r="D204" i="15"/>
  <c r="E204" i="15"/>
  <c r="J204" i="15"/>
  <c r="K204" i="15"/>
  <c r="L204" i="15"/>
  <c r="M204" i="15"/>
  <c r="N204" i="15"/>
  <c r="O204" i="15"/>
  <c r="P204" i="15"/>
  <c r="Q204" i="15"/>
  <c r="T204" i="15"/>
  <c r="U204" i="15"/>
  <c r="V204" i="15"/>
  <c r="W204" i="15"/>
  <c r="X204" i="15"/>
  <c r="Y204" i="15"/>
  <c r="Z204" i="15"/>
  <c r="AA204" i="15"/>
  <c r="B205" i="15"/>
  <c r="C205" i="15"/>
  <c r="D205" i="15"/>
  <c r="E205" i="15"/>
  <c r="J205" i="15"/>
  <c r="K205" i="15"/>
  <c r="L205" i="15"/>
  <c r="M205" i="15"/>
  <c r="N205" i="15"/>
  <c r="O205" i="15"/>
  <c r="P205" i="15"/>
  <c r="Q205" i="15"/>
  <c r="T205" i="15"/>
  <c r="U205" i="15"/>
  <c r="V205" i="15"/>
  <c r="W205" i="15"/>
  <c r="X205" i="15"/>
  <c r="Y205" i="15"/>
  <c r="Z205" i="15"/>
  <c r="AA205" i="15"/>
  <c r="B206" i="15"/>
  <c r="C206" i="15"/>
  <c r="D206" i="15"/>
  <c r="E206" i="15"/>
  <c r="J206" i="15"/>
  <c r="K206" i="15"/>
  <c r="L206" i="15"/>
  <c r="M206" i="15"/>
  <c r="N206" i="15"/>
  <c r="O206" i="15"/>
  <c r="P206" i="15"/>
  <c r="Q206" i="15"/>
  <c r="T206" i="15"/>
  <c r="U206" i="15"/>
  <c r="V206" i="15"/>
  <c r="W206" i="15"/>
  <c r="X206" i="15"/>
  <c r="Y206" i="15"/>
  <c r="Z206" i="15"/>
  <c r="AA206" i="15"/>
  <c r="B207" i="15"/>
  <c r="C207" i="15"/>
  <c r="D207" i="15"/>
  <c r="E207" i="15"/>
  <c r="J207" i="15"/>
  <c r="K207" i="15"/>
  <c r="L207" i="15"/>
  <c r="M207" i="15"/>
  <c r="N207" i="15"/>
  <c r="O207" i="15"/>
  <c r="P207" i="15"/>
  <c r="Q207" i="15"/>
  <c r="T207" i="15"/>
  <c r="U207" i="15"/>
  <c r="V207" i="15"/>
  <c r="W207" i="15"/>
  <c r="X207" i="15"/>
  <c r="Y207" i="15"/>
  <c r="Z207" i="15"/>
  <c r="AA207" i="15"/>
  <c r="B208" i="15"/>
  <c r="C208" i="15"/>
  <c r="D208" i="15"/>
  <c r="E208" i="15"/>
  <c r="J208" i="15"/>
  <c r="K208" i="15"/>
  <c r="L208" i="15"/>
  <c r="M208" i="15"/>
  <c r="N208" i="15"/>
  <c r="O208" i="15"/>
  <c r="P208" i="15"/>
  <c r="Q208" i="15"/>
  <c r="T208" i="15"/>
  <c r="U208" i="15"/>
  <c r="V208" i="15"/>
  <c r="W208" i="15"/>
  <c r="X208" i="15"/>
  <c r="Y208" i="15"/>
  <c r="Z208" i="15"/>
  <c r="AA208" i="15"/>
  <c r="B209" i="15"/>
  <c r="C209" i="15"/>
  <c r="D209" i="15"/>
  <c r="E209" i="15"/>
  <c r="J209" i="15"/>
  <c r="K209" i="15"/>
  <c r="L209" i="15"/>
  <c r="M209" i="15"/>
  <c r="N209" i="15"/>
  <c r="O209" i="15"/>
  <c r="P209" i="15"/>
  <c r="Q209" i="15"/>
  <c r="T209" i="15"/>
  <c r="U209" i="15"/>
  <c r="V209" i="15"/>
  <c r="W209" i="15"/>
  <c r="X209" i="15"/>
  <c r="Y209" i="15"/>
  <c r="Z209" i="15"/>
  <c r="AA209" i="15"/>
  <c r="B210" i="15"/>
  <c r="C210" i="15"/>
  <c r="D210" i="15"/>
  <c r="E210" i="15"/>
  <c r="J210" i="15"/>
  <c r="K210" i="15"/>
  <c r="L210" i="15"/>
  <c r="M210" i="15"/>
  <c r="N210" i="15"/>
  <c r="O210" i="15"/>
  <c r="P210" i="15"/>
  <c r="Q210" i="15"/>
  <c r="T210" i="15"/>
  <c r="U210" i="15"/>
  <c r="V210" i="15"/>
  <c r="W210" i="15"/>
  <c r="X210" i="15"/>
  <c r="Y210" i="15"/>
  <c r="Z210" i="15"/>
  <c r="AA210" i="15"/>
  <c r="B211" i="15"/>
  <c r="C211" i="15"/>
  <c r="D211" i="15"/>
  <c r="E211" i="15"/>
  <c r="J211" i="15"/>
  <c r="K211" i="15"/>
  <c r="L211" i="15"/>
  <c r="M211" i="15"/>
  <c r="N211" i="15"/>
  <c r="O211" i="15"/>
  <c r="P211" i="15"/>
  <c r="Q211" i="15"/>
  <c r="T211" i="15"/>
  <c r="U211" i="15"/>
  <c r="V211" i="15"/>
  <c r="W211" i="15"/>
  <c r="X211" i="15"/>
  <c r="Y211" i="15"/>
  <c r="Z211" i="15"/>
  <c r="AA211" i="15"/>
  <c r="B212" i="15"/>
  <c r="C212" i="15"/>
  <c r="D212" i="15"/>
  <c r="E212" i="15"/>
  <c r="J212" i="15"/>
  <c r="K212" i="15"/>
  <c r="L212" i="15"/>
  <c r="M212" i="15"/>
  <c r="N212" i="15"/>
  <c r="O212" i="15"/>
  <c r="P212" i="15"/>
  <c r="Q212" i="15"/>
  <c r="T212" i="15"/>
  <c r="U212" i="15"/>
  <c r="V212" i="15"/>
  <c r="W212" i="15"/>
  <c r="X212" i="15"/>
  <c r="Y212" i="15"/>
  <c r="Z212" i="15"/>
  <c r="AA212" i="15"/>
  <c r="B213" i="15"/>
  <c r="C213" i="15"/>
  <c r="D213" i="15"/>
  <c r="E213" i="15"/>
  <c r="J213" i="15"/>
  <c r="K213" i="15"/>
  <c r="L213" i="15"/>
  <c r="M213" i="15"/>
  <c r="N213" i="15"/>
  <c r="O213" i="15"/>
  <c r="P213" i="15"/>
  <c r="Q213" i="15"/>
  <c r="T213" i="15"/>
  <c r="U213" i="15"/>
  <c r="V213" i="15"/>
  <c r="W213" i="15"/>
  <c r="X213" i="15"/>
  <c r="Y213" i="15"/>
  <c r="Z213" i="15"/>
  <c r="AA213" i="15"/>
  <c r="B214" i="15"/>
  <c r="C214" i="15"/>
  <c r="D214" i="15"/>
  <c r="E214" i="15"/>
  <c r="J214" i="15"/>
  <c r="K214" i="15"/>
  <c r="L214" i="15"/>
  <c r="M214" i="15"/>
  <c r="N214" i="15"/>
  <c r="O214" i="15"/>
  <c r="P214" i="15"/>
  <c r="Q214" i="15"/>
  <c r="T214" i="15"/>
  <c r="U214" i="15"/>
  <c r="V214" i="15"/>
  <c r="W214" i="15"/>
  <c r="X214" i="15"/>
  <c r="Y214" i="15"/>
  <c r="Z214" i="15"/>
  <c r="AA214" i="15"/>
  <c r="B215" i="15"/>
  <c r="C215" i="15"/>
  <c r="D215" i="15"/>
  <c r="E215" i="15"/>
  <c r="J215" i="15"/>
  <c r="K215" i="15"/>
  <c r="L215" i="15"/>
  <c r="M215" i="15"/>
  <c r="N215" i="15"/>
  <c r="O215" i="15"/>
  <c r="P215" i="15"/>
  <c r="Q215" i="15"/>
  <c r="T215" i="15"/>
  <c r="U215" i="15"/>
  <c r="V215" i="15"/>
  <c r="W215" i="15"/>
  <c r="X215" i="15"/>
  <c r="Y215" i="15"/>
  <c r="Z215" i="15"/>
  <c r="AA215" i="15"/>
  <c r="B216" i="15"/>
  <c r="C216" i="15"/>
  <c r="D216" i="15"/>
  <c r="E216" i="15"/>
  <c r="J216" i="15"/>
  <c r="K216" i="15"/>
  <c r="L216" i="15"/>
  <c r="M216" i="15"/>
  <c r="N216" i="15"/>
  <c r="O216" i="15"/>
  <c r="P216" i="15"/>
  <c r="Q216" i="15"/>
  <c r="T216" i="15"/>
  <c r="U216" i="15"/>
  <c r="V216" i="15"/>
  <c r="W216" i="15"/>
  <c r="X216" i="15"/>
  <c r="Y216" i="15"/>
  <c r="Z216" i="15"/>
  <c r="AA216" i="15"/>
  <c r="B217" i="15"/>
  <c r="C217" i="15"/>
  <c r="D217" i="15"/>
  <c r="E217" i="15"/>
  <c r="J217" i="15"/>
  <c r="K217" i="15"/>
  <c r="L217" i="15"/>
  <c r="M217" i="15"/>
  <c r="N217" i="15"/>
  <c r="O217" i="15"/>
  <c r="P217" i="15"/>
  <c r="Q217" i="15"/>
  <c r="T217" i="15"/>
  <c r="U217" i="15"/>
  <c r="V217" i="15"/>
  <c r="W217" i="15"/>
  <c r="X217" i="15"/>
  <c r="Y217" i="15"/>
  <c r="Z217" i="15"/>
  <c r="AA217" i="15"/>
  <c r="B218" i="15"/>
  <c r="C218" i="15"/>
  <c r="D218" i="15"/>
  <c r="E218" i="15"/>
  <c r="J218" i="15"/>
  <c r="K218" i="15"/>
  <c r="L218" i="15"/>
  <c r="M218" i="15"/>
  <c r="N218" i="15"/>
  <c r="O218" i="15"/>
  <c r="P218" i="15"/>
  <c r="Q218" i="15"/>
  <c r="T218" i="15"/>
  <c r="U218" i="15"/>
  <c r="V218" i="15"/>
  <c r="W218" i="15"/>
  <c r="X218" i="15"/>
  <c r="Y218" i="15"/>
  <c r="Z218" i="15"/>
  <c r="AA218" i="15"/>
  <c r="B219" i="15"/>
  <c r="C219" i="15"/>
  <c r="D219" i="15"/>
  <c r="E219" i="15"/>
  <c r="J219" i="15"/>
  <c r="K219" i="15"/>
  <c r="L219" i="15"/>
  <c r="M219" i="15"/>
  <c r="N219" i="15"/>
  <c r="O219" i="15"/>
  <c r="P219" i="15"/>
  <c r="Q219" i="15"/>
  <c r="T219" i="15"/>
  <c r="U219" i="15"/>
  <c r="V219" i="15"/>
  <c r="W219" i="15"/>
  <c r="X219" i="15"/>
  <c r="Y219" i="15"/>
  <c r="Z219" i="15"/>
  <c r="AA219" i="15"/>
  <c r="B220" i="15"/>
  <c r="C220" i="15"/>
  <c r="D220" i="15"/>
  <c r="E220" i="15"/>
  <c r="J220" i="15"/>
  <c r="K220" i="15"/>
  <c r="L220" i="15"/>
  <c r="M220" i="15"/>
  <c r="N220" i="15"/>
  <c r="O220" i="15"/>
  <c r="P220" i="15"/>
  <c r="Q220" i="15"/>
  <c r="T220" i="15"/>
  <c r="U220" i="15"/>
  <c r="V220" i="15"/>
  <c r="W220" i="15"/>
  <c r="X220" i="15"/>
  <c r="Y220" i="15"/>
  <c r="Z220" i="15"/>
  <c r="AA220" i="15"/>
  <c r="B221" i="15"/>
  <c r="C221" i="15"/>
  <c r="D221" i="15"/>
  <c r="E221" i="15"/>
  <c r="J221" i="15"/>
  <c r="K221" i="15"/>
  <c r="L221" i="15"/>
  <c r="M221" i="15"/>
  <c r="N221" i="15"/>
  <c r="O221" i="15"/>
  <c r="P221" i="15"/>
  <c r="Q221" i="15"/>
  <c r="T221" i="15"/>
  <c r="U221" i="15"/>
  <c r="V221" i="15"/>
  <c r="W221" i="15"/>
  <c r="X221" i="15"/>
  <c r="Y221" i="15"/>
  <c r="Z221" i="15"/>
  <c r="AA221" i="15"/>
  <c r="B222" i="15"/>
  <c r="C222" i="15"/>
  <c r="D222" i="15"/>
  <c r="E222" i="15"/>
  <c r="J222" i="15"/>
  <c r="K222" i="15"/>
  <c r="L222" i="15"/>
  <c r="M222" i="15"/>
  <c r="N222" i="15"/>
  <c r="O222" i="15"/>
  <c r="P222" i="15"/>
  <c r="Q222" i="15"/>
  <c r="T222" i="15"/>
  <c r="U222" i="15"/>
  <c r="V222" i="15"/>
  <c r="W222" i="15"/>
  <c r="X222" i="15"/>
  <c r="Y222" i="15"/>
  <c r="Z222" i="15"/>
  <c r="AA222" i="15"/>
  <c r="B223" i="15"/>
  <c r="C223" i="15"/>
  <c r="D223" i="15"/>
  <c r="E223" i="15"/>
  <c r="J223" i="15"/>
  <c r="K223" i="15"/>
  <c r="L223" i="15"/>
  <c r="M223" i="15"/>
  <c r="N223" i="15"/>
  <c r="O223" i="15"/>
  <c r="P223" i="15"/>
  <c r="Q223" i="15"/>
  <c r="T223" i="15"/>
  <c r="U223" i="15"/>
  <c r="V223" i="15"/>
  <c r="W223" i="15"/>
  <c r="X223" i="15"/>
  <c r="Y223" i="15"/>
  <c r="Z223" i="15"/>
  <c r="AA223" i="15"/>
  <c r="B224" i="15"/>
  <c r="C224" i="15"/>
  <c r="D224" i="15"/>
  <c r="E224" i="15"/>
  <c r="J224" i="15"/>
  <c r="K224" i="15"/>
  <c r="L224" i="15"/>
  <c r="M224" i="15"/>
  <c r="N224" i="15"/>
  <c r="O224" i="15"/>
  <c r="P224" i="15"/>
  <c r="Q224" i="15"/>
  <c r="T224" i="15"/>
  <c r="U224" i="15"/>
  <c r="V224" i="15"/>
  <c r="W224" i="15"/>
  <c r="X224" i="15"/>
  <c r="Y224" i="15"/>
  <c r="Z224" i="15"/>
  <c r="AA224" i="15"/>
  <c r="B225" i="15"/>
  <c r="C225" i="15"/>
  <c r="D225" i="15"/>
  <c r="E225" i="15"/>
  <c r="J225" i="15"/>
  <c r="K225" i="15"/>
  <c r="L225" i="15"/>
  <c r="M225" i="15"/>
  <c r="N225" i="15"/>
  <c r="O225" i="15"/>
  <c r="P225" i="15"/>
  <c r="Q225" i="15"/>
  <c r="T225" i="15"/>
  <c r="U225" i="15"/>
  <c r="V225" i="15"/>
  <c r="W225" i="15"/>
  <c r="X225" i="15"/>
  <c r="Y225" i="15"/>
  <c r="Z225" i="15"/>
  <c r="AA225" i="15"/>
  <c r="B226" i="15"/>
  <c r="C226" i="15"/>
  <c r="D226" i="15"/>
  <c r="E226" i="15"/>
  <c r="J226" i="15"/>
  <c r="K226" i="15"/>
  <c r="L226" i="15"/>
  <c r="M226" i="15"/>
  <c r="N226" i="15"/>
  <c r="O226" i="15"/>
  <c r="P226" i="15"/>
  <c r="Q226" i="15"/>
  <c r="T226" i="15"/>
  <c r="U226" i="15"/>
  <c r="V226" i="15"/>
  <c r="W226" i="15"/>
  <c r="X226" i="15"/>
  <c r="Y226" i="15"/>
  <c r="Z226" i="15"/>
  <c r="AA226" i="15"/>
  <c r="B227" i="15"/>
  <c r="C227" i="15"/>
  <c r="D227" i="15"/>
  <c r="E227" i="15"/>
  <c r="J227" i="15"/>
  <c r="K227" i="15"/>
  <c r="L227" i="15"/>
  <c r="M227" i="15"/>
  <c r="N227" i="15"/>
  <c r="O227" i="15"/>
  <c r="P227" i="15"/>
  <c r="Q227" i="15"/>
  <c r="T227" i="15"/>
  <c r="U227" i="15"/>
  <c r="V227" i="15"/>
  <c r="W227" i="15"/>
  <c r="X227" i="15"/>
  <c r="Y227" i="15"/>
  <c r="Z227" i="15"/>
  <c r="AA227" i="15"/>
  <c r="B228" i="15"/>
  <c r="C228" i="15"/>
  <c r="D228" i="15"/>
  <c r="E228" i="15"/>
  <c r="J228" i="15"/>
  <c r="K228" i="15"/>
  <c r="L228" i="15"/>
  <c r="M228" i="15"/>
  <c r="N228" i="15"/>
  <c r="O228" i="15"/>
  <c r="P228" i="15"/>
  <c r="Q228" i="15"/>
  <c r="T228" i="15"/>
  <c r="U228" i="15"/>
  <c r="V228" i="15"/>
  <c r="W228" i="15"/>
  <c r="X228" i="15"/>
  <c r="Y228" i="15"/>
  <c r="Z228" i="15"/>
  <c r="AA228" i="15"/>
  <c r="B229" i="15"/>
  <c r="C229" i="15"/>
  <c r="D229" i="15"/>
  <c r="E229" i="15"/>
  <c r="J229" i="15"/>
  <c r="K229" i="15"/>
  <c r="L229" i="15"/>
  <c r="M229" i="15"/>
  <c r="N229" i="15"/>
  <c r="O229" i="15"/>
  <c r="P229" i="15"/>
  <c r="Q229" i="15"/>
  <c r="T229" i="15"/>
  <c r="U229" i="15"/>
  <c r="V229" i="15"/>
  <c r="W229" i="15"/>
  <c r="X229" i="15"/>
  <c r="Y229" i="15"/>
  <c r="Z229" i="15"/>
  <c r="AA229" i="15"/>
  <c r="B230" i="15"/>
  <c r="C230" i="15"/>
  <c r="D230" i="15"/>
  <c r="E230" i="15"/>
  <c r="J230" i="15"/>
  <c r="K230" i="15"/>
  <c r="L230" i="15"/>
  <c r="M230" i="15"/>
  <c r="N230" i="15"/>
  <c r="O230" i="15"/>
  <c r="P230" i="15"/>
  <c r="Q230" i="15"/>
  <c r="T230" i="15"/>
  <c r="U230" i="15"/>
  <c r="V230" i="15"/>
  <c r="W230" i="15"/>
  <c r="X230" i="15"/>
  <c r="Y230" i="15"/>
  <c r="Z230" i="15"/>
  <c r="AA230" i="15"/>
  <c r="B231" i="15"/>
  <c r="C231" i="15"/>
  <c r="D231" i="15"/>
  <c r="E231" i="15"/>
  <c r="J231" i="15"/>
  <c r="K231" i="15"/>
  <c r="L231" i="15"/>
  <c r="M231" i="15"/>
  <c r="N231" i="15"/>
  <c r="O231" i="15"/>
  <c r="P231" i="15"/>
  <c r="Q231" i="15"/>
  <c r="T231" i="15"/>
  <c r="U231" i="15"/>
  <c r="V231" i="15"/>
  <c r="W231" i="15"/>
  <c r="X231" i="15"/>
  <c r="Y231" i="15"/>
  <c r="Z231" i="15"/>
  <c r="AA231" i="15"/>
  <c r="B232" i="15"/>
  <c r="C232" i="15"/>
  <c r="D232" i="15"/>
  <c r="E232" i="15"/>
  <c r="J232" i="15"/>
  <c r="K232" i="15"/>
  <c r="L232" i="15"/>
  <c r="M232" i="15"/>
  <c r="N232" i="15"/>
  <c r="O232" i="15"/>
  <c r="P232" i="15"/>
  <c r="Q232" i="15"/>
  <c r="T232" i="15"/>
  <c r="U232" i="15"/>
  <c r="V232" i="15"/>
  <c r="W232" i="15"/>
  <c r="X232" i="15"/>
  <c r="Y232" i="15"/>
  <c r="Z232" i="15"/>
  <c r="AA232" i="15"/>
  <c r="B233" i="15"/>
  <c r="C233" i="15"/>
  <c r="D233" i="15"/>
  <c r="E233" i="15"/>
  <c r="J233" i="15"/>
  <c r="K233" i="15"/>
  <c r="L233" i="15"/>
  <c r="M233" i="15"/>
  <c r="N233" i="15"/>
  <c r="O233" i="15"/>
  <c r="P233" i="15"/>
  <c r="Q233" i="15"/>
  <c r="T233" i="15"/>
  <c r="U233" i="15"/>
  <c r="V233" i="15"/>
  <c r="W233" i="15"/>
  <c r="X233" i="15"/>
  <c r="Y233" i="15"/>
  <c r="Z233" i="15"/>
  <c r="AA233" i="15"/>
  <c r="B234" i="15"/>
  <c r="C234" i="15"/>
  <c r="D234" i="15"/>
  <c r="E234" i="15"/>
  <c r="J234" i="15"/>
  <c r="K234" i="15"/>
  <c r="L234" i="15"/>
  <c r="M234" i="15"/>
  <c r="N234" i="15"/>
  <c r="O234" i="15"/>
  <c r="P234" i="15"/>
  <c r="Q234" i="15"/>
  <c r="T234" i="15"/>
  <c r="U234" i="15"/>
  <c r="V234" i="15"/>
  <c r="W234" i="15"/>
  <c r="X234" i="15"/>
  <c r="Y234" i="15"/>
  <c r="Z234" i="15"/>
  <c r="AA234" i="15"/>
  <c r="B235" i="15"/>
  <c r="C235" i="15"/>
  <c r="D235" i="15"/>
  <c r="E235" i="15"/>
  <c r="J235" i="15"/>
  <c r="K235" i="15"/>
  <c r="L235" i="15"/>
  <c r="M235" i="15"/>
  <c r="N235" i="15"/>
  <c r="O235" i="15"/>
  <c r="P235" i="15"/>
  <c r="Q235" i="15"/>
  <c r="T235" i="15"/>
  <c r="U235" i="15"/>
  <c r="V235" i="15"/>
  <c r="W235" i="15"/>
  <c r="X235" i="15"/>
  <c r="Y235" i="15"/>
  <c r="Z235" i="15"/>
  <c r="AA235" i="15"/>
  <c r="B236" i="15"/>
  <c r="C236" i="15"/>
  <c r="D236" i="15"/>
  <c r="E236" i="15"/>
  <c r="J236" i="15"/>
  <c r="K236" i="15"/>
  <c r="L236" i="15"/>
  <c r="M236" i="15"/>
  <c r="N236" i="15"/>
  <c r="O236" i="15"/>
  <c r="P236" i="15"/>
  <c r="Q236" i="15"/>
  <c r="T236" i="15"/>
  <c r="U236" i="15"/>
  <c r="V236" i="15"/>
  <c r="W236" i="15"/>
  <c r="X236" i="15"/>
  <c r="Y236" i="15"/>
  <c r="Z236" i="15"/>
  <c r="AA236" i="15"/>
  <c r="B237" i="15"/>
  <c r="C237" i="15"/>
  <c r="D237" i="15"/>
  <c r="E237" i="15"/>
  <c r="J237" i="15"/>
  <c r="K237" i="15"/>
  <c r="L237" i="15"/>
  <c r="M237" i="15"/>
  <c r="N237" i="15"/>
  <c r="O237" i="15"/>
  <c r="P237" i="15"/>
  <c r="Q237" i="15"/>
  <c r="T237" i="15"/>
  <c r="U237" i="15"/>
  <c r="V237" i="15"/>
  <c r="W237" i="15"/>
  <c r="X237" i="15"/>
  <c r="Y237" i="15"/>
  <c r="Z237" i="15"/>
  <c r="AA237" i="15"/>
  <c r="B238" i="15"/>
  <c r="C238" i="15"/>
  <c r="D238" i="15"/>
  <c r="E238" i="15"/>
  <c r="J238" i="15"/>
  <c r="K238" i="15"/>
  <c r="L238" i="15"/>
  <c r="M238" i="15"/>
  <c r="N238" i="15"/>
  <c r="O238" i="15"/>
  <c r="P238" i="15"/>
  <c r="Q238" i="15"/>
  <c r="T238" i="15"/>
  <c r="U238" i="15"/>
  <c r="V238" i="15"/>
  <c r="W238" i="15"/>
  <c r="X238" i="15"/>
  <c r="Y238" i="15"/>
  <c r="Z238" i="15"/>
  <c r="AA238" i="15"/>
  <c r="B239" i="15"/>
  <c r="C239" i="15"/>
  <c r="D239" i="15"/>
  <c r="E239" i="15"/>
  <c r="J239" i="15"/>
  <c r="K239" i="15"/>
  <c r="L239" i="15"/>
  <c r="M239" i="15"/>
  <c r="N239" i="15"/>
  <c r="O239" i="15"/>
  <c r="P239" i="15"/>
  <c r="Q239" i="15"/>
  <c r="T239" i="15"/>
  <c r="U239" i="15"/>
  <c r="V239" i="15"/>
  <c r="W239" i="15"/>
  <c r="X239" i="15"/>
  <c r="Y239" i="15"/>
  <c r="Z239" i="15"/>
  <c r="AA239" i="15"/>
  <c r="B240" i="15"/>
  <c r="C240" i="15"/>
  <c r="D240" i="15"/>
  <c r="E240" i="15"/>
  <c r="J240" i="15"/>
  <c r="K240" i="15"/>
  <c r="L240" i="15"/>
  <c r="M240" i="15"/>
  <c r="N240" i="15"/>
  <c r="O240" i="15"/>
  <c r="P240" i="15"/>
  <c r="Q240" i="15"/>
  <c r="T240" i="15"/>
  <c r="U240" i="15"/>
  <c r="V240" i="15"/>
  <c r="W240" i="15"/>
  <c r="X240" i="15"/>
  <c r="Y240" i="15"/>
  <c r="Z240" i="15"/>
  <c r="AA240" i="15"/>
  <c r="B241" i="15"/>
  <c r="C241" i="15"/>
  <c r="D241" i="15"/>
  <c r="E241" i="15"/>
  <c r="J241" i="15"/>
  <c r="K241" i="15"/>
  <c r="L241" i="15"/>
  <c r="M241" i="15"/>
  <c r="N241" i="15"/>
  <c r="O241" i="15"/>
  <c r="P241" i="15"/>
  <c r="Q241" i="15"/>
  <c r="T241" i="15"/>
  <c r="U241" i="15"/>
  <c r="V241" i="15"/>
  <c r="W241" i="15"/>
  <c r="X241" i="15"/>
  <c r="Y241" i="15"/>
  <c r="Z241" i="15"/>
  <c r="AA241" i="15"/>
  <c r="B242" i="15"/>
  <c r="C242" i="15"/>
  <c r="D242" i="15"/>
  <c r="E242" i="15"/>
  <c r="J242" i="15"/>
  <c r="K242" i="15"/>
  <c r="L242" i="15"/>
  <c r="M242" i="15"/>
  <c r="N242" i="15"/>
  <c r="O242" i="15"/>
  <c r="P242" i="15"/>
  <c r="Q242" i="15"/>
  <c r="T242" i="15"/>
  <c r="U242" i="15"/>
  <c r="V242" i="15"/>
  <c r="W242" i="15"/>
  <c r="X242" i="15"/>
  <c r="Y242" i="15"/>
  <c r="Z242" i="15"/>
  <c r="AA242" i="15"/>
  <c r="B243" i="15"/>
  <c r="C243" i="15"/>
  <c r="D243" i="15"/>
  <c r="E243" i="15"/>
  <c r="J243" i="15"/>
  <c r="K243" i="15"/>
  <c r="L243" i="15"/>
  <c r="M243" i="15"/>
  <c r="N243" i="15"/>
  <c r="O243" i="15"/>
  <c r="P243" i="15"/>
  <c r="Q243" i="15"/>
  <c r="T243" i="15"/>
  <c r="U243" i="15"/>
  <c r="V243" i="15"/>
  <c r="W243" i="15"/>
  <c r="X243" i="15"/>
  <c r="Y243" i="15"/>
  <c r="Z243" i="15"/>
  <c r="AA243" i="15"/>
  <c r="B244" i="15"/>
  <c r="C244" i="15"/>
  <c r="D244" i="15"/>
  <c r="E244" i="15"/>
  <c r="J244" i="15"/>
  <c r="K244" i="15"/>
  <c r="L244" i="15"/>
  <c r="M244" i="15"/>
  <c r="N244" i="15"/>
  <c r="O244" i="15"/>
  <c r="P244" i="15"/>
  <c r="Q244" i="15"/>
  <c r="T244" i="15"/>
  <c r="U244" i="15"/>
  <c r="V244" i="15"/>
  <c r="W244" i="15"/>
  <c r="X244" i="15"/>
  <c r="Y244" i="15"/>
  <c r="Z244" i="15"/>
  <c r="AA244" i="15"/>
  <c r="B245" i="15"/>
  <c r="C245" i="15"/>
  <c r="D245" i="15"/>
  <c r="E245" i="15"/>
  <c r="J245" i="15"/>
  <c r="K245" i="15"/>
  <c r="L245" i="15"/>
  <c r="M245" i="15"/>
  <c r="N245" i="15"/>
  <c r="O245" i="15"/>
  <c r="P245" i="15"/>
  <c r="Q245" i="15"/>
  <c r="T245" i="15"/>
  <c r="U245" i="15"/>
  <c r="V245" i="15"/>
  <c r="W245" i="15"/>
  <c r="X245" i="15"/>
  <c r="Y245" i="15"/>
  <c r="Z245" i="15"/>
  <c r="AA245" i="15"/>
  <c r="B246" i="15"/>
  <c r="C246" i="15"/>
  <c r="D246" i="15"/>
  <c r="E246" i="15"/>
  <c r="J246" i="15"/>
  <c r="K246" i="15"/>
  <c r="L246" i="15"/>
  <c r="M246" i="15"/>
  <c r="N246" i="15"/>
  <c r="O246" i="15"/>
  <c r="P246" i="15"/>
  <c r="Q246" i="15"/>
  <c r="T246" i="15"/>
  <c r="U246" i="15"/>
  <c r="V246" i="15"/>
  <c r="W246" i="15"/>
  <c r="X246" i="15"/>
  <c r="Y246" i="15"/>
  <c r="Z246" i="15"/>
  <c r="AA246" i="15"/>
  <c r="B247" i="15"/>
  <c r="C247" i="15"/>
  <c r="D247" i="15"/>
  <c r="E247" i="15"/>
  <c r="J247" i="15"/>
  <c r="K247" i="15"/>
  <c r="L247" i="15"/>
  <c r="M247" i="15"/>
  <c r="N247" i="15"/>
  <c r="O247" i="15"/>
  <c r="P247" i="15"/>
  <c r="Q247" i="15"/>
  <c r="T247" i="15"/>
  <c r="U247" i="15"/>
  <c r="V247" i="15"/>
  <c r="W247" i="15"/>
  <c r="X247" i="15"/>
  <c r="Y247" i="15"/>
  <c r="Z247" i="15"/>
  <c r="AA247" i="15"/>
  <c r="B248" i="15"/>
  <c r="C248" i="15"/>
  <c r="D248" i="15"/>
  <c r="E248" i="15"/>
  <c r="J248" i="15"/>
  <c r="K248" i="15"/>
  <c r="L248" i="15"/>
  <c r="M248" i="15"/>
  <c r="N248" i="15"/>
  <c r="O248" i="15"/>
  <c r="P248" i="15"/>
  <c r="Q248" i="15"/>
  <c r="T248" i="15"/>
  <c r="U248" i="15"/>
  <c r="V248" i="15"/>
  <c r="W248" i="15"/>
  <c r="X248" i="15"/>
  <c r="Y248" i="15"/>
  <c r="Z248" i="15"/>
  <c r="AA248" i="15"/>
  <c r="B249" i="15"/>
  <c r="C249" i="15"/>
  <c r="D249" i="15"/>
  <c r="E249" i="15"/>
  <c r="J249" i="15"/>
  <c r="K249" i="15"/>
  <c r="L249" i="15"/>
  <c r="M249" i="15"/>
  <c r="N249" i="15"/>
  <c r="O249" i="15"/>
  <c r="P249" i="15"/>
  <c r="Q249" i="15"/>
  <c r="T249" i="15"/>
  <c r="U249" i="15"/>
  <c r="V249" i="15"/>
  <c r="W249" i="15"/>
  <c r="X249" i="15"/>
  <c r="Y249" i="15"/>
  <c r="Z249" i="15"/>
  <c r="AA249" i="15"/>
  <c r="B250" i="15"/>
  <c r="C250" i="15"/>
  <c r="D250" i="15"/>
  <c r="E250" i="15"/>
  <c r="J250" i="15"/>
  <c r="K250" i="15"/>
  <c r="L250" i="15"/>
  <c r="M250" i="15"/>
  <c r="N250" i="15"/>
  <c r="O250" i="15"/>
  <c r="P250" i="15"/>
  <c r="Q250" i="15"/>
  <c r="T250" i="15"/>
  <c r="U250" i="15"/>
  <c r="V250" i="15"/>
  <c r="W250" i="15"/>
  <c r="X250" i="15"/>
  <c r="Y250" i="15"/>
  <c r="Z250" i="15"/>
  <c r="AA250" i="15"/>
  <c r="B251" i="15"/>
  <c r="C251" i="15"/>
  <c r="D251" i="15"/>
  <c r="E251" i="15"/>
  <c r="J251" i="15"/>
  <c r="K251" i="15"/>
  <c r="L251" i="15"/>
  <c r="M251" i="15"/>
  <c r="N251" i="15"/>
  <c r="O251" i="15"/>
  <c r="P251" i="15"/>
  <c r="Q251" i="15"/>
  <c r="T251" i="15"/>
  <c r="U251" i="15"/>
  <c r="V251" i="15"/>
  <c r="W251" i="15"/>
  <c r="X251" i="15"/>
  <c r="Y251" i="15"/>
  <c r="Z251" i="15"/>
  <c r="AA251" i="15"/>
  <c r="B252" i="15"/>
  <c r="C252" i="15"/>
  <c r="D252" i="15"/>
  <c r="E252" i="15"/>
  <c r="J252" i="15"/>
  <c r="K252" i="15"/>
  <c r="L252" i="15"/>
  <c r="M252" i="15"/>
  <c r="N252" i="15"/>
  <c r="O252" i="15"/>
  <c r="P252" i="15"/>
  <c r="Q252" i="15"/>
  <c r="T252" i="15"/>
  <c r="U252" i="15"/>
  <c r="V252" i="15"/>
  <c r="W252" i="15"/>
  <c r="X252" i="15"/>
  <c r="Y252" i="15"/>
  <c r="Z252" i="15"/>
  <c r="AA252" i="15"/>
  <c r="B253" i="15"/>
  <c r="C253" i="15"/>
  <c r="D253" i="15"/>
  <c r="E253" i="15"/>
  <c r="J253" i="15"/>
  <c r="K253" i="15"/>
  <c r="L253" i="15"/>
  <c r="M253" i="15"/>
  <c r="N253" i="15"/>
  <c r="O253" i="15"/>
  <c r="P253" i="15"/>
  <c r="Q253" i="15"/>
  <c r="T253" i="15"/>
  <c r="U253" i="15"/>
  <c r="V253" i="15"/>
  <c r="W253" i="15"/>
  <c r="X253" i="15"/>
  <c r="Y253" i="15"/>
  <c r="Z253" i="15"/>
  <c r="AA253" i="15"/>
  <c r="B254" i="15"/>
  <c r="C254" i="15"/>
  <c r="D254" i="15"/>
  <c r="E254" i="15"/>
  <c r="J254" i="15"/>
  <c r="K254" i="15"/>
  <c r="L254" i="15"/>
  <c r="M254" i="15"/>
  <c r="N254" i="15"/>
  <c r="O254" i="15"/>
  <c r="P254" i="15"/>
  <c r="Q254" i="15"/>
  <c r="T254" i="15"/>
  <c r="U254" i="15"/>
  <c r="V254" i="15"/>
  <c r="W254" i="15"/>
  <c r="X254" i="15"/>
  <c r="Y254" i="15"/>
  <c r="Z254" i="15"/>
  <c r="AA254" i="15"/>
  <c r="B255" i="15"/>
  <c r="C255" i="15"/>
  <c r="D255" i="15"/>
  <c r="E255" i="15"/>
  <c r="J255" i="15"/>
  <c r="K255" i="15"/>
  <c r="L255" i="15"/>
  <c r="M255" i="15"/>
  <c r="N255" i="15"/>
  <c r="O255" i="15"/>
  <c r="P255" i="15"/>
  <c r="Q255" i="15"/>
  <c r="T255" i="15"/>
  <c r="U255" i="15"/>
  <c r="V255" i="15"/>
  <c r="W255" i="15"/>
  <c r="X255" i="15"/>
  <c r="Y255" i="15"/>
  <c r="Z255" i="15"/>
  <c r="AA255" i="15"/>
  <c r="B256" i="15"/>
  <c r="C256" i="15"/>
  <c r="D256" i="15"/>
  <c r="E256" i="15"/>
  <c r="J256" i="15"/>
  <c r="K256" i="15"/>
  <c r="L256" i="15"/>
  <c r="M256" i="15"/>
  <c r="N256" i="15"/>
  <c r="O256" i="15"/>
  <c r="P256" i="15"/>
  <c r="Q256" i="15"/>
  <c r="T256" i="15"/>
  <c r="U256" i="15"/>
  <c r="V256" i="15"/>
  <c r="W256" i="15"/>
  <c r="X256" i="15"/>
  <c r="Y256" i="15"/>
  <c r="Z256" i="15"/>
  <c r="AA256" i="15"/>
  <c r="B257" i="15"/>
  <c r="C257" i="15"/>
  <c r="D257" i="15"/>
  <c r="E257" i="15"/>
  <c r="J257" i="15"/>
  <c r="K257" i="15"/>
  <c r="L257" i="15"/>
  <c r="M257" i="15"/>
  <c r="N257" i="15"/>
  <c r="O257" i="15"/>
  <c r="P257" i="15"/>
  <c r="Q257" i="15"/>
  <c r="T257" i="15"/>
  <c r="U257" i="15"/>
  <c r="V257" i="15"/>
  <c r="W257" i="15"/>
  <c r="X257" i="15"/>
  <c r="Y257" i="15"/>
  <c r="Z257" i="15"/>
  <c r="AA257" i="15"/>
  <c r="B258" i="15"/>
  <c r="C258" i="15"/>
  <c r="D258" i="15"/>
  <c r="E258" i="15"/>
  <c r="J258" i="15"/>
  <c r="K258" i="15"/>
  <c r="L258" i="15"/>
  <c r="M258" i="15"/>
  <c r="N258" i="15"/>
  <c r="O258" i="15"/>
  <c r="P258" i="15"/>
  <c r="Q258" i="15"/>
  <c r="T258" i="15"/>
  <c r="U258" i="15"/>
  <c r="V258" i="15"/>
  <c r="W258" i="15"/>
  <c r="X258" i="15"/>
  <c r="Y258" i="15"/>
  <c r="Z258" i="15"/>
  <c r="AA258" i="15"/>
  <c r="B259" i="15"/>
  <c r="C259" i="15"/>
  <c r="D259" i="15"/>
  <c r="E259" i="15"/>
  <c r="J259" i="15"/>
  <c r="K259" i="15"/>
  <c r="L259" i="15"/>
  <c r="M259" i="15"/>
  <c r="N259" i="15"/>
  <c r="O259" i="15"/>
  <c r="P259" i="15"/>
  <c r="Q259" i="15"/>
  <c r="T259" i="15"/>
  <c r="U259" i="15"/>
  <c r="V259" i="15"/>
  <c r="W259" i="15"/>
  <c r="X259" i="15"/>
  <c r="Y259" i="15"/>
  <c r="Z259" i="15"/>
  <c r="AA259" i="15"/>
  <c r="B260" i="15"/>
  <c r="C260" i="15"/>
  <c r="D260" i="15"/>
  <c r="E260" i="15"/>
  <c r="J260" i="15"/>
  <c r="K260" i="15"/>
  <c r="L260" i="15"/>
  <c r="M260" i="15"/>
  <c r="N260" i="15"/>
  <c r="O260" i="15"/>
  <c r="P260" i="15"/>
  <c r="Q260" i="15"/>
  <c r="T260" i="15"/>
  <c r="U260" i="15"/>
  <c r="V260" i="15"/>
  <c r="W260" i="15"/>
  <c r="X260" i="15"/>
  <c r="Y260" i="15"/>
  <c r="Z260" i="15"/>
  <c r="AA260" i="15"/>
  <c r="B261" i="15"/>
  <c r="C261" i="15"/>
  <c r="D261" i="15"/>
  <c r="E261" i="15"/>
  <c r="J261" i="15"/>
  <c r="K261" i="15"/>
  <c r="L261" i="15"/>
  <c r="M261" i="15"/>
  <c r="N261" i="15"/>
  <c r="O261" i="15"/>
  <c r="P261" i="15"/>
  <c r="Q261" i="15"/>
  <c r="T261" i="15"/>
  <c r="U261" i="15"/>
  <c r="V261" i="15"/>
  <c r="W261" i="15"/>
  <c r="X261" i="15"/>
  <c r="Y261" i="15"/>
  <c r="Z261" i="15"/>
  <c r="AA261" i="15"/>
  <c r="B262" i="15"/>
  <c r="C262" i="15"/>
  <c r="D262" i="15"/>
  <c r="E262" i="15"/>
  <c r="J262" i="15"/>
  <c r="K262" i="15"/>
  <c r="L262" i="15"/>
  <c r="M262" i="15"/>
  <c r="N262" i="15"/>
  <c r="O262" i="15"/>
  <c r="P262" i="15"/>
  <c r="Q262" i="15"/>
  <c r="T262" i="15"/>
  <c r="U262" i="15"/>
  <c r="V262" i="15"/>
  <c r="W262" i="15"/>
  <c r="X262" i="15"/>
  <c r="Y262" i="15"/>
  <c r="Z262" i="15"/>
  <c r="AA262" i="15"/>
  <c r="B263" i="15"/>
  <c r="C263" i="15"/>
  <c r="D263" i="15"/>
  <c r="E263" i="15"/>
  <c r="J263" i="15"/>
  <c r="K263" i="15"/>
  <c r="L263" i="15"/>
  <c r="M263" i="15"/>
  <c r="N263" i="15"/>
  <c r="O263" i="15"/>
  <c r="P263" i="15"/>
  <c r="Q263" i="15"/>
  <c r="T263" i="15"/>
  <c r="U263" i="15"/>
  <c r="V263" i="15"/>
  <c r="W263" i="15"/>
  <c r="X263" i="15"/>
  <c r="Y263" i="15"/>
  <c r="Z263" i="15"/>
  <c r="AA263" i="15"/>
  <c r="B264" i="15"/>
  <c r="C264" i="15"/>
  <c r="D264" i="15"/>
  <c r="E264" i="15"/>
  <c r="J264" i="15"/>
  <c r="K264" i="15"/>
  <c r="L264" i="15"/>
  <c r="M264" i="15"/>
  <c r="N264" i="15"/>
  <c r="O264" i="15"/>
  <c r="P264" i="15"/>
  <c r="Q264" i="15"/>
  <c r="T264" i="15"/>
  <c r="U264" i="15"/>
  <c r="V264" i="15"/>
  <c r="W264" i="15"/>
  <c r="X264" i="15"/>
  <c r="Y264" i="15"/>
  <c r="Z264" i="15"/>
  <c r="AA264" i="15"/>
  <c r="B265" i="15"/>
  <c r="C265" i="15"/>
  <c r="D265" i="15"/>
  <c r="E265" i="15"/>
  <c r="J265" i="15"/>
  <c r="K265" i="15"/>
  <c r="L265" i="15"/>
  <c r="M265" i="15"/>
  <c r="N265" i="15"/>
  <c r="O265" i="15"/>
  <c r="P265" i="15"/>
  <c r="Q265" i="15"/>
  <c r="T265" i="15"/>
  <c r="U265" i="15"/>
  <c r="V265" i="15"/>
  <c r="W265" i="15"/>
  <c r="X265" i="15"/>
  <c r="Y265" i="15"/>
  <c r="Z265" i="15"/>
  <c r="AA265" i="15"/>
  <c r="B266" i="15"/>
  <c r="C266" i="15"/>
  <c r="D266" i="15"/>
  <c r="E266" i="15"/>
  <c r="J266" i="15"/>
  <c r="K266" i="15"/>
  <c r="L266" i="15"/>
  <c r="M266" i="15"/>
  <c r="N266" i="15"/>
  <c r="O266" i="15"/>
  <c r="P266" i="15"/>
  <c r="Q266" i="15"/>
  <c r="T266" i="15"/>
  <c r="U266" i="15"/>
  <c r="V266" i="15"/>
  <c r="W266" i="15"/>
  <c r="X266" i="15"/>
  <c r="Y266" i="15"/>
  <c r="Z266" i="15"/>
  <c r="AA266" i="15"/>
  <c r="B267" i="15"/>
  <c r="C267" i="15"/>
  <c r="D267" i="15"/>
  <c r="E267" i="15"/>
  <c r="J267" i="15"/>
  <c r="K267" i="15"/>
  <c r="L267" i="15"/>
  <c r="M267" i="15"/>
  <c r="N267" i="15"/>
  <c r="O267" i="15"/>
  <c r="P267" i="15"/>
  <c r="Q267" i="15"/>
  <c r="T267" i="15"/>
  <c r="U267" i="15"/>
  <c r="V267" i="15"/>
  <c r="W267" i="15"/>
  <c r="X267" i="15"/>
  <c r="Y267" i="15"/>
  <c r="Z267" i="15"/>
  <c r="AA267" i="15"/>
  <c r="B268" i="15"/>
  <c r="C268" i="15"/>
  <c r="D268" i="15"/>
  <c r="E268" i="15"/>
  <c r="J268" i="15"/>
  <c r="K268" i="15"/>
  <c r="L268" i="15"/>
  <c r="M268" i="15"/>
  <c r="N268" i="15"/>
  <c r="O268" i="15"/>
  <c r="P268" i="15"/>
  <c r="Q268" i="15"/>
  <c r="T268" i="15"/>
  <c r="U268" i="15"/>
  <c r="V268" i="15"/>
  <c r="W268" i="15"/>
  <c r="X268" i="15"/>
  <c r="Y268" i="15"/>
  <c r="Z268" i="15"/>
  <c r="AA268" i="15"/>
  <c r="B269" i="15"/>
  <c r="C269" i="15"/>
  <c r="D269" i="15"/>
  <c r="E269" i="15"/>
  <c r="J269" i="15"/>
  <c r="K269" i="15"/>
  <c r="L269" i="15"/>
  <c r="M269" i="15"/>
  <c r="N269" i="15"/>
  <c r="O269" i="15"/>
  <c r="P269" i="15"/>
  <c r="Q269" i="15"/>
  <c r="T269" i="15"/>
  <c r="U269" i="15"/>
  <c r="V269" i="15"/>
  <c r="W269" i="15"/>
  <c r="X269" i="15"/>
  <c r="Y269" i="15"/>
  <c r="Z269" i="15"/>
  <c r="AA269" i="15"/>
  <c r="B270" i="15"/>
  <c r="C270" i="15"/>
  <c r="D270" i="15"/>
  <c r="E270" i="15"/>
  <c r="J270" i="15"/>
  <c r="K270" i="15"/>
  <c r="L270" i="15"/>
  <c r="M270" i="15"/>
  <c r="N270" i="15"/>
  <c r="O270" i="15"/>
  <c r="P270" i="15"/>
  <c r="Q270" i="15"/>
  <c r="T270" i="15"/>
  <c r="U270" i="15"/>
  <c r="V270" i="15"/>
  <c r="W270" i="15"/>
  <c r="X270" i="15"/>
  <c r="Y270" i="15"/>
  <c r="Z270" i="15"/>
  <c r="AA270" i="15"/>
  <c r="B271" i="15"/>
  <c r="C271" i="15"/>
  <c r="D271" i="15"/>
  <c r="E271" i="15"/>
  <c r="J271" i="15"/>
  <c r="K271" i="15"/>
  <c r="L271" i="15"/>
  <c r="M271" i="15"/>
  <c r="N271" i="15"/>
  <c r="O271" i="15"/>
  <c r="P271" i="15"/>
  <c r="Q271" i="15"/>
  <c r="T271" i="15"/>
  <c r="U271" i="15"/>
  <c r="V271" i="15"/>
  <c r="W271" i="15"/>
  <c r="X271" i="15"/>
  <c r="Y271" i="15"/>
  <c r="Z271" i="15"/>
  <c r="AA271" i="15"/>
  <c r="B272" i="15"/>
  <c r="C272" i="15"/>
  <c r="D272" i="15"/>
  <c r="E272" i="15"/>
  <c r="J272" i="15"/>
  <c r="K272" i="15"/>
  <c r="L272" i="15"/>
  <c r="M272" i="15"/>
  <c r="N272" i="15"/>
  <c r="O272" i="15"/>
  <c r="P272" i="15"/>
  <c r="Q272" i="15"/>
  <c r="T272" i="15"/>
  <c r="U272" i="15"/>
  <c r="V272" i="15"/>
  <c r="W272" i="15"/>
  <c r="X272" i="15"/>
  <c r="Y272" i="15"/>
  <c r="Z272" i="15"/>
  <c r="AA272" i="15"/>
  <c r="B273" i="15"/>
  <c r="C273" i="15"/>
  <c r="D273" i="15"/>
  <c r="E273" i="15"/>
  <c r="J273" i="15"/>
  <c r="K273" i="15"/>
  <c r="L273" i="15"/>
  <c r="M273" i="15"/>
  <c r="N273" i="15"/>
  <c r="O273" i="15"/>
  <c r="P273" i="15"/>
  <c r="Q273" i="15"/>
  <c r="T273" i="15"/>
  <c r="U273" i="15"/>
  <c r="V273" i="15"/>
  <c r="W273" i="15"/>
  <c r="X273" i="15"/>
  <c r="Y273" i="15"/>
  <c r="Z273" i="15"/>
  <c r="AA273" i="15"/>
  <c r="B274" i="15"/>
  <c r="C274" i="15"/>
  <c r="D274" i="15"/>
  <c r="E274" i="15"/>
  <c r="J274" i="15"/>
  <c r="K274" i="15"/>
  <c r="L274" i="15"/>
  <c r="M274" i="15"/>
  <c r="N274" i="15"/>
  <c r="O274" i="15"/>
  <c r="P274" i="15"/>
  <c r="Q274" i="15"/>
  <c r="T274" i="15"/>
  <c r="U274" i="15"/>
  <c r="V274" i="15"/>
  <c r="W274" i="15"/>
  <c r="X274" i="15"/>
  <c r="Y274" i="15"/>
  <c r="Z274" i="15"/>
  <c r="AA274" i="15"/>
  <c r="B275" i="15"/>
  <c r="C275" i="15"/>
  <c r="D275" i="15"/>
  <c r="E275" i="15"/>
  <c r="J275" i="15"/>
  <c r="K275" i="15"/>
  <c r="L275" i="15"/>
  <c r="M275" i="15"/>
  <c r="N275" i="15"/>
  <c r="O275" i="15"/>
  <c r="P275" i="15"/>
  <c r="Q275" i="15"/>
  <c r="T275" i="15"/>
  <c r="U275" i="15"/>
  <c r="V275" i="15"/>
  <c r="W275" i="15"/>
  <c r="X275" i="15"/>
  <c r="Y275" i="15"/>
  <c r="Z275" i="15"/>
  <c r="AA275" i="15"/>
  <c r="B276" i="15"/>
  <c r="C276" i="15"/>
  <c r="D276" i="15"/>
  <c r="E276" i="15"/>
  <c r="J276" i="15"/>
  <c r="K276" i="15"/>
  <c r="L276" i="15"/>
  <c r="M276" i="15"/>
  <c r="N276" i="15"/>
  <c r="O276" i="15"/>
  <c r="P276" i="15"/>
  <c r="Q276" i="15"/>
  <c r="T276" i="15"/>
  <c r="U276" i="15"/>
  <c r="V276" i="15"/>
  <c r="W276" i="15"/>
  <c r="X276" i="15"/>
  <c r="Y276" i="15"/>
  <c r="Z276" i="15"/>
  <c r="AA276" i="15"/>
  <c r="B277" i="15"/>
  <c r="C277" i="15"/>
  <c r="D277" i="15"/>
  <c r="E277" i="15"/>
  <c r="J277" i="15"/>
  <c r="K277" i="15"/>
  <c r="L277" i="15"/>
  <c r="M277" i="15"/>
  <c r="N277" i="15"/>
  <c r="O277" i="15"/>
  <c r="P277" i="15"/>
  <c r="Q277" i="15"/>
  <c r="T277" i="15"/>
  <c r="U277" i="15"/>
  <c r="V277" i="15"/>
  <c r="W277" i="15"/>
  <c r="X277" i="15"/>
  <c r="Y277" i="15"/>
  <c r="Z277" i="15"/>
  <c r="AA277" i="15"/>
  <c r="B278" i="15"/>
  <c r="C278" i="15"/>
  <c r="D278" i="15"/>
  <c r="E278" i="15"/>
  <c r="J278" i="15"/>
  <c r="K278" i="15"/>
  <c r="L278" i="15"/>
  <c r="M278" i="15"/>
  <c r="N278" i="15"/>
  <c r="O278" i="15"/>
  <c r="P278" i="15"/>
  <c r="Q278" i="15"/>
  <c r="T278" i="15"/>
  <c r="U278" i="15"/>
  <c r="V278" i="15"/>
  <c r="W278" i="15"/>
  <c r="X278" i="15"/>
  <c r="Y278" i="15"/>
  <c r="Z278" i="15"/>
  <c r="AA278" i="15"/>
  <c r="B279" i="15"/>
  <c r="C279" i="15"/>
  <c r="D279" i="15"/>
  <c r="E279" i="15"/>
  <c r="J279" i="15"/>
  <c r="K279" i="15"/>
  <c r="L279" i="15"/>
  <c r="M279" i="15"/>
  <c r="N279" i="15"/>
  <c r="O279" i="15"/>
  <c r="P279" i="15"/>
  <c r="Q279" i="15"/>
  <c r="T279" i="15"/>
  <c r="U279" i="15"/>
  <c r="V279" i="15"/>
  <c r="W279" i="15"/>
  <c r="X279" i="15"/>
  <c r="Y279" i="15"/>
  <c r="Z279" i="15"/>
  <c r="AA279" i="15"/>
  <c r="B280" i="15"/>
  <c r="C280" i="15"/>
  <c r="D280" i="15"/>
  <c r="E280" i="15"/>
  <c r="J280" i="15"/>
  <c r="K280" i="15"/>
  <c r="L280" i="15"/>
  <c r="M280" i="15"/>
  <c r="N280" i="15"/>
  <c r="O280" i="15"/>
  <c r="P280" i="15"/>
  <c r="Q280" i="15"/>
  <c r="T280" i="15"/>
  <c r="U280" i="15"/>
  <c r="V280" i="15"/>
  <c r="W280" i="15"/>
  <c r="X280" i="15"/>
  <c r="Y280" i="15"/>
  <c r="Z280" i="15"/>
  <c r="AA280" i="15"/>
  <c r="B281" i="15"/>
  <c r="C281" i="15"/>
  <c r="D281" i="15"/>
  <c r="E281" i="15"/>
  <c r="J281" i="15"/>
  <c r="K281" i="15"/>
  <c r="L281" i="15"/>
  <c r="M281" i="15"/>
  <c r="N281" i="15"/>
  <c r="O281" i="15"/>
  <c r="P281" i="15"/>
  <c r="Q281" i="15"/>
  <c r="T281" i="15"/>
  <c r="U281" i="15"/>
  <c r="V281" i="15"/>
  <c r="W281" i="15"/>
  <c r="X281" i="15"/>
  <c r="Y281" i="15"/>
  <c r="Z281" i="15"/>
  <c r="AA281" i="15"/>
  <c r="B282" i="15"/>
  <c r="C282" i="15"/>
  <c r="D282" i="15"/>
  <c r="E282" i="15"/>
  <c r="J282" i="15"/>
  <c r="K282" i="15"/>
  <c r="L282" i="15"/>
  <c r="M282" i="15"/>
  <c r="N282" i="15"/>
  <c r="O282" i="15"/>
  <c r="P282" i="15"/>
  <c r="Q282" i="15"/>
  <c r="T282" i="15"/>
  <c r="U282" i="15"/>
  <c r="V282" i="15"/>
  <c r="W282" i="15"/>
  <c r="X282" i="15"/>
  <c r="Y282" i="15"/>
  <c r="Z282" i="15"/>
  <c r="AA282" i="15"/>
  <c r="B283" i="15"/>
  <c r="C283" i="15"/>
  <c r="D283" i="15"/>
  <c r="E283" i="15"/>
  <c r="J283" i="15"/>
  <c r="K283" i="15"/>
  <c r="L283" i="15"/>
  <c r="M283" i="15"/>
  <c r="N283" i="15"/>
  <c r="O283" i="15"/>
  <c r="P283" i="15"/>
  <c r="Q283" i="15"/>
  <c r="T283" i="15"/>
  <c r="U283" i="15"/>
  <c r="V283" i="15"/>
  <c r="W283" i="15"/>
  <c r="X283" i="15"/>
  <c r="Y283" i="15"/>
  <c r="Z283" i="15"/>
  <c r="AA283" i="15"/>
  <c r="B284" i="15"/>
  <c r="C284" i="15"/>
  <c r="D284" i="15"/>
  <c r="E284" i="15"/>
  <c r="J284" i="15"/>
  <c r="K284" i="15"/>
  <c r="L284" i="15"/>
  <c r="M284" i="15"/>
  <c r="N284" i="15"/>
  <c r="O284" i="15"/>
  <c r="P284" i="15"/>
  <c r="Q284" i="15"/>
  <c r="T284" i="15"/>
  <c r="U284" i="15"/>
  <c r="V284" i="15"/>
  <c r="W284" i="15"/>
  <c r="X284" i="15"/>
  <c r="Y284" i="15"/>
  <c r="Z284" i="15"/>
  <c r="AA284" i="15"/>
  <c r="B285" i="15"/>
  <c r="C285" i="15"/>
  <c r="D285" i="15"/>
  <c r="E285" i="15"/>
  <c r="J285" i="15"/>
  <c r="K285" i="15"/>
  <c r="L285" i="15"/>
  <c r="M285" i="15"/>
  <c r="N285" i="15"/>
  <c r="O285" i="15"/>
  <c r="P285" i="15"/>
  <c r="Q285" i="15"/>
  <c r="T285" i="15"/>
  <c r="U285" i="15"/>
  <c r="V285" i="15"/>
  <c r="W285" i="15"/>
  <c r="X285" i="15"/>
  <c r="Y285" i="15"/>
  <c r="Z285" i="15"/>
  <c r="AA285" i="15"/>
  <c r="B286" i="15"/>
  <c r="C286" i="15"/>
  <c r="D286" i="15"/>
  <c r="E286" i="15"/>
  <c r="J286" i="15"/>
  <c r="K286" i="15"/>
  <c r="L286" i="15"/>
  <c r="M286" i="15"/>
  <c r="N286" i="15"/>
  <c r="O286" i="15"/>
  <c r="P286" i="15"/>
  <c r="Q286" i="15"/>
  <c r="T286" i="15"/>
  <c r="U286" i="15"/>
  <c r="V286" i="15"/>
  <c r="W286" i="15"/>
  <c r="X286" i="15"/>
  <c r="Y286" i="15"/>
  <c r="Z286" i="15"/>
  <c r="AA286" i="15"/>
  <c r="B287" i="15"/>
  <c r="C287" i="15"/>
  <c r="D287" i="15"/>
  <c r="E287" i="15"/>
  <c r="J287" i="15"/>
  <c r="K287" i="15"/>
  <c r="L287" i="15"/>
  <c r="M287" i="15"/>
  <c r="N287" i="15"/>
  <c r="O287" i="15"/>
  <c r="P287" i="15"/>
  <c r="Q287" i="15"/>
  <c r="T287" i="15"/>
  <c r="U287" i="15"/>
  <c r="V287" i="15"/>
  <c r="W287" i="15"/>
  <c r="X287" i="15"/>
  <c r="Y287" i="15"/>
  <c r="Z287" i="15"/>
  <c r="AA287" i="15"/>
  <c r="B288" i="15"/>
  <c r="C288" i="15"/>
  <c r="D288" i="15"/>
  <c r="E288" i="15"/>
  <c r="J288" i="15"/>
  <c r="K288" i="15"/>
  <c r="L288" i="15"/>
  <c r="M288" i="15"/>
  <c r="N288" i="15"/>
  <c r="O288" i="15"/>
  <c r="P288" i="15"/>
  <c r="Q288" i="15"/>
  <c r="T288" i="15"/>
  <c r="U288" i="15"/>
  <c r="V288" i="15"/>
  <c r="W288" i="15"/>
  <c r="X288" i="15"/>
  <c r="Y288" i="15"/>
  <c r="Z288" i="15"/>
  <c r="AA288" i="15"/>
  <c r="B289" i="15"/>
  <c r="C289" i="15"/>
  <c r="D289" i="15"/>
  <c r="E289" i="15"/>
  <c r="J289" i="15"/>
  <c r="K289" i="15"/>
  <c r="L289" i="15"/>
  <c r="M289" i="15"/>
  <c r="N289" i="15"/>
  <c r="O289" i="15"/>
  <c r="P289" i="15"/>
  <c r="Q289" i="15"/>
  <c r="T289" i="15"/>
  <c r="U289" i="15"/>
  <c r="V289" i="15"/>
  <c r="W289" i="15"/>
  <c r="X289" i="15"/>
  <c r="Y289" i="15"/>
  <c r="Z289" i="15"/>
  <c r="AA289" i="15"/>
  <c r="B290" i="15"/>
  <c r="C290" i="15"/>
  <c r="D290" i="15"/>
  <c r="E290" i="15"/>
  <c r="J290" i="15"/>
  <c r="K290" i="15"/>
  <c r="L290" i="15"/>
  <c r="M290" i="15"/>
  <c r="N290" i="15"/>
  <c r="O290" i="15"/>
  <c r="P290" i="15"/>
  <c r="Q290" i="15"/>
  <c r="T290" i="15"/>
  <c r="U290" i="15"/>
  <c r="V290" i="15"/>
  <c r="W290" i="15"/>
  <c r="X290" i="15"/>
  <c r="Y290" i="15"/>
  <c r="Z290" i="15"/>
  <c r="AA290" i="15"/>
  <c r="B291" i="15"/>
  <c r="C291" i="15"/>
  <c r="D291" i="15"/>
  <c r="E291" i="15"/>
  <c r="J291" i="15"/>
  <c r="K291" i="15"/>
  <c r="L291" i="15"/>
  <c r="M291" i="15"/>
  <c r="N291" i="15"/>
  <c r="O291" i="15"/>
  <c r="P291" i="15"/>
  <c r="Q291" i="15"/>
  <c r="T291" i="15"/>
  <c r="U291" i="15"/>
  <c r="V291" i="15"/>
  <c r="W291" i="15"/>
  <c r="X291" i="15"/>
  <c r="Y291" i="15"/>
  <c r="Z291" i="15"/>
  <c r="AA291" i="15"/>
  <c r="B292" i="15"/>
  <c r="C292" i="15"/>
  <c r="D292" i="15"/>
  <c r="E292" i="15"/>
  <c r="J292" i="15"/>
  <c r="K292" i="15"/>
  <c r="L292" i="15"/>
  <c r="M292" i="15"/>
  <c r="N292" i="15"/>
  <c r="O292" i="15"/>
  <c r="P292" i="15"/>
  <c r="Q292" i="15"/>
  <c r="T292" i="15"/>
  <c r="U292" i="15"/>
  <c r="V292" i="15"/>
  <c r="W292" i="15"/>
  <c r="X292" i="15"/>
  <c r="Y292" i="15"/>
  <c r="Z292" i="15"/>
  <c r="AA292" i="15"/>
  <c r="B293" i="15"/>
  <c r="C293" i="15"/>
  <c r="D293" i="15"/>
  <c r="E293" i="15"/>
  <c r="J293" i="15"/>
  <c r="K293" i="15"/>
  <c r="L293" i="15"/>
  <c r="M293" i="15"/>
  <c r="N293" i="15"/>
  <c r="O293" i="15"/>
  <c r="P293" i="15"/>
  <c r="Q293" i="15"/>
  <c r="T293" i="15"/>
  <c r="U293" i="15"/>
  <c r="V293" i="15"/>
  <c r="W293" i="15"/>
  <c r="X293" i="15"/>
  <c r="Y293" i="15"/>
  <c r="Z293" i="15"/>
  <c r="AA293" i="15"/>
  <c r="B294" i="15"/>
  <c r="C294" i="15"/>
  <c r="D294" i="15"/>
  <c r="E294" i="15"/>
  <c r="J294" i="15"/>
  <c r="K294" i="15"/>
  <c r="L294" i="15"/>
  <c r="M294" i="15"/>
  <c r="N294" i="15"/>
  <c r="O294" i="15"/>
  <c r="P294" i="15"/>
  <c r="Q294" i="15"/>
  <c r="T294" i="15"/>
  <c r="U294" i="15"/>
  <c r="V294" i="15"/>
  <c r="W294" i="15"/>
  <c r="X294" i="15"/>
  <c r="Y294" i="15"/>
  <c r="Z294" i="15"/>
  <c r="AA294" i="15"/>
  <c r="B295" i="15"/>
  <c r="C295" i="15"/>
  <c r="D295" i="15"/>
  <c r="E295" i="15"/>
  <c r="J295" i="15"/>
  <c r="K295" i="15"/>
  <c r="L295" i="15"/>
  <c r="M295" i="15"/>
  <c r="N295" i="15"/>
  <c r="O295" i="15"/>
  <c r="P295" i="15"/>
  <c r="Q295" i="15"/>
  <c r="T295" i="15"/>
  <c r="U295" i="15"/>
  <c r="V295" i="15"/>
  <c r="W295" i="15"/>
  <c r="X295" i="15"/>
  <c r="Y295" i="15"/>
  <c r="Z295" i="15"/>
  <c r="AA295" i="15"/>
  <c r="B296" i="15"/>
  <c r="C296" i="15"/>
  <c r="D296" i="15"/>
  <c r="E296" i="15"/>
  <c r="J296" i="15"/>
  <c r="K296" i="15"/>
  <c r="L296" i="15"/>
  <c r="M296" i="15"/>
  <c r="N296" i="15"/>
  <c r="O296" i="15"/>
  <c r="P296" i="15"/>
  <c r="Q296" i="15"/>
  <c r="T296" i="15"/>
  <c r="U296" i="15"/>
  <c r="V296" i="15"/>
  <c r="W296" i="15"/>
  <c r="X296" i="15"/>
  <c r="Y296" i="15"/>
  <c r="Z296" i="15"/>
  <c r="AA296" i="15"/>
  <c r="B297" i="15"/>
  <c r="C297" i="15"/>
  <c r="D297" i="15"/>
  <c r="E297" i="15"/>
  <c r="J297" i="15"/>
  <c r="K297" i="15"/>
  <c r="L297" i="15"/>
  <c r="M297" i="15"/>
  <c r="N297" i="15"/>
  <c r="O297" i="15"/>
  <c r="P297" i="15"/>
  <c r="Q297" i="15"/>
  <c r="T297" i="15"/>
  <c r="U297" i="15"/>
  <c r="V297" i="15"/>
  <c r="W297" i="15"/>
  <c r="X297" i="15"/>
  <c r="Y297" i="15"/>
  <c r="Z297" i="15"/>
  <c r="AA297" i="15"/>
  <c r="B298" i="15"/>
  <c r="C298" i="15"/>
  <c r="D298" i="15"/>
  <c r="E298" i="15"/>
  <c r="J298" i="15"/>
  <c r="K298" i="15"/>
  <c r="L298" i="15"/>
  <c r="M298" i="15"/>
  <c r="N298" i="15"/>
  <c r="O298" i="15"/>
  <c r="P298" i="15"/>
  <c r="Q298" i="15"/>
  <c r="T298" i="15"/>
  <c r="U298" i="15"/>
  <c r="V298" i="15"/>
  <c r="W298" i="15"/>
  <c r="X298" i="15"/>
  <c r="Y298" i="15"/>
  <c r="Z298" i="15"/>
  <c r="AA298" i="15"/>
  <c r="B299" i="15"/>
  <c r="C299" i="15"/>
  <c r="D299" i="15"/>
  <c r="E299" i="15"/>
  <c r="J299" i="15"/>
  <c r="K299" i="15"/>
  <c r="L299" i="15"/>
  <c r="M299" i="15"/>
  <c r="N299" i="15"/>
  <c r="O299" i="15"/>
  <c r="P299" i="15"/>
  <c r="Q299" i="15"/>
  <c r="T299" i="15"/>
  <c r="U299" i="15"/>
  <c r="V299" i="15"/>
  <c r="W299" i="15"/>
  <c r="X299" i="15"/>
  <c r="Y299" i="15"/>
  <c r="Z299" i="15"/>
  <c r="AA299" i="15"/>
  <c r="B300" i="15"/>
  <c r="C300" i="15"/>
  <c r="D300" i="15"/>
  <c r="E300" i="15"/>
  <c r="J300" i="15"/>
  <c r="K300" i="15"/>
  <c r="L300" i="15"/>
  <c r="M300" i="15"/>
  <c r="N300" i="15"/>
  <c r="O300" i="15"/>
  <c r="P300" i="15"/>
  <c r="Q300" i="15"/>
  <c r="T300" i="15"/>
  <c r="U300" i="15"/>
  <c r="V300" i="15"/>
  <c r="W300" i="15"/>
  <c r="X300" i="15"/>
  <c r="Y300" i="15"/>
  <c r="Z300" i="15"/>
  <c r="AA300" i="15"/>
  <c r="B301" i="15"/>
  <c r="C301" i="15"/>
  <c r="D301" i="15"/>
  <c r="E301" i="15"/>
  <c r="J301" i="15"/>
  <c r="K301" i="15"/>
  <c r="L301" i="15"/>
  <c r="M301" i="15"/>
  <c r="N301" i="15"/>
  <c r="O301" i="15"/>
  <c r="P301" i="15"/>
  <c r="Q301" i="15"/>
  <c r="T301" i="15"/>
  <c r="U301" i="15"/>
  <c r="V301" i="15"/>
  <c r="W301" i="15"/>
  <c r="X301" i="15"/>
  <c r="Y301" i="15"/>
  <c r="Z301" i="15"/>
  <c r="AA301" i="15"/>
  <c r="B302" i="15"/>
  <c r="C302" i="15"/>
  <c r="D302" i="15"/>
  <c r="E302" i="15"/>
  <c r="J302" i="15"/>
  <c r="K302" i="15"/>
  <c r="L302" i="15"/>
  <c r="M302" i="15"/>
  <c r="N302" i="15"/>
  <c r="O302" i="15"/>
  <c r="P302" i="15"/>
  <c r="Q302" i="15"/>
  <c r="T302" i="15"/>
  <c r="U302" i="15"/>
  <c r="V302" i="15"/>
  <c r="W302" i="15"/>
  <c r="X302" i="15"/>
  <c r="Y302" i="15"/>
  <c r="Z302" i="15"/>
  <c r="AA302" i="15"/>
  <c r="B303" i="15"/>
  <c r="C303" i="15"/>
  <c r="D303" i="15"/>
  <c r="E303" i="15"/>
  <c r="J303" i="15"/>
  <c r="K303" i="15"/>
  <c r="L303" i="15"/>
  <c r="M303" i="15"/>
  <c r="N303" i="15"/>
  <c r="O303" i="15"/>
  <c r="P303" i="15"/>
  <c r="Q303" i="15"/>
  <c r="T303" i="15"/>
  <c r="U303" i="15"/>
  <c r="V303" i="15"/>
  <c r="W303" i="15"/>
  <c r="X303" i="15"/>
  <c r="Y303" i="15"/>
  <c r="Z303" i="15"/>
  <c r="AA303" i="15"/>
  <c r="B304" i="15"/>
  <c r="C304" i="15"/>
  <c r="D304" i="15"/>
  <c r="E304" i="15"/>
  <c r="J304" i="15"/>
  <c r="K304" i="15"/>
  <c r="L304" i="15"/>
  <c r="M304" i="15"/>
  <c r="N304" i="15"/>
  <c r="O304" i="15"/>
  <c r="P304" i="15"/>
  <c r="Q304" i="15"/>
  <c r="T304" i="15"/>
  <c r="U304" i="15"/>
  <c r="V304" i="15"/>
  <c r="W304" i="15"/>
  <c r="X304" i="15"/>
  <c r="Y304" i="15"/>
  <c r="Z304" i="15"/>
  <c r="AA304" i="15"/>
  <c r="B305" i="15"/>
  <c r="C305" i="15"/>
  <c r="D305" i="15"/>
  <c r="E305" i="15"/>
  <c r="J305" i="15"/>
  <c r="K305" i="15"/>
  <c r="L305" i="15"/>
  <c r="M305" i="15"/>
  <c r="N305" i="15"/>
  <c r="O305" i="15"/>
  <c r="P305" i="15"/>
  <c r="Q305" i="15"/>
  <c r="T305" i="15"/>
  <c r="U305" i="15"/>
  <c r="V305" i="15"/>
  <c r="W305" i="15"/>
  <c r="X305" i="15"/>
  <c r="Y305" i="15"/>
  <c r="Z305" i="15"/>
  <c r="AA305" i="15"/>
  <c r="B306" i="15"/>
  <c r="C306" i="15"/>
  <c r="D306" i="15"/>
  <c r="E306" i="15"/>
  <c r="J306" i="15"/>
  <c r="K306" i="15"/>
  <c r="L306" i="15"/>
  <c r="M306" i="15"/>
  <c r="N306" i="15"/>
  <c r="O306" i="15"/>
  <c r="P306" i="15"/>
  <c r="Q306" i="15"/>
  <c r="T306" i="15"/>
  <c r="U306" i="15"/>
  <c r="V306" i="15"/>
  <c r="W306" i="15"/>
  <c r="X306" i="15"/>
  <c r="Y306" i="15"/>
  <c r="Z306" i="15"/>
  <c r="AA306" i="15"/>
  <c r="B307" i="15"/>
  <c r="C307" i="15"/>
  <c r="D307" i="15"/>
  <c r="E307" i="15"/>
  <c r="J307" i="15"/>
  <c r="K307" i="15"/>
  <c r="L307" i="15"/>
  <c r="M307" i="15"/>
  <c r="N307" i="15"/>
  <c r="O307" i="15"/>
  <c r="P307" i="15"/>
  <c r="Q307" i="15"/>
  <c r="T307" i="15"/>
  <c r="U307" i="15"/>
  <c r="V307" i="15"/>
  <c r="W307" i="15"/>
  <c r="X307" i="15"/>
  <c r="Y307" i="15"/>
  <c r="Z307" i="15"/>
  <c r="AA307" i="15"/>
  <c r="B308" i="15"/>
  <c r="C308" i="15"/>
  <c r="D308" i="15"/>
  <c r="E308" i="15"/>
  <c r="J308" i="15"/>
  <c r="K308" i="15"/>
  <c r="L308" i="15"/>
  <c r="M308" i="15"/>
  <c r="N308" i="15"/>
  <c r="O308" i="15"/>
  <c r="P308" i="15"/>
  <c r="Q308" i="15"/>
  <c r="T308" i="15"/>
  <c r="U308" i="15"/>
  <c r="V308" i="15"/>
  <c r="W308" i="15"/>
  <c r="X308" i="15"/>
  <c r="Y308" i="15"/>
  <c r="Z308" i="15"/>
  <c r="AA308" i="15"/>
  <c r="B309" i="15"/>
  <c r="C309" i="15"/>
  <c r="D309" i="15"/>
  <c r="E309" i="15"/>
  <c r="J309" i="15"/>
  <c r="K309" i="15"/>
  <c r="L309" i="15"/>
  <c r="M309" i="15"/>
  <c r="N309" i="15"/>
  <c r="O309" i="15"/>
  <c r="P309" i="15"/>
  <c r="Q309" i="15"/>
  <c r="T309" i="15"/>
  <c r="U309" i="15"/>
  <c r="V309" i="15"/>
  <c r="W309" i="15"/>
  <c r="X309" i="15"/>
  <c r="Y309" i="15"/>
  <c r="Z309" i="15"/>
  <c r="AA309" i="15"/>
  <c r="B310" i="15"/>
  <c r="C310" i="15"/>
  <c r="D310" i="15"/>
  <c r="E310" i="15"/>
  <c r="J310" i="15"/>
  <c r="K310" i="15"/>
  <c r="L310" i="15"/>
  <c r="M310" i="15"/>
  <c r="N310" i="15"/>
  <c r="O310" i="15"/>
  <c r="P310" i="15"/>
  <c r="Q310" i="15"/>
  <c r="T310" i="15"/>
  <c r="U310" i="15"/>
  <c r="V310" i="15"/>
  <c r="W310" i="15"/>
  <c r="X310" i="15"/>
  <c r="Y310" i="15"/>
  <c r="Z310" i="15"/>
  <c r="AA310" i="15"/>
  <c r="B311" i="15"/>
  <c r="C311" i="15"/>
  <c r="D311" i="15"/>
  <c r="E311" i="15"/>
  <c r="J311" i="15"/>
  <c r="K311" i="15"/>
  <c r="L311" i="15"/>
  <c r="M311" i="15"/>
  <c r="N311" i="15"/>
  <c r="O311" i="15"/>
  <c r="P311" i="15"/>
  <c r="Q311" i="15"/>
  <c r="T311" i="15"/>
  <c r="U311" i="15"/>
  <c r="V311" i="15"/>
  <c r="W311" i="15"/>
  <c r="X311" i="15"/>
  <c r="Y311" i="15"/>
  <c r="Z311" i="15"/>
  <c r="AA311" i="15"/>
  <c r="B312" i="15"/>
  <c r="C312" i="15"/>
  <c r="D312" i="15"/>
  <c r="E312" i="15"/>
  <c r="J312" i="15"/>
  <c r="K312" i="15"/>
  <c r="L312" i="15"/>
  <c r="M312" i="15"/>
  <c r="N312" i="15"/>
  <c r="O312" i="15"/>
  <c r="P312" i="15"/>
  <c r="Q312" i="15"/>
  <c r="T312" i="15"/>
  <c r="U312" i="15"/>
  <c r="V312" i="15"/>
  <c r="W312" i="15"/>
  <c r="X312" i="15"/>
  <c r="Y312" i="15"/>
  <c r="Z312" i="15"/>
  <c r="AA312" i="15"/>
  <c r="B313" i="15"/>
  <c r="C313" i="15"/>
  <c r="D313" i="15"/>
  <c r="E313" i="15"/>
  <c r="J313" i="15"/>
  <c r="K313" i="15"/>
  <c r="L313" i="15"/>
  <c r="M313" i="15"/>
  <c r="N313" i="15"/>
  <c r="O313" i="15"/>
  <c r="P313" i="15"/>
  <c r="Q313" i="15"/>
  <c r="T313" i="15"/>
  <c r="U313" i="15"/>
  <c r="V313" i="15"/>
  <c r="W313" i="15"/>
  <c r="X313" i="15"/>
  <c r="Y313" i="15"/>
  <c r="Z313" i="15"/>
  <c r="AA313" i="15"/>
  <c r="B314" i="15"/>
  <c r="C314" i="15"/>
  <c r="D314" i="15"/>
  <c r="E314" i="15"/>
  <c r="J314" i="15"/>
  <c r="K314" i="15"/>
  <c r="L314" i="15"/>
  <c r="M314" i="15"/>
  <c r="N314" i="15"/>
  <c r="O314" i="15"/>
  <c r="P314" i="15"/>
  <c r="Q314" i="15"/>
  <c r="T314" i="15"/>
  <c r="U314" i="15"/>
  <c r="V314" i="15"/>
  <c r="W314" i="15"/>
  <c r="X314" i="15"/>
  <c r="Y314" i="15"/>
  <c r="Z314" i="15"/>
  <c r="AA314" i="15"/>
  <c r="B315" i="15"/>
  <c r="C315" i="15"/>
  <c r="D315" i="15"/>
  <c r="E315" i="15"/>
  <c r="J315" i="15"/>
  <c r="K315" i="15"/>
  <c r="L315" i="15"/>
  <c r="M315" i="15"/>
  <c r="N315" i="15"/>
  <c r="O315" i="15"/>
  <c r="P315" i="15"/>
  <c r="Q315" i="15"/>
  <c r="T315" i="15"/>
  <c r="U315" i="15"/>
  <c r="V315" i="15"/>
  <c r="W315" i="15"/>
  <c r="X315" i="15"/>
  <c r="Y315" i="15"/>
  <c r="Z315" i="15"/>
  <c r="AA315" i="15"/>
  <c r="B316" i="15"/>
  <c r="C316" i="15"/>
  <c r="D316" i="15"/>
  <c r="E316" i="15"/>
  <c r="J316" i="15"/>
  <c r="K316" i="15"/>
  <c r="L316" i="15"/>
  <c r="M316" i="15"/>
  <c r="N316" i="15"/>
  <c r="O316" i="15"/>
  <c r="P316" i="15"/>
  <c r="Q316" i="15"/>
  <c r="T316" i="15"/>
  <c r="U316" i="15"/>
  <c r="V316" i="15"/>
  <c r="W316" i="15"/>
  <c r="X316" i="15"/>
  <c r="Y316" i="15"/>
  <c r="Z316" i="15"/>
  <c r="AA316" i="15"/>
  <c r="B317" i="15"/>
  <c r="C317" i="15"/>
  <c r="D317" i="15"/>
  <c r="E317" i="15"/>
  <c r="J317" i="15"/>
  <c r="K317" i="15"/>
  <c r="L317" i="15"/>
  <c r="M317" i="15"/>
  <c r="N317" i="15"/>
  <c r="O317" i="15"/>
  <c r="P317" i="15"/>
  <c r="Q317" i="15"/>
  <c r="T317" i="15"/>
  <c r="U317" i="15"/>
  <c r="V317" i="15"/>
  <c r="W317" i="15"/>
  <c r="X317" i="15"/>
  <c r="Y317" i="15"/>
  <c r="Z317" i="15"/>
  <c r="AA317" i="15"/>
  <c r="B318" i="15"/>
  <c r="C318" i="15"/>
  <c r="D318" i="15"/>
  <c r="E318" i="15"/>
  <c r="J318" i="15"/>
  <c r="K318" i="15"/>
  <c r="L318" i="15"/>
  <c r="M318" i="15"/>
  <c r="N318" i="15"/>
  <c r="O318" i="15"/>
  <c r="P318" i="15"/>
  <c r="Q318" i="15"/>
  <c r="T318" i="15"/>
  <c r="U318" i="15"/>
  <c r="V318" i="15"/>
  <c r="W318" i="15"/>
  <c r="X318" i="15"/>
  <c r="Y318" i="15"/>
  <c r="Z318" i="15"/>
  <c r="AA318" i="15"/>
  <c r="B319" i="15"/>
  <c r="C319" i="15"/>
  <c r="D319" i="15"/>
  <c r="E319" i="15"/>
  <c r="J319" i="15"/>
  <c r="K319" i="15"/>
  <c r="L319" i="15"/>
  <c r="M319" i="15"/>
  <c r="N319" i="15"/>
  <c r="O319" i="15"/>
  <c r="P319" i="15"/>
  <c r="Q319" i="15"/>
  <c r="T319" i="15"/>
  <c r="U319" i="15"/>
  <c r="V319" i="15"/>
  <c r="W319" i="15"/>
  <c r="X319" i="15"/>
  <c r="Y319" i="15"/>
  <c r="Z319" i="15"/>
  <c r="AA319" i="15"/>
  <c r="B320" i="15"/>
  <c r="C320" i="15"/>
  <c r="D320" i="15"/>
  <c r="E320" i="15"/>
  <c r="J320" i="15"/>
  <c r="K320" i="15"/>
  <c r="L320" i="15"/>
  <c r="M320" i="15"/>
  <c r="N320" i="15"/>
  <c r="O320" i="15"/>
  <c r="P320" i="15"/>
  <c r="Q320" i="15"/>
  <c r="T320" i="15"/>
  <c r="U320" i="15"/>
  <c r="V320" i="15"/>
  <c r="W320" i="15"/>
  <c r="X320" i="15"/>
  <c r="Y320" i="15"/>
  <c r="Z320" i="15"/>
  <c r="AA320" i="15"/>
  <c r="B321" i="15"/>
  <c r="C321" i="15"/>
  <c r="D321" i="15"/>
  <c r="E321" i="15"/>
  <c r="J321" i="15"/>
  <c r="K321" i="15"/>
  <c r="L321" i="15"/>
  <c r="M321" i="15"/>
  <c r="N321" i="15"/>
  <c r="O321" i="15"/>
  <c r="P321" i="15"/>
  <c r="Q321" i="15"/>
  <c r="T321" i="15"/>
  <c r="U321" i="15"/>
  <c r="V321" i="15"/>
  <c r="W321" i="15"/>
  <c r="X321" i="15"/>
  <c r="Y321" i="15"/>
  <c r="Z321" i="15"/>
  <c r="AA321" i="15"/>
  <c r="B322" i="15"/>
  <c r="C322" i="15"/>
  <c r="D322" i="15"/>
  <c r="E322" i="15"/>
  <c r="J322" i="15"/>
  <c r="K322" i="15"/>
  <c r="L322" i="15"/>
  <c r="M322" i="15"/>
  <c r="N322" i="15"/>
  <c r="O322" i="15"/>
  <c r="P322" i="15"/>
  <c r="Q322" i="15"/>
  <c r="T322" i="15"/>
  <c r="U322" i="15"/>
  <c r="V322" i="15"/>
  <c r="W322" i="15"/>
  <c r="X322" i="15"/>
  <c r="Y322" i="15"/>
  <c r="Z322" i="15"/>
  <c r="AA322" i="15"/>
  <c r="B323" i="15"/>
  <c r="C323" i="15"/>
  <c r="D323" i="15"/>
  <c r="E323" i="15"/>
  <c r="J323" i="15"/>
  <c r="K323" i="15"/>
  <c r="L323" i="15"/>
  <c r="M323" i="15"/>
  <c r="N323" i="15"/>
  <c r="O323" i="15"/>
  <c r="P323" i="15"/>
  <c r="Q323" i="15"/>
  <c r="T323" i="15"/>
  <c r="U323" i="15"/>
  <c r="V323" i="15"/>
  <c r="W323" i="15"/>
  <c r="X323" i="15"/>
  <c r="Y323" i="15"/>
  <c r="Z323" i="15"/>
  <c r="AA323" i="15"/>
  <c r="B324" i="15"/>
  <c r="C324" i="15"/>
  <c r="D324" i="15"/>
  <c r="E324" i="15"/>
  <c r="J324" i="15"/>
  <c r="K324" i="15"/>
  <c r="L324" i="15"/>
  <c r="M324" i="15"/>
  <c r="N324" i="15"/>
  <c r="O324" i="15"/>
  <c r="P324" i="15"/>
  <c r="Q324" i="15"/>
  <c r="T324" i="15"/>
  <c r="U324" i="15"/>
  <c r="V324" i="15"/>
  <c r="W324" i="15"/>
  <c r="X324" i="15"/>
  <c r="Y324" i="15"/>
  <c r="Z324" i="15"/>
  <c r="AA324" i="15"/>
  <c r="B325" i="15"/>
  <c r="C325" i="15"/>
  <c r="D325" i="15"/>
  <c r="E325" i="15"/>
  <c r="J325" i="15"/>
  <c r="K325" i="15"/>
  <c r="L325" i="15"/>
  <c r="M325" i="15"/>
  <c r="N325" i="15"/>
  <c r="O325" i="15"/>
  <c r="P325" i="15"/>
  <c r="Q325" i="15"/>
  <c r="T325" i="15"/>
  <c r="U325" i="15"/>
  <c r="V325" i="15"/>
  <c r="W325" i="15"/>
  <c r="X325" i="15"/>
  <c r="Y325" i="15"/>
  <c r="Z325" i="15"/>
  <c r="AA325" i="15"/>
  <c r="B326" i="15"/>
  <c r="C326" i="15"/>
  <c r="D326" i="15"/>
  <c r="E326" i="15"/>
  <c r="J326" i="15"/>
  <c r="K326" i="15"/>
  <c r="L326" i="15"/>
  <c r="M326" i="15"/>
  <c r="N326" i="15"/>
  <c r="O326" i="15"/>
  <c r="P326" i="15"/>
  <c r="Q326" i="15"/>
  <c r="T326" i="15"/>
  <c r="U326" i="15"/>
  <c r="V326" i="15"/>
  <c r="W326" i="15"/>
  <c r="X326" i="15"/>
  <c r="Y326" i="15"/>
  <c r="Z326" i="15"/>
  <c r="AA326" i="15"/>
  <c r="B327" i="15"/>
  <c r="C327" i="15"/>
  <c r="D327" i="15"/>
  <c r="E327" i="15"/>
  <c r="J327" i="15"/>
  <c r="K327" i="15"/>
  <c r="L327" i="15"/>
  <c r="M327" i="15"/>
  <c r="N327" i="15"/>
  <c r="O327" i="15"/>
  <c r="P327" i="15"/>
  <c r="Q327" i="15"/>
  <c r="T327" i="15"/>
  <c r="U327" i="15"/>
  <c r="V327" i="15"/>
  <c r="W327" i="15"/>
  <c r="X327" i="15"/>
  <c r="Y327" i="15"/>
  <c r="Z327" i="15"/>
  <c r="AA327" i="15"/>
  <c r="B328" i="15"/>
  <c r="C328" i="15"/>
  <c r="D328" i="15"/>
  <c r="E328" i="15"/>
  <c r="J328" i="15"/>
  <c r="K328" i="15"/>
  <c r="L328" i="15"/>
  <c r="M328" i="15"/>
  <c r="N328" i="15"/>
  <c r="O328" i="15"/>
  <c r="P328" i="15"/>
  <c r="Q328" i="15"/>
  <c r="T328" i="15"/>
  <c r="U328" i="15"/>
  <c r="V328" i="15"/>
  <c r="W328" i="15"/>
  <c r="X328" i="15"/>
  <c r="Y328" i="15"/>
  <c r="Z328" i="15"/>
  <c r="AA328" i="15"/>
  <c r="B329" i="15"/>
  <c r="C329" i="15"/>
  <c r="D329" i="15"/>
  <c r="E329" i="15"/>
  <c r="J329" i="15"/>
  <c r="K329" i="15"/>
  <c r="L329" i="15"/>
  <c r="M329" i="15"/>
  <c r="N329" i="15"/>
  <c r="O329" i="15"/>
  <c r="P329" i="15"/>
  <c r="Q329" i="15"/>
  <c r="T329" i="15"/>
  <c r="U329" i="15"/>
  <c r="V329" i="15"/>
  <c r="W329" i="15"/>
  <c r="X329" i="15"/>
  <c r="Y329" i="15"/>
  <c r="Z329" i="15"/>
  <c r="AA329" i="15"/>
  <c r="B330" i="15"/>
  <c r="C330" i="15"/>
  <c r="D330" i="15"/>
  <c r="E330" i="15"/>
  <c r="J330" i="15"/>
  <c r="K330" i="15"/>
  <c r="L330" i="15"/>
  <c r="M330" i="15"/>
  <c r="N330" i="15"/>
  <c r="O330" i="15"/>
  <c r="P330" i="15"/>
  <c r="Q330" i="15"/>
  <c r="T330" i="15"/>
  <c r="U330" i="15"/>
  <c r="V330" i="15"/>
  <c r="W330" i="15"/>
  <c r="X330" i="15"/>
  <c r="Y330" i="15"/>
  <c r="Z330" i="15"/>
  <c r="AA330" i="15"/>
  <c r="B331" i="15"/>
  <c r="C331" i="15"/>
  <c r="D331" i="15"/>
  <c r="E331" i="15"/>
  <c r="J331" i="15"/>
  <c r="K331" i="15"/>
  <c r="L331" i="15"/>
  <c r="M331" i="15"/>
  <c r="N331" i="15"/>
  <c r="O331" i="15"/>
  <c r="P331" i="15"/>
  <c r="Q331" i="15"/>
  <c r="T331" i="15"/>
  <c r="U331" i="15"/>
  <c r="V331" i="15"/>
  <c r="W331" i="15"/>
  <c r="X331" i="15"/>
  <c r="Y331" i="15"/>
  <c r="Z331" i="15"/>
  <c r="AA331" i="15"/>
  <c r="B332" i="15"/>
  <c r="C332" i="15"/>
  <c r="D332" i="15"/>
  <c r="E332" i="15"/>
  <c r="J332" i="15"/>
  <c r="K332" i="15"/>
  <c r="L332" i="15"/>
  <c r="M332" i="15"/>
  <c r="N332" i="15"/>
  <c r="O332" i="15"/>
  <c r="P332" i="15"/>
  <c r="Q332" i="15"/>
  <c r="T332" i="15"/>
  <c r="U332" i="15"/>
  <c r="V332" i="15"/>
  <c r="W332" i="15"/>
  <c r="X332" i="15"/>
  <c r="Y332" i="15"/>
  <c r="Z332" i="15"/>
  <c r="AA332" i="15"/>
  <c r="B333" i="15"/>
  <c r="C333" i="15"/>
  <c r="D333" i="15"/>
  <c r="E333" i="15"/>
  <c r="J333" i="15"/>
  <c r="K333" i="15"/>
  <c r="L333" i="15"/>
  <c r="M333" i="15"/>
  <c r="N333" i="15"/>
  <c r="O333" i="15"/>
  <c r="P333" i="15"/>
  <c r="Q333" i="15"/>
  <c r="T333" i="15"/>
  <c r="U333" i="15"/>
  <c r="V333" i="15"/>
  <c r="W333" i="15"/>
  <c r="X333" i="15"/>
  <c r="Y333" i="15"/>
  <c r="Z333" i="15"/>
  <c r="AA333" i="15"/>
  <c r="B334" i="15"/>
  <c r="C334" i="15"/>
  <c r="D334" i="15"/>
  <c r="E334" i="15"/>
  <c r="J334" i="15"/>
  <c r="K334" i="15"/>
  <c r="L334" i="15"/>
  <c r="M334" i="15"/>
  <c r="N334" i="15"/>
  <c r="O334" i="15"/>
  <c r="P334" i="15"/>
  <c r="Q334" i="15"/>
  <c r="T334" i="15"/>
  <c r="U334" i="15"/>
  <c r="V334" i="15"/>
  <c r="W334" i="15"/>
  <c r="X334" i="15"/>
  <c r="Y334" i="15"/>
  <c r="Z334" i="15"/>
  <c r="AA334" i="15"/>
  <c r="B335" i="15"/>
  <c r="C335" i="15"/>
  <c r="D335" i="15"/>
  <c r="E335" i="15"/>
  <c r="J335" i="15"/>
  <c r="K335" i="15"/>
  <c r="L335" i="15"/>
  <c r="M335" i="15"/>
  <c r="N335" i="15"/>
  <c r="O335" i="15"/>
  <c r="P335" i="15"/>
  <c r="Q335" i="15"/>
  <c r="T335" i="15"/>
  <c r="U335" i="15"/>
  <c r="V335" i="15"/>
  <c r="W335" i="15"/>
  <c r="X335" i="15"/>
  <c r="Y335" i="15"/>
  <c r="Z335" i="15"/>
  <c r="AA335" i="15"/>
  <c r="B336" i="15"/>
  <c r="C336" i="15"/>
  <c r="D336" i="15"/>
  <c r="E336" i="15"/>
  <c r="J336" i="15"/>
  <c r="K336" i="15"/>
  <c r="L336" i="15"/>
  <c r="M336" i="15"/>
  <c r="N336" i="15"/>
  <c r="O336" i="15"/>
  <c r="P336" i="15"/>
  <c r="Q336" i="15"/>
  <c r="T336" i="15"/>
  <c r="U336" i="15"/>
  <c r="V336" i="15"/>
  <c r="W336" i="15"/>
  <c r="X336" i="15"/>
  <c r="Y336" i="15"/>
  <c r="Z336" i="15"/>
  <c r="AA336" i="15"/>
  <c r="B337" i="15"/>
  <c r="C337" i="15"/>
  <c r="D337" i="15"/>
  <c r="E337" i="15"/>
  <c r="J337" i="15"/>
  <c r="K337" i="15"/>
  <c r="L337" i="15"/>
  <c r="M337" i="15"/>
  <c r="N337" i="15"/>
  <c r="O337" i="15"/>
  <c r="P337" i="15"/>
  <c r="Q337" i="15"/>
  <c r="T337" i="15"/>
  <c r="U337" i="15"/>
  <c r="V337" i="15"/>
  <c r="W337" i="15"/>
  <c r="X337" i="15"/>
  <c r="Y337" i="15"/>
  <c r="Z337" i="15"/>
  <c r="AA337" i="15"/>
  <c r="B338" i="15"/>
  <c r="C338" i="15"/>
  <c r="D338" i="15"/>
  <c r="E338" i="15"/>
  <c r="J338" i="15"/>
  <c r="K338" i="15"/>
  <c r="L338" i="15"/>
  <c r="M338" i="15"/>
  <c r="N338" i="15"/>
  <c r="O338" i="15"/>
  <c r="P338" i="15"/>
  <c r="Q338" i="15"/>
  <c r="T338" i="15"/>
  <c r="U338" i="15"/>
  <c r="V338" i="15"/>
  <c r="W338" i="15"/>
  <c r="X338" i="15"/>
  <c r="Y338" i="15"/>
  <c r="Z338" i="15"/>
  <c r="AA338" i="15"/>
  <c r="B339" i="15"/>
  <c r="C339" i="15"/>
  <c r="D339" i="15"/>
  <c r="E339" i="15"/>
  <c r="J339" i="15"/>
  <c r="K339" i="15"/>
  <c r="L339" i="15"/>
  <c r="M339" i="15"/>
  <c r="N339" i="15"/>
  <c r="O339" i="15"/>
  <c r="P339" i="15"/>
  <c r="Q339" i="15"/>
  <c r="T339" i="15"/>
  <c r="U339" i="15"/>
  <c r="V339" i="15"/>
  <c r="W339" i="15"/>
  <c r="X339" i="15"/>
  <c r="Y339" i="15"/>
  <c r="Z339" i="15"/>
  <c r="AA339" i="15"/>
  <c r="B340" i="15"/>
  <c r="C340" i="15"/>
  <c r="D340" i="15"/>
  <c r="E340" i="15"/>
  <c r="J340" i="15"/>
  <c r="K340" i="15"/>
  <c r="L340" i="15"/>
  <c r="M340" i="15"/>
  <c r="N340" i="15"/>
  <c r="O340" i="15"/>
  <c r="P340" i="15"/>
  <c r="Q340" i="15"/>
  <c r="T340" i="15"/>
  <c r="U340" i="15"/>
  <c r="V340" i="15"/>
  <c r="W340" i="15"/>
  <c r="X340" i="15"/>
  <c r="Y340" i="15"/>
  <c r="Z340" i="15"/>
  <c r="AA340" i="15"/>
  <c r="B341" i="15"/>
  <c r="C341" i="15"/>
  <c r="D341" i="15"/>
  <c r="E341" i="15"/>
  <c r="J341" i="15"/>
  <c r="K341" i="15"/>
  <c r="L341" i="15"/>
  <c r="M341" i="15"/>
  <c r="N341" i="15"/>
  <c r="O341" i="15"/>
  <c r="P341" i="15"/>
  <c r="Q341" i="15"/>
  <c r="T341" i="15"/>
  <c r="U341" i="15"/>
  <c r="V341" i="15"/>
  <c r="W341" i="15"/>
  <c r="X341" i="15"/>
  <c r="Y341" i="15"/>
  <c r="Z341" i="15"/>
  <c r="AA341" i="15"/>
  <c r="B342" i="15"/>
  <c r="C342" i="15"/>
  <c r="D342" i="15"/>
  <c r="E342" i="15"/>
  <c r="J342" i="15"/>
  <c r="K342" i="15"/>
  <c r="L342" i="15"/>
  <c r="M342" i="15"/>
  <c r="N342" i="15"/>
  <c r="O342" i="15"/>
  <c r="P342" i="15"/>
  <c r="Q342" i="15"/>
  <c r="T342" i="15"/>
  <c r="U342" i="15"/>
  <c r="V342" i="15"/>
  <c r="W342" i="15"/>
  <c r="X342" i="15"/>
  <c r="Y342" i="15"/>
  <c r="Z342" i="15"/>
  <c r="AA342" i="15"/>
  <c r="B343" i="15"/>
  <c r="C343" i="15"/>
  <c r="D343" i="15"/>
  <c r="E343" i="15"/>
  <c r="J343" i="15"/>
  <c r="K343" i="15"/>
  <c r="L343" i="15"/>
  <c r="M343" i="15"/>
  <c r="N343" i="15"/>
  <c r="O343" i="15"/>
  <c r="P343" i="15"/>
  <c r="Q343" i="15"/>
  <c r="T343" i="15"/>
  <c r="U343" i="15"/>
  <c r="V343" i="15"/>
  <c r="W343" i="15"/>
  <c r="X343" i="15"/>
  <c r="Y343" i="15"/>
  <c r="Z343" i="15"/>
  <c r="AA343" i="15"/>
  <c r="B344" i="15"/>
  <c r="C344" i="15"/>
  <c r="D344" i="15"/>
  <c r="E344" i="15"/>
  <c r="J344" i="15"/>
  <c r="K344" i="15"/>
  <c r="L344" i="15"/>
  <c r="M344" i="15"/>
  <c r="N344" i="15"/>
  <c r="O344" i="15"/>
  <c r="P344" i="15"/>
  <c r="Q344" i="15"/>
  <c r="T344" i="15"/>
  <c r="U344" i="15"/>
  <c r="V344" i="15"/>
  <c r="W344" i="15"/>
  <c r="X344" i="15"/>
  <c r="Y344" i="15"/>
  <c r="Z344" i="15"/>
  <c r="AA344" i="15"/>
  <c r="B345" i="15"/>
  <c r="C345" i="15"/>
  <c r="D345" i="15"/>
  <c r="E345" i="15"/>
  <c r="J345" i="15"/>
  <c r="K345" i="15"/>
  <c r="L345" i="15"/>
  <c r="M345" i="15"/>
  <c r="N345" i="15"/>
  <c r="O345" i="15"/>
  <c r="P345" i="15"/>
  <c r="Q345" i="15"/>
  <c r="T345" i="15"/>
  <c r="U345" i="15"/>
  <c r="V345" i="15"/>
  <c r="W345" i="15"/>
  <c r="X345" i="15"/>
  <c r="Y345" i="15"/>
  <c r="Z345" i="15"/>
  <c r="AA345" i="15"/>
  <c r="B346" i="15"/>
  <c r="C346" i="15"/>
  <c r="D346" i="15"/>
  <c r="E346" i="15"/>
  <c r="J346" i="15"/>
  <c r="K346" i="15"/>
  <c r="L346" i="15"/>
  <c r="M346" i="15"/>
  <c r="N346" i="15"/>
  <c r="O346" i="15"/>
  <c r="P346" i="15"/>
  <c r="Q346" i="15"/>
  <c r="T346" i="15"/>
  <c r="U346" i="15"/>
  <c r="V346" i="15"/>
  <c r="W346" i="15"/>
  <c r="X346" i="15"/>
  <c r="Y346" i="15"/>
  <c r="Z346" i="15"/>
  <c r="AA346" i="15"/>
  <c r="B347" i="15"/>
  <c r="C347" i="15"/>
  <c r="D347" i="15"/>
  <c r="E347" i="15"/>
  <c r="J347" i="15"/>
  <c r="K347" i="15"/>
  <c r="L347" i="15"/>
  <c r="M347" i="15"/>
  <c r="N347" i="15"/>
  <c r="O347" i="15"/>
  <c r="P347" i="15"/>
  <c r="Q347" i="15"/>
  <c r="T347" i="15"/>
  <c r="U347" i="15"/>
  <c r="V347" i="15"/>
  <c r="W347" i="15"/>
  <c r="X347" i="15"/>
  <c r="Y347" i="15"/>
  <c r="Z347" i="15"/>
  <c r="AA347" i="15"/>
  <c r="B348" i="15"/>
  <c r="C348" i="15"/>
  <c r="D348" i="15"/>
  <c r="E348" i="15"/>
  <c r="J348" i="15"/>
  <c r="K348" i="15"/>
  <c r="L348" i="15"/>
  <c r="M348" i="15"/>
  <c r="N348" i="15"/>
  <c r="O348" i="15"/>
  <c r="P348" i="15"/>
  <c r="Q348" i="15"/>
  <c r="T348" i="15"/>
  <c r="U348" i="15"/>
  <c r="V348" i="15"/>
  <c r="W348" i="15"/>
  <c r="X348" i="15"/>
  <c r="Y348" i="15"/>
  <c r="Z348" i="15"/>
  <c r="AA348" i="15"/>
  <c r="B349" i="15"/>
  <c r="C349" i="15"/>
  <c r="D349" i="15"/>
  <c r="E349" i="15"/>
  <c r="J349" i="15"/>
  <c r="K349" i="15"/>
  <c r="L349" i="15"/>
  <c r="M349" i="15"/>
  <c r="N349" i="15"/>
  <c r="O349" i="15"/>
  <c r="P349" i="15"/>
  <c r="Q349" i="15"/>
  <c r="T349" i="15"/>
  <c r="U349" i="15"/>
  <c r="V349" i="15"/>
  <c r="W349" i="15"/>
  <c r="X349" i="15"/>
  <c r="Y349" i="15"/>
  <c r="Z349" i="15"/>
  <c r="AA349" i="15"/>
  <c r="B350" i="15"/>
  <c r="C350" i="15"/>
  <c r="D350" i="15"/>
  <c r="E350" i="15"/>
  <c r="J350" i="15"/>
  <c r="K350" i="15"/>
  <c r="L350" i="15"/>
  <c r="M350" i="15"/>
  <c r="N350" i="15"/>
  <c r="O350" i="15"/>
  <c r="P350" i="15"/>
  <c r="Q350" i="15"/>
  <c r="T350" i="15"/>
  <c r="U350" i="15"/>
  <c r="V350" i="15"/>
  <c r="W350" i="15"/>
  <c r="X350" i="15"/>
  <c r="Y350" i="15"/>
  <c r="Z350" i="15"/>
  <c r="AA350" i="15"/>
  <c r="B351" i="15"/>
  <c r="C351" i="15"/>
  <c r="D351" i="15"/>
  <c r="E351" i="15"/>
  <c r="J351" i="15"/>
  <c r="K351" i="15"/>
  <c r="L351" i="15"/>
  <c r="M351" i="15"/>
  <c r="N351" i="15"/>
  <c r="O351" i="15"/>
  <c r="P351" i="15"/>
  <c r="Q351" i="15"/>
  <c r="T351" i="15"/>
  <c r="U351" i="15"/>
  <c r="V351" i="15"/>
  <c r="W351" i="15"/>
  <c r="X351" i="15"/>
  <c r="Y351" i="15"/>
  <c r="Z351" i="15"/>
  <c r="AA351" i="15"/>
  <c r="B352" i="15"/>
  <c r="C352" i="15"/>
  <c r="D352" i="15"/>
  <c r="E352" i="15"/>
  <c r="J352" i="15"/>
  <c r="K352" i="15"/>
  <c r="L352" i="15"/>
  <c r="M352" i="15"/>
  <c r="N352" i="15"/>
  <c r="O352" i="15"/>
  <c r="P352" i="15"/>
  <c r="Q352" i="15"/>
  <c r="T352" i="15"/>
  <c r="U352" i="15"/>
  <c r="V352" i="15"/>
  <c r="W352" i="15"/>
  <c r="X352" i="15"/>
  <c r="Y352" i="15"/>
  <c r="Z352" i="15"/>
  <c r="AA352" i="15"/>
  <c r="B353" i="15"/>
  <c r="C353" i="15"/>
  <c r="D353" i="15"/>
  <c r="E353" i="15"/>
  <c r="J353" i="15"/>
  <c r="K353" i="15"/>
  <c r="L353" i="15"/>
  <c r="M353" i="15"/>
  <c r="N353" i="15"/>
  <c r="O353" i="15"/>
  <c r="P353" i="15"/>
  <c r="Q353" i="15"/>
  <c r="T353" i="15"/>
  <c r="U353" i="15"/>
  <c r="V353" i="15"/>
  <c r="W353" i="15"/>
  <c r="X353" i="15"/>
  <c r="Y353" i="15"/>
  <c r="Z353" i="15"/>
  <c r="AA353" i="15"/>
  <c r="B354" i="15"/>
  <c r="C354" i="15"/>
  <c r="D354" i="15"/>
  <c r="E354" i="15"/>
  <c r="J354" i="15"/>
  <c r="K354" i="15"/>
  <c r="L354" i="15"/>
  <c r="M354" i="15"/>
  <c r="N354" i="15"/>
  <c r="O354" i="15"/>
  <c r="P354" i="15"/>
  <c r="Q354" i="15"/>
  <c r="T354" i="15"/>
  <c r="U354" i="15"/>
  <c r="V354" i="15"/>
  <c r="W354" i="15"/>
  <c r="X354" i="15"/>
  <c r="Y354" i="15"/>
  <c r="Z354" i="15"/>
  <c r="AA354" i="15"/>
  <c r="B355" i="15"/>
  <c r="C355" i="15"/>
  <c r="D355" i="15"/>
  <c r="E355" i="15"/>
  <c r="J355" i="15"/>
  <c r="K355" i="15"/>
  <c r="L355" i="15"/>
  <c r="M355" i="15"/>
  <c r="N355" i="15"/>
  <c r="O355" i="15"/>
  <c r="P355" i="15"/>
  <c r="Q355" i="15"/>
  <c r="T355" i="15"/>
  <c r="U355" i="15"/>
  <c r="V355" i="15"/>
  <c r="W355" i="15"/>
  <c r="X355" i="15"/>
  <c r="Y355" i="15"/>
  <c r="Z355" i="15"/>
  <c r="AA355" i="15"/>
  <c r="B356" i="15"/>
  <c r="C356" i="15"/>
  <c r="D356" i="15"/>
  <c r="E356" i="15"/>
  <c r="J356" i="15"/>
  <c r="K356" i="15"/>
  <c r="L356" i="15"/>
  <c r="M356" i="15"/>
  <c r="N356" i="15"/>
  <c r="O356" i="15"/>
  <c r="P356" i="15"/>
  <c r="Q356" i="15"/>
  <c r="T356" i="15"/>
  <c r="U356" i="15"/>
  <c r="V356" i="15"/>
  <c r="W356" i="15"/>
  <c r="X356" i="15"/>
  <c r="Y356" i="15"/>
  <c r="Z356" i="15"/>
  <c r="AA356" i="15"/>
  <c r="B357" i="15"/>
  <c r="C357" i="15"/>
  <c r="D357" i="15"/>
  <c r="E357" i="15"/>
  <c r="J357" i="15"/>
  <c r="K357" i="15"/>
  <c r="L357" i="15"/>
  <c r="M357" i="15"/>
  <c r="N357" i="15"/>
  <c r="O357" i="15"/>
  <c r="P357" i="15"/>
  <c r="Q357" i="15"/>
  <c r="T357" i="15"/>
  <c r="U357" i="15"/>
  <c r="V357" i="15"/>
  <c r="W357" i="15"/>
  <c r="X357" i="15"/>
  <c r="Y357" i="15"/>
  <c r="Z357" i="15"/>
  <c r="AA357" i="15"/>
  <c r="B358" i="15"/>
  <c r="C358" i="15"/>
  <c r="D358" i="15"/>
  <c r="E358" i="15"/>
  <c r="J358" i="15"/>
  <c r="K358" i="15"/>
  <c r="L358" i="15"/>
  <c r="M358" i="15"/>
  <c r="N358" i="15"/>
  <c r="O358" i="15"/>
  <c r="P358" i="15"/>
  <c r="Q358" i="15"/>
  <c r="T358" i="15"/>
  <c r="U358" i="15"/>
  <c r="V358" i="15"/>
  <c r="W358" i="15"/>
  <c r="X358" i="15"/>
  <c r="Y358" i="15"/>
  <c r="Z358" i="15"/>
  <c r="AA358" i="15"/>
  <c r="B359" i="15"/>
  <c r="C359" i="15"/>
  <c r="D359" i="15"/>
  <c r="E359" i="15"/>
  <c r="J359" i="15"/>
  <c r="K359" i="15"/>
  <c r="L359" i="15"/>
  <c r="M359" i="15"/>
  <c r="N359" i="15"/>
  <c r="O359" i="15"/>
  <c r="P359" i="15"/>
  <c r="Q359" i="15"/>
  <c r="T359" i="15"/>
  <c r="U359" i="15"/>
  <c r="V359" i="15"/>
  <c r="W359" i="15"/>
  <c r="X359" i="15"/>
  <c r="Y359" i="15"/>
  <c r="Z359" i="15"/>
  <c r="AA359" i="15"/>
  <c r="B360" i="15"/>
  <c r="C360" i="15"/>
  <c r="D360" i="15"/>
  <c r="E360" i="15"/>
  <c r="J360" i="15"/>
  <c r="K360" i="15"/>
  <c r="L360" i="15"/>
  <c r="M360" i="15"/>
  <c r="N360" i="15"/>
  <c r="O360" i="15"/>
  <c r="P360" i="15"/>
  <c r="Q360" i="15"/>
  <c r="T360" i="15"/>
  <c r="U360" i="15"/>
  <c r="V360" i="15"/>
  <c r="W360" i="15"/>
  <c r="X360" i="15"/>
  <c r="Y360" i="15"/>
  <c r="Z360" i="15"/>
  <c r="AA360" i="15"/>
  <c r="B361" i="15"/>
  <c r="C361" i="15"/>
  <c r="D361" i="15"/>
  <c r="E361" i="15"/>
  <c r="J361" i="15"/>
  <c r="K361" i="15"/>
  <c r="L361" i="15"/>
  <c r="M361" i="15"/>
  <c r="N361" i="15"/>
  <c r="O361" i="15"/>
  <c r="P361" i="15"/>
  <c r="Q361" i="15"/>
  <c r="T361" i="15"/>
  <c r="U361" i="15"/>
  <c r="V361" i="15"/>
  <c r="W361" i="15"/>
  <c r="X361" i="15"/>
  <c r="Y361" i="15"/>
  <c r="Z361" i="15"/>
  <c r="AA361" i="15"/>
  <c r="B362" i="15"/>
  <c r="C362" i="15"/>
  <c r="D362" i="15"/>
  <c r="E362" i="15"/>
  <c r="J362" i="15"/>
  <c r="K362" i="15"/>
  <c r="L362" i="15"/>
  <c r="M362" i="15"/>
  <c r="N362" i="15"/>
  <c r="O362" i="15"/>
  <c r="P362" i="15"/>
  <c r="Q362" i="15"/>
  <c r="T362" i="15"/>
  <c r="U362" i="15"/>
  <c r="V362" i="15"/>
  <c r="W362" i="15"/>
  <c r="X362" i="15"/>
  <c r="Y362" i="15"/>
  <c r="Z362" i="15"/>
  <c r="AA362" i="15"/>
  <c r="B363" i="15"/>
  <c r="C363" i="15"/>
  <c r="D363" i="15"/>
  <c r="E363" i="15"/>
  <c r="J363" i="15"/>
  <c r="K363" i="15"/>
  <c r="L363" i="15"/>
  <c r="M363" i="15"/>
  <c r="N363" i="15"/>
  <c r="O363" i="15"/>
  <c r="P363" i="15"/>
  <c r="Q363" i="15"/>
  <c r="T363" i="15"/>
  <c r="U363" i="15"/>
  <c r="V363" i="15"/>
  <c r="W363" i="15"/>
  <c r="X363" i="15"/>
  <c r="Y363" i="15"/>
  <c r="Z363" i="15"/>
  <c r="AA363" i="15"/>
  <c r="B364" i="15"/>
  <c r="C364" i="15"/>
  <c r="D364" i="15"/>
  <c r="E364" i="15"/>
  <c r="J364" i="15"/>
  <c r="K364" i="15"/>
  <c r="L364" i="15"/>
  <c r="M364" i="15"/>
  <c r="N364" i="15"/>
  <c r="O364" i="15"/>
  <c r="P364" i="15"/>
  <c r="Q364" i="15"/>
  <c r="T364" i="15"/>
  <c r="U364" i="15"/>
  <c r="V364" i="15"/>
  <c r="W364" i="15"/>
  <c r="X364" i="15"/>
  <c r="Y364" i="15"/>
  <c r="Z364" i="15"/>
  <c r="AA364" i="15"/>
  <c r="B365" i="15"/>
  <c r="C365" i="15"/>
  <c r="D365" i="15"/>
  <c r="E365" i="15"/>
  <c r="J365" i="15"/>
  <c r="K365" i="15"/>
  <c r="L365" i="15"/>
  <c r="M365" i="15"/>
  <c r="N365" i="15"/>
  <c r="O365" i="15"/>
  <c r="P365" i="15"/>
  <c r="Q365" i="15"/>
  <c r="T365" i="15"/>
  <c r="U365" i="15"/>
  <c r="V365" i="15"/>
  <c r="W365" i="15"/>
  <c r="X365" i="15"/>
  <c r="Y365" i="15"/>
  <c r="Z365" i="15"/>
  <c r="AA365" i="15"/>
  <c r="B366" i="15"/>
  <c r="C366" i="15"/>
  <c r="D366" i="15"/>
  <c r="E366" i="15"/>
  <c r="J366" i="15"/>
  <c r="K366" i="15"/>
  <c r="L366" i="15"/>
  <c r="M366" i="15"/>
  <c r="N366" i="15"/>
  <c r="O366" i="15"/>
  <c r="P366" i="15"/>
  <c r="Q366" i="15"/>
  <c r="T366" i="15"/>
  <c r="U366" i="15"/>
  <c r="V366" i="15"/>
  <c r="W366" i="15"/>
  <c r="X366" i="15"/>
  <c r="Y366" i="15"/>
  <c r="Z366" i="15"/>
  <c r="AA366" i="15"/>
  <c r="B367" i="15"/>
  <c r="C367" i="15"/>
  <c r="D367" i="15"/>
  <c r="E367" i="15"/>
  <c r="J367" i="15"/>
  <c r="K367" i="15"/>
  <c r="L367" i="15"/>
  <c r="M367" i="15"/>
  <c r="N367" i="15"/>
  <c r="O367" i="15"/>
  <c r="P367" i="15"/>
  <c r="Q367" i="15"/>
  <c r="T367" i="15"/>
  <c r="U367" i="15"/>
  <c r="V367" i="15"/>
  <c r="W367" i="15"/>
  <c r="X367" i="15"/>
  <c r="Y367" i="15"/>
  <c r="Z367" i="15"/>
  <c r="AA367" i="15"/>
  <c r="B368" i="15"/>
  <c r="C368" i="15"/>
  <c r="D368" i="15"/>
  <c r="E368" i="15"/>
  <c r="J368" i="15"/>
  <c r="K368" i="15"/>
  <c r="L368" i="15"/>
  <c r="M368" i="15"/>
  <c r="N368" i="15"/>
  <c r="O368" i="15"/>
  <c r="P368" i="15"/>
  <c r="Q368" i="15"/>
  <c r="T368" i="15"/>
  <c r="U368" i="15"/>
  <c r="V368" i="15"/>
  <c r="W368" i="15"/>
  <c r="X368" i="15"/>
  <c r="Y368" i="15"/>
  <c r="Z368" i="15"/>
  <c r="AA368" i="15"/>
  <c r="B369" i="15"/>
  <c r="C369" i="15"/>
  <c r="D369" i="15"/>
  <c r="E369" i="15"/>
  <c r="J369" i="15"/>
  <c r="K369" i="15"/>
  <c r="L369" i="15"/>
  <c r="M369" i="15"/>
  <c r="N369" i="15"/>
  <c r="O369" i="15"/>
  <c r="P369" i="15"/>
  <c r="Q369" i="15"/>
  <c r="T369" i="15"/>
  <c r="U369" i="15"/>
  <c r="V369" i="15"/>
  <c r="W369" i="15"/>
  <c r="X369" i="15"/>
  <c r="Y369" i="15"/>
  <c r="Z369" i="15"/>
  <c r="AA369" i="15"/>
  <c r="B370" i="15"/>
  <c r="C370" i="15"/>
  <c r="D370" i="15"/>
  <c r="E370" i="15"/>
  <c r="J370" i="15"/>
  <c r="K370" i="15"/>
  <c r="L370" i="15"/>
  <c r="M370" i="15"/>
  <c r="N370" i="15"/>
  <c r="O370" i="15"/>
  <c r="P370" i="15"/>
  <c r="Q370" i="15"/>
  <c r="T370" i="15"/>
  <c r="U370" i="15"/>
  <c r="V370" i="15"/>
  <c r="W370" i="15"/>
  <c r="X370" i="15"/>
  <c r="Y370" i="15"/>
  <c r="Z370" i="15"/>
  <c r="AA370" i="15"/>
  <c r="B371" i="15"/>
  <c r="C371" i="15"/>
  <c r="D371" i="15"/>
  <c r="E371" i="15"/>
  <c r="J371" i="15"/>
  <c r="K371" i="15"/>
  <c r="L371" i="15"/>
  <c r="M371" i="15"/>
  <c r="N371" i="15"/>
  <c r="O371" i="15"/>
  <c r="P371" i="15"/>
  <c r="Q371" i="15"/>
  <c r="T371" i="15"/>
  <c r="U371" i="15"/>
  <c r="V371" i="15"/>
  <c r="W371" i="15"/>
  <c r="X371" i="15"/>
  <c r="Y371" i="15"/>
  <c r="Z371" i="15"/>
  <c r="AA371" i="15"/>
  <c r="B372" i="15"/>
  <c r="C372" i="15"/>
  <c r="D372" i="15"/>
  <c r="E372" i="15"/>
  <c r="J372" i="15"/>
  <c r="K372" i="15"/>
  <c r="L372" i="15"/>
  <c r="M372" i="15"/>
  <c r="N372" i="15"/>
  <c r="O372" i="15"/>
  <c r="P372" i="15"/>
  <c r="Q372" i="15"/>
  <c r="T372" i="15"/>
  <c r="U372" i="15"/>
  <c r="V372" i="15"/>
  <c r="W372" i="15"/>
  <c r="X372" i="15"/>
  <c r="Y372" i="15"/>
  <c r="Z372" i="15"/>
  <c r="AA372" i="15"/>
  <c r="B373" i="15"/>
  <c r="C373" i="15"/>
  <c r="D373" i="15"/>
  <c r="E373" i="15"/>
  <c r="J373" i="15"/>
  <c r="K373" i="15"/>
  <c r="L373" i="15"/>
  <c r="M373" i="15"/>
  <c r="N373" i="15"/>
  <c r="O373" i="15"/>
  <c r="P373" i="15"/>
  <c r="Q373" i="15"/>
  <c r="T373" i="15"/>
  <c r="U373" i="15"/>
  <c r="V373" i="15"/>
  <c r="W373" i="15"/>
  <c r="X373" i="15"/>
  <c r="Y373" i="15"/>
  <c r="Z373" i="15"/>
  <c r="AA373" i="15"/>
  <c r="B374" i="15"/>
  <c r="C374" i="15"/>
  <c r="D374" i="15"/>
  <c r="E374" i="15"/>
  <c r="J374" i="15"/>
  <c r="K374" i="15"/>
  <c r="L374" i="15"/>
  <c r="M374" i="15"/>
  <c r="N374" i="15"/>
  <c r="O374" i="15"/>
  <c r="P374" i="15"/>
  <c r="Q374" i="15"/>
  <c r="T374" i="15"/>
  <c r="U374" i="15"/>
  <c r="V374" i="15"/>
  <c r="W374" i="15"/>
  <c r="X374" i="15"/>
  <c r="Y374" i="15"/>
  <c r="Z374" i="15"/>
  <c r="AA374" i="15"/>
  <c r="B375" i="15"/>
  <c r="C375" i="15"/>
  <c r="D375" i="15"/>
  <c r="E375" i="15"/>
  <c r="J375" i="15"/>
  <c r="K375" i="15"/>
  <c r="L375" i="15"/>
  <c r="M375" i="15"/>
  <c r="N375" i="15"/>
  <c r="O375" i="15"/>
  <c r="P375" i="15"/>
  <c r="Q375" i="15"/>
  <c r="T375" i="15"/>
  <c r="U375" i="15"/>
  <c r="V375" i="15"/>
  <c r="W375" i="15"/>
  <c r="X375" i="15"/>
  <c r="Y375" i="15"/>
  <c r="Z375" i="15"/>
  <c r="AA375" i="15"/>
  <c r="B376" i="15"/>
  <c r="C376" i="15"/>
  <c r="D376" i="15"/>
  <c r="E376" i="15"/>
  <c r="J376" i="15"/>
  <c r="K376" i="15"/>
  <c r="L376" i="15"/>
  <c r="M376" i="15"/>
  <c r="N376" i="15"/>
  <c r="O376" i="15"/>
  <c r="P376" i="15"/>
  <c r="Q376" i="15"/>
  <c r="T376" i="15"/>
  <c r="U376" i="15"/>
  <c r="V376" i="15"/>
  <c r="W376" i="15"/>
  <c r="X376" i="15"/>
  <c r="Y376" i="15"/>
  <c r="Z376" i="15"/>
  <c r="AA376" i="15"/>
  <c r="B377" i="15"/>
  <c r="C377" i="15"/>
  <c r="D377" i="15"/>
  <c r="E377" i="15"/>
  <c r="J377" i="15"/>
  <c r="K377" i="15"/>
  <c r="L377" i="15"/>
  <c r="M377" i="15"/>
  <c r="N377" i="15"/>
  <c r="O377" i="15"/>
  <c r="P377" i="15"/>
  <c r="Q377" i="15"/>
  <c r="T377" i="15"/>
  <c r="U377" i="15"/>
  <c r="V377" i="15"/>
  <c r="W377" i="15"/>
  <c r="X377" i="15"/>
  <c r="Y377" i="15"/>
  <c r="Z377" i="15"/>
  <c r="AA377" i="15"/>
  <c r="B378" i="15"/>
  <c r="C378" i="15"/>
  <c r="D378" i="15"/>
  <c r="E378" i="15"/>
  <c r="J378" i="15"/>
  <c r="K378" i="15"/>
  <c r="L378" i="15"/>
  <c r="M378" i="15"/>
  <c r="N378" i="15"/>
  <c r="O378" i="15"/>
  <c r="P378" i="15"/>
  <c r="Q378" i="15"/>
  <c r="T378" i="15"/>
  <c r="U378" i="15"/>
  <c r="V378" i="15"/>
  <c r="W378" i="15"/>
  <c r="X378" i="15"/>
  <c r="Y378" i="15"/>
  <c r="Z378" i="15"/>
  <c r="AA378" i="15"/>
  <c r="B379" i="15"/>
  <c r="C379" i="15"/>
  <c r="D379" i="15"/>
  <c r="E379" i="15"/>
  <c r="J379" i="15"/>
  <c r="K379" i="15"/>
  <c r="L379" i="15"/>
  <c r="M379" i="15"/>
  <c r="N379" i="15"/>
  <c r="O379" i="15"/>
  <c r="P379" i="15"/>
  <c r="Q379" i="15"/>
  <c r="T379" i="15"/>
  <c r="U379" i="15"/>
  <c r="V379" i="15"/>
  <c r="W379" i="15"/>
  <c r="X379" i="15"/>
  <c r="Y379" i="15"/>
  <c r="Z379" i="15"/>
  <c r="AA379" i="15"/>
  <c r="B380" i="15"/>
  <c r="C380" i="15"/>
  <c r="D380" i="15"/>
  <c r="E380" i="15"/>
  <c r="J380" i="15"/>
  <c r="K380" i="15"/>
  <c r="L380" i="15"/>
  <c r="M380" i="15"/>
  <c r="N380" i="15"/>
  <c r="O380" i="15"/>
  <c r="P380" i="15"/>
  <c r="Q380" i="15"/>
  <c r="T380" i="15"/>
  <c r="U380" i="15"/>
  <c r="V380" i="15"/>
  <c r="W380" i="15"/>
  <c r="X380" i="15"/>
  <c r="Y380" i="15"/>
  <c r="Z380" i="15"/>
  <c r="AA380" i="15"/>
  <c r="B381" i="15"/>
  <c r="C381" i="15"/>
  <c r="D381" i="15"/>
  <c r="E381" i="15"/>
  <c r="J381" i="15"/>
  <c r="K381" i="15"/>
  <c r="L381" i="15"/>
  <c r="M381" i="15"/>
  <c r="N381" i="15"/>
  <c r="O381" i="15"/>
  <c r="P381" i="15"/>
  <c r="Q381" i="15"/>
  <c r="T381" i="15"/>
  <c r="U381" i="15"/>
  <c r="V381" i="15"/>
  <c r="W381" i="15"/>
  <c r="X381" i="15"/>
  <c r="Y381" i="15"/>
  <c r="Z381" i="15"/>
  <c r="AA381" i="15"/>
  <c r="B382" i="15"/>
  <c r="C382" i="15"/>
  <c r="D382" i="15"/>
  <c r="E382" i="15"/>
  <c r="J382" i="15"/>
  <c r="K382" i="15"/>
  <c r="L382" i="15"/>
  <c r="M382" i="15"/>
  <c r="N382" i="15"/>
  <c r="O382" i="15"/>
  <c r="P382" i="15"/>
  <c r="Q382" i="15"/>
  <c r="T382" i="15"/>
  <c r="U382" i="15"/>
  <c r="V382" i="15"/>
  <c r="W382" i="15"/>
  <c r="X382" i="15"/>
  <c r="Y382" i="15"/>
  <c r="Z382" i="15"/>
  <c r="AA382" i="15"/>
  <c r="B383" i="15"/>
  <c r="C383" i="15"/>
  <c r="D383" i="15"/>
  <c r="E383" i="15"/>
  <c r="J383" i="15"/>
  <c r="K383" i="15"/>
  <c r="L383" i="15"/>
  <c r="M383" i="15"/>
  <c r="N383" i="15"/>
  <c r="O383" i="15"/>
  <c r="P383" i="15"/>
  <c r="Q383" i="15"/>
  <c r="T383" i="15"/>
  <c r="U383" i="15"/>
  <c r="V383" i="15"/>
  <c r="W383" i="15"/>
  <c r="X383" i="15"/>
  <c r="Y383" i="15"/>
  <c r="Z383" i="15"/>
  <c r="AA383" i="15"/>
  <c r="B384" i="15"/>
  <c r="C384" i="15"/>
  <c r="D384" i="15"/>
  <c r="E384" i="15"/>
  <c r="J384" i="15"/>
  <c r="K384" i="15"/>
  <c r="L384" i="15"/>
  <c r="M384" i="15"/>
  <c r="N384" i="15"/>
  <c r="O384" i="15"/>
  <c r="P384" i="15"/>
  <c r="Q384" i="15"/>
  <c r="T384" i="15"/>
  <c r="U384" i="15"/>
  <c r="V384" i="15"/>
  <c r="W384" i="15"/>
  <c r="X384" i="15"/>
  <c r="Y384" i="15"/>
  <c r="Z384" i="15"/>
  <c r="AA384" i="15"/>
  <c r="B385" i="15"/>
  <c r="C385" i="15"/>
  <c r="D385" i="15"/>
  <c r="E385" i="15"/>
  <c r="J385" i="15"/>
  <c r="K385" i="15"/>
  <c r="L385" i="15"/>
  <c r="M385" i="15"/>
  <c r="N385" i="15"/>
  <c r="O385" i="15"/>
  <c r="P385" i="15"/>
  <c r="Q385" i="15"/>
  <c r="T385" i="15"/>
  <c r="U385" i="15"/>
  <c r="V385" i="15"/>
  <c r="W385" i="15"/>
  <c r="X385" i="15"/>
  <c r="Y385" i="15"/>
  <c r="Z385" i="15"/>
  <c r="AA385" i="15"/>
  <c r="B386" i="15"/>
  <c r="C386" i="15"/>
  <c r="D386" i="15"/>
  <c r="E386" i="15"/>
  <c r="J386" i="15"/>
  <c r="K386" i="15"/>
  <c r="L386" i="15"/>
  <c r="M386" i="15"/>
  <c r="N386" i="15"/>
  <c r="O386" i="15"/>
  <c r="P386" i="15"/>
  <c r="Q386" i="15"/>
  <c r="T386" i="15"/>
  <c r="U386" i="15"/>
  <c r="V386" i="15"/>
  <c r="W386" i="15"/>
  <c r="X386" i="15"/>
  <c r="Y386" i="15"/>
  <c r="Z386" i="15"/>
  <c r="AA386" i="15"/>
  <c r="B387" i="15"/>
  <c r="C387" i="15"/>
  <c r="D387" i="15"/>
  <c r="E387" i="15"/>
  <c r="J387" i="15"/>
  <c r="K387" i="15"/>
  <c r="L387" i="15"/>
  <c r="M387" i="15"/>
  <c r="N387" i="15"/>
  <c r="O387" i="15"/>
  <c r="P387" i="15"/>
  <c r="Q387" i="15"/>
  <c r="T387" i="15"/>
  <c r="U387" i="15"/>
  <c r="V387" i="15"/>
  <c r="W387" i="15"/>
  <c r="X387" i="15"/>
  <c r="Y387" i="15"/>
  <c r="Z387" i="15"/>
  <c r="AA387" i="15"/>
  <c r="B388" i="15"/>
  <c r="C388" i="15"/>
  <c r="D388" i="15"/>
  <c r="E388" i="15"/>
  <c r="J388" i="15"/>
  <c r="K388" i="15"/>
  <c r="L388" i="15"/>
  <c r="M388" i="15"/>
  <c r="N388" i="15"/>
  <c r="O388" i="15"/>
  <c r="P388" i="15"/>
  <c r="Q388" i="15"/>
  <c r="T388" i="15"/>
  <c r="U388" i="15"/>
  <c r="V388" i="15"/>
  <c r="W388" i="15"/>
  <c r="X388" i="15"/>
  <c r="Y388" i="15"/>
  <c r="Z388" i="15"/>
  <c r="AA388" i="15"/>
  <c r="B389" i="15"/>
  <c r="C389" i="15"/>
  <c r="D389" i="15"/>
  <c r="E389" i="15"/>
  <c r="J389" i="15"/>
  <c r="K389" i="15"/>
  <c r="L389" i="15"/>
  <c r="M389" i="15"/>
  <c r="N389" i="15"/>
  <c r="O389" i="15"/>
  <c r="P389" i="15"/>
  <c r="Q389" i="15"/>
  <c r="T389" i="15"/>
  <c r="U389" i="15"/>
  <c r="V389" i="15"/>
  <c r="W389" i="15"/>
  <c r="X389" i="15"/>
  <c r="Y389" i="15"/>
  <c r="Z389" i="15"/>
  <c r="AA389" i="15"/>
  <c r="B390" i="15"/>
  <c r="C390" i="15"/>
  <c r="D390" i="15"/>
  <c r="E390" i="15"/>
  <c r="J390" i="15"/>
  <c r="K390" i="15"/>
  <c r="L390" i="15"/>
  <c r="M390" i="15"/>
  <c r="N390" i="15"/>
  <c r="O390" i="15"/>
  <c r="P390" i="15"/>
  <c r="Q390" i="15"/>
  <c r="T390" i="15"/>
  <c r="U390" i="15"/>
  <c r="V390" i="15"/>
  <c r="W390" i="15"/>
  <c r="X390" i="15"/>
  <c r="Y390" i="15"/>
  <c r="Z390" i="15"/>
  <c r="AA390" i="15"/>
  <c r="B391" i="15"/>
  <c r="C391" i="15"/>
  <c r="D391" i="15"/>
  <c r="E391" i="15"/>
  <c r="J391" i="15"/>
  <c r="K391" i="15"/>
  <c r="L391" i="15"/>
  <c r="M391" i="15"/>
  <c r="N391" i="15"/>
  <c r="O391" i="15"/>
  <c r="P391" i="15"/>
  <c r="Q391" i="15"/>
  <c r="T391" i="15"/>
  <c r="U391" i="15"/>
  <c r="V391" i="15"/>
  <c r="W391" i="15"/>
  <c r="X391" i="15"/>
  <c r="Y391" i="15"/>
  <c r="Z391" i="15"/>
  <c r="AA391" i="15"/>
  <c r="B392" i="15"/>
  <c r="C392" i="15"/>
  <c r="D392" i="15"/>
  <c r="E392" i="15"/>
  <c r="J392" i="15"/>
  <c r="K392" i="15"/>
  <c r="L392" i="15"/>
  <c r="M392" i="15"/>
  <c r="N392" i="15"/>
  <c r="O392" i="15"/>
  <c r="P392" i="15"/>
  <c r="Q392" i="15"/>
  <c r="T392" i="15"/>
  <c r="U392" i="15"/>
  <c r="V392" i="15"/>
  <c r="W392" i="15"/>
  <c r="X392" i="15"/>
  <c r="Y392" i="15"/>
  <c r="Z392" i="15"/>
  <c r="AA392" i="15"/>
  <c r="B393" i="15"/>
  <c r="C393" i="15"/>
  <c r="D393" i="15"/>
  <c r="E393" i="15"/>
  <c r="J393" i="15"/>
  <c r="K393" i="15"/>
  <c r="L393" i="15"/>
  <c r="M393" i="15"/>
  <c r="N393" i="15"/>
  <c r="O393" i="15"/>
  <c r="P393" i="15"/>
  <c r="Q393" i="15"/>
  <c r="T393" i="15"/>
  <c r="U393" i="15"/>
  <c r="V393" i="15"/>
  <c r="W393" i="15"/>
  <c r="X393" i="15"/>
  <c r="Y393" i="15"/>
  <c r="Z393" i="15"/>
  <c r="AA393" i="15"/>
  <c r="B394" i="15"/>
  <c r="C394" i="15"/>
  <c r="D394" i="15"/>
  <c r="E394" i="15"/>
  <c r="J394" i="15"/>
  <c r="K394" i="15"/>
  <c r="L394" i="15"/>
  <c r="M394" i="15"/>
  <c r="N394" i="15"/>
  <c r="O394" i="15"/>
  <c r="P394" i="15"/>
  <c r="Q394" i="15"/>
  <c r="T394" i="15"/>
  <c r="U394" i="15"/>
  <c r="V394" i="15"/>
  <c r="W394" i="15"/>
  <c r="X394" i="15"/>
  <c r="Y394" i="15"/>
  <c r="Z394" i="15"/>
  <c r="AA394" i="15"/>
  <c r="B395" i="15"/>
  <c r="C395" i="15"/>
  <c r="D395" i="15"/>
  <c r="E395" i="15"/>
  <c r="J395" i="15"/>
  <c r="K395" i="15"/>
  <c r="L395" i="15"/>
  <c r="M395" i="15"/>
  <c r="N395" i="15"/>
  <c r="O395" i="15"/>
  <c r="P395" i="15"/>
  <c r="Q395" i="15"/>
  <c r="T395" i="15"/>
  <c r="U395" i="15"/>
  <c r="V395" i="15"/>
  <c r="W395" i="15"/>
  <c r="X395" i="15"/>
  <c r="Y395" i="15"/>
  <c r="Z395" i="15"/>
  <c r="AA395" i="15"/>
  <c r="B396" i="15"/>
  <c r="C396" i="15"/>
  <c r="D396" i="15"/>
  <c r="E396" i="15"/>
  <c r="J396" i="15"/>
  <c r="K396" i="15"/>
  <c r="L396" i="15"/>
  <c r="M396" i="15"/>
  <c r="N396" i="15"/>
  <c r="O396" i="15"/>
  <c r="P396" i="15"/>
  <c r="Q396" i="15"/>
  <c r="T396" i="15"/>
  <c r="U396" i="15"/>
  <c r="V396" i="15"/>
  <c r="W396" i="15"/>
  <c r="X396" i="15"/>
  <c r="Y396" i="15"/>
  <c r="Z396" i="15"/>
  <c r="AA396" i="15"/>
  <c r="B397" i="15"/>
  <c r="C397" i="15"/>
  <c r="D397" i="15"/>
  <c r="E397" i="15"/>
  <c r="J397" i="15"/>
  <c r="K397" i="15"/>
  <c r="L397" i="15"/>
  <c r="M397" i="15"/>
  <c r="N397" i="15"/>
  <c r="O397" i="15"/>
  <c r="P397" i="15"/>
  <c r="Q397" i="15"/>
  <c r="T397" i="15"/>
  <c r="U397" i="15"/>
  <c r="V397" i="15"/>
  <c r="W397" i="15"/>
  <c r="X397" i="15"/>
  <c r="Y397" i="15"/>
  <c r="Z397" i="15"/>
  <c r="AA397" i="15"/>
  <c r="B398" i="15"/>
  <c r="C398" i="15"/>
  <c r="D398" i="15"/>
  <c r="E398" i="15"/>
  <c r="J398" i="15"/>
  <c r="K398" i="15"/>
  <c r="L398" i="15"/>
  <c r="M398" i="15"/>
  <c r="N398" i="15"/>
  <c r="O398" i="15"/>
  <c r="P398" i="15"/>
  <c r="Q398" i="15"/>
  <c r="T398" i="15"/>
  <c r="U398" i="15"/>
  <c r="V398" i="15"/>
  <c r="W398" i="15"/>
  <c r="X398" i="15"/>
  <c r="Y398" i="15"/>
  <c r="Z398" i="15"/>
  <c r="AA398" i="15"/>
  <c r="B399" i="15"/>
  <c r="C399" i="15"/>
  <c r="D399" i="15"/>
  <c r="E399" i="15"/>
  <c r="J399" i="15"/>
  <c r="K399" i="15"/>
  <c r="L399" i="15"/>
  <c r="M399" i="15"/>
  <c r="N399" i="15"/>
  <c r="O399" i="15"/>
  <c r="P399" i="15"/>
  <c r="Q399" i="15"/>
  <c r="T399" i="15"/>
  <c r="U399" i="15"/>
  <c r="V399" i="15"/>
  <c r="W399" i="15"/>
  <c r="X399" i="15"/>
  <c r="Y399" i="15"/>
  <c r="Z399" i="15"/>
  <c r="AA399" i="15"/>
  <c r="B400" i="15"/>
  <c r="C400" i="15"/>
  <c r="D400" i="15"/>
  <c r="E400" i="15"/>
  <c r="J400" i="15"/>
  <c r="K400" i="15"/>
  <c r="L400" i="15"/>
  <c r="M400" i="15"/>
  <c r="N400" i="15"/>
  <c r="O400" i="15"/>
  <c r="P400" i="15"/>
  <c r="Q400" i="15"/>
  <c r="T400" i="15"/>
  <c r="U400" i="15"/>
  <c r="V400" i="15"/>
  <c r="W400" i="15"/>
  <c r="X400" i="15"/>
  <c r="Y400" i="15"/>
  <c r="Z400" i="15"/>
  <c r="AA400" i="15"/>
  <c r="B401" i="15"/>
  <c r="C401" i="15"/>
  <c r="D401" i="15"/>
  <c r="E401" i="15"/>
  <c r="J401" i="15"/>
  <c r="K401" i="15"/>
  <c r="L401" i="15"/>
  <c r="M401" i="15"/>
  <c r="N401" i="15"/>
  <c r="O401" i="15"/>
  <c r="P401" i="15"/>
  <c r="Q401" i="15"/>
  <c r="T401" i="15"/>
  <c r="U401" i="15"/>
  <c r="V401" i="15"/>
  <c r="W401" i="15"/>
  <c r="X401" i="15"/>
  <c r="Y401" i="15"/>
  <c r="Z401" i="15"/>
  <c r="AA401" i="15"/>
  <c r="B402" i="15"/>
  <c r="C402" i="15"/>
  <c r="D402" i="15"/>
  <c r="E402" i="15"/>
  <c r="J402" i="15"/>
  <c r="K402" i="15"/>
  <c r="L402" i="15"/>
  <c r="M402" i="15"/>
  <c r="N402" i="15"/>
  <c r="O402" i="15"/>
  <c r="P402" i="15"/>
  <c r="Q402" i="15"/>
  <c r="T402" i="15"/>
  <c r="U402" i="15"/>
  <c r="V402" i="15"/>
  <c r="W402" i="15"/>
  <c r="X402" i="15"/>
  <c r="Y402" i="15"/>
  <c r="Z402" i="15"/>
  <c r="AA402" i="15"/>
  <c r="B403" i="15"/>
  <c r="C403" i="15"/>
  <c r="D403" i="15"/>
  <c r="E403" i="15"/>
  <c r="J403" i="15"/>
  <c r="K403" i="15"/>
  <c r="L403" i="15"/>
  <c r="M403" i="15"/>
  <c r="N403" i="15"/>
  <c r="O403" i="15"/>
  <c r="P403" i="15"/>
  <c r="Q403" i="15"/>
  <c r="T403" i="15"/>
  <c r="U403" i="15"/>
  <c r="V403" i="15"/>
  <c r="W403" i="15"/>
  <c r="X403" i="15"/>
  <c r="Y403" i="15"/>
  <c r="Z403" i="15"/>
  <c r="AA403" i="15"/>
  <c r="B404" i="15"/>
  <c r="C404" i="15"/>
  <c r="D404" i="15"/>
  <c r="E404" i="15"/>
  <c r="J404" i="15"/>
  <c r="K404" i="15"/>
  <c r="L404" i="15"/>
  <c r="M404" i="15"/>
  <c r="N404" i="15"/>
  <c r="O404" i="15"/>
  <c r="P404" i="15"/>
  <c r="Q404" i="15"/>
  <c r="T404" i="15"/>
  <c r="U404" i="15"/>
  <c r="V404" i="15"/>
  <c r="W404" i="15"/>
  <c r="X404" i="15"/>
  <c r="Y404" i="15"/>
  <c r="Z404" i="15"/>
  <c r="AA404" i="15"/>
  <c r="B405" i="15"/>
  <c r="C405" i="15"/>
  <c r="D405" i="15"/>
  <c r="E405" i="15"/>
  <c r="J405" i="15"/>
  <c r="K405" i="15"/>
  <c r="L405" i="15"/>
  <c r="M405" i="15"/>
  <c r="N405" i="15"/>
  <c r="O405" i="15"/>
  <c r="P405" i="15"/>
  <c r="Q405" i="15"/>
  <c r="T405" i="15"/>
  <c r="U405" i="15"/>
  <c r="V405" i="15"/>
  <c r="W405" i="15"/>
  <c r="X405" i="15"/>
  <c r="Y405" i="15"/>
  <c r="Z405" i="15"/>
  <c r="AA405" i="15"/>
  <c r="B406" i="15"/>
  <c r="C406" i="15"/>
  <c r="D406" i="15"/>
  <c r="E406" i="15"/>
  <c r="J406" i="15"/>
  <c r="K406" i="15"/>
  <c r="L406" i="15"/>
  <c r="M406" i="15"/>
  <c r="N406" i="15"/>
  <c r="O406" i="15"/>
  <c r="P406" i="15"/>
  <c r="Q406" i="15"/>
  <c r="T406" i="15"/>
  <c r="U406" i="15"/>
  <c r="V406" i="15"/>
  <c r="W406" i="15"/>
  <c r="X406" i="15"/>
  <c r="Y406" i="15"/>
  <c r="Z406" i="15"/>
  <c r="AA406" i="15"/>
  <c r="B407" i="15"/>
  <c r="C407" i="15"/>
  <c r="D407" i="15"/>
  <c r="E407" i="15"/>
  <c r="J407" i="15"/>
  <c r="K407" i="15"/>
  <c r="L407" i="15"/>
  <c r="M407" i="15"/>
  <c r="N407" i="15"/>
  <c r="O407" i="15"/>
  <c r="P407" i="15"/>
  <c r="Q407" i="15"/>
  <c r="T407" i="15"/>
  <c r="U407" i="15"/>
  <c r="V407" i="15"/>
  <c r="W407" i="15"/>
  <c r="X407" i="15"/>
  <c r="Y407" i="15"/>
  <c r="Z407" i="15"/>
  <c r="AA407" i="15"/>
  <c r="B408" i="15"/>
  <c r="C408" i="15"/>
  <c r="D408" i="15"/>
  <c r="E408" i="15"/>
  <c r="J408" i="15"/>
  <c r="K408" i="15"/>
  <c r="L408" i="15"/>
  <c r="M408" i="15"/>
  <c r="N408" i="15"/>
  <c r="O408" i="15"/>
  <c r="P408" i="15"/>
  <c r="Q408" i="15"/>
  <c r="T408" i="15"/>
  <c r="U408" i="15"/>
  <c r="V408" i="15"/>
  <c r="W408" i="15"/>
  <c r="X408" i="15"/>
  <c r="Y408" i="15"/>
  <c r="Z408" i="15"/>
  <c r="AA408" i="15"/>
  <c r="B409" i="15"/>
  <c r="C409" i="15"/>
  <c r="D409" i="15"/>
  <c r="E409" i="15"/>
  <c r="J409" i="15"/>
  <c r="K409" i="15"/>
  <c r="L409" i="15"/>
  <c r="M409" i="15"/>
  <c r="N409" i="15"/>
  <c r="O409" i="15"/>
  <c r="P409" i="15"/>
  <c r="Q409" i="15"/>
  <c r="T409" i="15"/>
  <c r="U409" i="15"/>
  <c r="V409" i="15"/>
  <c r="W409" i="15"/>
  <c r="X409" i="15"/>
  <c r="Y409" i="15"/>
  <c r="Z409" i="15"/>
  <c r="AA409" i="15"/>
  <c r="B410" i="15"/>
  <c r="C410" i="15"/>
  <c r="D410" i="15"/>
  <c r="E410" i="15"/>
  <c r="J410" i="15"/>
  <c r="K410" i="15"/>
  <c r="L410" i="15"/>
  <c r="M410" i="15"/>
  <c r="N410" i="15"/>
  <c r="O410" i="15"/>
  <c r="P410" i="15"/>
  <c r="Q410" i="15"/>
  <c r="T410" i="15"/>
  <c r="U410" i="15"/>
  <c r="V410" i="15"/>
  <c r="W410" i="15"/>
  <c r="X410" i="15"/>
  <c r="Y410" i="15"/>
  <c r="Z410" i="15"/>
  <c r="AA410" i="15"/>
  <c r="B411" i="15"/>
  <c r="C411" i="15"/>
  <c r="D411" i="15"/>
  <c r="E411" i="15"/>
  <c r="J411" i="15"/>
  <c r="K411" i="15"/>
  <c r="L411" i="15"/>
  <c r="M411" i="15"/>
  <c r="N411" i="15"/>
  <c r="O411" i="15"/>
  <c r="P411" i="15"/>
  <c r="Q411" i="15"/>
  <c r="T411" i="15"/>
  <c r="U411" i="15"/>
  <c r="V411" i="15"/>
  <c r="W411" i="15"/>
  <c r="X411" i="15"/>
  <c r="Y411" i="15"/>
  <c r="Z411" i="15"/>
  <c r="AA411" i="15"/>
  <c r="B412" i="15"/>
  <c r="C412" i="15"/>
  <c r="D412" i="15"/>
  <c r="E412" i="15"/>
  <c r="J412" i="15"/>
  <c r="K412" i="15"/>
  <c r="L412" i="15"/>
  <c r="M412" i="15"/>
  <c r="N412" i="15"/>
  <c r="O412" i="15"/>
  <c r="P412" i="15"/>
  <c r="Q412" i="15"/>
  <c r="T412" i="15"/>
  <c r="U412" i="15"/>
  <c r="V412" i="15"/>
  <c r="W412" i="15"/>
  <c r="X412" i="15"/>
  <c r="Y412" i="15"/>
  <c r="Z412" i="15"/>
  <c r="AA412" i="15"/>
  <c r="B413" i="15"/>
  <c r="C413" i="15"/>
  <c r="D413" i="15"/>
  <c r="E413" i="15"/>
  <c r="J413" i="15"/>
  <c r="K413" i="15"/>
  <c r="L413" i="15"/>
  <c r="M413" i="15"/>
  <c r="N413" i="15"/>
  <c r="O413" i="15"/>
  <c r="P413" i="15"/>
  <c r="Q413" i="15"/>
  <c r="T413" i="15"/>
  <c r="U413" i="15"/>
  <c r="V413" i="15"/>
  <c r="W413" i="15"/>
  <c r="X413" i="15"/>
  <c r="Y413" i="15"/>
  <c r="Z413" i="15"/>
  <c r="AA413" i="15"/>
  <c r="B414" i="15"/>
  <c r="C414" i="15"/>
  <c r="D414" i="15"/>
  <c r="E414" i="15"/>
  <c r="J414" i="15"/>
  <c r="K414" i="15"/>
  <c r="L414" i="15"/>
  <c r="M414" i="15"/>
  <c r="N414" i="15"/>
  <c r="O414" i="15"/>
  <c r="P414" i="15"/>
  <c r="Q414" i="15"/>
  <c r="T414" i="15"/>
  <c r="U414" i="15"/>
  <c r="V414" i="15"/>
  <c r="W414" i="15"/>
  <c r="X414" i="15"/>
  <c r="Y414" i="15"/>
  <c r="Z414" i="15"/>
  <c r="AA414" i="15"/>
  <c r="B415" i="15"/>
  <c r="C415" i="15"/>
  <c r="D415" i="15"/>
  <c r="E415" i="15"/>
  <c r="J415" i="15"/>
  <c r="K415" i="15"/>
  <c r="L415" i="15"/>
  <c r="M415" i="15"/>
  <c r="N415" i="15"/>
  <c r="O415" i="15"/>
  <c r="P415" i="15"/>
  <c r="Q415" i="15"/>
  <c r="T415" i="15"/>
  <c r="U415" i="15"/>
  <c r="V415" i="15"/>
  <c r="W415" i="15"/>
  <c r="X415" i="15"/>
  <c r="Y415" i="15"/>
  <c r="Z415" i="15"/>
  <c r="AA415" i="15"/>
  <c r="B416" i="15"/>
  <c r="C416" i="15"/>
  <c r="D416" i="15"/>
  <c r="E416" i="15"/>
  <c r="J416" i="15"/>
  <c r="K416" i="15"/>
  <c r="L416" i="15"/>
  <c r="M416" i="15"/>
  <c r="N416" i="15"/>
  <c r="O416" i="15"/>
  <c r="P416" i="15"/>
  <c r="Q416" i="15"/>
  <c r="T416" i="15"/>
  <c r="U416" i="15"/>
  <c r="V416" i="15"/>
  <c r="W416" i="15"/>
  <c r="X416" i="15"/>
  <c r="Y416" i="15"/>
  <c r="Z416" i="15"/>
  <c r="AA416" i="15"/>
  <c r="B417" i="15"/>
  <c r="C417" i="15"/>
  <c r="D417" i="15"/>
  <c r="E417" i="15"/>
  <c r="J417" i="15"/>
  <c r="K417" i="15"/>
  <c r="L417" i="15"/>
  <c r="M417" i="15"/>
  <c r="N417" i="15"/>
  <c r="O417" i="15"/>
  <c r="P417" i="15"/>
  <c r="Q417" i="15"/>
  <c r="T417" i="15"/>
  <c r="U417" i="15"/>
  <c r="V417" i="15"/>
  <c r="W417" i="15"/>
  <c r="X417" i="15"/>
  <c r="Y417" i="15"/>
  <c r="Z417" i="15"/>
  <c r="AA417" i="15"/>
  <c r="B418" i="15"/>
  <c r="C418" i="15"/>
  <c r="D418" i="15"/>
  <c r="E418" i="15"/>
  <c r="J418" i="15"/>
  <c r="K418" i="15"/>
  <c r="L418" i="15"/>
  <c r="M418" i="15"/>
  <c r="N418" i="15"/>
  <c r="O418" i="15"/>
  <c r="P418" i="15"/>
  <c r="Q418" i="15"/>
  <c r="T418" i="15"/>
  <c r="U418" i="15"/>
  <c r="V418" i="15"/>
  <c r="W418" i="15"/>
  <c r="X418" i="15"/>
  <c r="Y418" i="15"/>
  <c r="Z418" i="15"/>
  <c r="AA418" i="15"/>
  <c r="B419" i="15"/>
  <c r="C419" i="15"/>
  <c r="D419" i="15"/>
  <c r="E419" i="15"/>
  <c r="J419" i="15"/>
  <c r="K419" i="15"/>
  <c r="L419" i="15"/>
  <c r="M419" i="15"/>
  <c r="N419" i="15"/>
  <c r="O419" i="15"/>
  <c r="P419" i="15"/>
  <c r="Q419" i="15"/>
  <c r="T419" i="15"/>
  <c r="U419" i="15"/>
  <c r="V419" i="15"/>
  <c r="W419" i="15"/>
  <c r="X419" i="15"/>
  <c r="Y419" i="15"/>
  <c r="Z419" i="15"/>
  <c r="AA419" i="15"/>
  <c r="B420" i="15"/>
  <c r="C420" i="15"/>
  <c r="D420" i="15"/>
  <c r="E420" i="15"/>
  <c r="J420" i="15"/>
  <c r="K420" i="15"/>
  <c r="L420" i="15"/>
  <c r="M420" i="15"/>
  <c r="N420" i="15"/>
  <c r="O420" i="15"/>
  <c r="P420" i="15"/>
  <c r="Q420" i="15"/>
  <c r="T420" i="15"/>
  <c r="U420" i="15"/>
  <c r="V420" i="15"/>
  <c r="W420" i="15"/>
  <c r="X420" i="15"/>
  <c r="Y420" i="15"/>
  <c r="Z420" i="15"/>
  <c r="AA420" i="15"/>
  <c r="B421" i="15"/>
  <c r="C421" i="15"/>
  <c r="D421" i="15"/>
  <c r="E421" i="15"/>
  <c r="J421" i="15"/>
  <c r="K421" i="15"/>
  <c r="L421" i="15"/>
  <c r="M421" i="15"/>
  <c r="N421" i="15"/>
  <c r="O421" i="15"/>
  <c r="P421" i="15"/>
  <c r="Q421" i="15"/>
  <c r="T421" i="15"/>
  <c r="U421" i="15"/>
  <c r="V421" i="15"/>
  <c r="W421" i="15"/>
  <c r="X421" i="15"/>
  <c r="Y421" i="15"/>
  <c r="Z421" i="15"/>
  <c r="AA421" i="15"/>
  <c r="B422" i="15"/>
  <c r="C422" i="15"/>
  <c r="D422" i="15"/>
  <c r="E422" i="15"/>
  <c r="J422" i="15"/>
  <c r="K422" i="15"/>
  <c r="L422" i="15"/>
  <c r="M422" i="15"/>
  <c r="N422" i="15"/>
  <c r="O422" i="15"/>
  <c r="P422" i="15"/>
  <c r="Q422" i="15"/>
  <c r="T422" i="15"/>
  <c r="U422" i="15"/>
  <c r="V422" i="15"/>
  <c r="W422" i="15"/>
  <c r="X422" i="15"/>
  <c r="Y422" i="15"/>
  <c r="Z422" i="15"/>
  <c r="AA422" i="15"/>
  <c r="B423" i="15"/>
  <c r="C423" i="15"/>
  <c r="D423" i="15"/>
  <c r="E423" i="15"/>
  <c r="J423" i="15"/>
  <c r="K423" i="15"/>
  <c r="L423" i="15"/>
  <c r="M423" i="15"/>
  <c r="N423" i="15"/>
  <c r="O423" i="15"/>
  <c r="P423" i="15"/>
  <c r="Q423" i="15"/>
  <c r="T423" i="15"/>
  <c r="U423" i="15"/>
  <c r="V423" i="15"/>
  <c r="W423" i="15"/>
  <c r="X423" i="15"/>
  <c r="Y423" i="15"/>
  <c r="Z423" i="15"/>
  <c r="AA423" i="15"/>
  <c r="B424" i="15"/>
  <c r="C424" i="15"/>
  <c r="D424" i="15"/>
  <c r="E424" i="15"/>
  <c r="J424" i="15"/>
  <c r="K424" i="15"/>
  <c r="L424" i="15"/>
  <c r="M424" i="15"/>
  <c r="N424" i="15"/>
  <c r="O424" i="15"/>
  <c r="P424" i="15"/>
  <c r="Q424" i="15"/>
  <c r="T424" i="15"/>
  <c r="U424" i="15"/>
  <c r="V424" i="15"/>
  <c r="W424" i="15"/>
  <c r="X424" i="15"/>
  <c r="Y424" i="15"/>
  <c r="Z424" i="15"/>
  <c r="AA424" i="15"/>
  <c r="B425" i="15"/>
  <c r="C425" i="15"/>
  <c r="D425" i="15"/>
  <c r="E425" i="15"/>
  <c r="J425" i="15"/>
  <c r="K425" i="15"/>
  <c r="L425" i="15"/>
  <c r="M425" i="15"/>
  <c r="N425" i="15"/>
  <c r="O425" i="15"/>
  <c r="P425" i="15"/>
  <c r="Q425" i="15"/>
  <c r="T425" i="15"/>
  <c r="U425" i="15"/>
  <c r="V425" i="15"/>
  <c r="W425" i="15"/>
  <c r="X425" i="15"/>
  <c r="Y425" i="15"/>
  <c r="Z425" i="15"/>
  <c r="AA425" i="15"/>
  <c r="B426" i="15"/>
  <c r="C426" i="15"/>
  <c r="D426" i="15"/>
  <c r="E426" i="15"/>
  <c r="J426" i="15"/>
  <c r="K426" i="15"/>
  <c r="L426" i="15"/>
  <c r="M426" i="15"/>
  <c r="N426" i="15"/>
  <c r="O426" i="15"/>
  <c r="P426" i="15"/>
  <c r="Q426" i="15"/>
  <c r="T426" i="15"/>
  <c r="U426" i="15"/>
  <c r="V426" i="15"/>
  <c r="W426" i="15"/>
  <c r="X426" i="15"/>
  <c r="Y426" i="15"/>
  <c r="Z426" i="15"/>
  <c r="AA426" i="15"/>
  <c r="B427" i="15"/>
  <c r="C427" i="15"/>
  <c r="D427" i="15"/>
  <c r="E427" i="15"/>
  <c r="J427" i="15"/>
  <c r="K427" i="15"/>
  <c r="L427" i="15"/>
  <c r="M427" i="15"/>
  <c r="N427" i="15"/>
  <c r="O427" i="15"/>
  <c r="P427" i="15"/>
  <c r="Q427" i="15"/>
  <c r="T427" i="15"/>
  <c r="U427" i="15"/>
  <c r="V427" i="15"/>
  <c r="W427" i="15"/>
  <c r="X427" i="15"/>
  <c r="Y427" i="15"/>
  <c r="Z427" i="15"/>
  <c r="AA427" i="15"/>
  <c r="B428" i="15"/>
  <c r="C428" i="15"/>
  <c r="D428" i="15"/>
  <c r="E428" i="15"/>
  <c r="J428" i="15"/>
  <c r="K428" i="15"/>
  <c r="L428" i="15"/>
  <c r="M428" i="15"/>
  <c r="N428" i="15"/>
  <c r="O428" i="15"/>
  <c r="P428" i="15"/>
  <c r="Q428" i="15"/>
  <c r="T428" i="15"/>
  <c r="U428" i="15"/>
  <c r="V428" i="15"/>
  <c r="W428" i="15"/>
  <c r="X428" i="15"/>
  <c r="Y428" i="15"/>
  <c r="Z428" i="15"/>
  <c r="AA428" i="15"/>
  <c r="B429" i="15"/>
  <c r="C429" i="15"/>
  <c r="D429" i="15"/>
  <c r="E429" i="15"/>
  <c r="J429" i="15"/>
  <c r="K429" i="15"/>
  <c r="L429" i="15"/>
  <c r="M429" i="15"/>
  <c r="N429" i="15"/>
  <c r="O429" i="15"/>
  <c r="P429" i="15"/>
  <c r="Q429" i="15"/>
  <c r="T429" i="15"/>
  <c r="U429" i="15"/>
  <c r="V429" i="15"/>
  <c r="W429" i="15"/>
  <c r="X429" i="15"/>
  <c r="Y429" i="15"/>
  <c r="Z429" i="15"/>
  <c r="AA429" i="15"/>
  <c r="B430" i="15"/>
  <c r="C430" i="15"/>
  <c r="D430" i="15"/>
  <c r="E430" i="15"/>
  <c r="J430" i="15"/>
  <c r="K430" i="15"/>
  <c r="L430" i="15"/>
  <c r="M430" i="15"/>
  <c r="N430" i="15"/>
  <c r="O430" i="15"/>
  <c r="P430" i="15"/>
  <c r="Q430" i="15"/>
  <c r="T430" i="15"/>
  <c r="U430" i="15"/>
  <c r="V430" i="15"/>
  <c r="W430" i="15"/>
  <c r="X430" i="15"/>
  <c r="Y430" i="15"/>
  <c r="Z430" i="15"/>
  <c r="AA430" i="15"/>
  <c r="B431" i="15"/>
  <c r="C431" i="15"/>
  <c r="D431" i="15"/>
  <c r="E431" i="15"/>
  <c r="J431" i="15"/>
  <c r="K431" i="15"/>
  <c r="L431" i="15"/>
  <c r="M431" i="15"/>
  <c r="N431" i="15"/>
  <c r="O431" i="15"/>
  <c r="P431" i="15"/>
  <c r="Q431" i="15"/>
  <c r="T431" i="15"/>
  <c r="U431" i="15"/>
  <c r="V431" i="15"/>
  <c r="W431" i="15"/>
  <c r="X431" i="15"/>
  <c r="Y431" i="15"/>
  <c r="Z431" i="15"/>
  <c r="AA431" i="15"/>
  <c r="B432" i="15"/>
  <c r="C432" i="15"/>
  <c r="D432" i="15"/>
  <c r="E432" i="15"/>
  <c r="J432" i="15"/>
  <c r="K432" i="15"/>
  <c r="L432" i="15"/>
  <c r="M432" i="15"/>
  <c r="N432" i="15"/>
  <c r="O432" i="15"/>
  <c r="P432" i="15"/>
  <c r="Q432" i="15"/>
  <c r="T432" i="15"/>
  <c r="U432" i="15"/>
  <c r="V432" i="15"/>
  <c r="W432" i="15"/>
  <c r="X432" i="15"/>
  <c r="Y432" i="15"/>
  <c r="Z432" i="15"/>
  <c r="AA432" i="15"/>
  <c r="B433" i="15"/>
  <c r="C433" i="15"/>
  <c r="D433" i="15"/>
  <c r="E433" i="15"/>
  <c r="J433" i="15"/>
  <c r="K433" i="15"/>
  <c r="L433" i="15"/>
  <c r="M433" i="15"/>
  <c r="N433" i="15"/>
  <c r="O433" i="15"/>
  <c r="P433" i="15"/>
  <c r="Q433" i="15"/>
  <c r="T433" i="15"/>
  <c r="U433" i="15"/>
  <c r="V433" i="15"/>
  <c r="W433" i="15"/>
  <c r="X433" i="15"/>
  <c r="Y433" i="15"/>
  <c r="Z433" i="15"/>
  <c r="AA433" i="15"/>
  <c r="B434" i="15"/>
  <c r="C434" i="15"/>
  <c r="D434" i="15"/>
  <c r="E434" i="15"/>
  <c r="J434" i="15"/>
  <c r="K434" i="15"/>
  <c r="L434" i="15"/>
  <c r="M434" i="15"/>
  <c r="N434" i="15"/>
  <c r="O434" i="15"/>
  <c r="P434" i="15"/>
  <c r="Q434" i="15"/>
  <c r="T434" i="15"/>
  <c r="U434" i="15"/>
  <c r="V434" i="15"/>
  <c r="W434" i="15"/>
  <c r="X434" i="15"/>
  <c r="Y434" i="15"/>
  <c r="Z434" i="15"/>
  <c r="AA434" i="15"/>
  <c r="B435" i="15"/>
  <c r="C435" i="15"/>
  <c r="D435" i="15"/>
  <c r="E435" i="15"/>
  <c r="J435" i="15"/>
  <c r="K435" i="15"/>
  <c r="L435" i="15"/>
  <c r="M435" i="15"/>
  <c r="N435" i="15"/>
  <c r="O435" i="15"/>
  <c r="P435" i="15"/>
  <c r="Q435" i="15"/>
  <c r="T435" i="15"/>
  <c r="U435" i="15"/>
  <c r="V435" i="15"/>
  <c r="W435" i="15"/>
  <c r="X435" i="15"/>
  <c r="Y435" i="15"/>
  <c r="Z435" i="15"/>
  <c r="AA435" i="15"/>
  <c r="B436" i="15"/>
  <c r="C436" i="15"/>
  <c r="D436" i="15"/>
  <c r="E436" i="15"/>
  <c r="J436" i="15"/>
  <c r="K436" i="15"/>
  <c r="L436" i="15"/>
  <c r="M436" i="15"/>
  <c r="N436" i="15"/>
  <c r="O436" i="15"/>
  <c r="P436" i="15"/>
  <c r="Q436" i="15"/>
  <c r="T436" i="15"/>
  <c r="U436" i="15"/>
  <c r="V436" i="15"/>
  <c r="W436" i="15"/>
  <c r="X436" i="15"/>
  <c r="Y436" i="15"/>
  <c r="Z436" i="15"/>
  <c r="AA436" i="15"/>
  <c r="B437" i="15"/>
  <c r="C437" i="15"/>
  <c r="D437" i="15"/>
  <c r="E437" i="15"/>
  <c r="J437" i="15"/>
  <c r="K437" i="15"/>
  <c r="L437" i="15"/>
  <c r="M437" i="15"/>
  <c r="N437" i="15"/>
  <c r="O437" i="15"/>
  <c r="P437" i="15"/>
  <c r="Q437" i="15"/>
  <c r="T437" i="15"/>
  <c r="U437" i="15"/>
  <c r="V437" i="15"/>
  <c r="W437" i="15"/>
  <c r="X437" i="15"/>
  <c r="Y437" i="15"/>
  <c r="Z437" i="15"/>
  <c r="AA437" i="15"/>
  <c r="B438" i="15"/>
  <c r="C438" i="15"/>
  <c r="D438" i="15"/>
  <c r="E438" i="15"/>
  <c r="J438" i="15"/>
  <c r="K438" i="15"/>
  <c r="L438" i="15"/>
  <c r="M438" i="15"/>
  <c r="N438" i="15"/>
  <c r="O438" i="15"/>
  <c r="P438" i="15"/>
  <c r="Q438" i="15"/>
  <c r="T438" i="15"/>
  <c r="U438" i="15"/>
  <c r="V438" i="15"/>
  <c r="W438" i="15"/>
  <c r="X438" i="15"/>
  <c r="Y438" i="15"/>
  <c r="Z438" i="15"/>
  <c r="AA438" i="15"/>
  <c r="B439" i="15"/>
  <c r="C439" i="15"/>
  <c r="D439" i="15"/>
  <c r="E439" i="15"/>
  <c r="J439" i="15"/>
  <c r="K439" i="15"/>
  <c r="L439" i="15"/>
  <c r="M439" i="15"/>
  <c r="N439" i="15"/>
  <c r="O439" i="15"/>
  <c r="P439" i="15"/>
  <c r="Q439" i="15"/>
  <c r="T439" i="15"/>
  <c r="U439" i="15"/>
  <c r="V439" i="15"/>
  <c r="W439" i="15"/>
  <c r="X439" i="15"/>
  <c r="Y439" i="15"/>
  <c r="Z439" i="15"/>
  <c r="AA439" i="15"/>
  <c r="B440" i="15"/>
  <c r="C440" i="15"/>
  <c r="D440" i="15"/>
  <c r="E440" i="15"/>
  <c r="J440" i="15"/>
  <c r="K440" i="15"/>
  <c r="L440" i="15"/>
  <c r="M440" i="15"/>
  <c r="N440" i="15"/>
  <c r="O440" i="15"/>
  <c r="P440" i="15"/>
  <c r="Q440" i="15"/>
  <c r="T440" i="15"/>
  <c r="U440" i="15"/>
  <c r="V440" i="15"/>
  <c r="W440" i="15"/>
  <c r="X440" i="15"/>
  <c r="Y440" i="15"/>
  <c r="Z440" i="15"/>
  <c r="AA440" i="15"/>
  <c r="B441" i="15"/>
  <c r="C441" i="15"/>
  <c r="D441" i="15"/>
  <c r="E441" i="15"/>
  <c r="J441" i="15"/>
  <c r="K441" i="15"/>
  <c r="L441" i="15"/>
  <c r="M441" i="15"/>
  <c r="N441" i="15"/>
  <c r="O441" i="15"/>
  <c r="P441" i="15"/>
  <c r="Q441" i="15"/>
  <c r="T441" i="15"/>
  <c r="U441" i="15"/>
  <c r="V441" i="15"/>
  <c r="W441" i="15"/>
  <c r="X441" i="15"/>
  <c r="Y441" i="15"/>
  <c r="Z441" i="15"/>
  <c r="AA441" i="15"/>
  <c r="B442" i="15"/>
  <c r="C442" i="15"/>
  <c r="D442" i="15"/>
  <c r="E442" i="15"/>
  <c r="J442" i="15"/>
  <c r="K442" i="15"/>
  <c r="L442" i="15"/>
  <c r="M442" i="15"/>
  <c r="N442" i="15"/>
  <c r="O442" i="15"/>
  <c r="P442" i="15"/>
  <c r="Q442" i="15"/>
  <c r="T442" i="15"/>
  <c r="U442" i="15"/>
  <c r="V442" i="15"/>
  <c r="W442" i="15"/>
  <c r="X442" i="15"/>
  <c r="Y442" i="15"/>
  <c r="Z442" i="15"/>
  <c r="AA442" i="15"/>
  <c r="B443" i="15"/>
  <c r="C443" i="15"/>
  <c r="D443" i="15"/>
  <c r="E443" i="15"/>
  <c r="J443" i="15"/>
  <c r="K443" i="15"/>
  <c r="L443" i="15"/>
  <c r="M443" i="15"/>
  <c r="N443" i="15"/>
  <c r="O443" i="15"/>
  <c r="P443" i="15"/>
  <c r="Q443" i="15"/>
  <c r="T443" i="15"/>
  <c r="U443" i="15"/>
  <c r="V443" i="15"/>
  <c r="W443" i="15"/>
  <c r="X443" i="15"/>
  <c r="Y443" i="15"/>
  <c r="Z443" i="15"/>
  <c r="AA443" i="15"/>
  <c r="B444" i="15"/>
  <c r="C444" i="15"/>
  <c r="D444" i="15"/>
  <c r="E444" i="15"/>
  <c r="J444" i="15"/>
  <c r="K444" i="15"/>
  <c r="L444" i="15"/>
  <c r="M444" i="15"/>
  <c r="N444" i="15"/>
  <c r="O444" i="15"/>
  <c r="P444" i="15"/>
  <c r="Q444" i="15"/>
  <c r="T444" i="15"/>
  <c r="U444" i="15"/>
  <c r="V444" i="15"/>
  <c r="W444" i="15"/>
  <c r="X444" i="15"/>
  <c r="Y444" i="15"/>
  <c r="Z444" i="15"/>
  <c r="AA444" i="15"/>
  <c r="B445" i="15"/>
  <c r="C445" i="15"/>
  <c r="D445" i="15"/>
  <c r="E445" i="15"/>
  <c r="J445" i="15"/>
  <c r="K445" i="15"/>
  <c r="L445" i="15"/>
  <c r="M445" i="15"/>
  <c r="N445" i="15"/>
  <c r="O445" i="15"/>
  <c r="P445" i="15"/>
  <c r="Q445" i="15"/>
  <c r="T445" i="15"/>
  <c r="U445" i="15"/>
  <c r="V445" i="15"/>
  <c r="W445" i="15"/>
  <c r="X445" i="15"/>
  <c r="Y445" i="15"/>
  <c r="Z445" i="15"/>
  <c r="AA445" i="15"/>
  <c r="B446" i="15"/>
  <c r="C446" i="15"/>
  <c r="D446" i="15"/>
  <c r="E446" i="15"/>
  <c r="J446" i="15"/>
  <c r="K446" i="15"/>
  <c r="L446" i="15"/>
  <c r="M446" i="15"/>
  <c r="N446" i="15"/>
  <c r="O446" i="15"/>
  <c r="P446" i="15"/>
  <c r="Q446" i="15"/>
  <c r="T446" i="15"/>
  <c r="U446" i="15"/>
  <c r="V446" i="15"/>
  <c r="W446" i="15"/>
  <c r="X446" i="15"/>
  <c r="Y446" i="15"/>
  <c r="Z446" i="15"/>
  <c r="AA446" i="15"/>
  <c r="B447" i="15"/>
  <c r="C447" i="15"/>
  <c r="D447" i="15"/>
  <c r="E447" i="15"/>
  <c r="J447" i="15"/>
  <c r="K447" i="15"/>
  <c r="L447" i="15"/>
  <c r="M447" i="15"/>
  <c r="N447" i="15"/>
  <c r="O447" i="15"/>
  <c r="P447" i="15"/>
  <c r="Q447" i="15"/>
  <c r="T447" i="15"/>
  <c r="U447" i="15"/>
  <c r="V447" i="15"/>
  <c r="W447" i="15"/>
  <c r="X447" i="15"/>
  <c r="Y447" i="15"/>
  <c r="Z447" i="15"/>
  <c r="AA447" i="15"/>
  <c r="B448" i="15"/>
  <c r="C448" i="15"/>
  <c r="D448" i="15"/>
  <c r="E448" i="15"/>
  <c r="J448" i="15"/>
  <c r="K448" i="15"/>
  <c r="L448" i="15"/>
  <c r="M448" i="15"/>
  <c r="N448" i="15"/>
  <c r="O448" i="15"/>
  <c r="P448" i="15"/>
  <c r="Q448" i="15"/>
  <c r="T448" i="15"/>
  <c r="U448" i="15"/>
  <c r="V448" i="15"/>
  <c r="W448" i="15"/>
  <c r="X448" i="15"/>
  <c r="Y448" i="15"/>
  <c r="Z448" i="15"/>
  <c r="AA448" i="15"/>
  <c r="B449" i="15"/>
  <c r="C449" i="15"/>
  <c r="D449" i="15"/>
  <c r="E449" i="15"/>
  <c r="J449" i="15"/>
  <c r="K449" i="15"/>
  <c r="L449" i="15"/>
  <c r="M449" i="15"/>
  <c r="N449" i="15"/>
  <c r="O449" i="15"/>
  <c r="P449" i="15"/>
  <c r="Q449" i="15"/>
  <c r="T449" i="15"/>
  <c r="U449" i="15"/>
  <c r="V449" i="15"/>
  <c r="W449" i="15"/>
  <c r="X449" i="15"/>
  <c r="Y449" i="15"/>
  <c r="Z449" i="15"/>
  <c r="AA449" i="15"/>
  <c r="B450" i="15"/>
  <c r="C450" i="15"/>
  <c r="D450" i="15"/>
  <c r="E450" i="15"/>
  <c r="J450" i="15"/>
  <c r="K450" i="15"/>
  <c r="L450" i="15"/>
  <c r="M450" i="15"/>
  <c r="N450" i="15"/>
  <c r="O450" i="15"/>
  <c r="P450" i="15"/>
  <c r="Q450" i="15"/>
  <c r="T450" i="15"/>
  <c r="U450" i="15"/>
  <c r="V450" i="15"/>
  <c r="W450" i="15"/>
  <c r="X450" i="15"/>
  <c r="Y450" i="15"/>
  <c r="Z450" i="15"/>
  <c r="AA450" i="15"/>
  <c r="B451" i="15"/>
  <c r="C451" i="15"/>
  <c r="D451" i="15"/>
  <c r="E451" i="15"/>
  <c r="J451" i="15"/>
  <c r="K451" i="15"/>
  <c r="L451" i="15"/>
  <c r="M451" i="15"/>
  <c r="N451" i="15"/>
  <c r="O451" i="15"/>
  <c r="P451" i="15"/>
  <c r="Q451" i="15"/>
  <c r="T451" i="15"/>
  <c r="U451" i="15"/>
  <c r="V451" i="15"/>
  <c r="W451" i="15"/>
  <c r="X451" i="15"/>
  <c r="Y451" i="15"/>
  <c r="Z451" i="15"/>
  <c r="AA451" i="15"/>
  <c r="B452" i="15"/>
  <c r="C452" i="15"/>
  <c r="D452" i="15"/>
  <c r="E452" i="15"/>
  <c r="J452" i="15"/>
  <c r="K452" i="15"/>
  <c r="L452" i="15"/>
  <c r="M452" i="15"/>
  <c r="N452" i="15"/>
  <c r="O452" i="15"/>
  <c r="P452" i="15"/>
  <c r="Q452" i="15"/>
  <c r="T452" i="15"/>
  <c r="U452" i="15"/>
  <c r="V452" i="15"/>
  <c r="W452" i="15"/>
  <c r="X452" i="15"/>
  <c r="Y452" i="15"/>
  <c r="Z452" i="15"/>
  <c r="AA452" i="15"/>
  <c r="B453" i="15"/>
  <c r="C453" i="15"/>
  <c r="D453" i="15"/>
  <c r="E453" i="15"/>
  <c r="J453" i="15"/>
  <c r="K453" i="15"/>
  <c r="L453" i="15"/>
  <c r="M453" i="15"/>
  <c r="N453" i="15"/>
  <c r="O453" i="15"/>
  <c r="P453" i="15"/>
  <c r="Q453" i="15"/>
  <c r="T453" i="15"/>
  <c r="U453" i="15"/>
  <c r="V453" i="15"/>
  <c r="W453" i="15"/>
  <c r="X453" i="15"/>
  <c r="Y453" i="15"/>
  <c r="Z453" i="15"/>
  <c r="AA453" i="15"/>
  <c r="B454" i="15"/>
  <c r="C454" i="15"/>
  <c r="D454" i="15"/>
  <c r="E454" i="15"/>
  <c r="J454" i="15"/>
  <c r="K454" i="15"/>
  <c r="L454" i="15"/>
  <c r="M454" i="15"/>
  <c r="N454" i="15"/>
  <c r="O454" i="15"/>
  <c r="P454" i="15"/>
  <c r="Q454" i="15"/>
  <c r="T454" i="15"/>
  <c r="U454" i="15"/>
  <c r="V454" i="15"/>
  <c r="W454" i="15"/>
  <c r="X454" i="15"/>
  <c r="Y454" i="15"/>
  <c r="Z454" i="15"/>
  <c r="AA454" i="15"/>
  <c r="B455" i="15"/>
  <c r="C455" i="15"/>
  <c r="D455" i="15"/>
  <c r="E455" i="15"/>
  <c r="J455" i="15"/>
  <c r="K455" i="15"/>
  <c r="L455" i="15"/>
  <c r="M455" i="15"/>
  <c r="N455" i="15"/>
  <c r="O455" i="15"/>
  <c r="P455" i="15"/>
  <c r="Q455" i="15"/>
  <c r="T455" i="15"/>
  <c r="U455" i="15"/>
  <c r="V455" i="15"/>
  <c r="W455" i="15"/>
  <c r="X455" i="15"/>
  <c r="Y455" i="15"/>
  <c r="Z455" i="15"/>
  <c r="AA455" i="15"/>
  <c r="B456" i="15"/>
  <c r="C456" i="15"/>
  <c r="D456" i="15"/>
  <c r="E456" i="15"/>
  <c r="J456" i="15"/>
  <c r="K456" i="15"/>
  <c r="L456" i="15"/>
  <c r="M456" i="15"/>
  <c r="N456" i="15"/>
  <c r="O456" i="15"/>
  <c r="P456" i="15"/>
  <c r="Q456" i="15"/>
  <c r="T456" i="15"/>
  <c r="U456" i="15"/>
  <c r="V456" i="15"/>
  <c r="W456" i="15"/>
  <c r="X456" i="15"/>
  <c r="Y456" i="15"/>
  <c r="Z456" i="15"/>
  <c r="AA456" i="15"/>
  <c r="B457" i="15"/>
  <c r="C457" i="15"/>
  <c r="D457" i="15"/>
  <c r="E457" i="15"/>
  <c r="J457" i="15"/>
  <c r="K457" i="15"/>
  <c r="L457" i="15"/>
  <c r="M457" i="15"/>
  <c r="N457" i="15"/>
  <c r="O457" i="15"/>
  <c r="P457" i="15"/>
  <c r="Q457" i="15"/>
  <c r="T457" i="15"/>
  <c r="U457" i="15"/>
  <c r="V457" i="15"/>
  <c r="W457" i="15"/>
  <c r="X457" i="15"/>
  <c r="Y457" i="15"/>
  <c r="Z457" i="15"/>
  <c r="AA457" i="15"/>
  <c r="B458" i="15"/>
  <c r="C458" i="15"/>
  <c r="D458" i="15"/>
  <c r="E458" i="15"/>
  <c r="J458" i="15"/>
  <c r="K458" i="15"/>
  <c r="L458" i="15"/>
  <c r="M458" i="15"/>
  <c r="N458" i="15"/>
  <c r="O458" i="15"/>
  <c r="P458" i="15"/>
  <c r="Q458" i="15"/>
  <c r="T458" i="15"/>
  <c r="U458" i="15"/>
  <c r="V458" i="15"/>
  <c r="W458" i="15"/>
  <c r="X458" i="15"/>
  <c r="Y458" i="15"/>
  <c r="Z458" i="15"/>
  <c r="AA458" i="15"/>
  <c r="B459" i="15"/>
  <c r="C459" i="15"/>
  <c r="D459" i="15"/>
  <c r="E459" i="15"/>
  <c r="J459" i="15"/>
  <c r="K459" i="15"/>
  <c r="L459" i="15"/>
  <c r="M459" i="15"/>
  <c r="N459" i="15"/>
  <c r="O459" i="15"/>
  <c r="P459" i="15"/>
  <c r="Q459" i="15"/>
  <c r="T459" i="15"/>
  <c r="U459" i="15"/>
  <c r="V459" i="15"/>
  <c r="W459" i="15"/>
  <c r="X459" i="15"/>
  <c r="Y459" i="15"/>
  <c r="Z459" i="15"/>
  <c r="AA459" i="15"/>
  <c r="B460" i="15"/>
  <c r="C460" i="15"/>
  <c r="D460" i="15"/>
  <c r="E460" i="15"/>
  <c r="J460" i="15"/>
  <c r="K460" i="15"/>
  <c r="L460" i="15"/>
  <c r="M460" i="15"/>
  <c r="N460" i="15"/>
  <c r="O460" i="15"/>
  <c r="P460" i="15"/>
  <c r="Q460" i="15"/>
  <c r="T460" i="15"/>
  <c r="U460" i="15"/>
  <c r="V460" i="15"/>
  <c r="W460" i="15"/>
  <c r="X460" i="15"/>
  <c r="Y460" i="15"/>
  <c r="Z460" i="15"/>
  <c r="AA460" i="15"/>
  <c r="B461" i="15"/>
  <c r="C461" i="15"/>
  <c r="D461" i="15"/>
  <c r="E461" i="15"/>
  <c r="J461" i="15"/>
  <c r="K461" i="15"/>
  <c r="L461" i="15"/>
  <c r="M461" i="15"/>
  <c r="N461" i="15"/>
  <c r="O461" i="15"/>
  <c r="P461" i="15"/>
  <c r="Q461" i="15"/>
  <c r="T461" i="15"/>
  <c r="U461" i="15"/>
  <c r="V461" i="15"/>
  <c r="W461" i="15"/>
  <c r="X461" i="15"/>
  <c r="Y461" i="15"/>
  <c r="Z461" i="15"/>
  <c r="AA461" i="15"/>
  <c r="B462" i="15"/>
  <c r="C462" i="15"/>
  <c r="D462" i="15"/>
  <c r="E462" i="15"/>
  <c r="J462" i="15"/>
  <c r="K462" i="15"/>
  <c r="L462" i="15"/>
  <c r="M462" i="15"/>
  <c r="N462" i="15"/>
  <c r="O462" i="15"/>
  <c r="P462" i="15"/>
  <c r="Q462" i="15"/>
  <c r="T462" i="15"/>
  <c r="U462" i="15"/>
  <c r="V462" i="15"/>
  <c r="W462" i="15"/>
  <c r="X462" i="15"/>
  <c r="Y462" i="15"/>
  <c r="Z462" i="15"/>
  <c r="AA462" i="15"/>
  <c r="B463" i="15"/>
  <c r="C463" i="15"/>
  <c r="D463" i="15"/>
  <c r="E463" i="15"/>
  <c r="J463" i="15"/>
  <c r="K463" i="15"/>
  <c r="L463" i="15"/>
  <c r="M463" i="15"/>
  <c r="N463" i="15"/>
  <c r="O463" i="15"/>
  <c r="P463" i="15"/>
  <c r="Q463" i="15"/>
  <c r="T463" i="15"/>
  <c r="U463" i="15"/>
  <c r="V463" i="15"/>
  <c r="W463" i="15"/>
  <c r="X463" i="15"/>
  <c r="Y463" i="15"/>
  <c r="Z463" i="15"/>
  <c r="AA463" i="15"/>
  <c r="B464" i="15"/>
  <c r="C464" i="15"/>
  <c r="D464" i="15"/>
  <c r="E464" i="15"/>
  <c r="J464" i="15"/>
  <c r="K464" i="15"/>
  <c r="L464" i="15"/>
  <c r="M464" i="15"/>
  <c r="N464" i="15"/>
  <c r="O464" i="15"/>
  <c r="P464" i="15"/>
  <c r="Q464" i="15"/>
  <c r="T464" i="15"/>
  <c r="U464" i="15"/>
  <c r="V464" i="15"/>
  <c r="W464" i="15"/>
  <c r="X464" i="15"/>
  <c r="Y464" i="15"/>
  <c r="Z464" i="15"/>
  <c r="AA464" i="15"/>
  <c r="B465" i="15"/>
  <c r="C465" i="15"/>
  <c r="D465" i="15"/>
  <c r="E465" i="15"/>
  <c r="J465" i="15"/>
  <c r="K465" i="15"/>
  <c r="L465" i="15"/>
  <c r="M465" i="15"/>
  <c r="N465" i="15"/>
  <c r="O465" i="15"/>
  <c r="P465" i="15"/>
  <c r="Q465" i="15"/>
  <c r="T465" i="15"/>
  <c r="U465" i="15"/>
  <c r="V465" i="15"/>
  <c r="W465" i="15"/>
  <c r="X465" i="15"/>
  <c r="Y465" i="15"/>
  <c r="Z465" i="15"/>
  <c r="AA465" i="15"/>
  <c r="B466" i="15"/>
  <c r="C466" i="15"/>
  <c r="D466" i="15"/>
  <c r="E466" i="15"/>
  <c r="J466" i="15"/>
  <c r="K466" i="15"/>
  <c r="L466" i="15"/>
  <c r="M466" i="15"/>
  <c r="N466" i="15"/>
  <c r="O466" i="15"/>
  <c r="P466" i="15"/>
  <c r="Q466" i="15"/>
  <c r="T466" i="15"/>
  <c r="U466" i="15"/>
  <c r="V466" i="15"/>
  <c r="W466" i="15"/>
  <c r="X466" i="15"/>
  <c r="Y466" i="15"/>
  <c r="Z466" i="15"/>
  <c r="AA466" i="15"/>
  <c r="B467" i="15"/>
  <c r="C467" i="15"/>
  <c r="D467" i="15"/>
  <c r="E467" i="15"/>
  <c r="J467" i="15"/>
  <c r="K467" i="15"/>
  <c r="L467" i="15"/>
  <c r="M467" i="15"/>
  <c r="N467" i="15"/>
  <c r="O467" i="15"/>
  <c r="P467" i="15"/>
  <c r="Q467" i="15"/>
  <c r="T467" i="15"/>
  <c r="U467" i="15"/>
  <c r="V467" i="15"/>
  <c r="W467" i="15"/>
  <c r="X467" i="15"/>
  <c r="Y467" i="15"/>
  <c r="Z467" i="15"/>
  <c r="AA467" i="15"/>
  <c r="B468" i="15"/>
  <c r="C468" i="15"/>
  <c r="D468" i="15"/>
  <c r="E468" i="15"/>
  <c r="J468" i="15"/>
  <c r="K468" i="15"/>
  <c r="L468" i="15"/>
  <c r="M468" i="15"/>
  <c r="N468" i="15"/>
  <c r="O468" i="15"/>
  <c r="P468" i="15"/>
  <c r="Q468" i="15"/>
  <c r="T468" i="15"/>
  <c r="U468" i="15"/>
  <c r="V468" i="15"/>
  <c r="W468" i="15"/>
  <c r="X468" i="15"/>
  <c r="Y468" i="15"/>
  <c r="Z468" i="15"/>
  <c r="AA468" i="15"/>
  <c r="B469" i="15"/>
  <c r="C469" i="15"/>
  <c r="D469" i="15"/>
  <c r="E469" i="15"/>
  <c r="J469" i="15"/>
  <c r="K469" i="15"/>
  <c r="L469" i="15"/>
  <c r="M469" i="15"/>
  <c r="N469" i="15"/>
  <c r="O469" i="15"/>
  <c r="P469" i="15"/>
  <c r="Q469" i="15"/>
  <c r="T469" i="15"/>
  <c r="U469" i="15"/>
  <c r="V469" i="15"/>
  <c r="W469" i="15"/>
  <c r="X469" i="15"/>
  <c r="Y469" i="15"/>
  <c r="Z469" i="15"/>
  <c r="AA469" i="15"/>
  <c r="B470" i="15"/>
  <c r="C470" i="15"/>
  <c r="D470" i="15"/>
  <c r="E470" i="15"/>
  <c r="J470" i="15"/>
  <c r="K470" i="15"/>
  <c r="L470" i="15"/>
  <c r="M470" i="15"/>
  <c r="N470" i="15"/>
  <c r="O470" i="15"/>
  <c r="P470" i="15"/>
  <c r="Q470" i="15"/>
  <c r="T470" i="15"/>
  <c r="U470" i="15"/>
  <c r="V470" i="15"/>
  <c r="W470" i="15"/>
  <c r="X470" i="15"/>
  <c r="Y470" i="15"/>
  <c r="Z470" i="15"/>
  <c r="AA470" i="15"/>
  <c r="B471" i="15"/>
  <c r="C471" i="15"/>
  <c r="D471" i="15"/>
  <c r="E471" i="15"/>
  <c r="J471" i="15"/>
  <c r="K471" i="15"/>
  <c r="L471" i="15"/>
  <c r="M471" i="15"/>
  <c r="N471" i="15"/>
  <c r="O471" i="15"/>
  <c r="P471" i="15"/>
  <c r="Q471" i="15"/>
  <c r="T471" i="15"/>
  <c r="U471" i="15"/>
  <c r="V471" i="15"/>
  <c r="W471" i="15"/>
  <c r="X471" i="15"/>
  <c r="Y471" i="15"/>
  <c r="Z471" i="15"/>
  <c r="AA471" i="15"/>
  <c r="B472" i="15"/>
  <c r="C472" i="15"/>
  <c r="D472" i="15"/>
  <c r="E472" i="15"/>
  <c r="J472" i="15"/>
  <c r="K472" i="15"/>
  <c r="L472" i="15"/>
  <c r="M472" i="15"/>
  <c r="N472" i="15"/>
  <c r="O472" i="15"/>
  <c r="P472" i="15"/>
  <c r="Q472" i="15"/>
  <c r="T472" i="15"/>
  <c r="U472" i="15"/>
  <c r="V472" i="15"/>
  <c r="W472" i="15"/>
  <c r="X472" i="15"/>
  <c r="Y472" i="15"/>
  <c r="Z472" i="15"/>
  <c r="AA472" i="15"/>
  <c r="B473" i="15"/>
  <c r="C473" i="15"/>
  <c r="D473" i="15"/>
  <c r="E473" i="15"/>
  <c r="J473" i="15"/>
  <c r="K473" i="15"/>
  <c r="L473" i="15"/>
  <c r="M473" i="15"/>
  <c r="N473" i="15"/>
  <c r="O473" i="15"/>
  <c r="P473" i="15"/>
  <c r="Q473" i="15"/>
  <c r="T473" i="15"/>
  <c r="U473" i="15"/>
  <c r="V473" i="15"/>
  <c r="W473" i="15"/>
  <c r="X473" i="15"/>
  <c r="Y473" i="15"/>
  <c r="Z473" i="15"/>
  <c r="AA473" i="15"/>
  <c r="B474" i="15"/>
  <c r="C474" i="15"/>
  <c r="D474" i="15"/>
  <c r="E474" i="15"/>
  <c r="J474" i="15"/>
  <c r="K474" i="15"/>
  <c r="L474" i="15"/>
  <c r="M474" i="15"/>
  <c r="N474" i="15"/>
  <c r="O474" i="15"/>
  <c r="P474" i="15"/>
  <c r="Q474" i="15"/>
  <c r="T474" i="15"/>
  <c r="U474" i="15"/>
  <c r="V474" i="15"/>
  <c r="W474" i="15"/>
  <c r="X474" i="15"/>
  <c r="Y474" i="15"/>
  <c r="Z474" i="15"/>
  <c r="AA474" i="15"/>
  <c r="B475" i="15"/>
  <c r="C475" i="15"/>
  <c r="D475" i="15"/>
  <c r="E475" i="15"/>
  <c r="J475" i="15"/>
  <c r="K475" i="15"/>
  <c r="L475" i="15"/>
  <c r="M475" i="15"/>
  <c r="N475" i="15"/>
  <c r="O475" i="15"/>
  <c r="P475" i="15"/>
  <c r="Q475" i="15"/>
  <c r="T475" i="15"/>
  <c r="U475" i="15"/>
  <c r="V475" i="15"/>
  <c r="W475" i="15"/>
  <c r="X475" i="15"/>
  <c r="Y475" i="15"/>
  <c r="Z475" i="15"/>
  <c r="AA475" i="15"/>
  <c r="B476" i="15"/>
  <c r="C476" i="15"/>
  <c r="D476" i="15"/>
  <c r="E476" i="15"/>
  <c r="J476" i="15"/>
  <c r="K476" i="15"/>
  <c r="L476" i="15"/>
  <c r="M476" i="15"/>
  <c r="N476" i="15"/>
  <c r="O476" i="15"/>
  <c r="P476" i="15"/>
  <c r="Q476" i="15"/>
  <c r="T476" i="15"/>
  <c r="U476" i="15"/>
  <c r="V476" i="15"/>
  <c r="W476" i="15"/>
  <c r="X476" i="15"/>
  <c r="Y476" i="15"/>
  <c r="Z476" i="15"/>
  <c r="AA476" i="15"/>
  <c r="B477" i="15"/>
  <c r="C477" i="15"/>
  <c r="D477" i="15"/>
  <c r="E477" i="15"/>
  <c r="J477" i="15"/>
  <c r="K477" i="15"/>
  <c r="L477" i="15"/>
  <c r="M477" i="15"/>
  <c r="N477" i="15"/>
  <c r="O477" i="15"/>
  <c r="P477" i="15"/>
  <c r="Q477" i="15"/>
  <c r="T477" i="15"/>
  <c r="U477" i="15"/>
  <c r="V477" i="15"/>
  <c r="W477" i="15"/>
  <c r="X477" i="15"/>
  <c r="Y477" i="15"/>
  <c r="Z477" i="15"/>
  <c r="AA477" i="15"/>
  <c r="B478" i="15"/>
  <c r="C478" i="15"/>
  <c r="D478" i="15"/>
  <c r="E478" i="15"/>
  <c r="J478" i="15"/>
  <c r="K478" i="15"/>
  <c r="L478" i="15"/>
  <c r="M478" i="15"/>
  <c r="N478" i="15"/>
  <c r="O478" i="15"/>
  <c r="P478" i="15"/>
  <c r="Q478" i="15"/>
  <c r="T478" i="15"/>
  <c r="U478" i="15"/>
  <c r="V478" i="15"/>
  <c r="W478" i="15"/>
  <c r="X478" i="15"/>
  <c r="Y478" i="15"/>
  <c r="Z478" i="15"/>
  <c r="AA478" i="15"/>
  <c r="B479" i="15"/>
  <c r="C479" i="15"/>
  <c r="D479" i="15"/>
  <c r="E479" i="15"/>
  <c r="J479" i="15"/>
  <c r="K479" i="15"/>
  <c r="L479" i="15"/>
  <c r="M479" i="15"/>
  <c r="N479" i="15"/>
  <c r="O479" i="15"/>
  <c r="P479" i="15"/>
  <c r="Q479" i="15"/>
  <c r="T479" i="15"/>
  <c r="U479" i="15"/>
  <c r="V479" i="15"/>
  <c r="W479" i="15"/>
  <c r="X479" i="15"/>
  <c r="Y479" i="15"/>
  <c r="Z479" i="15"/>
  <c r="AA479" i="15"/>
  <c r="B480" i="15"/>
  <c r="C480" i="15"/>
  <c r="D480" i="15"/>
  <c r="E480" i="15"/>
  <c r="J480" i="15"/>
  <c r="K480" i="15"/>
  <c r="L480" i="15"/>
  <c r="M480" i="15"/>
  <c r="N480" i="15"/>
  <c r="O480" i="15"/>
  <c r="P480" i="15"/>
  <c r="Q480" i="15"/>
  <c r="T480" i="15"/>
  <c r="U480" i="15"/>
  <c r="V480" i="15"/>
  <c r="W480" i="15"/>
  <c r="X480" i="15"/>
  <c r="Y480" i="15"/>
  <c r="Z480" i="15"/>
  <c r="AA480" i="15"/>
  <c r="B481" i="15"/>
  <c r="C481" i="15"/>
  <c r="D481" i="15"/>
  <c r="E481" i="15"/>
  <c r="J481" i="15"/>
  <c r="K481" i="15"/>
  <c r="L481" i="15"/>
  <c r="M481" i="15"/>
  <c r="N481" i="15"/>
  <c r="O481" i="15"/>
  <c r="P481" i="15"/>
  <c r="Q481" i="15"/>
  <c r="T481" i="15"/>
  <c r="U481" i="15"/>
  <c r="V481" i="15"/>
  <c r="W481" i="15"/>
  <c r="X481" i="15"/>
  <c r="Y481" i="15"/>
  <c r="Z481" i="15"/>
  <c r="AA481" i="15"/>
  <c r="B482" i="15"/>
  <c r="C482" i="15"/>
  <c r="D482" i="15"/>
  <c r="E482" i="15"/>
  <c r="J482" i="15"/>
  <c r="K482" i="15"/>
  <c r="L482" i="15"/>
  <c r="M482" i="15"/>
  <c r="N482" i="15"/>
  <c r="O482" i="15"/>
  <c r="P482" i="15"/>
  <c r="Q482" i="15"/>
  <c r="T482" i="15"/>
  <c r="U482" i="15"/>
  <c r="V482" i="15"/>
  <c r="W482" i="15"/>
  <c r="X482" i="15"/>
  <c r="Y482" i="15"/>
  <c r="Z482" i="15"/>
  <c r="AA482" i="15"/>
  <c r="B483" i="15"/>
  <c r="C483" i="15"/>
  <c r="D483" i="15"/>
  <c r="E483" i="15"/>
  <c r="J483" i="15"/>
  <c r="K483" i="15"/>
  <c r="L483" i="15"/>
  <c r="M483" i="15"/>
  <c r="N483" i="15"/>
  <c r="O483" i="15"/>
  <c r="P483" i="15"/>
  <c r="Q483" i="15"/>
  <c r="T483" i="15"/>
  <c r="U483" i="15"/>
  <c r="V483" i="15"/>
  <c r="W483" i="15"/>
  <c r="X483" i="15"/>
  <c r="Y483" i="15"/>
  <c r="Z483" i="15"/>
  <c r="AA483" i="15"/>
  <c r="B484" i="15"/>
  <c r="C484" i="15"/>
  <c r="D484" i="15"/>
  <c r="E484" i="15"/>
  <c r="J484" i="15"/>
  <c r="K484" i="15"/>
  <c r="L484" i="15"/>
  <c r="M484" i="15"/>
  <c r="N484" i="15"/>
  <c r="O484" i="15"/>
  <c r="P484" i="15"/>
  <c r="Q484" i="15"/>
  <c r="T484" i="15"/>
  <c r="U484" i="15"/>
  <c r="V484" i="15"/>
  <c r="W484" i="15"/>
  <c r="X484" i="15"/>
  <c r="Y484" i="15"/>
  <c r="Z484" i="15"/>
  <c r="AA484" i="15"/>
  <c r="B485" i="15"/>
  <c r="C485" i="15"/>
  <c r="D485" i="15"/>
  <c r="E485" i="15"/>
  <c r="J485" i="15"/>
  <c r="K485" i="15"/>
  <c r="L485" i="15"/>
  <c r="M485" i="15"/>
  <c r="N485" i="15"/>
  <c r="O485" i="15"/>
  <c r="P485" i="15"/>
  <c r="Q485" i="15"/>
  <c r="T485" i="15"/>
  <c r="U485" i="15"/>
  <c r="V485" i="15"/>
  <c r="W485" i="15"/>
  <c r="X485" i="15"/>
  <c r="Y485" i="15"/>
  <c r="Z485" i="15"/>
  <c r="AA485" i="15"/>
  <c r="B486" i="15"/>
  <c r="C486" i="15"/>
  <c r="D486" i="15"/>
  <c r="E486" i="15"/>
  <c r="J486" i="15"/>
  <c r="K486" i="15"/>
  <c r="L486" i="15"/>
  <c r="M486" i="15"/>
  <c r="N486" i="15"/>
  <c r="O486" i="15"/>
  <c r="P486" i="15"/>
  <c r="Q486" i="15"/>
  <c r="T486" i="15"/>
  <c r="U486" i="15"/>
  <c r="V486" i="15"/>
  <c r="W486" i="15"/>
  <c r="X486" i="15"/>
  <c r="Y486" i="15"/>
  <c r="Z486" i="15"/>
  <c r="AA486" i="15"/>
  <c r="B487" i="15"/>
  <c r="C487" i="15"/>
  <c r="D487" i="15"/>
  <c r="E487" i="15"/>
  <c r="J487" i="15"/>
  <c r="K487" i="15"/>
  <c r="L487" i="15"/>
  <c r="M487" i="15"/>
  <c r="N487" i="15"/>
  <c r="O487" i="15"/>
  <c r="P487" i="15"/>
  <c r="Q487" i="15"/>
  <c r="T487" i="15"/>
  <c r="U487" i="15"/>
  <c r="V487" i="15"/>
  <c r="W487" i="15"/>
  <c r="X487" i="15"/>
  <c r="Y487" i="15"/>
  <c r="Z487" i="15"/>
  <c r="AA487" i="15"/>
  <c r="B488" i="15"/>
  <c r="C488" i="15"/>
  <c r="D488" i="15"/>
  <c r="E488" i="15"/>
  <c r="J488" i="15"/>
  <c r="K488" i="15"/>
  <c r="L488" i="15"/>
  <c r="M488" i="15"/>
  <c r="N488" i="15"/>
  <c r="O488" i="15"/>
  <c r="P488" i="15"/>
  <c r="Q488" i="15"/>
  <c r="T488" i="15"/>
  <c r="U488" i="15"/>
  <c r="V488" i="15"/>
  <c r="W488" i="15"/>
  <c r="X488" i="15"/>
  <c r="Y488" i="15"/>
  <c r="Z488" i="15"/>
  <c r="AA488" i="15"/>
  <c r="B489" i="15"/>
  <c r="C489" i="15"/>
  <c r="D489" i="15"/>
  <c r="E489" i="15"/>
  <c r="J489" i="15"/>
  <c r="K489" i="15"/>
  <c r="L489" i="15"/>
  <c r="M489" i="15"/>
  <c r="N489" i="15"/>
  <c r="O489" i="15"/>
  <c r="P489" i="15"/>
  <c r="Q489" i="15"/>
  <c r="T489" i="15"/>
  <c r="U489" i="15"/>
  <c r="V489" i="15"/>
  <c r="W489" i="15"/>
  <c r="X489" i="15"/>
  <c r="Y489" i="15"/>
  <c r="Z489" i="15"/>
  <c r="AA489" i="15"/>
  <c r="B490" i="15"/>
  <c r="C490" i="15"/>
  <c r="D490" i="15"/>
  <c r="E490" i="15"/>
  <c r="J490" i="15"/>
  <c r="K490" i="15"/>
  <c r="L490" i="15"/>
  <c r="M490" i="15"/>
  <c r="N490" i="15"/>
  <c r="O490" i="15"/>
  <c r="P490" i="15"/>
  <c r="Q490" i="15"/>
  <c r="T490" i="15"/>
  <c r="U490" i="15"/>
  <c r="V490" i="15"/>
  <c r="W490" i="15"/>
  <c r="X490" i="15"/>
  <c r="Y490" i="15"/>
  <c r="Z490" i="15"/>
  <c r="AA490" i="15"/>
  <c r="B491" i="15"/>
  <c r="C491" i="15"/>
  <c r="D491" i="15"/>
  <c r="E491" i="15"/>
  <c r="J491" i="15"/>
  <c r="K491" i="15"/>
  <c r="L491" i="15"/>
  <c r="M491" i="15"/>
  <c r="N491" i="15"/>
  <c r="O491" i="15"/>
  <c r="P491" i="15"/>
  <c r="Q491" i="15"/>
  <c r="T491" i="15"/>
  <c r="U491" i="15"/>
  <c r="V491" i="15"/>
  <c r="W491" i="15"/>
  <c r="X491" i="15"/>
  <c r="Y491" i="15"/>
  <c r="Z491" i="15"/>
  <c r="AA491" i="15"/>
  <c r="B492" i="15"/>
  <c r="C492" i="15"/>
  <c r="D492" i="15"/>
  <c r="E492" i="15"/>
  <c r="J492" i="15"/>
  <c r="K492" i="15"/>
  <c r="L492" i="15"/>
  <c r="M492" i="15"/>
  <c r="N492" i="15"/>
  <c r="O492" i="15"/>
  <c r="P492" i="15"/>
  <c r="Q492" i="15"/>
  <c r="T492" i="15"/>
  <c r="U492" i="15"/>
  <c r="V492" i="15"/>
  <c r="W492" i="15"/>
  <c r="X492" i="15"/>
  <c r="Y492" i="15"/>
  <c r="Z492" i="15"/>
  <c r="AA492" i="15"/>
  <c r="B493" i="15"/>
  <c r="C493" i="15"/>
  <c r="D493" i="15"/>
  <c r="E493" i="15"/>
  <c r="J493" i="15"/>
  <c r="K493" i="15"/>
  <c r="L493" i="15"/>
  <c r="M493" i="15"/>
  <c r="N493" i="15"/>
  <c r="O493" i="15"/>
  <c r="P493" i="15"/>
  <c r="Q493" i="15"/>
  <c r="T493" i="15"/>
  <c r="U493" i="15"/>
  <c r="V493" i="15"/>
  <c r="W493" i="15"/>
  <c r="X493" i="15"/>
  <c r="Y493" i="15"/>
  <c r="Z493" i="15"/>
  <c r="AA493" i="15"/>
  <c r="B494" i="15"/>
  <c r="C494" i="15"/>
  <c r="D494" i="15"/>
  <c r="E494" i="15"/>
  <c r="J494" i="15"/>
  <c r="K494" i="15"/>
  <c r="L494" i="15"/>
  <c r="M494" i="15"/>
  <c r="N494" i="15"/>
  <c r="O494" i="15"/>
  <c r="P494" i="15"/>
  <c r="Q494" i="15"/>
  <c r="T494" i="15"/>
  <c r="U494" i="15"/>
  <c r="V494" i="15"/>
  <c r="W494" i="15"/>
  <c r="X494" i="15"/>
  <c r="Y494" i="15"/>
  <c r="Z494" i="15"/>
  <c r="AA494" i="15"/>
  <c r="B495" i="15"/>
  <c r="C495" i="15"/>
  <c r="D495" i="15"/>
  <c r="E495" i="15"/>
  <c r="J495" i="15"/>
  <c r="K495" i="15"/>
  <c r="L495" i="15"/>
  <c r="M495" i="15"/>
  <c r="N495" i="15"/>
  <c r="O495" i="15"/>
  <c r="P495" i="15"/>
  <c r="Q495" i="15"/>
  <c r="T495" i="15"/>
  <c r="U495" i="15"/>
  <c r="V495" i="15"/>
  <c r="W495" i="15"/>
  <c r="X495" i="15"/>
  <c r="Y495" i="15"/>
  <c r="Z495" i="15"/>
  <c r="AA495" i="15"/>
  <c r="B496" i="15"/>
  <c r="C496" i="15"/>
  <c r="D496" i="15"/>
  <c r="E496" i="15"/>
  <c r="J496" i="15"/>
  <c r="K496" i="15"/>
  <c r="L496" i="15"/>
  <c r="M496" i="15"/>
  <c r="N496" i="15"/>
  <c r="O496" i="15"/>
  <c r="P496" i="15"/>
  <c r="Q496" i="15"/>
  <c r="T496" i="15"/>
  <c r="U496" i="15"/>
  <c r="V496" i="15"/>
  <c r="W496" i="15"/>
  <c r="X496" i="15"/>
  <c r="Y496" i="15"/>
  <c r="Z496" i="15"/>
  <c r="AA496" i="15"/>
  <c r="B497" i="15"/>
  <c r="C497" i="15"/>
  <c r="D497" i="15"/>
  <c r="E497" i="15"/>
  <c r="J497" i="15"/>
  <c r="K497" i="15"/>
  <c r="L497" i="15"/>
  <c r="M497" i="15"/>
  <c r="N497" i="15"/>
  <c r="O497" i="15"/>
  <c r="P497" i="15"/>
  <c r="Q497" i="15"/>
  <c r="T497" i="15"/>
  <c r="U497" i="15"/>
  <c r="V497" i="15"/>
  <c r="W497" i="15"/>
  <c r="X497" i="15"/>
  <c r="Y497" i="15"/>
  <c r="Z497" i="15"/>
  <c r="AA497" i="15"/>
  <c r="B498" i="15"/>
  <c r="C498" i="15"/>
  <c r="D498" i="15"/>
  <c r="E498" i="15"/>
  <c r="J498" i="15"/>
  <c r="K498" i="15"/>
  <c r="L498" i="15"/>
  <c r="M498" i="15"/>
  <c r="N498" i="15"/>
  <c r="O498" i="15"/>
  <c r="P498" i="15"/>
  <c r="Q498" i="15"/>
  <c r="T498" i="15"/>
  <c r="U498" i="15"/>
  <c r="V498" i="15"/>
  <c r="W498" i="15"/>
  <c r="X498" i="15"/>
  <c r="Y498" i="15"/>
  <c r="Z498" i="15"/>
  <c r="AA498" i="15"/>
  <c r="B499" i="15"/>
  <c r="C499" i="15"/>
  <c r="D499" i="15"/>
  <c r="E499" i="15"/>
  <c r="J499" i="15"/>
  <c r="K499" i="15"/>
  <c r="L499" i="15"/>
  <c r="M499" i="15"/>
  <c r="N499" i="15"/>
  <c r="O499" i="15"/>
  <c r="P499" i="15"/>
  <c r="Q499" i="15"/>
  <c r="T499" i="15"/>
  <c r="U499" i="15"/>
  <c r="V499" i="15"/>
  <c r="W499" i="15"/>
  <c r="X499" i="15"/>
  <c r="Y499" i="15"/>
  <c r="Z499" i="15"/>
  <c r="AA499" i="15"/>
  <c r="B500" i="15"/>
  <c r="C500" i="15"/>
  <c r="D500" i="15"/>
  <c r="E500" i="15"/>
  <c r="J500" i="15"/>
  <c r="K500" i="15"/>
  <c r="L500" i="15"/>
  <c r="M500" i="15"/>
  <c r="N500" i="15"/>
  <c r="O500" i="15"/>
  <c r="P500" i="15"/>
  <c r="Q500" i="15"/>
  <c r="T500" i="15"/>
  <c r="U500" i="15"/>
  <c r="V500" i="15"/>
  <c r="W500" i="15"/>
  <c r="X500" i="15"/>
  <c r="Y500" i="15"/>
  <c r="Z500" i="15"/>
  <c r="AA500" i="15"/>
  <c r="B501" i="15"/>
  <c r="C501" i="15"/>
  <c r="D501" i="15"/>
  <c r="E501" i="15"/>
  <c r="J501" i="15"/>
  <c r="K501" i="15"/>
  <c r="L501" i="15"/>
  <c r="M501" i="15"/>
  <c r="N501" i="15"/>
  <c r="O501" i="15"/>
  <c r="P501" i="15"/>
  <c r="Q501" i="15"/>
  <c r="T501" i="15"/>
  <c r="U501" i="15"/>
  <c r="V501" i="15"/>
  <c r="W501" i="15"/>
  <c r="X501" i="15"/>
  <c r="Y501" i="15"/>
  <c r="Z501" i="15"/>
  <c r="AA501" i="15"/>
  <c r="B502" i="15"/>
  <c r="C502" i="15"/>
  <c r="D502" i="15"/>
  <c r="E502" i="15"/>
  <c r="J502" i="15"/>
  <c r="K502" i="15"/>
  <c r="L502" i="15"/>
  <c r="M502" i="15"/>
  <c r="N502" i="15"/>
  <c r="O502" i="15"/>
  <c r="P502" i="15"/>
  <c r="Q502" i="15"/>
  <c r="T502" i="15"/>
  <c r="U502" i="15"/>
  <c r="V502" i="15"/>
  <c r="W502" i="15"/>
  <c r="X502" i="15"/>
  <c r="Y502" i="15"/>
  <c r="Z502" i="15"/>
  <c r="AA502" i="15"/>
  <c r="B503" i="15"/>
  <c r="C503" i="15"/>
  <c r="D503" i="15"/>
  <c r="E503" i="15"/>
  <c r="J503" i="15"/>
  <c r="K503" i="15"/>
  <c r="L503" i="15"/>
  <c r="M503" i="15"/>
  <c r="N503" i="15"/>
  <c r="O503" i="15"/>
  <c r="P503" i="15"/>
  <c r="Q503" i="15"/>
  <c r="T503" i="15"/>
  <c r="U503" i="15"/>
  <c r="V503" i="15"/>
  <c r="W503" i="15"/>
  <c r="X503" i="15"/>
  <c r="Y503" i="15"/>
  <c r="Z503" i="15"/>
  <c r="AA503" i="15"/>
  <c r="B504" i="15"/>
  <c r="C504" i="15"/>
  <c r="D504" i="15"/>
  <c r="E504" i="15"/>
  <c r="J504" i="15"/>
  <c r="K504" i="15"/>
  <c r="L504" i="15"/>
  <c r="M504" i="15"/>
  <c r="N504" i="15"/>
  <c r="O504" i="15"/>
  <c r="P504" i="15"/>
  <c r="Q504" i="15"/>
  <c r="T504" i="15"/>
  <c r="U504" i="15"/>
  <c r="V504" i="15"/>
  <c r="W504" i="15"/>
  <c r="X504" i="15"/>
  <c r="Y504" i="15"/>
  <c r="Z504" i="15"/>
  <c r="AA504" i="15"/>
  <c r="B505" i="15"/>
  <c r="C505" i="15"/>
  <c r="D505" i="15"/>
  <c r="E505" i="15"/>
  <c r="J505" i="15"/>
  <c r="K505" i="15"/>
  <c r="L505" i="15"/>
  <c r="M505" i="15"/>
  <c r="N505" i="15"/>
  <c r="O505" i="15"/>
  <c r="P505" i="15"/>
  <c r="Q505" i="15"/>
  <c r="T505" i="15"/>
  <c r="U505" i="15"/>
  <c r="V505" i="15"/>
  <c r="W505" i="15"/>
  <c r="X505" i="15"/>
  <c r="Y505" i="15"/>
  <c r="Z505" i="15"/>
  <c r="AA505" i="15"/>
  <c r="B506" i="15"/>
  <c r="C506" i="15"/>
  <c r="D506" i="15"/>
  <c r="E506" i="15"/>
  <c r="J506" i="15"/>
  <c r="K506" i="15"/>
  <c r="L506" i="15"/>
  <c r="M506" i="15"/>
  <c r="N506" i="15"/>
  <c r="O506" i="15"/>
  <c r="P506" i="15"/>
  <c r="Q506" i="15"/>
  <c r="T506" i="15"/>
  <c r="U506" i="15"/>
  <c r="V506" i="15"/>
  <c r="W506" i="15"/>
  <c r="X506" i="15"/>
  <c r="Y506" i="15"/>
  <c r="Z506" i="15"/>
  <c r="AA506" i="15"/>
  <c r="B507" i="15"/>
  <c r="C507" i="15"/>
  <c r="D507" i="15"/>
  <c r="E507" i="15"/>
  <c r="J507" i="15"/>
  <c r="K507" i="15"/>
  <c r="L507" i="15"/>
  <c r="M507" i="15"/>
  <c r="N507" i="15"/>
  <c r="O507" i="15"/>
  <c r="P507" i="15"/>
  <c r="Q507" i="15"/>
  <c r="T507" i="15"/>
  <c r="U507" i="15"/>
  <c r="V507" i="15"/>
  <c r="W507" i="15"/>
  <c r="X507" i="15"/>
  <c r="Y507" i="15"/>
  <c r="Z507" i="15"/>
  <c r="AA507" i="15"/>
  <c r="B508" i="15"/>
  <c r="C508" i="15"/>
  <c r="D508" i="15"/>
  <c r="E508" i="15"/>
  <c r="J508" i="15"/>
  <c r="K508" i="15"/>
  <c r="L508" i="15"/>
  <c r="M508" i="15"/>
  <c r="N508" i="15"/>
  <c r="O508" i="15"/>
  <c r="P508" i="15"/>
  <c r="Q508" i="15"/>
  <c r="T508" i="15"/>
  <c r="U508" i="15"/>
  <c r="V508" i="15"/>
  <c r="W508" i="15"/>
  <c r="X508" i="15"/>
  <c r="Y508" i="15"/>
  <c r="Z508" i="15"/>
  <c r="AA508" i="15"/>
  <c r="B509" i="15"/>
  <c r="C509" i="15"/>
  <c r="D509" i="15"/>
  <c r="E509" i="15"/>
  <c r="J509" i="15"/>
  <c r="K509" i="15"/>
  <c r="L509" i="15"/>
  <c r="M509" i="15"/>
  <c r="N509" i="15"/>
  <c r="O509" i="15"/>
  <c r="P509" i="15"/>
  <c r="Q509" i="15"/>
  <c r="T509" i="15"/>
  <c r="U509" i="15"/>
  <c r="V509" i="15"/>
  <c r="W509" i="15"/>
  <c r="X509" i="15"/>
  <c r="Y509" i="15"/>
  <c r="Z509" i="15"/>
  <c r="AA509" i="15"/>
  <c r="B510" i="15"/>
  <c r="C510" i="15"/>
  <c r="D510" i="15"/>
  <c r="E510" i="15"/>
  <c r="J510" i="15"/>
  <c r="K510" i="15"/>
  <c r="L510" i="15"/>
  <c r="M510" i="15"/>
  <c r="N510" i="15"/>
  <c r="O510" i="15"/>
  <c r="P510" i="15"/>
  <c r="Q510" i="15"/>
  <c r="T510" i="15"/>
  <c r="U510" i="15"/>
  <c r="V510" i="15"/>
  <c r="W510" i="15"/>
  <c r="X510" i="15"/>
  <c r="Y510" i="15"/>
  <c r="Z510" i="15"/>
  <c r="AA510" i="15"/>
  <c r="B511" i="15"/>
  <c r="C511" i="15"/>
  <c r="D511" i="15"/>
  <c r="E511" i="15"/>
  <c r="J511" i="15"/>
  <c r="K511" i="15"/>
  <c r="L511" i="15"/>
  <c r="M511" i="15"/>
  <c r="N511" i="15"/>
  <c r="O511" i="15"/>
  <c r="P511" i="15"/>
  <c r="Q511" i="15"/>
  <c r="T511" i="15"/>
  <c r="U511" i="15"/>
  <c r="V511" i="15"/>
  <c r="W511" i="15"/>
  <c r="X511" i="15"/>
  <c r="Y511" i="15"/>
  <c r="Z511" i="15"/>
  <c r="AA511" i="15"/>
  <c r="B512" i="15"/>
  <c r="C512" i="15"/>
  <c r="D512" i="15"/>
  <c r="E512" i="15"/>
  <c r="J512" i="15"/>
  <c r="K512" i="15"/>
  <c r="L512" i="15"/>
  <c r="M512" i="15"/>
  <c r="N512" i="15"/>
  <c r="O512" i="15"/>
  <c r="P512" i="15"/>
  <c r="Q512" i="15"/>
  <c r="T512" i="15"/>
  <c r="U512" i="15"/>
  <c r="V512" i="15"/>
  <c r="W512" i="15"/>
  <c r="X512" i="15"/>
  <c r="Y512" i="15"/>
  <c r="Z512" i="15"/>
  <c r="AA512" i="15"/>
  <c r="B513" i="15"/>
  <c r="C513" i="15"/>
  <c r="D513" i="15"/>
  <c r="E513" i="15"/>
  <c r="J513" i="15"/>
  <c r="K513" i="15"/>
  <c r="L513" i="15"/>
  <c r="M513" i="15"/>
  <c r="N513" i="15"/>
  <c r="O513" i="15"/>
  <c r="P513" i="15"/>
  <c r="Q513" i="15"/>
  <c r="T513" i="15"/>
  <c r="U513" i="15"/>
  <c r="V513" i="15"/>
  <c r="W513" i="15"/>
  <c r="X513" i="15"/>
  <c r="Y513" i="15"/>
  <c r="Z513" i="15"/>
  <c r="AA513" i="15"/>
  <c r="B514" i="15"/>
  <c r="C514" i="15"/>
  <c r="D514" i="15"/>
  <c r="E514" i="15"/>
  <c r="J514" i="15"/>
  <c r="K514" i="15"/>
  <c r="L514" i="15"/>
  <c r="M514" i="15"/>
  <c r="N514" i="15"/>
  <c r="O514" i="15"/>
  <c r="P514" i="15"/>
  <c r="Q514" i="15"/>
  <c r="T514" i="15"/>
  <c r="U514" i="15"/>
  <c r="V514" i="15"/>
  <c r="W514" i="15"/>
  <c r="X514" i="15"/>
  <c r="Y514" i="15"/>
  <c r="Z514" i="15"/>
  <c r="AA514" i="15"/>
  <c r="B515" i="15"/>
  <c r="C515" i="15"/>
  <c r="D515" i="15"/>
  <c r="E515" i="15"/>
  <c r="J515" i="15"/>
  <c r="K515" i="15"/>
  <c r="L515" i="15"/>
  <c r="M515" i="15"/>
  <c r="N515" i="15"/>
  <c r="O515" i="15"/>
  <c r="P515" i="15"/>
  <c r="Q515" i="15"/>
  <c r="T515" i="15"/>
  <c r="U515" i="15"/>
  <c r="V515" i="15"/>
  <c r="W515" i="15"/>
  <c r="X515" i="15"/>
  <c r="Y515" i="15"/>
  <c r="Z515" i="15"/>
  <c r="AA515" i="15"/>
  <c r="B516" i="15"/>
  <c r="C516" i="15"/>
  <c r="D516" i="15"/>
  <c r="E516" i="15"/>
  <c r="J516" i="15"/>
  <c r="K516" i="15"/>
  <c r="L516" i="15"/>
  <c r="M516" i="15"/>
  <c r="N516" i="15"/>
  <c r="O516" i="15"/>
  <c r="P516" i="15"/>
  <c r="Q516" i="15"/>
  <c r="T516" i="15"/>
  <c r="U516" i="15"/>
  <c r="V516" i="15"/>
  <c r="W516" i="15"/>
  <c r="X516" i="15"/>
  <c r="Y516" i="15"/>
  <c r="Z516" i="15"/>
  <c r="AA516" i="15"/>
  <c r="B517" i="15"/>
  <c r="C517" i="15"/>
  <c r="D517" i="15"/>
  <c r="E517" i="15"/>
  <c r="J517" i="15"/>
  <c r="K517" i="15"/>
  <c r="L517" i="15"/>
  <c r="M517" i="15"/>
  <c r="N517" i="15"/>
  <c r="O517" i="15"/>
  <c r="P517" i="15"/>
  <c r="Q517" i="15"/>
  <c r="T517" i="15"/>
  <c r="U517" i="15"/>
  <c r="V517" i="15"/>
  <c r="W517" i="15"/>
  <c r="X517" i="15"/>
  <c r="Y517" i="15"/>
  <c r="Z517" i="15"/>
  <c r="AA517" i="15"/>
  <c r="B518" i="15"/>
  <c r="C518" i="15"/>
  <c r="D518" i="15"/>
  <c r="E518" i="15"/>
  <c r="J518" i="15"/>
  <c r="K518" i="15"/>
  <c r="L518" i="15"/>
  <c r="M518" i="15"/>
  <c r="N518" i="15"/>
  <c r="O518" i="15"/>
  <c r="P518" i="15"/>
  <c r="Q518" i="15"/>
  <c r="T518" i="15"/>
  <c r="U518" i="15"/>
  <c r="V518" i="15"/>
  <c r="W518" i="15"/>
  <c r="X518" i="15"/>
  <c r="Y518" i="15"/>
  <c r="Z518" i="15"/>
  <c r="AA518" i="15"/>
  <c r="B519" i="15"/>
  <c r="C519" i="15"/>
  <c r="D519" i="15"/>
  <c r="E519" i="15"/>
  <c r="J519" i="15"/>
  <c r="K519" i="15"/>
  <c r="L519" i="15"/>
  <c r="M519" i="15"/>
  <c r="N519" i="15"/>
  <c r="O519" i="15"/>
  <c r="P519" i="15"/>
  <c r="Q519" i="15"/>
  <c r="T519" i="15"/>
  <c r="U519" i="15"/>
  <c r="V519" i="15"/>
  <c r="W519" i="15"/>
  <c r="X519" i="15"/>
  <c r="Y519" i="15"/>
  <c r="Z519" i="15"/>
  <c r="AA519" i="15"/>
  <c r="B520" i="15"/>
  <c r="C520" i="15"/>
  <c r="D520" i="15"/>
  <c r="E520" i="15"/>
  <c r="J520" i="15"/>
  <c r="K520" i="15"/>
  <c r="L520" i="15"/>
  <c r="M520" i="15"/>
  <c r="N520" i="15"/>
  <c r="O520" i="15"/>
  <c r="P520" i="15"/>
  <c r="Q520" i="15"/>
  <c r="T520" i="15"/>
  <c r="U520" i="15"/>
  <c r="V520" i="15"/>
  <c r="W520" i="15"/>
  <c r="X520" i="15"/>
  <c r="Y520" i="15"/>
  <c r="Z520" i="15"/>
  <c r="AA520" i="15"/>
  <c r="B521" i="15"/>
  <c r="C521" i="15"/>
  <c r="D521" i="15"/>
  <c r="E521" i="15"/>
  <c r="J521" i="15"/>
  <c r="K521" i="15"/>
  <c r="L521" i="15"/>
  <c r="M521" i="15"/>
  <c r="N521" i="15"/>
  <c r="O521" i="15"/>
  <c r="P521" i="15"/>
  <c r="Q521" i="15"/>
  <c r="T521" i="15"/>
  <c r="U521" i="15"/>
  <c r="V521" i="15"/>
  <c r="W521" i="15"/>
  <c r="X521" i="15"/>
  <c r="Y521" i="15"/>
  <c r="Z521" i="15"/>
  <c r="AA521" i="15"/>
  <c r="B522" i="15"/>
  <c r="C522" i="15"/>
  <c r="D522" i="15"/>
  <c r="E522" i="15"/>
  <c r="J522" i="15"/>
  <c r="K522" i="15"/>
  <c r="L522" i="15"/>
  <c r="M522" i="15"/>
  <c r="N522" i="15"/>
  <c r="O522" i="15"/>
  <c r="P522" i="15"/>
  <c r="Q522" i="15"/>
  <c r="T522" i="15"/>
  <c r="U522" i="15"/>
  <c r="V522" i="15"/>
  <c r="W522" i="15"/>
  <c r="X522" i="15"/>
  <c r="Y522" i="15"/>
  <c r="Z522" i="15"/>
  <c r="AA522" i="15"/>
  <c r="B523" i="15"/>
  <c r="C523" i="15"/>
  <c r="D523" i="15"/>
  <c r="E523" i="15"/>
  <c r="J523" i="15"/>
  <c r="K523" i="15"/>
  <c r="L523" i="15"/>
  <c r="M523" i="15"/>
  <c r="N523" i="15"/>
  <c r="O523" i="15"/>
  <c r="P523" i="15"/>
  <c r="Q523" i="15"/>
  <c r="T523" i="15"/>
  <c r="U523" i="15"/>
  <c r="V523" i="15"/>
  <c r="W523" i="15"/>
  <c r="X523" i="15"/>
  <c r="Y523" i="15"/>
  <c r="Z523" i="15"/>
  <c r="AA523" i="15"/>
  <c r="B524" i="15"/>
  <c r="C524" i="15"/>
  <c r="D524" i="15"/>
  <c r="E524" i="15"/>
  <c r="J524" i="15"/>
  <c r="K524" i="15"/>
  <c r="L524" i="15"/>
  <c r="M524" i="15"/>
  <c r="N524" i="15"/>
  <c r="O524" i="15"/>
  <c r="P524" i="15"/>
  <c r="Q524" i="15"/>
  <c r="T524" i="15"/>
  <c r="U524" i="15"/>
  <c r="V524" i="15"/>
  <c r="W524" i="15"/>
  <c r="X524" i="15"/>
  <c r="Y524" i="15"/>
  <c r="Z524" i="15"/>
  <c r="AA524" i="15"/>
  <c r="B525" i="15"/>
  <c r="C525" i="15"/>
  <c r="D525" i="15"/>
  <c r="E525" i="15"/>
  <c r="J525" i="15"/>
  <c r="K525" i="15"/>
  <c r="L525" i="15"/>
  <c r="M525" i="15"/>
  <c r="N525" i="15"/>
  <c r="O525" i="15"/>
  <c r="P525" i="15"/>
  <c r="Q525" i="15"/>
  <c r="T525" i="15"/>
  <c r="U525" i="15"/>
  <c r="V525" i="15"/>
  <c r="W525" i="15"/>
  <c r="X525" i="15"/>
  <c r="Y525" i="15"/>
  <c r="Z525" i="15"/>
  <c r="AA525" i="15"/>
  <c r="B526" i="15"/>
  <c r="C526" i="15"/>
  <c r="D526" i="15"/>
  <c r="E526" i="15"/>
  <c r="J526" i="15"/>
  <c r="K526" i="15"/>
  <c r="L526" i="15"/>
  <c r="M526" i="15"/>
  <c r="N526" i="15"/>
  <c r="O526" i="15"/>
  <c r="P526" i="15"/>
  <c r="Q526" i="15"/>
  <c r="T526" i="15"/>
  <c r="U526" i="15"/>
  <c r="V526" i="15"/>
  <c r="W526" i="15"/>
  <c r="X526" i="15"/>
  <c r="Y526" i="15"/>
  <c r="Z526" i="15"/>
  <c r="AA526" i="15"/>
  <c r="B527" i="15"/>
  <c r="C527" i="15"/>
  <c r="D527" i="15"/>
  <c r="E527" i="15"/>
  <c r="J527" i="15"/>
  <c r="K527" i="15"/>
  <c r="L527" i="15"/>
  <c r="M527" i="15"/>
  <c r="N527" i="15"/>
  <c r="O527" i="15"/>
  <c r="P527" i="15"/>
  <c r="Q527" i="15"/>
  <c r="T527" i="15"/>
  <c r="U527" i="15"/>
  <c r="V527" i="15"/>
  <c r="W527" i="15"/>
  <c r="X527" i="15"/>
  <c r="Y527" i="15"/>
  <c r="Z527" i="15"/>
  <c r="AA527" i="15"/>
  <c r="B528" i="15"/>
  <c r="C528" i="15"/>
  <c r="D528" i="15"/>
  <c r="E528" i="15"/>
  <c r="J528" i="15"/>
  <c r="K528" i="15"/>
  <c r="L528" i="15"/>
  <c r="M528" i="15"/>
  <c r="N528" i="15"/>
  <c r="O528" i="15"/>
  <c r="P528" i="15"/>
  <c r="Q528" i="15"/>
  <c r="T528" i="15"/>
  <c r="U528" i="15"/>
  <c r="V528" i="15"/>
  <c r="W528" i="15"/>
  <c r="X528" i="15"/>
  <c r="Y528" i="15"/>
  <c r="Z528" i="15"/>
  <c r="AA528" i="15"/>
  <c r="B529" i="15"/>
  <c r="C529" i="15"/>
  <c r="D529" i="15"/>
  <c r="E529" i="15"/>
  <c r="J529" i="15"/>
  <c r="K529" i="15"/>
  <c r="L529" i="15"/>
  <c r="M529" i="15"/>
  <c r="N529" i="15"/>
  <c r="O529" i="15"/>
  <c r="P529" i="15"/>
  <c r="Q529" i="15"/>
  <c r="T529" i="15"/>
  <c r="U529" i="15"/>
  <c r="V529" i="15"/>
  <c r="W529" i="15"/>
  <c r="X529" i="15"/>
  <c r="Y529" i="15"/>
  <c r="Z529" i="15"/>
  <c r="AA529" i="15"/>
  <c r="B530" i="15"/>
  <c r="C530" i="15"/>
  <c r="D530" i="15"/>
  <c r="E530" i="15"/>
  <c r="J530" i="15"/>
  <c r="K530" i="15"/>
  <c r="L530" i="15"/>
  <c r="M530" i="15"/>
  <c r="N530" i="15"/>
  <c r="O530" i="15"/>
  <c r="P530" i="15"/>
  <c r="Q530" i="15"/>
  <c r="T530" i="15"/>
  <c r="U530" i="15"/>
  <c r="V530" i="15"/>
  <c r="W530" i="15"/>
  <c r="X530" i="15"/>
  <c r="Y530" i="15"/>
  <c r="Z530" i="15"/>
  <c r="AA530" i="15"/>
  <c r="B531" i="15"/>
  <c r="C531" i="15"/>
  <c r="D531" i="15"/>
  <c r="E531" i="15"/>
  <c r="J531" i="15"/>
  <c r="K531" i="15"/>
  <c r="L531" i="15"/>
  <c r="M531" i="15"/>
  <c r="N531" i="15"/>
  <c r="O531" i="15"/>
  <c r="P531" i="15"/>
  <c r="Q531" i="15"/>
  <c r="T531" i="15"/>
  <c r="U531" i="15"/>
  <c r="V531" i="15"/>
  <c r="W531" i="15"/>
  <c r="X531" i="15"/>
  <c r="Y531" i="15"/>
  <c r="Z531" i="15"/>
  <c r="AA531" i="15"/>
  <c r="B532" i="15"/>
  <c r="C532" i="15"/>
  <c r="D532" i="15"/>
  <c r="E532" i="15"/>
  <c r="J532" i="15"/>
  <c r="K532" i="15"/>
  <c r="L532" i="15"/>
  <c r="M532" i="15"/>
  <c r="N532" i="15"/>
  <c r="O532" i="15"/>
  <c r="P532" i="15"/>
  <c r="Q532" i="15"/>
  <c r="T532" i="15"/>
  <c r="U532" i="15"/>
  <c r="V532" i="15"/>
  <c r="W532" i="15"/>
  <c r="X532" i="15"/>
  <c r="Y532" i="15"/>
  <c r="Z532" i="15"/>
  <c r="AA532" i="15"/>
  <c r="B533" i="15"/>
  <c r="C533" i="15"/>
  <c r="D533" i="15"/>
  <c r="E533" i="15"/>
  <c r="J533" i="15"/>
  <c r="K533" i="15"/>
  <c r="L533" i="15"/>
  <c r="M533" i="15"/>
  <c r="N533" i="15"/>
  <c r="O533" i="15"/>
  <c r="P533" i="15"/>
  <c r="Q533" i="15"/>
  <c r="T533" i="15"/>
  <c r="U533" i="15"/>
  <c r="V533" i="15"/>
  <c r="W533" i="15"/>
  <c r="X533" i="15"/>
  <c r="Y533" i="15"/>
  <c r="Z533" i="15"/>
  <c r="AA533" i="15"/>
  <c r="B534" i="15"/>
  <c r="C534" i="15"/>
  <c r="D534" i="15"/>
  <c r="E534" i="15"/>
  <c r="J534" i="15"/>
  <c r="K534" i="15"/>
  <c r="L534" i="15"/>
  <c r="M534" i="15"/>
  <c r="N534" i="15"/>
  <c r="O534" i="15"/>
  <c r="P534" i="15"/>
  <c r="Q534" i="15"/>
  <c r="T534" i="15"/>
  <c r="U534" i="15"/>
  <c r="V534" i="15"/>
  <c r="W534" i="15"/>
  <c r="X534" i="15"/>
  <c r="Y534" i="15"/>
  <c r="Z534" i="15"/>
  <c r="AA534" i="15"/>
  <c r="B535" i="15"/>
  <c r="C535" i="15"/>
  <c r="D535" i="15"/>
  <c r="E535" i="15"/>
  <c r="J535" i="15"/>
  <c r="K535" i="15"/>
  <c r="L535" i="15"/>
  <c r="M535" i="15"/>
  <c r="N535" i="15"/>
  <c r="O535" i="15"/>
  <c r="P535" i="15"/>
  <c r="Q535" i="15"/>
  <c r="T535" i="15"/>
  <c r="U535" i="15"/>
  <c r="V535" i="15"/>
  <c r="W535" i="15"/>
  <c r="X535" i="15"/>
  <c r="Y535" i="15"/>
  <c r="Z535" i="15"/>
  <c r="AA535" i="15"/>
  <c r="B536" i="15"/>
  <c r="C536" i="15"/>
  <c r="D536" i="15"/>
  <c r="E536" i="15"/>
  <c r="J536" i="15"/>
  <c r="K536" i="15"/>
  <c r="L536" i="15"/>
  <c r="M536" i="15"/>
  <c r="N536" i="15"/>
  <c r="O536" i="15"/>
  <c r="P536" i="15"/>
  <c r="Q536" i="15"/>
  <c r="T536" i="15"/>
  <c r="U536" i="15"/>
  <c r="V536" i="15"/>
  <c r="W536" i="15"/>
  <c r="X536" i="15"/>
  <c r="Y536" i="15"/>
  <c r="Z536" i="15"/>
  <c r="AA536" i="15"/>
  <c r="B537" i="15"/>
  <c r="C537" i="15"/>
  <c r="D537" i="15"/>
  <c r="E537" i="15"/>
  <c r="J537" i="15"/>
  <c r="K537" i="15"/>
  <c r="L537" i="15"/>
  <c r="M537" i="15"/>
  <c r="N537" i="15"/>
  <c r="O537" i="15"/>
  <c r="P537" i="15"/>
  <c r="Q537" i="15"/>
  <c r="T537" i="15"/>
  <c r="U537" i="15"/>
  <c r="V537" i="15"/>
  <c r="W537" i="15"/>
  <c r="X537" i="15"/>
  <c r="Y537" i="15"/>
  <c r="Z537" i="15"/>
  <c r="AA537" i="15"/>
  <c r="B538" i="15"/>
  <c r="C538" i="15"/>
  <c r="D538" i="15"/>
  <c r="E538" i="15"/>
  <c r="J538" i="15"/>
  <c r="K538" i="15"/>
  <c r="L538" i="15"/>
  <c r="M538" i="15"/>
  <c r="N538" i="15"/>
  <c r="O538" i="15"/>
  <c r="P538" i="15"/>
  <c r="Q538" i="15"/>
  <c r="T538" i="15"/>
  <c r="U538" i="15"/>
  <c r="V538" i="15"/>
  <c r="W538" i="15"/>
  <c r="X538" i="15"/>
  <c r="Y538" i="15"/>
  <c r="Z538" i="15"/>
  <c r="AA538" i="15"/>
  <c r="B539" i="15"/>
  <c r="C539" i="15"/>
  <c r="D539" i="15"/>
  <c r="E539" i="15"/>
  <c r="J539" i="15"/>
  <c r="K539" i="15"/>
  <c r="L539" i="15"/>
  <c r="M539" i="15"/>
  <c r="N539" i="15"/>
  <c r="O539" i="15"/>
  <c r="P539" i="15"/>
  <c r="Q539" i="15"/>
  <c r="T539" i="15"/>
  <c r="U539" i="15"/>
  <c r="V539" i="15"/>
  <c r="W539" i="15"/>
  <c r="X539" i="15"/>
  <c r="Y539" i="15"/>
  <c r="Z539" i="15"/>
  <c r="AA539" i="15"/>
  <c r="B540" i="15"/>
  <c r="C540" i="15"/>
  <c r="D540" i="15"/>
  <c r="E540" i="15"/>
  <c r="J540" i="15"/>
  <c r="K540" i="15"/>
  <c r="L540" i="15"/>
  <c r="M540" i="15"/>
  <c r="N540" i="15"/>
  <c r="O540" i="15"/>
  <c r="P540" i="15"/>
  <c r="Q540" i="15"/>
  <c r="T540" i="15"/>
  <c r="U540" i="15"/>
  <c r="V540" i="15"/>
  <c r="W540" i="15"/>
  <c r="X540" i="15"/>
  <c r="Y540" i="15"/>
  <c r="Z540" i="15"/>
  <c r="AA540" i="15"/>
  <c r="B541" i="15"/>
  <c r="C541" i="15"/>
  <c r="D541" i="15"/>
  <c r="E541" i="15"/>
  <c r="J541" i="15"/>
  <c r="K541" i="15"/>
  <c r="L541" i="15"/>
  <c r="M541" i="15"/>
  <c r="N541" i="15"/>
  <c r="O541" i="15"/>
  <c r="P541" i="15"/>
  <c r="Q541" i="15"/>
  <c r="T541" i="15"/>
  <c r="U541" i="15"/>
  <c r="V541" i="15"/>
  <c r="W541" i="15"/>
  <c r="X541" i="15"/>
  <c r="Y541" i="15"/>
  <c r="Z541" i="15"/>
  <c r="AA541" i="15"/>
  <c r="B542" i="15"/>
  <c r="C542" i="15"/>
  <c r="D542" i="15"/>
  <c r="E542" i="15"/>
  <c r="J542" i="15"/>
  <c r="K542" i="15"/>
  <c r="L542" i="15"/>
  <c r="M542" i="15"/>
  <c r="N542" i="15"/>
  <c r="O542" i="15"/>
  <c r="P542" i="15"/>
  <c r="Q542" i="15"/>
  <c r="T542" i="15"/>
  <c r="U542" i="15"/>
  <c r="V542" i="15"/>
  <c r="W542" i="15"/>
  <c r="X542" i="15"/>
  <c r="Y542" i="15"/>
  <c r="Z542" i="15"/>
  <c r="AA542" i="15"/>
  <c r="B543" i="15"/>
  <c r="C543" i="15"/>
  <c r="D543" i="15"/>
  <c r="E543" i="15"/>
  <c r="J543" i="15"/>
  <c r="K543" i="15"/>
  <c r="L543" i="15"/>
  <c r="M543" i="15"/>
  <c r="N543" i="15"/>
  <c r="O543" i="15"/>
  <c r="P543" i="15"/>
  <c r="Q543" i="15"/>
  <c r="T543" i="15"/>
  <c r="U543" i="15"/>
  <c r="V543" i="15"/>
  <c r="W543" i="15"/>
  <c r="X543" i="15"/>
  <c r="Y543" i="15"/>
  <c r="Z543" i="15"/>
  <c r="AA543" i="15"/>
  <c r="B544" i="15"/>
  <c r="C544" i="15"/>
  <c r="D544" i="15"/>
  <c r="E544" i="15"/>
  <c r="J544" i="15"/>
  <c r="K544" i="15"/>
  <c r="L544" i="15"/>
  <c r="M544" i="15"/>
  <c r="N544" i="15"/>
  <c r="O544" i="15"/>
  <c r="P544" i="15"/>
  <c r="Q544" i="15"/>
  <c r="T544" i="15"/>
  <c r="U544" i="15"/>
  <c r="V544" i="15"/>
  <c r="W544" i="15"/>
  <c r="X544" i="15"/>
  <c r="Y544" i="15"/>
  <c r="Z544" i="15"/>
  <c r="AA544" i="15"/>
  <c r="B545" i="15"/>
  <c r="C545" i="15"/>
  <c r="D545" i="15"/>
  <c r="E545" i="15"/>
  <c r="J545" i="15"/>
  <c r="K545" i="15"/>
  <c r="L545" i="15"/>
  <c r="M545" i="15"/>
  <c r="N545" i="15"/>
  <c r="O545" i="15"/>
  <c r="P545" i="15"/>
  <c r="Q545" i="15"/>
  <c r="T545" i="15"/>
  <c r="U545" i="15"/>
  <c r="V545" i="15"/>
  <c r="W545" i="15"/>
  <c r="X545" i="15"/>
  <c r="Y545" i="15"/>
  <c r="Z545" i="15"/>
  <c r="AA545" i="15"/>
  <c r="B546" i="15"/>
  <c r="C546" i="15"/>
  <c r="D546" i="15"/>
  <c r="E546" i="15"/>
  <c r="J546" i="15"/>
  <c r="K546" i="15"/>
  <c r="L546" i="15"/>
  <c r="M546" i="15"/>
  <c r="N546" i="15"/>
  <c r="O546" i="15"/>
  <c r="P546" i="15"/>
  <c r="Q546" i="15"/>
  <c r="T546" i="15"/>
  <c r="U546" i="15"/>
  <c r="V546" i="15"/>
  <c r="W546" i="15"/>
  <c r="X546" i="15"/>
  <c r="Y546" i="15"/>
  <c r="Z546" i="15"/>
  <c r="AA546" i="15"/>
  <c r="B547" i="15"/>
  <c r="C547" i="15"/>
  <c r="D547" i="15"/>
  <c r="E547" i="15"/>
  <c r="J547" i="15"/>
  <c r="K547" i="15"/>
  <c r="L547" i="15"/>
  <c r="M547" i="15"/>
  <c r="N547" i="15"/>
  <c r="O547" i="15"/>
  <c r="P547" i="15"/>
  <c r="Q547" i="15"/>
  <c r="T547" i="15"/>
  <c r="U547" i="15"/>
  <c r="V547" i="15"/>
  <c r="W547" i="15"/>
  <c r="X547" i="15"/>
  <c r="Y547" i="15"/>
  <c r="Z547" i="15"/>
  <c r="AA547" i="15"/>
  <c r="B548" i="15"/>
  <c r="C548" i="15"/>
  <c r="D548" i="15"/>
  <c r="E548" i="15"/>
  <c r="J548" i="15"/>
  <c r="K548" i="15"/>
  <c r="L548" i="15"/>
  <c r="M548" i="15"/>
  <c r="N548" i="15"/>
  <c r="O548" i="15"/>
  <c r="P548" i="15"/>
  <c r="Q548" i="15"/>
  <c r="T548" i="15"/>
  <c r="U548" i="15"/>
  <c r="V548" i="15"/>
  <c r="W548" i="15"/>
  <c r="X548" i="15"/>
  <c r="Y548" i="15"/>
  <c r="Z548" i="15"/>
  <c r="AA548" i="15"/>
  <c r="B549" i="15"/>
  <c r="C549" i="15"/>
  <c r="D549" i="15"/>
  <c r="E549" i="15"/>
  <c r="J549" i="15"/>
  <c r="K549" i="15"/>
  <c r="L549" i="15"/>
  <c r="M549" i="15"/>
  <c r="N549" i="15"/>
  <c r="O549" i="15"/>
  <c r="P549" i="15"/>
  <c r="Q549" i="15"/>
  <c r="T549" i="15"/>
  <c r="U549" i="15"/>
  <c r="V549" i="15"/>
  <c r="W549" i="15"/>
  <c r="X549" i="15"/>
  <c r="Y549" i="15"/>
  <c r="Z549" i="15"/>
  <c r="AA549" i="15"/>
  <c r="B550" i="15"/>
  <c r="C550" i="15"/>
  <c r="D550" i="15"/>
  <c r="E550" i="15"/>
  <c r="J550" i="15"/>
  <c r="K550" i="15"/>
  <c r="L550" i="15"/>
  <c r="M550" i="15"/>
  <c r="N550" i="15"/>
  <c r="O550" i="15"/>
  <c r="P550" i="15"/>
  <c r="Q550" i="15"/>
  <c r="T550" i="15"/>
  <c r="U550" i="15"/>
  <c r="V550" i="15"/>
  <c r="W550" i="15"/>
  <c r="X550" i="15"/>
  <c r="Y550" i="15"/>
  <c r="Z550" i="15"/>
  <c r="AA550" i="15"/>
  <c r="B551" i="15"/>
  <c r="C551" i="15"/>
  <c r="D551" i="15"/>
  <c r="E551" i="15"/>
  <c r="J551" i="15"/>
  <c r="K551" i="15"/>
  <c r="L551" i="15"/>
  <c r="M551" i="15"/>
  <c r="N551" i="15"/>
  <c r="O551" i="15"/>
  <c r="P551" i="15"/>
  <c r="Q551" i="15"/>
  <c r="T551" i="15"/>
  <c r="U551" i="15"/>
  <c r="V551" i="15"/>
  <c r="W551" i="15"/>
  <c r="X551" i="15"/>
  <c r="Y551" i="15"/>
  <c r="Z551" i="15"/>
  <c r="AA551" i="15"/>
  <c r="B552" i="15"/>
  <c r="C552" i="15"/>
  <c r="D552" i="15"/>
  <c r="E552" i="15"/>
  <c r="J552" i="15"/>
  <c r="K552" i="15"/>
  <c r="L552" i="15"/>
  <c r="M552" i="15"/>
  <c r="N552" i="15"/>
  <c r="O552" i="15"/>
  <c r="P552" i="15"/>
  <c r="Q552" i="15"/>
  <c r="T552" i="15"/>
  <c r="U552" i="15"/>
  <c r="V552" i="15"/>
  <c r="W552" i="15"/>
  <c r="X552" i="15"/>
  <c r="Y552" i="15"/>
  <c r="Z552" i="15"/>
  <c r="AA552" i="15"/>
  <c r="B553" i="15"/>
  <c r="C553" i="15"/>
  <c r="D553" i="15"/>
  <c r="E553" i="15"/>
  <c r="J553" i="15"/>
  <c r="K553" i="15"/>
  <c r="L553" i="15"/>
  <c r="M553" i="15"/>
  <c r="N553" i="15"/>
  <c r="O553" i="15"/>
  <c r="P553" i="15"/>
  <c r="Q553" i="15"/>
  <c r="T553" i="15"/>
  <c r="U553" i="15"/>
  <c r="V553" i="15"/>
  <c r="W553" i="15"/>
  <c r="X553" i="15"/>
  <c r="Y553" i="15"/>
  <c r="Z553" i="15"/>
  <c r="AA553" i="15"/>
  <c r="B554" i="15"/>
  <c r="C554" i="15"/>
  <c r="D554" i="15"/>
  <c r="E554" i="15"/>
  <c r="J554" i="15"/>
  <c r="K554" i="15"/>
  <c r="L554" i="15"/>
  <c r="M554" i="15"/>
  <c r="N554" i="15"/>
  <c r="O554" i="15"/>
  <c r="P554" i="15"/>
  <c r="Q554" i="15"/>
  <c r="T554" i="15"/>
  <c r="U554" i="15"/>
  <c r="V554" i="15"/>
  <c r="W554" i="15"/>
  <c r="X554" i="15"/>
  <c r="Y554" i="15"/>
  <c r="Z554" i="15"/>
  <c r="AA554" i="15"/>
  <c r="B555" i="15"/>
  <c r="C555" i="15"/>
  <c r="D555" i="15"/>
  <c r="E555" i="15"/>
  <c r="J555" i="15"/>
  <c r="K555" i="15"/>
  <c r="L555" i="15"/>
  <c r="M555" i="15"/>
  <c r="N555" i="15"/>
  <c r="O555" i="15"/>
  <c r="P555" i="15"/>
  <c r="Q555" i="15"/>
  <c r="T555" i="15"/>
  <c r="U555" i="15"/>
  <c r="V555" i="15"/>
  <c r="W555" i="15"/>
  <c r="X555" i="15"/>
  <c r="Y555" i="15"/>
  <c r="Z555" i="15"/>
  <c r="AA555" i="15"/>
  <c r="B556" i="15"/>
  <c r="C556" i="15"/>
  <c r="D556" i="15"/>
  <c r="E556" i="15"/>
  <c r="J556" i="15"/>
  <c r="K556" i="15"/>
  <c r="L556" i="15"/>
  <c r="M556" i="15"/>
  <c r="N556" i="15"/>
  <c r="O556" i="15"/>
  <c r="P556" i="15"/>
  <c r="Q556" i="15"/>
  <c r="T556" i="15"/>
  <c r="U556" i="15"/>
  <c r="V556" i="15"/>
  <c r="W556" i="15"/>
  <c r="X556" i="15"/>
  <c r="Y556" i="15"/>
  <c r="Z556" i="15"/>
  <c r="AA556" i="15"/>
  <c r="B557" i="15"/>
  <c r="C557" i="15"/>
  <c r="D557" i="15"/>
  <c r="E557" i="15"/>
  <c r="J557" i="15"/>
  <c r="K557" i="15"/>
  <c r="L557" i="15"/>
  <c r="M557" i="15"/>
  <c r="N557" i="15"/>
  <c r="O557" i="15"/>
  <c r="P557" i="15"/>
  <c r="Q557" i="15"/>
  <c r="T557" i="15"/>
  <c r="U557" i="15"/>
  <c r="V557" i="15"/>
  <c r="W557" i="15"/>
  <c r="X557" i="15"/>
  <c r="Y557" i="15"/>
  <c r="Z557" i="15"/>
  <c r="AA557" i="15"/>
  <c r="B558" i="15"/>
  <c r="C558" i="15"/>
  <c r="D558" i="15"/>
  <c r="E558" i="15"/>
  <c r="J558" i="15"/>
  <c r="K558" i="15"/>
  <c r="L558" i="15"/>
  <c r="M558" i="15"/>
  <c r="N558" i="15"/>
  <c r="O558" i="15"/>
  <c r="P558" i="15"/>
  <c r="Q558" i="15"/>
  <c r="T558" i="15"/>
  <c r="U558" i="15"/>
  <c r="V558" i="15"/>
  <c r="W558" i="15"/>
  <c r="X558" i="15"/>
  <c r="Y558" i="15"/>
  <c r="Z558" i="15"/>
  <c r="AA558" i="15"/>
  <c r="B559" i="15"/>
  <c r="C559" i="15"/>
  <c r="D559" i="15"/>
  <c r="E559" i="15"/>
  <c r="J559" i="15"/>
  <c r="K559" i="15"/>
  <c r="L559" i="15"/>
  <c r="M559" i="15"/>
  <c r="N559" i="15"/>
  <c r="O559" i="15"/>
  <c r="P559" i="15"/>
  <c r="Q559" i="15"/>
  <c r="T559" i="15"/>
  <c r="U559" i="15"/>
  <c r="V559" i="15"/>
  <c r="W559" i="15"/>
  <c r="X559" i="15"/>
  <c r="Y559" i="15"/>
  <c r="Z559" i="15"/>
  <c r="AA559" i="15"/>
  <c r="B560" i="15"/>
  <c r="C560" i="15"/>
  <c r="D560" i="15"/>
  <c r="E560" i="15"/>
  <c r="J560" i="15"/>
  <c r="K560" i="15"/>
  <c r="L560" i="15"/>
  <c r="M560" i="15"/>
  <c r="N560" i="15"/>
  <c r="O560" i="15"/>
  <c r="P560" i="15"/>
  <c r="Q560" i="15"/>
  <c r="T560" i="15"/>
  <c r="U560" i="15"/>
  <c r="V560" i="15"/>
  <c r="W560" i="15"/>
  <c r="X560" i="15"/>
  <c r="Y560" i="15"/>
  <c r="Z560" i="15"/>
  <c r="AA560" i="15"/>
  <c r="B561" i="15"/>
  <c r="C561" i="15"/>
  <c r="D561" i="15"/>
  <c r="E561" i="15"/>
  <c r="J561" i="15"/>
  <c r="K561" i="15"/>
  <c r="L561" i="15"/>
  <c r="M561" i="15"/>
  <c r="N561" i="15"/>
  <c r="O561" i="15"/>
  <c r="P561" i="15"/>
  <c r="Q561" i="15"/>
  <c r="T561" i="15"/>
  <c r="U561" i="15"/>
  <c r="V561" i="15"/>
  <c r="W561" i="15"/>
  <c r="X561" i="15"/>
  <c r="Y561" i="15"/>
  <c r="Z561" i="15"/>
  <c r="AA561" i="15"/>
  <c r="B562" i="15"/>
  <c r="C562" i="15"/>
  <c r="D562" i="15"/>
  <c r="E562" i="15"/>
  <c r="J562" i="15"/>
  <c r="K562" i="15"/>
  <c r="L562" i="15"/>
  <c r="M562" i="15"/>
  <c r="N562" i="15"/>
  <c r="O562" i="15"/>
  <c r="P562" i="15"/>
  <c r="Q562" i="15"/>
  <c r="T562" i="15"/>
  <c r="U562" i="15"/>
  <c r="V562" i="15"/>
  <c r="W562" i="15"/>
  <c r="X562" i="15"/>
  <c r="Y562" i="15"/>
  <c r="Z562" i="15"/>
  <c r="AA562" i="15"/>
  <c r="B563" i="15"/>
  <c r="C563" i="15"/>
  <c r="D563" i="15"/>
  <c r="E563" i="15"/>
  <c r="J563" i="15"/>
  <c r="K563" i="15"/>
  <c r="L563" i="15"/>
  <c r="M563" i="15"/>
  <c r="N563" i="15"/>
  <c r="O563" i="15"/>
  <c r="P563" i="15"/>
  <c r="Q563" i="15"/>
  <c r="T563" i="15"/>
  <c r="U563" i="15"/>
  <c r="V563" i="15"/>
  <c r="W563" i="15"/>
  <c r="X563" i="15"/>
  <c r="Y563" i="15"/>
  <c r="Z563" i="15"/>
  <c r="AA563" i="15"/>
  <c r="B564" i="15"/>
  <c r="C564" i="15"/>
  <c r="D564" i="15"/>
  <c r="E564" i="15"/>
  <c r="J564" i="15"/>
  <c r="K564" i="15"/>
  <c r="L564" i="15"/>
  <c r="M564" i="15"/>
  <c r="N564" i="15"/>
  <c r="O564" i="15"/>
  <c r="P564" i="15"/>
  <c r="Q564" i="15"/>
  <c r="T564" i="15"/>
  <c r="U564" i="15"/>
  <c r="V564" i="15"/>
  <c r="W564" i="15"/>
  <c r="X564" i="15"/>
  <c r="Y564" i="15"/>
  <c r="Z564" i="15"/>
  <c r="AA564" i="15"/>
  <c r="B565" i="15"/>
  <c r="C565" i="15"/>
  <c r="D565" i="15"/>
  <c r="E565" i="15"/>
  <c r="J565" i="15"/>
  <c r="K565" i="15"/>
  <c r="L565" i="15"/>
  <c r="M565" i="15"/>
  <c r="N565" i="15"/>
  <c r="O565" i="15"/>
  <c r="P565" i="15"/>
  <c r="Q565" i="15"/>
  <c r="T565" i="15"/>
  <c r="U565" i="15"/>
  <c r="V565" i="15"/>
  <c r="W565" i="15"/>
  <c r="X565" i="15"/>
  <c r="Y565" i="15"/>
  <c r="Z565" i="15"/>
  <c r="AA565" i="15"/>
  <c r="B566" i="15"/>
  <c r="C566" i="15"/>
  <c r="D566" i="15"/>
  <c r="E566" i="15"/>
  <c r="J566" i="15"/>
  <c r="K566" i="15"/>
  <c r="L566" i="15"/>
  <c r="M566" i="15"/>
  <c r="N566" i="15"/>
  <c r="O566" i="15"/>
  <c r="P566" i="15"/>
  <c r="Q566" i="15"/>
  <c r="T566" i="15"/>
  <c r="U566" i="15"/>
  <c r="V566" i="15"/>
  <c r="W566" i="15"/>
  <c r="X566" i="15"/>
  <c r="Y566" i="15"/>
  <c r="Z566" i="15"/>
  <c r="AA566" i="15"/>
  <c r="B567" i="15"/>
  <c r="C567" i="15"/>
  <c r="D567" i="15"/>
  <c r="E567" i="15"/>
  <c r="J567" i="15"/>
  <c r="K567" i="15"/>
  <c r="L567" i="15"/>
  <c r="M567" i="15"/>
  <c r="N567" i="15"/>
  <c r="O567" i="15"/>
  <c r="P567" i="15"/>
  <c r="Q567" i="15"/>
  <c r="T567" i="15"/>
  <c r="U567" i="15"/>
  <c r="V567" i="15"/>
  <c r="W567" i="15"/>
  <c r="X567" i="15"/>
  <c r="Y567" i="15"/>
  <c r="Z567" i="15"/>
  <c r="AA567" i="15"/>
  <c r="B568" i="15"/>
  <c r="C568" i="15"/>
  <c r="D568" i="15"/>
  <c r="E568" i="15"/>
  <c r="J568" i="15"/>
  <c r="K568" i="15"/>
  <c r="L568" i="15"/>
  <c r="M568" i="15"/>
  <c r="N568" i="15"/>
  <c r="O568" i="15"/>
  <c r="P568" i="15"/>
  <c r="Q568" i="15"/>
  <c r="T568" i="15"/>
  <c r="U568" i="15"/>
  <c r="V568" i="15"/>
  <c r="W568" i="15"/>
  <c r="X568" i="15"/>
  <c r="Y568" i="15"/>
  <c r="Z568" i="15"/>
  <c r="AA568" i="15"/>
  <c r="B569" i="15"/>
  <c r="C569" i="15"/>
  <c r="D569" i="15"/>
  <c r="E569" i="15"/>
  <c r="J569" i="15"/>
  <c r="K569" i="15"/>
  <c r="L569" i="15"/>
  <c r="M569" i="15"/>
  <c r="N569" i="15"/>
  <c r="O569" i="15"/>
  <c r="P569" i="15"/>
  <c r="Q569" i="15"/>
  <c r="T569" i="15"/>
  <c r="U569" i="15"/>
  <c r="V569" i="15"/>
  <c r="W569" i="15"/>
  <c r="X569" i="15"/>
  <c r="Y569" i="15"/>
  <c r="Z569" i="15"/>
  <c r="AA569" i="15"/>
  <c r="B570" i="15"/>
  <c r="C570" i="15"/>
  <c r="D570" i="15"/>
  <c r="E570" i="15"/>
  <c r="J570" i="15"/>
  <c r="K570" i="15"/>
  <c r="L570" i="15"/>
  <c r="M570" i="15"/>
  <c r="N570" i="15"/>
  <c r="O570" i="15"/>
  <c r="P570" i="15"/>
  <c r="Q570" i="15"/>
  <c r="T570" i="15"/>
  <c r="U570" i="15"/>
  <c r="V570" i="15"/>
  <c r="W570" i="15"/>
  <c r="X570" i="15"/>
  <c r="Y570" i="15"/>
  <c r="Z570" i="15"/>
  <c r="AA570" i="15"/>
  <c r="B571" i="15"/>
  <c r="C571" i="15"/>
  <c r="D571" i="15"/>
  <c r="E571" i="15"/>
  <c r="J571" i="15"/>
  <c r="K571" i="15"/>
  <c r="L571" i="15"/>
  <c r="M571" i="15"/>
  <c r="N571" i="15"/>
  <c r="O571" i="15"/>
  <c r="P571" i="15"/>
  <c r="Q571" i="15"/>
  <c r="T571" i="15"/>
  <c r="U571" i="15"/>
  <c r="V571" i="15"/>
  <c r="W571" i="15"/>
  <c r="X571" i="15"/>
  <c r="Y571" i="15"/>
  <c r="Z571" i="15"/>
  <c r="AA571" i="15"/>
  <c r="B572" i="15"/>
  <c r="C572" i="15"/>
  <c r="D572" i="15"/>
  <c r="E572" i="15"/>
  <c r="J572" i="15"/>
  <c r="K572" i="15"/>
  <c r="L572" i="15"/>
  <c r="M572" i="15"/>
  <c r="N572" i="15"/>
  <c r="O572" i="15"/>
  <c r="P572" i="15"/>
  <c r="Q572" i="15"/>
  <c r="T572" i="15"/>
  <c r="U572" i="15"/>
  <c r="V572" i="15"/>
  <c r="W572" i="15"/>
  <c r="X572" i="15"/>
  <c r="Y572" i="15"/>
  <c r="Z572" i="15"/>
  <c r="AA572" i="15"/>
  <c r="B573" i="15"/>
  <c r="C573" i="15"/>
  <c r="D573" i="15"/>
  <c r="E573" i="15"/>
  <c r="J573" i="15"/>
  <c r="K573" i="15"/>
  <c r="L573" i="15"/>
  <c r="M573" i="15"/>
  <c r="N573" i="15"/>
  <c r="O573" i="15"/>
  <c r="P573" i="15"/>
  <c r="Q573" i="15"/>
  <c r="T573" i="15"/>
  <c r="U573" i="15"/>
  <c r="V573" i="15"/>
  <c r="W573" i="15"/>
  <c r="X573" i="15"/>
  <c r="Y573" i="15"/>
  <c r="Z573" i="15"/>
  <c r="AA573" i="15"/>
  <c r="B574" i="15"/>
  <c r="C574" i="15"/>
  <c r="D574" i="15"/>
  <c r="E574" i="15"/>
  <c r="J574" i="15"/>
  <c r="K574" i="15"/>
  <c r="L574" i="15"/>
  <c r="M574" i="15"/>
  <c r="N574" i="15"/>
  <c r="O574" i="15"/>
  <c r="P574" i="15"/>
  <c r="Q574" i="15"/>
  <c r="T574" i="15"/>
  <c r="U574" i="15"/>
  <c r="V574" i="15"/>
  <c r="W574" i="15"/>
  <c r="X574" i="15"/>
  <c r="Y574" i="15"/>
  <c r="Z574" i="15"/>
  <c r="AA574" i="15"/>
  <c r="B575" i="15"/>
  <c r="C575" i="15"/>
  <c r="D575" i="15"/>
  <c r="E575" i="15"/>
  <c r="J575" i="15"/>
  <c r="K575" i="15"/>
  <c r="L575" i="15"/>
  <c r="M575" i="15"/>
  <c r="N575" i="15"/>
  <c r="O575" i="15"/>
  <c r="P575" i="15"/>
  <c r="Q575" i="15"/>
  <c r="T575" i="15"/>
  <c r="U575" i="15"/>
  <c r="V575" i="15"/>
  <c r="W575" i="15"/>
  <c r="X575" i="15"/>
  <c r="Y575" i="15"/>
  <c r="Z575" i="15"/>
  <c r="AA575" i="15"/>
  <c r="B576" i="15"/>
  <c r="C576" i="15"/>
  <c r="D576" i="15"/>
  <c r="E576" i="15"/>
  <c r="J576" i="15"/>
  <c r="K576" i="15"/>
  <c r="L576" i="15"/>
  <c r="M576" i="15"/>
  <c r="N576" i="15"/>
  <c r="O576" i="15"/>
  <c r="P576" i="15"/>
  <c r="Q576" i="15"/>
  <c r="T576" i="15"/>
  <c r="U576" i="15"/>
  <c r="V576" i="15"/>
  <c r="W576" i="15"/>
  <c r="X576" i="15"/>
  <c r="Y576" i="15"/>
  <c r="Z576" i="15"/>
  <c r="AA576" i="15"/>
  <c r="B577" i="15"/>
  <c r="C577" i="15"/>
  <c r="D577" i="15"/>
  <c r="E577" i="15"/>
  <c r="J577" i="15"/>
  <c r="K577" i="15"/>
  <c r="L577" i="15"/>
  <c r="M577" i="15"/>
  <c r="N577" i="15"/>
  <c r="O577" i="15"/>
  <c r="P577" i="15"/>
  <c r="Q577" i="15"/>
  <c r="T577" i="15"/>
  <c r="U577" i="15"/>
  <c r="V577" i="15"/>
  <c r="W577" i="15"/>
  <c r="X577" i="15"/>
  <c r="Y577" i="15"/>
  <c r="Z577" i="15"/>
  <c r="AA577" i="15"/>
  <c r="B578" i="15"/>
  <c r="C578" i="15"/>
  <c r="D578" i="15"/>
  <c r="E578" i="15"/>
  <c r="J578" i="15"/>
  <c r="K578" i="15"/>
  <c r="L578" i="15"/>
  <c r="M578" i="15"/>
  <c r="N578" i="15"/>
  <c r="O578" i="15"/>
  <c r="P578" i="15"/>
  <c r="Q578" i="15"/>
  <c r="T578" i="15"/>
  <c r="U578" i="15"/>
  <c r="V578" i="15"/>
  <c r="W578" i="15"/>
  <c r="X578" i="15"/>
  <c r="Y578" i="15"/>
  <c r="Z578" i="15"/>
  <c r="AA578" i="15"/>
  <c r="B579" i="15"/>
  <c r="C579" i="15"/>
  <c r="D579" i="15"/>
  <c r="E579" i="15"/>
  <c r="J579" i="15"/>
  <c r="K579" i="15"/>
  <c r="L579" i="15"/>
  <c r="M579" i="15"/>
  <c r="N579" i="15"/>
  <c r="O579" i="15"/>
  <c r="P579" i="15"/>
  <c r="Q579" i="15"/>
  <c r="T579" i="15"/>
  <c r="U579" i="15"/>
  <c r="V579" i="15"/>
  <c r="W579" i="15"/>
  <c r="X579" i="15"/>
  <c r="Y579" i="15"/>
  <c r="Z579" i="15"/>
  <c r="AA579" i="15"/>
  <c r="B580" i="15"/>
  <c r="C580" i="15"/>
  <c r="D580" i="15"/>
  <c r="E580" i="15"/>
  <c r="J580" i="15"/>
  <c r="K580" i="15"/>
  <c r="L580" i="15"/>
  <c r="M580" i="15"/>
  <c r="N580" i="15"/>
  <c r="O580" i="15"/>
  <c r="P580" i="15"/>
  <c r="Q580" i="15"/>
  <c r="T580" i="15"/>
  <c r="U580" i="15"/>
  <c r="V580" i="15"/>
  <c r="W580" i="15"/>
  <c r="X580" i="15"/>
  <c r="Y580" i="15"/>
  <c r="Z580" i="15"/>
  <c r="AA580" i="15"/>
  <c r="B581" i="15"/>
  <c r="C581" i="15"/>
  <c r="D581" i="15"/>
  <c r="E581" i="15"/>
  <c r="J581" i="15"/>
  <c r="K581" i="15"/>
  <c r="L581" i="15"/>
  <c r="M581" i="15"/>
  <c r="N581" i="15"/>
  <c r="O581" i="15"/>
  <c r="P581" i="15"/>
  <c r="Q581" i="15"/>
  <c r="T581" i="15"/>
  <c r="U581" i="15"/>
  <c r="V581" i="15"/>
  <c r="W581" i="15"/>
  <c r="X581" i="15"/>
  <c r="Y581" i="15"/>
  <c r="Z581" i="15"/>
  <c r="AA581" i="15"/>
  <c r="B582" i="15"/>
  <c r="C582" i="15"/>
  <c r="D582" i="15"/>
  <c r="E582" i="15"/>
  <c r="J582" i="15"/>
  <c r="K582" i="15"/>
  <c r="L582" i="15"/>
  <c r="M582" i="15"/>
  <c r="N582" i="15"/>
  <c r="O582" i="15"/>
  <c r="P582" i="15"/>
  <c r="Q582" i="15"/>
  <c r="T582" i="15"/>
  <c r="U582" i="15"/>
  <c r="V582" i="15"/>
  <c r="W582" i="15"/>
  <c r="X582" i="15"/>
  <c r="Y582" i="15"/>
  <c r="Z582" i="15"/>
  <c r="AA582" i="15"/>
  <c r="B583" i="15"/>
  <c r="C583" i="15"/>
  <c r="D583" i="15"/>
  <c r="E583" i="15"/>
  <c r="J583" i="15"/>
  <c r="K583" i="15"/>
  <c r="L583" i="15"/>
  <c r="M583" i="15"/>
  <c r="N583" i="15"/>
  <c r="O583" i="15"/>
  <c r="P583" i="15"/>
  <c r="Q583" i="15"/>
  <c r="T583" i="15"/>
  <c r="U583" i="15"/>
  <c r="V583" i="15"/>
  <c r="W583" i="15"/>
  <c r="X583" i="15"/>
  <c r="Y583" i="15"/>
  <c r="Z583" i="15"/>
  <c r="AA583" i="15"/>
  <c r="B584" i="15"/>
  <c r="C584" i="15"/>
  <c r="D584" i="15"/>
  <c r="E584" i="15"/>
  <c r="J584" i="15"/>
  <c r="K584" i="15"/>
  <c r="L584" i="15"/>
  <c r="M584" i="15"/>
  <c r="N584" i="15"/>
  <c r="O584" i="15"/>
  <c r="P584" i="15"/>
  <c r="Q584" i="15"/>
  <c r="T584" i="15"/>
  <c r="U584" i="15"/>
  <c r="V584" i="15"/>
  <c r="W584" i="15"/>
  <c r="X584" i="15"/>
  <c r="Y584" i="15"/>
  <c r="Z584" i="15"/>
  <c r="AA584" i="15"/>
  <c r="B585" i="15"/>
  <c r="C585" i="15"/>
  <c r="D585" i="15"/>
  <c r="E585" i="15"/>
  <c r="J585" i="15"/>
  <c r="K585" i="15"/>
  <c r="L585" i="15"/>
  <c r="M585" i="15"/>
  <c r="N585" i="15"/>
  <c r="O585" i="15"/>
  <c r="P585" i="15"/>
  <c r="Q585" i="15"/>
  <c r="T585" i="15"/>
  <c r="U585" i="15"/>
  <c r="V585" i="15"/>
  <c r="W585" i="15"/>
  <c r="X585" i="15"/>
  <c r="Y585" i="15"/>
  <c r="Z585" i="15"/>
  <c r="AA585" i="15"/>
  <c r="B586" i="15"/>
  <c r="C586" i="15"/>
  <c r="D586" i="15"/>
  <c r="E586" i="15"/>
  <c r="J586" i="15"/>
  <c r="K586" i="15"/>
  <c r="L586" i="15"/>
  <c r="M586" i="15"/>
  <c r="N586" i="15"/>
  <c r="O586" i="15"/>
  <c r="P586" i="15"/>
  <c r="Q586" i="15"/>
  <c r="T586" i="15"/>
  <c r="U586" i="15"/>
  <c r="V586" i="15"/>
  <c r="W586" i="15"/>
  <c r="X586" i="15"/>
  <c r="Y586" i="15"/>
  <c r="Z586" i="15"/>
  <c r="AA586" i="15"/>
  <c r="B587" i="15"/>
  <c r="C587" i="15"/>
  <c r="D587" i="15"/>
  <c r="E587" i="15"/>
  <c r="J587" i="15"/>
  <c r="K587" i="15"/>
  <c r="L587" i="15"/>
  <c r="M587" i="15"/>
  <c r="N587" i="15"/>
  <c r="O587" i="15"/>
  <c r="P587" i="15"/>
  <c r="Q587" i="15"/>
  <c r="T587" i="15"/>
  <c r="U587" i="15"/>
  <c r="V587" i="15"/>
  <c r="W587" i="15"/>
  <c r="X587" i="15"/>
  <c r="Y587" i="15"/>
  <c r="Z587" i="15"/>
  <c r="AA587" i="15"/>
  <c r="B588" i="15"/>
  <c r="C588" i="15"/>
  <c r="D588" i="15"/>
  <c r="E588" i="15"/>
  <c r="J588" i="15"/>
  <c r="K588" i="15"/>
  <c r="L588" i="15"/>
  <c r="M588" i="15"/>
  <c r="N588" i="15"/>
  <c r="O588" i="15"/>
  <c r="P588" i="15"/>
  <c r="Q588" i="15"/>
  <c r="T588" i="15"/>
  <c r="U588" i="15"/>
  <c r="V588" i="15"/>
  <c r="W588" i="15"/>
  <c r="X588" i="15"/>
  <c r="Y588" i="15"/>
  <c r="Z588" i="15"/>
  <c r="AA588" i="15"/>
  <c r="B589" i="15"/>
  <c r="C589" i="15"/>
  <c r="D589" i="15"/>
  <c r="E589" i="15"/>
  <c r="J589" i="15"/>
  <c r="K589" i="15"/>
  <c r="L589" i="15"/>
  <c r="M589" i="15"/>
  <c r="N589" i="15"/>
  <c r="O589" i="15"/>
  <c r="P589" i="15"/>
  <c r="Q589" i="15"/>
  <c r="T589" i="15"/>
  <c r="U589" i="15"/>
  <c r="V589" i="15"/>
  <c r="W589" i="15"/>
  <c r="X589" i="15"/>
  <c r="Y589" i="15"/>
  <c r="Z589" i="15"/>
  <c r="AA589" i="15"/>
  <c r="B590" i="15"/>
  <c r="C590" i="15"/>
  <c r="D590" i="15"/>
  <c r="E590" i="15"/>
  <c r="J590" i="15"/>
  <c r="K590" i="15"/>
  <c r="L590" i="15"/>
  <c r="M590" i="15"/>
  <c r="N590" i="15"/>
  <c r="O590" i="15"/>
  <c r="P590" i="15"/>
  <c r="Q590" i="15"/>
  <c r="T590" i="15"/>
  <c r="U590" i="15"/>
  <c r="V590" i="15"/>
  <c r="W590" i="15"/>
  <c r="X590" i="15"/>
  <c r="Y590" i="15"/>
  <c r="Z590" i="15"/>
  <c r="AA590" i="15"/>
  <c r="B591" i="15"/>
  <c r="C591" i="15"/>
  <c r="D591" i="15"/>
  <c r="E591" i="15"/>
  <c r="J591" i="15"/>
  <c r="K591" i="15"/>
  <c r="L591" i="15"/>
  <c r="M591" i="15"/>
  <c r="N591" i="15"/>
  <c r="O591" i="15"/>
  <c r="P591" i="15"/>
  <c r="Q591" i="15"/>
  <c r="T591" i="15"/>
  <c r="U591" i="15"/>
  <c r="V591" i="15"/>
  <c r="W591" i="15"/>
  <c r="X591" i="15"/>
  <c r="Y591" i="15"/>
  <c r="Z591" i="15"/>
  <c r="AA591" i="15"/>
  <c r="B592" i="15"/>
  <c r="C592" i="15"/>
  <c r="D592" i="15"/>
  <c r="E592" i="15"/>
  <c r="J592" i="15"/>
  <c r="K592" i="15"/>
  <c r="L592" i="15"/>
  <c r="M592" i="15"/>
  <c r="N592" i="15"/>
  <c r="O592" i="15"/>
  <c r="P592" i="15"/>
  <c r="Q592" i="15"/>
  <c r="T592" i="15"/>
  <c r="U592" i="15"/>
  <c r="V592" i="15"/>
  <c r="W592" i="15"/>
  <c r="X592" i="15"/>
  <c r="Y592" i="15"/>
  <c r="Z592" i="15"/>
  <c r="AA592" i="15"/>
  <c r="B593" i="15"/>
  <c r="C593" i="15"/>
  <c r="D593" i="15"/>
  <c r="E593" i="15"/>
  <c r="J593" i="15"/>
  <c r="K593" i="15"/>
  <c r="L593" i="15"/>
  <c r="M593" i="15"/>
  <c r="N593" i="15"/>
  <c r="O593" i="15"/>
  <c r="P593" i="15"/>
  <c r="Q593" i="15"/>
  <c r="T593" i="15"/>
  <c r="U593" i="15"/>
  <c r="V593" i="15"/>
  <c r="W593" i="15"/>
  <c r="X593" i="15"/>
  <c r="Y593" i="15"/>
  <c r="Z593" i="15"/>
  <c r="AA593" i="15"/>
  <c r="B594" i="15"/>
  <c r="C594" i="15"/>
  <c r="D594" i="15"/>
  <c r="E594" i="15"/>
  <c r="J594" i="15"/>
  <c r="K594" i="15"/>
  <c r="L594" i="15"/>
  <c r="M594" i="15"/>
  <c r="N594" i="15"/>
  <c r="O594" i="15"/>
  <c r="P594" i="15"/>
  <c r="Q594" i="15"/>
  <c r="T594" i="15"/>
  <c r="U594" i="15"/>
  <c r="V594" i="15"/>
  <c r="W594" i="15"/>
  <c r="X594" i="15"/>
  <c r="Y594" i="15"/>
  <c r="Z594" i="15"/>
  <c r="AA594" i="15"/>
  <c r="B595" i="15"/>
  <c r="C595" i="15"/>
  <c r="D595" i="15"/>
  <c r="E595" i="15"/>
  <c r="J595" i="15"/>
  <c r="K595" i="15"/>
  <c r="L595" i="15"/>
  <c r="M595" i="15"/>
  <c r="N595" i="15"/>
  <c r="O595" i="15"/>
  <c r="P595" i="15"/>
  <c r="Q595" i="15"/>
  <c r="T595" i="15"/>
  <c r="U595" i="15"/>
  <c r="V595" i="15"/>
  <c r="W595" i="15"/>
  <c r="X595" i="15"/>
  <c r="Y595" i="15"/>
  <c r="Z595" i="15"/>
  <c r="AA595" i="15"/>
  <c r="B596" i="15"/>
  <c r="C596" i="15"/>
  <c r="D596" i="15"/>
  <c r="E596" i="15"/>
  <c r="J596" i="15"/>
  <c r="K596" i="15"/>
  <c r="L596" i="15"/>
  <c r="M596" i="15"/>
  <c r="N596" i="15"/>
  <c r="O596" i="15"/>
  <c r="P596" i="15"/>
  <c r="Q596" i="15"/>
  <c r="T596" i="15"/>
  <c r="U596" i="15"/>
  <c r="V596" i="15"/>
  <c r="W596" i="15"/>
  <c r="X596" i="15"/>
  <c r="Y596" i="15"/>
  <c r="Z596" i="15"/>
  <c r="AA596" i="15"/>
  <c r="B597" i="15"/>
  <c r="C597" i="15"/>
  <c r="D597" i="15"/>
  <c r="E597" i="15"/>
  <c r="J597" i="15"/>
  <c r="K597" i="15"/>
  <c r="L597" i="15"/>
  <c r="M597" i="15"/>
  <c r="N597" i="15"/>
  <c r="O597" i="15"/>
  <c r="P597" i="15"/>
  <c r="Q597" i="15"/>
  <c r="T597" i="15"/>
  <c r="U597" i="15"/>
  <c r="V597" i="15"/>
  <c r="W597" i="15"/>
  <c r="X597" i="15"/>
  <c r="Y597" i="15"/>
  <c r="Z597" i="15"/>
  <c r="AA597" i="15"/>
  <c r="B598" i="15"/>
  <c r="C598" i="15"/>
  <c r="D598" i="15"/>
  <c r="E598" i="15"/>
  <c r="J598" i="15"/>
  <c r="K598" i="15"/>
  <c r="L598" i="15"/>
  <c r="M598" i="15"/>
  <c r="N598" i="15"/>
  <c r="O598" i="15"/>
  <c r="P598" i="15"/>
  <c r="Q598" i="15"/>
  <c r="T598" i="15"/>
  <c r="U598" i="15"/>
  <c r="V598" i="15"/>
  <c r="W598" i="15"/>
  <c r="X598" i="15"/>
  <c r="Y598" i="15"/>
  <c r="Z598" i="15"/>
  <c r="AA598" i="15"/>
  <c r="B599" i="15"/>
  <c r="C599" i="15"/>
  <c r="D599" i="15"/>
  <c r="E599" i="15"/>
  <c r="J599" i="15"/>
  <c r="K599" i="15"/>
  <c r="L599" i="15"/>
  <c r="M599" i="15"/>
  <c r="N599" i="15"/>
  <c r="O599" i="15"/>
  <c r="P599" i="15"/>
  <c r="Q599" i="15"/>
  <c r="T599" i="15"/>
  <c r="U599" i="15"/>
  <c r="V599" i="15"/>
  <c r="W599" i="15"/>
  <c r="X599" i="15"/>
  <c r="Y599" i="15"/>
  <c r="Z599" i="15"/>
  <c r="AA599" i="15"/>
  <c r="B600" i="15"/>
  <c r="C600" i="15"/>
  <c r="D600" i="15"/>
  <c r="E600" i="15"/>
  <c r="J600" i="15"/>
  <c r="K600" i="15"/>
  <c r="L600" i="15"/>
  <c r="M600" i="15"/>
  <c r="N600" i="15"/>
  <c r="O600" i="15"/>
  <c r="P600" i="15"/>
  <c r="Q600" i="15"/>
  <c r="T600" i="15"/>
  <c r="U600" i="15"/>
  <c r="V600" i="15"/>
  <c r="W600" i="15"/>
  <c r="X600" i="15"/>
  <c r="Y600" i="15"/>
  <c r="Z600" i="15"/>
  <c r="AA600" i="15"/>
  <c r="B601" i="15"/>
  <c r="C601" i="15"/>
  <c r="D601" i="15"/>
  <c r="E601" i="15"/>
  <c r="J601" i="15"/>
  <c r="K601" i="15"/>
  <c r="L601" i="15"/>
  <c r="M601" i="15"/>
  <c r="N601" i="15"/>
  <c r="O601" i="15"/>
  <c r="P601" i="15"/>
  <c r="Q601" i="15"/>
  <c r="T601" i="15"/>
  <c r="U601" i="15"/>
  <c r="V601" i="15"/>
  <c r="W601" i="15"/>
  <c r="X601" i="15"/>
  <c r="Y601" i="15"/>
  <c r="Z601" i="15"/>
  <c r="AA601" i="15"/>
  <c r="B602" i="15"/>
  <c r="C602" i="15"/>
  <c r="D602" i="15"/>
  <c r="E602" i="15"/>
  <c r="J602" i="15"/>
  <c r="K602" i="15"/>
  <c r="L602" i="15"/>
  <c r="M602" i="15"/>
  <c r="N602" i="15"/>
  <c r="O602" i="15"/>
  <c r="P602" i="15"/>
  <c r="Q602" i="15"/>
  <c r="T602" i="15"/>
  <c r="U602" i="15"/>
  <c r="V602" i="15"/>
  <c r="W602" i="15"/>
  <c r="X602" i="15"/>
  <c r="Y602" i="15"/>
  <c r="Z602" i="15"/>
  <c r="AA602" i="15"/>
  <c r="B603" i="15"/>
  <c r="C603" i="15"/>
  <c r="D603" i="15"/>
  <c r="E603" i="15"/>
  <c r="J603" i="15"/>
  <c r="K603" i="15"/>
  <c r="L603" i="15"/>
  <c r="M603" i="15"/>
  <c r="N603" i="15"/>
  <c r="O603" i="15"/>
  <c r="P603" i="15"/>
  <c r="Q603" i="15"/>
  <c r="T603" i="15"/>
  <c r="U603" i="15"/>
  <c r="V603" i="15"/>
  <c r="W603" i="15"/>
  <c r="X603" i="15"/>
  <c r="Y603" i="15"/>
  <c r="Z603" i="15"/>
  <c r="AA603" i="15"/>
  <c r="B604" i="15"/>
  <c r="C604" i="15"/>
  <c r="D604" i="15"/>
  <c r="E604" i="15"/>
  <c r="J604" i="15"/>
  <c r="K604" i="15"/>
  <c r="L604" i="15"/>
  <c r="M604" i="15"/>
  <c r="N604" i="15"/>
  <c r="O604" i="15"/>
  <c r="P604" i="15"/>
  <c r="Q604" i="15"/>
  <c r="T604" i="15"/>
  <c r="U604" i="15"/>
  <c r="V604" i="15"/>
  <c r="W604" i="15"/>
  <c r="X604" i="15"/>
  <c r="Y604" i="15"/>
  <c r="Z604" i="15"/>
  <c r="AA604" i="15"/>
  <c r="B605" i="15"/>
  <c r="C605" i="15"/>
  <c r="D605" i="15"/>
  <c r="E605" i="15"/>
  <c r="J605" i="15"/>
  <c r="K605" i="15"/>
  <c r="L605" i="15"/>
  <c r="M605" i="15"/>
  <c r="N605" i="15"/>
  <c r="O605" i="15"/>
  <c r="P605" i="15"/>
  <c r="Q605" i="15"/>
  <c r="T605" i="15"/>
  <c r="U605" i="15"/>
  <c r="V605" i="15"/>
  <c r="W605" i="15"/>
  <c r="X605" i="15"/>
  <c r="Y605" i="15"/>
  <c r="Z605" i="15"/>
  <c r="AA605" i="15"/>
  <c r="B606" i="15"/>
  <c r="C606" i="15"/>
  <c r="D606" i="15"/>
  <c r="E606" i="15"/>
  <c r="J606" i="15"/>
  <c r="K606" i="15"/>
  <c r="L606" i="15"/>
  <c r="M606" i="15"/>
  <c r="N606" i="15"/>
  <c r="O606" i="15"/>
  <c r="P606" i="15"/>
  <c r="Q606" i="15"/>
  <c r="T606" i="15"/>
  <c r="U606" i="15"/>
  <c r="V606" i="15"/>
  <c r="W606" i="15"/>
  <c r="X606" i="15"/>
  <c r="Y606" i="15"/>
  <c r="Z606" i="15"/>
  <c r="AA606" i="15"/>
  <c r="B607" i="15"/>
  <c r="C607" i="15"/>
  <c r="D607" i="15"/>
  <c r="E607" i="15"/>
  <c r="J607" i="15"/>
  <c r="K607" i="15"/>
  <c r="L607" i="15"/>
  <c r="M607" i="15"/>
  <c r="N607" i="15"/>
  <c r="O607" i="15"/>
  <c r="P607" i="15"/>
  <c r="Q607" i="15"/>
  <c r="T607" i="15"/>
  <c r="U607" i="15"/>
  <c r="V607" i="15"/>
  <c r="W607" i="15"/>
  <c r="X607" i="15"/>
  <c r="Y607" i="15"/>
  <c r="Z607" i="15"/>
  <c r="AA607" i="15"/>
  <c r="B608" i="15"/>
  <c r="C608" i="15"/>
  <c r="D608" i="15"/>
  <c r="E608" i="15"/>
  <c r="J608" i="15"/>
  <c r="K608" i="15"/>
  <c r="L608" i="15"/>
  <c r="M608" i="15"/>
  <c r="N608" i="15"/>
  <c r="O608" i="15"/>
  <c r="P608" i="15"/>
  <c r="Q608" i="15"/>
  <c r="T608" i="15"/>
  <c r="U608" i="15"/>
  <c r="V608" i="15"/>
  <c r="W608" i="15"/>
  <c r="X608" i="15"/>
  <c r="Y608" i="15"/>
  <c r="Z608" i="15"/>
  <c r="AA608" i="15"/>
  <c r="B609" i="15"/>
  <c r="C609" i="15"/>
  <c r="D609" i="15"/>
  <c r="E609" i="15"/>
  <c r="J609" i="15"/>
  <c r="K609" i="15"/>
  <c r="L609" i="15"/>
  <c r="M609" i="15"/>
  <c r="N609" i="15"/>
  <c r="O609" i="15"/>
  <c r="P609" i="15"/>
  <c r="Q609" i="15"/>
  <c r="T609" i="15"/>
  <c r="U609" i="15"/>
  <c r="V609" i="15"/>
  <c r="W609" i="15"/>
  <c r="X609" i="15"/>
  <c r="Y609" i="15"/>
  <c r="Z609" i="15"/>
  <c r="AA609" i="15"/>
  <c r="B610" i="15"/>
  <c r="C610" i="15"/>
  <c r="D610" i="15"/>
  <c r="E610" i="15"/>
  <c r="J610" i="15"/>
  <c r="K610" i="15"/>
  <c r="L610" i="15"/>
  <c r="M610" i="15"/>
  <c r="N610" i="15"/>
  <c r="O610" i="15"/>
  <c r="P610" i="15"/>
  <c r="Q610" i="15"/>
  <c r="T610" i="15"/>
  <c r="U610" i="15"/>
  <c r="V610" i="15"/>
  <c r="W610" i="15"/>
  <c r="X610" i="15"/>
  <c r="Y610" i="15"/>
  <c r="Z610" i="15"/>
  <c r="AA610" i="15"/>
  <c r="B611" i="15"/>
  <c r="C611" i="15"/>
  <c r="D611" i="15"/>
  <c r="E611" i="15"/>
  <c r="J611" i="15"/>
  <c r="K611" i="15"/>
  <c r="L611" i="15"/>
  <c r="M611" i="15"/>
  <c r="N611" i="15"/>
  <c r="O611" i="15"/>
  <c r="P611" i="15"/>
  <c r="Q611" i="15"/>
  <c r="T611" i="15"/>
  <c r="U611" i="15"/>
  <c r="V611" i="15"/>
  <c r="W611" i="15"/>
  <c r="X611" i="15"/>
  <c r="Y611" i="15"/>
  <c r="Z611" i="15"/>
  <c r="AA611" i="15"/>
  <c r="B612" i="15"/>
  <c r="C612" i="15"/>
  <c r="D612" i="15"/>
  <c r="E612" i="15"/>
  <c r="J612" i="15"/>
  <c r="K612" i="15"/>
  <c r="L612" i="15"/>
  <c r="M612" i="15"/>
  <c r="N612" i="15"/>
  <c r="O612" i="15"/>
  <c r="P612" i="15"/>
  <c r="Q612" i="15"/>
  <c r="T612" i="15"/>
  <c r="U612" i="15"/>
  <c r="V612" i="15"/>
  <c r="W612" i="15"/>
  <c r="X612" i="15"/>
  <c r="Y612" i="15"/>
  <c r="Z612" i="15"/>
  <c r="AA612" i="15"/>
  <c r="B613" i="15"/>
  <c r="C613" i="15"/>
  <c r="D613" i="15"/>
  <c r="E613" i="15"/>
  <c r="J613" i="15"/>
  <c r="K613" i="15"/>
  <c r="L613" i="15"/>
  <c r="M613" i="15"/>
  <c r="N613" i="15"/>
  <c r="O613" i="15"/>
  <c r="P613" i="15"/>
  <c r="Q613" i="15"/>
  <c r="T613" i="15"/>
  <c r="U613" i="15"/>
  <c r="V613" i="15"/>
  <c r="W613" i="15"/>
  <c r="X613" i="15"/>
  <c r="Y613" i="15"/>
  <c r="Z613" i="15"/>
  <c r="AA613" i="15"/>
  <c r="B614" i="15"/>
  <c r="C614" i="15"/>
  <c r="D614" i="15"/>
  <c r="E614" i="15"/>
  <c r="J614" i="15"/>
  <c r="K614" i="15"/>
  <c r="L614" i="15"/>
  <c r="M614" i="15"/>
  <c r="N614" i="15"/>
  <c r="O614" i="15"/>
  <c r="P614" i="15"/>
  <c r="Q614" i="15"/>
  <c r="T614" i="15"/>
  <c r="U614" i="15"/>
  <c r="V614" i="15"/>
  <c r="W614" i="15"/>
  <c r="X614" i="15"/>
  <c r="Y614" i="15"/>
  <c r="Z614" i="15"/>
  <c r="AA614" i="15"/>
  <c r="B615" i="15"/>
  <c r="C615" i="15"/>
  <c r="D615" i="15"/>
  <c r="E615" i="15"/>
  <c r="J615" i="15"/>
  <c r="K615" i="15"/>
  <c r="L615" i="15"/>
  <c r="M615" i="15"/>
  <c r="N615" i="15"/>
  <c r="O615" i="15"/>
  <c r="P615" i="15"/>
  <c r="Q615" i="15"/>
  <c r="T615" i="15"/>
  <c r="U615" i="15"/>
  <c r="V615" i="15"/>
  <c r="W615" i="15"/>
  <c r="X615" i="15"/>
  <c r="Y615" i="15"/>
  <c r="Z615" i="15"/>
  <c r="AA615" i="15"/>
  <c r="B616" i="15"/>
  <c r="C616" i="15"/>
  <c r="D616" i="15"/>
  <c r="E616" i="15"/>
  <c r="J616" i="15"/>
  <c r="K616" i="15"/>
  <c r="L616" i="15"/>
  <c r="M616" i="15"/>
  <c r="N616" i="15"/>
  <c r="O616" i="15"/>
  <c r="P616" i="15"/>
  <c r="Q616" i="15"/>
  <c r="T616" i="15"/>
  <c r="U616" i="15"/>
  <c r="V616" i="15"/>
  <c r="W616" i="15"/>
  <c r="X616" i="15"/>
  <c r="Y616" i="15"/>
  <c r="Z616" i="15"/>
  <c r="AA616" i="15"/>
  <c r="B617" i="15"/>
  <c r="C617" i="15"/>
  <c r="D617" i="15"/>
  <c r="E617" i="15"/>
  <c r="J617" i="15"/>
  <c r="K617" i="15"/>
  <c r="L617" i="15"/>
  <c r="M617" i="15"/>
  <c r="N617" i="15"/>
  <c r="O617" i="15"/>
  <c r="P617" i="15"/>
  <c r="Q617" i="15"/>
  <c r="T617" i="15"/>
  <c r="U617" i="15"/>
  <c r="V617" i="15"/>
  <c r="W617" i="15"/>
  <c r="X617" i="15"/>
  <c r="Y617" i="15"/>
  <c r="Z617" i="15"/>
  <c r="AA617" i="15"/>
  <c r="B618" i="15"/>
  <c r="C618" i="15"/>
  <c r="D618" i="15"/>
  <c r="E618" i="15"/>
  <c r="J618" i="15"/>
  <c r="K618" i="15"/>
  <c r="L618" i="15"/>
  <c r="M618" i="15"/>
  <c r="N618" i="15"/>
  <c r="O618" i="15"/>
  <c r="P618" i="15"/>
  <c r="Q618" i="15"/>
  <c r="T618" i="15"/>
  <c r="U618" i="15"/>
  <c r="V618" i="15"/>
  <c r="W618" i="15"/>
  <c r="X618" i="15"/>
  <c r="Y618" i="15"/>
  <c r="Z618" i="15"/>
  <c r="AA618" i="15"/>
  <c r="B619" i="15"/>
  <c r="C619" i="15"/>
  <c r="D619" i="15"/>
  <c r="E619" i="15"/>
  <c r="J619" i="15"/>
  <c r="K619" i="15"/>
  <c r="L619" i="15"/>
  <c r="M619" i="15"/>
  <c r="N619" i="15"/>
  <c r="O619" i="15"/>
  <c r="P619" i="15"/>
  <c r="Q619" i="15"/>
  <c r="T619" i="15"/>
  <c r="U619" i="15"/>
  <c r="V619" i="15"/>
  <c r="W619" i="15"/>
  <c r="X619" i="15"/>
  <c r="Y619" i="15"/>
  <c r="Z619" i="15"/>
  <c r="AA619" i="15"/>
  <c r="B620" i="15"/>
  <c r="C620" i="15"/>
  <c r="D620" i="15"/>
  <c r="E620" i="15"/>
  <c r="J620" i="15"/>
  <c r="K620" i="15"/>
  <c r="L620" i="15"/>
  <c r="M620" i="15"/>
  <c r="N620" i="15"/>
  <c r="O620" i="15"/>
  <c r="P620" i="15"/>
  <c r="Q620" i="15"/>
  <c r="T620" i="15"/>
  <c r="U620" i="15"/>
  <c r="V620" i="15"/>
  <c r="W620" i="15"/>
  <c r="X620" i="15"/>
  <c r="Y620" i="15"/>
  <c r="Z620" i="15"/>
  <c r="AA620" i="15"/>
  <c r="B621" i="15"/>
  <c r="C621" i="15"/>
  <c r="D621" i="15"/>
  <c r="E621" i="15"/>
  <c r="J621" i="15"/>
  <c r="K621" i="15"/>
  <c r="L621" i="15"/>
  <c r="M621" i="15"/>
  <c r="N621" i="15"/>
  <c r="O621" i="15"/>
  <c r="P621" i="15"/>
  <c r="Q621" i="15"/>
  <c r="T621" i="15"/>
  <c r="U621" i="15"/>
  <c r="V621" i="15"/>
  <c r="W621" i="15"/>
  <c r="X621" i="15"/>
  <c r="Y621" i="15"/>
  <c r="Z621" i="15"/>
  <c r="AA621" i="15"/>
  <c r="B622" i="15"/>
  <c r="C622" i="15"/>
  <c r="D622" i="15"/>
  <c r="E622" i="15"/>
  <c r="J622" i="15"/>
  <c r="K622" i="15"/>
  <c r="L622" i="15"/>
  <c r="M622" i="15"/>
  <c r="N622" i="15"/>
  <c r="O622" i="15"/>
  <c r="P622" i="15"/>
  <c r="Q622" i="15"/>
  <c r="T622" i="15"/>
  <c r="U622" i="15"/>
  <c r="V622" i="15"/>
  <c r="W622" i="15"/>
  <c r="X622" i="15"/>
  <c r="Y622" i="15"/>
  <c r="Z622" i="15"/>
  <c r="AA622" i="15"/>
  <c r="B623" i="15"/>
  <c r="C623" i="15"/>
  <c r="D623" i="15"/>
  <c r="E623" i="15"/>
  <c r="J623" i="15"/>
  <c r="K623" i="15"/>
  <c r="L623" i="15"/>
  <c r="M623" i="15"/>
  <c r="N623" i="15"/>
  <c r="O623" i="15"/>
  <c r="P623" i="15"/>
  <c r="Q623" i="15"/>
  <c r="T623" i="15"/>
  <c r="U623" i="15"/>
  <c r="V623" i="15"/>
  <c r="W623" i="15"/>
  <c r="X623" i="15"/>
  <c r="Y623" i="15"/>
  <c r="Z623" i="15"/>
  <c r="AA623" i="15"/>
  <c r="B624" i="15"/>
  <c r="C624" i="15"/>
  <c r="D624" i="15"/>
  <c r="E624" i="15"/>
  <c r="J624" i="15"/>
  <c r="K624" i="15"/>
  <c r="L624" i="15"/>
  <c r="M624" i="15"/>
  <c r="N624" i="15"/>
  <c r="O624" i="15"/>
  <c r="P624" i="15"/>
  <c r="Q624" i="15"/>
  <c r="T624" i="15"/>
  <c r="U624" i="15"/>
  <c r="V624" i="15"/>
  <c r="W624" i="15"/>
  <c r="X624" i="15"/>
  <c r="Y624" i="15"/>
  <c r="Z624" i="15"/>
  <c r="AA624" i="15"/>
  <c r="B625" i="15"/>
  <c r="C625" i="15"/>
  <c r="D625" i="15"/>
  <c r="E625" i="15"/>
  <c r="J625" i="15"/>
  <c r="K625" i="15"/>
  <c r="L625" i="15"/>
  <c r="M625" i="15"/>
  <c r="N625" i="15"/>
  <c r="O625" i="15"/>
  <c r="P625" i="15"/>
  <c r="Q625" i="15"/>
  <c r="T625" i="15"/>
  <c r="U625" i="15"/>
  <c r="V625" i="15"/>
  <c r="W625" i="15"/>
  <c r="X625" i="15"/>
  <c r="Y625" i="15"/>
  <c r="Z625" i="15"/>
  <c r="AA625" i="15"/>
  <c r="B626" i="15"/>
  <c r="C626" i="15"/>
  <c r="D626" i="15"/>
  <c r="E626" i="15"/>
  <c r="J626" i="15"/>
  <c r="K626" i="15"/>
  <c r="L626" i="15"/>
  <c r="M626" i="15"/>
  <c r="N626" i="15"/>
  <c r="O626" i="15"/>
  <c r="P626" i="15"/>
  <c r="Q626" i="15"/>
  <c r="T626" i="15"/>
  <c r="U626" i="15"/>
  <c r="V626" i="15"/>
  <c r="W626" i="15"/>
  <c r="X626" i="15"/>
  <c r="Y626" i="15"/>
  <c r="Z626" i="15"/>
  <c r="AA626" i="15"/>
  <c r="B627" i="15"/>
  <c r="C627" i="15"/>
  <c r="D627" i="15"/>
  <c r="E627" i="15"/>
  <c r="J627" i="15"/>
  <c r="K627" i="15"/>
  <c r="L627" i="15"/>
  <c r="M627" i="15"/>
  <c r="N627" i="15"/>
  <c r="O627" i="15"/>
  <c r="P627" i="15"/>
  <c r="Q627" i="15"/>
  <c r="T627" i="15"/>
  <c r="U627" i="15"/>
  <c r="V627" i="15"/>
  <c r="W627" i="15"/>
  <c r="X627" i="15"/>
  <c r="Y627" i="15"/>
  <c r="Z627" i="15"/>
  <c r="AA627" i="15"/>
  <c r="B628" i="15"/>
  <c r="C628" i="15"/>
  <c r="D628" i="15"/>
  <c r="E628" i="15"/>
  <c r="J628" i="15"/>
  <c r="K628" i="15"/>
  <c r="L628" i="15"/>
  <c r="M628" i="15"/>
  <c r="N628" i="15"/>
  <c r="O628" i="15"/>
  <c r="P628" i="15"/>
  <c r="Q628" i="15"/>
  <c r="T628" i="15"/>
  <c r="U628" i="15"/>
  <c r="V628" i="15"/>
  <c r="W628" i="15"/>
  <c r="X628" i="15"/>
  <c r="Y628" i="15"/>
  <c r="Z628" i="15"/>
  <c r="AA628" i="15"/>
  <c r="B629" i="15"/>
  <c r="C629" i="15"/>
  <c r="D629" i="15"/>
  <c r="E629" i="15"/>
  <c r="J629" i="15"/>
  <c r="K629" i="15"/>
  <c r="L629" i="15"/>
  <c r="M629" i="15"/>
  <c r="N629" i="15"/>
  <c r="O629" i="15"/>
  <c r="P629" i="15"/>
  <c r="Q629" i="15"/>
  <c r="T629" i="15"/>
  <c r="U629" i="15"/>
  <c r="V629" i="15"/>
  <c r="W629" i="15"/>
  <c r="X629" i="15"/>
  <c r="Y629" i="15"/>
  <c r="Z629" i="15"/>
  <c r="AA629" i="15"/>
  <c r="B630" i="15"/>
  <c r="C630" i="15"/>
  <c r="D630" i="15"/>
  <c r="E630" i="15"/>
  <c r="J630" i="15"/>
  <c r="K630" i="15"/>
  <c r="L630" i="15"/>
  <c r="M630" i="15"/>
  <c r="N630" i="15"/>
  <c r="O630" i="15"/>
  <c r="P630" i="15"/>
  <c r="Q630" i="15"/>
  <c r="T630" i="15"/>
  <c r="U630" i="15"/>
  <c r="V630" i="15"/>
  <c r="W630" i="15"/>
  <c r="X630" i="15"/>
  <c r="Y630" i="15"/>
  <c r="Z630" i="15"/>
  <c r="AA630" i="15"/>
  <c r="B631" i="15"/>
  <c r="C631" i="15"/>
  <c r="D631" i="15"/>
  <c r="E631" i="15"/>
  <c r="J631" i="15"/>
  <c r="K631" i="15"/>
  <c r="L631" i="15"/>
  <c r="M631" i="15"/>
  <c r="N631" i="15"/>
  <c r="O631" i="15"/>
  <c r="P631" i="15"/>
  <c r="Q631" i="15"/>
  <c r="T631" i="15"/>
  <c r="U631" i="15"/>
  <c r="V631" i="15"/>
  <c r="W631" i="15"/>
  <c r="X631" i="15"/>
  <c r="Y631" i="15"/>
  <c r="Z631" i="15"/>
  <c r="AA631" i="15"/>
  <c r="B632" i="15"/>
  <c r="C632" i="15"/>
  <c r="D632" i="15"/>
  <c r="E632" i="15"/>
  <c r="J632" i="15"/>
  <c r="K632" i="15"/>
  <c r="L632" i="15"/>
  <c r="M632" i="15"/>
  <c r="N632" i="15"/>
  <c r="O632" i="15"/>
  <c r="P632" i="15"/>
  <c r="Q632" i="15"/>
  <c r="T632" i="15"/>
  <c r="U632" i="15"/>
  <c r="V632" i="15"/>
  <c r="W632" i="15"/>
  <c r="X632" i="15"/>
  <c r="Y632" i="15"/>
  <c r="Z632" i="15"/>
  <c r="AA632" i="15"/>
  <c r="B633" i="15"/>
  <c r="C633" i="15"/>
  <c r="D633" i="15"/>
  <c r="E633" i="15"/>
  <c r="J633" i="15"/>
  <c r="K633" i="15"/>
  <c r="L633" i="15"/>
  <c r="M633" i="15"/>
  <c r="N633" i="15"/>
  <c r="O633" i="15"/>
  <c r="P633" i="15"/>
  <c r="Q633" i="15"/>
  <c r="T633" i="15"/>
  <c r="U633" i="15"/>
  <c r="V633" i="15"/>
  <c r="W633" i="15"/>
  <c r="X633" i="15"/>
  <c r="Y633" i="15"/>
  <c r="Z633" i="15"/>
  <c r="AA633" i="15"/>
  <c r="B634" i="15"/>
  <c r="C634" i="15"/>
  <c r="D634" i="15"/>
  <c r="E634" i="15"/>
  <c r="J634" i="15"/>
  <c r="K634" i="15"/>
  <c r="L634" i="15"/>
  <c r="M634" i="15"/>
  <c r="N634" i="15"/>
  <c r="O634" i="15"/>
  <c r="P634" i="15"/>
  <c r="Q634" i="15"/>
  <c r="T634" i="15"/>
  <c r="U634" i="15"/>
  <c r="V634" i="15"/>
  <c r="W634" i="15"/>
  <c r="X634" i="15"/>
  <c r="Y634" i="15"/>
  <c r="Z634" i="15"/>
  <c r="AA634" i="15"/>
  <c r="B635" i="15"/>
  <c r="C635" i="15"/>
  <c r="D635" i="15"/>
  <c r="E635" i="15"/>
  <c r="J635" i="15"/>
  <c r="K635" i="15"/>
  <c r="L635" i="15"/>
  <c r="M635" i="15"/>
  <c r="N635" i="15"/>
  <c r="O635" i="15"/>
  <c r="P635" i="15"/>
  <c r="Q635" i="15"/>
  <c r="T635" i="15"/>
  <c r="U635" i="15"/>
  <c r="V635" i="15"/>
  <c r="W635" i="15"/>
  <c r="X635" i="15"/>
  <c r="Y635" i="15"/>
  <c r="Z635" i="15"/>
  <c r="AA635" i="15"/>
  <c r="B636" i="15"/>
  <c r="C636" i="15"/>
  <c r="D636" i="15"/>
  <c r="E636" i="15"/>
  <c r="J636" i="15"/>
  <c r="K636" i="15"/>
  <c r="L636" i="15"/>
  <c r="M636" i="15"/>
  <c r="N636" i="15"/>
  <c r="O636" i="15"/>
  <c r="P636" i="15"/>
  <c r="Q636" i="15"/>
  <c r="T636" i="15"/>
  <c r="U636" i="15"/>
  <c r="V636" i="15"/>
  <c r="W636" i="15"/>
  <c r="X636" i="15"/>
  <c r="Y636" i="15"/>
  <c r="Z636" i="15"/>
  <c r="AA636" i="15"/>
  <c r="B637" i="15"/>
  <c r="C637" i="15"/>
  <c r="D637" i="15"/>
  <c r="E637" i="15"/>
  <c r="J637" i="15"/>
  <c r="K637" i="15"/>
  <c r="L637" i="15"/>
  <c r="M637" i="15"/>
  <c r="N637" i="15"/>
  <c r="O637" i="15"/>
  <c r="P637" i="15"/>
  <c r="Q637" i="15"/>
  <c r="T637" i="15"/>
  <c r="U637" i="15"/>
  <c r="V637" i="15"/>
  <c r="W637" i="15"/>
  <c r="X637" i="15"/>
  <c r="Y637" i="15"/>
  <c r="Z637" i="15"/>
  <c r="AA637" i="15"/>
  <c r="B638" i="15"/>
  <c r="C638" i="15"/>
  <c r="D638" i="15"/>
  <c r="E638" i="15"/>
  <c r="J638" i="15"/>
  <c r="K638" i="15"/>
  <c r="L638" i="15"/>
  <c r="M638" i="15"/>
  <c r="N638" i="15"/>
  <c r="O638" i="15"/>
  <c r="P638" i="15"/>
  <c r="Q638" i="15"/>
  <c r="T638" i="15"/>
  <c r="U638" i="15"/>
  <c r="V638" i="15"/>
  <c r="W638" i="15"/>
  <c r="X638" i="15"/>
  <c r="Y638" i="15"/>
  <c r="Z638" i="15"/>
  <c r="AA638" i="15"/>
  <c r="B639" i="15"/>
  <c r="C639" i="15"/>
  <c r="D639" i="15"/>
  <c r="E639" i="15"/>
  <c r="J639" i="15"/>
  <c r="K639" i="15"/>
  <c r="L639" i="15"/>
  <c r="M639" i="15"/>
  <c r="N639" i="15"/>
  <c r="O639" i="15"/>
  <c r="P639" i="15"/>
  <c r="Q639" i="15"/>
  <c r="T639" i="15"/>
  <c r="U639" i="15"/>
  <c r="V639" i="15"/>
  <c r="W639" i="15"/>
  <c r="X639" i="15"/>
  <c r="Y639" i="15"/>
  <c r="Z639" i="15"/>
  <c r="AA639" i="15"/>
  <c r="B640" i="15"/>
  <c r="C640" i="15"/>
  <c r="D640" i="15"/>
  <c r="E640" i="15"/>
  <c r="J640" i="15"/>
  <c r="K640" i="15"/>
  <c r="L640" i="15"/>
  <c r="M640" i="15"/>
  <c r="N640" i="15"/>
  <c r="O640" i="15"/>
  <c r="P640" i="15"/>
  <c r="Q640" i="15"/>
  <c r="T640" i="15"/>
  <c r="U640" i="15"/>
  <c r="V640" i="15"/>
  <c r="W640" i="15"/>
  <c r="X640" i="15"/>
  <c r="Y640" i="15"/>
  <c r="Z640" i="15"/>
  <c r="AA640" i="15"/>
  <c r="B641" i="15"/>
  <c r="C641" i="15"/>
  <c r="D641" i="15"/>
  <c r="E641" i="15"/>
  <c r="J641" i="15"/>
  <c r="K641" i="15"/>
  <c r="L641" i="15"/>
  <c r="M641" i="15"/>
  <c r="N641" i="15"/>
  <c r="O641" i="15"/>
  <c r="P641" i="15"/>
  <c r="Q641" i="15"/>
  <c r="T641" i="15"/>
  <c r="U641" i="15"/>
  <c r="V641" i="15"/>
  <c r="W641" i="15"/>
  <c r="X641" i="15"/>
  <c r="Y641" i="15"/>
  <c r="Z641" i="15"/>
  <c r="AA641" i="15"/>
  <c r="B642" i="15"/>
  <c r="C642" i="15"/>
  <c r="D642" i="15"/>
  <c r="E642" i="15"/>
  <c r="J642" i="15"/>
  <c r="K642" i="15"/>
  <c r="L642" i="15"/>
  <c r="M642" i="15"/>
  <c r="N642" i="15"/>
  <c r="O642" i="15"/>
  <c r="P642" i="15"/>
  <c r="Q642" i="15"/>
  <c r="T642" i="15"/>
  <c r="U642" i="15"/>
  <c r="V642" i="15"/>
  <c r="W642" i="15"/>
  <c r="X642" i="15"/>
  <c r="Y642" i="15"/>
  <c r="Z642" i="15"/>
  <c r="AA642" i="15"/>
  <c r="B643" i="15"/>
  <c r="C643" i="15"/>
  <c r="D643" i="15"/>
  <c r="E643" i="15"/>
  <c r="J643" i="15"/>
  <c r="K643" i="15"/>
  <c r="L643" i="15"/>
  <c r="M643" i="15"/>
  <c r="N643" i="15"/>
  <c r="O643" i="15"/>
  <c r="P643" i="15"/>
  <c r="Q643" i="15"/>
  <c r="T643" i="15"/>
  <c r="U643" i="15"/>
  <c r="V643" i="15"/>
  <c r="W643" i="15"/>
  <c r="X643" i="15"/>
  <c r="Y643" i="15"/>
  <c r="Z643" i="15"/>
  <c r="AA643" i="15"/>
  <c r="B644" i="15"/>
  <c r="C644" i="15"/>
  <c r="D644" i="15"/>
  <c r="E644" i="15"/>
  <c r="J644" i="15"/>
  <c r="K644" i="15"/>
  <c r="L644" i="15"/>
  <c r="M644" i="15"/>
  <c r="N644" i="15"/>
  <c r="O644" i="15"/>
  <c r="P644" i="15"/>
  <c r="Q644" i="15"/>
  <c r="T644" i="15"/>
  <c r="U644" i="15"/>
  <c r="V644" i="15"/>
  <c r="W644" i="15"/>
  <c r="X644" i="15"/>
  <c r="Y644" i="15"/>
  <c r="Z644" i="15"/>
  <c r="AA644" i="15"/>
  <c r="B645" i="15"/>
  <c r="C645" i="15"/>
  <c r="D645" i="15"/>
  <c r="E645" i="15"/>
  <c r="J645" i="15"/>
  <c r="K645" i="15"/>
  <c r="L645" i="15"/>
  <c r="M645" i="15"/>
  <c r="N645" i="15"/>
  <c r="O645" i="15"/>
  <c r="P645" i="15"/>
  <c r="Q645" i="15"/>
  <c r="T645" i="15"/>
  <c r="U645" i="15"/>
  <c r="V645" i="15"/>
  <c r="W645" i="15"/>
  <c r="X645" i="15"/>
  <c r="Y645" i="15"/>
  <c r="Z645" i="15"/>
  <c r="AA645" i="15"/>
  <c r="B646" i="15"/>
  <c r="C646" i="15"/>
  <c r="D646" i="15"/>
  <c r="E646" i="15"/>
  <c r="J646" i="15"/>
  <c r="K646" i="15"/>
  <c r="L646" i="15"/>
  <c r="M646" i="15"/>
  <c r="N646" i="15"/>
  <c r="O646" i="15"/>
  <c r="P646" i="15"/>
  <c r="Q646" i="15"/>
  <c r="T646" i="15"/>
  <c r="U646" i="15"/>
  <c r="V646" i="15"/>
  <c r="W646" i="15"/>
  <c r="X646" i="15"/>
  <c r="Y646" i="15"/>
  <c r="Z646" i="15"/>
  <c r="AA646" i="15"/>
  <c r="B647" i="15"/>
  <c r="C647" i="15"/>
  <c r="D647" i="15"/>
  <c r="E647" i="15"/>
  <c r="J647" i="15"/>
  <c r="K647" i="15"/>
  <c r="L647" i="15"/>
  <c r="M647" i="15"/>
  <c r="N647" i="15"/>
  <c r="O647" i="15"/>
  <c r="P647" i="15"/>
  <c r="Q647" i="15"/>
  <c r="T647" i="15"/>
  <c r="U647" i="15"/>
  <c r="V647" i="15"/>
  <c r="W647" i="15"/>
  <c r="X647" i="15"/>
  <c r="Y647" i="15"/>
  <c r="Z647" i="15"/>
  <c r="AA647" i="15"/>
  <c r="B648" i="15"/>
  <c r="C648" i="15"/>
  <c r="D648" i="15"/>
  <c r="E648" i="15"/>
  <c r="J648" i="15"/>
  <c r="K648" i="15"/>
  <c r="L648" i="15"/>
  <c r="M648" i="15"/>
  <c r="N648" i="15"/>
  <c r="O648" i="15"/>
  <c r="P648" i="15"/>
  <c r="Q648" i="15"/>
  <c r="T648" i="15"/>
  <c r="U648" i="15"/>
  <c r="V648" i="15"/>
  <c r="W648" i="15"/>
  <c r="X648" i="15"/>
  <c r="Y648" i="15"/>
  <c r="Z648" i="15"/>
  <c r="AA648" i="15"/>
  <c r="B649" i="15"/>
  <c r="C649" i="15"/>
  <c r="D649" i="15"/>
  <c r="E649" i="15"/>
  <c r="J649" i="15"/>
  <c r="K649" i="15"/>
  <c r="L649" i="15"/>
  <c r="M649" i="15"/>
  <c r="N649" i="15"/>
  <c r="O649" i="15"/>
  <c r="P649" i="15"/>
  <c r="Q649" i="15"/>
  <c r="T649" i="15"/>
  <c r="U649" i="15"/>
  <c r="V649" i="15"/>
  <c r="W649" i="15"/>
  <c r="X649" i="15"/>
  <c r="Y649" i="15"/>
  <c r="Z649" i="15"/>
  <c r="AA649" i="15"/>
  <c r="B650" i="15"/>
  <c r="C650" i="15"/>
  <c r="D650" i="15"/>
  <c r="E650" i="15"/>
  <c r="J650" i="15"/>
  <c r="K650" i="15"/>
  <c r="L650" i="15"/>
  <c r="M650" i="15"/>
  <c r="N650" i="15"/>
  <c r="O650" i="15"/>
  <c r="P650" i="15"/>
  <c r="Q650" i="15"/>
  <c r="T650" i="15"/>
  <c r="U650" i="15"/>
  <c r="V650" i="15"/>
  <c r="W650" i="15"/>
  <c r="X650" i="15"/>
  <c r="Y650" i="15"/>
  <c r="Z650" i="15"/>
  <c r="AA650" i="15"/>
  <c r="B651" i="15"/>
  <c r="C651" i="15"/>
  <c r="D651" i="15"/>
  <c r="E651" i="15"/>
  <c r="J651" i="15"/>
  <c r="K651" i="15"/>
  <c r="L651" i="15"/>
  <c r="M651" i="15"/>
  <c r="N651" i="15"/>
  <c r="O651" i="15"/>
  <c r="P651" i="15"/>
  <c r="Q651" i="15"/>
  <c r="T651" i="15"/>
  <c r="U651" i="15"/>
  <c r="V651" i="15"/>
  <c r="W651" i="15"/>
  <c r="X651" i="15"/>
  <c r="Y651" i="15"/>
  <c r="Z651" i="15"/>
  <c r="AA651" i="15"/>
  <c r="B652" i="15"/>
  <c r="C652" i="15"/>
  <c r="D652" i="15"/>
  <c r="E652" i="15"/>
  <c r="J652" i="15"/>
  <c r="K652" i="15"/>
  <c r="L652" i="15"/>
  <c r="M652" i="15"/>
  <c r="N652" i="15"/>
  <c r="O652" i="15"/>
  <c r="P652" i="15"/>
  <c r="Q652" i="15"/>
  <c r="T652" i="15"/>
  <c r="U652" i="15"/>
  <c r="V652" i="15"/>
  <c r="W652" i="15"/>
  <c r="X652" i="15"/>
  <c r="Y652" i="15"/>
  <c r="Z652" i="15"/>
  <c r="AA652" i="15"/>
  <c r="B653" i="15"/>
  <c r="C653" i="15"/>
  <c r="D653" i="15"/>
  <c r="E653" i="15"/>
  <c r="J653" i="15"/>
  <c r="K653" i="15"/>
  <c r="L653" i="15"/>
  <c r="M653" i="15"/>
  <c r="N653" i="15"/>
  <c r="O653" i="15"/>
  <c r="P653" i="15"/>
  <c r="Q653" i="15"/>
  <c r="T653" i="15"/>
  <c r="U653" i="15"/>
  <c r="V653" i="15"/>
  <c r="W653" i="15"/>
  <c r="X653" i="15"/>
  <c r="Y653" i="15"/>
  <c r="Z653" i="15"/>
  <c r="AA653" i="15"/>
  <c r="B654" i="15"/>
  <c r="C654" i="15"/>
  <c r="D654" i="15"/>
  <c r="E654" i="15"/>
  <c r="J654" i="15"/>
  <c r="K654" i="15"/>
  <c r="L654" i="15"/>
  <c r="M654" i="15"/>
  <c r="N654" i="15"/>
  <c r="O654" i="15"/>
  <c r="P654" i="15"/>
  <c r="Q654" i="15"/>
  <c r="T654" i="15"/>
  <c r="U654" i="15"/>
  <c r="V654" i="15"/>
  <c r="W654" i="15"/>
  <c r="X654" i="15"/>
  <c r="Y654" i="15"/>
  <c r="Z654" i="15"/>
  <c r="AA654" i="15"/>
  <c r="B655" i="15"/>
  <c r="C655" i="15"/>
  <c r="D655" i="15"/>
  <c r="E655" i="15"/>
  <c r="J655" i="15"/>
  <c r="K655" i="15"/>
  <c r="L655" i="15"/>
  <c r="M655" i="15"/>
  <c r="N655" i="15"/>
  <c r="O655" i="15"/>
  <c r="P655" i="15"/>
  <c r="Q655" i="15"/>
  <c r="T655" i="15"/>
  <c r="U655" i="15"/>
  <c r="V655" i="15"/>
  <c r="W655" i="15"/>
  <c r="X655" i="15"/>
  <c r="Y655" i="15"/>
  <c r="Z655" i="15"/>
  <c r="AA655" i="15"/>
  <c r="B656" i="15"/>
  <c r="C656" i="15"/>
  <c r="D656" i="15"/>
  <c r="E656" i="15"/>
  <c r="J656" i="15"/>
  <c r="K656" i="15"/>
  <c r="L656" i="15"/>
  <c r="M656" i="15"/>
  <c r="N656" i="15"/>
  <c r="O656" i="15"/>
  <c r="P656" i="15"/>
  <c r="Q656" i="15"/>
  <c r="T656" i="15"/>
  <c r="U656" i="15"/>
  <c r="V656" i="15"/>
  <c r="W656" i="15"/>
  <c r="X656" i="15"/>
  <c r="Y656" i="15"/>
  <c r="Z656" i="15"/>
  <c r="AA656" i="15"/>
  <c r="B657" i="15"/>
  <c r="C657" i="15"/>
  <c r="D657" i="15"/>
  <c r="E657" i="15"/>
  <c r="J657" i="15"/>
  <c r="K657" i="15"/>
  <c r="L657" i="15"/>
  <c r="M657" i="15"/>
  <c r="N657" i="15"/>
  <c r="O657" i="15"/>
  <c r="P657" i="15"/>
  <c r="Q657" i="15"/>
  <c r="T657" i="15"/>
  <c r="U657" i="15"/>
  <c r="V657" i="15"/>
  <c r="W657" i="15"/>
  <c r="X657" i="15"/>
  <c r="Y657" i="15"/>
  <c r="Z657" i="15"/>
  <c r="AA657" i="15"/>
  <c r="B658" i="15"/>
  <c r="C658" i="15"/>
  <c r="D658" i="15"/>
  <c r="E658" i="15"/>
  <c r="J658" i="15"/>
  <c r="K658" i="15"/>
  <c r="L658" i="15"/>
  <c r="M658" i="15"/>
  <c r="N658" i="15"/>
  <c r="O658" i="15"/>
  <c r="P658" i="15"/>
  <c r="Q658" i="15"/>
  <c r="T658" i="15"/>
  <c r="U658" i="15"/>
  <c r="V658" i="15"/>
  <c r="W658" i="15"/>
  <c r="X658" i="15"/>
  <c r="Y658" i="15"/>
  <c r="Z658" i="15"/>
  <c r="AA658" i="15"/>
  <c r="B659" i="15"/>
  <c r="C659" i="15"/>
  <c r="D659" i="15"/>
  <c r="E659" i="15"/>
  <c r="J659" i="15"/>
  <c r="K659" i="15"/>
  <c r="L659" i="15"/>
  <c r="M659" i="15"/>
  <c r="N659" i="15"/>
  <c r="O659" i="15"/>
  <c r="P659" i="15"/>
  <c r="Q659" i="15"/>
  <c r="T659" i="15"/>
  <c r="U659" i="15"/>
  <c r="V659" i="15"/>
  <c r="W659" i="15"/>
  <c r="X659" i="15"/>
  <c r="Y659" i="15"/>
  <c r="Z659" i="15"/>
  <c r="AA659" i="15"/>
  <c r="B660" i="15"/>
  <c r="C660" i="15"/>
  <c r="D660" i="15"/>
  <c r="E660" i="15"/>
  <c r="J660" i="15"/>
  <c r="K660" i="15"/>
  <c r="L660" i="15"/>
  <c r="M660" i="15"/>
  <c r="N660" i="15"/>
  <c r="O660" i="15"/>
  <c r="P660" i="15"/>
  <c r="Q660" i="15"/>
  <c r="T660" i="15"/>
  <c r="U660" i="15"/>
  <c r="V660" i="15"/>
  <c r="W660" i="15"/>
  <c r="X660" i="15"/>
  <c r="Y660" i="15"/>
  <c r="Z660" i="15"/>
  <c r="AA660" i="15"/>
  <c r="B661" i="15"/>
  <c r="C661" i="15"/>
  <c r="D661" i="15"/>
  <c r="E661" i="15"/>
  <c r="J661" i="15"/>
  <c r="K661" i="15"/>
  <c r="L661" i="15"/>
  <c r="M661" i="15"/>
  <c r="N661" i="15"/>
  <c r="O661" i="15"/>
  <c r="P661" i="15"/>
  <c r="Q661" i="15"/>
  <c r="T661" i="15"/>
  <c r="U661" i="15"/>
  <c r="V661" i="15"/>
  <c r="W661" i="15"/>
  <c r="X661" i="15"/>
  <c r="Y661" i="15"/>
  <c r="Z661" i="15"/>
  <c r="AA661" i="15"/>
  <c r="B662" i="15"/>
  <c r="C662" i="15"/>
  <c r="D662" i="15"/>
  <c r="E662" i="15"/>
  <c r="J662" i="15"/>
  <c r="K662" i="15"/>
  <c r="L662" i="15"/>
  <c r="M662" i="15"/>
  <c r="N662" i="15"/>
  <c r="O662" i="15"/>
  <c r="P662" i="15"/>
  <c r="Q662" i="15"/>
  <c r="T662" i="15"/>
  <c r="U662" i="15"/>
  <c r="V662" i="15"/>
  <c r="W662" i="15"/>
  <c r="X662" i="15"/>
  <c r="Y662" i="15"/>
  <c r="Z662" i="15"/>
  <c r="AA662" i="15"/>
  <c r="B663" i="15"/>
  <c r="C663" i="15"/>
  <c r="D663" i="15"/>
  <c r="E663" i="15"/>
  <c r="J663" i="15"/>
  <c r="K663" i="15"/>
  <c r="L663" i="15"/>
  <c r="M663" i="15"/>
  <c r="N663" i="15"/>
  <c r="O663" i="15"/>
  <c r="P663" i="15"/>
  <c r="Q663" i="15"/>
  <c r="T663" i="15"/>
  <c r="U663" i="15"/>
  <c r="V663" i="15"/>
  <c r="W663" i="15"/>
  <c r="X663" i="15"/>
  <c r="Y663" i="15"/>
  <c r="Z663" i="15"/>
  <c r="AA663" i="15"/>
  <c r="B664" i="15"/>
  <c r="C664" i="15"/>
  <c r="D664" i="15"/>
  <c r="E664" i="15"/>
  <c r="J664" i="15"/>
  <c r="K664" i="15"/>
  <c r="L664" i="15"/>
  <c r="M664" i="15"/>
  <c r="N664" i="15"/>
  <c r="O664" i="15"/>
  <c r="P664" i="15"/>
  <c r="Q664" i="15"/>
  <c r="T664" i="15"/>
  <c r="U664" i="15"/>
  <c r="V664" i="15"/>
  <c r="W664" i="15"/>
  <c r="X664" i="15"/>
  <c r="Y664" i="15"/>
  <c r="Z664" i="15"/>
  <c r="AA664" i="15"/>
  <c r="B665" i="15"/>
  <c r="C665" i="15"/>
  <c r="D665" i="15"/>
  <c r="E665" i="15"/>
  <c r="J665" i="15"/>
  <c r="K665" i="15"/>
  <c r="L665" i="15"/>
  <c r="M665" i="15"/>
  <c r="N665" i="15"/>
  <c r="O665" i="15"/>
  <c r="P665" i="15"/>
  <c r="Q665" i="15"/>
  <c r="T665" i="15"/>
  <c r="U665" i="15"/>
  <c r="V665" i="15"/>
  <c r="W665" i="15"/>
  <c r="X665" i="15"/>
  <c r="Y665" i="15"/>
  <c r="Z665" i="15"/>
  <c r="AA665" i="15"/>
  <c r="B666" i="15"/>
  <c r="C666" i="15"/>
  <c r="D666" i="15"/>
  <c r="E666" i="15"/>
  <c r="J666" i="15"/>
  <c r="K666" i="15"/>
  <c r="L666" i="15"/>
  <c r="M666" i="15"/>
  <c r="N666" i="15"/>
  <c r="O666" i="15"/>
  <c r="P666" i="15"/>
  <c r="Q666" i="15"/>
  <c r="T666" i="15"/>
  <c r="U666" i="15"/>
  <c r="V666" i="15"/>
  <c r="W666" i="15"/>
  <c r="X666" i="15"/>
  <c r="Y666" i="15"/>
  <c r="Z666" i="15"/>
  <c r="AA666" i="15"/>
  <c r="B667" i="15"/>
  <c r="C667" i="15"/>
  <c r="D667" i="15"/>
  <c r="E667" i="15"/>
  <c r="J667" i="15"/>
  <c r="K667" i="15"/>
  <c r="L667" i="15"/>
  <c r="M667" i="15"/>
  <c r="N667" i="15"/>
  <c r="O667" i="15"/>
  <c r="P667" i="15"/>
  <c r="Q667" i="15"/>
  <c r="T667" i="15"/>
  <c r="U667" i="15"/>
  <c r="V667" i="15"/>
  <c r="W667" i="15"/>
  <c r="X667" i="15"/>
  <c r="Y667" i="15"/>
  <c r="Z667" i="15"/>
  <c r="AA667" i="15"/>
  <c r="B668" i="15"/>
  <c r="C668" i="15"/>
  <c r="D668" i="15"/>
  <c r="E668" i="15"/>
  <c r="J668" i="15"/>
  <c r="K668" i="15"/>
  <c r="L668" i="15"/>
  <c r="M668" i="15"/>
  <c r="N668" i="15"/>
  <c r="O668" i="15"/>
  <c r="P668" i="15"/>
  <c r="Q668" i="15"/>
  <c r="T668" i="15"/>
  <c r="U668" i="15"/>
  <c r="V668" i="15"/>
  <c r="W668" i="15"/>
  <c r="X668" i="15"/>
  <c r="Y668" i="15"/>
  <c r="Z668" i="15"/>
  <c r="AA668" i="15"/>
  <c r="B669" i="15"/>
  <c r="C669" i="15"/>
  <c r="D669" i="15"/>
  <c r="E669" i="15"/>
  <c r="J669" i="15"/>
  <c r="K669" i="15"/>
  <c r="L669" i="15"/>
  <c r="M669" i="15"/>
  <c r="N669" i="15"/>
  <c r="O669" i="15"/>
  <c r="P669" i="15"/>
  <c r="Q669" i="15"/>
  <c r="T669" i="15"/>
  <c r="U669" i="15"/>
  <c r="V669" i="15"/>
  <c r="W669" i="15"/>
  <c r="X669" i="15"/>
  <c r="Y669" i="15"/>
  <c r="Z669" i="15"/>
  <c r="AA669" i="15"/>
  <c r="B670" i="15"/>
  <c r="C670" i="15"/>
  <c r="D670" i="15"/>
  <c r="E670" i="15"/>
  <c r="J670" i="15"/>
  <c r="K670" i="15"/>
  <c r="L670" i="15"/>
  <c r="M670" i="15"/>
  <c r="N670" i="15"/>
  <c r="O670" i="15"/>
  <c r="P670" i="15"/>
  <c r="Q670" i="15"/>
  <c r="T670" i="15"/>
  <c r="U670" i="15"/>
  <c r="V670" i="15"/>
  <c r="W670" i="15"/>
  <c r="X670" i="15"/>
  <c r="Y670" i="15"/>
  <c r="Z670" i="15"/>
  <c r="AA670" i="15"/>
  <c r="B671" i="15"/>
  <c r="C671" i="15"/>
  <c r="D671" i="15"/>
  <c r="E671" i="15"/>
  <c r="J671" i="15"/>
  <c r="K671" i="15"/>
  <c r="L671" i="15"/>
  <c r="M671" i="15"/>
  <c r="N671" i="15"/>
  <c r="O671" i="15"/>
  <c r="P671" i="15"/>
  <c r="Q671" i="15"/>
  <c r="T671" i="15"/>
  <c r="U671" i="15"/>
  <c r="V671" i="15"/>
  <c r="W671" i="15"/>
  <c r="X671" i="15"/>
  <c r="Y671" i="15"/>
  <c r="Z671" i="15"/>
  <c r="AA671" i="15"/>
  <c r="B672" i="15"/>
  <c r="C672" i="15"/>
  <c r="D672" i="15"/>
  <c r="E672" i="15"/>
  <c r="J672" i="15"/>
  <c r="K672" i="15"/>
  <c r="L672" i="15"/>
  <c r="M672" i="15"/>
  <c r="N672" i="15"/>
  <c r="O672" i="15"/>
  <c r="P672" i="15"/>
  <c r="Q672" i="15"/>
  <c r="T672" i="15"/>
  <c r="U672" i="15"/>
  <c r="V672" i="15"/>
  <c r="W672" i="15"/>
  <c r="X672" i="15"/>
  <c r="Y672" i="15"/>
  <c r="Z672" i="15"/>
  <c r="AA672" i="15"/>
  <c r="B673" i="15"/>
  <c r="C673" i="15"/>
  <c r="D673" i="15"/>
  <c r="E673" i="15"/>
  <c r="J673" i="15"/>
  <c r="K673" i="15"/>
  <c r="L673" i="15"/>
  <c r="M673" i="15"/>
  <c r="N673" i="15"/>
  <c r="O673" i="15"/>
  <c r="P673" i="15"/>
  <c r="Q673" i="15"/>
  <c r="T673" i="15"/>
  <c r="U673" i="15"/>
  <c r="V673" i="15"/>
  <c r="W673" i="15"/>
  <c r="X673" i="15"/>
  <c r="Y673" i="15"/>
  <c r="Z673" i="15"/>
  <c r="AA673" i="15"/>
  <c r="B674" i="15"/>
  <c r="C674" i="15"/>
  <c r="D674" i="15"/>
  <c r="E674" i="15"/>
  <c r="J674" i="15"/>
  <c r="K674" i="15"/>
  <c r="L674" i="15"/>
  <c r="M674" i="15"/>
  <c r="N674" i="15"/>
  <c r="O674" i="15"/>
  <c r="P674" i="15"/>
  <c r="Q674" i="15"/>
  <c r="T674" i="15"/>
  <c r="U674" i="15"/>
  <c r="V674" i="15"/>
  <c r="W674" i="15"/>
  <c r="X674" i="15"/>
  <c r="Y674" i="15"/>
  <c r="Z674" i="15"/>
  <c r="AA674" i="15"/>
  <c r="B675" i="15"/>
  <c r="C675" i="15"/>
  <c r="D675" i="15"/>
  <c r="E675" i="15"/>
  <c r="J675" i="15"/>
  <c r="K675" i="15"/>
  <c r="L675" i="15"/>
  <c r="M675" i="15"/>
  <c r="N675" i="15"/>
  <c r="O675" i="15"/>
  <c r="P675" i="15"/>
  <c r="Q675" i="15"/>
  <c r="T675" i="15"/>
  <c r="U675" i="15"/>
  <c r="V675" i="15"/>
  <c r="W675" i="15"/>
  <c r="X675" i="15"/>
  <c r="Y675" i="15"/>
  <c r="Z675" i="15"/>
  <c r="AA675" i="15"/>
  <c r="B676" i="15"/>
  <c r="C676" i="15"/>
  <c r="D676" i="15"/>
  <c r="E676" i="15"/>
  <c r="J676" i="15"/>
  <c r="K676" i="15"/>
  <c r="L676" i="15"/>
  <c r="M676" i="15"/>
  <c r="N676" i="15"/>
  <c r="O676" i="15"/>
  <c r="P676" i="15"/>
  <c r="Q676" i="15"/>
  <c r="T676" i="15"/>
  <c r="U676" i="15"/>
  <c r="V676" i="15"/>
  <c r="W676" i="15"/>
  <c r="X676" i="15"/>
  <c r="Y676" i="15"/>
  <c r="Z676" i="15"/>
  <c r="AA676" i="15"/>
  <c r="B677" i="15"/>
  <c r="C677" i="15"/>
  <c r="D677" i="15"/>
  <c r="E677" i="15"/>
  <c r="J677" i="15"/>
  <c r="K677" i="15"/>
  <c r="L677" i="15"/>
  <c r="M677" i="15"/>
  <c r="N677" i="15"/>
  <c r="O677" i="15"/>
  <c r="P677" i="15"/>
  <c r="Q677" i="15"/>
  <c r="T677" i="15"/>
  <c r="U677" i="15"/>
  <c r="V677" i="15"/>
  <c r="W677" i="15"/>
  <c r="X677" i="15"/>
  <c r="Y677" i="15"/>
  <c r="Z677" i="15"/>
  <c r="AA677" i="15"/>
  <c r="B678" i="15"/>
  <c r="C678" i="15"/>
  <c r="D678" i="15"/>
  <c r="E678" i="15"/>
  <c r="J678" i="15"/>
  <c r="K678" i="15"/>
  <c r="L678" i="15"/>
  <c r="M678" i="15"/>
  <c r="N678" i="15"/>
  <c r="O678" i="15"/>
  <c r="P678" i="15"/>
  <c r="Q678" i="15"/>
  <c r="T678" i="15"/>
  <c r="U678" i="15"/>
  <c r="V678" i="15"/>
  <c r="W678" i="15"/>
  <c r="X678" i="15"/>
  <c r="Y678" i="15"/>
  <c r="Z678" i="15"/>
  <c r="AA678" i="15"/>
  <c r="B679" i="15"/>
  <c r="C679" i="15"/>
  <c r="D679" i="15"/>
  <c r="E679" i="15"/>
  <c r="J679" i="15"/>
  <c r="K679" i="15"/>
  <c r="L679" i="15"/>
  <c r="M679" i="15"/>
  <c r="N679" i="15"/>
  <c r="O679" i="15"/>
  <c r="P679" i="15"/>
  <c r="Q679" i="15"/>
  <c r="T679" i="15"/>
  <c r="U679" i="15"/>
  <c r="V679" i="15"/>
  <c r="W679" i="15"/>
  <c r="X679" i="15"/>
  <c r="Y679" i="15"/>
  <c r="Z679" i="15"/>
  <c r="AA679" i="15"/>
  <c r="B680" i="15"/>
  <c r="C680" i="15"/>
  <c r="D680" i="15"/>
  <c r="E680" i="15"/>
  <c r="J680" i="15"/>
  <c r="K680" i="15"/>
  <c r="L680" i="15"/>
  <c r="M680" i="15"/>
  <c r="N680" i="15"/>
  <c r="O680" i="15"/>
  <c r="P680" i="15"/>
  <c r="Q680" i="15"/>
  <c r="T680" i="15"/>
  <c r="U680" i="15"/>
  <c r="V680" i="15"/>
  <c r="W680" i="15"/>
  <c r="X680" i="15"/>
  <c r="Y680" i="15"/>
  <c r="Z680" i="15"/>
  <c r="AA680" i="15"/>
  <c r="B681" i="15"/>
  <c r="C681" i="15"/>
  <c r="D681" i="15"/>
  <c r="E681" i="15"/>
  <c r="J681" i="15"/>
  <c r="K681" i="15"/>
  <c r="L681" i="15"/>
  <c r="M681" i="15"/>
  <c r="N681" i="15"/>
  <c r="O681" i="15"/>
  <c r="P681" i="15"/>
  <c r="Q681" i="15"/>
  <c r="T681" i="15"/>
  <c r="U681" i="15"/>
  <c r="V681" i="15"/>
  <c r="W681" i="15"/>
  <c r="X681" i="15"/>
  <c r="Y681" i="15"/>
  <c r="Z681" i="15"/>
  <c r="AA681" i="15"/>
  <c r="B682" i="15"/>
  <c r="C682" i="15"/>
  <c r="D682" i="15"/>
  <c r="E682" i="15"/>
  <c r="J682" i="15"/>
  <c r="K682" i="15"/>
  <c r="L682" i="15"/>
  <c r="M682" i="15"/>
  <c r="N682" i="15"/>
  <c r="O682" i="15"/>
  <c r="P682" i="15"/>
  <c r="Q682" i="15"/>
  <c r="T682" i="15"/>
  <c r="U682" i="15"/>
  <c r="V682" i="15"/>
  <c r="W682" i="15"/>
  <c r="X682" i="15"/>
  <c r="Y682" i="15"/>
  <c r="Z682" i="15"/>
  <c r="AA682" i="15"/>
  <c r="B683" i="15"/>
  <c r="C683" i="15"/>
  <c r="D683" i="15"/>
  <c r="E683" i="15"/>
  <c r="J683" i="15"/>
  <c r="K683" i="15"/>
  <c r="L683" i="15"/>
  <c r="M683" i="15"/>
  <c r="N683" i="15"/>
  <c r="O683" i="15"/>
  <c r="P683" i="15"/>
  <c r="Q683" i="15"/>
  <c r="T683" i="15"/>
  <c r="U683" i="15"/>
  <c r="V683" i="15"/>
  <c r="W683" i="15"/>
  <c r="X683" i="15"/>
  <c r="Y683" i="15"/>
  <c r="Z683" i="15"/>
  <c r="AA683" i="15"/>
  <c r="B684" i="15"/>
  <c r="C684" i="15"/>
  <c r="D684" i="15"/>
  <c r="E684" i="15"/>
  <c r="J684" i="15"/>
  <c r="K684" i="15"/>
  <c r="L684" i="15"/>
  <c r="M684" i="15"/>
  <c r="N684" i="15"/>
  <c r="O684" i="15"/>
  <c r="P684" i="15"/>
  <c r="Q684" i="15"/>
  <c r="T684" i="15"/>
  <c r="U684" i="15"/>
  <c r="V684" i="15"/>
  <c r="W684" i="15"/>
  <c r="X684" i="15"/>
  <c r="Y684" i="15"/>
  <c r="Z684" i="15"/>
  <c r="AA684" i="15"/>
  <c r="B685" i="15"/>
  <c r="C685" i="15"/>
  <c r="D685" i="15"/>
  <c r="E685" i="15"/>
  <c r="J685" i="15"/>
  <c r="K685" i="15"/>
  <c r="L685" i="15"/>
  <c r="M685" i="15"/>
  <c r="N685" i="15"/>
  <c r="O685" i="15"/>
  <c r="P685" i="15"/>
  <c r="Q685" i="15"/>
  <c r="T685" i="15"/>
  <c r="U685" i="15"/>
  <c r="V685" i="15"/>
  <c r="W685" i="15"/>
  <c r="X685" i="15"/>
  <c r="Y685" i="15"/>
  <c r="Z685" i="15"/>
  <c r="AA685" i="15"/>
  <c r="B686" i="15"/>
  <c r="C686" i="15"/>
  <c r="D686" i="15"/>
  <c r="E686" i="15"/>
  <c r="J686" i="15"/>
  <c r="K686" i="15"/>
  <c r="L686" i="15"/>
  <c r="M686" i="15"/>
  <c r="N686" i="15"/>
  <c r="O686" i="15"/>
  <c r="P686" i="15"/>
  <c r="Q686" i="15"/>
  <c r="T686" i="15"/>
  <c r="U686" i="15"/>
  <c r="V686" i="15"/>
  <c r="W686" i="15"/>
  <c r="X686" i="15"/>
  <c r="Y686" i="15"/>
  <c r="Z686" i="15"/>
  <c r="AA686" i="15"/>
  <c r="B687" i="15"/>
  <c r="C687" i="15"/>
  <c r="D687" i="15"/>
  <c r="E687" i="15"/>
  <c r="J687" i="15"/>
  <c r="K687" i="15"/>
  <c r="L687" i="15"/>
  <c r="M687" i="15"/>
  <c r="N687" i="15"/>
  <c r="O687" i="15"/>
  <c r="P687" i="15"/>
  <c r="Q687" i="15"/>
  <c r="T687" i="15"/>
  <c r="U687" i="15"/>
  <c r="V687" i="15"/>
  <c r="W687" i="15"/>
  <c r="X687" i="15"/>
  <c r="Y687" i="15"/>
  <c r="Z687" i="15"/>
  <c r="AA687" i="15"/>
  <c r="B688" i="15"/>
  <c r="C688" i="15"/>
  <c r="D688" i="15"/>
  <c r="E688" i="15"/>
  <c r="J688" i="15"/>
  <c r="K688" i="15"/>
  <c r="L688" i="15"/>
  <c r="M688" i="15"/>
  <c r="N688" i="15"/>
  <c r="O688" i="15"/>
  <c r="P688" i="15"/>
  <c r="Q688" i="15"/>
  <c r="T688" i="15"/>
  <c r="U688" i="15"/>
  <c r="V688" i="15"/>
  <c r="W688" i="15"/>
  <c r="X688" i="15"/>
  <c r="Y688" i="15"/>
  <c r="Z688" i="15"/>
  <c r="AA688" i="15"/>
  <c r="B689" i="15"/>
  <c r="C689" i="15"/>
  <c r="D689" i="15"/>
  <c r="E689" i="15"/>
  <c r="J689" i="15"/>
  <c r="K689" i="15"/>
  <c r="L689" i="15"/>
  <c r="M689" i="15"/>
  <c r="N689" i="15"/>
  <c r="O689" i="15"/>
  <c r="P689" i="15"/>
  <c r="Q689" i="15"/>
  <c r="T689" i="15"/>
  <c r="U689" i="15"/>
  <c r="V689" i="15"/>
  <c r="W689" i="15"/>
  <c r="X689" i="15"/>
  <c r="Y689" i="15"/>
  <c r="Z689" i="15"/>
  <c r="AA689" i="15"/>
  <c r="B690" i="15"/>
  <c r="C690" i="15"/>
  <c r="D690" i="15"/>
  <c r="E690" i="15"/>
  <c r="J690" i="15"/>
  <c r="K690" i="15"/>
  <c r="L690" i="15"/>
  <c r="M690" i="15"/>
  <c r="N690" i="15"/>
  <c r="O690" i="15"/>
  <c r="P690" i="15"/>
  <c r="Q690" i="15"/>
  <c r="T690" i="15"/>
  <c r="U690" i="15"/>
  <c r="V690" i="15"/>
  <c r="W690" i="15"/>
  <c r="X690" i="15"/>
  <c r="Y690" i="15"/>
  <c r="Z690" i="15"/>
  <c r="AA690" i="15"/>
  <c r="B691" i="15"/>
  <c r="C691" i="15"/>
  <c r="D691" i="15"/>
  <c r="E691" i="15"/>
  <c r="J691" i="15"/>
  <c r="K691" i="15"/>
  <c r="L691" i="15"/>
  <c r="M691" i="15"/>
  <c r="N691" i="15"/>
  <c r="O691" i="15"/>
  <c r="P691" i="15"/>
  <c r="Q691" i="15"/>
  <c r="T691" i="15"/>
  <c r="U691" i="15"/>
  <c r="V691" i="15"/>
  <c r="W691" i="15"/>
  <c r="X691" i="15"/>
  <c r="Y691" i="15"/>
  <c r="Z691" i="15"/>
  <c r="AA691" i="15"/>
  <c r="B692" i="15"/>
  <c r="C692" i="15"/>
  <c r="D692" i="15"/>
  <c r="E692" i="15"/>
  <c r="J692" i="15"/>
  <c r="K692" i="15"/>
  <c r="L692" i="15"/>
  <c r="M692" i="15"/>
  <c r="N692" i="15"/>
  <c r="O692" i="15"/>
  <c r="P692" i="15"/>
  <c r="Q692" i="15"/>
  <c r="T692" i="15"/>
  <c r="U692" i="15"/>
  <c r="V692" i="15"/>
  <c r="W692" i="15"/>
  <c r="X692" i="15"/>
  <c r="Y692" i="15"/>
  <c r="Z692" i="15"/>
  <c r="AA692" i="15"/>
  <c r="B693" i="15"/>
  <c r="C693" i="15"/>
  <c r="D693" i="15"/>
  <c r="E693" i="15"/>
  <c r="J693" i="15"/>
  <c r="K693" i="15"/>
  <c r="L693" i="15"/>
  <c r="M693" i="15"/>
  <c r="N693" i="15"/>
  <c r="O693" i="15"/>
  <c r="P693" i="15"/>
  <c r="Q693" i="15"/>
  <c r="T693" i="15"/>
  <c r="U693" i="15"/>
  <c r="V693" i="15"/>
  <c r="W693" i="15"/>
  <c r="X693" i="15"/>
  <c r="Y693" i="15"/>
  <c r="Z693" i="15"/>
  <c r="AA693" i="15"/>
  <c r="B694" i="15"/>
  <c r="C694" i="15"/>
  <c r="D694" i="15"/>
  <c r="E694" i="15"/>
  <c r="J694" i="15"/>
  <c r="K694" i="15"/>
  <c r="L694" i="15"/>
  <c r="M694" i="15"/>
  <c r="N694" i="15"/>
  <c r="O694" i="15"/>
  <c r="P694" i="15"/>
  <c r="Q694" i="15"/>
  <c r="T694" i="15"/>
  <c r="U694" i="15"/>
  <c r="V694" i="15"/>
  <c r="W694" i="15"/>
  <c r="X694" i="15"/>
  <c r="Y694" i="15"/>
  <c r="Z694" i="15"/>
  <c r="AA694" i="15"/>
  <c r="B695" i="15"/>
  <c r="C695" i="15"/>
  <c r="D695" i="15"/>
  <c r="E695" i="15"/>
  <c r="J695" i="15"/>
  <c r="K695" i="15"/>
  <c r="L695" i="15"/>
  <c r="M695" i="15"/>
  <c r="N695" i="15"/>
  <c r="O695" i="15"/>
  <c r="P695" i="15"/>
  <c r="Q695" i="15"/>
  <c r="T695" i="15"/>
  <c r="U695" i="15"/>
  <c r="V695" i="15"/>
  <c r="W695" i="15"/>
  <c r="X695" i="15"/>
  <c r="Y695" i="15"/>
  <c r="Z695" i="15"/>
  <c r="AA695" i="15"/>
  <c r="B696" i="15"/>
  <c r="C696" i="15"/>
  <c r="D696" i="15"/>
  <c r="E696" i="15"/>
  <c r="J696" i="15"/>
  <c r="K696" i="15"/>
  <c r="L696" i="15"/>
  <c r="M696" i="15"/>
  <c r="N696" i="15"/>
  <c r="O696" i="15"/>
  <c r="P696" i="15"/>
  <c r="Q696" i="15"/>
  <c r="T696" i="15"/>
  <c r="U696" i="15"/>
  <c r="V696" i="15"/>
  <c r="W696" i="15"/>
  <c r="X696" i="15"/>
  <c r="Y696" i="15"/>
  <c r="Z696" i="15"/>
  <c r="AA696" i="15"/>
  <c r="B697" i="15"/>
  <c r="C697" i="15"/>
  <c r="D697" i="15"/>
  <c r="E697" i="15"/>
  <c r="J697" i="15"/>
  <c r="K697" i="15"/>
  <c r="L697" i="15"/>
  <c r="M697" i="15"/>
  <c r="N697" i="15"/>
  <c r="O697" i="15"/>
  <c r="P697" i="15"/>
  <c r="Q697" i="15"/>
  <c r="T697" i="15"/>
  <c r="U697" i="15"/>
  <c r="V697" i="15"/>
  <c r="W697" i="15"/>
  <c r="X697" i="15"/>
  <c r="Y697" i="15"/>
  <c r="Z697" i="15"/>
  <c r="AA697" i="15"/>
  <c r="B698" i="15"/>
  <c r="C698" i="15"/>
  <c r="D698" i="15"/>
  <c r="E698" i="15"/>
  <c r="J698" i="15"/>
  <c r="K698" i="15"/>
  <c r="L698" i="15"/>
  <c r="M698" i="15"/>
  <c r="N698" i="15"/>
  <c r="O698" i="15"/>
  <c r="P698" i="15"/>
  <c r="Q698" i="15"/>
  <c r="T698" i="15"/>
  <c r="U698" i="15"/>
  <c r="V698" i="15"/>
  <c r="W698" i="15"/>
  <c r="X698" i="15"/>
  <c r="Y698" i="15"/>
  <c r="Z698" i="15"/>
  <c r="AA698" i="15"/>
  <c r="B699" i="15"/>
  <c r="C699" i="15"/>
  <c r="D699" i="15"/>
  <c r="E699" i="15"/>
  <c r="J699" i="15"/>
  <c r="K699" i="15"/>
  <c r="L699" i="15"/>
  <c r="M699" i="15"/>
  <c r="N699" i="15"/>
  <c r="O699" i="15"/>
  <c r="P699" i="15"/>
  <c r="Q699" i="15"/>
  <c r="T699" i="15"/>
  <c r="U699" i="15"/>
  <c r="V699" i="15"/>
  <c r="W699" i="15"/>
  <c r="X699" i="15"/>
  <c r="Y699" i="15"/>
  <c r="Z699" i="15"/>
  <c r="AA699" i="15"/>
  <c r="B700" i="15"/>
  <c r="C700" i="15"/>
  <c r="D700" i="15"/>
  <c r="E700" i="15"/>
  <c r="J700" i="15"/>
  <c r="K700" i="15"/>
  <c r="L700" i="15"/>
  <c r="M700" i="15"/>
  <c r="N700" i="15"/>
  <c r="O700" i="15"/>
  <c r="P700" i="15"/>
  <c r="Q700" i="15"/>
  <c r="T700" i="15"/>
  <c r="U700" i="15"/>
  <c r="V700" i="15"/>
  <c r="W700" i="15"/>
  <c r="X700" i="15"/>
  <c r="Y700" i="15"/>
  <c r="Z700" i="15"/>
  <c r="AA700" i="15"/>
  <c r="B701" i="15"/>
  <c r="C701" i="15"/>
  <c r="D701" i="15"/>
  <c r="E701" i="15"/>
  <c r="J701" i="15"/>
  <c r="K701" i="15"/>
  <c r="L701" i="15"/>
  <c r="M701" i="15"/>
  <c r="N701" i="15"/>
  <c r="O701" i="15"/>
  <c r="P701" i="15"/>
  <c r="Q701" i="15"/>
  <c r="T701" i="15"/>
  <c r="U701" i="15"/>
  <c r="V701" i="15"/>
  <c r="W701" i="15"/>
  <c r="X701" i="15"/>
  <c r="Y701" i="15"/>
  <c r="Z701" i="15"/>
  <c r="AA701" i="15"/>
  <c r="B702" i="15"/>
  <c r="C702" i="15"/>
  <c r="D702" i="15"/>
  <c r="E702" i="15"/>
  <c r="J702" i="15"/>
  <c r="K702" i="15"/>
  <c r="L702" i="15"/>
  <c r="M702" i="15"/>
  <c r="N702" i="15"/>
  <c r="O702" i="15"/>
  <c r="P702" i="15"/>
  <c r="Q702" i="15"/>
  <c r="T702" i="15"/>
  <c r="U702" i="15"/>
  <c r="V702" i="15"/>
  <c r="W702" i="15"/>
  <c r="X702" i="15"/>
  <c r="Y702" i="15"/>
  <c r="Z702" i="15"/>
  <c r="AA702" i="15"/>
  <c r="B703" i="15"/>
  <c r="C703" i="15"/>
  <c r="D703" i="15"/>
  <c r="E703" i="15"/>
  <c r="J703" i="15"/>
  <c r="K703" i="15"/>
  <c r="L703" i="15"/>
  <c r="M703" i="15"/>
  <c r="N703" i="15"/>
  <c r="O703" i="15"/>
  <c r="P703" i="15"/>
  <c r="Q703" i="15"/>
  <c r="T703" i="15"/>
  <c r="U703" i="15"/>
  <c r="V703" i="15"/>
  <c r="W703" i="15"/>
  <c r="X703" i="15"/>
  <c r="Y703" i="15"/>
  <c r="Z703" i="15"/>
  <c r="AA703" i="15"/>
  <c r="B704" i="15"/>
  <c r="C704" i="15"/>
  <c r="D704" i="15"/>
  <c r="E704" i="15"/>
  <c r="J704" i="15"/>
  <c r="K704" i="15"/>
  <c r="L704" i="15"/>
  <c r="M704" i="15"/>
  <c r="N704" i="15"/>
  <c r="O704" i="15"/>
  <c r="P704" i="15"/>
  <c r="Q704" i="15"/>
  <c r="T704" i="15"/>
  <c r="U704" i="15"/>
  <c r="V704" i="15"/>
  <c r="W704" i="15"/>
  <c r="X704" i="15"/>
  <c r="Y704" i="15"/>
  <c r="Z704" i="15"/>
  <c r="AA704" i="15"/>
  <c r="B705" i="15"/>
  <c r="C705" i="15"/>
  <c r="D705" i="15"/>
  <c r="E705" i="15"/>
  <c r="J705" i="15"/>
  <c r="K705" i="15"/>
  <c r="L705" i="15"/>
  <c r="M705" i="15"/>
  <c r="N705" i="15"/>
  <c r="O705" i="15"/>
  <c r="P705" i="15"/>
  <c r="Q705" i="15"/>
  <c r="T705" i="15"/>
  <c r="U705" i="15"/>
  <c r="V705" i="15"/>
  <c r="W705" i="15"/>
  <c r="X705" i="15"/>
  <c r="Y705" i="15"/>
  <c r="Z705" i="15"/>
  <c r="AA705" i="15"/>
  <c r="B706" i="15"/>
  <c r="C706" i="15"/>
  <c r="D706" i="15"/>
  <c r="E706" i="15"/>
  <c r="J706" i="15"/>
  <c r="K706" i="15"/>
  <c r="L706" i="15"/>
  <c r="M706" i="15"/>
  <c r="N706" i="15"/>
  <c r="O706" i="15"/>
  <c r="P706" i="15"/>
  <c r="Q706" i="15"/>
  <c r="T706" i="15"/>
  <c r="U706" i="15"/>
  <c r="V706" i="15"/>
  <c r="W706" i="15"/>
  <c r="X706" i="15"/>
  <c r="Y706" i="15"/>
  <c r="Z706" i="15"/>
  <c r="AA706" i="15"/>
  <c r="B707" i="15"/>
  <c r="C707" i="15"/>
  <c r="D707" i="15"/>
  <c r="E707" i="15"/>
  <c r="J707" i="15"/>
  <c r="K707" i="15"/>
  <c r="L707" i="15"/>
  <c r="M707" i="15"/>
  <c r="N707" i="15"/>
  <c r="O707" i="15"/>
  <c r="P707" i="15"/>
  <c r="Q707" i="15"/>
  <c r="T707" i="15"/>
  <c r="U707" i="15"/>
  <c r="V707" i="15"/>
  <c r="W707" i="15"/>
  <c r="X707" i="15"/>
  <c r="Y707" i="15"/>
  <c r="Z707" i="15"/>
  <c r="AA707" i="15"/>
  <c r="B708" i="15"/>
  <c r="C708" i="15"/>
  <c r="D708" i="15"/>
  <c r="E708" i="15"/>
  <c r="J708" i="15"/>
  <c r="K708" i="15"/>
  <c r="L708" i="15"/>
  <c r="M708" i="15"/>
  <c r="N708" i="15"/>
  <c r="O708" i="15"/>
  <c r="P708" i="15"/>
  <c r="Q708" i="15"/>
  <c r="T708" i="15"/>
  <c r="U708" i="15"/>
  <c r="V708" i="15"/>
  <c r="W708" i="15"/>
  <c r="X708" i="15"/>
  <c r="Y708" i="15"/>
  <c r="Z708" i="15"/>
  <c r="AA708" i="15"/>
  <c r="B709" i="15"/>
  <c r="C709" i="15"/>
  <c r="D709" i="15"/>
  <c r="E709" i="15"/>
  <c r="J709" i="15"/>
  <c r="K709" i="15"/>
  <c r="L709" i="15"/>
  <c r="M709" i="15"/>
  <c r="N709" i="15"/>
  <c r="O709" i="15"/>
  <c r="P709" i="15"/>
  <c r="Q709" i="15"/>
  <c r="T709" i="15"/>
  <c r="U709" i="15"/>
  <c r="V709" i="15"/>
  <c r="W709" i="15"/>
  <c r="X709" i="15"/>
  <c r="Y709" i="15"/>
  <c r="Z709" i="15"/>
  <c r="AA709" i="15"/>
  <c r="B710" i="15"/>
  <c r="C710" i="15"/>
  <c r="D710" i="15"/>
  <c r="E710" i="15"/>
  <c r="J710" i="15"/>
  <c r="K710" i="15"/>
  <c r="L710" i="15"/>
  <c r="M710" i="15"/>
  <c r="N710" i="15"/>
  <c r="O710" i="15"/>
  <c r="P710" i="15"/>
  <c r="Q710" i="15"/>
  <c r="T710" i="15"/>
  <c r="U710" i="15"/>
  <c r="V710" i="15"/>
  <c r="W710" i="15"/>
  <c r="X710" i="15"/>
  <c r="Y710" i="15"/>
  <c r="Z710" i="15"/>
  <c r="AA710" i="15"/>
  <c r="B711" i="15"/>
  <c r="C711" i="15"/>
  <c r="D711" i="15"/>
  <c r="E711" i="15"/>
  <c r="J711" i="15"/>
  <c r="K711" i="15"/>
  <c r="L711" i="15"/>
  <c r="M711" i="15"/>
  <c r="N711" i="15"/>
  <c r="O711" i="15"/>
  <c r="P711" i="15"/>
  <c r="Q711" i="15"/>
  <c r="T711" i="15"/>
  <c r="U711" i="15"/>
  <c r="V711" i="15"/>
  <c r="W711" i="15"/>
  <c r="X711" i="15"/>
  <c r="Y711" i="15"/>
  <c r="Z711" i="15"/>
  <c r="AA711" i="15"/>
  <c r="B712" i="15"/>
  <c r="C712" i="15"/>
  <c r="D712" i="15"/>
  <c r="E712" i="15"/>
  <c r="J712" i="15"/>
  <c r="K712" i="15"/>
  <c r="L712" i="15"/>
  <c r="M712" i="15"/>
  <c r="N712" i="15"/>
  <c r="O712" i="15"/>
  <c r="P712" i="15"/>
  <c r="Q712" i="15"/>
  <c r="T712" i="15"/>
  <c r="U712" i="15"/>
  <c r="V712" i="15"/>
  <c r="W712" i="15"/>
  <c r="X712" i="15"/>
  <c r="Y712" i="15"/>
  <c r="Z712" i="15"/>
  <c r="AA712" i="15"/>
  <c r="B713" i="15"/>
  <c r="C713" i="15"/>
  <c r="D713" i="15"/>
  <c r="E713" i="15"/>
  <c r="J713" i="15"/>
  <c r="K713" i="15"/>
  <c r="L713" i="15"/>
  <c r="M713" i="15"/>
  <c r="N713" i="15"/>
  <c r="O713" i="15"/>
  <c r="P713" i="15"/>
  <c r="Q713" i="15"/>
  <c r="T713" i="15"/>
  <c r="U713" i="15"/>
  <c r="V713" i="15"/>
  <c r="W713" i="15"/>
  <c r="X713" i="15"/>
  <c r="Y713" i="15"/>
  <c r="Z713" i="15"/>
  <c r="AA713" i="15"/>
  <c r="B714" i="15"/>
  <c r="C714" i="15"/>
  <c r="D714" i="15"/>
  <c r="E714" i="15"/>
  <c r="J714" i="15"/>
  <c r="K714" i="15"/>
  <c r="L714" i="15"/>
  <c r="M714" i="15"/>
  <c r="N714" i="15"/>
  <c r="O714" i="15"/>
  <c r="P714" i="15"/>
  <c r="Q714" i="15"/>
  <c r="T714" i="15"/>
  <c r="U714" i="15"/>
  <c r="V714" i="15"/>
  <c r="W714" i="15"/>
  <c r="X714" i="15"/>
  <c r="Y714" i="15"/>
  <c r="Z714" i="15"/>
  <c r="AA714" i="15"/>
  <c r="B715" i="15"/>
  <c r="C715" i="15"/>
  <c r="D715" i="15"/>
  <c r="E715" i="15"/>
  <c r="J715" i="15"/>
  <c r="K715" i="15"/>
  <c r="L715" i="15"/>
  <c r="M715" i="15"/>
  <c r="N715" i="15"/>
  <c r="O715" i="15"/>
  <c r="P715" i="15"/>
  <c r="Q715" i="15"/>
  <c r="T715" i="15"/>
  <c r="U715" i="15"/>
  <c r="V715" i="15"/>
  <c r="W715" i="15"/>
  <c r="X715" i="15"/>
  <c r="Y715" i="15"/>
  <c r="Z715" i="15"/>
  <c r="AA715" i="15"/>
  <c r="B716" i="15"/>
  <c r="C716" i="15"/>
  <c r="D716" i="15"/>
  <c r="E716" i="15"/>
  <c r="J716" i="15"/>
  <c r="K716" i="15"/>
  <c r="L716" i="15"/>
  <c r="M716" i="15"/>
  <c r="N716" i="15"/>
  <c r="O716" i="15"/>
  <c r="P716" i="15"/>
  <c r="Q716" i="15"/>
  <c r="T716" i="15"/>
  <c r="U716" i="15"/>
  <c r="V716" i="15"/>
  <c r="W716" i="15"/>
  <c r="X716" i="15"/>
  <c r="Y716" i="15"/>
  <c r="Z716" i="15"/>
  <c r="AA716" i="15"/>
  <c r="B717" i="15"/>
  <c r="C717" i="15"/>
  <c r="D717" i="15"/>
  <c r="E717" i="15"/>
  <c r="J717" i="15"/>
  <c r="K717" i="15"/>
  <c r="L717" i="15"/>
  <c r="M717" i="15"/>
  <c r="N717" i="15"/>
  <c r="O717" i="15"/>
  <c r="P717" i="15"/>
  <c r="Q717" i="15"/>
  <c r="T717" i="15"/>
  <c r="U717" i="15"/>
  <c r="V717" i="15"/>
  <c r="W717" i="15"/>
  <c r="X717" i="15"/>
  <c r="Y717" i="15"/>
  <c r="Z717" i="15"/>
  <c r="AA717" i="15"/>
  <c r="B718" i="15"/>
  <c r="C718" i="15"/>
  <c r="D718" i="15"/>
  <c r="E718" i="15"/>
  <c r="J718" i="15"/>
  <c r="K718" i="15"/>
  <c r="L718" i="15"/>
  <c r="M718" i="15"/>
  <c r="N718" i="15"/>
  <c r="O718" i="15"/>
  <c r="P718" i="15"/>
  <c r="Q718" i="15"/>
  <c r="T718" i="15"/>
  <c r="U718" i="15"/>
  <c r="V718" i="15"/>
  <c r="W718" i="15"/>
  <c r="X718" i="15"/>
  <c r="Y718" i="15"/>
  <c r="Z718" i="15"/>
  <c r="AA718" i="15"/>
  <c r="B719" i="15"/>
  <c r="C719" i="15"/>
  <c r="D719" i="15"/>
  <c r="E719" i="15"/>
  <c r="J719" i="15"/>
  <c r="K719" i="15"/>
  <c r="L719" i="15"/>
  <c r="M719" i="15"/>
  <c r="N719" i="15"/>
  <c r="O719" i="15"/>
  <c r="P719" i="15"/>
  <c r="Q719" i="15"/>
  <c r="T719" i="15"/>
  <c r="U719" i="15"/>
  <c r="V719" i="15"/>
  <c r="W719" i="15"/>
  <c r="X719" i="15"/>
  <c r="Y719" i="15"/>
  <c r="Z719" i="15"/>
  <c r="AA719" i="15"/>
  <c r="B720" i="15"/>
  <c r="C720" i="15"/>
  <c r="D720" i="15"/>
  <c r="E720" i="15"/>
  <c r="J720" i="15"/>
  <c r="K720" i="15"/>
  <c r="L720" i="15"/>
  <c r="M720" i="15"/>
  <c r="N720" i="15"/>
  <c r="O720" i="15"/>
  <c r="P720" i="15"/>
  <c r="Q720" i="15"/>
  <c r="T720" i="15"/>
  <c r="U720" i="15"/>
  <c r="V720" i="15"/>
  <c r="W720" i="15"/>
  <c r="X720" i="15"/>
  <c r="Y720" i="15"/>
  <c r="Z720" i="15"/>
  <c r="AA720" i="15"/>
  <c r="B721" i="15"/>
  <c r="C721" i="15"/>
  <c r="D721" i="15"/>
  <c r="E721" i="15"/>
  <c r="J721" i="15"/>
  <c r="K721" i="15"/>
  <c r="L721" i="15"/>
  <c r="M721" i="15"/>
  <c r="N721" i="15"/>
  <c r="O721" i="15"/>
  <c r="P721" i="15"/>
  <c r="Q721" i="15"/>
  <c r="T721" i="15"/>
  <c r="U721" i="15"/>
  <c r="V721" i="15"/>
  <c r="W721" i="15"/>
  <c r="X721" i="15"/>
  <c r="Y721" i="15"/>
  <c r="Z721" i="15"/>
  <c r="AA721" i="15"/>
  <c r="B722" i="15"/>
  <c r="C722" i="15"/>
  <c r="D722" i="15"/>
  <c r="E722" i="15"/>
  <c r="J722" i="15"/>
  <c r="K722" i="15"/>
  <c r="L722" i="15"/>
  <c r="M722" i="15"/>
  <c r="N722" i="15"/>
  <c r="O722" i="15"/>
  <c r="P722" i="15"/>
  <c r="Q722" i="15"/>
  <c r="T722" i="15"/>
  <c r="U722" i="15"/>
  <c r="V722" i="15"/>
  <c r="W722" i="15"/>
  <c r="X722" i="15"/>
  <c r="Y722" i="15"/>
  <c r="Z722" i="15"/>
  <c r="AA722" i="15"/>
  <c r="B723" i="15"/>
  <c r="C723" i="15"/>
  <c r="D723" i="15"/>
  <c r="E723" i="15"/>
  <c r="J723" i="15"/>
  <c r="K723" i="15"/>
  <c r="L723" i="15"/>
  <c r="M723" i="15"/>
  <c r="N723" i="15"/>
  <c r="O723" i="15"/>
  <c r="P723" i="15"/>
  <c r="Q723" i="15"/>
  <c r="T723" i="15"/>
  <c r="U723" i="15"/>
  <c r="V723" i="15"/>
  <c r="W723" i="15"/>
  <c r="X723" i="15"/>
  <c r="Y723" i="15"/>
  <c r="Z723" i="15"/>
  <c r="AA723" i="15"/>
  <c r="B724" i="15"/>
  <c r="C724" i="15"/>
  <c r="D724" i="15"/>
  <c r="E724" i="15"/>
  <c r="J724" i="15"/>
  <c r="K724" i="15"/>
  <c r="L724" i="15"/>
  <c r="M724" i="15"/>
  <c r="N724" i="15"/>
  <c r="O724" i="15"/>
  <c r="P724" i="15"/>
  <c r="Q724" i="15"/>
  <c r="T724" i="15"/>
  <c r="U724" i="15"/>
  <c r="V724" i="15"/>
  <c r="W724" i="15"/>
  <c r="X724" i="15"/>
  <c r="Y724" i="15"/>
  <c r="Z724" i="15"/>
  <c r="AA724" i="15"/>
  <c r="B725" i="15"/>
  <c r="C725" i="15"/>
  <c r="D725" i="15"/>
  <c r="E725" i="15"/>
  <c r="J725" i="15"/>
  <c r="K725" i="15"/>
  <c r="L725" i="15"/>
  <c r="M725" i="15"/>
  <c r="N725" i="15"/>
  <c r="O725" i="15"/>
  <c r="P725" i="15"/>
  <c r="Q725" i="15"/>
  <c r="T725" i="15"/>
  <c r="U725" i="15"/>
  <c r="V725" i="15"/>
  <c r="W725" i="15"/>
  <c r="X725" i="15"/>
  <c r="Y725" i="15"/>
  <c r="Z725" i="15"/>
  <c r="AA725" i="15"/>
  <c r="B726" i="15"/>
  <c r="C726" i="15"/>
  <c r="D726" i="15"/>
  <c r="E726" i="15"/>
  <c r="J726" i="15"/>
  <c r="K726" i="15"/>
  <c r="L726" i="15"/>
  <c r="M726" i="15"/>
  <c r="N726" i="15"/>
  <c r="O726" i="15"/>
  <c r="P726" i="15"/>
  <c r="Q726" i="15"/>
  <c r="T726" i="15"/>
  <c r="U726" i="15"/>
  <c r="V726" i="15"/>
  <c r="W726" i="15"/>
  <c r="X726" i="15"/>
  <c r="Y726" i="15"/>
  <c r="Z726" i="15"/>
  <c r="AA726" i="15"/>
  <c r="B727" i="15"/>
  <c r="C727" i="15"/>
  <c r="D727" i="15"/>
  <c r="E727" i="15"/>
  <c r="J727" i="15"/>
  <c r="K727" i="15"/>
  <c r="L727" i="15"/>
  <c r="M727" i="15"/>
  <c r="N727" i="15"/>
  <c r="O727" i="15"/>
  <c r="P727" i="15"/>
  <c r="Q727" i="15"/>
  <c r="T727" i="15"/>
  <c r="U727" i="15"/>
  <c r="V727" i="15"/>
  <c r="W727" i="15"/>
  <c r="X727" i="15"/>
  <c r="Y727" i="15"/>
  <c r="Z727" i="15"/>
  <c r="AA727" i="15"/>
  <c r="B728" i="15"/>
  <c r="C728" i="15"/>
  <c r="D728" i="15"/>
  <c r="E728" i="15"/>
  <c r="J728" i="15"/>
  <c r="K728" i="15"/>
  <c r="L728" i="15"/>
  <c r="M728" i="15"/>
  <c r="N728" i="15"/>
  <c r="O728" i="15"/>
  <c r="P728" i="15"/>
  <c r="Q728" i="15"/>
  <c r="T728" i="15"/>
  <c r="U728" i="15"/>
  <c r="V728" i="15"/>
  <c r="W728" i="15"/>
  <c r="X728" i="15"/>
  <c r="Y728" i="15"/>
  <c r="Z728" i="15"/>
  <c r="AA728" i="15"/>
  <c r="B729" i="15"/>
  <c r="C729" i="15"/>
  <c r="D729" i="15"/>
  <c r="E729" i="15"/>
  <c r="J729" i="15"/>
  <c r="K729" i="15"/>
  <c r="L729" i="15"/>
  <c r="M729" i="15"/>
  <c r="N729" i="15"/>
  <c r="O729" i="15"/>
  <c r="P729" i="15"/>
  <c r="Q729" i="15"/>
  <c r="T729" i="15"/>
  <c r="U729" i="15"/>
  <c r="V729" i="15"/>
  <c r="W729" i="15"/>
  <c r="X729" i="15"/>
  <c r="Y729" i="15"/>
  <c r="Z729" i="15"/>
  <c r="AA729" i="15"/>
  <c r="B730" i="15"/>
  <c r="C730" i="15"/>
  <c r="D730" i="15"/>
  <c r="E730" i="15"/>
  <c r="J730" i="15"/>
  <c r="K730" i="15"/>
  <c r="L730" i="15"/>
  <c r="M730" i="15"/>
  <c r="N730" i="15"/>
  <c r="O730" i="15"/>
  <c r="P730" i="15"/>
  <c r="Q730" i="15"/>
  <c r="T730" i="15"/>
  <c r="U730" i="15"/>
  <c r="V730" i="15"/>
  <c r="W730" i="15"/>
  <c r="X730" i="15"/>
  <c r="Y730" i="15"/>
  <c r="Z730" i="15"/>
  <c r="AA730" i="15"/>
  <c r="B731" i="15"/>
  <c r="C731" i="15"/>
  <c r="D731" i="15"/>
  <c r="E731" i="15"/>
  <c r="J731" i="15"/>
  <c r="K731" i="15"/>
  <c r="L731" i="15"/>
  <c r="M731" i="15"/>
  <c r="N731" i="15"/>
  <c r="O731" i="15"/>
  <c r="P731" i="15"/>
  <c r="Q731" i="15"/>
  <c r="T731" i="15"/>
  <c r="U731" i="15"/>
  <c r="V731" i="15"/>
  <c r="W731" i="15"/>
  <c r="X731" i="15"/>
  <c r="Y731" i="15"/>
  <c r="Z731" i="15"/>
  <c r="AA731" i="15"/>
  <c r="B732" i="15"/>
  <c r="C732" i="15"/>
  <c r="D732" i="15"/>
  <c r="E732" i="15"/>
  <c r="J732" i="15"/>
  <c r="K732" i="15"/>
  <c r="L732" i="15"/>
  <c r="M732" i="15"/>
  <c r="N732" i="15"/>
  <c r="O732" i="15"/>
  <c r="P732" i="15"/>
  <c r="Q732" i="15"/>
  <c r="T732" i="15"/>
  <c r="U732" i="15"/>
  <c r="V732" i="15"/>
  <c r="W732" i="15"/>
  <c r="X732" i="15"/>
  <c r="Y732" i="15"/>
  <c r="Z732" i="15"/>
  <c r="AA732" i="15"/>
  <c r="B733" i="15"/>
  <c r="C733" i="15"/>
  <c r="D733" i="15"/>
  <c r="E733" i="15"/>
  <c r="J733" i="15"/>
  <c r="K733" i="15"/>
  <c r="L733" i="15"/>
  <c r="M733" i="15"/>
  <c r="N733" i="15"/>
  <c r="O733" i="15"/>
  <c r="P733" i="15"/>
  <c r="Q733" i="15"/>
  <c r="T733" i="15"/>
  <c r="U733" i="15"/>
  <c r="V733" i="15"/>
  <c r="W733" i="15"/>
  <c r="X733" i="15"/>
  <c r="Y733" i="15"/>
  <c r="Z733" i="15"/>
  <c r="AA733" i="15"/>
  <c r="B734" i="15"/>
  <c r="C734" i="15"/>
  <c r="D734" i="15"/>
  <c r="E734" i="15"/>
  <c r="J734" i="15"/>
  <c r="K734" i="15"/>
  <c r="L734" i="15"/>
  <c r="M734" i="15"/>
  <c r="N734" i="15"/>
  <c r="O734" i="15"/>
  <c r="P734" i="15"/>
  <c r="Q734" i="15"/>
  <c r="T734" i="15"/>
  <c r="U734" i="15"/>
  <c r="V734" i="15"/>
  <c r="W734" i="15"/>
  <c r="X734" i="15"/>
  <c r="Y734" i="15"/>
  <c r="Z734" i="15"/>
  <c r="AA734" i="15"/>
  <c r="B735" i="15"/>
  <c r="C735" i="15"/>
  <c r="D735" i="15"/>
  <c r="E735" i="15"/>
  <c r="J735" i="15"/>
  <c r="K735" i="15"/>
  <c r="L735" i="15"/>
  <c r="M735" i="15"/>
  <c r="N735" i="15"/>
  <c r="O735" i="15"/>
  <c r="P735" i="15"/>
  <c r="Q735" i="15"/>
  <c r="T735" i="15"/>
  <c r="U735" i="15"/>
  <c r="V735" i="15"/>
  <c r="W735" i="15"/>
  <c r="X735" i="15"/>
  <c r="Y735" i="15"/>
  <c r="Z735" i="15"/>
  <c r="AA735" i="15"/>
  <c r="B736" i="15"/>
  <c r="C736" i="15"/>
  <c r="D736" i="15"/>
  <c r="E736" i="15"/>
  <c r="J736" i="15"/>
  <c r="K736" i="15"/>
  <c r="L736" i="15"/>
  <c r="M736" i="15"/>
  <c r="N736" i="15"/>
  <c r="O736" i="15"/>
  <c r="P736" i="15"/>
  <c r="Q736" i="15"/>
  <c r="T736" i="15"/>
  <c r="U736" i="15"/>
  <c r="V736" i="15"/>
  <c r="W736" i="15"/>
  <c r="X736" i="15"/>
  <c r="Y736" i="15"/>
  <c r="Z736" i="15"/>
  <c r="AA736" i="15"/>
  <c r="B737" i="15"/>
  <c r="C737" i="15"/>
  <c r="D737" i="15"/>
  <c r="E737" i="15"/>
  <c r="J737" i="15"/>
  <c r="K737" i="15"/>
  <c r="L737" i="15"/>
  <c r="M737" i="15"/>
  <c r="N737" i="15"/>
  <c r="O737" i="15"/>
  <c r="P737" i="15"/>
  <c r="Q737" i="15"/>
  <c r="T737" i="15"/>
  <c r="U737" i="15"/>
  <c r="V737" i="15"/>
  <c r="W737" i="15"/>
  <c r="X737" i="15"/>
  <c r="Y737" i="15"/>
  <c r="Z737" i="15"/>
  <c r="AA737" i="15"/>
  <c r="B738" i="15"/>
  <c r="C738" i="15"/>
  <c r="D738" i="15"/>
  <c r="E738" i="15"/>
  <c r="J738" i="15"/>
  <c r="K738" i="15"/>
  <c r="L738" i="15"/>
  <c r="M738" i="15"/>
  <c r="N738" i="15"/>
  <c r="O738" i="15"/>
  <c r="P738" i="15"/>
  <c r="Q738" i="15"/>
  <c r="T738" i="15"/>
  <c r="U738" i="15"/>
  <c r="V738" i="15"/>
  <c r="W738" i="15"/>
  <c r="X738" i="15"/>
  <c r="Y738" i="15"/>
  <c r="Z738" i="15"/>
  <c r="AA738" i="15"/>
  <c r="B739" i="15"/>
  <c r="C739" i="15"/>
  <c r="D739" i="15"/>
  <c r="E739" i="15"/>
  <c r="J739" i="15"/>
  <c r="K739" i="15"/>
  <c r="L739" i="15"/>
  <c r="M739" i="15"/>
  <c r="N739" i="15"/>
  <c r="O739" i="15"/>
  <c r="P739" i="15"/>
  <c r="Q739" i="15"/>
  <c r="T739" i="15"/>
  <c r="U739" i="15"/>
  <c r="V739" i="15"/>
  <c r="W739" i="15"/>
  <c r="X739" i="15"/>
  <c r="Y739" i="15"/>
  <c r="Z739" i="15"/>
  <c r="AA739" i="15"/>
  <c r="B740" i="15"/>
  <c r="C740" i="15"/>
  <c r="D740" i="15"/>
  <c r="E740" i="15"/>
  <c r="J740" i="15"/>
  <c r="K740" i="15"/>
  <c r="L740" i="15"/>
  <c r="M740" i="15"/>
  <c r="N740" i="15"/>
  <c r="O740" i="15"/>
  <c r="P740" i="15"/>
  <c r="Q740" i="15"/>
  <c r="T740" i="15"/>
  <c r="U740" i="15"/>
  <c r="V740" i="15"/>
  <c r="W740" i="15"/>
  <c r="X740" i="15"/>
  <c r="Y740" i="15"/>
  <c r="Z740" i="15"/>
  <c r="AA740" i="15"/>
  <c r="B741" i="15"/>
  <c r="C741" i="15"/>
  <c r="D741" i="15"/>
  <c r="E741" i="15"/>
  <c r="J741" i="15"/>
  <c r="K741" i="15"/>
  <c r="L741" i="15"/>
  <c r="M741" i="15"/>
  <c r="N741" i="15"/>
  <c r="O741" i="15"/>
  <c r="P741" i="15"/>
  <c r="Q741" i="15"/>
  <c r="T741" i="15"/>
  <c r="U741" i="15"/>
  <c r="V741" i="15"/>
  <c r="W741" i="15"/>
  <c r="X741" i="15"/>
  <c r="Y741" i="15"/>
  <c r="Z741" i="15"/>
  <c r="AA741" i="15"/>
  <c r="B742" i="15"/>
  <c r="C742" i="15"/>
  <c r="D742" i="15"/>
  <c r="E742" i="15"/>
  <c r="J742" i="15"/>
  <c r="K742" i="15"/>
  <c r="L742" i="15"/>
  <c r="M742" i="15"/>
  <c r="N742" i="15"/>
  <c r="O742" i="15"/>
  <c r="P742" i="15"/>
  <c r="Q742" i="15"/>
  <c r="T742" i="15"/>
  <c r="U742" i="15"/>
  <c r="V742" i="15"/>
  <c r="W742" i="15"/>
  <c r="X742" i="15"/>
  <c r="Y742" i="15"/>
  <c r="Z742" i="15"/>
  <c r="AA742" i="15"/>
  <c r="B743" i="15"/>
  <c r="C743" i="15"/>
  <c r="D743" i="15"/>
  <c r="E743" i="15"/>
  <c r="J743" i="15"/>
  <c r="K743" i="15"/>
  <c r="L743" i="15"/>
  <c r="M743" i="15"/>
  <c r="N743" i="15"/>
  <c r="O743" i="15"/>
  <c r="P743" i="15"/>
  <c r="Q743" i="15"/>
  <c r="T743" i="15"/>
  <c r="U743" i="15"/>
  <c r="V743" i="15"/>
  <c r="W743" i="15"/>
  <c r="X743" i="15"/>
  <c r="Y743" i="15"/>
  <c r="Z743" i="15"/>
  <c r="AA743" i="15"/>
  <c r="B744" i="15"/>
  <c r="C744" i="15"/>
  <c r="D744" i="15"/>
  <c r="E744" i="15"/>
  <c r="J744" i="15"/>
  <c r="K744" i="15"/>
  <c r="L744" i="15"/>
  <c r="M744" i="15"/>
  <c r="N744" i="15"/>
  <c r="O744" i="15"/>
  <c r="P744" i="15"/>
  <c r="Q744" i="15"/>
  <c r="T744" i="15"/>
  <c r="U744" i="15"/>
  <c r="V744" i="15"/>
  <c r="W744" i="15"/>
  <c r="X744" i="15"/>
  <c r="Y744" i="15"/>
  <c r="Z744" i="15"/>
  <c r="AA744" i="15"/>
  <c r="B745" i="15"/>
  <c r="C745" i="15"/>
  <c r="D745" i="15"/>
  <c r="E745" i="15"/>
  <c r="J745" i="15"/>
  <c r="K745" i="15"/>
  <c r="L745" i="15"/>
  <c r="M745" i="15"/>
  <c r="N745" i="15"/>
  <c r="O745" i="15"/>
  <c r="P745" i="15"/>
  <c r="Q745" i="15"/>
  <c r="T745" i="15"/>
  <c r="U745" i="15"/>
  <c r="V745" i="15"/>
  <c r="W745" i="15"/>
  <c r="X745" i="15"/>
  <c r="Y745" i="15"/>
  <c r="Z745" i="15"/>
  <c r="AA745" i="15"/>
  <c r="B746" i="15"/>
  <c r="C746" i="15"/>
  <c r="D746" i="15"/>
  <c r="E746" i="15"/>
  <c r="J746" i="15"/>
  <c r="K746" i="15"/>
  <c r="L746" i="15"/>
  <c r="M746" i="15"/>
  <c r="N746" i="15"/>
  <c r="O746" i="15"/>
  <c r="P746" i="15"/>
  <c r="Q746" i="15"/>
  <c r="T746" i="15"/>
  <c r="U746" i="15"/>
  <c r="V746" i="15"/>
  <c r="W746" i="15"/>
  <c r="X746" i="15"/>
  <c r="Y746" i="15"/>
  <c r="Z746" i="15"/>
  <c r="AA746" i="15"/>
  <c r="B747" i="15"/>
  <c r="C747" i="15"/>
  <c r="D747" i="15"/>
  <c r="E747" i="15"/>
  <c r="J747" i="15"/>
  <c r="K747" i="15"/>
  <c r="L747" i="15"/>
  <c r="M747" i="15"/>
  <c r="N747" i="15"/>
  <c r="O747" i="15"/>
  <c r="P747" i="15"/>
  <c r="Q747" i="15"/>
  <c r="T747" i="15"/>
  <c r="U747" i="15"/>
  <c r="V747" i="15"/>
  <c r="W747" i="15"/>
  <c r="X747" i="15"/>
  <c r="Y747" i="15"/>
  <c r="Z747" i="15"/>
  <c r="AA747" i="15"/>
  <c r="B748" i="15"/>
  <c r="C748" i="15"/>
  <c r="D748" i="15"/>
  <c r="E748" i="15"/>
  <c r="J748" i="15"/>
  <c r="K748" i="15"/>
  <c r="L748" i="15"/>
  <c r="M748" i="15"/>
  <c r="N748" i="15"/>
  <c r="O748" i="15"/>
  <c r="P748" i="15"/>
  <c r="Q748" i="15"/>
  <c r="T748" i="15"/>
  <c r="U748" i="15"/>
  <c r="V748" i="15"/>
  <c r="W748" i="15"/>
  <c r="X748" i="15"/>
  <c r="Y748" i="15"/>
  <c r="Z748" i="15"/>
  <c r="AA748" i="15"/>
  <c r="B749" i="15"/>
  <c r="C749" i="15"/>
  <c r="D749" i="15"/>
  <c r="E749" i="15"/>
  <c r="J749" i="15"/>
  <c r="K749" i="15"/>
  <c r="L749" i="15"/>
  <c r="M749" i="15"/>
  <c r="N749" i="15"/>
  <c r="O749" i="15"/>
  <c r="P749" i="15"/>
  <c r="Q749" i="15"/>
  <c r="T749" i="15"/>
  <c r="U749" i="15"/>
  <c r="V749" i="15"/>
  <c r="W749" i="15"/>
  <c r="X749" i="15"/>
  <c r="Y749" i="15"/>
  <c r="Z749" i="15"/>
  <c r="AA749" i="15"/>
  <c r="B750" i="15"/>
  <c r="C750" i="15"/>
  <c r="D750" i="15"/>
  <c r="E750" i="15"/>
  <c r="J750" i="15"/>
  <c r="K750" i="15"/>
  <c r="L750" i="15"/>
  <c r="M750" i="15"/>
  <c r="N750" i="15"/>
  <c r="O750" i="15"/>
  <c r="P750" i="15"/>
  <c r="Q750" i="15"/>
  <c r="T750" i="15"/>
  <c r="U750" i="15"/>
  <c r="V750" i="15"/>
  <c r="W750" i="15"/>
  <c r="X750" i="15"/>
  <c r="Y750" i="15"/>
  <c r="Z750" i="15"/>
  <c r="AA750" i="15"/>
  <c r="B751" i="15"/>
  <c r="C751" i="15"/>
  <c r="D751" i="15"/>
  <c r="E751" i="15"/>
  <c r="J751" i="15"/>
  <c r="K751" i="15"/>
  <c r="L751" i="15"/>
  <c r="M751" i="15"/>
  <c r="N751" i="15"/>
  <c r="O751" i="15"/>
  <c r="P751" i="15"/>
  <c r="Q751" i="15"/>
  <c r="T751" i="15"/>
  <c r="U751" i="15"/>
  <c r="V751" i="15"/>
  <c r="W751" i="15"/>
  <c r="X751" i="15"/>
  <c r="Y751" i="15"/>
  <c r="Z751" i="15"/>
  <c r="AA751" i="15"/>
  <c r="B752" i="15"/>
  <c r="C752" i="15"/>
  <c r="D752" i="15"/>
  <c r="E752" i="15"/>
  <c r="J752" i="15"/>
  <c r="K752" i="15"/>
  <c r="L752" i="15"/>
  <c r="M752" i="15"/>
  <c r="N752" i="15"/>
  <c r="O752" i="15"/>
  <c r="P752" i="15"/>
  <c r="Q752" i="15"/>
  <c r="T752" i="15"/>
  <c r="U752" i="15"/>
  <c r="V752" i="15"/>
  <c r="W752" i="15"/>
  <c r="X752" i="15"/>
  <c r="Y752" i="15"/>
  <c r="Z752" i="15"/>
  <c r="AA752" i="15"/>
  <c r="B753" i="15"/>
  <c r="C753" i="15"/>
  <c r="D753" i="15"/>
  <c r="E753" i="15"/>
  <c r="J753" i="15"/>
  <c r="K753" i="15"/>
  <c r="L753" i="15"/>
  <c r="M753" i="15"/>
  <c r="N753" i="15"/>
  <c r="O753" i="15"/>
  <c r="P753" i="15"/>
  <c r="Q753" i="15"/>
  <c r="T753" i="15"/>
  <c r="U753" i="15"/>
  <c r="V753" i="15"/>
  <c r="W753" i="15"/>
  <c r="X753" i="15"/>
  <c r="Y753" i="15"/>
  <c r="Z753" i="15"/>
  <c r="AA753" i="15"/>
  <c r="B754" i="15"/>
  <c r="C754" i="15"/>
  <c r="D754" i="15"/>
  <c r="E754" i="15"/>
  <c r="J754" i="15"/>
  <c r="K754" i="15"/>
  <c r="L754" i="15"/>
  <c r="M754" i="15"/>
  <c r="N754" i="15"/>
  <c r="O754" i="15"/>
  <c r="P754" i="15"/>
  <c r="Q754" i="15"/>
  <c r="T754" i="15"/>
  <c r="U754" i="15"/>
  <c r="V754" i="15"/>
  <c r="W754" i="15"/>
  <c r="X754" i="15"/>
  <c r="Y754" i="15"/>
  <c r="Z754" i="15"/>
  <c r="AA754" i="15"/>
  <c r="B755" i="15"/>
  <c r="C755" i="15"/>
  <c r="D755" i="15"/>
  <c r="E755" i="15"/>
  <c r="J755" i="15"/>
  <c r="K755" i="15"/>
  <c r="L755" i="15"/>
  <c r="M755" i="15"/>
  <c r="N755" i="15"/>
  <c r="O755" i="15"/>
  <c r="P755" i="15"/>
  <c r="Q755" i="15"/>
  <c r="T755" i="15"/>
  <c r="U755" i="15"/>
  <c r="V755" i="15"/>
  <c r="W755" i="15"/>
  <c r="X755" i="15"/>
  <c r="Y755" i="15"/>
  <c r="Z755" i="15"/>
  <c r="AA755" i="15"/>
  <c r="B756" i="15"/>
  <c r="C756" i="15"/>
  <c r="D756" i="15"/>
  <c r="E756" i="15"/>
  <c r="J756" i="15"/>
  <c r="K756" i="15"/>
  <c r="L756" i="15"/>
  <c r="M756" i="15"/>
  <c r="N756" i="15"/>
  <c r="O756" i="15"/>
  <c r="P756" i="15"/>
  <c r="Q756" i="15"/>
  <c r="T756" i="15"/>
  <c r="U756" i="15"/>
  <c r="V756" i="15"/>
  <c r="W756" i="15"/>
  <c r="X756" i="15"/>
  <c r="Y756" i="15"/>
  <c r="Z756" i="15"/>
  <c r="AA756" i="15"/>
  <c r="B757" i="15"/>
  <c r="C757" i="15"/>
  <c r="D757" i="15"/>
  <c r="E757" i="15"/>
  <c r="J757" i="15"/>
  <c r="K757" i="15"/>
  <c r="L757" i="15"/>
  <c r="M757" i="15"/>
  <c r="N757" i="15"/>
  <c r="O757" i="15"/>
  <c r="P757" i="15"/>
  <c r="Q757" i="15"/>
  <c r="T757" i="15"/>
  <c r="U757" i="15"/>
  <c r="V757" i="15"/>
  <c r="W757" i="15"/>
  <c r="X757" i="15"/>
  <c r="Y757" i="15"/>
  <c r="Z757" i="15"/>
  <c r="AA757" i="15"/>
  <c r="B758" i="15"/>
  <c r="C758" i="15"/>
  <c r="D758" i="15"/>
  <c r="E758" i="15"/>
  <c r="J758" i="15"/>
  <c r="K758" i="15"/>
  <c r="L758" i="15"/>
  <c r="M758" i="15"/>
  <c r="N758" i="15"/>
  <c r="O758" i="15"/>
  <c r="P758" i="15"/>
  <c r="Q758" i="15"/>
  <c r="T758" i="15"/>
  <c r="U758" i="15"/>
  <c r="V758" i="15"/>
  <c r="W758" i="15"/>
  <c r="X758" i="15"/>
  <c r="Y758" i="15"/>
  <c r="Z758" i="15"/>
  <c r="AA758" i="15"/>
  <c r="B759" i="15"/>
  <c r="C759" i="15"/>
  <c r="D759" i="15"/>
  <c r="E759" i="15"/>
  <c r="J759" i="15"/>
  <c r="K759" i="15"/>
  <c r="L759" i="15"/>
  <c r="M759" i="15"/>
  <c r="N759" i="15"/>
  <c r="O759" i="15"/>
  <c r="P759" i="15"/>
  <c r="Q759" i="15"/>
  <c r="T759" i="15"/>
  <c r="U759" i="15"/>
  <c r="V759" i="15"/>
  <c r="W759" i="15"/>
  <c r="X759" i="15"/>
  <c r="Y759" i="15"/>
  <c r="Z759" i="15"/>
  <c r="AA759" i="15"/>
  <c r="B760" i="15"/>
  <c r="C760" i="15"/>
  <c r="D760" i="15"/>
  <c r="E760" i="15"/>
  <c r="J760" i="15"/>
  <c r="K760" i="15"/>
  <c r="L760" i="15"/>
  <c r="M760" i="15"/>
  <c r="N760" i="15"/>
  <c r="O760" i="15"/>
  <c r="P760" i="15"/>
  <c r="Q760" i="15"/>
  <c r="T760" i="15"/>
  <c r="U760" i="15"/>
  <c r="V760" i="15"/>
  <c r="W760" i="15"/>
  <c r="X760" i="15"/>
  <c r="Y760" i="15"/>
  <c r="Z760" i="15"/>
  <c r="AA760" i="15"/>
  <c r="B761" i="15"/>
  <c r="C761" i="15"/>
  <c r="D761" i="15"/>
  <c r="E761" i="15"/>
  <c r="J761" i="15"/>
  <c r="K761" i="15"/>
  <c r="L761" i="15"/>
  <c r="M761" i="15"/>
  <c r="N761" i="15"/>
  <c r="O761" i="15"/>
  <c r="P761" i="15"/>
  <c r="Q761" i="15"/>
  <c r="T761" i="15"/>
  <c r="U761" i="15"/>
  <c r="V761" i="15"/>
  <c r="W761" i="15"/>
  <c r="X761" i="15"/>
  <c r="Y761" i="15"/>
  <c r="Z761" i="15"/>
  <c r="AA761" i="15"/>
  <c r="B762" i="15"/>
  <c r="C762" i="15"/>
  <c r="D762" i="15"/>
  <c r="E762" i="15"/>
  <c r="J762" i="15"/>
  <c r="K762" i="15"/>
  <c r="L762" i="15"/>
  <c r="M762" i="15"/>
  <c r="N762" i="15"/>
  <c r="O762" i="15"/>
  <c r="P762" i="15"/>
  <c r="Q762" i="15"/>
  <c r="T762" i="15"/>
  <c r="U762" i="15"/>
  <c r="V762" i="15"/>
  <c r="W762" i="15"/>
  <c r="X762" i="15"/>
  <c r="Y762" i="15"/>
  <c r="Z762" i="15"/>
  <c r="AA762" i="15"/>
  <c r="B763" i="15"/>
  <c r="C763" i="15"/>
  <c r="D763" i="15"/>
  <c r="E763" i="15"/>
  <c r="J763" i="15"/>
  <c r="K763" i="15"/>
  <c r="L763" i="15"/>
  <c r="M763" i="15"/>
  <c r="N763" i="15"/>
  <c r="O763" i="15"/>
  <c r="P763" i="15"/>
  <c r="Q763" i="15"/>
  <c r="T763" i="15"/>
  <c r="U763" i="15"/>
  <c r="V763" i="15"/>
  <c r="W763" i="15"/>
  <c r="X763" i="15"/>
  <c r="Y763" i="15"/>
  <c r="Z763" i="15"/>
  <c r="AA763" i="15"/>
  <c r="B764" i="15"/>
  <c r="C764" i="15"/>
  <c r="D764" i="15"/>
  <c r="E764" i="15"/>
  <c r="J764" i="15"/>
  <c r="K764" i="15"/>
  <c r="L764" i="15"/>
  <c r="M764" i="15"/>
  <c r="N764" i="15"/>
  <c r="O764" i="15"/>
  <c r="P764" i="15"/>
  <c r="Q764" i="15"/>
  <c r="T764" i="15"/>
  <c r="U764" i="15"/>
  <c r="V764" i="15"/>
  <c r="W764" i="15"/>
  <c r="X764" i="15"/>
  <c r="Y764" i="15"/>
  <c r="Z764" i="15"/>
  <c r="AA764" i="15"/>
  <c r="B765" i="15"/>
  <c r="C765" i="15"/>
  <c r="D765" i="15"/>
  <c r="E765" i="15"/>
  <c r="J765" i="15"/>
  <c r="K765" i="15"/>
  <c r="L765" i="15"/>
  <c r="M765" i="15"/>
  <c r="N765" i="15"/>
  <c r="O765" i="15"/>
  <c r="P765" i="15"/>
  <c r="Q765" i="15"/>
  <c r="T765" i="15"/>
  <c r="U765" i="15"/>
  <c r="V765" i="15"/>
  <c r="W765" i="15"/>
  <c r="X765" i="15"/>
  <c r="Y765" i="15"/>
  <c r="Z765" i="15"/>
  <c r="AA765" i="15"/>
  <c r="B766" i="15"/>
  <c r="C766" i="15"/>
  <c r="D766" i="15"/>
  <c r="E766" i="15"/>
  <c r="J766" i="15"/>
  <c r="K766" i="15"/>
  <c r="L766" i="15"/>
  <c r="M766" i="15"/>
  <c r="N766" i="15"/>
  <c r="O766" i="15"/>
  <c r="P766" i="15"/>
  <c r="Q766" i="15"/>
  <c r="T766" i="15"/>
  <c r="U766" i="15"/>
  <c r="V766" i="15"/>
  <c r="W766" i="15"/>
  <c r="X766" i="15"/>
  <c r="Y766" i="15"/>
  <c r="Z766" i="15"/>
  <c r="AA766" i="15"/>
  <c r="B767" i="15"/>
  <c r="C767" i="15"/>
  <c r="D767" i="15"/>
  <c r="E767" i="15"/>
  <c r="J767" i="15"/>
  <c r="K767" i="15"/>
  <c r="L767" i="15"/>
  <c r="M767" i="15"/>
  <c r="N767" i="15"/>
  <c r="O767" i="15"/>
  <c r="P767" i="15"/>
  <c r="Q767" i="15"/>
  <c r="T767" i="15"/>
  <c r="U767" i="15"/>
  <c r="V767" i="15"/>
  <c r="W767" i="15"/>
  <c r="X767" i="15"/>
  <c r="Y767" i="15"/>
  <c r="Z767" i="15"/>
  <c r="AA767" i="15"/>
  <c r="B768" i="15"/>
  <c r="C768" i="15"/>
  <c r="D768" i="15"/>
  <c r="E768" i="15"/>
  <c r="J768" i="15"/>
  <c r="K768" i="15"/>
  <c r="L768" i="15"/>
  <c r="M768" i="15"/>
  <c r="N768" i="15"/>
  <c r="O768" i="15"/>
  <c r="P768" i="15"/>
  <c r="Q768" i="15"/>
  <c r="T768" i="15"/>
  <c r="U768" i="15"/>
  <c r="V768" i="15"/>
  <c r="W768" i="15"/>
  <c r="X768" i="15"/>
  <c r="Y768" i="15"/>
  <c r="Z768" i="15"/>
  <c r="AA768" i="15"/>
  <c r="B769" i="15"/>
  <c r="C769" i="15"/>
  <c r="D769" i="15"/>
  <c r="E769" i="15"/>
  <c r="J769" i="15"/>
  <c r="K769" i="15"/>
  <c r="L769" i="15"/>
  <c r="M769" i="15"/>
  <c r="N769" i="15"/>
  <c r="O769" i="15"/>
  <c r="P769" i="15"/>
  <c r="Q769" i="15"/>
  <c r="T769" i="15"/>
  <c r="U769" i="15"/>
  <c r="V769" i="15"/>
  <c r="W769" i="15"/>
  <c r="X769" i="15"/>
  <c r="Y769" i="15"/>
  <c r="Z769" i="15"/>
  <c r="AA769" i="15"/>
  <c r="B770" i="15"/>
  <c r="C770" i="15"/>
  <c r="D770" i="15"/>
  <c r="E770" i="15"/>
  <c r="J770" i="15"/>
  <c r="K770" i="15"/>
  <c r="L770" i="15"/>
  <c r="M770" i="15"/>
  <c r="N770" i="15"/>
  <c r="O770" i="15"/>
  <c r="P770" i="15"/>
  <c r="Q770" i="15"/>
  <c r="T770" i="15"/>
  <c r="U770" i="15"/>
  <c r="V770" i="15"/>
  <c r="W770" i="15"/>
  <c r="X770" i="15"/>
  <c r="Y770" i="15"/>
  <c r="Z770" i="15"/>
  <c r="AA770" i="15"/>
  <c r="B771" i="15"/>
  <c r="C771" i="15"/>
  <c r="D771" i="15"/>
  <c r="E771" i="15"/>
  <c r="J771" i="15"/>
  <c r="K771" i="15"/>
  <c r="L771" i="15"/>
  <c r="M771" i="15"/>
  <c r="N771" i="15"/>
  <c r="O771" i="15"/>
  <c r="P771" i="15"/>
  <c r="Q771" i="15"/>
  <c r="T771" i="15"/>
  <c r="U771" i="15"/>
  <c r="V771" i="15"/>
  <c r="W771" i="15"/>
  <c r="X771" i="15"/>
  <c r="Y771" i="15"/>
  <c r="Z771" i="15"/>
  <c r="AA771" i="15"/>
  <c r="B772" i="15"/>
  <c r="C772" i="15"/>
  <c r="D772" i="15"/>
  <c r="E772" i="15"/>
  <c r="J772" i="15"/>
  <c r="K772" i="15"/>
  <c r="L772" i="15"/>
  <c r="M772" i="15"/>
  <c r="N772" i="15"/>
  <c r="O772" i="15"/>
  <c r="P772" i="15"/>
  <c r="Q772" i="15"/>
  <c r="T772" i="15"/>
  <c r="U772" i="15"/>
  <c r="V772" i="15"/>
  <c r="W772" i="15"/>
  <c r="X772" i="15"/>
  <c r="Y772" i="15"/>
  <c r="Z772" i="15"/>
  <c r="AA772" i="15"/>
  <c r="B773" i="15"/>
  <c r="C773" i="15"/>
  <c r="D773" i="15"/>
  <c r="E773" i="15"/>
  <c r="J773" i="15"/>
  <c r="K773" i="15"/>
  <c r="L773" i="15"/>
  <c r="M773" i="15"/>
  <c r="N773" i="15"/>
  <c r="O773" i="15"/>
  <c r="P773" i="15"/>
  <c r="Q773" i="15"/>
  <c r="T773" i="15"/>
  <c r="U773" i="15"/>
  <c r="V773" i="15"/>
  <c r="W773" i="15"/>
  <c r="X773" i="15"/>
  <c r="Y773" i="15"/>
  <c r="Z773" i="15"/>
  <c r="AA773" i="15"/>
  <c r="B774" i="15"/>
  <c r="C774" i="15"/>
  <c r="D774" i="15"/>
  <c r="E774" i="15"/>
  <c r="J774" i="15"/>
  <c r="K774" i="15"/>
  <c r="L774" i="15"/>
  <c r="M774" i="15"/>
  <c r="N774" i="15"/>
  <c r="O774" i="15"/>
  <c r="P774" i="15"/>
  <c r="Q774" i="15"/>
  <c r="T774" i="15"/>
  <c r="U774" i="15"/>
  <c r="V774" i="15"/>
  <c r="W774" i="15"/>
  <c r="X774" i="15"/>
  <c r="Y774" i="15"/>
  <c r="Z774" i="15"/>
  <c r="AA774" i="15"/>
  <c r="B775" i="15"/>
  <c r="C775" i="15"/>
  <c r="D775" i="15"/>
  <c r="E775" i="15"/>
  <c r="J775" i="15"/>
  <c r="K775" i="15"/>
  <c r="L775" i="15"/>
  <c r="M775" i="15"/>
  <c r="N775" i="15"/>
  <c r="O775" i="15"/>
  <c r="P775" i="15"/>
  <c r="Q775" i="15"/>
  <c r="T775" i="15"/>
  <c r="U775" i="15"/>
  <c r="V775" i="15"/>
  <c r="W775" i="15"/>
  <c r="X775" i="15"/>
  <c r="Y775" i="15"/>
  <c r="Z775" i="15"/>
  <c r="AA775" i="15"/>
  <c r="B776" i="15"/>
  <c r="C776" i="15"/>
  <c r="D776" i="15"/>
  <c r="E776" i="15"/>
  <c r="J776" i="15"/>
  <c r="K776" i="15"/>
  <c r="L776" i="15"/>
  <c r="M776" i="15"/>
  <c r="N776" i="15"/>
  <c r="O776" i="15"/>
  <c r="P776" i="15"/>
  <c r="Q776" i="15"/>
  <c r="T776" i="15"/>
  <c r="U776" i="15"/>
  <c r="V776" i="15"/>
  <c r="W776" i="15"/>
  <c r="X776" i="15"/>
  <c r="Y776" i="15"/>
  <c r="Z776" i="15"/>
  <c r="AA776" i="15"/>
  <c r="B777" i="15"/>
  <c r="C777" i="15"/>
  <c r="D777" i="15"/>
  <c r="E777" i="15"/>
  <c r="J777" i="15"/>
  <c r="K777" i="15"/>
  <c r="L777" i="15"/>
  <c r="M777" i="15"/>
  <c r="N777" i="15"/>
  <c r="O777" i="15"/>
  <c r="P777" i="15"/>
  <c r="Q777" i="15"/>
  <c r="T777" i="15"/>
  <c r="U777" i="15"/>
  <c r="V777" i="15"/>
  <c r="W777" i="15"/>
  <c r="X777" i="15"/>
  <c r="Y777" i="15"/>
  <c r="Z777" i="15"/>
  <c r="AA777" i="15"/>
  <c r="B778" i="15"/>
  <c r="C778" i="15"/>
  <c r="D778" i="15"/>
  <c r="E778" i="15"/>
  <c r="J778" i="15"/>
  <c r="K778" i="15"/>
  <c r="L778" i="15"/>
  <c r="M778" i="15"/>
  <c r="N778" i="15"/>
  <c r="O778" i="15"/>
  <c r="P778" i="15"/>
  <c r="Q778" i="15"/>
  <c r="T778" i="15"/>
  <c r="U778" i="15"/>
  <c r="V778" i="15"/>
  <c r="W778" i="15"/>
  <c r="X778" i="15"/>
  <c r="Y778" i="15"/>
  <c r="Z778" i="15"/>
  <c r="AA778" i="15"/>
  <c r="B779" i="15"/>
  <c r="C779" i="15"/>
  <c r="D779" i="15"/>
  <c r="E779" i="15"/>
  <c r="J779" i="15"/>
  <c r="K779" i="15"/>
  <c r="L779" i="15"/>
  <c r="M779" i="15"/>
  <c r="N779" i="15"/>
  <c r="O779" i="15"/>
  <c r="P779" i="15"/>
  <c r="Q779" i="15"/>
  <c r="T779" i="15"/>
  <c r="U779" i="15"/>
  <c r="V779" i="15"/>
  <c r="W779" i="15"/>
  <c r="X779" i="15"/>
  <c r="Y779" i="15"/>
  <c r="Z779" i="15"/>
  <c r="AA779" i="15"/>
  <c r="B780" i="15"/>
  <c r="C780" i="15"/>
  <c r="D780" i="15"/>
  <c r="E780" i="15"/>
  <c r="J780" i="15"/>
  <c r="K780" i="15"/>
  <c r="L780" i="15"/>
  <c r="M780" i="15"/>
  <c r="N780" i="15"/>
  <c r="O780" i="15"/>
  <c r="P780" i="15"/>
  <c r="Q780" i="15"/>
  <c r="T780" i="15"/>
  <c r="U780" i="15"/>
  <c r="V780" i="15"/>
  <c r="W780" i="15"/>
  <c r="X780" i="15"/>
  <c r="Y780" i="15"/>
  <c r="Z780" i="15"/>
  <c r="AA780" i="15"/>
  <c r="B781" i="15"/>
  <c r="C781" i="15"/>
  <c r="D781" i="15"/>
  <c r="E781" i="15"/>
  <c r="J781" i="15"/>
  <c r="K781" i="15"/>
  <c r="L781" i="15"/>
  <c r="M781" i="15"/>
  <c r="N781" i="15"/>
  <c r="O781" i="15"/>
  <c r="P781" i="15"/>
  <c r="Q781" i="15"/>
  <c r="T781" i="15"/>
  <c r="U781" i="15"/>
  <c r="V781" i="15"/>
  <c r="W781" i="15"/>
  <c r="X781" i="15"/>
  <c r="Y781" i="15"/>
  <c r="Z781" i="15"/>
  <c r="AA781" i="15"/>
  <c r="B782" i="15"/>
  <c r="C782" i="15"/>
  <c r="D782" i="15"/>
  <c r="E782" i="15"/>
  <c r="J782" i="15"/>
  <c r="K782" i="15"/>
  <c r="L782" i="15"/>
  <c r="M782" i="15"/>
  <c r="N782" i="15"/>
  <c r="O782" i="15"/>
  <c r="P782" i="15"/>
  <c r="Q782" i="15"/>
  <c r="T782" i="15"/>
  <c r="U782" i="15"/>
  <c r="V782" i="15"/>
  <c r="W782" i="15"/>
  <c r="X782" i="15"/>
  <c r="Y782" i="15"/>
  <c r="Z782" i="15"/>
  <c r="AA782" i="15"/>
  <c r="B783" i="15"/>
  <c r="C783" i="15"/>
  <c r="D783" i="15"/>
  <c r="E783" i="15"/>
  <c r="J783" i="15"/>
  <c r="K783" i="15"/>
  <c r="L783" i="15"/>
  <c r="M783" i="15"/>
  <c r="N783" i="15"/>
  <c r="O783" i="15"/>
  <c r="P783" i="15"/>
  <c r="Q783" i="15"/>
  <c r="T783" i="15"/>
  <c r="U783" i="15"/>
  <c r="V783" i="15"/>
  <c r="W783" i="15"/>
  <c r="X783" i="15"/>
  <c r="Y783" i="15"/>
  <c r="Z783" i="15"/>
  <c r="AA783" i="15"/>
  <c r="B784" i="15"/>
  <c r="C784" i="15"/>
  <c r="D784" i="15"/>
  <c r="E784" i="15"/>
  <c r="J784" i="15"/>
  <c r="K784" i="15"/>
  <c r="L784" i="15"/>
  <c r="M784" i="15"/>
  <c r="N784" i="15"/>
  <c r="O784" i="15"/>
  <c r="P784" i="15"/>
  <c r="Q784" i="15"/>
  <c r="T784" i="15"/>
  <c r="U784" i="15"/>
  <c r="V784" i="15"/>
  <c r="W784" i="15"/>
  <c r="X784" i="15"/>
  <c r="Y784" i="15"/>
  <c r="Z784" i="15"/>
  <c r="AA784" i="15"/>
  <c r="B785" i="15"/>
  <c r="C785" i="15"/>
  <c r="D785" i="15"/>
  <c r="E785" i="15"/>
  <c r="J785" i="15"/>
  <c r="K785" i="15"/>
  <c r="L785" i="15"/>
  <c r="M785" i="15"/>
  <c r="N785" i="15"/>
  <c r="O785" i="15"/>
  <c r="P785" i="15"/>
  <c r="Q785" i="15"/>
  <c r="T785" i="15"/>
  <c r="U785" i="15"/>
  <c r="V785" i="15"/>
  <c r="W785" i="15"/>
  <c r="X785" i="15"/>
  <c r="Y785" i="15"/>
  <c r="Z785" i="15"/>
  <c r="AA785" i="15"/>
  <c r="B786" i="15"/>
  <c r="C786" i="15"/>
  <c r="D786" i="15"/>
  <c r="E786" i="15"/>
  <c r="J786" i="15"/>
  <c r="K786" i="15"/>
  <c r="L786" i="15"/>
  <c r="M786" i="15"/>
  <c r="N786" i="15"/>
  <c r="O786" i="15"/>
  <c r="P786" i="15"/>
  <c r="Q786" i="15"/>
  <c r="T786" i="15"/>
  <c r="U786" i="15"/>
  <c r="V786" i="15"/>
  <c r="W786" i="15"/>
  <c r="X786" i="15"/>
  <c r="Y786" i="15"/>
  <c r="Z786" i="15"/>
  <c r="AA786" i="15"/>
  <c r="B787" i="15"/>
  <c r="C787" i="15"/>
  <c r="D787" i="15"/>
  <c r="E787" i="15"/>
  <c r="J787" i="15"/>
  <c r="K787" i="15"/>
  <c r="L787" i="15"/>
  <c r="M787" i="15"/>
  <c r="N787" i="15"/>
  <c r="O787" i="15"/>
  <c r="P787" i="15"/>
  <c r="Q787" i="15"/>
  <c r="T787" i="15"/>
  <c r="U787" i="15"/>
  <c r="V787" i="15"/>
  <c r="W787" i="15"/>
  <c r="X787" i="15"/>
  <c r="Y787" i="15"/>
  <c r="Z787" i="15"/>
  <c r="AA787" i="15"/>
  <c r="B788" i="15"/>
  <c r="C788" i="15"/>
  <c r="D788" i="15"/>
  <c r="E788" i="15"/>
  <c r="J788" i="15"/>
  <c r="K788" i="15"/>
  <c r="L788" i="15"/>
  <c r="M788" i="15"/>
  <c r="N788" i="15"/>
  <c r="O788" i="15"/>
  <c r="P788" i="15"/>
  <c r="Q788" i="15"/>
  <c r="T788" i="15"/>
  <c r="U788" i="15"/>
  <c r="V788" i="15"/>
  <c r="W788" i="15"/>
  <c r="X788" i="15"/>
  <c r="Y788" i="15"/>
  <c r="Z788" i="15"/>
  <c r="AA788" i="15"/>
  <c r="B789" i="15"/>
  <c r="C789" i="15"/>
  <c r="D789" i="15"/>
  <c r="E789" i="15"/>
  <c r="J789" i="15"/>
  <c r="K789" i="15"/>
  <c r="L789" i="15"/>
  <c r="M789" i="15"/>
  <c r="N789" i="15"/>
  <c r="O789" i="15"/>
  <c r="P789" i="15"/>
  <c r="Q789" i="15"/>
  <c r="T789" i="15"/>
  <c r="U789" i="15"/>
  <c r="V789" i="15"/>
  <c r="W789" i="15"/>
  <c r="X789" i="15"/>
  <c r="Y789" i="15"/>
  <c r="Z789" i="15"/>
  <c r="AA789" i="15"/>
  <c r="B790" i="15"/>
  <c r="C790" i="15"/>
  <c r="D790" i="15"/>
  <c r="E790" i="15"/>
  <c r="J790" i="15"/>
  <c r="K790" i="15"/>
  <c r="L790" i="15"/>
  <c r="M790" i="15"/>
  <c r="N790" i="15"/>
  <c r="O790" i="15"/>
  <c r="P790" i="15"/>
  <c r="Q790" i="15"/>
  <c r="T790" i="15"/>
  <c r="U790" i="15"/>
  <c r="V790" i="15"/>
  <c r="W790" i="15"/>
  <c r="X790" i="15"/>
  <c r="Y790" i="15"/>
  <c r="Z790" i="15"/>
  <c r="AA790" i="15"/>
  <c r="B791" i="15"/>
  <c r="C791" i="15"/>
  <c r="D791" i="15"/>
  <c r="E791" i="15"/>
  <c r="J791" i="15"/>
  <c r="K791" i="15"/>
  <c r="L791" i="15"/>
  <c r="M791" i="15"/>
  <c r="N791" i="15"/>
  <c r="O791" i="15"/>
  <c r="P791" i="15"/>
  <c r="Q791" i="15"/>
  <c r="T791" i="15"/>
  <c r="U791" i="15"/>
  <c r="V791" i="15"/>
  <c r="W791" i="15"/>
  <c r="X791" i="15"/>
  <c r="Y791" i="15"/>
  <c r="Z791" i="15"/>
  <c r="AA791" i="15"/>
  <c r="B792" i="15"/>
  <c r="C792" i="15"/>
  <c r="D792" i="15"/>
  <c r="E792" i="15"/>
  <c r="J792" i="15"/>
  <c r="K792" i="15"/>
  <c r="L792" i="15"/>
  <c r="M792" i="15"/>
  <c r="N792" i="15"/>
  <c r="O792" i="15"/>
  <c r="P792" i="15"/>
  <c r="Q792" i="15"/>
  <c r="T792" i="15"/>
  <c r="U792" i="15"/>
  <c r="V792" i="15"/>
  <c r="W792" i="15"/>
  <c r="X792" i="15"/>
  <c r="Y792" i="15"/>
  <c r="Z792" i="15"/>
  <c r="AA792" i="15"/>
  <c r="B793" i="15"/>
  <c r="C793" i="15"/>
  <c r="D793" i="15"/>
  <c r="E793" i="15"/>
  <c r="J793" i="15"/>
  <c r="K793" i="15"/>
  <c r="L793" i="15"/>
  <c r="M793" i="15"/>
  <c r="N793" i="15"/>
  <c r="O793" i="15"/>
  <c r="P793" i="15"/>
  <c r="Q793" i="15"/>
  <c r="T793" i="15"/>
  <c r="U793" i="15"/>
  <c r="V793" i="15"/>
  <c r="W793" i="15"/>
  <c r="X793" i="15"/>
  <c r="Y793" i="15"/>
  <c r="Z793" i="15"/>
  <c r="AA793" i="15"/>
  <c r="B794" i="15"/>
  <c r="C794" i="15"/>
  <c r="D794" i="15"/>
  <c r="E794" i="15"/>
  <c r="J794" i="15"/>
  <c r="K794" i="15"/>
  <c r="L794" i="15"/>
  <c r="M794" i="15"/>
  <c r="N794" i="15"/>
  <c r="O794" i="15"/>
  <c r="P794" i="15"/>
  <c r="Q794" i="15"/>
  <c r="T794" i="15"/>
  <c r="U794" i="15"/>
  <c r="V794" i="15"/>
  <c r="W794" i="15"/>
  <c r="X794" i="15"/>
  <c r="Y794" i="15"/>
  <c r="Z794" i="15"/>
  <c r="AA794" i="15"/>
  <c r="B795" i="15"/>
  <c r="C795" i="15"/>
  <c r="D795" i="15"/>
  <c r="E795" i="15"/>
  <c r="J795" i="15"/>
  <c r="K795" i="15"/>
  <c r="L795" i="15"/>
  <c r="M795" i="15"/>
  <c r="N795" i="15"/>
  <c r="O795" i="15"/>
  <c r="P795" i="15"/>
  <c r="Q795" i="15"/>
  <c r="T795" i="15"/>
  <c r="U795" i="15"/>
  <c r="V795" i="15"/>
  <c r="W795" i="15"/>
  <c r="X795" i="15"/>
  <c r="Y795" i="15"/>
  <c r="Z795" i="15"/>
  <c r="AA795" i="15"/>
  <c r="B796" i="15"/>
  <c r="C796" i="15"/>
  <c r="D796" i="15"/>
  <c r="E796" i="15"/>
  <c r="J796" i="15"/>
  <c r="K796" i="15"/>
  <c r="L796" i="15"/>
  <c r="M796" i="15"/>
  <c r="N796" i="15"/>
  <c r="O796" i="15"/>
  <c r="P796" i="15"/>
  <c r="Q796" i="15"/>
  <c r="T796" i="15"/>
  <c r="U796" i="15"/>
  <c r="V796" i="15"/>
  <c r="W796" i="15"/>
  <c r="X796" i="15"/>
  <c r="Y796" i="15"/>
  <c r="Z796" i="15"/>
  <c r="AA796" i="15"/>
  <c r="B797" i="15"/>
  <c r="C797" i="15"/>
  <c r="D797" i="15"/>
  <c r="E797" i="15"/>
  <c r="J797" i="15"/>
  <c r="K797" i="15"/>
  <c r="L797" i="15"/>
  <c r="M797" i="15"/>
  <c r="N797" i="15"/>
  <c r="O797" i="15"/>
  <c r="P797" i="15"/>
  <c r="Q797" i="15"/>
  <c r="T797" i="15"/>
  <c r="U797" i="15"/>
  <c r="V797" i="15"/>
  <c r="W797" i="15"/>
  <c r="X797" i="15"/>
  <c r="Y797" i="15"/>
  <c r="Z797" i="15"/>
  <c r="AA797" i="15"/>
  <c r="B798" i="15"/>
  <c r="C798" i="15"/>
  <c r="D798" i="15"/>
  <c r="E798" i="15"/>
  <c r="J798" i="15"/>
  <c r="K798" i="15"/>
  <c r="L798" i="15"/>
  <c r="M798" i="15"/>
  <c r="N798" i="15"/>
  <c r="O798" i="15"/>
  <c r="P798" i="15"/>
  <c r="Q798" i="15"/>
  <c r="T798" i="15"/>
  <c r="U798" i="15"/>
  <c r="V798" i="15"/>
  <c r="W798" i="15"/>
  <c r="X798" i="15"/>
  <c r="Y798" i="15"/>
  <c r="Z798" i="15"/>
  <c r="AA798" i="15"/>
  <c r="B799" i="15"/>
  <c r="C799" i="15"/>
  <c r="D799" i="15"/>
  <c r="E799" i="15"/>
  <c r="J799" i="15"/>
  <c r="K799" i="15"/>
  <c r="L799" i="15"/>
  <c r="M799" i="15"/>
  <c r="N799" i="15"/>
  <c r="O799" i="15"/>
  <c r="P799" i="15"/>
  <c r="Q799" i="15"/>
  <c r="T799" i="15"/>
  <c r="U799" i="15"/>
  <c r="V799" i="15"/>
  <c r="W799" i="15"/>
  <c r="X799" i="15"/>
  <c r="Y799" i="15"/>
  <c r="Z799" i="15"/>
  <c r="AA799" i="15"/>
  <c r="B800" i="15"/>
  <c r="C800" i="15"/>
  <c r="D800" i="15"/>
  <c r="E800" i="15"/>
  <c r="J800" i="15"/>
  <c r="K800" i="15"/>
  <c r="L800" i="15"/>
  <c r="M800" i="15"/>
  <c r="N800" i="15"/>
  <c r="O800" i="15"/>
  <c r="P800" i="15"/>
  <c r="Q800" i="15"/>
  <c r="T800" i="15"/>
  <c r="U800" i="15"/>
  <c r="V800" i="15"/>
  <c r="W800" i="15"/>
  <c r="X800" i="15"/>
  <c r="Y800" i="15"/>
  <c r="Z800" i="15"/>
  <c r="AA800" i="15"/>
  <c r="B801" i="15"/>
  <c r="C801" i="15"/>
  <c r="D801" i="15"/>
  <c r="E801" i="15"/>
  <c r="J801" i="15"/>
  <c r="K801" i="15"/>
  <c r="L801" i="15"/>
  <c r="M801" i="15"/>
  <c r="N801" i="15"/>
  <c r="O801" i="15"/>
  <c r="P801" i="15"/>
  <c r="Q801" i="15"/>
  <c r="T801" i="15"/>
  <c r="U801" i="15"/>
  <c r="V801" i="15"/>
  <c r="W801" i="15"/>
  <c r="X801" i="15"/>
  <c r="Y801" i="15"/>
  <c r="Z801" i="15"/>
  <c r="AA801" i="15"/>
  <c r="B802" i="15"/>
  <c r="C802" i="15"/>
  <c r="D802" i="15"/>
  <c r="E802" i="15"/>
  <c r="J802" i="15"/>
  <c r="K802" i="15"/>
  <c r="L802" i="15"/>
  <c r="M802" i="15"/>
  <c r="N802" i="15"/>
  <c r="O802" i="15"/>
  <c r="P802" i="15"/>
  <c r="Q802" i="15"/>
  <c r="T802" i="15"/>
  <c r="U802" i="15"/>
  <c r="V802" i="15"/>
  <c r="W802" i="15"/>
  <c r="X802" i="15"/>
  <c r="Y802" i="15"/>
  <c r="Z802" i="15"/>
  <c r="AA802" i="15"/>
  <c r="B803" i="15"/>
  <c r="C803" i="15"/>
  <c r="D803" i="15"/>
  <c r="E803" i="15"/>
  <c r="J803" i="15"/>
  <c r="K803" i="15"/>
  <c r="L803" i="15"/>
  <c r="M803" i="15"/>
  <c r="N803" i="15"/>
  <c r="O803" i="15"/>
  <c r="P803" i="15"/>
  <c r="Q803" i="15"/>
  <c r="T803" i="15"/>
  <c r="U803" i="15"/>
  <c r="V803" i="15"/>
  <c r="W803" i="15"/>
  <c r="X803" i="15"/>
  <c r="Y803" i="15"/>
  <c r="Z803" i="15"/>
  <c r="AA803" i="15"/>
  <c r="B804" i="15"/>
  <c r="C804" i="15"/>
  <c r="D804" i="15"/>
  <c r="E804" i="15"/>
  <c r="J804" i="15"/>
  <c r="K804" i="15"/>
  <c r="L804" i="15"/>
  <c r="M804" i="15"/>
  <c r="N804" i="15"/>
  <c r="O804" i="15"/>
  <c r="P804" i="15"/>
  <c r="Q804" i="15"/>
  <c r="T804" i="15"/>
  <c r="U804" i="15"/>
  <c r="V804" i="15"/>
  <c r="W804" i="15"/>
  <c r="X804" i="15"/>
  <c r="Y804" i="15"/>
  <c r="Z804" i="15"/>
  <c r="AA804" i="15"/>
  <c r="B805" i="15"/>
  <c r="C805" i="15"/>
  <c r="D805" i="15"/>
  <c r="E805" i="15"/>
  <c r="J805" i="15"/>
  <c r="K805" i="15"/>
  <c r="L805" i="15"/>
  <c r="M805" i="15"/>
  <c r="N805" i="15"/>
  <c r="O805" i="15"/>
  <c r="P805" i="15"/>
  <c r="Q805" i="15"/>
  <c r="T805" i="15"/>
  <c r="U805" i="15"/>
  <c r="V805" i="15"/>
  <c r="W805" i="15"/>
  <c r="X805" i="15"/>
  <c r="Y805" i="15"/>
  <c r="Z805" i="15"/>
  <c r="AA805" i="15"/>
  <c r="B806" i="15"/>
  <c r="C806" i="15"/>
  <c r="D806" i="15"/>
  <c r="E806" i="15"/>
  <c r="J806" i="15"/>
  <c r="K806" i="15"/>
  <c r="L806" i="15"/>
  <c r="M806" i="15"/>
  <c r="N806" i="15"/>
  <c r="O806" i="15"/>
  <c r="P806" i="15"/>
  <c r="Q806" i="15"/>
  <c r="T806" i="15"/>
  <c r="U806" i="15"/>
  <c r="V806" i="15"/>
  <c r="W806" i="15"/>
  <c r="X806" i="15"/>
  <c r="Y806" i="15"/>
  <c r="Z806" i="15"/>
  <c r="AA806" i="15"/>
  <c r="B807" i="15"/>
  <c r="C807" i="15"/>
  <c r="D807" i="15"/>
  <c r="E807" i="15"/>
  <c r="J807" i="15"/>
  <c r="K807" i="15"/>
  <c r="L807" i="15"/>
  <c r="M807" i="15"/>
  <c r="N807" i="15"/>
  <c r="O807" i="15"/>
  <c r="P807" i="15"/>
  <c r="Q807" i="15"/>
  <c r="T807" i="15"/>
  <c r="U807" i="15"/>
  <c r="V807" i="15"/>
  <c r="W807" i="15"/>
  <c r="X807" i="15"/>
  <c r="Y807" i="15"/>
  <c r="Z807" i="15"/>
  <c r="AA807" i="15"/>
  <c r="B808" i="15"/>
  <c r="C808" i="15"/>
  <c r="D808" i="15"/>
  <c r="E808" i="15"/>
  <c r="J808" i="15"/>
  <c r="K808" i="15"/>
  <c r="L808" i="15"/>
  <c r="M808" i="15"/>
  <c r="N808" i="15"/>
  <c r="O808" i="15"/>
  <c r="P808" i="15"/>
  <c r="Q808" i="15"/>
  <c r="T808" i="15"/>
  <c r="U808" i="15"/>
  <c r="V808" i="15"/>
  <c r="W808" i="15"/>
  <c r="X808" i="15"/>
  <c r="Y808" i="15"/>
  <c r="Z808" i="15"/>
  <c r="AA808" i="15"/>
  <c r="B809" i="15"/>
  <c r="C809" i="15"/>
  <c r="D809" i="15"/>
  <c r="E809" i="15"/>
  <c r="J809" i="15"/>
  <c r="K809" i="15"/>
  <c r="L809" i="15"/>
  <c r="M809" i="15"/>
  <c r="N809" i="15"/>
  <c r="O809" i="15"/>
  <c r="P809" i="15"/>
  <c r="Q809" i="15"/>
  <c r="T809" i="15"/>
  <c r="U809" i="15"/>
  <c r="V809" i="15"/>
  <c r="W809" i="15"/>
  <c r="X809" i="15"/>
  <c r="Y809" i="15"/>
  <c r="Z809" i="15"/>
  <c r="AA809" i="15"/>
  <c r="B810" i="15"/>
  <c r="C810" i="15"/>
  <c r="D810" i="15"/>
  <c r="E810" i="15"/>
  <c r="J810" i="15"/>
  <c r="K810" i="15"/>
  <c r="L810" i="15"/>
  <c r="M810" i="15"/>
  <c r="N810" i="15"/>
  <c r="O810" i="15"/>
  <c r="P810" i="15"/>
  <c r="Q810" i="15"/>
  <c r="T810" i="15"/>
  <c r="U810" i="15"/>
  <c r="V810" i="15"/>
  <c r="W810" i="15"/>
  <c r="X810" i="15"/>
  <c r="Y810" i="15"/>
  <c r="Z810" i="15"/>
  <c r="AA810" i="15"/>
  <c r="B811" i="15"/>
  <c r="C811" i="15"/>
  <c r="D811" i="15"/>
  <c r="E811" i="15"/>
  <c r="J811" i="15"/>
  <c r="K811" i="15"/>
  <c r="L811" i="15"/>
  <c r="M811" i="15"/>
  <c r="N811" i="15"/>
  <c r="O811" i="15"/>
  <c r="P811" i="15"/>
  <c r="Q811" i="15"/>
  <c r="T811" i="15"/>
  <c r="U811" i="15"/>
  <c r="V811" i="15"/>
  <c r="W811" i="15"/>
  <c r="X811" i="15"/>
  <c r="Y811" i="15"/>
  <c r="Z811" i="15"/>
  <c r="AA811" i="15"/>
  <c r="B812" i="15"/>
  <c r="C812" i="15"/>
  <c r="D812" i="15"/>
  <c r="E812" i="15"/>
  <c r="J812" i="15"/>
  <c r="K812" i="15"/>
  <c r="L812" i="15"/>
  <c r="M812" i="15"/>
  <c r="N812" i="15"/>
  <c r="O812" i="15"/>
  <c r="P812" i="15"/>
  <c r="Q812" i="15"/>
  <c r="T812" i="15"/>
  <c r="U812" i="15"/>
  <c r="V812" i="15"/>
  <c r="W812" i="15"/>
  <c r="X812" i="15"/>
  <c r="Y812" i="15"/>
  <c r="Z812" i="15"/>
  <c r="AA812" i="15"/>
  <c r="B813" i="15"/>
  <c r="C813" i="15"/>
  <c r="D813" i="15"/>
  <c r="E813" i="15"/>
  <c r="J813" i="15"/>
  <c r="K813" i="15"/>
  <c r="L813" i="15"/>
  <c r="M813" i="15"/>
  <c r="N813" i="15"/>
  <c r="O813" i="15"/>
  <c r="P813" i="15"/>
  <c r="Q813" i="15"/>
  <c r="T813" i="15"/>
  <c r="U813" i="15"/>
  <c r="V813" i="15"/>
  <c r="W813" i="15"/>
  <c r="X813" i="15"/>
  <c r="Y813" i="15"/>
  <c r="Z813" i="15"/>
  <c r="AA813" i="15"/>
  <c r="B814" i="15"/>
  <c r="C814" i="15"/>
  <c r="D814" i="15"/>
  <c r="E814" i="15"/>
  <c r="J814" i="15"/>
  <c r="K814" i="15"/>
  <c r="L814" i="15"/>
  <c r="M814" i="15"/>
  <c r="N814" i="15"/>
  <c r="O814" i="15"/>
  <c r="P814" i="15"/>
  <c r="Q814" i="15"/>
  <c r="T814" i="15"/>
  <c r="U814" i="15"/>
  <c r="V814" i="15"/>
  <c r="W814" i="15"/>
  <c r="X814" i="15"/>
  <c r="Y814" i="15"/>
  <c r="Z814" i="15"/>
  <c r="AA814" i="15"/>
  <c r="B815" i="15"/>
  <c r="C815" i="15"/>
  <c r="D815" i="15"/>
  <c r="E815" i="15"/>
  <c r="J815" i="15"/>
  <c r="K815" i="15"/>
  <c r="L815" i="15"/>
  <c r="M815" i="15"/>
  <c r="N815" i="15"/>
  <c r="O815" i="15"/>
  <c r="P815" i="15"/>
  <c r="Q815" i="15"/>
  <c r="T815" i="15"/>
  <c r="U815" i="15"/>
  <c r="V815" i="15"/>
  <c r="W815" i="15"/>
  <c r="X815" i="15"/>
  <c r="Y815" i="15"/>
  <c r="Z815" i="15"/>
  <c r="AA815" i="15"/>
  <c r="B816" i="15"/>
  <c r="C816" i="15"/>
  <c r="D816" i="15"/>
  <c r="E816" i="15"/>
  <c r="J816" i="15"/>
  <c r="K816" i="15"/>
  <c r="L816" i="15"/>
  <c r="M816" i="15"/>
  <c r="N816" i="15"/>
  <c r="O816" i="15"/>
  <c r="P816" i="15"/>
  <c r="Q816" i="15"/>
  <c r="T816" i="15"/>
  <c r="U816" i="15"/>
  <c r="V816" i="15"/>
  <c r="W816" i="15"/>
  <c r="X816" i="15"/>
  <c r="Y816" i="15"/>
  <c r="Z816" i="15"/>
  <c r="AA816" i="15"/>
  <c r="B817" i="15"/>
  <c r="C817" i="15"/>
  <c r="D817" i="15"/>
  <c r="E817" i="15"/>
  <c r="J817" i="15"/>
  <c r="K817" i="15"/>
  <c r="L817" i="15"/>
  <c r="M817" i="15"/>
  <c r="N817" i="15"/>
  <c r="O817" i="15"/>
  <c r="P817" i="15"/>
  <c r="Q817" i="15"/>
  <c r="T817" i="15"/>
  <c r="U817" i="15"/>
  <c r="V817" i="15"/>
  <c r="W817" i="15"/>
  <c r="X817" i="15"/>
  <c r="Y817" i="15"/>
  <c r="Z817" i="15"/>
  <c r="AA817" i="15"/>
  <c r="B818" i="15"/>
  <c r="C818" i="15"/>
  <c r="D818" i="15"/>
  <c r="E818" i="15"/>
  <c r="J818" i="15"/>
  <c r="K818" i="15"/>
  <c r="L818" i="15"/>
  <c r="M818" i="15"/>
  <c r="N818" i="15"/>
  <c r="O818" i="15"/>
  <c r="P818" i="15"/>
  <c r="Q818" i="15"/>
  <c r="T818" i="15"/>
  <c r="U818" i="15"/>
  <c r="V818" i="15"/>
  <c r="W818" i="15"/>
  <c r="X818" i="15"/>
  <c r="Y818" i="15"/>
  <c r="Z818" i="15"/>
  <c r="AA818" i="15"/>
  <c r="B819" i="15"/>
  <c r="C819" i="15"/>
  <c r="D819" i="15"/>
  <c r="E819" i="15"/>
  <c r="J819" i="15"/>
  <c r="K819" i="15"/>
  <c r="L819" i="15"/>
  <c r="M819" i="15"/>
  <c r="N819" i="15"/>
  <c r="O819" i="15"/>
  <c r="P819" i="15"/>
  <c r="Q819" i="15"/>
  <c r="T819" i="15"/>
  <c r="U819" i="15"/>
  <c r="V819" i="15"/>
  <c r="W819" i="15"/>
  <c r="X819" i="15"/>
  <c r="Y819" i="15"/>
  <c r="Z819" i="15"/>
  <c r="AA819" i="15"/>
  <c r="B820" i="15"/>
  <c r="C820" i="15"/>
  <c r="D820" i="15"/>
  <c r="E820" i="15"/>
  <c r="J820" i="15"/>
  <c r="K820" i="15"/>
  <c r="L820" i="15"/>
  <c r="M820" i="15"/>
  <c r="N820" i="15"/>
  <c r="O820" i="15"/>
  <c r="P820" i="15"/>
  <c r="Q820" i="15"/>
  <c r="T820" i="15"/>
  <c r="U820" i="15"/>
  <c r="V820" i="15"/>
  <c r="W820" i="15"/>
  <c r="X820" i="15"/>
  <c r="Y820" i="15"/>
  <c r="Z820" i="15"/>
  <c r="AA820" i="15"/>
  <c r="B821" i="15"/>
  <c r="C821" i="15"/>
  <c r="D821" i="15"/>
  <c r="E821" i="15"/>
  <c r="J821" i="15"/>
  <c r="K821" i="15"/>
  <c r="L821" i="15"/>
  <c r="M821" i="15"/>
  <c r="N821" i="15"/>
  <c r="O821" i="15"/>
  <c r="P821" i="15"/>
  <c r="Q821" i="15"/>
  <c r="T821" i="15"/>
  <c r="U821" i="15"/>
  <c r="V821" i="15"/>
  <c r="W821" i="15"/>
  <c r="X821" i="15"/>
  <c r="Y821" i="15"/>
  <c r="Z821" i="15"/>
  <c r="AA821" i="15"/>
  <c r="B822" i="15"/>
  <c r="C822" i="15"/>
  <c r="D822" i="15"/>
  <c r="E822" i="15"/>
  <c r="J822" i="15"/>
  <c r="K822" i="15"/>
  <c r="L822" i="15"/>
  <c r="M822" i="15"/>
  <c r="N822" i="15"/>
  <c r="O822" i="15"/>
  <c r="P822" i="15"/>
  <c r="Q822" i="15"/>
  <c r="T822" i="15"/>
  <c r="U822" i="15"/>
  <c r="V822" i="15"/>
  <c r="W822" i="15"/>
  <c r="X822" i="15"/>
  <c r="Y822" i="15"/>
  <c r="Z822" i="15"/>
  <c r="AA822" i="15"/>
  <c r="B823" i="15"/>
  <c r="C823" i="15"/>
  <c r="D823" i="15"/>
  <c r="E823" i="15"/>
  <c r="J823" i="15"/>
  <c r="K823" i="15"/>
  <c r="L823" i="15"/>
  <c r="M823" i="15"/>
  <c r="N823" i="15"/>
  <c r="O823" i="15"/>
  <c r="P823" i="15"/>
  <c r="Q823" i="15"/>
  <c r="T823" i="15"/>
  <c r="U823" i="15"/>
  <c r="V823" i="15"/>
  <c r="W823" i="15"/>
  <c r="X823" i="15"/>
  <c r="Y823" i="15"/>
  <c r="Z823" i="15"/>
  <c r="AA823" i="15"/>
  <c r="B824" i="15"/>
  <c r="C824" i="15"/>
  <c r="D824" i="15"/>
  <c r="E824" i="15"/>
  <c r="J824" i="15"/>
  <c r="K824" i="15"/>
  <c r="L824" i="15"/>
  <c r="M824" i="15"/>
  <c r="N824" i="15"/>
  <c r="O824" i="15"/>
  <c r="P824" i="15"/>
  <c r="Q824" i="15"/>
  <c r="T824" i="15"/>
  <c r="U824" i="15"/>
  <c r="V824" i="15"/>
  <c r="W824" i="15"/>
  <c r="X824" i="15"/>
  <c r="Y824" i="15"/>
  <c r="Z824" i="15"/>
  <c r="AA824" i="15"/>
  <c r="B825" i="15"/>
  <c r="C825" i="15"/>
  <c r="D825" i="15"/>
  <c r="E825" i="15"/>
  <c r="J825" i="15"/>
  <c r="K825" i="15"/>
  <c r="L825" i="15"/>
  <c r="M825" i="15"/>
  <c r="N825" i="15"/>
  <c r="O825" i="15"/>
  <c r="P825" i="15"/>
  <c r="Q825" i="15"/>
  <c r="T825" i="15"/>
  <c r="U825" i="15"/>
  <c r="V825" i="15"/>
  <c r="W825" i="15"/>
  <c r="X825" i="15"/>
  <c r="Y825" i="15"/>
  <c r="Z825" i="15"/>
  <c r="AA825" i="15"/>
  <c r="B826" i="15"/>
  <c r="C826" i="15"/>
  <c r="D826" i="15"/>
  <c r="E826" i="15"/>
  <c r="J826" i="15"/>
  <c r="K826" i="15"/>
  <c r="L826" i="15"/>
  <c r="M826" i="15"/>
  <c r="N826" i="15"/>
  <c r="O826" i="15"/>
  <c r="P826" i="15"/>
  <c r="Q826" i="15"/>
  <c r="T826" i="15"/>
  <c r="U826" i="15"/>
  <c r="V826" i="15"/>
  <c r="W826" i="15"/>
  <c r="X826" i="15"/>
  <c r="Y826" i="15"/>
  <c r="Z826" i="15"/>
  <c r="AA826" i="15"/>
  <c r="B827" i="15"/>
  <c r="C827" i="15"/>
  <c r="D827" i="15"/>
  <c r="E827" i="15"/>
  <c r="J827" i="15"/>
  <c r="K827" i="15"/>
  <c r="L827" i="15"/>
  <c r="M827" i="15"/>
  <c r="N827" i="15"/>
  <c r="O827" i="15"/>
  <c r="P827" i="15"/>
  <c r="Q827" i="15"/>
  <c r="T827" i="15"/>
  <c r="U827" i="15"/>
  <c r="V827" i="15"/>
  <c r="W827" i="15"/>
  <c r="X827" i="15"/>
  <c r="Y827" i="15"/>
  <c r="Z827" i="15"/>
  <c r="AA827" i="15"/>
  <c r="B828" i="15"/>
  <c r="C828" i="15"/>
  <c r="D828" i="15"/>
  <c r="E828" i="15"/>
  <c r="J828" i="15"/>
  <c r="K828" i="15"/>
  <c r="L828" i="15"/>
  <c r="M828" i="15"/>
  <c r="N828" i="15"/>
  <c r="O828" i="15"/>
  <c r="P828" i="15"/>
  <c r="Q828" i="15"/>
  <c r="T828" i="15"/>
  <c r="U828" i="15"/>
  <c r="V828" i="15"/>
  <c r="W828" i="15"/>
  <c r="X828" i="15"/>
  <c r="Y828" i="15"/>
  <c r="Z828" i="15"/>
  <c r="AA828" i="15"/>
  <c r="B829" i="15"/>
  <c r="C829" i="15"/>
  <c r="D829" i="15"/>
  <c r="E829" i="15"/>
  <c r="J829" i="15"/>
  <c r="K829" i="15"/>
  <c r="L829" i="15"/>
  <c r="M829" i="15"/>
  <c r="N829" i="15"/>
  <c r="O829" i="15"/>
  <c r="P829" i="15"/>
  <c r="Q829" i="15"/>
  <c r="T829" i="15"/>
  <c r="U829" i="15"/>
  <c r="V829" i="15"/>
  <c r="W829" i="15"/>
  <c r="X829" i="15"/>
  <c r="Y829" i="15"/>
  <c r="Z829" i="15"/>
  <c r="AA829" i="15"/>
  <c r="B830" i="15"/>
  <c r="C830" i="15"/>
  <c r="D830" i="15"/>
  <c r="E830" i="15"/>
  <c r="J830" i="15"/>
  <c r="K830" i="15"/>
  <c r="L830" i="15"/>
  <c r="M830" i="15"/>
  <c r="N830" i="15"/>
  <c r="O830" i="15"/>
  <c r="P830" i="15"/>
  <c r="Q830" i="15"/>
  <c r="T830" i="15"/>
  <c r="U830" i="15"/>
  <c r="V830" i="15"/>
  <c r="W830" i="15"/>
  <c r="X830" i="15"/>
  <c r="Y830" i="15"/>
  <c r="Z830" i="15"/>
  <c r="AA830" i="15"/>
  <c r="B831" i="15"/>
  <c r="C831" i="15"/>
  <c r="D831" i="15"/>
  <c r="E831" i="15"/>
  <c r="J831" i="15"/>
  <c r="K831" i="15"/>
  <c r="L831" i="15"/>
  <c r="M831" i="15"/>
  <c r="N831" i="15"/>
  <c r="O831" i="15"/>
  <c r="P831" i="15"/>
  <c r="Q831" i="15"/>
  <c r="T831" i="15"/>
  <c r="U831" i="15"/>
  <c r="V831" i="15"/>
  <c r="W831" i="15"/>
  <c r="X831" i="15"/>
  <c r="Y831" i="15"/>
  <c r="Z831" i="15"/>
  <c r="AA831" i="15"/>
  <c r="B832" i="15"/>
  <c r="C832" i="15"/>
  <c r="D832" i="15"/>
  <c r="E832" i="15"/>
  <c r="J832" i="15"/>
  <c r="K832" i="15"/>
  <c r="L832" i="15"/>
  <c r="M832" i="15"/>
  <c r="N832" i="15"/>
  <c r="O832" i="15"/>
  <c r="P832" i="15"/>
  <c r="Q832" i="15"/>
  <c r="T832" i="15"/>
  <c r="U832" i="15"/>
  <c r="V832" i="15"/>
  <c r="W832" i="15"/>
  <c r="X832" i="15"/>
  <c r="Y832" i="15"/>
  <c r="Z832" i="15"/>
  <c r="AA832" i="15"/>
  <c r="B833" i="15"/>
  <c r="C833" i="15"/>
  <c r="D833" i="15"/>
  <c r="E833" i="15"/>
  <c r="J833" i="15"/>
  <c r="K833" i="15"/>
  <c r="L833" i="15"/>
  <c r="M833" i="15"/>
  <c r="N833" i="15"/>
  <c r="O833" i="15"/>
  <c r="P833" i="15"/>
  <c r="Q833" i="15"/>
  <c r="T833" i="15"/>
  <c r="U833" i="15"/>
  <c r="V833" i="15"/>
  <c r="W833" i="15"/>
  <c r="X833" i="15"/>
  <c r="Y833" i="15"/>
  <c r="Z833" i="15"/>
  <c r="AA833" i="15"/>
  <c r="B834" i="15"/>
  <c r="C834" i="15"/>
  <c r="D834" i="15"/>
  <c r="E834" i="15"/>
  <c r="J834" i="15"/>
  <c r="K834" i="15"/>
  <c r="L834" i="15"/>
  <c r="M834" i="15"/>
  <c r="N834" i="15"/>
  <c r="O834" i="15"/>
  <c r="P834" i="15"/>
  <c r="Q834" i="15"/>
  <c r="T834" i="15"/>
  <c r="U834" i="15"/>
  <c r="V834" i="15"/>
  <c r="W834" i="15"/>
  <c r="X834" i="15"/>
  <c r="Y834" i="15"/>
  <c r="Z834" i="15"/>
  <c r="AA834" i="15"/>
  <c r="B835" i="15"/>
  <c r="C835" i="15"/>
  <c r="D835" i="15"/>
  <c r="E835" i="15"/>
  <c r="J835" i="15"/>
  <c r="K835" i="15"/>
  <c r="L835" i="15"/>
  <c r="M835" i="15"/>
  <c r="N835" i="15"/>
  <c r="O835" i="15"/>
  <c r="P835" i="15"/>
  <c r="Q835" i="15"/>
  <c r="T835" i="15"/>
  <c r="U835" i="15"/>
  <c r="V835" i="15"/>
  <c r="W835" i="15"/>
  <c r="X835" i="15"/>
  <c r="Y835" i="15"/>
  <c r="Z835" i="15"/>
  <c r="AA835" i="15"/>
  <c r="B836" i="15"/>
  <c r="C836" i="15"/>
  <c r="D836" i="15"/>
  <c r="E836" i="15"/>
  <c r="J836" i="15"/>
  <c r="K836" i="15"/>
  <c r="L836" i="15"/>
  <c r="M836" i="15"/>
  <c r="N836" i="15"/>
  <c r="O836" i="15"/>
  <c r="P836" i="15"/>
  <c r="Q836" i="15"/>
  <c r="T836" i="15"/>
  <c r="U836" i="15"/>
  <c r="V836" i="15"/>
  <c r="W836" i="15"/>
  <c r="X836" i="15"/>
  <c r="Y836" i="15"/>
  <c r="Z836" i="15"/>
  <c r="AA836" i="15"/>
  <c r="B837" i="15"/>
  <c r="C837" i="15"/>
  <c r="D837" i="15"/>
  <c r="E837" i="15"/>
  <c r="J837" i="15"/>
  <c r="K837" i="15"/>
  <c r="L837" i="15"/>
  <c r="M837" i="15"/>
  <c r="N837" i="15"/>
  <c r="O837" i="15"/>
  <c r="P837" i="15"/>
  <c r="Q837" i="15"/>
  <c r="T837" i="15"/>
  <c r="U837" i="15"/>
  <c r="V837" i="15"/>
  <c r="W837" i="15"/>
  <c r="X837" i="15"/>
  <c r="Y837" i="15"/>
  <c r="Z837" i="15"/>
  <c r="AA837" i="15"/>
  <c r="B838" i="15"/>
  <c r="C838" i="15"/>
  <c r="D838" i="15"/>
  <c r="E838" i="15"/>
  <c r="J838" i="15"/>
  <c r="K838" i="15"/>
  <c r="L838" i="15"/>
  <c r="M838" i="15"/>
  <c r="N838" i="15"/>
  <c r="O838" i="15"/>
  <c r="P838" i="15"/>
  <c r="Q838" i="15"/>
  <c r="T838" i="15"/>
  <c r="U838" i="15"/>
  <c r="V838" i="15"/>
  <c r="W838" i="15"/>
  <c r="X838" i="15"/>
  <c r="Y838" i="15"/>
  <c r="Z838" i="15"/>
  <c r="AA838" i="15"/>
  <c r="B839" i="15"/>
  <c r="C839" i="15"/>
  <c r="D839" i="15"/>
  <c r="E839" i="15"/>
  <c r="J839" i="15"/>
  <c r="K839" i="15"/>
  <c r="L839" i="15"/>
  <c r="M839" i="15"/>
  <c r="N839" i="15"/>
  <c r="O839" i="15"/>
  <c r="P839" i="15"/>
  <c r="Q839" i="15"/>
  <c r="T839" i="15"/>
  <c r="U839" i="15"/>
  <c r="V839" i="15"/>
  <c r="W839" i="15"/>
  <c r="X839" i="15"/>
  <c r="Y839" i="15"/>
  <c r="Z839" i="15"/>
  <c r="AA839" i="15"/>
  <c r="B840" i="15"/>
  <c r="C840" i="15"/>
  <c r="D840" i="15"/>
  <c r="E840" i="15"/>
  <c r="J840" i="15"/>
  <c r="K840" i="15"/>
  <c r="L840" i="15"/>
  <c r="M840" i="15"/>
  <c r="N840" i="15"/>
  <c r="O840" i="15"/>
  <c r="P840" i="15"/>
  <c r="Q840" i="15"/>
  <c r="T840" i="15"/>
  <c r="U840" i="15"/>
  <c r="V840" i="15"/>
  <c r="W840" i="15"/>
  <c r="X840" i="15"/>
  <c r="Y840" i="15"/>
  <c r="Z840" i="15"/>
  <c r="AA840" i="15"/>
  <c r="B841" i="15"/>
  <c r="C841" i="15"/>
  <c r="D841" i="15"/>
  <c r="E841" i="15"/>
  <c r="J841" i="15"/>
  <c r="K841" i="15"/>
  <c r="L841" i="15"/>
  <c r="M841" i="15"/>
  <c r="N841" i="15"/>
  <c r="O841" i="15"/>
  <c r="P841" i="15"/>
  <c r="Q841" i="15"/>
  <c r="T841" i="15"/>
  <c r="U841" i="15"/>
  <c r="V841" i="15"/>
  <c r="W841" i="15"/>
  <c r="X841" i="15"/>
  <c r="Y841" i="15"/>
  <c r="Z841" i="15"/>
  <c r="AA841" i="15"/>
  <c r="B842" i="15"/>
  <c r="C842" i="15"/>
  <c r="D842" i="15"/>
  <c r="E842" i="15"/>
  <c r="J842" i="15"/>
  <c r="K842" i="15"/>
  <c r="L842" i="15"/>
  <c r="M842" i="15"/>
  <c r="N842" i="15"/>
  <c r="O842" i="15"/>
  <c r="P842" i="15"/>
  <c r="Q842" i="15"/>
  <c r="T842" i="15"/>
  <c r="U842" i="15"/>
  <c r="V842" i="15"/>
  <c r="W842" i="15"/>
  <c r="X842" i="15"/>
  <c r="Y842" i="15"/>
  <c r="Z842" i="15"/>
  <c r="AA842" i="15"/>
  <c r="B843" i="15"/>
  <c r="C843" i="15"/>
  <c r="D843" i="15"/>
  <c r="E843" i="15"/>
  <c r="J843" i="15"/>
  <c r="K843" i="15"/>
  <c r="L843" i="15"/>
  <c r="M843" i="15"/>
  <c r="N843" i="15"/>
  <c r="O843" i="15"/>
  <c r="P843" i="15"/>
  <c r="Q843" i="15"/>
  <c r="T843" i="15"/>
  <c r="U843" i="15"/>
  <c r="V843" i="15"/>
  <c r="W843" i="15"/>
  <c r="X843" i="15"/>
  <c r="Y843" i="15"/>
  <c r="Z843" i="15"/>
  <c r="AA843" i="15"/>
  <c r="B844" i="15"/>
  <c r="C844" i="15"/>
  <c r="D844" i="15"/>
  <c r="E844" i="15"/>
  <c r="J844" i="15"/>
  <c r="K844" i="15"/>
  <c r="L844" i="15"/>
  <c r="M844" i="15"/>
  <c r="N844" i="15"/>
  <c r="O844" i="15"/>
  <c r="P844" i="15"/>
  <c r="Q844" i="15"/>
  <c r="T844" i="15"/>
  <c r="U844" i="15"/>
  <c r="V844" i="15"/>
  <c r="W844" i="15"/>
  <c r="X844" i="15"/>
  <c r="Y844" i="15"/>
  <c r="Z844" i="15"/>
  <c r="AA844" i="15"/>
  <c r="B845" i="15"/>
  <c r="C845" i="15"/>
  <c r="D845" i="15"/>
  <c r="E845" i="15"/>
  <c r="J845" i="15"/>
  <c r="K845" i="15"/>
  <c r="L845" i="15"/>
  <c r="M845" i="15"/>
  <c r="N845" i="15"/>
  <c r="O845" i="15"/>
  <c r="P845" i="15"/>
  <c r="Q845" i="15"/>
  <c r="T845" i="15"/>
  <c r="U845" i="15"/>
  <c r="V845" i="15"/>
  <c r="W845" i="15"/>
  <c r="X845" i="15"/>
  <c r="Y845" i="15"/>
  <c r="Z845" i="15"/>
  <c r="AA845" i="15"/>
  <c r="B846" i="15"/>
  <c r="C846" i="15"/>
  <c r="D846" i="15"/>
  <c r="E846" i="15"/>
  <c r="J846" i="15"/>
  <c r="K846" i="15"/>
  <c r="L846" i="15"/>
  <c r="M846" i="15"/>
  <c r="N846" i="15"/>
  <c r="O846" i="15"/>
  <c r="P846" i="15"/>
  <c r="Q846" i="15"/>
  <c r="T846" i="15"/>
  <c r="U846" i="15"/>
  <c r="V846" i="15"/>
  <c r="W846" i="15"/>
  <c r="X846" i="15"/>
  <c r="Y846" i="15"/>
  <c r="Z846" i="15"/>
  <c r="AA846" i="15"/>
  <c r="B847" i="15"/>
  <c r="C847" i="15"/>
  <c r="D847" i="15"/>
  <c r="E847" i="15"/>
  <c r="J847" i="15"/>
  <c r="K847" i="15"/>
  <c r="L847" i="15"/>
  <c r="M847" i="15"/>
  <c r="N847" i="15"/>
  <c r="O847" i="15"/>
  <c r="P847" i="15"/>
  <c r="Q847" i="15"/>
  <c r="T847" i="15"/>
  <c r="U847" i="15"/>
  <c r="V847" i="15"/>
  <c r="W847" i="15"/>
  <c r="X847" i="15"/>
  <c r="Y847" i="15"/>
  <c r="Z847" i="15"/>
  <c r="AA847" i="15"/>
  <c r="B848" i="15"/>
  <c r="C848" i="15"/>
  <c r="D848" i="15"/>
  <c r="E848" i="15"/>
  <c r="J848" i="15"/>
  <c r="K848" i="15"/>
  <c r="L848" i="15"/>
  <c r="M848" i="15"/>
  <c r="N848" i="15"/>
  <c r="O848" i="15"/>
  <c r="P848" i="15"/>
  <c r="Q848" i="15"/>
  <c r="T848" i="15"/>
  <c r="U848" i="15"/>
  <c r="V848" i="15"/>
  <c r="W848" i="15"/>
  <c r="X848" i="15"/>
  <c r="Y848" i="15"/>
  <c r="Z848" i="15"/>
  <c r="AA848" i="15"/>
  <c r="B849" i="15"/>
  <c r="C849" i="15"/>
  <c r="D849" i="15"/>
  <c r="E849" i="15"/>
  <c r="J849" i="15"/>
  <c r="K849" i="15"/>
  <c r="L849" i="15"/>
  <c r="M849" i="15"/>
  <c r="N849" i="15"/>
  <c r="O849" i="15"/>
  <c r="P849" i="15"/>
  <c r="Q849" i="15"/>
  <c r="T849" i="15"/>
  <c r="U849" i="15"/>
  <c r="V849" i="15"/>
  <c r="W849" i="15"/>
  <c r="X849" i="15"/>
  <c r="Y849" i="15"/>
  <c r="Z849" i="15"/>
  <c r="AA849" i="15"/>
  <c r="B850" i="15"/>
  <c r="C850" i="15"/>
  <c r="D850" i="15"/>
  <c r="E850" i="15"/>
  <c r="J850" i="15"/>
  <c r="K850" i="15"/>
  <c r="L850" i="15"/>
  <c r="M850" i="15"/>
  <c r="N850" i="15"/>
  <c r="O850" i="15"/>
  <c r="P850" i="15"/>
  <c r="Q850" i="15"/>
  <c r="T850" i="15"/>
  <c r="U850" i="15"/>
  <c r="V850" i="15"/>
  <c r="W850" i="15"/>
  <c r="X850" i="15"/>
  <c r="Y850" i="15"/>
  <c r="Z850" i="15"/>
  <c r="AA850" i="15"/>
  <c r="B851" i="15"/>
  <c r="C851" i="15"/>
  <c r="D851" i="15"/>
  <c r="E851" i="15"/>
  <c r="J851" i="15"/>
  <c r="K851" i="15"/>
  <c r="L851" i="15"/>
  <c r="M851" i="15"/>
  <c r="N851" i="15"/>
  <c r="O851" i="15"/>
  <c r="P851" i="15"/>
  <c r="Q851" i="15"/>
  <c r="T851" i="15"/>
  <c r="U851" i="15"/>
  <c r="V851" i="15"/>
  <c r="W851" i="15"/>
  <c r="X851" i="15"/>
  <c r="Y851" i="15"/>
  <c r="Z851" i="15"/>
  <c r="AA851" i="15"/>
  <c r="B852" i="15"/>
  <c r="C852" i="15"/>
  <c r="D852" i="15"/>
  <c r="E852" i="15"/>
  <c r="J852" i="15"/>
  <c r="K852" i="15"/>
  <c r="L852" i="15"/>
  <c r="M852" i="15"/>
  <c r="N852" i="15"/>
  <c r="O852" i="15"/>
  <c r="P852" i="15"/>
  <c r="Q852" i="15"/>
  <c r="T852" i="15"/>
  <c r="U852" i="15"/>
  <c r="V852" i="15"/>
  <c r="W852" i="15"/>
  <c r="X852" i="15"/>
  <c r="Y852" i="15"/>
  <c r="Z852" i="15"/>
  <c r="AA852" i="15"/>
  <c r="B853" i="15"/>
  <c r="C853" i="15"/>
  <c r="D853" i="15"/>
  <c r="E853" i="15"/>
  <c r="J853" i="15"/>
  <c r="K853" i="15"/>
  <c r="L853" i="15"/>
  <c r="M853" i="15"/>
  <c r="N853" i="15"/>
  <c r="O853" i="15"/>
  <c r="P853" i="15"/>
  <c r="Q853" i="15"/>
  <c r="T853" i="15"/>
  <c r="U853" i="15"/>
  <c r="V853" i="15"/>
  <c r="W853" i="15"/>
  <c r="X853" i="15"/>
  <c r="Y853" i="15"/>
  <c r="Z853" i="15"/>
  <c r="AA853" i="15"/>
  <c r="B854" i="15"/>
  <c r="C854" i="15"/>
  <c r="D854" i="15"/>
  <c r="E854" i="15"/>
  <c r="J854" i="15"/>
  <c r="K854" i="15"/>
  <c r="L854" i="15"/>
  <c r="M854" i="15"/>
  <c r="N854" i="15"/>
  <c r="O854" i="15"/>
  <c r="P854" i="15"/>
  <c r="Q854" i="15"/>
  <c r="T854" i="15"/>
  <c r="U854" i="15"/>
  <c r="V854" i="15"/>
  <c r="W854" i="15"/>
  <c r="X854" i="15"/>
  <c r="Y854" i="15"/>
  <c r="Z854" i="15"/>
  <c r="AA854" i="15"/>
  <c r="B855" i="15"/>
  <c r="C855" i="15"/>
  <c r="D855" i="15"/>
  <c r="E855" i="15"/>
  <c r="J855" i="15"/>
  <c r="K855" i="15"/>
  <c r="L855" i="15"/>
  <c r="M855" i="15"/>
  <c r="N855" i="15"/>
  <c r="O855" i="15"/>
  <c r="P855" i="15"/>
  <c r="Q855" i="15"/>
  <c r="T855" i="15"/>
  <c r="U855" i="15"/>
  <c r="V855" i="15"/>
  <c r="W855" i="15"/>
  <c r="X855" i="15"/>
  <c r="Y855" i="15"/>
  <c r="Z855" i="15"/>
  <c r="AA855" i="15"/>
  <c r="B856" i="15"/>
  <c r="C856" i="15"/>
  <c r="D856" i="15"/>
  <c r="E856" i="15"/>
  <c r="J856" i="15"/>
  <c r="K856" i="15"/>
  <c r="L856" i="15"/>
  <c r="M856" i="15"/>
  <c r="N856" i="15"/>
  <c r="O856" i="15"/>
  <c r="P856" i="15"/>
  <c r="Q856" i="15"/>
  <c r="T856" i="15"/>
  <c r="U856" i="15"/>
  <c r="V856" i="15"/>
  <c r="W856" i="15"/>
  <c r="X856" i="15"/>
  <c r="Y856" i="15"/>
  <c r="Z856" i="15"/>
  <c r="AA856" i="15"/>
  <c r="B857" i="15"/>
  <c r="C857" i="15"/>
  <c r="D857" i="15"/>
  <c r="E857" i="15"/>
  <c r="J857" i="15"/>
  <c r="K857" i="15"/>
  <c r="L857" i="15"/>
  <c r="M857" i="15"/>
  <c r="N857" i="15"/>
  <c r="O857" i="15"/>
  <c r="P857" i="15"/>
  <c r="Q857" i="15"/>
  <c r="T857" i="15"/>
  <c r="U857" i="15"/>
  <c r="V857" i="15"/>
  <c r="W857" i="15"/>
  <c r="X857" i="15"/>
  <c r="Y857" i="15"/>
  <c r="Z857" i="15"/>
  <c r="AA857" i="15"/>
  <c r="B858" i="15"/>
  <c r="C858" i="15"/>
  <c r="D858" i="15"/>
  <c r="E858" i="15"/>
  <c r="J858" i="15"/>
  <c r="K858" i="15"/>
  <c r="L858" i="15"/>
  <c r="M858" i="15"/>
  <c r="N858" i="15"/>
  <c r="O858" i="15"/>
  <c r="P858" i="15"/>
  <c r="Q858" i="15"/>
  <c r="T858" i="15"/>
  <c r="U858" i="15"/>
  <c r="V858" i="15"/>
  <c r="W858" i="15"/>
  <c r="X858" i="15"/>
  <c r="Y858" i="15"/>
  <c r="Z858" i="15"/>
  <c r="AA858" i="15"/>
  <c r="B859" i="15"/>
  <c r="C859" i="15"/>
  <c r="D859" i="15"/>
  <c r="E859" i="15"/>
  <c r="J859" i="15"/>
  <c r="K859" i="15"/>
  <c r="L859" i="15"/>
  <c r="M859" i="15"/>
  <c r="N859" i="15"/>
  <c r="O859" i="15"/>
  <c r="P859" i="15"/>
  <c r="Q859" i="15"/>
  <c r="T859" i="15"/>
  <c r="U859" i="15"/>
  <c r="V859" i="15"/>
  <c r="W859" i="15"/>
  <c r="X859" i="15"/>
  <c r="Y859" i="15"/>
  <c r="Z859" i="15"/>
  <c r="AA859" i="15"/>
  <c r="B860" i="15"/>
  <c r="C860" i="15"/>
  <c r="D860" i="15"/>
  <c r="E860" i="15"/>
  <c r="J860" i="15"/>
  <c r="K860" i="15"/>
  <c r="L860" i="15"/>
  <c r="M860" i="15"/>
  <c r="N860" i="15"/>
  <c r="O860" i="15"/>
  <c r="P860" i="15"/>
  <c r="Q860" i="15"/>
  <c r="T860" i="15"/>
  <c r="U860" i="15"/>
  <c r="V860" i="15"/>
  <c r="W860" i="15"/>
  <c r="X860" i="15"/>
  <c r="Y860" i="15"/>
  <c r="Z860" i="15"/>
  <c r="AA860" i="15"/>
  <c r="B861" i="15"/>
  <c r="C861" i="15"/>
  <c r="D861" i="15"/>
  <c r="E861" i="15"/>
  <c r="J861" i="15"/>
  <c r="K861" i="15"/>
  <c r="L861" i="15"/>
  <c r="M861" i="15"/>
  <c r="N861" i="15"/>
  <c r="O861" i="15"/>
  <c r="P861" i="15"/>
  <c r="Q861" i="15"/>
  <c r="T861" i="15"/>
  <c r="U861" i="15"/>
  <c r="V861" i="15"/>
  <c r="W861" i="15"/>
  <c r="X861" i="15"/>
  <c r="Y861" i="15"/>
  <c r="Z861" i="15"/>
  <c r="AA861" i="15"/>
  <c r="B862" i="15"/>
  <c r="C862" i="15"/>
  <c r="D862" i="15"/>
  <c r="E862" i="15"/>
  <c r="J862" i="15"/>
  <c r="K862" i="15"/>
  <c r="L862" i="15"/>
  <c r="M862" i="15"/>
  <c r="N862" i="15"/>
  <c r="O862" i="15"/>
  <c r="P862" i="15"/>
  <c r="Q862" i="15"/>
  <c r="T862" i="15"/>
  <c r="U862" i="15"/>
  <c r="V862" i="15"/>
  <c r="W862" i="15"/>
  <c r="X862" i="15"/>
  <c r="Y862" i="15"/>
  <c r="Z862" i="15"/>
  <c r="AA862" i="15"/>
  <c r="B863" i="15"/>
  <c r="C863" i="15"/>
  <c r="D863" i="15"/>
  <c r="E863" i="15"/>
  <c r="J863" i="15"/>
  <c r="K863" i="15"/>
  <c r="L863" i="15"/>
  <c r="M863" i="15"/>
  <c r="N863" i="15"/>
  <c r="O863" i="15"/>
  <c r="P863" i="15"/>
  <c r="Q863" i="15"/>
  <c r="T863" i="15"/>
  <c r="U863" i="15"/>
  <c r="V863" i="15"/>
  <c r="W863" i="15"/>
  <c r="X863" i="15"/>
  <c r="Y863" i="15"/>
  <c r="Z863" i="15"/>
  <c r="AA863" i="15"/>
  <c r="B864" i="15"/>
  <c r="C864" i="15"/>
  <c r="D864" i="15"/>
  <c r="E864" i="15"/>
  <c r="J864" i="15"/>
  <c r="K864" i="15"/>
  <c r="L864" i="15"/>
  <c r="M864" i="15"/>
  <c r="N864" i="15"/>
  <c r="O864" i="15"/>
  <c r="P864" i="15"/>
  <c r="Q864" i="15"/>
  <c r="T864" i="15"/>
  <c r="U864" i="15"/>
  <c r="V864" i="15"/>
  <c r="W864" i="15"/>
  <c r="X864" i="15"/>
  <c r="Y864" i="15"/>
  <c r="Z864" i="15"/>
  <c r="AA864" i="15"/>
  <c r="B865" i="15"/>
  <c r="C865" i="15"/>
  <c r="D865" i="15"/>
  <c r="E865" i="15"/>
  <c r="J865" i="15"/>
  <c r="K865" i="15"/>
  <c r="L865" i="15"/>
  <c r="M865" i="15"/>
  <c r="N865" i="15"/>
  <c r="O865" i="15"/>
  <c r="P865" i="15"/>
  <c r="Q865" i="15"/>
  <c r="T865" i="15"/>
  <c r="U865" i="15"/>
  <c r="V865" i="15"/>
  <c r="W865" i="15"/>
  <c r="X865" i="15"/>
  <c r="Y865" i="15"/>
  <c r="Z865" i="15"/>
  <c r="AA865" i="15"/>
  <c r="B866" i="15"/>
  <c r="C866" i="15"/>
  <c r="D866" i="15"/>
  <c r="E866" i="15"/>
  <c r="J866" i="15"/>
  <c r="K866" i="15"/>
  <c r="L866" i="15"/>
  <c r="M866" i="15"/>
  <c r="N866" i="15"/>
  <c r="O866" i="15"/>
  <c r="P866" i="15"/>
  <c r="Q866" i="15"/>
  <c r="T866" i="15"/>
  <c r="U866" i="15"/>
  <c r="V866" i="15"/>
  <c r="W866" i="15"/>
  <c r="X866" i="15"/>
  <c r="Y866" i="15"/>
  <c r="Z866" i="15"/>
  <c r="AA866" i="15"/>
  <c r="B867" i="15"/>
  <c r="C867" i="15"/>
  <c r="D867" i="15"/>
  <c r="E867" i="15"/>
  <c r="J867" i="15"/>
  <c r="K867" i="15"/>
  <c r="L867" i="15"/>
  <c r="M867" i="15"/>
  <c r="N867" i="15"/>
  <c r="O867" i="15"/>
  <c r="P867" i="15"/>
  <c r="Q867" i="15"/>
  <c r="T867" i="15"/>
  <c r="U867" i="15"/>
  <c r="V867" i="15"/>
  <c r="W867" i="15"/>
  <c r="X867" i="15"/>
  <c r="Y867" i="15"/>
  <c r="Z867" i="15"/>
  <c r="AA867" i="15"/>
  <c r="B868" i="15"/>
  <c r="C868" i="15"/>
  <c r="D868" i="15"/>
  <c r="E868" i="15"/>
  <c r="J868" i="15"/>
  <c r="K868" i="15"/>
  <c r="L868" i="15"/>
  <c r="M868" i="15"/>
  <c r="N868" i="15"/>
  <c r="O868" i="15"/>
  <c r="P868" i="15"/>
  <c r="Q868" i="15"/>
  <c r="T868" i="15"/>
  <c r="U868" i="15"/>
  <c r="V868" i="15"/>
  <c r="W868" i="15"/>
  <c r="X868" i="15"/>
  <c r="Y868" i="15"/>
  <c r="Z868" i="15"/>
  <c r="AA868" i="15"/>
  <c r="B869" i="15"/>
  <c r="C869" i="15"/>
  <c r="D869" i="15"/>
  <c r="E869" i="15"/>
  <c r="J869" i="15"/>
  <c r="K869" i="15"/>
  <c r="L869" i="15"/>
  <c r="M869" i="15"/>
  <c r="N869" i="15"/>
  <c r="O869" i="15"/>
  <c r="P869" i="15"/>
  <c r="Q869" i="15"/>
  <c r="T869" i="15"/>
  <c r="U869" i="15"/>
  <c r="V869" i="15"/>
  <c r="W869" i="15"/>
  <c r="X869" i="15"/>
  <c r="Y869" i="15"/>
  <c r="Z869" i="15"/>
  <c r="AA869" i="15"/>
  <c r="B870" i="15"/>
  <c r="C870" i="15"/>
  <c r="D870" i="15"/>
  <c r="E870" i="15"/>
  <c r="J870" i="15"/>
  <c r="K870" i="15"/>
  <c r="L870" i="15"/>
  <c r="M870" i="15"/>
  <c r="N870" i="15"/>
  <c r="O870" i="15"/>
  <c r="P870" i="15"/>
  <c r="Q870" i="15"/>
  <c r="T870" i="15"/>
  <c r="U870" i="15"/>
  <c r="V870" i="15"/>
  <c r="W870" i="15"/>
  <c r="X870" i="15"/>
  <c r="Y870" i="15"/>
  <c r="Z870" i="15"/>
  <c r="AA870" i="15"/>
  <c r="B871" i="15"/>
  <c r="C871" i="15"/>
  <c r="D871" i="15"/>
  <c r="E871" i="15"/>
  <c r="J871" i="15"/>
  <c r="K871" i="15"/>
  <c r="L871" i="15"/>
  <c r="M871" i="15"/>
  <c r="N871" i="15"/>
  <c r="O871" i="15"/>
  <c r="P871" i="15"/>
  <c r="Q871" i="15"/>
  <c r="T871" i="15"/>
  <c r="U871" i="15"/>
  <c r="V871" i="15"/>
  <c r="W871" i="15"/>
  <c r="X871" i="15"/>
  <c r="Y871" i="15"/>
  <c r="Z871" i="15"/>
  <c r="AA871" i="15"/>
  <c r="B872" i="15"/>
  <c r="C872" i="15"/>
  <c r="D872" i="15"/>
  <c r="E872" i="15"/>
  <c r="J872" i="15"/>
  <c r="K872" i="15"/>
  <c r="L872" i="15"/>
  <c r="M872" i="15"/>
  <c r="N872" i="15"/>
  <c r="O872" i="15"/>
  <c r="P872" i="15"/>
  <c r="Q872" i="15"/>
  <c r="T872" i="15"/>
  <c r="U872" i="15"/>
  <c r="V872" i="15"/>
  <c r="W872" i="15"/>
  <c r="X872" i="15"/>
  <c r="Y872" i="15"/>
  <c r="Z872" i="15"/>
  <c r="AA872" i="15"/>
  <c r="B873" i="15"/>
  <c r="C873" i="15"/>
  <c r="D873" i="15"/>
  <c r="E873" i="15"/>
  <c r="J873" i="15"/>
  <c r="K873" i="15"/>
  <c r="L873" i="15"/>
  <c r="M873" i="15"/>
  <c r="N873" i="15"/>
  <c r="O873" i="15"/>
  <c r="P873" i="15"/>
  <c r="Q873" i="15"/>
  <c r="T873" i="15"/>
  <c r="U873" i="15"/>
  <c r="V873" i="15"/>
  <c r="W873" i="15"/>
  <c r="X873" i="15"/>
  <c r="Y873" i="15"/>
  <c r="Z873" i="15"/>
  <c r="AA873" i="15"/>
  <c r="B874" i="15"/>
  <c r="C874" i="15"/>
  <c r="D874" i="15"/>
  <c r="E874" i="15"/>
  <c r="J874" i="15"/>
  <c r="K874" i="15"/>
  <c r="L874" i="15"/>
  <c r="M874" i="15"/>
  <c r="N874" i="15"/>
  <c r="O874" i="15"/>
  <c r="P874" i="15"/>
  <c r="Q874" i="15"/>
  <c r="T874" i="15"/>
  <c r="U874" i="15"/>
  <c r="V874" i="15"/>
  <c r="W874" i="15"/>
  <c r="X874" i="15"/>
  <c r="Y874" i="15"/>
  <c r="Z874" i="15"/>
  <c r="AA874" i="15"/>
  <c r="B875" i="15"/>
  <c r="C875" i="15"/>
  <c r="D875" i="15"/>
  <c r="E875" i="15"/>
  <c r="J875" i="15"/>
  <c r="K875" i="15"/>
  <c r="L875" i="15"/>
  <c r="M875" i="15"/>
  <c r="N875" i="15"/>
  <c r="O875" i="15"/>
  <c r="P875" i="15"/>
  <c r="Q875" i="15"/>
  <c r="T875" i="15"/>
  <c r="U875" i="15"/>
  <c r="V875" i="15"/>
  <c r="W875" i="15"/>
  <c r="X875" i="15"/>
  <c r="Y875" i="15"/>
  <c r="Z875" i="15"/>
  <c r="AA875" i="15"/>
  <c r="B876" i="15"/>
  <c r="C876" i="15"/>
  <c r="D876" i="15"/>
  <c r="E876" i="15"/>
  <c r="J876" i="15"/>
  <c r="K876" i="15"/>
  <c r="L876" i="15"/>
  <c r="M876" i="15"/>
  <c r="N876" i="15"/>
  <c r="O876" i="15"/>
  <c r="P876" i="15"/>
  <c r="Q876" i="15"/>
  <c r="T876" i="15"/>
  <c r="U876" i="15"/>
  <c r="V876" i="15"/>
  <c r="W876" i="15"/>
  <c r="X876" i="15"/>
  <c r="Y876" i="15"/>
  <c r="Z876" i="15"/>
  <c r="AA876" i="15"/>
  <c r="B877" i="15"/>
  <c r="C877" i="15"/>
  <c r="D877" i="15"/>
  <c r="E877" i="15"/>
  <c r="J877" i="15"/>
  <c r="K877" i="15"/>
  <c r="L877" i="15"/>
  <c r="M877" i="15"/>
  <c r="N877" i="15"/>
  <c r="O877" i="15"/>
  <c r="P877" i="15"/>
  <c r="Q877" i="15"/>
  <c r="T877" i="15"/>
  <c r="U877" i="15"/>
  <c r="V877" i="15"/>
  <c r="W877" i="15"/>
  <c r="X877" i="15"/>
  <c r="Y877" i="15"/>
  <c r="Z877" i="15"/>
  <c r="AA877" i="15"/>
  <c r="B878" i="15"/>
  <c r="C878" i="15"/>
  <c r="D878" i="15"/>
  <c r="E878" i="15"/>
  <c r="J878" i="15"/>
  <c r="K878" i="15"/>
  <c r="L878" i="15"/>
  <c r="M878" i="15"/>
  <c r="N878" i="15"/>
  <c r="O878" i="15"/>
  <c r="P878" i="15"/>
  <c r="Q878" i="15"/>
  <c r="T878" i="15"/>
  <c r="U878" i="15"/>
  <c r="V878" i="15"/>
  <c r="W878" i="15"/>
  <c r="X878" i="15"/>
  <c r="Y878" i="15"/>
  <c r="Z878" i="15"/>
  <c r="AA878" i="15"/>
  <c r="B879" i="15"/>
  <c r="C879" i="15"/>
  <c r="D879" i="15"/>
  <c r="E879" i="15"/>
  <c r="J879" i="15"/>
  <c r="K879" i="15"/>
  <c r="L879" i="15"/>
  <c r="M879" i="15"/>
  <c r="N879" i="15"/>
  <c r="O879" i="15"/>
  <c r="P879" i="15"/>
  <c r="Q879" i="15"/>
  <c r="T879" i="15"/>
  <c r="U879" i="15"/>
  <c r="V879" i="15"/>
  <c r="W879" i="15"/>
  <c r="X879" i="15"/>
  <c r="Y879" i="15"/>
  <c r="Z879" i="15"/>
  <c r="AA879" i="15"/>
  <c r="B880" i="15"/>
  <c r="C880" i="15"/>
  <c r="D880" i="15"/>
  <c r="E880" i="15"/>
  <c r="J880" i="15"/>
  <c r="K880" i="15"/>
  <c r="L880" i="15"/>
  <c r="M880" i="15"/>
  <c r="N880" i="15"/>
  <c r="O880" i="15"/>
  <c r="P880" i="15"/>
  <c r="Q880" i="15"/>
  <c r="T880" i="15"/>
  <c r="U880" i="15"/>
  <c r="V880" i="15"/>
  <c r="W880" i="15"/>
  <c r="X880" i="15"/>
  <c r="Y880" i="15"/>
  <c r="Z880" i="15"/>
  <c r="AA880" i="15"/>
  <c r="B881" i="15"/>
  <c r="C881" i="15"/>
  <c r="D881" i="15"/>
  <c r="E881" i="15"/>
  <c r="J881" i="15"/>
  <c r="K881" i="15"/>
  <c r="L881" i="15"/>
  <c r="M881" i="15"/>
  <c r="N881" i="15"/>
  <c r="O881" i="15"/>
  <c r="P881" i="15"/>
  <c r="Q881" i="15"/>
  <c r="T881" i="15"/>
  <c r="U881" i="15"/>
  <c r="V881" i="15"/>
  <c r="W881" i="15"/>
  <c r="X881" i="15"/>
  <c r="Y881" i="15"/>
  <c r="Z881" i="15"/>
  <c r="AA881" i="15"/>
  <c r="B882" i="15"/>
  <c r="C882" i="15"/>
  <c r="D882" i="15"/>
  <c r="E882" i="15"/>
  <c r="J882" i="15"/>
  <c r="K882" i="15"/>
  <c r="L882" i="15"/>
  <c r="M882" i="15"/>
  <c r="N882" i="15"/>
  <c r="O882" i="15"/>
  <c r="P882" i="15"/>
  <c r="Q882" i="15"/>
  <c r="T882" i="15"/>
  <c r="U882" i="15"/>
  <c r="V882" i="15"/>
  <c r="W882" i="15"/>
  <c r="X882" i="15"/>
  <c r="Y882" i="15"/>
  <c r="Z882" i="15"/>
  <c r="AA882" i="15"/>
  <c r="B883" i="15"/>
  <c r="C883" i="15"/>
  <c r="D883" i="15"/>
  <c r="E883" i="15"/>
  <c r="J883" i="15"/>
  <c r="K883" i="15"/>
  <c r="L883" i="15"/>
  <c r="M883" i="15"/>
  <c r="N883" i="15"/>
  <c r="O883" i="15"/>
  <c r="P883" i="15"/>
  <c r="Q883" i="15"/>
  <c r="T883" i="15"/>
  <c r="U883" i="15"/>
  <c r="V883" i="15"/>
  <c r="W883" i="15"/>
  <c r="X883" i="15"/>
  <c r="Y883" i="15"/>
  <c r="Z883" i="15"/>
  <c r="AA883" i="15"/>
  <c r="B884" i="15"/>
  <c r="C884" i="15"/>
  <c r="D884" i="15"/>
  <c r="E884" i="15"/>
  <c r="J884" i="15"/>
  <c r="K884" i="15"/>
  <c r="L884" i="15"/>
  <c r="M884" i="15"/>
  <c r="N884" i="15"/>
  <c r="O884" i="15"/>
  <c r="P884" i="15"/>
  <c r="Q884" i="15"/>
  <c r="T884" i="15"/>
  <c r="U884" i="15"/>
  <c r="V884" i="15"/>
  <c r="W884" i="15"/>
  <c r="X884" i="15"/>
  <c r="Y884" i="15"/>
  <c r="Z884" i="15"/>
  <c r="AA884" i="15"/>
  <c r="B885" i="15"/>
  <c r="C885" i="15"/>
  <c r="D885" i="15"/>
  <c r="E885" i="15"/>
  <c r="J885" i="15"/>
  <c r="K885" i="15"/>
  <c r="L885" i="15"/>
  <c r="M885" i="15"/>
  <c r="N885" i="15"/>
  <c r="O885" i="15"/>
  <c r="P885" i="15"/>
  <c r="Q885" i="15"/>
  <c r="T885" i="15"/>
  <c r="U885" i="15"/>
  <c r="V885" i="15"/>
  <c r="W885" i="15"/>
  <c r="X885" i="15"/>
  <c r="Y885" i="15"/>
  <c r="Z885" i="15"/>
  <c r="AA885" i="15"/>
  <c r="B886" i="15"/>
  <c r="C886" i="15"/>
  <c r="D886" i="15"/>
  <c r="E886" i="15"/>
  <c r="J886" i="15"/>
  <c r="K886" i="15"/>
  <c r="L886" i="15"/>
  <c r="M886" i="15"/>
  <c r="N886" i="15"/>
  <c r="O886" i="15"/>
  <c r="P886" i="15"/>
  <c r="Q886" i="15"/>
  <c r="T886" i="15"/>
  <c r="U886" i="15"/>
  <c r="V886" i="15"/>
  <c r="W886" i="15"/>
  <c r="X886" i="15"/>
  <c r="Y886" i="15"/>
  <c r="Z886" i="15"/>
  <c r="AA886" i="15"/>
  <c r="B887" i="15"/>
  <c r="C887" i="15"/>
  <c r="D887" i="15"/>
  <c r="E887" i="15"/>
  <c r="J887" i="15"/>
  <c r="K887" i="15"/>
  <c r="L887" i="15"/>
  <c r="M887" i="15"/>
  <c r="N887" i="15"/>
  <c r="O887" i="15"/>
  <c r="P887" i="15"/>
  <c r="Q887" i="15"/>
  <c r="T887" i="15"/>
  <c r="U887" i="15"/>
  <c r="V887" i="15"/>
  <c r="W887" i="15"/>
  <c r="X887" i="15"/>
  <c r="Y887" i="15"/>
  <c r="Z887" i="15"/>
  <c r="AA887" i="15"/>
  <c r="B888" i="15"/>
  <c r="C888" i="15"/>
  <c r="D888" i="15"/>
  <c r="E888" i="15"/>
  <c r="J888" i="15"/>
  <c r="K888" i="15"/>
  <c r="L888" i="15"/>
  <c r="M888" i="15"/>
  <c r="N888" i="15"/>
  <c r="O888" i="15"/>
  <c r="P888" i="15"/>
  <c r="Q888" i="15"/>
  <c r="T888" i="15"/>
  <c r="U888" i="15"/>
  <c r="V888" i="15"/>
  <c r="W888" i="15"/>
  <c r="X888" i="15"/>
  <c r="Y888" i="15"/>
  <c r="Z888" i="15"/>
  <c r="AA888" i="15"/>
  <c r="B889" i="15"/>
  <c r="C889" i="15"/>
  <c r="D889" i="15"/>
  <c r="E889" i="15"/>
  <c r="J889" i="15"/>
  <c r="K889" i="15"/>
  <c r="L889" i="15"/>
  <c r="M889" i="15"/>
  <c r="N889" i="15"/>
  <c r="O889" i="15"/>
  <c r="P889" i="15"/>
  <c r="Q889" i="15"/>
  <c r="T889" i="15"/>
  <c r="U889" i="15"/>
  <c r="V889" i="15"/>
  <c r="W889" i="15"/>
  <c r="X889" i="15"/>
  <c r="Y889" i="15"/>
  <c r="Z889" i="15"/>
  <c r="AA889" i="15"/>
  <c r="B890" i="15"/>
  <c r="C890" i="15"/>
  <c r="D890" i="15"/>
  <c r="E890" i="15"/>
  <c r="J890" i="15"/>
  <c r="K890" i="15"/>
  <c r="L890" i="15"/>
  <c r="M890" i="15"/>
  <c r="N890" i="15"/>
  <c r="O890" i="15"/>
  <c r="P890" i="15"/>
  <c r="Q890" i="15"/>
  <c r="T890" i="15"/>
  <c r="U890" i="15"/>
  <c r="V890" i="15"/>
  <c r="W890" i="15"/>
  <c r="X890" i="15"/>
  <c r="Y890" i="15"/>
  <c r="Z890" i="15"/>
  <c r="AA890" i="15"/>
  <c r="B891" i="15"/>
  <c r="C891" i="15"/>
  <c r="D891" i="15"/>
  <c r="E891" i="15"/>
  <c r="J891" i="15"/>
  <c r="K891" i="15"/>
  <c r="L891" i="15"/>
  <c r="M891" i="15"/>
  <c r="N891" i="15"/>
  <c r="O891" i="15"/>
  <c r="P891" i="15"/>
  <c r="Q891" i="15"/>
  <c r="T891" i="15"/>
  <c r="U891" i="15"/>
  <c r="V891" i="15"/>
  <c r="W891" i="15"/>
  <c r="X891" i="15"/>
  <c r="Y891" i="15"/>
  <c r="Z891" i="15"/>
  <c r="AA891" i="15"/>
  <c r="B892" i="15"/>
  <c r="C892" i="15"/>
  <c r="D892" i="15"/>
  <c r="E892" i="15"/>
  <c r="J892" i="15"/>
  <c r="K892" i="15"/>
  <c r="L892" i="15"/>
  <c r="M892" i="15"/>
  <c r="N892" i="15"/>
  <c r="O892" i="15"/>
  <c r="P892" i="15"/>
  <c r="Q892" i="15"/>
  <c r="T892" i="15"/>
  <c r="U892" i="15"/>
  <c r="V892" i="15"/>
  <c r="W892" i="15"/>
  <c r="X892" i="15"/>
  <c r="Y892" i="15"/>
  <c r="Z892" i="15"/>
  <c r="AA892" i="15"/>
  <c r="B893" i="15"/>
  <c r="C893" i="15"/>
  <c r="D893" i="15"/>
  <c r="E893" i="15"/>
  <c r="J893" i="15"/>
  <c r="K893" i="15"/>
  <c r="L893" i="15"/>
  <c r="M893" i="15"/>
  <c r="N893" i="15"/>
  <c r="O893" i="15"/>
  <c r="P893" i="15"/>
  <c r="Q893" i="15"/>
  <c r="T893" i="15"/>
  <c r="U893" i="15"/>
  <c r="V893" i="15"/>
  <c r="W893" i="15"/>
  <c r="X893" i="15"/>
  <c r="Y893" i="15"/>
  <c r="Z893" i="15"/>
  <c r="AA893" i="15"/>
  <c r="B894" i="15"/>
  <c r="C894" i="15"/>
  <c r="D894" i="15"/>
  <c r="E894" i="15"/>
  <c r="J894" i="15"/>
  <c r="K894" i="15"/>
  <c r="L894" i="15"/>
  <c r="M894" i="15"/>
  <c r="N894" i="15"/>
  <c r="O894" i="15"/>
  <c r="P894" i="15"/>
  <c r="Q894" i="15"/>
  <c r="T894" i="15"/>
  <c r="U894" i="15"/>
  <c r="V894" i="15"/>
  <c r="W894" i="15"/>
  <c r="X894" i="15"/>
  <c r="Y894" i="15"/>
  <c r="Z894" i="15"/>
  <c r="AA894" i="15"/>
  <c r="B895" i="15"/>
  <c r="C895" i="15"/>
  <c r="D895" i="15"/>
  <c r="E895" i="15"/>
  <c r="J895" i="15"/>
  <c r="K895" i="15"/>
  <c r="L895" i="15"/>
  <c r="M895" i="15"/>
  <c r="N895" i="15"/>
  <c r="O895" i="15"/>
  <c r="P895" i="15"/>
  <c r="Q895" i="15"/>
  <c r="T895" i="15"/>
  <c r="U895" i="15"/>
  <c r="V895" i="15"/>
  <c r="W895" i="15"/>
  <c r="X895" i="15"/>
  <c r="Y895" i="15"/>
  <c r="Z895" i="15"/>
  <c r="AA895" i="15"/>
  <c r="B896" i="15"/>
  <c r="C896" i="15"/>
  <c r="D896" i="15"/>
  <c r="E896" i="15"/>
  <c r="J896" i="15"/>
  <c r="K896" i="15"/>
  <c r="L896" i="15"/>
  <c r="M896" i="15"/>
  <c r="N896" i="15"/>
  <c r="O896" i="15"/>
  <c r="P896" i="15"/>
  <c r="Q896" i="15"/>
  <c r="T896" i="15"/>
  <c r="U896" i="15"/>
  <c r="V896" i="15"/>
  <c r="W896" i="15"/>
  <c r="X896" i="15"/>
  <c r="Y896" i="15"/>
  <c r="Z896" i="15"/>
  <c r="AA896" i="15"/>
  <c r="B897" i="15"/>
  <c r="C897" i="15"/>
  <c r="D897" i="15"/>
  <c r="E897" i="15"/>
  <c r="J897" i="15"/>
  <c r="K897" i="15"/>
  <c r="L897" i="15"/>
  <c r="M897" i="15"/>
  <c r="N897" i="15"/>
  <c r="O897" i="15"/>
  <c r="P897" i="15"/>
  <c r="Q897" i="15"/>
  <c r="T897" i="15"/>
  <c r="U897" i="15"/>
  <c r="V897" i="15"/>
  <c r="W897" i="15"/>
  <c r="X897" i="15"/>
  <c r="Y897" i="15"/>
  <c r="Z897" i="15"/>
  <c r="AA897" i="15"/>
  <c r="B898" i="15"/>
  <c r="C898" i="15"/>
  <c r="D898" i="15"/>
  <c r="E898" i="15"/>
  <c r="J898" i="15"/>
  <c r="K898" i="15"/>
  <c r="L898" i="15"/>
  <c r="M898" i="15"/>
  <c r="N898" i="15"/>
  <c r="O898" i="15"/>
  <c r="P898" i="15"/>
  <c r="Q898" i="15"/>
  <c r="T898" i="15"/>
  <c r="U898" i="15"/>
  <c r="V898" i="15"/>
  <c r="W898" i="15"/>
  <c r="X898" i="15"/>
  <c r="Y898" i="15"/>
  <c r="Z898" i="15"/>
  <c r="AA898" i="15"/>
  <c r="B899" i="15"/>
  <c r="C899" i="15"/>
  <c r="D899" i="15"/>
  <c r="E899" i="15"/>
  <c r="J899" i="15"/>
  <c r="K899" i="15"/>
  <c r="L899" i="15"/>
  <c r="M899" i="15"/>
  <c r="N899" i="15"/>
  <c r="O899" i="15"/>
  <c r="P899" i="15"/>
  <c r="Q899" i="15"/>
  <c r="T899" i="15"/>
  <c r="U899" i="15"/>
  <c r="V899" i="15"/>
  <c r="W899" i="15"/>
  <c r="X899" i="15"/>
  <c r="Y899" i="15"/>
  <c r="Z899" i="15"/>
  <c r="AA899" i="15"/>
  <c r="B900" i="15"/>
  <c r="C900" i="15"/>
  <c r="D900" i="15"/>
  <c r="E900" i="15"/>
  <c r="J900" i="15"/>
  <c r="K900" i="15"/>
  <c r="L900" i="15"/>
  <c r="M900" i="15"/>
  <c r="N900" i="15"/>
  <c r="O900" i="15"/>
  <c r="P900" i="15"/>
  <c r="Q900" i="15"/>
  <c r="T900" i="15"/>
  <c r="U900" i="15"/>
  <c r="V900" i="15"/>
  <c r="W900" i="15"/>
  <c r="X900" i="15"/>
  <c r="Y900" i="15"/>
  <c r="Z900" i="15"/>
  <c r="AA900" i="15"/>
  <c r="B901" i="15"/>
  <c r="C901" i="15"/>
  <c r="D901" i="15"/>
  <c r="E901" i="15"/>
  <c r="J901" i="15"/>
  <c r="K901" i="15"/>
  <c r="L901" i="15"/>
  <c r="M901" i="15"/>
  <c r="N901" i="15"/>
  <c r="O901" i="15"/>
  <c r="P901" i="15"/>
  <c r="Q901" i="15"/>
  <c r="T901" i="15"/>
  <c r="U901" i="15"/>
  <c r="V901" i="15"/>
  <c r="W901" i="15"/>
  <c r="X901" i="15"/>
  <c r="Y901" i="15"/>
  <c r="Z901" i="15"/>
  <c r="AA901" i="15"/>
  <c r="B902" i="15"/>
  <c r="C902" i="15"/>
  <c r="D902" i="15"/>
  <c r="E902" i="15"/>
  <c r="J902" i="15"/>
  <c r="K902" i="15"/>
  <c r="L902" i="15"/>
  <c r="M902" i="15"/>
  <c r="N902" i="15"/>
  <c r="O902" i="15"/>
  <c r="P902" i="15"/>
  <c r="Q902" i="15"/>
  <c r="T902" i="15"/>
  <c r="U902" i="15"/>
  <c r="V902" i="15"/>
  <c r="W902" i="15"/>
  <c r="X902" i="15"/>
  <c r="Y902" i="15"/>
  <c r="Z902" i="15"/>
  <c r="AA902" i="15"/>
  <c r="B903" i="15"/>
  <c r="C903" i="15"/>
  <c r="D903" i="15"/>
  <c r="E903" i="15"/>
  <c r="J903" i="15"/>
  <c r="K903" i="15"/>
  <c r="L903" i="15"/>
  <c r="M903" i="15"/>
  <c r="N903" i="15"/>
  <c r="O903" i="15"/>
  <c r="P903" i="15"/>
  <c r="Q903" i="15"/>
  <c r="T903" i="15"/>
  <c r="U903" i="15"/>
  <c r="V903" i="15"/>
  <c r="W903" i="15"/>
  <c r="X903" i="15"/>
  <c r="Y903" i="15"/>
  <c r="Z903" i="15"/>
  <c r="AA903" i="15"/>
  <c r="B904" i="15"/>
  <c r="C904" i="15"/>
  <c r="D904" i="15"/>
  <c r="E904" i="15"/>
  <c r="J904" i="15"/>
  <c r="K904" i="15"/>
  <c r="L904" i="15"/>
  <c r="M904" i="15"/>
  <c r="N904" i="15"/>
  <c r="O904" i="15"/>
  <c r="P904" i="15"/>
  <c r="Q904" i="15"/>
  <c r="T904" i="15"/>
  <c r="U904" i="15"/>
  <c r="V904" i="15"/>
  <c r="W904" i="15"/>
  <c r="X904" i="15"/>
  <c r="Y904" i="15"/>
  <c r="Z904" i="15"/>
  <c r="AA904" i="15"/>
  <c r="B905" i="15"/>
  <c r="C905" i="15"/>
  <c r="D905" i="15"/>
  <c r="E905" i="15"/>
  <c r="J905" i="15"/>
  <c r="K905" i="15"/>
  <c r="L905" i="15"/>
  <c r="M905" i="15"/>
  <c r="N905" i="15"/>
  <c r="O905" i="15"/>
  <c r="P905" i="15"/>
  <c r="Q905" i="15"/>
  <c r="T905" i="15"/>
  <c r="U905" i="15"/>
  <c r="V905" i="15"/>
  <c r="W905" i="15"/>
  <c r="X905" i="15"/>
  <c r="Y905" i="15"/>
  <c r="Z905" i="15"/>
  <c r="AA905" i="15"/>
  <c r="B906" i="15"/>
  <c r="C906" i="15"/>
  <c r="D906" i="15"/>
  <c r="E906" i="15"/>
  <c r="J906" i="15"/>
  <c r="K906" i="15"/>
  <c r="L906" i="15"/>
  <c r="M906" i="15"/>
  <c r="N906" i="15"/>
  <c r="O906" i="15"/>
  <c r="P906" i="15"/>
  <c r="Q906" i="15"/>
  <c r="T906" i="15"/>
  <c r="U906" i="15"/>
  <c r="V906" i="15"/>
  <c r="W906" i="15"/>
  <c r="X906" i="15"/>
  <c r="Y906" i="15"/>
  <c r="Z906" i="15"/>
  <c r="AA906" i="15"/>
  <c r="B907" i="15"/>
  <c r="C907" i="15"/>
  <c r="D907" i="15"/>
  <c r="E907" i="15"/>
  <c r="J907" i="15"/>
  <c r="K907" i="15"/>
  <c r="L907" i="15"/>
  <c r="M907" i="15"/>
  <c r="N907" i="15"/>
  <c r="O907" i="15"/>
  <c r="P907" i="15"/>
  <c r="Q907" i="15"/>
  <c r="T907" i="15"/>
  <c r="U907" i="15"/>
  <c r="V907" i="15"/>
  <c r="W907" i="15"/>
  <c r="X907" i="15"/>
  <c r="Y907" i="15"/>
  <c r="Z907" i="15"/>
  <c r="AA907" i="15"/>
  <c r="B908" i="15"/>
  <c r="C908" i="15"/>
  <c r="D908" i="15"/>
  <c r="E908" i="15"/>
  <c r="J908" i="15"/>
  <c r="K908" i="15"/>
  <c r="L908" i="15"/>
  <c r="M908" i="15"/>
  <c r="N908" i="15"/>
  <c r="O908" i="15"/>
  <c r="P908" i="15"/>
  <c r="Q908" i="15"/>
  <c r="T908" i="15"/>
  <c r="U908" i="15"/>
  <c r="V908" i="15"/>
  <c r="W908" i="15"/>
  <c r="X908" i="15"/>
  <c r="Y908" i="15"/>
  <c r="Z908" i="15"/>
  <c r="AA908" i="15"/>
  <c r="B909" i="15"/>
  <c r="C909" i="15"/>
  <c r="D909" i="15"/>
  <c r="E909" i="15"/>
  <c r="J909" i="15"/>
  <c r="K909" i="15"/>
  <c r="L909" i="15"/>
  <c r="M909" i="15"/>
  <c r="N909" i="15"/>
  <c r="O909" i="15"/>
  <c r="P909" i="15"/>
  <c r="Q909" i="15"/>
  <c r="T909" i="15"/>
  <c r="U909" i="15"/>
  <c r="V909" i="15"/>
  <c r="W909" i="15"/>
  <c r="X909" i="15"/>
  <c r="Y909" i="15"/>
  <c r="Z909" i="15"/>
  <c r="AA909" i="15"/>
  <c r="B910" i="15"/>
  <c r="C910" i="15"/>
  <c r="D910" i="15"/>
  <c r="E910" i="15"/>
  <c r="J910" i="15"/>
  <c r="K910" i="15"/>
  <c r="L910" i="15"/>
  <c r="M910" i="15"/>
  <c r="N910" i="15"/>
  <c r="O910" i="15"/>
  <c r="P910" i="15"/>
  <c r="Q910" i="15"/>
  <c r="T910" i="15"/>
  <c r="U910" i="15"/>
  <c r="V910" i="15"/>
  <c r="W910" i="15"/>
  <c r="X910" i="15"/>
  <c r="Y910" i="15"/>
  <c r="Z910" i="15"/>
  <c r="AA910" i="15"/>
  <c r="B911" i="15"/>
  <c r="C911" i="15"/>
  <c r="D911" i="15"/>
  <c r="E911" i="15"/>
  <c r="J911" i="15"/>
  <c r="K911" i="15"/>
  <c r="L911" i="15"/>
  <c r="M911" i="15"/>
  <c r="N911" i="15"/>
  <c r="O911" i="15"/>
  <c r="P911" i="15"/>
  <c r="Q911" i="15"/>
  <c r="T911" i="15"/>
  <c r="U911" i="15"/>
  <c r="V911" i="15"/>
  <c r="W911" i="15"/>
  <c r="X911" i="15"/>
  <c r="Y911" i="15"/>
  <c r="Z911" i="15"/>
  <c r="AA911" i="15"/>
  <c r="B912" i="15"/>
  <c r="C912" i="15"/>
  <c r="D912" i="15"/>
  <c r="E912" i="15"/>
  <c r="J912" i="15"/>
  <c r="K912" i="15"/>
  <c r="L912" i="15"/>
  <c r="M912" i="15"/>
  <c r="N912" i="15"/>
  <c r="O912" i="15"/>
  <c r="P912" i="15"/>
  <c r="Q912" i="15"/>
  <c r="T912" i="15"/>
  <c r="U912" i="15"/>
  <c r="V912" i="15"/>
  <c r="W912" i="15"/>
  <c r="X912" i="15"/>
  <c r="Y912" i="15"/>
  <c r="Z912" i="15"/>
  <c r="AA912" i="15"/>
  <c r="B913" i="15"/>
  <c r="C913" i="15"/>
  <c r="D913" i="15"/>
  <c r="E913" i="15"/>
  <c r="J913" i="15"/>
  <c r="K913" i="15"/>
  <c r="L913" i="15"/>
  <c r="M913" i="15"/>
  <c r="N913" i="15"/>
  <c r="O913" i="15"/>
  <c r="P913" i="15"/>
  <c r="Q913" i="15"/>
  <c r="T913" i="15"/>
  <c r="U913" i="15"/>
  <c r="V913" i="15"/>
  <c r="W913" i="15"/>
  <c r="X913" i="15"/>
  <c r="Y913" i="15"/>
  <c r="Z913" i="15"/>
  <c r="AA913" i="15"/>
  <c r="B914" i="15"/>
  <c r="C914" i="15"/>
  <c r="D914" i="15"/>
  <c r="E914" i="15"/>
  <c r="J914" i="15"/>
  <c r="K914" i="15"/>
  <c r="L914" i="15"/>
  <c r="M914" i="15"/>
  <c r="N914" i="15"/>
  <c r="O914" i="15"/>
  <c r="P914" i="15"/>
  <c r="Q914" i="15"/>
  <c r="T914" i="15"/>
  <c r="U914" i="15"/>
  <c r="V914" i="15"/>
  <c r="W914" i="15"/>
  <c r="X914" i="15"/>
  <c r="Y914" i="15"/>
  <c r="Z914" i="15"/>
  <c r="AA914" i="15"/>
  <c r="B915" i="15"/>
  <c r="C915" i="15"/>
  <c r="D915" i="15"/>
  <c r="E915" i="15"/>
  <c r="J915" i="15"/>
  <c r="K915" i="15"/>
  <c r="L915" i="15"/>
  <c r="M915" i="15"/>
  <c r="N915" i="15"/>
  <c r="O915" i="15"/>
  <c r="P915" i="15"/>
  <c r="Q915" i="15"/>
  <c r="T915" i="15"/>
  <c r="U915" i="15"/>
  <c r="V915" i="15"/>
  <c r="W915" i="15"/>
  <c r="X915" i="15"/>
  <c r="Y915" i="15"/>
  <c r="Z915" i="15"/>
  <c r="AA915" i="15"/>
  <c r="B916" i="15"/>
  <c r="C916" i="15"/>
  <c r="D916" i="15"/>
  <c r="E916" i="15"/>
  <c r="J916" i="15"/>
  <c r="K916" i="15"/>
  <c r="L916" i="15"/>
  <c r="M916" i="15"/>
  <c r="N916" i="15"/>
  <c r="O916" i="15"/>
  <c r="P916" i="15"/>
  <c r="Q916" i="15"/>
  <c r="T916" i="15"/>
  <c r="U916" i="15"/>
  <c r="V916" i="15"/>
  <c r="W916" i="15"/>
  <c r="X916" i="15"/>
  <c r="Y916" i="15"/>
  <c r="Z916" i="15"/>
  <c r="AA916" i="15"/>
  <c r="B917" i="15"/>
  <c r="C917" i="15"/>
  <c r="D917" i="15"/>
  <c r="E917" i="15"/>
  <c r="J917" i="15"/>
  <c r="K917" i="15"/>
  <c r="L917" i="15"/>
  <c r="M917" i="15"/>
  <c r="N917" i="15"/>
  <c r="O917" i="15"/>
  <c r="P917" i="15"/>
  <c r="Q917" i="15"/>
  <c r="T917" i="15"/>
  <c r="U917" i="15"/>
  <c r="V917" i="15"/>
  <c r="W917" i="15"/>
  <c r="X917" i="15"/>
  <c r="Y917" i="15"/>
  <c r="Z917" i="15"/>
  <c r="AA917" i="15"/>
  <c r="B918" i="15"/>
  <c r="C918" i="15"/>
  <c r="D918" i="15"/>
  <c r="E918" i="15"/>
  <c r="J918" i="15"/>
  <c r="K918" i="15"/>
  <c r="L918" i="15"/>
  <c r="M918" i="15"/>
  <c r="N918" i="15"/>
  <c r="O918" i="15"/>
  <c r="P918" i="15"/>
  <c r="Q918" i="15"/>
  <c r="T918" i="15"/>
  <c r="U918" i="15"/>
  <c r="V918" i="15"/>
  <c r="W918" i="15"/>
  <c r="X918" i="15"/>
  <c r="Y918" i="15"/>
  <c r="Z918" i="15"/>
  <c r="AA918" i="15"/>
  <c r="B919" i="15"/>
  <c r="C919" i="15"/>
  <c r="D919" i="15"/>
  <c r="E919" i="15"/>
  <c r="J919" i="15"/>
  <c r="K919" i="15"/>
  <c r="L919" i="15"/>
  <c r="M919" i="15"/>
  <c r="N919" i="15"/>
  <c r="O919" i="15"/>
  <c r="P919" i="15"/>
  <c r="Q919" i="15"/>
  <c r="T919" i="15"/>
  <c r="U919" i="15"/>
  <c r="V919" i="15"/>
  <c r="W919" i="15"/>
  <c r="X919" i="15"/>
  <c r="Y919" i="15"/>
  <c r="Z919" i="15"/>
  <c r="AA919" i="15"/>
  <c r="B920" i="15"/>
  <c r="C920" i="15"/>
  <c r="D920" i="15"/>
  <c r="E920" i="15"/>
  <c r="J920" i="15"/>
  <c r="K920" i="15"/>
  <c r="L920" i="15"/>
  <c r="M920" i="15"/>
  <c r="N920" i="15"/>
  <c r="O920" i="15"/>
  <c r="P920" i="15"/>
  <c r="Q920" i="15"/>
  <c r="T920" i="15"/>
  <c r="U920" i="15"/>
  <c r="V920" i="15"/>
  <c r="W920" i="15"/>
  <c r="X920" i="15"/>
  <c r="Y920" i="15"/>
  <c r="Z920" i="15"/>
  <c r="AA920" i="15"/>
  <c r="B921" i="15"/>
  <c r="C921" i="15"/>
  <c r="D921" i="15"/>
  <c r="E921" i="15"/>
  <c r="J921" i="15"/>
  <c r="K921" i="15"/>
  <c r="L921" i="15"/>
  <c r="M921" i="15"/>
  <c r="N921" i="15"/>
  <c r="O921" i="15"/>
  <c r="P921" i="15"/>
  <c r="Q921" i="15"/>
  <c r="T921" i="15"/>
  <c r="U921" i="15"/>
  <c r="V921" i="15"/>
  <c r="W921" i="15"/>
  <c r="X921" i="15"/>
  <c r="Y921" i="15"/>
  <c r="Z921" i="15"/>
  <c r="AA921" i="15"/>
  <c r="B922" i="15"/>
  <c r="C922" i="15"/>
  <c r="D922" i="15"/>
  <c r="E922" i="15"/>
  <c r="J922" i="15"/>
  <c r="K922" i="15"/>
  <c r="L922" i="15"/>
  <c r="M922" i="15"/>
  <c r="N922" i="15"/>
  <c r="O922" i="15"/>
  <c r="P922" i="15"/>
  <c r="Q922" i="15"/>
  <c r="T922" i="15"/>
  <c r="U922" i="15"/>
  <c r="V922" i="15"/>
  <c r="W922" i="15"/>
  <c r="X922" i="15"/>
  <c r="Y922" i="15"/>
  <c r="Z922" i="15"/>
  <c r="AA922" i="15"/>
  <c r="B923" i="15"/>
  <c r="C923" i="15"/>
  <c r="D923" i="15"/>
  <c r="E923" i="15"/>
  <c r="J923" i="15"/>
  <c r="K923" i="15"/>
  <c r="L923" i="15"/>
  <c r="M923" i="15"/>
  <c r="N923" i="15"/>
  <c r="O923" i="15"/>
  <c r="P923" i="15"/>
  <c r="Q923" i="15"/>
  <c r="T923" i="15"/>
  <c r="U923" i="15"/>
  <c r="V923" i="15"/>
  <c r="W923" i="15"/>
  <c r="X923" i="15"/>
  <c r="Y923" i="15"/>
  <c r="Z923" i="15"/>
  <c r="AA923" i="15"/>
  <c r="B924" i="15"/>
  <c r="C924" i="15"/>
  <c r="D924" i="15"/>
  <c r="E924" i="15"/>
  <c r="J924" i="15"/>
  <c r="K924" i="15"/>
  <c r="L924" i="15"/>
  <c r="M924" i="15"/>
  <c r="N924" i="15"/>
  <c r="O924" i="15"/>
  <c r="P924" i="15"/>
  <c r="Q924" i="15"/>
  <c r="T924" i="15"/>
  <c r="U924" i="15"/>
  <c r="V924" i="15"/>
  <c r="W924" i="15"/>
  <c r="X924" i="15"/>
  <c r="Y924" i="15"/>
  <c r="Z924" i="15"/>
  <c r="AA924" i="15"/>
  <c r="B925" i="15"/>
  <c r="C925" i="15"/>
  <c r="D925" i="15"/>
  <c r="E925" i="15"/>
  <c r="J925" i="15"/>
  <c r="K925" i="15"/>
  <c r="L925" i="15"/>
  <c r="M925" i="15"/>
  <c r="N925" i="15"/>
  <c r="O925" i="15"/>
  <c r="P925" i="15"/>
  <c r="Q925" i="15"/>
  <c r="T925" i="15"/>
  <c r="U925" i="15"/>
  <c r="V925" i="15"/>
  <c r="W925" i="15"/>
  <c r="X925" i="15"/>
  <c r="Y925" i="15"/>
  <c r="Z925" i="15"/>
  <c r="AA925" i="15"/>
  <c r="B926" i="15"/>
  <c r="C926" i="15"/>
  <c r="D926" i="15"/>
  <c r="E926" i="15"/>
  <c r="J926" i="15"/>
  <c r="K926" i="15"/>
  <c r="L926" i="15"/>
  <c r="M926" i="15"/>
  <c r="N926" i="15"/>
  <c r="O926" i="15"/>
  <c r="P926" i="15"/>
  <c r="Q926" i="15"/>
  <c r="T926" i="15"/>
  <c r="U926" i="15"/>
  <c r="V926" i="15"/>
  <c r="W926" i="15"/>
  <c r="X926" i="15"/>
  <c r="Y926" i="15"/>
  <c r="Z926" i="15"/>
  <c r="AA926" i="15"/>
  <c r="B927" i="15"/>
  <c r="C927" i="15"/>
  <c r="D927" i="15"/>
  <c r="E927" i="15"/>
  <c r="J927" i="15"/>
  <c r="K927" i="15"/>
  <c r="L927" i="15"/>
  <c r="M927" i="15"/>
  <c r="N927" i="15"/>
  <c r="O927" i="15"/>
  <c r="P927" i="15"/>
  <c r="Q927" i="15"/>
  <c r="T927" i="15"/>
  <c r="U927" i="15"/>
  <c r="V927" i="15"/>
  <c r="W927" i="15"/>
  <c r="X927" i="15"/>
  <c r="Y927" i="15"/>
  <c r="Z927" i="15"/>
  <c r="AA927" i="15"/>
  <c r="B928" i="15"/>
  <c r="C928" i="15"/>
  <c r="D928" i="15"/>
  <c r="E928" i="15"/>
  <c r="J928" i="15"/>
  <c r="K928" i="15"/>
  <c r="L928" i="15"/>
  <c r="M928" i="15"/>
  <c r="N928" i="15"/>
  <c r="O928" i="15"/>
  <c r="P928" i="15"/>
  <c r="Q928" i="15"/>
  <c r="T928" i="15"/>
  <c r="U928" i="15"/>
  <c r="V928" i="15"/>
  <c r="W928" i="15"/>
  <c r="X928" i="15"/>
  <c r="Y928" i="15"/>
  <c r="Z928" i="15"/>
  <c r="AA928" i="15"/>
  <c r="B929" i="15"/>
  <c r="C929" i="15"/>
  <c r="D929" i="15"/>
  <c r="E929" i="15"/>
  <c r="J929" i="15"/>
  <c r="K929" i="15"/>
  <c r="L929" i="15"/>
  <c r="M929" i="15"/>
  <c r="N929" i="15"/>
  <c r="O929" i="15"/>
  <c r="P929" i="15"/>
  <c r="Q929" i="15"/>
  <c r="T929" i="15"/>
  <c r="U929" i="15"/>
  <c r="V929" i="15"/>
  <c r="W929" i="15"/>
  <c r="X929" i="15"/>
  <c r="Y929" i="15"/>
  <c r="Z929" i="15"/>
  <c r="AA929" i="15"/>
  <c r="B930" i="15"/>
  <c r="C930" i="15"/>
  <c r="D930" i="15"/>
  <c r="E930" i="15"/>
  <c r="J930" i="15"/>
  <c r="K930" i="15"/>
  <c r="L930" i="15"/>
  <c r="M930" i="15"/>
  <c r="N930" i="15"/>
  <c r="O930" i="15"/>
  <c r="P930" i="15"/>
  <c r="Q930" i="15"/>
  <c r="T930" i="15"/>
  <c r="U930" i="15"/>
  <c r="V930" i="15"/>
  <c r="W930" i="15"/>
  <c r="X930" i="15"/>
  <c r="Y930" i="15"/>
  <c r="Z930" i="15"/>
  <c r="AA930" i="15"/>
  <c r="B931" i="15"/>
  <c r="C931" i="15"/>
  <c r="D931" i="15"/>
  <c r="E931" i="15"/>
  <c r="J931" i="15"/>
  <c r="K931" i="15"/>
  <c r="L931" i="15"/>
  <c r="M931" i="15"/>
  <c r="N931" i="15"/>
  <c r="O931" i="15"/>
  <c r="P931" i="15"/>
  <c r="Q931" i="15"/>
  <c r="T931" i="15"/>
  <c r="U931" i="15"/>
  <c r="V931" i="15"/>
  <c r="W931" i="15"/>
  <c r="X931" i="15"/>
  <c r="Y931" i="15"/>
  <c r="Z931" i="15"/>
  <c r="AA931" i="15"/>
  <c r="B932" i="15"/>
  <c r="C932" i="15"/>
  <c r="D932" i="15"/>
  <c r="E932" i="15"/>
  <c r="J932" i="15"/>
  <c r="K932" i="15"/>
  <c r="L932" i="15"/>
  <c r="M932" i="15"/>
  <c r="N932" i="15"/>
  <c r="O932" i="15"/>
  <c r="P932" i="15"/>
  <c r="Q932" i="15"/>
  <c r="T932" i="15"/>
  <c r="U932" i="15"/>
  <c r="V932" i="15"/>
  <c r="W932" i="15"/>
  <c r="X932" i="15"/>
  <c r="Y932" i="15"/>
  <c r="Z932" i="15"/>
  <c r="AA932" i="15"/>
  <c r="B933" i="15"/>
  <c r="C933" i="15"/>
  <c r="D933" i="15"/>
  <c r="E933" i="15"/>
  <c r="J933" i="15"/>
  <c r="K933" i="15"/>
  <c r="L933" i="15"/>
  <c r="M933" i="15"/>
  <c r="N933" i="15"/>
  <c r="O933" i="15"/>
  <c r="P933" i="15"/>
  <c r="Q933" i="15"/>
  <c r="T933" i="15"/>
  <c r="U933" i="15"/>
  <c r="V933" i="15"/>
  <c r="W933" i="15"/>
  <c r="X933" i="15"/>
  <c r="Y933" i="15"/>
  <c r="Z933" i="15"/>
  <c r="AA933" i="15"/>
  <c r="B934" i="15"/>
  <c r="C934" i="15"/>
  <c r="D934" i="15"/>
  <c r="E934" i="15"/>
  <c r="J934" i="15"/>
  <c r="K934" i="15"/>
  <c r="L934" i="15"/>
  <c r="M934" i="15"/>
  <c r="N934" i="15"/>
  <c r="O934" i="15"/>
  <c r="P934" i="15"/>
  <c r="Q934" i="15"/>
  <c r="T934" i="15"/>
  <c r="U934" i="15"/>
  <c r="V934" i="15"/>
  <c r="W934" i="15"/>
  <c r="X934" i="15"/>
  <c r="Y934" i="15"/>
  <c r="Z934" i="15"/>
  <c r="AA934" i="15"/>
  <c r="B935" i="15"/>
  <c r="C935" i="15"/>
  <c r="D935" i="15"/>
  <c r="E935" i="15"/>
  <c r="J935" i="15"/>
  <c r="K935" i="15"/>
  <c r="L935" i="15"/>
  <c r="M935" i="15"/>
  <c r="N935" i="15"/>
  <c r="O935" i="15"/>
  <c r="P935" i="15"/>
  <c r="Q935" i="15"/>
  <c r="T935" i="15"/>
  <c r="U935" i="15"/>
  <c r="V935" i="15"/>
  <c r="W935" i="15"/>
  <c r="X935" i="15"/>
  <c r="Y935" i="15"/>
  <c r="Z935" i="15"/>
  <c r="AA935" i="15"/>
  <c r="B936" i="15"/>
  <c r="C936" i="15"/>
  <c r="D936" i="15"/>
  <c r="E936" i="15"/>
  <c r="J936" i="15"/>
  <c r="K936" i="15"/>
  <c r="L936" i="15"/>
  <c r="M936" i="15"/>
  <c r="N936" i="15"/>
  <c r="O936" i="15"/>
  <c r="P936" i="15"/>
  <c r="Q936" i="15"/>
  <c r="T936" i="15"/>
  <c r="U936" i="15"/>
  <c r="V936" i="15"/>
  <c r="W936" i="15"/>
  <c r="X936" i="15"/>
  <c r="Y936" i="15"/>
  <c r="Z936" i="15"/>
  <c r="AA936" i="15"/>
  <c r="B937" i="15"/>
  <c r="C937" i="15"/>
  <c r="D937" i="15"/>
  <c r="E937" i="15"/>
  <c r="J937" i="15"/>
  <c r="K937" i="15"/>
  <c r="L937" i="15"/>
  <c r="M937" i="15"/>
  <c r="N937" i="15"/>
  <c r="O937" i="15"/>
  <c r="P937" i="15"/>
  <c r="Q937" i="15"/>
  <c r="T937" i="15"/>
  <c r="U937" i="15"/>
  <c r="V937" i="15"/>
  <c r="W937" i="15"/>
  <c r="X937" i="15"/>
  <c r="Y937" i="15"/>
  <c r="Z937" i="15"/>
  <c r="AA937" i="15"/>
  <c r="B938" i="15"/>
  <c r="C938" i="15"/>
  <c r="D938" i="15"/>
  <c r="E938" i="15"/>
  <c r="J938" i="15"/>
  <c r="K938" i="15"/>
  <c r="L938" i="15"/>
  <c r="M938" i="15"/>
  <c r="N938" i="15"/>
  <c r="O938" i="15"/>
  <c r="P938" i="15"/>
  <c r="Q938" i="15"/>
  <c r="T938" i="15"/>
  <c r="U938" i="15"/>
  <c r="V938" i="15"/>
  <c r="W938" i="15"/>
  <c r="X938" i="15"/>
  <c r="Y938" i="15"/>
  <c r="Z938" i="15"/>
  <c r="AA938" i="15"/>
  <c r="B939" i="15"/>
  <c r="C939" i="15"/>
  <c r="D939" i="15"/>
  <c r="E939" i="15"/>
  <c r="J939" i="15"/>
  <c r="K939" i="15"/>
  <c r="L939" i="15"/>
  <c r="M939" i="15"/>
  <c r="N939" i="15"/>
  <c r="O939" i="15"/>
  <c r="P939" i="15"/>
  <c r="Q939" i="15"/>
  <c r="T939" i="15"/>
  <c r="U939" i="15"/>
  <c r="V939" i="15"/>
  <c r="W939" i="15"/>
  <c r="X939" i="15"/>
  <c r="Y939" i="15"/>
  <c r="Z939" i="15"/>
  <c r="AA939" i="15"/>
  <c r="B940" i="15"/>
  <c r="C940" i="15"/>
  <c r="D940" i="15"/>
  <c r="E940" i="15"/>
  <c r="J940" i="15"/>
  <c r="K940" i="15"/>
  <c r="L940" i="15"/>
  <c r="M940" i="15"/>
  <c r="N940" i="15"/>
  <c r="O940" i="15"/>
  <c r="P940" i="15"/>
  <c r="Q940" i="15"/>
  <c r="T940" i="15"/>
  <c r="U940" i="15"/>
  <c r="V940" i="15"/>
  <c r="W940" i="15"/>
  <c r="X940" i="15"/>
  <c r="Y940" i="15"/>
  <c r="Z940" i="15"/>
  <c r="AA940" i="15"/>
  <c r="B941" i="15"/>
  <c r="C941" i="15"/>
  <c r="D941" i="15"/>
  <c r="E941" i="15"/>
  <c r="J941" i="15"/>
  <c r="K941" i="15"/>
  <c r="L941" i="15"/>
  <c r="M941" i="15"/>
  <c r="N941" i="15"/>
  <c r="O941" i="15"/>
  <c r="P941" i="15"/>
  <c r="Q941" i="15"/>
  <c r="T941" i="15"/>
  <c r="U941" i="15"/>
  <c r="V941" i="15"/>
  <c r="W941" i="15"/>
  <c r="X941" i="15"/>
  <c r="Y941" i="15"/>
  <c r="Z941" i="15"/>
  <c r="AA941" i="15"/>
  <c r="B942" i="15"/>
  <c r="C942" i="15"/>
  <c r="D942" i="15"/>
  <c r="E942" i="15"/>
  <c r="J942" i="15"/>
  <c r="K942" i="15"/>
  <c r="L942" i="15"/>
  <c r="M942" i="15"/>
  <c r="N942" i="15"/>
  <c r="O942" i="15"/>
  <c r="P942" i="15"/>
  <c r="Q942" i="15"/>
  <c r="T942" i="15"/>
  <c r="U942" i="15"/>
  <c r="V942" i="15"/>
  <c r="W942" i="15"/>
  <c r="X942" i="15"/>
  <c r="Y942" i="15"/>
  <c r="Z942" i="15"/>
  <c r="AA942" i="15"/>
  <c r="B943" i="15"/>
  <c r="C943" i="15"/>
  <c r="D943" i="15"/>
  <c r="E943" i="15"/>
  <c r="J943" i="15"/>
  <c r="K943" i="15"/>
  <c r="L943" i="15"/>
  <c r="M943" i="15"/>
  <c r="N943" i="15"/>
  <c r="O943" i="15"/>
  <c r="P943" i="15"/>
  <c r="Q943" i="15"/>
  <c r="T943" i="15"/>
  <c r="U943" i="15"/>
  <c r="V943" i="15"/>
  <c r="W943" i="15"/>
  <c r="X943" i="15"/>
  <c r="Y943" i="15"/>
  <c r="Z943" i="15"/>
  <c r="AA943" i="15"/>
  <c r="B944" i="15"/>
  <c r="C944" i="15"/>
  <c r="D944" i="15"/>
  <c r="E944" i="15"/>
  <c r="J944" i="15"/>
  <c r="K944" i="15"/>
  <c r="L944" i="15"/>
  <c r="M944" i="15"/>
  <c r="N944" i="15"/>
  <c r="O944" i="15"/>
  <c r="P944" i="15"/>
  <c r="Q944" i="15"/>
  <c r="T944" i="15"/>
  <c r="U944" i="15"/>
  <c r="V944" i="15"/>
  <c r="W944" i="15"/>
  <c r="X944" i="15"/>
  <c r="Y944" i="15"/>
  <c r="Z944" i="15"/>
  <c r="AA944" i="15"/>
  <c r="B945" i="15"/>
  <c r="C945" i="15"/>
  <c r="D945" i="15"/>
  <c r="E945" i="15"/>
  <c r="J945" i="15"/>
  <c r="K945" i="15"/>
  <c r="L945" i="15"/>
  <c r="M945" i="15"/>
  <c r="N945" i="15"/>
  <c r="O945" i="15"/>
  <c r="P945" i="15"/>
  <c r="Q945" i="15"/>
  <c r="T945" i="15"/>
  <c r="U945" i="15"/>
  <c r="V945" i="15"/>
  <c r="W945" i="15"/>
  <c r="X945" i="15"/>
  <c r="Y945" i="15"/>
  <c r="Z945" i="15"/>
  <c r="AA945" i="15"/>
  <c r="B946" i="15"/>
  <c r="C946" i="15"/>
  <c r="D946" i="15"/>
  <c r="E946" i="15"/>
  <c r="J946" i="15"/>
  <c r="K946" i="15"/>
  <c r="L946" i="15"/>
  <c r="M946" i="15"/>
  <c r="N946" i="15"/>
  <c r="O946" i="15"/>
  <c r="P946" i="15"/>
  <c r="Q946" i="15"/>
  <c r="T946" i="15"/>
  <c r="U946" i="15"/>
  <c r="V946" i="15"/>
  <c r="W946" i="15"/>
  <c r="X946" i="15"/>
  <c r="Y946" i="15"/>
  <c r="Z946" i="15"/>
  <c r="AA946" i="15"/>
  <c r="B947" i="15"/>
  <c r="C947" i="15"/>
  <c r="D947" i="15"/>
  <c r="E947" i="15"/>
  <c r="J947" i="15"/>
  <c r="K947" i="15"/>
  <c r="L947" i="15"/>
  <c r="M947" i="15"/>
  <c r="N947" i="15"/>
  <c r="O947" i="15"/>
  <c r="P947" i="15"/>
  <c r="Q947" i="15"/>
  <c r="T947" i="15"/>
  <c r="U947" i="15"/>
  <c r="V947" i="15"/>
  <c r="W947" i="15"/>
  <c r="X947" i="15"/>
  <c r="Y947" i="15"/>
  <c r="Z947" i="15"/>
  <c r="AA947" i="15"/>
  <c r="B948" i="15"/>
  <c r="C948" i="15"/>
  <c r="D948" i="15"/>
  <c r="E948" i="15"/>
  <c r="J948" i="15"/>
  <c r="K948" i="15"/>
  <c r="L948" i="15"/>
  <c r="M948" i="15"/>
  <c r="N948" i="15"/>
  <c r="O948" i="15"/>
  <c r="P948" i="15"/>
  <c r="Q948" i="15"/>
  <c r="T948" i="15"/>
  <c r="U948" i="15"/>
  <c r="V948" i="15"/>
  <c r="W948" i="15"/>
  <c r="X948" i="15"/>
  <c r="Y948" i="15"/>
  <c r="Z948" i="15"/>
  <c r="AA948" i="15"/>
  <c r="B949" i="15"/>
  <c r="C949" i="15"/>
  <c r="D949" i="15"/>
  <c r="E949" i="15"/>
  <c r="J949" i="15"/>
  <c r="K949" i="15"/>
  <c r="L949" i="15"/>
  <c r="M949" i="15"/>
  <c r="N949" i="15"/>
  <c r="O949" i="15"/>
  <c r="P949" i="15"/>
  <c r="Q949" i="15"/>
  <c r="T949" i="15"/>
  <c r="U949" i="15"/>
  <c r="V949" i="15"/>
  <c r="W949" i="15"/>
  <c r="X949" i="15"/>
  <c r="Y949" i="15"/>
  <c r="Z949" i="15"/>
  <c r="AA949" i="15"/>
  <c r="B950" i="15"/>
  <c r="C950" i="15"/>
  <c r="D950" i="15"/>
  <c r="E950" i="15"/>
  <c r="J950" i="15"/>
  <c r="K950" i="15"/>
  <c r="L950" i="15"/>
  <c r="M950" i="15"/>
  <c r="N950" i="15"/>
  <c r="O950" i="15"/>
  <c r="P950" i="15"/>
  <c r="Q950" i="15"/>
  <c r="T950" i="15"/>
  <c r="U950" i="15"/>
  <c r="V950" i="15"/>
  <c r="W950" i="15"/>
  <c r="X950" i="15"/>
  <c r="Y950" i="15"/>
  <c r="Z950" i="15"/>
  <c r="AA950" i="15"/>
  <c r="B951" i="15"/>
  <c r="C951" i="15"/>
  <c r="D951" i="15"/>
  <c r="E951" i="15"/>
  <c r="J951" i="15"/>
  <c r="K951" i="15"/>
  <c r="L951" i="15"/>
  <c r="M951" i="15"/>
  <c r="N951" i="15"/>
  <c r="O951" i="15"/>
  <c r="P951" i="15"/>
  <c r="Q951" i="15"/>
  <c r="T951" i="15"/>
  <c r="U951" i="15"/>
  <c r="V951" i="15"/>
  <c r="W951" i="15"/>
  <c r="X951" i="15"/>
  <c r="Y951" i="15"/>
  <c r="Z951" i="15"/>
  <c r="AA951" i="15"/>
  <c r="B952" i="15"/>
  <c r="C952" i="15"/>
  <c r="D952" i="15"/>
  <c r="E952" i="15"/>
  <c r="J952" i="15"/>
  <c r="K952" i="15"/>
  <c r="L952" i="15"/>
  <c r="M952" i="15"/>
  <c r="N952" i="15"/>
  <c r="O952" i="15"/>
  <c r="P952" i="15"/>
  <c r="Q952" i="15"/>
  <c r="T952" i="15"/>
  <c r="U952" i="15"/>
  <c r="V952" i="15"/>
  <c r="W952" i="15"/>
  <c r="X952" i="15"/>
  <c r="Y952" i="15"/>
  <c r="Z952" i="15"/>
  <c r="AA952" i="15"/>
  <c r="B953" i="15"/>
  <c r="C953" i="15"/>
  <c r="D953" i="15"/>
  <c r="E953" i="15"/>
  <c r="J953" i="15"/>
  <c r="K953" i="15"/>
  <c r="L953" i="15"/>
  <c r="M953" i="15"/>
  <c r="N953" i="15"/>
  <c r="O953" i="15"/>
  <c r="P953" i="15"/>
  <c r="Q953" i="15"/>
  <c r="T953" i="15"/>
  <c r="U953" i="15"/>
  <c r="V953" i="15"/>
  <c r="W953" i="15"/>
  <c r="X953" i="15"/>
  <c r="Y953" i="15"/>
  <c r="Z953" i="15"/>
  <c r="AA953" i="15"/>
  <c r="B954" i="15"/>
  <c r="C954" i="15"/>
  <c r="D954" i="15"/>
  <c r="E954" i="15"/>
  <c r="J954" i="15"/>
  <c r="K954" i="15"/>
  <c r="L954" i="15"/>
  <c r="M954" i="15"/>
  <c r="N954" i="15"/>
  <c r="O954" i="15"/>
  <c r="P954" i="15"/>
  <c r="Q954" i="15"/>
  <c r="T954" i="15"/>
  <c r="U954" i="15"/>
  <c r="V954" i="15"/>
  <c r="W954" i="15"/>
  <c r="X954" i="15"/>
  <c r="Y954" i="15"/>
  <c r="Z954" i="15"/>
  <c r="AA954" i="15"/>
  <c r="B955" i="15"/>
  <c r="C955" i="15"/>
  <c r="D955" i="15"/>
  <c r="E955" i="15"/>
  <c r="J955" i="15"/>
  <c r="K955" i="15"/>
  <c r="L955" i="15"/>
  <c r="M955" i="15"/>
  <c r="N955" i="15"/>
  <c r="O955" i="15"/>
  <c r="P955" i="15"/>
  <c r="Q955" i="15"/>
  <c r="T955" i="15"/>
  <c r="U955" i="15"/>
  <c r="V955" i="15"/>
  <c r="W955" i="15"/>
  <c r="X955" i="15"/>
  <c r="Y955" i="15"/>
  <c r="Z955" i="15"/>
  <c r="AA955" i="15"/>
  <c r="B956" i="15"/>
  <c r="C956" i="15"/>
  <c r="D956" i="15"/>
  <c r="E956" i="15"/>
  <c r="J956" i="15"/>
  <c r="K956" i="15"/>
  <c r="L956" i="15"/>
  <c r="M956" i="15"/>
  <c r="N956" i="15"/>
  <c r="O956" i="15"/>
  <c r="P956" i="15"/>
  <c r="Q956" i="15"/>
  <c r="T956" i="15"/>
  <c r="U956" i="15"/>
  <c r="V956" i="15"/>
  <c r="W956" i="15"/>
  <c r="X956" i="15"/>
  <c r="Y956" i="15"/>
  <c r="Z956" i="15"/>
  <c r="AA956" i="15"/>
  <c r="B957" i="15"/>
  <c r="C957" i="15"/>
  <c r="D957" i="15"/>
  <c r="E957" i="15"/>
  <c r="J957" i="15"/>
  <c r="K957" i="15"/>
  <c r="L957" i="15"/>
  <c r="M957" i="15"/>
  <c r="N957" i="15"/>
  <c r="O957" i="15"/>
  <c r="P957" i="15"/>
  <c r="Q957" i="15"/>
  <c r="T957" i="15"/>
  <c r="U957" i="15"/>
  <c r="V957" i="15"/>
  <c r="W957" i="15"/>
  <c r="X957" i="15"/>
  <c r="Y957" i="15"/>
  <c r="Z957" i="15"/>
  <c r="AA957" i="15"/>
  <c r="B958" i="15"/>
  <c r="C958" i="15"/>
  <c r="D958" i="15"/>
  <c r="E958" i="15"/>
  <c r="J958" i="15"/>
  <c r="K958" i="15"/>
  <c r="L958" i="15"/>
  <c r="M958" i="15"/>
  <c r="N958" i="15"/>
  <c r="O958" i="15"/>
  <c r="P958" i="15"/>
  <c r="Q958" i="15"/>
  <c r="T958" i="15"/>
  <c r="U958" i="15"/>
  <c r="V958" i="15"/>
  <c r="W958" i="15"/>
  <c r="X958" i="15"/>
  <c r="Y958" i="15"/>
  <c r="Z958" i="15"/>
  <c r="AA958" i="15"/>
  <c r="B959" i="15"/>
  <c r="C959" i="15"/>
  <c r="D959" i="15"/>
  <c r="E959" i="15"/>
  <c r="J959" i="15"/>
  <c r="K959" i="15"/>
  <c r="L959" i="15"/>
  <c r="M959" i="15"/>
  <c r="N959" i="15"/>
  <c r="O959" i="15"/>
  <c r="P959" i="15"/>
  <c r="Q959" i="15"/>
  <c r="T959" i="15"/>
  <c r="U959" i="15"/>
  <c r="V959" i="15"/>
  <c r="W959" i="15"/>
  <c r="X959" i="15"/>
  <c r="Y959" i="15"/>
  <c r="Z959" i="15"/>
  <c r="AA959" i="15"/>
  <c r="B960" i="15"/>
  <c r="C960" i="15"/>
  <c r="D960" i="15"/>
  <c r="E960" i="15"/>
  <c r="J960" i="15"/>
  <c r="K960" i="15"/>
  <c r="L960" i="15"/>
  <c r="M960" i="15"/>
  <c r="N960" i="15"/>
  <c r="O960" i="15"/>
  <c r="P960" i="15"/>
  <c r="Q960" i="15"/>
  <c r="T960" i="15"/>
  <c r="U960" i="15"/>
  <c r="V960" i="15"/>
  <c r="W960" i="15"/>
  <c r="X960" i="15"/>
  <c r="Y960" i="15"/>
  <c r="Z960" i="15"/>
  <c r="AA960" i="15"/>
  <c r="B961" i="15"/>
  <c r="C961" i="15"/>
  <c r="D961" i="15"/>
  <c r="E961" i="15"/>
  <c r="J961" i="15"/>
  <c r="K961" i="15"/>
  <c r="L961" i="15"/>
  <c r="M961" i="15"/>
  <c r="N961" i="15"/>
  <c r="O961" i="15"/>
  <c r="P961" i="15"/>
  <c r="Q961" i="15"/>
  <c r="T961" i="15"/>
  <c r="U961" i="15"/>
  <c r="V961" i="15"/>
  <c r="W961" i="15"/>
  <c r="X961" i="15"/>
  <c r="Y961" i="15"/>
  <c r="Z961" i="15"/>
  <c r="AA961" i="15"/>
  <c r="B962" i="15"/>
  <c r="C962" i="15"/>
  <c r="D962" i="15"/>
  <c r="E962" i="15"/>
  <c r="J962" i="15"/>
  <c r="K962" i="15"/>
  <c r="L962" i="15"/>
  <c r="M962" i="15"/>
  <c r="N962" i="15"/>
  <c r="O962" i="15"/>
  <c r="P962" i="15"/>
  <c r="Q962" i="15"/>
  <c r="T962" i="15"/>
  <c r="U962" i="15"/>
  <c r="V962" i="15"/>
  <c r="W962" i="15"/>
  <c r="X962" i="15"/>
  <c r="Y962" i="15"/>
  <c r="Z962" i="15"/>
  <c r="AA962" i="15"/>
  <c r="B963" i="15"/>
  <c r="C963" i="15"/>
  <c r="D963" i="15"/>
  <c r="E963" i="15"/>
  <c r="J963" i="15"/>
  <c r="K963" i="15"/>
  <c r="L963" i="15"/>
  <c r="M963" i="15"/>
  <c r="N963" i="15"/>
  <c r="O963" i="15"/>
  <c r="P963" i="15"/>
  <c r="Q963" i="15"/>
  <c r="T963" i="15"/>
  <c r="U963" i="15"/>
  <c r="V963" i="15"/>
  <c r="W963" i="15"/>
  <c r="X963" i="15"/>
  <c r="Y963" i="15"/>
  <c r="Z963" i="15"/>
  <c r="AA963" i="15"/>
  <c r="B964" i="15"/>
  <c r="C964" i="15"/>
  <c r="D964" i="15"/>
  <c r="E964" i="15"/>
  <c r="J964" i="15"/>
  <c r="K964" i="15"/>
  <c r="L964" i="15"/>
  <c r="M964" i="15"/>
  <c r="N964" i="15"/>
  <c r="O964" i="15"/>
  <c r="P964" i="15"/>
  <c r="Q964" i="15"/>
  <c r="T964" i="15"/>
  <c r="U964" i="15"/>
  <c r="V964" i="15"/>
  <c r="W964" i="15"/>
  <c r="X964" i="15"/>
  <c r="Y964" i="15"/>
  <c r="Z964" i="15"/>
  <c r="AA964" i="15"/>
  <c r="B965" i="15"/>
  <c r="C965" i="15"/>
  <c r="D965" i="15"/>
  <c r="E965" i="15"/>
  <c r="J965" i="15"/>
  <c r="K965" i="15"/>
  <c r="L965" i="15"/>
  <c r="M965" i="15"/>
  <c r="N965" i="15"/>
  <c r="O965" i="15"/>
  <c r="P965" i="15"/>
  <c r="Q965" i="15"/>
  <c r="T965" i="15"/>
  <c r="U965" i="15"/>
  <c r="V965" i="15"/>
  <c r="W965" i="15"/>
  <c r="X965" i="15"/>
  <c r="Y965" i="15"/>
  <c r="Z965" i="15"/>
  <c r="AA965" i="15"/>
  <c r="B966" i="15"/>
  <c r="C966" i="15"/>
  <c r="D966" i="15"/>
  <c r="E966" i="15"/>
  <c r="J966" i="15"/>
  <c r="K966" i="15"/>
  <c r="L966" i="15"/>
  <c r="M966" i="15"/>
  <c r="N966" i="15"/>
  <c r="O966" i="15"/>
  <c r="P966" i="15"/>
  <c r="Q966" i="15"/>
  <c r="T966" i="15"/>
  <c r="U966" i="15"/>
  <c r="V966" i="15"/>
  <c r="W966" i="15"/>
  <c r="X966" i="15"/>
  <c r="Y966" i="15"/>
  <c r="Z966" i="15"/>
  <c r="AA966" i="15"/>
  <c r="B967" i="15"/>
  <c r="C967" i="15"/>
  <c r="D967" i="15"/>
  <c r="E967" i="15"/>
  <c r="J967" i="15"/>
  <c r="K967" i="15"/>
  <c r="L967" i="15"/>
  <c r="M967" i="15"/>
  <c r="N967" i="15"/>
  <c r="O967" i="15"/>
  <c r="P967" i="15"/>
  <c r="Q967" i="15"/>
  <c r="T967" i="15"/>
  <c r="U967" i="15"/>
  <c r="V967" i="15"/>
  <c r="W967" i="15"/>
  <c r="X967" i="15"/>
  <c r="Y967" i="15"/>
  <c r="Z967" i="15"/>
  <c r="AA967" i="15"/>
  <c r="B968" i="15"/>
  <c r="C968" i="15"/>
  <c r="D968" i="15"/>
  <c r="E968" i="15"/>
  <c r="J968" i="15"/>
  <c r="K968" i="15"/>
  <c r="L968" i="15"/>
  <c r="M968" i="15"/>
  <c r="N968" i="15"/>
  <c r="O968" i="15"/>
  <c r="P968" i="15"/>
  <c r="Q968" i="15"/>
  <c r="T968" i="15"/>
  <c r="U968" i="15"/>
  <c r="V968" i="15"/>
  <c r="W968" i="15"/>
  <c r="X968" i="15"/>
  <c r="Y968" i="15"/>
  <c r="Z968" i="15"/>
  <c r="AA968" i="15"/>
  <c r="B969" i="15"/>
  <c r="C969" i="15"/>
  <c r="D969" i="15"/>
  <c r="E969" i="15"/>
  <c r="J969" i="15"/>
  <c r="K969" i="15"/>
  <c r="L969" i="15"/>
  <c r="M969" i="15"/>
  <c r="N969" i="15"/>
  <c r="O969" i="15"/>
  <c r="P969" i="15"/>
  <c r="Q969" i="15"/>
  <c r="T969" i="15"/>
  <c r="U969" i="15"/>
  <c r="V969" i="15"/>
  <c r="W969" i="15"/>
  <c r="X969" i="15"/>
  <c r="Y969" i="15"/>
  <c r="Z969" i="15"/>
  <c r="AA969" i="15"/>
  <c r="B970" i="15"/>
  <c r="C970" i="15"/>
  <c r="D970" i="15"/>
  <c r="E970" i="15"/>
  <c r="J970" i="15"/>
  <c r="K970" i="15"/>
  <c r="L970" i="15"/>
  <c r="M970" i="15"/>
  <c r="N970" i="15"/>
  <c r="O970" i="15"/>
  <c r="P970" i="15"/>
  <c r="Q970" i="15"/>
  <c r="T970" i="15"/>
  <c r="U970" i="15"/>
  <c r="V970" i="15"/>
  <c r="W970" i="15"/>
  <c r="X970" i="15"/>
  <c r="Y970" i="15"/>
  <c r="Z970" i="15"/>
  <c r="AA970" i="15"/>
  <c r="B971" i="15"/>
  <c r="C971" i="15"/>
  <c r="D971" i="15"/>
  <c r="E971" i="15"/>
  <c r="J971" i="15"/>
  <c r="K971" i="15"/>
  <c r="L971" i="15"/>
  <c r="M971" i="15"/>
  <c r="N971" i="15"/>
  <c r="O971" i="15"/>
  <c r="P971" i="15"/>
  <c r="Q971" i="15"/>
  <c r="T971" i="15"/>
  <c r="U971" i="15"/>
  <c r="V971" i="15"/>
  <c r="W971" i="15"/>
  <c r="X971" i="15"/>
  <c r="Y971" i="15"/>
  <c r="Z971" i="15"/>
  <c r="AA971" i="15"/>
  <c r="B972" i="15"/>
  <c r="C972" i="15"/>
  <c r="D972" i="15"/>
  <c r="E972" i="15"/>
  <c r="J972" i="15"/>
  <c r="K972" i="15"/>
  <c r="L972" i="15"/>
  <c r="M972" i="15"/>
  <c r="N972" i="15"/>
  <c r="O972" i="15"/>
  <c r="P972" i="15"/>
  <c r="Q972" i="15"/>
  <c r="T972" i="15"/>
  <c r="U972" i="15"/>
  <c r="V972" i="15"/>
  <c r="W972" i="15"/>
  <c r="X972" i="15"/>
  <c r="Y972" i="15"/>
  <c r="Z972" i="15"/>
  <c r="AA972" i="15"/>
  <c r="B973" i="15"/>
  <c r="C973" i="15"/>
  <c r="D973" i="15"/>
  <c r="E973" i="15"/>
  <c r="J973" i="15"/>
  <c r="K973" i="15"/>
  <c r="L973" i="15"/>
  <c r="M973" i="15"/>
  <c r="N973" i="15"/>
  <c r="O973" i="15"/>
  <c r="P973" i="15"/>
  <c r="Q973" i="15"/>
  <c r="T973" i="15"/>
  <c r="U973" i="15"/>
  <c r="V973" i="15"/>
  <c r="W973" i="15"/>
  <c r="X973" i="15"/>
  <c r="Y973" i="15"/>
  <c r="Z973" i="15"/>
  <c r="AA973" i="15"/>
  <c r="B974" i="15"/>
  <c r="C974" i="15"/>
  <c r="D974" i="15"/>
  <c r="E974" i="15"/>
  <c r="J974" i="15"/>
  <c r="K974" i="15"/>
  <c r="L974" i="15"/>
  <c r="M974" i="15"/>
  <c r="N974" i="15"/>
  <c r="O974" i="15"/>
  <c r="P974" i="15"/>
  <c r="Q974" i="15"/>
  <c r="T974" i="15"/>
  <c r="U974" i="15"/>
  <c r="V974" i="15"/>
  <c r="W974" i="15"/>
  <c r="X974" i="15"/>
  <c r="Y974" i="15"/>
  <c r="Z974" i="15"/>
  <c r="AA974" i="15"/>
  <c r="B975" i="15"/>
  <c r="C975" i="15"/>
  <c r="D975" i="15"/>
  <c r="E975" i="15"/>
  <c r="J975" i="15"/>
  <c r="K975" i="15"/>
  <c r="L975" i="15"/>
  <c r="M975" i="15"/>
  <c r="N975" i="15"/>
  <c r="O975" i="15"/>
  <c r="P975" i="15"/>
  <c r="Q975" i="15"/>
  <c r="T975" i="15"/>
  <c r="U975" i="15"/>
  <c r="V975" i="15"/>
  <c r="W975" i="15"/>
  <c r="X975" i="15"/>
  <c r="Y975" i="15"/>
  <c r="Z975" i="15"/>
  <c r="AA975" i="15"/>
  <c r="B976" i="15"/>
  <c r="C976" i="15"/>
  <c r="D976" i="15"/>
  <c r="E976" i="15"/>
  <c r="J976" i="15"/>
  <c r="K976" i="15"/>
  <c r="L976" i="15"/>
  <c r="M976" i="15"/>
  <c r="N976" i="15"/>
  <c r="O976" i="15"/>
  <c r="P976" i="15"/>
  <c r="Q976" i="15"/>
  <c r="T976" i="15"/>
  <c r="U976" i="15"/>
  <c r="V976" i="15"/>
  <c r="W976" i="15"/>
  <c r="X976" i="15"/>
  <c r="Y976" i="15"/>
  <c r="Z976" i="15"/>
  <c r="AA976" i="15"/>
  <c r="B977" i="15"/>
  <c r="C977" i="15"/>
  <c r="D977" i="15"/>
  <c r="E977" i="15"/>
  <c r="J977" i="15"/>
  <c r="K977" i="15"/>
  <c r="L977" i="15"/>
  <c r="M977" i="15"/>
  <c r="N977" i="15"/>
  <c r="O977" i="15"/>
  <c r="P977" i="15"/>
  <c r="Q977" i="15"/>
  <c r="T977" i="15"/>
  <c r="U977" i="15"/>
  <c r="V977" i="15"/>
  <c r="W977" i="15"/>
  <c r="X977" i="15"/>
  <c r="Y977" i="15"/>
  <c r="Z977" i="15"/>
  <c r="AA977" i="15"/>
  <c r="B978" i="15"/>
  <c r="C978" i="15"/>
  <c r="D978" i="15"/>
  <c r="E978" i="15"/>
  <c r="J978" i="15"/>
  <c r="K978" i="15"/>
  <c r="L978" i="15"/>
  <c r="M978" i="15"/>
  <c r="N978" i="15"/>
  <c r="O978" i="15"/>
  <c r="P978" i="15"/>
  <c r="Q978" i="15"/>
  <c r="T978" i="15"/>
  <c r="U978" i="15"/>
  <c r="V978" i="15"/>
  <c r="W978" i="15"/>
  <c r="X978" i="15"/>
  <c r="Y978" i="15"/>
  <c r="Z978" i="15"/>
  <c r="AA978" i="15"/>
  <c r="B979" i="15"/>
  <c r="C979" i="15"/>
  <c r="D979" i="15"/>
  <c r="E979" i="15"/>
  <c r="J979" i="15"/>
  <c r="K979" i="15"/>
  <c r="L979" i="15"/>
  <c r="M979" i="15"/>
  <c r="N979" i="15"/>
  <c r="O979" i="15"/>
  <c r="P979" i="15"/>
  <c r="Q979" i="15"/>
  <c r="T979" i="15"/>
  <c r="U979" i="15"/>
  <c r="V979" i="15"/>
  <c r="W979" i="15"/>
  <c r="X979" i="15"/>
  <c r="Y979" i="15"/>
  <c r="Z979" i="15"/>
  <c r="AA979" i="15"/>
  <c r="B980" i="15"/>
  <c r="C980" i="15"/>
  <c r="D980" i="15"/>
  <c r="E980" i="15"/>
  <c r="J980" i="15"/>
  <c r="K980" i="15"/>
  <c r="L980" i="15"/>
  <c r="M980" i="15"/>
  <c r="N980" i="15"/>
  <c r="O980" i="15"/>
  <c r="P980" i="15"/>
  <c r="Q980" i="15"/>
  <c r="T980" i="15"/>
  <c r="U980" i="15"/>
  <c r="V980" i="15"/>
  <c r="W980" i="15"/>
  <c r="X980" i="15"/>
  <c r="Y980" i="15"/>
  <c r="Z980" i="15"/>
  <c r="AA980" i="15"/>
  <c r="B981" i="15"/>
  <c r="C981" i="15"/>
  <c r="D981" i="15"/>
  <c r="E981" i="15"/>
  <c r="J981" i="15"/>
  <c r="K981" i="15"/>
  <c r="L981" i="15"/>
  <c r="M981" i="15"/>
  <c r="N981" i="15"/>
  <c r="O981" i="15"/>
  <c r="P981" i="15"/>
  <c r="Q981" i="15"/>
  <c r="T981" i="15"/>
  <c r="U981" i="15"/>
  <c r="V981" i="15"/>
  <c r="W981" i="15"/>
  <c r="X981" i="15"/>
  <c r="Y981" i="15"/>
  <c r="Z981" i="15"/>
  <c r="AA981" i="15"/>
  <c r="B982" i="15"/>
  <c r="C982" i="15"/>
  <c r="D982" i="15"/>
  <c r="E982" i="15"/>
  <c r="J982" i="15"/>
  <c r="K982" i="15"/>
  <c r="L982" i="15"/>
  <c r="M982" i="15"/>
  <c r="N982" i="15"/>
  <c r="O982" i="15"/>
  <c r="P982" i="15"/>
  <c r="Q982" i="15"/>
  <c r="T982" i="15"/>
  <c r="U982" i="15"/>
  <c r="V982" i="15"/>
  <c r="W982" i="15"/>
  <c r="X982" i="15"/>
  <c r="Y982" i="15"/>
  <c r="Z982" i="15"/>
  <c r="AA982" i="15"/>
  <c r="B983" i="15"/>
  <c r="C983" i="15"/>
  <c r="D983" i="15"/>
  <c r="E983" i="15"/>
  <c r="J983" i="15"/>
  <c r="K983" i="15"/>
  <c r="L983" i="15"/>
  <c r="M983" i="15"/>
  <c r="N983" i="15"/>
  <c r="O983" i="15"/>
  <c r="P983" i="15"/>
  <c r="Q983" i="15"/>
  <c r="T983" i="15"/>
  <c r="U983" i="15"/>
  <c r="V983" i="15"/>
  <c r="W983" i="15"/>
  <c r="X983" i="15"/>
  <c r="Y983" i="15"/>
  <c r="Z983" i="15"/>
  <c r="AA983" i="15"/>
  <c r="B984" i="15"/>
  <c r="C984" i="15"/>
  <c r="D984" i="15"/>
  <c r="E984" i="15"/>
  <c r="J984" i="15"/>
  <c r="K984" i="15"/>
  <c r="L984" i="15"/>
  <c r="M984" i="15"/>
  <c r="N984" i="15"/>
  <c r="O984" i="15"/>
  <c r="P984" i="15"/>
  <c r="Q984" i="15"/>
  <c r="T984" i="15"/>
  <c r="U984" i="15"/>
  <c r="V984" i="15"/>
  <c r="W984" i="15"/>
  <c r="X984" i="15"/>
  <c r="Y984" i="15"/>
  <c r="Z984" i="15"/>
  <c r="AA984" i="15"/>
  <c r="B985" i="15"/>
  <c r="C985" i="15"/>
  <c r="D985" i="15"/>
  <c r="E985" i="15"/>
  <c r="J985" i="15"/>
  <c r="K985" i="15"/>
  <c r="L985" i="15"/>
  <c r="M985" i="15"/>
  <c r="N985" i="15"/>
  <c r="O985" i="15"/>
  <c r="P985" i="15"/>
  <c r="Q985" i="15"/>
  <c r="T985" i="15"/>
  <c r="U985" i="15"/>
  <c r="V985" i="15"/>
  <c r="W985" i="15"/>
  <c r="X985" i="15"/>
  <c r="Y985" i="15"/>
  <c r="Z985" i="15"/>
  <c r="AA985" i="15"/>
  <c r="B986" i="15"/>
  <c r="C986" i="15"/>
  <c r="D986" i="15"/>
  <c r="E986" i="15"/>
  <c r="J986" i="15"/>
  <c r="K986" i="15"/>
  <c r="L986" i="15"/>
  <c r="M986" i="15"/>
  <c r="N986" i="15"/>
  <c r="O986" i="15"/>
  <c r="P986" i="15"/>
  <c r="Q986" i="15"/>
  <c r="T986" i="15"/>
  <c r="U986" i="15"/>
  <c r="V986" i="15"/>
  <c r="W986" i="15"/>
  <c r="X986" i="15"/>
  <c r="Y986" i="15"/>
  <c r="Z986" i="15"/>
  <c r="AA986" i="15"/>
  <c r="B987" i="15"/>
  <c r="C987" i="15"/>
  <c r="D987" i="15"/>
  <c r="E987" i="15"/>
  <c r="J987" i="15"/>
  <c r="K987" i="15"/>
  <c r="L987" i="15"/>
  <c r="M987" i="15"/>
  <c r="N987" i="15"/>
  <c r="O987" i="15"/>
  <c r="P987" i="15"/>
  <c r="Q987" i="15"/>
  <c r="T987" i="15"/>
  <c r="U987" i="15"/>
  <c r="V987" i="15"/>
  <c r="W987" i="15"/>
  <c r="X987" i="15"/>
  <c r="Y987" i="15"/>
  <c r="Z987" i="15"/>
  <c r="AA987" i="15"/>
  <c r="B988" i="15"/>
  <c r="C988" i="15"/>
  <c r="D988" i="15"/>
  <c r="E988" i="15"/>
  <c r="J988" i="15"/>
  <c r="K988" i="15"/>
  <c r="L988" i="15"/>
  <c r="M988" i="15"/>
  <c r="N988" i="15"/>
  <c r="O988" i="15"/>
  <c r="P988" i="15"/>
  <c r="Q988" i="15"/>
  <c r="T988" i="15"/>
  <c r="U988" i="15"/>
  <c r="V988" i="15"/>
  <c r="W988" i="15"/>
  <c r="X988" i="15"/>
  <c r="Y988" i="15"/>
  <c r="Z988" i="15"/>
  <c r="AA988" i="15"/>
  <c r="B989" i="15"/>
  <c r="C989" i="15"/>
  <c r="D989" i="15"/>
  <c r="E989" i="15"/>
  <c r="J989" i="15"/>
  <c r="K989" i="15"/>
  <c r="L989" i="15"/>
  <c r="M989" i="15"/>
  <c r="N989" i="15"/>
  <c r="O989" i="15"/>
  <c r="P989" i="15"/>
  <c r="Q989" i="15"/>
  <c r="T989" i="15"/>
  <c r="U989" i="15"/>
  <c r="V989" i="15"/>
  <c r="W989" i="15"/>
  <c r="X989" i="15"/>
  <c r="Y989" i="15"/>
  <c r="Z989" i="15"/>
  <c r="AA989" i="15"/>
  <c r="B990" i="15"/>
  <c r="C990" i="15"/>
  <c r="D990" i="15"/>
  <c r="E990" i="15"/>
  <c r="J990" i="15"/>
  <c r="K990" i="15"/>
  <c r="L990" i="15"/>
  <c r="M990" i="15"/>
  <c r="N990" i="15"/>
  <c r="O990" i="15"/>
  <c r="P990" i="15"/>
  <c r="Q990" i="15"/>
  <c r="T990" i="15"/>
  <c r="U990" i="15"/>
  <c r="V990" i="15"/>
  <c r="W990" i="15"/>
  <c r="X990" i="15"/>
  <c r="Y990" i="15"/>
  <c r="Z990" i="15"/>
  <c r="AA990" i="15"/>
  <c r="B991" i="15"/>
  <c r="C991" i="15"/>
  <c r="D991" i="15"/>
  <c r="E991" i="15"/>
  <c r="J991" i="15"/>
  <c r="K991" i="15"/>
  <c r="L991" i="15"/>
  <c r="M991" i="15"/>
  <c r="N991" i="15"/>
  <c r="O991" i="15"/>
  <c r="P991" i="15"/>
  <c r="Q991" i="15"/>
  <c r="T991" i="15"/>
  <c r="U991" i="15"/>
  <c r="V991" i="15"/>
  <c r="W991" i="15"/>
  <c r="X991" i="15"/>
  <c r="Y991" i="15"/>
  <c r="Z991" i="15"/>
  <c r="AA991" i="15"/>
  <c r="B992" i="15"/>
  <c r="C992" i="15"/>
  <c r="D992" i="15"/>
  <c r="E992" i="15"/>
  <c r="J992" i="15"/>
  <c r="K992" i="15"/>
  <c r="L992" i="15"/>
  <c r="M992" i="15"/>
  <c r="N992" i="15"/>
  <c r="O992" i="15"/>
  <c r="P992" i="15"/>
  <c r="Q992" i="15"/>
  <c r="T992" i="15"/>
  <c r="U992" i="15"/>
  <c r="V992" i="15"/>
  <c r="W992" i="15"/>
  <c r="X992" i="15"/>
  <c r="Y992" i="15"/>
  <c r="Z992" i="15"/>
  <c r="AA992" i="15"/>
  <c r="B993" i="15"/>
  <c r="C993" i="15"/>
  <c r="D993" i="15"/>
  <c r="E993" i="15"/>
  <c r="J993" i="15"/>
  <c r="K993" i="15"/>
  <c r="L993" i="15"/>
  <c r="M993" i="15"/>
  <c r="N993" i="15"/>
  <c r="O993" i="15"/>
  <c r="P993" i="15"/>
  <c r="Q993" i="15"/>
  <c r="T993" i="15"/>
  <c r="U993" i="15"/>
  <c r="V993" i="15"/>
  <c r="W993" i="15"/>
  <c r="X993" i="15"/>
  <c r="Y993" i="15"/>
  <c r="Z993" i="15"/>
  <c r="AA993" i="15"/>
  <c r="B994" i="15"/>
  <c r="C994" i="15"/>
  <c r="D994" i="15"/>
  <c r="E994" i="15"/>
  <c r="J994" i="15"/>
  <c r="K994" i="15"/>
  <c r="L994" i="15"/>
  <c r="M994" i="15"/>
  <c r="N994" i="15"/>
  <c r="O994" i="15"/>
  <c r="P994" i="15"/>
  <c r="Q994" i="15"/>
  <c r="T994" i="15"/>
  <c r="U994" i="15"/>
  <c r="V994" i="15"/>
  <c r="W994" i="15"/>
  <c r="X994" i="15"/>
  <c r="Y994" i="15"/>
  <c r="Z994" i="15"/>
  <c r="AA994" i="15"/>
  <c r="B995" i="15"/>
  <c r="C995" i="15"/>
  <c r="D995" i="15"/>
  <c r="E995" i="15"/>
  <c r="J995" i="15"/>
  <c r="K995" i="15"/>
  <c r="L995" i="15"/>
  <c r="M995" i="15"/>
  <c r="N995" i="15"/>
  <c r="O995" i="15"/>
  <c r="P995" i="15"/>
  <c r="Q995" i="15"/>
  <c r="T995" i="15"/>
  <c r="U995" i="15"/>
  <c r="V995" i="15"/>
  <c r="W995" i="15"/>
  <c r="X995" i="15"/>
  <c r="Y995" i="15"/>
  <c r="Z995" i="15"/>
  <c r="AA995" i="15"/>
  <c r="B996" i="15"/>
  <c r="C996" i="15"/>
  <c r="D996" i="15"/>
  <c r="E996" i="15"/>
  <c r="J996" i="15"/>
  <c r="K996" i="15"/>
  <c r="L996" i="15"/>
  <c r="M996" i="15"/>
  <c r="N996" i="15"/>
  <c r="O996" i="15"/>
  <c r="P996" i="15"/>
  <c r="Q996" i="15"/>
  <c r="T996" i="15"/>
  <c r="U996" i="15"/>
  <c r="V996" i="15"/>
  <c r="W996" i="15"/>
  <c r="X996" i="15"/>
  <c r="Y996" i="15"/>
  <c r="Z996" i="15"/>
  <c r="AA996" i="15"/>
  <c r="B997" i="15"/>
  <c r="C997" i="15"/>
  <c r="D997" i="15"/>
  <c r="E997" i="15"/>
  <c r="J997" i="15"/>
  <c r="K997" i="15"/>
  <c r="L997" i="15"/>
  <c r="M997" i="15"/>
  <c r="N997" i="15"/>
  <c r="O997" i="15"/>
  <c r="P997" i="15"/>
  <c r="Q997" i="15"/>
  <c r="T997" i="15"/>
  <c r="U997" i="15"/>
  <c r="V997" i="15"/>
  <c r="W997" i="15"/>
  <c r="X997" i="15"/>
  <c r="Y997" i="15"/>
  <c r="Z997" i="15"/>
  <c r="AA997" i="15"/>
  <c r="B998" i="15"/>
  <c r="C998" i="15"/>
  <c r="D998" i="15"/>
  <c r="E998" i="15"/>
  <c r="J998" i="15"/>
  <c r="K998" i="15"/>
  <c r="L998" i="15"/>
  <c r="M998" i="15"/>
  <c r="N998" i="15"/>
  <c r="O998" i="15"/>
  <c r="P998" i="15"/>
  <c r="Q998" i="15"/>
  <c r="T998" i="15"/>
  <c r="U998" i="15"/>
  <c r="V998" i="15"/>
  <c r="W998" i="15"/>
  <c r="X998" i="15"/>
  <c r="Y998" i="15"/>
  <c r="Z998" i="15"/>
  <c r="AA998" i="15"/>
  <c r="B999" i="15"/>
  <c r="C999" i="15"/>
  <c r="D999" i="15"/>
  <c r="E999" i="15"/>
  <c r="J999" i="15"/>
  <c r="K999" i="15"/>
  <c r="L999" i="15"/>
  <c r="M999" i="15"/>
  <c r="N999" i="15"/>
  <c r="O999" i="15"/>
  <c r="P999" i="15"/>
  <c r="Q999" i="15"/>
  <c r="T999" i="15"/>
  <c r="U999" i="15"/>
  <c r="V999" i="15"/>
  <c r="W999" i="15"/>
  <c r="X999" i="15"/>
  <c r="Y999" i="15"/>
  <c r="Z999" i="15"/>
  <c r="AA999" i="15"/>
  <c r="B1000" i="15"/>
  <c r="C1000" i="15"/>
  <c r="D1000" i="15"/>
  <c r="E1000" i="15"/>
  <c r="J1000" i="15"/>
  <c r="K1000" i="15"/>
  <c r="L1000" i="15"/>
  <c r="M1000" i="15"/>
  <c r="N1000" i="15"/>
  <c r="O1000" i="15"/>
  <c r="P1000" i="15"/>
  <c r="Q1000" i="15"/>
  <c r="T1000" i="15"/>
  <c r="U1000" i="15"/>
  <c r="V1000" i="15"/>
  <c r="W1000" i="15"/>
  <c r="X1000" i="15"/>
  <c r="Y1000" i="15"/>
  <c r="Z1000" i="15"/>
  <c r="AA1000" i="15"/>
  <c r="B1001" i="15"/>
  <c r="C1001" i="15"/>
  <c r="D1001" i="15"/>
  <c r="E1001" i="15"/>
  <c r="J1001" i="15"/>
  <c r="K1001" i="15"/>
  <c r="L1001" i="15"/>
  <c r="M1001" i="15"/>
  <c r="N1001" i="15"/>
  <c r="O1001" i="15"/>
  <c r="P1001" i="15"/>
  <c r="Q1001" i="15"/>
  <c r="T1001" i="15"/>
  <c r="U1001" i="15"/>
  <c r="V1001" i="15"/>
  <c r="W1001" i="15"/>
  <c r="X1001" i="15"/>
  <c r="Y1001" i="15"/>
  <c r="Z1001" i="15"/>
  <c r="AA1001" i="15"/>
  <c r="B1002" i="15"/>
  <c r="C1002" i="15"/>
  <c r="D1002" i="15"/>
  <c r="E1002" i="15"/>
  <c r="J1002" i="15"/>
  <c r="K1002" i="15"/>
  <c r="L1002" i="15"/>
  <c r="M1002" i="15"/>
  <c r="N1002" i="15"/>
  <c r="O1002" i="15"/>
  <c r="P1002" i="15"/>
  <c r="Q1002" i="15"/>
  <c r="T1002" i="15"/>
  <c r="U1002" i="15"/>
  <c r="V1002" i="15"/>
  <c r="W1002" i="15"/>
  <c r="X1002" i="15"/>
  <c r="Y1002" i="15"/>
  <c r="Z1002" i="15"/>
  <c r="AA1002" i="15"/>
  <c r="B1003" i="15"/>
  <c r="C1003" i="15"/>
  <c r="D1003" i="15"/>
  <c r="E1003" i="15"/>
  <c r="J1003" i="15"/>
  <c r="K1003" i="15"/>
  <c r="L1003" i="15"/>
  <c r="M1003" i="15"/>
  <c r="N1003" i="15"/>
  <c r="O1003" i="15"/>
  <c r="P1003" i="15"/>
  <c r="Q1003" i="15"/>
  <c r="T1003" i="15"/>
  <c r="U1003" i="15"/>
  <c r="V1003" i="15"/>
  <c r="W1003" i="15"/>
  <c r="X1003" i="15"/>
  <c r="Y1003" i="15"/>
  <c r="Z1003" i="15"/>
  <c r="AA1003" i="15"/>
  <c r="B1004" i="15"/>
  <c r="C1004" i="15"/>
  <c r="D1004" i="15"/>
  <c r="E1004" i="15"/>
  <c r="J1004" i="15"/>
  <c r="K1004" i="15"/>
  <c r="L1004" i="15"/>
  <c r="M1004" i="15"/>
  <c r="N1004" i="15"/>
  <c r="O1004" i="15"/>
  <c r="P1004" i="15"/>
  <c r="Q1004" i="15"/>
  <c r="T1004" i="15"/>
  <c r="U1004" i="15"/>
  <c r="V1004" i="15"/>
  <c r="W1004" i="15"/>
  <c r="X1004" i="15"/>
  <c r="Y1004" i="15"/>
  <c r="Z1004" i="15"/>
  <c r="AA1004" i="15"/>
  <c r="B1005" i="15"/>
  <c r="C1005" i="15"/>
  <c r="D1005" i="15"/>
  <c r="E1005" i="15"/>
  <c r="J1005" i="15"/>
  <c r="K1005" i="15"/>
  <c r="L1005" i="15"/>
  <c r="M1005" i="15"/>
  <c r="N1005" i="15"/>
  <c r="O1005" i="15"/>
  <c r="P1005" i="15"/>
  <c r="Q1005" i="15"/>
  <c r="T1005" i="15"/>
  <c r="U1005" i="15"/>
  <c r="V1005" i="15"/>
  <c r="W1005" i="15"/>
  <c r="X1005" i="15"/>
  <c r="Y1005" i="15"/>
  <c r="Z1005" i="15"/>
  <c r="AA1005" i="15"/>
  <c r="B1006" i="15"/>
  <c r="C1006" i="15"/>
  <c r="D1006" i="15"/>
  <c r="E1006" i="15"/>
  <c r="J1006" i="15"/>
  <c r="K1006" i="15"/>
  <c r="L1006" i="15"/>
  <c r="M1006" i="15"/>
  <c r="N1006" i="15"/>
  <c r="O1006" i="15"/>
  <c r="P1006" i="15"/>
  <c r="Q1006" i="15"/>
  <c r="T1006" i="15"/>
  <c r="U1006" i="15"/>
  <c r="V1006" i="15"/>
  <c r="W1006" i="15"/>
  <c r="X1006" i="15"/>
  <c r="Y1006" i="15"/>
  <c r="Z1006" i="15"/>
  <c r="AA1006" i="15"/>
  <c r="B1007" i="15"/>
  <c r="C1007" i="15"/>
  <c r="D1007" i="15"/>
  <c r="E1007" i="15"/>
  <c r="J1007" i="15"/>
  <c r="K1007" i="15"/>
  <c r="L1007" i="15"/>
  <c r="M1007" i="15"/>
  <c r="N1007" i="15"/>
  <c r="O1007" i="15"/>
  <c r="P1007" i="15"/>
  <c r="Q1007" i="15"/>
  <c r="T1007" i="15"/>
  <c r="U1007" i="15"/>
  <c r="V1007" i="15"/>
  <c r="W1007" i="15"/>
  <c r="X1007" i="15"/>
  <c r="Y1007" i="15"/>
  <c r="Z1007" i="15"/>
  <c r="AA1007" i="15"/>
  <c r="B1008" i="15"/>
  <c r="C1008" i="15"/>
  <c r="D1008" i="15"/>
  <c r="E1008" i="15"/>
  <c r="J1008" i="15"/>
  <c r="K1008" i="15"/>
  <c r="L1008" i="15"/>
  <c r="M1008" i="15"/>
  <c r="N1008" i="15"/>
  <c r="O1008" i="15"/>
  <c r="P1008" i="15"/>
  <c r="Q1008" i="15"/>
  <c r="T1008" i="15"/>
  <c r="U1008" i="15"/>
  <c r="V1008" i="15"/>
  <c r="W1008" i="15"/>
  <c r="X1008" i="15"/>
  <c r="Y1008" i="15"/>
  <c r="Z1008" i="15"/>
  <c r="AA1008" i="15"/>
  <c r="B1009" i="15"/>
  <c r="C1009" i="15"/>
  <c r="D1009" i="15"/>
  <c r="E1009" i="15"/>
  <c r="J1009" i="15"/>
  <c r="K1009" i="15"/>
  <c r="L1009" i="15"/>
  <c r="M1009" i="15"/>
  <c r="N1009" i="15"/>
  <c r="O1009" i="15"/>
  <c r="P1009" i="15"/>
  <c r="Q1009" i="15"/>
  <c r="T1009" i="15"/>
  <c r="U1009" i="15"/>
  <c r="V1009" i="15"/>
  <c r="W1009" i="15"/>
  <c r="X1009" i="15"/>
  <c r="Y1009" i="15"/>
  <c r="Z1009" i="15"/>
  <c r="AA1009" i="15"/>
  <c r="B1010" i="15"/>
  <c r="C1010" i="15"/>
  <c r="D1010" i="15"/>
  <c r="E1010" i="15"/>
  <c r="J1010" i="15"/>
  <c r="K1010" i="15"/>
  <c r="L1010" i="15"/>
  <c r="M1010" i="15"/>
  <c r="N1010" i="15"/>
  <c r="O1010" i="15"/>
  <c r="P1010" i="15"/>
  <c r="Q1010" i="15"/>
  <c r="T1010" i="15"/>
  <c r="U1010" i="15"/>
  <c r="V1010" i="15"/>
  <c r="W1010" i="15"/>
  <c r="X1010" i="15"/>
  <c r="Y1010" i="15"/>
  <c r="Z1010" i="15"/>
  <c r="AA1010" i="15"/>
  <c r="B1011" i="15"/>
  <c r="C1011" i="15"/>
  <c r="D1011" i="15"/>
  <c r="E1011" i="15"/>
  <c r="J1011" i="15"/>
  <c r="K1011" i="15"/>
  <c r="L1011" i="15"/>
  <c r="M1011" i="15"/>
  <c r="N1011" i="15"/>
  <c r="O1011" i="15"/>
  <c r="P1011" i="15"/>
  <c r="Q1011" i="15"/>
  <c r="T1011" i="15"/>
  <c r="U1011" i="15"/>
  <c r="V1011" i="15"/>
  <c r="W1011" i="15"/>
  <c r="X1011" i="15"/>
  <c r="Y1011" i="15"/>
  <c r="Z1011" i="15"/>
  <c r="AA1011" i="15"/>
  <c r="B1012" i="15"/>
  <c r="C1012" i="15"/>
  <c r="D1012" i="15"/>
  <c r="E1012" i="15"/>
  <c r="J1012" i="15"/>
  <c r="K1012" i="15"/>
  <c r="L1012" i="15"/>
  <c r="M1012" i="15"/>
  <c r="N1012" i="15"/>
  <c r="O1012" i="15"/>
  <c r="P1012" i="15"/>
  <c r="Q1012" i="15"/>
  <c r="T1012" i="15"/>
  <c r="U1012" i="15"/>
  <c r="V1012" i="15"/>
  <c r="W1012" i="15"/>
  <c r="X1012" i="15"/>
  <c r="Y1012" i="15"/>
  <c r="Z1012" i="15"/>
  <c r="AA1012" i="15"/>
  <c r="B1013" i="15"/>
  <c r="C1013" i="15"/>
  <c r="D1013" i="15"/>
  <c r="E1013" i="15"/>
  <c r="J1013" i="15"/>
  <c r="K1013" i="15"/>
  <c r="L1013" i="15"/>
  <c r="M1013" i="15"/>
  <c r="N1013" i="15"/>
  <c r="O1013" i="15"/>
  <c r="P1013" i="15"/>
  <c r="Q1013" i="15"/>
  <c r="T1013" i="15"/>
  <c r="U1013" i="15"/>
  <c r="V1013" i="15"/>
  <c r="W1013" i="15"/>
  <c r="X1013" i="15"/>
  <c r="Y1013" i="15"/>
  <c r="Z1013" i="15"/>
  <c r="AA1013" i="15"/>
  <c r="B1014" i="15"/>
  <c r="C1014" i="15"/>
  <c r="D1014" i="15"/>
  <c r="E1014" i="15"/>
  <c r="J1014" i="15"/>
  <c r="K1014" i="15"/>
  <c r="L1014" i="15"/>
  <c r="M1014" i="15"/>
  <c r="N1014" i="15"/>
  <c r="O1014" i="15"/>
  <c r="P1014" i="15"/>
  <c r="Q1014" i="15"/>
  <c r="T1014" i="15"/>
  <c r="U1014" i="15"/>
  <c r="V1014" i="15"/>
  <c r="W1014" i="15"/>
  <c r="X1014" i="15"/>
  <c r="Y1014" i="15"/>
  <c r="Z1014" i="15"/>
  <c r="AA1014" i="15"/>
  <c r="B1015" i="15"/>
  <c r="C1015" i="15"/>
  <c r="D1015" i="15"/>
  <c r="E1015" i="15"/>
  <c r="J1015" i="15"/>
  <c r="K1015" i="15"/>
  <c r="L1015" i="15"/>
  <c r="M1015" i="15"/>
  <c r="N1015" i="15"/>
  <c r="O1015" i="15"/>
  <c r="P1015" i="15"/>
  <c r="Q1015" i="15"/>
  <c r="T1015" i="15"/>
  <c r="U1015" i="15"/>
  <c r="V1015" i="15"/>
  <c r="W1015" i="15"/>
  <c r="X1015" i="15"/>
  <c r="Y1015" i="15"/>
  <c r="Z1015" i="15"/>
  <c r="AA1015" i="15"/>
  <c r="B1016" i="15"/>
  <c r="C1016" i="15"/>
  <c r="D1016" i="15"/>
  <c r="E1016" i="15"/>
  <c r="J1016" i="15"/>
  <c r="K1016" i="15"/>
  <c r="L1016" i="15"/>
  <c r="M1016" i="15"/>
  <c r="N1016" i="15"/>
  <c r="O1016" i="15"/>
  <c r="P1016" i="15"/>
  <c r="Q1016" i="15"/>
  <c r="T1016" i="15"/>
  <c r="U1016" i="15"/>
  <c r="V1016" i="15"/>
  <c r="W1016" i="15"/>
  <c r="X1016" i="15"/>
  <c r="Y1016" i="15"/>
  <c r="Z1016" i="15"/>
  <c r="AA1016" i="15"/>
  <c r="B1017" i="15"/>
  <c r="C1017" i="15"/>
  <c r="D1017" i="15"/>
  <c r="E1017" i="15"/>
  <c r="J1017" i="15"/>
  <c r="K1017" i="15"/>
  <c r="L1017" i="15"/>
  <c r="M1017" i="15"/>
  <c r="N1017" i="15"/>
  <c r="O1017" i="15"/>
  <c r="P1017" i="15"/>
  <c r="Q1017" i="15"/>
  <c r="T1017" i="15"/>
  <c r="U1017" i="15"/>
  <c r="V1017" i="15"/>
  <c r="W1017" i="15"/>
  <c r="X1017" i="15"/>
  <c r="Y1017" i="15"/>
  <c r="Z1017" i="15"/>
  <c r="AA1017" i="15"/>
  <c r="B1018" i="15"/>
  <c r="C1018" i="15"/>
  <c r="D1018" i="15"/>
  <c r="E1018" i="15"/>
  <c r="J1018" i="15"/>
  <c r="K1018" i="15"/>
  <c r="L1018" i="15"/>
  <c r="M1018" i="15"/>
  <c r="N1018" i="15"/>
  <c r="O1018" i="15"/>
  <c r="P1018" i="15"/>
  <c r="Q1018" i="15"/>
  <c r="T1018" i="15"/>
  <c r="U1018" i="15"/>
  <c r="V1018" i="15"/>
  <c r="W1018" i="15"/>
  <c r="X1018" i="15"/>
  <c r="Y1018" i="15"/>
  <c r="Z1018" i="15"/>
  <c r="AA1018" i="15"/>
  <c r="B1019" i="15"/>
  <c r="C1019" i="15"/>
  <c r="D1019" i="15"/>
  <c r="E1019" i="15"/>
  <c r="J1019" i="15"/>
  <c r="K1019" i="15"/>
  <c r="L1019" i="15"/>
  <c r="M1019" i="15"/>
  <c r="N1019" i="15"/>
  <c r="O1019" i="15"/>
  <c r="P1019" i="15"/>
  <c r="Q1019" i="15"/>
  <c r="T1019" i="15"/>
  <c r="U1019" i="15"/>
  <c r="V1019" i="15"/>
  <c r="W1019" i="15"/>
  <c r="X1019" i="15"/>
  <c r="Y1019" i="15"/>
  <c r="Z1019" i="15"/>
  <c r="AA1019" i="15"/>
  <c r="B1020" i="15"/>
  <c r="C1020" i="15"/>
  <c r="D1020" i="15"/>
  <c r="E1020" i="15"/>
  <c r="J1020" i="15"/>
  <c r="K1020" i="15"/>
  <c r="L1020" i="15"/>
  <c r="M1020" i="15"/>
  <c r="N1020" i="15"/>
  <c r="O1020" i="15"/>
  <c r="P1020" i="15"/>
  <c r="Q1020" i="15"/>
  <c r="T1020" i="15"/>
  <c r="U1020" i="15"/>
  <c r="V1020" i="15"/>
  <c r="W1020" i="15"/>
  <c r="X1020" i="15"/>
  <c r="Y1020" i="15"/>
  <c r="Z1020" i="15"/>
  <c r="AA1020" i="15"/>
  <c r="B1021" i="15"/>
  <c r="C1021" i="15"/>
  <c r="D1021" i="15"/>
  <c r="E1021" i="15"/>
  <c r="J1021" i="15"/>
  <c r="K1021" i="15"/>
  <c r="L1021" i="15"/>
  <c r="M1021" i="15"/>
  <c r="N1021" i="15"/>
  <c r="O1021" i="15"/>
  <c r="P1021" i="15"/>
  <c r="Q1021" i="15"/>
  <c r="T1021" i="15"/>
  <c r="U1021" i="15"/>
  <c r="V1021" i="15"/>
  <c r="W1021" i="15"/>
  <c r="X1021" i="15"/>
  <c r="Y1021" i="15"/>
  <c r="Z1021" i="15"/>
  <c r="AA1021" i="15"/>
  <c r="B1022" i="15"/>
  <c r="C1022" i="15"/>
  <c r="D1022" i="15"/>
  <c r="E1022" i="15"/>
  <c r="J1022" i="15"/>
  <c r="K1022" i="15"/>
  <c r="L1022" i="15"/>
  <c r="M1022" i="15"/>
  <c r="N1022" i="15"/>
  <c r="O1022" i="15"/>
  <c r="P1022" i="15"/>
  <c r="Q1022" i="15"/>
  <c r="T1022" i="15"/>
  <c r="U1022" i="15"/>
  <c r="V1022" i="15"/>
  <c r="W1022" i="15"/>
  <c r="X1022" i="15"/>
  <c r="Y1022" i="15"/>
  <c r="Z1022" i="15"/>
  <c r="AA1022" i="15"/>
  <c r="B1023" i="15"/>
  <c r="C1023" i="15"/>
  <c r="D1023" i="15"/>
  <c r="E1023" i="15"/>
  <c r="J1023" i="15"/>
  <c r="K1023" i="15"/>
  <c r="L1023" i="15"/>
  <c r="M1023" i="15"/>
  <c r="N1023" i="15"/>
  <c r="O1023" i="15"/>
  <c r="P1023" i="15"/>
  <c r="Q1023" i="15"/>
  <c r="T1023" i="15"/>
  <c r="U1023" i="15"/>
  <c r="V1023" i="15"/>
  <c r="W1023" i="15"/>
  <c r="X1023" i="15"/>
  <c r="Y1023" i="15"/>
  <c r="Z1023" i="15"/>
  <c r="AA1023" i="15"/>
  <c r="B1024" i="15"/>
  <c r="C1024" i="15"/>
  <c r="D1024" i="15"/>
  <c r="E1024" i="15"/>
  <c r="J1024" i="15"/>
  <c r="K1024" i="15"/>
  <c r="L1024" i="15"/>
  <c r="M1024" i="15"/>
  <c r="N1024" i="15"/>
  <c r="O1024" i="15"/>
  <c r="P1024" i="15"/>
  <c r="Q1024" i="15"/>
  <c r="T1024" i="15"/>
  <c r="U1024" i="15"/>
  <c r="V1024" i="15"/>
  <c r="W1024" i="15"/>
  <c r="X1024" i="15"/>
  <c r="Y1024" i="15"/>
  <c r="Z1024" i="15"/>
  <c r="AA1024" i="15"/>
  <c r="B1025" i="15"/>
  <c r="C1025" i="15"/>
  <c r="D1025" i="15"/>
  <c r="E1025" i="15"/>
  <c r="J1025" i="15"/>
  <c r="K1025" i="15"/>
  <c r="L1025" i="15"/>
  <c r="M1025" i="15"/>
  <c r="N1025" i="15"/>
  <c r="O1025" i="15"/>
  <c r="P1025" i="15"/>
  <c r="Q1025" i="15"/>
  <c r="T1025" i="15"/>
  <c r="U1025" i="15"/>
  <c r="V1025" i="15"/>
  <c r="W1025" i="15"/>
  <c r="X1025" i="15"/>
  <c r="Y1025" i="15"/>
  <c r="Z1025" i="15"/>
  <c r="AA1025" i="15"/>
  <c r="B1026" i="15"/>
  <c r="C1026" i="15"/>
  <c r="D1026" i="15"/>
  <c r="E1026" i="15"/>
  <c r="J1026" i="15"/>
  <c r="K1026" i="15"/>
  <c r="L1026" i="15"/>
  <c r="M1026" i="15"/>
  <c r="N1026" i="15"/>
  <c r="O1026" i="15"/>
  <c r="P1026" i="15"/>
  <c r="Q1026" i="15"/>
  <c r="T1026" i="15"/>
  <c r="U1026" i="15"/>
  <c r="V1026" i="15"/>
  <c r="W1026" i="15"/>
  <c r="X1026" i="15"/>
  <c r="Y1026" i="15"/>
  <c r="Z1026" i="15"/>
  <c r="AA1026" i="15"/>
  <c r="B1027" i="15"/>
  <c r="C1027" i="15"/>
  <c r="D1027" i="15"/>
  <c r="E1027" i="15"/>
  <c r="J1027" i="15"/>
  <c r="K1027" i="15"/>
  <c r="L1027" i="15"/>
  <c r="M1027" i="15"/>
  <c r="N1027" i="15"/>
  <c r="O1027" i="15"/>
  <c r="P1027" i="15"/>
  <c r="Q1027" i="15"/>
  <c r="T1027" i="15"/>
  <c r="U1027" i="15"/>
  <c r="V1027" i="15"/>
  <c r="W1027" i="15"/>
  <c r="X1027" i="15"/>
  <c r="Y1027" i="15"/>
  <c r="Z1027" i="15"/>
  <c r="AA1027" i="15"/>
  <c r="B1028" i="15"/>
  <c r="C1028" i="15"/>
  <c r="D1028" i="15"/>
  <c r="E1028" i="15"/>
  <c r="J1028" i="15"/>
  <c r="K1028" i="15"/>
  <c r="L1028" i="15"/>
  <c r="M1028" i="15"/>
  <c r="N1028" i="15"/>
  <c r="O1028" i="15"/>
  <c r="P1028" i="15"/>
  <c r="Q1028" i="15"/>
  <c r="T1028" i="15"/>
  <c r="U1028" i="15"/>
  <c r="V1028" i="15"/>
  <c r="W1028" i="15"/>
  <c r="X1028" i="15"/>
  <c r="Y1028" i="15"/>
  <c r="Z1028" i="15"/>
  <c r="AA1028" i="15"/>
  <c r="B1029" i="15"/>
  <c r="C1029" i="15"/>
  <c r="D1029" i="15"/>
  <c r="E1029" i="15"/>
  <c r="J1029" i="15"/>
  <c r="K1029" i="15"/>
  <c r="L1029" i="15"/>
  <c r="M1029" i="15"/>
  <c r="N1029" i="15"/>
  <c r="O1029" i="15"/>
  <c r="P1029" i="15"/>
  <c r="Q1029" i="15"/>
  <c r="T1029" i="15"/>
  <c r="U1029" i="15"/>
  <c r="V1029" i="15"/>
  <c r="W1029" i="15"/>
  <c r="X1029" i="15"/>
  <c r="Y1029" i="15"/>
  <c r="Z1029" i="15"/>
  <c r="AA1029" i="15"/>
  <c r="B1030" i="15"/>
  <c r="C1030" i="15"/>
  <c r="D1030" i="15"/>
  <c r="E1030" i="15"/>
  <c r="J1030" i="15"/>
  <c r="K1030" i="15"/>
  <c r="L1030" i="15"/>
  <c r="M1030" i="15"/>
  <c r="N1030" i="15"/>
  <c r="O1030" i="15"/>
  <c r="P1030" i="15"/>
  <c r="Q1030" i="15"/>
  <c r="T1030" i="15"/>
  <c r="U1030" i="15"/>
  <c r="V1030" i="15"/>
  <c r="W1030" i="15"/>
  <c r="X1030" i="15"/>
  <c r="Y1030" i="15"/>
  <c r="Z1030" i="15"/>
  <c r="AA1030" i="15"/>
  <c r="B1031" i="15"/>
  <c r="C1031" i="15"/>
  <c r="D1031" i="15"/>
  <c r="E1031" i="15"/>
  <c r="J1031" i="15"/>
  <c r="K1031" i="15"/>
  <c r="L1031" i="15"/>
  <c r="M1031" i="15"/>
  <c r="N1031" i="15"/>
  <c r="O1031" i="15"/>
  <c r="P1031" i="15"/>
  <c r="Q1031" i="15"/>
  <c r="T1031" i="15"/>
  <c r="U1031" i="15"/>
  <c r="V1031" i="15"/>
  <c r="W1031" i="15"/>
  <c r="X1031" i="15"/>
  <c r="Y1031" i="15"/>
  <c r="Z1031" i="15"/>
  <c r="AA1031" i="15"/>
  <c r="B1032" i="15"/>
  <c r="C1032" i="15"/>
  <c r="D1032" i="15"/>
  <c r="E1032" i="15"/>
  <c r="J1032" i="15"/>
  <c r="K1032" i="15"/>
  <c r="L1032" i="15"/>
  <c r="M1032" i="15"/>
  <c r="N1032" i="15"/>
  <c r="O1032" i="15"/>
  <c r="P1032" i="15"/>
  <c r="Q1032" i="15"/>
  <c r="T1032" i="15"/>
  <c r="U1032" i="15"/>
  <c r="V1032" i="15"/>
  <c r="W1032" i="15"/>
  <c r="X1032" i="15"/>
  <c r="Y1032" i="15"/>
  <c r="Z1032" i="15"/>
  <c r="AA1032" i="15"/>
  <c r="B1033" i="15"/>
  <c r="C1033" i="15"/>
  <c r="D1033" i="15"/>
  <c r="E1033" i="15"/>
  <c r="J1033" i="15"/>
  <c r="K1033" i="15"/>
  <c r="L1033" i="15"/>
  <c r="M1033" i="15"/>
  <c r="N1033" i="15"/>
  <c r="O1033" i="15"/>
  <c r="P1033" i="15"/>
  <c r="Q1033" i="15"/>
  <c r="T1033" i="15"/>
  <c r="U1033" i="15"/>
  <c r="V1033" i="15"/>
  <c r="W1033" i="15"/>
  <c r="X1033" i="15"/>
  <c r="Y1033" i="15"/>
  <c r="Z1033" i="15"/>
  <c r="AA1033" i="15"/>
  <c r="B1034" i="15"/>
  <c r="C1034" i="15"/>
  <c r="D1034" i="15"/>
  <c r="E1034" i="15"/>
  <c r="J1034" i="15"/>
  <c r="K1034" i="15"/>
  <c r="L1034" i="15"/>
  <c r="M1034" i="15"/>
  <c r="N1034" i="15"/>
  <c r="O1034" i="15"/>
  <c r="P1034" i="15"/>
  <c r="Q1034" i="15"/>
  <c r="T1034" i="15"/>
  <c r="U1034" i="15"/>
  <c r="V1034" i="15"/>
  <c r="W1034" i="15"/>
  <c r="X1034" i="15"/>
  <c r="Y1034" i="15"/>
  <c r="Z1034" i="15"/>
  <c r="AA1034" i="15"/>
  <c r="B1035" i="15"/>
  <c r="C1035" i="15"/>
  <c r="D1035" i="15"/>
  <c r="E1035" i="15"/>
  <c r="J1035" i="15"/>
  <c r="K1035" i="15"/>
  <c r="L1035" i="15"/>
  <c r="M1035" i="15"/>
  <c r="N1035" i="15"/>
  <c r="O1035" i="15"/>
  <c r="P1035" i="15"/>
  <c r="Q1035" i="15"/>
  <c r="T1035" i="15"/>
  <c r="U1035" i="15"/>
  <c r="V1035" i="15"/>
  <c r="W1035" i="15"/>
  <c r="X1035" i="15"/>
  <c r="Y1035" i="15"/>
  <c r="Z1035" i="15"/>
  <c r="AA1035" i="15"/>
  <c r="B1036" i="15"/>
  <c r="C1036" i="15"/>
  <c r="D1036" i="15"/>
  <c r="E1036" i="15"/>
  <c r="J1036" i="15"/>
  <c r="K1036" i="15"/>
  <c r="L1036" i="15"/>
  <c r="M1036" i="15"/>
  <c r="N1036" i="15"/>
  <c r="O1036" i="15"/>
  <c r="P1036" i="15"/>
  <c r="Q1036" i="15"/>
  <c r="T1036" i="15"/>
  <c r="U1036" i="15"/>
  <c r="V1036" i="15"/>
  <c r="W1036" i="15"/>
  <c r="X1036" i="15"/>
  <c r="Y1036" i="15"/>
  <c r="Z1036" i="15"/>
  <c r="AA1036" i="15"/>
  <c r="B1037" i="15"/>
  <c r="C1037" i="15"/>
  <c r="D1037" i="15"/>
  <c r="E1037" i="15"/>
  <c r="J1037" i="15"/>
  <c r="K1037" i="15"/>
  <c r="L1037" i="15"/>
  <c r="M1037" i="15"/>
  <c r="N1037" i="15"/>
  <c r="O1037" i="15"/>
  <c r="P1037" i="15"/>
  <c r="Q1037" i="15"/>
  <c r="T1037" i="15"/>
  <c r="U1037" i="15"/>
  <c r="V1037" i="15"/>
  <c r="W1037" i="15"/>
  <c r="X1037" i="15"/>
  <c r="Y1037" i="15"/>
  <c r="Z1037" i="15"/>
  <c r="AA1037" i="15"/>
  <c r="B1038" i="15"/>
  <c r="C1038" i="15"/>
  <c r="D1038" i="15"/>
  <c r="E1038" i="15"/>
  <c r="J1038" i="15"/>
  <c r="K1038" i="15"/>
  <c r="L1038" i="15"/>
  <c r="M1038" i="15"/>
  <c r="N1038" i="15"/>
  <c r="O1038" i="15"/>
  <c r="P1038" i="15"/>
  <c r="Q1038" i="15"/>
  <c r="T1038" i="15"/>
  <c r="U1038" i="15"/>
  <c r="V1038" i="15"/>
  <c r="W1038" i="15"/>
  <c r="X1038" i="15"/>
  <c r="Y1038" i="15"/>
  <c r="Z1038" i="15"/>
  <c r="AA1038" i="15"/>
  <c r="B1039" i="15"/>
  <c r="C1039" i="15"/>
  <c r="D1039" i="15"/>
  <c r="E1039" i="15"/>
  <c r="J1039" i="15"/>
  <c r="K1039" i="15"/>
  <c r="L1039" i="15"/>
  <c r="M1039" i="15"/>
  <c r="N1039" i="15"/>
  <c r="O1039" i="15"/>
  <c r="P1039" i="15"/>
  <c r="Q1039" i="15"/>
  <c r="T1039" i="15"/>
  <c r="U1039" i="15"/>
  <c r="V1039" i="15"/>
  <c r="W1039" i="15"/>
  <c r="X1039" i="15"/>
  <c r="Y1039" i="15"/>
  <c r="Z1039" i="15"/>
  <c r="AA1039" i="15"/>
  <c r="B1040" i="15"/>
  <c r="C1040" i="15"/>
  <c r="D1040" i="15"/>
  <c r="E1040" i="15"/>
  <c r="J1040" i="15"/>
  <c r="K1040" i="15"/>
  <c r="L1040" i="15"/>
  <c r="M1040" i="15"/>
  <c r="N1040" i="15"/>
  <c r="O1040" i="15"/>
  <c r="P1040" i="15"/>
  <c r="Q1040" i="15"/>
  <c r="T1040" i="15"/>
  <c r="U1040" i="15"/>
  <c r="V1040" i="15"/>
  <c r="W1040" i="15"/>
  <c r="X1040" i="15"/>
  <c r="Y1040" i="15"/>
  <c r="Z1040" i="15"/>
  <c r="AA1040" i="15"/>
  <c r="B1041" i="15"/>
  <c r="C1041" i="15"/>
  <c r="D1041" i="15"/>
  <c r="E1041" i="15"/>
  <c r="J1041" i="15"/>
  <c r="K1041" i="15"/>
  <c r="L1041" i="15"/>
  <c r="M1041" i="15"/>
  <c r="N1041" i="15"/>
  <c r="O1041" i="15"/>
  <c r="P1041" i="15"/>
  <c r="Q1041" i="15"/>
  <c r="T1041" i="15"/>
  <c r="U1041" i="15"/>
  <c r="V1041" i="15"/>
  <c r="W1041" i="15"/>
  <c r="X1041" i="15"/>
  <c r="Y1041" i="15"/>
  <c r="Z1041" i="15"/>
  <c r="AA1041" i="15"/>
  <c r="B1042" i="15"/>
  <c r="C1042" i="15"/>
  <c r="D1042" i="15"/>
  <c r="E1042" i="15"/>
  <c r="J1042" i="15"/>
  <c r="K1042" i="15"/>
  <c r="L1042" i="15"/>
  <c r="M1042" i="15"/>
  <c r="N1042" i="15"/>
  <c r="O1042" i="15"/>
  <c r="P1042" i="15"/>
  <c r="Q1042" i="15"/>
  <c r="T1042" i="15"/>
  <c r="U1042" i="15"/>
  <c r="V1042" i="15"/>
  <c r="W1042" i="15"/>
  <c r="X1042" i="15"/>
  <c r="Y1042" i="15"/>
  <c r="Z1042" i="15"/>
  <c r="AA1042" i="15"/>
  <c r="B1043" i="15"/>
  <c r="C1043" i="15"/>
  <c r="D1043" i="15"/>
  <c r="E1043" i="15"/>
  <c r="J1043" i="15"/>
  <c r="K1043" i="15"/>
  <c r="L1043" i="15"/>
  <c r="M1043" i="15"/>
  <c r="N1043" i="15"/>
  <c r="O1043" i="15"/>
  <c r="P1043" i="15"/>
  <c r="Q1043" i="15"/>
  <c r="T1043" i="15"/>
  <c r="U1043" i="15"/>
  <c r="V1043" i="15"/>
  <c r="W1043" i="15"/>
  <c r="X1043" i="15"/>
  <c r="Y1043" i="15"/>
  <c r="Z1043" i="15"/>
  <c r="AA1043" i="15"/>
  <c r="B1044" i="15"/>
  <c r="C1044" i="15"/>
  <c r="D1044" i="15"/>
  <c r="E1044" i="15"/>
  <c r="J1044" i="15"/>
  <c r="K1044" i="15"/>
  <c r="L1044" i="15"/>
  <c r="M1044" i="15"/>
  <c r="N1044" i="15"/>
  <c r="O1044" i="15"/>
  <c r="P1044" i="15"/>
  <c r="Q1044" i="15"/>
  <c r="T1044" i="15"/>
  <c r="U1044" i="15"/>
  <c r="V1044" i="15"/>
  <c r="W1044" i="15"/>
  <c r="X1044" i="15"/>
  <c r="Y1044" i="15"/>
  <c r="Z1044" i="15"/>
  <c r="AA1044" i="15"/>
  <c r="B1045" i="15"/>
  <c r="C1045" i="15"/>
  <c r="D1045" i="15"/>
  <c r="E1045" i="15"/>
  <c r="J1045" i="15"/>
  <c r="K1045" i="15"/>
  <c r="L1045" i="15"/>
  <c r="M1045" i="15"/>
  <c r="N1045" i="15"/>
  <c r="O1045" i="15"/>
  <c r="P1045" i="15"/>
  <c r="Q1045" i="15"/>
  <c r="T1045" i="15"/>
  <c r="U1045" i="15"/>
  <c r="V1045" i="15"/>
  <c r="W1045" i="15"/>
  <c r="X1045" i="15"/>
  <c r="Y1045" i="15"/>
  <c r="Z1045" i="15"/>
  <c r="AA1045" i="15"/>
  <c r="B1046" i="15"/>
  <c r="C1046" i="15"/>
  <c r="D1046" i="15"/>
  <c r="E1046" i="15"/>
  <c r="J1046" i="15"/>
  <c r="K1046" i="15"/>
  <c r="L1046" i="15"/>
  <c r="M1046" i="15"/>
  <c r="N1046" i="15"/>
  <c r="O1046" i="15"/>
  <c r="P1046" i="15"/>
  <c r="Q1046" i="15"/>
  <c r="T1046" i="15"/>
  <c r="U1046" i="15"/>
  <c r="V1046" i="15"/>
  <c r="W1046" i="15"/>
  <c r="X1046" i="15"/>
  <c r="Y1046" i="15"/>
  <c r="Z1046" i="15"/>
  <c r="AA1046" i="15"/>
  <c r="B1047" i="15"/>
  <c r="C1047" i="15"/>
  <c r="D1047" i="15"/>
  <c r="E1047" i="15"/>
  <c r="J1047" i="15"/>
  <c r="K1047" i="15"/>
  <c r="L1047" i="15"/>
  <c r="M1047" i="15"/>
  <c r="N1047" i="15"/>
  <c r="O1047" i="15"/>
  <c r="P1047" i="15"/>
  <c r="Q1047" i="15"/>
  <c r="T1047" i="15"/>
  <c r="U1047" i="15"/>
  <c r="V1047" i="15"/>
  <c r="W1047" i="15"/>
  <c r="X1047" i="15"/>
  <c r="Y1047" i="15"/>
  <c r="Z1047" i="15"/>
  <c r="AA1047" i="15"/>
  <c r="B1048" i="15"/>
  <c r="C1048" i="15"/>
  <c r="D1048" i="15"/>
  <c r="E1048" i="15"/>
  <c r="J1048" i="15"/>
  <c r="K1048" i="15"/>
  <c r="L1048" i="15"/>
  <c r="M1048" i="15"/>
  <c r="N1048" i="15"/>
  <c r="O1048" i="15"/>
  <c r="P1048" i="15"/>
  <c r="Q1048" i="15"/>
  <c r="T1048" i="15"/>
  <c r="U1048" i="15"/>
  <c r="V1048" i="15"/>
  <c r="W1048" i="15"/>
  <c r="X1048" i="15"/>
  <c r="Y1048" i="15"/>
  <c r="Z1048" i="15"/>
  <c r="AA1048" i="15"/>
  <c r="B1049" i="15"/>
  <c r="C1049" i="15"/>
  <c r="D1049" i="15"/>
  <c r="E1049" i="15"/>
  <c r="J1049" i="15"/>
  <c r="K1049" i="15"/>
  <c r="L1049" i="15"/>
  <c r="M1049" i="15"/>
  <c r="N1049" i="15"/>
  <c r="O1049" i="15"/>
  <c r="P1049" i="15"/>
  <c r="Q1049" i="15"/>
  <c r="T1049" i="15"/>
  <c r="U1049" i="15"/>
  <c r="V1049" i="15"/>
  <c r="W1049" i="15"/>
  <c r="X1049" i="15"/>
  <c r="Y1049" i="15"/>
  <c r="Z1049" i="15"/>
  <c r="AA1049" i="15"/>
  <c r="B1050" i="15"/>
  <c r="C1050" i="15"/>
  <c r="D1050" i="15"/>
  <c r="E1050" i="15"/>
  <c r="J1050" i="15"/>
  <c r="K1050" i="15"/>
  <c r="L1050" i="15"/>
  <c r="M1050" i="15"/>
  <c r="N1050" i="15"/>
  <c r="O1050" i="15"/>
  <c r="P1050" i="15"/>
  <c r="Q1050" i="15"/>
  <c r="T1050" i="15"/>
  <c r="U1050" i="15"/>
  <c r="V1050" i="15"/>
  <c r="W1050" i="15"/>
  <c r="X1050" i="15"/>
  <c r="Y1050" i="15"/>
  <c r="Z1050" i="15"/>
  <c r="AA1050" i="15"/>
  <c r="B1051" i="15"/>
  <c r="C1051" i="15"/>
  <c r="D1051" i="15"/>
  <c r="E1051" i="15"/>
  <c r="J1051" i="15"/>
  <c r="K1051" i="15"/>
  <c r="L1051" i="15"/>
  <c r="M1051" i="15"/>
  <c r="N1051" i="15"/>
  <c r="O1051" i="15"/>
  <c r="P1051" i="15"/>
  <c r="Q1051" i="15"/>
  <c r="T1051" i="15"/>
  <c r="U1051" i="15"/>
  <c r="V1051" i="15"/>
  <c r="W1051" i="15"/>
  <c r="X1051" i="15"/>
  <c r="Y1051" i="15"/>
  <c r="Z1051" i="15"/>
  <c r="AA1051" i="15"/>
  <c r="B1052" i="15"/>
  <c r="C1052" i="15"/>
  <c r="D1052" i="15"/>
  <c r="E1052" i="15"/>
  <c r="J1052" i="15"/>
  <c r="K1052" i="15"/>
  <c r="L1052" i="15"/>
  <c r="M1052" i="15"/>
  <c r="N1052" i="15"/>
  <c r="O1052" i="15"/>
  <c r="P1052" i="15"/>
  <c r="Q1052" i="15"/>
  <c r="T1052" i="15"/>
  <c r="U1052" i="15"/>
  <c r="V1052" i="15"/>
  <c r="W1052" i="15"/>
  <c r="X1052" i="15"/>
  <c r="Y1052" i="15"/>
  <c r="Z1052" i="15"/>
  <c r="AA1052" i="15"/>
  <c r="B1053" i="15"/>
  <c r="C1053" i="15"/>
  <c r="D1053" i="15"/>
  <c r="E1053" i="15"/>
  <c r="J1053" i="15"/>
  <c r="K1053" i="15"/>
  <c r="L1053" i="15"/>
  <c r="M1053" i="15"/>
  <c r="N1053" i="15"/>
  <c r="O1053" i="15"/>
  <c r="P1053" i="15"/>
  <c r="Q1053" i="15"/>
  <c r="T1053" i="15"/>
  <c r="U1053" i="15"/>
  <c r="V1053" i="15"/>
  <c r="W1053" i="15"/>
  <c r="X1053" i="15"/>
  <c r="Y1053" i="15"/>
  <c r="Z1053" i="15"/>
  <c r="AA1053" i="15"/>
  <c r="B1054" i="15"/>
  <c r="C1054" i="15"/>
  <c r="D1054" i="15"/>
  <c r="E1054" i="15"/>
  <c r="J1054" i="15"/>
  <c r="K1054" i="15"/>
  <c r="L1054" i="15"/>
  <c r="M1054" i="15"/>
  <c r="N1054" i="15"/>
  <c r="O1054" i="15"/>
  <c r="P1054" i="15"/>
  <c r="Q1054" i="15"/>
  <c r="T1054" i="15"/>
  <c r="U1054" i="15"/>
  <c r="V1054" i="15"/>
  <c r="W1054" i="15"/>
  <c r="X1054" i="15"/>
  <c r="Y1054" i="15"/>
  <c r="Z1054" i="15"/>
  <c r="AA1054" i="15"/>
  <c r="B1055" i="15"/>
  <c r="C1055" i="15"/>
  <c r="D1055" i="15"/>
  <c r="E1055" i="15"/>
  <c r="J1055" i="15"/>
  <c r="K1055" i="15"/>
  <c r="L1055" i="15"/>
  <c r="M1055" i="15"/>
  <c r="N1055" i="15"/>
  <c r="O1055" i="15"/>
  <c r="P1055" i="15"/>
  <c r="Q1055" i="15"/>
  <c r="T1055" i="15"/>
  <c r="U1055" i="15"/>
  <c r="V1055" i="15"/>
  <c r="W1055" i="15"/>
  <c r="X1055" i="15"/>
  <c r="Y1055" i="15"/>
  <c r="Z1055" i="15"/>
  <c r="AA1055" i="15"/>
  <c r="B1056" i="15"/>
  <c r="C1056" i="15"/>
  <c r="D1056" i="15"/>
  <c r="E1056" i="15"/>
  <c r="J1056" i="15"/>
  <c r="K1056" i="15"/>
  <c r="L1056" i="15"/>
  <c r="M1056" i="15"/>
  <c r="N1056" i="15"/>
  <c r="O1056" i="15"/>
  <c r="P1056" i="15"/>
  <c r="Q1056" i="15"/>
  <c r="T1056" i="15"/>
  <c r="U1056" i="15"/>
  <c r="V1056" i="15"/>
  <c r="W1056" i="15"/>
  <c r="X1056" i="15"/>
  <c r="Y1056" i="15"/>
  <c r="Z1056" i="15"/>
  <c r="AA1056" i="15"/>
  <c r="B1057" i="15"/>
  <c r="C1057" i="15"/>
  <c r="D1057" i="15"/>
  <c r="E1057" i="15"/>
  <c r="J1057" i="15"/>
  <c r="K1057" i="15"/>
  <c r="L1057" i="15"/>
  <c r="M1057" i="15"/>
  <c r="N1057" i="15"/>
  <c r="O1057" i="15"/>
  <c r="P1057" i="15"/>
  <c r="Q1057" i="15"/>
  <c r="T1057" i="15"/>
  <c r="U1057" i="15"/>
  <c r="V1057" i="15"/>
  <c r="W1057" i="15"/>
  <c r="X1057" i="15"/>
  <c r="Y1057" i="15"/>
  <c r="Z1057" i="15"/>
  <c r="AA1057" i="15"/>
  <c r="B1058" i="15"/>
  <c r="C1058" i="15"/>
  <c r="D1058" i="15"/>
  <c r="E1058" i="15"/>
  <c r="J1058" i="15"/>
  <c r="K1058" i="15"/>
  <c r="L1058" i="15"/>
  <c r="M1058" i="15"/>
  <c r="N1058" i="15"/>
  <c r="O1058" i="15"/>
  <c r="P1058" i="15"/>
  <c r="Q1058" i="15"/>
  <c r="T1058" i="15"/>
  <c r="U1058" i="15"/>
  <c r="V1058" i="15"/>
  <c r="W1058" i="15"/>
  <c r="X1058" i="15"/>
  <c r="Y1058" i="15"/>
  <c r="Z1058" i="15"/>
  <c r="AA1058" i="15"/>
  <c r="B1059" i="15"/>
  <c r="C1059" i="15"/>
  <c r="D1059" i="15"/>
  <c r="E1059" i="15"/>
  <c r="J1059" i="15"/>
  <c r="K1059" i="15"/>
  <c r="L1059" i="15"/>
  <c r="M1059" i="15"/>
  <c r="N1059" i="15"/>
  <c r="O1059" i="15"/>
  <c r="P1059" i="15"/>
  <c r="Q1059" i="15"/>
  <c r="T1059" i="15"/>
  <c r="U1059" i="15"/>
  <c r="V1059" i="15"/>
  <c r="W1059" i="15"/>
  <c r="X1059" i="15"/>
  <c r="Y1059" i="15"/>
  <c r="Z1059" i="15"/>
  <c r="AA1059" i="15"/>
  <c r="B1060" i="15"/>
  <c r="C1060" i="15"/>
  <c r="D1060" i="15"/>
  <c r="E1060" i="15"/>
  <c r="J1060" i="15"/>
  <c r="K1060" i="15"/>
  <c r="L1060" i="15"/>
  <c r="M1060" i="15"/>
  <c r="N1060" i="15"/>
  <c r="O1060" i="15"/>
  <c r="P1060" i="15"/>
  <c r="Q1060" i="15"/>
  <c r="T1060" i="15"/>
  <c r="U1060" i="15"/>
  <c r="V1060" i="15"/>
  <c r="W1060" i="15"/>
  <c r="X1060" i="15"/>
  <c r="Y1060" i="15"/>
  <c r="Z1060" i="15"/>
  <c r="AA1060" i="15"/>
  <c r="B1061" i="15"/>
  <c r="C1061" i="15"/>
  <c r="D1061" i="15"/>
  <c r="E1061" i="15"/>
  <c r="J1061" i="15"/>
  <c r="K1061" i="15"/>
  <c r="L1061" i="15"/>
  <c r="M1061" i="15"/>
  <c r="N1061" i="15"/>
  <c r="O1061" i="15"/>
  <c r="P1061" i="15"/>
  <c r="Q1061" i="15"/>
  <c r="T1061" i="15"/>
  <c r="U1061" i="15"/>
  <c r="V1061" i="15"/>
  <c r="W1061" i="15"/>
  <c r="X1061" i="15"/>
  <c r="Y1061" i="15"/>
  <c r="Z1061" i="15"/>
  <c r="AA1061" i="15"/>
  <c r="B1062" i="15"/>
  <c r="C1062" i="15"/>
  <c r="D1062" i="15"/>
  <c r="E1062" i="15"/>
  <c r="J1062" i="15"/>
  <c r="K1062" i="15"/>
  <c r="L1062" i="15"/>
  <c r="M1062" i="15"/>
  <c r="N1062" i="15"/>
  <c r="O1062" i="15"/>
  <c r="P1062" i="15"/>
  <c r="Q1062" i="15"/>
  <c r="T1062" i="15"/>
  <c r="U1062" i="15"/>
  <c r="V1062" i="15"/>
  <c r="W1062" i="15"/>
  <c r="X1062" i="15"/>
  <c r="Y1062" i="15"/>
  <c r="Z1062" i="15"/>
  <c r="AA1062" i="15"/>
  <c r="B1063" i="15"/>
  <c r="C1063" i="15"/>
  <c r="D1063" i="15"/>
  <c r="E1063" i="15"/>
  <c r="J1063" i="15"/>
  <c r="K1063" i="15"/>
  <c r="L1063" i="15"/>
  <c r="M1063" i="15"/>
  <c r="N1063" i="15"/>
  <c r="O1063" i="15"/>
  <c r="P1063" i="15"/>
  <c r="Q1063" i="15"/>
  <c r="T1063" i="15"/>
  <c r="U1063" i="15"/>
  <c r="V1063" i="15"/>
  <c r="W1063" i="15"/>
  <c r="X1063" i="15"/>
  <c r="Y1063" i="15"/>
  <c r="Z1063" i="15"/>
  <c r="AA1063" i="15"/>
  <c r="B1064" i="15"/>
  <c r="C1064" i="15"/>
  <c r="D1064" i="15"/>
  <c r="E1064" i="15"/>
  <c r="J1064" i="15"/>
  <c r="K1064" i="15"/>
  <c r="L1064" i="15"/>
  <c r="M1064" i="15"/>
  <c r="N1064" i="15"/>
  <c r="O1064" i="15"/>
  <c r="P1064" i="15"/>
  <c r="Q1064" i="15"/>
  <c r="T1064" i="15"/>
  <c r="U1064" i="15"/>
  <c r="V1064" i="15"/>
  <c r="W1064" i="15"/>
  <c r="X1064" i="15"/>
  <c r="Y1064" i="15"/>
  <c r="Z1064" i="15"/>
  <c r="AA1064" i="15"/>
  <c r="B1065" i="15"/>
  <c r="C1065" i="15"/>
  <c r="D1065" i="15"/>
  <c r="E1065" i="15"/>
  <c r="J1065" i="15"/>
  <c r="K1065" i="15"/>
  <c r="L1065" i="15"/>
  <c r="M1065" i="15"/>
  <c r="N1065" i="15"/>
  <c r="O1065" i="15"/>
  <c r="P1065" i="15"/>
  <c r="Q1065" i="15"/>
  <c r="T1065" i="15"/>
  <c r="U1065" i="15"/>
  <c r="V1065" i="15"/>
  <c r="W1065" i="15"/>
  <c r="X1065" i="15"/>
  <c r="Y1065" i="15"/>
  <c r="Z1065" i="15"/>
  <c r="AA1065" i="15"/>
  <c r="B1066" i="15"/>
  <c r="C1066" i="15"/>
  <c r="D1066" i="15"/>
  <c r="E1066" i="15"/>
  <c r="J1066" i="15"/>
  <c r="K1066" i="15"/>
  <c r="L1066" i="15"/>
  <c r="M1066" i="15"/>
  <c r="N1066" i="15"/>
  <c r="O1066" i="15"/>
  <c r="P1066" i="15"/>
  <c r="Q1066" i="15"/>
  <c r="T1066" i="15"/>
  <c r="U1066" i="15"/>
  <c r="V1066" i="15"/>
  <c r="W1066" i="15"/>
  <c r="X1066" i="15"/>
  <c r="Y1066" i="15"/>
  <c r="Z1066" i="15"/>
  <c r="AA1066" i="15"/>
  <c r="B1067" i="15"/>
  <c r="C1067" i="15"/>
  <c r="D1067" i="15"/>
  <c r="E1067" i="15"/>
  <c r="J1067" i="15"/>
  <c r="K1067" i="15"/>
  <c r="L1067" i="15"/>
  <c r="M1067" i="15"/>
  <c r="N1067" i="15"/>
  <c r="O1067" i="15"/>
  <c r="P1067" i="15"/>
  <c r="Q1067" i="15"/>
  <c r="T1067" i="15"/>
  <c r="U1067" i="15"/>
  <c r="V1067" i="15"/>
  <c r="W1067" i="15"/>
  <c r="X1067" i="15"/>
  <c r="Y1067" i="15"/>
  <c r="Z1067" i="15"/>
  <c r="AA1067" i="15"/>
  <c r="B1068" i="15"/>
  <c r="C1068" i="15"/>
  <c r="D1068" i="15"/>
  <c r="E1068" i="15"/>
  <c r="J1068" i="15"/>
  <c r="K1068" i="15"/>
  <c r="L1068" i="15"/>
  <c r="M1068" i="15"/>
  <c r="N1068" i="15"/>
  <c r="O1068" i="15"/>
  <c r="P1068" i="15"/>
  <c r="Q1068" i="15"/>
  <c r="T1068" i="15"/>
  <c r="U1068" i="15"/>
  <c r="V1068" i="15"/>
  <c r="W1068" i="15"/>
  <c r="X1068" i="15"/>
  <c r="Y1068" i="15"/>
  <c r="Z1068" i="15"/>
  <c r="AA1068" i="15"/>
  <c r="B1069" i="15"/>
  <c r="C1069" i="15"/>
  <c r="D1069" i="15"/>
  <c r="E1069" i="15"/>
  <c r="J1069" i="15"/>
  <c r="K1069" i="15"/>
  <c r="L1069" i="15"/>
  <c r="M1069" i="15"/>
  <c r="N1069" i="15"/>
  <c r="O1069" i="15"/>
  <c r="P1069" i="15"/>
  <c r="Q1069" i="15"/>
  <c r="T1069" i="15"/>
  <c r="U1069" i="15"/>
  <c r="V1069" i="15"/>
  <c r="W1069" i="15"/>
  <c r="X1069" i="15"/>
  <c r="Y1069" i="15"/>
  <c r="Z1069" i="15"/>
  <c r="AA1069" i="15"/>
  <c r="B1070" i="15"/>
  <c r="C1070" i="15"/>
  <c r="D1070" i="15"/>
  <c r="E1070" i="15"/>
  <c r="J1070" i="15"/>
  <c r="K1070" i="15"/>
  <c r="L1070" i="15"/>
  <c r="M1070" i="15"/>
  <c r="N1070" i="15"/>
  <c r="O1070" i="15"/>
  <c r="P1070" i="15"/>
  <c r="Q1070" i="15"/>
  <c r="T1070" i="15"/>
  <c r="U1070" i="15"/>
  <c r="V1070" i="15"/>
  <c r="W1070" i="15"/>
  <c r="X1070" i="15"/>
  <c r="Y1070" i="15"/>
  <c r="Z1070" i="15"/>
  <c r="AA1070" i="15"/>
  <c r="B1071" i="15"/>
  <c r="C1071" i="15"/>
  <c r="D1071" i="15"/>
  <c r="E1071" i="15"/>
  <c r="J1071" i="15"/>
  <c r="K1071" i="15"/>
  <c r="L1071" i="15"/>
  <c r="M1071" i="15"/>
  <c r="N1071" i="15"/>
  <c r="O1071" i="15"/>
  <c r="P1071" i="15"/>
  <c r="Q1071" i="15"/>
  <c r="T1071" i="15"/>
  <c r="U1071" i="15"/>
  <c r="V1071" i="15"/>
  <c r="W1071" i="15"/>
  <c r="X1071" i="15"/>
  <c r="Y1071" i="15"/>
  <c r="Z1071" i="15"/>
  <c r="AA1071" i="15"/>
  <c r="B1072" i="15"/>
  <c r="C1072" i="15"/>
  <c r="D1072" i="15"/>
  <c r="E1072" i="15"/>
  <c r="J1072" i="15"/>
  <c r="K1072" i="15"/>
  <c r="L1072" i="15"/>
  <c r="M1072" i="15"/>
  <c r="N1072" i="15"/>
  <c r="O1072" i="15"/>
  <c r="P1072" i="15"/>
  <c r="Q1072" i="15"/>
  <c r="T1072" i="15"/>
  <c r="U1072" i="15"/>
  <c r="V1072" i="15"/>
  <c r="W1072" i="15"/>
  <c r="X1072" i="15"/>
  <c r="Y1072" i="15"/>
  <c r="Z1072" i="15"/>
  <c r="AA1072" i="15"/>
  <c r="B1073" i="15"/>
  <c r="C1073" i="15"/>
  <c r="D1073" i="15"/>
  <c r="E1073" i="15"/>
  <c r="J1073" i="15"/>
  <c r="K1073" i="15"/>
  <c r="L1073" i="15"/>
  <c r="M1073" i="15"/>
  <c r="N1073" i="15"/>
  <c r="O1073" i="15"/>
  <c r="P1073" i="15"/>
  <c r="Q1073" i="15"/>
  <c r="T1073" i="15"/>
  <c r="U1073" i="15"/>
  <c r="V1073" i="15"/>
  <c r="W1073" i="15"/>
  <c r="X1073" i="15"/>
  <c r="Y1073" i="15"/>
  <c r="Z1073" i="15"/>
  <c r="AA1073" i="15"/>
  <c r="B1074" i="15"/>
  <c r="C1074" i="15"/>
  <c r="D1074" i="15"/>
  <c r="E1074" i="15"/>
  <c r="J1074" i="15"/>
  <c r="K1074" i="15"/>
  <c r="L1074" i="15"/>
  <c r="M1074" i="15"/>
  <c r="N1074" i="15"/>
  <c r="O1074" i="15"/>
  <c r="P1074" i="15"/>
  <c r="Q1074" i="15"/>
  <c r="T1074" i="15"/>
  <c r="U1074" i="15"/>
  <c r="V1074" i="15"/>
  <c r="W1074" i="15"/>
  <c r="X1074" i="15"/>
  <c r="Y1074" i="15"/>
  <c r="Z1074" i="15"/>
  <c r="AA1074" i="15"/>
  <c r="B1075" i="15"/>
  <c r="C1075" i="15"/>
  <c r="D1075" i="15"/>
  <c r="E1075" i="15"/>
  <c r="J1075" i="15"/>
  <c r="K1075" i="15"/>
  <c r="L1075" i="15"/>
  <c r="M1075" i="15"/>
  <c r="N1075" i="15"/>
  <c r="O1075" i="15"/>
  <c r="P1075" i="15"/>
  <c r="Q1075" i="15"/>
  <c r="T1075" i="15"/>
  <c r="U1075" i="15"/>
  <c r="V1075" i="15"/>
  <c r="W1075" i="15"/>
  <c r="X1075" i="15"/>
  <c r="Y1075" i="15"/>
  <c r="Z1075" i="15"/>
  <c r="AA1075" i="15"/>
  <c r="B1076" i="15"/>
  <c r="C1076" i="15"/>
  <c r="D1076" i="15"/>
  <c r="E1076" i="15"/>
  <c r="J1076" i="15"/>
  <c r="K1076" i="15"/>
  <c r="L1076" i="15"/>
  <c r="M1076" i="15"/>
  <c r="N1076" i="15"/>
  <c r="O1076" i="15"/>
  <c r="P1076" i="15"/>
  <c r="Q1076" i="15"/>
  <c r="T1076" i="15"/>
  <c r="U1076" i="15"/>
  <c r="V1076" i="15"/>
  <c r="W1076" i="15"/>
  <c r="X1076" i="15"/>
  <c r="Y1076" i="15"/>
  <c r="Z1076" i="15"/>
  <c r="AA1076" i="15"/>
  <c r="B1077" i="15"/>
  <c r="C1077" i="15"/>
  <c r="D1077" i="15"/>
  <c r="E1077" i="15"/>
  <c r="J1077" i="15"/>
  <c r="K1077" i="15"/>
  <c r="L1077" i="15"/>
  <c r="M1077" i="15"/>
  <c r="N1077" i="15"/>
  <c r="O1077" i="15"/>
  <c r="P1077" i="15"/>
  <c r="Q1077" i="15"/>
  <c r="T1077" i="15"/>
  <c r="U1077" i="15"/>
  <c r="V1077" i="15"/>
  <c r="W1077" i="15"/>
  <c r="X1077" i="15"/>
  <c r="Y1077" i="15"/>
  <c r="Z1077" i="15"/>
  <c r="AA1077" i="15"/>
  <c r="B1078" i="15"/>
  <c r="C1078" i="15"/>
  <c r="D1078" i="15"/>
  <c r="E1078" i="15"/>
  <c r="J1078" i="15"/>
  <c r="K1078" i="15"/>
  <c r="L1078" i="15"/>
  <c r="M1078" i="15"/>
  <c r="N1078" i="15"/>
  <c r="O1078" i="15"/>
  <c r="P1078" i="15"/>
  <c r="Q1078" i="15"/>
  <c r="T1078" i="15"/>
  <c r="U1078" i="15"/>
  <c r="V1078" i="15"/>
  <c r="W1078" i="15"/>
  <c r="X1078" i="15"/>
  <c r="Y1078" i="15"/>
  <c r="Z1078" i="15"/>
  <c r="AA1078" i="15"/>
  <c r="B1079" i="15"/>
  <c r="C1079" i="15"/>
  <c r="D1079" i="15"/>
  <c r="E1079" i="15"/>
  <c r="J1079" i="15"/>
  <c r="K1079" i="15"/>
  <c r="L1079" i="15"/>
  <c r="M1079" i="15"/>
  <c r="N1079" i="15"/>
  <c r="O1079" i="15"/>
  <c r="P1079" i="15"/>
  <c r="Q1079" i="15"/>
  <c r="T1079" i="15"/>
  <c r="U1079" i="15"/>
  <c r="V1079" i="15"/>
  <c r="W1079" i="15"/>
  <c r="X1079" i="15"/>
  <c r="Y1079" i="15"/>
  <c r="Z1079" i="15"/>
  <c r="AA1079" i="15"/>
  <c r="B1080" i="15"/>
  <c r="C1080" i="15"/>
  <c r="D1080" i="15"/>
  <c r="E1080" i="15"/>
  <c r="J1080" i="15"/>
  <c r="K1080" i="15"/>
  <c r="L1080" i="15"/>
  <c r="M1080" i="15"/>
  <c r="N1080" i="15"/>
  <c r="O1080" i="15"/>
  <c r="P1080" i="15"/>
  <c r="Q1080" i="15"/>
  <c r="T1080" i="15"/>
  <c r="U1080" i="15"/>
  <c r="V1080" i="15"/>
  <c r="W1080" i="15"/>
  <c r="X1080" i="15"/>
  <c r="Y1080" i="15"/>
  <c r="Z1080" i="15"/>
  <c r="AA1080" i="15"/>
  <c r="B1081" i="15"/>
  <c r="C1081" i="15"/>
  <c r="D1081" i="15"/>
  <c r="E1081" i="15"/>
  <c r="J1081" i="15"/>
  <c r="K1081" i="15"/>
  <c r="L1081" i="15"/>
  <c r="M1081" i="15"/>
  <c r="N1081" i="15"/>
  <c r="O1081" i="15"/>
  <c r="P1081" i="15"/>
  <c r="Q1081" i="15"/>
  <c r="T1081" i="15"/>
  <c r="U1081" i="15"/>
  <c r="V1081" i="15"/>
  <c r="W1081" i="15"/>
  <c r="X1081" i="15"/>
  <c r="Y1081" i="15"/>
  <c r="Z1081" i="15"/>
  <c r="AA1081" i="15"/>
  <c r="B1082" i="15"/>
  <c r="C1082" i="15"/>
  <c r="D1082" i="15"/>
  <c r="E1082" i="15"/>
  <c r="J1082" i="15"/>
  <c r="K1082" i="15"/>
  <c r="L1082" i="15"/>
  <c r="M1082" i="15"/>
  <c r="N1082" i="15"/>
  <c r="O1082" i="15"/>
  <c r="P1082" i="15"/>
  <c r="Q1082" i="15"/>
  <c r="T1082" i="15"/>
  <c r="U1082" i="15"/>
  <c r="V1082" i="15"/>
  <c r="W1082" i="15"/>
  <c r="X1082" i="15"/>
  <c r="Y1082" i="15"/>
  <c r="Z1082" i="15"/>
  <c r="AA1082" i="15"/>
  <c r="B1083" i="15"/>
  <c r="C1083" i="15"/>
  <c r="D1083" i="15"/>
  <c r="E1083" i="15"/>
  <c r="J1083" i="15"/>
  <c r="K1083" i="15"/>
  <c r="L1083" i="15"/>
  <c r="M1083" i="15"/>
  <c r="N1083" i="15"/>
  <c r="O1083" i="15"/>
  <c r="P1083" i="15"/>
  <c r="Q1083" i="15"/>
  <c r="T1083" i="15"/>
  <c r="U1083" i="15"/>
  <c r="V1083" i="15"/>
  <c r="W1083" i="15"/>
  <c r="X1083" i="15"/>
  <c r="Y1083" i="15"/>
  <c r="Z1083" i="15"/>
  <c r="AA1083" i="15"/>
  <c r="B1084" i="15"/>
  <c r="C1084" i="15"/>
  <c r="D1084" i="15"/>
  <c r="E1084" i="15"/>
  <c r="J1084" i="15"/>
  <c r="K1084" i="15"/>
  <c r="L1084" i="15"/>
  <c r="M1084" i="15"/>
  <c r="N1084" i="15"/>
  <c r="O1084" i="15"/>
  <c r="P1084" i="15"/>
  <c r="Q1084" i="15"/>
  <c r="T1084" i="15"/>
  <c r="U1084" i="15"/>
  <c r="V1084" i="15"/>
  <c r="W1084" i="15"/>
  <c r="X1084" i="15"/>
  <c r="Y1084" i="15"/>
  <c r="Z1084" i="15"/>
  <c r="AA1084" i="15"/>
  <c r="B1085" i="15"/>
  <c r="C1085" i="15"/>
  <c r="D1085" i="15"/>
  <c r="E1085" i="15"/>
  <c r="J1085" i="15"/>
  <c r="K1085" i="15"/>
  <c r="L1085" i="15"/>
  <c r="M1085" i="15"/>
  <c r="N1085" i="15"/>
  <c r="O1085" i="15"/>
  <c r="P1085" i="15"/>
  <c r="Q1085" i="15"/>
  <c r="T1085" i="15"/>
  <c r="U1085" i="15"/>
  <c r="V1085" i="15"/>
  <c r="W1085" i="15"/>
  <c r="X1085" i="15"/>
  <c r="Y1085" i="15"/>
  <c r="Z1085" i="15"/>
  <c r="AA1085" i="15"/>
  <c r="B1086" i="15"/>
  <c r="C1086" i="15"/>
  <c r="D1086" i="15"/>
  <c r="E1086" i="15"/>
  <c r="J1086" i="15"/>
  <c r="K1086" i="15"/>
  <c r="L1086" i="15"/>
  <c r="M1086" i="15"/>
  <c r="N1086" i="15"/>
  <c r="O1086" i="15"/>
  <c r="P1086" i="15"/>
  <c r="Q1086" i="15"/>
  <c r="T1086" i="15"/>
  <c r="U1086" i="15"/>
  <c r="V1086" i="15"/>
  <c r="W1086" i="15"/>
  <c r="X1086" i="15"/>
  <c r="Y1086" i="15"/>
  <c r="Z1086" i="15"/>
  <c r="AA1086" i="15"/>
  <c r="B1087" i="15"/>
  <c r="C1087" i="15"/>
  <c r="D1087" i="15"/>
  <c r="E1087" i="15"/>
  <c r="J1087" i="15"/>
  <c r="K1087" i="15"/>
  <c r="L1087" i="15"/>
  <c r="M1087" i="15"/>
  <c r="N1087" i="15"/>
  <c r="O1087" i="15"/>
  <c r="P1087" i="15"/>
  <c r="Q1087" i="15"/>
  <c r="T1087" i="15"/>
  <c r="U1087" i="15"/>
  <c r="V1087" i="15"/>
  <c r="W1087" i="15"/>
  <c r="X1087" i="15"/>
  <c r="Y1087" i="15"/>
  <c r="Z1087" i="15"/>
  <c r="AA1087" i="15"/>
  <c r="B1088" i="15"/>
  <c r="C1088" i="15"/>
  <c r="D1088" i="15"/>
  <c r="E1088" i="15"/>
  <c r="J1088" i="15"/>
  <c r="K1088" i="15"/>
  <c r="L1088" i="15"/>
  <c r="M1088" i="15"/>
  <c r="N1088" i="15"/>
  <c r="O1088" i="15"/>
  <c r="P1088" i="15"/>
  <c r="Q1088" i="15"/>
  <c r="T1088" i="15"/>
  <c r="U1088" i="15"/>
  <c r="V1088" i="15"/>
  <c r="W1088" i="15"/>
  <c r="X1088" i="15"/>
  <c r="Y1088" i="15"/>
  <c r="Z1088" i="15"/>
  <c r="AA1088" i="15"/>
  <c r="B1089" i="15"/>
  <c r="C1089" i="15"/>
  <c r="D1089" i="15"/>
  <c r="E1089" i="15"/>
  <c r="J1089" i="15"/>
  <c r="K1089" i="15"/>
  <c r="L1089" i="15"/>
  <c r="M1089" i="15"/>
  <c r="N1089" i="15"/>
  <c r="O1089" i="15"/>
  <c r="P1089" i="15"/>
  <c r="Q1089" i="15"/>
  <c r="T1089" i="15"/>
  <c r="U1089" i="15"/>
  <c r="V1089" i="15"/>
  <c r="W1089" i="15"/>
  <c r="X1089" i="15"/>
  <c r="Y1089" i="15"/>
  <c r="Z1089" i="15"/>
  <c r="AA1089" i="15"/>
  <c r="B1090" i="15"/>
  <c r="C1090" i="15"/>
  <c r="D1090" i="15"/>
  <c r="E1090" i="15"/>
  <c r="J1090" i="15"/>
  <c r="K1090" i="15"/>
  <c r="L1090" i="15"/>
  <c r="M1090" i="15"/>
  <c r="N1090" i="15"/>
  <c r="O1090" i="15"/>
  <c r="P1090" i="15"/>
  <c r="Q1090" i="15"/>
  <c r="T1090" i="15"/>
  <c r="U1090" i="15"/>
  <c r="V1090" i="15"/>
  <c r="W1090" i="15"/>
  <c r="X1090" i="15"/>
  <c r="Y1090" i="15"/>
  <c r="Z1090" i="15"/>
  <c r="AA1090" i="15"/>
  <c r="B1091" i="15"/>
  <c r="C1091" i="15"/>
  <c r="D1091" i="15"/>
  <c r="E1091" i="15"/>
  <c r="J1091" i="15"/>
  <c r="K1091" i="15"/>
  <c r="L1091" i="15"/>
  <c r="M1091" i="15"/>
  <c r="N1091" i="15"/>
  <c r="O1091" i="15"/>
  <c r="P1091" i="15"/>
  <c r="Q1091" i="15"/>
  <c r="T1091" i="15"/>
  <c r="U1091" i="15"/>
  <c r="V1091" i="15"/>
  <c r="W1091" i="15"/>
  <c r="X1091" i="15"/>
  <c r="Y1091" i="15"/>
  <c r="Z1091" i="15"/>
  <c r="AA1091" i="15"/>
  <c r="B1092" i="15"/>
  <c r="C1092" i="15"/>
  <c r="D1092" i="15"/>
  <c r="E1092" i="15"/>
  <c r="J1092" i="15"/>
  <c r="K1092" i="15"/>
  <c r="L1092" i="15"/>
  <c r="M1092" i="15"/>
  <c r="N1092" i="15"/>
  <c r="O1092" i="15"/>
  <c r="P1092" i="15"/>
  <c r="Q1092" i="15"/>
  <c r="T1092" i="15"/>
  <c r="U1092" i="15"/>
  <c r="V1092" i="15"/>
  <c r="W1092" i="15"/>
  <c r="X1092" i="15"/>
  <c r="Y1092" i="15"/>
  <c r="Z1092" i="15"/>
  <c r="AA1092" i="15"/>
  <c r="B1093" i="15"/>
  <c r="C1093" i="15"/>
  <c r="D1093" i="15"/>
  <c r="E1093" i="15"/>
  <c r="J1093" i="15"/>
  <c r="K1093" i="15"/>
  <c r="L1093" i="15"/>
  <c r="M1093" i="15"/>
  <c r="N1093" i="15"/>
  <c r="O1093" i="15"/>
  <c r="P1093" i="15"/>
  <c r="Q1093" i="15"/>
  <c r="T1093" i="15"/>
  <c r="U1093" i="15"/>
  <c r="V1093" i="15"/>
  <c r="W1093" i="15"/>
  <c r="X1093" i="15"/>
  <c r="Y1093" i="15"/>
  <c r="Z1093" i="15"/>
  <c r="AA1093" i="15"/>
  <c r="B1094" i="15"/>
  <c r="C1094" i="15"/>
  <c r="D1094" i="15"/>
  <c r="E1094" i="15"/>
  <c r="J1094" i="15"/>
  <c r="K1094" i="15"/>
  <c r="L1094" i="15"/>
  <c r="M1094" i="15"/>
  <c r="N1094" i="15"/>
  <c r="O1094" i="15"/>
  <c r="P1094" i="15"/>
  <c r="Q1094" i="15"/>
  <c r="T1094" i="15"/>
  <c r="U1094" i="15"/>
  <c r="V1094" i="15"/>
  <c r="W1094" i="15"/>
  <c r="X1094" i="15"/>
  <c r="Y1094" i="15"/>
  <c r="Z1094" i="15"/>
  <c r="AA1094" i="15"/>
  <c r="B1095" i="15"/>
  <c r="C1095" i="15"/>
  <c r="D1095" i="15"/>
  <c r="E1095" i="15"/>
  <c r="J1095" i="15"/>
  <c r="K1095" i="15"/>
  <c r="L1095" i="15"/>
  <c r="M1095" i="15"/>
  <c r="N1095" i="15"/>
  <c r="O1095" i="15"/>
  <c r="P1095" i="15"/>
  <c r="Q1095" i="15"/>
  <c r="T1095" i="15"/>
  <c r="U1095" i="15"/>
  <c r="V1095" i="15"/>
  <c r="W1095" i="15"/>
  <c r="X1095" i="15"/>
  <c r="Y1095" i="15"/>
  <c r="Z1095" i="15"/>
  <c r="AA1095" i="15"/>
  <c r="B1096" i="15"/>
  <c r="C1096" i="15"/>
  <c r="D1096" i="15"/>
  <c r="E1096" i="15"/>
  <c r="J1096" i="15"/>
  <c r="K1096" i="15"/>
  <c r="L1096" i="15"/>
  <c r="M1096" i="15"/>
  <c r="N1096" i="15"/>
  <c r="O1096" i="15"/>
  <c r="P1096" i="15"/>
  <c r="Q1096" i="15"/>
  <c r="T1096" i="15"/>
  <c r="U1096" i="15"/>
  <c r="V1096" i="15"/>
  <c r="W1096" i="15"/>
  <c r="X1096" i="15"/>
  <c r="Y1096" i="15"/>
  <c r="Z1096" i="15"/>
  <c r="AA1096" i="15"/>
  <c r="B1097" i="15"/>
  <c r="C1097" i="15"/>
  <c r="D1097" i="15"/>
  <c r="E1097" i="15"/>
  <c r="J1097" i="15"/>
  <c r="K1097" i="15"/>
  <c r="L1097" i="15"/>
  <c r="M1097" i="15"/>
  <c r="N1097" i="15"/>
  <c r="O1097" i="15"/>
  <c r="P1097" i="15"/>
  <c r="Q1097" i="15"/>
  <c r="T1097" i="15"/>
  <c r="U1097" i="15"/>
  <c r="V1097" i="15"/>
  <c r="W1097" i="15"/>
  <c r="X1097" i="15"/>
  <c r="Y1097" i="15"/>
  <c r="Z1097" i="15"/>
  <c r="AA1097" i="15"/>
  <c r="B1098" i="15"/>
  <c r="C1098" i="15"/>
  <c r="D1098" i="15"/>
  <c r="E1098" i="15"/>
  <c r="J1098" i="15"/>
  <c r="K1098" i="15"/>
  <c r="L1098" i="15"/>
  <c r="M1098" i="15"/>
  <c r="N1098" i="15"/>
  <c r="O1098" i="15"/>
  <c r="P1098" i="15"/>
  <c r="Q1098" i="15"/>
  <c r="T1098" i="15"/>
  <c r="U1098" i="15"/>
  <c r="V1098" i="15"/>
  <c r="W1098" i="15"/>
  <c r="X1098" i="15"/>
  <c r="Y1098" i="15"/>
  <c r="Z1098" i="15"/>
  <c r="AA1098" i="15"/>
  <c r="B1099" i="15"/>
  <c r="C1099" i="15"/>
  <c r="D1099" i="15"/>
  <c r="E1099" i="15"/>
  <c r="J1099" i="15"/>
  <c r="K1099" i="15"/>
  <c r="L1099" i="15"/>
  <c r="M1099" i="15"/>
  <c r="N1099" i="15"/>
  <c r="O1099" i="15"/>
  <c r="P1099" i="15"/>
  <c r="Q1099" i="15"/>
  <c r="T1099" i="15"/>
  <c r="U1099" i="15"/>
  <c r="V1099" i="15"/>
  <c r="W1099" i="15"/>
  <c r="X1099" i="15"/>
  <c r="Y1099" i="15"/>
  <c r="Z1099" i="15"/>
  <c r="AA1099" i="15"/>
  <c r="B1100" i="15"/>
  <c r="C1100" i="15"/>
  <c r="D1100" i="15"/>
  <c r="E1100" i="15"/>
  <c r="J1100" i="15"/>
  <c r="K1100" i="15"/>
  <c r="L1100" i="15"/>
  <c r="M1100" i="15"/>
  <c r="N1100" i="15"/>
  <c r="O1100" i="15"/>
  <c r="P1100" i="15"/>
  <c r="Q1100" i="15"/>
  <c r="T1100" i="15"/>
  <c r="U1100" i="15"/>
  <c r="V1100" i="15"/>
  <c r="W1100" i="15"/>
  <c r="X1100" i="15"/>
  <c r="Y1100" i="15"/>
  <c r="Z1100" i="15"/>
  <c r="AA1100" i="15"/>
  <c r="B1101" i="15"/>
  <c r="C1101" i="15"/>
  <c r="D1101" i="15"/>
  <c r="E1101" i="15"/>
  <c r="J1101" i="15"/>
  <c r="K1101" i="15"/>
  <c r="L1101" i="15"/>
  <c r="M1101" i="15"/>
  <c r="N1101" i="15"/>
  <c r="O1101" i="15"/>
  <c r="P1101" i="15"/>
  <c r="Q1101" i="15"/>
  <c r="T1101" i="15"/>
  <c r="U1101" i="15"/>
  <c r="V1101" i="15"/>
  <c r="W1101" i="15"/>
  <c r="X1101" i="15"/>
  <c r="Y1101" i="15"/>
  <c r="Z1101" i="15"/>
  <c r="AA1101" i="15"/>
  <c r="B1102" i="15"/>
  <c r="C1102" i="15"/>
  <c r="D1102" i="15"/>
  <c r="E1102" i="15"/>
  <c r="J1102" i="15"/>
  <c r="K1102" i="15"/>
  <c r="L1102" i="15"/>
  <c r="M1102" i="15"/>
  <c r="N1102" i="15"/>
  <c r="O1102" i="15"/>
  <c r="P1102" i="15"/>
  <c r="Q1102" i="15"/>
  <c r="T1102" i="15"/>
  <c r="U1102" i="15"/>
  <c r="V1102" i="15"/>
  <c r="W1102" i="15"/>
  <c r="X1102" i="15"/>
  <c r="Y1102" i="15"/>
  <c r="Z1102" i="15"/>
  <c r="AA1102" i="15"/>
  <c r="B1103" i="15"/>
  <c r="C1103" i="15"/>
  <c r="D1103" i="15"/>
  <c r="E1103" i="15"/>
  <c r="J1103" i="15"/>
  <c r="K1103" i="15"/>
  <c r="L1103" i="15"/>
  <c r="M1103" i="15"/>
  <c r="N1103" i="15"/>
  <c r="O1103" i="15"/>
  <c r="P1103" i="15"/>
  <c r="Q1103" i="15"/>
  <c r="T1103" i="15"/>
  <c r="U1103" i="15"/>
  <c r="V1103" i="15"/>
  <c r="W1103" i="15"/>
  <c r="X1103" i="15"/>
  <c r="Y1103" i="15"/>
  <c r="Z1103" i="15"/>
  <c r="AA1103" i="15"/>
  <c r="B1104" i="15"/>
  <c r="C1104" i="15"/>
  <c r="D1104" i="15"/>
  <c r="E1104" i="15"/>
  <c r="J1104" i="15"/>
  <c r="K1104" i="15"/>
  <c r="L1104" i="15"/>
  <c r="M1104" i="15"/>
  <c r="N1104" i="15"/>
  <c r="O1104" i="15"/>
  <c r="P1104" i="15"/>
  <c r="Q1104" i="15"/>
  <c r="T1104" i="15"/>
  <c r="U1104" i="15"/>
  <c r="V1104" i="15"/>
  <c r="W1104" i="15"/>
  <c r="X1104" i="15"/>
  <c r="Y1104" i="15"/>
  <c r="Z1104" i="15"/>
  <c r="AA1104" i="15"/>
  <c r="B1105" i="15"/>
  <c r="C1105" i="15"/>
  <c r="D1105" i="15"/>
  <c r="E1105" i="15"/>
  <c r="J1105" i="15"/>
  <c r="K1105" i="15"/>
  <c r="L1105" i="15"/>
  <c r="M1105" i="15"/>
  <c r="N1105" i="15"/>
  <c r="O1105" i="15"/>
  <c r="P1105" i="15"/>
  <c r="Q1105" i="15"/>
  <c r="T1105" i="15"/>
  <c r="U1105" i="15"/>
  <c r="V1105" i="15"/>
  <c r="W1105" i="15"/>
  <c r="X1105" i="15"/>
  <c r="Y1105" i="15"/>
  <c r="Z1105" i="15"/>
  <c r="AA1105" i="15"/>
  <c r="B1106" i="15"/>
  <c r="C1106" i="15"/>
  <c r="D1106" i="15"/>
  <c r="E1106" i="15"/>
  <c r="J1106" i="15"/>
  <c r="K1106" i="15"/>
  <c r="L1106" i="15"/>
  <c r="M1106" i="15"/>
  <c r="N1106" i="15"/>
  <c r="O1106" i="15"/>
  <c r="P1106" i="15"/>
  <c r="Q1106" i="15"/>
  <c r="T1106" i="15"/>
  <c r="U1106" i="15"/>
  <c r="V1106" i="15"/>
  <c r="W1106" i="15"/>
  <c r="X1106" i="15"/>
  <c r="Y1106" i="15"/>
  <c r="Z1106" i="15"/>
  <c r="AA1106" i="15"/>
  <c r="B1107" i="15"/>
  <c r="C1107" i="15"/>
  <c r="D1107" i="15"/>
  <c r="E1107" i="15"/>
  <c r="J1107" i="15"/>
  <c r="K1107" i="15"/>
  <c r="L1107" i="15"/>
  <c r="M1107" i="15"/>
  <c r="N1107" i="15"/>
  <c r="O1107" i="15"/>
  <c r="P1107" i="15"/>
  <c r="Q1107" i="15"/>
  <c r="T1107" i="15"/>
  <c r="U1107" i="15"/>
  <c r="V1107" i="15"/>
  <c r="W1107" i="15"/>
  <c r="X1107" i="15"/>
  <c r="Y1107" i="15"/>
  <c r="Z1107" i="15"/>
  <c r="AA1107" i="15"/>
  <c r="B1108" i="15"/>
  <c r="C1108" i="15"/>
  <c r="D1108" i="15"/>
  <c r="E1108" i="15"/>
  <c r="J1108" i="15"/>
  <c r="K1108" i="15"/>
  <c r="L1108" i="15"/>
  <c r="M1108" i="15"/>
  <c r="N1108" i="15"/>
  <c r="O1108" i="15"/>
  <c r="P1108" i="15"/>
  <c r="Q1108" i="15"/>
  <c r="T1108" i="15"/>
  <c r="U1108" i="15"/>
  <c r="V1108" i="15"/>
  <c r="W1108" i="15"/>
  <c r="X1108" i="15"/>
  <c r="Y1108" i="15"/>
  <c r="Z1108" i="15"/>
  <c r="AA1108" i="15"/>
  <c r="B1109" i="15"/>
  <c r="C1109" i="15"/>
  <c r="D1109" i="15"/>
  <c r="E1109" i="15"/>
  <c r="J1109" i="15"/>
  <c r="K1109" i="15"/>
  <c r="L1109" i="15"/>
  <c r="M1109" i="15"/>
  <c r="N1109" i="15"/>
  <c r="O1109" i="15"/>
  <c r="P1109" i="15"/>
  <c r="Q1109" i="15"/>
  <c r="T1109" i="15"/>
  <c r="U1109" i="15"/>
  <c r="V1109" i="15"/>
  <c r="W1109" i="15"/>
  <c r="X1109" i="15"/>
  <c r="Y1109" i="15"/>
  <c r="Z1109" i="15"/>
  <c r="AA1109" i="15"/>
  <c r="B1110" i="15"/>
  <c r="C1110" i="15"/>
  <c r="D1110" i="15"/>
  <c r="E1110" i="15"/>
  <c r="J1110" i="15"/>
  <c r="K1110" i="15"/>
  <c r="L1110" i="15"/>
  <c r="M1110" i="15"/>
  <c r="N1110" i="15"/>
  <c r="O1110" i="15"/>
  <c r="P1110" i="15"/>
  <c r="Q1110" i="15"/>
  <c r="T1110" i="15"/>
  <c r="U1110" i="15"/>
  <c r="V1110" i="15"/>
  <c r="W1110" i="15"/>
  <c r="X1110" i="15"/>
  <c r="Y1110" i="15"/>
  <c r="Z1110" i="15"/>
  <c r="AA1110" i="15"/>
  <c r="B1111" i="15"/>
  <c r="C1111" i="15"/>
  <c r="D1111" i="15"/>
  <c r="E1111" i="15"/>
  <c r="J1111" i="15"/>
  <c r="K1111" i="15"/>
  <c r="L1111" i="15"/>
  <c r="M1111" i="15"/>
  <c r="N1111" i="15"/>
  <c r="O1111" i="15"/>
  <c r="P1111" i="15"/>
  <c r="Q1111" i="15"/>
  <c r="T1111" i="15"/>
  <c r="U1111" i="15"/>
  <c r="V1111" i="15"/>
  <c r="W1111" i="15"/>
  <c r="X1111" i="15"/>
  <c r="Y1111" i="15"/>
  <c r="Z1111" i="15"/>
  <c r="AA1111" i="15"/>
  <c r="B1112" i="15"/>
  <c r="C1112" i="15"/>
  <c r="D1112" i="15"/>
  <c r="E1112" i="15"/>
  <c r="J1112" i="15"/>
  <c r="K1112" i="15"/>
  <c r="L1112" i="15"/>
  <c r="M1112" i="15"/>
  <c r="N1112" i="15"/>
  <c r="O1112" i="15"/>
  <c r="P1112" i="15"/>
  <c r="Q1112" i="15"/>
  <c r="T1112" i="15"/>
  <c r="U1112" i="15"/>
  <c r="V1112" i="15"/>
  <c r="W1112" i="15"/>
  <c r="X1112" i="15"/>
  <c r="Y1112" i="15"/>
  <c r="Z1112" i="15"/>
  <c r="AA1112" i="15"/>
  <c r="B1113" i="15"/>
  <c r="C1113" i="15"/>
  <c r="D1113" i="15"/>
  <c r="E1113" i="15"/>
  <c r="J1113" i="15"/>
  <c r="K1113" i="15"/>
  <c r="L1113" i="15"/>
  <c r="M1113" i="15"/>
  <c r="N1113" i="15"/>
  <c r="O1113" i="15"/>
  <c r="P1113" i="15"/>
  <c r="Q1113" i="15"/>
  <c r="T1113" i="15"/>
  <c r="U1113" i="15"/>
  <c r="V1113" i="15"/>
  <c r="W1113" i="15"/>
  <c r="X1113" i="15"/>
  <c r="Y1113" i="15"/>
  <c r="Z1113" i="15"/>
  <c r="AA1113" i="15"/>
  <c r="B1114" i="15"/>
  <c r="C1114" i="15"/>
  <c r="D1114" i="15"/>
  <c r="E1114" i="15"/>
  <c r="J1114" i="15"/>
  <c r="K1114" i="15"/>
  <c r="L1114" i="15"/>
  <c r="M1114" i="15"/>
  <c r="N1114" i="15"/>
  <c r="O1114" i="15"/>
  <c r="P1114" i="15"/>
  <c r="Q1114" i="15"/>
  <c r="T1114" i="15"/>
  <c r="U1114" i="15"/>
  <c r="V1114" i="15"/>
  <c r="W1114" i="15"/>
  <c r="X1114" i="15"/>
  <c r="Y1114" i="15"/>
  <c r="Z1114" i="15"/>
  <c r="AA1114" i="15"/>
  <c r="B1115" i="15"/>
  <c r="C1115" i="15"/>
  <c r="D1115" i="15"/>
  <c r="E1115" i="15"/>
  <c r="J1115" i="15"/>
  <c r="K1115" i="15"/>
  <c r="L1115" i="15"/>
  <c r="M1115" i="15"/>
  <c r="N1115" i="15"/>
  <c r="O1115" i="15"/>
  <c r="P1115" i="15"/>
  <c r="Q1115" i="15"/>
  <c r="T1115" i="15"/>
  <c r="U1115" i="15"/>
  <c r="V1115" i="15"/>
  <c r="W1115" i="15"/>
  <c r="X1115" i="15"/>
  <c r="Y1115" i="15"/>
  <c r="Z1115" i="15"/>
  <c r="AA1115" i="15"/>
  <c r="B1116" i="15"/>
  <c r="C1116" i="15"/>
  <c r="D1116" i="15"/>
  <c r="E1116" i="15"/>
  <c r="J1116" i="15"/>
  <c r="K1116" i="15"/>
  <c r="L1116" i="15"/>
  <c r="M1116" i="15"/>
  <c r="N1116" i="15"/>
  <c r="O1116" i="15"/>
  <c r="P1116" i="15"/>
  <c r="Q1116" i="15"/>
  <c r="T1116" i="15"/>
  <c r="U1116" i="15"/>
  <c r="V1116" i="15"/>
  <c r="W1116" i="15"/>
  <c r="X1116" i="15"/>
  <c r="Y1116" i="15"/>
  <c r="Z1116" i="15"/>
  <c r="AA1116" i="15"/>
  <c r="B1117" i="15"/>
  <c r="C1117" i="15"/>
  <c r="D1117" i="15"/>
  <c r="E1117" i="15"/>
  <c r="J1117" i="15"/>
  <c r="K1117" i="15"/>
  <c r="L1117" i="15"/>
  <c r="M1117" i="15"/>
  <c r="N1117" i="15"/>
  <c r="O1117" i="15"/>
  <c r="P1117" i="15"/>
  <c r="Q1117" i="15"/>
  <c r="T1117" i="15"/>
  <c r="U1117" i="15"/>
  <c r="V1117" i="15"/>
  <c r="W1117" i="15"/>
  <c r="X1117" i="15"/>
  <c r="Y1117" i="15"/>
  <c r="Z1117" i="15"/>
  <c r="AA1117" i="15"/>
  <c r="B1118" i="15"/>
  <c r="C1118" i="15"/>
  <c r="D1118" i="15"/>
  <c r="E1118" i="15"/>
  <c r="J1118" i="15"/>
  <c r="K1118" i="15"/>
  <c r="L1118" i="15"/>
  <c r="M1118" i="15"/>
  <c r="N1118" i="15"/>
  <c r="O1118" i="15"/>
  <c r="P1118" i="15"/>
  <c r="Q1118" i="15"/>
  <c r="T1118" i="15"/>
  <c r="U1118" i="15"/>
  <c r="V1118" i="15"/>
  <c r="W1118" i="15"/>
  <c r="X1118" i="15"/>
  <c r="Y1118" i="15"/>
  <c r="Z1118" i="15"/>
  <c r="AA1118" i="15"/>
  <c r="B1119" i="15"/>
  <c r="C1119" i="15"/>
  <c r="D1119" i="15"/>
  <c r="E1119" i="15"/>
  <c r="J1119" i="15"/>
  <c r="K1119" i="15"/>
  <c r="L1119" i="15"/>
  <c r="M1119" i="15"/>
  <c r="N1119" i="15"/>
  <c r="O1119" i="15"/>
  <c r="P1119" i="15"/>
  <c r="Q1119" i="15"/>
  <c r="T1119" i="15"/>
  <c r="U1119" i="15"/>
  <c r="V1119" i="15"/>
  <c r="W1119" i="15"/>
  <c r="X1119" i="15"/>
  <c r="Y1119" i="15"/>
  <c r="Z1119" i="15"/>
  <c r="AA1119" i="15"/>
  <c r="B1120" i="15"/>
  <c r="C1120" i="15"/>
  <c r="D1120" i="15"/>
  <c r="E1120" i="15"/>
  <c r="J1120" i="15"/>
  <c r="K1120" i="15"/>
  <c r="L1120" i="15"/>
  <c r="M1120" i="15"/>
  <c r="N1120" i="15"/>
  <c r="O1120" i="15"/>
  <c r="P1120" i="15"/>
  <c r="Q1120" i="15"/>
  <c r="T1120" i="15"/>
  <c r="U1120" i="15"/>
  <c r="V1120" i="15"/>
  <c r="W1120" i="15"/>
  <c r="X1120" i="15"/>
  <c r="Y1120" i="15"/>
  <c r="Z1120" i="15"/>
  <c r="AA1120" i="15"/>
  <c r="B1121" i="15"/>
  <c r="C1121" i="15"/>
  <c r="D1121" i="15"/>
  <c r="E1121" i="15"/>
  <c r="J1121" i="15"/>
  <c r="K1121" i="15"/>
  <c r="L1121" i="15"/>
  <c r="M1121" i="15"/>
  <c r="N1121" i="15"/>
  <c r="O1121" i="15"/>
  <c r="P1121" i="15"/>
  <c r="Q1121" i="15"/>
  <c r="T1121" i="15"/>
  <c r="U1121" i="15"/>
  <c r="V1121" i="15"/>
  <c r="W1121" i="15"/>
  <c r="X1121" i="15"/>
  <c r="Y1121" i="15"/>
  <c r="Z1121" i="15"/>
  <c r="AA1121" i="15"/>
  <c r="B1122" i="15"/>
  <c r="C1122" i="15"/>
  <c r="D1122" i="15"/>
  <c r="E1122" i="15"/>
  <c r="J1122" i="15"/>
  <c r="K1122" i="15"/>
  <c r="L1122" i="15"/>
  <c r="M1122" i="15"/>
  <c r="N1122" i="15"/>
  <c r="O1122" i="15"/>
  <c r="P1122" i="15"/>
  <c r="Q1122" i="15"/>
  <c r="T1122" i="15"/>
  <c r="U1122" i="15"/>
  <c r="V1122" i="15"/>
  <c r="W1122" i="15"/>
  <c r="X1122" i="15"/>
  <c r="Y1122" i="15"/>
  <c r="Z1122" i="15"/>
  <c r="AA1122" i="15"/>
  <c r="B1123" i="15"/>
  <c r="C1123" i="15"/>
  <c r="D1123" i="15"/>
  <c r="E1123" i="15"/>
  <c r="J1123" i="15"/>
  <c r="K1123" i="15"/>
  <c r="L1123" i="15"/>
  <c r="M1123" i="15"/>
  <c r="N1123" i="15"/>
  <c r="O1123" i="15"/>
  <c r="P1123" i="15"/>
  <c r="Q1123" i="15"/>
  <c r="T1123" i="15"/>
  <c r="U1123" i="15"/>
  <c r="V1123" i="15"/>
  <c r="W1123" i="15"/>
  <c r="X1123" i="15"/>
  <c r="Y1123" i="15"/>
  <c r="Z1123" i="15"/>
  <c r="AA1123" i="15"/>
  <c r="B1124" i="15"/>
  <c r="C1124" i="15"/>
  <c r="D1124" i="15"/>
  <c r="E1124" i="15"/>
  <c r="J1124" i="15"/>
  <c r="K1124" i="15"/>
  <c r="L1124" i="15"/>
  <c r="M1124" i="15"/>
  <c r="N1124" i="15"/>
  <c r="O1124" i="15"/>
  <c r="P1124" i="15"/>
  <c r="Q1124" i="15"/>
  <c r="T1124" i="15"/>
  <c r="U1124" i="15"/>
  <c r="V1124" i="15"/>
  <c r="W1124" i="15"/>
  <c r="X1124" i="15"/>
  <c r="Y1124" i="15"/>
  <c r="Z1124" i="15"/>
  <c r="AA1124" i="15"/>
  <c r="B1125" i="15"/>
  <c r="C1125" i="15"/>
  <c r="D1125" i="15"/>
  <c r="E1125" i="15"/>
  <c r="J1125" i="15"/>
  <c r="K1125" i="15"/>
  <c r="L1125" i="15"/>
  <c r="M1125" i="15"/>
  <c r="N1125" i="15"/>
  <c r="O1125" i="15"/>
  <c r="P1125" i="15"/>
  <c r="Q1125" i="15"/>
  <c r="T1125" i="15"/>
  <c r="U1125" i="15"/>
  <c r="V1125" i="15"/>
  <c r="W1125" i="15"/>
  <c r="X1125" i="15"/>
  <c r="Y1125" i="15"/>
  <c r="Z1125" i="15"/>
  <c r="AA1125" i="15"/>
  <c r="B1126" i="15"/>
  <c r="C1126" i="15"/>
  <c r="D1126" i="15"/>
  <c r="E1126" i="15"/>
  <c r="J1126" i="15"/>
  <c r="K1126" i="15"/>
  <c r="L1126" i="15"/>
  <c r="M1126" i="15"/>
  <c r="N1126" i="15"/>
  <c r="O1126" i="15"/>
  <c r="P1126" i="15"/>
  <c r="Q1126" i="15"/>
  <c r="T1126" i="15"/>
  <c r="U1126" i="15"/>
  <c r="V1126" i="15"/>
  <c r="W1126" i="15"/>
  <c r="X1126" i="15"/>
  <c r="Y1126" i="15"/>
  <c r="Z1126" i="15"/>
  <c r="AA1126" i="15"/>
  <c r="B1127" i="15"/>
  <c r="C1127" i="15"/>
  <c r="D1127" i="15"/>
  <c r="E1127" i="15"/>
  <c r="J1127" i="15"/>
  <c r="K1127" i="15"/>
  <c r="L1127" i="15"/>
  <c r="M1127" i="15"/>
  <c r="N1127" i="15"/>
  <c r="O1127" i="15"/>
  <c r="P1127" i="15"/>
  <c r="Q1127" i="15"/>
  <c r="T1127" i="15"/>
  <c r="U1127" i="15"/>
  <c r="V1127" i="15"/>
  <c r="W1127" i="15"/>
  <c r="X1127" i="15"/>
  <c r="Y1127" i="15"/>
  <c r="Z1127" i="15"/>
  <c r="AA1127" i="15"/>
  <c r="B1128" i="15"/>
  <c r="C1128" i="15"/>
  <c r="D1128" i="15"/>
  <c r="E1128" i="15"/>
  <c r="J1128" i="15"/>
  <c r="K1128" i="15"/>
  <c r="L1128" i="15"/>
  <c r="M1128" i="15"/>
  <c r="N1128" i="15"/>
  <c r="O1128" i="15"/>
  <c r="P1128" i="15"/>
  <c r="Q1128" i="15"/>
  <c r="T1128" i="15"/>
  <c r="U1128" i="15"/>
  <c r="V1128" i="15"/>
  <c r="W1128" i="15"/>
  <c r="X1128" i="15"/>
  <c r="Y1128" i="15"/>
  <c r="Z1128" i="15"/>
  <c r="AA1128" i="15"/>
  <c r="B1129" i="15"/>
  <c r="C1129" i="15"/>
  <c r="D1129" i="15"/>
  <c r="E1129" i="15"/>
  <c r="J1129" i="15"/>
  <c r="K1129" i="15"/>
  <c r="L1129" i="15"/>
  <c r="M1129" i="15"/>
  <c r="N1129" i="15"/>
  <c r="O1129" i="15"/>
  <c r="P1129" i="15"/>
  <c r="Q1129" i="15"/>
  <c r="T1129" i="15"/>
  <c r="U1129" i="15"/>
  <c r="V1129" i="15"/>
  <c r="W1129" i="15"/>
  <c r="X1129" i="15"/>
  <c r="Y1129" i="15"/>
  <c r="Z1129" i="15"/>
  <c r="AA1129" i="15"/>
  <c r="B1130" i="15"/>
  <c r="C1130" i="15"/>
  <c r="D1130" i="15"/>
  <c r="E1130" i="15"/>
  <c r="J1130" i="15"/>
  <c r="K1130" i="15"/>
  <c r="L1130" i="15"/>
  <c r="M1130" i="15"/>
  <c r="N1130" i="15"/>
  <c r="O1130" i="15"/>
  <c r="P1130" i="15"/>
  <c r="Q1130" i="15"/>
  <c r="T1130" i="15"/>
  <c r="U1130" i="15"/>
  <c r="V1130" i="15"/>
  <c r="W1130" i="15"/>
  <c r="X1130" i="15"/>
  <c r="Y1130" i="15"/>
  <c r="Z1130" i="15"/>
  <c r="AA1130" i="15"/>
  <c r="B1131" i="15"/>
  <c r="C1131" i="15"/>
  <c r="D1131" i="15"/>
  <c r="E1131" i="15"/>
  <c r="J1131" i="15"/>
  <c r="K1131" i="15"/>
  <c r="L1131" i="15"/>
  <c r="M1131" i="15"/>
  <c r="N1131" i="15"/>
  <c r="O1131" i="15"/>
  <c r="P1131" i="15"/>
  <c r="Q1131" i="15"/>
  <c r="T1131" i="15"/>
  <c r="U1131" i="15"/>
  <c r="V1131" i="15"/>
  <c r="W1131" i="15"/>
  <c r="X1131" i="15"/>
  <c r="Y1131" i="15"/>
  <c r="Z1131" i="15"/>
  <c r="AA1131" i="15"/>
  <c r="B1132" i="15"/>
  <c r="C1132" i="15"/>
  <c r="D1132" i="15"/>
  <c r="E1132" i="15"/>
  <c r="J1132" i="15"/>
  <c r="K1132" i="15"/>
  <c r="L1132" i="15"/>
  <c r="M1132" i="15"/>
  <c r="N1132" i="15"/>
  <c r="O1132" i="15"/>
  <c r="P1132" i="15"/>
  <c r="Q1132" i="15"/>
  <c r="T1132" i="15"/>
  <c r="U1132" i="15"/>
  <c r="V1132" i="15"/>
  <c r="W1132" i="15"/>
  <c r="X1132" i="15"/>
  <c r="Y1132" i="15"/>
  <c r="Z1132" i="15"/>
  <c r="AA1132" i="15"/>
  <c r="B1133" i="15"/>
  <c r="C1133" i="15"/>
  <c r="D1133" i="15"/>
  <c r="E1133" i="15"/>
  <c r="J1133" i="15"/>
  <c r="K1133" i="15"/>
  <c r="L1133" i="15"/>
  <c r="M1133" i="15"/>
  <c r="N1133" i="15"/>
  <c r="O1133" i="15"/>
  <c r="P1133" i="15"/>
  <c r="Q1133" i="15"/>
  <c r="T1133" i="15"/>
  <c r="U1133" i="15"/>
  <c r="V1133" i="15"/>
  <c r="W1133" i="15"/>
  <c r="X1133" i="15"/>
  <c r="Y1133" i="15"/>
  <c r="Z1133" i="15"/>
  <c r="AA1133" i="15"/>
  <c r="B1134" i="15"/>
  <c r="C1134" i="15"/>
  <c r="D1134" i="15"/>
  <c r="E1134" i="15"/>
  <c r="J1134" i="15"/>
  <c r="K1134" i="15"/>
  <c r="L1134" i="15"/>
  <c r="M1134" i="15"/>
  <c r="N1134" i="15"/>
  <c r="O1134" i="15"/>
  <c r="P1134" i="15"/>
  <c r="Q1134" i="15"/>
  <c r="T1134" i="15"/>
  <c r="U1134" i="15"/>
  <c r="V1134" i="15"/>
  <c r="W1134" i="15"/>
  <c r="X1134" i="15"/>
  <c r="Y1134" i="15"/>
  <c r="Z1134" i="15"/>
  <c r="AA1134" i="15"/>
  <c r="B1135" i="15"/>
  <c r="C1135" i="15"/>
  <c r="D1135" i="15"/>
  <c r="E1135" i="15"/>
  <c r="J1135" i="15"/>
  <c r="K1135" i="15"/>
  <c r="L1135" i="15"/>
  <c r="M1135" i="15"/>
  <c r="N1135" i="15"/>
  <c r="O1135" i="15"/>
  <c r="P1135" i="15"/>
  <c r="Q1135" i="15"/>
  <c r="T1135" i="15"/>
  <c r="U1135" i="15"/>
  <c r="V1135" i="15"/>
  <c r="W1135" i="15"/>
  <c r="X1135" i="15"/>
  <c r="Y1135" i="15"/>
  <c r="Z1135" i="15"/>
  <c r="AA1135" i="15"/>
  <c r="B1136" i="15"/>
  <c r="C1136" i="15"/>
  <c r="D1136" i="15"/>
  <c r="E1136" i="15"/>
  <c r="J1136" i="15"/>
  <c r="K1136" i="15"/>
  <c r="L1136" i="15"/>
  <c r="M1136" i="15"/>
  <c r="N1136" i="15"/>
  <c r="O1136" i="15"/>
  <c r="P1136" i="15"/>
  <c r="Q1136" i="15"/>
  <c r="T1136" i="15"/>
  <c r="U1136" i="15"/>
  <c r="V1136" i="15"/>
  <c r="W1136" i="15"/>
  <c r="X1136" i="15"/>
  <c r="Y1136" i="15"/>
  <c r="Z1136" i="15"/>
  <c r="AA1136" i="15"/>
  <c r="B1137" i="15"/>
  <c r="C1137" i="15"/>
  <c r="D1137" i="15"/>
  <c r="E1137" i="15"/>
  <c r="J1137" i="15"/>
  <c r="K1137" i="15"/>
  <c r="L1137" i="15"/>
  <c r="M1137" i="15"/>
  <c r="N1137" i="15"/>
  <c r="O1137" i="15"/>
  <c r="P1137" i="15"/>
  <c r="Q1137" i="15"/>
  <c r="T1137" i="15"/>
  <c r="U1137" i="15"/>
  <c r="V1137" i="15"/>
  <c r="W1137" i="15"/>
  <c r="X1137" i="15"/>
  <c r="Y1137" i="15"/>
  <c r="Z1137" i="15"/>
  <c r="AA1137" i="15"/>
  <c r="B1138" i="15"/>
  <c r="C1138" i="15"/>
  <c r="D1138" i="15"/>
  <c r="E1138" i="15"/>
  <c r="J1138" i="15"/>
  <c r="K1138" i="15"/>
  <c r="L1138" i="15"/>
  <c r="M1138" i="15"/>
  <c r="N1138" i="15"/>
  <c r="O1138" i="15"/>
  <c r="P1138" i="15"/>
  <c r="Q1138" i="15"/>
  <c r="T1138" i="15"/>
  <c r="U1138" i="15"/>
  <c r="V1138" i="15"/>
  <c r="W1138" i="15"/>
  <c r="X1138" i="15"/>
  <c r="Y1138" i="15"/>
  <c r="Z1138" i="15"/>
  <c r="AA1138" i="15"/>
  <c r="B1139" i="15"/>
  <c r="C1139" i="15"/>
  <c r="D1139" i="15"/>
  <c r="E1139" i="15"/>
  <c r="J1139" i="15"/>
  <c r="K1139" i="15"/>
  <c r="L1139" i="15"/>
  <c r="M1139" i="15"/>
  <c r="N1139" i="15"/>
  <c r="O1139" i="15"/>
  <c r="P1139" i="15"/>
  <c r="Q1139" i="15"/>
  <c r="T1139" i="15"/>
  <c r="U1139" i="15"/>
  <c r="V1139" i="15"/>
  <c r="W1139" i="15"/>
  <c r="X1139" i="15"/>
  <c r="Y1139" i="15"/>
  <c r="Z1139" i="15"/>
  <c r="AA1139" i="15"/>
  <c r="B1140" i="15"/>
  <c r="C1140" i="15"/>
  <c r="D1140" i="15"/>
  <c r="E1140" i="15"/>
  <c r="J1140" i="15"/>
  <c r="K1140" i="15"/>
  <c r="L1140" i="15"/>
  <c r="M1140" i="15"/>
  <c r="N1140" i="15"/>
  <c r="O1140" i="15"/>
  <c r="P1140" i="15"/>
  <c r="Q1140" i="15"/>
  <c r="T1140" i="15"/>
  <c r="U1140" i="15"/>
  <c r="V1140" i="15"/>
  <c r="W1140" i="15"/>
  <c r="X1140" i="15"/>
  <c r="Y1140" i="15"/>
  <c r="Z1140" i="15"/>
  <c r="AA1140" i="15"/>
  <c r="B1141" i="15"/>
  <c r="C1141" i="15"/>
  <c r="D1141" i="15"/>
  <c r="E1141" i="15"/>
  <c r="J1141" i="15"/>
  <c r="K1141" i="15"/>
  <c r="L1141" i="15"/>
  <c r="M1141" i="15"/>
  <c r="N1141" i="15"/>
  <c r="O1141" i="15"/>
  <c r="P1141" i="15"/>
  <c r="Q1141" i="15"/>
  <c r="T1141" i="15"/>
  <c r="U1141" i="15"/>
  <c r="V1141" i="15"/>
  <c r="W1141" i="15"/>
  <c r="X1141" i="15"/>
  <c r="Y1141" i="15"/>
  <c r="Z1141" i="15"/>
  <c r="AA1141" i="15"/>
  <c r="B1142" i="15"/>
  <c r="C1142" i="15"/>
  <c r="D1142" i="15"/>
  <c r="E1142" i="15"/>
  <c r="J1142" i="15"/>
  <c r="K1142" i="15"/>
  <c r="L1142" i="15"/>
  <c r="M1142" i="15"/>
  <c r="N1142" i="15"/>
  <c r="O1142" i="15"/>
  <c r="P1142" i="15"/>
  <c r="Q1142" i="15"/>
  <c r="T1142" i="15"/>
  <c r="U1142" i="15"/>
  <c r="V1142" i="15"/>
  <c r="W1142" i="15"/>
  <c r="X1142" i="15"/>
  <c r="Y1142" i="15"/>
  <c r="Z1142" i="15"/>
  <c r="AA1142" i="15"/>
  <c r="B1143" i="15"/>
  <c r="C1143" i="15"/>
  <c r="D1143" i="15"/>
  <c r="E1143" i="15"/>
  <c r="J1143" i="15"/>
  <c r="K1143" i="15"/>
  <c r="L1143" i="15"/>
  <c r="M1143" i="15"/>
  <c r="N1143" i="15"/>
  <c r="O1143" i="15"/>
  <c r="P1143" i="15"/>
  <c r="Q1143" i="15"/>
  <c r="T1143" i="15"/>
  <c r="U1143" i="15"/>
  <c r="V1143" i="15"/>
  <c r="W1143" i="15"/>
  <c r="X1143" i="15"/>
  <c r="Y1143" i="15"/>
  <c r="Z1143" i="15"/>
  <c r="AA1143" i="15"/>
  <c r="B1144" i="15"/>
  <c r="C1144" i="15"/>
  <c r="D1144" i="15"/>
  <c r="E1144" i="15"/>
  <c r="J1144" i="15"/>
  <c r="K1144" i="15"/>
  <c r="L1144" i="15"/>
  <c r="M1144" i="15"/>
  <c r="N1144" i="15"/>
  <c r="O1144" i="15"/>
  <c r="P1144" i="15"/>
  <c r="Q1144" i="15"/>
  <c r="T1144" i="15"/>
  <c r="U1144" i="15"/>
  <c r="V1144" i="15"/>
  <c r="W1144" i="15"/>
  <c r="X1144" i="15"/>
  <c r="Y1144" i="15"/>
  <c r="Z1144" i="15"/>
  <c r="AA1144" i="15"/>
  <c r="B1145" i="15"/>
  <c r="C1145" i="15"/>
  <c r="D1145" i="15"/>
  <c r="E1145" i="15"/>
  <c r="J1145" i="15"/>
  <c r="K1145" i="15"/>
  <c r="L1145" i="15"/>
  <c r="M1145" i="15"/>
  <c r="N1145" i="15"/>
  <c r="O1145" i="15"/>
  <c r="P1145" i="15"/>
  <c r="Q1145" i="15"/>
  <c r="T1145" i="15"/>
  <c r="U1145" i="15"/>
  <c r="V1145" i="15"/>
  <c r="W1145" i="15"/>
  <c r="X1145" i="15"/>
  <c r="Y1145" i="15"/>
  <c r="Z1145" i="15"/>
  <c r="AA1145" i="15"/>
  <c r="B1146" i="15"/>
  <c r="C1146" i="15"/>
  <c r="D1146" i="15"/>
  <c r="E1146" i="15"/>
  <c r="J1146" i="15"/>
  <c r="K1146" i="15"/>
  <c r="L1146" i="15"/>
  <c r="M1146" i="15"/>
  <c r="N1146" i="15"/>
  <c r="O1146" i="15"/>
  <c r="P1146" i="15"/>
  <c r="Q1146" i="15"/>
  <c r="T1146" i="15"/>
  <c r="U1146" i="15"/>
  <c r="V1146" i="15"/>
  <c r="W1146" i="15"/>
  <c r="X1146" i="15"/>
  <c r="Y1146" i="15"/>
  <c r="Z1146" i="15"/>
  <c r="AA1146" i="15"/>
  <c r="B1147" i="15"/>
  <c r="C1147" i="15"/>
  <c r="D1147" i="15"/>
  <c r="E1147" i="15"/>
  <c r="J1147" i="15"/>
  <c r="K1147" i="15"/>
  <c r="L1147" i="15"/>
  <c r="M1147" i="15"/>
  <c r="N1147" i="15"/>
  <c r="O1147" i="15"/>
  <c r="P1147" i="15"/>
  <c r="Q1147" i="15"/>
  <c r="T1147" i="15"/>
  <c r="U1147" i="15"/>
  <c r="V1147" i="15"/>
  <c r="W1147" i="15"/>
  <c r="X1147" i="15"/>
  <c r="Y1147" i="15"/>
  <c r="Z1147" i="15"/>
  <c r="AA1147" i="15"/>
  <c r="B1148" i="15"/>
  <c r="C1148" i="15"/>
  <c r="D1148" i="15"/>
  <c r="E1148" i="15"/>
  <c r="J1148" i="15"/>
  <c r="K1148" i="15"/>
  <c r="L1148" i="15"/>
  <c r="M1148" i="15"/>
  <c r="N1148" i="15"/>
  <c r="O1148" i="15"/>
  <c r="P1148" i="15"/>
  <c r="Q1148" i="15"/>
  <c r="T1148" i="15"/>
  <c r="U1148" i="15"/>
  <c r="V1148" i="15"/>
  <c r="W1148" i="15"/>
  <c r="X1148" i="15"/>
  <c r="Y1148" i="15"/>
  <c r="Z1148" i="15"/>
  <c r="AA1148" i="15"/>
  <c r="B1149" i="15"/>
  <c r="C1149" i="15"/>
  <c r="D1149" i="15"/>
  <c r="E1149" i="15"/>
  <c r="J1149" i="15"/>
  <c r="K1149" i="15"/>
  <c r="L1149" i="15"/>
  <c r="M1149" i="15"/>
  <c r="N1149" i="15"/>
  <c r="O1149" i="15"/>
  <c r="P1149" i="15"/>
  <c r="Q1149" i="15"/>
  <c r="T1149" i="15"/>
  <c r="U1149" i="15"/>
  <c r="V1149" i="15"/>
  <c r="W1149" i="15"/>
  <c r="X1149" i="15"/>
  <c r="Y1149" i="15"/>
  <c r="Z1149" i="15"/>
  <c r="AA1149" i="15"/>
  <c r="B1150" i="15"/>
  <c r="C1150" i="15"/>
  <c r="D1150" i="15"/>
  <c r="E1150" i="15"/>
  <c r="J1150" i="15"/>
  <c r="K1150" i="15"/>
  <c r="L1150" i="15"/>
  <c r="M1150" i="15"/>
  <c r="N1150" i="15"/>
  <c r="O1150" i="15"/>
  <c r="P1150" i="15"/>
  <c r="Q1150" i="15"/>
  <c r="T1150" i="15"/>
  <c r="U1150" i="15"/>
  <c r="V1150" i="15"/>
  <c r="W1150" i="15"/>
  <c r="X1150" i="15"/>
  <c r="Y1150" i="15"/>
  <c r="Z1150" i="15"/>
  <c r="AA1150" i="15"/>
  <c r="B1151" i="15"/>
  <c r="C1151" i="15"/>
  <c r="D1151" i="15"/>
  <c r="E1151" i="15"/>
  <c r="J1151" i="15"/>
  <c r="K1151" i="15"/>
  <c r="L1151" i="15"/>
  <c r="M1151" i="15"/>
  <c r="N1151" i="15"/>
  <c r="O1151" i="15"/>
  <c r="P1151" i="15"/>
  <c r="Q1151" i="15"/>
  <c r="T1151" i="15"/>
  <c r="U1151" i="15"/>
  <c r="V1151" i="15"/>
  <c r="W1151" i="15"/>
  <c r="X1151" i="15"/>
  <c r="Y1151" i="15"/>
  <c r="Z1151" i="15"/>
  <c r="AA1151" i="15"/>
  <c r="B1152" i="15"/>
  <c r="C1152" i="15"/>
  <c r="D1152" i="15"/>
  <c r="E1152" i="15"/>
  <c r="J1152" i="15"/>
  <c r="K1152" i="15"/>
  <c r="L1152" i="15"/>
  <c r="M1152" i="15"/>
  <c r="N1152" i="15"/>
  <c r="O1152" i="15"/>
  <c r="P1152" i="15"/>
  <c r="Q1152" i="15"/>
  <c r="T1152" i="15"/>
  <c r="U1152" i="15"/>
  <c r="V1152" i="15"/>
  <c r="W1152" i="15"/>
  <c r="X1152" i="15"/>
  <c r="Y1152" i="15"/>
  <c r="Z1152" i="15"/>
  <c r="AA1152" i="15"/>
  <c r="B1153" i="15"/>
  <c r="C1153" i="15"/>
  <c r="D1153" i="15"/>
  <c r="E1153" i="15"/>
  <c r="J1153" i="15"/>
  <c r="K1153" i="15"/>
  <c r="L1153" i="15"/>
  <c r="M1153" i="15"/>
  <c r="N1153" i="15"/>
  <c r="O1153" i="15"/>
  <c r="P1153" i="15"/>
  <c r="Q1153" i="15"/>
  <c r="T1153" i="15"/>
  <c r="U1153" i="15"/>
  <c r="V1153" i="15"/>
  <c r="W1153" i="15"/>
  <c r="X1153" i="15"/>
  <c r="Y1153" i="15"/>
  <c r="Z1153" i="15"/>
  <c r="AA1153" i="15"/>
  <c r="B1154" i="15"/>
  <c r="C1154" i="15"/>
  <c r="D1154" i="15"/>
  <c r="E1154" i="15"/>
  <c r="J1154" i="15"/>
  <c r="K1154" i="15"/>
  <c r="L1154" i="15"/>
  <c r="M1154" i="15"/>
  <c r="N1154" i="15"/>
  <c r="O1154" i="15"/>
  <c r="P1154" i="15"/>
  <c r="Q1154" i="15"/>
  <c r="T1154" i="15"/>
  <c r="U1154" i="15"/>
  <c r="V1154" i="15"/>
  <c r="W1154" i="15"/>
  <c r="X1154" i="15"/>
  <c r="Y1154" i="15"/>
  <c r="Z1154" i="15"/>
  <c r="AA1154" i="15"/>
  <c r="B1155" i="15"/>
  <c r="C1155" i="15"/>
  <c r="D1155" i="15"/>
  <c r="E1155" i="15"/>
  <c r="J1155" i="15"/>
  <c r="K1155" i="15"/>
  <c r="L1155" i="15"/>
  <c r="M1155" i="15"/>
  <c r="N1155" i="15"/>
  <c r="O1155" i="15"/>
  <c r="P1155" i="15"/>
  <c r="Q1155" i="15"/>
  <c r="T1155" i="15"/>
  <c r="U1155" i="15"/>
  <c r="V1155" i="15"/>
  <c r="W1155" i="15"/>
  <c r="X1155" i="15"/>
  <c r="Y1155" i="15"/>
  <c r="Z1155" i="15"/>
  <c r="AA1155" i="15"/>
  <c r="B1156" i="15"/>
  <c r="C1156" i="15"/>
  <c r="D1156" i="15"/>
  <c r="E1156" i="15"/>
  <c r="J1156" i="15"/>
  <c r="K1156" i="15"/>
  <c r="L1156" i="15"/>
  <c r="M1156" i="15"/>
  <c r="N1156" i="15"/>
  <c r="O1156" i="15"/>
  <c r="P1156" i="15"/>
  <c r="Q1156" i="15"/>
  <c r="T1156" i="15"/>
  <c r="U1156" i="15"/>
  <c r="V1156" i="15"/>
  <c r="W1156" i="15"/>
  <c r="X1156" i="15"/>
  <c r="Y1156" i="15"/>
  <c r="Z1156" i="15"/>
  <c r="AA1156" i="15"/>
  <c r="B1157" i="15"/>
  <c r="C1157" i="15"/>
  <c r="D1157" i="15"/>
  <c r="E1157" i="15"/>
  <c r="J1157" i="15"/>
  <c r="K1157" i="15"/>
  <c r="L1157" i="15"/>
  <c r="M1157" i="15"/>
  <c r="N1157" i="15"/>
  <c r="O1157" i="15"/>
  <c r="P1157" i="15"/>
  <c r="Q1157" i="15"/>
  <c r="T1157" i="15"/>
  <c r="U1157" i="15"/>
  <c r="V1157" i="15"/>
  <c r="W1157" i="15"/>
  <c r="X1157" i="15"/>
  <c r="Y1157" i="15"/>
  <c r="Z1157" i="15"/>
  <c r="AA1157" i="15"/>
  <c r="B1158" i="15"/>
  <c r="C1158" i="15"/>
  <c r="D1158" i="15"/>
  <c r="E1158" i="15"/>
  <c r="J1158" i="15"/>
  <c r="K1158" i="15"/>
  <c r="L1158" i="15"/>
  <c r="M1158" i="15"/>
  <c r="N1158" i="15"/>
  <c r="O1158" i="15"/>
  <c r="P1158" i="15"/>
  <c r="Q1158" i="15"/>
  <c r="T1158" i="15"/>
  <c r="U1158" i="15"/>
  <c r="V1158" i="15"/>
  <c r="W1158" i="15"/>
  <c r="X1158" i="15"/>
  <c r="Y1158" i="15"/>
  <c r="Z1158" i="15"/>
  <c r="AA1158" i="15"/>
  <c r="B1159" i="15"/>
  <c r="C1159" i="15"/>
  <c r="D1159" i="15"/>
  <c r="E1159" i="15"/>
  <c r="J1159" i="15"/>
  <c r="K1159" i="15"/>
  <c r="L1159" i="15"/>
  <c r="M1159" i="15"/>
  <c r="N1159" i="15"/>
  <c r="O1159" i="15"/>
  <c r="P1159" i="15"/>
  <c r="Q1159" i="15"/>
  <c r="T1159" i="15"/>
  <c r="U1159" i="15"/>
  <c r="V1159" i="15"/>
  <c r="W1159" i="15"/>
  <c r="X1159" i="15"/>
  <c r="Y1159" i="15"/>
  <c r="Z1159" i="15"/>
  <c r="AA1159" i="15"/>
  <c r="B1160" i="15"/>
  <c r="C1160" i="15"/>
  <c r="D1160" i="15"/>
  <c r="E1160" i="15"/>
  <c r="J1160" i="15"/>
  <c r="K1160" i="15"/>
  <c r="L1160" i="15"/>
  <c r="M1160" i="15"/>
  <c r="N1160" i="15"/>
  <c r="O1160" i="15"/>
  <c r="P1160" i="15"/>
  <c r="Q1160" i="15"/>
  <c r="T1160" i="15"/>
  <c r="U1160" i="15"/>
  <c r="V1160" i="15"/>
  <c r="W1160" i="15"/>
  <c r="X1160" i="15"/>
  <c r="Y1160" i="15"/>
  <c r="Z1160" i="15"/>
  <c r="AA1160" i="15"/>
  <c r="B1161" i="15"/>
  <c r="C1161" i="15"/>
  <c r="D1161" i="15"/>
  <c r="E1161" i="15"/>
  <c r="J1161" i="15"/>
  <c r="K1161" i="15"/>
  <c r="L1161" i="15"/>
  <c r="M1161" i="15"/>
  <c r="N1161" i="15"/>
  <c r="O1161" i="15"/>
  <c r="P1161" i="15"/>
  <c r="Q1161" i="15"/>
  <c r="T1161" i="15"/>
  <c r="U1161" i="15"/>
  <c r="V1161" i="15"/>
  <c r="W1161" i="15"/>
  <c r="X1161" i="15"/>
  <c r="Y1161" i="15"/>
  <c r="Z1161" i="15"/>
  <c r="AA1161" i="15"/>
  <c r="B1162" i="15"/>
  <c r="C1162" i="15"/>
  <c r="D1162" i="15"/>
  <c r="E1162" i="15"/>
  <c r="J1162" i="15"/>
  <c r="K1162" i="15"/>
  <c r="L1162" i="15"/>
  <c r="M1162" i="15"/>
  <c r="N1162" i="15"/>
  <c r="O1162" i="15"/>
  <c r="P1162" i="15"/>
  <c r="Q1162" i="15"/>
  <c r="T1162" i="15"/>
  <c r="U1162" i="15"/>
  <c r="V1162" i="15"/>
  <c r="W1162" i="15"/>
  <c r="X1162" i="15"/>
  <c r="Y1162" i="15"/>
  <c r="Z1162" i="15"/>
  <c r="AA1162" i="15"/>
  <c r="B1163" i="15"/>
  <c r="C1163" i="15"/>
  <c r="D1163" i="15"/>
  <c r="E1163" i="15"/>
  <c r="J1163" i="15"/>
  <c r="K1163" i="15"/>
  <c r="L1163" i="15"/>
  <c r="M1163" i="15"/>
  <c r="N1163" i="15"/>
  <c r="O1163" i="15"/>
  <c r="P1163" i="15"/>
  <c r="Q1163" i="15"/>
  <c r="T1163" i="15"/>
  <c r="U1163" i="15"/>
  <c r="V1163" i="15"/>
  <c r="W1163" i="15"/>
  <c r="X1163" i="15"/>
  <c r="Y1163" i="15"/>
  <c r="Z1163" i="15"/>
  <c r="AA1163" i="15"/>
  <c r="B1164" i="15"/>
  <c r="C1164" i="15"/>
  <c r="D1164" i="15"/>
  <c r="E1164" i="15"/>
  <c r="J1164" i="15"/>
  <c r="K1164" i="15"/>
  <c r="L1164" i="15"/>
  <c r="M1164" i="15"/>
  <c r="N1164" i="15"/>
  <c r="O1164" i="15"/>
  <c r="P1164" i="15"/>
  <c r="Q1164" i="15"/>
  <c r="T1164" i="15"/>
  <c r="U1164" i="15"/>
  <c r="V1164" i="15"/>
  <c r="W1164" i="15"/>
  <c r="X1164" i="15"/>
  <c r="Y1164" i="15"/>
  <c r="Z1164" i="15"/>
  <c r="AA1164" i="15"/>
  <c r="B1165" i="15"/>
  <c r="C1165" i="15"/>
  <c r="D1165" i="15"/>
  <c r="E1165" i="15"/>
  <c r="J1165" i="15"/>
  <c r="K1165" i="15"/>
  <c r="L1165" i="15"/>
  <c r="M1165" i="15"/>
  <c r="N1165" i="15"/>
  <c r="O1165" i="15"/>
  <c r="P1165" i="15"/>
  <c r="Q1165" i="15"/>
  <c r="T1165" i="15"/>
  <c r="U1165" i="15"/>
  <c r="V1165" i="15"/>
  <c r="W1165" i="15"/>
  <c r="X1165" i="15"/>
  <c r="Y1165" i="15"/>
  <c r="Z1165" i="15"/>
  <c r="AA1165" i="15"/>
  <c r="B1166" i="15"/>
  <c r="C1166" i="15"/>
  <c r="D1166" i="15"/>
  <c r="E1166" i="15"/>
  <c r="J1166" i="15"/>
  <c r="K1166" i="15"/>
  <c r="L1166" i="15"/>
  <c r="M1166" i="15"/>
  <c r="N1166" i="15"/>
  <c r="O1166" i="15"/>
  <c r="P1166" i="15"/>
  <c r="Q1166" i="15"/>
  <c r="T1166" i="15"/>
  <c r="U1166" i="15"/>
  <c r="V1166" i="15"/>
  <c r="W1166" i="15"/>
  <c r="X1166" i="15"/>
  <c r="Y1166" i="15"/>
  <c r="Z1166" i="15"/>
  <c r="AA1166" i="15"/>
  <c r="B1167" i="15"/>
  <c r="C1167" i="15"/>
  <c r="D1167" i="15"/>
  <c r="E1167" i="15"/>
  <c r="J1167" i="15"/>
  <c r="K1167" i="15"/>
  <c r="L1167" i="15"/>
  <c r="M1167" i="15"/>
  <c r="N1167" i="15"/>
  <c r="O1167" i="15"/>
  <c r="P1167" i="15"/>
  <c r="Q1167" i="15"/>
  <c r="T1167" i="15"/>
  <c r="U1167" i="15"/>
  <c r="V1167" i="15"/>
  <c r="W1167" i="15"/>
  <c r="X1167" i="15"/>
  <c r="Y1167" i="15"/>
  <c r="Z1167" i="15"/>
  <c r="AA1167" i="15"/>
  <c r="B1168" i="15"/>
  <c r="C1168" i="15"/>
  <c r="D1168" i="15"/>
  <c r="E1168" i="15"/>
  <c r="J1168" i="15"/>
  <c r="K1168" i="15"/>
  <c r="L1168" i="15"/>
  <c r="M1168" i="15"/>
  <c r="N1168" i="15"/>
  <c r="O1168" i="15"/>
  <c r="P1168" i="15"/>
  <c r="Q1168" i="15"/>
  <c r="T1168" i="15"/>
  <c r="U1168" i="15"/>
  <c r="V1168" i="15"/>
  <c r="W1168" i="15"/>
  <c r="X1168" i="15"/>
  <c r="Y1168" i="15"/>
  <c r="Z1168" i="15"/>
  <c r="AA1168" i="15"/>
  <c r="B1169" i="15"/>
  <c r="C1169" i="15"/>
  <c r="D1169" i="15"/>
  <c r="E1169" i="15"/>
  <c r="J1169" i="15"/>
  <c r="K1169" i="15"/>
  <c r="L1169" i="15"/>
  <c r="M1169" i="15"/>
  <c r="N1169" i="15"/>
  <c r="O1169" i="15"/>
  <c r="P1169" i="15"/>
  <c r="Q1169" i="15"/>
  <c r="T1169" i="15"/>
  <c r="U1169" i="15"/>
  <c r="V1169" i="15"/>
  <c r="W1169" i="15"/>
  <c r="X1169" i="15"/>
  <c r="Y1169" i="15"/>
  <c r="Z1169" i="15"/>
  <c r="AA1169" i="15"/>
  <c r="B1170" i="15"/>
  <c r="C1170" i="15"/>
  <c r="D1170" i="15"/>
  <c r="E1170" i="15"/>
  <c r="J1170" i="15"/>
  <c r="K1170" i="15"/>
  <c r="L1170" i="15"/>
  <c r="M1170" i="15"/>
  <c r="N1170" i="15"/>
  <c r="O1170" i="15"/>
  <c r="P1170" i="15"/>
  <c r="Q1170" i="15"/>
  <c r="T1170" i="15"/>
  <c r="U1170" i="15"/>
  <c r="V1170" i="15"/>
  <c r="W1170" i="15"/>
  <c r="X1170" i="15"/>
  <c r="Y1170" i="15"/>
  <c r="Z1170" i="15"/>
  <c r="AA1170" i="15"/>
  <c r="B1171" i="15"/>
  <c r="C1171" i="15"/>
  <c r="D1171" i="15"/>
  <c r="E1171" i="15"/>
  <c r="J1171" i="15"/>
  <c r="K1171" i="15"/>
  <c r="L1171" i="15"/>
  <c r="M1171" i="15"/>
  <c r="N1171" i="15"/>
  <c r="O1171" i="15"/>
  <c r="P1171" i="15"/>
  <c r="Q1171" i="15"/>
  <c r="T1171" i="15"/>
  <c r="U1171" i="15"/>
  <c r="V1171" i="15"/>
  <c r="W1171" i="15"/>
  <c r="X1171" i="15"/>
  <c r="Y1171" i="15"/>
  <c r="Z1171" i="15"/>
  <c r="AA1171" i="15"/>
  <c r="B1172" i="15"/>
  <c r="C1172" i="15"/>
  <c r="D1172" i="15"/>
  <c r="E1172" i="15"/>
  <c r="J1172" i="15"/>
  <c r="K1172" i="15"/>
  <c r="L1172" i="15"/>
  <c r="M1172" i="15"/>
  <c r="N1172" i="15"/>
  <c r="O1172" i="15"/>
  <c r="P1172" i="15"/>
  <c r="Q1172" i="15"/>
  <c r="T1172" i="15"/>
  <c r="U1172" i="15"/>
  <c r="V1172" i="15"/>
  <c r="W1172" i="15"/>
  <c r="X1172" i="15"/>
  <c r="Y1172" i="15"/>
  <c r="Z1172" i="15"/>
  <c r="AA1172" i="15"/>
  <c r="B1173" i="15"/>
  <c r="C1173" i="15"/>
  <c r="D1173" i="15"/>
  <c r="E1173" i="15"/>
  <c r="J1173" i="15"/>
  <c r="K1173" i="15"/>
  <c r="L1173" i="15"/>
  <c r="M1173" i="15"/>
  <c r="N1173" i="15"/>
  <c r="O1173" i="15"/>
  <c r="P1173" i="15"/>
  <c r="Q1173" i="15"/>
  <c r="T1173" i="15"/>
  <c r="U1173" i="15"/>
  <c r="V1173" i="15"/>
  <c r="W1173" i="15"/>
  <c r="X1173" i="15"/>
  <c r="Y1173" i="15"/>
  <c r="Z1173" i="15"/>
  <c r="AA1173" i="15"/>
  <c r="B1174" i="15"/>
  <c r="C1174" i="15"/>
  <c r="D1174" i="15"/>
  <c r="E1174" i="15"/>
  <c r="J1174" i="15"/>
  <c r="K1174" i="15"/>
  <c r="L1174" i="15"/>
  <c r="M1174" i="15"/>
  <c r="N1174" i="15"/>
  <c r="O1174" i="15"/>
  <c r="P1174" i="15"/>
  <c r="Q1174" i="15"/>
  <c r="T1174" i="15"/>
  <c r="U1174" i="15"/>
  <c r="V1174" i="15"/>
  <c r="W1174" i="15"/>
  <c r="X1174" i="15"/>
  <c r="Y1174" i="15"/>
  <c r="Z1174" i="15"/>
  <c r="AA1174" i="15"/>
  <c r="B1175" i="15"/>
  <c r="C1175" i="15"/>
  <c r="D1175" i="15"/>
  <c r="E1175" i="15"/>
  <c r="J1175" i="15"/>
  <c r="K1175" i="15"/>
  <c r="L1175" i="15"/>
  <c r="M1175" i="15"/>
  <c r="N1175" i="15"/>
  <c r="O1175" i="15"/>
  <c r="P1175" i="15"/>
  <c r="Q1175" i="15"/>
  <c r="T1175" i="15"/>
  <c r="U1175" i="15"/>
  <c r="V1175" i="15"/>
  <c r="W1175" i="15"/>
  <c r="X1175" i="15"/>
  <c r="Y1175" i="15"/>
  <c r="Z1175" i="15"/>
  <c r="AA1175" i="15"/>
  <c r="B1176" i="15"/>
  <c r="C1176" i="15"/>
  <c r="D1176" i="15"/>
  <c r="E1176" i="15"/>
  <c r="J1176" i="15"/>
  <c r="K1176" i="15"/>
  <c r="L1176" i="15"/>
  <c r="M1176" i="15"/>
  <c r="N1176" i="15"/>
  <c r="O1176" i="15"/>
  <c r="P1176" i="15"/>
  <c r="Q1176" i="15"/>
  <c r="T1176" i="15"/>
  <c r="U1176" i="15"/>
  <c r="V1176" i="15"/>
  <c r="W1176" i="15"/>
  <c r="X1176" i="15"/>
  <c r="Y1176" i="15"/>
  <c r="Z1176" i="15"/>
  <c r="AA1176" i="15"/>
  <c r="B1177" i="15"/>
  <c r="C1177" i="15"/>
  <c r="D1177" i="15"/>
  <c r="E1177" i="15"/>
  <c r="J1177" i="15"/>
  <c r="K1177" i="15"/>
  <c r="L1177" i="15"/>
  <c r="M1177" i="15"/>
  <c r="N1177" i="15"/>
  <c r="O1177" i="15"/>
  <c r="P1177" i="15"/>
  <c r="Q1177" i="15"/>
  <c r="T1177" i="15"/>
  <c r="U1177" i="15"/>
  <c r="V1177" i="15"/>
  <c r="W1177" i="15"/>
  <c r="X1177" i="15"/>
  <c r="Y1177" i="15"/>
  <c r="Z1177" i="15"/>
  <c r="AA1177" i="15"/>
  <c r="B1178" i="15"/>
  <c r="C1178" i="15"/>
  <c r="D1178" i="15"/>
  <c r="E1178" i="15"/>
  <c r="J1178" i="15"/>
  <c r="K1178" i="15"/>
  <c r="L1178" i="15"/>
  <c r="M1178" i="15"/>
  <c r="N1178" i="15"/>
  <c r="O1178" i="15"/>
  <c r="P1178" i="15"/>
  <c r="Q1178" i="15"/>
  <c r="T1178" i="15"/>
  <c r="U1178" i="15"/>
  <c r="V1178" i="15"/>
  <c r="W1178" i="15"/>
  <c r="X1178" i="15"/>
  <c r="Y1178" i="15"/>
  <c r="Z1178" i="15"/>
  <c r="AA1178" i="15"/>
  <c r="B1179" i="15"/>
  <c r="C1179" i="15"/>
  <c r="D1179" i="15"/>
  <c r="E1179" i="15"/>
  <c r="J1179" i="15"/>
  <c r="K1179" i="15"/>
  <c r="L1179" i="15"/>
  <c r="M1179" i="15"/>
  <c r="N1179" i="15"/>
  <c r="O1179" i="15"/>
  <c r="P1179" i="15"/>
  <c r="Q1179" i="15"/>
  <c r="T1179" i="15"/>
  <c r="U1179" i="15"/>
  <c r="V1179" i="15"/>
  <c r="W1179" i="15"/>
  <c r="X1179" i="15"/>
  <c r="Y1179" i="15"/>
  <c r="Z1179" i="15"/>
  <c r="AA1179" i="15"/>
  <c r="B1180" i="15"/>
  <c r="C1180" i="15"/>
  <c r="D1180" i="15"/>
  <c r="E1180" i="15"/>
  <c r="J1180" i="15"/>
  <c r="K1180" i="15"/>
  <c r="L1180" i="15"/>
  <c r="M1180" i="15"/>
  <c r="N1180" i="15"/>
  <c r="O1180" i="15"/>
  <c r="P1180" i="15"/>
  <c r="Q1180" i="15"/>
  <c r="T1180" i="15"/>
  <c r="U1180" i="15"/>
  <c r="V1180" i="15"/>
  <c r="W1180" i="15"/>
  <c r="X1180" i="15"/>
  <c r="Y1180" i="15"/>
  <c r="Z1180" i="15"/>
  <c r="AA1180" i="15"/>
  <c r="B1181" i="15"/>
  <c r="C1181" i="15"/>
  <c r="D1181" i="15"/>
  <c r="E1181" i="15"/>
  <c r="J1181" i="15"/>
  <c r="K1181" i="15"/>
  <c r="L1181" i="15"/>
  <c r="M1181" i="15"/>
  <c r="N1181" i="15"/>
  <c r="O1181" i="15"/>
  <c r="P1181" i="15"/>
  <c r="Q1181" i="15"/>
  <c r="T1181" i="15"/>
  <c r="U1181" i="15"/>
  <c r="V1181" i="15"/>
  <c r="W1181" i="15"/>
  <c r="X1181" i="15"/>
  <c r="Y1181" i="15"/>
  <c r="Z1181" i="15"/>
  <c r="AA1181" i="15"/>
  <c r="B1182" i="15"/>
  <c r="C1182" i="15"/>
  <c r="D1182" i="15"/>
  <c r="E1182" i="15"/>
  <c r="J1182" i="15"/>
  <c r="K1182" i="15"/>
  <c r="L1182" i="15"/>
  <c r="M1182" i="15"/>
  <c r="N1182" i="15"/>
  <c r="O1182" i="15"/>
  <c r="P1182" i="15"/>
  <c r="Q1182" i="15"/>
  <c r="T1182" i="15"/>
  <c r="U1182" i="15"/>
  <c r="V1182" i="15"/>
  <c r="W1182" i="15"/>
  <c r="X1182" i="15"/>
  <c r="Y1182" i="15"/>
  <c r="Z1182" i="15"/>
  <c r="AA1182" i="15"/>
  <c r="B1183" i="15"/>
  <c r="C1183" i="15"/>
  <c r="D1183" i="15"/>
  <c r="E1183" i="15"/>
  <c r="J1183" i="15"/>
  <c r="K1183" i="15"/>
  <c r="L1183" i="15"/>
  <c r="M1183" i="15"/>
  <c r="N1183" i="15"/>
  <c r="O1183" i="15"/>
  <c r="P1183" i="15"/>
  <c r="Q1183" i="15"/>
  <c r="T1183" i="15"/>
  <c r="U1183" i="15"/>
  <c r="V1183" i="15"/>
  <c r="W1183" i="15"/>
  <c r="X1183" i="15"/>
  <c r="Y1183" i="15"/>
  <c r="Z1183" i="15"/>
  <c r="AA1183" i="15"/>
  <c r="B1184" i="15"/>
  <c r="C1184" i="15"/>
  <c r="D1184" i="15"/>
  <c r="E1184" i="15"/>
  <c r="J1184" i="15"/>
  <c r="K1184" i="15"/>
  <c r="L1184" i="15"/>
  <c r="M1184" i="15"/>
  <c r="N1184" i="15"/>
  <c r="O1184" i="15"/>
  <c r="P1184" i="15"/>
  <c r="Q1184" i="15"/>
  <c r="T1184" i="15"/>
  <c r="U1184" i="15"/>
  <c r="V1184" i="15"/>
  <c r="W1184" i="15"/>
  <c r="X1184" i="15"/>
  <c r="Y1184" i="15"/>
  <c r="Z1184" i="15"/>
  <c r="AA1184" i="15"/>
  <c r="B1185" i="15"/>
  <c r="C1185" i="15"/>
  <c r="D1185" i="15"/>
  <c r="E1185" i="15"/>
  <c r="J1185" i="15"/>
  <c r="K1185" i="15"/>
  <c r="L1185" i="15"/>
  <c r="M1185" i="15"/>
  <c r="N1185" i="15"/>
  <c r="O1185" i="15"/>
  <c r="P1185" i="15"/>
  <c r="Q1185" i="15"/>
  <c r="T1185" i="15"/>
  <c r="U1185" i="15"/>
  <c r="V1185" i="15"/>
  <c r="W1185" i="15"/>
  <c r="X1185" i="15"/>
  <c r="Y1185" i="15"/>
  <c r="Z1185" i="15"/>
  <c r="AA1185" i="15"/>
  <c r="B1186" i="15"/>
  <c r="C1186" i="15"/>
  <c r="D1186" i="15"/>
  <c r="E1186" i="15"/>
  <c r="J1186" i="15"/>
  <c r="K1186" i="15"/>
  <c r="L1186" i="15"/>
  <c r="M1186" i="15"/>
  <c r="N1186" i="15"/>
  <c r="O1186" i="15"/>
  <c r="P1186" i="15"/>
  <c r="Q1186" i="15"/>
  <c r="T1186" i="15"/>
  <c r="U1186" i="15"/>
  <c r="V1186" i="15"/>
  <c r="W1186" i="15"/>
  <c r="X1186" i="15"/>
  <c r="Y1186" i="15"/>
  <c r="Z1186" i="15"/>
  <c r="AA1186" i="15"/>
  <c r="B1187" i="15"/>
  <c r="C1187" i="15"/>
  <c r="D1187" i="15"/>
  <c r="E1187" i="15"/>
  <c r="J1187" i="15"/>
  <c r="K1187" i="15"/>
  <c r="L1187" i="15"/>
  <c r="M1187" i="15"/>
  <c r="N1187" i="15"/>
  <c r="O1187" i="15"/>
  <c r="P1187" i="15"/>
  <c r="Q1187" i="15"/>
  <c r="T1187" i="15"/>
  <c r="U1187" i="15"/>
  <c r="V1187" i="15"/>
  <c r="W1187" i="15"/>
  <c r="X1187" i="15"/>
  <c r="Y1187" i="15"/>
  <c r="Z1187" i="15"/>
  <c r="AA1187" i="15"/>
  <c r="B1188" i="15"/>
  <c r="C1188" i="15"/>
  <c r="D1188" i="15"/>
  <c r="E1188" i="15"/>
  <c r="J1188" i="15"/>
  <c r="K1188" i="15"/>
  <c r="L1188" i="15"/>
  <c r="M1188" i="15"/>
  <c r="N1188" i="15"/>
  <c r="O1188" i="15"/>
  <c r="P1188" i="15"/>
  <c r="Q1188" i="15"/>
  <c r="T1188" i="15"/>
  <c r="U1188" i="15"/>
  <c r="V1188" i="15"/>
  <c r="W1188" i="15"/>
  <c r="X1188" i="15"/>
  <c r="Y1188" i="15"/>
  <c r="Z1188" i="15"/>
  <c r="AA1188" i="15"/>
  <c r="B1189" i="15"/>
  <c r="C1189" i="15"/>
  <c r="D1189" i="15"/>
  <c r="E1189" i="15"/>
  <c r="J1189" i="15"/>
  <c r="K1189" i="15"/>
  <c r="L1189" i="15"/>
  <c r="M1189" i="15"/>
  <c r="N1189" i="15"/>
  <c r="O1189" i="15"/>
  <c r="P1189" i="15"/>
  <c r="Q1189" i="15"/>
  <c r="T1189" i="15"/>
  <c r="U1189" i="15"/>
  <c r="V1189" i="15"/>
  <c r="W1189" i="15"/>
  <c r="X1189" i="15"/>
  <c r="Y1189" i="15"/>
  <c r="Z1189" i="15"/>
  <c r="AA1189" i="15"/>
  <c r="B1190" i="15"/>
  <c r="C1190" i="15"/>
  <c r="D1190" i="15"/>
  <c r="E1190" i="15"/>
  <c r="J1190" i="15"/>
  <c r="K1190" i="15"/>
  <c r="L1190" i="15"/>
  <c r="M1190" i="15"/>
  <c r="N1190" i="15"/>
  <c r="O1190" i="15"/>
  <c r="P1190" i="15"/>
  <c r="Q1190" i="15"/>
  <c r="T1190" i="15"/>
  <c r="U1190" i="15"/>
  <c r="V1190" i="15"/>
  <c r="W1190" i="15"/>
  <c r="X1190" i="15"/>
  <c r="Y1190" i="15"/>
  <c r="Z1190" i="15"/>
  <c r="AA1190" i="15"/>
  <c r="B1191" i="15"/>
  <c r="C1191" i="15"/>
  <c r="D1191" i="15"/>
  <c r="E1191" i="15"/>
  <c r="J1191" i="15"/>
  <c r="K1191" i="15"/>
  <c r="L1191" i="15"/>
  <c r="M1191" i="15"/>
  <c r="N1191" i="15"/>
  <c r="O1191" i="15"/>
  <c r="P1191" i="15"/>
  <c r="Q1191" i="15"/>
  <c r="T1191" i="15"/>
  <c r="U1191" i="15"/>
  <c r="V1191" i="15"/>
  <c r="W1191" i="15"/>
  <c r="X1191" i="15"/>
  <c r="Y1191" i="15"/>
  <c r="Z1191" i="15"/>
  <c r="AA1191" i="15"/>
  <c r="B1192" i="15"/>
  <c r="C1192" i="15"/>
  <c r="D1192" i="15"/>
  <c r="E1192" i="15"/>
  <c r="J1192" i="15"/>
  <c r="K1192" i="15"/>
  <c r="L1192" i="15"/>
  <c r="M1192" i="15"/>
  <c r="N1192" i="15"/>
  <c r="O1192" i="15"/>
  <c r="P1192" i="15"/>
  <c r="Q1192" i="15"/>
  <c r="T1192" i="15"/>
  <c r="U1192" i="15"/>
  <c r="V1192" i="15"/>
  <c r="W1192" i="15"/>
  <c r="X1192" i="15"/>
  <c r="Y1192" i="15"/>
  <c r="Z1192" i="15"/>
  <c r="AA1192" i="15"/>
  <c r="B1193" i="15"/>
  <c r="C1193" i="15"/>
  <c r="D1193" i="15"/>
  <c r="E1193" i="15"/>
  <c r="J1193" i="15"/>
  <c r="K1193" i="15"/>
  <c r="L1193" i="15"/>
  <c r="M1193" i="15"/>
  <c r="N1193" i="15"/>
  <c r="O1193" i="15"/>
  <c r="P1193" i="15"/>
  <c r="Q1193" i="15"/>
  <c r="T1193" i="15"/>
  <c r="U1193" i="15"/>
  <c r="V1193" i="15"/>
  <c r="W1193" i="15"/>
  <c r="X1193" i="15"/>
  <c r="Y1193" i="15"/>
  <c r="Z1193" i="15"/>
  <c r="AA1193" i="15"/>
  <c r="B1194" i="15"/>
  <c r="C1194" i="15"/>
  <c r="D1194" i="15"/>
  <c r="E1194" i="15"/>
  <c r="J1194" i="15"/>
  <c r="K1194" i="15"/>
  <c r="L1194" i="15"/>
  <c r="M1194" i="15"/>
  <c r="N1194" i="15"/>
  <c r="O1194" i="15"/>
  <c r="P1194" i="15"/>
  <c r="Q1194" i="15"/>
  <c r="T1194" i="15"/>
  <c r="U1194" i="15"/>
  <c r="V1194" i="15"/>
  <c r="W1194" i="15"/>
  <c r="X1194" i="15"/>
  <c r="Y1194" i="15"/>
  <c r="Z1194" i="15"/>
  <c r="AA1194" i="15"/>
  <c r="B1195" i="15"/>
  <c r="C1195" i="15"/>
  <c r="D1195" i="15"/>
  <c r="E1195" i="15"/>
  <c r="J1195" i="15"/>
  <c r="K1195" i="15"/>
  <c r="L1195" i="15"/>
  <c r="M1195" i="15"/>
  <c r="N1195" i="15"/>
  <c r="O1195" i="15"/>
  <c r="P1195" i="15"/>
  <c r="Q1195" i="15"/>
  <c r="T1195" i="15"/>
  <c r="U1195" i="15"/>
  <c r="V1195" i="15"/>
  <c r="W1195" i="15"/>
  <c r="X1195" i="15"/>
  <c r="Y1195" i="15"/>
  <c r="Z1195" i="15"/>
  <c r="AA1195" i="15"/>
  <c r="B1196" i="15"/>
  <c r="C1196" i="15"/>
  <c r="D1196" i="15"/>
  <c r="E1196" i="15"/>
  <c r="J1196" i="15"/>
  <c r="K1196" i="15"/>
  <c r="L1196" i="15"/>
  <c r="M1196" i="15"/>
  <c r="N1196" i="15"/>
  <c r="O1196" i="15"/>
  <c r="P1196" i="15"/>
  <c r="Q1196" i="15"/>
  <c r="T1196" i="15"/>
  <c r="U1196" i="15"/>
  <c r="V1196" i="15"/>
  <c r="W1196" i="15"/>
  <c r="X1196" i="15"/>
  <c r="Y1196" i="15"/>
  <c r="Z1196" i="15"/>
  <c r="AA1196" i="15"/>
  <c r="B1197" i="15"/>
  <c r="C1197" i="15"/>
  <c r="D1197" i="15"/>
  <c r="E1197" i="15"/>
  <c r="J1197" i="15"/>
  <c r="K1197" i="15"/>
  <c r="L1197" i="15"/>
  <c r="M1197" i="15"/>
  <c r="N1197" i="15"/>
  <c r="O1197" i="15"/>
  <c r="P1197" i="15"/>
  <c r="Q1197" i="15"/>
  <c r="T1197" i="15"/>
  <c r="U1197" i="15"/>
  <c r="V1197" i="15"/>
  <c r="W1197" i="15"/>
  <c r="X1197" i="15"/>
  <c r="Y1197" i="15"/>
  <c r="Z1197" i="15"/>
  <c r="AA1197" i="15"/>
  <c r="B1198" i="15"/>
  <c r="C1198" i="15"/>
  <c r="D1198" i="15"/>
  <c r="E1198" i="15"/>
  <c r="J1198" i="15"/>
  <c r="K1198" i="15"/>
  <c r="L1198" i="15"/>
  <c r="M1198" i="15"/>
  <c r="N1198" i="15"/>
  <c r="O1198" i="15"/>
  <c r="P1198" i="15"/>
  <c r="Q1198" i="15"/>
  <c r="T1198" i="15"/>
  <c r="U1198" i="15"/>
  <c r="V1198" i="15"/>
  <c r="W1198" i="15"/>
  <c r="X1198" i="15"/>
  <c r="Y1198" i="15"/>
  <c r="Z1198" i="15"/>
  <c r="AA1198" i="15"/>
  <c r="B1199" i="15"/>
  <c r="C1199" i="15"/>
  <c r="D1199" i="15"/>
  <c r="E1199" i="15"/>
  <c r="J1199" i="15"/>
  <c r="K1199" i="15"/>
  <c r="L1199" i="15"/>
  <c r="M1199" i="15"/>
  <c r="N1199" i="15"/>
  <c r="O1199" i="15"/>
  <c r="P1199" i="15"/>
  <c r="Q1199" i="15"/>
  <c r="T1199" i="15"/>
  <c r="U1199" i="15"/>
  <c r="V1199" i="15"/>
  <c r="W1199" i="15"/>
  <c r="X1199" i="15"/>
  <c r="Y1199" i="15"/>
  <c r="Z1199" i="15"/>
  <c r="AA1199" i="15"/>
  <c r="B1200" i="15"/>
  <c r="C1200" i="15"/>
  <c r="D1200" i="15"/>
  <c r="E1200" i="15"/>
  <c r="J1200" i="15"/>
  <c r="K1200" i="15"/>
  <c r="L1200" i="15"/>
  <c r="M1200" i="15"/>
  <c r="N1200" i="15"/>
  <c r="O1200" i="15"/>
  <c r="P1200" i="15"/>
  <c r="Q1200" i="15"/>
  <c r="T1200" i="15"/>
  <c r="U1200" i="15"/>
  <c r="V1200" i="15"/>
  <c r="W1200" i="15"/>
  <c r="X1200" i="15"/>
  <c r="Y1200" i="15"/>
  <c r="Z1200" i="15"/>
  <c r="AA1200" i="15"/>
  <c r="B1201" i="15"/>
  <c r="C1201" i="15"/>
  <c r="D1201" i="15"/>
  <c r="E1201" i="15"/>
  <c r="J1201" i="15"/>
  <c r="K1201" i="15"/>
  <c r="L1201" i="15"/>
  <c r="M1201" i="15"/>
  <c r="N1201" i="15"/>
  <c r="O1201" i="15"/>
  <c r="P1201" i="15"/>
  <c r="Q1201" i="15"/>
  <c r="T1201" i="15"/>
  <c r="U1201" i="15"/>
  <c r="V1201" i="15"/>
  <c r="W1201" i="15"/>
  <c r="X1201" i="15"/>
  <c r="Y1201" i="15"/>
  <c r="Z1201" i="15"/>
  <c r="AA1201" i="15"/>
  <c r="B1202" i="15"/>
  <c r="C1202" i="15"/>
  <c r="D1202" i="15"/>
  <c r="E1202" i="15"/>
  <c r="J1202" i="15"/>
  <c r="K1202" i="15"/>
  <c r="L1202" i="15"/>
  <c r="M1202" i="15"/>
  <c r="N1202" i="15"/>
  <c r="O1202" i="15"/>
  <c r="P1202" i="15"/>
  <c r="Q1202" i="15"/>
  <c r="T1202" i="15"/>
  <c r="U1202" i="15"/>
  <c r="V1202" i="15"/>
  <c r="W1202" i="15"/>
  <c r="X1202" i="15"/>
  <c r="Y1202" i="15"/>
  <c r="Z1202" i="15"/>
  <c r="AA1202" i="15"/>
  <c r="B1203" i="15"/>
  <c r="C1203" i="15"/>
  <c r="D1203" i="15"/>
  <c r="E1203" i="15"/>
  <c r="J1203" i="15"/>
  <c r="K1203" i="15"/>
  <c r="L1203" i="15"/>
  <c r="M1203" i="15"/>
  <c r="N1203" i="15"/>
  <c r="O1203" i="15"/>
  <c r="P1203" i="15"/>
  <c r="Q1203" i="15"/>
  <c r="T1203" i="15"/>
  <c r="U1203" i="15"/>
  <c r="V1203" i="15"/>
  <c r="W1203" i="15"/>
  <c r="X1203" i="15"/>
  <c r="Y1203" i="15"/>
  <c r="Z1203" i="15"/>
  <c r="AA1203" i="15"/>
  <c r="B1204" i="15"/>
  <c r="C1204" i="15"/>
  <c r="D1204" i="15"/>
  <c r="E1204" i="15"/>
  <c r="J1204" i="15"/>
  <c r="K1204" i="15"/>
  <c r="L1204" i="15"/>
  <c r="M1204" i="15"/>
  <c r="N1204" i="15"/>
  <c r="O1204" i="15"/>
  <c r="P1204" i="15"/>
  <c r="Q1204" i="15"/>
  <c r="T1204" i="15"/>
  <c r="U1204" i="15"/>
  <c r="V1204" i="15"/>
  <c r="W1204" i="15"/>
  <c r="X1204" i="15"/>
  <c r="Y1204" i="15"/>
  <c r="Z1204" i="15"/>
  <c r="AA1204" i="15"/>
  <c r="B1205" i="15"/>
  <c r="C1205" i="15"/>
  <c r="D1205" i="15"/>
  <c r="E1205" i="15"/>
  <c r="J1205" i="15"/>
  <c r="K1205" i="15"/>
  <c r="L1205" i="15"/>
  <c r="M1205" i="15"/>
  <c r="N1205" i="15"/>
  <c r="O1205" i="15"/>
  <c r="P1205" i="15"/>
  <c r="Q1205" i="15"/>
  <c r="T1205" i="15"/>
  <c r="U1205" i="15"/>
  <c r="V1205" i="15"/>
  <c r="W1205" i="15"/>
  <c r="X1205" i="15"/>
  <c r="Y1205" i="15"/>
  <c r="Z1205" i="15"/>
  <c r="AA1205" i="15"/>
  <c r="B1206" i="15"/>
  <c r="C1206" i="15"/>
  <c r="D1206" i="15"/>
  <c r="E1206" i="15"/>
  <c r="J1206" i="15"/>
  <c r="K1206" i="15"/>
  <c r="L1206" i="15"/>
  <c r="M1206" i="15"/>
  <c r="N1206" i="15"/>
  <c r="O1206" i="15"/>
  <c r="P1206" i="15"/>
  <c r="Q1206" i="15"/>
  <c r="T1206" i="15"/>
  <c r="U1206" i="15"/>
  <c r="V1206" i="15"/>
  <c r="W1206" i="15"/>
  <c r="X1206" i="15"/>
  <c r="Y1206" i="15"/>
  <c r="Z1206" i="15"/>
  <c r="AA1206" i="15"/>
  <c r="B1207" i="15"/>
  <c r="C1207" i="15"/>
  <c r="D1207" i="15"/>
  <c r="E1207" i="15"/>
  <c r="J1207" i="15"/>
  <c r="K1207" i="15"/>
  <c r="L1207" i="15"/>
  <c r="M1207" i="15"/>
  <c r="N1207" i="15"/>
  <c r="O1207" i="15"/>
  <c r="P1207" i="15"/>
  <c r="Q1207" i="15"/>
  <c r="T1207" i="15"/>
  <c r="U1207" i="15"/>
  <c r="V1207" i="15"/>
  <c r="W1207" i="15"/>
  <c r="X1207" i="15"/>
  <c r="Y1207" i="15"/>
  <c r="Z1207" i="15"/>
  <c r="AA1207" i="15"/>
  <c r="B1208" i="15"/>
  <c r="C1208" i="15"/>
  <c r="D1208" i="15"/>
  <c r="E1208" i="15"/>
  <c r="J1208" i="15"/>
  <c r="K1208" i="15"/>
  <c r="L1208" i="15"/>
  <c r="M1208" i="15"/>
  <c r="N1208" i="15"/>
  <c r="O1208" i="15"/>
  <c r="P1208" i="15"/>
  <c r="Q1208" i="15"/>
  <c r="T1208" i="15"/>
  <c r="U1208" i="15"/>
  <c r="V1208" i="15"/>
  <c r="W1208" i="15"/>
  <c r="X1208" i="15"/>
  <c r="Y1208" i="15"/>
  <c r="Z1208" i="15"/>
  <c r="AA1208" i="15"/>
  <c r="B1209" i="15"/>
  <c r="C1209" i="15"/>
  <c r="D1209" i="15"/>
  <c r="E1209" i="15"/>
  <c r="J1209" i="15"/>
  <c r="K1209" i="15"/>
  <c r="L1209" i="15"/>
  <c r="M1209" i="15"/>
  <c r="N1209" i="15"/>
  <c r="O1209" i="15"/>
  <c r="P1209" i="15"/>
  <c r="Q1209" i="15"/>
  <c r="T1209" i="15"/>
  <c r="U1209" i="15"/>
  <c r="V1209" i="15"/>
  <c r="W1209" i="15"/>
  <c r="X1209" i="15"/>
  <c r="Y1209" i="15"/>
  <c r="Z1209" i="15"/>
  <c r="AA1209" i="15"/>
  <c r="B1210" i="15"/>
  <c r="C1210" i="15"/>
  <c r="D1210" i="15"/>
  <c r="E1210" i="15"/>
  <c r="J1210" i="15"/>
  <c r="K1210" i="15"/>
  <c r="L1210" i="15"/>
  <c r="M1210" i="15"/>
  <c r="N1210" i="15"/>
  <c r="O1210" i="15"/>
  <c r="P1210" i="15"/>
  <c r="Q1210" i="15"/>
  <c r="T1210" i="15"/>
  <c r="U1210" i="15"/>
  <c r="V1210" i="15"/>
  <c r="W1210" i="15"/>
  <c r="X1210" i="15"/>
  <c r="Y1210" i="15"/>
  <c r="Z1210" i="15"/>
  <c r="AA1210" i="15"/>
  <c r="B1211" i="15"/>
  <c r="C1211" i="15"/>
  <c r="D1211" i="15"/>
  <c r="E1211" i="15"/>
  <c r="J1211" i="15"/>
  <c r="K1211" i="15"/>
  <c r="L1211" i="15"/>
  <c r="M1211" i="15"/>
  <c r="N1211" i="15"/>
  <c r="O1211" i="15"/>
  <c r="P1211" i="15"/>
  <c r="Q1211" i="15"/>
  <c r="T1211" i="15"/>
  <c r="U1211" i="15"/>
  <c r="V1211" i="15"/>
  <c r="W1211" i="15"/>
  <c r="X1211" i="15"/>
  <c r="Y1211" i="15"/>
  <c r="Z1211" i="15"/>
  <c r="AA1211" i="15"/>
  <c r="B1212" i="15"/>
  <c r="C1212" i="15"/>
  <c r="D1212" i="15"/>
  <c r="E1212" i="15"/>
  <c r="J1212" i="15"/>
  <c r="K1212" i="15"/>
  <c r="L1212" i="15"/>
  <c r="M1212" i="15"/>
  <c r="N1212" i="15"/>
  <c r="O1212" i="15"/>
  <c r="P1212" i="15"/>
  <c r="Q1212" i="15"/>
  <c r="T1212" i="15"/>
  <c r="U1212" i="15"/>
  <c r="V1212" i="15"/>
  <c r="W1212" i="15"/>
  <c r="X1212" i="15"/>
  <c r="Y1212" i="15"/>
  <c r="Z1212" i="15"/>
  <c r="AA1212" i="15"/>
  <c r="B1213" i="15"/>
  <c r="C1213" i="15"/>
  <c r="D1213" i="15"/>
  <c r="E1213" i="15"/>
  <c r="J1213" i="15"/>
  <c r="K1213" i="15"/>
  <c r="L1213" i="15"/>
  <c r="M1213" i="15"/>
  <c r="N1213" i="15"/>
  <c r="O1213" i="15"/>
  <c r="P1213" i="15"/>
  <c r="Q1213" i="15"/>
  <c r="T1213" i="15"/>
  <c r="U1213" i="15"/>
  <c r="V1213" i="15"/>
  <c r="W1213" i="15"/>
  <c r="X1213" i="15"/>
  <c r="Y1213" i="15"/>
  <c r="Z1213" i="15"/>
  <c r="AA1213" i="15"/>
  <c r="B1214" i="15"/>
  <c r="C1214" i="15"/>
  <c r="D1214" i="15"/>
  <c r="E1214" i="15"/>
  <c r="J1214" i="15"/>
  <c r="K1214" i="15"/>
  <c r="L1214" i="15"/>
  <c r="M1214" i="15"/>
  <c r="N1214" i="15"/>
  <c r="O1214" i="15"/>
  <c r="P1214" i="15"/>
  <c r="Q1214" i="15"/>
  <c r="T1214" i="15"/>
  <c r="U1214" i="15"/>
  <c r="V1214" i="15"/>
  <c r="W1214" i="15"/>
  <c r="X1214" i="15"/>
  <c r="Y1214" i="15"/>
  <c r="Z1214" i="15"/>
  <c r="AA1214" i="15"/>
  <c r="B1215" i="15"/>
  <c r="C1215" i="15"/>
  <c r="D1215" i="15"/>
  <c r="E1215" i="15"/>
  <c r="J1215" i="15"/>
  <c r="K1215" i="15"/>
  <c r="L1215" i="15"/>
  <c r="M1215" i="15"/>
  <c r="N1215" i="15"/>
  <c r="O1215" i="15"/>
  <c r="P1215" i="15"/>
  <c r="Q1215" i="15"/>
  <c r="T1215" i="15"/>
  <c r="U1215" i="15"/>
  <c r="V1215" i="15"/>
  <c r="W1215" i="15"/>
  <c r="X1215" i="15"/>
  <c r="Y1215" i="15"/>
  <c r="Z1215" i="15"/>
  <c r="AA1215" i="15"/>
  <c r="B1216" i="15"/>
  <c r="C1216" i="15"/>
  <c r="D1216" i="15"/>
  <c r="E1216" i="15"/>
  <c r="J1216" i="15"/>
  <c r="K1216" i="15"/>
  <c r="L1216" i="15"/>
  <c r="M1216" i="15"/>
  <c r="N1216" i="15"/>
  <c r="O1216" i="15"/>
  <c r="P1216" i="15"/>
  <c r="Q1216" i="15"/>
  <c r="T1216" i="15"/>
  <c r="U1216" i="15"/>
  <c r="V1216" i="15"/>
  <c r="W1216" i="15"/>
  <c r="X1216" i="15"/>
  <c r="Y1216" i="15"/>
  <c r="Z1216" i="15"/>
  <c r="AA1216" i="15"/>
  <c r="B1217" i="15"/>
  <c r="C1217" i="15"/>
  <c r="D1217" i="15"/>
  <c r="E1217" i="15"/>
  <c r="J1217" i="15"/>
  <c r="K1217" i="15"/>
  <c r="L1217" i="15"/>
  <c r="M1217" i="15"/>
  <c r="N1217" i="15"/>
  <c r="O1217" i="15"/>
  <c r="P1217" i="15"/>
  <c r="Q1217" i="15"/>
  <c r="T1217" i="15"/>
  <c r="U1217" i="15"/>
  <c r="V1217" i="15"/>
  <c r="W1217" i="15"/>
  <c r="X1217" i="15"/>
  <c r="Y1217" i="15"/>
  <c r="Z1217" i="15"/>
  <c r="AA1217" i="15"/>
  <c r="B1218" i="15"/>
  <c r="C1218" i="15"/>
  <c r="D1218" i="15"/>
  <c r="E1218" i="15"/>
  <c r="J1218" i="15"/>
  <c r="K1218" i="15"/>
  <c r="L1218" i="15"/>
  <c r="M1218" i="15"/>
  <c r="N1218" i="15"/>
  <c r="O1218" i="15"/>
  <c r="P1218" i="15"/>
  <c r="Q1218" i="15"/>
  <c r="T1218" i="15"/>
  <c r="U1218" i="15"/>
  <c r="V1218" i="15"/>
  <c r="W1218" i="15"/>
  <c r="X1218" i="15"/>
  <c r="Y1218" i="15"/>
  <c r="Z1218" i="15"/>
  <c r="AA1218" i="15"/>
  <c r="B1219" i="15"/>
  <c r="C1219" i="15"/>
  <c r="D1219" i="15"/>
  <c r="E1219" i="15"/>
  <c r="J1219" i="15"/>
  <c r="K1219" i="15"/>
  <c r="L1219" i="15"/>
  <c r="M1219" i="15"/>
  <c r="N1219" i="15"/>
  <c r="O1219" i="15"/>
  <c r="P1219" i="15"/>
  <c r="Q1219" i="15"/>
  <c r="T1219" i="15"/>
  <c r="U1219" i="15"/>
  <c r="V1219" i="15"/>
  <c r="W1219" i="15"/>
  <c r="X1219" i="15"/>
  <c r="Y1219" i="15"/>
  <c r="Z1219" i="15"/>
  <c r="AA1219" i="15"/>
  <c r="B1220" i="15"/>
  <c r="C1220" i="15"/>
  <c r="D1220" i="15"/>
  <c r="E1220" i="15"/>
  <c r="J1220" i="15"/>
  <c r="K1220" i="15"/>
  <c r="L1220" i="15"/>
  <c r="M1220" i="15"/>
  <c r="N1220" i="15"/>
  <c r="O1220" i="15"/>
  <c r="P1220" i="15"/>
  <c r="Q1220" i="15"/>
  <c r="T1220" i="15"/>
  <c r="U1220" i="15"/>
  <c r="V1220" i="15"/>
  <c r="W1220" i="15"/>
  <c r="X1220" i="15"/>
  <c r="Y1220" i="15"/>
  <c r="Z1220" i="15"/>
  <c r="AA1220" i="15"/>
  <c r="B1221" i="15"/>
  <c r="C1221" i="15"/>
  <c r="D1221" i="15"/>
  <c r="E1221" i="15"/>
  <c r="J1221" i="15"/>
  <c r="K1221" i="15"/>
  <c r="L1221" i="15"/>
  <c r="M1221" i="15"/>
  <c r="N1221" i="15"/>
  <c r="O1221" i="15"/>
  <c r="P1221" i="15"/>
  <c r="Q1221" i="15"/>
  <c r="T1221" i="15"/>
  <c r="U1221" i="15"/>
  <c r="V1221" i="15"/>
  <c r="W1221" i="15"/>
  <c r="X1221" i="15"/>
  <c r="Y1221" i="15"/>
  <c r="Z1221" i="15"/>
  <c r="AA1221" i="15"/>
  <c r="B1222" i="15"/>
  <c r="C1222" i="15"/>
  <c r="D1222" i="15"/>
  <c r="E1222" i="15"/>
  <c r="J1222" i="15"/>
  <c r="K1222" i="15"/>
  <c r="L1222" i="15"/>
  <c r="M1222" i="15"/>
  <c r="N1222" i="15"/>
  <c r="O1222" i="15"/>
  <c r="P1222" i="15"/>
  <c r="Q1222" i="15"/>
  <c r="T1222" i="15"/>
  <c r="U1222" i="15"/>
  <c r="V1222" i="15"/>
  <c r="W1222" i="15"/>
  <c r="X1222" i="15"/>
  <c r="Y1222" i="15"/>
  <c r="Z1222" i="15"/>
  <c r="AA1222" i="15"/>
  <c r="B1223" i="15"/>
  <c r="C1223" i="15"/>
  <c r="D1223" i="15"/>
  <c r="E1223" i="15"/>
  <c r="J1223" i="15"/>
  <c r="K1223" i="15"/>
  <c r="L1223" i="15"/>
  <c r="M1223" i="15"/>
  <c r="N1223" i="15"/>
  <c r="O1223" i="15"/>
  <c r="P1223" i="15"/>
  <c r="Q1223" i="15"/>
  <c r="T1223" i="15"/>
  <c r="U1223" i="15"/>
  <c r="V1223" i="15"/>
  <c r="W1223" i="15"/>
  <c r="X1223" i="15"/>
  <c r="Y1223" i="15"/>
  <c r="Z1223" i="15"/>
  <c r="AA1223" i="15"/>
  <c r="B1224" i="15"/>
  <c r="C1224" i="15"/>
  <c r="D1224" i="15"/>
  <c r="E1224" i="15"/>
  <c r="J1224" i="15"/>
  <c r="K1224" i="15"/>
  <c r="L1224" i="15"/>
  <c r="M1224" i="15"/>
  <c r="N1224" i="15"/>
  <c r="O1224" i="15"/>
  <c r="P1224" i="15"/>
  <c r="Q1224" i="15"/>
  <c r="T1224" i="15"/>
  <c r="U1224" i="15"/>
  <c r="V1224" i="15"/>
  <c r="W1224" i="15"/>
  <c r="X1224" i="15"/>
  <c r="Y1224" i="15"/>
  <c r="Z1224" i="15"/>
  <c r="AA1224" i="15"/>
  <c r="B1225" i="15"/>
  <c r="C1225" i="15"/>
  <c r="D1225" i="15"/>
  <c r="E1225" i="15"/>
  <c r="J1225" i="15"/>
  <c r="K1225" i="15"/>
  <c r="L1225" i="15"/>
  <c r="M1225" i="15"/>
  <c r="N1225" i="15"/>
  <c r="O1225" i="15"/>
  <c r="P1225" i="15"/>
  <c r="Q1225" i="15"/>
  <c r="T1225" i="15"/>
  <c r="U1225" i="15"/>
  <c r="V1225" i="15"/>
  <c r="W1225" i="15"/>
  <c r="X1225" i="15"/>
  <c r="Y1225" i="15"/>
  <c r="Z1225" i="15"/>
  <c r="AA1225" i="15"/>
  <c r="B1226" i="15"/>
  <c r="C1226" i="15"/>
  <c r="D1226" i="15"/>
  <c r="E1226" i="15"/>
  <c r="J1226" i="15"/>
  <c r="K1226" i="15"/>
  <c r="L1226" i="15"/>
  <c r="M1226" i="15"/>
  <c r="N1226" i="15"/>
  <c r="O1226" i="15"/>
  <c r="P1226" i="15"/>
  <c r="Q1226" i="15"/>
  <c r="T1226" i="15"/>
  <c r="U1226" i="15"/>
  <c r="V1226" i="15"/>
  <c r="W1226" i="15"/>
  <c r="X1226" i="15"/>
  <c r="Y1226" i="15"/>
  <c r="Z1226" i="15"/>
  <c r="AA1226" i="15"/>
  <c r="B1227" i="15"/>
  <c r="C1227" i="15"/>
  <c r="D1227" i="15"/>
  <c r="E1227" i="15"/>
  <c r="J1227" i="15"/>
  <c r="K1227" i="15"/>
  <c r="L1227" i="15"/>
  <c r="M1227" i="15"/>
  <c r="N1227" i="15"/>
  <c r="O1227" i="15"/>
  <c r="P1227" i="15"/>
  <c r="Q1227" i="15"/>
  <c r="T1227" i="15"/>
  <c r="U1227" i="15"/>
  <c r="V1227" i="15"/>
  <c r="W1227" i="15"/>
  <c r="X1227" i="15"/>
  <c r="Y1227" i="15"/>
  <c r="Z1227" i="15"/>
  <c r="AA1227" i="15"/>
  <c r="B1228" i="15"/>
  <c r="C1228" i="15"/>
  <c r="D1228" i="15"/>
  <c r="E1228" i="15"/>
  <c r="J1228" i="15"/>
  <c r="K1228" i="15"/>
  <c r="L1228" i="15"/>
  <c r="M1228" i="15"/>
  <c r="N1228" i="15"/>
  <c r="O1228" i="15"/>
  <c r="P1228" i="15"/>
  <c r="Q1228" i="15"/>
  <c r="T1228" i="15"/>
  <c r="U1228" i="15"/>
  <c r="V1228" i="15"/>
  <c r="W1228" i="15"/>
  <c r="X1228" i="15"/>
  <c r="Y1228" i="15"/>
  <c r="Z1228" i="15"/>
  <c r="AA1228" i="15"/>
  <c r="B1229" i="15"/>
  <c r="C1229" i="15"/>
  <c r="D1229" i="15"/>
  <c r="E1229" i="15"/>
  <c r="J1229" i="15"/>
  <c r="K1229" i="15"/>
  <c r="L1229" i="15"/>
  <c r="M1229" i="15"/>
  <c r="N1229" i="15"/>
  <c r="O1229" i="15"/>
  <c r="P1229" i="15"/>
  <c r="Q1229" i="15"/>
  <c r="T1229" i="15"/>
  <c r="U1229" i="15"/>
  <c r="V1229" i="15"/>
  <c r="W1229" i="15"/>
  <c r="X1229" i="15"/>
  <c r="Y1229" i="15"/>
  <c r="Z1229" i="15"/>
  <c r="AA1229" i="15"/>
  <c r="B1230" i="15"/>
  <c r="C1230" i="15"/>
  <c r="D1230" i="15"/>
  <c r="E1230" i="15"/>
  <c r="J1230" i="15"/>
  <c r="K1230" i="15"/>
  <c r="L1230" i="15"/>
  <c r="M1230" i="15"/>
  <c r="N1230" i="15"/>
  <c r="O1230" i="15"/>
  <c r="P1230" i="15"/>
  <c r="Q1230" i="15"/>
  <c r="T1230" i="15"/>
  <c r="U1230" i="15"/>
  <c r="V1230" i="15"/>
  <c r="W1230" i="15"/>
  <c r="X1230" i="15"/>
  <c r="Y1230" i="15"/>
  <c r="Z1230" i="15"/>
  <c r="AA1230" i="15"/>
  <c r="B1231" i="15"/>
  <c r="C1231" i="15"/>
  <c r="D1231" i="15"/>
  <c r="E1231" i="15"/>
  <c r="J1231" i="15"/>
  <c r="K1231" i="15"/>
  <c r="L1231" i="15"/>
  <c r="M1231" i="15"/>
  <c r="N1231" i="15"/>
  <c r="O1231" i="15"/>
  <c r="P1231" i="15"/>
  <c r="Q1231" i="15"/>
  <c r="T1231" i="15"/>
  <c r="U1231" i="15"/>
  <c r="V1231" i="15"/>
  <c r="W1231" i="15"/>
  <c r="X1231" i="15"/>
  <c r="Y1231" i="15"/>
  <c r="Z1231" i="15"/>
  <c r="AA1231" i="15"/>
  <c r="B1232" i="15"/>
  <c r="C1232" i="15"/>
  <c r="D1232" i="15"/>
  <c r="E1232" i="15"/>
  <c r="J1232" i="15"/>
  <c r="K1232" i="15"/>
  <c r="L1232" i="15"/>
  <c r="M1232" i="15"/>
  <c r="N1232" i="15"/>
  <c r="O1232" i="15"/>
  <c r="P1232" i="15"/>
  <c r="Q1232" i="15"/>
  <c r="T1232" i="15"/>
  <c r="U1232" i="15"/>
  <c r="V1232" i="15"/>
  <c r="W1232" i="15"/>
  <c r="X1232" i="15"/>
  <c r="Y1232" i="15"/>
  <c r="Z1232" i="15"/>
  <c r="AA1232" i="15"/>
  <c r="B1233" i="15"/>
  <c r="C1233" i="15"/>
  <c r="D1233" i="15"/>
  <c r="E1233" i="15"/>
  <c r="J1233" i="15"/>
  <c r="K1233" i="15"/>
  <c r="L1233" i="15"/>
  <c r="M1233" i="15"/>
  <c r="N1233" i="15"/>
  <c r="O1233" i="15"/>
  <c r="P1233" i="15"/>
  <c r="Q1233" i="15"/>
  <c r="T1233" i="15"/>
  <c r="U1233" i="15"/>
  <c r="V1233" i="15"/>
  <c r="W1233" i="15"/>
  <c r="X1233" i="15"/>
  <c r="Y1233" i="15"/>
  <c r="Z1233" i="15"/>
  <c r="AA1233" i="15"/>
  <c r="B1234" i="15"/>
  <c r="C1234" i="15"/>
  <c r="D1234" i="15"/>
  <c r="E1234" i="15"/>
  <c r="J1234" i="15"/>
  <c r="K1234" i="15"/>
  <c r="L1234" i="15"/>
  <c r="M1234" i="15"/>
  <c r="N1234" i="15"/>
  <c r="O1234" i="15"/>
  <c r="P1234" i="15"/>
  <c r="Q1234" i="15"/>
  <c r="T1234" i="15"/>
  <c r="U1234" i="15"/>
  <c r="V1234" i="15"/>
  <c r="W1234" i="15"/>
  <c r="X1234" i="15"/>
  <c r="Y1234" i="15"/>
  <c r="Z1234" i="15"/>
  <c r="AA1234" i="15"/>
  <c r="B1235" i="15"/>
  <c r="C1235" i="15"/>
  <c r="D1235" i="15"/>
  <c r="E1235" i="15"/>
  <c r="J1235" i="15"/>
  <c r="K1235" i="15"/>
  <c r="L1235" i="15"/>
  <c r="M1235" i="15"/>
  <c r="N1235" i="15"/>
  <c r="O1235" i="15"/>
  <c r="P1235" i="15"/>
  <c r="Q1235" i="15"/>
  <c r="T1235" i="15"/>
  <c r="U1235" i="15"/>
  <c r="V1235" i="15"/>
  <c r="W1235" i="15"/>
  <c r="X1235" i="15"/>
  <c r="Y1235" i="15"/>
  <c r="Z1235" i="15"/>
  <c r="AA1235" i="15"/>
  <c r="B1236" i="15"/>
  <c r="C1236" i="15"/>
  <c r="D1236" i="15"/>
  <c r="E1236" i="15"/>
  <c r="J1236" i="15"/>
  <c r="K1236" i="15"/>
  <c r="L1236" i="15"/>
  <c r="M1236" i="15"/>
  <c r="N1236" i="15"/>
  <c r="O1236" i="15"/>
  <c r="P1236" i="15"/>
  <c r="Q1236" i="15"/>
  <c r="T1236" i="15"/>
  <c r="U1236" i="15"/>
  <c r="V1236" i="15"/>
  <c r="W1236" i="15"/>
  <c r="X1236" i="15"/>
  <c r="Y1236" i="15"/>
  <c r="Z1236" i="15"/>
  <c r="AA1236" i="15"/>
  <c r="B1237" i="15"/>
  <c r="C1237" i="15"/>
  <c r="D1237" i="15"/>
  <c r="E1237" i="15"/>
  <c r="J1237" i="15"/>
  <c r="K1237" i="15"/>
  <c r="L1237" i="15"/>
  <c r="M1237" i="15"/>
  <c r="N1237" i="15"/>
  <c r="O1237" i="15"/>
  <c r="P1237" i="15"/>
  <c r="Q1237" i="15"/>
  <c r="T1237" i="15"/>
  <c r="U1237" i="15"/>
  <c r="V1237" i="15"/>
  <c r="W1237" i="15"/>
  <c r="X1237" i="15"/>
  <c r="Y1237" i="15"/>
  <c r="Z1237" i="15"/>
  <c r="AA1237" i="15"/>
  <c r="B1238" i="15"/>
  <c r="C1238" i="15"/>
  <c r="D1238" i="15"/>
  <c r="E1238" i="15"/>
  <c r="J1238" i="15"/>
  <c r="K1238" i="15"/>
  <c r="L1238" i="15"/>
  <c r="M1238" i="15"/>
  <c r="N1238" i="15"/>
  <c r="O1238" i="15"/>
  <c r="P1238" i="15"/>
  <c r="Q1238" i="15"/>
  <c r="T1238" i="15"/>
  <c r="U1238" i="15"/>
  <c r="V1238" i="15"/>
  <c r="W1238" i="15"/>
  <c r="X1238" i="15"/>
  <c r="Y1238" i="15"/>
  <c r="Z1238" i="15"/>
  <c r="AA1238" i="15"/>
  <c r="B1239" i="15"/>
  <c r="C1239" i="15"/>
  <c r="D1239" i="15"/>
  <c r="E1239" i="15"/>
  <c r="J1239" i="15"/>
  <c r="K1239" i="15"/>
  <c r="L1239" i="15"/>
  <c r="M1239" i="15"/>
  <c r="N1239" i="15"/>
  <c r="O1239" i="15"/>
  <c r="P1239" i="15"/>
  <c r="Q1239" i="15"/>
  <c r="T1239" i="15"/>
  <c r="U1239" i="15"/>
  <c r="V1239" i="15"/>
  <c r="W1239" i="15"/>
  <c r="X1239" i="15"/>
  <c r="Y1239" i="15"/>
  <c r="Z1239" i="15"/>
  <c r="AA1239" i="15"/>
  <c r="B1240" i="15"/>
  <c r="C1240" i="15"/>
  <c r="D1240" i="15"/>
  <c r="E1240" i="15"/>
  <c r="J1240" i="15"/>
  <c r="K1240" i="15"/>
  <c r="L1240" i="15"/>
  <c r="M1240" i="15"/>
  <c r="N1240" i="15"/>
  <c r="O1240" i="15"/>
  <c r="P1240" i="15"/>
  <c r="Q1240" i="15"/>
  <c r="T1240" i="15"/>
  <c r="U1240" i="15"/>
  <c r="V1240" i="15"/>
  <c r="W1240" i="15"/>
  <c r="X1240" i="15"/>
  <c r="Y1240" i="15"/>
  <c r="Z1240" i="15"/>
  <c r="AA1240" i="15"/>
  <c r="B1241" i="15"/>
  <c r="C1241" i="15"/>
  <c r="D1241" i="15"/>
  <c r="E1241" i="15"/>
  <c r="J1241" i="15"/>
  <c r="K1241" i="15"/>
  <c r="L1241" i="15"/>
  <c r="M1241" i="15"/>
  <c r="N1241" i="15"/>
  <c r="O1241" i="15"/>
  <c r="P1241" i="15"/>
  <c r="Q1241" i="15"/>
  <c r="T1241" i="15"/>
  <c r="U1241" i="15"/>
  <c r="V1241" i="15"/>
  <c r="W1241" i="15"/>
  <c r="X1241" i="15"/>
  <c r="Y1241" i="15"/>
  <c r="Z1241" i="15"/>
  <c r="AA1241" i="15"/>
  <c r="B1242" i="15"/>
  <c r="C1242" i="15"/>
  <c r="D1242" i="15"/>
  <c r="E1242" i="15"/>
  <c r="J1242" i="15"/>
  <c r="K1242" i="15"/>
  <c r="L1242" i="15"/>
  <c r="M1242" i="15"/>
  <c r="N1242" i="15"/>
  <c r="O1242" i="15"/>
  <c r="P1242" i="15"/>
  <c r="Q1242" i="15"/>
  <c r="T1242" i="15"/>
  <c r="U1242" i="15"/>
  <c r="V1242" i="15"/>
  <c r="W1242" i="15"/>
  <c r="X1242" i="15"/>
  <c r="Y1242" i="15"/>
  <c r="Z1242" i="15"/>
  <c r="AA1242" i="15"/>
  <c r="B1243" i="15"/>
  <c r="C1243" i="15"/>
  <c r="D1243" i="15"/>
  <c r="E1243" i="15"/>
  <c r="J1243" i="15"/>
  <c r="K1243" i="15"/>
  <c r="L1243" i="15"/>
  <c r="M1243" i="15"/>
  <c r="N1243" i="15"/>
  <c r="O1243" i="15"/>
  <c r="P1243" i="15"/>
  <c r="Q1243" i="15"/>
  <c r="T1243" i="15"/>
  <c r="U1243" i="15"/>
  <c r="V1243" i="15"/>
  <c r="W1243" i="15"/>
  <c r="X1243" i="15"/>
  <c r="Y1243" i="15"/>
  <c r="Z1243" i="15"/>
  <c r="AA1243" i="15"/>
  <c r="B1244" i="15"/>
  <c r="C1244" i="15"/>
  <c r="D1244" i="15"/>
  <c r="E1244" i="15"/>
  <c r="J1244" i="15"/>
  <c r="K1244" i="15"/>
  <c r="L1244" i="15"/>
  <c r="M1244" i="15"/>
  <c r="N1244" i="15"/>
  <c r="O1244" i="15"/>
  <c r="P1244" i="15"/>
  <c r="Q1244" i="15"/>
  <c r="T1244" i="15"/>
  <c r="U1244" i="15"/>
  <c r="V1244" i="15"/>
  <c r="W1244" i="15"/>
  <c r="X1244" i="15"/>
  <c r="Y1244" i="15"/>
  <c r="Z1244" i="15"/>
  <c r="AA1244" i="15"/>
  <c r="B1245" i="15"/>
  <c r="C1245" i="15"/>
  <c r="D1245" i="15"/>
  <c r="E1245" i="15"/>
  <c r="J1245" i="15"/>
  <c r="K1245" i="15"/>
  <c r="L1245" i="15"/>
  <c r="M1245" i="15"/>
  <c r="N1245" i="15"/>
  <c r="O1245" i="15"/>
  <c r="P1245" i="15"/>
  <c r="Q1245" i="15"/>
  <c r="T1245" i="15"/>
  <c r="U1245" i="15"/>
  <c r="V1245" i="15"/>
  <c r="W1245" i="15"/>
  <c r="X1245" i="15"/>
  <c r="Y1245" i="15"/>
  <c r="Z1245" i="15"/>
  <c r="AA1245" i="15"/>
  <c r="B1246" i="15"/>
  <c r="C1246" i="15"/>
  <c r="D1246" i="15"/>
  <c r="E1246" i="15"/>
  <c r="J1246" i="15"/>
  <c r="K1246" i="15"/>
  <c r="L1246" i="15"/>
  <c r="M1246" i="15"/>
  <c r="N1246" i="15"/>
  <c r="O1246" i="15"/>
  <c r="P1246" i="15"/>
  <c r="Q1246" i="15"/>
  <c r="T1246" i="15"/>
  <c r="U1246" i="15"/>
  <c r="V1246" i="15"/>
  <c r="W1246" i="15"/>
  <c r="X1246" i="15"/>
  <c r="Y1246" i="15"/>
  <c r="Z1246" i="15"/>
  <c r="AA1246" i="15"/>
  <c r="B1247" i="15"/>
  <c r="C1247" i="15"/>
  <c r="D1247" i="15"/>
  <c r="E1247" i="15"/>
  <c r="J1247" i="15"/>
  <c r="K1247" i="15"/>
  <c r="L1247" i="15"/>
  <c r="M1247" i="15"/>
  <c r="N1247" i="15"/>
  <c r="O1247" i="15"/>
  <c r="P1247" i="15"/>
  <c r="Q1247" i="15"/>
  <c r="T1247" i="15"/>
  <c r="U1247" i="15"/>
  <c r="V1247" i="15"/>
  <c r="W1247" i="15"/>
  <c r="X1247" i="15"/>
  <c r="Y1247" i="15"/>
  <c r="Z1247" i="15"/>
  <c r="AA1247" i="15"/>
  <c r="B1248" i="15"/>
  <c r="C1248" i="15"/>
  <c r="D1248" i="15"/>
  <c r="E1248" i="15"/>
  <c r="J1248" i="15"/>
  <c r="K1248" i="15"/>
  <c r="L1248" i="15"/>
  <c r="M1248" i="15"/>
  <c r="N1248" i="15"/>
  <c r="O1248" i="15"/>
  <c r="P1248" i="15"/>
  <c r="Q1248" i="15"/>
  <c r="T1248" i="15"/>
  <c r="U1248" i="15"/>
  <c r="V1248" i="15"/>
  <c r="W1248" i="15"/>
  <c r="X1248" i="15"/>
  <c r="Y1248" i="15"/>
  <c r="Z1248" i="15"/>
  <c r="AA1248" i="15"/>
  <c r="B1249" i="15"/>
  <c r="C1249" i="15"/>
  <c r="D1249" i="15"/>
  <c r="E1249" i="15"/>
  <c r="J1249" i="15"/>
  <c r="K1249" i="15"/>
  <c r="L1249" i="15"/>
  <c r="M1249" i="15"/>
  <c r="N1249" i="15"/>
  <c r="O1249" i="15"/>
  <c r="P1249" i="15"/>
  <c r="Q1249" i="15"/>
  <c r="T1249" i="15"/>
  <c r="U1249" i="15"/>
  <c r="V1249" i="15"/>
  <c r="W1249" i="15"/>
  <c r="X1249" i="15"/>
  <c r="Y1249" i="15"/>
  <c r="Z1249" i="15"/>
  <c r="AA1249" i="15"/>
  <c r="B1250" i="15"/>
  <c r="C1250" i="15"/>
  <c r="D1250" i="15"/>
  <c r="E1250" i="15"/>
  <c r="J1250" i="15"/>
  <c r="K1250" i="15"/>
  <c r="L1250" i="15"/>
  <c r="M1250" i="15"/>
  <c r="N1250" i="15"/>
  <c r="O1250" i="15"/>
  <c r="P1250" i="15"/>
  <c r="Q1250" i="15"/>
  <c r="T1250" i="15"/>
  <c r="U1250" i="15"/>
  <c r="V1250" i="15"/>
  <c r="W1250" i="15"/>
  <c r="X1250" i="15"/>
  <c r="Y1250" i="15"/>
  <c r="Z1250" i="15"/>
  <c r="AA1250" i="15"/>
  <c r="B1251" i="15"/>
  <c r="C1251" i="15"/>
  <c r="D1251" i="15"/>
  <c r="E1251" i="15"/>
  <c r="J1251" i="15"/>
  <c r="K1251" i="15"/>
  <c r="L1251" i="15"/>
  <c r="M1251" i="15"/>
  <c r="N1251" i="15"/>
  <c r="O1251" i="15"/>
  <c r="P1251" i="15"/>
  <c r="Q1251" i="15"/>
  <c r="T1251" i="15"/>
  <c r="U1251" i="15"/>
  <c r="V1251" i="15"/>
  <c r="W1251" i="15"/>
  <c r="X1251" i="15"/>
  <c r="Y1251" i="15"/>
  <c r="Z1251" i="15"/>
  <c r="AA1251" i="15"/>
  <c r="B1252" i="15"/>
  <c r="C1252" i="15"/>
  <c r="D1252" i="15"/>
  <c r="E1252" i="15"/>
  <c r="J1252" i="15"/>
  <c r="K1252" i="15"/>
  <c r="L1252" i="15"/>
  <c r="M1252" i="15"/>
  <c r="N1252" i="15"/>
  <c r="O1252" i="15"/>
  <c r="P1252" i="15"/>
  <c r="Q1252" i="15"/>
  <c r="T1252" i="15"/>
  <c r="U1252" i="15"/>
  <c r="V1252" i="15"/>
  <c r="W1252" i="15"/>
  <c r="X1252" i="15"/>
  <c r="Y1252" i="15"/>
  <c r="Z1252" i="15"/>
  <c r="AA1252" i="15"/>
  <c r="B1253" i="15"/>
  <c r="C1253" i="15"/>
  <c r="D1253" i="15"/>
  <c r="E1253" i="15"/>
  <c r="J1253" i="15"/>
  <c r="K1253" i="15"/>
  <c r="L1253" i="15"/>
  <c r="M1253" i="15"/>
  <c r="N1253" i="15"/>
  <c r="O1253" i="15"/>
  <c r="P1253" i="15"/>
  <c r="Q1253" i="15"/>
  <c r="T1253" i="15"/>
  <c r="U1253" i="15"/>
  <c r="V1253" i="15"/>
  <c r="W1253" i="15"/>
  <c r="X1253" i="15"/>
  <c r="Y1253" i="15"/>
  <c r="Z1253" i="15"/>
  <c r="AA1253" i="15"/>
  <c r="B1254" i="15"/>
  <c r="C1254" i="15"/>
  <c r="D1254" i="15"/>
  <c r="E1254" i="15"/>
  <c r="J1254" i="15"/>
  <c r="K1254" i="15"/>
  <c r="L1254" i="15"/>
  <c r="M1254" i="15"/>
  <c r="N1254" i="15"/>
  <c r="O1254" i="15"/>
  <c r="P1254" i="15"/>
  <c r="Q1254" i="15"/>
  <c r="T1254" i="15"/>
  <c r="U1254" i="15"/>
  <c r="V1254" i="15"/>
  <c r="W1254" i="15"/>
  <c r="X1254" i="15"/>
  <c r="Y1254" i="15"/>
  <c r="Z1254" i="15"/>
  <c r="AA1254" i="15"/>
  <c r="B1255" i="15"/>
  <c r="C1255" i="15"/>
  <c r="D1255" i="15"/>
  <c r="E1255" i="15"/>
  <c r="J1255" i="15"/>
  <c r="K1255" i="15"/>
  <c r="L1255" i="15"/>
  <c r="M1255" i="15"/>
  <c r="N1255" i="15"/>
  <c r="O1255" i="15"/>
  <c r="P1255" i="15"/>
  <c r="Q1255" i="15"/>
  <c r="T1255" i="15"/>
  <c r="U1255" i="15"/>
  <c r="V1255" i="15"/>
  <c r="W1255" i="15"/>
  <c r="X1255" i="15"/>
  <c r="Y1255" i="15"/>
  <c r="Z1255" i="15"/>
  <c r="AA1255" i="15"/>
  <c r="B1256" i="15"/>
  <c r="C1256" i="15"/>
  <c r="D1256" i="15"/>
  <c r="E1256" i="15"/>
  <c r="J1256" i="15"/>
  <c r="K1256" i="15"/>
  <c r="L1256" i="15"/>
  <c r="M1256" i="15"/>
  <c r="N1256" i="15"/>
  <c r="O1256" i="15"/>
  <c r="P1256" i="15"/>
  <c r="Q1256" i="15"/>
  <c r="T1256" i="15"/>
  <c r="U1256" i="15"/>
  <c r="V1256" i="15"/>
  <c r="W1256" i="15"/>
  <c r="X1256" i="15"/>
  <c r="Y1256" i="15"/>
  <c r="Z1256" i="15"/>
  <c r="AA1256" i="15"/>
  <c r="B1257" i="15"/>
  <c r="C1257" i="15"/>
  <c r="D1257" i="15"/>
  <c r="E1257" i="15"/>
  <c r="J1257" i="15"/>
  <c r="K1257" i="15"/>
  <c r="L1257" i="15"/>
  <c r="M1257" i="15"/>
  <c r="N1257" i="15"/>
  <c r="O1257" i="15"/>
  <c r="P1257" i="15"/>
  <c r="Q1257" i="15"/>
  <c r="T1257" i="15"/>
  <c r="U1257" i="15"/>
  <c r="V1257" i="15"/>
  <c r="W1257" i="15"/>
  <c r="X1257" i="15"/>
  <c r="Y1257" i="15"/>
  <c r="Z1257" i="15"/>
  <c r="AA1257" i="15"/>
  <c r="B1258" i="15"/>
  <c r="C1258" i="15"/>
  <c r="D1258" i="15"/>
  <c r="E1258" i="15"/>
  <c r="J1258" i="15"/>
  <c r="K1258" i="15"/>
  <c r="L1258" i="15"/>
  <c r="M1258" i="15"/>
  <c r="N1258" i="15"/>
  <c r="O1258" i="15"/>
  <c r="P1258" i="15"/>
  <c r="Q1258" i="15"/>
  <c r="T1258" i="15"/>
  <c r="U1258" i="15"/>
  <c r="V1258" i="15"/>
  <c r="W1258" i="15"/>
  <c r="X1258" i="15"/>
  <c r="Y1258" i="15"/>
  <c r="Z1258" i="15"/>
  <c r="AA1258" i="15"/>
  <c r="B1259" i="15"/>
  <c r="C1259" i="15"/>
  <c r="D1259" i="15"/>
  <c r="E1259" i="15"/>
  <c r="J1259" i="15"/>
  <c r="K1259" i="15"/>
  <c r="L1259" i="15"/>
  <c r="M1259" i="15"/>
  <c r="N1259" i="15"/>
  <c r="O1259" i="15"/>
  <c r="P1259" i="15"/>
  <c r="Q1259" i="15"/>
  <c r="T1259" i="15"/>
  <c r="U1259" i="15"/>
  <c r="V1259" i="15"/>
  <c r="W1259" i="15"/>
  <c r="X1259" i="15"/>
  <c r="Y1259" i="15"/>
  <c r="Z1259" i="15"/>
  <c r="AA1259" i="15"/>
  <c r="B1260" i="15"/>
  <c r="C1260" i="15"/>
  <c r="D1260" i="15"/>
  <c r="E1260" i="15"/>
  <c r="J1260" i="15"/>
  <c r="K1260" i="15"/>
  <c r="L1260" i="15"/>
  <c r="M1260" i="15"/>
  <c r="N1260" i="15"/>
  <c r="O1260" i="15"/>
  <c r="P1260" i="15"/>
  <c r="Q1260" i="15"/>
  <c r="T1260" i="15"/>
  <c r="U1260" i="15"/>
  <c r="V1260" i="15"/>
  <c r="W1260" i="15"/>
  <c r="X1260" i="15"/>
  <c r="Y1260" i="15"/>
  <c r="Z1260" i="15"/>
  <c r="AA1260" i="15"/>
  <c r="B1261" i="15"/>
  <c r="C1261" i="15"/>
  <c r="D1261" i="15"/>
  <c r="E1261" i="15"/>
  <c r="J1261" i="15"/>
  <c r="K1261" i="15"/>
  <c r="L1261" i="15"/>
  <c r="M1261" i="15"/>
  <c r="N1261" i="15"/>
  <c r="O1261" i="15"/>
  <c r="P1261" i="15"/>
  <c r="Q1261" i="15"/>
  <c r="T1261" i="15"/>
  <c r="U1261" i="15"/>
  <c r="V1261" i="15"/>
  <c r="W1261" i="15"/>
  <c r="X1261" i="15"/>
  <c r="Y1261" i="15"/>
  <c r="Z1261" i="15"/>
  <c r="AA1261" i="15"/>
  <c r="B1262" i="15"/>
  <c r="C1262" i="15"/>
  <c r="D1262" i="15"/>
  <c r="E1262" i="15"/>
  <c r="J1262" i="15"/>
  <c r="K1262" i="15"/>
  <c r="L1262" i="15"/>
  <c r="M1262" i="15"/>
  <c r="N1262" i="15"/>
  <c r="O1262" i="15"/>
  <c r="P1262" i="15"/>
  <c r="Q1262" i="15"/>
  <c r="T1262" i="15"/>
  <c r="U1262" i="15"/>
  <c r="V1262" i="15"/>
  <c r="W1262" i="15"/>
  <c r="X1262" i="15"/>
  <c r="Y1262" i="15"/>
  <c r="Z1262" i="15"/>
  <c r="AA1262" i="15"/>
  <c r="B1263" i="15"/>
  <c r="C1263" i="15"/>
  <c r="D1263" i="15"/>
  <c r="E1263" i="15"/>
  <c r="J1263" i="15"/>
  <c r="K1263" i="15"/>
  <c r="L1263" i="15"/>
  <c r="M1263" i="15"/>
  <c r="N1263" i="15"/>
  <c r="O1263" i="15"/>
  <c r="P1263" i="15"/>
  <c r="Q1263" i="15"/>
  <c r="T1263" i="15"/>
  <c r="U1263" i="15"/>
  <c r="V1263" i="15"/>
  <c r="W1263" i="15"/>
  <c r="X1263" i="15"/>
  <c r="Y1263" i="15"/>
  <c r="Z1263" i="15"/>
  <c r="AA1263" i="15"/>
  <c r="B1264" i="15"/>
  <c r="C1264" i="15"/>
  <c r="D1264" i="15"/>
  <c r="E1264" i="15"/>
  <c r="J1264" i="15"/>
  <c r="K1264" i="15"/>
  <c r="L1264" i="15"/>
  <c r="M1264" i="15"/>
  <c r="N1264" i="15"/>
  <c r="O1264" i="15"/>
  <c r="P1264" i="15"/>
  <c r="Q1264" i="15"/>
  <c r="T1264" i="15"/>
  <c r="U1264" i="15"/>
  <c r="V1264" i="15"/>
  <c r="W1264" i="15"/>
  <c r="X1264" i="15"/>
  <c r="Y1264" i="15"/>
  <c r="Z1264" i="15"/>
  <c r="AA1264" i="15"/>
  <c r="B1265" i="15"/>
  <c r="C1265" i="15"/>
  <c r="D1265" i="15"/>
  <c r="E1265" i="15"/>
  <c r="J1265" i="15"/>
  <c r="K1265" i="15"/>
  <c r="L1265" i="15"/>
  <c r="M1265" i="15"/>
  <c r="N1265" i="15"/>
  <c r="O1265" i="15"/>
  <c r="P1265" i="15"/>
  <c r="Q1265" i="15"/>
  <c r="T1265" i="15"/>
  <c r="U1265" i="15"/>
  <c r="V1265" i="15"/>
  <c r="W1265" i="15"/>
  <c r="X1265" i="15"/>
  <c r="Y1265" i="15"/>
  <c r="Z1265" i="15"/>
  <c r="AA1265" i="15"/>
  <c r="B1266" i="15"/>
  <c r="C1266" i="15"/>
  <c r="D1266" i="15"/>
  <c r="E1266" i="15"/>
  <c r="J1266" i="15"/>
  <c r="K1266" i="15"/>
  <c r="L1266" i="15"/>
  <c r="M1266" i="15"/>
  <c r="N1266" i="15"/>
  <c r="O1266" i="15"/>
  <c r="P1266" i="15"/>
  <c r="Q1266" i="15"/>
  <c r="T1266" i="15"/>
  <c r="U1266" i="15"/>
  <c r="V1266" i="15"/>
  <c r="W1266" i="15"/>
  <c r="X1266" i="15"/>
  <c r="Y1266" i="15"/>
  <c r="Z1266" i="15"/>
  <c r="AA1266" i="15"/>
  <c r="B1267" i="15"/>
  <c r="C1267" i="15"/>
  <c r="D1267" i="15"/>
  <c r="E1267" i="15"/>
  <c r="J1267" i="15"/>
  <c r="K1267" i="15"/>
  <c r="L1267" i="15"/>
  <c r="M1267" i="15"/>
  <c r="N1267" i="15"/>
  <c r="O1267" i="15"/>
  <c r="P1267" i="15"/>
  <c r="Q1267" i="15"/>
  <c r="T1267" i="15"/>
  <c r="U1267" i="15"/>
  <c r="V1267" i="15"/>
  <c r="W1267" i="15"/>
  <c r="X1267" i="15"/>
  <c r="Y1267" i="15"/>
  <c r="Z1267" i="15"/>
  <c r="AA1267" i="15"/>
  <c r="B1268" i="15"/>
  <c r="C1268" i="15"/>
  <c r="D1268" i="15"/>
  <c r="E1268" i="15"/>
  <c r="J1268" i="15"/>
  <c r="K1268" i="15"/>
  <c r="L1268" i="15"/>
  <c r="M1268" i="15"/>
  <c r="N1268" i="15"/>
  <c r="O1268" i="15"/>
  <c r="P1268" i="15"/>
  <c r="Q1268" i="15"/>
  <c r="T1268" i="15"/>
  <c r="U1268" i="15"/>
  <c r="V1268" i="15"/>
  <c r="W1268" i="15"/>
  <c r="X1268" i="15"/>
  <c r="Y1268" i="15"/>
  <c r="Z1268" i="15"/>
  <c r="AA1268" i="15"/>
  <c r="B1269" i="15"/>
  <c r="C1269" i="15"/>
  <c r="D1269" i="15"/>
  <c r="E1269" i="15"/>
  <c r="J1269" i="15"/>
  <c r="K1269" i="15"/>
  <c r="L1269" i="15"/>
  <c r="M1269" i="15"/>
  <c r="N1269" i="15"/>
  <c r="O1269" i="15"/>
  <c r="P1269" i="15"/>
  <c r="Q1269" i="15"/>
  <c r="T1269" i="15"/>
  <c r="U1269" i="15"/>
  <c r="V1269" i="15"/>
  <c r="W1269" i="15"/>
  <c r="X1269" i="15"/>
  <c r="Y1269" i="15"/>
  <c r="Z1269" i="15"/>
  <c r="AA1269" i="15"/>
  <c r="B1270" i="15"/>
  <c r="C1270" i="15"/>
  <c r="D1270" i="15"/>
  <c r="E1270" i="15"/>
  <c r="J1270" i="15"/>
  <c r="K1270" i="15"/>
  <c r="L1270" i="15"/>
  <c r="M1270" i="15"/>
  <c r="N1270" i="15"/>
  <c r="O1270" i="15"/>
  <c r="P1270" i="15"/>
  <c r="Q1270" i="15"/>
  <c r="T1270" i="15"/>
  <c r="U1270" i="15"/>
  <c r="V1270" i="15"/>
  <c r="W1270" i="15"/>
  <c r="X1270" i="15"/>
  <c r="Y1270" i="15"/>
  <c r="Z1270" i="15"/>
  <c r="AA1270" i="15"/>
  <c r="B1271" i="15"/>
  <c r="C1271" i="15"/>
  <c r="D1271" i="15"/>
  <c r="E1271" i="15"/>
  <c r="J1271" i="15"/>
  <c r="K1271" i="15"/>
  <c r="L1271" i="15"/>
  <c r="M1271" i="15"/>
  <c r="N1271" i="15"/>
  <c r="O1271" i="15"/>
  <c r="P1271" i="15"/>
  <c r="Q1271" i="15"/>
  <c r="T1271" i="15"/>
  <c r="U1271" i="15"/>
  <c r="V1271" i="15"/>
  <c r="W1271" i="15"/>
  <c r="X1271" i="15"/>
  <c r="Y1271" i="15"/>
  <c r="Z1271" i="15"/>
  <c r="AA1271" i="15"/>
  <c r="B1272" i="15"/>
  <c r="C1272" i="15"/>
  <c r="D1272" i="15"/>
  <c r="E1272" i="15"/>
  <c r="J1272" i="15"/>
  <c r="K1272" i="15"/>
  <c r="L1272" i="15"/>
  <c r="M1272" i="15"/>
  <c r="N1272" i="15"/>
  <c r="O1272" i="15"/>
  <c r="P1272" i="15"/>
  <c r="Q1272" i="15"/>
  <c r="T1272" i="15"/>
  <c r="U1272" i="15"/>
  <c r="V1272" i="15"/>
  <c r="W1272" i="15"/>
  <c r="X1272" i="15"/>
  <c r="Y1272" i="15"/>
  <c r="Z1272" i="15"/>
  <c r="AA1272" i="15"/>
  <c r="B1273" i="15"/>
  <c r="C1273" i="15"/>
  <c r="D1273" i="15"/>
  <c r="E1273" i="15"/>
  <c r="J1273" i="15"/>
  <c r="K1273" i="15"/>
  <c r="L1273" i="15"/>
  <c r="M1273" i="15"/>
  <c r="N1273" i="15"/>
  <c r="O1273" i="15"/>
  <c r="P1273" i="15"/>
  <c r="Q1273" i="15"/>
  <c r="T1273" i="15"/>
  <c r="U1273" i="15"/>
  <c r="V1273" i="15"/>
  <c r="W1273" i="15"/>
  <c r="X1273" i="15"/>
  <c r="Y1273" i="15"/>
  <c r="Z1273" i="15"/>
  <c r="AA1273" i="15"/>
  <c r="B1274" i="15"/>
  <c r="C1274" i="15"/>
  <c r="D1274" i="15"/>
  <c r="E1274" i="15"/>
  <c r="J1274" i="15"/>
  <c r="K1274" i="15"/>
  <c r="L1274" i="15"/>
  <c r="M1274" i="15"/>
  <c r="N1274" i="15"/>
  <c r="O1274" i="15"/>
  <c r="P1274" i="15"/>
  <c r="Q1274" i="15"/>
  <c r="T1274" i="15"/>
  <c r="U1274" i="15"/>
  <c r="V1274" i="15"/>
  <c r="W1274" i="15"/>
  <c r="X1274" i="15"/>
  <c r="Y1274" i="15"/>
  <c r="Z1274" i="15"/>
  <c r="AA1274" i="15"/>
  <c r="B1275" i="15"/>
  <c r="C1275" i="15"/>
  <c r="D1275" i="15"/>
  <c r="E1275" i="15"/>
  <c r="J1275" i="15"/>
  <c r="K1275" i="15"/>
  <c r="L1275" i="15"/>
  <c r="M1275" i="15"/>
  <c r="N1275" i="15"/>
  <c r="O1275" i="15"/>
  <c r="P1275" i="15"/>
  <c r="Q1275" i="15"/>
  <c r="T1275" i="15"/>
  <c r="U1275" i="15"/>
  <c r="V1275" i="15"/>
  <c r="W1275" i="15"/>
  <c r="X1275" i="15"/>
  <c r="Y1275" i="15"/>
  <c r="Z1275" i="15"/>
  <c r="AA1275" i="15"/>
  <c r="B1276" i="15"/>
  <c r="C1276" i="15"/>
  <c r="D1276" i="15"/>
  <c r="E1276" i="15"/>
  <c r="J1276" i="15"/>
  <c r="K1276" i="15"/>
  <c r="L1276" i="15"/>
  <c r="M1276" i="15"/>
  <c r="N1276" i="15"/>
  <c r="O1276" i="15"/>
  <c r="P1276" i="15"/>
  <c r="Q1276" i="15"/>
  <c r="T1276" i="15"/>
  <c r="U1276" i="15"/>
  <c r="V1276" i="15"/>
  <c r="W1276" i="15"/>
  <c r="X1276" i="15"/>
  <c r="Y1276" i="15"/>
  <c r="Z1276" i="15"/>
  <c r="AA1276" i="15"/>
  <c r="B1277" i="15"/>
  <c r="C1277" i="15"/>
  <c r="D1277" i="15"/>
  <c r="E1277" i="15"/>
  <c r="J1277" i="15"/>
  <c r="K1277" i="15"/>
  <c r="L1277" i="15"/>
  <c r="M1277" i="15"/>
  <c r="N1277" i="15"/>
  <c r="O1277" i="15"/>
  <c r="P1277" i="15"/>
  <c r="Q1277" i="15"/>
  <c r="T1277" i="15"/>
  <c r="U1277" i="15"/>
  <c r="V1277" i="15"/>
  <c r="W1277" i="15"/>
  <c r="X1277" i="15"/>
  <c r="Y1277" i="15"/>
  <c r="Z1277" i="15"/>
  <c r="AA1277" i="15"/>
  <c r="B1278" i="15"/>
  <c r="C1278" i="15"/>
  <c r="D1278" i="15"/>
  <c r="E1278" i="15"/>
  <c r="J1278" i="15"/>
  <c r="K1278" i="15"/>
  <c r="L1278" i="15"/>
  <c r="M1278" i="15"/>
  <c r="N1278" i="15"/>
  <c r="O1278" i="15"/>
  <c r="P1278" i="15"/>
  <c r="Q1278" i="15"/>
  <c r="T1278" i="15"/>
  <c r="U1278" i="15"/>
  <c r="V1278" i="15"/>
  <c r="W1278" i="15"/>
  <c r="X1278" i="15"/>
  <c r="Y1278" i="15"/>
  <c r="Z1278" i="15"/>
  <c r="AA1278" i="15"/>
  <c r="B1279" i="15"/>
  <c r="C1279" i="15"/>
  <c r="D1279" i="15"/>
  <c r="E1279" i="15"/>
  <c r="J1279" i="15"/>
  <c r="K1279" i="15"/>
  <c r="L1279" i="15"/>
  <c r="M1279" i="15"/>
  <c r="N1279" i="15"/>
  <c r="O1279" i="15"/>
  <c r="P1279" i="15"/>
  <c r="Q1279" i="15"/>
  <c r="T1279" i="15"/>
  <c r="U1279" i="15"/>
  <c r="V1279" i="15"/>
  <c r="W1279" i="15"/>
  <c r="X1279" i="15"/>
  <c r="Y1279" i="15"/>
  <c r="Z1279" i="15"/>
  <c r="AA1279" i="15"/>
  <c r="B1280" i="15"/>
  <c r="C1280" i="15"/>
  <c r="D1280" i="15"/>
  <c r="E1280" i="15"/>
  <c r="J1280" i="15"/>
  <c r="K1280" i="15"/>
  <c r="L1280" i="15"/>
  <c r="M1280" i="15"/>
  <c r="N1280" i="15"/>
  <c r="O1280" i="15"/>
  <c r="P1280" i="15"/>
  <c r="Q1280" i="15"/>
  <c r="T1280" i="15"/>
  <c r="U1280" i="15"/>
  <c r="V1280" i="15"/>
  <c r="W1280" i="15"/>
  <c r="X1280" i="15"/>
  <c r="Y1280" i="15"/>
  <c r="Z1280" i="15"/>
  <c r="AA1280" i="15"/>
  <c r="B1281" i="15"/>
  <c r="C1281" i="15"/>
  <c r="D1281" i="15"/>
  <c r="E1281" i="15"/>
  <c r="J1281" i="15"/>
  <c r="K1281" i="15"/>
  <c r="L1281" i="15"/>
  <c r="M1281" i="15"/>
  <c r="N1281" i="15"/>
  <c r="O1281" i="15"/>
  <c r="P1281" i="15"/>
  <c r="Q1281" i="15"/>
  <c r="T1281" i="15"/>
  <c r="U1281" i="15"/>
  <c r="V1281" i="15"/>
  <c r="W1281" i="15"/>
  <c r="X1281" i="15"/>
  <c r="Y1281" i="15"/>
  <c r="Z1281" i="15"/>
  <c r="AA1281" i="15"/>
  <c r="B1282" i="15"/>
  <c r="C1282" i="15"/>
  <c r="D1282" i="15"/>
  <c r="E1282" i="15"/>
  <c r="J1282" i="15"/>
  <c r="K1282" i="15"/>
  <c r="L1282" i="15"/>
  <c r="M1282" i="15"/>
  <c r="N1282" i="15"/>
  <c r="O1282" i="15"/>
  <c r="P1282" i="15"/>
  <c r="Q1282" i="15"/>
  <c r="T1282" i="15"/>
  <c r="U1282" i="15"/>
  <c r="V1282" i="15"/>
  <c r="W1282" i="15"/>
  <c r="X1282" i="15"/>
  <c r="Y1282" i="15"/>
  <c r="Z1282" i="15"/>
  <c r="AA1282" i="15"/>
  <c r="B1283" i="15"/>
  <c r="C1283" i="15"/>
  <c r="D1283" i="15"/>
  <c r="E1283" i="15"/>
  <c r="J1283" i="15"/>
  <c r="K1283" i="15"/>
  <c r="L1283" i="15"/>
  <c r="M1283" i="15"/>
  <c r="N1283" i="15"/>
  <c r="O1283" i="15"/>
  <c r="P1283" i="15"/>
  <c r="Q1283" i="15"/>
  <c r="T1283" i="15"/>
  <c r="U1283" i="15"/>
  <c r="V1283" i="15"/>
  <c r="W1283" i="15"/>
  <c r="X1283" i="15"/>
  <c r="Y1283" i="15"/>
  <c r="Z1283" i="15"/>
  <c r="AA1283" i="15"/>
  <c r="B1284" i="15"/>
  <c r="C1284" i="15"/>
  <c r="D1284" i="15"/>
  <c r="E1284" i="15"/>
  <c r="J1284" i="15"/>
  <c r="K1284" i="15"/>
  <c r="L1284" i="15"/>
  <c r="M1284" i="15"/>
  <c r="N1284" i="15"/>
  <c r="O1284" i="15"/>
  <c r="P1284" i="15"/>
  <c r="Q1284" i="15"/>
  <c r="T1284" i="15"/>
  <c r="U1284" i="15"/>
  <c r="V1284" i="15"/>
  <c r="W1284" i="15"/>
  <c r="X1284" i="15"/>
  <c r="Y1284" i="15"/>
  <c r="Z1284" i="15"/>
  <c r="AA1284" i="15"/>
  <c r="B1285" i="15"/>
  <c r="C1285" i="15"/>
  <c r="D1285" i="15"/>
  <c r="E1285" i="15"/>
  <c r="J1285" i="15"/>
  <c r="K1285" i="15"/>
  <c r="L1285" i="15"/>
  <c r="M1285" i="15"/>
  <c r="N1285" i="15"/>
  <c r="O1285" i="15"/>
  <c r="P1285" i="15"/>
  <c r="Q1285" i="15"/>
  <c r="T1285" i="15"/>
  <c r="U1285" i="15"/>
  <c r="V1285" i="15"/>
  <c r="W1285" i="15"/>
  <c r="X1285" i="15"/>
  <c r="Y1285" i="15"/>
  <c r="Z1285" i="15"/>
  <c r="AA1285" i="15"/>
  <c r="B1286" i="15"/>
  <c r="C1286" i="15"/>
  <c r="D1286" i="15"/>
  <c r="E1286" i="15"/>
  <c r="J1286" i="15"/>
  <c r="K1286" i="15"/>
  <c r="L1286" i="15"/>
  <c r="M1286" i="15"/>
  <c r="N1286" i="15"/>
  <c r="O1286" i="15"/>
  <c r="P1286" i="15"/>
  <c r="Q1286" i="15"/>
  <c r="T1286" i="15"/>
  <c r="U1286" i="15"/>
  <c r="V1286" i="15"/>
  <c r="W1286" i="15"/>
  <c r="X1286" i="15"/>
  <c r="Y1286" i="15"/>
  <c r="Z1286" i="15"/>
  <c r="AA1286" i="15"/>
  <c r="B1287" i="15"/>
  <c r="C1287" i="15"/>
  <c r="D1287" i="15"/>
  <c r="E1287" i="15"/>
  <c r="J1287" i="15"/>
  <c r="K1287" i="15"/>
  <c r="L1287" i="15"/>
  <c r="M1287" i="15"/>
  <c r="N1287" i="15"/>
  <c r="O1287" i="15"/>
  <c r="P1287" i="15"/>
  <c r="Q1287" i="15"/>
  <c r="T1287" i="15"/>
  <c r="U1287" i="15"/>
  <c r="V1287" i="15"/>
  <c r="W1287" i="15"/>
  <c r="X1287" i="15"/>
  <c r="Y1287" i="15"/>
  <c r="Z1287" i="15"/>
  <c r="AA1287" i="15"/>
  <c r="B1288" i="15"/>
  <c r="C1288" i="15"/>
  <c r="D1288" i="15"/>
  <c r="E1288" i="15"/>
  <c r="J1288" i="15"/>
  <c r="K1288" i="15"/>
  <c r="L1288" i="15"/>
  <c r="M1288" i="15"/>
  <c r="N1288" i="15"/>
  <c r="O1288" i="15"/>
  <c r="P1288" i="15"/>
  <c r="Q1288" i="15"/>
  <c r="T1288" i="15"/>
  <c r="U1288" i="15"/>
  <c r="V1288" i="15"/>
  <c r="W1288" i="15"/>
  <c r="X1288" i="15"/>
  <c r="Y1288" i="15"/>
  <c r="Z1288" i="15"/>
  <c r="AA1288" i="15"/>
  <c r="B1289" i="15"/>
  <c r="C1289" i="15"/>
  <c r="D1289" i="15"/>
  <c r="E1289" i="15"/>
  <c r="J1289" i="15"/>
  <c r="K1289" i="15"/>
  <c r="L1289" i="15"/>
  <c r="M1289" i="15"/>
  <c r="N1289" i="15"/>
  <c r="O1289" i="15"/>
  <c r="P1289" i="15"/>
  <c r="Q1289" i="15"/>
  <c r="T1289" i="15"/>
  <c r="U1289" i="15"/>
  <c r="V1289" i="15"/>
  <c r="W1289" i="15"/>
  <c r="X1289" i="15"/>
  <c r="Y1289" i="15"/>
  <c r="Z1289" i="15"/>
  <c r="AA1289" i="15"/>
  <c r="B1290" i="15"/>
  <c r="C1290" i="15"/>
  <c r="D1290" i="15"/>
  <c r="E1290" i="15"/>
  <c r="J1290" i="15"/>
  <c r="K1290" i="15"/>
  <c r="L1290" i="15"/>
  <c r="M1290" i="15"/>
  <c r="N1290" i="15"/>
  <c r="O1290" i="15"/>
  <c r="P1290" i="15"/>
  <c r="Q1290" i="15"/>
  <c r="T1290" i="15"/>
  <c r="U1290" i="15"/>
  <c r="V1290" i="15"/>
  <c r="W1290" i="15"/>
  <c r="X1290" i="15"/>
  <c r="Y1290" i="15"/>
  <c r="Z1290" i="15"/>
  <c r="AA1290" i="15"/>
  <c r="B1291" i="15"/>
  <c r="C1291" i="15"/>
  <c r="D1291" i="15"/>
  <c r="E1291" i="15"/>
  <c r="J1291" i="15"/>
  <c r="K1291" i="15"/>
  <c r="L1291" i="15"/>
  <c r="M1291" i="15"/>
  <c r="N1291" i="15"/>
  <c r="O1291" i="15"/>
  <c r="P1291" i="15"/>
  <c r="Q1291" i="15"/>
  <c r="T1291" i="15"/>
  <c r="U1291" i="15"/>
  <c r="V1291" i="15"/>
  <c r="W1291" i="15"/>
  <c r="X1291" i="15"/>
  <c r="Y1291" i="15"/>
  <c r="Z1291" i="15"/>
  <c r="AA1291" i="15"/>
  <c r="B1292" i="15"/>
  <c r="C1292" i="15"/>
  <c r="D1292" i="15"/>
  <c r="E1292" i="15"/>
  <c r="J1292" i="15"/>
  <c r="K1292" i="15"/>
  <c r="L1292" i="15"/>
  <c r="M1292" i="15"/>
  <c r="N1292" i="15"/>
  <c r="O1292" i="15"/>
  <c r="P1292" i="15"/>
  <c r="Q1292" i="15"/>
  <c r="T1292" i="15"/>
  <c r="U1292" i="15"/>
  <c r="V1292" i="15"/>
  <c r="W1292" i="15"/>
  <c r="X1292" i="15"/>
  <c r="Y1292" i="15"/>
  <c r="Z1292" i="15"/>
  <c r="AA1292" i="15"/>
  <c r="B1293" i="15"/>
  <c r="C1293" i="15"/>
  <c r="D1293" i="15"/>
  <c r="E1293" i="15"/>
  <c r="J1293" i="15"/>
  <c r="K1293" i="15"/>
  <c r="L1293" i="15"/>
  <c r="M1293" i="15"/>
  <c r="N1293" i="15"/>
  <c r="O1293" i="15"/>
  <c r="P1293" i="15"/>
  <c r="Q1293" i="15"/>
  <c r="T1293" i="15"/>
  <c r="U1293" i="15"/>
  <c r="V1293" i="15"/>
  <c r="W1293" i="15"/>
  <c r="X1293" i="15"/>
  <c r="Y1293" i="15"/>
  <c r="Z1293" i="15"/>
  <c r="AA1293" i="15"/>
  <c r="B1294" i="15"/>
  <c r="C1294" i="15"/>
  <c r="D1294" i="15"/>
  <c r="E1294" i="15"/>
  <c r="J1294" i="15"/>
  <c r="K1294" i="15"/>
  <c r="L1294" i="15"/>
  <c r="M1294" i="15"/>
  <c r="N1294" i="15"/>
  <c r="O1294" i="15"/>
  <c r="P1294" i="15"/>
  <c r="Q1294" i="15"/>
  <c r="T1294" i="15"/>
  <c r="U1294" i="15"/>
  <c r="V1294" i="15"/>
  <c r="W1294" i="15"/>
  <c r="X1294" i="15"/>
  <c r="Y1294" i="15"/>
  <c r="Z1294" i="15"/>
  <c r="AA1294" i="15"/>
  <c r="B1295" i="15"/>
  <c r="C1295" i="15"/>
  <c r="D1295" i="15"/>
  <c r="E1295" i="15"/>
  <c r="J1295" i="15"/>
  <c r="K1295" i="15"/>
  <c r="L1295" i="15"/>
  <c r="M1295" i="15"/>
  <c r="N1295" i="15"/>
  <c r="O1295" i="15"/>
  <c r="P1295" i="15"/>
  <c r="Q1295" i="15"/>
  <c r="T1295" i="15"/>
  <c r="U1295" i="15"/>
  <c r="V1295" i="15"/>
  <c r="W1295" i="15"/>
  <c r="X1295" i="15"/>
  <c r="Y1295" i="15"/>
  <c r="Z1295" i="15"/>
  <c r="AA1295" i="15"/>
  <c r="B1296" i="15"/>
  <c r="C1296" i="15"/>
  <c r="D1296" i="15"/>
  <c r="E1296" i="15"/>
  <c r="J1296" i="15"/>
  <c r="K1296" i="15"/>
  <c r="L1296" i="15"/>
  <c r="M1296" i="15"/>
  <c r="N1296" i="15"/>
  <c r="O1296" i="15"/>
  <c r="P1296" i="15"/>
  <c r="Q1296" i="15"/>
  <c r="T1296" i="15"/>
  <c r="U1296" i="15"/>
  <c r="V1296" i="15"/>
  <c r="W1296" i="15"/>
  <c r="X1296" i="15"/>
  <c r="Y1296" i="15"/>
  <c r="Z1296" i="15"/>
  <c r="AA1296" i="15"/>
  <c r="B1297" i="15"/>
  <c r="C1297" i="15"/>
  <c r="D1297" i="15"/>
  <c r="E1297" i="15"/>
  <c r="J1297" i="15"/>
  <c r="K1297" i="15"/>
  <c r="L1297" i="15"/>
  <c r="M1297" i="15"/>
  <c r="N1297" i="15"/>
  <c r="O1297" i="15"/>
  <c r="P1297" i="15"/>
  <c r="Q1297" i="15"/>
  <c r="T1297" i="15"/>
  <c r="U1297" i="15"/>
  <c r="V1297" i="15"/>
  <c r="W1297" i="15"/>
  <c r="X1297" i="15"/>
  <c r="Y1297" i="15"/>
  <c r="Z1297" i="15"/>
  <c r="AA1297" i="15"/>
  <c r="B1298" i="15"/>
  <c r="C1298" i="15"/>
  <c r="D1298" i="15"/>
  <c r="E1298" i="15"/>
  <c r="J1298" i="15"/>
  <c r="K1298" i="15"/>
  <c r="L1298" i="15"/>
  <c r="M1298" i="15"/>
  <c r="N1298" i="15"/>
  <c r="O1298" i="15"/>
  <c r="P1298" i="15"/>
  <c r="Q1298" i="15"/>
  <c r="T1298" i="15"/>
  <c r="U1298" i="15"/>
  <c r="V1298" i="15"/>
  <c r="W1298" i="15"/>
  <c r="X1298" i="15"/>
  <c r="Y1298" i="15"/>
  <c r="Z1298" i="15"/>
  <c r="AA1298" i="15"/>
  <c r="B1299" i="15"/>
  <c r="C1299" i="15"/>
  <c r="D1299" i="15"/>
  <c r="E1299" i="15"/>
  <c r="J1299" i="15"/>
  <c r="K1299" i="15"/>
  <c r="L1299" i="15"/>
  <c r="M1299" i="15"/>
  <c r="N1299" i="15"/>
  <c r="O1299" i="15"/>
  <c r="P1299" i="15"/>
  <c r="Q1299" i="15"/>
  <c r="T1299" i="15"/>
  <c r="U1299" i="15"/>
  <c r="V1299" i="15"/>
  <c r="W1299" i="15"/>
  <c r="X1299" i="15"/>
  <c r="Y1299" i="15"/>
  <c r="Z1299" i="15"/>
  <c r="AA1299" i="15"/>
  <c r="B1300" i="15"/>
  <c r="C1300" i="15"/>
  <c r="D1300" i="15"/>
  <c r="E1300" i="15"/>
  <c r="J1300" i="15"/>
  <c r="K1300" i="15"/>
  <c r="L1300" i="15"/>
  <c r="M1300" i="15"/>
  <c r="N1300" i="15"/>
  <c r="O1300" i="15"/>
  <c r="P1300" i="15"/>
  <c r="Q1300" i="15"/>
  <c r="T1300" i="15"/>
  <c r="U1300" i="15"/>
  <c r="V1300" i="15"/>
  <c r="W1300" i="15"/>
  <c r="X1300" i="15"/>
  <c r="Y1300" i="15"/>
  <c r="Z1300" i="15"/>
  <c r="AA1300" i="15"/>
  <c r="B1301" i="15"/>
  <c r="C1301" i="15"/>
  <c r="D1301" i="15"/>
  <c r="E1301" i="15"/>
  <c r="J1301" i="15"/>
  <c r="K1301" i="15"/>
  <c r="L1301" i="15"/>
  <c r="M1301" i="15"/>
  <c r="N1301" i="15"/>
  <c r="O1301" i="15"/>
  <c r="P1301" i="15"/>
  <c r="Q1301" i="15"/>
  <c r="T1301" i="15"/>
  <c r="U1301" i="15"/>
  <c r="V1301" i="15"/>
  <c r="W1301" i="15"/>
  <c r="X1301" i="15"/>
  <c r="Y1301" i="15"/>
  <c r="Z1301" i="15"/>
  <c r="AA1301" i="15"/>
  <c r="B1302" i="15"/>
  <c r="C1302" i="15"/>
  <c r="D1302" i="15"/>
  <c r="E1302" i="15"/>
  <c r="J1302" i="15"/>
  <c r="K1302" i="15"/>
  <c r="L1302" i="15"/>
  <c r="M1302" i="15"/>
  <c r="N1302" i="15"/>
  <c r="O1302" i="15"/>
  <c r="P1302" i="15"/>
  <c r="Q1302" i="15"/>
  <c r="T1302" i="15"/>
  <c r="U1302" i="15"/>
  <c r="V1302" i="15"/>
  <c r="W1302" i="15"/>
  <c r="X1302" i="15"/>
  <c r="Y1302" i="15"/>
  <c r="Z1302" i="15"/>
  <c r="AA1302" i="15"/>
  <c r="B1303" i="15"/>
  <c r="C1303" i="15"/>
  <c r="D1303" i="15"/>
  <c r="E1303" i="15"/>
  <c r="J1303" i="15"/>
  <c r="K1303" i="15"/>
  <c r="L1303" i="15"/>
  <c r="M1303" i="15"/>
  <c r="N1303" i="15"/>
  <c r="O1303" i="15"/>
  <c r="P1303" i="15"/>
  <c r="Q1303" i="15"/>
  <c r="T1303" i="15"/>
  <c r="U1303" i="15"/>
  <c r="V1303" i="15"/>
  <c r="W1303" i="15"/>
  <c r="X1303" i="15"/>
  <c r="Y1303" i="15"/>
  <c r="Z1303" i="15"/>
  <c r="AA1303" i="15"/>
  <c r="B1304" i="15"/>
  <c r="C1304" i="15"/>
  <c r="D1304" i="15"/>
  <c r="E1304" i="15"/>
  <c r="J1304" i="15"/>
  <c r="K1304" i="15"/>
  <c r="L1304" i="15"/>
  <c r="M1304" i="15"/>
  <c r="N1304" i="15"/>
  <c r="O1304" i="15"/>
  <c r="P1304" i="15"/>
  <c r="Q1304" i="15"/>
  <c r="T1304" i="15"/>
  <c r="U1304" i="15"/>
  <c r="V1304" i="15"/>
  <c r="W1304" i="15"/>
  <c r="X1304" i="15"/>
  <c r="Y1304" i="15"/>
  <c r="Z1304" i="15"/>
  <c r="AA1304" i="15"/>
  <c r="B1305" i="15"/>
  <c r="C1305" i="15"/>
  <c r="D1305" i="15"/>
  <c r="E1305" i="15"/>
  <c r="J1305" i="15"/>
  <c r="K1305" i="15"/>
  <c r="L1305" i="15"/>
  <c r="M1305" i="15"/>
  <c r="N1305" i="15"/>
  <c r="O1305" i="15"/>
  <c r="P1305" i="15"/>
  <c r="Q1305" i="15"/>
  <c r="T1305" i="15"/>
  <c r="U1305" i="15"/>
  <c r="V1305" i="15"/>
  <c r="W1305" i="15"/>
  <c r="X1305" i="15"/>
  <c r="Y1305" i="15"/>
  <c r="Z1305" i="15"/>
  <c r="AA1305" i="15"/>
  <c r="B1306" i="15"/>
  <c r="C1306" i="15"/>
  <c r="D1306" i="15"/>
  <c r="E1306" i="15"/>
  <c r="J1306" i="15"/>
  <c r="K1306" i="15"/>
  <c r="L1306" i="15"/>
  <c r="M1306" i="15"/>
  <c r="N1306" i="15"/>
  <c r="O1306" i="15"/>
  <c r="P1306" i="15"/>
  <c r="Q1306" i="15"/>
  <c r="T1306" i="15"/>
  <c r="U1306" i="15"/>
  <c r="V1306" i="15"/>
  <c r="W1306" i="15"/>
  <c r="X1306" i="15"/>
  <c r="Y1306" i="15"/>
  <c r="Z1306" i="15"/>
  <c r="AA1306" i="15"/>
  <c r="B1307" i="15"/>
  <c r="C1307" i="15"/>
  <c r="D1307" i="15"/>
  <c r="E1307" i="15"/>
  <c r="J1307" i="15"/>
  <c r="K1307" i="15"/>
  <c r="L1307" i="15"/>
  <c r="M1307" i="15"/>
  <c r="N1307" i="15"/>
  <c r="O1307" i="15"/>
  <c r="P1307" i="15"/>
  <c r="Q1307" i="15"/>
  <c r="T1307" i="15"/>
  <c r="U1307" i="15"/>
  <c r="V1307" i="15"/>
  <c r="W1307" i="15"/>
  <c r="X1307" i="15"/>
  <c r="Y1307" i="15"/>
  <c r="Z1307" i="15"/>
  <c r="AA1307" i="15"/>
  <c r="B1308" i="15"/>
  <c r="C1308" i="15"/>
  <c r="D1308" i="15"/>
  <c r="E1308" i="15"/>
  <c r="J1308" i="15"/>
  <c r="K1308" i="15"/>
  <c r="L1308" i="15"/>
  <c r="M1308" i="15"/>
  <c r="N1308" i="15"/>
  <c r="O1308" i="15"/>
  <c r="P1308" i="15"/>
  <c r="Q1308" i="15"/>
  <c r="T1308" i="15"/>
  <c r="U1308" i="15"/>
  <c r="V1308" i="15"/>
  <c r="W1308" i="15"/>
  <c r="X1308" i="15"/>
  <c r="Y1308" i="15"/>
  <c r="Z1308" i="15"/>
  <c r="AA1308" i="15"/>
  <c r="B1309" i="15"/>
  <c r="C1309" i="15"/>
  <c r="D1309" i="15"/>
  <c r="E1309" i="15"/>
  <c r="J1309" i="15"/>
  <c r="K1309" i="15"/>
  <c r="L1309" i="15"/>
  <c r="M1309" i="15"/>
  <c r="N1309" i="15"/>
  <c r="O1309" i="15"/>
  <c r="P1309" i="15"/>
  <c r="Q1309" i="15"/>
  <c r="T1309" i="15"/>
  <c r="U1309" i="15"/>
  <c r="V1309" i="15"/>
  <c r="W1309" i="15"/>
  <c r="X1309" i="15"/>
  <c r="Y1309" i="15"/>
  <c r="Z1309" i="15"/>
  <c r="AA1309" i="15"/>
  <c r="B1310" i="15"/>
  <c r="C1310" i="15"/>
  <c r="D1310" i="15"/>
  <c r="E1310" i="15"/>
  <c r="J1310" i="15"/>
  <c r="K1310" i="15"/>
  <c r="L1310" i="15"/>
  <c r="M1310" i="15"/>
  <c r="N1310" i="15"/>
  <c r="O1310" i="15"/>
  <c r="P1310" i="15"/>
  <c r="Q1310" i="15"/>
  <c r="T1310" i="15"/>
  <c r="U1310" i="15"/>
  <c r="V1310" i="15"/>
  <c r="W1310" i="15"/>
  <c r="X1310" i="15"/>
  <c r="Y1310" i="15"/>
  <c r="Z1310" i="15"/>
  <c r="AA1310" i="15"/>
  <c r="B1311" i="15"/>
  <c r="C1311" i="15"/>
  <c r="D1311" i="15"/>
  <c r="E1311" i="15"/>
  <c r="J1311" i="15"/>
  <c r="K1311" i="15"/>
  <c r="L1311" i="15"/>
  <c r="M1311" i="15"/>
  <c r="N1311" i="15"/>
  <c r="O1311" i="15"/>
  <c r="P1311" i="15"/>
  <c r="Q1311" i="15"/>
  <c r="T1311" i="15"/>
  <c r="U1311" i="15"/>
  <c r="V1311" i="15"/>
  <c r="W1311" i="15"/>
  <c r="X1311" i="15"/>
  <c r="Y1311" i="15"/>
  <c r="Z1311" i="15"/>
  <c r="AA1311" i="15"/>
  <c r="B1312" i="15"/>
  <c r="C1312" i="15"/>
  <c r="D1312" i="15"/>
  <c r="E1312" i="15"/>
  <c r="J1312" i="15"/>
  <c r="K1312" i="15"/>
  <c r="L1312" i="15"/>
  <c r="M1312" i="15"/>
  <c r="N1312" i="15"/>
  <c r="O1312" i="15"/>
  <c r="P1312" i="15"/>
  <c r="Q1312" i="15"/>
  <c r="T1312" i="15"/>
  <c r="U1312" i="15"/>
  <c r="V1312" i="15"/>
  <c r="W1312" i="15"/>
  <c r="X1312" i="15"/>
  <c r="Y1312" i="15"/>
  <c r="Z1312" i="15"/>
  <c r="AA1312" i="15"/>
  <c r="B1313" i="15"/>
  <c r="C1313" i="15"/>
  <c r="D1313" i="15"/>
  <c r="E1313" i="15"/>
  <c r="J1313" i="15"/>
  <c r="K1313" i="15"/>
  <c r="L1313" i="15"/>
  <c r="M1313" i="15"/>
  <c r="N1313" i="15"/>
  <c r="O1313" i="15"/>
  <c r="P1313" i="15"/>
  <c r="Q1313" i="15"/>
  <c r="T1313" i="15"/>
  <c r="U1313" i="15"/>
  <c r="V1313" i="15"/>
  <c r="W1313" i="15"/>
  <c r="X1313" i="15"/>
  <c r="Y1313" i="15"/>
  <c r="Z1313" i="15"/>
  <c r="AA1313" i="15"/>
  <c r="B1314" i="15"/>
  <c r="C1314" i="15"/>
  <c r="D1314" i="15"/>
  <c r="E1314" i="15"/>
  <c r="J1314" i="15"/>
  <c r="K1314" i="15"/>
  <c r="L1314" i="15"/>
  <c r="M1314" i="15"/>
  <c r="N1314" i="15"/>
  <c r="O1314" i="15"/>
  <c r="P1314" i="15"/>
  <c r="Q1314" i="15"/>
  <c r="T1314" i="15"/>
  <c r="U1314" i="15"/>
  <c r="V1314" i="15"/>
  <c r="W1314" i="15"/>
  <c r="X1314" i="15"/>
  <c r="Y1314" i="15"/>
  <c r="Z1314" i="15"/>
  <c r="AA1314" i="15"/>
  <c r="B1315" i="15"/>
  <c r="C1315" i="15"/>
  <c r="D1315" i="15"/>
  <c r="E1315" i="15"/>
  <c r="J1315" i="15"/>
  <c r="K1315" i="15"/>
  <c r="L1315" i="15"/>
  <c r="M1315" i="15"/>
  <c r="N1315" i="15"/>
  <c r="O1315" i="15"/>
  <c r="P1315" i="15"/>
  <c r="Q1315" i="15"/>
  <c r="T1315" i="15"/>
  <c r="U1315" i="15"/>
  <c r="V1315" i="15"/>
  <c r="W1315" i="15"/>
  <c r="X1315" i="15"/>
  <c r="Y1315" i="15"/>
  <c r="Z1315" i="15"/>
  <c r="AA1315" i="15"/>
  <c r="B1316" i="15"/>
  <c r="C1316" i="15"/>
  <c r="D1316" i="15"/>
  <c r="E1316" i="15"/>
  <c r="J1316" i="15"/>
  <c r="K1316" i="15"/>
  <c r="L1316" i="15"/>
  <c r="M1316" i="15"/>
  <c r="N1316" i="15"/>
  <c r="O1316" i="15"/>
  <c r="P1316" i="15"/>
  <c r="Q1316" i="15"/>
  <c r="T1316" i="15"/>
  <c r="U1316" i="15"/>
  <c r="V1316" i="15"/>
  <c r="W1316" i="15"/>
  <c r="X1316" i="15"/>
  <c r="Y1316" i="15"/>
  <c r="Z1316" i="15"/>
  <c r="AA1316" i="15"/>
  <c r="B1317" i="15"/>
  <c r="C1317" i="15"/>
  <c r="D1317" i="15"/>
  <c r="E1317" i="15"/>
  <c r="J1317" i="15"/>
  <c r="K1317" i="15"/>
  <c r="L1317" i="15"/>
  <c r="M1317" i="15"/>
  <c r="N1317" i="15"/>
  <c r="O1317" i="15"/>
  <c r="P1317" i="15"/>
  <c r="Q1317" i="15"/>
  <c r="T1317" i="15"/>
  <c r="U1317" i="15"/>
  <c r="V1317" i="15"/>
  <c r="W1317" i="15"/>
  <c r="X1317" i="15"/>
  <c r="Y1317" i="15"/>
  <c r="Z1317" i="15"/>
  <c r="AA1317" i="15"/>
  <c r="B1318" i="15"/>
  <c r="C1318" i="15"/>
  <c r="D1318" i="15"/>
  <c r="E1318" i="15"/>
  <c r="J1318" i="15"/>
  <c r="K1318" i="15"/>
  <c r="L1318" i="15"/>
  <c r="M1318" i="15"/>
  <c r="N1318" i="15"/>
  <c r="O1318" i="15"/>
  <c r="P1318" i="15"/>
  <c r="Q1318" i="15"/>
  <c r="T1318" i="15"/>
  <c r="U1318" i="15"/>
  <c r="V1318" i="15"/>
  <c r="W1318" i="15"/>
  <c r="X1318" i="15"/>
  <c r="Y1318" i="15"/>
  <c r="Z1318" i="15"/>
  <c r="AA1318" i="15"/>
  <c r="B1319" i="15"/>
  <c r="C1319" i="15"/>
  <c r="D1319" i="15"/>
  <c r="E1319" i="15"/>
  <c r="J1319" i="15"/>
  <c r="K1319" i="15"/>
  <c r="L1319" i="15"/>
  <c r="M1319" i="15"/>
  <c r="N1319" i="15"/>
  <c r="O1319" i="15"/>
  <c r="P1319" i="15"/>
  <c r="Q1319" i="15"/>
  <c r="T1319" i="15"/>
  <c r="U1319" i="15"/>
  <c r="V1319" i="15"/>
  <c r="W1319" i="15"/>
  <c r="X1319" i="15"/>
  <c r="Y1319" i="15"/>
  <c r="Z1319" i="15"/>
  <c r="AA1319" i="15"/>
  <c r="B1320" i="15"/>
  <c r="C1320" i="15"/>
  <c r="D1320" i="15"/>
  <c r="E1320" i="15"/>
  <c r="J1320" i="15"/>
  <c r="K1320" i="15"/>
  <c r="L1320" i="15"/>
  <c r="M1320" i="15"/>
  <c r="N1320" i="15"/>
  <c r="O1320" i="15"/>
  <c r="P1320" i="15"/>
  <c r="Q1320" i="15"/>
  <c r="T1320" i="15"/>
  <c r="U1320" i="15"/>
  <c r="V1320" i="15"/>
  <c r="W1320" i="15"/>
  <c r="X1320" i="15"/>
  <c r="Y1320" i="15"/>
  <c r="Z1320" i="15"/>
  <c r="AA1320" i="15"/>
  <c r="B1321" i="15"/>
  <c r="C1321" i="15"/>
  <c r="D1321" i="15"/>
  <c r="E1321" i="15"/>
  <c r="J1321" i="15"/>
  <c r="K1321" i="15"/>
  <c r="L1321" i="15"/>
  <c r="M1321" i="15"/>
  <c r="N1321" i="15"/>
  <c r="O1321" i="15"/>
  <c r="P1321" i="15"/>
  <c r="Q1321" i="15"/>
  <c r="T1321" i="15"/>
  <c r="U1321" i="15"/>
  <c r="V1321" i="15"/>
  <c r="W1321" i="15"/>
  <c r="X1321" i="15"/>
  <c r="Y1321" i="15"/>
  <c r="Z1321" i="15"/>
  <c r="AA1321" i="15"/>
  <c r="B1322" i="15"/>
  <c r="C1322" i="15"/>
  <c r="D1322" i="15"/>
  <c r="E1322" i="15"/>
  <c r="J1322" i="15"/>
  <c r="K1322" i="15"/>
  <c r="L1322" i="15"/>
  <c r="M1322" i="15"/>
  <c r="N1322" i="15"/>
  <c r="O1322" i="15"/>
  <c r="P1322" i="15"/>
  <c r="Q1322" i="15"/>
  <c r="T1322" i="15"/>
  <c r="U1322" i="15"/>
  <c r="V1322" i="15"/>
  <c r="W1322" i="15"/>
  <c r="X1322" i="15"/>
  <c r="Y1322" i="15"/>
  <c r="Z1322" i="15"/>
  <c r="AA1322" i="15"/>
  <c r="B1323" i="15"/>
  <c r="C1323" i="15"/>
  <c r="D1323" i="15"/>
  <c r="E1323" i="15"/>
  <c r="J1323" i="15"/>
  <c r="K1323" i="15"/>
  <c r="L1323" i="15"/>
  <c r="M1323" i="15"/>
  <c r="N1323" i="15"/>
  <c r="O1323" i="15"/>
  <c r="P1323" i="15"/>
  <c r="Q1323" i="15"/>
  <c r="T1323" i="15"/>
  <c r="U1323" i="15"/>
  <c r="V1323" i="15"/>
  <c r="W1323" i="15"/>
  <c r="X1323" i="15"/>
  <c r="Y1323" i="15"/>
  <c r="Z1323" i="15"/>
  <c r="AA1323" i="15"/>
  <c r="B1324" i="15"/>
  <c r="C1324" i="15"/>
  <c r="D1324" i="15"/>
  <c r="E1324" i="15"/>
  <c r="J1324" i="15"/>
  <c r="K1324" i="15"/>
  <c r="L1324" i="15"/>
  <c r="M1324" i="15"/>
  <c r="N1324" i="15"/>
  <c r="O1324" i="15"/>
  <c r="P1324" i="15"/>
  <c r="Q1324" i="15"/>
  <c r="T1324" i="15"/>
  <c r="U1324" i="15"/>
  <c r="V1324" i="15"/>
  <c r="W1324" i="15"/>
  <c r="X1324" i="15"/>
  <c r="Y1324" i="15"/>
  <c r="Z1324" i="15"/>
  <c r="AA1324" i="15"/>
  <c r="B1325" i="15"/>
  <c r="C1325" i="15"/>
  <c r="D1325" i="15"/>
  <c r="E1325" i="15"/>
  <c r="J1325" i="15"/>
  <c r="K1325" i="15"/>
  <c r="L1325" i="15"/>
  <c r="M1325" i="15"/>
  <c r="N1325" i="15"/>
  <c r="O1325" i="15"/>
  <c r="P1325" i="15"/>
  <c r="Q1325" i="15"/>
  <c r="T1325" i="15"/>
  <c r="U1325" i="15"/>
  <c r="V1325" i="15"/>
  <c r="W1325" i="15"/>
  <c r="X1325" i="15"/>
  <c r="Y1325" i="15"/>
  <c r="Z1325" i="15"/>
  <c r="AA1325" i="15"/>
  <c r="B1326" i="15"/>
  <c r="C1326" i="15"/>
  <c r="D1326" i="15"/>
  <c r="E1326" i="15"/>
  <c r="J1326" i="15"/>
  <c r="K1326" i="15"/>
  <c r="L1326" i="15"/>
  <c r="M1326" i="15"/>
  <c r="N1326" i="15"/>
  <c r="O1326" i="15"/>
  <c r="P1326" i="15"/>
  <c r="Q1326" i="15"/>
  <c r="T1326" i="15"/>
  <c r="U1326" i="15"/>
  <c r="V1326" i="15"/>
  <c r="W1326" i="15"/>
  <c r="X1326" i="15"/>
  <c r="Y1326" i="15"/>
  <c r="Z1326" i="15"/>
  <c r="AA1326" i="15"/>
  <c r="B1327" i="15"/>
  <c r="C1327" i="15"/>
  <c r="D1327" i="15"/>
  <c r="E1327" i="15"/>
  <c r="J1327" i="15"/>
  <c r="K1327" i="15"/>
  <c r="L1327" i="15"/>
  <c r="M1327" i="15"/>
  <c r="N1327" i="15"/>
  <c r="O1327" i="15"/>
  <c r="P1327" i="15"/>
  <c r="Q1327" i="15"/>
  <c r="T1327" i="15"/>
  <c r="U1327" i="15"/>
  <c r="V1327" i="15"/>
  <c r="W1327" i="15"/>
  <c r="X1327" i="15"/>
  <c r="Y1327" i="15"/>
  <c r="Z1327" i="15"/>
  <c r="AA1327" i="15"/>
  <c r="B1328" i="15"/>
  <c r="C1328" i="15"/>
  <c r="D1328" i="15"/>
  <c r="E1328" i="15"/>
  <c r="J1328" i="15"/>
  <c r="K1328" i="15"/>
  <c r="L1328" i="15"/>
  <c r="M1328" i="15"/>
  <c r="N1328" i="15"/>
  <c r="O1328" i="15"/>
  <c r="P1328" i="15"/>
  <c r="Q1328" i="15"/>
  <c r="T1328" i="15"/>
  <c r="U1328" i="15"/>
  <c r="V1328" i="15"/>
  <c r="W1328" i="15"/>
  <c r="X1328" i="15"/>
  <c r="Y1328" i="15"/>
  <c r="Z1328" i="15"/>
  <c r="AA1328" i="15"/>
  <c r="B1329" i="15"/>
  <c r="C1329" i="15"/>
  <c r="D1329" i="15"/>
  <c r="E1329" i="15"/>
  <c r="J1329" i="15"/>
  <c r="K1329" i="15"/>
  <c r="L1329" i="15"/>
  <c r="M1329" i="15"/>
  <c r="N1329" i="15"/>
  <c r="O1329" i="15"/>
  <c r="P1329" i="15"/>
  <c r="Q1329" i="15"/>
  <c r="T1329" i="15"/>
  <c r="U1329" i="15"/>
  <c r="V1329" i="15"/>
  <c r="W1329" i="15"/>
  <c r="X1329" i="15"/>
  <c r="Y1329" i="15"/>
  <c r="Z1329" i="15"/>
  <c r="AA1329" i="15"/>
  <c r="B1330" i="15"/>
  <c r="C1330" i="15"/>
  <c r="D1330" i="15"/>
  <c r="E1330" i="15"/>
  <c r="J1330" i="15"/>
  <c r="K1330" i="15"/>
  <c r="L1330" i="15"/>
  <c r="M1330" i="15"/>
  <c r="N1330" i="15"/>
  <c r="O1330" i="15"/>
  <c r="P1330" i="15"/>
  <c r="Q1330" i="15"/>
  <c r="T1330" i="15"/>
  <c r="U1330" i="15"/>
  <c r="V1330" i="15"/>
  <c r="W1330" i="15"/>
  <c r="X1330" i="15"/>
  <c r="Y1330" i="15"/>
  <c r="Z1330" i="15"/>
  <c r="AA1330" i="15"/>
  <c r="B1331" i="15"/>
  <c r="C1331" i="15"/>
  <c r="D1331" i="15"/>
  <c r="E1331" i="15"/>
  <c r="J1331" i="15"/>
  <c r="K1331" i="15"/>
  <c r="L1331" i="15"/>
  <c r="M1331" i="15"/>
  <c r="N1331" i="15"/>
  <c r="O1331" i="15"/>
  <c r="P1331" i="15"/>
  <c r="Q1331" i="15"/>
  <c r="T1331" i="15"/>
  <c r="U1331" i="15"/>
  <c r="V1331" i="15"/>
  <c r="W1331" i="15"/>
  <c r="X1331" i="15"/>
  <c r="Y1331" i="15"/>
  <c r="Z1331" i="15"/>
  <c r="AA1331" i="15"/>
  <c r="B1332" i="15"/>
  <c r="C1332" i="15"/>
  <c r="D1332" i="15"/>
  <c r="E1332" i="15"/>
  <c r="J1332" i="15"/>
  <c r="K1332" i="15"/>
  <c r="L1332" i="15"/>
  <c r="M1332" i="15"/>
  <c r="N1332" i="15"/>
  <c r="O1332" i="15"/>
  <c r="P1332" i="15"/>
  <c r="Q1332" i="15"/>
  <c r="T1332" i="15"/>
  <c r="U1332" i="15"/>
  <c r="V1332" i="15"/>
  <c r="W1332" i="15"/>
  <c r="X1332" i="15"/>
  <c r="Y1332" i="15"/>
  <c r="Z1332" i="15"/>
  <c r="AA1332" i="15"/>
  <c r="B1333" i="15"/>
  <c r="C1333" i="15"/>
  <c r="D1333" i="15"/>
  <c r="E1333" i="15"/>
  <c r="J1333" i="15"/>
  <c r="K1333" i="15"/>
  <c r="L1333" i="15"/>
  <c r="M1333" i="15"/>
  <c r="N1333" i="15"/>
  <c r="O1333" i="15"/>
  <c r="P1333" i="15"/>
  <c r="Q1333" i="15"/>
  <c r="T1333" i="15"/>
  <c r="U1333" i="15"/>
  <c r="V1333" i="15"/>
  <c r="W1333" i="15"/>
  <c r="X1333" i="15"/>
  <c r="Y1333" i="15"/>
  <c r="Z1333" i="15"/>
  <c r="AA1333" i="15"/>
  <c r="B1334" i="15"/>
  <c r="C1334" i="15"/>
  <c r="D1334" i="15"/>
  <c r="E1334" i="15"/>
  <c r="J1334" i="15"/>
  <c r="K1334" i="15"/>
  <c r="L1334" i="15"/>
  <c r="M1334" i="15"/>
  <c r="N1334" i="15"/>
  <c r="O1334" i="15"/>
  <c r="P1334" i="15"/>
  <c r="Q1334" i="15"/>
  <c r="T1334" i="15"/>
  <c r="U1334" i="15"/>
  <c r="V1334" i="15"/>
  <c r="W1334" i="15"/>
  <c r="X1334" i="15"/>
  <c r="Y1334" i="15"/>
  <c r="Z1334" i="15"/>
  <c r="AA1334" i="15"/>
  <c r="B1335" i="15"/>
  <c r="C1335" i="15"/>
  <c r="D1335" i="15"/>
  <c r="E1335" i="15"/>
  <c r="J1335" i="15"/>
  <c r="K1335" i="15"/>
  <c r="L1335" i="15"/>
  <c r="M1335" i="15"/>
  <c r="N1335" i="15"/>
  <c r="O1335" i="15"/>
  <c r="P1335" i="15"/>
  <c r="Q1335" i="15"/>
  <c r="T1335" i="15"/>
  <c r="U1335" i="15"/>
  <c r="V1335" i="15"/>
  <c r="W1335" i="15"/>
  <c r="X1335" i="15"/>
  <c r="Y1335" i="15"/>
  <c r="Z1335" i="15"/>
  <c r="AA1335" i="15"/>
  <c r="B1336" i="15"/>
  <c r="C1336" i="15"/>
  <c r="D1336" i="15"/>
  <c r="E1336" i="15"/>
  <c r="J1336" i="15"/>
  <c r="K1336" i="15"/>
  <c r="L1336" i="15"/>
  <c r="M1336" i="15"/>
  <c r="N1336" i="15"/>
  <c r="O1336" i="15"/>
  <c r="P1336" i="15"/>
  <c r="Q1336" i="15"/>
  <c r="T1336" i="15"/>
  <c r="U1336" i="15"/>
  <c r="V1336" i="15"/>
  <c r="W1336" i="15"/>
  <c r="X1336" i="15"/>
  <c r="Y1336" i="15"/>
  <c r="Z1336" i="15"/>
  <c r="AA1336" i="15"/>
  <c r="B1337" i="15"/>
  <c r="C1337" i="15"/>
  <c r="D1337" i="15"/>
  <c r="E1337" i="15"/>
  <c r="J1337" i="15"/>
  <c r="K1337" i="15"/>
  <c r="L1337" i="15"/>
  <c r="M1337" i="15"/>
  <c r="N1337" i="15"/>
  <c r="O1337" i="15"/>
  <c r="P1337" i="15"/>
  <c r="Q1337" i="15"/>
  <c r="T1337" i="15"/>
  <c r="U1337" i="15"/>
  <c r="V1337" i="15"/>
  <c r="W1337" i="15"/>
  <c r="X1337" i="15"/>
  <c r="Y1337" i="15"/>
  <c r="Z1337" i="15"/>
  <c r="AA1337" i="15"/>
  <c r="B1338" i="15"/>
  <c r="C1338" i="15"/>
  <c r="D1338" i="15"/>
  <c r="E1338" i="15"/>
  <c r="J1338" i="15"/>
  <c r="K1338" i="15"/>
  <c r="L1338" i="15"/>
  <c r="M1338" i="15"/>
  <c r="N1338" i="15"/>
  <c r="O1338" i="15"/>
  <c r="P1338" i="15"/>
  <c r="Q1338" i="15"/>
  <c r="T1338" i="15"/>
  <c r="U1338" i="15"/>
  <c r="V1338" i="15"/>
  <c r="W1338" i="15"/>
  <c r="X1338" i="15"/>
  <c r="Y1338" i="15"/>
  <c r="Z1338" i="15"/>
  <c r="AA1338" i="15"/>
  <c r="B1339" i="15"/>
  <c r="C1339" i="15"/>
  <c r="D1339" i="15"/>
  <c r="E1339" i="15"/>
  <c r="J1339" i="15"/>
  <c r="K1339" i="15"/>
  <c r="L1339" i="15"/>
  <c r="M1339" i="15"/>
  <c r="N1339" i="15"/>
  <c r="O1339" i="15"/>
  <c r="P1339" i="15"/>
  <c r="Q1339" i="15"/>
  <c r="T1339" i="15"/>
  <c r="U1339" i="15"/>
  <c r="V1339" i="15"/>
  <c r="W1339" i="15"/>
  <c r="X1339" i="15"/>
  <c r="Y1339" i="15"/>
  <c r="Z1339" i="15"/>
  <c r="AA1339" i="15"/>
  <c r="B1340" i="15"/>
  <c r="C1340" i="15"/>
  <c r="D1340" i="15"/>
  <c r="E1340" i="15"/>
  <c r="J1340" i="15"/>
  <c r="K1340" i="15"/>
  <c r="L1340" i="15"/>
  <c r="M1340" i="15"/>
  <c r="N1340" i="15"/>
  <c r="O1340" i="15"/>
  <c r="P1340" i="15"/>
  <c r="Q1340" i="15"/>
  <c r="T1340" i="15"/>
  <c r="U1340" i="15"/>
  <c r="V1340" i="15"/>
  <c r="W1340" i="15"/>
  <c r="X1340" i="15"/>
  <c r="Y1340" i="15"/>
  <c r="Z1340" i="15"/>
  <c r="AA1340" i="15"/>
  <c r="B1341" i="15"/>
  <c r="C1341" i="15"/>
  <c r="D1341" i="15"/>
  <c r="E1341" i="15"/>
  <c r="J1341" i="15"/>
  <c r="K1341" i="15"/>
  <c r="L1341" i="15"/>
  <c r="M1341" i="15"/>
  <c r="N1341" i="15"/>
  <c r="O1341" i="15"/>
  <c r="P1341" i="15"/>
  <c r="Q1341" i="15"/>
  <c r="T1341" i="15"/>
  <c r="U1341" i="15"/>
  <c r="V1341" i="15"/>
  <c r="W1341" i="15"/>
  <c r="X1341" i="15"/>
  <c r="Y1341" i="15"/>
  <c r="Z1341" i="15"/>
  <c r="AA1341" i="15"/>
  <c r="B1342" i="15"/>
  <c r="C1342" i="15"/>
  <c r="D1342" i="15"/>
  <c r="E1342" i="15"/>
  <c r="J1342" i="15"/>
  <c r="K1342" i="15"/>
  <c r="L1342" i="15"/>
  <c r="M1342" i="15"/>
  <c r="N1342" i="15"/>
  <c r="O1342" i="15"/>
  <c r="P1342" i="15"/>
  <c r="Q1342" i="15"/>
  <c r="T1342" i="15"/>
  <c r="U1342" i="15"/>
  <c r="V1342" i="15"/>
  <c r="W1342" i="15"/>
  <c r="X1342" i="15"/>
  <c r="Y1342" i="15"/>
  <c r="Z1342" i="15"/>
  <c r="AA1342" i="15"/>
  <c r="B1343" i="15"/>
  <c r="C1343" i="15"/>
  <c r="D1343" i="15"/>
  <c r="E1343" i="15"/>
  <c r="J1343" i="15"/>
  <c r="K1343" i="15"/>
  <c r="L1343" i="15"/>
  <c r="M1343" i="15"/>
  <c r="N1343" i="15"/>
  <c r="O1343" i="15"/>
  <c r="P1343" i="15"/>
  <c r="Q1343" i="15"/>
  <c r="T1343" i="15"/>
  <c r="U1343" i="15"/>
  <c r="V1343" i="15"/>
  <c r="W1343" i="15"/>
  <c r="X1343" i="15"/>
  <c r="Y1343" i="15"/>
  <c r="Z1343" i="15"/>
  <c r="AA1343" i="15"/>
  <c r="B1344" i="15"/>
  <c r="C1344" i="15"/>
  <c r="D1344" i="15"/>
  <c r="E1344" i="15"/>
  <c r="J1344" i="15"/>
  <c r="K1344" i="15"/>
  <c r="L1344" i="15"/>
  <c r="M1344" i="15"/>
  <c r="N1344" i="15"/>
  <c r="O1344" i="15"/>
  <c r="P1344" i="15"/>
  <c r="Q1344" i="15"/>
  <c r="T1344" i="15"/>
  <c r="U1344" i="15"/>
  <c r="V1344" i="15"/>
  <c r="W1344" i="15"/>
  <c r="X1344" i="15"/>
  <c r="Y1344" i="15"/>
  <c r="Z1344" i="15"/>
  <c r="AA1344" i="15"/>
  <c r="B1345" i="15"/>
  <c r="C1345" i="15"/>
  <c r="D1345" i="15"/>
  <c r="E1345" i="15"/>
  <c r="J1345" i="15"/>
  <c r="K1345" i="15"/>
  <c r="L1345" i="15"/>
  <c r="M1345" i="15"/>
  <c r="N1345" i="15"/>
  <c r="O1345" i="15"/>
  <c r="P1345" i="15"/>
  <c r="Q1345" i="15"/>
  <c r="T1345" i="15"/>
  <c r="U1345" i="15"/>
  <c r="V1345" i="15"/>
  <c r="W1345" i="15"/>
  <c r="X1345" i="15"/>
  <c r="Y1345" i="15"/>
  <c r="Z1345" i="15"/>
  <c r="AA1345" i="15"/>
  <c r="B1346" i="15"/>
  <c r="C1346" i="15"/>
  <c r="D1346" i="15"/>
  <c r="E1346" i="15"/>
  <c r="J1346" i="15"/>
  <c r="K1346" i="15"/>
  <c r="L1346" i="15"/>
  <c r="M1346" i="15"/>
  <c r="N1346" i="15"/>
  <c r="O1346" i="15"/>
  <c r="P1346" i="15"/>
  <c r="Q1346" i="15"/>
  <c r="T1346" i="15"/>
  <c r="U1346" i="15"/>
  <c r="V1346" i="15"/>
  <c r="W1346" i="15"/>
  <c r="X1346" i="15"/>
  <c r="Y1346" i="15"/>
  <c r="Z1346" i="15"/>
  <c r="AA1346" i="15"/>
  <c r="B1347" i="15"/>
  <c r="C1347" i="15"/>
  <c r="D1347" i="15"/>
  <c r="E1347" i="15"/>
  <c r="J1347" i="15"/>
  <c r="K1347" i="15"/>
  <c r="L1347" i="15"/>
  <c r="M1347" i="15"/>
  <c r="N1347" i="15"/>
  <c r="O1347" i="15"/>
  <c r="P1347" i="15"/>
  <c r="Q1347" i="15"/>
  <c r="T1347" i="15"/>
  <c r="U1347" i="15"/>
  <c r="V1347" i="15"/>
  <c r="W1347" i="15"/>
  <c r="X1347" i="15"/>
  <c r="Y1347" i="15"/>
  <c r="Z1347" i="15"/>
  <c r="AA1347" i="15"/>
  <c r="B1348" i="15"/>
  <c r="C1348" i="15"/>
  <c r="D1348" i="15"/>
  <c r="E1348" i="15"/>
  <c r="J1348" i="15"/>
  <c r="K1348" i="15"/>
  <c r="L1348" i="15"/>
  <c r="M1348" i="15"/>
  <c r="N1348" i="15"/>
  <c r="O1348" i="15"/>
  <c r="P1348" i="15"/>
  <c r="Q1348" i="15"/>
  <c r="T1348" i="15"/>
  <c r="U1348" i="15"/>
  <c r="V1348" i="15"/>
  <c r="W1348" i="15"/>
  <c r="X1348" i="15"/>
  <c r="Y1348" i="15"/>
  <c r="Z1348" i="15"/>
  <c r="AA1348" i="15"/>
  <c r="B1349" i="15"/>
  <c r="C1349" i="15"/>
  <c r="D1349" i="15"/>
  <c r="E1349" i="15"/>
  <c r="J1349" i="15"/>
  <c r="K1349" i="15"/>
  <c r="L1349" i="15"/>
  <c r="M1349" i="15"/>
  <c r="N1349" i="15"/>
  <c r="O1349" i="15"/>
  <c r="P1349" i="15"/>
  <c r="Q1349" i="15"/>
  <c r="T1349" i="15"/>
  <c r="U1349" i="15"/>
  <c r="V1349" i="15"/>
  <c r="W1349" i="15"/>
  <c r="X1349" i="15"/>
  <c r="Y1349" i="15"/>
  <c r="Z1349" i="15"/>
  <c r="AA1349" i="15"/>
  <c r="B1350" i="15"/>
  <c r="C1350" i="15"/>
  <c r="D1350" i="15"/>
  <c r="E1350" i="15"/>
  <c r="J1350" i="15"/>
  <c r="K1350" i="15"/>
  <c r="L1350" i="15"/>
  <c r="M1350" i="15"/>
  <c r="N1350" i="15"/>
  <c r="O1350" i="15"/>
  <c r="P1350" i="15"/>
  <c r="Q1350" i="15"/>
  <c r="T1350" i="15"/>
  <c r="U1350" i="15"/>
  <c r="V1350" i="15"/>
  <c r="W1350" i="15"/>
  <c r="X1350" i="15"/>
  <c r="Y1350" i="15"/>
  <c r="Z1350" i="15"/>
  <c r="AA1350" i="15"/>
  <c r="B1351" i="15"/>
  <c r="C1351" i="15"/>
  <c r="D1351" i="15"/>
  <c r="E1351" i="15"/>
  <c r="J1351" i="15"/>
  <c r="K1351" i="15"/>
  <c r="L1351" i="15"/>
  <c r="M1351" i="15"/>
  <c r="N1351" i="15"/>
  <c r="O1351" i="15"/>
  <c r="P1351" i="15"/>
  <c r="Q1351" i="15"/>
  <c r="T1351" i="15"/>
  <c r="U1351" i="15"/>
  <c r="V1351" i="15"/>
  <c r="W1351" i="15"/>
  <c r="X1351" i="15"/>
  <c r="Y1351" i="15"/>
  <c r="Z1351" i="15"/>
  <c r="AA1351" i="15"/>
  <c r="B1352" i="15"/>
  <c r="C1352" i="15"/>
  <c r="D1352" i="15"/>
  <c r="E1352" i="15"/>
  <c r="J1352" i="15"/>
  <c r="K1352" i="15"/>
  <c r="L1352" i="15"/>
  <c r="M1352" i="15"/>
  <c r="N1352" i="15"/>
  <c r="O1352" i="15"/>
  <c r="P1352" i="15"/>
  <c r="Q1352" i="15"/>
  <c r="T1352" i="15"/>
  <c r="U1352" i="15"/>
  <c r="V1352" i="15"/>
  <c r="W1352" i="15"/>
  <c r="X1352" i="15"/>
  <c r="Y1352" i="15"/>
  <c r="Z1352" i="15"/>
  <c r="AA1352" i="15"/>
  <c r="B1353" i="15"/>
  <c r="C1353" i="15"/>
  <c r="D1353" i="15"/>
  <c r="E1353" i="15"/>
  <c r="J1353" i="15"/>
  <c r="K1353" i="15"/>
  <c r="L1353" i="15"/>
  <c r="M1353" i="15"/>
  <c r="N1353" i="15"/>
  <c r="O1353" i="15"/>
  <c r="P1353" i="15"/>
  <c r="Q1353" i="15"/>
  <c r="T1353" i="15"/>
  <c r="U1353" i="15"/>
  <c r="V1353" i="15"/>
  <c r="W1353" i="15"/>
  <c r="X1353" i="15"/>
  <c r="Y1353" i="15"/>
  <c r="Z1353" i="15"/>
  <c r="AA1353" i="15"/>
  <c r="B1354" i="15"/>
  <c r="C1354" i="15"/>
  <c r="D1354" i="15"/>
  <c r="E1354" i="15"/>
  <c r="J1354" i="15"/>
  <c r="K1354" i="15"/>
  <c r="L1354" i="15"/>
  <c r="M1354" i="15"/>
  <c r="N1354" i="15"/>
  <c r="O1354" i="15"/>
  <c r="P1354" i="15"/>
  <c r="Q1354" i="15"/>
  <c r="T1354" i="15"/>
  <c r="U1354" i="15"/>
  <c r="V1354" i="15"/>
  <c r="W1354" i="15"/>
  <c r="X1354" i="15"/>
  <c r="Y1354" i="15"/>
  <c r="Z1354" i="15"/>
  <c r="AA1354" i="15"/>
  <c r="B1355" i="15"/>
  <c r="C1355" i="15"/>
  <c r="D1355" i="15"/>
  <c r="E1355" i="15"/>
  <c r="J1355" i="15"/>
  <c r="K1355" i="15"/>
  <c r="L1355" i="15"/>
  <c r="M1355" i="15"/>
  <c r="N1355" i="15"/>
  <c r="O1355" i="15"/>
  <c r="P1355" i="15"/>
  <c r="Q1355" i="15"/>
  <c r="T1355" i="15"/>
  <c r="U1355" i="15"/>
  <c r="V1355" i="15"/>
  <c r="W1355" i="15"/>
  <c r="X1355" i="15"/>
  <c r="Y1355" i="15"/>
  <c r="Z1355" i="15"/>
  <c r="AA1355" i="15"/>
  <c r="B1356" i="15"/>
  <c r="C1356" i="15"/>
  <c r="D1356" i="15"/>
  <c r="E1356" i="15"/>
  <c r="J1356" i="15"/>
  <c r="K1356" i="15"/>
  <c r="L1356" i="15"/>
  <c r="M1356" i="15"/>
  <c r="N1356" i="15"/>
  <c r="O1356" i="15"/>
  <c r="P1356" i="15"/>
  <c r="Q1356" i="15"/>
  <c r="T1356" i="15"/>
  <c r="U1356" i="15"/>
  <c r="V1356" i="15"/>
  <c r="W1356" i="15"/>
  <c r="X1356" i="15"/>
  <c r="Y1356" i="15"/>
  <c r="Z1356" i="15"/>
  <c r="AA1356" i="15"/>
  <c r="B1357" i="15"/>
  <c r="C1357" i="15"/>
  <c r="D1357" i="15"/>
  <c r="E1357" i="15"/>
  <c r="J1357" i="15"/>
  <c r="K1357" i="15"/>
  <c r="L1357" i="15"/>
  <c r="M1357" i="15"/>
  <c r="N1357" i="15"/>
  <c r="O1357" i="15"/>
  <c r="P1357" i="15"/>
  <c r="Q1357" i="15"/>
  <c r="T1357" i="15"/>
  <c r="U1357" i="15"/>
  <c r="V1357" i="15"/>
  <c r="W1357" i="15"/>
  <c r="X1357" i="15"/>
  <c r="Y1357" i="15"/>
  <c r="Z1357" i="15"/>
  <c r="AA1357" i="15"/>
  <c r="B1358" i="15"/>
  <c r="C1358" i="15"/>
  <c r="D1358" i="15"/>
  <c r="E1358" i="15"/>
  <c r="J1358" i="15"/>
  <c r="K1358" i="15"/>
  <c r="L1358" i="15"/>
  <c r="M1358" i="15"/>
  <c r="N1358" i="15"/>
  <c r="O1358" i="15"/>
  <c r="P1358" i="15"/>
  <c r="Q1358" i="15"/>
  <c r="T1358" i="15"/>
  <c r="U1358" i="15"/>
  <c r="V1358" i="15"/>
  <c r="W1358" i="15"/>
  <c r="X1358" i="15"/>
  <c r="Y1358" i="15"/>
  <c r="Z1358" i="15"/>
  <c r="AA1358" i="15"/>
  <c r="B1359" i="15"/>
  <c r="C1359" i="15"/>
  <c r="D1359" i="15"/>
  <c r="E1359" i="15"/>
  <c r="J1359" i="15"/>
  <c r="K1359" i="15"/>
  <c r="L1359" i="15"/>
  <c r="M1359" i="15"/>
  <c r="N1359" i="15"/>
  <c r="O1359" i="15"/>
  <c r="P1359" i="15"/>
  <c r="Q1359" i="15"/>
  <c r="T1359" i="15"/>
  <c r="U1359" i="15"/>
  <c r="V1359" i="15"/>
  <c r="W1359" i="15"/>
  <c r="X1359" i="15"/>
  <c r="Y1359" i="15"/>
  <c r="Z1359" i="15"/>
  <c r="AA1359" i="15"/>
  <c r="B1360" i="15"/>
  <c r="C1360" i="15"/>
  <c r="D1360" i="15"/>
  <c r="E1360" i="15"/>
  <c r="J1360" i="15"/>
  <c r="K1360" i="15"/>
  <c r="L1360" i="15"/>
  <c r="M1360" i="15"/>
  <c r="N1360" i="15"/>
  <c r="O1360" i="15"/>
  <c r="P1360" i="15"/>
  <c r="Q1360" i="15"/>
  <c r="T1360" i="15"/>
  <c r="U1360" i="15"/>
  <c r="V1360" i="15"/>
  <c r="W1360" i="15"/>
  <c r="X1360" i="15"/>
  <c r="Y1360" i="15"/>
  <c r="Z1360" i="15"/>
  <c r="AA1360" i="15"/>
  <c r="B1361" i="15"/>
  <c r="C1361" i="15"/>
  <c r="D1361" i="15"/>
  <c r="E1361" i="15"/>
  <c r="J1361" i="15"/>
  <c r="K1361" i="15"/>
  <c r="L1361" i="15"/>
  <c r="M1361" i="15"/>
  <c r="N1361" i="15"/>
  <c r="O1361" i="15"/>
  <c r="P1361" i="15"/>
  <c r="Q1361" i="15"/>
  <c r="T1361" i="15"/>
  <c r="U1361" i="15"/>
  <c r="V1361" i="15"/>
  <c r="W1361" i="15"/>
  <c r="X1361" i="15"/>
  <c r="Y1361" i="15"/>
  <c r="Z1361" i="15"/>
  <c r="AA1361" i="15"/>
  <c r="B1362" i="15"/>
  <c r="C1362" i="15"/>
  <c r="D1362" i="15"/>
  <c r="E1362" i="15"/>
  <c r="J1362" i="15"/>
  <c r="K1362" i="15"/>
  <c r="L1362" i="15"/>
  <c r="M1362" i="15"/>
  <c r="N1362" i="15"/>
  <c r="O1362" i="15"/>
  <c r="P1362" i="15"/>
  <c r="Q1362" i="15"/>
  <c r="T1362" i="15"/>
  <c r="U1362" i="15"/>
  <c r="V1362" i="15"/>
  <c r="W1362" i="15"/>
  <c r="X1362" i="15"/>
  <c r="Y1362" i="15"/>
  <c r="Z1362" i="15"/>
  <c r="AA1362" i="15"/>
  <c r="B1363" i="15"/>
  <c r="C1363" i="15"/>
  <c r="D1363" i="15"/>
  <c r="E1363" i="15"/>
  <c r="J1363" i="15"/>
  <c r="K1363" i="15"/>
  <c r="L1363" i="15"/>
  <c r="M1363" i="15"/>
  <c r="N1363" i="15"/>
  <c r="O1363" i="15"/>
  <c r="P1363" i="15"/>
  <c r="Q1363" i="15"/>
  <c r="T1363" i="15"/>
  <c r="U1363" i="15"/>
  <c r="V1363" i="15"/>
  <c r="W1363" i="15"/>
  <c r="X1363" i="15"/>
  <c r="Y1363" i="15"/>
  <c r="Z1363" i="15"/>
  <c r="AA1363" i="15"/>
  <c r="B1364" i="15"/>
  <c r="C1364" i="15"/>
  <c r="D1364" i="15"/>
  <c r="E1364" i="15"/>
  <c r="J1364" i="15"/>
  <c r="K1364" i="15"/>
  <c r="L1364" i="15"/>
  <c r="M1364" i="15"/>
  <c r="N1364" i="15"/>
  <c r="O1364" i="15"/>
  <c r="P1364" i="15"/>
  <c r="Q1364" i="15"/>
  <c r="T1364" i="15"/>
  <c r="U1364" i="15"/>
  <c r="V1364" i="15"/>
  <c r="W1364" i="15"/>
  <c r="X1364" i="15"/>
  <c r="Y1364" i="15"/>
  <c r="Z1364" i="15"/>
  <c r="AA1364" i="15"/>
  <c r="B1365" i="15"/>
  <c r="C1365" i="15"/>
  <c r="D1365" i="15"/>
  <c r="E1365" i="15"/>
  <c r="J1365" i="15"/>
  <c r="K1365" i="15"/>
  <c r="L1365" i="15"/>
  <c r="M1365" i="15"/>
  <c r="N1365" i="15"/>
  <c r="O1365" i="15"/>
  <c r="P1365" i="15"/>
  <c r="Q1365" i="15"/>
  <c r="T1365" i="15"/>
  <c r="U1365" i="15"/>
  <c r="V1365" i="15"/>
  <c r="W1365" i="15"/>
  <c r="X1365" i="15"/>
  <c r="Y1365" i="15"/>
  <c r="Z1365" i="15"/>
  <c r="AA1365" i="15"/>
  <c r="B1366" i="15"/>
  <c r="C1366" i="15"/>
  <c r="D1366" i="15"/>
  <c r="E1366" i="15"/>
  <c r="J1366" i="15"/>
  <c r="K1366" i="15"/>
  <c r="L1366" i="15"/>
  <c r="M1366" i="15"/>
  <c r="N1366" i="15"/>
  <c r="O1366" i="15"/>
  <c r="P1366" i="15"/>
  <c r="Q1366" i="15"/>
  <c r="T1366" i="15"/>
  <c r="U1366" i="15"/>
  <c r="V1366" i="15"/>
  <c r="W1366" i="15"/>
  <c r="X1366" i="15"/>
  <c r="Y1366" i="15"/>
  <c r="Z1366" i="15"/>
  <c r="AA1366" i="15"/>
  <c r="B1367" i="15"/>
  <c r="C1367" i="15"/>
  <c r="D1367" i="15"/>
  <c r="E1367" i="15"/>
  <c r="J1367" i="15"/>
  <c r="K1367" i="15"/>
  <c r="L1367" i="15"/>
  <c r="M1367" i="15"/>
  <c r="N1367" i="15"/>
  <c r="O1367" i="15"/>
  <c r="P1367" i="15"/>
  <c r="Q1367" i="15"/>
  <c r="T1367" i="15"/>
  <c r="U1367" i="15"/>
  <c r="V1367" i="15"/>
  <c r="W1367" i="15"/>
  <c r="X1367" i="15"/>
  <c r="Y1367" i="15"/>
  <c r="Z1367" i="15"/>
  <c r="AA1367" i="15"/>
  <c r="B1368" i="15"/>
  <c r="C1368" i="15"/>
  <c r="D1368" i="15"/>
  <c r="E1368" i="15"/>
  <c r="J1368" i="15"/>
  <c r="K1368" i="15"/>
  <c r="L1368" i="15"/>
  <c r="M1368" i="15"/>
  <c r="N1368" i="15"/>
  <c r="O1368" i="15"/>
  <c r="P1368" i="15"/>
  <c r="Q1368" i="15"/>
  <c r="T1368" i="15"/>
  <c r="U1368" i="15"/>
  <c r="V1368" i="15"/>
  <c r="W1368" i="15"/>
  <c r="X1368" i="15"/>
  <c r="Y1368" i="15"/>
  <c r="Z1368" i="15"/>
  <c r="AA1368" i="15"/>
  <c r="B1369" i="15"/>
  <c r="C1369" i="15"/>
  <c r="D1369" i="15"/>
  <c r="E1369" i="15"/>
  <c r="J1369" i="15"/>
  <c r="K1369" i="15"/>
  <c r="L1369" i="15"/>
  <c r="M1369" i="15"/>
  <c r="N1369" i="15"/>
  <c r="O1369" i="15"/>
  <c r="P1369" i="15"/>
  <c r="Q1369" i="15"/>
  <c r="T1369" i="15"/>
  <c r="U1369" i="15"/>
  <c r="V1369" i="15"/>
  <c r="W1369" i="15"/>
  <c r="X1369" i="15"/>
  <c r="Y1369" i="15"/>
  <c r="Z1369" i="15"/>
  <c r="AA1369" i="15"/>
  <c r="B1370" i="15"/>
  <c r="C1370" i="15"/>
  <c r="D1370" i="15"/>
  <c r="E1370" i="15"/>
  <c r="J1370" i="15"/>
  <c r="K1370" i="15"/>
  <c r="L1370" i="15"/>
  <c r="M1370" i="15"/>
  <c r="N1370" i="15"/>
  <c r="O1370" i="15"/>
  <c r="P1370" i="15"/>
  <c r="Q1370" i="15"/>
  <c r="T1370" i="15"/>
  <c r="U1370" i="15"/>
  <c r="V1370" i="15"/>
  <c r="W1370" i="15"/>
  <c r="X1370" i="15"/>
  <c r="Y1370" i="15"/>
  <c r="Z1370" i="15"/>
  <c r="AA1370" i="15"/>
  <c r="B1371" i="15"/>
  <c r="C1371" i="15"/>
  <c r="D1371" i="15"/>
  <c r="E1371" i="15"/>
  <c r="J1371" i="15"/>
  <c r="K1371" i="15"/>
  <c r="L1371" i="15"/>
  <c r="M1371" i="15"/>
  <c r="N1371" i="15"/>
  <c r="O1371" i="15"/>
  <c r="P1371" i="15"/>
  <c r="Q1371" i="15"/>
  <c r="T1371" i="15"/>
  <c r="U1371" i="15"/>
  <c r="V1371" i="15"/>
  <c r="W1371" i="15"/>
  <c r="X1371" i="15"/>
  <c r="Y1371" i="15"/>
  <c r="Z1371" i="15"/>
  <c r="AA1371" i="15"/>
  <c r="B1372" i="15"/>
  <c r="C1372" i="15"/>
  <c r="D1372" i="15"/>
  <c r="E1372" i="15"/>
  <c r="J1372" i="15"/>
  <c r="K1372" i="15"/>
  <c r="L1372" i="15"/>
  <c r="M1372" i="15"/>
  <c r="N1372" i="15"/>
  <c r="O1372" i="15"/>
  <c r="P1372" i="15"/>
  <c r="Q1372" i="15"/>
  <c r="T1372" i="15"/>
  <c r="U1372" i="15"/>
  <c r="V1372" i="15"/>
  <c r="W1372" i="15"/>
  <c r="X1372" i="15"/>
  <c r="Y1372" i="15"/>
  <c r="Z1372" i="15"/>
  <c r="AA1372" i="15"/>
  <c r="B1373" i="15"/>
  <c r="C1373" i="15"/>
  <c r="D1373" i="15"/>
  <c r="E1373" i="15"/>
  <c r="J1373" i="15"/>
  <c r="K1373" i="15"/>
  <c r="L1373" i="15"/>
  <c r="M1373" i="15"/>
  <c r="N1373" i="15"/>
  <c r="O1373" i="15"/>
  <c r="P1373" i="15"/>
  <c r="Q1373" i="15"/>
  <c r="T1373" i="15"/>
  <c r="U1373" i="15"/>
  <c r="V1373" i="15"/>
  <c r="W1373" i="15"/>
  <c r="X1373" i="15"/>
  <c r="Y1373" i="15"/>
  <c r="Z1373" i="15"/>
  <c r="AA1373" i="15"/>
  <c r="B1374" i="15"/>
  <c r="C1374" i="15"/>
  <c r="D1374" i="15"/>
  <c r="E1374" i="15"/>
  <c r="J1374" i="15"/>
  <c r="K1374" i="15"/>
  <c r="L1374" i="15"/>
  <c r="M1374" i="15"/>
  <c r="N1374" i="15"/>
  <c r="O1374" i="15"/>
  <c r="P1374" i="15"/>
  <c r="Q1374" i="15"/>
  <c r="T1374" i="15"/>
  <c r="U1374" i="15"/>
  <c r="V1374" i="15"/>
  <c r="W1374" i="15"/>
  <c r="X1374" i="15"/>
  <c r="Y1374" i="15"/>
  <c r="Z1374" i="15"/>
  <c r="AA1374" i="15"/>
  <c r="B1375" i="15"/>
  <c r="C1375" i="15"/>
  <c r="D1375" i="15"/>
  <c r="E1375" i="15"/>
  <c r="J1375" i="15"/>
  <c r="K1375" i="15"/>
  <c r="L1375" i="15"/>
  <c r="M1375" i="15"/>
  <c r="N1375" i="15"/>
  <c r="O1375" i="15"/>
  <c r="P1375" i="15"/>
  <c r="Q1375" i="15"/>
  <c r="T1375" i="15"/>
  <c r="U1375" i="15"/>
  <c r="V1375" i="15"/>
  <c r="W1375" i="15"/>
  <c r="X1375" i="15"/>
  <c r="Y1375" i="15"/>
  <c r="Z1375" i="15"/>
  <c r="AA1375" i="15"/>
  <c r="B1376" i="15"/>
  <c r="C1376" i="15"/>
  <c r="D1376" i="15"/>
  <c r="E1376" i="15"/>
  <c r="J1376" i="15"/>
  <c r="K1376" i="15"/>
  <c r="L1376" i="15"/>
  <c r="M1376" i="15"/>
  <c r="N1376" i="15"/>
  <c r="O1376" i="15"/>
  <c r="P1376" i="15"/>
  <c r="Q1376" i="15"/>
  <c r="T1376" i="15"/>
  <c r="U1376" i="15"/>
  <c r="V1376" i="15"/>
  <c r="W1376" i="15"/>
  <c r="X1376" i="15"/>
  <c r="Y1376" i="15"/>
  <c r="Z1376" i="15"/>
  <c r="AA1376" i="15"/>
  <c r="B1377" i="15"/>
  <c r="C1377" i="15"/>
  <c r="D1377" i="15"/>
  <c r="E1377" i="15"/>
  <c r="J1377" i="15"/>
  <c r="K1377" i="15"/>
  <c r="L1377" i="15"/>
  <c r="M1377" i="15"/>
  <c r="N1377" i="15"/>
  <c r="O1377" i="15"/>
  <c r="P1377" i="15"/>
  <c r="Q1377" i="15"/>
  <c r="T1377" i="15"/>
  <c r="U1377" i="15"/>
  <c r="V1377" i="15"/>
  <c r="W1377" i="15"/>
  <c r="X1377" i="15"/>
  <c r="Y1377" i="15"/>
  <c r="Z1377" i="15"/>
  <c r="AA1377" i="15"/>
  <c r="B1378" i="15"/>
  <c r="C1378" i="15"/>
  <c r="D1378" i="15"/>
  <c r="E1378" i="15"/>
  <c r="J1378" i="15"/>
  <c r="K1378" i="15"/>
  <c r="L1378" i="15"/>
  <c r="M1378" i="15"/>
  <c r="N1378" i="15"/>
  <c r="O1378" i="15"/>
  <c r="P1378" i="15"/>
  <c r="Q1378" i="15"/>
  <c r="T1378" i="15"/>
  <c r="U1378" i="15"/>
  <c r="V1378" i="15"/>
  <c r="W1378" i="15"/>
  <c r="X1378" i="15"/>
  <c r="Y1378" i="15"/>
  <c r="Z1378" i="15"/>
  <c r="AA1378" i="15"/>
  <c r="B1379" i="15"/>
  <c r="C1379" i="15"/>
  <c r="D1379" i="15"/>
  <c r="E1379" i="15"/>
  <c r="J1379" i="15"/>
  <c r="K1379" i="15"/>
  <c r="L1379" i="15"/>
  <c r="M1379" i="15"/>
  <c r="N1379" i="15"/>
  <c r="O1379" i="15"/>
  <c r="P1379" i="15"/>
  <c r="Q1379" i="15"/>
  <c r="T1379" i="15"/>
  <c r="U1379" i="15"/>
  <c r="V1379" i="15"/>
  <c r="W1379" i="15"/>
  <c r="X1379" i="15"/>
  <c r="Y1379" i="15"/>
  <c r="Z1379" i="15"/>
  <c r="AA1379" i="15"/>
  <c r="B1380" i="15"/>
  <c r="C1380" i="15"/>
  <c r="D1380" i="15"/>
  <c r="E1380" i="15"/>
  <c r="J1380" i="15"/>
  <c r="K1380" i="15"/>
  <c r="L1380" i="15"/>
  <c r="M1380" i="15"/>
  <c r="N1380" i="15"/>
  <c r="O1380" i="15"/>
  <c r="P1380" i="15"/>
  <c r="Q1380" i="15"/>
  <c r="T1380" i="15"/>
  <c r="U1380" i="15"/>
  <c r="V1380" i="15"/>
  <c r="W1380" i="15"/>
  <c r="X1380" i="15"/>
  <c r="Y1380" i="15"/>
  <c r="Z1380" i="15"/>
  <c r="AA1380" i="15"/>
  <c r="B1381" i="15"/>
  <c r="C1381" i="15"/>
  <c r="D1381" i="15"/>
  <c r="E1381" i="15"/>
  <c r="J1381" i="15"/>
  <c r="K1381" i="15"/>
  <c r="L1381" i="15"/>
  <c r="M1381" i="15"/>
  <c r="N1381" i="15"/>
  <c r="O1381" i="15"/>
  <c r="P1381" i="15"/>
  <c r="Q1381" i="15"/>
  <c r="T1381" i="15"/>
  <c r="U1381" i="15"/>
  <c r="V1381" i="15"/>
  <c r="W1381" i="15"/>
  <c r="X1381" i="15"/>
  <c r="Y1381" i="15"/>
  <c r="Z1381" i="15"/>
  <c r="AA1381" i="15"/>
  <c r="B1382" i="15"/>
  <c r="C1382" i="15"/>
  <c r="D1382" i="15"/>
  <c r="E1382" i="15"/>
  <c r="J1382" i="15"/>
  <c r="K1382" i="15"/>
  <c r="L1382" i="15"/>
  <c r="M1382" i="15"/>
  <c r="N1382" i="15"/>
  <c r="O1382" i="15"/>
  <c r="P1382" i="15"/>
  <c r="Q1382" i="15"/>
  <c r="T1382" i="15"/>
  <c r="U1382" i="15"/>
  <c r="V1382" i="15"/>
  <c r="W1382" i="15"/>
  <c r="X1382" i="15"/>
  <c r="Y1382" i="15"/>
  <c r="Z1382" i="15"/>
  <c r="AA1382" i="15"/>
  <c r="B1383" i="15"/>
  <c r="C1383" i="15"/>
  <c r="D1383" i="15"/>
  <c r="E1383" i="15"/>
  <c r="J1383" i="15"/>
  <c r="K1383" i="15"/>
  <c r="L1383" i="15"/>
  <c r="M1383" i="15"/>
  <c r="N1383" i="15"/>
  <c r="O1383" i="15"/>
  <c r="P1383" i="15"/>
  <c r="Q1383" i="15"/>
  <c r="T1383" i="15"/>
  <c r="U1383" i="15"/>
  <c r="V1383" i="15"/>
  <c r="W1383" i="15"/>
  <c r="X1383" i="15"/>
  <c r="Y1383" i="15"/>
  <c r="Z1383" i="15"/>
  <c r="AA1383" i="15"/>
  <c r="B1384" i="15"/>
  <c r="C1384" i="15"/>
  <c r="D1384" i="15"/>
  <c r="E1384" i="15"/>
  <c r="J1384" i="15"/>
  <c r="K1384" i="15"/>
  <c r="L1384" i="15"/>
  <c r="M1384" i="15"/>
  <c r="N1384" i="15"/>
  <c r="O1384" i="15"/>
  <c r="P1384" i="15"/>
  <c r="Q1384" i="15"/>
  <c r="T1384" i="15"/>
  <c r="U1384" i="15"/>
  <c r="V1384" i="15"/>
  <c r="W1384" i="15"/>
  <c r="X1384" i="15"/>
  <c r="Y1384" i="15"/>
  <c r="Z1384" i="15"/>
  <c r="AA1384" i="15"/>
  <c r="B1385" i="15"/>
  <c r="C1385" i="15"/>
  <c r="D1385" i="15"/>
  <c r="E1385" i="15"/>
  <c r="J1385" i="15"/>
  <c r="K1385" i="15"/>
  <c r="L1385" i="15"/>
  <c r="M1385" i="15"/>
  <c r="N1385" i="15"/>
  <c r="O1385" i="15"/>
  <c r="P1385" i="15"/>
  <c r="Q1385" i="15"/>
  <c r="T1385" i="15"/>
  <c r="U1385" i="15"/>
  <c r="V1385" i="15"/>
  <c r="W1385" i="15"/>
  <c r="X1385" i="15"/>
  <c r="Y1385" i="15"/>
  <c r="Z1385" i="15"/>
  <c r="AA1385" i="15"/>
  <c r="B1386" i="15"/>
  <c r="C1386" i="15"/>
  <c r="D1386" i="15"/>
  <c r="E1386" i="15"/>
  <c r="J1386" i="15"/>
  <c r="K1386" i="15"/>
  <c r="L1386" i="15"/>
  <c r="M1386" i="15"/>
  <c r="N1386" i="15"/>
  <c r="O1386" i="15"/>
  <c r="P1386" i="15"/>
  <c r="Q1386" i="15"/>
  <c r="T1386" i="15"/>
  <c r="U1386" i="15"/>
  <c r="V1386" i="15"/>
  <c r="W1386" i="15"/>
  <c r="X1386" i="15"/>
  <c r="Y1386" i="15"/>
  <c r="Z1386" i="15"/>
  <c r="AA1386" i="15"/>
  <c r="B1387" i="15"/>
  <c r="C1387" i="15"/>
  <c r="D1387" i="15"/>
  <c r="E1387" i="15"/>
  <c r="J1387" i="15"/>
  <c r="K1387" i="15"/>
  <c r="L1387" i="15"/>
  <c r="M1387" i="15"/>
  <c r="N1387" i="15"/>
  <c r="O1387" i="15"/>
  <c r="P1387" i="15"/>
  <c r="Q1387" i="15"/>
  <c r="T1387" i="15"/>
  <c r="U1387" i="15"/>
  <c r="V1387" i="15"/>
  <c r="W1387" i="15"/>
  <c r="X1387" i="15"/>
  <c r="Y1387" i="15"/>
  <c r="Z1387" i="15"/>
  <c r="AA1387" i="15"/>
  <c r="B1388" i="15"/>
  <c r="C1388" i="15"/>
  <c r="D1388" i="15"/>
  <c r="E1388" i="15"/>
  <c r="J1388" i="15"/>
  <c r="K1388" i="15"/>
  <c r="L1388" i="15"/>
  <c r="M1388" i="15"/>
  <c r="N1388" i="15"/>
  <c r="O1388" i="15"/>
  <c r="P1388" i="15"/>
  <c r="Q1388" i="15"/>
  <c r="T1388" i="15"/>
  <c r="U1388" i="15"/>
  <c r="V1388" i="15"/>
  <c r="W1388" i="15"/>
  <c r="X1388" i="15"/>
  <c r="Y1388" i="15"/>
  <c r="Z1388" i="15"/>
  <c r="AA1388" i="15"/>
  <c r="B1389" i="15"/>
  <c r="C1389" i="15"/>
  <c r="D1389" i="15"/>
  <c r="E1389" i="15"/>
  <c r="J1389" i="15"/>
  <c r="K1389" i="15"/>
  <c r="L1389" i="15"/>
  <c r="M1389" i="15"/>
  <c r="N1389" i="15"/>
  <c r="O1389" i="15"/>
  <c r="P1389" i="15"/>
  <c r="Q1389" i="15"/>
  <c r="T1389" i="15"/>
  <c r="U1389" i="15"/>
  <c r="V1389" i="15"/>
  <c r="W1389" i="15"/>
  <c r="X1389" i="15"/>
  <c r="Y1389" i="15"/>
  <c r="Z1389" i="15"/>
  <c r="AA1389" i="15"/>
  <c r="B1390" i="15"/>
  <c r="C1390" i="15"/>
  <c r="D1390" i="15"/>
  <c r="E1390" i="15"/>
  <c r="J1390" i="15"/>
  <c r="K1390" i="15"/>
  <c r="L1390" i="15"/>
  <c r="M1390" i="15"/>
  <c r="N1390" i="15"/>
  <c r="O1390" i="15"/>
  <c r="P1390" i="15"/>
  <c r="Q1390" i="15"/>
  <c r="T1390" i="15"/>
  <c r="U1390" i="15"/>
  <c r="V1390" i="15"/>
  <c r="W1390" i="15"/>
  <c r="X1390" i="15"/>
  <c r="Y1390" i="15"/>
  <c r="Z1390" i="15"/>
  <c r="AA1390" i="15"/>
  <c r="B1391" i="15"/>
  <c r="C1391" i="15"/>
  <c r="D1391" i="15"/>
  <c r="E1391" i="15"/>
  <c r="J1391" i="15"/>
  <c r="K1391" i="15"/>
  <c r="L1391" i="15"/>
  <c r="M1391" i="15"/>
  <c r="N1391" i="15"/>
  <c r="O1391" i="15"/>
  <c r="P1391" i="15"/>
  <c r="Q1391" i="15"/>
  <c r="T1391" i="15"/>
  <c r="U1391" i="15"/>
  <c r="V1391" i="15"/>
  <c r="W1391" i="15"/>
  <c r="X1391" i="15"/>
  <c r="Y1391" i="15"/>
  <c r="Z1391" i="15"/>
  <c r="AA1391" i="15"/>
  <c r="B1392" i="15"/>
  <c r="C1392" i="15"/>
  <c r="D1392" i="15"/>
  <c r="E1392" i="15"/>
  <c r="J1392" i="15"/>
  <c r="K1392" i="15"/>
  <c r="L1392" i="15"/>
  <c r="M1392" i="15"/>
  <c r="N1392" i="15"/>
  <c r="O1392" i="15"/>
  <c r="P1392" i="15"/>
  <c r="Q1392" i="15"/>
  <c r="T1392" i="15"/>
  <c r="U1392" i="15"/>
  <c r="V1392" i="15"/>
  <c r="W1392" i="15"/>
  <c r="X1392" i="15"/>
  <c r="Y1392" i="15"/>
  <c r="Z1392" i="15"/>
  <c r="AA1392" i="15"/>
  <c r="B1393" i="15"/>
  <c r="C1393" i="15"/>
  <c r="D1393" i="15"/>
  <c r="E1393" i="15"/>
  <c r="J1393" i="15"/>
  <c r="K1393" i="15"/>
  <c r="L1393" i="15"/>
  <c r="M1393" i="15"/>
  <c r="N1393" i="15"/>
  <c r="O1393" i="15"/>
  <c r="P1393" i="15"/>
  <c r="Q1393" i="15"/>
  <c r="T1393" i="15"/>
  <c r="U1393" i="15"/>
  <c r="V1393" i="15"/>
  <c r="W1393" i="15"/>
  <c r="X1393" i="15"/>
  <c r="Y1393" i="15"/>
  <c r="Z1393" i="15"/>
  <c r="AA1393" i="15"/>
  <c r="B1394" i="15"/>
  <c r="C1394" i="15"/>
  <c r="D1394" i="15"/>
  <c r="E1394" i="15"/>
  <c r="J1394" i="15"/>
  <c r="K1394" i="15"/>
  <c r="L1394" i="15"/>
  <c r="M1394" i="15"/>
  <c r="N1394" i="15"/>
  <c r="O1394" i="15"/>
  <c r="P1394" i="15"/>
  <c r="Q1394" i="15"/>
  <c r="T1394" i="15"/>
  <c r="U1394" i="15"/>
  <c r="V1394" i="15"/>
  <c r="W1394" i="15"/>
  <c r="X1394" i="15"/>
  <c r="Y1394" i="15"/>
  <c r="Z1394" i="15"/>
  <c r="AA1394" i="15"/>
  <c r="B1395" i="15"/>
  <c r="C1395" i="15"/>
  <c r="D1395" i="15"/>
  <c r="E1395" i="15"/>
  <c r="J1395" i="15"/>
  <c r="K1395" i="15"/>
  <c r="L1395" i="15"/>
  <c r="M1395" i="15"/>
  <c r="N1395" i="15"/>
  <c r="O1395" i="15"/>
  <c r="P1395" i="15"/>
  <c r="Q1395" i="15"/>
  <c r="T1395" i="15"/>
  <c r="U1395" i="15"/>
  <c r="V1395" i="15"/>
  <c r="W1395" i="15"/>
  <c r="X1395" i="15"/>
  <c r="Y1395" i="15"/>
  <c r="Z1395" i="15"/>
  <c r="AA1395" i="15"/>
  <c r="B1396" i="15"/>
  <c r="C1396" i="15"/>
  <c r="D1396" i="15"/>
  <c r="E1396" i="15"/>
  <c r="J1396" i="15"/>
  <c r="K1396" i="15"/>
  <c r="L1396" i="15"/>
  <c r="M1396" i="15"/>
  <c r="N1396" i="15"/>
  <c r="O1396" i="15"/>
  <c r="P1396" i="15"/>
  <c r="Q1396" i="15"/>
  <c r="T1396" i="15"/>
  <c r="U1396" i="15"/>
  <c r="V1396" i="15"/>
  <c r="W1396" i="15"/>
  <c r="X1396" i="15"/>
  <c r="Y1396" i="15"/>
  <c r="Z1396" i="15"/>
  <c r="AA1396" i="15"/>
  <c r="B1397" i="15"/>
  <c r="C1397" i="15"/>
  <c r="D1397" i="15"/>
  <c r="E1397" i="15"/>
  <c r="J1397" i="15"/>
  <c r="K1397" i="15"/>
  <c r="L1397" i="15"/>
  <c r="M1397" i="15"/>
  <c r="N1397" i="15"/>
  <c r="O1397" i="15"/>
  <c r="P1397" i="15"/>
  <c r="Q1397" i="15"/>
  <c r="T1397" i="15"/>
  <c r="U1397" i="15"/>
  <c r="V1397" i="15"/>
  <c r="W1397" i="15"/>
  <c r="X1397" i="15"/>
  <c r="Y1397" i="15"/>
  <c r="Z1397" i="15"/>
  <c r="AA1397" i="15"/>
  <c r="B1398" i="15"/>
  <c r="C1398" i="15"/>
  <c r="D1398" i="15"/>
  <c r="E1398" i="15"/>
  <c r="J1398" i="15"/>
  <c r="K1398" i="15"/>
  <c r="L1398" i="15"/>
  <c r="M1398" i="15"/>
  <c r="N1398" i="15"/>
  <c r="O1398" i="15"/>
  <c r="P1398" i="15"/>
  <c r="Q1398" i="15"/>
  <c r="T1398" i="15"/>
  <c r="U1398" i="15"/>
  <c r="V1398" i="15"/>
  <c r="W1398" i="15"/>
  <c r="X1398" i="15"/>
  <c r="Y1398" i="15"/>
  <c r="Z1398" i="15"/>
  <c r="AA1398" i="15"/>
  <c r="B1399" i="15"/>
  <c r="C1399" i="15"/>
  <c r="D1399" i="15"/>
  <c r="E1399" i="15"/>
  <c r="J1399" i="15"/>
  <c r="K1399" i="15"/>
  <c r="L1399" i="15"/>
  <c r="M1399" i="15"/>
  <c r="N1399" i="15"/>
  <c r="O1399" i="15"/>
  <c r="P1399" i="15"/>
  <c r="Q1399" i="15"/>
  <c r="T1399" i="15"/>
  <c r="U1399" i="15"/>
  <c r="V1399" i="15"/>
  <c r="W1399" i="15"/>
  <c r="X1399" i="15"/>
  <c r="Y1399" i="15"/>
  <c r="Z1399" i="15"/>
  <c r="AA1399" i="15"/>
  <c r="B1400" i="15"/>
  <c r="C1400" i="15"/>
  <c r="D1400" i="15"/>
  <c r="E1400" i="15"/>
  <c r="J1400" i="15"/>
  <c r="K1400" i="15"/>
  <c r="L1400" i="15"/>
  <c r="M1400" i="15"/>
  <c r="N1400" i="15"/>
  <c r="O1400" i="15"/>
  <c r="P1400" i="15"/>
  <c r="Q1400" i="15"/>
  <c r="T1400" i="15"/>
  <c r="U1400" i="15"/>
  <c r="V1400" i="15"/>
  <c r="W1400" i="15"/>
  <c r="X1400" i="15"/>
  <c r="Y1400" i="15"/>
  <c r="Z1400" i="15"/>
  <c r="AA1400" i="15"/>
  <c r="B1401" i="15"/>
  <c r="C1401" i="15"/>
  <c r="D1401" i="15"/>
  <c r="E1401" i="15"/>
  <c r="J1401" i="15"/>
  <c r="K1401" i="15"/>
  <c r="L1401" i="15"/>
  <c r="M1401" i="15"/>
  <c r="N1401" i="15"/>
  <c r="O1401" i="15"/>
  <c r="P1401" i="15"/>
  <c r="Q1401" i="15"/>
  <c r="T1401" i="15"/>
  <c r="U1401" i="15"/>
  <c r="V1401" i="15"/>
  <c r="W1401" i="15"/>
  <c r="X1401" i="15"/>
  <c r="Y1401" i="15"/>
  <c r="Z1401" i="15"/>
  <c r="AA1401" i="15"/>
  <c r="B1402" i="15"/>
  <c r="C1402" i="15"/>
  <c r="D1402" i="15"/>
  <c r="E1402" i="15"/>
  <c r="J1402" i="15"/>
  <c r="K1402" i="15"/>
  <c r="L1402" i="15"/>
  <c r="M1402" i="15"/>
  <c r="N1402" i="15"/>
  <c r="O1402" i="15"/>
  <c r="P1402" i="15"/>
  <c r="Q1402" i="15"/>
  <c r="T1402" i="15"/>
  <c r="U1402" i="15"/>
  <c r="V1402" i="15"/>
  <c r="W1402" i="15"/>
  <c r="X1402" i="15"/>
  <c r="Y1402" i="15"/>
  <c r="Z1402" i="15"/>
  <c r="AA1402" i="15"/>
  <c r="B1403" i="15"/>
  <c r="C1403" i="15"/>
  <c r="D1403" i="15"/>
  <c r="E1403" i="15"/>
  <c r="J1403" i="15"/>
  <c r="K1403" i="15"/>
  <c r="L1403" i="15"/>
  <c r="M1403" i="15"/>
  <c r="N1403" i="15"/>
  <c r="O1403" i="15"/>
  <c r="P1403" i="15"/>
  <c r="Q1403" i="15"/>
  <c r="T1403" i="15"/>
  <c r="U1403" i="15"/>
  <c r="V1403" i="15"/>
  <c r="W1403" i="15"/>
  <c r="X1403" i="15"/>
  <c r="Y1403" i="15"/>
  <c r="Z1403" i="15"/>
  <c r="AA1403" i="15"/>
  <c r="B1404" i="15"/>
  <c r="C1404" i="15"/>
  <c r="D1404" i="15"/>
  <c r="E1404" i="15"/>
  <c r="J1404" i="15"/>
  <c r="K1404" i="15"/>
  <c r="L1404" i="15"/>
  <c r="M1404" i="15"/>
  <c r="N1404" i="15"/>
  <c r="O1404" i="15"/>
  <c r="P1404" i="15"/>
  <c r="Q1404" i="15"/>
  <c r="T1404" i="15"/>
  <c r="U1404" i="15"/>
  <c r="V1404" i="15"/>
  <c r="W1404" i="15"/>
  <c r="X1404" i="15"/>
  <c r="Y1404" i="15"/>
  <c r="Z1404" i="15"/>
  <c r="AA1404" i="15"/>
  <c r="B1405" i="15"/>
  <c r="C1405" i="15"/>
  <c r="D1405" i="15"/>
  <c r="E1405" i="15"/>
  <c r="J1405" i="15"/>
  <c r="K1405" i="15"/>
  <c r="L1405" i="15"/>
  <c r="M1405" i="15"/>
  <c r="N1405" i="15"/>
  <c r="O1405" i="15"/>
  <c r="P1405" i="15"/>
  <c r="Q1405" i="15"/>
  <c r="T1405" i="15"/>
  <c r="U1405" i="15"/>
  <c r="V1405" i="15"/>
  <c r="W1405" i="15"/>
  <c r="X1405" i="15"/>
  <c r="Y1405" i="15"/>
  <c r="Z1405" i="15"/>
  <c r="AA1405" i="15"/>
  <c r="B1406" i="15"/>
  <c r="C1406" i="15"/>
  <c r="D1406" i="15"/>
  <c r="E1406" i="15"/>
  <c r="J1406" i="15"/>
  <c r="K1406" i="15"/>
  <c r="L1406" i="15"/>
  <c r="M1406" i="15"/>
  <c r="N1406" i="15"/>
  <c r="O1406" i="15"/>
  <c r="P1406" i="15"/>
  <c r="Q1406" i="15"/>
  <c r="T1406" i="15"/>
  <c r="U1406" i="15"/>
  <c r="V1406" i="15"/>
  <c r="W1406" i="15"/>
  <c r="X1406" i="15"/>
  <c r="Y1406" i="15"/>
  <c r="Z1406" i="15"/>
  <c r="AA1406" i="15"/>
  <c r="B1407" i="15"/>
  <c r="C1407" i="15"/>
  <c r="D1407" i="15"/>
  <c r="E1407" i="15"/>
  <c r="J1407" i="15"/>
  <c r="K1407" i="15"/>
  <c r="L1407" i="15"/>
  <c r="M1407" i="15"/>
  <c r="N1407" i="15"/>
  <c r="O1407" i="15"/>
  <c r="P1407" i="15"/>
  <c r="Q1407" i="15"/>
  <c r="T1407" i="15"/>
  <c r="U1407" i="15"/>
  <c r="V1407" i="15"/>
  <c r="W1407" i="15"/>
  <c r="X1407" i="15"/>
  <c r="Y1407" i="15"/>
  <c r="Z1407" i="15"/>
  <c r="AA1407" i="15"/>
  <c r="B1408" i="15"/>
  <c r="C1408" i="15"/>
  <c r="D1408" i="15"/>
  <c r="E1408" i="15"/>
  <c r="J1408" i="15"/>
  <c r="K1408" i="15"/>
  <c r="L1408" i="15"/>
  <c r="M1408" i="15"/>
  <c r="N1408" i="15"/>
  <c r="O1408" i="15"/>
  <c r="P1408" i="15"/>
  <c r="Q1408" i="15"/>
  <c r="T1408" i="15"/>
  <c r="U1408" i="15"/>
  <c r="V1408" i="15"/>
  <c r="W1408" i="15"/>
  <c r="X1408" i="15"/>
  <c r="Y1408" i="15"/>
  <c r="Z1408" i="15"/>
  <c r="AA1408" i="15"/>
  <c r="B1409" i="15"/>
  <c r="C1409" i="15"/>
  <c r="D1409" i="15"/>
  <c r="E1409" i="15"/>
  <c r="J1409" i="15"/>
  <c r="K1409" i="15"/>
  <c r="L1409" i="15"/>
  <c r="M1409" i="15"/>
  <c r="N1409" i="15"/>
  <c r="O1409" i="15"/>
  <c r="P1409" i="15"/>
  <c r="Q1409" i="15"/>
  <c r="T1409" i="15"/>
  <c r="U1409" i="15"/>
  <c r="V1409" i="15"/>
  <c r="W1409" i="15"/>
  <c r="X1409" i="15"/>
  <c r="Y1409" i="15"/>
  <c r="Z1409" i="15"/>
  <c r="AA1409" i="15"/>
  <c r="B1410" i="15"/>
  <c r="C1410" i="15"/>
  <c r="D1410" i="15"/>
  <c r="E1410" i="15"/>
  <c r="J1410" i="15"/>
  <c r="K1410" i="15"/>
  <c r="L1410" i="15"/>
  <c r="M1410" i="15"/>
  <c r="N1410" i="15"/>
  <c r="O1410" i="15"/>
  <c r="P1410" i="15"/>
  <c r="Q1410" i="15"/>
  <c r="T1410" i="15"/>
  <c r="U1410" i="15"/>
  <c r="V1410" i="15"/>
  <c r="W1410" i="15"/>
  <c r="X1410" i="15"/>
  <c r="Y1410" i="15"/>
  <c r="Z1410" i="15"/>
  <c r="AA1410" i="15"/>
  <c r="B1411" i="15"/>
  <c r="C1411" i="15"/>
  <c r="D1411" i="15"/>
  <c r="E1411" i="15"/>
  <c r="J1411" i="15"/>
  <c r="K1411" i="15"/>
  <c r="L1411" i="15"/>
  <c r="M1411" i="15"/>
  <c r="N1411" i="15"/>
  <c r="O1411" i="15"/>
  <c r="P1411" i="15"/>
  <c r="Q1411" i="15"/>
  <c r="T1411" i="15"/>
  <c r="U1411" i="15"/>
  <c r="V1411" i="15"/>
  <c r="W1411" i="15"/>
  <c r="X1411" i="15"/>
  <c r="Y1411" i="15"/>
  <c r="Z1411" i="15"/>
  <c r="AA1411" i="15"/>
  <c r="B1412" i="15"/>
  <c r="C1412" i="15"/>
  <c r="D1412" i="15"/>
  <c r="E1412" i="15"/>
  <c r="J1412" i="15"/>
  <c r="K1412" i="15"/>
  <c r="L1412" i="15"/>
  <c r="M1412" i="15"/>
  <c r="N1412" i="15"/>
  <c r="O1412" i="15"/>
  <c r="P1412" i="15"/>
  <c r="Q1412" i="15"/>
  <c r="T1412" i="15"/>
  <c r="U1412" i="15"/>
  <c r="V1412" i="15"/>
  <c r="W1412" i="15"/>
  <c r="X1412" i="15"/>
  <c r="Y1412" i="15"/>
  <c r="Z1412" i="15"/>
  <c r="AA1412" i="15"/>
  <c r="B1413" i="15"/>
  <c r="C1413" i="15"/>
  <c r="D1413" i="15"/>
  <c r="E1413" i="15"/>
  <c r="J1413" i="15"/>
  <c r="K1413" i="15"/>
  <c r="L1413" i="15"/>
  <c r="M1413" i="15"/>
  <c r="N1413" i="15"/>
  <c r="O1413" i="15"/>
  <c r="P1413" i="15"/>
  <c r="Q1413" i="15"/>
  <c r="T1413" i="15"/>
  <c r="U1413" i="15"/>
  <c r="V1413" i="15"/>
  <c r="W1413" i="15"/>
  <c r="X1413" i="15"/>
  <c r="Y1413" i="15"/>
  <c r="Z1413" i="15"/>
  <c r="AA1413" i="15"/>
  <c r="B1414" i="15"/>
  <c r="C1414" i="15"/>
  <c r="D1414" i="15"/>
  <c r="E1414" i="15"/>
  <c r="J1414" i="15"/>
  <c r="K1414" i="15"/>
  <c r="L1414" i="15"/>
  <c r="M1414" i="15"/>
  <c r="N1414" i="15"/>
  <c r="O1414" i="15"/>
  <c r="P1414" i="15"/>
  <c r="Q1414" i="15"/>
  <c r="T1414" i="15"/>
  <c r="U1414" i="15"/>
  <c r="V1414" i="15"/>
  <c r="W1414" i="15"/>
  <c r="X1414" i="15"/>
  <c r="Y1414" i="15"/>
  <c r="Z1414" i="15"/>
  <c r="AA1414" i="15"/>
  <c r="B1415" i="15"/>
  <c r="C1415" i="15"/>
  <c r="D1415" i="15"/>
  <c r="E1415" i="15"/>
  <c r="J1415" i="15"/>
  <c r="K1415" i="15"/>
  <c r="L1415" i="15"/>
  <c r="M1415" i="15"/>
  <c r="N1415" i="15"/>
  <c r="O1415" i="15"/>
  <c r="P1415" i="15"/>
  <c r="Q1415" i="15"/>
  <c r="T1415" i="15"/>
  <c r="U1415" i="15"/>
  <c r="V1415" i="15"/>
  <c r="W1415" i="15"/>
  <c r="X1415" i="15"/>
  <c r="Y1415" i="15"/>
  <c r="Z1415" i="15"/>
  <c r="AA1415" i="15"/>
  <c r="B1416" i="15"/>
  <c r="C1416" i="15"/>
  <c r="D1416" i="15"/>
  <c r="E1416" i="15"/>
  <c r="J1416" i="15"/>
  <c r="K1416" i="15"/>
  <c r="L1416" i="15"/>
  <c r="M1416" i="15"/>
  <c r="N1416" i="15"/>
  <c r="O1416" i="15"/>
  <c r="P1416" i="15"/>
  <c r="Q1416" i="15"/>
  <c r="T1416" i="15"/>
  <c r="U1416" i="15"/>
  <c r="V1416" i="15"/>
  <c r="W1416" i="15"/>
  <c r="X1416" i="15"/>
  <c r="Y1416" i="15"/>
  <c r="Z1416" i="15"/>
  <c r="AA1416" i="15"/>
  <c r="B1417" i="15"/>
  <c r="C1417" i="15"/>
  <c r="D1417" i="15"/>
  <c r="E1417" i="15"/>
  <c r="J1417" i="15"/>
  <c r="K1417" i="15"/>
  <c r="L1417" i="15"/>
  <c r="M1417" i="15"/>
  <c r="N1417" i="15"/>
  <c r="O1417" i="15"/>
  <c r="P1417" i="15"/>
  <c r="Q1417" i="15"/>
  <c r="T1417" i="15"/>
  <c r="U1417" i="15"/>
  <c r="V1417" i="15"/>
  <c r="W1417" i="15"/>
  <c r="X1417" i="15"/>
  <c r="Y1417" i="15"/>
  <c r="Z1417" i="15"/>
  <c r="AA1417" i="15"/>
  <c r="B1418" i="15"/>
  <c r="C1418" i="15"/>
  <c r="D1418" i="15"/>
  <c r="E1418" i="15"/>
  <c r="J1418" i="15"/>
  <c r="K1418" i="15"/>
  <c r="L1418" i="15"/>
  <c r="M1418" i="15"/>
  <c r="N1418" i="15"/>
  <c r="O1418" i="15"/>
  <c r="P1418" i="15"/>
  <c r="Q1418" i="15"/>
  <c r="T1418" i="15"/>
  <c r="U1418" i="15"/>
  <c r="V1418" i="15"/>
  <c r="W1418" i="15"/>
  <c r="X1418" i="15"/>
  <c r="Y1418" i="15"/>
  <c r="Z1418" i="15"/>
  <c r="AA1418" i="15"/>
  <c r="B1419" i="15"/>
  <c r="C1419" i="15"/>
  <c r="D1419" i="15"/>
  <c r="E1419" i="15"/>
  <c r="J1419" i="15"/>
  <c r="K1419" i="15"/>
  <c r="L1419" i="15"/>
  <c r="M1419" i="15"/>
  <c r="N1419" i="15"/>
  <c r="O1419" i="15"/>
  <c r="P1419" i="15"/>
  <c r="Q1419" i="15"/>
  <c r="T1419" i="15"/>
  <c r="U1419" i="15"/>
  <c r="V1419" i="15"/>
  <c r="W1419" i="15"/>
  <c r="X1419" i="15"/>
  <c r="Y1419" i="15"/>
  <c r="Z1419" i="15"/>
  <c r="AA1419" i="15"/>
  <c r="B1420" i="15"/>
  <c r="C1420" i="15"/>
  <c r="D1420" i="15"/>
  <c r="E1420" i="15"/>
  <c r="J1420" i="15"/>
  <c r="K1420" i="15"/>
  <c r="L1420" i="15"/>
  <c r="M1420" i="15"/>
  <c r="N1420" i="15"/>
  <c r="O1420" i="15"/>
  <c r="P1420" i="15"/>
  <c r="Q1420" i="15"/>
  <c r="T1420" i="15"/>
  <c r="U1420" i="15"/>
  <c r="V1420" i="15"/>
  <c r="W1420" i="15"/>
  <c r="X1420" i="15"/>
  <c r="Y1420" i="15"/>
  <c r="Z1420" i="15"/>
  <c r="AA1420" i="15"/>
  <c r="B1421" i="15"/>
  <c r="C1421" i="15"/>
  <c r="D1421" i="15"/>
  <c r="E1421" i="15"/>
  <c r="J1421" i="15"/>
  <c r="K1421" i="15"/>
  <c r="L1421" i="15"/>
  <c r="M1421" i="15"/>
  <c r="N1421" i="15"/>
  <c r="O1421" i="15"/>
  <c r="P1421" i="15"/>
  <c r="Q1421" i="15"/>
  <c r="T1421" i="15"/>
  <c r="U1421" i="15"/>
  <c r="V1421" i="15"/>
  <c r="W1421" i="15"/>
  <c r="X1421" i="15"/>
  <c r="Y1421" i="15"/>
  <c r="Z1421" i="15"/>
  <c r="AA1421" i="15"/>
  <c r="B1422" i="15"/>
  <c r="C1422" i="15"/>
  <c r="D1422" i="15"/>
  <c r="E1422" i="15"/>
  <c r="J1422" i="15"/>
  <c r="K1422" i="15"/>
  <c r="L1422" i="15"/>
  <c r="M1422" i="15"/>
  <c r="N1422" i="15"/>
  <c r="O1422" i="15"/>
  <c r="P1422" i="15"/>
  <c r="Q1422" i="15"/>
  <c r="T1422" i="15"/>
  <c r="U1422" i="15"/>
  <c r="V1422" i="15"/>
  <c r="W1422" i="15"/>
  <c r="X1422" i="15"/>
  <c r="Y1422" i="15"/>
  <c r="Z1422" i="15"/>
  <c r="AA1422" i="15"/>
  <c r="B1423" i="15"/>
  <c r="C1423" i="15"/>
  <c r="D1423" i="15"/>
  <c r="E1423" i="15"/>
  <c r="J1423" i="15"/>
  <c r="K1423" i="15"/>
  <c r="L1423" i="15"/>
  <c r="M1423" i="15"/>
  <c r="N1423" i="15"/>
  <c r="O1423" i="15"/>
  <c r="P1423" i="15"/>
  <c r="Q1423" i="15"/>
  <c r="T1423" i="15"/>
  <c r="U1423" i="15"/>
  <c r="V1423" i="15"/>
  <c r="W1423" i="15"/>
  <c r="X1423" i="15"/>
  <c r="Y1423" i="15"/>
  <c r="Z1423" i="15"/>
  <c r="AA1423" i="15"/>
  <c r="B1424" i="15"/>
  <c r="C1424" i="15"/>
  <c r="D1424" i="15"/>
  <c r="E1424" i="15"/>
  <c r="J1424" i="15"/>
  <c r="K1424" i="15"/>
  <c r="L1424" i="15"/>
  <c r="M1424" i="15"/>
  <c r="N1424" i="15"/>
  <c r="O1424" i="15"/>
  <c r="P1424" i="15"/>
  <c r="Q1424" i="15"/>
  <c r="T1424" i="15"/>
  <c r="U1424" i="15"/>
  <c r="V1424" i="15"/>
  <c r="W1424" i="15"/>
  <c r="X1424" i="15"/>
  <c r="Y1424" i="15"/>
  <c r="Z1424" i="15"/>
  <c r="AA1424" i="15"/>
  <c r="B1425" i="15"/>
  <c r="C1425" i="15"/>
  <c r="D1425" i="15"/>
  <c r="E1425" i="15"/>
  <c r="J1425" i="15"/>
  <c r="K1425" i="15"/>
  <c r="L1425" i="15"/>
  <c r="M1425" i="15"/>
  <c r="N1425" i="15"/>
  <c r="O1425" i="15"/>
  <c r="P1425" i="15"/>
  <c r="Q1425" i="15"/>
  <c r="T1425" i="15"/>
  <c r="U1425" i="15"/>
  <c r="V1425" i="15"/>
  <c r="W1425" i="15"/>
  <c r="X1425" i="15"/>
  <c r="Y1425" i="15"/>
  <c r="Z1425" i="15"/>
  <c r="AA1425" i="15"/>
  <c r="B1426" i="15"/>
  <c r="C1426" i="15"/>
  <c r="D1426" i="15"/>
  <c r="E1426" i="15"/>
  <c r="J1426" i="15"/>
  <c r="K1426" i="15"/>
  <c r="L1426" i="15"/>
  <c r="M1426" i="15"/>
  <c r="N1426" i="15"/>
  <c r="O1426" i="15"/>
  <c r="P1426" i="15"/>
  <c r="Q1426" i="15"/>
  <c r="T1426" i="15"/>
  <c r="U1426" i="15"/>
  <c r="V1426" i="15"/>
  <c r="W1426" i="15"/>
  <c r="X1426" i="15"/>
  <c r="Y1426" i="15"/>
  <c r="Z1426" i="15"/>
  <c r="AA1426" i="15"/>
  <c r="B1427" i="15"/>
  <c r="C1427" i="15"/>
  <c r="D1427" i="15"/>
  <c r="E1427" i="15"/>
  <c r="J1427" i="15"/>
  <c r="K1427" i="15"/>
  <c r="L1427" i="15"/>
  <c r="M1427" i="15"/>
  <c r="N1427" i="15"/>
  <c r="O1427" i="15"/>
  <c r="P1427" i="15"/>
  <c r="Q1427" i="15"/>
  <c r="T1427" i="15"/>
  <c r="U1427" i="15"/>
  <c r="V1427" i="15"/>
  <c r="W1427" i="15"/>
  <c r="X1427" i="15"/>
  <c r="Y1427" i="15"/>
  <c r="Z1427" i="15"/>
  <c r="AA1427" i="15"/>
  <c r="B1428" i="15"/>
  <c r="C1428" i="15"/>
  <c r="D1428" i="15"/>
  <c r="E1428" i="15"/>
  <c r="J1428" i="15"/>
  <c r="K1428" i="15"/>
  <c r="L1428" i="15"/>
  <c r="M1428" i="15"/>
  <c r="N1428" i="15"/>
  <c r="O1428" i="15"/>
  <c r="P1428" i="15"/>
  <c r="Q1428" i="15"/>
  <c r="T1428" i="15"/>
  <c r="U1428" i="15"/>
  <c r="V1428" i="15"/>
  <c r="W1428" i="15"/>
  <c r="X1428" i="15"/>
  <c r="Y1428" i="15"/>
  <c r="Z1428" i="15"/>
  <c r="AA1428" i="15"/>
  <c r="B1429" i="15"/>
  <c r="C1429" i="15"/>
  <c r="D1429" i="15"/>
  <c r="E1429" i="15"/>
  <c r="J1429" i="15"/>
  <c r="K1429" i="15"/>
  <c r="L1429" i="15"/>
  <c r="M1429" i="15"/>
  <c r="N1429" i="15"/>
  <c r="O1429" i="15"/>
  <c r="P1429" i="15"/>
  <c r="Q1429" i="15"/>
  <c r="T1429" i="15"/>
  <c r="U1429" i="15"/>
  <c r="V1429" i="15"/>
  <c r="W1429" i="15"/>
  <c r="X1429" i="15"/>
  <c r="Y1429" i="15"/>
  <c r="Z1429" i="15"/>
  <c r="AA1429" i="15"/>
  <c r="B1430" i="15"/>
  <c r="C1430" i="15"/>
  <c r="D1430" i="15"/>
  <c r="E1430" i="15"/>
  <c r="J1430" i="15"/>
  <c r="K1430" i="15"/>
  <c r="L1430" i="15"/>
  <c r="M1430" i="15"/>
  <c r="N1430" i="15"/>
  <c r="O1430" i="15"/>
  <c r="P1430" i="15"/>
  <c r="Q1430" i="15"/>
  <c r="T1430" i="15"/>
  <c r="U1430" i="15"/>
  <c r="V1430" i="15"/>
  <c r="W1430" i="15"/>
  <c r="X1430" i="15"/>
  <c r="Y1430" i="15"/>
  <c r="Z1430" i="15"/>
  <c r="AA1430" i="15"/>
  <c r="B1431" i="15"/>
  <c r="C1431" i="15"/>
  <c r="D1431" i="15"/>
  <c r="E1431" i="15"/>
  <c r="J1431" i="15"/>
  <c r="K1431" i="15"/>
  <c r="L1431" i="15"/>
  <c r="M1431" i="15"/>
  <c r="N1431" i="15"/>
  <c r="O1431" i="15"/>
  <c r="P1431" i="15"/>
  <c r="Q1431" i="15"/>
  <c r="T1431" i="15"/>
  <c r="U1431" i="15"/>
  <c r="V1431" i="15"/>
  <c r="W1431" i="15"/>
  <c r="X1431" i="15"/>
  <c r="Y1431" i="15"/>
  <c r="Z1431" i="15"/>
  <c r="AA1431" i="15"/>
  <c r="B1432" i="15"/>
  <c r="C1432" i="15"/>
  <c r="D1432" i="15"/>
  <c r="E1432" i="15"/>
  <c r="J1432" i="15"/>
  <c r="K1432" i="15"/>
  <c r="L1432" i="15"/>
  <c r="M1432" i="15"/>
  <c r="N1432" i="15"/>
  <c r="O1432" i="15"/>
  <c r="P1432" i="15"/>
  <c r="Q1432" i="15"/>
  <c r="T1432" i="15"/>
  <c r="U1432" i="15"/>
  <c r="V1432" i="15"/>
  <c r="W1432" i="15"/>
  <c r="X1432" i="15"/>
  <c r="Y1432" i="15"/>
  <c r="Z1432" i="15"/>
  <c r="AA1432" i="15"/>
  <c r="B1433" i="15"/>
  <c r="C1433" i="15"/>
  <c r="D1433" i="15"/>
  <c r="E1433" i="15"/>
  <c r="J1433" i="15"/>
  <c r="K1433" i="15"/>
  <c r="L1433" i="15"/>
  <c r="M1433" i="15"/>
  <c r="N1433" i="15"/>
  <c r="O1433" i="15"/>
  <c r="P1433" i="15"/>
  <c r="Q1433" i="15"/>
  <c r="T1433" i="15"/>
  <c r="U1433" i="15"/>
  <c r="V1433" i="15"/>
  <c r="W1433" i="15"/>
  <c r="X1433" i="15"/>
  <c r="Y1433" i="15"/>
  <c r="Z1433" i="15"/>
  <c r="AA1433" i="15"/>
  <c r="B1434" i="15"/>
  <c r="C1434" i="15"/>
  <c r="D1434" i="15"/>
  <c r="E1434" i="15"/>
  <c r="J1434" i="15"/>
  <c r="K1434" i="15"/>
  <c r="L1434" i="15"/>
  <c r="M1434" i="15"/>
  <c r="N1434" i="15"/>
  <c r="O1434" i="15"/>
  <c r="P1434" i="15"/>
  <c r="Q1434" i="15"/>
  <c r="T1434" i="15"/>
  <c r="U1434" i="15"/>
  <c r="V1434" i="15"/>
  <c r="W1434" i="15"/>
  <c r="X1434" i="15"/>
  <c r="Y1434" i="15"/>
  <c r="Z1434" i="15"/>
  <c r="AA1434" i="15"/>
  <c r="B1435" i="15"/>
  <c r="C1435" i="15"/>
  <c r="D1435" i="15"/>
  <c r="E1435" i="15"/>
  <c r="J1435" i="15"/>
  <c r="K1435" i="15"/>
  <c r="L1435" i="15"/>
  <c r="M1435" i="15"/>
  <c r="N1435" i="15"/>
  <c r="O1435" i="15"/>
  <c r="P1435" i="15"/>
  <c r="Q1435" i="15"/>
  <c r="T1435" i="15"/>
  <c r="U1435" i="15"/>
  <c r="V1435" i="15"/>
  <c r="W1435" i="15"/>
  <c r="X1435" i="15"/>
  <c r="Y1435" i="15"/>
  <c r="Z1435" i="15"/>
  <c r="AA1435" i="15"/>
  <c r="B1436" i="15"/>
  <c r="C1436" i="15"/>
  <c r="D1436" i="15"/>
  <c r="E1436" i="15"/>
  <c r="J1436" i="15"/>
  <c r="K1436" i="15"/>
  <c r="L1436" i="15"/>
  <c r="M1436" i="15"/>
  <c r="N1436" i="15"/>
  <c r="O1436" i="15"/>
  <c r="P1436" i="15"/>
  <c r="Q1436" i="15"/>
  <c r="T1436" i="15"/>
  <c r="U1436" i="15"/>
  <c r="V1436" i="15"/>
  <c r="W1436" i="15"/>
  <c r="X1436" i="15"/>
  <c r="Y1436" i="15"/>
  <c r="Z1436" i="15"/>
  <c r="AA1436" i="15"/>
  <c r="B1437" i="15"/>
  <c r="C1437" i="15"/>
  <c r="D1437" i="15"/>
  <c r="E1437" i="15"/>
  <c r="J1437" i="15"/>
  <c r="K1437" i="15"/>
  <c r="L1437" i="15"/>
  <c r="M1437" i="15"/>
  <c r="N1437" i="15"/>
  <c r="O1437" i="15"/>
  <c r="P1437" i="15"/>
  <c r="Q1437" i="15"/>
  <c r="T1437" i="15"/>
  <c r="U1437" i="15"/>
  <c r="V1437" i="15"/>
  <c r="W1437" i="15"/>
  <c r="X1437" i="15"/>
  <c r="Y1437" i="15"/>
  <c r="Z1437" i="15"/>
  <c r="AA1437" i="15"/>
  <c r="B1438" i="15"/>
  <c r="C1438" i="15"/>
  <c r="D1438" i="15"/>
  <c r="E1438" i="15"/>
  <c r="J1438" i="15"/>
  <c r="K1438" i="15"/>
  <c r="L1438" i="15"/>
  <c r="M1438" i="15"/>
  <c r="N1438" i="15"/>
  <c r="O1438" i="15"/>
  <c r="P1438" i="15"/>
  <c r="Q1438" i="15"/>
  <c r="T1438" i="15"/>
  <c r="U1438" i="15"/>
  <c r="V1438" i="15"/>
  <c r="W1438" i="15"/>
  <c r="X1438" i="15"/>
  <c r="Y1438" i="15"/>
  <c r="Z1438" i="15"/>
  <c r="AA1438" i="15"/>
  <c r="B1439" i="15"/>
  <c r="C1439" i="15"/>
  <c r="D1439" i="15"/>
  <c r="E1439" i="15"/>
  <c r="J1439" i="15"/>
  <c r="K1439" i="15"/>
  <c r="L1439" i="15"/>
  <c r="M1439" i="15"/>
  <c r="N1439" i="15"/>
  <c r="O1439" i="15"/>
  <c r="P1439" i="15"/>
  <c r="Q1439" i="15"/>
  <c r="T1439" i="15"/>
  <c r="U1439" i="15"/>
  <c r="V1439" i="15"/>
  <c r="W1439" i="15"/>
  <c r="X1439" i="15"/>
  <c r="Y1439" i="15"/>
  <c r="Z1439" i="15"/>
  <c r="AA1439" i="15"/>
  <c r="B1440" i="15"/>
  <c r="C1440" i="15"/>
  <c r="D1440" i="15"/>
  <c r="E1440" i="15"/>
  <c r="J1440" i="15"/>
  <c r="K1440" i="15"/>
  <c r="L1440" i="15"/>
  <c r="M1440" i="15"/>
  <c r="N1440" i="15"/>
  <c r="O1440" i="15"/>
  <c r="P1440" i="15"/>
  <c r="Q1440" i="15"/>
  <c r="T1440" i="15"/>
  <c r="U1440" i="15"/>
  <c r="V1440" i="15"/>
  <c r="W1440" i="15"/>
  <c r="X1440" i="15"/>
  <c r="Y1440" i="15"/>
  <c r="Z1440" i="15"/>
  <c r="AA1440" i="15"/>
  <c r="B1441" i="15"/>
  <c r="C1441" i="15"/>
  <c r="D1441" i="15"/>
  <c r="E1441" i="15"/>
  <c r="J1441" i="15"/>
  <c r="K1441" i="15"/>
  <c r="L1441" i="15"/>
  <c r="M1441" i="15"/>
  <c r="N1441" i="15"/>
  <c r="O1441" i="15"/>
  <c r="P1441" i="15"/>
  <c r="Q1441" i="15"/>
  <c r="T1441" i="15"/>
  <c r="U1441" i="15"/>
  <c r="V1441" i="15"/>
  <c r="W1441" i="15"/>
  <c r="X1441" i="15"/>
  <c r="Y1441" i="15"/>
  <c r="Z1441" i="15"/>
  <c r="AA1441" i="15"/>
  <c r="B1442" i="15"/>
  <c r="C1442" i="15"/>
  <c r="D1442" i="15"/>
  <c r="E1442" i="15"/>
  <c r="J1442" i="15"/>
  <c r="K1442" i="15"/>
  <c r="L1442" i="15"/>
  <c r="M1442" i="15"/>
  <c r="N1442" i="15"/>
  <c r="O1442" i="15"/>
  <c r="P1442" i="15"/>
  <c r="Q1442" i="15"/>
  <c r="T1442" i="15"/>
  <c r="U1442" i="15"/>
  <c r="V1442" i="15"/>
  <c r="W1442" i="15"/>
  <c r="X1442" i="15"/>
  <c r="Y1442" i="15"/>
  <c r="Z1442" i="15"/>
  <c r="AA1442" i="15"/>
  <c r="B1443" i="15"/>
  <c r="C1443" i="15"/>
  <c r="D1443" i="15"/>
  <c r="E1443" i="15"/>
  <c r="J1443" i="15"/>
  <c r="K1443" i="15"/>
  <c r="L1443" i="15"/>
  <c r="M1443" i="15"/>
  <c r="N1443" i="15"/>
  <c r="O1443" i="15"/>
  <c r="P1443" i="15"/>
  <c r="Q1443" i="15"/>
  <c r="T1443" i="15"/>
  <c r="U1443" i="15"/>
  <c r="V1443" i="15"/>
  <c r="W1443" i="15"/>
  <c r="X1443" i="15"/>
  <c r="Y1443" i="15"/>
  <c r="Z1443" i="15"/>
  <c r="AA1443" i="15"/>
  <c r="B1444" i="15"/>
  <c r="C1444" i="15"/>
  <c r="D1444" i="15"/>
  <c r="E1444" i="15"/>
  <c r="J1444" i="15"/>
  <c r="K1444" i="15"/>
  <c r="L1444" i="15"/>
  <c r="M1444" i="15"/>
  <c r="N1444" i="15"/>
  <c r="O1444" i="15"/>
  <c r="P1444" i="15"/>
  <c r="Q1444" i="15"/>
  <c r="T1444" i="15"/>
  <c r="U1444" i="15"/>
  <c r="V1444" i="15"/>
  <c r="W1444" i="15"/>
  <c r="X1444" i="15"/>
  <c r="Y1444" i="15"/>
  <c r="Z1444" i="15"/>
  <c r="AA1444" i="15"/>
  <c r="B1445" i="15"/>
  <c r="C1445" i="15"/>
  <c r="D1445" i="15"/>
  <c r="E1445" i="15"/>
  <c r="J1445" i="15"/>
  <c r="K1445" i="15"/>
  <c r="L1445" i="15"/>
  <c r="M1445" i="15"/>
  <c r="N1445" i="15"/>
  <c r="O1445" i="15"/>
  <c r="P1445" i="15"/>
  <c r="Q1445" i="15"/>
  <c r="T1445" i="15"/>
  <c r="U1445" i="15"/>
  <c r="V1445" i="15"/>
  <c r="W1445" i="15"/>
  <c r="X1445" i="15"/>
  <c r="Y1445" i="15"/>
  <c r="Z1445" i="15"/>
  <c r="AA1445" i="15"/>
  <c r="B1446" i="15"/>
  <c r="C1446" i="15"/>
  <c r="D1446" i="15"/>
  <c r="E1446" i="15"/>
  <c r="J1446" i="15"/>
  <c r="K1446" i="15"/>
  <c r="L1446" i="15"/>
  <c r="M1446" i="15"/>
  <c r="N1446" i="15"/>
  <c r="O1446" i="15"/>
  <c r="P1446" i="15"/>
  <c r="Q1446" i="15"/>
  <c r="T1446" i="15"/>
  <c r="U1446" i="15"/>
  <c r="V1446" i="15"/>
  <c r="W1446" i="15"/>
  <c r="X1446" i="15"/>
  <c r="Y1446" i="15"/>
  <c r="Z1446" i="15"/>
  <c r="AA1446" i="15"/>
  <c r="B1447" i="15"/>
  <c r="C1447" i="15"/>
  <c r="D1447" i="15"/>
  <c r="E1447" i="15"/>
  <c r="J1447" i="15"/>
  <c r="K1447" i="15"/>
  <c r="L1447" i="15"/>
  <c r="M1447" i="15"/>
  <c r="N1447" i="15"/>
  <c r="O1447" i="15"/>
  <c r="P1447" i="15"/>
  <c r="Q1447" i="15"/>
  <c r="T1447" i="15"/>
  <c r="U1447" i="15"/>
  <c r="V1447" i="15"/>
  <c r="W1447" i="15"/>
  <c r="X1447" i="15"/>
  <c r="Y1447" i="15"/>
  <c r="Z1447" i="15"/>
  <c r="AA1447" i="15"/>
  <c r="B1448" i="15"/>
  <c r="C1448" i="15"/>
  <c r="D1448" i="15"/>
  <c r="E1448" i="15"/>
  <c r="J1448" i="15"/>
  <c r="K1448" i="15"/>
  <c r="L1448" i="15"/>
  <c r="M1448" i="15"/>
  <c r="N1448" i="15"/>
  <c r="O1448" i="15"/>
  <c r="P1448" i="15"/>
  <c r="Q1448" i="15"/>
  <c r="T1448" i="15"/>
  <c r="U1448" i="15"/>
  <c r="V1448" i="15"/>
  <c r="W1448" i="15"/>
  <c r="X1448" i="15"/>
  <c r="Y1448" i="15"/>
  <c r="Z1448" i="15"/>
  <c r="AA1448" i="15"/>
  <c r="B1449" i="15"/>
  <c r="C1449" i="15"/>
  <c r="D1449" i="15"/>
  <c r="E1449" i="15"/>
  <c r="J1449" i="15"/>
  <c r="K1449" i="15"/>
  <c r="L1449" i="15"/>
  <c r="M1449" i="15"/>
  <c r="N1449" i="15"/>
  <c r="O1449" i="15"/>
  <c r="P1449" i="15"/>
  <c r="Q1449" i="15"/>
  <c r="T1449" i="15"/>
  <c r="U1449" i="15"/>
  <c r="V1449" i="15"/>
  <c r="W1449" i="15"/>
  <c r="X1449" i="15"/>
  <c r="Y1449" i="15"/>
  <c r="Z1449" i="15"/>
  <c r="AA1449" i="15"/>
  <c r="B1450" i="15"/>
  <c r="C1450" i="15"/>
  <c r="D1450" i="15"/>
  <c r="E1450" i="15"/>
  <c r="J1450" i="15"/>
  <c r="K1450" i="15"/>
  <c r="L1450" i="15"/>
  <c r="M1450" i="15"/>
  <c r="N1450" i="15"/>
  <c r="O1450" i="15"/>
  <c r="P1450" i="15"/>
  <c r="Q1450" i="15"/>
  <c r="T1450" i="15"/>
  <c r="U1450" i="15"/>
  <c r="V1450" i="15"/>
  <c r="W1450" i="15"/>
  <c r="X1450" i="15"/>
  <c r="Y1450" i="15"/>
  <c r="Z1450" i="15"/>
  <c r="AA1450" i="15"/>
  <c r="B1451" i="15"/>
  <c r="C1451" i="15"/>
  <c r="D1451" i="15"/>
  <c r="E1451" i="15"/>
  <c r="J1451" i="15"/>
  <c r="K1451" i="15"/>
  <c r="L1451" i="15"/>
  <c r="M1451" i="15"/>
  <c r="N1451" i="15"/>
  <c r="O1451" i="15"/>
  <c r="P1451" i="15"/>
  <c r="Q1451" i="15"/>
  <c r="T1451" i="15"/>
  <c r="U1451" i="15"/>
  <c r="V1451" i="15"/>
  <c r="W1451" i="15"/>
  <c r="X1451" i="15"/>
  <c r="Y1451" i="15"/>
  <c r="Z1451" i="15"/>
  <c r="AA1451" i="15"/>
  <c r="B1452" i="15"/>
  <c r="C1452" i="15"/>
  <c r="D1452" i="15"/>
  <c r="E1452" i="15"/>
  <c r="J1452" i="15"/>
  <c r="K1452" i="15"/>
  <c r="L1452" i="15"/>
  <c r="M1452" i="15"/>
  <c r="N1452" i="15"/>
  <c r="O1452" i="15"/>
  <c r="P1452" i="15"/>
  <c r="Q1452" i="15"/>
  <c r="T1452" i="15"/>
  <c r="U1452" i="15"/>
  <c r="V1452" i="15"/>
  <c r="W1452" i="15"/>
  <c r="X1452" i="15"/>
  <c r="Y1452" i="15"/>
  <c r="Z1452" i="15"/>
  <c r="AA1452" i="15"/>
  <c r="B1453" i="15"/>
  <c r="C1453" i="15"/>
  <c r="D1453" i="15"/>
  <c r="E1453" i="15"/>
  <c r="J1453" i="15"/>
  <c r="K1453" i="15"/>
  <c r="L1453" i="15"/>
  <c r="M1453" i="15"/>
  <c r="N1453" i="15"/>
  <c r="O1453" i="15"/>
  <c r="P1453" i="15"/>
  <c r="Q1453" i="15"/>
  <c r="T1453" i="15"/>
  <c r="U1453" i="15"/>
  <c r="V1453" i="15"/>
  <c r="W1453" i="15"/>
  <c r="X1453" i="15"/>
  <c r="Y1453" i="15"/>
  <c r="Z1453" i="15"/>
  <c r="AA1453" i="15"/>
  <c r="B1454" i="15"/>
  <c r="C1454" i="15"/>
  <c r="D1454" i="15"/>
  <c r="E1454" i="15"/>
  <c r="J1454" i="15"/>
  <c r="K1454" i="15"/>
  <c r="L1454" i="15"/>
  <c r="M1454" i="15"/>
  <c r="N1454" i="15"/>
  <c r="O1454" i="15"/>
  <c r="P1454" i="15"/>
  <c r="Q1454" i="15"/>
  <c r="T1454" i="15"/>
  <c r="U1454" i="15"/>
  <c r="V1454" i="15"/>
  <c r="W1454" i="15"/>
  <c r="X1454" i="15"/>
  <c r="Y1454" i="15"/>
  <c r="Z1454" i="15"/>
  <c r="AA1454" i="15"/>
  <c r="B1455" i="15"/>
  <c r="C1455" i="15"/>
  <c r="D1455" i="15"/>
  <c r="E1455" i="15"/>
  <c r="J1455" i="15"/>
  <c r="K1455" i="15"/>
  <c r="L1455" i="15"/>
  <c r="M1455" i="15"/>
  <c r="N1455" i="15"/>
  <c r="O1455" i="15"/>
  <c r="P1455" i="15"/>
  <c r="Q1455" i="15"/>
  <c r="T1455" i="15"/>
  <c r="U1455" i="15"/>
  <c r="V1455" i="15"/>
  <c r="W1455" i="15"/>
  <c r="X1455" i="15"/>
  <c r="Y1455" i="15"/>
  <c r="Z1455" i="15"/>
  <c r="AA1455" i="15"/>
  <c r="B1456" i="15"/>
  <c r="C1456" i="15"/>
  <c r="D1456" i="15"/>
  <c r="E1456" i="15"/>
  <c r="J1456" i="15"/>
  <c r="K1456" i="15"/>
  <c r="L1456" i="15"/>
  <c r="M1456" i="15"/>
  <c r="N1456" i="15"/>
  <c r="O1456" i="15"/>
  <c r="P1456" i="15"/>
  <c r="Q1456" i="15"/>
  <c r="T1456" i="15"/>
  <c r="U1456" i="15"/>
  <c r="V1456" i="15"/>
  <c r="W1456" i="15"/>
  <c r="X1456" i="15"/>
  <c r="Y1456" i="15"/>
  <c r="Z1456" i="15"/>
  <c r="AA1456" i="15"/>
  <c r="B1457" i="15"/>
  <c r="C1457" i="15"/>
  <c r="D1457" i="15"/>
  <c r="E1457" i="15"/>
  <c r="J1457" i="15"/>
  <c r="K1457" i="15"/>
  <c r="L1457" i="15"/>
  <c r="M1457" i="15"/>
  <c r="N1457" i="15"/>
  <c r="O1457" i="15"/>
  <c r="P1457" i="15"/>
  <c r="Q1457" i="15"/>
  <c r="T1457" i="15"/>
  <c r="U1457" i="15"/>
  <c r="V1457" i="15"/>
  <c r="W1457" i="15"/>
  <c r="X1457" i="15"/>
  <c r="Y1457" i="15"/>
  <c r="Z1457" i="15"/>
  <c r="AA1457" i="15"/>
  <c r="B1458" i="15"/>
  <c r="C1458" i="15"/>
  <c r="D1458" i="15"/>
  <c r="E1458" i="15"/>
  <c r="J1458" i="15"/>
  <c r="K1458" i="15"/>
  <c r="L1458" i="15"/>
  <c r="M1458" i="15"/>
  <c r="N1458" i="15"/>
  <c r="O1458" i="15"/>
  <c r="P1458" i="15"/>
  <c r="Q1458" i="15"/>
  <c r="T1458" i="15"/>
  <c r="U1458" i="15"/>
  <c r="V1458" i="15"/>
  <c r="W1458" i="15"/>
  <c r="X1458" i="15"/>
  <c r="Y1458" i="15"/>
  <c r="Z1458" i="15"/>
  <c r="AA1458" i="15"/>
  <c r="B1459" i="15"/>
  <c r="C1459" i="15"/>
  <c r="D1459" i="15"/>
  <c r="E1459" i="15"/>
  <c r="J1459" i="15"/>
  <c r="K1459" i="15"/>
  <c r="L1459" i="15"/>
  <c r="M1459" i="15"/>
  <c r="N1459" i="15"/>
  <c r="O1459" i="15"/>
  <c r="P1459" i="15"/>
  <c r="Q1459" i="15"/>
  <c r="T1459" i="15"/>
  <c r="U1459" i="15"/>
  <c r="V1459" i="15"/>
  <c r="W1459" i="15"/>
  <c r="X1459" i="15"/>
  <c r="Y1459" i="15"/>
  <c r="Z1459" i="15"/>
  <c r="AA1459" i="15"/>
  <c r="B1460" i="15"/>
  <c r="C1460" i="15"/>
  <c r="D1460" i="15"/>
  <c r="E1460" i="15"/>
  <c r="J1460" i="15"/>
  <c r="K1460" i="15"/>
  <c r="L1460" i="15"/>
  <c r="M1460" i="15"/>
  <c r="N1460" i="15"/>
  <c r="O1460" i="15"/>
  <c r="P1460" i="15"/>
  <c r="Q1460" i="15"/>
  <c r="T1460" i="15"/>
  <c r="U1460" i="15"/>
  <c r="V1460" i="15"/>
  <c r="W1460" i="15"/>
  <c r="X1460" i="15"/>
  <c r="Y1460" i="15"/>
  <c r="Z1460" i="15"/>
  <c r="AA1460" i="15"/>
  <c r="B1461" i="15"/>
  <c r="C1461" i="15"/>
  <c r="D1461" i="15"/>
  <c r="E1461" i="15"/>
  <c r="J1461" i="15"/>
  <c r="K1461" i="15"/>
  <c r="L1461" i="15"/>
  <c r="M1461" i="15"/>
  <c r="N1461" i="15"/>
  <c r="O1461" i="15"/>
  <c r="P1461" i="15"/>
  <c r="Q1461" i="15"/>
  <c r="T1461" i="15"/>
  <c r="U1461" i="15"/>
  <c r="V1461" i="15"/>
  <c r="W1461" i="15"/>
  <c r="X1461" i="15"/>
  <c r="Y1461" i="15"/>
  <c r="Z1461" i="15"/>
  <c r="AA1461" i="15"/>
  <c r="B1462" i="15"/>
  <c r="C1462" i="15"/>
  <c r="D1462" i="15"/>
  <c r="E1462" i="15"/>
  <c r="J1462" i="15"/>
  <c r="K1462" i="15"/>
  <c r="L1462" i="15"/>
  <c r="M1462" i="15"/>
  <c r="N1462" i="15"/>
  <c r="O1462" i="15"/>
  <c r="P1462" i="15"/>
  <c r="Q1462" i="15"/>
  <c r="T1462" i="15"/>
  <c r="U1462" i="15"/>
  <c r="V1462" i="15"/>
  <c r="W1462" i="15"/>
  <c r="X1462" i="15"/>
  <c r="Y1462" i="15"/>
  <c r="Z1462" i="15"/>
  <c r="AA1462" i="15"/>
  <c r="B1463" i="15"/>
  <c r="C1463" i="15"/>
  <c r="D1463" i="15"/>
  <c r="E1463" i="15"/>
  <c r="J1463" i="15"/>
  <c r="K1463" i="15"/>
  <c r="L1463" i="15"/>
  <c r="M1463" i="15"/>
  <c r="N1463" i="15"/>
  <c r="O1463" i="15"/>
  <c r="P1463" i="15"/>
  <c r="Q1463" i="15"/>
  <c r="T1463" i="15"/>
  <c r="U1463" i="15"/>
  <c r="V1463" i="15"/>
  <c r="W1463" i="15"/>
  <c r="X1463" i="15"/>
  <c r="Y1463" i="15"/>
  <c r="Z1463" i="15"/>
  <c r="AA1463" i="15"/>
  <c r="B1464" i="15"/>
  <c r="C1464" i="15"/>
  <c r="D1464" i="15"/>
  <c r="E1464" i="15"/>
  <c r="J1464" i="15"/>
  <c r="K1464" i="15"/>
  <c r="L1464" i="15"/>
  <c r="M1464" i="15"/>
  <c r="N1464" i="15"/>
  <c r="O1464" i="15"/>
  <c r="P1464" i="15"/>
  <c r="Q1464" i="15"/>
  <c r="T1464" i="15"/>
  <c r="U1464" i="15"/>
  <c r="V1464" i="15"/>
  <c r="W1464" i="15"/>
  <c r="X1464" i="15"/>
  <c r="Y1464" i="15"/>
  <c r="Z1464" i="15"/>
  <c r="AA1464" i="15"/>
  <c r="B1465" i="15"/>
  <c r="C1465" i="15"/>
  <c r="D1465" i="15"/>
  <c r="E1465" i="15"/>
  <c r="J1465" i="15"/>
  <c r="K1465" i="15"/>
  <c r="L1465" i="15"/>
  <c r="M1465" i="15"/>
  <c r="N1465" i="15"/>
  <c r="O1465" i="15"/>
  <c r="P1465" i="15"/>
  <c r="Q1465" i="15"/>
  <c r="T1465" i="15"/>
  <c r="U1465" i="15"/>
  <c r="V1465" i="15"/>
  <c r="W1465" i="15"/>
  <c r="X1465" i="15"/>
  <c r="Y1465" i="15"/>
  <c r="Z1465" i="15"/>
  <c r="AA1465" i="15"/>
  <c r="B1466" i="15"/>
  <c r="C1466" i="15"/>
  <c r="D1466" i="15"/>
  <c r="E1466" i="15"/>
  <c r="J1466" i="15"/>
  <c r="K1466" i="15"/>
  <c r="L1466" i="15"/>
  <c r="M1466" i="15"/>
  <c r="N1466" i="15"/>
  <c r="O1466" i="15"/>
  <c r="P1466" i="15"/>
  <c r="Q1466" i="15"/>
  <c r="T1466" i="15"/>
  <c r="U1466" i="15"/>
  <c r="V1466" i="15"/>
  <c r="W1466" i="15"/>
  <c r="X1466" i="15"/>
  <c r="Y1466" i="15"/>
  <c r="Z1466" i="15"/>
  <c r="AA1466" i="15"/>
  <c r="B1467" i="15"/>
  <c r="C1467" i="15"/>
  <c r="D1467" i="15"/>
  <c r="E1467" i="15"/>
  <c r="J1467" i="15"/>
  <c r="K1467" i="15"/>
  <c r="L1467" i="15"/>
  <c r="M1467" i="15"/>
  <c r="N1467" i="15"/>
  <c r="O1467" i="15"/>
  <c r="P1467" i="15"/>
  <c r="Q1467" i="15"/>
  <c r="T1467" i="15"/>
  <c r="U1467" i="15"/>
  <c r="V1467" i="15"/>
  <c r="W1467" i="15"/>
  <c r="X1467" i="15"/>
  <c r="Y1467" i="15"/>
  <c r="Z1467" i="15"/>
  <c r="AA1467" i="15"/>
  <c r="B1468" i="15"/>
  <c r="C1468" i="15"/>
  <c r="D1468" i="15"/>
  <c r="E1468" i="15"/>
  <c r="J1468" i="15"/>
  <c r="K1468" i="15"/>
  <c r="L1468" i="15"/>
  <c r="M1468" i="15"/>
  <c r="N1468" i="15"/>
  <c r="O1468" i="15"/>
  <c r="P1468" i="15"/>
  <c r="Q1468" i="15"/>
  <c r="T1468" i="15"/>
  <c r="U1468" i="15"/>
  <c r="V1468" i="15"/>
  <c r="W1468" i="15"/>
  <c r="X1468" i="15"/>
  <c r="Y1468" i="15"/>
  <c r="Z1468" i="15"/>
  <c r="AA1468" i="15"/>
  <c r="B1469" i="15"/>
  <c r="C1469" i="15"/>
  <c r="D1469" i="15"/>
  <c r="E1469" i="15"/>
  <c r="J1469" i="15"/>
  <c r="K1469" i="15"/>
  <c r="L1469" i="15"/>
  <c r="M1469" i="15"/>
  <c r="N1469" i="15"/>
  <c r="O1469" i="15"/>
  <c r="P1469" i="15"/>
  <c r="Q1469" i="15"/>
  <c r="T1469" i="15"/>
  <c r="U1469" i="15"/>
  <c r="V1469" i="15"/>
  <c r="W1469" i="15"/>
  <c r="X1469" i="15"/>
  <c r="Y1469" i="15"/>
  <c r="Z1469" i="15"/>
  <c r="AA1469" i="15"/>
  <c r="B1470" i="15"/>
  <c r="C1470" i="15"/>
  <c r="D1470" i="15"/>
  <c r="E1470" i="15"/>
  <c r="J1470" i="15"/>
  <c r="K1470" i="15"/>
  <c r="L1470" i="15"/>
  <c r="M1470" i="15"/>
  <c r="N1470" i="15"/>
  <c r="O1470" i="15"/>
  <c r="P1470" i="15"/>
  <c r="Q1470" i="15"/>
  <c r="T1470" i="15"/>
  <c r="U1470" i="15"/>
  <c r="V1470" i="15"/>
  <c r="W1470" i="15"/>
  <c r="X1470" i="15"/>
  <c r="Y1470" i="15"/>
  <c r="Z1470" i="15"/>
  <c r="AA1470" i="15"/>
  <c r="B1471" i="15"/>
  <c r="C1471" i="15"/>
  <c r="D1471" i="15"/>
  <c r="E1471" i="15"/>
  <c r="J1471" i="15"/>
  <c r="K1471" i="15"/>
  <c r="L1471" i="15"/>
  <c r="M1471" i="15"/>
  <c r="N1471" i="15"/>
  <c r="O1471" i="15"/>
  <c r="P1471" i="15"/>
  <c r="Q1471" i="15"/>
  <c r="T1471" i="15"/>
  <c r="U1471" i="15"/>
  <c r="V1471" i="15"/>
  <c r="W1471" i="15"/>
  <c r="X1471" i="15"/>
  <c r="Y1471" i="15"/>
  <c r="Z1471" i="15"/>
  <c r="AA1471" i="15"/>
  <c r="B1472" i="15"/>
  <c r="C1472" i="15"/>
  <c r="D1472" i="15"/>
  <c r="E1472" i="15"/>
  <c r="J1472" i="15"/>
  <c r="K1472" i="15"/>
  <c r="L1472" i="15"/>
  <c r="M1472" i="15"/>
  <c r="N1472" i="15"/>
  <c r="O1472" i="15"/>
  <c r="P1472" i="15"/>
  <c r="Q1472" i="15"/>
  <c r="T1472" i="15"/>
  <c r="U1472" i="15"/>
  <c r="V1472" i="15"/>
  <c r="W1472" i="15"/>
  <c r="X1472" i="15"/>
  <c r="Y1472" i="15"/>
  <c r="Z1472" i="15"/>
  <c r="AA1472" i="15"/>
  <c r="B1473" i="15"/>
  <c r="C1473" i="15"/>
  <c r="D1473" i="15"/>
  <c r="E1473" i="15"/>
  <c r="J1473" i="15"/>
  <c r="K1473" i="15"/>
  <c r="L1473" i="15"/>
  <c r="M1473" i="15"/>
  <c r="N1473" i="15"/>
  <c r="O1473" i="15"/>
  <c r="P1473" i="15"/>
  <c r="Q1473" i="15"/>
  <c r="T1473" i="15"/>
  <c r="U1473" i="15"/>
  <c r="V1473" i="15"/>
  <c r="W1473" i="15"/>
  <c r="X1473" i="15"/>
  <c r="Y1473" i="15"/>
  <c r="Z1473" i="15"/>
  <c r="AA1473" i="15"/>
  <c r="B1474" i="15"/>
  <c r="C1474" i="15"/>
  <c r="D1474" i="15"/>
  <c r="E1474" i="15"/>
  <c r="J1474" i="15"/>
  <c r="K1474" i="15"/>
  <c r="L1474" i="15"/>
  <c r="M1474" i="15"/>
  <c r="N1474" i="15"/>
  <c r="O1474" i="15"/>
  <c r="P1474" i="15"/>
  <c r="Q1474" i="15"/>
  <c r="T1474" i="15"/>
  <c r="U1474" i="15"/>
  <c r="V1474" i="15"/>
  <c r="W1474" i="15"/>
  <c r="X1474" i="15"/>
  <c r="Y1474" i="15"/>
  <c r="Z1474" i="15"/>
  <c r="AA1474" i="15"/>
  <c r="B1475" i="15"/>
  <c r="C1475" i="15"/>
  <c r="D1475" i="15"/>
  <c r="E1475" i="15"/>
  <c r="J1475" i="15"/>
  <c r="K1475" i="15"/>
  <c r="L1475" i="15"/>
  <c r="M1475" i="15"/>
  <c r="N1475" i="15"/>
  <c r="O1475" i="15"/>
  <c r="P1475" i="15"/>
  <c r="Q1475" i="15"/>
  <c r="T1475" i="15"/>
  <c r="U1475" i="15"/>
  <c r="V1475" i="15"/>
  <c r="W1475" i="15"/>
  <c r="X1475" i="15"/>
  <c r="Y1475" i="15"/>
  <c r="Z1475" i="15"/>
  <c r="AA1475" i="15"/>
  <c r="B1476" i="15"/>
  <c r="C1476" i="15"/>
  <c r="D1476" i="15"/>
  <c r="E1476" i="15"/>
  <c r="J1476" i="15"/>
  <c r="K1476" i="15"/>
  <c r="L1476" i="15"/>
  <c r="M1476" i="15"/>
  <c r="N1476" i="15"/>
  <c r="O1476" i="15"/>
  <c r="P1476" i="15"/>
  <c r="Q1476" i="15"/>
  <c r="T1476" i="15"/>
  <c r="U1476" i="15"/>
  <c r="V1476" i="15"/>
  <c r="W1476" i="15"/>
  <c r="X1476" i="15"/>
  <c r="Y1476" i="15"/>
  <c r="Z1476" i="15"/>
  <c r="AA1476" i="15"/>
  <c r="B1477" i="15"/>
  <c r="C1477" i="15"/>
  <c r="D1477" i="15"/>
  <c r="E1477" i="15"/>
  <c r="J1477" i="15"/>
  <c r="K1477" i="15"/>
  <c r="L1477" i="15"/>
  <c r="M1477" i="15"/>
  <c r="N1477" i="15"/>
  <c r="O1477" i="15"/>
  <c r="P1477" i="15"/>
  <c r="Q1477" i="15"/>
  <c r="T1477" i="15"/>
  <c r="U1477" i="15"/>
  <c r="V1477" i="15"/>
  <c r="W1477" i="15"/>
  <c r="X1477" i="15"/>
  <c r="Y1477" i="15"/>
  <c r="Z1477" i="15"/>
  <c r="AA1477" i="15"/>
  <c r="B1478" i="15"/>
  <c r="C1478" i="15"/>
  <c r="D1478" i="15"/>
  <c r="E1478" i="15"/>
  <c r="J1478" i="15"/>
  <c r="K1478" i="15"/>
  <c r="L1478" i="15"/>
  <c r="M1478" i="15"/>
  <c r="N1478" i="15"/>
  <c r="O1478" i="15"/>
  <c r="P1478" i="15"/>
  <c r="Q1478" i="15"/>
  <c r="T1478" i="15"/>
  <c r="U1478" i="15"/>
  <c r="V1478" i="15"/>
  <c r="W1478" i="15"/>
  <c r="X1478" i="15"/>
  <c r="Y1478" i="15"/>
  <c r="Z1478" i="15"/>
  <c r="AA1478" i="15"/>
  <c r="B1479" i="15"/>
  <c r="C1479" i="15"/>
  <c r="D1479" i="15"/>
  <c r="E1479" i="15"/>
  <c r="J1479" i="15"/>
  <c r="K1479" i="15"/>
  <c r="L1479" i="15"/>
  <c r="M1479" i="15"/>
  <c r="N1479" i="15"/>
  <c r="O1479" i="15"/>
  <c r="P1479" i="15"/>
  <c r="Q1479" i="15"/>
  <c r="T1479" i="15"/>
  <c r="U1479" i="15"/>
  <c r="V1479" i="15"/>
  <c r="W1479" i="15"/>
  <c r="X1479" i="15"/>
  <c r="Y1479" i="15"/>
  <c r="Z1479" i="15"/>
  <c r="AA1479" i="15"/>
  <c r="B1480" i="15"/>
  <c r="C1480" i="15"/>
  <c r="D1480" i="15"/>
  <c r="E1480" i="15"/>
  <c r="J1480" i="15"/>
  <c r="K1480" i="15"/>
  <c r="L1480" i="15"/>
  <c r="M1480" i="15"/>
  <c r="N1480" i="15"/>
  <c r="O1480" i="15"/>
  <c r="P1480" i="15"/>
  <c r="Q1480" i="15"/>
  <c r="T1480" i="15"/>
  <c r="U1480" i="15"/>
  <c r="V1480" i="15"/>
  <c r="W1480" i="15"/>
  <c r="X1480" i="15"/>
  <c r="Y1480" i="15"/>
  <c r="Z1480" i="15"/>
  <c r="AA1480" i="15"/>
  <c r="B1481" i="15"/>
  <c r="C1481" i="15"/>
  <c r="D1481" i="15"/>
  <c r="E1481" i="15"/>
  <c r="J1481" i="15"/>
  <c r="K1481" i="15"/>
  <c r="L1481" i="15"/>
  <c r="M1481" i="15"/>
  <c r="N1481" i="15"/>
  <c r="O1481" i="15"/>
  <c r="P1481" i="15"/>
  <c r="Q1481" i="15"/>
  <c r="T1481" i="15"/>
  <c r="U1481" i="15"/>
  <c r="V1481" i="15"/>
  <c r="W1481" i="15"/>
  <c r="X1481" i="15"/>
  <c r="Y1481" i="15"/>
  <c r="Z1481" i="15"/>
  <c r="AA1481" i="15"/>
  <c r="B1482" i="15"/>
  <c r="C1482" i="15"/>
  <c r="D1482" i="15"/>
  <c r="E1482" i="15"/>
  <c r="J1482" i="15"/>
  <c r="K1482" i="15"/>
  <c r="L1482" i="15"/>
  <c r="M1482" i="15"/>
  <c r="N1482" i="15"/>
  <c r="O1482" i="15"/>
  <c r="P1482" i="15"/>
  <c r="Q1482" i="15"/>
  <c r="T1482" i="15"/>
  <c r="U1482" i="15"/>
  <c r="V1482" i="15"/>
  <c r="W1482" i="15"/>
  <c r="X1482" i="15"/>
  <c r="Y1482" i="15"/>
  <c r="Z1482" i="15"/>
  <c r="AA1482" i="15"/>
  <c r="B1483" i="15"/>
  <c r="C1483" i="15"/>
  <c r="D1483" i="15"/>
  <c r="E1483" i="15"/>
  <c r="J1483" i="15"/>
  <c r="K1483" i="15"/>
  <c r="L1483" i="15"/>
  <c r="M1483" i="15"/>
  <c r="N1483" i="15"/>
  <c r="O1483" i="15"/>
  <c r="P1483" i="15"/>
  <c r="Q1483" i="15"/>
  <c r="T1483" i="15"/>
  <c r="U1483" i="15"/>
  <c r="V1483" i="15"/>
  <c r="W1483" i="15"/>
  <c r="X1483" i="15"/>
  <c r="Y1483" i="15"/>
  <c r="Z1483" i="15"/>
  <c r="AA1483" i="15"/>
  <c r="B1484" i="15"/>
  <c r="C1484" i="15"/>
  <c r="D1484" i="15"/>
  <c r="E1484" i="15"/>
  <c r="J1484" i="15"/>
  <c r="K1484" i="15"/>
  <c r="L1484" i="15"/>
  <c r="M1484" i="15"/>
  <c r="N1484" i="15"/>
  <c r="O1484" i="15"/>
  <c r="P1484" i="15"/>
  <c r="Q1484" i="15"/>
  <c r="T1484" i="15"/>
  <c r="U1484" i="15"/>
  <c r="V1484" i="15"/>
  <c r="W1484" i="15"/>
  <c r="X1484" i="15"/>
  <c r="Y1484" i="15"/>
  <c r="Z1484" i="15"/>
  <c r="AA1484" i="15"/>
  <c r="B1485" i="15"/>
  <c r="C1485" i="15"/>
  <c r="D1485" i="15"/>
  <c r="E1485" i="15"/>
  <c r="J1485" i="15"/>
  <c r="K1485" i="15"/>
  <c r="L1485" i="15"/>
  <c r="M1485" i="15"/>
  <c r="N1485" i="15"/>
  <c r="O1485" i="15"/>
  <c r="P1485" i="15"/>
  <c r="Q1485" i="15"/>
  <c r="T1485" i="15"/>
  <c r="U1485" i="15"/>
  <c r="V1485" i="15"/>
  <c r="W1485" i="15"/>
  <c r="X1485" i="15"/>
  <c r="Y1485" i="15"/>
  <c r="Z1485" i="15"/>
  <c r="AA1485" i="15"/>
  <c r="B1486" i="15"/>
  <c r="C1486" i="15"/>
  <c r="D1486" i="15"/>
  <c r="E1486" i="15"/>
  <c r="J1486" i="15"/>
  <c r="K1486" i="15"/>
  <c r="L1486" i="15"/>
  <c r="M1486" i="15"/>
  <c r="N1486" i="15"/>
  <c r="O1486" i="15"/>
  <c r="P1486" i="15"/>
  <c r="Q1486" i="15"/>
  <c r="T1486" i="15"/>
  <c r="U1486" i="15"/>
  <c r="V1486" i="15"/>
  <c r="W1486" i="15"/>
  <c r="X1486" i="15"/>
  <c r="Y1486" i="15"/>
  <c r="Z1486" i="15"/>
  <c r="AA1486" i="15"/>
  <c r="B1487" i="15"/>
  <c r="C1487" i="15"/>
  <c r="D1487" i="15"/>
  <c r="E1487" i="15"/>
  <c r="J1487" i="15"/>
  <c r="K1487" i="15"/>
  <c r="L1487" i="15"/>
  <c r="M1487" i="15"/>
  <c r="N1487" i="15"/>
  <c r="O1487" i="15"/>
  <c r="P1487" i="15"/>
  <c r="Q1487" i="15"/>
  <c r="T1487" i="15"/>
  <c r="U1487" i="15"/>
  <c r="V1487" i="15"/>
  <c r="W1487" i="15"/>
  <c r="X1487" i="15"/>
  <c r="Y1487" i="15"/>
  <c r="Z1487" i="15"/>
  <c r="AA1487" i="15"/>
  <c r="B1488" i="15"/>
  <c r="C1488" i="15"/>
  <c r="D1488" i="15"/>
  <c r="E1488" i="15"/>
  <c r="J1488" i="15"/>
  <c r="K1488" i="15"/>
  <c r="L1488" i="15"/>
  <c r="M1488" i="15"/>
  <c r="N1488" i="15"/>
  <c r="O1488" i="15"/>
  <c r="P1488" i="15"/>
  <c r="Q1488" i="15"/>
  <c r="T1488" i="15"/>
  <c r="U1488" i="15"/>
  <c r="V1488" i="15"/>
  <c r="W1488" i="15"/>
  <c r="X1488" i="15"/>
  <c r="Y1488" i="15"/>
  <c r="Z1488" i="15"/>
  <c r="AA1488" i="15"/>
  <c r="B1489" i="15"/>
  <c r="C1489" i="15"/>
  <c r="D1489" i="15"/>
  <c r="E1489" i="15"/>
  <c r="J1489" i="15"/>
  <c r="K1489" i="15"/>
  <c r="L1489" i="15"/>
  <c r="M1489" i="15"/>
  <c r="N1489" i="15"/>
  <c r="O1489" i="15"/>
  <c r="P1489" i="15"/>
  <c r="Q1489" i="15"/>
  <c r="T1489" i="15"/>
  <c r="U1489" i="15"/>
  <c r="V1489" i="15"/>
  <c r="W1489" i="15"/>
  <c r="X1489" i="15"/>
  <c r="Y1489" i="15"/>
  <c r="Z1489" i="15"/>
  <c r="AA1489" i="15"/>
  <c r="B1490" i="15"/>
  <c r="C1490" i="15"/>
  <c r="D1490" i="15"/>
  <c r="E1490" i="15"/>
  <c r="J1490" i="15"/>
  <c r="K1490" i="15"/>
  <c r="L1490" i="15"/>
  <c r="M1490" i="15"/>
  <c r="N1490" i="15"/>
  <c r="O1490" i="15"/>
  <c r="P1490" i="15"/>
  <c r="Q1490" i="15"/>
  <c r="T1490" i="15"/>
  <c r="U1490" i="15"/>
  <c r="V1490" i="15"/>
  <c r="W1490" i="15"/>
  <c r="X1490" i="15"/>
  <c r="Y1490" i="15"/>
  <c r="Z1490" i="15"/>
  <c r="AA1490" i="15"/>
  <c r="B1491" i="15"/>
  <c r="C1491" i="15"/>
  <c r="D1491" i="15"/>
  <c r="E1491" i="15"/>
  <c r="J1491" i="15"/>
  <c r="K1491" i="15"/>
  <c r="L1491" i="15"/>
  <c r="M1491" i="15"/>
  <c r="N1491" i="15"/>
  <c r="O1491" i="15"/>
  <c r="P1491" i="15"/>
  <c r="Q1491" i="15"/>
  <c r="T1491" i="15"/>
  <c r="U1491" i="15"/>
  <c r="V1491" i="15"/>
  <c r="W1491" i="15"/>
  <c r="X1491" i="15"/>
  <c r="Y1491" i="15"/>
  <c r="Z1491" i="15"/>
  <c r="AA1491" i="15"/>
  <c r="B1492" i="15"/>
  <c r="C1492" i="15"/>
  <c r="D1492" i="15"/>
  <c r="E1492" i="15"/>
  <c r="J1492" i="15"/>
  <c r="K1492" i="15"/>
  <c r="L1492" i="15"/>
  <c r="M1492" i="15"/>
  <c r="N1492" i="15"/>
  <c r="O1492" i="15"/>
  <c r="P1492" i="15"/>
  <c r="Q1492" i="15"/>
  <c r="T1492" i="15"/>
  <c r="U1492" i="15"/>
  <c r="V1492" i="15"/>
  <c r="W1492" i="15"/>
  <c r="X1492" i="15"/>
  <c r="Y1492" i="15"/>
  <c r="Z1492" i="15"/>
  <c r="AA1492" i="15"/>
  <c r="B1493" i="15"/>
  <c r="C1493" i="15"/>
  <c r="D1493" i="15"/>
  <c r="E1493" i="15"/>
  <c r="J1493" i="15"/>
  <c r="K1493" i="15"/>
  <c r="L1493" i="15"/>
  <c r="M1493" i="15"/>
  <c r="N1493" i="15"/>
  <c r="O1493" i="15"/>
  <c r="P1493" i="15"/>
  <c r="Q1493" i="15"/>
  <c r="T1493" i="15"/>
  <c r="U1493" i="15"/>
  <c r="V1493" i="15"/>
  <c r="W1493" i="15"/>
  <c r="X1493" i="15"/>
  <c r="Y1493" i="15"/>
  <c r="Z1493" i="15"/>
  <c r="AA1493" i="15"/>
  <c r="B1494" i="15"/>
  <c r="C1494" i="15"/>
  <c r="D1494" i="15"/>
  <c r="E1494" i="15"/>
  <c r="J1494" i="15"/>
  <c r="K1494" i="15"/>
  <c r="L1494" i="15"/>
  <c r="M1494" i="15"/>
  <c r="N1494" i="15"/>
  <c r="O1494" i="15"/>
  <c r="P1494" i="15"/>
  <c r="Q1494" i="15"/>
  <c r="T1494" i="15"/>
  <c r="U1494" i="15"/>
  <c r="V1494" i="15"/>
  <c r="W1494" i="15"/>
  <c r="X1494" i="15"/>
  <c r="Y1494" i="15"/>
  <c r="Z1494" i="15"/>
  <c r="AA1494" i="15"/>
  <c r="B1495" i="15"/>
  <c r="C1495" i="15"/>
  <c r="D1495" i="15"/>
  <c r="E1495" i="15"/>
  <c r="J1495" i="15"/>
  <c r="K1495" i="15"/>
  <c r="L1495" i="15"/>
  <c r="M1495" i="15"/>
  <c r="N1495" i="15"/>
  <c r="O1495" i="15"/>
  <c r="P1495" i="15"/>
  <c r="Q1495" i="15"/>
  <c r="T1495" i="15"/>
  <c r="U1495" i="15"/>
  <c r="V1495" i="15"/>
  <c r="W1495" i="15"/>
  <c r="X1495" i="15"/>
  <c r="Y1495" i="15"/>
  <c r="Z1495" i="15"/>
  <c r="AA1495" i="15"/>
  <c r="B1496" i="15"/>
  <c r="C1496" i="15"/>
  <c r="D1496" i="15"/>
  <c r="E1496" i="15"/>
  <c r="J1496" i="15"/>
  <c r="K1496" i="15"/>
  <c r="L1496" i="15"/>
  <c r="M1496" i="15"/>
  <c r="N1496" i="15"/>
  <c r="O1496" i="15"/>
  <c r="P1496" i="15"/>
  <c r="Q1496" i="15"/>
  <c r="T1496" i="15"/>
  <c r="U1496" i="15"/>
  <c r="V1496" i="15"/>
  <c r="W1496" i="15"/>
  <c r="X1496" i="15"/>
  <c r="Y1496" i="15"/>
  <c r="Z1496" i="15"/>
  <c r="AA1496" i="15"/>
  <c r="B1497" i="15"/>
  <c r="C1497" i="15"/>
  <c r="D1497" i="15"/>
  <c r="E1497" i="15"/>
  <c r="J1497" i="15"/>
  <c r="K1497" i="15"/>
  <c r="L1497" i="15"/>
  <c r="M1497" i="15"/>
  <c r="N1497" i="15"/>
  <c r="O1497" i="15"/>
  <c r="P1497" i="15"/>
  <c r="Q1497" i="15"/>
  <c r="T1497" i="15"/>
  <c r="U1497" i="15"/>
  <c r="V1497" i="15"/>
  <c r="W1497" i="15"/>
  <c r="X1497" i="15"/>
  <c r="Y1497" i="15"/>
  <c r="Z1497" i="15"/>
  <c r="AA1497" i="15"/>
  <c r="B1498" i="15"/>
  <c r="C1498" i="15"/>
  <c r="D1498" i="15"/>
  <c r="E1498" i="15"/>
  <c r="J1498" i="15"/>
  <c r="K1498" i="15"/>
  <c r="L1498" i="15"/>
  <c r="M1498" i="15"/>
  <c r="N1498" i="15"/>
  <c r="O1498" i="15"/>
  <c r="P1498" i="15"/>
  <c r="Q1498" i="15"/>
  <c r="T1498" i="15"/>
  <c r="U1498" i="15"/>
  <c r="V1498" i="15"/>
  <c r="W1498" i="15"/>
  <c r="X1498" i="15"/>
  <c r="Y1498" i="15"/>
  <c r="Z1498" i="15"/>
  <c r="AA1498" i="15"/>
  <c r="B1499" i="15"/>
  <c r="C1499" i="15"/>
  <c r="D1499" i="15"/>
  <c r="E1499" i="15"/>
  <c r="J1499" i="15"/>
  <c r="K1499" i="15"/>
  <c r="L1499" i="15"/>
  <c r="M1499" i="15"/>
  <c r="N1499" i="15"/>
  <c r="O1499" i="15"/>
  <c r="P1499" i="15"/>
  <c r="Q1499" i="15"/>
  <c r="T1499" i="15"/>
  <c r="U1499" i="15"/>
  <c r="V1499" i="15"/>
  <c r="W1499" i="15"/>
  <c r="X1499" i="15"/>
  <c r="Y1499" i="15"/>
  <c r="Z1499" i="15"/>
  <c r="AA1499" i="15"/>
  <c r="B1500" i="15"/>
  <c r="C1500" i="15"/>
  <c r="D1500" i="15"/>
  <c r="E1500" i="15"/>
  <c r="J1500" i="15"/>
  <c r="K1500" i="15"/>
  <c r="L1500" i="15"/>
  <c r="M1500" i="15"/>
  <c r="N1500" i="15"/>
  <c r="O1500" i="15"/>
  <c r="P1500" i="15"/>
  <c r="Q1500" i="15"/>
  <c r="T1500" i="15"/>
  <c r="U1500" i="15"/>
  <c r="V1500" i="15"/>
  <c r="W1500" i="15"/>
  <c r="X1500" i="15"/>
  <c r="Y1500" i="15"/>
  <c r="Z1500" i="15"/>
  <c r="AA1500" i="15"/>
  <c r="B1501" i="15"/>
  <c r="C1501" i="15"/>
  <c r="D1501" i="15"/>
  <c r="E1501" i="15"/>
  <c r="J1501" i="15"/>
  <c r="K1501" i="15"/>
  <c r="L1501" i="15"/>
  <c r="M1501" i="15"/>
  <c r="N1501" i="15"/>
  <c r="O1501" i="15"/>
  <c r="P1501" i="15"/>
  <c r="Q1501" i="15"/>
  <c r="T1501" i="15"/>
  <c r="U1501" i="15"/>
  <c r="V1501" i="15"/>
  <c r="W1501" i="15"/>
  <c r="X1501" i="15"/>
  <c r="Y1501" i="15"/>
  <c r="Z1501" i="15"/>
  <c r="AA1501" i="15"/>
  <c r="B1502" i="15"/>
  <c r="C1502" i="15"/>
  <c r="D1502" i="15"/>
  <c r="E1502" i="15"/>
  <c r="J1502" i="15"/>
  <c r="K1502" i="15"/>
  <c r="L1502" i="15"/>
  <c r="M1502" i="15"/>
  <c r="N1502" i="15"/>
  <c r="O1502" i="15"/>
  <c r="P1502" i="15"/>
  <c r="Q1502" i="15"/>
  <c r="T1502" i="15"/>
  <c r="U1502" i="15"/>
  <c r="V1502" i="15"/>
  <c r="W1502" i="15"/>
  <c r="X1502" i="15"/>
  <c r="Y1502" i="15"/>
  <c r="Z1502" i="15"/>
  <c r="AA1502" i="15"/>
  <c r="B1503" i="15"/>
  <c r="C1503" i="15"/>
  <c r="D1503" i="15"/>
  <c r="E1503" i="15"/>
  <c r="J1503" i="15"/>
  <c r="K1503" i="15"/>
  <c r="L1503" i="15"/>
  <c r="M1503" i="15"/>
  <c r="N1503" i="15"/>
  <c r="O1503" i="15"/>
  <c r="P1503" i="15"/>
  <c r="Q1503" i="15"/>
  <c r="T1503" i="15"/>
  <c r="U1503" i="15"/>
  <c r="V1503" i="15"/>
  <c r="W1503" i="15"/>
  <c r="X1503" i="15"/>
  <c r="Y1503" i="15"/>
  <c r="Z1503" i="15"/>
  <c r="AA1503" i="15"/>
  <c r="B1504" i="15"/>
  <c r="C1504" i="15"/>
  <c r="D1504" i="15"/>
  <c r="E1504" i="15"/>
  <c r="J1504" i="15"/>
  <c r="K1504" i="15"/>
  <c r="L1504" i="15"/>
  <c r="M1504" i="15"/>
  <c r="N1504" i="15"/>
  <c r="O1504" i="15"/>
  <c r="P1504" i="15"/>
  <c r="Q1504" i="15"/>
  <c r="T1504" i="15"/>
  <c r="U1504" i="15"/>
  <c r="V1504" i="15"/>
  <c r="W1504" i="15"/>
  <c r="X1504" i="15"/>
  <c r="Y1504" i="15"/>
  <c r="Z1504" i="15"/>
  <c r="AA1504" i="15"/>
  <c r="B1505" i="15"/>
  <c r="C1505" i="15"/>
  <c r="D1505" i="15"/>
  <c r="E1505" i="15"/>
  <c r="J1505" i="15"/>
  <c r="K1505" i="15"/>
  <c r="L1505" i="15"/>
  <c r="M1505" i="15"/>
  <c r="N1505" i="15"/>
  <c r="O1505" i="15"/>
  <c r="P1505" i="15"/>
  <c r="Q1505" i="15"/>
  <c r="T1505" i="15"/>
  <c r="U1505" i="15"/>
  <c r="V1505" i="15"/>
  <c r="W1505" i="15"/>
  <c r="X1505" i="15"/>
  <c r="Y1505" i="15"/>
  <c r="Z1505" i="15"/>
  <c r="AA1505" i="15"/>
  <c r="B1506" i="15"/>
  <c r="C1506" i="15"/>
  <c r="D1506" i="15"/>
  <c r="E1506" i="15"/>
  <c r="J1506" i="15"/>
  <c r="K1506" i="15"/>
  <c r="L1506" i="15"/>
  <c r="M1506" i="15"/>
  <c r="N1506" i="15"/>
  <c r="O1506" i="15"/>
  <c r="P1506" i="15"/>
  <c r="Q1506" i="15"/>
  <c r="T1506" i="15"/>
  <c r="U1506" i="15"/>
  <c r="V1506" i="15"/>
  <c r="W1506" i="15"/>
  <c r="X1506" i="15"/>
  <c r="Y1506" i="15"/>
  <c r="Z1506" i="15"/>
  <c r="AA1506" i="15"/>
  <c r="B1507" i="15"/>
  <c r="C1507" i="15"/>
  <c r="D1507" i="15"/>
  <c r="E1507" i="15"/>
  <c r="J1507" i="15"/>
  <c r="K1507" i="15"/>
  <c r="L1507" i="15"/>
  <c r="M1507" i="15"/>
  <c r="N1507" i="15"/>
  <c r="O1507" i="15"/>
  <c r="P1507" i="15"/>
  <c r="Q1507" i="15"/>
  <c r="T1507" i="15"/>
  <c r="U1507" i="15"/>
  <c r="V1507" i="15"/>
  <c r="W1507" i="15"/>
  <c r="X1507" i="15"/>
  <c r="Y1507" i="15"/>
  <c r="Z1507" i="15"/>
  <c r="AA1507" i="15"/>
  <c r="B1508" i="15"/>
  <c r="C1508" i="15"/>
  <c r="D1508" i="15"/>
  <c r="E1508" i="15"/>
  <c r="J1508" i="15"/>
  <c r="K1508" i="15"/>
  <c r="L1508" i="15"/>
  <c r="M1508" i="15"/>
  <c r="N1508" i="15"/>
  <c r="O1508" i="15"/>
  <c r="P1508" i="15"/>
  <c r="Q1508" i="15"/>
  <c r="T1508" i="15"/>
  <c r="U1508" i="15"/>
  <c r="V1508" i="15"/>
  <c r="W1508" i="15"/>
  <c r="X1508" i="15"/>
  <c r="Y1508" i="15"/>
  <c r="Z1508" i="15"/>
  <c r="AA1508" i="15"/>
  <c r="B1509" i="15"/>
  <c r="C1509" i="15"/>
  <c r="D1509" i="15"/>
  <c r="E1509" i="15"/>
  <c r="J1509" i="15"/>
  <c r="K1509" i="15"/>
  <c r="L1509" i="15"/>
  <c r="M1509" i="15"/>
  <c r="N1509" i="15"/>
  <c r="O1509" i="15"/>
  <c r="P1509" i="15"/>
  <c r="Q1509" i="15"/>
  <c r="T1509" i="15"/>
  <c r="U1509" i="15"/>
  <c r="V1509" i="15"/>
  <c r="W1509" i="15"/>
  <c r="X1509" i="15"/>
  <c r="Y1509" i="15"/>
  <c r="Z1509" i="15"/>
  <c r="AA1509" i="15"/>
  <c r="B1510" i="15"/>
  <c r="C1510" i="15"/>
  <c r="D1510" i="15"/>
  <c r="E1510" i="15"/>
  <c r="J1510" i="15"/>
  <c r="K1510" i="15"/>
  <c r="L1510" i="15"/>
  <c r="M1510" i="15"/>
  <c r="N1510" i="15"/>
  <c r="O1510" i="15"/>
  <c r="P1510" i="15"/>
  <c r="Q1510" i="15"/>
  <c r="T1510" i="15"/>
  <c r="U1510" i="15"/>
  <c r="V1510" i="15"/>
  <c r="W1510" i="15"/>
  <c r="X1510" i="15"/>
  <c r="Y1510" i="15"/>
  <c r="Z1510" i="15"/>
  <c r="AA1510" i="15"/>
  <c r="B1511" i="15"/>
  <c r="C1511" i="15"/>
  <c r="D1511" i="15"/>
  <c r="E1511" i="15"/>
  <c r="J1511" i="15"/>
  <c r="K1511" i="15"/>
  <c r="L1511" i="15"/>
  <c r="M1511" i="15"/>
  <c r="N1511" i="15"/>
  <c r="O1511" i="15"/>
  <c r="P1511" i="15"/>
  <c r="Q1511" i="15"/>
  <c r="T1511" i="15"/>
  <c r="U1511" i="15"/>
  <c r="V1511" i="15"/>
  <c r="W1511" i="15"/>
  <c r="X1511" i="15"/>
  <c r="Y1511" i="15"/>
  <c r="Z1511" i="15"/>
  <c r="AA1511" i="15"/>
  <c r="B1512" i="15"/>
  <c r="C1512" i="15"/>
  <c r="D1512" i="15"/>
  <c r="E1512" i="15"/>
  <c r="J1512" i="15"/>
  <c r="K1512" i="15"/>
  <c r="L1512" i="15"/>
  <c r="M1512" i="15"/>
  <c r="N1512" i="15"/>
  <c r="O1512" i="15"/>
  <c r="P1512" i="15"/>
  <c r="Q1512" i="15"/>
  <c r="T1512" i="15"/>
  <c r="U1512" i="15"/>
  <c r="V1512" i="15"/>
  <c r="W1512" i="15"/>
  <c r="X1512" i="15"/>
  <c r="Y1512" i="15"/>
  <c r="Z1512" i="15"/>
  <c r="AA1512" i="15"/>
  <c r="B1513" i="15"/>
  <c r="C1513" i="15"/>
  <c r="D1513" i="15"/>
  <c r="E1513" i="15"/>
  <c r="J1513" i="15"/>
  <c r="K1513" i="15"/>
  <c r="L1513" i="15"/>
  <c r="M1513" i="15"/>
  <c r="N1513" i="15"/>
  <c r="O1513" i="15"/>
  <c r="P1513" i="15"/>
  <c r="Q1513" i="15"/>
  <c r="T1513" i="15"/>
  <c r="U1513" i="15"/>
  <c r="V1513" i="15"/>
  <c r="W1513" i="15"/>
  <c r="X1513" i="15"/>
  <c r="Y1513" i="15"/>
  <c r="Z1513" i="15"/>
  <c r="AA1513" i="15"/>
  <c r="B1514" i="15"/>
  <c r="C1514" i="15"/>
  <c r="D1514" i="15"/>
  <c r="E1514" i="15"/>
  <c r="J1514" i="15"/>
  <c r="K1514" i="15"/>
  <c r="L1514" i="15"/>
  <c r="M1514" i="15"/>
  <c r="N1514" i="15"/>
  <c r="O1514" i="15"/>
  <c r="P1514" i="15"/>
  <c r="Q1514" i="15"/>
  <c r="T1514" i="15"/>
  <c r="U1514" i="15"/>
  <c r="V1514" i="15"/>
  <c r="W1514" i="15"/>
  <c r="X1514" i="15"/>
  <c r="Y1514" i="15"/>
  <c r="Z1514" i="15"/>
  <c r="AA1514" i="15"/>
  <c r="B1515" i="15"/>
  <c r="C1515" i="15"/>
  <c r="D1515" i="15"/>
  <c r="E1515" i="15"/>
  <c r="J1515" i="15"/>
  <c r="K1515" i="15"/>
  <c r="L1515" i="15"/>
  <c r="M1515" i="15"/>
  <c r="N1515" i="15"/>
  <c r="O1515" i="15"/>
  <c r="P1515" i="15"/>
  <c r="Q1515" i="15"/>
  <c r="T1515" i="15"/>
  <c r="U1515" i="15"/>
  <c r="V1515" i="15"/>
  <c r="W1515" i="15"/>
  <c r="X1515" i="15"/>
  <c r="Y1515" i="15"/>
  <c r="Z1515" i="15"/>
  <c r="AA1515" i="15"/>
  <c r="B1516" i="15"/>
  <c r="C1516" i="15"/>
  <c r="D1516" i="15"/>
  <c r="E1516" i="15"/>
  <c r="J1516" i="15"/>
  <c r="K1516" i="15"/>
  <c r="L1516" i="15"/>
  <c r="M1516" i="15"/>
  <c r="N1516" i="15"/>
  <c r="O1516" i="15"/>
  <c r="P1516" i="15"/>
  <c r="Q1516" i="15"/>
  <c r="T1516" i="15"/>
  <c r="U1516" i="15"/>
  <c r="V1516" i="15"/>
  <c r="W1516" i="15"/>
  <c r="X1516" i="15"/>
  <c r="Y1516" i="15"/>
  <c r="Z1516" i="15"/>
  <c r="AA1516" i="15"/>
  <c r="B1517" i="15"/>
  <c r="C1517" i="15"/>
  <c r="D1517" i="15"/>
  <c r="E1517" i="15"/>
  <c r="J1517" i="15"/>
  <c r="K1517" i="15"/>
  <c r="L1517" i="15"/>
  <c r="M1517" i="15"/>
  <c r="N1517" i="15"/>
  <c r="O1517" i="15"/>
  <c r="P1517" i="15"/>
  <c r="Q1517" i="15"/>
  <c r="T1517" i="15"/>
  <c r="U1517" i="15"/>
  <c r="V1517" i="15"/>
  <c r="W1517" i="15"/>
  <c r="X1517" i="15"/>
  <c r="Y1517" i="15"/>
  <c r="Z1517" i="15"/>
  <c r="AA1517" i="15"/>
  <c r="B1518" i="15"/>
  <c r="C1518" i="15"/>
  <c r="D1518" i="15"/>
  <c r="E1518" i="15"/>
  <c r="J1518" i="15"/>
  <c r="K1518" i="15"/>
  <c r="L1518" i="15"/>
  <c r="M1518" i="15"/>
  <c r="N1518" i="15"/>
  <c r="O1518" i="15"/>
  <c r="P1518" i="15"/>
  <c r="Q1518" i="15"/>
  <c r="T1518" i="15"/>
  <c r="U1518" i="15"/>
  <c r="V1518" i="15"/>
  <c r="W1518" i="15"/>
  <c r="X1518" i="15"/>
  <c r="Y1518" i="15"/>
  <c r="Z1518" i="15"/>
  <c r="AA1518" i="15"/>
  <c r="B1519" i="15"/>
  <c r="C1519" i="15"/>
  <c r="D1519" i="15"/>
  <c r="E1519" i="15"/>
  <c r="J1519" i="15"/>
  <c r="K1519" i="15"/>
  <c r="L1519" i="15"/>
  <c r="M1519" i="15"/>
  <c r="N1519" i="15"/>
  <c r="O1519" i="15"/>
  <c r="P1519" i="15"/>
  <c r="Q1519" i="15"/>
  <c r="T1519" i="15"/>
  <c r="U1519" i="15"/>
  <c r="V1519" i="15"/>
  <c r="W1519" i="15"/>
  <c r="X1519" i="15"/>
  <c r="Y1519" i="15"/>
  <c r="Z1519" i="15"/>
  <c r="AA1519" i="15"/>
  <c r="B1520" i="15"/>
  <c r="C1520" i="15"/>
  <c r="D1520" i="15"/>
  <c r="E1520" i="15"/>
  <c r="J1520" i="15"/>
  <c r="K1520" i="15"/>
  <c r="L1520" i="15"/>
  <c r="M1520" i="15"/>
  <c r="N1520" i="15"/>
  <c r="O1520" i="15"/>
  <c r="P1520" i="15"/>
  <c r="Q1520" i="15"/>
  <c r="T1520" i="15"/>
  <c r="U1520" i="15"/>
  <c r="V1520" i="15"/>
  <c r="W1520" i="15"/>
  <c r="X1520" i="15"/>
  <c r="Y1520" i="15"/>
  <c r="Z1520" i="15"/>
  <c r="AA1520" i="15"/>
  <c r="B1521" i="15"/>
  <c r="C1521" i="15"/>
  <c r="D1521" i="15"/>
  <c r="E1521" i="15"/>
  <c r="J1521" i="15"/>
  <c r="K1521" i="15"/>
  <c r="L1521" i="15"/>
  <c r="M1521" i="15"/>
  <c r="N1521" i="15"/>
  <c r="O1521" i="15"/>
  <c r="P1521" i="15"/>
  <c r="Q1521" i="15"/>
  <c r="T1521" i="15"/>
  <c r="U1521" i="15"/>
  <c r="V1521" i="15"/>
  <c r="W1521" i="15"/>
  <c r="X1521" i="15"/>
  <c r="Y1521" i="15"/>
  <c r="Z1521" i="15"/>
  <c r="AA1521" i="15"/>
  <c r="B1522" i="15"/>
  <c r="C1522" i="15"/>
  <c r="D1522" i="15"/>
  <c r="E1522" i="15"/>
  <c r="J1522" i="15"/>
  <c r="K1522" i="15"/>
  <c r="L1522" i="15"/>
  <c r="M1522" i="15"/>
  <c r="N1522" i="15"/>
  <c r="O1522" i="15"/>
  <c r="P1522" i="15"/>
  <c r="Q1522" i="15"/>
  <c r="T1522" i="15"/>
  <c r="U1522" i="15"/>
  <c r="V1522" i="15"/>
  <c r="W1522" i="15"/>
  <c r="X1522" i="15"/>
  <c r="Y1522" i="15"/>
  <c r="Z1522" i="15"/>
  <c r="AA1522" i="15"/>
  <c r="B1523" i="15"/>
  <c r="C1523" i="15"/>
  <c r="D1523" i="15"/>
  <c r="E1523" i="15"/>
  <c r="J1523" i="15"/>
  <c r="K1523" i="15"/>
  <c r="L1523" i="15"/>
  <c r="M1523" i="15"/>
  <c r="N1523" i="15"/>
  <c r="O1523" i="15"/>
  <c r="P1523" i="15"/>
  <c r="Q1523" i="15"/>
  <c r="T1523" i="15"/>
  <c r="U1523" i="15"/>
  <c r="V1523" i="15"/>
  <c r="W1523" i="15"/>
  <c r="X1523" i="15"/>
  <c r="Y1523" i="15"/>
  <c r="Z1523" i="15"/>
  <c r="AA1523" i="15"/>
  <c r="B1524" i="15"/>
  <c r="C1524" i="15"/>
  <c r="D1524" i="15"/>
  <c r="E1524" i="15"/>
  <c r="J1524" i="15"/>
  <c r="K1524" i="15"/>
  <c r="L1524" i="15"/>
  <c r="M1524" i="15"/>
  <c r="N1524" i="15"/>
  <c r="O1524" i="15"/>
  <c r="P1524" i="15"/>
  <c r="Q1524" i="15"/>
  <c r="T1524" i="15"/>
  <c r="U1524" i="15"/>
  <c r="V1524" i="15"/>
  <c r="W1524" i="15"/>
  <c r="X1524" i="15"/>
  <c r="Y1524" i="15"/>
  <c r="Z1524" i="15"/>
  <c r="AA1524" i="15"/>
  <c r="B1525" i="15"/>
  <c r="C1525" i="15"/>
  <c r="D1525" i="15"/>
  <c r="E1525" i="15"/>
  <c r="J1525" i="15"/>
  <c r="K1525" i="15"/>
  <c r="L1525" i="15"/>
  <c r="M1525" i="15"/>
  <c r="N1525" i="15"/>
  <c r="O1525" i="15"/>
  <c r="P1525" i="15"/>
  <c r="Q1525" i="15"/>
  <c r="T1525" i="15"/>
  <c r="U1525" i="15"/>
  <c r="V1525" i="15"/>
  <c r="W1525" i="15"/>
  <c r="X1525" i="15"/>
  <c r="Y1525" i="15"/>
  <c r="Z1525" i="15"/>
  <c r="AA1525" i="15"/>
  <c r="B1526" i="15"/>
  <c r="C1526" i="15"/>
  <c r="D1526" i="15"/>
  <c r="E1526" i="15"/>
  <c r="J1526" i="15"/>
  <c r="K1526" i="15"/>
  <c r="L1526" i="15"/>
  <c r="M1526" i="15"/>
  <c r="N1526" i="15"/>
  <c r="O1526" i="15"/>
  <c r="P1526" i="15"/>
  <c r="Q1526" i="15"/>
  <c r="T1526" i="15"/>
  <c r="U1526" i="15"/>
  <c r="V1526" i="15"/>
  <c r="W1526" i="15"/>
  <c r="X1526" i="15"/>
  <c r="Y1526" i="15"/>
  <c r="Z1526" i="15"/>
  <c r="AA1526" i="15"/>
  <c r="B1527" i="15"/>
  <c r="C1527" i="15"/>
  <c r="D1527" i="15"/>
  <c r="E1527" i="15"/>
  <c r="J1527" i="15"/>
  <c r="K1527" i="15"/>
  <c r="L1527" i="15"/>
  <c r="M1527" i="15"/>
  <c r="N1527" i="15"/>
  <c r="O1527" i="15"/>
  <c r="P1527" i="15"/>
  <c r="Q1527" i="15"/>
  <c r="T1527" i="15"/>
  <c r="U1527" i="15"/>
  <c r="V1527" i="15"/>
  <c r="W1527" i="15"/>
  <c r="X1527" i="15"/>
  <c r="Y1527" i="15"/>
  <c r="Z1527" i="15"/>
  <c r="AA1527" i="15"/>
  <c r="B1528" i="15"/>
  <c r="C1528" i="15"/>
  <c r="D1528" i="15"/>
  <c r="E1528" i="15"/>
  <c r="J1528" i="15"/>
  <c r="K1528" i="15"/>
  <c r="L1528" i="15"/>
  <c r="M1528" i="15"/>
  <c r="N1528" i="15"/>
  <c r="O1528" i="15"/>
  <c r="P1528" i="15"/>
  <c r="Q1528" i="15"/>
  <c r="T1528" i="15"/>
  <c r="U1528" i="15"/>
  <c r="V1528" i="15"/>
  <c r="W1528" i="15"/>
  <c r="X1528" i="15"/>
  <c r="Y1528" i="15"/>
  <c r="Z1528" i="15"/>
  <c r="AA1528" i="15"/>
  <c r="B1529" i="15"/>
  <c r="C1529" i="15"/>
  <c r="D1529" i="15"/>
  <c r="E1529" i="15"/>
  <c r="J1529" i="15"/>
  <c r="K1529" i="15"/>
  <c r="L1529" i="15"/>
  <c r="M1529" i="15"/>
  <c r="N1529" i="15"/>
  <c r="O1529" i="15"/>
  <c r="P1529" i="15"/>
  <c r="Q1529" i="15"/>
  <c r="T1529" i="15"/>
  <c r="U1529" i="15"/>
  <c r="V1529" i="15"/>
  <c r="W1529" i="15"/>
  <c r="X1529" i="15"/>
  <c r="Y1529" i="15"/>
  <c r="Z1529" i="15"/>
  <c r="AA1529" i="15"/>
  <c r="B1530" i="15"/>
  <c r="C1530" i="15"/>
  <c r="D1530" i="15"/>
  <c r="E1530" i="15"/>
  <c r="J1530" i="15"/>
  <c r="K1530" i="15"/>
  <c r="L1530" i="15"/>
  <c r="M1530" i="15"/>
  <c r="N1530" i="15"/>
  <c r="O1530" i="15"/>
  <c r="P1530" i="15"/>
  <c r="Q1530" i="15"/>
  <c r="T1530" i="15"/>
  <c r="U1530" i="15"/>
  <c r="V1530" i="15"/>
  <c r="W1530" i="15"/>
  <c r="X1530" i="15"/>
  <c r="Y1530" i="15"/>
  <c r="Z1530" i="15"/>
  <c r="AA1530" i="15"/>
  <c r="B1531" i="15"/>
  <c r="C1531" i="15"/>
  <c r="D1531" i="15"/>
  <c r="E1531" i="15"/>
  <c r="J1531" i="15"/>
  <c r="K1531" i="15"/>
  <c r="L1531" i="15"/>
  <c r="M1531" i="15"/>
  <c r="N1531" i="15"/>
  <c r="O1531" i="15"/>
  <c r="P1531" i="15"/>
  <c r="Q1531" i="15"/>
  <c r="T1531" i="15"/>
  <c r="U1531" i="15"/>
  <c r="V1531" i="15"/>
  <c r="W1531" i="15"/>
  <c r="X1531" i="15"/>
  <c r="Y1531" i="15"/>
  <c r="Z1531" i="15"/>
  <c r="AA1531" i="15"/>
  <c r="B1532" i="15"/>
  <c r="C1532" i="15"/>
  <c r="D1532" i="15"/>
  <c r="E1532" i="15"/>
  <c r="J1532" i="15"/>
  <c r="K1532" i="15"/>
  <c r="L1532" i="15"/>
  <c r="M1532" i="15"/>
  <c r="N1532" i="15"/>
  <c r="O1532" i="15"/>
  <c r="P1532" i="15"/>
  <c r="Q1532" i="15"/>
  <c r="T1532" i="15"/>
  <c r="U1532" i="15"/>
  <c r="V1532" i="15"/>
  <c r="W1532" i="15"/>
  <c r="X1532" i="15"/>
  <c r="Y1532" i="15"/>
  <c r="Z1532" i="15"/>
  <c r="AA1532" i="15"/>
  <c r="B1533" i="15"/>
  <c r="C1533" i="15"/>
  <c r="D1533" i="15"/>
  <c r="E1533" i="15"/>
  <c r="J1533" i="15"/>
  <c r="K1533" i="15"/>
  <c r="L1533" i="15"/>
  <c r="M1533" i="15"/>
  <c r="N1533" i="15"/>
  <c r="O1533" i="15"/>
  <c r="P1533" i="15"/>
  <c r="Q1533" i="15"/>
  <c r="T1533" i="15"/>
  <c r="U1533" i="15"/>
  <c r="V1533" i="15"/>
  <c r="W1533" i="15"/>
  <c r="X1533" i="15"/>
  <c r="Y1533" i="15"/>
  <c r="Z1533" i="15"/>
  <c r="AA1533" i="15"/>
  <c r="B1534" i="15"/>
  <c r="C1534" i="15"/>
  <c r="D1534" i="15"/>
  <c r="E1534" i="15"/>
  <c r="J1534" i="15"/>
  <c r="K1534" i="15"/>
  <c r="L1534" i="15"/>
  <c r="M1534" i="15"/>
  <c r="N1534" i="15"/>
  <c r="O1534" i="15"/>
  <c r="P1534" i="15"/>
  <c r="Q1534" i="15"/>
  <c r="T1534" i="15"/>
  <c r="U1534" i="15"/>
  <c r="V1534" i="15"/>
  <c r="W1534" i="15"/>
  <c r="X1534" i="15"/>
  <c r="Y1534" i="15"/>
  <c r="Z1534" i="15"/>
  <c r="AA1534" i="15"/>
  <c r="B1535" i="15"/>
  <c r="C1535" i="15"/>
  <c r="D1535" i="15"/>
  <c r="E1535" i="15"/>
  <c r="J1535" i="15"/>
  <c r="K1535" i="15"/>
  <c r="L1535" i="15"/>
  <c r="M1535" i="15"/>
  <c r="N1535" i="15"/>
  <c r="O1535" i="15"/>
  <c r="P1535" i="15"/>
  <c r="Q1535" i="15"/>
  <c r="T1535" i="15"/>
  <c r="U1535" i="15"/>
  <c r="V1535" i="15"/>
  <c r="W1535" i="15"/>
  <c r="X1535" i="15"/>
  <c r="Y1535" i="15"/>
  <c r="Z1535" i="15"/>
  <c r="AA1535" i="15"/>
  <c r="B1536" i="15"/>
  <c r="C1536" i="15"/>
  <c r="D1536" i="15"/>
  <c r="E1536" i="15"/>
  <c r="J1536" i="15"/>
  <c r="K1536" i="15"/>
  <c r="L1536" i="15"/>
  <c r="M1536" i="15"/>
  <c r="N1536" i="15"/>
  <c r="O1536" i="15"/>
  <c r="P1536" i="15"/>
  <c r="Q1536" i="15"/>
  <c r="T1536" i="15"/>
  <c r="U1536" i="15"/>
  <c r="V1536" i="15"/>
  <c r="W1536" i="15"/>
  <c r="X1536" i="15"/>
  <c r="Y1536" i="15"/>
  <c r="Z1536" i="15"/>
  <c r="AA1536" i="15"/>
  <c r="B1537" i="15"/>
  <c r="C1537" i="15"/>
  <c r="D1537" i="15"/>
  <c r="E1537" i="15"/>
  <c r="J1537" i="15"/>
  <c r="K1537" i="15"/>
  <c r="L1537" i="15"/>
  <c r="M1537" i="15"/>
  <c r="N1537" i="15"/>
  <c r="O1537" i="15"/>
  <c r="P1537" i="15"/>
  <c r="Q1537" i="15"/>
  <c r="T1537" i="15"/>
  <c r="U1537" i="15"/>
  <c r="V1537" i="15"/>
  <c r="W1537" i="15"/>
  <c r="X1537" i="15"/>
  <c r="Y1537" i="15"/>
  <c r="Z1537" i="15"/>
  <c r="AA1537" i="15"/>
  <c r="B1538" i="15"/>
  <c r="C1538" i="15"/>
  <c r="D1538" i="15"/>
  <c r="E1538" i="15"/>
  <c r="J1538" i="15"/>
  <c r="K1538" i="15"/>
  <c r="L1538" i="15"/>
  <c r="M1538" i="15"/>
  <c r="N1538" i="15"/>
  <c r="O1538" i="15"/>
  <c r="P1538" i="15"/>
  <c r="Q1538" i="15"/>
  <c r="T1538" i="15"/>
  <c r="U1538" i="15"/>
  <c r="V1538" i="15"/>
  <c r="W1538" i="15"/>
  <c r="X1538" i="15"/>
  <c r="Y1538" i="15"/>
  <c r="Z1538" i="15"/>
  <c r="AA1538" i="15"/>
  <c r="B1539" i="15"/>
  <c r="C1539" i="15"/>
  <c r="D1539" i="15"/>
  <c r="E1539" i="15"/>
  <c r="J1539" i="15"/>
  <c r="K1539" i="15"/>
  <c r="L1539" i="15"/>
  <c r="M1539" i="15"/>
  <c r="N1539" i="15"/>
  <c r="O1539" i="15"/>
  <c r="P1539" i="15"/>
  <c r="Q1539" i="15"/>
  <c r="T1539" i="15"/>
  <c r="U1539" i="15"/>
  <c r="V1539" i="15"/>
  <c r="W1539" i="15"/>
  <c r="X1539" i="15"/>
  <c r="Y1539" i="15"/>
  <c r="Z1539" i="15"/>
  <c r="AA1539" i="15"/>
  <c r="B1540" i="15"/>
  <c r="C1540" i="15"/>
  <c r="D1540" i="15"/>
  <c r="E1540" i="15"/>
  <c r="J1540" i="15"/>
  <c r="K1540" i="15"/>
  <c r="L1540" i="15"/>
  <c r="M1540" i="15"/>
  <c r="N1540" i="15"/>
  <c r="O1540" i="15"/>
  <c r="P1540" i="15"/>
  <c r="Q1540" i="15"/>
  <c r="T1540" i="15"/>
  <c r="U1540" i="15"/>
  <c r="V1540" i="15"/>
  <c r="W1540" i="15"/>
  <c r="X1540" i="15"/>
  <c r="Y1540" i="15"/>
  <c r="Z1540" i="15"/>
  <c r="AA1540" i="15"/>
  <c r="B1541" i="15"/>
  <c r="C1541" i="15"/>
  <c r="D1541" i="15"/>
  <c r="E1541" i="15"/>
  <c r="J1541" i="15"/>
  <c r="K1541" i="15"/>
  <c r="L1541" i="15"/>
  <c r="M1541" i="15"/>
  <c r="N1541" i="15"/>
  <c r="O1541" i="15"/>
  <c r="P1541" i="15"/>
  <c r="Q1541" i="15"/>
  <c r="T1541" i="15"/>
  <c r="U1541" i="15"/>
  <c r="V1541" i="15"/>
  <c r="W1541" i="15"/>
  <c r="X1541" i="15"/>
  <c r="Y1541" i="15"/>
  <c r="Z1541" i="15"/>
  <c r="AA1541" i="15"/>
  <c r="B1542" i="15"/>
  <c r="C1542" i="15"/>
  <c r="D1542" i="15"/>
  <c r="E1542" i="15"/>
  <c r="J1542" i="15"/>
  <c r="K1542" i="15"/>
  <c r="L1542" i="15"/>
  <c r="M1542" i="15"/>
  <c r="N1542" i="15"/>
  <c r="O1542" i="15"/>
  <c r="P1542" i="15"/>
  <c r="Q1542" i="15"/>
  <c r="T1542" i="15"/>
  <c r="U1542" i="15"/>
  <c r="V1542" i="15"/>
  <c r="W1542" i="15"/>
  <c r="X1542" i="15"/>
  <c r="Y1542" i="15"/>
  <c r="Z1542" i="15"/>
  <c r="AA1542" i="15"/>
  <c r="B1543" i="15"/>
  <c r="C1543" i="15"/>
  <c r="D1543" i="15"/>
  <c r="E1543" i="15"/>
  <c r="J1543" i="15"/>
  <c r="K1543" i="15"/>
  <c r="L1543" i="15"/>
  <c r="M1543" i="15"/>
  <c r="N1543" i="15"/>
  <c r="O1543" i="15"/>
  <c r="P1543" i="15"/>
  <c r="Q1543" i="15"/>
  <c r="T1543" i="15"/>
  <c r="U1543" i="15"/>
  <c r="V1543" i="15"/>
  <c r="W1543" i="15"/>
  <c r="X1543" i="15"/>
  <c r="Y1543" i="15"/>
  <c r="Z1543" i="15"/>
  <c r="AA1543" i="15"/>
  <c r="B1544" i="15"/>
  <c r="C1544" i="15"/>
  <c r="D1544" i="15"/>
  <c r="E1544" i="15"/>
  <c r="J1544" i="15"/>
  <c r="K1544" i="15"/>
  <c r="L1544" i="15"/>
  <c r="M1544" i="15"/>
  <c r="N1544" i="15"/>
  <c r="O1544" i="15"/>
  <c r="P1544" i="15"/>
  <c r="Q1544" i="15"/>
  <c r="T1544" i="15"/>
  <c r="U1544" i="15"/>
  <c r="V1544" i="15"/>
  <c r="W1544" i="15"/>
  <c r="X1544" i="15"/>
  <c r="Y1544" i="15"/>
  <c r="Z1544" i="15"/>
  <c r="AA1544" i="15"/>
  <c r="B1545" i="15"/>
  <c r="C1545" i="15"/>
  <c r="D1545" i="15"/>
  <c r="E1545" i="15"/>
  <c r="J1545" i="15"/>
  <c r="K1545" i="15"/>
  <c r="L1545" i="15"/>
  <c r="M1545" i="15"/>
  <c r="N1545" i="15"/>
  <c r="O1545" i="15"/>
  <c r="P1545" i="15"/>
  <c r="Q1545" i="15"/>
  <c r="T1545" i="15"/>
  <c r="U1545" i="15"/>
  <c r="V1545" i="15"/>
  <c r="W1545" i="15"/>
  <c r="X1545" i="15"/>
  <c r="Y1545" i="15"/>
  <c r="Z1545" i="15"/>
  <c r="AA1545" i="15"/>
  <c r="B1546" i="15"/>
  <c r="C1546" i="15"/>
  <c r="D1546" i="15"/>
  <c r="E1546" i="15"/>
  <c r="J1546" i="15"/>
  <c r="K1546" i="15"/>
  <c r="L1546" i="15"/>
  <c r="M1546" i="15"/>
  <c r="N1546" i="15"/>
  <c r="O1546" i="15"/>
  <c r="P1546" i="15"/>
  <c r="Q1546" i="15"/>
  <c r="T1546" i="15"/>
  <c r="U1546" i="15"/>
  <c r="V1546" i="15"/>
  <c r="W1546" i="15"/>
  <c r="X1546" i="15"/>
  <c r="Y1546" i="15"/>
  <c r="Z1546" i="15"/>
  <c r="AA1546" i="15"/>
  <c r="B1547" i="15"/>
  <c r="C1547" i="15"/>
  <c r="D1547" i="15"/>
  <c r="E1547" i="15"/>
  <c r="J1547" i="15"/>
  <c r="K1547" i="15"/>
  <c r="L1547" i="15"/>
  <c r="M1547" i="15"/>
  <c r="N1547" i="15"/>
  <c r="O1547" i="15"/>
  <c r="P1547" i="15"/>
  <c r="Q1547" i="15"/>
  <c r="T1547" i="15"/>
  <c r="U1547" i="15"/>
  <c r="V1547" i="15"/>
  <c r="W1547" i="15"/>
  <c r="X1547" i="15"/>
  <c r="Y1547" i="15"/>
  <c r="Z1547" i="15"/>
  <c r="AA1547" i="15"/>
  <c r="B1548" i="15"/>
  <c r="C1548" i="15"/>
  <c r="D1548" i="15"/>
  <c r="E1548" i="15"/>
  <c r="J1548" i="15"/>
  <c r="K1548" i="15"/>
  <c r="L1548" i="15"/>
  <c r="M1548" i="15"/>
  <c r="N1548" i="15"/>
  <c r="O1548" i="15"/>
  <c r="P1548" i="15"/>
  <c r="Q1548" i="15"/>
  <c r="T1548" i="15"/>
  <c r="U1548" i="15"/>
  <c r="V1548" i="15"/>
  <c r="W1548" i="15"/>
  <c r="X1548" i="15"/>
  <c r="Y1548" i="15"/>
  <c r="Z1548" i="15"/>
  <c r="AA1548" i="15"/>
  <c r="B1549" i="15"/>
  <c r="C1549" i="15"/>
  <c r="D1549" i="15"/>
  <c r="E1549" i="15"/>
  <c r="J1549" i="15"/>
  <c r="K1549" i="15"/>
  <c r="L1549" i="15"/>
  <c r="M1549" i="15"/>
  <c r="N1549" i="15"/>
  <c r="O1549" i="15"/>
  <c r="P1549" i="15"/>
  <c r="Q1549" i="15"/>
  <c r="T1549" i="15"/>
  <c r="U1549" i="15"/>
  <c r="V1549" i="15"/>
  <c r="W1549" i="15"/>
  <c r="X1549" i="15"/>
  <c r="Y1549" i="15"/>
  <c r="Z1549" i="15"/>
  <c r="AA1549" i="15"/>
  <c r="B1550" i="15"/>
  <c r="C1550" i="15"/>
  <c r="D1550" i="15"/>
  <c r="E1550" i="15"/>
  <c r="J1550" i="15"/>
  <c r="K1550" i="15"/>
  <c r="L1550" i="15"/>
  <c r="M1550" i="15"/>
  <c r="N1550" i="15"/>
  <c r="O1550" i="15"/>
  <c r="P1550" i="15"/>
  <c r="Q1550" i="15"/>
  <c r="T1550" i="15"/>
  <c r="U1550" i="15"/>
  <c r="V1550" i="15"/>
  <c r="W1550" i="15"/>
  <c r="X1550" i="15"/>
  <c r="Y1550" i="15"/>
  <c r="Z1550" i="15"/>
  <c r="AA1550" i="15"/>
  <c r="B1551" i="15"/>
  <c r="C1551" i="15"/>
  <c r="D1551" i="15"/>
  <c r="E1551" i="15"/>
  <c r="J1551" i="15"/>
  <c r="K1551" i="15"/>
  <c r="L1551" i="15"/>
  <c r="M1551" i="15"/>
  <c r="N1551" i="15"/>
  <c r="O1551" i="15"/>
  <c r="P1551" i="15"/>
  <c r="Q1551" i="15"/>
  <c r="T1551" i="15"/>
  <c r="U1551" i="15"/>
  <c r="V1551" i="15"/>
  <c r="W1551" i="15"/>
  <c r="X1551" i="15"/>
  <c r="Y1551" i="15"/>
  <c r="Z1551" i="15"/>
  <c r="AA1551" i="15"/>
  <c r="B1552" i="15"/>
  <c r="C1552" i="15"/>
  <c r="D1552" i="15"/>
  <c r="E1552" i="15"/>
  <c r="J1552" i="15"/>
  <c r="K1552" i="15"/>
  <c r="L1552" i="15"/>
  <c r="M1552" i="15"/>
  <c r="N1552" i="15"/>
  <c r="O1552" i="15"/>
  <c r="P1552" i="15"/>
  <c r="Q1552" i="15"/>
  <c r="T1552" i="15"/>
  <c r="U1552" i="15"/>
  <c r="V1552" i="15"/>
  <c r="W1552" i="15"/>
  <c r="X1552" i="15"/>
  <c r="Y1552" i="15"/>
  <c r="Z1552" i="15"/>
  <c r="AA1552" i="15"/>
  <c r="B1553" i="15"/>
  <c r="C1553" i="15"/>
  <c r="D1553" i="15"/>
  <c r="E1553" i="15"/>
  <c r="J1553" i="15"/>
  <c r="K1553" i="15"/>
  <c r="L1553" i="15"/>
  <c r="M1553" i="15"/>
  <c r="N1553" i="15"/>
  <c r="O1553" i="15"/>
  <c r="P1553" i="15"/>
  <c r="Q1553" i="15"/>
  <c r="T1553" i="15"/>
  <c r="U1553" i="15"/>
  <c r="V1553" i="15"/>
  <c r="W1553" i="15"/>
  <c r="X1553" i="15"/>
  <c r="Y1553" i="15"/>
  <c r="Z1553" i="15"/>
  <c r="AA1553" i="15"/>
  <c r="B1554" i="15"/>
  <c r="C1554" i="15"/>
  <c r="D1554" i="15"/>
  <c r="E1554" i="15"/>
  <c r="J1554" i="15"/>
  <c r="K1554" i="15"/>
  <c r="L1554" i="15"/>
  <c r="M1554" i="15"/>
  <c r="N1554" i="15"/>
  <c r="O1554" i="15"/>
  <c r="P1554" i="15"/>
  <c r="Q1554" i="15"/>
  <c r="T1554" i="15"/>
  <c r="U1554" i="15"/>
  <c r="V1554" i="15"/>
  <c r="W1554" i="15"/>
  <c r="X1554" i="15"/>
  <c r="Y1554" i="15"/>
  <c r="Z1554" i="15"/>
  <c r="AA1554" i="15"/>
  <c r="B1555" i="15"/>
  <c r="C1555" i="15"/>
  <c r="D1555" i="15"/>
  <c r="E1555" i="15"/>
  <c r="J1555" i="15"/>
  <c r="K1555" i="15"/>
  <c r="L1555" i="15"/>
  <c r="M1555" i="15"/>
  <c r="N1555" i="15"/>
  <c r="O1555" i="15"/>
  <c r="P1555" i="15"/>
  <c r="Q1555" i="15"/>
  <c r="T1555" i="15"/>
  <c r="U1555" i="15"/>
  <c r="V1555" i="15"/>
  <c r="W1555" i="15"/>
  <c r="X1555" i="15"/>
  <c r="Y1555" i="15"/>
  <c r="Z1555" i="15"/>
  <c r="AA1555" i="15"/>
  <c r="B1556" i="15"/>
  <c r="C1556" i="15"/>
  <c r="D1556" i="15"/>
  <c r="E1556" i="15"/>
  <c r="J1556" i="15"/>
  <c r="K1556" i="15"/>
  <c r="L1556" i="15"/>
  <c r="M1556" i="15"/>
  <c r="N1556" i="15"/>
  <c r="O1556" i="15"/>
  <c r="P1556" i="15"/>
  <c r="Q1556" i="15"/>
  <c r="T1556" i="15"/>
  <c r="U1556" i="15"/>
  <c r="V1556" i="15"/>
  <c r="W1556" i="15"/>
  <c r="X1556" i="15"/>
  <c r="Y1556" i="15"/>
  <c r="Z1556" i="15"/>
  <c r="AA1556" i="15"/>
  <c r="B1557" i="15"/>
  <c r="C1557" i="15"/>
  <c r="D1557" i="15"/>
  <c r="E1557" i="15"/>
  <c r="J1557" i="15"/>
  <c r="K1557" i="15"/>
  <c r="L1557" i="15"/>
  <c r="M1557" i="15"/>
  <c r="N1557" i="15"/>
  <c r="O1557" i="15"/>
  <c r="P1557" i="15"/>
  <c r="Q1557" i="15"/>
  <c r="T1557" i="15"/>
  <c r="U1557" i="15"/>
  <c r="V1557" i="15"/>
  <c r="W1557" i="15"/>
  <c r="X1557" i="15"/>
  <c r="Y1557" i="15"/>
  <c r="Z1557" i="15"/>
  <c r="AA1557" i="15"/>
  <c r="B1558" i="15"/>
  <c r="C1558" i="15"/>
  <c r="D1558" i="15"/>
  <c r="E1558" i="15"/>
  <c r="J1558" i="15"/>
  <c r="K1558" i="15"/>
  <c r="L1558" i="15"/>
  <c r="M1558" i="15"/>
  <c r="N1558" i="15"/>
  <c r="O1558" i="15"/>
  <c r="P1558" i="15"/>
  <c r="Q1558" i="15"/>
  <c r="T1558" i="15"/>
  <c r="U1558" i="15"/>
  <c r="V1558" i="15"/>
  <c r="W1558" i="15"/>
  <c r="X1558" i="15"/>
  <c r="Y1558" i="15"/>
  <c r="Z1558" i="15"/>
  <c r="AA1558" i="15"/>
  <c r="B1559" i="15"/>
  <c r="C1559" i="15"/>
  <c r="D1559" i="15"/>
  <c r="E1559" i="15"/>
  <c r="J1559" i="15"/>
  <c r="K1559" i="15"/>
  <c r="L1559" i="15"/>
  <c r="M1559" i="15"/>
  <c r="N1559" i="15"/>
  <c r="O1559" i="15"/>
  <c r="P1559" i="15"/>
  <c r="Q1559" i="15"/>
  <c r="T1559" i="15"/>
  <c r="U1559" i="15"/>
  <c r="V1559" i="15"/>
  <c r="W1559" i="15"/>
  <c r="X1559" i="15"/>
  <c r="Y1559" i="15"/>
  <c r="Z1559" i="15"/>
  <c r="AA1559" i="15"/>
  <c r="B1560" i="15"/>
  <c r="C1560" i="15"/>
  <c r="D1560" i="15"/>
  <c r="E1560" i="15"/>
  <c r="J1560" i="15"/>
  <c r="K1560" i="15"/>
  <c r="L1560" i="15"/>
  <c r="M1560" i="15"/>
  <c r="N1560" i="15"/>
  <c r="O1560" i="15"/>
  <c r="P1560" i="15"/>
  <c r="Q1560" i="15"/>
  <c r="T1560" i="15"/>
  <c r="U1560" i="15"/>
  <c r="V1560" i="15"/>
  <c r="W1560" i="15"/>
  <c r="X1560" i="15"/>
  <c r="Y1560" i="15"/>
  <c r="Z1560" i="15"/>
  <c r="AA1560" i="15"/>
  <c r="B1561" i="15"/>
  <c r="C1561" i="15"/>
  <c r="D1561" i="15"/>
  <c r="E1561" i="15"/>
  <c r="J1561" i="15"/>
  <c r="K1561" i="15"/>
  <c r="L1561" i="15"/>
  <c r="M1561" i="15"/>
  <c r="N1561" i="15"/>
  <c r="O1561" i="15"/>
  <c r="P1561" i="15"/>
  <c r="Q1561" i="15"/>
  <c r="T1561" i="15"/>
  <c r="U1561" i="15"/>
  <c r="V1561" i="15"/>
  <c r="W1561" i="15"/>
  <c r="X1561" i="15"/>
  <c r="Y1561" i="15"/>
  <c r="Z1561" i="15"/>
  <c r="AA1561" i="15"/>
  <c r="B1562" i="15"/>
  <c r="C1562" i="15"/>
  <c r="D1562" i="15"/>
  <c r="E1562" i="15"/>
  <c r="J1562" i="15"/>
  <c r="K1562" i="15"/>
  <c r="L1562" i="15"/>
  <c r="M1562" i="15"/>
  <c r="N1562" i="15"/>
  <c r="O1562" i="15"/>
  <c r="P1562" i="15"/>
  <c r="Q1562" i="15"/>
  <c r="T1562" i="15"/>
  <c r="U1562" i="15"/>
  <c r="V1562" i="15"/>
  <c r="W1562" i="15"/>
  <c r="X1562" i="15"/>
  <c r="Y1562" i="15"/>
  <c r="Z1562" i="15"/>
  <c r="AA1562" i="15"/>
  <c r="B1563" i="15"/>
  <c r="C1563" i="15"/>
  <c r="D1563" i="15"/>
  <c r="E1563" i="15"/>
  <c r="J1563" i="15"/>
  <c r="K1563" i="15"/>
  <c r="L1563" i="15"/>
  <c r="M1563" i="15"/>
  <c r="N1563" i="15"/>
  <c r="O1563" i="15"/>
  <c r="P1563" i="15"/>
  <c r="Q1563" i="15"/>
  <c r="T1563" i="15"/>
  <c r="U1563" i="15"/>
  <c r="V1563" i="15"/>
  <c r="W1563" i="15"/>
  <c r="X1563" i="15"/>
  <c r="Y1563" i="15"/>
  <c r="Z1563" i="15"/>
  <c r="AA1563" i="15"/>
  <c r="B1564" i="15"/>
  <c r="C1564" i="15"/>
  <c r="D1564" i="15"/>
  <c r="E1564" i="15"/>
  <c r="J1564" i="15"/>
  <c r="K1564" i="15"/>
  <c r="L1564" i="15"/>
  <c r="M1564" i="15"/>
  <c r="N1564" i="15"/>
  <c r="O1564" i="15"/>
  <c r="P1564" i="15"/>
  <c r="Q1564" i="15"/>
  <c r="T1564" i="15"/>
  <c r="U1564" i="15"/>
  <c r="V1564" i="15"/>
  <c r="W1564" i="15"/>
  <c r="X1564" i="15"/>
  <c r="Y1564" i="15"/>
  <c r="Z1564" i="15"/>
  <c r="AA1564" i="15"/>
  <c r="B1565" i="15"/>
  <c r="C1565" i="15"/>
  <c r="D1565" i="15"/>
  <c r="E1565" i="15"/>
  <c r="J1565" i="15"/>
  <c r="K1565" i="15"/>
  <c r="L1565" i="15"/>
  <c r="M1565" i="15"/>
  <c r="N1565" i="15"/>
  <c r="O1565" i="15"/>
  <c r="P1565" i="15"/>
  <c r="Q1565" i="15"/>
  <c r="T1565" i="15"/>
  <c r="U1565" i="15"/>
  <c r="V1565" i="15"/>
  <c r="W1565" i="15"/>
  <c r="X1565" i="15"/>
  <c r="Y1565" i="15"/>
  <c r="Z1565" i="15"/>
  <c r="AA1565" i="15"/>
  <c r="B1566" i="15"/>
  <c r="C1566" i="15"/>
  <c r="D1566" i="15"/>
  <c r="E1566" i="15"/>
  <c r="J1566" i="15"/>
  <c r="K1566" i="15"/>
  <c r="L1566" i="15"/>
  <c r="M1566" i="15"/>
  <c r="N1566" i="15"/>
  <c r="O1566" i="15"/>
  <c r="P1566" i="15"/>
  <c r="Q1566" i="15"/>
  <c r="T1566" i="15"/>
  <c r="U1566" i="15"/>
  <c r="V1566" i="15"/>
  <c r="W1566" i="15"/>
  <c r="X1566" i="15"/>
  <c r="Y1566" i="15"/>
  <c r="Z1566" i="15"/>
  <c r="AA1566" i="15"/>
  <c r="B1567" i="15"/>
  <c r="C1567" i="15"/>
  <c r="D1567" i="15"/>
  <c r="E1567" i="15"/>
  <c r="J1567" i="15"/>
  <c r="K1567" i="15"/>
  <c r="L1567" i="15"/>
  <c r="M1567" i="15"/>
  <c r="N1567" i="15"/>
  <c r="O1567" i="15"/>
  <c r="P1567" i="15"/>
  <c r="Q1567" i="15"/>
  <c r="T1567" i="15"/>
  <c r="U1567" i="15"/>
  <c r="V1567" i="15"/>
  <c r="W1567" i="15"/>
  <c r="X1567" i="15"/>
  <c r="Y1567" i="15"/>
  <c r="Z1567" i="15"/>
  <c r="AA1567" i="15"/>
  <c r="B1568" i="15"/>
  <c r="C1568" i="15"/>
  <c r="D1568" i="15"/>
  <c r="E1568" i="15"/>
  <c r="J1568" i="15"/>
  <c r="K1568" i="15"/>
  <c r="L1568" i="15"/>
  <c r="M1568" i="15"/>
  <c r="N1568" i="15"/>
  <c r="O1568" i="15"/>
  <c r="P1568" i="15"/>
  <c r="Q1568" i="15"/>
  <c r="T1568" i="15"/>
  <c r="U1568" i="15"/>
  <c r="V1568" i="15"/>
  <c r="W1568" i="15"/>
  <c r="X1568" i="15"/>
  <c r="Y1568" i="15"/>
  <c r="Z1568" i="15"/>
  <c r="AA1568" i="15"/>
  <c r="B1569" i="15"/>
  <c r="C1569" i="15"/>
  <c r="D1569" i="15"/>
  <c r="E1569" i="15"/>
  <c r="J1569" i="15"/>
  <c r="K1569" i="15"/>
  <c r="L1569" i="15"/>
  <c r="M1569" i="15"/>
  <c r="N1569" i="15"/>
  <c r="O1569" i="15"/>
  <c r="P1569" i="15"/>
  <c r="Q1569" i="15"/>
  <c r="T1569" i="15"/>
  <c r="U1569" i="15"/>
  <c r="V1569" i="15"/>
  <c r="W1569" i="15"/>
  <c r="X1569" i="15"/>
  <c r="Y1569" i="15"/>
  <c r="Z1569" i="15"/>
  <c r="AA1569" i="15"/>
  <c r="B1570" i="15"/>
  <c r="C1570" i="15"/>
  <c r="D1570" i="15"/>
  <c r="E1570" i="15"/>
  <c r="J1570" i="15"/>
  <c r="K1570" i="15"/>
  <c r="L1570" i="15"/>
  <c r="M1570" i="15"/>
  <c r="N1570" i="15"/>
  <c r="O1570" i="15"/>
  <c r="P1570" i="15"/>
  <c r="Q1570" i="15"/>
  <c r="T1570" i="15"/>
  <c r="U1570" i="15"/>
  <c r="V1570" i="15"/>
  <c r="W1570" i="15"/>
  <c r="X1570" i="15"/>
  <c r="Y1570" i="15"/>
  <c r="Z1570" i="15"/>
  <c r="AA1570" i="15"/>
  <c r="B1571" i="15"/>
  <c r="C1571" i="15"/>
  <c r="D1571" i="15"/>
  <c r="E1571" i="15"/>
  <c r="J1571" i="15"/>
  <c r="K1571" i="15"/>
  <c r="L1571" i="15"/>
  <c r="M1571" i="15"/>
  <c r="N1571" i="15"/>
  <c r="O1571" i="15"/>
  <c r="P1571" i="15"/>
  <c r="Q1571" i="15"/>
  <c r="T1571" i="15"/>
  <c r="U1571" i="15"/>
  <c r="V1571" i="15"/>
  <c r="W1571" i="15"/>
  <c r="X1571" i="15"/>
  <c r="Y1571" i="15"/>
  <c r="Z1571" i="15"/>
  <c r="AA1571" i="15"/>
  <c r="B1572" i="15"/>
  <c r="C1572" i="15"/>
  <c r="D1572" i="15"/>
  <c r="E1572" i="15"/>
  <c r="J1572" i="15"/>
  <c r="K1572" i="15"/>
  <c r="L1572" i="15"/>
  <c r="M1572" i="15"/>
  <c r="N1572" i="15"/>
  <c r="O1572" i="15"/>
  <c r="P1572" i="15"/>
  <c r="Q1572" i="15"/>
  <c r="T1572" i="15"/>
  <c r="U1572" i="15"/>
  <c r="V1572" i="15"/>
  <c r="W1572" i="15"/>
  <c r="X1572" i="15"/>
  <c r="Y1572" i="15"/>
  <c r="Z1572" i="15"/>
  <c r="AA1572" i="15"/>
  <c r="B1573" i="15"/>
  <c r="C1573" i="15"/>
  <c r="D1573" i="15"/>
  <c r="E1573" i="15"/>
  <c r="J1573" i="15"/>
  <c r="K1573" i="15"/>
  <c r="L1573" i="15"/>
  <c r="M1573" i="15"/>
  <c r="N1573" i="15"/>
  <c r="O1573" i="15"/>
  <c r="P1573" i="15"/>
  <c r="Q1573" i="15"/>
  <c r="T1573" i="15"/>
  <c r="U1573" i="15"/>
  <c r="V1573" i="15"/>
  <c r="W1573" i="15"/>
  <c r="X1573" i="15"/>
  <c r="Y1573" i="15"/>
  <c r="Z1573" i="15"/>
  <c r="AA1573" i="15"/>
  <c r="B1574" i="15"/>
  <c r="C1574" i="15"/>
  <c r="D1574" i="15"/>
  <c r="E1574" i="15"/>
  <c r="J1574" i="15"/>
  <c r="K1574" i="15"/>
  <c r="L1574" i="15"/>
  <c r="M1574" i="15"/>
  <c r="N1574" i="15"/>
  <c r="O1574" i="15"/>
  <c r="P1574" i="15"/>
  <c r="Q1574" i="15"/>
  <c r="T1574" i="15"/>
  <c r="U1574" i="15"/>
  <c r="V1574" i="15"/>
  <c r="W1574" i="15"/>
  <c r="X1574" i="15"/>
  <c r="Y1574" i="15"/>
  <c r="Z1574" i="15"/>
  <c r="AA1574" i="15"/>
  <c r="B1575" i="15"/>
  <c r="C1575" i="15"/>
  <c r="D1575" i="15"/>
  <c r="E1575" i="15"/>
  <c r="J1575" i="15"/>
  <c r="K1575" i="15"/>
  <c r="L1575" i="15"/>
  <c r="M1575" i="15"/>
  <c r="N1575" i="15"/>
  <c r="O1575" i="15"/>
  <c r="P1575" i="15"/>
  <c r="Q1575" i="15"/>
  <c r="T1575" i="15"/>
  <c r="U1575" i="15"/>
  <c r="V1575" i="15"/>
  <c r="W1575" i="15"/>
  <c r="X1575" i="15"/>
  <c r="Y1575" i="15"/>
  <c r="Z1575" i="15"/>
  <c r="AA1575" i="15"/>
  <c r="B1576" i="15"/>
  <c r="C1576" i="15"/>
  <c r="D1576" i="15"/>
  <c r="E1576" i="15"/>
  <c r="J1576" i="15"/>
  <c r="K1576" i="15"/>
  <c r="L1576" i="15"/>
  <c r="M1576" i="15"/>
  <c r="N1576" i="15"/>
  <c r="O1576" i="15"/>
  <c r="P1576" i="15"/>
  <c r="Q1576" i="15"/>
  <c r="T1576" i="15"/>
  <c r="U1576" i="15"/>
  <c r="V1576" i="15"/>
  <c r="W1576" i="15"/>
  <c r="X1576" i="15"/>
  <c r="Y1576" i="15"/>
  <c r="Z1576" i="15"/>
  <c r="AA1576" i="15"/>
  <c r="B1577" i="15"/>
  <c r="C1577" i="15"/>
  <c r="D1577" i="15"/>
  <c r="E1577" i="15"/>
  <c r="J1577" i="15"/>
  <c r="K1577" i="15"/>
  <c r="L1577" i="15"/>
  <c r="M1577" i="15"/>
  <c r="N1577" i="15"/>
  <c r="O1577" i="15"/>
  <c r="P1577" i="15"/>
  <c r="Q1577" i="15"/>
  <c r="T1577" i="15"/>
  <c r="U1577" i="15"/>
  <c r="V1577" i="15"/>
  <c r="W1577" i="15"/>
  <c r="X1577" i="15"/>
  <c r="Y1577" i="15"/>
  <c r="Z1577" i="15"/>
  <c r="AA1577" i="15"/>
  <c r="B1578" i="15"/>
  <c r="C1578" i="15"/>
  <c r="D1578" i="15"/>
  <c r="E1578" i="15"/>
  <c r="J1578" i="15"/>
  <c r="K1578" i="15"/>
  <c r="L1578" i="15"/>
  <c r="M1578" i="15"/>
  <c r="N1578" i="15"/>
  <c r="O1578" i="15"/>
  <c r="P1578" i="15"/>
  <c r="Q1578" i="15"/>
  <c r="T1578" i="15"/>
  <c r="U1578" i="15"/>
  <c r="V1578" i="15"/>
  <c r="W1578" i="15"/>
  <c r="X1578" i="15"/>
  <c r="Y1578" i="15"/>
  <c r="Z1578" i="15"/>
  <c r="AA1578" i="15"/>
  <c r="B1579" i="15"/>
  <c r="C1579" i="15"/>
  <c r="D1579" i="15"/>
  <c r="E1579" i="15"/>
  <c r="J1579" i="15"/>
  <c r="K1579" i="15"/>
  <c r="L1579" i="15"/>
  <c r="M1579" i="15"/>
  <c r="N1579" i="15"/>
  <c r="O1579" i="15"/>
  <c r="P1579" i="15"/>
  <c r="Q1579" i="15"/>
  <c r="T1579" i="15"/>
  <c r="U1579" i="15"/>
  <c r="V1579" i="15"/>
  <c r="W1579" i="15"/>
  <c r="X1579" i="15"/>
  <c r="Y1579" i="15"/>
  <c r="Z1579" i="15"/>
  <c r="AA1579" i="15"/>
  <c r="B1580" i="15"/>
  <c r="C1580" i="15"/>
  <c r="D1580" i="15"/>
  <c r="E1580" i="15"/>
  <c r="J1580" i="15"/>
  <c r="K1580" i="15"/>
  <c r="L1580" i="15"/>
  <c r="M1580" i="15"/>
  <c r="N1580" i="15"/>
  <c r="O1580" i="15"/>
  <c r="P1580" i="15"/>
  <c r="Q1580" i="15"/>
  <c r="T1580" i="15"/>
  <c r="U1580" i="15"/>
  <c r="V1580" i="15"/>
  <c r="W1580" i="15"/>
  <c r="X1580" i="15"/>
  <c r="Y1580" i="15"/>
  <c r="Z1580" i="15"/>
  <c r="AA1580" i="15"/>
  <c r="B1581" i="15"/>
  <c r="C1581" i="15"/>
  <c r="D1581" i="15"/>
  <c r="E1581" i="15"/>
  <c r="J1581" i="15"/>
  <c r="K1581" i="15"/>
  <c r="L1581" i="15"/>
  <c r="M1581" i="15"/>
  <c r="N1581" i="15"/>
  <c r="O1581" i="15"/>
  <c r="P1581" i="15"/>
  <c r="Q1581" i="15"/>
  <c r="T1581" i="15"/>
  <c r="U1581" i="15"/>
  <c r="V1581" i="15"/>
  <c r="W1581" i="15"/>
  <c r="X1581" i="15"/>
  <c r="Y1581" i="15"/>
  <c r="Z1581" i="15"/>
  <c r="AA1581" i="15"/>
  <c r="B1582" i="15"/>
  <c r="C1582" i="15"/>
  <c r="D1582" i="15"/>
  <c r="E1582" i="15"/>
  <c r="J1582" i="15"/>
  <c r="K1582" i="15"/>
  <c r="L1582" i="15"/>
  <c r="M1582" i="15"/>
  <c r="N1582" i="15"/>
  <c r="O1582" i="15"/>
  <c r="P1582" i="15"/>
  <c r="Q1582" i="15"/>
  <c r="T1582" i="15"/>
  <c r="U1582" i="15"/>
  <c r="V1582" i="15"/>
  <c r="W1582" i="15"/>
  <c r="X1582" i="15"/>
  <c r="Y1582" i="15"/>
  <c r="Z1582" i="15"/>
  <c r="AA1582" i="15"/>
  <c r="B1583" i="15"/>
  <c r="C1583" i="15"/>
  <c r="D1583" i="15"/>
  <c r="E1583" i="15"/>
  <c r="J1583" i="15"/>
  <c r="K1583" i="15"/>
  <c r="L1583" i="15"/>
  <c r="M1583" i="15"/>
  <c r="N1583" i="15"/>
  <c r="O1583" i="15"/>
  <c r="P1583" i="15"/>
  <c r="Q1583" i="15"/>
  <c r="T1583" i="15"/>
  <c r="U1583" i="15"/>
  <c r="V1583" i="15"/>
  <c r="W1583" i="15"/>
  <c r="X1583" i="15"/>
  <c r="Y1583" i="15"/>
  <c r="Z1583" i="15"/>
  <c r="AA1583" i="15"/>
  <c r="B1584" i="15"/>
  <c r="C1584" i="15"/>
  <c r="D1584" i="15"/>
  <c r="E1584" i="15"/>
  <c r="J1584" i="15"/>
  <c r="K1584" i="15"/>
  <c r="L1584" i="15"/>
  <c r="M1584" i="15"/>
  <c r="N1584" i="15"/>
  <c r="O1584" i="15"/>
  <c r="P1584" i="15"/>
  <c r="Q1584" i="15"/>
  <c r="T1584" i="15"/>
  <c r="U1584" i="15"/>
  <c r="V1584" i="15"/>
  <c r="W1584" i="15"/>
  <c r="X1584" i="15"/>
  <c r="Y1584" i="15"/>
  <c r="Z1584" i="15"/>
  <c r="AA1584" i="15"/>
  <c r="B1585" i="15"/>
  <c r="C1585" i="15"/>
  <c r="D1585" i="15"/>
  <c r="E1585" i="15"/>
  <c r="J1585" i="15"/>
  <c r="K1585" i="15"/>
  <c r="L1585" i="15"/>
  <c r="M1585" i="15"/>
  <c r="N1585" i="15"/>
  <c r="O1585" i="15"/>
  <c r="P1585" i="15"/>
  <c r="Q1585" i="15"/>
  <c r="T1585" i="15"/>
  <c r="U1585" i="15"/>
  <c r="V1585" i="15"/>
  <c r="W1585" i="15"/>
  <c r="X1585" i="15"/>
  <c r="Y1585" i="15"/>
  <c r="Z1585" i="15"/>
  <c r="AA1585" i="15"/>
  <c r="B1586" i="15"/>
  <c r="C1586" i="15"/>
  <c r="D1586" i="15"/>
  <c r="E1586" i="15"/>
  <c r="J1586" i="15"/>
  <c r="K1586" i="15"/>
  <c r="L1586" i="15"/>
  <c r="M1586" i="15"/>
  <c r="N1586" i="15"/>
  <c r="O1586" i="15"/>
  <c r="P1586" i="15"/>
  <c r="Q1586" i="15"/>
  <c r="T1586" i="15"/>
  <c r="U1586" i="15"/>
  <c r="V1586" i="15"/>
  <c r="W1586" i="15"/>
  <c r="X1586" i="15"/>
  <c r="Y1586" i="15"/>
  <c r="Z1586" i="15"/>
  <c r="AA1586" i="15"/>
  <c r="B1587" i="15"/>
  <c r="C1587" i="15"/>
  <c r="D1587" i="15"/>
  <c r="E1587" i="15"/>
  <c r="J1587" i="15"/>
  <c r="K1587" i="15"/>
  <c r="L1587" i="15"/>
  <c r="M1587" i="15"/>
  <c r="N1587" i="15"/>
  <c r="O1587" i="15"/>
  <c r="P1587" i="15"/>
  <c r="Q1587" i="15"/>
  <c r="T1587" i="15"/>
  <c r="U1587" i="15"/>
  <c r="V1587" i="15"/>
  <c r="W1587" i="15"/>
  <c r="X1587" i="15"/>
  <c r="Y1587" i="15"/>
  <c r="Z1587" i="15"/>
  <c r="AA1587" i="15"/>
  <c r="B1588" i="15"/>
  <c r="C1588" i="15"/>
  <c r="D1588" i="15"/>
  <c r="E1588" i="15"/>
  <c r="J1588" i="15"/>
  <c r="K1588" i="15"/>
  <c r="L1588" i="15"/>
  <c r="M1588" i="15"/>
  <c r="N1588" i="15"/>
  <c r="O1588" i="15"/>
  <c r="P1588" i="15"/>
  <c r="Q1588" i="15"/>
  <c r="T1588" i="15"/>
  <c r="U1588" i="15"/>
  <c r="V1588" i="15"/>
  <c r="W1588" i="15"/>
  <c r="X1588" i="15"/>
  <c r="Y1588" i="15"/>
  <c r="Z1588" i="15"/>
  <c r="AA1588" i="15"/>
  <c r="B1589" i="15"/>
  <c r="C1589" i="15"/>
  <c r="D1589" i="15"/>
  <c r="E1589" i="15"/>
  <c r="J1589" i="15"/>
  <c r="K1589" i="15"/>
  <c r="L1589" i="15"/>
  <c r="M1589" i="15"/>
  <c r="N1589" i="15"/>
  <c r="O1589" i="15"/>
  <c r="P1589" i="15"/>
  <c r="Q1589" i="15"/>
  <c r="T1589" i="15"/>
  <c r="U1589" i="15"/>
  <c r="V1589" i="15"/>
  <c r="W1589" i="15"/>
  <c r="X1589" i="15"/>
  <c r="Y1589" i="15"/>
  <c r="Z1589" i="15"/>
  <c r="AA1589" i="15"/>
  <c r="B1590" i="15"/>
  <c r="C1590" i="15"/>
  <c r="D1590" i="15"/>
  <c r="E1590" i="15"/>
  <c r="J1590" i="15"/>
  <c r="K1590" i="15"/>
  <c r="L1590" i="15"/>
  <c r="M1590" i="15"/>
  <c r="N1590" i="15"/>
  <c r="O1590" i="15"/>
  <c r="P1590" i="15"/>
  <c r="Q1590" i="15"/>
  <c r="T1590" i="15"/>
  <c r="U1590" i="15"/>
  <c r="V1590" i="15"/>
  <c r="W1590" i="15"/>
  <c r="X1590" i="15"/>
  <c r="Y1590" i="15"/>
  <c r="Z1590" i="15"/>
  <c r="AA1590" i="15"/>
  <c r="B1591" i="15"/>
  <c r="C1591" i="15"/>
  <c r="D1591" i="15"/>
  <c r="E1591" i="15"/>
  <c r="J1591" i="15"/>
  <c r="K1591" i="15"/>
  <c r="L1591" i="15"/>
  <c r="M1591" i="15"/>
  <c r="N1591" i="15"/>
  <c r="O1591" i="15"/>
  <c r="P1591" i="15"/>
  <c r="Q1591" i="15"/>
  <c r="T1591" i="15"/>
  <c r="U1591" i="15"/>
  <c r="V1591" i="15"/>
  <c r="W1591" i="15"/>
  <c r="X1591" i="15"/>
  <c r="Y1591" i="15"/>
  <c r="Z1591" i="15"/>
  <c r="AA1591" i="15"/>
  <c r="B1592" i="15"/>
  <c r="C1592" i="15"/>
  <c r="D1592" i="15"/>
  <c r="E1592" i="15"/>
  <c r="J1592" i="15"/>
  <c r="K1592" i="15"/>
  <c r="L1592" i="15"/>
  <c r="M1592" i="15"/>
  <c r="N1592" i="15"/>
  <c r="O1592" i="15"/>
  <c r="P1592" i="15"/>
  <c r="Q1592" i="15"/>
  <c r="T1592" i="15"/>
  <c r="U1592" i="15"/>
  <c r="V1592" i="15"/>
  <c r="W1592" i="15"/>
  <c r="X1592" i="15"/>
  <c r="Y1592" i="15"/>
  <c r="Z1592" i="15"/>
  <c r="AA1592" i="15"/>
  <c r="B1593" i="15"/>
  <c r="C1593" i="15"/>
  <c r="D1593" i="15"/>
  <c r="E1593" i="15"/>
  <c r="J1593" i="15"/>
  <c r="K1593" i="15"/>
  <c r="L1593" i="15"/>
  <c r="M1593" i="15"/>
  <c r="N1593" i="15"/>
  <c r="O1593" i="15"/>
  <c r="P1593" i="15"/>
  <c r="Q1593" i="15"/>
  <c r="T1593" i="15"/>
  <c r="U1593" i="15"/>
  <c r="V1593" i="15"/>
  <c r="W1593" i="15"/>
  <c r="X1593" i="15"/>
  <c r="Y1593" i="15"/>
  <c r="Z1593" i="15"/>
  <c r="AA1593" i="15"/>
  <c r="B1594" i="15"/>
  <c r="C1594" i="15"/>
  <c r="D1594" i="15"/>
  <c r="E1594" i="15"/>
  <c r="J1594" i="15"/>
  <c r="K1594" i="15"/>
  <c r="L1594" i="15"/>
  <c r="M1594" i="15"/>
  <c r="N1594" i="15"/>
  <c r="O1594" i="15"/>
  <c r="P1594" i="15"/>
  <c r="Q1594" i="15"/>
  <c r="T1594" i="15"/>
  <c r="U1594" i="15"/>
  <c r="V1594" i="15"/>
  <c r="W1594" i="15"/>
  <c r="X1594" i="15"/>
  <c r="Y1594" i="15"/>
  <c r="Z1594" i="15"/>
  <c r="AA1594" i="15"/>
  <c r="B1595" i="15"/>
  <c r="C1595" i="15"/>
  <c r="D1595" i="15"/>
  <c r="E1595" i="15"/>
  <c r="J1595" i="15"/>
  <c r="K1595" i="15"/>
  <c r="L1595" i="15"/>
  <c r="M1595" i="15"/>
  <c r="N1595" i="15"/>
  <c r="O1595" i="15"/>
  <c r="P1595" i="15"/>
  <c r="Q1595" i="15"/>
  <c r="T1595" i="15"/>
  <c r="U1595" i="15"/>
  <c r="V1595" i="15"/>
  <c r="W1595" i="15"/>
  <c r="X1595" i="15"/>
  <c r="Y1595" i="15"/>
  <c r="Z1595" i="15"/>
  <c r="AA1595" i="15"/>
  <c r="B1596" i="15"/>
  <c r="C1596" i="15"/>
  <c r="D1596" i="15"/>
  <c r="E1596" i="15"/>
  <c r="J1596" i="15"/>
  <c r="K1596" i="15"/>
  <c r="L1596" i="15"/>
  <c r="M1596" i="15"/>
  <c r="N1596" i="15"/>
  <c r="O1596" i="15"/>
  <c r="P1596" i="15"/>
  <c r="Q1596" i="15"/>
  <c r="T1596" i="15"/>
  <c r="U1596" i="15"/>
  <c r="V1596" i="15"/>
  <c r="W1596" i="15"/>
  <c r="X1596" i="15"/>
  <c r="Y1596" i="15"/>
  <c r="Z1596" i="15"/>
  <c r="AA1596" i="15"/>
  <c r="B1597" i="15"/>
  <c r="C1597" i="15"/>
  <c r="D1597" i="15"/>
  <c r="E1597" i="15"/>
  <c r="J1597" i="15"/>
  <c r="K1597" i="15"/>
  <c r="L1597" i="15"/>
  <c r="M1597" i="15"/>
  <c r="N1597" i="15"/>
  <c r="O1597" i="15"/>
  <c r="P1597" i="15"/>
  <c r="Q1597" i="15"/>
  <c r="T1597" i="15"/>
  <c r="U1597" i="15"/>
  <c r="V1597" i="15"/>
  <c r="W1597" i="15"/>
  <c r="X1597" i="15"/>
  <c r="Y1597" i="15"/>
  <c r="Z1597" i="15"/>
  <c r="AA1597" i="15"/>
  <c r="B1598" i="15"/>
  <c r="C1598" i="15"/>
  <c r="D1598" i="15"/>
  <c r="E1598" i="15"/>
  <c r="J1598" i="15"/>
  <c r="K1598" i="15"/>
  <c r="L1598" i="15"/>
  <c r="M1598" i="15"/>
  <c r="N1598" i="15"/>
  <c r="O1598" i="15"/>
  <c r="P1598" i="15"/>
  <c r="Q1598" i="15"/>
  <c r="T1598" i="15"/>
  <c r="U1598" i="15"/>
  <c r="V1598" i="15"/>
  <c r="W1598" i="15"/>
  <c r="X1598" i="15"/>
  <c r="Y1598" i="15"/>
  <c r="Z1598" i="15"/>
  <c r="AA1598" i="15"/>
  <c r="B1599" i="15"/>
  <c r="C1599" i="15"/>
  <c r="D1599" i="15"/>
  <c r="E1599" i="15"/>
  <c r="J1599" i="15"/>
  <c r="K1599" i="15"/>
  <c r="L1599" i="15"/>
  <c r="M1599" i="15"/>
  <c r="N1599" i="15"/>
  <c r="O1599" i="15"/>
  <c r="P1599" i="15"/>
  <c r="Q1599" i="15"/>
  <c r="T1599" i="15"/>
  <c r="U1599" i="15"/>
  <c r="V1599" i="15"/>
  <c r="W1599" i="15"/>
  <c r="X1599" i="15"/>
  <c r="Y1599" i="15"/>
  <c r="Z1599" i="15"/>
  <c r="AA1599" i="15"/>
  <c r="B1600" i="15"/>
  <c r="C1600" i="15"/>
  <c r="D1600" i="15"/>
  <c r="E1600" i="15"/>
  <c r="J1600" i="15"/>
  <c r="K1600" i="15"/>
  <c r="L1600" i="15"/>
  <c r="M1600" i="15"/>
  <c r="N1600" i="15"/>
  <c r="O1600" i="15"/>
  <c r="P1600" i="15"/>
  <c r="Q1600" i="15"/>
  <c r="T1600" i="15"/>
  <c r="U1600" i="15"/>
  <c r="V1600" i="15"/>
  <c r="W1600" i="15"/>
  <c r="X1600" i="15"/>
  <c r="Y1600" i="15"/>
  <c r="Z1600" i="15"/>
  <c r="AA1600" i="15"/>
  <c r="B1601" i="15"/>
  <c r="C1601" i="15"/>
  <c r="D1601" i="15"/>
  <c r="E1601" i="15"/>
  <c r="J1601" i="15"/>
  <c r="K1601" i="15"/>
  <c r="L1601" i="15"/>
  <c r="M1601" i="15"/>
  <c r="N1601" i="15"/>
  <c r="O1601" i="15"/>
  <c r="P1601" i="15"/>
  <c r="Q1601" i="15"/>
  <c r="T1601" i="15"/>
  <c r="U1601" i="15"/>
  <c r="V1601" i="15"/>
  <c r="W1601" i="15"/>
  <c r="X1601" i="15"/>
  <c r="Y1601" i="15"/>
  <c r="Z1601" i="15"/>
  <c r="AA1601" i="15"/>
  <c r="B1602" i="15"/>
  <c r="C1602" i="15"/>
  <c r="D1602" i="15"/>
  <c r="E1602" i="15"/>
  <c r="J1602" i="15"/>
  <c r="K1602" i="15"/>
  <c r="L1602" i="15"/>
  <c r="M1602" i="15"/>
  <c r="N1602" i="15"/>
  <c r="O1602" i="15"/>
  <c r="P1602" i="15"/>
  <c r="Q1602" i="15"/>
  <c r="T1602" i="15"/>
  <c r="U1602" i="15"/>
  <c r="V1602" i="15"/>
  <c r="W1602" i="15"/>
  <c r="X1602" i="15"/>
  <c r="Y1602" i="15"/>
  <c r="Z1602" i="15"/>
  <c r="AA1602" i="15"/>
  <c r="B1603" i="15"/>
  <c r="C1603" i="15"/>
  <c r="D1603" i="15"/>
  <c r="E1603" i="15"/>
  <c r="J1603" i="15"/>
  <c r="K1603" i="15"/>
  <c r="L1603" i="15"/>
  <c r="M1603" i="15"/>
  <c r="N1603" i="15"/>
  <c r="O1603" i="15"/>
  <c r="P1603" i="15"/>
  <c r="Q1603" i="15"/>
  <c r="T1603" i="15"/>
  <c r="U1603" i="15"/>
  <c r="V1603" i="15"/>
  <c r="W1603" i="15"/>
  <c r="X1603" i="15"/>
  <c r="Y1603" i="15"/>
  <c r="Z1603" i="15"/>
  <c r="AA1603" i="15"/>
  <c r="B1604" i="15"/>
  <c r="C1604" i="15"/>
  <c r="D1604" i="15"/>
  <c r="E1604" i="15"/>
  <c r="J1604" i="15"/>
  <c r="K1604" i="15"/>
  <c r="L1604" i="15"/>
  <c r="M1604" i="15"/>
  <c r="N1604" i="15"/>
  <c r="O1604" i="15"/>
  <c r="P1604" i="15"/>
  <c r="Q1604" i="15"/>
  <c r="T1604" i="15"/>
  <c r="U1604" i="15"/>
  <c r="V1604" i="15"/>
  <c r="W1604" i="15"/>
  <c r="X1604" i="15"/>
  <c r="Y1604" i="15"/>
  <c r="Z1604" i="15"/>
  <c r="AA1604" i="15"/>
  <c r="B1605" i="15"/>
  <c r="C1605" i="15"/>
  <c r="D1605" i="15"/>
  <c r="E1605" i="15"/>
  <c r="J1605" i="15"/>
  <c r="K1605" i="15"/>
  <c r="L1605" i="15"/>
  <c r="M1605" i="15"/>
  <c r="N1605" i="15"/>
  <c r="O1605" i="15"/>
  <c r="P1605" i="15"/>
  <c r="Q1605" i="15"/>
  <c r="T1605" i="15"/>
  <c r="U1605" i="15"/>
  <c r="V1605" i="15"/>
  <c r="W1605" i="15"/>
  <c r="X1605" i="15"/>
  <c r="Y1605" i="15"/>
  <c r="Z1605" i="15"/>
  <c r="AA1605" i="15"/>
  <c r="B1606" i="15"/>
  <c r="C1606" i="15"/>
  <c r="D1606" i="15"/>
  <c r="E1606" i="15"/>
  <c r="J1606" i="15"/>
  <c r="K1606" i="15"/>
  <c r="L1606" i="15"/>
  <c r="M1606" i="15"/>
  <c r="N1606" i="15"/>
  <c r="O1606" i="15"/>
  <c r="P1606" i="15"/>
  <c r="Q1606" i="15"/>
  <c r="T1606" i="15"/>
  <c r="U1606" i="15"/>
  <c r="V1606" i="15"/>
  <c r="W1606" i="15"/>
  <c r="X1606" i="15"/>
  <c r="Y1606" i="15"/>
  <c r="Z1606" i="15"/>
  <c r="AA1606" i="15"/>
  <c r="B1607" i="15"/>
  <c r="C1607" i="15"/>
  <c r="D1607" i="15"/>
  <c r="E1607" i="15"/>
  <c r="J1607" i="15"/>
  <c r="K1607" i="15"/>
  <c r="L1607" i="15"/>
  <c r="M1607" i="15"/>
  <c r="N1607" i="15"/>
  <c r="O1607" i="15"/>
  <c r="P1607" i="15"/>
  <c r="Q1607" i="15"/>
  <c r="T1607" i="15"/>
  <c r="U1607" i="15"/>
  <c r="V1607" i="15"/>
  <c r="W1607" i="15"/>
  <c r="X1607" i="15"/>
  <c r="Y1607" i="15"/>
  <c r="Z1607" i="15"/>
  <c r="AA1607" i="15"/>
  <c r="B1608" i="15"/>
  <c r="C1608" i="15"/>
  <c r="D1608" i="15"/>
  <c r="E1608" i="15"/>
  <c r="J1608" i="15"/>
  <c r="K1608" i="15"/>
  <c r="L1608" i="15"/>
  <c r="M1608" i="15"/>
  <c r="N1608" i="15"/>
  <c r="O1608" i="15"/>
  <c r="P1608" i="15"/>
  <c r="Q1608" i="15"/>
  <c r="T1608" i="15"/>
  <c r="U1608" i="15"/>
  <c r="V1608" i="15"/>
  <c r="W1608" i="15"/>
  <c r="X1608" i="15"/>
  <c r="Y1608" i="15"/>
  <c r="Z1608" i="15"/>
  <c r="AA1608" i="15"/>
  <c r="B1609" i="15"/>
  <c r="C1609" i="15"/>
  <c r="D1609" i="15"/>
  <c r="E1609" i="15"/>
  <c r="J1609" i="15"/>
  <c r="K1609" i="15"/>
  <c r="L1609" i="15"/>
  <c r="M1609" i="15"/>
  <c r="N1609" i="15"/>
  <c r="O1609" i="15"/>
  <c r="P1609" i="15"/>
  <c r="Q1609" i="15"/>
  <c r="T1609" i="15"/>
  <c r="U1609" i="15"/>
  <c r="V1609" i="15"/>
  <c r="W1609" i="15"/>
  <c r="X1609" i="15"/>
  <c r="Y1609" i="15"/>
  <c r="Z1609" i="15"/>
  <c r="AA1609" i="15"/>
  <c r="B1610" i="15"/>
  <c r="C1610" i="15"/>
  <c r="D1610" i="15"/>
  <c r="E1610" i="15"/>
  <c r="J1610" i="15"/>
  <c r="K1610" i="15"/>
  <c r="L1610" i="15"/>
  <c r="M1610" i="15"/>
  <c r="N1610" i="15"/>
  <c r="O1610" i="15"/>
  <c r="P1610" i="15"/>
  <c r="Q1610" i="15"/>
  <c r="T1610" i="15"/>
  <c r="U1610" i="15"/>
  <c r="V1610" i="15"/>
  <c r="W1610" i="15"/>
  <c r="X1610" i="15"/>
  <c r="Y1610" i="15"/>
  <c r="Z1610" i="15"/>
  <c r="AA1610" i="15"/>
  <c r="B1611" i="15"/>
  <c r="C1611" i="15"/>
  <c r="D1611" i="15"/>
  <c r="E1611" i="15"/>
  <c r="J1611" i="15"/>
  <c r="K1611" i="15"/>
  <c r="L1611" i="15"/>
  <c r="M1611" i="15"/>
  <c r="N1611" i="15"/>
  <c r="O1611" i="15"/>
  <c r="P1611" i="15"/>
  <c r="Q1611" i="15"/>
  <c r="T1611" i="15"/>
  <c r="U1611" i="15"/>
  <c r="V1611" i="15"/>
  <c r="W1611" i="15"/>
  <c r="X1611" i="15"/>
  <c r="Y1611" i="15"/>
  <c r="Z1611" i="15"/>
  <c r="AA1611" i="15"/>
  <c r="B1612" i="15"/>
  <c r="C1612" i="15"/>
  <c r="D1612" i="15"/>
  <c r="E1612" i="15"/>
  <c r="J1612" i="15"/>
  <c r="K1612" i="15"/>
  <c r="L1612" i="15"/>
  <c r="M1612" i="15"/>
  <c r="N1612" i="15"/>
  <c r="O1612" i="15"/>
  <c r="P1612" i="15"/>
  <c r="Q1612" i="15"/>
  <c r="T1612" i="15"/>
  <c r="U1612" i="15"/>
  <c r="V1612" i="15"/>
  <c r="W1612" i="15"/>
  <c r="X1612" i="15"/>
  <c r="Y1612" i="15"/>
  <c r="Z1612" i="15"/>
  <c r="AA1612" i="15"/>
  <c r="B1613" i="15"/>
  <c r="C1613" i="15"/>
  <c r="D1613" i="15"/>
  <c r="E1613" i="15"/>
  <c r="J1613" i="15"/>
  <c r="K1613" i="15"/>
  <c r="L1613" i="15"/>
  <c r="M1613" i="15"/>
  <c r="N1613" i="15"/>
  <c r="O1613" i="15"/>
  <c r="P1613" i="15"/>
  <c r="Q1613" i="15"/>
  <c r="T1613" i="15"/>
  <c r="U1613" i="15"/>
  <c r="V1613" i="15"/>
  <c r="W1613" i="15"/>
  <c r="X1613" i="15"/>
  <c r="Y1613" i="15"/>
  <c r="Z1613" i="15"/>
  <c r="AA1613" i="15"/>
  <c r="B1614" i="15"/>
  <c r="C1614" i="15"/>
  <c r="D1614" i="15"/>
  <c r="E1614" i="15"/>
  <c r="J1614" i="15"/>
  <c r="K1614" i="15"/>
  <c r="L1614" i="15"/>
  <c r="M1614" i="15"/>
  <c r="N1614" i="15"/>
  <c r="O1614" i="15"/>
  <c r="P1614" i="15"/>
  <c r="Q1614" i="15"/>
  <c r="T1614" i="15"/>
  <c r="U1614" i="15"/>
  <c r="V1614" i="15"/>
  <c r="W1614" i="15"/>
  <c r="X1614" i="15"/>
  <c r="Y1614" i="15"/>
  <c r="Z1614" i="15"/>
  <c r="AA1614" i="15"/>
  <c r="B1615" i="15"/>
  <c r="C1615" i="15"/>
  <c r="D1615" i="15"/>
  <c r="E1615" i="15"/>
  <c r="J1615" i="15"/>
  <c r="K1615" i="15"/>
  <c r="L1615" i="15"/>
  <c r="M1615" i="15"/>
  <c r="N1615" i="15"/>
  <c r="O1615" i="15"/>
  <c r="P1615" i="15"/>
  <c r="Q1615" i="15"/>
  <c r="T1615" i="15"/>
  <c r="U1615" i="15"/>
  <c r="V1615" i="15"/>
  <c r="W1615" i="15"/>
  <c r="X1615" i="15"/>
  <c r="Y1615" i="15"/>
  <c r="Z1615" i="15"/>
  <c r="AA1615" i="15"/>
  <c r="B1616" i="15"/>
  <c r="C1616" i="15"/>
  <c r="D1616" i="15"/>
  <c r="E1616" i="15"/>
  <c r="J1616" i="15"/>
  <c r="K1616" i="15"/>
  <c r="L1616" i="15"/>
  <c r="M1616" i="15"/>
  <c r="N1616" i="15"/>
  <c r="O1616" i="15"/>
  <c r="P1616" i="15"/>
  <c r="Q1616" i="15"/>
  <c r="T1616" i="15"/>
  <c r="U1616" i="15"/>
  <c r="V1616" i="15"/>
  <c r="W1616" i="15"/>
  <c r="X1616" i="15"/>
  <c r="Y1616" i="15"/>
  <c r="Z1616" i="15"/>
  <c r="AA1616" i="15"/>
  <c r="B1617" i="15"/>
  <c r="C1617" i="15"/>
  <c r="D1617" i="15"/>
  <c r="E1617" i="15"/>
  <c r="J1617" i="15"/>
  <c r="K1617" i="15"/>
  <c r="L1617" i="15"/>
  <c r="M1617" i="15"/>
  <c r="N1617" i="15"/>
  <c r="O1617" i="15"/>
  <c r="P1617" i="15"/>
  <c r="Q1617" i="15"/>
  <c r="T1617" i="15"/>
  <c r="U1617" i="15"/>
  <c r="V1617" i="15"/>
  <c r="W1617" i="15"/>
  <c r="X1617" i="15"/>
  <c r="Y1617" i="15"/>
  <c r="Z1617" i="15"/>
  <c r="AA1617" i="15"/>
  <c r="B1618" i="15"/>
  <c r="C1618" i="15"/>
  <c r="D1618" i="15"/>
  <c r="E1618" i="15"/>
  <c r="J1618" i="15"/>
  <c r="K1618" i="15"/>
  <c r="L1618" i="15"/>
  <c r="M1618" i="15"/>
  <c r="N1618" i="15"/>
  <c r="O1618" i="15"/>
  <c r="P1618" i="15"/>
  <c r="Q1618" i="15"/>
  <c r="T1618" i="15"/>
  <c r="U1618" i="15"/>
  <c r="V1618" i="15"/>
  <c r="W1618" i="15"/>
  <c r="X1618" i="15"/>
  <c r="Y1618" i="15"/>
  <c r="Z1618" i="15"/>
  <c r="AA1618" i="15"/>
  <c r="B1619" i="15"/>
  <c r="C1619" i="15"/>
  <c r="D1619" i="15"/>
  <c r="E1619" i="15"/>
  <c r="J1619" i="15"/>
  <c r="K1619" i="15"/>
  <c r="L1619" i="15"/>
  <c r="M1619" i="15"/>
  <c r="N1619" i="15"/>
  <c r="O1619" i="15"/>
  <c r="P1619" i="15"/>
  <c r="Q1619" i="15"/>
  <c r="T1619" i="15"/>
  <c r="U1619" i="15"/>
  <c r="V1619" i="15"/>
  <c r="W1619" i="15"/>
  <c r="X1619" i="15"/>
  <c r="Y1619" i="15"/>
  <c r="Z1619" i="15"/>
  <c r="AA1619" i="15"/>
  <c r="B1620" i="15"/>
  <c r="C1620" i="15"/>
  <c r="D1620" i="15"/>
  <c r="E1620" i="15"/>
  <c r="J1620" i="15"/>
  <c r="K1620" i="15"/>
  <c r="L1620" i="15"/>
  <c r="M1620" i="15"/>
  <c r="N1620" i="15"/>
  <c r="O1620" i="15"/>
  <c r="P1620" i="15"/>
  <c r="Q1620" i="15"/>
  <c r="T1620" i="15"/>
  <c r="U1620" i="15"/>
  <c r="V1620" i="15"/>
  <c r="W1620" i="15"/>
  <c r="X1620" i="15"/>
  <c r="Y1620" i="15"/>
  <c r="Z1620" i="15"/>
  <c r="AA1620" i="15"/>
  <c r="B1621" i="15"/>
  <c r="C1621" i="15"/>
  <c r="D1621" i="15"/>
  <c r="E1621" i="15"/>
  <c r="J1621" i="15"/>
  <c r="K1621" i="15"/>
  <c r="L1621" i="15"/>
  <c r="M1621" i="15"/>
  <c r="N1621" i="15"/>
  <c r="O1621" i="15"/>
  <c r="P1621" i="15"/>
  <c r="Q1621" i="15"/>
  <c r="T1621" i="15"/>
  <c r="U1621" i="15"/>
  <c r="V1621" i="15"/>
  <c r="W1621" i="15"/>
  <c r="X1621" i="15"/>
  <c r="Y1621" i="15"/>
  <c r="Z1621" i="15"/>
  <c r="AA1621" i="15"/>
  <c r="B1622" i="15"/>
  <c r="C1622" i="15"/>
  <c r="D1622" i="15"/>
  <c r="E1622" i="15"/>
  <c r="J1622" i="15"/>
  <c r="K1622" i="15"/>
  <c r="L1622" i="15"/>
  <c r="M1622" i="15"/>
  <c r="N1622" i="15"/>
  <c r="O1622" i="15"/>
  <c r="P1622" i="15"/>
  <c r="Q1622" i="15"/>
  <c r="T1622" i="15"/>
  <c r="U1622" i="15"/>
  <c r="V1622" i="15"/>
  <c r="W1622" i="15"/>
  <c r="X1622" i="15"/>
  <c r="Y1622" i="15"/>
  <c r="Z1622" i="15"/>
  <c r="AA1622" i="15"/>
  <c r="B1623" i="15"/>
  <c r="C1623" i="15"/>
  <c r="D1623" i="15"/>
  <c r="E1623" i="15"/>
  <c r="J1623" i="15"/>
  <c r="K1623" i="15"/>
  <c r="L1623" i="15"/>
  <c r="M1623" i="15"/>
  <c r="N1623" i="15"/>
  <c r="O1623" i="15"/>
  <c r="P1623" i="15"/>
  <c r="Q1623" i="15"/>
  <c r="T1623" i="15"/>
  <c r="U1623" i="15"/>
  <c r="V1623" i="15"/>
  <c r="W1623" i="15"/>
  <c r="X1623" i="15"/>
  <c r="Y1623" i="15"/>
  <c r="Z1623" i="15"/>
  <c r="AA1623" i="15"/>
  <c r="B1624" i="15"/>
  <c r="C1624" i="15"/>
  <c r="D1624" i="15"/>
  <c r="E1624" i="15"/>
  <c r="J1624" i="15"/>
  <c r="K1624" i="15"/>
  <c r="L1624" i="15"/>
  <c r="M1624" i="15"/>
  <c r="N1624" i="15"/>
  <c r="O1624" i="15"/>
  <c r="P1624" i="15"/>
  <c r="Q1624" i="15"/>
  <c r="T1624" i="15"/>
  <c r="U1624" i="15"/>
  <c r="V1624" i="15"/>
  <c r="W1624" i="15"/>
  <c r="X1624" i="15"/>
  <c r="Y1624" i="15"/>
  <c r="Z1624" i="15"/>
  <c r="AA1624" i="15"/>
  <c r="B1625" i="15"/>
  <c r="C1625" i="15"/>
  <c r="D1625" i="15"/>
  <c r="E1625" i="15"/>
  <c r="J1625" i="15"/>
  <c r="K1625" i="15"/>
  <c r="L1625" i="15"/>
  <c r="M1625" i="15"/>
  <c r="N1625" i="15"/>
  <c r="O1625" i="15"/>
  <c r="P1625" i="15"/>
  <c r="Q1625" i="15"/>
  <c r="T1625" i="15"/>
  <c r="U1625" i="15"/>
  <c r="V1625" i="15"/>
  <c r="W1625" i="15"/>
  <c r="X1625" i="15"/>
  <c r="Y1625" i="15"/>
  <c r="Z1625" i="15"/>
  <c r="AA1625" i="15"/>
  <c r="B1626" i="15"/>
  <c r="C1626" i="15"/>
  <c r="D1626" i="15"/>
  <c r="E1626" i="15"/>
  <c r="J1626" i="15"/>
  <c r="K1626" i="15"/>
  <c r="L1626" i="15"/>
  <c r="M1626" i="15"/>
  <c r="N1626" i="15"/>
  <c r="O1626" i="15"/>
  <c r="P1626" i="15"/>
  <c r="Q1626" i="15"/>
  <c r="T1626" i="15"/>
  <c r="U1626" i="15"/>
  <c r="V1626" i="15"/>
  <c r="W1626" i="15"/>
  <c r="X1626" i="15"/>
  <c r="Y1626" i="15"/>
  <c r="Z1626" i="15"/>
  <c r="AA1626" i="15"/>
  <c r="B1627" i="15"/>
  <c r="C1627" i="15"/>
  <c r="D1627" i="15"/>
  <c r="E1627" i="15"/>
  <c r="J1627" i="15"/>
  <c r="K1627" i="15"/>
  <c r="L1627" i="15"/>
  <c r="M1627" i="15"/>
  <c r="N1627" i="15"/>
  <c r="O1627" i="15"/>
  <c r="P1627" i="15"/>
  <c r="Q1627" i="15"/>
  <c r="T1627" i="15"/>
  <c r="U1627" i="15"/>
  <c r="V1627" i="15"/>
  <c r="W1627" i="15"/>
  <c r="X1627" i="15"/>
  <c r="Y1627" i="15"/>
  <c r="Z1627" i="15"/>
  <c r="AA1627" i="15"/>
  <c r="B1628" i="15"/>
  <c r="C1628" i="15"/>
  <c r="D1628" i="15"/>
  <c r="E1628" i="15"/>
  <c r="J1628" i="15"/>
  <c r="K1628" i="15"/>
  <c r="L1628" i="15"/>
  <c r="M1628" i="15"/>
  <c r="N1628" i="15"/>
  <c r="O1628" i="15"/>
  <c r="P1628" i="15"/>
  <c r="Q1628" i="15"/>
  <c r="T1628" i="15"/>
  <c r="U1628" i="15"/>
  <c r="V1628" i="15"/>
  <c r="W1628" i="15"/>
  <c r="X1628" i="15"/>
  <c r="Y1628" i="15"/>
  <c r="Z1628" i="15"/>
  <c r="AA1628" i="15"/>
  <c r="B1629" i="15"/>
  <c r="C1629" i="15"/>
  <c r="D1629" i="15"/>
  <c r="E1629" i="15"/>
  <c r="J1629" i="15"/>
  <c r="K1629" i="15"/>
  <c r="L1629" i="15"/>
  <c r="M1629" i="15"/>
  <c r="N1629" i="15"/>
  <c r="O1629" i="15"/>
  <c r="P1629" i="15"/>
  <c r="Q1629" i="15"/>
  <c r="T1629" i="15"/>
  <c r="U1629" i="15"/>
  <c r="V1629" i="15"/>
  <c r="W1629" i="15"/>
  <c r="X1629" i="15"/>
  <c r="Y1629" i="15"/>
  <c r="Z1629" i="15"/>
  <c r="AA1629" i="15"/>
  <c r="B1630" i="15"/>
  <c r="C1630" i="15"/>
  <c r="D1630" i="15"/>
  <c r="E1630" i="15"/>
  <c r="J1630" i="15"/>
  <c r="K1630" i="15"/>
  <c r="L1630" i="15"/>
  <c r="M1630" i="15"/>
  <c r="N1630" i="15"/>
  <c r="O1630" i="15"/>
  <c r="P1630" i="15"/>
  <c r="Q1630" i="15"/>
  <c r="T1630" i="15"/>
  <c r="U1630" i="15"/>
  <c r="V1630" i="15"/>
  <c r="W1630" i="15"/>
  <c r="X1630" i="15"/>
  <c r="Y1630" i="15"/>
  <c r="Z1630" i="15"/>
  <c r="AA1630" i="15"/>
  <c r="B1631" i="15"/>
  <c r="C1631" i="15"/>
  <c r="D1631" i="15"/>
  <c r="E1631" i="15"/>
  <c r="J1631" i="15"/>
  <c r="K1631" i="15"/>
  <c r="L1631" i="15"/>
  <c r="M1631" i="15"/>
  <c r="N1631" i="15"/>
  <c r="O1631" i="15"/>
  <c r="P1631" i="15"/>
  <c r="Q1631" i="15"/>
  <c r="T1631" i="15"/>
  <c r="U1631" i="15"/>
  <c r="V1631" i="15"/>
  <c r="W1631" i="15"/>
  <c r="X1631" i="15"/>
  <c r="Y1631" i="15"/>
  <c r="Z1631" i="15"/>
  <c r="AA1631" i="15"/>
  <c r="B1632" i="15"/>
  <c r="C1632" i="15"/>
  <c r="D1632" i="15"/>
  <c r="E1632" i="15"/>
  <c r="J1632" i="15"/>
  <c r="K1632" i="15"/>
  <c r="L1632" i="15"/>
  <c r="M1632" i="15"/>
  <c r="N1632" i="15"/>
  <c r="O1632" i="15"/>
  <c r="P1632" i="15"/>
  <c r="Q1632" i="15"/>
  <c r="T1632" i="15"/>
  <c r="U1632" i="15"/>
  <c r="V1632" i="15"/>
  <c r="W1632" i="15"/>
  <c r="X1632" i="15"/>
  <c r="Y1632" i="15"/>
  <c r="Z1632" i="15"/>
  <c r="AA1632" i="15"/>
  <c r="B1633" i="15"/>
  <c r="C1633" i="15"/>
  <c r="D1633" i="15"/>
  <c r="E1633" i="15"/>
  <c r="J1633" i="15"/>
  <c r="K1633" i="15"/>
  <c r="L1633" i="15"/>
  <c r="M1633" i="15"/>
  <c r="N1633" i="15"/>
  <c r="O1633" i="15"/>
  <c r="P1633" i="15"/>
  <c r="Q1633" i="15"/>
  <c r="T1633" i="15"/>
  <c r="U1633" i="15"/>
  <c r="V1633" i="15"/>
  <c r="W1633" i="15"/>
  <c r="X1633" i="15"/>
  <c r="Y1633" i="15"/>
  <c r="Z1633" i="15"/>
  <c r="AA1633" i="15"/>
  <c r="B1634" i="15"/>
  <c r="C1634" i="15"/>
  <c r="D1634" i="15"/>
  <c r="E1634" i="15"/>
  <c r="J1634" i="15"/>
  <c r="K1634" i="15"/>
  <c r="L1634" i="15"/>
  <c r="M1634" i="15"/>
  <c r="N1634" i="15"/>
  <c r="O1634" i="15"/>
  <c r="P1634" i="15"/>
  <c r="Q1634" i="15"/>
  <c r="T1634" i="15"/>
  <c r="U1634" i="15"/>
  <c r="V1634" i="15"/>
  <c r="W1634" i="15"/>
  <c r="X1634" i="15"/>
  <c r="Y1634" i="15"/>
  <c r="Z1634" i="15"/>
  <c r="AA1634" i="15"/>
  <c r="B1635" i="15"/>
  <c r="C1635" i="15"/>
  <c r="D1635" i="15"/>
  <c r="E1635" i="15"/>
  <c r="J1635" i="15"/>
  <c r="K1635" i="15"/>
  <c r="L1635" i="15"/>
  <c r="M1635" i="15"/>
  <c r="N1635" i="15"/>
  <c r="O1635" i="15"/>
  <c r="P1635" i="15"/>
  <c r="Q1635" i="15"/>
  <c r="T1635" i="15"/>
  <c r="U1635" i="15"/>
  <c r="V1635" i="15"/>
  <c r="W1635" i="15"/>
  <c r="X1635" i="15"/>
  <c r="Y1635" i="15"/>
  <c r="Z1635" i="15"/>
  <c r="AA1635" i="15"/>
  <c r="B1636" i="15"/>
  <c r="C1636" i="15"/>
  <c r="D1636" i="15"/>
  <c r="E1636" i="15"/>
  <c r="J1636" i="15"/>
  <c r="K1636" i="15"/>
  <c r="L1636" i="15"/>
  <c r="M1636" i="15"/>
  <c r="N1636" i="15"/>
  <c r="O1636" i="15"/>
  <c r="P1636" i="15"/>
  <c r="Q1636" i="15"/>
  <c r="T1636" i="15"/>
  <c r="U1636" i="15"/>
  <c r="V1636" i="15"/>
  <c r="W1636" i="15"/>
  <c r="X1636" i="15"/>
  <c r="Y1636" i="15"/>
  <c r="Z1636" i="15"/>
  <c r="AA1636" i="15"/>
  <c r="B1637" i="15"/>
  <c r="C1637" i="15"/>
  <c r="D1637" i="15"/>
  <c r="E1637" i="15"/>
  <c r="J1637" i="15"/>
  <c r="K1637" i="15"/>
  <c r="L1637" i="15"/>
  <c r="M1637" i="15"/>
  <c r="N1637" i="15"/>
  <c r="O1637" i="15"/>
  <c r="P1637" i="15"/>
  <c r="Q1637" i="15"/>
  <c r="T1637" i="15"/>
  <c r="U1637" i="15"/>
  <c r="V1637" i="15"/>
  <c r="W1637" i="15"/>
  <c r="X1637" i="15"/>
  <c r="Y1637" i="15"/>
  <c r="Z1637" i="15"/>
  <c r="AA1637" i="15"/>
  <c r="B1638" i="15"/>
  <c r="C1638" i="15"/>
  <c r="D1638" i="15"/>
  <c r="E1638" i="15"/>
  <c r="J1638" i="15"/>
  <c r="K1638" i="15"/>
  <c r="L1638" i="15"/>
  <c r="M1638" i="15"/>
  <c r="N1638" i="15"/>
  <c r="O1638" i="15"/>
  <c r="P1638" i="15"/>
  <c r="Q1638" i="15"/>
  <c r="T1638" i="15"/>
  <c r="U1638" i="15"/>
  <c r="V1638" i="15"/>
  <c r="W1638" i="15"/>
  <c r="X1638" i="15"/>
  <c r="Y1638" i="15"/>
  <c r="Z1638" i="15"/>
  <c r="AA1638" i="15"/>
  <c r="B1639" i="15"/>
  <c r="C1639" i="15"/>
  <c r="D1639" i="15"/>
  <c r="E1639" i="15"/>
  <c r="J1639" i="15"/>
  <c r="K1639" i="15"/>
  <c r="L1639" i="15"/>
  <c r="M1639" i="15"/>
  <c r="N1639" i="15"/>
  <c r="O1639" i="15"/>
  <c r="P1639" i="15"/>
  <c r="Q1639" i="15"/>
  <c r="T1639" i="15"/>
  <c r="U1639" i="15"/>
  <c r="V1639" i="15"/>
  <c r="W1639" i="15"/>
  <c r="X1639" i="15"/>
  <c r="Y1639" i="15"/>
  <c r="Z1639" i="15"/>
  <c r="AA1639" i="15"/>
  <c r="B1640" i="15"/>
  <c r="C1640" i="15"/>
  <c r="D1640" i="15"/>
  <c r="E1640" i="15"/>
  <c r="J1640" i="15"/>
  <c r="K1640" i="15"/>
  <c r="L1640" i="15"/>
  <c r="M1640" i="15"/>
  <c r="N1640" i="15"/>
  <c r="O1640" i="15"/>
  <c r="P1640" i="15"/>
  <c r="Q1640" i="15"/>
  <c r="T1640" i="15"/>
  <c r="U1640" i="15"/>
  <c r="V1640" i="15"/>
  <c r="W1640" i="15"/>
  <c r="X1640" i="15"/>
  <c r="Y1640" i="15"/>
  <c r="Z1640" i="15"/>
  <c r="AA1640" i="15"/>
  <c r="B1641" i="15"/>
  <c r="C1641" i="15"/>
  <c r="D1641" i="15"/>
  <c r="E1641" i="15"/>
  <c r="J1641" i="15"/>
  <c r="K1641" i="15"/>
  <c r="L1641" i="15"/>
  <c r="M1641" i="15"/>
  <c r="N1641" i="15"/>
  <c r="O1641" i="15"/>
  <c r="P1641" i="15"/>
  <c r="Q1641" i="15"/>
  <c r="T1641" i="15"/>
  <c r="U1641" i="15"/>
  <c r="V1641" i="15"/>
  <c r="W1641" i="15"/>
  <c r="X1641" i="15"/>
  <c r="Y1641" i="15"/>
  <c r="Z1641" i="15"/>
  <c r="AA1641" i="15"/>
  <c r="B1642" i="15"/>
  <c r="C1642" i="15"/>
  <c r="D1642" i="15"/>
  <c r="E1642" i="15"/>
  <c r="J1642" i="15"/>
  <c r="K1642" i="15"/>
  <c r="L1642" i="15"/>
  <c r="M1642" i="15"/>
  <c r="N1642" i="15"/>
  <c r="O1642" i="15"/>
  <c r="P1642" i="15"/>
  <c r="Q1642" i="15"/>
  <c r="T1642" i="15"/>
  <c r="U1642" i="15"/>
  <c r="V1642" i="15"/>
  <c r="W1642" i="15"/>
  <c r="X1642" i="15"/>
  <c r="Y1642" i="15"/>
  <c r="Z1642" i="15"/>
  <c r="AA1642" i="15"/>
  <c r="B1643" i="15"/>
  <c r="C1643" i="15"/>
  <c r="D1643" i="15"/>
  <c r="E1643" i="15"/>
  <c r="J1643" i="15"/>
  <c r="K1643" i="15"/>
  <c r="L1643" i="15"/>
  <c r="M1643" i="15"/>
  <c r="N1643" i="15"/>
  <c r="O1643" i="15"/>
  <c r="P1643" i="15"/>
  <c r="Q1643" i="15"/>
  <c r="T1643" i="15"/>
  <c r="U1643" i="15"/>
  <c r="V1643" i="15"/>
  <c r="W1643" i="15"/>
  <c r="X1643" i="15"/>
  <c r="Y1643" i="15"/>
  <c r="Z1643" i="15"/>
  <c r="AA1643" i="15"/>
  <c r="B1644" i="15"/>
  <c r="C1644" i="15"/>
  <c r="D1644" i="15"/>
  <c r="E1644" i="15"/>
  <c r="J1644" i="15"/>
  <c r="K1644" i="15"/>
  <c r="L1644" i="15"/>
  <c r="M1644" i="15"/>
  <c r="N1644" i="15"/>
  <c r="O1644" i="15"/>
  <c r="P1644" i="15"/>
  <c r="Q1644" i="15"/>
  <c r="T1644" i="15"/>
  <c r="U1644" i="15"/>
  <c r="V1644" i="15"/>
  <c r="W1644" i="15"/>
  <c r="X1644" i="15"/>
  <c r="Y1644" i="15"/>
  <c r="Z1644" i="15"/>
  <c r="AA1644" i="15"/>
  <c r="B1645" i="15"/>
  <c r="C1645" i="15"/>
  <c r="D1645" i="15"/>
  <c r="E1645" i="15"/>
  <c r="J1645" i="15"/>
  <c r="K1645" i="15"/>
  <c r="L1645" i="15"/>
  <c r="M1645" i="15"/>
  <c r="N1645" i="15"/>
  <c r="O1645" i="15"/>
  <c r="P1645" i="15"/>
  <c r="Q1645" i="15"/>
  <c r="T1645" i="15"/>
  <c r="U1645" i="15"/>
  <c r="V1645" i="15"/>
  <c r="W1645" i="15"/>
  <c r="X1645" i="15"/>
  <c r="Y1645" i="15"/>
  <c r="Z1645" i="15"/>
  <c r="AA1645" i="15"/>
  <c r="B1646" i="15"/>
  <c r="C1646" i="15"/>
  <c r="D1646" i="15"/>
  <c r="E1646" i="15"/>
  <c r="J1646" i="15"/>
  <c r="K1646" i="15"/>
  <c r="L1646" i="15"/>
  <c r="M1646" i="15"/>
  <c r="N1646" i="15"/>
  <c r="O1646" i="15"/>
  <c r="P1646" i="15"/>
  <c r="Q1646" i="15"/>
  <c r="T1646" i="15"/>
  <c r="U1646" i="15"/>
  <c r="V1646" i="15"/>
  <c r="W1646" i="15"/>
  <c r="X1646" i="15"/>
  <c r="Y1646" i="15"/>
  <c r="Z1646" i="15"/>
  <c r="AA1646" i="15"/>
  <c r="B1647" i="15"/>
  <c r="C1647" i="15"/>
  <c r="D1647" i="15"/>
  <c r="E1647" i="15"/>
  <c r="J1647" i="15"/>
  <c r="K1647" i="15"/>
  <c r="L1647" i="15"/>
  <c r="M1647" i="15"/>
  <c r="N1647" i="15"/>
  <c r="O1647" i="15"/>
  <c r="P1647" i="15"/>
  <c r="Q1647" i="15"/>
  <c r="T1647" i="15"/>
  <c r="U1647" i="15"/>
  <c r="V1647" i="15"/>
  <c r="W1647" i="15"/>
  <c r="X1647" i="15"/>
  <c r="Y1647" i="15"/>
  <c r="Z1647" i="15"/>
  <c r="AA1647" i="15"/>
  <c r="B1648" i="15"/>
  <c r="C1648" i="15"/>
  <c r="D1648" i="15"/>
  <c r="E1648" i="15"/>
  <c r="J1648" i="15"/>
  <c r="K1648" i="15"/>
  <c r="L1648" i="15"/>
  <c r="M1648" i="15"/>
  <c r="N1648" i="15"/>
  <c r="O1648" i="15"/>
  <c r="P1648" i="15"/>
  <c r="Q1648" i="15"/>
  <c r="T1648" i="15"/>
  <c r="U1648" i="15"/>
  <c r="V1648" i="15"/>
  <c r="W1648" i="15"/>
  <c r="X1648" i="15"/>
  <c r="Y1648" i="15"/>
  <c r="Z1648" i="15"/>
  <c r="AA1648" i="15"/>
  <c r="B1649" i="15"/>
  <c r="C1649" i="15"/>
  <c r="D1649" i="15"/>
  <c r="E1649" i="15"/>
  <c r="J1649" i="15"/>
  <c r="K1649" i="15"/>
  <c r="L1649" i="15"/>
  <c r="M1649" i="15"/>
  <c r="N1649" i="15"/>
  <c r="O1649" i="15"/>
  <c r="P1649" i="15"/>
  <c r="Q1649" i="15"/>
  <c r="T1649" i="15"/>
  <c r="U1649" i="15"/>
  <c r="V1649" i="15"/>
  <c r="W1649" i="15"/>
  <c r="X1649" i="15"/>
  <c r="Y1649" i="15"/>
  <c r="Z1649" i="15"/>
  <c r="AA1649" i="15"/>
  <c r="B1650" i="15"/>
  <c r="C1650" i="15"/>
  <c r="D1650" i="15"/>
  <c r="E1650" i="15"/>
  <c r="J1650" i="15"/>
  <c r="K1650" i="15"/>
  <c r="L1650" i="15"/>
  <c r="M1650" i="15"/>
  <c r="N1650" i="15"/>
  <c r="O1650" i="15"/>
  <c r="P1650" i="15"/>
  <c r="Q1650" i="15"/>
  <c r="T1650" i="15"/>
  <c r="U1650" i="15"/>
  <c r="V1650" i="15"/>
  <c r="W1650" i="15"/>
  <c r="X1650" i="15"/>
  <c r="Y1650" i="15"/>
  <c r="Z1650" i="15"/>
  <c r="AA1650" i="15"/>
  <c r="B1651" i="15"/>
  <c r="C1651" i="15"/>
  <c r="D1651" i="15"/>
  <c r="E1651" i="15"/>
  <c r="J1651" i="15"/>
  <c r="K1651" i="15"/>
  <c r="L1651" i="15"/>
  <c r="M1651" i="15"/>
  <c r="N1651" i="15"/>
  <c r="O1651" i="15"/>
  <c r="P1651" i="15"/>
  <c r="Q1651" i="15"/>
  <c r="T1651" i="15"/>
  <c r="U1651" i="15"/>
  <c r="V1651" i="15"/>
  <c r="W1651" i="15"/>
  <c r="X1651" i="15"/>
  <c r="Y1651" i="15"/>
  <c r="Z1651" i="15"/>
  <c r="AA1651" i="15"/>
  <c r="B1652" i="15"/>
  <c r="C1652" i="15"/>
  <c r="D1652" i="15"/>
  <c r="E1652" i="15"/>
  <c r="J1652" i="15"/>
  <c r="K1652" i="15"/>
  <c r="L1652" i="15"/>
  <c r="M1652" i="15"/>
  <c r="N1652" i="15"/>
  <c r="O1652" i="15"/>
  <c r="P1652" i="15"/>
  <c r="Q1652" i="15"/>
  <c r="T1652" i="15"/>
  <c r="U1652" i="15"/>
  <c r="V1652" i="15"/>
  <c r="W1652" i="15"/>
  <c r="X1652" i="15"/>
  <c r="Y1652" i="15"/>
  <c r="Z1652" i="15"/>
  <c r="AA1652" i="15"/>
  <c r="B1653" i="15"/>
  <c r="C1653" i="15"/>
  <c r="D1653" i="15"/>
  <c r="E1653" i="15"/>
  <c r="J1653" i="15"/>
  <c r="K1653" i="15"/>
  <c r="L1653" i="15"/>
  <c r="M1653" i="15"/>
  <c r="N1653" i="15"/>
  <c r="O1653" i="15"/>
  <c r="P1653" i="15"/>
  <c r="Q1653" i="15"/>
  <c r="T1653" i="15"/>
  <c r="U1653" i="15"/>
  <c r="V1653" i="15"/>
  <c r="W1653" i="15"/>
  <c r="X1653" i="15"/>
  <c r="Y1653" i="15"/>
  <c r="Z1653" i="15"/>
  <c r="AA1653" i="15"/>
  <c r="B1654" i="15"/>
  <c r="C1654" i="15"/>
  <c r="D1654" i="15"/>
  <c r="E1654" i="15"/>
  <c r="J1654" i="15"/>
  <c r="K1654" i="15"/>
  <c r="L1654" i="15"/>
  <c r="M1654" i="15"/>
  <c r="N1654" i="15"/>
  <c r="O1654" i="15"/>
  <c r="P1654" i="15"/>
  <c r="Q1654" i="15"/>
  <c r="T1654" i="15"/>
  <c r="U1654" i="15"/>
  <c r="V1654" i="15"/>
  <c r="W1654" i="15"/>
  <c r="X1654" i="15"/>
  <c r="Y1654" i="15"/>
  <c r="Z1654" i="15"/>
  <c r="AA1654" i="15"/>
  <c r="B1655" i="15"/>
  <c r="C1655" i="15"/>
  <c r="D1655" i="15"/>
  <c r="E1655" i="15"/>
  <c r="J1655" i="15"/>
  <c r="K1655" i="15"/>
  <c r="L1655" i="15"/>
  <c r="M1655" i="15"/>
  <c r="N1655" i="15"/>
  <c r="O1655" i="15"/>
  <c r="P1655" i="15"/>
  <c r="Q1655" i="15"/>
  <c r="T1655" i="15"/>
  <c r="U1655" i="15"/>
  <c r="V1655" i="15"/>
  <c r="W1655" i="15"/>
  <c r="X1655" i="15"/>
  <c r="Y1655" i="15"/>
  <c r="Z1655" i="15"/>
  <c r="AA1655" i="15"/>
  <c r="B1656" i="15"/>
  <c r="C1656" i="15"/>
  <c r="D1656" i="15"/>
  <c r="E1656" i="15"/>
  <c r="J1656" i="15"/>
  <c r="K1656" i="15"/>
  <c r="L1656" i="15"/>
  <c r="M1656" i="15"/>
  <c r="N1656" i="15"/>
  <c r="O1656" i="15"/>
  <c r="P1656" i="15"/>
  <c r="Q1656" i="15"/>
  <c r="T1656" i="15"/>
  <c r="U1656" i="15"/>
  <c r="V1656" i="15"/>
  <c r="W1656" i="15"/>
  <c r="X1656" i="15"/>
  <c r="Y1656" i="15"/>
  <c r="Z1656" i="15"/>
  <c r="AA1656" i="15"/>
  <c r="B1657" i="15"/>
  <c r="C1657" i="15"/>
  <c r="D1657" i="15"/>
  <c r="E1657" i="15"/>
  <c r="J1657" i="15"/>
  <c r="K1657" i="15"/>
  <c r="L1657" i="15"/>
  <c r="M1657" i="15"/>
  <c r="N1657" i="15"/>
  <c r="O1657" i="15"/>
  <c r="P1657" i="15"/>
  <c r="Q1657" i="15"/>
  <c r="T1657" i="15"/>
  <c r="U1657" i="15"/>
  <c r="V1657" i="15"/>
  <c r="W1657" i="15"/>
  <c r="X1657" i="15"/>
  <c r="Y1657" i="15"/>
  <c r="Z1657" i="15"/>
  <c r="AA1657" i="15"/>
  <c r="B1658" i="15"/>
  <c r="C1658" i="15"/>
  <c r="D1658" i="15"/>
  <c r="E1658" i="15"/>
  <c r="J1658" i="15"/>
  <c r="K1658" i="15"/>
  <c r="L1658" i="15"/>
  <c r="M1658" i="15"/>
  <c r="N1658" i="15"/>
  <c r="O1658" i="15"/>
  <c r="P1658" i="15"/>
  <c r="Q1658" i="15"/>
  <c r="T1658" i="15"/>
  <c r="U1658" i="15"/>
  <c r="V1658" i="15"/>
  <c r="W1658" i="15"/>
  <c r="X1658" i="15"/>
  <c r="Y1658" i="15"/>
  <c r="Z1658" i="15"/>
  <c r="AA1658" i="15"/>
  <c r="B1659" i="15"/>
  <c r="C1659" i="15"/>
  <c r="D1659" i="15"/>
  <c r="E1659" i="15"/>
  <c r="J1659" i="15"/>
  <c r="K1659" i="15"/>
  <c r="L1659" i="15"/>
  <c r="M1659" i="15"/>
  <c r="N1659" i="15"/>
  <c r="O1659" i="15"/>
  <c r="P1659" i="15"/>
  <c r="Q1659" i="15"/>
  <c r="T1659" i="15"/>
  <c r="U1659" i="15"/>
  <c r="V1659" i="15"/>
  <c r="W1659" i="15"/>
  <c r="X1659" i="15"/>
  <c r="Y1659" i="15"/>
  <c r="Z1659" i="15"/>
  <c r="AA1659" i="15"/>
  <c r="B1660" i="15"/>
  <c r="C1660" i="15"/>
  <c r="D1660" i="15"/>
  <c r="E1660" i="15"/>
  <c r="J1660" i="15"/>
  <c r="K1660" i="15"/>
  <c r="L1660" i="15"/>
  <c r="M1660" i="15"/>
  <c r="N1660" i="15"/>
  <c r="O1660" i="15"/>
  <c r="P1660" i="15"/>
  <c r="Q1660" i="15"/>
  <c r="T1660" i="15"/>
  <c r="U1660" i="15"/>
  <c r="V1660" i="15"/>
  <c r="W1660" i="15"/>
  <c r="X1660" i="15"/>
  <c r="Y1660" i="15"/>
  <c r="Z1660" i="15"/>
  <c r="AA1660" i="15"/>
  <c r="B1661" i="15"/>
  <c r="C1661" i="15"/>
  <c r="D1661" i="15"/>
  <c r="E1661" i="15"/>
  <c r="J1661" i="15"/>
  <c r="K1661" i="15"/>
  <c r="L1661" i="15"/>
  <c r="M1661" i="15"/>
  <c r="N1661" i="15"/>
  <c r="O1661" i="15"/>
  <c r="P1661" i="15"/>
  <c r="Q1661" i="15"/>
  <c r="T1661" i="15"/>
  <c r="U1661" i="15"/>
  <c r="V1661" i="15"/>
  <c r="W1661" i="15"/>
  <c r="X1661" i="15"/>
  <c r="Y1661" i="15"/>
  <c r="Z1661" i="15"/>
  <c r="AA1661" i="15"/>
  <c r="B1662" i="15"/>
  <c r="C1662" i="15"/>
  <c r="D1662" i="15"/>
  <c r="E1662" i="15"/>
  <c r="J1662" i="15"/>
  <c r="K1662" i="15"/>
  <c r="L1662" i="15"/>
  <c r="M1662" i="15"/>
  <c r="N1662" i="15"/>
  <c r="O1662" i="15"/>
  <c r="P1662" i="15"/>
  <c r="Q1662" i="15"/>
  <c r="T1662" i="15"/>
  <c r="U1662" i="15"/>
  <c r="V1662" i="15"/>
  <c r="W1662" i="15"/>
  <c r="X1662" i="15"/>
  <c r="Y1662" i="15"/>
  <c r="Z1662" i="15"/>
  <c r="AA1662" i="15"/>
  <c r="B1663" i="15"/>
  <c r="C1663" i="15"/>
  <c r="D1663" i="15"/>
  <c r="E1663" i="15"/>
  <c r="J1663" i="15"/>
  <c r="K1663" i="15"/>
  <c r="L1663" i="15"/>
  <c r="M1663" i="15"/>
  <c r="N1663" i="15"/>
  <c r="O1663" i="15"/>
  <c r="P1663" i="15"/>
  <c r="Q1663" i="15"/>
  <c r="T1663" i="15"/>
  <c r="U1663" i="15"/>
  <c r="V1663" i="15"/>
  <c r="W1663" i="15"/>
  <c r="X1663" i="15"/>
  <c r="Y1663" i="15"/>
  <c r="Z1663" i="15"/>
  <c r="AA1663" i="15"/>
  <c r="B1664" i="15"/>
  <c r="C1664" i="15"/>
  <c r="D1664" i="15"/>
  <c r="E1664" i="15"/>
  <c r="J1664" i="15"/>
  <c r="K1664" i="15"/>
  <c r="L1664" i="15"/>
  <c r="M1664" i="15"/>
  <c r="N1664" i="15"/>
  <c r="O1664" i="15"/>
  <c r="P1664" i="15"/>
  <c r="Q1664" i="15"/>
  <c r="T1664" i="15"/>
  <c r="U1664" i="15"/>
  <c r="V1664" i="15"/>
  <c r="W1664" i="15"/>
  <c r="X1664" i="15"/>
  <c r="Y1664" i="15"/>
  <c r="Z1664" i="15"/>
  <c r="AA1664" i="15"/>
  <c r="B1665" i="15"/>
  <c r="C1665" i="15"/>
  <c r="D1665" i="15"/>
  <c r="E1665" i="15"/>
  <c r="J1665" i="15"/>
  <c r="K1665" i="15"/>
  <c r="L1665" i="15"/>
  <c r="M1665" i="15"/>
  <c r="N1665" i="15"/>
  <c r="O1665" i="15"/>
  <c r="P1665" i="15"/>
  <c r="Q1665" i="15"/>
  <c r="T1665" i="15"/>
  <c r="U1665" i="15"/>
  <c r="V1665" i="15"/>
  <c r="W1665" i="15"/>
  <c r="X1665" i="15"/>
  <c r="Y1665" i="15"/>
  <c r="Z1665" i="15"/>
  <c r="AA1665" i="15"/>
  <c r="B1666" i="15"/>
  <c r="C1666" i="15"/>
  <c r="D1666" i="15"/>
  <c r="E1666" i="15"/>
  <c r="J1666" i="15"/>
  <c r="K1666" i="15"/>
  <c r="L1666" i="15"/>
  <c r="M1666" i="15"/>
  <c r="N1666" i="15"/>
  <c r="O1666" i="15"/>
  <c r="P1666" i="15"/>
  <c r="Q1666" i="15"/>
  <c r="T1666" i="15"/>
  <c r="U1666" i="15"/>
  <c r="V1666" i="15"/>
  <c r="W1666" i="15"/>
  <c r="X1666" i="15"/>
  <c r="Y1666" i="15"/>
  <c r="Z1666" i="15"/>
  <c r="AA1666" i="15"/>
  <c r="B1667" i="15"/>
  <c r="C1667" i="15"/>
  <c r="D1667" i="15"/>
  <c r="E1667" i="15"/>
  <c r="J1667" i="15"/>
  <c r="K1667" i="15"/>
  <c r="L1667" i="15"/>
  <c r="M1667" i="15"/>
  <c r="N1667" i="15"/>
  <c r="O1667" i="15"/>
  <c r="P1667" i="15"/>
  <c r="Q1667" i="15"/>
  <c r="T1667" i="15"/>
  <c r="U1667" i="15"/>
  <c r="V1667" i="15"/>
  <c r="W1667" i="15"/>
  <c r="X1667" i="15"/>
  <c r="Y1667" i="15"/>
  <c r="Z1667" i="15"/>
  <c r="AA1667" i="15"/>
  <c r="B1668" i="15"/>
  <c r="C1668" i="15"/>
  <c r="D1668" i="15"/>
  <c r="E1668" i="15"/>
  <c r="J1668" i="15"/>
  <c r="K1668" i="15"/>
  <c r="L1668" i="15"/>
  <c r="M1668" i="15"/>
  <c r="N1668" i="15"/>
  <c r="O1668" i="15"/>
  <c r="P1668" i="15"/>
  <c r="Q1668" i="15"/>
  <c r="T1668" i="15"/>
  <c r="U1668" i="15"/>
  <c r="V1668" i="15"/>
  <c r="W1668" i="15"/>
  <c r="X1668" i="15"/>
  <c r="Y1668" i="15"/>
  <c r="Z1668" i="15"/>
  <c r="AA1668" i="15"/>
  <c r="B1669" i="15"/>
  <c r="C1669" i="15"/>
  <c r="D1669" i="15"/>
  <c r="E1669" i="15"/>
  <c r="J1669" i="15"/>
  <c r="K1669" i="15"/>
  <c r="L1669" i="15"/>
  <c r="M1669" i="15"/>
  <c r="N1669" i="15"/>
  <c r="O1669" i="15"/>
  <c r="P1669" i="15"/>
  <c r="Q1669" i="15"/>
  <c r="T1669" i="15"/>
  <c r="U1669" i="15"/>
  <c r="V1669" i="15"/>
  <c r="W1669" i="15"/>
  <c r="X1669" i="15"/>
  <c r="Y1669" i="15"/>
  <c r="Z1669" i="15"/>
  <c r="AA1669" i="15"/>
  <c r="B1670" i="15"/>
  <c r="C1670" i="15"/>
  <c r="D1670" i="15"/>
  <c r="E1670" i="15"/>
  <c r="J1670" i="15"/>
  <c r="K1670" i="15"/>
  <c r="L1670" i="15"/>
  <c r="M1670" i="15"/>
  <c r="N1670" i="15"/>
  <c r="O1670" i="15"/>
  <c r="P1670" i="15"/>
  <c r="Q1670" i="15"/>
  <c r="T1670" i="15"/>
  <c r="U1670" i="15"/>
  <c r="V1670" i="15"/>
  <c r="W1670" i="15"/>
  <c r="X1670" i="15"/>
  <c r="Y1670" i="15"/>
  <c r="Z1670" i="15"/>
  <c r="AA1670" i="15"/>
  <c r="B1671" i="15"/>
  <c r="C1671" i="15"/>
  <c r="D1671" i="15"/>
  <c r="E1671" i="15"/>
  <c r="J1671" i="15"/>
  <c r="K1671" i="15"/>
  <c r="L1671" i="15"/>
  <c r="M1671" i="15"/>
  <c r="N1671" i="15"/>
  <c r="O1671" i="15"/>
  <c r="P1671" i="15"/>
  <c r="Q1671" i="15"/>
  <c r="T1671" i="15"/>
  <c r="U1671" i="15"/>
  <c r="V1671" i="15"/>
  <c r="W1671" i="15"/>
  <c r="X1671" i="15"/>
  <c r="Y1671" i="15"/>
  <c r="Z1671" i="15"/>
  <c r="AA1671" i="15"/>
  <c r="B1672" i="15"/>
  <c r="C1672" i="15"/>
  <c r="D1672" i="15"/>
  <c r="E1672" i="15"/>
  <c r="J1672" i="15"/>
  <c r="K1672" i="15"/>
  <c r="L1672" i="15"/>
  <c r="M1672" i="15"/>
  <c r="N1672" i="15"/>
  <c r="O1672" i="15"/>
  <c r="P1672" i="15"/>
  <c r="Q1672" i="15"/>
  <c r="T1672" i="15"/>
  <c r="U1672" i="15"/>
  <c r="V1672" i="15"/>
  <c r="W1672" i="15"/>
  <c r="X1672" i="15"/>
  <c r="Y1672" i="15"/>
  <c r="Z1672" i="15"/>
  <c r="AA1672" i="15"/>
  <c r="B1673" i="15"/>
  <c r="C1673" i="15"/>
  <c r="D1673" i="15"/>
  <c r="E1673" i="15"/>
  <c r="J1673" i="15"/>
  <c r="K1673" i="15"/>
  <c r="L1673" i="15"/>
  <c r="M1673" i="15"/>
  <c r="N1673" i="15"/>
  <c r="O1673" i="15"/>
  <c r="P1673" i="15"/>
  <c r="Q1673" i="15"/>
  <c r="T1673" i="15"/>
  <c r="U1673" i="15"/>
  <c r="V1673" i="15"/>
  <c r="W1673" i="15"/>
  <c r="X1673" i="15"/>
  <c r="Y1673" i="15"/>
  <c r="Z1673" i="15"/>
  <c r="AA1673" i="15"/>
  <c r="B1674" i="15"/>
  <c r="C1674" i="15"/>
  <c r="D1674" i="15"/>
  <c r="E1674" i="15"/>
  <c r="J1674" i="15"/>
  <c r="K1674" i="15"/>
  <c r="L1674" i="15"/>
  <c r="M1674" i="15"/>
  <c r="N1674" i="15"/>
  <c r="O1674" i="15"/>
  <c r="P1674" i="15"/>
  <c r="Q1674" i="15"/>
  <c r="T1674" i="15"/>
  <c r="U1674" i="15"/>
  <c r="V1674" i="15"/>
  <c r="W1674" i="15"/>
  <c r="X1674" i="15"/>
  <c r="Y1674" i="15"/>
  <c r="Z1674" i="15"/>
  <c r="AA1674" i="15"/>
  <c r="B1675" i="15"/>
  <c r="C1675" i="15"/>
  <c r="D1675" i="15"/>
  <c r="E1675" i="15"/>
  <c r="J1675" i="15"/>
  <c r="K1675" i="15"/>
  <c r="L1675" i="15"/>
  <c r="M1675" i="15"/>
  <c r="N1675" i="15"/>
  <c r="O1675" i="15"/>
  <c r="P1675" i="15"/>
  <c r="Q1675" i="15"/>
  <c r="T1675" i="15"/>
  <c r="U1675" i="15"/>
  <c r="V1675" i="15"/>
  <c r="W1675" i="15"/>
  <c r="X1675" i="15"/>
  <c r="Y1675" i="15"/>
  <c r="Z1675" i="15"/>
  <c r="AA1675" i="15"/>
  <c r="B1676" i="15"/>
  <c r="C1676" i="15"/>
  <c r="D1676" i="15"/>
  <c r="E1676" i="15"/>
  <c r="J1676" i="15"/>
  <c r="K1676" i="15"/>
  <c r="L1676" i="15"/>
  <c r="M1676" i="15"/>
  <c r="N1676" i="15"/>
  <c r="O1676" i="15"/>
  <c r="P1676" i="15"/>
  <c r="Q1676" i="15"/>
  <c r="T1676" i="15"/>
  <c r="U1676" i="15"/>
  <c r="V1676" i="15"/>
  <c r="W1676" i="15"/>
  <c r="X1676" i="15"/>
  <c r="Y1676" i="15"/>
  <c r="Z1676" i="15"/>
  <c r="AA1676" i="15"/>
  <c r="B1677" i="15"/>
  <c r="C1677" i="15"/>
  <c r="D1677" i="15"/>
  <c r="E1677" i="15"/>
  <c r="J1677" i="15"/>
  <c r="K1677" i="15"/>
  <c r="L1677" i="15"/>
  <c r="M1677" i="15"/>
  <c r="N1677" i="15"/>
  <c r="O1677" i="15"/>
  <c r="P1677" i="15"/>
  <c r="Q1677" i="15"/>
  <c r="T1677" i="15"/>
  <c r="U1677" i="15"/>
  <c r="V1677" i="15"/>
  <c r="W1677" i="15"/>
  <c r="X1677" i="15"/>
  <c r="Y1677" i="15"/>
  <c r="Z1677" i="15"/>
  <c r="AA1677" i="15"/>
  <c r="B1678" i="15"/>
  <c r="C1678" i="15"/>
  <c r="D1678" i="15"/>
  <c r="E1678" i="15"/>
  <c r="J1678" i="15"/>
  <c r="K1678" i="15"/>
  <c r="L1678" i="15"/>
  <c r="M1678" i="15"/>
  <c r="N1678" i="15"/>
  <c r="O1678" i="15"/>
  <c r="P1678" i="15"/>
  <c r="Q1678" i="15"/>
  <c r="T1678" i="15"/>
  <c r="U1678" i="15"/>
  <c r="V1678" i="15"/>
  <c r="W1678" i="15"/>
  <c r="X1678" i="15"/>
  <c r="Y1678" i="15"/>
  <c r="Z1678" i="15"/>
  <c r="AA1678" i="15"/>
  <c r="B1679" i="15"/>
  <c r="C1679" i="15"/>
  <c r="D1679" i="15"/>
  <c r="E1679" i="15"/>
  <c r="J1679" i="15"/>
  <c r="K1679" i="15"/>
  <c r="L1679" i="15"/>
  <c r="M1679" i="15"/>
  <c r="N1679" i="15"/>
  <c r="O1679" i="15"/>
  <c r="P1679" i="15"/>
  <c r="Q1679" i="15"/>
  <c r="T1679" i="15"/>
  <c r="U1679" i="15"/>
  <c r="V1679" i="15"/>
  <c r="W1679" i="15"/>
  <c r="X1679" i="15"/>
  <c r="Y1679" i="15"/>
  <c r="Z1679" i="15"/>
  <c r="AA1679" i="15"/>
  <c r="B1680" i="15"/>
  <c r="C1680" i="15"/>
  <c r="D1680" i="15"/>
  <c r="E1680" i="15"/>
  <c r="J1680" i="15"/>
  <c r="K1680" i="15"/>
  <c r="L1680" i="15"/>
  <c r="M1680" i="15"/>
  <c r="N1680" i="15"/>
  <c r="O1680" i="15"/>
  <c r="P1680" i="15"/>
  <c r="Q1680" i="15"/>
  <c r="T1680" i="15"/>
  <c r="U1680" i="15"/>
  <c r="V1680" i="15"/>
  <c r="W1680" i="15"/>
  <c r="X1680" i="15"/>
  <c r="Y1680" i="15"/>
  <c r="Z1680" i="15"/>
  <c r="AA1680" i="15"/>
  <c r="B1681" i="15"/>
  <c r="C1681" i="15"/>
  <c r="D1681" i="15"/>
  <c r="E1681" i="15"/>
  <c r="J1681" i="15"/>
  <c r="K1681" i="15"/>
  <c r="L1681" i="15"/>
  <c r="M1681" i="15"/>
  <c r="N1681" i="15"/>
  <c r="O1681" i="15"/>
  <c r="P1681" i="15"/>
  <c r="Q1681" i="15"/>
  <c r="T1681" i="15"/>
  <c r="U1681" i="15"/>
  <c r="V1681" i="15"/>
  <c r="W1681" i="15"/>
  <c r="X1681" i="15"/>
  <c r="Y1681" i="15"/>
  <c r="Z1681" i="15"/>
  <c r="AA1681" i="15"/>
  <c r="B1682" i="15"/>
  <c r="C1682" i="15"/>
  <c r="D1682" i="15"/>
  <c r="E1682" i="15"/>
  <c r="J1682" i="15"/>
  <c r="K1682" i="15"/>
  <c r="L1682" i="15"/>
  <c r="M1682" i="15"/>
  <c r="N1682" i="15"/>
  <c r="O1682" i="15"/>
  <c r="P1682" i="15"/>
  <c r="Q1682" i="15"/>
  <c r="T1682" i="15"/>
  <c r="U1682" i="15"/>
  <c r="V1682" i="15"/>
  <c r="W1682" i="15"/>
  <c r="X1682" i="15"/>
  <c r="Y1682" i="15"/>
  <c r="Z1682" i="15"/>
  <c r="AA1682" i="15"/>
  <c r="B1683" i="15"/>
  <c r="C1683" i="15"/>
  <c r="D1683" i="15"/>
  <c r="E1683" i="15"/>
  <c r="J1683" i="15"/>
  <c r="K1683" i="15"/>
  <c r="L1683" i="15"/>
  <c r="M1683" i="15"/>
  <c r="N1683" i="15"/>
  <c r="O1683" i="15"/>
  <c r="P1683" i="15"/>
  <c r="Q1683" i="15"/>
  <c r="T1683" i="15"/>
  <c r="U1683" i="15"/>
  <c r="V1683" i="15"/>
  <c r="W1683" i="15"/>
  <c r="X1683" i="15"/>
  <c r="Y1683" i="15"/>
  <c r="Z1683" i="15"/>
  <c r="AA1683" i="15"/>
  <c r="B1684" i="15"/>
  <c r="C1684" i="15"/>
  <c r="D1684" i="15"/>
  <c r="E1684" i="15"/>
  <c r="J1684" i="15"/>
  <c r="K1684" i="15"/>
  <c r="L1684" i="15"/>
  <c r="M1684" i="15"/>
  <c r="N1684" i="15"/>
  <c r="O1684" i="15"/>
  <c r="P1684" i="15"/>
  <c r="Q1684" i="15"/>
  <c r="T1684" i="15"/>
  <c r="U1684" i="15"/>
  <c r="V1684" i="15"/>
  <c r="W1684" i="15"/>
  <c r="X1684" i="15"/>
  <c r="Y1684" i="15"/>
  <c r="Z1684" i="15"/>
  <c r="AA1684" i="15"/>
  <c r="B1685" i="15"/>
  <c r="C1685" i="15"/>
  <c r="D1685" i="15"/>
  <c r="E1685" i="15"/>
  <c r="J1685" i="15"/>
  <c r="K1685" i="15"/>
  <c r="L1685" i="15"/>
  <c r="M1685" i="15"/>
  <c r="N1685" i="15"/>
  <c r="O1685" i="15"/>
  <c r="P1685" i="15"/>
  <c r="Q1685" i="15"/>
  <c r="T1685" i="15"/>
  <c r="U1685" i="15"/>
  <c r="V1685" i="15"/>
  <c r="W1685" i="15"/>
  <c r="X1685" i="15"/>
  <c r="Y1685" i="15"/>
  <c r="Z1685" i="15"/>
  <c r="AA1685" i="15"/>
  <c r="B1686" i="15"/>
  <c r="C1686" i="15"/>
  <c r="D1686" i="15"/>
  <c r="E1686" i="15"/>
  <c r="J1686" i="15"/>
  <c r="K1686" i="15"/>
  <c r="L1686" i="15"/>
  <c r="M1686" i="15"/>
  <c r="N1686" i="15"/>
  <c r="O1686" i="15"/>
  <c r="P1686" i="15"/>
  <c r="Q1686" i="15"/>
  <c r="T1686" i="15"/>
  <c r="U1686" i="15"/>
  <c r="V1686" i="15"/>
  <c r="W1686" i="15"/>
  <c r="X1686" i="15"/>
  <c r="Y1686" i="15"/>
  <c r="Z1686" i="15"/>
  <c r="AA1686" i="15"/>
  <c r="B1687" i="15"/>
  <c r="C1687" i="15"/>
  <c r="D1687" i="15"/>
  <c r="E1687" i="15"/>
  <c r="J1687" i="15"/>
  <c r="K1687" i="15"/>
  <c r="L1687" i="15"/>
  <c r="M1687" i="15"/>
  <c r="N1687" i="15"/>
  <c r="O1687" i="15"/>
  <c r="P1687" i="15"/>
  <c r="Q1687" i="15"/>
  <c r="T1687" i="15"/>
  <c r="U1687" i="15"/>
  <c r="V1687" i="15"/>
  <c r="W1687" i="15"/>
  <c r="X1687" i="15"/>
  <c r="Y1687" i="15"/>
  <c r="Z1687" i="15"/>
  <c r="AA1687" i="15"/>
  <c r="B1688" i="15"/>
  <c r="C1688" i="15"/>
  <c r="D1688" i="15"/>
  <c r="E1688" i="15"/>
  <c r="J1688" i="15"/>
  <c r="K1688" i="15"/>
  <c r="L1688" i="15"/>
  <c r="M1688" i="15"/>
  <c r="N1688" i="15"/>
  <c r="O1688" i="15"/>
  <c r="P1688" i="15"/>
  <c r="Q1688" i="15"/>
  <c r="T1688" i="15"/>
  <c r="U1688" i="15"/>
  <c r="V1688" i="15"/>
  <c r="W1688" i="15"/>
  <c r="X1688" i="15"/>
  <c r="Y1688" i="15"/>
  <c r="Z1688" i="15"/>
  <c r="AA1688" i="15"/>
  <c r="B1689" i="15"/>
  <c r="C1689" i="15"/>
  <c r="D1689" i="15"/>
  <c r="E1689" i="15"/>
  <c r="J1689" i="15"/>
  <c r="K1689" i="15"/>
  <c r="L1689" i="15"/>
  <c r="M1689" i="15"/>
  <c r="N1689" i="15"/>
  <c r="O1689" i="15"/>
  <c r="P1689" i="15"/>
  <c r="Q1689" i="15"/>
  <c r="T1689" i="15"/>
  <c r="U1689" i="15"/>
  <c r="V1689" i="15"/>
  <c r="W1689" i="15"/>
  <c r="X1689" i="15"/>
  <c r="Y1689" i="15"/>
  <c r="Z1689" i="15"/>
  <c r="AA1689" i="15"/>
  <c r="B1690" i="15"/>
  <c r="C1690" i="15"/>
  <c r="D1690" i="15"/>
  <c r="E1690" i="15"/>
  <c r="J1690" i="15"/>
  <c r="K1690" i="15"/>
  <c r="L1690" i="15"/>
  <c r="M1690" i="15"/>
  <c r="N1690" i="15"/>
  <c r="O1690" i="15"/>
  <c r="P1690" i="15"/>
  <c r="Q1690" i="15"/>
  <c r="T1690" i="15"/>
  <c r="U1690" i="15"/>
  <c r="V1690" i="15"/>
  <c r="W1690" i="15"/>
  <c r="X1690" i="15"/>
  <c r="Y1690" i="15"/>
  <c r="Z1690" i="15"/>
  <c r="AA1690" i="15"/>
  <c r="B1691" i="15"/>
  <c r="C1691" i="15"/>
  <c r="D1691" i="15"/>
  <c r="E1691" i="15"/>
  <c r="J1691" i="15"/>
  <c r="K1691" i="15"/>
  <c r="L1691" i="15"/>
  <c r="M1691" i="15"/>
  <c r="N1691" i="15"/>
  <c r="O1691" i="15"/>
  <c r="P1691" i="15"/>
  <c r="Q1691" i="15"/>
  <c r="T1691" i="15"/>
  <c r="U1691" i="15"/>
  <c r="V1691" i="15"/>
  <c r="W1691" i="15"/>
  <c r="X1691" i="15"/>
  <c r="Y1691" i="15"/>
  <c r="Z1691" i="15"/>
  <c r="AA1691" i="15"/>
  <c r="B1692" i="15"/>
  <c r="C1692" i="15"/>
  <c r="D1692" i="15"/>
  <c r="E1692" i="15"/>
  <c r="J1692" i="15"/>
  <c r="K1692" i="15"/>
  <c r="L1692" i="15"/>
  <c r="M1692" i="15"/>
  <c r="N1692" i="15"/>
  <c r="O1692" i="15"/>
  <c r="P1692" i="15"/>
  <c r="Q1692" i="15"/>
  <c r="T1692" i="15"/>
  <c r="U1692" i="15"/>
  <c r="V1692" i="15"/>
  <c r="W1692" i="15"/>
  <c r="X1692" i="15"/>
  <c r="Y1692" i="15"/>
  <c r="Z1692" i="15"/>
  <c r="AA1692" i="15"/>
  <c r="B1693" i="15"/>
  <c r="C1693" i="15"/>
  <c r="D1693" i="15"/>
  <c r="E1693" i="15"/>
  <c r="J1693" i="15"/>
  <c r="K1693" i="15"/>
  <c r="L1693" i="15"/>
  <c r="M1693" i="15"/>
  <c r="N1693" i="15"/>
  <c r="O1693" i="15"/>
  <c r="P1693" i="15"/>
  <c r="Q1693" i="15"/>
  <c r="T1693" i="15"/>
  <c r="U1693" i="15"/>
  <c r="V1693" i="15"/>
  <c r="W1693" i="15"/>
  <c r="X1693" i="15"/>
  <c r="Y1693" i="15"/>
  <c r="Z1693" i="15"/>
  <c r="AA1693" i="15"/>
  <c r="B1694" i="15"/>
  <c r="C1694" i="15"/>
  <c r="D1694" i="15"/>
  <c r="E1694" i="15"/>
  <c r="J1694" i="15"/>
  <c r="K1694" i="15"/>
  <c r="L1694" i="15"/>
  <c r="M1694" i="15"/>
  <c r="N1694" i="15"/>
  <c r="O1694" i="15"/>
  <c r="P1694" i="15"/>
  <c r="Q1694" i="15"/>
  <c r="T1694" i="15"/>
  <c r="U1694" i="15"/>
  <c r="V1694" i="15"/>
  <c r="W1694" i="15"/>
  <c r="X1694" i="15"/>
  <c r="Y1694" i="15"/>
  <c r="Z1694" i="15"/>
  <c r="AA1694" i="15"/>
  <c r="B1695" i="15"/>
  <c r="C1695" i="15"/>
  <c r="D1695" i="15"/>
  <c r="E1695" i="15"/>
  <c r="J1695" i="15"/>
  <c r="K1695" i="15"/>
  <c r="L1695" i="15"/>
  <c r="M1695" i="15"/>
  <c r="N1695" i="15"/>
  <c r="O1695" i="15"/>
  <c r="P1695" i="15"/>
  <c r="Q1695" i="15"/>
  <c r="T1695" i="15"/>
  <c r="U1695" i="15"/>
  <c r="V1695" i="15"/>
  <c r="W1695" i="15"/>
  <c r="X1695" i="15"/>
  <c r="Y1695" i="15"/>
  <c r="Z1695" i="15"/>
  <c r="AA1695" i="15"/>
  <c r="B1696" i="15"/>
  <c r="C1696" i="15"/>
  <c r="D1696" i="15"/>
  <c r="E1696" i="15"/>
  <c r="J1696" i="15"/>
  <c r="K1696" i="15"/>
  <c r="L1696" i="15"/>
  <c r="M1696" i="15"/>
  <c r="N1696" i="15"/>
  <c r="O1696" i="15"/>
  <c r="P1696" i="15"/>
  <c r="Q1696" i="15"/>
  <c r="T1696" i="15"/>
  <c r="U1696" i="15"/>
  <c r="V1696" i="15"/>
  <c r="W1696" i="15"/>
  <c r="X1696" i="15"/>
  <c r="Y1696" i="15"/>
  <c r="Z1696" i="15"/>
  <c r="AA1696" i="15"/>
  <c r="B1697" i="15"/>
  <c r="C1697" i="15"/>
  <c r="D1697" i="15"/>
  <c r="E1697" i="15"/>
  <c r="J1697" i="15"/>
  <c r="K1697" i="15"/>
  <c r="L1697" i="15"/>
  <c r="M1697" i="15"/>
  <c r="N1697" i="15"/>
  <c r="O1697" i="15"/>
  <c r="P1697" i="15"/>
  <c r="Q1697" i="15"/>
  <c r="T1697" i="15"/>
  <c r="U1697" i="15"/>
  <c r="V1697" i="15"/>
  <c r="W1697" i="15"/>
  <c r="X1697" i="15"/>
  <c r="Y1697" i="15"/>
  <c r="Z1697" i="15"/>
  <c r="AA1697" i="15"/>
  <c r="B1698" i="15"/>
  <c r="C1698" i="15"/>
  <c r="D1698" i="15"/>
  <c r="E1698" i="15"/>
  <c r="J1698" i="15"/>
  <c r="K1698" i="15"/>
  <c r="L1698" i="15"/>
  <c r="M1698" i="15"/>
  <c r="N1698" i="15"/>
  <c r="O1698" i="15"/>
  <c r="P1698" i="15"/>
  <c r="Q1698" i="15"/>
  <c r="T1698" i="15"/>
  <c r="U1698" i="15"/>
  <c r="V1698" i="15"/>
  <c r="W1698" i="15"/>
  <c r="X1698" i="15"/>
  <c r="Y1698" i="15"/>
  <c r="Z1698" i="15"/>
  <c r="AA1698" i="15"/>
  <c r="B1699" i="15"/>
  <c r="C1699" i="15"/>
  <c r="D1699" i="15"/>
  <c r="E1699" i="15"/>
  <c r="J1699" i="15"/>
  <c r="K1699" i="15"/>
  <c r="L1699" i="15"/>
  <c r="M1699" i="15"/>
  <c r="N1699" i="15"/>
  <c r="O1699" i="15"/>
  <c r="P1699" i="15"/>
  <c r="Q1699" i="15"/>
  <c r="T1699" i="15"/>
  <c r="U1699" i="15"/>
  <c r="V1699" i="15"/>
  <c r="W1699" i="15"/>
  <c r="X1699" i="15"/>
  <c r="Y1699" i="15"/>
  <c r="Z1699" i="15"/>
  <c r="AA1699" i="15"/>
  <c r="B1700" i="15"/>
  <c r="C1700" i="15"/>
  <c r="D1700" i="15"/>
  <c r="E1700" i="15"/>
  <c r="J1700" i="15"/>
  <c r="K1700" i="15"/>
  <c r="L1700" i="15"/>
  <c r="M1700" i="15"/>
  <c r="N1700" i="15"/>
  <c r="O1700" i="15"/>
  <c r="P1700" i="15"/>
  <c r="Q1700" i="15"/>
  <c r="T1700" i="15"/>
  <c r="U1700" i="15"/>
  <c r="V1700" i="15"/>
  <c r="W1700" i="15"/>
  <c r="X1700" i="15"/>
  <c r="Y1700" i="15"/>
  <c r="Z1700" i="15"/>
  <c r="AA1700" i="15"/>
  <c r="B1701" i="15"/>
  <c r="C1701" i="15"/>
  <c r="D1701" i="15"/>
  <c r="E1701" i="15"/>
  <c r="J1701" i="15"/>
  <c r="K1701" i="15"/>
  <c r="L1701" i="15"/>
  <c r="M1701" i="15"/>
  <c r="N1701" i="15"/>
  <c r="O1701" i="15"/>
  <c r="P1701" i="15"/>
  <c r="Q1701" i="15"/>
  <c r="T1701" i="15"/>
  <c r="U1701" i="15"/>
  <c r="V1701" i="15"/>
  <c r="W1701" i="15"/>
  <c r="X1701" i="15"/>
  <c r="Y1701" i="15"/>
  <c r="Z1701" i="15"/>
  <c r="AA1701" i="15"/>
  <c r="B1702" i="15"/>
  <c r="C1702" i="15"/>
  <c r="D1702" i="15"/>
  <c r="E1702" i="15"/>
  <c r="J1702" i="15"/>
  <c r="K1702" i="15"/>
  <c r="L1702" i="15"/>
  <c r="M1702" i="15"/>
  <c r="N1702" i="15"/>
  <c r="O1702" i="15"/>
  <c r="P1702" i="15"/>
  <c r="Q1702" i="15"/>
  <c r="T1702" i="15"/>
  <c r="U1702" i="15"/>
  <c r="V1702" i="15"/>
  <c r="W1702" i="15"/>
  <c r="X1702" i="15"/>
  <c r="Y1702" i="15"/>
  <c r="Z1702" i="15"/>
  <c r="AA1702" i="15"/>
  <c r="B1703" i="15"/>
  <c r="C1703" i="15"/>
  <c r="D1703" i="15"/>
  <c r="E1703" i="15"/>
  <c r="J1703" i="15"/>
  <c r="K1703" i="15"/>
  <c r="L1703" i="15"/>
  <c r="M1703" i="15"/>
  <c r="N1703" i="15"/>
  <c r="O1703" i="15"/>
  <c r="P1703" i="15"/>
  <c r="Q1703" i="15"/>
  <c r="T1703" i="15"/>
  <c r="U1703" i="15"/>
  <c r="V1703" i="15"/>
  <c r="W1703" i="15"/>
  <c r="X1703" i="15"/>
  <c r="Y1703" i="15"/>
  <c r="Z1703" i="15"/>
  <c r="AA1703" i="15"/>
  <c r="B1704" i="15"/>
  <c r="C1704" i="15"/>
  <c r="D1704" i="15"/>
  <c r="E1704" i="15"/>
  <c r="J1704" i="15"/>
  <c r="K1704" i="15"/>
  <c r="L1704" i="15"/>
  <c r="M1704" i="15"/>
  <c r="N1704" i="15"/>
  <c r="O1704" i="15"/>
  <c r="P1704" i="15"/>
  <c r="Q1704" i="15"/>
  <c r="T1704" i="15"/>
  <c r="U1704" i="15"/>
  <c r="V1704" i="15"/>
  <c r="W1704" i="15"/>
  <c r="X1704" i="15"/>
  <c r="Y1704" i="15"/>
  <c r="Z1704" i="15"/>
  <c r="AA1704" i="15"/>
  <c r="B1705" i="15"/>
  <c r="C1705" i="15"/>
  <c r="D1705" i="15"/>
  <c r="E1705" i="15"/>
  <c r="J1705" i="15"/>
  <c r="K1705" i="15"/>
  <c r="L1705" i="15"/>
  <c r="M1705" i="15"/>
  <c r="N1705" i="15"/>
  <c r="O1705" i="15"/>
  <c r="P1705" i="15"/>
  <c r="Q1705" i="15"/>
  <c r="T1705" i="15"/>
  <c r="U1705" i="15"/>
  <c r="V1705" i="15"/>
  <c r="W1705" i="15"/>
  <c r="X1705" i="15"/>
  <c r="Y1705" i="15"/>
  <c r="Z1705" i="15"/>
  <c r="AA1705" i="15"/>
  <c r="B1706" i="15"/>
  <c r="C1706" i="15"/>
  <c r="D1706" i="15"/>
  <c r="E1706" i="15"/>
  <c r="J1706" i="15"/>
  <c r="K1706" i="15"/>
  <c r="L1706" i="15"/>
  <c r="M1706" i="15"/>
  <c r="N1706" i="15"/>
  <c r="O1706" i="15"/>
  <c r="P1706" i="15"/>
  <c r="Q1706" i="15"/>
  <c r="T1706" i="15"/>
  <c r="U1706" i="15"/>
  <c r="V1706" i="15"/>
  <c r="W1706" i="15"/>
  <c r="X1706" i="15"/>
  <c r="Y1706" i="15"/>
  <c r="Z1706" i="15"/>
  <c r="AA1706" i="15"/>
  <c r="B1707" i="15"/>
  <c r="C1707" i="15"/>
  <c r="D1707" i="15"/>
  <c r="E1707" i="15"/>
  <c r="J1707" i="15"/>
  <c r="K1707" i="15"/>
  <c r="L1707" i="15"/>
  <c r="M1707" i="15"/>
  <c r="N1707" i="15"/>
  <c r="O1707" i="15"/>
  <c r="P1707" i="15"/>
  <c r="Q1707" i="15"/>
  <c r="T1707" i="15"/>
  <c r="U1707" i="15"/>
  <c r="V1707" i="15"/>
  <c r="W1707" i="15"/>
  <c r="X1707" i="15"/>
  <c r="Y1707" i="15"/>
  <c r="Z1707" i="15"/>
  <c r="AA1707" i="15"/>
  <c r="B1708" i="15"/>
  <c r="C1708" i="15"/>
  <c r="D1708" i="15"/>
  <c r="E1708" i="15"/>
  <c r="J1708" i="15"/>
  <c r="K1708" i="15"/>
  <c r="L1708" i="15"/>
  <c r="M1708" i="15"/>
  <c r="N1708" i="15"/>
  <c r="O1708" i="15"/>
  <c r="P1708" i="15"/>
  <c r="Q1708" i="15"/>
  <c r="T1708" i="15"/>
  <c r="U1708" i="15"/>
  <c r="V1708" i="15"/>
  <c r="W1708" i="15"/>
  <c r="X1708" i="15"/>
  <c r="Y1708" i="15"/>
  <c r="Z1708" i="15"/>
  <c r="AA1708" i="15"/>
  <c r="B1709" i="15"/>
  <c r="C1709" i="15"/>
  <c r="D1709" i="15"/>
  <c r="E1709" i="15"/>
  <c r="J1709" i="15"/>
  <c r="K1709" i="15"/>
  <c r="L1709" i="15"/>
  <c r="M1709" i="15"/>
  <c r="N1709" i="15"/>
  <c r="O1709" i="15"/>
  <c r="P1709" i="15"/>
  <c r="Q1709" i="15"/>
  <c r="T1709" i="15"/>
  <c r="U1709" i="15"/>
  <c r="V1709" i="15"/>
  <c r="W1709" i="15"/>
  <c r="X1709" i="15"/>
  <c r="Y1709" i="15"/>
  <c r="Z1709" i="15"/>
  <c r="AA1709" i="15"/>
  <c r="B1710" i="15"/>
  <c r="C1710" i="15"/>
  <c r="D1710" i="15"/>
  <c r="E1710" i="15"/>
  <c r="J1710" i="15"/>
  <c r="K1710" i="15"/>
  <c r="L1710" i="15"/>
  <c r="M1710" i="15"/>
  <c r="N1710" i="15"/>
  <c r="O1710" i="15"/>
  <c r="P1710" i="15"/>
  <c r="Q1710" i="15"/>
  <c r="T1710" i="15"/>
  <c r="U1710" i="15"/>
  <c r="V1710" i="15"/>
  <c r="W1710" i="15"/>
  <c r="X1710" i="15"/>
  <c r="Y1710" i="15"/>
  <c r="Z1710" i="15"/>
  <c r="AA1710" i="15"/>
  <c r="B1711" i="15"/>
  <c r="C1711" i="15"/>
  <c r="D1711" i="15"/>
  <c r="E1711" i="15"/>
  <c r="J1711" i="15"/>
  <c r="K1711" i="15"/>
  <c r="L1711" i="15"/>
  <c r="M1711" i="15"/>
  <c r="N1711" i="15"/>
  <c r="O1711" i="15"/>
  <c r="P1711" i="15"/>
  <c r="Q1711" i="15"/>
  <c r="T1711" i="15"/>
  <c r="U1711" i="15"/>
  <c r="V1711" i="15"/>
  <c r="W1711" i="15"/>
  <c r="X1711" i="15"/>
  <c r="Y1711" i="15"/>
  <c r="Z1711" i="15"/>
  <c r="AA1711" i="15"/>
  <c r="B1712" i="15"/>
  <c r="C1712" i="15"/>
  <c r="D1712" i="15"/>
  <c r="E1712" i="15"/>
  <c r="J1712" i="15"/>
  <c r="K1712" i="15"/>
  <c r="L1712" i="15"/>
  <c r="M1712" i="15"/>
  <c r="N1712" i="15"/>
  <c r="O1712" i="15"/>
  <c r="P1712" i="15"/>
  <c r="Q1712" i="15"/>
  <c r="T1712" i="15"/>
  <c r="U1712" i="15"/>
  <c r="V1712" i="15"/>
  <c r="W1712" i="15"/>
  <c r="X1712" i="15"/>
  <c r="Y1712" i="15"/>
  <c r="Z1712" i="15"/>
  <c r="AA1712" i="15"/>
  <c r="B1713" i="15"/>
  <c r="C1713" i="15"/>
  <c r="D1713" i="15"/>
  <c r="E1713" i="15"/>
  <c r="J1713" i="15"/>
  <c r="K1713" i="15"/>
  <c r="L1713" i="15"/>
  <c r="M1713" i="15"/>
  <c r="N1713" i="15"/>
  <c r="O1713" i="15"/>
  <c r="P1713" i="15"/>
  <c r="Q1713" i="15"/>
  <c r="T1713" i="15"/>
  <c r="U1713" i="15"/>
  <c r="V1713" i="15"/>
  <c r="W1713" i="15"/>
  <c r="X1713" i="15"/>
  <c r="Y1713" i="15"/>
  <c r="Z1713" i="15"/>
  <c r="AA1713" i="15"/>
  <c r="B1714" i="15"/>
  <c r="C1714" i="15"/>
  <c r="D1714" i="15"/>
  <c r="E1714" i="15"/>
  <c r="J1714" i="15"/>
  <c r="K1714" i="15"/>
  <c r="L1714" i="15"/>
  <c r="M1714" i="15"/>
  <c r="N1714" i="15"/>
  <c r="O1714" i="15"/>
  <c r="P1714" i="15"/>
  <c r="Q1714" i="15"/>
  <c r="T1714" i="15"/>
  <c r="U1714" i="15"/>
  <c r="V1714" i="15"/>
  <c r="W1714" i="15"/>
  <c r="X1714" i="15"/>
  <c r="Y1714" i="15"/>
  <c r="Z1714" i="15"/>
  <c r="AA1714" i="15"/>
  <c r="B1715" i="15"/>
  <c r="C1715" i="15"/>
  <c r="D1715" i="15"/>
  <c r="E1715" i="15"/>
  <c r="J1715" i="15"/>
  <c r="K1715" i="15"/>
  <c r="L1715" i="15"/>
  <c r="M1715" i="15"/>
  <c r="N1715" i="15"/>
  <c r="O1715" i="15"/>
  <c r="P1715" i="15"/>
  <c r="Q1715" i="15"/>
  <c r="T1715" i="15"/>
  <c r="U1715" i="15"/>
  <c r="V1715" i="15"/>
  <c r="W1715" i="15"/>
  <c r="X1715" i="15"/>
  <c r="Y1715" i="15"/>
  <c r="Z1715" i="15"/>
  <c r="AA1715" i="15"/>
  <c r="B1716" i="15"/>
  <c r="C1716" i="15"/>
  <c r="D1716" i="15"/>
  <c r="E1716" i="15"/>
  <c r="J1716" i="15"/>
  <c r="K1716" i="15"/>
  <c r="L1716" i="15"/>
  <c r="M1716" i="15"/>
  <c r="N1716" i="15"/>
  <c r="O1716" i="15"/>
  <c r="P1716" i="15"/>
  <c r="Q1716" i="15"/>
  <c r="T1716" i="15"/>
  <c r="U1716" i="15"/>
  <c r="V1716" i="15"/>
  <c r="W1716" i="15"/>
  <c r="X1716" i="15"/>
  <c r="Y1716" i="15"/>
  <c r="Z1716" i="15"/>
  <c r="AA1716" i="15"/>
  <c r="B1717" i="15"/>
  <c r="C1717" i="15"/>
  <c r="D1717" i="15"/>
  <c r="E1717" i="15"/>
  <c r="J1717" i="15"/>
  <c r="K1717" i="15"/>
  <c r="L1717" i="15"/>
  <c r="M1717" i="15"/>
  <c r="N1717" i="15"/>
  <c r="O1717" i="15"/>
  <c r="P1717" i="15"/>
  <c r="Q1717" i="15"/>
  <c r="T1717" i="15"/>
  <c r="U1717" i="15"/>
  <c r="V1717" i="15"/>
  <c r="W1717" i="15"/>
  <c r="X1717" i="15"/>
  <c r="Y1717" i="15"/>
  <c r="Z1717" i="15"/>
  <c r="AA1717" i="15"/>
  <c r="B1718" i="15"/>
  <c r="C1718" i="15"/>
  <c r="D1718" i="15"/>
  <c r="E1718" i="15"/>
  <c r="J1718" i="15"/>
  <c r="K1718" i="15"/>
  <c r="L1718" i="15"/>
  <c r="M1718" i="15"/>
  <c r="N1718" i="15"/>
  <c r="O1718" i="15"/>
  <c r="P1718" i="15"/>
  <c r="Q1718" i="15"/>
  <c r="T1718" i="15"/>
  <c r="U1718" i="15"/>
  <c r="V1718" i="15"/>
  <c r="W1718" i="15"/>
  <c r="X1718" i="15"/>
  <c r="Y1718" i="15"/>
  <c r="Z1718" i="15"/>
  <c r="AA1718" i="15"/>
  <c r="B1719" i="15"/>
  <c r="C1719" i="15"/>
  <c r="D1719" i="15"/>
  <c r="E1719" i="15"/>
  <c r="J1719" i="15"/>
  <c r="K1719" i="15"/>
  <c r="L1719" i="15"/>
  <c r="M1719" i="15"/>
  <c r="N1719" i="15"/>
  <c r="O1719" i="15"/>
  <c r="P1719" i="15"/>
  <c r="Q1719" i="15"/>
  <c r="T1719" i="15"/>
  <c r="U1719" i="15"/>
  <c r="V1719" i="15"/>
  <c r="W1719" i="15"/>
  <c r="X1719" i="15"/>
  <c r="Y1719" i="15"/>
  <c r="Z1719" i="15"/>
  <c r="AA1719" i="15"/>
  <c r="B1720" i="15"/>
  <c r="C1720" i="15"/>
  <c r="D1720" i="15"/>
  <c r="E1720" i="15"/>
  <c r="J1720" i="15"/>
  <c r="K1720" i="15"/>
  <c r="L1720" i="15"/>
  <c r="M1720" i="15"/>
  <c r="N1720" i="15"/>
  <c r="O1720" i="15"/>
  <c r="P1720" i="15"/>
  <c r="Q1720" i="15"/>
  <c r="T1720" i="15"/>
  <c r="U1720" i="15"/>
  <c r="V1720" i="15"/>
  <c r="W1720" i="15"/>
  <c r="X1720" i="15"/>
  <c r="Y1720" i="15"/>
  <c r="Z1720" i="15"/>
  <c r="AA1720" i="15"/>
  <c r="B1721" i="15"/>
  <c r="C1721" i="15"/>
  <c r="D1721" i="15"/>
  <c r="E1721" i="15"/>
  <c r="J1721" i="15"/>
  <c r="K1721" i="15"/>
  <c r="L1721" i="15"/>
  <c r="M1721" i="15"/>
  <c r="N1721" i="15"/>
  <c r="O1721" i="15"/>
  <c r="P1721" i="15"/>
  <c r="Q1721" i="15"/>
  <c r="T1721" i="15"/>
  <c r="U1721" i="15"/>
  <c r="V1721" i="15"/>
  <c r="W1721" i="15"/>
  <c r="X1721" i="15"/>
  <c r="Y1721" i="15"/>
  <c r="Z1721" i="15"/>
  <c r="AA1721" i="15"/>
  <c r="B1722" i="15"/>
  <c r="C1722" i="15"/>
  <c r="D1722" i="15"/>
  <c r="E1722" i="15"/>
  <c r="J1722" i="15"/>
  <c r="K1722" i="15"/>
  <c r="L1722" i="15"/>
  <c r="M1722" i="15"/>
  <c r="N1722" i="15"/>
  <c r="O1722" i="15"/>
  <c r="P1722" i="15"/>
  <c r="Q1722" i="15"/>
  <c r="T1722" i="15"/>
  <c r="U1722" i="15"/>
  <c r="V1722" i="15"/>
  <c r="W1722" i="15"/>
  <c r="X1722" i="15"/>
  <c r="Y1722" i="15"/>
  <c r="Z1722" i="15"/>
  <c r="AA1722" i="15"/>
  <c r="B1723" i="15"/>
  <c r="C1723" i="15"/>
  <c r="D1723" i="15"/>
  <c r="E1723" i="15"/>
  <c r="J1723" i="15"/>
  <c r="K1723" i="15"/>
  <c r="L1723" i="15"/>
  <c r="M1723" i="15"/>
  <c r="N1723" i="15"/>
  <c r="O1723" i="15"/>
  <c r="P1723" i="15"/>
  <c r="Q1723" i="15"/>
  <c r="T1723" i="15"/>
  <c r="U1723" i="15"/>
  <c r="V1723" i="15"/>
  <c r="W1723" i="15"/>
  <c r="X1723" i="15"/>
  <c r="Y1723" i="15"/>
  <c r="Z1723" i="15"/>
  <c r="AA1723" i="15"/>
  <c r="B1724" i="15"/>
  <c r="C1724" i="15"/>
  <c r="D1724" i="15"/>
  <c r="E1724" i="15"/>
  <c r="J1724" i="15"/>
  <c r="K1724" i="15"/>
  <c r="L1724" i="15"/>
  <c r="M1724" i="15"/>
  <c r="N1724" i="15"/>
  <c r="O1724" i="15"/>
  <c r="P1724" i="15"/>
  <c r="Q1724" i="15"/>
  <c r="T1724" i="15"/>
  <c r="U1724" i="15"/>
  <c r="V1724" i="15"/>
  <c r="W1724" i="15"/>
  <c r="X1724" i="15"/>
  <c r="Y1724" i="15"/>
  <c r="Z1724" i="15"/>
  <c r="AA1724" i="15"/>
  <c r="B1725" i="15"/>
  <c r="C1725" i="15"/>
  <c r="D1725" i="15"/>
  <c r="E1725" i="15"/>
  <c r="J1725" i="15"/>
  <c r="K1725" i="15"/>
  <c r="L1725" i="15"/>
  <c r="M1725" i="15"/>
  <c r="N1725" i="15"/>
  <c r="O1725" i="15"/>
  <c r="P1725" i="15"/>
  <c r="Q1725" i="15"/>
  <c r="T1725" i="15"/>
  <c r="U1725" i="15"/>
  <c r="V1725" i="15"/>
  <c r="W1725" i="15"/>
  <c r="X1725" i="15"/>
  <c r="Y1725" i="15"/>
  <c r="Z1725" i="15"/>
  <c r="AA1725" i="15"/>
  <c r="B1726" i="15"/>
  <c r="C1726" i="15"/>
  <c r="D1726" i="15"/>
  <c r="E1726" i="15"/>
  <c r="J1726" i="15"/>
  <c r="K1726" i="15"/>
  <c r="L1726" i="15"/>
  <c r="M1726" i="15"/>
  <c r="N1726" i="15"/>
  <c r="O1726" i="15"/>
  <c r="P1726" i="15"/>
  <c r="Q1726" i="15"/>
  <c r="T1726" i="15"/>
  <c r="U1726" i="15"/>
  <c r="V1726" i="15"/>
  <c r="W1726" i="15"/>
  <c r="X1726" i="15"/>
  <c r="Y1726" i="15"/>
  <c r="Z1726" i="15"/>
  <c r="AA1726" i="15"/>
  <c r="B1727" i="15"/>
  <c r="C1727" i="15"/>
  <c r="D1727" i="15"/>
  <c r="E1727" i="15"/>
  <c r="J1727" i="15"/>
  <c r="K1727" i="15"/>
  <c r="L1727" i="15"/>
  <c r="M1727" i="15"/>
  <c r="N1727" i="15"/>
  <c r="O1727" i="15"/>
  <c r="P1727" i="15"/>
  <c r="Q1727" i="15"/>
  <c r="T1727" i="15"/>
  <c r="U1727" i="15"/>
  <c r="V1727" i="15"/>
  <c r="W1727" i="15"/>
  <c r="X1727" i="15"/>
  <c r="Y1727" i="15"/>
  <c r="Z1727" i="15"/>
  <c r="AA1727" i="15"/>
  <c r="B1728" i="15"/>
  <c r="C1728" i="15"/>
  <c r="D1728" i="15"/>
  <c r="E1728" i="15"/>
  <c r="J1728" i="15"/>
  <c r="K1728" i="15"/>
  <c r="L1728" i="15"/>
  <c r="M1728" i="15"/>
  <c r="N1728" i="15"/>
  <c r="O1728" i="15"/>
  <c r="P1728" i="15"/>
  <c r="Q1728" i="15"/>
  <c r="T1728" i="15"/>
  <c r="U1728" i="15"/>
  <c r="V1728" i="15"/>
  <c r="W1728" i="15"/>
  <c r="X1728" i="15"/>
  <c r="Y1728" i="15"/>
  <c r="Z1728" i="15"/>
  <c r="AA1728" i="15"/>
  <c r="B1729" i="15"/>
  <c r="C1729" i="15"/>
  <c r="D1729" i="15"/>
  <c r="E1729" i="15"/>
  <c r="J1729" i="15"/>
  <c r="K1729" i="15"/>
  <c r="L1729" i="15"/>
  <c r="M1729" i="15"/>
  <c r="N1729" i="15"/>
  <c r="O1729" i="15"/>
  <c r="P1729" i="15"/>
  <c r="Q1729" i="15"/>
  <c r="T1729" i="15"/>
  <c r="U1729" i="15"/>
  <c r="V1729" i="15"/>
  <c r="W1729" i="15"/>
  <c r="X1729" i="15"/>
  <c r="Y1729" i="15"/>
  <c r="Z1729" i="15"/>
  <c r="AA1729" i="15"/>
  <c r="B1730" i="15"/>
  <c r="C1730" i="15"/>
  <c r="D1730" i="15"/>
  <c r="E1730" i="15"/>
  <c r="J1730" i="15"/>
  <c r="K1730" i="15"/>
  <c r="L1730" i="15"/>
  <c r="M1730" i="15"/>
  <c r="N1730" i="15"/>
  <c r="O1730" i="15"/>
  <c r="P1730" i="15"/>
  <c r="Q1730" i="15"/>
  <c r="T1730" i="15"/>
  <c r="U1730" i="15"/>
  <c r="V1730" i="15"/>
  <c r="W1730" i="15"/>
  <c r="X1730" i="15"/>
  <c r="Y1730" i="15"/>
  <c r="Z1730" i="15"/>
  <c r="AA1730" i="15"/>
  <c r="B1731" i="15"/>
  <c r="C1731" i="15"/>
  <c r="D1731" i="15"/>
  <c r="E1731" i="15"/>
  <c r="J1731" i="15"/>
  <c r="K1731" i="15"/>
  <c r="L1731" i="15"/>
  <c r="M1731" i="15"/>
  <c r="N1731" i="15"/>
  <c r="O1731" i="15"/>
  <c r="P1731" i="15"/>
  <c r="Q1731" i="15"/>
  <c r="T1731" i="15"/>
  <c r="U1731" i="15"/>
  <c r="V1731" i="15"/>
  <c r="W1731" i="15"/>
  <c r="X1731" i="15"/>
  <c r="Y1731" i="15"/>
  <c r="Z1731" i="15"/>
  <c r="AA1731" i="15"/>
  <c r="B1732" i="15"/>
  <c r="C1732" i="15"/>
  <c r="D1732" i="15"/>
  <c r="E1732" i="15"/>
  <c r="J1732" i="15"/>
  <c r="K1732" i="15"/>
  <c r="L1732" i="15"/>
  <c r="M1732" i="15"/>
  <c r="N1732" i="15"/>
  <c r="O1732" i="15"/>
  <c r="P1732" i="15"/>
  <c r="Q1732" i="15"/>
  <c r="T1732" i="15"/>
  <c r="U1732" i="15"/>
  <c r="V1732" i="15"/>
  <c r="W1732" i="15"/>
  <c r="X1732" i="15"/>
  <c r="Y1732" i="15"/>
  <c r="Z1732" i="15"/>
  <c r="AA1732" i="15"/>
  <c r="B1733" i="15"/>
  <c r="C1733" i="15"/>
  <c r="D1733" i="15"/>
  <c r="E1733" i="15"/>
  <c r="J1733" i="15"/>
  <c r="K1733" i="15"/>
  <c r="L1733" i="15"/>
  <c r="M1733" i="15"/>
  <c r="N1733" i="15"/>
  <c r="O1733" i="15"/>
  <c r="P1733" i="15"/>
  <c r="Q1733" i="15"/>
  <c r="T1733" i="15"/>
  <c r="U1733" i="15"/>
  <c r="V1733" i="15"/>
  <c r="W1733" i="15"/>
  <c r="X1733" i="15"/>
  <c r="Y1733" i="15"/>
  <c r="Z1733" i="15"/>
  <c r="AA1733" i="15"/>
  <c r="B1734" i="15"/>
  <c r="C1734" i="15"/>
  <c r="D1734" i="15"/>
  <c r="E1734" i="15"/>
  <c r="J1734" i="15"/>
  <c r="K1734" i="15"/>
  <c r="L1734" i="15"/>
  <c r="M1734" i="15"/>
  <c r="N1734" i="15"/>
  <c r="O1734" i="15"/>
  <c r="P1734" i="15"/>
  <c r="Q1734" i="15"/>
  <c r="T1734" i="15"/>
  <c r="U1734" i="15"/>
  <c r="V1734" i="15"/>
  <c r="W1734" i="15"/>
  <c r="X1734" i="15"/>
  <c r="Y1734" i="15"/>
  <c r="Z1734" i="15"/>
  <c r="AA1734" i="15"/>
  <c r="B1735" i="15"/>
  <c r="C1735" i="15"/>
  <c r="D1735" i="15"/>
  <c r="E1735" i="15"/>
  <c r="J1735" i="15"/>
  <c r="K1735" i="15"/>
  <c r="L1735" i="15"/>
  <c r="M1735" i="15"/>
  <c r="N1735" i="15"/>
  <c r="O1735" i="15"/>
  <c r="P1735" i="15"/>
  <c r="Q1735" i="15"/>
  <c r="T1735" i="15"/>
  <c r="U1735" i="15"/>
  <c r="V1735" i="15"/>
  <c r="W1735" i="15"/>
  <c r="X1735" i="15"/>
  <c r="Y1735" i="15"/>
  <c r="Z1735" i="15"/>
  <c r="AA1735" i="15"/>
  <c r="B1736" i="15"/>
  <c r="C1736" i="15"/>
  <c r="D1736" i="15"/>
  <c r="E1736" i="15"/>
  <c r="J1736" i="15"/>
  <c r="K1736" i="15"/>
  <c r="L1736" i="15"/>
  <c r="M1736" i="15"/>
  <c r="N1736" i="15"/>
  <c r="O1736" i="15"/>
  <c r="P1736" i="15"/>
  <c r="Q1736" i="15"/>
  <c r="T1736" i="15"/>
  <c r="U1736" i="15"/>
  <c r="V1736" i="15"/>
  <c r="W1736" i="15"/>
  <c r="X1736" i="15"/>
  <c r="Y1736" i="15"/>
  <c r="Z1736" i="15"/>
  <c r="AA1736" i="15"/>
  <c r="B1737" i="15"/>
  <c r="C1737" i="15"/>
  <c r="D1737" i="15"/>
  <c r="E1737" i="15"/>
  <c r="J1737" i="15"/>
  <c r="K1737" i="15"/>
  <c r="L1737" i="15"/>
  <c r="M1737" i="15"/>
  <c r="N1737" i="15"/>
  <c r="O1737" i="15"/>
  <c r="P1737" i="15"/>
  <c r="Q1737" i="15"/>
  <c r="T1737" i="15"/>
  <c r="U1737" i="15"/>
  <c r="V1737" i="15"/>
  <c r="W1737" i="15"/>
  <c r="X1737" i="15"/>
  <c r="Y1737" i="15"/>
  <c r="Z1737" i="15"/>
  <c r="AA1737" i="15"/>
  <c r="B1738" i="15"/>
  <c r="C1738" i="15"/>
  <c r="D1738" i="15"/>
  <c r="E1738" i="15"/>
  <c r="J1738" i="15"/>
  <c r="K1738" i="15"/>
  <c r="L1738" i="15"/>
  <c r="M1738" i="15"/>
  <c r="N1738" i="15"/>
  <c r="O1738" i="15"/>
  <c r="P1738" i="15"/>
  <c r="Q1738" i="15"/>
  <c r="T1738" i="15"/>
  <c r="U1738" i="15"/>
  <c r="V1738" i="15"/>
  <c r="W1738" i="15"/>
  <c r="X1738" i="15"/>
  <c r="Y1738" i="15"/>
  <c r="Z1738" i="15"/>
  <c r="AA1738" i="15"/>
  <c r="B1739" i="15"/>
  <c r="C1739" i="15"/>
  <c r="D1739" i="15"/>
  <c r="E1739" i="15"/>
  <c r="J1739" i="15"/>
  <c r="K1739" i="15"/>
  <c r="L1739" i="15"/>
  <c r="M1739" i="15"/>
  <c r="N1739" i="15"/>
  <c r="O1739" i="15"/>
  <c r="P1739" i="15"/>
  <c r="Q1739" i="15"/>
  <c r="T1739" i="15"/>
  <c r="U1739" i="15"/>
  <c r="V1739" i="15"/>
  <c r="W1739" i="15"/>
  <c r="X1739" i="15"/>
  <c r="Y1739" i="15"/>
  <c r="Z1739" i="15"/>
  <c r="AA1739" i="15"/>
  <c r="B1740" i="15"/>
  <c r="C1740" i="15"/>
  <c r="D1740" i="15"/>
  <c r="E1740" i="15"/>
  <c r="J1740" i="15"/>
  <c r="K1740" i="15"/>
  <c r="L1740" i="15"/>
  <c r="M1740" i="15"/>
  <c r="N1740" i="15"/>
  <c r="O1740" i="15"/>
  <c r="P1740" i="15"/>
  <c r="Q1740" i="15"/>
  <c r="T1740" i="15"/>
  <c r="U1740" i="15"/>
  <c r="V1740" i="15"/>
  <c r="W1740" i="15"/>
  <c r="X1740" i="15"/>
  <c r="Y1740" i="15"/>
  <c r="Z1740" i="15"/>
  <c r="AA1740" i="15"/>
  <c r="B1741" i="15"/>
  <c r="C1741" i="15"/>
  <c r="D1741" i="15"/>
  <c r="E1741" i="15"/>
  <c r="J1741" i="15"/>
  <c r="K1741" i="15"/>
  <c r="L1741" i="15"/>
  <c r="M1741" i="15"/>
  <c r="N1741" i="15"/>
  <c r="O1741" i="15"/>
  <c r="P1741" i="15"/>
  <c r="Q1741" i="15"/>
  <c r="T1741" i="15"/>
  <c r="U1741" i="15"/>
  <c r="V1741" i="15"/>
  <c r="W1741" i="15"/>
  <c r="X1741" i="15"/>
  <c r="Y1741" i="15"/>
  <c r="Z1741" i="15"/>
  <c r="AA1741" i="15"/>
  <c r="B1742" i="15"/>
  <c r="C1742" i="15"/>
  <c r="D1742" i="15"/>
  <c r="E1742" i="15"/>
  <c r="J1742" i="15"/>
  <c r="K1742" i="15"/>
  <c r="L1742" i="15"/>
  <c r="M1742" i="15"/>
  <c r="N1742" i="15"/>
  <c r="O1742" i="15"/>
  <c r="P1742" i="15"/>
  <c r="Q1742" i="15"/>
  <c r="T1742" i="15"/>
  <c r="U1742" i="15"/>
  <c r="V1742" i="15"/>
  <c r="W1742" i="15"/>
  <c r="X1742" i="15"/>
  <c r="Y1742" i="15"/>
  <c r="Z1742" i="15"/>
  <c r="AA1742" i="15"/>
  <c r="B1743" i="15"/>
  <c r="C1743" i="15"/>
  <c r="D1743" i="15"/>
  <c r="E1743" i="15"/>
  <c r="J1743" i="15"/>
  <c r="K1743" i="15"/>
  <c r="L1743" i="15"/>
  <c r="M1743" i="15"/>
  <c r="N1743" i="15"/>
  <c r="O1743" i="15"/>
  <c r="P1743" i="15"/>
  <c r="Q1743" i="15"/>
  <c r="T1743" i="15"/>
  <c r="U1743" i="15"/>
  <c r="V1743" i="15"/>
  <c r="W1743" i="15"/>
  <c r="X1743" i="15"/>
  <c r="Y1743" i="15"/>
  <c r="Z1743" i="15"/>
  <c r="AA1743" i="15"/>
  <c r="B1744" i="15"/>
  <c r="C1744" i="15"/>
  <c r="D1744" i="15"/>
  <c r="E1744" i="15"/>
  <c r="J1744" i="15"/>
  <c r="K1744" i="15"/>
  <c r="L1744" i="15"/>
  <c r="M1744" i="15"/>
  <c r="N1744" i="15"/>
  <c r="O1744" i="15"/>
  <c r="P1744" i="15"/>
  <c r="Q1744" i="15"/>
  <c r="T1744" i="15"/>
  <c r="U1744" i="15"/>
  <c r="V1744" i="15"/>
  <c r="W1744" i="15"/>
  <c r="X1744" i="15"/>
  <c r="Y1744" i="15"/>
  <c r="Z1744" i="15"/>
  <c r="AA1744" i="15"/>
  <c r="B1745" i="15"/>
  <c r="C1745" i="15"/>
  <c r="D1745" i="15"/>
  <c r="E1745" i="15"/>
  <c r="J1745" i="15"/>
  <c r="K1745" i="15"/>
  <c r="L1745" i="15"/>
  <c r="M1745" i="15"/>
  <c r="N1745" i="15"/>
  <c r="O1745" i="15"/>
  <c r="P1745" i="15"/>
  <c r="Q1745" i="15"/>
  <c r="T1745" i="15"/>
  <c r="U1745" i="15"/>
  <c r="V1745" i="15"/>
  <c r="W1745" i="15"/>
  <c r="X1745" i="15"/>
  <c r="Y1745" i="15"/>
  <c r="Z1745" i="15"/>
  <c r="AA1745" i="15"/>
  <c r="B1746" i="15"/>
  <c r="C1746" i="15"/>
  <c r="D1746" i="15"/>
  <c r="E1746" i="15"/>
  <c r="J1746" i="15"/>
  <c r="K1746" i="15"/>
  <c r="L1746" i="15"/>
  <c r="M1746" i="15"/>
  <c r="N1746" i="15"/>
  <c r="O1746" i="15"/>
  <c r="P1746" i="15"/>
  <c r="Q1746" i="15"/>
  <c r="T1746" i="15"/>
  <c r="U1746" i="15"/>
  <c r="V1746" i="15"/>
  <c r="W1746" i="15"/>
  <c r="X1746" i="15"/>
  <c r="Y1746" i="15"/>
  <c r="Z1746" i="15"/>
  <c r="AA1746" i="15"/>
  <c r="B1747" i="15"/>
  <c r="C1747" i="15"/>
  <c r="D1747" i="15"/>
  <c r="E1747" i="15"/>
  <c r="J1747" i="15"/>
  <c r="K1747" i="15"/>
  <c r="L1747" i="15"/>
  <c r="M1747" i="15"/>
  <c r="N1747" i="15"/>
  <c r="O1747" i="15"/>
  <c r="P1747" i="15"/>
  <c r="Q1747" i="15"/>
  <c r="T1747" i="15"/>
  <c r="U1747" i="15"/>
  <c r="V1747" i="15"/>
  <c r="W1747" i="15"/>
  <c r="X1747" i="15"/>
  <c r="Y1747" i="15"/>
  <c r="Z1747" i="15"/>
  <c r="AA1747" i="15"/>
  <c r="B1748" i="15"/>
  <c r="C1748" i="15"/>
  <c r="D1748" i="15"/>
  <c r="E1748" i="15"/>
  <c r="J1748" i="15"/>
  <c r="K1748" i="15"/>
  <c r="L1748" i="15"/>
  <c r="M1748" i="15"/>
  <c r="N1748" i="15"/>
  <c r="O1748" i="15"/>
  <c r="P1748" i="15"/>
  <c r="Q1748" i="15"/>
  <c r="T1748" i="15"/>
  <c r="U1748" i="15"/>
  <c r="V1748" i="15"/>
  <c r="W1748" i="15"/>
  <c r="X1748" i="15"/>
  <c r="Y1748" i="15"/>
  <c r="Z1748" i="15"/>
  <c r="AA1748" i="15"/>
  <c r="B1749" i="15"/>
  <c r="C1749" i="15"/>
  <c r="D1749" i="15"/>
  <c r="E1749" i="15"/>
  <c r="J1749" i="15"/>
  <c r="K1749" i="15"/>
  <c r="L1749" i="15"/>
  <c r="M1749" i="15"/>
  <c r="N1749" i="15"/>
  <c r="O1749" i="15"/>
  <c r="P1749" i="15"/>
  <c r="Q1749" i="15"/>
  <c r="T1749" i="15"/>
  <c r="U1749" i="15"/>
  <c r="V1749" i="15"/>
  <c r="W1749" i="15"/>
  <c r="X1749" i="15"/>
  <c r="Y1749" i="15"/>
  <c r="Z1749" i="15"/>
  <c r="AA1749" i="15"/>
  <c r="B1750" i="15"/>
  <c r="C1750" i="15"/>
  <c r="D1750" i="15"/>
  <c r="E1750" i="15"/>
  <c r="J1750" i="15"/>
  <c r="K1750" i="15"/>
  <c r="L1750" i="15"/>
  <c r="M1750" i="15"/>
  <c r="N1750" i="15"/>
  <c r="O1750" i="15"/>
  <c r="P1750" i="15"/>
  <c r="Q1750" i="15"/>
  <c r="T1750" i="15"/>
  <c r="U1750" i="15"/>
  <c r="V1750" i="15"/>
  <c r="W1750" i="15"/>
  <c r="X1750" i="15"/>
  <c r="Y1750" i="15"/>
  <c r="Z1750" i="15"/>
  <c r="AA1750" i="15"/>
  <c r="B1751" i="15"/>
  <c r="C1751" i="15"/>
  <c r="D1751" i="15"/>
  <c r="E1751" i="15"/>
  <c r="J1751" i="15"/>
  <c r="K1751" i="15"/>
  <c r="L1751" i="15"/>
  <c r="M1751" i="15"/>
  <c r="N1751" i="15"/>
  <c r="O1751" i="15"/>
  <c r="P1751" i="15"/>
  <c r="Q1751" i="15"/>
  <c r="T1751" i="15"/>
  <c r="U1751" i="15"/>
  <c r="V1751" i="15"/>
  <c r="W1751" i="15"/>
  <c r="X1751" i="15"/>
  <c r="Y1751" i="15"/>
  <c r="Z1751" i="15"/>
  <c r="AA1751" i="15"/>
  <c r="B1752" i="15"/>
  <c r="C1752" i="15"/>
  <c r="D1752" i="15"/>
  <c r="E1752" i="15"/>
  <c r="J1752" i="15"/>
  <c r="K1752" i="15"/>
  <c r="L1752" i="15"/>
  <c r="M1752" i="15"/>
  <c r="N1752" i="15"/>
  <c r="O1752" i="15"/>
  <c r="P1752" i="15"/>
  <c r="Q1752" i="15"/>
  <c r="T1752" i="15"/>
  <c r="U1752" i="15"/>
  <c r="V1752" i="15"/>
  <c r="W1752" i="15"/>
  <c r="X1752" i="15"/>
  <c r="Y1752" i="15"/>
  <c r="Z1752" i="15"/>
  <c r="AA1752" i="15"/>
  <c r="B1753" i="15"/>
  <c r="C1753" i="15"/>
  <c r="D1753" i="15"/>
  <c r="E1753" i="15"/>
  <c r="J1753" i="15"/>
  <c r="K1753" i="15"/>
  <c r="L1753" i="15"/>
  <c r="M1753" i="15"/>
  <c r="N1753" i="15"/>
  <c r="O1753" i="15"/>
  <c r="P1753" i="15"/>
  <c r="Q1753" i="15"/>
  <c r="T1753" i="15"/>
  <c r="U1753" i="15"/>
  <c r="V1753" i="15"/>
  <c r="W1753" i="15"/>
  <c r="X1753" i="15"/>
  <c r="Y1753" i="15"/>
  <c r="Z1753" i="15"/>
  <c r="AA1753" i="15"/>
  <c r="B1754" i="15"/>
  <c r="C1754" i="15"/>
  <c r="D1754" i="15"/>
  <c r="E1754" i="15"/>
  <c r="J1754" i="15"/>
  <c r="K1754" i="15"/>
  <c r="L1754" i="15"/>
  <c r="M1754" i="15"/>
  <c r="N1754" i="15"/>
  <c r="O1754" i="15"/>
  <c r="P1754" i="15"/>
  <c r="Q1754" i="15"/>
  <c r="T1754" i="15"/>
  <c r="U1754" i="15"/>
  <c r="V1754" i="15"/>
  <c r="W1754" i="15"/>
  <c r="X1754" i="15"/>
  <c r="Y1754" i="15"/>
  <c r="Z1754" i="15"/>
  <c r="AA1754" i="15"/>
  <c r="B1755" i="15"/>
  <c r="C1755" i="15"/>
  <c r="D1755" i="15"/>
  <c r="E1755" i="15"/>
  <c r="J1755" i="15"/>
  <c r="K1755" i="15"/>
  <c r="L1755" i="15"/>
  <c r="M1755" i="15"/>
  <c r="N1755" i="15"/>
  <c r="O1755" i="15"/>
  <c r="P1755" i="15"/>
  <c r="Q1755" i="15"/>
  <c r="T1755" i="15"/>
  <c r="U1755" i="15"/>
  <c r="V1755" i="15"/>
  <c r="W1755" i="15"/>
  <c r="X1755" i="15"/>
  <c r="Y1755" i="15"/>
  <c r="Z1755" i="15"/>
  <c r="AA1755" i="15"/>
  <c r="B1756" i="15"/>
  <c r="C1756" i="15"/>
  <c r="D1756" i="15"/>
  <c r="E1756" i="15"/>
  <c r="J1756" i="15"/>
  <c r="K1756" i="15"/>
  <c r="L1756" i="15"/>
  <c r="M1756" i="15"/>
  <c r="N1756" i="15"/>
  <c r="O1756" i="15"/>
  <c r="P1756" i="15"/>
  <c r="Q1756" i="15"/>
  <c r="T1756" i="15"/>
  <c r="U1756" i="15"/>
  <c r="V1756" i="15"/>
  <c r="W1756" i="15"/>
  <c r="X1756" i="15"/>
  <c r="Y1756" i="15"/>
  <c r="Z1756" i="15"/>
  <c r="AA1756" i="15"/>
  <c r="B1757" i="15"/>
  <c r="C1757" i="15"/>
  <c r="D1757" i="15"/>
  <c r="E1757" i="15"/>
  <c r="J1757" i="15"/>
  <c r="K1757" i="15"/>
  <c r="L1757" i="15"/>
  <c r="M1757" i="15"/>
  <c r="N1757" i="15"/>
  <c r="O1757" i="15"/>
  <c r="P1757" i="15"/>
  <c r="Q1757" i="15"/>
  <c r="T1757" i="15"/>
  <c r="U1757" i="15"/>
  <c r="V1757" i="15"/>
  <c r="W1757" i="15"/>
  <c r="X1757" i="15"/>
  <c r="Y1757" i="15"/>
  <c r="Z1757" i="15"/>
  <c r="AA1757" i="15"/>
  <c r="B1758" i="15"/>
  <c r="C1758" i="15"/>
  <c r="D1758" i="15"/>
  <c r="E1758" i="15"/>
  <c r="J1758" i="15"/>
  <c r="K1758" i="15"/>
  <c r="L1758" i="15"/>
  <c r="M1758" i="15"/>
  <c r="N1758" i="15"/>
  <c r="O1758" i="15"/>
  <c r="P1758" i="15"/>
  <c r="Q1758" i="15"/>
  <c r="T1758" i="15"/>
  <c r="U1758" i="15"/>
  <c r="V1758" i="15"/>
  <c r="W1758" i="15"/>
  <c r="X1758" i="15"/>
  <c r="Y1758" i="15"/>
  <c r="Z1758" i="15"/>
  <c r="AA1758" i="15"/>
  <c r="B1759" i="15"/>
  <c r="C1759" i="15"/>
  <c r="D1759" i="15"/>
  <c r="E1759" i="15"/>
  <c r="J1759" i="15"/>
  <c r="K1759" i="15"/>
  <c r="L1759" i="15"/>
  <c r="M1759" i="15"/>
  <c r="N1759" i="15"/>
  <c r="O1759" i="15"/>
  <c r="P1759" i="15"/>
  <c r="Q1759" i="15"/>
  <c r="T1759" i="15"/>
  <c r="U1759" i="15"/>
  <c r="V1759" i="15"/>
  <c r="W1759" i="15"/>
  <c r="X1759" i="15"/>
  <c r="Y1759" i="15"/>
  <c r="Z1759" i="15"/>
  <c r="AA1759" i="15"/>
  <c r="B1760" i="15"/>
  <c r="C1760" i="15"/>
  <c r="D1760" i="15"/>
  <c r="E1760" i="15"/>
  <c r="J1760" i="15"/>
  <c r="K1760" i="15"/>
  <c r="L1760" i="15"/>
  <c r="M1760" i="15"/>
  <c r="N1760" i="15"/>
  <c r="O1760" i="15"/>
  <c r="P1760" i="15"/>
  <c r="Q1760" i="15"/>
  <c r="T1760" i="15"/>
  <c r="U1760" i="15"/>
  <c r="V1760" i="15"/>
  <c r="W1760" i="15"/>
  <c r="X1760" i="15"/>
  <c r="Y1760" i="15"/>
  <c r="Z1760" i="15"/>
  <c r="AA1760" i="15"/>
  <c r="B1761" i="15"/>
  <c r="C1761" i="15"/>
  <c r="D1761" i="15"/>
  <c r="E1761" i="15"/>
  <c r="J1761" i="15"/>
  <c r="K1761" i="15"/>
  <c r="L1761" i="15"/>
  <c r="M1761" i="15"/>
  <c r="N1761" i="15"/>
  <c r="O1761" i="15"/>
  <c r="P1761" i="15"/>
  <c r="Q1761" i="15"/>
  <c r="T1761" i="15"/>
  <c r="U1761" i="15"/>
  <c r="V1761" i="15"/>
  <c r="W1761" i="15"/>
  <c r="X1761" i="15"/>
  <c r="Y1761" i="15"/>
  <c r="Z1761" i="15"/>
  <c r="AA1761" i="15"/>
  <c r="B1762" i="15"/>
  <c r="C1762" i="15"/>
  <c r="D1762" i="15"/>
  <c r="E1762" i="15"/>
  <c r="J1762" i="15"/>
  <c r="K1762" i="15"/>
  <c r="L1762" i="15"/>
  <c r="M1762" i="15"/>
  <c r="N1762" i="15"/>
  <c r="O1762" i="15"/>
  <c r="P1762" i="15"/>
  <c r="Q1762" i="15"/>
  <c r="T1762" i="15"/>
  <c r="U1762" i="15"/>
  <c r="V1762" i="15"/>
  <c r="W1762" i="15"/>
  <c r="X1762" i="15"/>
  <c r="Y1762" i="15"/>
  <c r="Z1762" i="15"/>
  <c r="AA1762" i="15"/>
  <c r="B1763" i="15"/>
  <c r="C1763" i="15"/>
  <c r="D1763" i="15"/>
  <c r="E1763" i="15"/>
  <c r="J1763" i="15"/>
  <c r="K1763" i="15"/>
  <c r="L1763" i="15"/>
  <c r="M1763" i="15"/>
  <c r="N1763" i="15"/>
  <c r="O1763" i="15"/>
  <c r="P1763" i="15"/>
  <c r="Q1763" i="15"/>
  <c r="T1763" i="15"/>
  <c r="U1763" i="15"/>
  <c r="V1763" i="15"/>
  <c r="W1763" i="15"/>
  <c r="X1763" i="15"/>
  <c r="Y1763" i="15"/>
  <c r="Z1763" i="15"/>
  <c r="AA1763" i="15"/>
  <c r="B1764" i="15"/>
  <c r="C1764" i="15"/>
  <c r="D1764" i="15"/>
  <c r="E1764" i="15"/>
  <c r="J1764" i="15"/>
  <c r="K1764" i="15"/>
  <c r="L1764" i="15"/>
  <c r="M1764" i="15"/>
  <c r="N1764" i="15"/>
  <c r="O1764" i="15"/>
  <c r="P1764" i="15"/>
  <c r="Q1764" i="15"/>
  <c r="T1764" i="15"/>
  <c r="U1764" i="15"/>
  <c r="V1764" i="15"/>
  <c r="W1764" i="15"/>
  <c r="X1764" i="15"/>
  <c r="Y1764" i="15"/>
  <c r="Z1764" i="15"/>
  <c r="AA1764" i="15"/>
  <c r="B1765" i="15"/>
  <c r="C1765" i="15"/>
  <c r="D1765" i="15"/>
  <c r="E1765" i="15"/>
  <c r="J1765" i="15"/>
  <c r="K1765" i="15"/>
  <c r="L1765" i="15"/>
  <c r="M1765" i="15"/>
  <c r="N1765" i="15"/>
  <c r="O1765" i="15"/>
  <c r="P1765" i="15"/>
  <c r="Q1765" i="15"/>
  <c r="T1765" i="15"/>
  <c r="U1765" i="15"/>
  <c r="V1765" i="15"/>
  <c r="W1765" i="15"/>
  <c r="X1765" i="15"/>
  <c r="Y1765" i="15"/>
  <c r="Z1765" i="15"/>
  <c r="AA1765" i="15"/>
  <c r="B1766" i="15"/>
  <c r="C1766" i="15"/>
  <c r="D1766" i="15"/>
  <c r="E1766" i="15"/>
  <c r="J1766" i="15"/>
  <c r="K1766" i="15"/>
  <c r="L1766" i="15"/>
  <c r="M1766" i="15"/>
  <c r="N1766" i="15"/>
  <c r="O1766" i="15"/>
  <c r="P1766" i="15"/>
  <c r="Q1766" i="15"/>
  <c r="T1766" i="15"/>
  <c r="U1766" i="15"/>
  <c r="V1766" i="15"/>
  <c r="W1766" i="15"/>
  <c r="X1766" i="15"/>
  <c r="Y1766" i="15"/>
  <c r="Z1766" i="15"/>
  <c r="AA1766" i="15"/>
  <c r="B1767" i="15"/>
  <c r="C1767" i="15"/>
  <c r="D1767" i="15"/>
  <c r="E1767" i="15"/>
  <c r="J1767" i="15"/>
  <c r="K1767" i="15"/>
  <c r="L1767" i="15"/>
  <c r="M1767" i="15"/>
  <c r="N1767" i="15"/>
  <c r="O1767" i="15"/>
  <c r="P1767" i="15"/>
  <c r="Q1767" i="15"/>
  <c r="T1767" i="15"/>
  <c r="U1767" i="15"/>
  <c r="V1767" i="15"/>
  <c r="W1767" i="15"/>
  <c r="X1767" i="15"/>
  <c r="Y1767" i="15"/>
  <c r="Z1767" i="15"/>
  <c r="AA1767" i="15"/>
  <c r="B1768" i="15"/>
  <c r="C1768" i="15"/>
  <c r="D1768" i="15"/>
  <c r="E1768" i="15"/>
  <c r="J1768" i="15"/>
  <c r="K1768" i="15"/>
  <c r="L1768" i="15"/>
  <c r="M1768" i="15"/>
  <c r="N1768" i="15"/>
  <c r="O1768" i="15"/>
  <c r="P1768" i="15"/>
  <c r="Q1768" i="15"/>
  <c r="T1768" i="15"/>
  <c r="U1768" i="15"/>
  <c r="V1768" i="15"/>
  <c r="W1768" i="15"/>
  <c r="X1768" i="15"/>
  <c r="Y1768" i="15"/>
  <c r="Z1768" i="15"/>
  <c r="AA1768" i="15"/>
  <c r="B1769" i="15"/>
  <c r="C1769" i="15"/>
  <c r="D1769" i="15"/>
  <c r="E1769" i="15"/>
  <c r="J1769" i="15"/>
  <c r="K1769" i="15"/>
  <c r="L1769" i="15"/>
  <c r="M1769" i="15"/>
  <c r="N1769" i="15"/>
  <c r="O1769" i="15"/>
  <c r="P1769" i="15"/>
  <c r="Q1769" i="15"/>
  <c r="T1769" i="15"/>
  <c r="U1769" i="15"/>
  <c r="V1769" i="15"/>
  <c r="W1769" i="15"/>
  <c r="X1769" i="15"/>
  <c r="Y1769" i="15"/>
  <c r="Z1769" i="15"/>
  <c r="AA1769" i="15"/>
  <c r="B1770" i="15"/>
  <c r="C1770" i="15"/>
  <c r="D1770" i="15"/>
  <c r="E1770" i="15"/>
  <c r="J1770" i="15"/>
  <c r="K1770" i="15"/>
  <c r="L1770" i="15"/>
  <c r="M1770" i="15"/>
  <c r="N1770" i="15"/>
  <c r="O1770" i="15"/>
  <c r="P1770" i="15"/>
  <c r="Q1770" i="15"/>
  <c r="T1770" i="15"/>
  <c r="U1770" i="15"/>
  <c r="V1770" i="15"/>
  <c r="W1770" i="15"/>
  <c r="X1770" i="15"/>
  <c r="Y1770" i="15"/>
  <c r="Z1770" i="15"/>
  <c r="AA1770" i="15"/>
  <c r="B1771" i="15"/>
  <c r="C1771" i="15"/>
  <c r="D1771" i="15"/>
  <c r="E1771" i="15"/>
  <c r="J1771" i="15"/>
  <c r="K1771" i="15"/>
  <c r="L1771" i="15"/>
  <c r="M1771" i="15"/>
  <c r="N1771" i="15"/>
  <c r="O1771" i="15"/>
  <c r="P1771" i="15"/>
  <c r="Q1771" i="15"/>
  <c r="T1771" i="15"/>
  <c r="U1771" i="15"/>
  <c r="V1771" i="15"/>
  <c r="W1771" i="15"/>
  <c r="X1771" i="15"/>
  <c r="Y1771" i="15"/>
  <c r="Z1771" i="15"/>
  <c r="AA1771" i="15"/>
  <c r="B1772" i="15"/>
  <c r="C1772" i="15"/>
  <c r="D1772" i="15"/>
  <c r="E1772" i="15"/>
  <c r="J1772" i="15"/>
  <c r="K1772" i="15"/>
  <c r="L1772" i="15"/>
  <c r="M1772" i="15"/>
  <c r="N1772" i="15"/>
  <c r="O1772" i="15"/>
  <c r="P1772" i="15"/>
  <c r="Q1772" i="15"/>
  <c r="T1772" i="15"/>
  <c r="U1772" i="15"/>
  <c r="V1772" i="15"/>
  <c r="W1772" i="15"/>
  <c r="X1772" i="15"/>
  <c r="Y1772" i="15"/>
  <c r="Z1772" i="15"/>
  <c r="AA1772" i="15"/>
  <c r="B1773" i="15"/>
  <c r="C1773" i="15"/>
  <c r="D1773" i="15"/>
  <c r="E1773" i="15"/>
  <c r="J1773" i="15"/>
  <c r="K1773" i="15"/>
  <c r="L1773" i="15"/>
  <c r="M1773" i="15"/>
  <c r="N1773" i="15"/>
  <c r="O1773" i="15"/>
  <c r="P1773" i="15"/>
  <c r="Q1773" i="15"/>
  <c r="T1773" i="15"/>
  <c r="U1773" i="15"/>
  <c r="V1773" i="15"/>
  <c r="W1773" i="15"/>
  <c r="X1773" i="15"/>
  <c r="Y1773" i="15"/>
  <c r="Z1773" i="15"/>
  <c r="AA1773" i="15"/>
  <c r="B1774" i="15"/>
  <c r="C1774" i="15"/>
  <c r="D1774" i="15"/>
  <c r="E1774" i="15"/>
  <c r="J1774" i="15"/>
  <c r="K1774" i="15"/>
  <c r="L1774" i="15"/>
  <c r="M1774" i="15"/>
  <c r="N1774" i="15"/>
  <c r="O1774" i="15"/>
  <c r="P1774" i="15"/>
  <c r="Q1774" i="15"/>
  <c r="T1774" i="15"/>
  <c r="U1774" i="15"/>
  <c r="V1774" i="15"/>
  <c r="W1774" i="15"/>
  <c r="X1774" i="15"/>
  <c r="Y1774" i="15"/>
  <c r="Z1774" i="15"/>
  <c r="AA1774" i="15"/>
  <c r="B1775" i="15"/>
  <c r="C1775" i="15"/>
  <c r="D1775" i="15"/>
  <c r="E1775" i="15"/>
  <c r="J1775" i="15"/>
  <c r="K1775" i="15"/>
  <c r="L1775" i="15"/>
  <c r="M1775" i="15"/>
  <c r="N1775" i="15"/>
  <c r="O1775" i="15"/>
  <c r="P1775" i="15"/>
  <c r="Q1775" i="15"/>
  <c r="T1775" i="15"/>
  <c r="U1775" i="15"/>
  <c r="V1775" i="15"/>
  <c r="W1775" i="15"/>
  <c r="X1775" i="15"/>
  <c r="Y1775" i="15"/>
  <c r="Z1775" i="15"/>
  <c r="AA1775" i="15"/>
  <c r="B1776" i="15"/>
  <c r="C1776" i="15"/>
  <c r="D1776" i="15"/>
  <c r="E1776" i="15"/>
  <c r="J1776" i="15"/>
  <c r="K1776" i="15"/>
  <c r="L1776" i="15"/>
  <c r="M1776" i="15"/>
  <c r="N1776" i="15"/>
  <c r="O1776" i="15"/>
  <c r="P1776" i="15"/>
  <c r="Q1776" i="15"/>
  <c r="T1776" i="15"/>
  <c r="U1776" i="15"/>
  <c r="V1776" i="15"/>
  <c r="W1776" i="15"/>
  <c r="X1776" i="15"/>
  <c r="Y1776" i="15"/>
  <c r="Z1776" i="15"/>
  <c r="AA1776" i="15"/>
  <c r="B1777" i="15"/>
  <c r="C1777" i="15"/>
  <c r="D1777" i="15"/>
  <c r="E1777" i="15"/>
  <c r="J1777" i="15"/>
  <c r="K1777" i="15"/>
  <c r="L1777" i="15"/>
  <c r="M1777" i="15"/>
  <c r="N1777" i="15"/>
  <c r="O1777" i="15"/>
  <c r="P1777" i="15"/>
  <c r="Q1777" i="15"/>
  <c r="T1777" i="15"/>
  <c r="U1777" i="15"/>
  <c r="V1777" i="15"/>
  <c r="W1777" i="15"/>
  <c r="X1777" i="15"/>
  <c r="Y1777" i="15"/>
  <c r="Z1777" i="15"/>
  <c r="AA1777" i="15"/>
  <c r="B1778" i="15"/>
  <c r="C1778" i="15"/>
  <c r="D1778" i="15"/>
  <c r="E1778" i="15"/>
  <c r="J1778" i="15"/>
  <c r="K1778" i="15"/>
  <c r="L1778" i="15"/>
  <c r="M1778" i="15"/>
  <c r="N1778" i="15"/>
  <c r="O1778" i="15"/>
  <c r="P1778" i="15"/>
  <c r="Q1778" i="15"/>
  <c r="T1778" i="15"/>
  <c r="U1778" i="15"/>
  <c r="V1778" i="15"/>
  <c r="W1778" i="15"/>
  <c r="X1778" i="15"/>
  <c r="Y1778" i="15"/>
  <c r="Z1778" i="15"/>
  <c r="AA1778" i="15"/>
  <c r="B1779" i="15"/>
  <c r="C1779" i="15"/>
  <c r="D1779" i="15"/>
  <c r="E1779" i="15"/>
  <c r="J1779" i="15"/>
  <c r="K1779" i="15"/>
  <c r="L1779" i="15"/>
  <c r="M1779" i="15"/>
  <c r="N1779" i="15"/>
  <c r="O1779" i="15"/>
  <c r="P1779" i="15"/>
  <c r="Q1779" i="15"/>
  <c r="T1779" i="15"/>
  <c r="U1779" i="15"/>
  <c r="V1779" i="15"/>
  <c r="W1779" i="15"/>
  <c r="X1779" i="15"/>
  <c r="Y1779" i="15"/>
  <c r="Z1779" i="15"/>
  <c r="AA1779" i="15"/>
  <c r="B1780" i="15"/>
  <c r="C1780" i="15"/>
  <c r="D1780" i="15"/>
  <c r="E1780" i="15"/>
  <c r="J1780" i="15"/>
  <c r="K1780" i="15"/>
  <c r="L1780" i="15"/>
  <c r="M1780" i="15"/>
  <c r="N1780" i="15"/>
  <c r="O1780" i="15"/>
  <c r="P1780" i="15"/>
  <c r="Q1780" i="15"/>
  <c r="T1780" i="15"/>
  <c r="U1780" i="15"/>
  <c r="V1780" i="15"/>
  <c r="W1780" i="15"/>
  <c r="X1780" i="15"/>
  <c r="Y1780" i="15"/>
  <c r="Z1780" i="15"/>
  <c r="AA1780" i="15"/>
  <c r="B1781" i="15"/>
  <c r="C1781" i="15"/>
  <c r="D1781" i="15"/>
  <c r="E1781" i="15"/>
  <c r="J1781" i="15"/>
  <c r="K1781" i="15"/>
  <c r="L1781" i="15"/>
  <c r="M1781" i="15"/>
  <c r="N1781" i="15"/>
  <c r="O1781" i="15"/>
  <c r="P1781" i="15"/>
  <c r="Q1781" i="15"/>
  <c r="T1781" i="15"/>
  <c r="U1781" i="15"/>
  <c r="V1781" i="15"/>
  <c r="W1781" i="15"/>
  <c r="X1781" i="15"/>
  <c r="Y1781" i="15"/>
  <c r="Z1781" i="15"/>
  <c r="AA1781" i="15"/>
  <c r="B1782" i="15"/>
  <c r="C1782" i="15"/>
  <c r="D1782" i="15"/>
  <c r="E1782" i="15"/>
  <c r="J1782" i="15"/>
  <c r="K1782" i="15"/>
  <c r="L1782" i="15"/>
  <c r="M1782" i="15"/>
  <c r="N1782" i="15"/>
  <c r="O1782" i="15"/>
  <c r="P1782" i="15"/>
  <c r="Q1782" i="15"/>
  <c r="T1782" i="15"/>
  <c r="U1782" i="15"/>
  <c r="V1782" i="15"/>
  <c r="W1782" i="15"/>
  <c r="X1782" i="15"/>
  <c r="Y1782" i="15"/>
  <c r="Z1782" i="15"/>
  <c r="AA1782" i="15"/>
  <c r="B1783" i="15"/>
  <c r="C1783" i="15"/>
  <c r="D1783" i="15"/>
  <c r="E1783" i="15"/>
  <c r="J1783" i="15"/>
  <c r="K1783" i="15"/>
  <c r="L1783" i="15"/>
  <c r="M1783" i="15"/>
  <c r="N1783" i="15"/>
  <c r="O1783" i="15"/>
  <c r="P1783" i="15"/>
  <c r="Q1783" i="15"/>
  <c r="T1783" i="15"/>
  <c r="U1783" i="15"/>
  <c r="V1783" i="15"/>
  <c r="W1783" i="15"/>
  <c r="X1783" i="15"/>
  <c r="Y1783" i="15"/>
  <c r="Z1783" i="15"/>
  <c r="AA1783" i="15"/>
  <c r="B1784" i="15"/>
  <c r="C1784" i="15"/>
  <c r="D1784" i="15"/>
  <c r="E1784" i="15"/>
  <c r="J1784" i="15"/>
  <c r="K1784" i="15"/>
  <c r="L1784" i="15"/>
  <c r="M1784" i="15"/>
  <c r="N1784" i="15"/>
  <c r="O1784" i="15"/>
  <c r="P1784" i="15"/>
  <c r="Q1784" i="15"/>
  <c r="T1784" i="15"/>
  <c r="U1784" i="15"/>
  <c r="V1784" i="15"/>
  <c r="W1784" i="15"/>
  <c r="X1784" i="15"/>
  <c r="Y1784" i="15"/>
  <c r="Z1784" i="15"/>
  <c r="AA1784" i="15"/>
  <c r="B1785" i="15"/>
  <c r="C1785" i="15"/>
  <c r="D1785" i="15"/>
  <c r="E1785" i="15"/>
  <c r="J1785" i="15"/>
  <c r="K1785" i="15"/>
  <c r="L1785" i="15"/>
  <c r="M1785" i="15"/>
  <c r="N1785" i="15"/>
  <c r="O1785" i="15"/>
  <c r="P1785" i="15"/>
  <c r="Q1785" i="15"/>
  <c r="T1785" i="15"/>
  <c r="U1785" i="15"/>
  <c r="V1785" i="15"/>
  <c r="W1785" i="15"/>
  <c r="X1785" i="15"/>
  <c r="Y1785" i="15"/>
  <c r="Z1785" i="15"/>
  <c r="AA1785" i="15"/>
  <c r="B1786" i="15"/>
  <c r="C1786" i="15"/>
  <c r="D1786" i="15"/>
  <c r="E1786" i="15"/>
  <c r="J1786" i="15"/>
  <c r="K1786" i="15"/>
  <c r="L1786" i="15"/>
  <c r="M1786" i="15"/>
  <c r="N1786" i="15"/>
  <c r="O1786" i="15"/>
  <c r="P1786" i="15"/>
  <c r="Q1786" i="15"/>
  <c r="T1786" i="15"/>
  <c r="U1786" i="15"/>
  <c r="V1786" i="15"/>
  <c r="W1786" i="15"/>
  <c r="X1786" i="15"/>
  <c r="Y1786" i="15"/>
  <c r="Z1786" i="15"/>
  <c r="AA1786" i="15"/>
  <c r="B1787" i="15"/>
  <c r="C1787" i="15"/>
  <c r="D1787" i="15"/>
  <c r="E1787" i="15"/>
  <c r="J1787" i="15"/>
  <c r="K1787" i="15"/>
  <c r="L1787" i="15"/>
  <c r="M1787" i="15"/>
  <c r="N1787" i="15"/>
  <c r="O1787" i="15"/>
  <c r="P1787" i="15"/>
  <c r="Q1787" i="15"/>
  <c r="T1787" i="15"/>
  <c r="U1787" i="15"/>
  <c r="V1787" i="15"/>
  <c r="W1787" i="15"/>
  <c r="X1787" i="15"/>
  <c r="Y1787" i="15"/>
  <c r="Z1787" i="15"/>
  <c r="AA1787" i="15"/>
  <c r="B1788" i="15"/>
  <c r="C1788" i="15"/>
  <c r="D1788" i="15"/>
  <c r="E1788" i="15"/>
  <c r="J1788" i="15"/>
  <c r="K1788" i="15"/>
  <c r="L1788" i="15"/>
  <c r="M1788" i="15"/>
  <c r="N1788" i="15"/>
  <c r="O1788" i="15"/>
  <c r="P1788" i="15"/>
  <c r="Q1788" i="15"/>
  <c r="T1788" i="15"/>
  <c r="U1788" i="15"/>
  <c r="V1788" i="15"/>
  <c r="W1788" i="15"/>
  <c r="X1788" i="15"/>
  <c r="Y1788" i="15"/>
  <c r="Z1788" i="15"/>
  <c r="AA1788" i="15"/>
  <c r="B1789" i="15"/>
  <c r="C1789" i="15"/>
  <c r="D1789" i="15"/>
  <c r="E1789" i="15"/>
  <c r="J1789" i="15"/>
  <c r="K1789" i="15"/>
  <c r="L1789" i="15"/>
  <c r="M1789" i="15"/>
  <c r="N1789" i="15"/>
  <c r="O1789" i="15"/>
  <c r="P1789" i="15"/>
  <c r="Q1789" i="15"/>
  <c r="T1789" i="15"/>
  <c r="U1789" i="15"/>
  <c r="V1789" i="15"/>
  <c r="W1789" i="15"/>
  <c r="X1789" i="15"/>
  <c r="Y1789" i="15"/>
  <c r="Z1789" i="15"/>
  <c r="AA1789" i="15"/>
  <c r="B1790" i="15"/>
  <c r="C1790" i="15"/>
  <c r="D1790" i="15"/>
  <c r="E1790" i="15"/>
  <c r="J1790" i="15"/>
  <c r="K1790" i="15"/>
  <c r="L1790" i="15"/>
  <c r="M1790" i="15"/>
  <c r="N1790" i="15"/>
  <c r="O1790" i="15"/>
  <c r="P1790" i="15"/>
  <c r="Q1790" i="15"/>
  <c r="T1790" i="15"/>
  <c r="U1790" i="15"/>
  <c r="V1790" i="15"/>
  <c r="W1790" i="15"/>
  <c r="X1790" i="15"/>
  <c r="Y1790" i="15"/>
  <c r="Z1790" i="15"/>
  <c r="AA1790" i="15"/>
  <c r="B1791" i="15"/>
  <c r="C1791" i="15"/>
  <c r="D1791" i="15"/>
  <c r="E1791" i="15"/>
  <c r="J1791" i="15"/>
  <c r="K1791" i="15"/>
  <c r="L1791" i="15"/>
  <c r="M1791" i="15"/>
  <c r="N1791" i="15"/>
  <c r="O1791" i="15"/>
  <c r="P1791" i="15"/>
  <c r="Q1791" i="15"/>
  <c r="T1791" i="15"/>
  <c r="U1791" i="15"/>
  <c r="V1791" i="15"/>
  <c r="W1791" i="15"/>
  <c r="X1791" i="15"/>
  <c r="Y1791" i="15"/>
  <c r="Z1791" i="15"/>
  <c r="AA1791" i="15"/>
  <c r="B1792" i="15"/>
  <c r="C1792" i="15"/>
  <c r="D1792" i="15"/>
  <c r="E1792" i="15"/>
  <c r="J1792" i="15"/>
  <c r="K1792" i="15"/>
  <c r="L1792" i="15"/>
  <c r="M1792" i="15"/>
  <c r="N1792" i="15"/>
  <c r="O1792" i="15"/>
  <c r="P1792" i="15"/>
  <c r="Q1792" i="15"/>
  <c r="T1792" i="15"/>
  <c r="U1792" i="15"/>
  <c r="V1792" i="15"/>
  <c r="W1792" i="15"/>
  <c r="X1792" i="15"/>
  <c r="Y1792" i="15"/>
  <c r="Z1792" i="15"/>
  <c r="AA1792" i="15"/>
  <c r="B1793" i="15"/>
  <c r="C1793" i="15"/>
  <c r="D1793" i="15"/>
  <c r="E1793" i="15"/>
  <c r="J1793" i="15"/>
  <c r="K1793" i="15"/>
  <c r="L1793" i="15"/>
  <c r="M1793" i="15"/>
  <c r="N1793" i="15"/>
  <c r="O1793" i="15"/>
  <c r="P1793" i="15"/>
  <c r="Q1793" i="15"/>
  <c r="T1793" i="15"/>
  <c r="U1793" i="15"/>
  <c r="V1793" i="15"/>
  <c r="W1793" i="15"/>
  <c r="X1793" i="15"/>
  <c r="Y1793" i="15"/>
  <c r="Z1793" i="15"/>
  <c r="AA1793" i="15"/>
  <c r="B1794" i="15"/>
  <c r="C1794" i="15"/>
  <c r="D1794" i="15"/>
  <c r="E1794" i="15"/>
  <c r="J1794" i="15"/>
  <c r="K1794" i="15"/>
  <c r="L1794" i="15"/>
  <c r="M1794" i="15"/>
  <c r="N1794" i="15"/>
  <c r="O1794" i="15"/>
  <c r="P1794" i="15"/>
  <c r="Q1794" i="15"/>
  <c r="T1794" i="15"/>
  <c r="U1794" i="15"/>
  <c r="V1794" i="15"/>
  <c r="W1794" i="15"/>
  <c r="X1794" i="15"/>
  <c r="Y1794" i="15"/>
  <c r="Z1794" i="15"/>
  <c r="AA1794" i="15"/>
  <c r="B1795" i="15"/>
  <c r="C1795" i="15"/>
  <c r="D1795" i="15"/>
  <c r="E1795" i="15"/>
  <c r="J1795" i="15"/>
  <c r="K1795" i="15"/>
  <c r="L1795" i="15"/>
  <c r="M1795" i="15"/>
  <c r="N1795" i="15"/>
  <c r="O1795" i="15"/>
  <c r="P1795" i="15"/>
  <c r="Q1795" i="15"/>
  <c r="T1795" i="15"/>
  <c r="U1795" i="15"/>
  <c r="V1795" i="15"/>
  <c r="W1795" i="15"/>
  <c r="X1795" i="15"/>
  <c r="Y1795" i="15"/>
  <c r="Z1795" i="15"/>
  <c r="AA1795" i="15"/>
  <c r="B1796" i="15"/>
  <c r="C1796" i="15"/>
  <c r="D1796" i="15"/>
  <c r="E1796" i="15"/>
  <c r="J1796" i="15"/>
  <c r="K1796" i="15"/>
  <c r="L1796" i="15"/>
  <c r="M1796" i="15"/>
  <c r="N1796" i="15"/>
  <c r="O1796" i="15"/>
  <c r="P1796" i="15"/>
  <c r="Q1796" i="15"/>
  <c r="T1796" i="15"/>
  <c r="U1796" i="15"/>
  <c r="V1796" i="15"/>
  <c r="W1796" i="15"/>
  <c r="X1796" i="15"/>
  <c r="Y1796" i="15"/>
  <c r="Z1796" i="15"/>
  <c r="AA1796" i="15"/>
  <c r="B1797" i="15"/>
  <c r="C1797" i="15"/>
  <c r="D1797" i="15"/>
  <c r="E1797" i="15"/>
  <c r="J1797" i="15"/>
  <c r="K1797" i="15"/>
  <c r="L1797" i="15"/>
  <c r="M1797" i="15"/>
  <c r="N1797" i="15"/>
  <c r="O1797" i="15"/>
  <c r="P1797" i="15"/>
  <c r="Q1797" i="15"/>
  <c r="T1797" i="15"/>
  <c r="U1797" i="15"/>
  <c r="V1797" i="15"/>
  <c r="W1797" i="15"/>
  <c r="X1797" i="15"/>
  <c r="Y1797" i="15"/>
  <c r="Z1797" i="15"/>
  <c r="AA1797" i="15"/>
  <c r="B1798" i="15"/>
  <c r="C1798" i="15"/>
  <c r="D1798" i="15"/>
  <c r="E1798" i="15"/>
  <c r="J1798" i="15"/>
  <c r="K1798" i="15"/>
  <c r="L1798" i="15"/>
  <c r="M1798" i="15"/>
  <c r="N1798" i="15"/>
  <c r="O1798" i="15"/>
  <c r="P1798" i="15"/>
  <c r="Q1798" i="15"/>
  <c r="T1798" i="15"/>
  <c r="U1798" i="15"/>
  <c r="V1798" i="15"/>
  <c r="W1798" i="15"/>
  <c r="X1798" i="15"/>
  <c r="Y1798" i="15"/>
  <c r="Z1798" i="15"/>
  <c r="AA1798" i="15"/>
  <c r="B1799" i="15"/>
  <c r="C1799" i="15"/>
  <c r="D1799" i="15"/>
  <c r="E1799" i="15"/>
  <c r="J1799" i="15"/>
  <c r="K1799" i="15"/>
  <c r="L1799" i="15"/>
  <c r="M1799" i="15"/>
  <c r="N1799" i="15"/>
  <c r="O1799" i="15"/>
  <c r="P1799" i="15"/>
  <c r="Q1799" i="15"/>
  <c r="T1799" i="15"/>
  <c r="U1799" i="15"/>
  <c r="V1799" i="15"/>
  <c r="W1799" i="15"/>
  <c r="X1799" i="15"/>
  <c r="Y1799" i="15"/>
  <c r="Z1799" i="15"/>
  <c r="AA1799" i="15"/>
  <c r="B1800" i="15"/>
  <c r="C1800" i="15"/>
  <c r="D1800" i="15"/>
  <c r="E1800" i="15"/>
  <c r="J1800" i="15"/>
  <c r="K1800" i="15"/>
  <c r="L1800" i="15"/>
  <c r="M1800" i="15"/>
  <c r="N1800" i="15"/>
  <c r="O1800" i="15"/>
  <c r="P1800" i="15"/>
  <c r="Q1800" i="15"/>
  <c r="T1800" i="15"/>
  <c r="U1800" i="15"/>
  <c r="V1800" i="15"/>
  <c r="W1800" i="15"/>
  <c r="X1800" i="15"/>
  <c r="Y1800" i="15"/>
  <c r="Z1800" i="15"/>
  <c r="AA1800" i="15"/>
  <c r="B1801" i="15"/>
  <c r="C1801" i="15"/>
  <c r="D1801" i="15"/>
  <c r="E1801" i="15"/>
  <c r="J1801" i="15"/>
  <c r="K1801" i="15"/>
  <c r="L1801" i="15"/>
  <c r="M1801" i="15"/>
  <c r="N1801" i="15"/>
  <c r="O1801" i="15"/>
  <c r="P1801" i="15"/>
  <c r="Q1801" i="15"/>
  <c r="T1801" i="15"/>
  <c r="U1801" i="15"/>
  <c r="V1801" i="15"/>
  <c r="W1801" i="15"/>
  <c r="X1801" i="15"/>
  <c r="Y1801" i="15"/>
  <c r="Z1801" i="15"/>
  <c r="AA1801" i="15"/>
  <c r="B1802" i="15"/>
  <c r="C1802" i="15"/>
  <c r="D1802" i="15"/>
  <c r="E1802" i="15"/>
  <c r="J1802" i="15"/>
  <c r="K1802" i="15"/>
  <c r="L1802" i="15"/>
  <c r="M1802" i="15"/>
  <c r="N1802" i="15"/>
  <c r="O1802" i="15"/>
  <c r="P1802" i="15"/>
  <c r="Q1802" i="15"/>
  <c r="T1802" i="15"/>
  <c r="U1802" i="15"/>
  <c r="V1802" i="15"/>
  <c r="W1802" i="15"/>
  <c r="X1802" i="15"/>
  <c r="Y1802" i="15"/>
  <c r="Z1802" i="15"/>
  <c r="AA1802" i="15"/>
  <c r="B1803" i="15"/>
  <c r="C1803" i="15"/>
  <c r="D1803" i="15"/>
  <c r="E1803" i="15"/>
  <c r="J1803" i="15"/>
  <c r="K1803" i="15"/>
  <c r="L1803" i="15"/>
  <c r="M1803" i="15"/>
  <c r="N1803" i="15"/>
  <c r="O1803" i="15"/>
  <c r="P1803" i="15"/>
  <c r="Q1803" i="15"/>
  <c r="T1803" i="15"/>
  <c r="U1803" i="15"/>
  <c r="V1803" i="15"/>
  <c r="W1803" i="15"/>
  <c r="X1803" i="15"/>
  <c r="Y1803" i="15"/>
  <c r="Z1803" i="15"/>
  <c r="AA1803" i="15"/>
  <c r="B1804" i="15"/>
  <c r="C1804" i="15"/>
  <c r="D1804" i="15"/>
  <c r="E1804" i="15"/>
  <c r="J1804" i="15"/>
  <c r="K1804" i="15"/>
  <c r="L1804" i="15"/>
  <c r="M1804" i="15"/>
  <c r="N1804" i="15"/>
  <c r="O1804" i="15"/>
  <c r="P1804" i="15"/>
  <c r="Q1804" i="15"/>
  <c r="T1804" i="15"/>
  <c r="U1804" i="15"/>
  <c r="V1804" i="15"/>
  <c r="W1804" i="15"/>
  <c r="X1804" i="15"/>
  <c r="Y1804" i="15"/>
  <c r="Z1804" i="15"/>
  <c r="AA1804" i="15"/>
  <c r="B1805" i="15"/>
  <c r="C1805" i="15"/>
  <c r="D1805" i="15"/>
  <c r="E1805" i="15"/>
  <c r="J1805" i="15"/>
  <c r="K1805" i="15"/>
  <c r="L1805" i="15"/>
  <c r="M1805" i="15"/>
  <c r="N1805" i="15"/>
  <c r="O1805" i="15"/>
  <c r="P1805" i="15"/>
  <c r="Q1805" i="15"/>
  <c r="T1805" i="15"/>
  <c r="U1805" i="15"/>
  <c r="V1805" i="15"/>
  <c r="W1805" i="15"/>
  <c r="X1805" i="15"/>
  <c r="Y1805" i="15"/>
  <c r="Z1805" i="15"/>
  <c r="AA1805" i="15"/>
  <c r="B1806" i="15"/>
  <c r="C1806" i="15"/>
  <c r="D1806" i="15"/>
  <c r="E1806" i="15"/>
  <c r="J1806" i="15"/>
  <c r="K1806" i="15"/>
  <c r="L1806" i="15"/>
  <c r="M1806" i="15"/>
  <c r="N1806" i="15"/>
  <c r="O1806" i="15"/>
  <c r="P1806" i="15"/>
  <c r="Q1806" i="15"/>
  <c r="T1806" i="15"/>
  <c r="U1806" i="15"/>
  <c r="V1806" i="15"/>
  <c r="W1806" i="15"/>
  <c r="X1806" i="15"/>
  <c r="Y1806" i="15"/>
  <c r="Z1806" i="15"/>
  <c r="AA1806" i="15"/>
  <c r="B1807" i="15"/>
  <c r="C1807" i="15"/>
  <c r="D1807" i="15"/>
  <c r="E1807" i="15"/>
  <c r="J1807" i="15"/>
  <c r="K1807" i="15"/>
  <c r="L1807" i="15"/>
  <c r="M1807" i="15"/>
  <c r="N1807" i="15"/>
  <c r="O1807" i="15"/>
  <c r="P1807" i="15"/>
  <c r="Q1807" i="15"/>
  <c r="T1807" i="15"/>
  <c r="U1807" i="15"/>
  <c r="V1807" i="15"/>
  <c r="W1807" i="15"/>
  <c r="X1807" i="15"/>
  <c r="Y1807" i="15"/>
  <c r="Z1807" i="15"/>
  <c r="AA1807" i="15"/>
  <c r="B1808" i="15"/>
  <c r="C1808" i="15"/>
  <c r="D1808" i="15"/>
  <c r="E1808" i="15"/>
  <c r="J1808" i="15"/>
  <c r="K1808" i="15"/>
  <c r="L1808" i="15"/>
  <c r="M1808" i="15"/>
  <c r="N1808" i="15"/>
  <c r="O1808" i="15"/>
  <c r="P1808" i="15"/>
  <c r="Q1808" i="15"/>
  <c r="T1808" i="15"/>
  <c r="U1808" i="15"/>
  <c r="V1808" i="15"/>
  <c r="W1808" i="15"/>
  <c r="X1808" i="15"/>
  <c r="Y1808" i="15"/>
  <c r="Z1808" i="15"/>
  <c r="AA1808" i="15"/>
  <c r="B1809" i="15"/>
  <c r="C1809" i="15"/>
  <c r="D1809" i="15"/>
  <c r="E1809" i="15"/>
  <c r="J1809" i="15"/>
  <c r="K1809" i="15"/>
  <c r="L1809" i="15"/>
  <c r="M1809" i="15"/>
  <c r="N1809" i="15"/>
  <c r="O1809" i="15"/>
  <c r="P1809" i="15"/>
  <c r="Q1809" i="15"/>
  <c r="T1809" i="15"/>
  <c r="U1809" i="15"/>
  <c r="V1809" i="15"/>
  <c r="W1809" i="15"/>
  <c r="X1809" i="15"/>
  <c r="Y1809" i="15"/>
  <c r="Z1809" i="15"/>
  <c r="AA1809" i="15"/>
  <c r="B1810" i="15"/>
  <c r="C1810" i="15"/>
  <c r="D1810" i="15"/>
  <c r="E1810" i="15"/>
  <c r="J1810" i="15"/>
  <c r="K1810" i="15"/>
  <c r="L1810" i="15"/>
  <c r="M1810" i="15"/>
  <c r="N1810" i="15"/>
  <c r="O1810" i="15"/>
  <c r="P1810" i="15"/>
  <c r="Q1810" i="15"/>
  <c r="T1810" i="15"/>
  <c r="U1810" i="15"/>
  <c r="V1810" i="15"/>
  <c r="W1810" i="15"/>
  <c r="X1810" i="15"/>
  <c r="Y1810" i="15"/>
  <c r="Z1810" i="15"/>
  <c r="AA1810" i="15"/>
  <c r="B1811" i="15"/>
  <c r="C1811" i="15"/>
  <c r="D1811" i="15"/>
  <c r="E1811" i="15"/>
  <c r="J1811" i="15"/>
  <c r="K1811" i="15"/>
  <c r="L1811" i="15"/>
  <c r="M1811" i="15"/>
  <c r="N1811" i="15"/>
  <c r="O1811" i="15"/>
  <c r="P1811" i="15"/>
  <c r="Q1811" i="15"/>
  <c r="T1811" i="15"/>
  <c r="U1811" i="15"/>
  <c r="V1811" i="15"/>
  <c r="W1811" i="15"/>
  <c r="X1811" i="15"/>
  <c r="Y1811" i="15"/>
  <c r="Z1811" i="15"/>
  <c r="AA1811" i="15"/>
  <c r="B1812" i="15"/>
  <c r="C1812" i="15"/>
  <c r="D1812" i="15"/>
  <c r="E1812" i="15"/>
  <c r="J1812" i="15"/>
  <c r="K1812" i="15"/>
  <c r="L1812" i="15"/>
  <c r="M1812" i="15"/>
  <c r="N1812" i="15"/>
  <c r="O1812" i="15"/>
  <c r="P1812" i="15"/>
  <c r="Q1812" i="15"/>
  <c r="T1812" i="15"/>
  <c r="U1812" i="15"/>
  <c r="V1812" i="15"/>
  <c r="W1812" i="15"/>
  <c r="X1812" i="15"/>
  <c r="Y1812" i="15"/>
  <c r="Z1812" i="15"/>
  <c r="AA1812" i="15"/>
  <c r="B1813" i="15"/>
  <c r="C1813" i="15"/>
  <c r="D1813" i="15"/>
  <c r="E1813" i="15"/>
  <c r="J1813" i="15"/>
  <c r="K1813" i="15"/>
  <c r="L1813" i="15"/>
  <c r="M1813" i="15"/>
  <c r="N1813" i="15"/>
  <c r="O1813" i="15"/>
  <c r="P1813" i="15"/>
  <c r="Q1813" i="15"/>
  <c r="T1813" i="15"/>
  <c r="U1813" i="15"/>
  <c r="V1813" i="15"/>
  <c r="W1813" i="15"/>
  <c r="X1813" i="15"/>
  <c r="Y1813" i="15"/>
  <c r="Z1813" i="15"/>
  <c r="AA1813" i="15"/>
  <c r="B1814" i="15"/>
  <c r="C1814" i="15"/>
  <c r="D1814" i="15"/>
  <c r="E1814" i="15"/>
  <c r="J1814" i="15"/>
  <c r="K1814" i="15"/>
  <c r="L1814" i="15"/>
  <c r="M1814" i="15"/>
  <c r="N1814" i="15"/>
  <c r="O1814" i="15"/>
  <c r="P1814" i="15"/>
  <c r="Q1814" i="15"/>
  <c r="T1814" i="15"/>
  <c r="U1814" i="15"/>
  <c r="V1814" i="15"/>
  <c r="W1814" i="15"/>
  <c r="X1814" i="15"/>
  <c r="Y1814" i="15"/>
  <c r="Z1814" i="15"/>
  <c r="AA1814" i="15"/>
  <c r="B1815" i="15"/>
  <c r="C1815" i="15"/>
  <c r="D1815" i="15"/>
  <c r="E1815" i="15"/>
  <c r="J1815" i="15"/>
  <c r="K1815" i="15"/>
  <c r="L1815" i="15"/>
  <c r="M1815" i="15"/>
  <c r="N1815" i="15"/>
  <c r="O1815" i="15"/>
  <c r="P1815" i="15"/>
  <c r="Q1815" i="15"/>
  <c r="T1815" i="15"/>
  <c r="U1815" i="15"/>
  <c r="V1815" i="15"/>
  <c r="W1815" i="15"/>
  <c r="X1815" i="15"/>
  <c r="Y1815" i="15"/>
  <c r="Z1815" i="15"/>
  <c r="AA1815" i="15"/>
  <c r="B1816" i="15"/>
  <c r="C1816" i="15"/>
  <c r="D1816" i="15"/>
  <c r="E1816" i="15"/>
  <c r="J1816" i="15"/>
  <c r="K1816" i="15"/>
  <c r="L1816" i="15"/>
  <c r="M1816" i="15"/>
  <c r="N1816" i="15"/>
  <c r="O1816" i="15"/>
  <c r="P1816" i="15"/>
  <c r="Q1816" i="15"/>
  <c r="T1816" i="15"/>
  <c r="U1816" i="15"/>
  <c r="V1816" i="15"/>
  <c r="W1816" i="15"/>
  <c r="X1816" i="15"/>
  <c r="Y1816" i="15"/>
  <c r="Z1816" i="15"/>
  <c r="AA1816" i="15"/>
  <c r="B1817" i="15"/>
  <c r="C1817" i="15"/>
  <c r="D1817" i="15"/>
  <c r="E1817" i="15"/>
  <c r="J1817" i="15"/>
  <c r="K1817" i="15"/>
  <c r="L1817" i="15"/>
  <c r="M1817" i="15"/>
  <c r="N1817" i="15"/>
  <c r="O1817" i="15"/>
  <c r="P1817" i="15"/>
  <c r="Q1817" i="15"/>
  <c r="T1817" i="15"/>
  <c r="U1817" i="15"/>
  <c r="V1817" i="15"/>
  <c r="W1817" i="15"/>
  <c r="X1817" i="15"/>
  <c r="Y1817" i="15"/>
  <c r="Z1817" i="15"/>
  <c r="AA1817" i="15"/>
  <c r="B1818" i="15"/>
  <c r="C1818" i="15"/>
  <c r="D1818" i="15"/>
  <c r="E1818" i="15"/>
  <c r="J1818" i="15"/>
  <c r="K1818" i="15"/>
  <c r="L1818" i="15"/>
  <c r="M1818" i="15"/>
  <c r="N1818" i="15"/>
  <c r="O1818" i="15"/>
  <c r="P1818" i="15"/>
  <c r="Q1818" i="15"/>
  <c r="T1818" i="15"/>
  <c r="U1818" i="15"/>
  <c r="V1818" i="15"/>
  <c r="W1818" i="15"/>
  <c r="X1818" i="15"/>
  <c r="Y1818" i="15"/>
  <c r="Z1818" i="15"/>
  <c r="AA1818" i="15"/>
  <c r="B1819" i="15"/>
  <c r="C1819" i="15"/>
  <c r="D1819" i="15"/>
  <c r="E1819" i="15"/>
  <c r="J1819" i="15"/>
  <c r="K1819" i="15"/>
  <c r="L1819" i="15"/>
  <c r="M1819" i="15"/>
  <c r="N1819" i="15"/>
  <c r="O1819" i="15"/>
  <c r="P1819" i="15"/>
  <c r="Q1819" i="15"/>
  <c r="T1819" i="15"/>
  <c r="U1819" i="15"/>
  <c r="V1819" i="15"/>
  <c r="W1819" i="15"/>
  <c r="X1819" i="15"/>
  <c r="Y1819" i="15"/>
  <c r="Z1819" i="15"/>
  <c r="AA1819" i="15"/>
  <c r="B1820" i="15"/>
  <c r="C1820" i="15"/>
  <c r="D1820" i="15"/>
  <c r="E1820" i="15"/>
  <c r="J1820" i="15"/>
  <c r="K1820" i="15"/>
  <c r="L1820" i="15"/>
  <c r="M1820" i="15"/>
  <c r="N1820" i="15"/>
  <c r="O1820" i="15"/>
  <c r="P1820" i="15"/>
  <c r="Q1820" i="15"/>
  <c r="T1820" i="15"/>
  <c r="U1820" i="15"/>
  <c r="V1820" i="15"/>
  <c r="W1820" i="15"/>
  <c r="X1820" i="15"/>
  <c r="Y1820" i="15"/>
  <c r="Z1820" i="15"/>
  <c r="AA1820" i="15"/>
  <c r="B1821" i="15"/>
  <c r="C1821" i="15"/>
  <c r="D1821" i="15"/>
  <c r="E1821" i="15"/>
  <c r="J1821" i="15"/>
  <c r="K1821" i="15"/>
  <c r="L1821" i="15"/>
  <c r="M1821" i="15"/>
  <c r="N1821" i="15"/>
  <c r="O1821" i="15"/>
  <c r="P1821" i="15"/>
  <c r="Q1821" i="15"/>
  <c r="T1821" i="15"/>
  <c r="U1821" i="15"/>
  <c r="V1821" i="15"/>
  <c r="W1821" i="15"/>
  <c r="X1821" i="15"/>
  <c r="Y1821" i="15"/>
  <c r="Z1821" i="15"/>
  <c r="AA1821" i="15"/>
  <c r="B1822" i="15"/>
  <c r="C1822" i="15"/>
  <c r="D1822" i="15"/>
  <c r="E1822" i="15"/>
  <c r="J1822" i="15"/>
  <c r="K1822" i="15"/>
  <c r="L1822" i="15"/>
  <c r="M1822" i="15"/>
  <c r="N1822" i="15"/>
  <c r="O1822" i="15"/>
  <c r="P1822" i="15"/>
  <c r="Q1822" i="15"/>
  <c r="T1822" i="15"/>
  <c r="U1822" i="15"/>
  <c r="V1822" i="15"/>
  <c r="W1822" i="15"/>
  <c r="X1822" i="15"/>
  <c r="Y1822" i="15"/>
  <c r="Z1822" i="15"/>
  <c r="AA1822" i="15"/>
  <c r="B1823" i="15"/>
  <c r="C1823" i="15"/>
  <c r="D1823" i="15"/>
  <c r="E1823" i="15"/>
  <c r="J1823" i="15"/>
  <c r="K1823" i="15"/>
  <c r="L1823" i="15"/>
  <c r="M1823" i="15"/>
  <c r="N1823" i="15"/>
  <c r="O1823" i="15"/>
  <c r="P1823" i="15"/>
  <c r="Q1823" i="15"/>
  <c r="T1823" i="15"/>
  <c r="U1823" i="15"/>
  <c r="V1823" i="15"/>
  <c r="W1823" i="15"/>
  <c r="X1823" i="15"/>
  <c r="Y1823" i="15"/>
  <c r="Z1823" i="15"/>
  <c r="AA1823" i="15"/>
  <c r="B1824" i="15"/>
  <c r="C1824" i="15"/>
  <c r="D1824" i="15"/>
  <c r="E1824" i="15"/>
  <c r="J1824" i="15"/>
  <c r="K1824" i="15"/>
  <c r="L1824" i="15"/>
  <c r="M1824" i="15"/>
  <c r="N1824" i="15"/>
  <c r="O1824" i="15"/>
  <c r="P1824" i="15"/>
  <c r="Q1824" i="15"/>
  <c r="T1824" i="15"/>
  <c r="U1824" i="15"/>
  <c r="V1824" i="15"/>
  <c r="W1824" i="15"/>
  <c r="X1824" i="15"/>
  <c r="Y1824" i="15"/>
  <c r="Z1824" i="15"/>
  <c r="AA1824" i="15"/>
  <c r="B1825" i="15"/>
  <c r="C1825" i="15"/>
  <c r="D1825" i="15"/>
  <c r="E1825" i="15"/>
  <c r="J1825" i="15"/>
  <c r="K1825" i="15"/>
  <c r="L1825" i="15"/>
  <c r="M1825" i="15"/>
  <c r="N1825" i="15"/>
  <c r="O1825" i="15"/>
  <c r="P1825" i="15"/>
  <c r="Q1825" i="15"/>
  <c r="T1825" i="15"/>
  <c r="U1825" i="15"/>
  <c r="V1825" i="15"/>
  <c r="W1825" i="15"/>
  <c r="X1825" i="15"/>
  <c r="Y1825" i="15"/>
  <c r="Z1825" i="15"/>
  <c r="AA1825" i="15"/>
  <c r="B1826" i="15"/>
  <c r="C1826" i="15"/>
  <c r="D1826" i="15"/>
  <c r="E1826" i="15"/>
  <c r="J1826" i="15"/>
  <c r="K1826" i="15"/>
  <c r="L1826" i="15"/>
  <c r="M1826" i="15"/>
  <c r="N1826" i="15"/>
  <c r="O1826" i="15"/>
  <c r="P1826" i="15"/>
  <c r="Q1826" i="15"/>
  <c r="T1826" i="15"/>
  <c r="U1826" i="15"/>
  <c r="V1826" i="15"/>
  <c r="W1826" i="15"/>
  <c r="X1826" i="15"/>
  <c r="Y1826" i="15"/>
  <c r="Z1826" i="15"/>
  <c r="AA1826" i="15"/>
  <c r="B1827" i="15"/>
  <c r="C1827" i="15"/>
  <c r="D1827" i="15"/>
  <c r="E1827" i="15"/>
  <c r="J1827" i="15"/>
  <c r="K1827" i="15"/>
  <c r="L1827" i="15"/>
  <c r="M1827" i="15"/>
  <c r="N1827" i="15"/>
  <c r="O1827" i="15"/>
  <c r="P1827" i="15"/>
  <c r="Q1827" i="15"/>
  <c r="T1827" i="15"/>
  <c r="U1827" i="15"/>
  <c r="V1827" i="15"/>
  <c r="W1827" i="15"/>
  <c r="X1827" i="15"/>
  <c r="Y1827" i="15"/>
  <c r="Z1827" i="15"/>
  <c r="AA1827" i="15"/>
  <c r="B1828" i="15"/>
  <c r="C1828" i="15"/>
  <c r="D1828" i="15"/>
  <c r="E1828" i="15"/>
  <c r="J1828" i="15"/>
  <c r="K1828" i="15"/>
  <c r="L1828" i="15"/>
  <c r="M1828" i="15"/>
  <c r="N1828" i="15"/>
  <c r="O1828" i="15"/>
  <c r="P1828" i="15"/>
  <c r="Q1828" i="15"/>
  <c r="T1828" i="15"/>
  <c r="U1828" i="15"/>
  <c r="V1828" i="15"/>
  <c r="W1828" i="15"/>
  <c r="X1828" i="15"/>
  <c r="Y1828" i="15"/>
  <c r="Z1828" i="15"/>
  <c r="AA1828" i="15"/>
  <c r="B1829" i="15"/>
  <c r="C1829" i="15"/>
  <c r="D1829" i="15"/>
  <c r="E1829" i="15"/>
  <c r="J1829" i="15"/>
  <c r="K1829" i="15"/>
  <c r="L1829" i="15"/>
  <c r="M1829" i="15"/>
  <c r="N1829" i="15"/>
  <c r="O1829" i="15"/>
  <c r="P1829" i="15"/>
  <c r="Q1829" i="15"/>
  <c r="T1829" i="15"/>
  <c r="U1829" i="15"/>
  <c r="V1829" i="15"/>
  <c r="W1829" i="15"/>
  <c r="X1829" i="15"/>
  <c r="Y1829" i="15"/>
  <c r="Z1829" i="15"/>
  <c r="AA1829" i="15"/>
  <c r="B1830" i="15"/>
  <c r="C1830" i="15"/>
  <c r="D1830" i="15"/>
  <c r="E1830" i="15"/>
  <c r="J1830" i="15"/>
  <c r="K1830" i="15"/>
  <c r="L1830" i="15"/>
  <c r="M1830" i="15"/>
  <c r="N1830" i="15"/>
  <c r="O1830" i="15"/>
  <c r="P1830" i="15"/>
  <c r="Q1830" i="15"/>
  <c r="T1830" i="15"/>
  <c r="U1830" i="15"/>
  <c r="V1830" i="15"/>
  <c r="W1830" i="15"/>
  <c r="X1830" i="15"/>
  <c r="Y1830" i="15"/>
  <c r="Z1830" i="15"/>
  <c r="AA1830" i="15"/>
  <c r="B1831" i="15"/>
  <c r="C1831" i="15"/>
  <c r="D1831" i="15"/>
  <c r="E1831" i="15"/>
  <c r="J1831" i="15"/>
  <c r="K1831" i="15"/>
  <c r="L1831" i="15"/>
  <c r="M1831" i="15"/>
  <c r="N1831" i="15"/>
  <c r="O1831" i="15"/>
  <c r="P1831" i="15"/>
  <c r="Q1831" i="15"/>
  <c r="T1831" i="15"/>
  <c r="U1831" i="15"/>
  <c r="V1831" i="15"/>
  <c r="W1831" i="15"/>
  <c r="X1831" i="15"/>
  <c r="Y1831" i="15"/>
  <c r="Z1831" i="15"/>
  <c r="AA1831" i="15"/>
  <c r="B1832" i="15"/>
  <c r="C1832" i="15"/>
  <c r="D1832" i="15"/>
  <c r="E1832" i="15"/>
  <c r="J1832" i="15"/>
  <c r="K1832" i="15"/>
  <c r="L1832" i="15"/>
  <c r="M1832" i="15"/>
  <c r="N1832" i="15"/>
  <c r="O1832" i="15"/>
  <c r="P1832" i="15"/>
  <c r="Q1832" i="15"/>
  <c r="T1832" i="15"/>
  <c r="U1832" i="15"/>
  <c r="V1832" i="15"/>
  <c r="W1832" i="15"/>
  <c r="X1832" i="15"/>
  <c r="Y1832" i="15"/>
  <c r="Z1832" i="15"/>
  <c r="AA1832" i="15"/>
  <c r="B1833" i="15"/>
  <c r="C1833" i="15"/>
  <c r="D1833" i="15"/>
  <c r="E1833" i="15"/>
  <c r="J1833" i="15"/>
  <c r="K1833" i="15"/>
  <c r="L1833" i="15"/>
  <c r="M1833" i="15"/>
  <c r="N1833" i="15"/>
  <c r="O1833" i="15"/>
  <c r="P1833" i="15"/>
  <c r="Q1833" i="15"/>
  <c r="T1833" i="15"/>
  <c r="U1833" i="15"/>
  <c r="V1833" i="15"/>
  <c r="W1833" i="15"/>
  <c r="X1833" i="15"/>
  <c r="Y1833" i="15"/>
  <c r="Z1833" i="15"/>
  <c r="AA1833" i="15"/>
  <c r="B1834" i="15"/>
  <c r="C1834" i="15"/>
  <c r="D1834" i="15"/>
  <c r="E1834" i="15"/>
  <c r="J1834" i="15"/>
  <c r="K1834" i="15"/>
  <c r="L1834" i="15"/>
  <c r="M1834" i="15"/>
  <c r="N1834" i="15"/>
  <c r="O1834" i="15"/>
  <c r="P1834" i="15"/>
  <c r="Q1834" i="15"/>
  <c r="T1834" i="15"/>
  <c r="U1834" i="15"/>
  <c r="V1834" i="15"/>
  <c r="W1834" i="15"/>
  <c r="X1834" i="15"/>
  <c r="Y1834" i="15"/>
  <c r="Z1834" i="15"/>
  <c r="AA1834" i="15"/>
  <c r="B1835" i="15"/>
  <c r="C1835" i="15"/>
  <c r="D1835" i="15"/>
  <c r="E1835" i="15"/>
  <c r="J1835" i="15"/>
  <c r="K1835" i="15"/>
  <c r="L1835" i="15"/>
  <c r="M1835" i="15"/>
  <c r="N1835" i="15"/>
  <c r="O1835" i="15"/>
  <c r="P1835" i="15"/>
  <c r="Q1835" i="15"/>
  <c r="T1835" i="15"/>
  <c r="U1835" i="15"/>
  <c r="V1835" i="15"/>
  <c r="W1835" i="15"/>
  <c r="X1835" i="15"/>
  <c r="Y1835" i="15"/>
  <c r="Z1835" i="15"/>
  <c r="AA1835" i="15"/>
  <c r="B1836" i="15"/>
  <c r="C1836" i="15"/>
  <c r="D1836" i="15"/>
  <c r="E1836" i="15"/>
  <c r="J1836" i="15"/>
  <c r="K1836" i="15"/>
  <c r="L1836" i="15"/>
  <c r="M1836" i="15"/>
  <c r="N1836" i="15"/>
  <c r="O1836" i="15"/>
  <c r="P1836" i="15"/>
  <c r="Q1836" i="15"/>
  <c r="T1836" i="15"/>
  <c r="U1836" i="15"/>
  <c r="V1836" i="15"/>
  <c r="W1836" i="15"/>
  <c r="X1836" i="15"/>
  <c r="Y1836" i="15"/>
  <c r="Z1836" i="15"/>
  <c r="AA1836" i="15"/>
  <c r="B1837" i="15"/>
  <c r="C1837" i="15"/>
  <c r="D1837" i="15"/>
  <c r="E1837" i="15"/>
  <c r="J1837" i="15"/>
  <c r="K1837" i="15"/>
  <c r="L1837" i="15"/>
  <c r="M1837" i="15"/>
  <c r="N1837" i="15"/>
  <c r="O1837" i="15"/>
  <c r="P1837" i="15"/>
  <c r="Q1837" i="15"/>
  <c r="T1837" i="15"/>
  <c r="U1837" i="15"/>
  <c r="V1837" i="15"/>
  <c r="W1837" i="15"/>
  <c r="X1837" i="15"/>
  <c r="Y1837" i="15"/>
  <c r="Z1837" i="15"/>
  <c r="AA1837" i="15"/>
  <c r="B1838" i="15"/>
  <c r="C1838" i="15"/>
  <c r="D1838" i="15"/>
  <c r="E1838" i="15"/>
  <c r="J1838" i="15"/>
  <c r="K1838" i="15"/>
  <c r="L1838" i="15"/>
  <c r="M1838" i="15"/>
  <c r="N1838" i="15"/>
  <c r="O1838" i="15"/>
  <c r="P1838" i="15"/>
  <c r="Q1838" i="15"/>
  <c r="T1838" i="15"/>
  <c r="U1838" i="15"/>
  <c r="V1838" i="15"/>
  <c r="W1838" i="15"/>
  <c r="X1838" i="15"/>
  <c r="Y1838" i="15"/>
  <c r="Z1838" i="15"/>
  <c r="AA1838" i="15"/>
  <c r="B1839" i="15"/>
  <c r="C1839" i="15"/>
  <c r="D1839" i="15"/>
  <c r="E1839" i="15"/>
  <c r="J1839" i="15"/>
  <c r="K1839" i="15"/>
  <c r="L1839" i="15"/>
  <c r="M1839" i="15"/>
  <c r="N1839" i="15"/>
  <c r="O1839" i="15"/>
  <c r="P1839" i="15"/>
  <c r="Q1839" i="15"/>
  <c r="T1839" i="15"/>
  <c r="U1839" i="15"/>
  <c r="V1839" i="15"/>
  <c r="W1839" i="15"/>
  <c r="X1839" i="15"/>
  <c r="Y1839" i="15"/>
  <c r="Z1839" i="15"/>
  <c r="AA1839" i="15"/>
  <c r="B1840" i="15"/>
  <c r="C1840" i="15"/>
  <c r="D1840" i="15"/>
  <c r="E1840" i="15"/>
  <c r="J1840" i="15"/>
  <c r="K1840" i="15"/>
  <c r="L1840" i="15"/>
  <c r="M1840" i="15"/>
  <c r="N1840" i="15"/>
  <c r="O1840" i="15"/>
  <c r="P1840" i="15"/>
  <c r="Q1840" i="15"/>
  <c r="T1840" i="15"/>
  <c r="U1840" i="15"/>
  <c r="V1840" i="15"/>
  <c r="W1840" i="15"/>
  <c r="X1840" i="15"/>
  <c r="Y1840" i="15"/>
  <c r="Z1840" i="15"/>
  <c r="AA1840" i="15"/>
  <c r="B1841" i="15"/>
  <c r="C1841" i="15"/>
  <c r="D1841" i="15"/>
  <c r="E1841" i="15"/>
  <c r="J1841" i="15"/>
  <c r="K1841" i="15"/>
  <c r="L1841" i="15"/>
  <c r="M1841" i="15"/>
  <c r="N1841" i="15"/>
  <c r="O1841" i="15"/>
  <c r="P1841" i="15"/>
  <c r="Q1841" i="15"/>
  <c r="T1841" i="15"/>
  <c r="U1841" i="15"/>
  <c r="V1841" i="15"/>
  <c r="W1841" i="15"/>
  <c r="X1841" i="15"/>
  <c r="Y1841" i="15"/>
  <c r="Z1841" i="15"/>
  <c r="AA1841" i="15"/>
  <c r="B1842" i="15"/>
  <c r="C1842" i="15"/>
  <c r="D1842" i="15"/>
  <c r="E1842" i="15"/>
  <c r="J1842" i="15"/>
  <c r="K1842" i="15"/>
  <c r="L1842" i="15"/>
  <c r="M1842" i="15"/>
  <c r="N1842" i="15"/>
  <c r="O1842" i="15"/>
  <c r="P1842" i="15"/>
  <c r="Q1842" i="15"/>
  <c r="T1842" i="15"/>
  <c r="U1842" i="15"/>
  <c r="V1842" i="15"/>
  <c r="W1842" i="15"/>
  <c r="X1842" i="15"/>
  <c r="Y1842" i="15"/>
  <c r="Z1842" i="15"/>
  <c r="AA1842" i="15"/>
  <c r="B1843" i="15"/>
  <c r="C1843" i="15"/>
  <c r="D1843" i="15"/>
  <c r="E1843" i="15"/>
  <c r="J1843" i="15"/>
  <c r="K1843" i="15"/>
  <c r="L1843" i="15"/>
  <c r="M1843" i="15"/>
  <c r="N1843" i="15"/>
  <c r="O1843" i="15"/>
  <c r="P1843" i="15"/>
  <c r="Q1843" i="15"/>
  <c r="T1843" i="15"/>
  <c r="U1843" i="15"/>
  <c r="V1843" i="15"/>
  <c r="W1843" i="15"/>
  <c r="X1843" i="15"/>
  <c r="Y1843" i="15"/>
  <c r="Z1843" i="15"/>
  <c r="AA1843" i="15"/>
  <c r="B1844" i="15"/>
  <c r="C1844" i="15"/>
  <c r="D1844" i="15"/>
  <c r="E1844" i="15"/>
  <c r="J1844" i="15"/>
  <c r="K1844" i="15"/>
  <c r="L1844" i="15"/>
  <c r="M1844" i="15"/>
  <c r="N1844" i="15"/>
  <c r="O1844" i="15"/>
  <c r="P1844" i="15"/>
  <c r="Q1844" i="15"/>
  <c r="T1844" i="15"/>
  <c r="U1844" i="15"/>
  <c r="V1844" i="15"/>
  <c r="W1844" i="15"/>
  <c r="X1844" i="15"/>
  <c r="Y1844" i="15"/>
  <c r="Z1844" i="15"/>
  <c r="AA1844" i="15"/>
  <c r="B1845" i="15"/>
  <c r="C1845" i="15"/>
  <c r="D1845" i="15"/>
  <c r="E1845" i="15"/>
  <c r="J1845" i="15"/>
  <c r="K1845" i="15"/>
  <c r="L1845" i="15"/>
  <c r="M1845" i="15"/>
  <c r="N1845" i="15"/>
  <c r="O1845" i="15"/>
  <c r="P1845" i="15"/>
  <c r="Q1845" i="15"/>
  <c r="T1845" i="15"/>
  <c r="U1845" i="15"/>
  <c r="V1845" i="15"/>
  <c r="W1845" i="15"/>
  <c r="X1845" i="15"/>
  <c r="Y1845" i="15"/>
  <c r="Z1845" i="15"/>
  <c r="AA1845" i="15"/>
  <c r="B1846" i="15"/>
  <c r="C1846" i="15"/>
  <c r="D1846" i="15"/>
  <c r="E1846" i="15"/>
  <c r="J1846" i="15"/>
  <c r="K1846" i="15"/>
  <c r="L1846" i="15"/>
  <c r="M1846" i="15"/>
  <c r="N1846" i="15"/>
  <c r="O1846" i="15"/>
  <c r="P1846" i="15"/>
  <c r="Q1846" i="15"/>
  <c r="T1846" i="15"/>
  <c r="U1846" i="15"/>
  <c r="V1846" i="15"/>
  <c r="W1846" i="15"/>
  <c r="X1846" i="15"/>
  <c r="Y1846" i="15"/>
  <c r="Z1846" i="15"/>
  <c r="AA1846" i="15"/>
  <c r="B1847" i="15"/>
  <c r="C1847" i="15"/>
  <c r="D1847" i="15"/>
  <c r="E1847" i="15"/>
  <c r="J1847" i="15"/>
  <c r="K1847" i="15"/>
  <c r="L1847" i="15"/>
  <c r="M1847" i="15"/>
  <c r="N1847" i="15"/>
  <c r="O1847" i="15"/>
  <c r="P1847" i="15"/>
  <c r="Q1847" i="15"/>
  <c r="T1847" i="15"/>
  <c r="U1847" i="15"/>
  <c r="V1847" i="15"/>
  <c r="W1847" i="15"/>
  <c r="X1847" i="15"/>
  <c r="Y1847" i="15"/>
  <c r="Z1847" i="15"/>
  <c r="AA1847" i="15"/>
  <c r="B1848" i="15"/>
  <c r="C1848" i="15"/>
  <c r="D1848" i="15"/>
  <c r="E1848" i="15"/>
  <c r="J1848" i="15"/>
  <c r="K1848" i="15"/>
  <c r="L1848" i="15"/>
  <c r="M1848" i="15"/>
  <c r="N1848" i="15"/>
  <c r="O1848" i="15"/>
  <c r="P1848" i="15"/>
  <c r="Q1848" i="15"/>
  <c r="T1848" i="15"/>
  <c r="U1848" i="15"/>
  <c r="V1848" i="15"/>
  <c r="W1848" i="15"/>
  <c r="X1848" i="15"/>
  <c r="Y1848" i="15"/>
  <c r="Z1848" i="15"/>
  <c r="AA1848" i="15"/>
  <c r="B1849" i="15"/>
  <c r="C1849" i="15"/>
  <c r="D1849" i="15"/>
  <c r="E1849" i="15"/>
  <c r="J1849" i="15"/>
  <c r="K1849" i="15"/>
  <c r="L1849" i="15"/>
  <c r="M1849" i="15"/>
  <c r="N1849" i="15"/>
  <c r="O1849" i="15"/>
  <c r="P1849" i="15"/>
  <c r="Q1849" i="15"/>
  <c r="T1849" i="15"/>
  <c r="U1849" i="15"/>
  <c r="V1849" i="15"/>
  <c r="W1849" i="15"/>
  <c r="X1849" i="15"/>
  <c r="Y1849" i="15"/>
  <c r="Z1849" i="15"/>
  <c r="AA1849" i="15"/>
  <c r="B1850" i="15"/>
  <c r="C1850" i="15"/>
  <c r="D1850" i="15"/>
  <c r="E1850" i="15"/>
  <c r="J1850" i="15"/>
  <c r="K1850" i="15"/>
  <c r="L1850" i="15"/>
  <c r="M1850" i="15"/>
  <c r="N1850" i="15"/>
  <c r="O1850" i="15"/>
  <c r="P1850" i="15"/>
  <c r="Q1850" i="15"/>
  <c r="T1850" i="15"/>
  <c r="U1850" i="15"/>
  <c r="V1850" i="15"/>
  <c r="W1850" i="15"/>
  <c r="X1850" i="15"/>
  <c r="Y1850" i="15"/>
  <c r="Z1850" i="15"/>
  <c r="AA1850" i="15"/>
  <c r="B1851" i="15"/>
  <c r="C1851" i="15"/>
  <c r="D1851" i="15"/>
  <c r="E1851" i="15"/>
  <c r="J1851" i="15"/>
  <c r="K1851" i="15"/>
  <c r="L1851" i="15"/>
  <c r="M1851" i="15"/>
  <c r="N1851" i="15"/>
  <c r="O1851" i="15"/>
  <c r="P1851" i="15"/>
  <c r="Q1851" i="15"/>
  <c r="T1851" i="15"/>
  <c r="U1851" i="15"/>
  <c r="V1851" i="15"/>
  <c r="W1851" i="15"/>
  <c r="X1851" i="15"/>
  <c r="Y1851" i="15"/>
  <c r="Z1851" i="15"/>
  <c r="AA1851" i="15"/>
  <c r="B1852" i="15"/>
  <c r="C1852" i="15"/>
  <c r="D1852" i="15"/>
  <c r="E1852" i="15"/>
  <c r="J1852" i="15"/>
  <c r="K1852" i="15"/>
  <c r="L1852" i="15"/>
  <c r="M1852" i="15"/>
  <c r="N1852" i="15"/>
  <c r="O1852" i="15"/>
  <c r="P1852" i="15"/>
  <c r="Q1852" i="15"/>
  <c r="T1852" i="15"/>
  <c r="U1852" i="15"/>
  <c r="V1852" i="15"/>
  <c r="W1852" i="15"/>
  <c r="X1852" i="15"/>
  <c r="Y1852" i="15"/>
  <c r="Z1852" i="15"/>
  <c r="AA1852" i="15"/>
  <c r="B1853" i="15"/>
  <c r="C1853" i="15"/>
  <c r="D1853" i="15"/>
  <c r="E1853" i="15"/>
  <c r="J1853" i="15"/>
  <c r="K1853" i="15"/>
  <c r="L1853" i="15"/>
  <c r="M1853" i="15"/>
  <c r="N1853" i="15"/>
  <c r="O1853" i="15"/>
  <c r="P1853" i="15"/>
  <c r="Q1853" i="15"/>
  <c r="T1853" i="15"/>
  <c r="U1853" i="15"/>
  <c r="V1853" i="15"/>
  <c r="W1853" i="15"/>
  <c r="X1853" i="15"/>
  <c r="Y1853" i="15"/>
  <c r="Z1853" i="15"/>
  <c r="AA1853" i="15"/>
  <c r="B1854" i="15"/>
  <c r="C1854" i="15"/>
  <c r="D1854" i="15"/>
  <c r="E1854" i="15"/>
  <c r="J1854" i="15"/>
  <c r="K1854" i="15"/>
  <c r="L1854" i="15"/>
  <c r="M1854" i="15"/>
  <c r="N1854" i="15"/>
  <c r="O1854" i="15"/>
  <c r="P1854" i="15"/>
  <c r="Q1854" i="15"/>
  <c r="T1854" i="15"/>
  <c r="U1854" i="15"/>
  <c r="V1854" i="15"/>
  <c r="W1854" i="15"/>
  <c r="X1854" i="15"/>
  <c r="Y1854" i="15"/>
  <c r="Z1854" i="15"/>
  <c r="AA1854" i="15"/>
  <c r="B1855" i="15"/>
  <c r="C1855" i="15"/>
  <c r="D1855" i="15"/>
  <c r="E1855" i="15"/>
  <c r="J1855" i="15"/>
  <c r="K1855" i="15"/>
  <c r="L1855" i="15"/>
  <c r="M1855" i="15"/>
  <c r="N1855" i="15"/>
  <c r="O1855" i="15"/>
  <c r="P1855" i="15"/>
  <c r="Q1855" i="15"/>
  <c r="T1855" i="15"/>
  <c r="U1855" i="15"/>
  <c r="V1855" i="15"/>
  <c r="W1855" i="15"/>
  <c r="X1855" i="15"/>
  <c r="Y1855" i="15"/>
  <c r="Z1855" i="15"/>
  <c r="AA1855" i="15"/>
  <c r="B1856" i="15"/>
  <c r="C1856" i="15"/>
  <c r="D1856" i="15"/>
  <c r="E1856" i="15"/>
  <c r="J1856" i="15"/>
  <c r="K1856" i="15"/>
  <c r="L1856" i="15"/>
  <c r="M1856" i="15"/>
  <c r="N1856" i="15"/>
  <c r="O1856" i="15"/>
  <c r="P1856" i="15"/>
  <c r="Q1856" i="15"/>
  <c r="T1856" i="15"/>
  <c r="U1856" i="15"/>
  <c r="V1856" i="15"/>
  <c r="W1856" i="15"/>
  <c r="X1856" i="15"/>
  <c r="Y1856" i="15"/>
  <c r="Z1856" i="15"/>
  <c r="AA1856" i="15"/>
  <c r="B1857" i="15"/>
  <c r="C1857" i="15"/>
  <c r="D1857" i="15"/>
  <c r="E1857" i="15"/>
  <c r="J1857" i="15"/>
  <c r="K1857" i="15"/>
  <c r="L1857" i="15"/>
  <c r="M1857" i="15"/>
  <c r="N1857" i="15"/>
  <c r="O1857" i="15"/>
  <c r="P1857" i="15"/>
  <c r="Q1857" i="15"/>
  <c r="T1857" i="15"/>
  <c r="U1857" i="15"/>
  <c r="V1857" i="15"/>
  <c r="W1857" i="15"/>
  <c r="X1857" i="15"/>
  <c r="Y1857" i="15"/>
  <c r="Z1857" i="15"/>
  <c r="AA1857" i="15"/>
  <c r="B1858" i="15"/>
  <c r="C1858" i="15"/>
  <c r="D1858" i="15"/>
  <c r="E1858" i="15"/>
  <c r="J1858" i="15"/>
  <c r="K1858" i="15"/>
  <c r="L1858" i="15"/>
  <c r="M1858" i="15"/>
  <c r="N1858" i="15"/>
  <c r="O1858" i="15"/>
  <c r="P1858" i="15"/>
  <c r="Q1858" i="15"/>
  <c r="T1858" i="15"/>
  <c r="U1858" i="15"/>
  <c r="V1858" i="15"/>
  <c r="W1858" i="15"/>
  <c r="X1858" i="15"/>
  <c r="Y1858" i="15"/>
  <c r="Z1858" i="15"/>
  <c r="AA1858" i="15"/>
  <c r="B1859" i="15"/>
  <c r="C1859" i="15"/>
  <c r="D1859" i="15"/>
  <c r="E1859" i="15"/>
  <c r="J1859" i="15"/>
  <c r="K1859" i="15"/>
  <c r="L1859" i="15"/>
  <c r="M1859" i="15"/>
  <c r="N1859" i="15"/>
  <c r="O1859" i="15"/>
  <c r="P1859" i="15"/>
  <c r="Q1859" i="15"/>
  <c r="T1859" i="15"/>
  <c r="U1859" i="15"/>
  <c r="V1859" i="15"/>
  <c r="W1859" i="15"/>
  <c r="X1859" i="15"/>
  <c r="Y1859" i="15"/>
  <c r="Z1859" i="15"/>
  <c r="AA1859" i="15"/>
  <c r="B1860" i="15"/>
  <c r="C1860" i="15"/>
  <c r="D1860" i="15"/>
  <c r="E1860" i="15"/>
  <c r="J1860" i="15"/>
  <c r="K1860" i="15"/>
  <c r="L1860" i="15"/>
  <c r="M1860" i="15"/>
  <c r="N1860" i="15"/>
  <c r="O1860" i="15"/>
  <c r="P1860" i="15"/>
  <c r="Q1860" i="15"/>
  <c r="T1860" i="15"/>
  <c r="U1860" i="15"/>
  <c r="V1860" i="15"/>
  <c r="W1860" i="15"/>
  <c r="X1860" i="15"/>
  <c r="Y1860" i="15"/>
  <c r="Z1860" i="15"/>
  <c r="AA1860" i="15"/>
  <c r="B1861" i="15"/>
  <c r="C1861" i="15"/>
  <c r="D1861" i="15"/>
  <c r="E1861" i="15"/>
  <c r="J1861" i="15"/>
  <c r="K1861" i="15"/>
  <c r="L1861" i="15"/>
  <c r="M1861" i="15"/>
  <c r="N1861" i="15"/>
  <c r="O1861" i="15"/>
  <c r="P1861" i="15"/>
  <c r="Q1861" i="15"/>
  <c r="T1861" i="15"/>
  <c r="U1861" i="15"/>
  <c r="V1861" i="15"/>
  <c r="W1861" i="15"/>
  <c r="X1861" i="15"/>
  <c r="Y1861" i="15"/>
  <c r="Z1861" i="15"/>
  <c r="AA1861" i="15"/>
  <c r="B1862" i="15"/>
  <c r="C1862" i="15"/>
  <c r="D1862" i="15"/>
  <c r="E1862" i="15"/>
  <c r="J1862" i="15"/>
  <c r="K1862" i="15"/>
  <c r="L1862" i="15"/>
  <c r="M1862" i="15"/>
  <c r="N1862" i="15"/>
  <c r="O1862" i="15"/>
  <c r="P1862" i="15"/>
  <c r="Q1862" i="15"/>
  <c r="T1862" i="15"/>
  <c r="U1862" i="15"/>
  <c r="V1862" i="15"/>
  <c r="W1862" i="15"/>
  <c r="X1862" i="15"/>
  <c r="Y1862" i="15"/>
  <c r="Z1862" i="15"/>
  <c r="AA1862" i="15"/>
  <c r="B1863" i="15"/>
  <c r="C1863" i="15"/>
  <c r="D1863" i="15"/>
  <c r="E1863" i="15"/>
  <c r="J1863" i="15"/>
  <c r="K1863" i="15"/>
  <c r="L1863" i="15"/>
  <c r="M1863" i="15"/>
  <c r="N1863" i="15"/>
  <c r="O1863" i="15"/>
  <c r="P1863" i="15"/>
  <c r="Q1863" i="15"/>
  <c r="T1863" i="15"/>
  <c r="U1863" i="15"/>
  <c r="V1863" i="15"/>
  <c r="W1863" i="15"/>
  <c r="X1863" i="15"/>
  <c r="Y1863" i="15"/>
  <c r="Z1863" i="15"/>
  <c r="AA1863" i="15"/>
  <c r="B1864" i="15"/>
  <c r="C1864" i="15"/>
  <c r="D1864" i="15"/>
  <c r="E1864" i="15"/>
  <c r="J1864" i="15"/>
  <c r="K1864" i="15"/>
  <c r="L1864" i="15"/>
  <c r="M1864" i="15"/>
  <c r="N1864" i="15"/>
  <c r="O1864" i="15"/>
  <c r="P1864" i="15"/>
  <c r="Q1864" i="15"/>
  <c r="T1864" i="15"/>
  <c r="U1864" i="15"/>
  <c r="V1864" i="15"/>
  <c r="W1864" i="15"/>
  <c r="X1864" i="15"/>
  <c r="Y1864" i="15"/>
  <c r="Z1864" i="15"/>
  <c r="AA1864" i="15"/>
  <c r="B1865" i="15"/>
  <c r="C1865" i="15"/>
  <c r="D1865" i="15"/>
  <c r="E1865" i="15"/>
  <c r="J1865" i="15"/>
  <c r="K1865" i="15"/>
  <c r="L1865" i="15"/>
  <c r="M1865" i="15"/>
  <c r="N1865" i="15"/>
  <c r="O1865" i="15"/>
  <c r="P1865" i="15"/>
  <c r="Q1865" i="15"/>
  <c r="T1865" i="15"/>
  <c r="U1865" i="15"/>
  <c r="V1865" i="15"/>
  <c r="W1865" i="15"/>
  <c r="X1865" i="15"/>
  <c r="Y1865" i="15"/>
  <c r="Z1865" i="15"/>
  <c r="AA1865" i="15"/>
  <c r="B1866" i="15"/>
  <c r="C1866" i="15"/>
  <c r="D1866" i="15"/>
  <c r="E1866" i="15"/>
  <c r="J1866" i="15"/>
  <c r="K1866" i="15"/>
  <c r="L1866" i="15"/>
  <c r="M1866" i="15"/>
  <c r="N1866" i="15"/>
  <c r="O1866" i="15"/>
  <c r="P1866" i="15"/>
  <c r="Q1866" i="15"/>
  <c r="T1866" i="15"/>
  <c r="U1866" i="15"/>
  <c r="V1866" i="15"/>
  <c r="W1866" i="15"/>
  <c r="X1866" i="15"/>
  <c r="Y1866" i="15"/>
  <c r="Z1866" i="15"/>
  <c r="AA1866" i="15"/>
  <c r="B1867" i="15"/>
  <c r="C1867" i="15"/>
  <c r="D1867" i="15"/>
  <c r="E1867" i="15"/>
  <c r="J1867" i="15"/>
  <c r="K1867" i="15"/>
  <c r="L1867" i="15"/>
  <c r="M1867" i="15"/>
  <c r="N1867" i="15"/>
  <c r="O1867" i="15"/>
  <c r="P1867" i="15"/>
  <c r="Q1867" i="15"/>
  <c r="T1867" i="15"/>
  <c r="U1867" i="15"/>
  <c r="V1867" i="15"/>
  <c r="W1867" i="15"/>
  <c r="X1867" i="15"/>
  <c r="Y1867" i="15"/>
  <c r="Z1867" i="15"/>
  <c r="AA1867" i="15"/>
  <c r="B1868" i="15"/>
  <c r="C1868" i="15"/>
  <c r="D1868" i="15"/>
  <c r="E1868" i="15"/>
  <c r="J1868" i="15"/>
  <c r="K1868" i="15"/>
  <c r="L1868" i="15"/>
  <c r="M1868" i="15"/>
  <c r="N1868" i="15"/>
  <c r="O1868" i="15"/>
  <c r="P1868" i="15"/>
  <c r="Q1868" i="15"/>
  <c r="T1868" i="15"/>
  <c r="U1868" i="15"/>
  <c r="V1868" i="15"/>
  <c r="W1868" i="15"/>
  <c r="X1868" i="15"/>
  <c r="Y1868" i="15"/>
  <c r="Z1868" i="15"/>
  <c r="AA1868" i="15"/>
  <c r="B1869" i="15"/>
  <c r="C1869" i="15"/>
  <c r="D1869" i="15"/>
  <c r="E1869" i="15"/>
  <c r="J1869" i="15"/>
  <c r="K1869" i="15"/>
  <c r="L1869" i="15"/>
  <c r="M1869" i="15"/>
  <c r="N1869" i="15"/>
  <c r="O1869" i="15"/>
  <c r="P1869" i="15"/>
  <c r="Q1869" i="15"/>
  <c r="T1869" i="15"/>
  <c r="U1869" i="15"/>
  <c r="V1869" i="15"/>
  <c r="W1869" i="15"/>
  <c r="X1869" i="15"/>
  <c r="Y1869" i="15"/>
  <c r="Z1869" i="15"/>
  <c r="AA1869" i="15"/>
  <c r="B1870" i="15"/>
  <c r="C1870" i="15"/>
  <c r="D1870" i="15"/>
  <c r="E1870" i="15"/>
  <c r="J1870" i="15"/>
  <c r="K1870" i="15"/>
  <c r="L1870" i="15"/>
  <c r="M1870" i="15"/>
  <c r="N1870" i="15"/>
  <c r="O1870" i="15"/>
  <c r="P1870" i="15"/>
  <c r="Q1870" i="15"/>
  <c r="T1870" i="15"/>
  <c r="U1870" i="15"/>
  <c r="V1870" i="15"/>
  <c r="W1870" i="15"/>
  <c r="X1870" i="15"/>
  <c r="Y1870" i="15"/>
  <c r="Z1870" i="15"/>
  <c r="AA1870" i="15"/>
  <c r="B1871" i="15"/>
  <c r="C1871" i="15"/>
  <c r="D1871" i="15"/>
  <c r="E1871" i="15"/>
  <c r="J1871" i="15"/>
  <c r="K1871" i="15"/>
  <c r="L1871" i="15"/>
  <c r="M1871" i="15"/>
  <c r="N1871" i="15"/>
  <c r="O1871" i="15"/>
  <c r="P1871" i="15"/>
  <c r="Q1871" i="15"/>
  <c r="T1871" i="15"/>
  <c r="U1871" i="15"/>
  <c r="V1871" i="15"/>
  <c r="W1871" i="15"/>
  <c r="X1871" i="15"/>
  <c r="Y1871" i="15"/>
  <c r="Z1871" i="15"/>
  <c r="AA1871" i="15"/>
  <c r="B1872" i="15"/>
  <c r="C1872" i="15"/>
  <c r="D1872" i="15"/>
  <c r="E1872" i="15"/>
  <c r="J1872" i="15"/>
  <c r="K1872" i="15"/>
  <c r="L1872" i="15"/>
  <c r="M1872" i="15"/>
  <c r="N1872" i="15"/>
  <c r="O1872" i="15"/>
  <c r="P1872" i="15"/>
  <c r="Q1872" i="15"/>
  <c r="T1872" i="15"/>
  <c r="U1872" i="15"/>
  <c r="V1872" i="15"/>
  <c r="W1872" i="15"/>
  <c r="X1872" i="15"/>
  <c r="Y1872" i="15"/>
  <c r="Z1872" i="15"/>
  <c r="AA1872" i="15"/>
  <c r="B1873" i="15"/>
  <c r="C1873" i="15"/>
  <c r="D1873" i="15"/>
  <c r="E1873" i="15"/>
  <c r="J1873" i="15"/>
  <c r="K1873" i="15"/>
  <c r="L1873" i="15"/>
  <c r="M1873" i="15"/>
  <c r="N1873" i="15"/>
  <c r="O1873" i="15"/>
  <c r="P1873" i="15"/>
  <c r="Q1873" i="15"/>
  <c r="T1873" i="15"/>
  <c r="U1873" i="15"/>
  <c r="V1873" i="15"/>
  <c r="W1873" i="15"/>
  <c r="X1873" i="15"/>
  <c r="Y1873" i="15"/>
  <c r="Z1873" i="15"/>
  <c r="AA1873" i="15"/>
  <c r="B1874" i="15"/>
  <c r="C1874" i="15"/>
  <c r="D1874" i="15"/>
  <c r="E1874" i="15"/>
  <c r="J1874" i="15"/>
  <c r="K1874" i="15"/>
  <c r="L1874" i="15"/>
  <c r="M1874" i="15"/>
  <c r="N1874" i="15"/>
  <c r="O1874" i="15"/>
  <c r="P1874" i="15"/>
  <c r="Q1874" i="15"/>
  <c r="T1874" i="15"/>
  <c r="U1874" i="15"/>
  <c r="V1874" i="15"/>
  <c r="W1874" i="15"/>
  <c r="X1874" i="15"/>
  <c r="Y1874" i="15"/>
  <c r="Z1874" i="15"/>
  <c r="AA1874" i="15"/>
  <c r="B1875" i="15"/>
  <c r="C1875" i="15"/>
  <c r="D1875" i="15"/>
  <c r="E1875" i="15"/>
  <c r="J1875" i="15"/>
  <c r="K1875" i="15"/>
  <c r="L1875" i="15"/>
  <c r="M1875" i="15"/>
  <c r="N1875" i="15"/>
  <c r="O1875" i="15"/>
  <c r="P1875" i="15"/>
  <c r="Q1875" i="15"/>
  <c r="T1875" i="15"/>
  <c r="U1875" i="15"/>
  <c r="V1875" i="15"/>
  <c r="W1875" i="15"/>
  <c r="X1875" i="15"/>
  <c r="Y1875" i="15"/>
  <c r="Z1875" i="15"/>
  <c r="AA1875" i="15"/>
  <c r="B1876" i="15"/>
  <c r="C1876" i="15"/>
  <c r="D1876" i="15"/>
  <c r="E1876" i="15"/>
  <c r="J1876" i="15"/>
  <c r="K1876" i="15"/>
  <c r="L1876" i="15"/>
  <c r="M1876" i="15"/>
  <c r="N1876" i="15"/>
  <c r="O1876" i="15"/>
  <c r="P1876" i="15"/>
  <c r="Q1876" i="15"/>
  <c r="T1876" i="15"/>
  <c r="U1876" i="15"/>
  <c r="V1876" i="15"/>
  <c r="W1876" i="15"/>
  <c r="X1876" i="15"/>
  <c r="Y1876" i="15"/>
  <c r="Z1876" i="15"/>
  <c r="AA1876" i="15"/>
  <c r="B1877" i="15"/>
  <c r="C1877" i="15"/>
  <c r="D1877" i="15"/>
  <c r="E1877" i="15"/>
  <c r="J1877" i="15"/>
  <c r="K1877" i="15"/>
  <c r="L1877" i="15"/>
  <c r="M1877" i="15"/>
  <c r="N1877" i="15"/>
  <c r="O1877" i="15"/>
  <c r="P1877" i="15"/>
  <c r="Q1877" i="15"/>
  <c r="T1877" i="15"/>
  <c r="U1877" i="15"/>
  <c r="V1877" i="15"/>
  <c r="W1877" i="15"/>
  <c r="X1877" i="15"/>
  <c r="Y1877" i="15"/>
  <c r="Z1877" i="15"/>
  <c r="AA1877" i="15"/>
  <c r="B1878" i="15"/>
  <c r="C1878" i="15"/>
  <c r="D1878" i="15"/>
  <c r="E1878" i="15"/>
  <c r="J1878" i="15"/>
  <c r="K1878" i="15"/>
  <c r="L1878" i="15"/>
  <c r="M1878" i="15"/>
  <c r="N1878" i="15"/>
  <c r="O1878" i="15"/>
  <c r="P1878" i="15"/>
  <c r="Q1878" i="15"/>
  <c r="T1878" i="15"/>
  <c r="U1878" i="15"/>
  <c r="V1878" i="15"/>
  <c r="W1878" i="15"/>
  <c r="X1878" i="15"/>
  <c r="Y1878" i="15"/>
  <c r="Z1878" i="15"/>
  <c r="AA1878" i="15"/>
  <c r="B1879" i="15"/>
  <c r="C1879" i="15"/>
  <c r="D1879" i="15"/>
  <c r="E1879" i="15"/>
  <c r="J1879" i="15"/>
  <c r="K1879" i="15"/>
  <c r="L1879" i="15"/>
  <c r="M1879" i="15"/>
  <c r="N1879" i="15"/>
  <c r="O1879" i="15"/>
  <c r="P1879" i="15"/>
  <c r="Q1879" i="15"/>
  <c r="T1879" i="15"/>
  <c r="U1879" i="15"/>
  <c r="V1879" i="15"/>
  <c r="W1879" i="15"/>
  <c r="X1879" i="15"/>
  <c r="Y1879" i="15"/>
  <c r="Z1879" i="15"/>
  <c r="AA1879" i="15"/>
  <c r="B1880" i="15"/>
  <c r="C1880" i="15"/>
  <c r="D1880" i="15"/>
  <c r="E1880" i="15"/>
  <c r="J1880" i="15"/>
  <c r="K1880" i="15"/>
  <c r="L1880" i="15"/>
  <c r="M1880" i="15"/>
  <c r="N1880" i="15"/>
  <c r="O1880" i="15"/>
  <c r="P1880" i="15"/>
  <c r="Q1880" i="15"/>
  <c r="T1880" i="15"/>
  <c r="U1880" i="15"/>
  <c r="V1880" i="15"/>
  <c r="W1880" i="15"/>
  <c r="X1880" i="15"/>
  <c r="Y1880" i="15"/>
  <c r="Z1880" i="15"/>
  <c r="AA1880" i="15"/>
  <c r="B1881" i="15"/>
  <c r="C1881" i="15"/>
  <c r="D1881" i="15"/>
  <c r="E1881" i="15"/>
  <c r="J1881" i="15"/>
  <c r="K1881" i="15"/>
  <c r="L1881" i="15"/>
  <c r="M1881" i="15"/>
  <c r="N1881" i="15"/>
  <c r="O1881" i="15"/>
  <c r="P1881" i="15"/>
  <c r="Q1881" i="15"/>
  <c r="T1881" i="15"/>
  <c r="U1881" i="15"/>
  <c r="V1881" i="15"/>
  <c r="W1881" i="15"/>
  <c r="X1881" i="15"/>
  <c r="Y1881" i="15"/>
  <c r="Z1881" i="15"/>
  <c r="AA1881" i="15"/>
  <c r="B1882" i="15"/>
  <c r="C1882" i="15"/>
  <c r="D1882" i="15"/>
  <c r="E1882" i="15"/>
  <c r="J1882" i="15"/>
  <c r="K1882" i="15"/>
  <c r="L1882" i="15"/>
  <c r="M1882" i="15"/>
  <c r="N1882" i="15"/>
  <c r="O1882" i="15"/>
  <c r="P1882" i="15"/>
  <c r="Q1882" i="15"/>
  <c r="T1882" i="15"/>
  <c r="U1882" i="15"/>
  <c r="V1882" i="15"/>
  <c r="W1882" i="15"/>
  <c r="X1882" i="15"/>
  <c r="Y1882" i="15"/>
  <c r="Z1882" i="15"/>
  <c r="AA1882" i="15"/>
  <c r="B1883" i="15"/>
  <c r="C1883" i="15"/>
  <c r="D1883" i="15"/>
  <c r="E1883" i="15"/>
  <c r="J1883" i="15"/>
  <c r="K1883" i="15"/>
  <c r="L1883" i="15"/>
  <c r="M1883" i="15"/>
  <c r="N1883" i="15"/>
  <c r="O1883" i="15"/>
  <c r="P1883" i="15"/>
  <c r="Q1883" i="15"/>
  <c r="T1883" i="15"/>
  <c r="U1883" i="15"/>
  <c r="V1883" i="15"/>
  <c r="W1883" i="15"/>
  <c r="X1883" i="15"/>
  <c r="Y1883" i="15"/>
  <c r="Z1883" i="15"/>
  <c r="AA1883" i="15"/>
  <c r="B1884" i="15"/>
  <c r="C1884" i="15"/>
  <c r="D1884" i="15"/>
  <c r="E1884" i="15"/>
  <c r="J1884" i="15"/>
  <c r="K1884" i="15"/>
  <c r="L1884" i="15"/>
  <c r="M1884" i="15"/>
  <c r="N1884" i="15"/>
  <c r="O1884" i="15"/>
  <c r="P1884" i="15"/>
  <c r="Q1884" i="15"/>
  <c r="T1884" i="15"/>
  <c r="U1884" i="15"/>
  <c r="V1884" i="15"/>
  <c r="W1884" i="15"/>
  <c r="X1884" i="15"/>
  <c r="Y1884" i="15"/>
  <c r="Z1884" i="15"/>
  <c r="AA1884" i="15"/>
  <c r="B1885" i="15"/>
  <c r="C1885" i="15"/>
  <c r="D1885" i="15"/>
  <c r="E1885" i="15"/>
  <c r="J1885" i="15"/>
  <c r="K1885" i="15"/>
  <c r="L1885" i="15"/>
  <c r="M1885" i="15"/>
  <c r="N1885" i="15"/>
  <c r="O1885" i="15"/>
  <c r="P1885" i="15"/>
  <c r="Q1885" i="15"/>
  <c r="T1885" i="15"/>
  <c r="U1885" i="15"/>
  <c r="V1885" i="15"/>
  <c r="W1885" i="15"/>
  <c r="X1885" i="15"/>
  <c r="Y1885" i="15"/>
  <c r="Z1885" i="15"/>
  <c r="AA1885" i="15"/>
  <c r="B1886" i="15"/>
  <c r="C1886" i="15"/>
  <c r="D1886" i="15"/>
  <c r="E1886" i="15"/>
  <c r="J1886" i="15"/>
  <c r="K1886" i="15"/>
  <c r="L1886" i="15"/>
  <c r="M1886" i="15"/>
  <c r="N1886" i="15"/>
  <c r="O1886" i="15"/>
  <c r="P1886" i="15"/>
  <c r="Q1886" i="15"/>
  <c r="T1886" i="15"/>
  <c r="U1886" i="15"/>
  <c r="V1886" i="15"/>
  <c r="W1886" i="15"/>
  <c r="X1886" i="15"/>
  <c r="Y1886" i="15"/>
  <c r="Z1886" i="15"/>
  <c r="AA1886" i="15"/>
  <c r="B1887" i="15"/>
  <c r="C1887" i="15"/>
  <c r="D1887" i="15"/>
  <c r="E1887" i="15"/>
  <c r="J1887" i="15"/>
  <c r="K1887" i="15"/>
  <c r="L1887" i="15"/>
  <c r="M1887" i="15"/>
  <c r="N1887" i="15"/>
  <c r="O1887" i="15"/>
  <c r="P1887" i="15"/>
  <c r="Q1887" i="15"/>
  <c r="T1887" i="15"/>
  <c r="U1887" i="15"/>
  <c r="V1887" i="15"/>
  <c r="W1887" i="15"/>
  <c r="X1887" i="15"/>
  <c r="Y1887" i="15"/>
  <c r="Z1887" i="15"/>
  <c r="AA1887" i="15"/>
  <c r="B1888" i="15"/>
  <c r="C1888" i="15"/>
  <c r="D1888" i="15"/>
  <c r="E1888" i="15"/>
  <c r="J1888" i="15"/>
  <c r="K1888" i="15"/>
  <c r="L1888" i="15"/>
  <c r="M1888" i="15"/>
  <c r="N1888" i="15"/>
  <c r="O1888" i="15"/>
  <c r="P1888" i="15"/>
  <c r="Q1888" i="15"/>
  <c r="T1888" i="15"/>
  <c r="U1888" i="15"/>
  <c r="V1888" i="15"/>
  <c r="W1888" i="15"/>
  <c r="X1888" i="15"/>
  <c r="Y1888" i="15"/>
  <c r="Z1888" i="15"/>
  <c r="AA1888" i="15"/>
  <c r="B1889" i="15"/>
  <c r="C1889" i="15"/>
  <c r="D1889" i="15"/>
  <c r="E1889" i="15"/>
  <c r="J1889" i="15"/>
  <c r="K1889" i="15"/>
  <c r="L1889" i="15"/>
  <c r="M1889" i="15"/>
  <c r="N1889" i="15"/>
  <c r="O1889" i="15"/>
  <c r="P1889" i="15"/>
  <c r="Q1889" i="15"/>
  <c r="T1889" i="15"/>
  <c r="U1889" i="15"/>
  <c r="V1889" i="15"/>
  <c r="W1889" i="15"/>
  <c r="X1889" i="15"/>
  <c r="Y1889" i="15"/>
  <c r="Z1889" i="15"/>
  <c r="AA1889" i="15"/>
  <c r="B1890" i="15"/>
  <c r="C1890" i="15"/>
  <c r="D1890" i="15"/>
  <c r="E1890" i="15"/>
  <c r="J1890" i="15"/>
  <c r="K1890" i="15"/>
  <c r="L1890" i="15"/>
  <c r="M1890" i="15"/>
  <c r="N1890" i="15"/>
  <c r="O1890" i="15"/>
  <c r="P1890" i="15"/>
  <c r="Q1890" i="15"/>
  <c r="T1890" i="15"/>
  <c r="U1890" i="15"/>
  <c r="V1890" i="15"/>
  <c r="W1890" i="15"/>
  <c r="X1890" i="15"/>
  <c r="Y1890" i="15"/>
  <c r="Z1890" i="15"/>
  <c r="AA1890" i="15"/>
  <c r="B1891" i="15"/>
  <c r="C1891" i="15"/>
  <c r="D1891" i="15"/>
  <c r="E1891" i="15"/>
  <c r="J1891" i="15"/>
  <c r="K1891" i="15"/>
  <c r="L1891" i="15"/>
  <c r="M1891" i="15"/>
  <c r="N1891" i="15"/>
  <c r="O1891" i="15"/>
  <c r="P1891" i="15"/>
  <c r="Q1891" i="15"/>
  <c r="T1891" i="15"/>
  <c r="U1891" i="15"/>
  <c r="V1891" i="15"/>
  <c r="W1891" i="15"/>
  <c r="X1891" i="15"/>
  <c r="Y1891" i="15"/>
  <c r="Z1891" i="15"/>
  <c r="AA1891" i="15"/>
  <c r="B1892" i="15"/>
  <c r="C1892" i="15"/>
  <c r="D1892" i="15"/>
  <c r="E1892" i="15"/>
  <c r="J1892" i="15"/>
  <c r="K1892" i="15"/>
  <c r="L1892" i="15"/>
  <c r="M1892" i="15"/>
  <c r="N1892" i="15"/>
  <c r="O1892" i="15"/>
  <c r="P1892" i="15"/>
  <c r="Q1892" i="15"/>
  <c r="T1892" i="15"/>
  <c r="U1892" i="15"/>
  <c r="V1892" i="15"/>
  <c r="W1892" i="15"/>
  <c r="X1892" i="15"/>
  <c r="Y1892" i="15"/>
  <c r="Z1892" i="15"/>
  <c r="AA1892" i="15"/>
  <c r="B1893" i="15"/>
  <c r="C1893" i="15"/>
  <c r="D1893" i="15"/>
  <c r="E1893" i="15"/>
  <c r="J1893" i="15"/>
  <c r="K1893" i="15"/>
  <c r="L1893" i="15"/>
  <c r="M1893" i="15"/>
  <c r="N1893" i="15"/>
  <c r="O1893" i="15"/>
  <c r="P1893" i="15"/>
  <c r="Q1893" i="15"/>
  <c r="T1893" i="15"/>
  <c r="U1893" i="15"/>
  <c r="V1893" i="15"/>
  <c r="W1893" i="15"/>
  <c r="X1893" i="15"/>
  <c r="Y1893" i="15"/>
  <c r="Z1893" i="15"/>
  <c r="AA1893" i="15"/>
  <c r="B1894" i="15"/>
  <c r="C1894" i="15"/>
  <c r="D1894" i="15"/>
  <c r="E1894" i="15"/>
  <c r="J1894" i="15"/>
  <c r="K1894" i="15"/>
  <c r="L1894" i="15"/>
  <c r="M1894" i="15"/>
  <c r="N1894" i="15"/>
  <c r="O1894" i="15"/>
  <c r="P1894" i="15"/>
  <c r="Q1894" i="15"/>
  <c r="T1894" i="15"/>
  <c r="U1894" i="15"/>
  <c r="V1894" i="15"/>
  <c r="W1894" i="15"/>
  <c r="X1894" i="15"/>
  <c r="Y1894" i="15"/>
  <c r="Z1894" i="15"/>
  <c r="AA1894" i="15"/>
  <c r="B1895" i="15"/>
  <c r="C1895" i="15"/>
  <c r="D1895" i="15"/>
  <c r="E1895" i="15"/>
  <c r="J1895" i="15"/>
  <c r="K1895" i="15"/>
  <c r="L1895" i="15"/>
  <c r="M1895" i="15"/>
  <c r="N1895" i="15"/>
  <c r="O1895" i="15"/>
  <c r="P1895" i="15"/>
  <c r="Q1895" i="15"/>
  <c r="T1895" i="15"/>
  <c r="U1895" i="15"/>
  <c r="V1895" i="15"/>
  <c r="W1895" i="15"/>
  <c r="X1895" i="15"/>
  <c r="Y1895" i="15"/>
  <c r="Z1895" i="15"/>
  <c r="AA1895" i="15"/>
  <c r="B1896" i="15"/>
  <c r="C1896" i="15"/>
  <c r="D1896" i="15"/>
  <c r="E1896" i="15"/>
  <c r="J1896" i="15"/>
  <c r="K1896" i="15"/>
  <c r="L1896" i="15"/>
  <c r="M1896" i="15"/>
  <c r="N1896" i="15"/>
  <c r="O1896" i="15"/>
  <c r="P1896" i="15"/>
  <c r="Q1896" i="15"/>
  <c r="T1896" i="15"/>
  <c r="U1896" i="15"/>
  <c r="V1896" i="15"/>
  <c r="W1896" i="15"/>
  <c r="X1896" i="15"/>
  <c r="Y1896" i="15"/>
  <c r="Z1896" i="15"/>
  <c r="AA1896" i="15"/>
  <c r="B1897" i="15"/>
  <c r="C1897" i="15"/>
  <c r="D1897" i="15"/>
  <c r="E1897" i="15"/>
  <c r="J1897" i="15"/>
  <c r="K1897" i="15"/>
  <c r="L1897" i="15"/>
  <c r="M1897" i="15"/>
  <c r="N1897" i="15"/>
  <c r="O1897" i="15"/>
  <c r="P1897" i="15"/>
  <c r="Q1897" i="15"/>
  <c r="T1897" i="15"/>
  <c r="U1897" i="15"/>
  <c r="V1897" i="15"/>
  <c r="W1897" i="15"/>
  <c r="X1897" i="15"/>
  <c r="Y1897" i="15"/>
  <c r="Z1897" i="15"/>
  <c r="AA1897" i="15"/>
  <c r="B1898" i="15"/>
  <c r="C1898" i="15"/>
  <c r="D1898" i="15"/>
  <c r="E1898" i="15"/>
  <c r="J1898" i="15"/>
  <c r="K1898" i="15"/>
  <c r="L1898" i="15"/>
  <c r="M1898" i="15"/>
  <c r="N1898" i="15"/>
  <c r="O1898" i="15"/>
  <c r="P1898" i="15"/>
  <c r="Q1898" i="15"/>
  <c r="T1898" i="15"/>
  <c r="U1898" i="15"/>
  <c r="V1898" i="15"/>
  <c r="W1898" i="15"/>
  <c r="X1898" i="15"/>
  <c r="Y1898" i="15"/>
  <c r="Z1898" i="15"/>
  <c r="AA1898" i="15"/>
  <c r="B1899" i="15"/>
  <c r="C1899" i="15"/>
  <c r="D1899" i="15"/>
  <c r="E1899" i="15"/>
  <c r="J1899" i="15"/>
  <c r="K1899" i="15"/>
  <c r="L1899" i="15"/>
  <c r="M1899" i="15"/>
  <c r="N1899" i="15"/>
  <c r="O1899" i="15"/>
  <c r="P1899" i="15"/>
  <c r="Q1899" i="15"/>
  <c r="T1899" i="15"/>
  <c r="U1899" i="15"/>
  <c r="V1899" i="15"/>
  <c r="W1899" i="15"/>
  <c r="X1899" i="15"/>
  <c r="Y1899" i="15"/>
  <c r="Z1899" i="15"/>
  <c r="AA1899" i="15"/>
  <c r="B1900" i="15"/>
  <c r="C1900" i="15"/>
  <c r="D1900" i="15"/>
  <c r="E1900" i="15"/>
  <c r="J1900" i="15"/>
  <c r="K1900" i="15"/>
  <c r="L1900" i="15"/>
  <c r="M1900" i="15"/>
  <c r="N1900" i="15"/>
  <c r="O1900" i="15"/>
  <c r="P1900" i="15"/>
  <c r="Q1900" i="15"/>
  <c r="T1900" i="15"/>
  <c r="U1900" i="15"/>
  <c r="V1900" i="15"/>
  <c r="W1900" i="15"/>
  <c r="X1900" i="15"/>
  <c r="Y1900" i="15"/>
  <c r="Z1900" i="15"/>
  <c r="AA1900" i="15"/>
  <c r="B1901" i="15"/>
  <c r="C1901" i="15"/>
  <c r="D1901" i="15"/>
  <c r="E1901" i="15"/>
  <c r="J1901" i="15"/>
  <c r="K1901" i="15"/>
  <c r="L1901" i="15"/>
  <c r="M1901" i="15"/>
  <c r="N1901" i="15"/>
  <c r="O1901" i="15"/>
  <c r="P1901" i="15"/>
  <c r="Q1901" i="15"/>
  <c r="T1901" i="15"/>
  <c r="U1901" i="15"/>
  <c r="V1901" i="15"/>
  <c r="W1901" i="15"/>
  <c r="X1901" i="15"/>
  <c r="Y1901" i="15"/>
  <c r="Z1901" i="15"/>
  <c r="AA1901" i="15"/>
  <c r="B1902" i="15"/>
  <c r="C1902" i="15"/>
  <c r="D1902" i="15"/>
  <c r="E1902" i="15"/>
  <c r="J1902" i="15"/>
  <c r="K1902" i="15"/>
  <c r="L1902" i="15"/>
  <c r="M1902" i="15"/>
  <c r="N1902" i="15"/>
  <c r="O1902" i="15"/>
  <c r="P1902" i="15"/>
  <c r="Q1902" i="15"/>
  <c r="T1902" i="15"/>
  <c r="U1902" i="15"/>
  <c r="V1902" i="15"/>
  <c r="W1902" i="15"/>
  <c r="X1902" i="15"/>
  <c r="Y1902" i="15"/>
  <c r="Z1902" i="15"/>
  <c r="AA1902" i="15"/>
  <c r="B1903" i="15"/>
  <c r="C1903" i="15"/>
  <c r="D1903" i="15"/>
  <c r="E1903" i="15"/>
  <c r="J1903" i="15"/>
  <c r="K1903" i="15"/>
  <c r="L1903" i="15"/>
  <c r="M1903" i="15"/>
  <c r="N1903" i="15"/>
  <c r="O1903" i="15"/>
  <c r="P1903" i="15"/>
  <c r="Q1903" i="15"/>
  <c r="T1903" i="15"/>
  <c r="U1903" i="15"/>
  <c r="V1903" i="15"/>
  <c r="W1903" i="15"/>
  <c r="X1903" i="15"/>
  <c r="Y1903" i="15"/>
  <c r="Z1903" i="15"/>
  <c r="AA1903" i="15"/>
  <c r="B1904" i="15"/>
  <c r="C1904" i="15"/>
  <c r="D1904" i="15"/>
  <c r="E1904" i="15"/>
  <c r="J1904" i="15"/>
  <c r="K1904" i="15"/>
  <c r="L1904" i="15"/>
  <c r="M1904" i="15"/>
  <c r="N1904" i="15"/>
  <c r="O1904" i="15"/>
  <c r="P1904" i="15"/>
  <c r="Q1904" i="15"/>
  <c r="T1904" i="15"/>
  <c r="U1904" i="15"/>
  <c r="V1904" i="15"/>
  <c r="W1904" i="15"/>
  <c r="X1904" i="15"/>
  <c r="Y1904" i="15"/>
  <c r="Z1904" i="15"/>
  <c r="AA1904" i="15"/>
  <c r="B1905" i="15"/>
  <c r="C1905" i="15"/>
  <c r="D1905" i="15"/>
  <c r="E1905" i="15"/>
  <c r="J1905" i="15"/>
  <c r="K1905" i="15"/>
  <c r="L1905" i="15"/>
  <c r="M1905" i="15"/>
  <c r="N1905" i="15"/>
  <c r="O1905" i="15"/>
  <c r="P1905" i="15"/>
  <c r="Q1905" i="15"/>
  <c r="T1905" i="15"/>
  <c r="U1905" i="15"/>
  <c r="V1905" i="15"/>
  <c r="W1905" i="15"/>
  <c r="X1905" i="15"/>
  <c r="Y1905" i="15"/>
  <c r="Z1905" i="15"/>
  <c r="AA1905" i="15"/>
  <c r="B1906" i="15"/>
  <c r="C1906" i="15"/>
  <c r="D1906" i="15"/>
  <c r="E1906" i="15"/>
  <c r="J1906" i="15"/>
  <c r="K1906" i="15"/>
  <c r="L1906" i="15"/>
  <c r="M1906" i="15"/>
  <c r="N1906" i="15"/>
  <c r="O1906" i="15"/>
  <c r="P1906" i="15"/>
  <c r="Q1906" i="15"/>
  <c r="T1906" i="15"/>
  <c r="U1906" i="15"/>
  <c r="V1906" i="15"/>
  <c r="W1906" i="15"/>
  <c r="X1906" i="15"/>
  <c r="Y1906" i="15"/>
  <c r="Z1906" i="15"/>
  <c r="AA1906" i="15"/>
  <c r="B1907" i="15"/>
  <c r="C1907" i="15"/>
  <c r="D1907" i="15"/>
  <c r="E1907" i="15"/>
  <c r="J1907" i="15"/>
  <c r="K1907" i="15"/>
  <c r="L1907" i="15"/>
  <c r="M1907" i="15"/>
  <c r="N1907" i="15"/>
  <c r="O1907" i="15"/>
  <c r="P1907" i="15"/>
  <c r="Q1907" i="15"/>
  <c r="T1907" i="15"/>
  <c r="U1907" i="15"/>
  <c r="V1907" i="15"/>
  <c r="W1907" i="15"/>
  <c r="X1907" i="15"/>
  <c r="Y1907" i="15"/>
  <c r="Z1907" i="15"/>
  <c r="AA1907" i="15"/>
  <c r="B1908" i="15"/>
  <c r="C1908" i="15"/>
  <c r="D1908" i="15"/>
  <c r="E1908" i="15"/>
  <c r="J1908" i="15"/>
  <c r="K1908" i="15"/>
  <c r="L1908" i="15"/>
  <c r="M1908" i="15"/>
  <c r="N1908" i="15"/>
  <c r="O1908" i="15"/>
  <c r="P1908" i="15"/>
  <c r="Q1908" i="15"/>
  <c r="T1908" i="15"/>
  <c r="U1908" i="15"/>
  <c r="V1908" i="15"/>
  <c r="W1908" i="15"/>
  <c r="X1908" i="15"/>
  <c r="Y1908" i="15"/>
  <c r="Z1908" i="15"/>
  <c r="AA1908" i="15"/>
  <c r="B1909" i="15"/>
  <c r="C1909" i="15"/>
  <c r="D1909" i="15"/>
  <c r="E1909" i="15"/>
  <c r="J1909" i="15"/>
  <c r="K1909" i="15"/>
  <c r="L1909" i="15"/>
  <c r="M1909" i="15"/>
  <c r="N1909" i="15"/>
  <c r="O1909" i="15"/>
  <c r="P1909" i="15"/>
  <c r="Q1909" i="15"/>
  <c r="T1909" i="15"/>
  <c r="U1909" i="15"/>
  <c r="V1909" i="15"/>
  <c r="W1909" i="15"/>
  <c r="X1909" i="15"/>
  <c r="Y1909" i="15"/>
  <c r="Z1909" i="15"/>
  <c r="AA1909" i="15"/>
  <c r="B1910" i="15"/>
  <c r="C1910" i="15"/>
  <c r="D1910" i="15"/>
  <c r="E1910" i="15"/>
  <c r="J1910" i="15"/>
  <c r="K1910" i="15"/>
  <c r="L1910" i="15"/>
  <c r="M1910" i="15"/>
  <c r="N1910" i="15"/>
  <c r="O1910" i="15"/>
  <c r="P1910" i="15"/>
  <c r="Q1910" i="15"/>
  <c r="T1910" i="15"/>
  <c r="U1910" i="15"/>
  <c r="V1910" i="15"/>
  <c r="W1910" i="15"/>
  <c r="X1910" i="15"/>
  <c r="Y1910" i="15"/>
  <c r="Z1910" i="15"/>
  <c r="AA1910" i="15"/>
  <c r="B1911" i="15"/>
  <c r="C1911" i="15"/>
  <c r="D1911" i="15"/>
  <c r="E1911" i="15"/>
  <c r="J1911" i="15"/>
  <c r="K1911" i="15"/>
  <c r="L1911" i="15"/>
  <c r="M1911" i="15"/>
  <c r="N1911" i="15"/>
  <c r="O1911" i="15"/>
  <c r="P1911" i="15"/>
  <c r="Q1911" i="15"/>
  <c r="T1911" i="15"/>
  <c r="U1911" i="15"/>
  <c r="V1911" i="15"/>
  <c r="W1911" i="15"/>
  <c r="X1911" i="15"/>
  <c r="Y1911" i="15"/>
  <c r="Z1911" i="15"/>
  <c r="AA1911" i="15"/>
  <c r="B1912" i="15"/>
  <c r="C1912" i="15"/>
  <c r="D1912" i="15"/>
  <c r="E1912" i="15"/>
  <c r="J1912" i="15"/>
  <c r="K1912" i="15"/>
  <c r="L1912" i="15"/>
  <c r="M1912" i="15"/>
  <c r="N1912" i="15"/>
  <c r="O1912" i="15"/>
  <c r="P1912" i="15"/>
  <c r="Q1912" i="15"/>
  <c r="T1912" i="15"/>
  <c r="U1912" i="15"/>
  <c r="V1912" i="15"/>
  <c r="W1912" i="15"/>
  <c r="X1912" i="15"/>
  <c r="Y1912" i="15"/>
  <c r="Z1912" i="15"/>
  <c r="AA1912" i="15"/>
  <c r="B1913" i="15"/>
  <c r="C1913" i="15"/>
  <c r="D1913" i="15"/>
  <c r="E1913" i="15"/>
  <c r="J1913" i="15"/>
  <c r="K1913" i="15"/>
  <c r="L1913" i="15"/>
  <c r="M1913" i="15"/>
  <c r="N1913" i="15"/>
  <c r="O1913" i="15"/>
  <c r="P1913" i="15"/>
  <c r="Q1913" i="15"/>
  <c r="T1913" i="15"/>
  <c r="U1913" i="15"/>
  <c r="V1913" i="15"/>
  <c r="W1913" i="15"/>
  <c r="X1913" i="15"/>
  <c r="Y1913" i="15"/>
  <c r="Z1913" i="15"/>
  <c r="AA1913" i="15"/>
  <c r="B1914" i="15"/>
  <c r="C1914" i="15"/>
  <c r="D1914" i="15"/>
  <c r="E1914" i="15"/>
  <c r="J1914" i="15"/>
  <c r="K1914" i="15"/>
  <c r="L1914" i="15"/>
  <c r="M1914" i="15"/>
  <c r="N1914" i="15"/>
  <c r="O1914" i="15"/>
  <c r="P1914" i="15"/>
  <c r="Q1914" i="15"/>
  <c r="T1914" i="15"/>
  <c r="U1914" i="15"/>
  <c r="V1914" i="15"/>
  <c r="W1914" i="15"/>
  <c r="X1914" i="15"/>
  <c r="Y1914" i="15"/>
  <c r="Z1914" i="15"/>
  <c r="AA1914" i="15"/>
  <c r="B1915" i="15"/>
  <c r="C1915" i="15"/>
  <c r="D1915" i="15"/>
  <c r="E1915" i="15"/>
  <c r="J1915" i="15"/>
  <c r="K1915" i="15"/>
  <c r="L1915" i="15"/>
  <c r="M1915" i="15"/>
  <c r="N1915" i="15"/>
  <c r="O1915" i="15"/>
  <c r="P1915" i="15"/>
  <c r="Q1915" i="15"/>
  <c r="T1915" i="15"/>
  <c r="U1915" i="15"/>
  <c r="V1915" i="15"/>
  <c r="W1915" i="15"/>
  <c r="X1915" i="15"/>
  <c r="Y1915" i="15"/>
  <c r="Z1915" i="15"/>
  <c r="AA1915" i="15"/>
  <c r="B1916" i="15"/>
  <c r="C1916" i="15"/>
  <c r="D1916" i="15"/>
  <c r="E1916" i="15"/>
  <c r="J1916" i="15"/>
  <c r="K1916" i="15"/>
  <c r="L1916" i="15"/>
  <c r="M1916" i="15"/>
  <c r="N1916" i="15"/>
  <c r="O1916" i="15"/>
  <c r="P1916" i="15"/>
  <c r="Q1916" i="15"/>
  <c r="T1916" i="15"/>
  <c r="U1916" i="15"/>
  <c r="V1916" i="15"/>
  <c r="W1916" i="15"/>
  <c r="X1916" i="15"/>
  <c r="Y1916" i="15"/>
  <c r="Z1916" i="15"/>
  <c r="AA1916" i="15"/>
  <c r="B1917" i="15"/>
  <c r="C1917" i="15"/>
  <c r="D1917" i="15"/>
  <c r="E1917" i="15"/>
  <c r="J1917" i="15"/>
  <c r="K1917" i="15"/>
  <c r="L1917" i="15"/>
  <c r="M1917" i="15"/>
  <c r="N1917" i="15"/>
  <c r="O1917" i="15"/>
  <c r="P1917" i="15"/>
  <c r="Q1917" i="15"/>
  <c r="T1917" i="15"/>
  <c r="U1917" i="15"/>
  <c r="V1917" i="15"/>
  <c r="W1917" i="15"/>
  <c r="X1917" i="15"/>
  <c r="Y1917" i="15"/>
  <c r="Z1917" i="15"/>
  <c r="AA1917" i="15"/>
  <c r="B1918" i="15"/>
  <c r="C1918" i="15"/>
  <c r="D1918" i="15"/>
  <c r="E1918" i="15"/>
  <c r="J1918" i="15"/>
  <c r="K1918" i="15"/>
  <c r="L1918" i="15"/>
  <c r="M1918" i="15"/>
  <c r="N1918" i="15"/>
  <c r="O1918" i="15"/>
  <c r="P1918" i="15"/>
  <c r="Q1918" i="15"/>
  <c r="T1918" i="15"/>
  <c r="U1918" i="15"/>
  <c r="V1918" i="15"/>
  <c r="W1918" i="15"/>
  <c r="X1918" i="15"/>
  <c r="Y1918" i="15"/>
  <c r="Z1918" i="15"/>
  <c r="AA1918" i="15"/>
  <c r="B1919" i="15"/>
  <c r="C1919" i="15"/>
  <c r="D1919" i="15"/>
  <c r="E1919" i="15"/>
  <c r="J1919" i="15"/>
  <c r="K1919" i="15"/>
  <c r="L1919" i="15"/>
  <c r="M1919" i="15"/>
  <c r="N1919" i="15"/>
  <c r="O1919" i="15"/>
  <c r="P1919" i="15"/>
  <c r="Q1919" i="15"/>
  <c r="T1919" i="15"/>
  <c r="U1919" i="15"/>
  <c r="V1919" i="15"/>
  <c r="W1919" i="15"/>
  <c r="X1919" i="15"/>
  <c r="Y1919" i="15"/>
  <c r="Z1919" i="15"/>
  <c r="AA1919" i="15"/>
  <c r="B1920" i="15"/>
  <c r="C1920" i="15"/>
  <c r="D1920" i="15"/>
  <c r="E1920" i="15"/>
  <c r="J1920" i="15"/>
  <c r="K1920" i="15"/>
  <c r="L1920" i="15"/>
  <c r="M1920" i="15"/>
  <c r="N1920" i="15"/>
  <c r="O1920" i="15"/>
  <c r="P1920" i="15"/>
  <c r="Q1920" i="15"/>
  <c r="T1920" i="15"/>
  <c r="U1920" i="15"/>
  <c r="V1920" i="15"/>
  <c r="W1920" i="15"/>
  <c r="X1920" i="15"/>
  <c r="Y1920" i="15"/>
  <c r="Z1920" i="15"/>
  <c r="AA1920" i="15"/>
  <c r="B1921" i="15"/>
  <c r="C1921" i="15"/>
  <c r="D1921" i="15"/>
  <c r="E1921" i="15"/>
  <c r="J1921" i="15"/>
  <c r="K1921" i="15"/>
  <c r="L1921" i="15"/>
  <c r="M1921" i="15"/>
  <c r="N1921" i="15"/>
  <c r="O1921" i="15"/>
  <c r="P1921" i="15"/>
  <c r="Q1921" i="15"/>
  <c r="T1921" i="15"/>
  <c r="U1921" i="15"/>
  <c r="V1921" i="15"/>
  <c r="W1921" i="15"/>
  <c r="X1921" i="15"/>
  <c r="Y1921" i="15"/>
  <c r="Z1921" i="15"/>
  <c r="AA1921" i="15"/>
  <c r="B1922" i="15"/>
  <c r="C1922" i="15"/>
  <c r="D1922" i="15"/>
  <c r="E1922" i="15"/>
  <c r="J1922" i="15"/>
  <c r="K1922" i="15"/>
  <c r="L1922" i="15"/>
  <c r="M1922" i="15"/>
  <c r="N1922" i="15"/>
  <c r="O1922" i="15"/>
  <c r="P1922" i="15"/>
  <c r="Q1922" i="15"/>
  <c r="T1922" i="15"/>
  <c r="U1922" i="15"/>
  <c r="V1922" i="15"/>
  <c r="W1922" i="15"/>
  <c r="X1922" i="15"/>
  <c r="Y1922" i="15"/>
  <c r="Z1922" i="15"/>
  <c r="AA1922" i="15"/>
  <c r="B1923" i="15"/>
  <c r="C1923" i="15"/>
  <c r="D1923" i="15"/>
  <c r="E1923" i="15"/>
  <c r="J1923" i="15"/>
  <c r="K1923" i="15"/>
  <c r="L1923" i="15"/>
  <c r="M1923" i="15"/>
  <c r="N1923" i="15"/>
  <c r="O1923" i="15"/>
  <c r="P1923" i="15"/>
  <c r="Q1923" i="15"/>
  <c r="T1923" i="15"/>
  <c r="U1923" i="15"/>
  <c r="V1923" i="15"/>
  <c r="W1923" i="15"/>
  <c r="X1923" i="15"/>
  <c r="Y1923" i="15"/>
  <c r="Z1923" i="15"/>
  <c r="AA1923" i="15"/>
  <c r="B1924" i="15"/>
  <c r="C1924" i="15"/>
  <c r="D1924" i="15"/>
  <c r="E1924" i="15"/>
  <c r="J1924" i="15"/>
  <c r="K1924" i="15"/>
  <c r="L1924" i="15"/>
  <c r="M1924" i="15"/>
  <c r="N1924" i="15"/>
  <c r="O1924" i="15"/>
  <c r="P1924" i="15"/>
  <c r="Q1924" i="15"/>
  <c r="T1924" i="15"/>
  <c r="U1924" i="15"/>
  <c r="V1924" i="15"/>
  <c r="W1924" i="15"/>
  <c r="X1924" i="15"/>
  <c r="Y1924" i="15"/>
  <c r="Z1924" i="15"/>
  <c r="AA1924" i="15"/>
  <c r="B1925" i="15"/>
  <c r="C1925" i="15"/>
  <c r="D1925" i="15"/>
  <c r="E1925" i="15"/>
  <c r="J1925" i="15"/>
  <c r="K1925" i="15"/>
  <c r="L1925" i="15"/>
  <c r="M1925" i="15"/>
  <c r="N1925" i="15"/>
  <c r="O1925" i="15"/>
  <c r="P1925" i="15"/>
  <c r="Q1925" i="15"/>
  <c r="T1925" i="15"/>
  <c r="U1925" i="15"/>
  <c r="V1925" i="15"/>
  <c r="W1925" i="15"/>
  <c r="X1925" i="15"/>
  <c r="Y1925" i="15"/>
  <c r="Z1925" i="15"/>
  <c r="AA1925" i="15"/>
  <c r="B1926" i="15"/>
  <c r="C1926" i="15"/>
  <c r="D1926" i="15"/>
  <c r="E1926" i="15"/>
  <c r="J1926" i="15"/>
  <c r="K1926" i="15"/>
  <c r="L1926" i="15"/>
  <c r="M1926" i="15"/>
  <c r="N1926" i="15"/>
  <c r="O1926" i="15"/>
  <c r="P1926" i="15"/>
  <c r="Q1926" i="15"/>
  <c r="T1926" i="15"/>
  <c r="U1926" i="15"/>
  <c r="V1926" i="15"/>
  <c r="W1926" i="15"/>
  <c r="X1926" i="15"/>
  <c r="Y1926" i="15"/>
  <c r="Z1926" i="15"/>
  <c r="AA1926" i="15"/>
  <c r="B1927" i="15"/>
  <c r="C1927" i="15"/>
  <c r="D1927" i="15"/>
  <c r="E1927" i="15"/>
  <c r="J1927" i="15"/>
  <c r="K1927" i="15"/>
  <c r="L1927" i="15"/>
  <c r="M1927" i="15"/>
  <c r="N1927" i="15"/>
  <c r="O1927" i="15"/>
  <c r="P1927" i="15"/>
  <c r="Q1927" i="15"/>
  <c r="T1927" i="15"/>
  <c r="U1927" i="15"/>
  <c r="V1927" i="15"/>
  <c r="W1927" i="15"/>
  <c r="X1927" i="15"/>
  <c r="Y1927" i="15"/>
  <c r="Z1927" i="15"/>
  <c r="AA1927" i="15"/>
  <c r="B1928" i="15"/>
  <c r="C1928" i="15"/>
  <c r="D1928" i="15"/>
  <c r="E1928" i="15"/>
  <c r="J1928" i="15"/>
  <c r="K1928" i="15"/>
  <c r="L1928" i="15"/>
  <c r="M1928" i="15"/>
  <c r="N1928" i="15"/>
  <c r="O1928" i="15"/>
  <c r="P1928" i="15"/>
  <c r="Q1928" i="15"/>
  <c r="T1928" i="15"/>
  <c r="U1928" i="15"/>
  <c r="V1928" i="15"/>
  <c r="W1928" i="15"/>
  <c r="X1928" i="15"/>
  <c r="Y1928" i="15"/>
  <c r="Z1928" i="15"/>
  <c r="AA1928" i="15"/>
  <c r="B1929" i="15"/>
  <c r="C1929" i="15"/>
  <c r="D1929" i="15"/>
  <c r="E1929" i="15"/>
  <c r="J1929" i="15"/>
  <c r="K1929" i="15"/>
  <c r="L1929" i="15"/>
  <c r="M1929" i="15"/>
  <c r="N1929" i="15"/>
  <c r="O1929" i="15"/>
  <c r="P1929" i="15"/>
  <c r="Q1929" i="15"/>
  <c r="T1929" i="15"/>
  <c r="U1929" i="15"/>
  <c r="V1929" i="15"/>
  <c r="W1929" i="15"/>
  <c r="X1929" i="15"/>
  <c r="Y1929" i="15"/>
  <c r="Z1929" i="15"/>
  <c r="AA1929" i="15"/>
  <c r="B1930" i="15"/>
  <c r="C1930" i="15"/>
  <c r="D1930" i="15"/>
  <c r="E1930" i="15"/>
  <c r="J1930" i="15"/>
  <c r="K1930" i="15"/>
  <c r="L1930" i="15"/>
  <c r="M1930" i="15"/>
  <c r="N1930" i="15"/>
  <c r="O1930" i="15"/>
  <c r="P1930" i="15"/>
  <c r="Q1930" i="15"/>
  <c r="T1930" i="15"/>
  <c r="U1930" i="15"/>
  <c r="V1930" i="15"/>
  <c r="W1930" i="15"/>
  <c r="X1930" i="15"/>
  <c r="Y1930" i="15"/>
  <c r="Z1930" i="15"/>
  <c r="AA1930" i="15"/>
  <c r="B1931" i="15"/>
  <c r="C1931" i="15"/>
  <c r="D1931" i="15"/>
  <c r="E1931" i="15"/>
  <c r="J1931" i="15"/>
  <c r="K1931" i="15"/>
  <c r="L1931" i="15"/>
  <c r="M1931" i="15"/>
  <c r="N1931" i="15"/>
  <c r="O1931" i="15"/>
  <c r="P1931" i="15"/>
  <c r="Q1931" i="15"/>
  <c r="T1931" i="15"/>
  <c r="U1931" i="15"/>
  <c r="V1931" i="15"/>
  <c r="W1931" i="15"/>
  <c r="X1931" i="15"/>
  <c r="Y1931" i="15"/>
  <c r="Z1931" i="15"/>
  <c r="AA1931" i="15"/>
  <c r="B1932" i="15"/>
  <c r="C1932" i="15"/>
  <c r="D1932" i="15"/>
  <c r="E1932" i="15"/>
  <c r="J1932" i="15"/>
  <c r="K1932" i="15"/>
  <c r="L1932" i="15"/>
  <c r="M1932" i="15"/>
  <c r="N1932" i="15"/>
  <c r="O1932" i="15"/>
  <c r="P1932" i="15"/>
  <c r="Q1932" i="15"/>
  <c r="T1932" i="15"/>
  <c r="U1932" i="15"/>
  <c r="V1932" i="15"/>
  <c r="W1932" i="15"/>
  <c r="X1932" i="15"/>
  <c r="Y1932" i="15"/>
  <c r="Z1932" i="15"/>
  <c r="AA1932" i="15"/>
  <c r="B1933" i="15"/>
  <c r="C1933" i="15"/>
  <c r="D1933" i="15"/>
  <c r="E1933" i="15"/>
  <c r="J1933" i="15"/>
  <c r="K1933" i="15"/>
  <c r="L1933" i="15"/>
  <c r="M1933" i="15"/>
  <c r="N1933" i="15"/>
  <c r="O1933" i="15"/>
  <c r="P1933" i="15"/>
  <c r="Q1933" i="15"/>
  <c r="T1933" i="15"/>
  <c r="U1933" i="15"/>
  <c r="V1933" i="15"/>
  <c r="W1933" i="15"/>
  <c r="X1933" i="15"/>
  <c r="Y1933" i="15"/>
  <c r="Z1933" i="15"/>
  <c r="AA1933" i="15"/>
  <c r="B1934" i="15"/>
  <c r="C1934" i="15"/>
  <c r="D1934" i="15"/>
  <c r="E1934" i="15"/>
  <c r="J1934" i="15"/>
  <c r="K1934" i="15"/>
  <c r="L1934" i="15"/>
  <c r="M1934" i="15"/>
  <c r="N1934" i="15"/>
  <c r="O1934" i="15"/>
  <c r="P1934" i="15"/>
  <c r="Q1934" i="15"/>
  <c r="T1934" i="15"/>
  <c r="U1934" i="15"/>
  <c r="V1934" i="15"/>
  <c r="W1934" i="15"/>
  <c r="X1934" i="15"/>
  <c r="Y1934" i="15"/>
  <c r="Z1934" i="15"/>
  <c r="AA1934" i="15"/>
  <c r="B1935" i="15"/>
  <c r="C1935" i="15"/>
  <c r="D1935" i="15"/>
  <c r="E1935" i="15"/>
  <c r="J1935" i="15"/>
  <c r="K1935" i="15"/>
  <c r="L1935" i="15"/>
  <c r="M1935" i="15"/>
  <c r="N1935" i="15"/>
  <c r="O1935" i="15"/>
  <c r="P1935" i="15"/>
  <c r="Q1935" i="15"/>
  <c r="T1935" i="15"/>
  <c r="U1935" i="15"/>
  <c r="V1935" i="15"/>
  <c r="W1935" i="15"/>
  <c r="X1935" i="15"/>
  <c r="Y1935" i="15"/>
  <c r="Z1935" i="15"/>
  <c r="AA1935" i="15"/>
  <c r="B1936" i="15"/>
  <c r="C1936" i="15"/>
  <c r="D1936" i="15"/>
  <c r="E1936" i="15"/>
  <c r="J1936" i="15"/>
  <c r="K1936" i="15"/>
  <c r="L1936" i="15"/>
  <c r="M1936" i="15"/>
  <c r="N1936" i="15"/>
  <c r="O1936" i="15"/>
  <c r="P1936" i="15"/>
  <c r="Q1936" i="15"/>
  <c r="T1936" i="15"/>
  <c r="U1936" i="15"/>
  <c r="V1936" i="15"/>
  <c r="W1936" i="15"/>
  <c r="X1936" i="15"/>
  <c r="Y1936" i="15"/>
  <c r="Z1936" i="15"/>
  <c r="AA1936" i="15"/>
  <c r="B1937" i="15"/>
  <c r="C1937" i="15"/>
  <c r="D1937" i="15"/>
  <c r="E1937" i="15"/>
  <c r="J1937" i="15"/>
  <c r="K1937" i="15"/>
  <c r="L1937" i="15"/>
  <c r="M1937" i="15"/>
  <c r="N1937" i="15"/>
  <c r="O1937" i="15"/>
  <c r="P1937" i="15"/>
  <c r="Q1937" i="15"/>
  <c r="T1937" i="15"/>
  <c r="U1937" i="15"/>
  <c r="V1937" i="15"/>
  <c r="W1937" i="15"/>
  <c r="X1937" i="15"/>
  <c r="Y1937" i="15"/>
  <c r="Z1937" i="15"/>
  <c r="AA1937" i="15"/>
  <c r="B1938" i="15"/>
  <c r="C1938" i="15"/>
  <c r="D1938" i="15"/>
  <c r="E1938" i="15"/>
  <c r="J1938" i="15"/>
  <c r="K1938" i="15"/>
  <c r="L1938" i="15"/>
  <c r="M1938" i="15"/>
  <c r="N1938" i="15"/>
  <c r="O1938" i="15"/>
  <c r="P1938" i="15"/>
  <c r="Q1938" i="15"/>
  <c r="T1938" i="15"/>
  <c r="U1938" i="15"/>
  <c r="V1938" i="15"/>
  <c r="W1938" i="15"/>
  <c r="X1938" i="15"/>
  <c r="Y1938" i="15"/>
  <c r="Z1938" i="15"/>
  <c r="AA1938" i="15"/>
  <c r="B1939" i="15"/>
  <c r="C1939" i="15"/>
  <c r="D1939" i="15"/>
  <c r="E1939" i="15"/>
  <c r="J1939" i="15"/>
  <c r="K1939" i="15"/>
  <c r="L1939" i="15"/>
  <c r="M1939" i="15"/>
  <c r="N1939" i="15"/>
  <c r="O1939" i="15"/>
  <c r="P1939" i="15"/>
  <c r="Q1939" i="15"/>
  <c r="T1939" i="15"/>
  <c r="U1939" i="15"/>
  <c r="V1939" i="15"/>
  <c r="W1939" i="15"/>
  <c r="X1939" i="15"/>
  <c r="Y1939" i="15"/>
  <c r="Z1939" i="15"/>
  <c r="AA1939" i="15"/>
  <c r="B1940" i="15"/>
  <c r="C1940" i="15"/>
  <c r="D1940" i="15"/>
  <c r="E1940" i="15"/>
  <c r="J1940" i="15"/>
  <c r="K1940" i="15"/>
  <c r="L1940" i="15"/>
  <c r="M1940" i="15"/>
  <c r="N1940" i="15"/>
  <c r="O1940" i="15"/>
  <c r="P1940" i="15"/>
  <c r="Q1940" i="15"/>
  <c r="T1940" i="15"/>
  <c r="U1940" i="15"/>
  <c r="V1940" i="15"/>
  <c r="W1940" i="15"/>
  <c r="X1940" i="15"/>
  <c r="Y1940" i="15"/>
  <c r="Z1940" i="15"/>
  <c r="AA1940" i="15"/>
  <c r="B1941" i="15"/>
  <c r="C1941" i="15"/>
  <c r="D1941" i="15"/>
  <c r="E1941" i="15"/>
  <c r="J1941" i="15"/>
  <c r="K1941" i="15"/>
  <c r="L1941" i="15"/>
  <c r="M1941" i="15"/>
  <c r="N1941" i="15"/>
  <c r="O1941" i="15"/>
  <c r="P1941" i="15"/>
  <c r="Q1941" i="15"/>
  <c r="T1941" i="15"/>
  <c r="U1941" i="15"/>
  <c r="V1941" i="15"/>
  <c r="W1941" i="15"/>
  <c r="X1941" i="15"/>
  <c r="Y1941" i="15"/>
  <c r="Z1941" i="15"/>
  <c r="AA1941" i="15"/>
  <c r="B1942" i="15"/>
  <c r="C1942" i="15"/>
  <c r="D1942" i="15"/>
  <c r="E1942" i="15"/>
  <c r="J1942" i="15"/>
  <c r="K1942" i="15"/>
  <c r="L1942" i="15"/>
  <c r="M1942" i="15"/>
  <c r="N1942" i="15"/>
  <c r="O1942" i="15"/>
  <c r="P1942" i="15"/>
  <c r="Q1942" i="15"/>
  <c r="T1942" i="15"/>
  <c r="U1942" i="15"/>
  <c r="V1942" i="15"/>
  <c r="W1942" i="15"/>
  <c r="X1942" i="15"/>
  <c r="Y1942" i="15"/>
  <c r="Z1942" i="15"/>
  <c r="AA1942" i="15"/>
  <c r="B1943" i="15"/>
  <c r="C1943" i="15"/>
  <c r="D1943" i="15"/>
  <c r="E1943" i="15"/>
  <c r="J1943" i="15"/>
  <c r="K1943" i="15"/>
  <c r="L1943" i="15"/>
  <c r="M1943" i="15"/>
  <c r="N1943" i="15"/>
  <c r="O1943" i="15"/>
  <c r="P1943" i="15"/>
  <c r="Q1943" i="15"/>
  <c r="T1943" i="15"/>
  <c r="U1943" i="15"/>
  <c r="V1943" i="15"/>
  <c r="W1943" i="15"/>
  <c r="X1943" i="15"/>
  <c r="Y1943" i="15"/>
  <c r="Z1943" i="15"/>
  <c r="AA1943" i="15"/>
  <c r="B1944" i="15"/>
  <c r="C1944" i="15"/>
  <c r="D1944" i="15"/>
  <c r="E1944" i="15"/>
  <c r="J1944" i="15"/>
  <c r="K1944" i="15"/>
  <c r="L1944" i="15"/>
  <c r="M1944" i="15"/>
  <c r="N1944" i="15"/>
  <c r="O1944" i="15"/>
  <c r="P1944" i="15"/>
  <c r="Q1944" i="15"/>
  <c r="T1944" i="15"/>
  <c r="U1944" i="15"/>
  <c r="V1944" i="15"/>
  <c r="W1944" i="15"/>
  <c r="X1944" i="15"/>
  <c r="Y1944" i="15"/>
  <c r="Z1944" i="15"/>
  <c r="AA1944" i="15"/>
  <c r="B1945" i="15"/>
  <c r="C1945" i="15"/>
  <c r="D1945" i="15"/>
  <c r="E1945" i="15"/>
  <c r="J1945" i="15"/>
  <c r="K1945" i="15"/>
  <c r="L1945" i="15"/>
  <c r="M1945" i="15"/>
  <c r="N1945" i="15"/>
  <c r="O1945" i="15"/>
  <c r="P1945" i="15"/>
  <c r="Q1945" i="15"/>
  <c r="T1945" i="15"/>
  <c r="U1945" i="15"/>
  <c r="V1945" i="15"/>
  <c r="W1945" i="15"/>
  <c r="X1945" i="15"/>
  <c r="Y1945" i="15"/>
  <c r="Z1945" i="15"/>
  <c r="AA1945" i="15"/>
  <c r="B1946" i="15"/>
  <c r="C1946" i="15"/>
  <c r="D1946" i="15"/>
  <c r="E1946" i="15"/>
  <c r="J1946" i="15"/>
  <c r="K1946" i="15"/>
  <c r="L1946" i="15"/>
  <c r="M1946" i="15"/>
  <c r="N1946" i="15"/>
  <c r="O1946" i="15"/>
  <c r="P1946" i="15"/>
  <c r="Q1946" i="15"/>
  <c r="T1946" i="15"/>
  <c r="U1946" i="15"/>
  <c r="V1946" i="15"/>
  <c r="W1946" i="15"/>
  <c r="X1946" i="15"/>
  <c r="Y1946" i="15"/>
  <c r="Z1946" i="15"/>
  <c r="AA1946" i="15"/>
  <c r="B1947" i="15"/>
  <c r="C1947" i="15"/>
  <c r="D1947" i="15"/>
  <c r="E1947" i="15"/>
  <c r="J1947" i="15"/>
  <c r="K1947" i="15"/>
  <c r="L1947" i="15"/>
  <c r="M1947" i="15"/>
  <c r="N1947" i="15"/>
  <c r="O1947" i="15"/>
  <c r="P1947" i="15"/>
  <c r="Q1947" i="15"/>
  <c r="T1947" i="15"/>
  <c r="U1947" i="15"/>
  <c r="V1947" i="15"/>
  <c r="W1947" i="15"/>
  <c r="X1947" i="15"/>
  <c r="Y1947" i="15"/>
  <c r="Z1947" i="15"/>
  <c r="AA1947" i="15"/>
  <c r="B1948" i="15"/>
  <c r="C1948" i="15"/>
  <c r="D1948" i="15"/>
  <c r="E1948" i="15"/>
  <c r="J1948" i="15"/>
  <c r="K1948" i="15"/>
  <c r="L1948" i="15"/>
  <c r="M1948" i="15"/>
  <c r="N1948" i="15"/>
  <c r="O1948" i="15"/>
  <c r="P1948" i="15"/>
  <c r="Q1948" i="15"/>
  <c r="T1948" i="15"/>
  <c r="U1948" i="15"/>
  <c r="V1948" i="15"/>
  <c r="W1948" i="15"/>
  <c r="X1948" i="15"/>
  <c r="Y1948" i="15"/>
  <c r="Z1948" i="15"/>
  <c r="AA1948" i="15"/>
  <c r="B1949" i="15"/>
  <c r="C1949" i="15"/>
  <c r="D1949" i="15"/>
  <c r="E1949" i="15"/>
  <c r="J1949" i="15"/>
  <c r="K1949" i="15"/>
  <c r="L1949" i="15"/>
  <c r="M1949" i="15"/>
  <c r="N1949" i="15"/>
  <c r="O1949" i="15"/>
  <c r="P1949" i="15"/>
  <c r="Q1949" i="15"/>
  <c r="T1949" i="15"/>
  <c r="U1949" i="15"/>
  <c r="V1949" i="15"/>
  <c r="W1949" i="15"/>
  <c r="X1949" i="15"/>
  <c r="Y1949" i="15"/>
  <c r="Z1949" i="15"/>
  <c r="AA1949" i="15"/>
  <c r="B1950" i="15"/>
  <c r="C1950" i="15"/>
  <c r="D1950" i="15"/>
  <c r="E1950" i="15"/>
  <c r="J1950" i="15"/>
  <c r="K1950" i="15"/>
  <c r="L1950" i="15"/>
  <c r="M1950" i="15"/>
  <c r="N1950" i="15"/>
  <c r="O1950" i="15"/>
  <c r="P1950" i="15"/>
  <c r="Q1950" i="15"/>
  <c r="T1950" i="15"/>
  <c r="U1950" i="15"/>
  <c r="V1950" i="15"/>
  <c r="W1950" i="15"/>
  <c r="X1950" i="15"/>
  <c r="Y1950" i="15"/>
  <c r="Z1950" i="15"/>
  <c r="AA1950" i="15"/>
  <c r="B1951" i="15"/>
  <c r="C1951" i="15"/>
  <c r="D1951" i="15"/>
  <c r="E1951" i="15"/>
  <c r="J1951" i="15"/>
  <c r="K1951" i="15"/>
  <c r="L1951" i="15"/>
  <c r="M1951" i="15"/>
  <c r="N1951" i="15"/>
  <c r="O1951" i="15"/>
  <c r="P1951" i="15"/>
  <c r="Q1951" i="15"/>
  <c r="T1951" i="15"/>
  <c r="U1951" i="15"/>
  <c r="V1951" i="15"/>
  <c r="W1951" i="15"/>
  <c r="X1951" i="15"/>
  <c r="Y1951" i="15"/>
  <c r="Z1951" i="15"/>
  <c r="AA1951" i="15"/>
  <c r="B1952" i="15"/>
  <c r="C1952" i="15"/>
  <c r="D1952" i="15"/>
  <c r="E1952" i="15"/>
  <c r="J1952" i="15"/>
  <c r="K1952" i="15"/>
  <c r="L1952" i="15"/>
  <c r="M1952" i="15"/>
  <c r="N1952" i="15"/>
  <c r="O1952" i="15"/>
  <c r="P1952" i="15"/>
  <c r="Q1952" i="15"/>
  <c r="T1952" i="15"/>
  <c r="U1952" i="15"/>
  <c r="V1952" i="15"/>
  <c r="W1952" i="15"/>
  <c r="X1952" i="15"/>
  <c r="Y1952" i="15"/>
  <c r="Z1952" i="15"/>
  <c r="AA1952" i="15"/>
  <c r="B1953" i="15"/>
  <c r="C1953" i="15"/>
  <c r="D1953" i="15"/>
  <c r="E1953" i="15"/>
  <c r="J1953" i="15"/>
  <c r="K1953" i="15"/>
  <c r="L1953" i="15"/>
  <c r="M1953" i="15"/>
  <c r="N1953" i="15"/>
  <c r="O1953" i="15"/>
  <c r="P1953" i="15"/>
  <c r="Q1953" i="15"/>
  <c r="T1953" i="15"/>
  <c r="U1953" i="15"/>
  <c r="V1953" i="15"/>
  <c r="W1953" i="15"/>
  <c r="X1953" i="15"/>
  <c r="Y1953" i="15"/>
  <c r="Z1953" i="15"/>
  <c r="AA1953" i="15"/>
  <c r="B1954" i="15"/>
  <c r="C1954" i="15"/>
  <c r="D1954" i="15"/>
  <c r="E1954" i="15"/>
  <c r="J1954" i="15"/>
  <c r="K1954" i="15"/>
  <c r="L1954" i="15"/>
  <c r="M1954" i="15"/>
  <c r="N1954" i="15"/>
  <c r="O1954" i="15"/>
  <c r="P1954" i="15"/>
  <c r="Q1954" i="15"/>
  <c r="T1954" i="15"/>
  <c r="U1954" i="15"/>
  <c r="V1954" i="15"/>
  <c r="W1954" i="15"/>
  <c r="X1954" i="15"/>
  <c r="Y1954" i="15"/>
  <c r="Z1954" i="15"/>
  <c r="AA1954" i="15"/>
  <c r="B1955" i="15"/>
  <c r="C1955" i="15"/>
  <c r="D1955" i="15"/>
  <c r="E1955" i="15"/>
  <c r="J1955" i="15"/>
  <c r="K1955" i="15"/>
  <c r="L1955" i="15"/>
  <c r="M1955" i="15"/>
  <c r="N1955" i="15"/>
  <c r="O1955" i="15"/>
  <c r="P1955" i="15"/>
  <c r="Q1955" i="15"/>
  <c r="T1955" i="15"/>
  <c r="U1955" i="15"/>
  <c r="V1955" i="15"/>
  <c r="W1955" i="15"/>
  <c r="X1955" i="15"/>
  <c r="Y1955" i="15"/>
  <c r="Z1955" i="15"/>
  <c r="AA1955" i="15"/>
  <c r="B1956" i="15"/>
  <c r="C1956" i="15"/>
  <c r="D1956" i="15"/>
  <c r="E1956" i="15"/>
  <c r="J1956" i="15"/>
  <c r="K1956" i="15"/>
  <c r="L1956" i="15"/>
  <c r="M1956" i="15"/>
  <c r="N1956" i="15"/>
  <c r="O1956" i="15"/>
  <c r="P1956" i="15"/>
  <c r="Q1956" i="15"/>
  <c r="T1956" i="15"/>
  <c r="U1956" i="15"/>
  <c r="V1956" i="15"/>
  <c r="W1956" i="15"/>
  <c r="X1956" i="15"/>
  <c r="Y1956" i="15"/>
  <c r="Z1956" i="15"/>
  <c r="AA1956" i="15"/>
  <c r="B1957" i="15"/>
  <c r="C1957" i="15"/>
  <c r="D1957" i="15"/>
  <c r="E1957" i="15"/>
  <c r="J1957" i="15"/>
  <c r="K1957" i="15"/>
  <c r="L1957" i="15"/>
  <c r="M1957" i="15"/>
  <c r="N1957" i="15"/>
  <c r="O1957" i="15"/>
  <c r="P1957" i="15"/>
  <c r="Q1957" i="15"/>
  <c r="T1957" i="15"/>
  <c r="U1957" i="15"/>
  <c r="V1957" i="15"/>
  <c r="W1957" i="15"/>
  <c r="X1957" i="15"/>
  <c r="Y1957" i="15"/>
  <c r="Z1957" i="15"/>
  <c r="AA1957" i="15"/>
  <c r="B1958" i="15"/>
  <c r="C1958" i="15"/>
  <c r="D1958" i="15"/>
  <c r="E1958" i="15"/>
  <c r="J1958" i="15"/>
  <c r="K1958" i="15"/>
  <c r="L1958" i="15"/>
  <c r="M1958" i="15"/>
  <c r="N1958" i="15"/>
  <c r="O1958" i="15"/>
  <c r="P1958" i="15"/>
  <c r="Q1958" i="15"/>
  <c r="T1958" i="15"/>
  <c r="U1958" i="15"/>
  <c r="V1958" i="15"/>
  <c r="W1958" i="15"/>
  <c r="X1958" i="15"/>
  <c r="Y1958" i="15"/>
  <c r="Z1958" i="15"/>
  <c r="AA1958" i="15"/>
  <c r="B1959" i="15"/>
  <c r="C1959" i="15"/>
  <c r="D1959" i="15"/>
  <c r="E1959" i="15"/>
  <c r="J1959" i="15"/>
  <c r="K1959" i="15"/>
  <c r="L1959" i="15"/>
  <c r="M1959" i="15"/>
  <c r="N1959" i="15"/>
  <c r="O1959" i="15"/>
  <c r="P1959" i="15"/>
  <c r="Q1959" i="15"/>
  <c r="T1959" i="15"/>
  <c r="U1959" i="15"/>
  <c r="V1959" i="15"/>
  <c r="W1959" i="15"/>
  <c r="X1959" i="15"/>
  <c r="Y1959" i="15"/>
  <c r="Z1959" i="15"/>
  <c r="AA1959" i="15"/>
  <c r="B1960" i="15"/>
  <c r="C1960" i="15"/>
  <c r="D1960" i="15"/>
  <c r="E1960" i="15"/>
  <c r="J1960" i="15"/>
  <c r="K1960" i="15"/>
  <c r="L1960" i="15"/>
  <c r="M1960" i="15"/>
  <c r="N1960" i="15"/>
  <c r="O1960" i="15"/>
  <c r="P1960" i="15"/>
  <c r="Q1960" i="15"/>
  <c r="T1960" i="15"/>
  <c r="U1960" i="15"/>
  <c r="V1960" i="15"/>
  <c r="W1960" i="15"/>
  <c r="X1960" i="15"/>
  <c r="Y1960" i="15"/>
  <c r="Z1960" i="15"/>
  <c r="AA1960" i="15"/>
  <c r="B1961" i="15"/>
  <c r="C1961" i="15"/>
  <c r="D1961" i="15"/>
  <c r="E1961" i="15"/>
  <c r="J1961" i="15"/>
  <c r="K1961" i="15"/>
  <c r="L1961" i="15"/>
  <c r="M1961" i="15"/>
  <c r="N1961" i="15"/>
  <c r="O1961" i="15"/>
  <c r="P1961" i="15"/>
  <c r="Q1961" i="15"/>
  <c r="T1961" i="15"/>
  <c r="U1961" i="15"/>
  <c r="V1961" i="15"/>
  <c r="W1961" i="15"/>
  <c r="X1961" i="15"/>
  <c r="Y1961" i="15"/>
  <c r="Z1961" i="15"/>
  <c r="AA1961" i="15"/>
  <c r="B1962" i="15"/>
  <c r="C1962" i="15"/>
  <c r="D1962" i="15"/>
  <c r="E1962" i="15"/>
  <c r="J1962" i="15"/>
  <c r="K1962" i="15"/>
  <c r="L1962" i="15"/>
  <c r="M1962" i="15"/>
  <c r="N1962" i="15"/>
  <c r="O1962" i="15"/>
  <c r="P1962" i="15"/>
  <c r="Q1962" i="15"/>
  <c r="T1962" i="15"/>
  <c r="U1962" i="15"/>
  <c r="V1962" i="15"/>
  <c r="W1962" i="15"/>
  <c r="X1962" i="15"/>
  <c r="Y1962" i="15"/>
  <c r="Z1962" i="15"/>
  <c r="AA1962" i="15"/>
  <c r="B1963" i="15"/>
  <c r="C1963" i="15"/>
  <c r="D1963" i="15"/>
  <c r="E1963" i="15"/>
  <c r="J1963" i="15"/>
  <c r="K1963" i="15"/>
  <c r="L1963" i="15"/>
  <c r="M1963" i="15"/>
  <c r="N1963" i="15"/>
  <c r="O1963" i="15"/>
  <c r="P1963" i="15"/>
  <c r="Q1963" i="15"/>
  <c r="T1963" i="15"/>
  <c r="U1963" i="15"/>
  <c r="V1963" i="15"/>
  <c r="W1963" i="15"/>
  <c r="X1963" i="15"/>
  <c r="Y1963" i="15"/>
  <c r="Z1963" i="15"/>
  <c r="AA1963" i="15"/>
  <c r="B1964" i="15"/>
  <c r="C1964" i="15"/>
  <c r="D1964" i="15"/>
  <c r="E1964" i="15"/>
  <c r="J1964" i="15"/>
  <c r="K1964" i="15"/>
  <c r="L1964" i="15"/>
  <c r="M1964" i="15"/>
  <c r="N1964" i="15"/>
  <c r="O1964" i="15"/>
  <c r="P1964" i="15"/>
  <c r="Q1964" i="15"/>
  <c r="T1964" i="15"/>
  <c r="U1964" i="15"/>
  <c r="V1964" i="15"/>
  <c r="W1964" i="15"/>
  <c r="X1964" i="15"/>
  <c r="Y1964" i="15"/>
  <c r="Z1964" i="15"/>
  <c r="AA1964" i="15"/>
  <c r="B1965" i="15"/>
  <c r="C1965" i="15"/>
  <c r="D1965" i="15"/>
  <c r="E1965" i="15"/>
  <c r="J1965" i="15"/>
  <c r="K1965" i="15"/>
  <c r="L1965" i="15"/>
  <c r="M1965" i="15"/>
  <c r="N1965" i="15"/>
  <c r="O1965" i="15"/>
  <c r="P1965" i="15"/>
  <c r="Q1965" i="15"/>
  <c r="T1965" i="15"/>
  <c r="U1965" i="15"/>
  <c r="V1965" i="15"/>
  <c r="W1965" i="15"/>
  <c r="X1965" i="15"/>
  <c r="Y1965" i="15"/>
  <c r="Z1965" i="15"/>
  <c r="AA1965" i="15"/>
  <c r="B1966" i="15"/>
  <c r="C1966" i="15"/>
  <c r="D1966" i="15"/>
  <c r="E1966" i="15"/>
  <c r="J1966" i="15"/>
  <c r="K1966" i="15"/>
  <c r="L1966" i="15"/>
  <c r="M1966" i="15"/>
  <c r="N1966" i="15"/>
  <c r="O1966" i="15"/>
  <c r="P1966" i="15"/>
  <c r="Q1966" i="15"/>
  <c r="T1966" i="15"/>
  <c r="U1966" i="15"/>
  <c r="V1966" i="15"/>
  <c r="W1966" i="15"/>
  <c r="X1966" i="15"/>
  <c r="Y1966" i="15"/>
  <c r="Z1966" i="15"/>
  <c r="AA1966" i="15"/>
  <c r="B1967" i="15"/>
  <c r="C1967" i="15"/>
  <c r="D1967" i="15"/>
  <c r="E1967" i="15"/>
  <c r="J1967" i="15"/>
  <c r="K1967" i="15"/>
  <c r="L1967" i="15"/>
  <c r="M1967" i="15"/>
  <c r="N1967" i="15"/>
  <c r="O1967" i="15"/>
  <c r="P1967" i="15"/>
  <c r="Q1967" i="15"/>
  <c r="T1967" i="15"/>
  <c r="U1967" i="15"/>
  <c r="V1967" i="15"/>
  <c r="W1967" i="15"/>
  <c r="X1967" i="15"/>
  <c r="Y1967" i="15"/>
  <c r="Z1967" i="15"/>
  <c r="AA1967" i="15"/>
  <c r="B1968" i="15"/>
  <c r="C1968" i="15"/>
  <c r="D1968" i="15"/>
  <c r="E1968" i="15"/>
  <c r="J1968" i="15"/>
  <c r="K1968" i="15"/>
  <c r="L1968" i="15"/>
  <c r="M1968" i="15"/>
  <c r="N1968" i="15"/>
  <c r="O1968" i="15"/>
  <c r="P1968" i="15"/>
  <c r="Q1968" i="15"/>
  <c r="T1968" i="15"/>
  <c r="U1968" i="15"/>
  <c r="V1968" i="15"/>
  <c r="W1968" i="15"/>
  <c r="X1968" i="15"/>
  <c r="Y1968" i="15"/>
  <c r="Z1968" i="15"/>
  <c r="AA1968" i="15"/>
  <c r="B1969" i="15"/>
  <c r="C1969" i="15"/>
  <c r="D1969" i="15"/>
  <c r="E1969" i="15"/>
  <c r="J1969" i="15"/>
  <c r="K1969" i="15"/>
  <c r="L1969" i="15"/>
  <c r="M1969" i="15"/>
  <c r="N1969" i="15"/>
  <c r="O1969" i="15"/>
  <c r="P1969" i="15"/>
  <c r="Q1969" i="15"/>
  <c r="T1969" i="15"/>
  <c r="U1969" i="15"/>
  <c r="V1969" i="15"/>
  <c r="W1969" i="15"/>
  <c r="X1969" i="15"/>
  <c r="Y1969" i="15"/>
  <c r="Z1969" i="15"/>
  <c r="AA1969" i="15"/>
  <c r="B1970" i="15"/>
  <c r="C1970" i="15"/>
  <c r="D1970" i="15"/>
  <c r="E1970" i="15"/>
  <c r="J1970" i="15"/>
  <c r="K1970" i="15"/>
  <c r="L1970" i="15"/>
  <c r="M1970" i="15"/>
  <c r="N1970" i="15"/>
  <c r="O1970" i="15"/>
  <c r="P1970" i="15"/>
  <c r="Q1970" i="15"/>
  <c r="T1970" i="15"/>
  <c r="U1970" i="15"/>
  <c r="V1970" i="15"/>
  <c r="W1970" i="15"/>
  <c r="X1970" i="15"/>
  <c r="Y1970" i="15"/>
  <c r="Z1970" i="15"/>
  <c r="AA1970" i="15"/>
  <c r="B1971" i="15"/>
  <c r="C1971" i="15"/>
  <c r="D1971" i="15"/>
  <c r="E1971" i="15"/>
  <c r="J1971" i="15"/>
  <c r="K1971" i="15"/>
  <c r="L1971" i="15"/>
  <c r="M1971" i="15"/>
  <c r="N1971" i="15"/>
  <c r="O1971" i="15"/>
  <c r="P1971" i="15"/>
  <c r="Q1971" i="15"/>
  <c r="T1971" i="15"/>
  <c r="U1971" i="15"/>
  <c r="V1971" i="15"/>
  <c r="W1971" i="15"/>
  <c r="X1971" i="15"/>
  <c r="Y1971" i="15"/>
  <c r="Z1971" i="15"/>
  <c r="AA1971" i="15"/>
  <c r="B1972" i="15"/>
  <c r="C1972" i="15"/>
  <c r="D1972" i="15"/>
  <c r="E1972" i="15"/>
  <c r="J1972" i="15"/>
  <c r="K1972" i="15"/>
  <c r="L1972" i="15"/>
  <c r="M1972" i="15"/>
  <c r="N1972" i="15"/>
  <c r="O1972" i="15"/>
  <c r="P1972" i="15"/>
  <c r="Q1972" i="15"/>
  <c r="T1972" i="15"/>
  <c r="U1972" i="15"/>
  <c r="V1972" i="15"/>
  <c r="W1972" i="15"/>
  <c r="X1972" i="15"/>
  <c r="Y1972" i="15"/>
  <c r="Z1972" i="15"/>
  <c r="AA1972" i="15"/>
  <c r="B1973" i="15"/>
  <c r="C1973" i="15"/>
  <c r="D1973" i="15"/>
  <c r="E1973" i="15"/>
  <c r="J1973" i="15"/>
  <c r="K1973" i="15"/>
  <c r="L1973" i="15"/>
  <c r="M1973" i="15"/>
  <c r="N1973" i="15"/>
  <c r="O1973" i="15"/>
  <c r="P1973" i="15"/>
  <c r="Q1973" i="15"/>
  <c r="T1973" i="15"/>
  <c r="U1973" i="15"/>
  <c r="V1973" i="15"/>
  <c r="W1973" i="15"/>
  <c r="X1973" i="15"/>
  <c r="Y1973" i="15"/>
  <c r="Z1973" i="15"/>
  <c r="AA1973" i="15"/>
  <c r="B1974" i="15"/>
  <c r="C1974" i="15"/>
  <c r="D1974" i="15"/>
  <c r="E1974" i="15"/>
  <c r="J1974" i="15"/>
  <c r="K1974" i="15"/>
  <c r="L1974" i="15"/>
  <c r="M1974" i="15"/>
  <c r="N1974" i="15"/>
  <c r="O1974" i="15"/>
  <c r="P1974" i="15"/>
  <c r="Q1974" i="15"/>
  <c r="T1974" i="15"/>
  <c r="U1974" i="15"/>
  <c r="V1974" i="15"/>
  <c r="W1974" i="15"/>
  <c r="X1974" i="15"/>
  <c r="Y1974" i="15"/>
  <c r="Z1974" i="15"/>
  <c r="AA1974" i="15"/>
  <c r="B1975" i="15"/>
  <c r="C1975" i="15"/>
  <c r="D1975" i="15"/>
  <c r="E1975" i="15"/>
  <c r="J1975" i="15"/>
  <c r="K1975" i="15"/>
  <c r="L1975" i="15"/>
  <c r="M1975" i="15"/>
  <c r="N1975" i="15"/>
  <c r="O1975" i="15"/>
  <c r="P1975" i="15"/>
  <c r="Q1975" i="15"/>
  <c r="T1975" i="15"/>
  <c r="U1975" i="15"/>
  <c r="V1975" i="15"/>
  <c r="W1975" i="15"/>
  <c r="X1975" i="15"/>
  <c r="Y1975" i="15"/>
  <c r="Z1975" i="15"/>
  <c r="AA1975" i="15"/>
  <c r="B1976" i="15"/>
  <c r="C1976" i="15"/>
  <c r="D1976" i="15"/>
  <c r="E1976" i="15"/>
  <c r="J1976" i="15"/>
  <c r="K1976" i="15"/>
  <c r="L1976" i="15"/>
  <c r="M1976" i="15"/>
  <c r="N1976" i="15"/>
  <c r="O1976" i="15"/>
  <c r="P1976" i="15"/>
  <c r="Q1976" i="15"/>
  <c r="T1976" i="15"/>
  <c r="U1976" i="15"/>
  <c r="V1976" i="15"/>
  <c r="W1976" i="15"/>
  <c r="X1976" i="15"/>
  <c r="Y1976" i="15"/>
  <c r="Z1976" i="15"/>
  <c r="AA1976" i="15"/>
  <c r="B1977" i="15"/>
  <c r="C1977" i="15"/>
  <c r="D1977" i="15"/>
  <c r="E1977" i="15"/>
  <c r="J1977" i="15"/>
  <c r="K1977" i="15"/>
  <c r="L1977" i="15"/>
  <c r="M1977" i="15"/>
  <c r="N1977" i="15"/>
  <c r="O1977" i="15"/>
  <c r="P1977" i="15"/>
  <c r="Q1977" i="15"/>
  <c r="T1977" i="15"/>
  <c r="U1977" i="15"/>
  <c r="V1977" i="15"/>
  <c r="W1977" i="15"/>
  <c r="X1977" i="15"/>
  <c r="Y1977" i="15"/>
  <c r="Z1977" i="15"/>
  <c r="AA1977" i="15"/>
  <c r="B1978" i="15"/>
  <c r="C1978" i="15"/>
  <c r="D1978" i="15"/>
  <c r="E1978" i="15"/>
  <c r="J1978" i="15"/>
  <c r="K1978" i="15"/>
  <c r="L1978" i="15"/>
  <c r="M1978" i="15"/>
  <c r="N1978" i="15"/>
  <c r="O1978" i="15"/>
  <c r="P1978" i="15"/>
  <c r="Q1978" i="15"/>
  <c r="T1978" i="15"/>
  <c r="U1978" i="15"/>
  <c r="V1978" i="15"/>
  <c r="W1978" i="15"/>
  <c r="X1978" i="15"/>
  <c r="Y1978" i="15"/>
  <c r="Z1978" i="15"/>
  <c r="AA1978" i="15"/>
  <c r="B1979" i="15"/>
  <c r="C1979" i="15"/>
  <c r="D1979" i="15"/>
  <c r="E1979" i="15"/>
  <c r="J1979" i="15"/>
  <c r="K1979" i="15"/>
  <c r="L1979" i="15"/>
  <c r="M1979" i="15"/>
  <c r="N1979" i="15"/>
  <c r="O1979" i="15"/>
  <c r="P1979" i="15"/>
  <c r="Q1979" i="15"/>
  <c r="T1979" i="15"/>
  <c r="U1979" i="15"/>
  <c r="V1979" i="15"/>
  <c r="W1979" i="15"/>
  <c r="X1979" i="15"/>
  <c r="Y1979" i="15"/>
  <c r="Z1979" i="15"/>
  <c r="AA1979" i="15"/>
  <c r="B1980" i="15"/>
  <c r="C1980" i="15"/>
  <c r="D1980" i="15"/>
  <c r="E1980" i="15"/>
  <c r="J1980" i="15"/>
  <c r="K1980" i="15"/>
  <c r="L1980" i="15"/>
  <c r="M1980" i="15"/>
  <c r="N1980" i="15"/>
  <c r="O1980" i="15"/>
  <c r="P1980" i="15"/>
  <c r="Q1980" i="15"/>
  <c r="T1980" i="15"/>
  <c r="U1980" i="15"/>
  <c r="V1980" i="15"/>
  <c r="W1980" i="15"/>
  <c r="X1980" i="15"/>
  <c r="Y1980" i="15"/>
  <c r="Z1980" i="15"/>
  <c r="AA1980" i="15"/>
  <c r="B1981" i="15"/>
  <c r="C1981" i="15"/>
  <c r="D1981" i="15"/>
  <c r="E1981" i="15"/>
  <c r="J1981" i="15"/>
  <c r="K1981" i="15"/>
  <c r="L1981" i="15"/>
  <c r="M1981" i="15"/>
  <c r="N1981" i="15"/>
  <c r="O1981" i="15"/>
  <c r="P1981" i="15"/>
  <c r="Q1981" i="15"/>
  <c r="T1981" i="15"/>
  <c r="U1981" i="15"/>
  <c r="V1981" i="15"/>
  <c r="W1981" i="15"/>
  <c r="X1981" i="15"/>
  <c r="Y1981" i="15"/>
  <c r="Z1981" i="15"/>
  <c r="AA1981" i="15"/>
  <c r="B1982" i="15"/>
  <c r="C1982" i="15"/>
  <c r="D1982" i="15"/>
  <c r="E1982" i="15"/>
  <c r="J1982" i="15"/>
  <c r="K1982" i="15"/>
  <c r="L1982" i="15"/>
  <c r="M1982" i="15"/>
  <c r="N1982" i="15"/>
  <c r="O1982" i="15"/>
  <c r="P1982" i="15"/>
  <c r="Q1982" i="15"/>
  <c r="T1982" i="15"/>
  <c r="U1982" i="15"/>
  <c r="V1982" i="15"/>
  <c r="W1982" i="15"/>
  <c r="X1982" i="15"/>
  <c r="Y1982" i="15"/>
  <c r="Z1982" i="15"/>
  <c r="AA1982" i="15"/>
  <c r="B1983" i="15"/>
  <c r="C1983" i="15"/>
  <c r="D1983" i="15"/>
  <c r="E1983" i="15"/>
  <c r="J1983" i="15"/>
  <c r="K1983" i="15"/>
  <c r="L1983" i="15"/>
  <c r="M1983" i="15"/>
  <c r="N1983" i="15"/>
  <c r="O1983" i="15"/>
  <c r="P1983" i="15"/>
  <c r="Q1983" i="15"/>
  <c r="T1983" i="15"/>
  <c r="U1983" i="15"/>
  <c r="V1983" i="15"/>
  <c r="W1983" i="15"/>
  <c r="X1983" i="15"/>
  <c r="Y1983" i="15"/>
  <c r="Z1983" i="15"/>
  <c r="AA1983" i="15"/>
  <c r="B1984" i="15"/>
  <c r="C1984" i="15"/>
  <c r="D1984" i="15"/>
  <c r="E1984" i="15"/>
  <c r="J1984" i="15"/>
  <c r="K1984" i="15"/>
  <c r="L1984" i="15"/>
  <c r="M1984" i="15"/>
  <c r="N1984" i="15"/>
  <c r="O1984" i="15"/>
  <c r="P1984" i="15"/>
  <c r="Q1984" i="15"/>
  <c r="T1984" i="15"/>
  <c r="U1984" i="15"/>
  <c r="V1984" i="15"/>
  <c r="W1984" i="15"/>
  <c r="X1984" i="15"/>
  <c r="Y1984" i="15"/>
  <c r="Z1984" i="15"/>
  <c r="AA1984" i="15"/>
  <c r="B1985" i="15"/>
  <c r="C1985" i="15"/>
  <c r="D1985" i="15"/>
  <c r="E1985" i="15"/>
  <c r="J1985" i="15"/>
  <c r="K1985" i="15"/>
  <c r="L1985" i="15"/>
  <c r="M1985" i="15"/>
  <c r="N1985" i="15"/>
  <c r="O1985" i="15"/>
  <c r="P1985" i="15"/>
  <c r="Q1985" i="15"/>
  <c r="T1985" i="15"/>
  <c r="U1985" i="15"/>
  <c r="V1985" i="15"/>
  <c r="W1985" i="15"/>
  <c r="X1985" i="15"/>
  <c r="Y1985" i="15"/>
  <c r="Z1985" i="15"/>
  <c r="AA1985" i="15"/>
  <c r="B1986" i="15"/>
  <c r="C1986" i="15"/>
  <c r="D1986" i="15"/>
  <c r="E1986" i="15"/>
  <c r="J1986" i="15"/>
  <c r="K1986" i="15"/>
  <c r="L1986" i="15"/>
  <c r="M1986" i="15"/>
  <c r="N1986" i="15"/>
  <c r="O1986" i="15"/>
  <c r="P1986" i="15"/>
  <c r="Q1986" i="15"/>
  <c r="T1986" i="15"/>
  <c r="U1986" i="15"/>
  <c r="V1986" i="15"/>
  <c r="W1986" i="15"/>
  <c r="X1986" i="15"/>
  <c r="Y1986" i="15"/>
  <c r="Z1986" i="15"/>
  <c r="AA1986" i="15"/>
  <c r="B1987" i="15"/>
  <c r="C1987" i="15"/>
  <c r="D1987" i="15"/>
  <c r="E1987" i="15"/>
  <c r="J1987" i="15"/>
  <c r="K1987" i="15"/>
  <c r="L1987" i="15"/>
  <c r="M1987" i="15"/>
  <c r="N1987" i="15"/>
  <c r="O1987" i="15"/>
  <c r="P1987" i="15"/>
  <c r="Q1987" i="15"/>
  <c r="T1987" i="15"/>
  <c r="U1987" i="15"/>
  <c r="V1987" i="15"/>
  <c r="W1987" i="15"/>
  <c r="X1987" i="15"/>
  <c r="Y1987" i="15"/>
  <c r="Z1987" i="15"/>
  <c r="AA1987" i="15"/>
  <c r="B1988" i="15"/>
  <c r="C1988" i="15"/>
  <c r="D1988" i="15"/>
  <c r="E1988" i="15"/>
  <c r="J1988" i="15"/>
  <c r="K1988" i="15"/>
  <c r="L1988" i="15"/>
  <c r="M1988" i="15"/>
  <c r="N1988" i="15"/>
  <c r="O1988" i="15"/>
  <c r="P1988" i="15"/>
  <c r="Q1988" i="15"/>
  <c r="T1988" i="15"/>
  <c r="U1988" i="15"/>
  <c r="V1988" i="15"/>
  <c r="W1988" i="15"/>
  <c r="X1988" i="15"/>
  <c r="Y1988" i="15"/>
  <c r="Z1988" i="15"/>
  <c r="AA1988" i="15"/>
  <c r="B1989" i="15"/>
  <c r="C1989" i="15"/>
  <c r="D1989" i="15"/>
  <c r="E1989" i="15"/>
  <c r="J1989" i="15"/>
  <c r="K1989" i="15"/>
  <c r="L1989" i="15"/>
  <c r="M1989" i="15"/>
  <c r="N1989" i="15"/>
  <c r="O1989" i="15"/>
  <c r="P1989" i="15"/>
  <c r="Q1989" i="15"/>
  <c r="T1989" i="15"/>
  <c r="U1989" i="15"/>
  <c r="V1989" i="15"/>
  <c r="W1989" i="15"/>
  <c r="X1989" i="15"/>
  <c r="Y1989" i="15"/>
  <c r="Z1989" i="15"/>
  <c r="AA1989" i="15"/>
  <c r="B1990" i="15"/>
  <c r="C1990" i="15"/>
  <c r="D1990" i="15"/>
  <c r="E1990" i="15"/>
  <c r="J1990" i="15"/>
  <c r="K1990" i="15"/>
  <c r="L1990" i="15"/>
  <c r="M1990" i="15"/>
  <c r="N1990" i="15"/>
  <c r="O1990" i="15"/>
  <c r="P1990" i="15"/>
  <c r="Q1990" i="15"/>
  <c r="T1990" i="15"/>
  <c r="U1990" i="15"/>
  <c r="V1990" i="15"/>
  <c r="W1990" i="15"/>
  <c r="X1990" i="15"/>
  <c r="Y1990" i="15"/>
  <c r="Z1990" i="15"/>
  <c r="AA1990" i="15"/>
  <c r="B1991" i="15"/>
  <c r="C1991" i="15"/>
  <c r="D1991" i="15"/>
  <c r="E1991" i="15"/>
  <c r="J1991" i="15"/>
  <c r="K1991" i="15"/>
  <c r="L1991" i="15"/>
  <c r="M1991" i="15"/>
  <c r="N1991" i="15"/>
  <c r="O1991" i="15"/>
  <c r="P1991" i="15"/>
  <c r="Q1991" i="15"/>
  <c r="T1991" i="15"/>
  <c r="U1991" i="15"/>
  <c r="V1991" i="15"/>
  <c r="W1991" i="15"/>
  <c r="X1991" i="15"/>
  <c r="Y1991" i="15"/>
  <c r="Z1991" i="15"/>
  <c r="AA1991" i="15"/>
  <c r="B1992" i="15"/>
  <c r="C1992" i="15"/>
  <c r="D1992" i="15"/>
  <c r="E1992" i="15"/>
  <c r="J1992" i="15"/>
  <c r="K1992" i="15"/>
  <c r="L1992" i="15"/>
  <c r="M1992" i="15"/>
  <c r="N1992" i="15"/>
  <c r="O1992" i="15"/>
  <c r="P1992" i="15"/>
  <c r="Q1992" i="15"/>
  <c r="T1992" i="15"/>
  <c r="U1992" i="15"/>
  <c r="V1992" i="15"/>
  <c r="W1992" i="15"/>
  <c r="X1992" i="15"/>
  <c r="Y1992" i="15"/>
  <c r="Z1992" i="15"/>
  <c r="AA1992" i="15"/>
  <c r="B1993" i="15"/>
  <c r="C1993" i="15"/>
  <c r="D1993" i="15"/>
  <c r="E1993" i="15"/>
  <c r="J1993" i="15"/>
  <c r="K1993" i="15"/>
  <c r="L1993" i="15"/>
  <c r="M1993" i="15"/>
  <c r="N1993" i="15"/>
  <c r="O1993" i="15"/>
  <c r="P1993" i="15"/>
  <c r="Q1993" i="15"/>
  <c r="T1993" i="15"/>
  <c r="U1993" i="15"/>
  <c r="V1993" i="15"/>
  <c r="W1993" i="15"/>
  <c r="X1993" i="15"/>
  <c r="Y1993" i="15"/>
  <c r="Z1993" i="15"/>
  <c r="AA1993" i="15"/>
  <c r="B1994" i="15"/>
  <c r="C1994" i="15"/>
  <c r="D1994" i="15"/>
  <c r="E1994" i="15"/>
  <c r="J1994" i="15"/>
  <c r="K1994" i="15"/>
  <c r="L1994" i="15"/>
  <c r="M1994" i="15"/>
  <c r="N1994" i="15"/>
  <c r="O1994" i="15"/>
  <c r="P1994" i="15"/>
  <c r="Q1994" i="15"/>
  <c r="T1994" i="15"/>
  <c r="U1994" i="15"/>
  <c r="V1994" i="15"/>
  <c r="W1994" i="15"/>
  <c r="X1994" i="15"/>
  <c r="Y1994" i="15"/>
  <c r="Z1994" i="15"/>
  <c r="AA1994" i="15"/>
  <c r="B1995" i="15"/>
  <c r="C1995" i="15"/>
  <c r="D1995" i="15"/>
  <c r="E1995" i="15"/>
  <c r="J1995" i="15"/>
  <c r="K1995" i="15"/>
  <c r="L1995" i="15"/>
  <c r="M1995" i="15"/>
  <c r="N1995" i="15"/>
  <c r="O1995" i="15"/>
  <c r="P1995" i="15"/>
  <c r="Q1995" i="15"/>
  <c r="T1995" i="15"/>
  <c r="U1995" i="15"/>
  <c r="V1995" i="15"/>
  <c r="W1995" i="15"/>
  <c r="X1995" i="15"/>
  <c r="Y1995" i="15"/>
  <c r="Z1995" i="15"/>
  <c r="AA1995" i="15"/>
  <c r="B1996" i="15"/>
  <c r="C1996" i="15"/>
  <c r="D1996" i="15"/>
  <c r="E1996" i="15"/>
  <c r="J1996" i="15"/>
  <c r="K1996" i="15"/>
  <c r="L1996" i="15"/>
  <c r="M1996" i="15"/>
  <c r="N1996" i="15"/>
  <c r="O1996" i="15"/>
  <c r="P1996" i="15"/>
  <c r="Q1996" i="15"/>
  <c r="T1996" i="15"/>
  <c r="U1996" i="15"/>
  <c r="V1996" i="15"/>
  <c r="W1996" i="15"/>
  <c r="X1996" i="15"/>
  <c r="Y1996" i="15"/>
  <c r="Z1996" i="15"/>
  <c r="AA1996" i="15"/>
  <c r="B1997" i="15"/>
  <c r="C1997" i="15"/>
  <c r="D1997" i="15"/>
  <c r="E1997" i="15"/>
  <c r="J1997" i="15"/>
  <c r="K1997" i="15"/>
  <c r="L1997" i="15"/>
  <c r="M1997" i="15"/>
  <c r="N1997" i="15"/>
  <c r="O1997" i="15"/>
  <c r="P1997" i="15"/>
  <c r="Q1997" i="15"/>
  <c r="T1997" i="15"/>
  <c r="U1997" i="15"/>
  <c r="V1997" i="15"/>
  <c r="W1997" i="15"/>
  <c r="X1997" i="15"/>
  <c r="Y1997" i="15"/>
  <c r="Z1997" i="15"/>
  <c r="AA1997" i="15"/>
  <c r="B1998" i="15"/>
  <c r="C1998" i="15"/>
  <c r="D1998" i="15"/>
  <c r="E1998" i="15"/>
  <c r="J1998" i="15"/>
  <c r="K1998" i="15"/>
  <c r="L1998" i="15"/>
  <c r="M1998" i="15"/>
  <c r="N1998" i="15"/>
  <c r="O1998" i="15"/>
  <c r="P1998" i="15"/>
  <c r="Q1998" i="15"/>
  <c r="T1998" i="15"/>
  <c r="U1998" i="15"/>
  <c r="V1998" i="15"/>
  <c r="W1998" i="15"/>
  <c r="X1998" i="15"/>
  <c r="Y1998" i="15"/>
  <c r="Z1998" i="15"/>
  <c r="AA1998" i="15"/>
  <c r="B1999" i="15"/>
  <c r="C1999" i="15"/>
  <c r="D1999" i="15"/>
  <c r="E1999" i="15"/>
  <c r="J1999" i="15"/>
  <c r="K1999" i="15"/>
  <c r="L1999" i="15"/>
  <c r="M1999" i="15"/>
  <c r="N1999" i="15"/>
  <c r="O1999" i="15"/>
  <c r="P1999" i="15"/>
  <c r="Q1999" i="15"/>
  <c r="T1999" i="15"/>
  <c r="U1999" i="15"/>
  <c r="V1999" i="15"/>
  <c r="W1999" i="15"/>
  <c r="X1999" i="15"/>
  <c r="Y1999" i="15"/>
  <c r="Z1999" i="15"/>
  <c r="AA1999" i="15"/>
  <c r="B2000" i="15"/>
  <c r="C2000" i="15"/>
  <c r="D2000" i="15"/>
  <c r="E2000" i="15"/>
  <c r="J2000" i="15"/>
  <c r="K2000" i="15"/>
  <c r="L2000" i="15"/>
  <c r="M2000" i="15"/>
  <c r="N2000" i="15"/>
  <c r="O2000" i="15"/>
  <c r="P2000" i="15"/>
  <c r="Q2000" i="15"/>
  <c r="T2000" i="15"/>
  <c r="U2000" i="15"/>
  <c r="V2000" i="15"/>
  <c r="W2000" i="15"/>
  <c r="X2000" i="15"/>
  <c r="Y2000" i="15"/>
  <c r="Z2000" i="15"/>
  <c r="AA2000" i="15"/>
  <c r="B2001" i="15"/>
  <c r="C2001" i="15"/>
  <c r="D2001" i="15"/>
  <c r="E2001" i="15"/>
  <c r="J2001" i="15"/>
  <c r="K2001" i="15"/>
  <c r="L2001" i="15"/>
  <c r="M2001" i="15"/>
  <c r="N2001" i="15"/>
  <c r="O2001" i="15"/>
  <c r="P2001" i="15"/>
  <c r="Q2001" i="15"/>
  <c r="T2001" i="15"/>
  <c r="U2001" i="15"/>
  <c r="V2001" i="15"/>
  <c r="W2001" i="15"/>
  <c r="X2001" i="15"/>
  <c r="Y2001" i="15"/>
  <c r="Z2001" i="15"/>
  <c r="AA2001" i="15"/>
  <c r="B2002" i="15"/>
  <c r="C2002" i="15"/>
  <c r="D2002" i="15"/>
  <c r="E2002" i="15"/>
  <c r="J2002" i="15"/>
  <c r="K2002" i="15"/>
  <c r="L2002" i="15"/>
  <c r="M2002" i="15"/>
  <c r="N2002" i="15"/>
  <c r="O2002" i="15"/>
  <c r="P2002" i="15"/>
  <c r="Q2002" i="15"/>
  <c r="T2002" i="15"/>
  <c r="U2002" i="15"/>
  <c r="V2002" i="15"/>
  <c r="W2002" i="15"/>
  <c r="X2002" i="15"/>
  <c r="Y2002" i="15"/>
  <c r="Z2002" i="15"/>
  <c r="AA2002" i="15"/>
  <c r="B2003" i="15"/>
  <c r="C2003" i="15"/>
  <c r="D2003" i="15"/>
  <c r="E2003" i="15"/>
  <c r="J2003" i="15"/>
  <c r="K2003" i="15"/>
  <c r="L2003" i="15"/>
  <c r="M2003" i="15"/>
  <c r="N2003" i="15"/>
  <c r="O2003" i="15"/>
  <c r="P2003" i="15"/>
  <c r="Q2003" i="15"/>
  <c r="T2003" i="15"/>
  <c r="U2003" i="15"/>
  <c r="V2003" i="15"/>
  <c r="W2003" i="15"/>
  <c r="X2003" i="15"/>
  <c r="Y2003" i="15"/>
  <c r="Z2003" i="15"/>
  <c r="AA2003" i="15"/>
  <c r="B2004" i="15"/>
  <c r="C2004" i="15"/>
  <c r="D2004" i="15"/>
  <c r="E2004" i="15"/>
  <c r="J2004" i="15"/>
  <c r="K2004" i="15"/>
  <c r="L2004" i="15"/>
  <c r="M2004" i="15"/>
  <c r="N2004" i="15"/>
  <c r="O2004" i="15"/>
  <c r="P2004" i="15"/>
  <c r="Q2004" i="15"/>
  <c r="T2004" i="15"/>
  <c r="U2004" i="15"/>
  <c r="V2004" i="15"/>
  <c r="W2004" i="15"/>
  <c r="X2004" i="15"/>
  <c r="Y2004" i="15"/>
  <c r="Z2004" i="15"/>
  <c r="AA2004" i="15"/>
  <c r="B2005" i="15"/>
  <c r="C2005" i="15"/>
  <c r="D2005" i="15"/>
  <c r="E2005" i="15"/>
  <c r="J2005" i="15"/>
  <c r="K2005" i="15"/>
  <c r="L2005" i="15"/>
  <c r="M2005" i="15"/>
  <c r="N2005" i="15"/>
  <c r="O2005" i="15"/>
  <c r="P2005" i="15"/>
  <c r="Q2005" i="15"/>
  <c r="T2005" i="15"/>
  <c r="U2005" i="15"/>
  <c r="V2005" i="15"/>
  <c r="W2005" i="15"/>
  <c r="X2005" i="15"/>
  <c r="Y2005" i="15"/>
  <c r="Z2005" i="15"/>
  <c r="AA2005" i="15"/>
  <c r="B2006" i="15"/>
  <c r="C2006" i="15"/>
  <c r="D2006" i="15"/>
  <c r="E2006" i="15"/>
  <c r="J2006" i="15"/>
  <c r="K2006" i="15"/>
  <c r="L2006" i="15"/>
  <c r="M2006" i="15"/>
  <c r="N2006" i="15"/>
  <c r="O2006" i="15"/>
  <c r="P2006" i="15"/>
  <c r="Q2006" i="15"/>
  <c r="T2006" i="15"/>
  <c r="U2006" i="15"/>
  <c r="V2006" i="15"/>
  <c r="W2006" i="15"/>
  <c r="X2006" i="15"/>
  <c r="Y2006" i="15"/>
  <c r="Z2006" i="15"/>
  <c r="AA2006" i="15"/>
  <c r="B2007" i="15"/>
  <c r="C2007" i="15"/>
  <c r="D2007" i="15"/>
  <c r="E2007" i="15"/>
  <c r="J2007" i="15"/>
  <c r="K2007" i="15"/>
  <c r="L2007" i="15"/>
  <c r="M2007" i="15"/>
  <c r="N2007" i="15"/>
  <c r="O2007" i="15"/>
  <c r="P2007" i="15"/>
  <c r="Q2007" i="15"/>
  <c r="T2007" i="15"/>
  <c r="U2007" i="15"/>
  <c r="V2007" i="15"/>
  <c r="W2007" i="15"/>
  <c r="X2007" i="15"/>
  <c r="Y2007" i="15"/>
  <c r="Z2007" i="15"/>
  <c r="AA2007" i="15"/>
  <c r="B2008" i="15"/>
  <c r="C2008" i="15"/>
  <c r="D2008" i="15"/>
  <c r="E2008" i="15"/>
  <c r="J2008" i="15"/>
  <c r="K2008" i="15"/>
  <c r="L2008" i="15"/>
  <c r="M2008" i="15"/>
  <c r="N2008" i="15"/>
  <c r="O2008" i="15"/>
  <c r="P2008" i="15"/>
  <c r="Q2008" i="15"/>
  <c r="T2008" i="15"/>
  <c r="U2008" i="15"/>
  <c r="V2008" i="15"/>
  <c r="W2008" i="15"/>
  <c r="X2008" i="15"/>
  <c r="Y2008" i="15"/>
  <c r="Z2008" i="15"/>
  <c r="AA2008" i="15"/>
  <c r="B2009" i="15"/>
  <c r="C2009" i="15"/>
  <c r="D2009" i="15"/>
  <c r="E2009" i="15"/>
  <c r="J2009" i="15"/>
  <c r="K2009" i="15"/>
  <c r="L2009" i="15"/>
  <c r="M2009" i="15"/>
  <c r="N2009" i="15"/>
  <c r="O2009" i="15"/>
  <c r="P2009" i="15"/>
  <c r="Q2009" i="15"/>
  <c r="T2009" i="15"/>
  <c r="U2009" i="15"/>
  <c r="V2009" i="15"/>
  <c r="W2009" i="15"/>
  <c r="X2009" i="15"/>
  <c r="Y2009" i="15"/>
  <c r="Z2009" i="15"/>
  <c r="AA2009" i="15"/>
  <c r="B2010" i="15"/>
  <c r="C2010" i="15"/>
  <c r="D2010" i="15"/>
  <c r="E2010" i="15"/>
  <c r="J2010" i="15"/>
  <c r="K2010" i="15"/>
  <c r="L2010" i="15"/>
  <c r="M2010" i="15"/>
  <c r="N2010" i="15"/>
  <c r="O2010" i="15"/>
  <c r="P2010" i="15"/>
  <c r="Q2010" i="15"/>
  <c r="T2010" i="15"/>
  <c r="U2010" i="15"/>
  <c r="V2010" i="15"/>
  <c r="W2010" i="15"/>
  <c r="X2010" i="15"/>
  <c r="Y2010" i="15"/>
  <c r="Z2010" i="15"/>
  <c r="AA2010" i="15"/>
  <c r="B2011" i="15"/>
  <c r="C2011" i="15"/>
  <c r="D2011" i="15"/>
  <c r="E2011" i="15"/>
  <c r="J2011" i="15"/>
  <c r="K2011" i="15"/>
  <c r="L2011" i="15"/>
  <c r="M2011" i="15"/>
  <c r="N2011" i="15"/>
  <c r="O2011" i="15"/>
  <c r="P2011" i="15"/>
  <c r="Q2011" i="15"/>
  <c r="T2011" i="15"/>
  <c r="U2011" i="15"/>
  <c r="V2011" i="15"/>
  <c r="W2011" i="15"/>
  <c r="X2011" i="15"/>
  <c r="Y2011" i="15"/>
  <c r="Z2011" i="15"/>
  <c r="AA2011" i="15"/>
  <c r="B2012" i="15"/>
  <c r="C2012" i="15"/>
  <c r="D2012" i="15"/>
  <c r="E2012" i="15"/>
  <c r="J2012" i="15"/>
  <c r="K2012" i="15"/>
  <c r="L2012" i="15"/>
  <c r="M2012" i="15"/>
  <c r="N2012" i="15"/>
  <c r="O2012" i="15"/>
  <c r="P2012" i="15"/>
  <c r="Q2012" i="15"/>
  <c r="T2012" i="15"/>
  <c r="U2012" i="15"/>
  <c r="V2012" i="15"/>
  <c r="W2012" i="15"/>
  <c r="X2012" i="15"/>
  <c r="Y2012" i="15"/>
  <c r="Z2012" i="15"/>
  <c r="AA2012" i="15"/>
  <c r="B2013" i="15"/>
  <c r="C2013" i="15"/>
  <c r="D2013" i="15"/>
  <c r="E2013" i="15"/>
  <c r="J2013" i="15"/>
  <c r="K2013" i="15"/>
  <c r="L2013" i="15"/>
  <c r="M2013" i="15"/>
  <c r="N2013" i="15"/>
  <c r="O2013" i="15"/>
  <c r="P2013" i="15"/>
  <c r="Q2013" i="15"/>
  <c r="T2013" i="15"/>
  <c r="U2013" i="15"/>
  <c r="V2013" i="15"/>
  <c r="W2013" i="15"/>
  <c r="X2013" i="15"/>
  <c r="Y2013" i="15"/>
  <c r="Z2013" i="15"/>
  <c r="AA2013" i="15"/>
  <c r="B2014" i="15"/>
  <c r="C2014" i="15"/>
  <c r="D2014" i="15"/>
  <c r="E2014" i="15"/>
  <c r="J2014" i="15"/>
  <c r="K2014" i="15"/>
  <c r="L2014" i="15"/>
  <c r="M2014" i="15"/>
  <c r="N2014" i="15"/>
  <c r="O2014" i="15"/>
  <c r="P2014" i="15"/>
  <c r="Q2014" i="15"/>
  <c r="T2014" i="15"/>
  <c r="U2014" i="15"/>
  <c r="V2014" i="15"/>
  <c r="W2014" i="15"/>
  <c r="X2014" i="15"/>
  <c r="Y2014" i="15"/>
  <c r="Z2014" i="15"/>
  <c r="AA2014" i="15"/>
  <c r="B2015" i="15"/>
  <c r="C2015" i="15"/>
  <c r="D2015" i="15"/>
  <c r="E2015" i="15"/>
  <c r="J2015" i="15"/>
  <c r="K2015" i="15"/>
  <c r="L2015" i="15"/>
  <c r="M2015" i="15"/>
  <c r="N2015" i="15"/>
  <c r="O2015" i="15"/>
  <c r="P2015" i="15"/>
  <c r="Q2015" i="15"/>
  <c r="T2015" i="15"/>
  <c r="U2015" i="15"/>
  <c r="V2015" i="15"/>
  <c r="W2015" i="15"/>
  <c r="X2015" i="15"/>
  <c r="Y2015" i="15"/>
  <c r="Z2015" i="15"/>
  <c r="AA2015" i="15"/>
  <c r="B2016" i="15"/>
  <c r="C2016" i="15"/>
  <c r="D2016" i="15"/>
  <c r="E2016" i="15"/>
  <c r="J2016" i="15"/>
  <c r="K2016" i="15"/>
  <c r="L2016" i="15"/>
  <c r="M2016" i="15"/>
  <c r="N2016" i="15"/>
  <c r="O2016" i="15"/>
  <c r="P2016" i="15"/>
  <c r="Q2016" i="15"/>
  <c r="T2016" i="15"/>
  <c r="U2016" i="15"/>
  <c r="V2016" i="15"/>
  <c r="W2016" i="15"/>
  <c r="X2016" i="15"/>
  <c r="Y2016" i="15"/>
  <c r="Z2016" i="15"/>
  <c r="AA2016" i="15"/>
  <c r="B2017" i="15"/>
  <c r="C2017" i="15"/>
  <c r="D2017" i="15"/>
  <c r="E2017" i="15"/>
  <c r="J2017" i="15"/>
  <c r="K2017" i="15"/>
  <c r="L2017" i="15"/>
  <c r="M2017" i="15"/>
  <c r="N2017" i="15"/>
  <c r="O2017" i="15"/>
  <c r="P2017" i="15"/>
  <c r="Q2017" i="15"/>
  <c r="T2017" i="15"/>
  <c r="U2017" i="15"/>
  <c r="V2017" i="15"/>
  <c r="W2017" i="15"/>
  <c r="X2017" i="15"/>
  <c r="Y2017" i="15"/>
  <c r="Z2017" i="15"/>
  <c r="AA2017" i="15"/>
  <c r="B2018" i="15"/>
  <c r="C2018" i="15"/>
  <c r="D2018" i="15"/>
  <c r="E2018" i="15"/>
  <c r="J2018" i="15"/>
  <c r="K2018" i="15"/>
  <c r="L2018" i="15"/>
  <c r="M2018" i="15"/>
  <c r="N2018" i="15"/>
  <c r="O2018" i="15"/>
  <c r="P2018" i="15"/>
  <c r="Q2018" i="15"/>
  <c r="T2018" i="15"/>
  <c r="U2018" i="15"/>
  <c r="V2018" i="15"/>
  <c r="W2018" i="15"/>
  <c r="X2018" i="15"/>
  <c r="Y2018" i="15"/>
  <c r="Z2018" i="15"/>
  <c r="AA2018" i="15"/>
  <c r="B2019" i="15"/>
  <c r="C2019" i="15"/>
  <c r="D2019" i="15"/>
  <c r="E2019" i="15"/>
  <c r="J2019" i="15"/>
  <c r="K2019" i="15"/>
  <c r="L2019" i="15"/>
  <c r="M2019" i="15"/>
  <c r="N2019" i="15"/>
  <c r="O2019" i="15"/>
  <c r="P2019" i="15"/>
  <c r="Q2019" i="15"/>
  <c r="T2019" i="15"/>
  <c r="U2019" i="15"/>
  <c r="V2019" i="15"/>
  <c r="W2019" i="15"/>
  <c r="X2019" i="15"/>
  <c r="Y2019" i="15"/>
  <c r="Z2019" i="15"/>
  <c r="AA2019" i="15"/>
  <c r="B2020" i="15"/>
  <c r="C2020" i="15"/>
  <c r="D2020" i="15"/>
  <c r="E2020" i="15"/>
  <c r="J2020" i="15"/>
  <c r="K2020" i="15"/>
  <c r="L2020" i="15"/>
  <c r="M2020" i="15"/>
  <c r="N2020" i="15"/>
  <c r="O2020" i="15"/>
  <c r="P2020" i="15"/>
  <c r="Q2020" i="15"/>
  <c r="T2020" i="15"/>
  <c r="U2020" i="15"/>
  <c r="V2020" i="15"/>
  <c r="W2020" i="15"/>
  <c r="X2020" i="15"/>
  <c r="Y2020" i="15"/>
  <c r="Z2020" i="15"/>
  <c r="AA2020" i="15"/>
  <c r="B2021" i="15"/>
  <c r="C2021" i="15"/>
  <c r="D2021" i="15"/>
  <c r="E2021" i="15"/>
  <c r="J2021" i="15"/>
  <c r="K2021" i="15"/>
  <c r="L2021" i="15"/>
  <c r="M2021" i="15"/>
  <c r="N2021" i="15"/>
  <c r="O2021" i="15"/>
  <c r="P2021" i="15"/>
  <c r="Q2021" i="15"/>
  <c r="T2021" i="15"/>
  <c r="U2021" i="15"/>
  <c r="V2021" i="15"/>
  <c r="W2021" i="15"/>
  <c r="X2021" i="15"/>
  <c r="Y2021" i="15"/>
  <c r="Z2021" i="15"/>
  <c r="AA2021" i="15"/>
  <c r="B2022" i="15"/>
  <c r="C2022" i="15"/>
  <c r="D2022" i="15"/>
  <c r="E2022" i="15"/>
  <c r="J2022" i="15"/>
  <c r="K2022" i="15"/>
  <c r="L2022" i="15"/>
  <c r="M2022" i="15"/>
  <c r="N2022" i="15"/>
  <c r="O2022" i="15"/>
  <c r="P2022" i="15"/>
  <c r="Q2022" i="15"/>
  <c r="T2022" i="15"/>
  <c r="U2022" i="15"/>
  <c r="V2022" i="15"/>
  <c r="W2022" i="15"/>
  <c r="X2022" i="15"/>
  <c r="Y2022" i="15"/>
  <c r="Z2022" i="15"/>
  <c r="AA2022" i="15"/>
  <c r="B2023" i="15"/>
  <c r="C2023" i="15"/>
  <c r="D2023" i="15"/>
  <c r="E2023" i="15"/>
  <c r="J2023" i="15"/>
  <c r="K2023" i="15"/>
  <c r="L2023" i="15"/>
  <c r="M2023" i="15"/>
  <c r="N2023" i="15"/>
  <c r="O2023" i="15"/>
  <c r="P2023" i="15"/>
  <c r="Q2023" i="15"/>
  <c r="T2023" i="15"/>
  <c r="U2023" i="15"/>
  <c r="V2023" i="15"/>
  <c r="W2023" i="15"/>
  <c r="X2023" i="15"/>
  <c r="Y2023" i="15"/>
  <c r="Z2023" i="15"/>
  <c r="AA2023" i="15"/>
  <c r="B2024" i="15"/>
  <c r="C2024" i="15"/>
  <c r="D2024" i="15"/>
  <c r="E2024" i="15"/>
  <c r="J2024" i="15"/>
  <c r="K2024" i="15"/>
  <c r="L2024" i="15"/>
  <c r="M2024" i="15"/>
  <c r="N2024" i="15"/>
  <c r="O2024" i="15"/>
  <c r="P2024" i="15"/>
  <c r="Q2024" i="15"/>
  <c r="T2024" i="15"/>
  <c r="U2024" i="15"/>
  <c r="V2024" i="15"/>
  <c r="W2024" i="15"/>
  <c r="X2024" i="15"/>
  <c r="Y2024" i="15"/>
  <c r="Z2024" i="15"/>
  <c r="AA2024" i="15"/>
  <c r="B2025" i="15"/>
  <c r="C2025" i="15"/>
  <c r="D2025" i="15"/>
  <c r="E2025" i="15"/>
  <c r="J2025" i="15"/>
  <c r="K2025" i="15"/>
  <c r="L2025" i="15"/>
  <c r="M2025" i="15"/>
  <c r="N2025" i="15"/>
  <c r="O2025" i="15"/>
  <c r="P2025" i="15"/>
  <c r="Q2025" i="15"/>
  <c r="T2025" i="15"/>
  <c r="U2025" i="15"/>
  <c r="V2025" i="15"/>
  <c r="W2025" i="15"/>
  <c r="X2025" i="15"/>
  <c r="Y2025" i="15"/>
  <c r="Z2025" i="15"/>
  <c r="AA2025" i="15"/>
  <c r="B2026" i="15"/>
  <c r="C2026" i="15"/>
  <c r="D2026" i="15"/>
  <c r="E2026" i="15"/>
  <c r="J2026" i="15"/>
  <c r="K2026" i="15"/>
  <c r="L2026" i="15"/>
  <c r="M2026" i="15"/>
  <c r="N2026" i="15"/>
  <c r="O2026" i="15"/>
  <c r="P2026" i="15"/>
  <c r="Q2026" i="15"/>
  <c r="T2026" i="15"/>
  <c r="U2026" i="15"/>
  <c r="V2026" i="15"/>
  <c r="W2026" i="15"/>
  <c r="X2026" i="15"/>
  <c r="Y2026" i="15"/>
  <c r="Z2026" i="15"/>
  <c r="AA2026" i="15"/>
  <c r="B2027" i="15"/>
  <c r="C2027" i="15"/>
  <c r="D2027" i="15"/>
  <c r="E2027" i="15"/>
  <c r="J2027" i="15"/>
  <c r="K2027" i="15"/>
  <c r="L2027" i="15"/>
  <c r="M2027" i="15"/>
  <c r="N2027" i="15"/>
  <c r="O2027" i="15"/>
  <c r="P2027" i="15"/>
  <c r="Q2027" i="15"/>
  <c r="T2027" i="15"/>
  <c r="U2027" i="15"/>
  <c r="V2027" i="15"/>
  <c r="W2027" i="15"/>
  <c r="X2027" i="15"/>
  <c r="Y2027" i="15"/>
  <c r="Z2027" i="15"/>
  <c r="AA2027" i="15"/>
  <c r="B2028" i="15"/>
  <c r="C2028" i="15"/>
  <c r="D2028" i="15"/>
  <c r="E2028" i="15"/>
  <c r="J2028" i="15"/>
  <c r="K2028" i="15"/>
  <c r="L2028" i="15"/>
  <c r="M2028" i="15"/>
  <c r="N2028" i="15"/>
  <c r="O2028" i="15"/>
  <c r="P2028" i="15"/>
  <c r="Q2028" i="15"/>
  <c r="T2028" i="15"/>
  <c r="U2028" i="15"/>
  <c r="V2028" i="15"/>
  <c r="W2028" i="15"/>
  <c r="X2028" i="15"/>
  <c r="Y2028" i="15"/>
  <c r="Z2028" i="15"/>
  <c r="AA2028" i="15"/>
  <c r="B2029" i="15"/>
  <c r="C2029" i="15"/>
  <c r="D2029" i="15"/>
  <c r="E2029" i="15"/>
  <c r="J2029" i="15"/>
  <c r="K2029" i="15"/>
  <c r="L2029" i="15"/>
  <c r="M2029" i="15"/>
  <c r="N2029" i="15"/>
  <c r="O2029" i="15"/>
  <c r="P2029" i="15"/>
  <c r="Q2029" i="15"/>
  <c r="T2029" i="15"/>
  <c r="U2029" i="15"/>
  <c r="V2029" i="15"/>
  <c r="W2029" i="15"/>
  <c r="X2029" i="15"/>
  <c r="Y2029" i="15"/>
  <c r="Z2029" i="15"/>
  <c r="AA2029" i="15"/>
  <c r="B2030" i="15"/>
  <c r="C2030" i="15"/>
  <c r="D2030" i="15"/>
  <c r="E2030" i="15"/>
  <c r="J2030" i="15"/>
  <c r="K2030" i="15"/>
  <c r="L2030" i="15"/>
  <c r="M2030" i="15"/>
  <c r="N2030" i="15"/>
  <c r="O2030" i="15"/>
  <c r="P2030" i="15"/>
  <c r="Q2030" i="15"/>
  <c r="T2030" i="15"/>
  <c r="U2030" i="15"/>
  <c r="V2030" i="15"/>
  <c r="W2030" i="15"/>
  <c r="X2030" i="15"/>
  <c r="Y2030" i="15"/>
  <c r="Z2030" i="15"/>
  <c r="AA2030" i="15"/>
  <c r="B2031" i="15"/>
  <c r="C2031" i="15"/>
  <c r="D2031" i="15"/>
  <c r="E2031" i="15"/>
  <c r="J2031" i="15"/>
  <c r="K2031" i="15"/>
  <c r="L2031" i="15"/>
  <c r="M2031" i="15"/>
  <c r="N2031" i="15"/>
  <c r="O2031" i="15"/>
  <c r="P2031" i="15"/>
  <c r="Q2031" i="15"/>
  <c r="T2031" i="15"/>
  <c r="U2031" i="15"/>
  <c r="V2031" i="15"/>
  <c r="W2031" i="15"/>
  <c r="X2031" i="15"/>
  <c r="Y2031" i="15"/>
  <c r="Z2031" i="15"/>
  <c r="AA2031" i="15"/>
  <c r="B2032" i="15"/>
  <c r="C2032" i="15"/>
  <c r="D2032" i="15"/>
  <c r="E2032" i="15"/>
  <c r="J2032" i="15"/>
  <c r="K2032" i="15"/>
  <c r="L2032" i="15"/>
  <c r="M2032" i="15"/>
  <c r="N2032" i="15"/>
  <c r="O2032" i="15"/>
  <c r="P2032" i="15"/>
  <c r="Q2032" i="15"/>
  <c r="T2032" i="15"/>
  <c r="U2032" i="15"/>
  <c r="V2032" i="15"/>
  <c r="W2032" i="15"/>
  <c r="X2032" i="15"/>
  <c r="Y2032" i="15"/>
  <c r="Z2032" i="15"/>
  <c r="AA2032" i="15"/>
  <c r="B2033" i="15"/>
  <c r="C2033" i="15"/>
  <c r="D2033" i="15"/>
  <c r="E2033" i="15"/>
  <c r="J2033" i="15"/>
  <c r="K2033" i="15"/>
  <c r="L2033" i="15"/>
  <c r="M2033" i="15"/>
  <c r="N2033" i="15"/>
  <c r="O2033" i="15"/>
  <c r="P2033" i="15"/>
  <c r="Q2033" i="15"/>
  <c r="T2033" i="15"/>
  <c r="U2033" i="15"/>
  <c r="V2033" i="15"/>
  <c r="W2033" i="15"/>
  <c r="X2033" i="15"/>
  <c r="Y2033" i="15"/>
  <c r="Z2033" i="15"/>
  <c r="AA2033" i="15"/>
  <c r="B2034" i="15"/>
  <c r="C2034" i="15"/>
  <c r="D2034" i="15"/>
  <c r="E2034" i="15"/>
  <c r="J2034" i="15"/>
  <c r="K2034" i="15"/>
  <c r="L2034" i="15"/>
  <c r="M2034" i="15"/>
  <c r="N2034" i="15"/>
  <c r="O2034" i="15"/>
  <c r="P2034" i="15"/>
  <c r="Q2034" i="15"/>
  <c r="T2034" i="15"/>
  <c r="U2034" i="15"/>
  <c r="V2034" i="15"/>
  <c r="W2034" i="15"/>
  <c r="X2034" i="15"/>
  <c r="Y2034" i="15"/>
  <c r="Z2034" i="15"/>
  <c r="AA2034" i="15"/>
  <c r="B2035" i="15"/>
  <c r="C2035" i="15"/>
  <c r="D2035" i="15"/>
  <c r="E2035" i="15"/>
  <c r="J2035" i="15"/>
  <c r="K2035" i="15"/>
  <c r="L2035" i="15"/>
  <c r="M2035" i="15"/>
  <c r="N2035" i="15"/>
  <c r="O2035" i="15"/>
  <c r="P2035" i="15"/>
  <c r="Q2035" i="15"/>
  <c r="T2035" i="15"/>
  <c r="U2035" i="15"/>
  <c r="V2035" i="15"/>
  <c r="W2035" i="15"/>
  <c r="X2035" i="15"/>
  <c r="Y2035" i="15"/>
  <c r="Z2035" i="15"/>
  <c r="AA2035" i="15"/>
  <c r="B2036" i="15"/>
  <c r="C2036" i="15"/>
  <c r="D2036" i="15"/>
  <c r="E2036" i="15"/>
  <c r="J2036" i="15"/>
  <c r="K2036" i="15"/>
  <c r="L2036" i="15"/>
  <c r="M2036" i="15"/>
  <c r="N2036" i="15"/>
  <c r="O2036" i="15"/>
  <c r="P2036" i="15"/>
  <c r="Q2036" i="15"/>
  <c r="T2036" i="15"/>
  <c r="U2036" i="15"/>
  <c r="V2036" i="15"/>
  <c r="W2036" i="15"/>
  <c r="X2036" i="15"/>
  <c r="Y2036" i="15"/>
  <c r="Z2036" i="15"/>
  <c r="AA2036" i="15"/>
  <c r="B2037" i="15"/>
  <c r="C2037" i="15"/>
  <c r="D2037" i="15"/>
  <c r="E2037" i="15"/>
  <c r="J2037" i="15"/>
  <c r="K2037" i="15"/>
  <c r="L2037" i="15"/>
  <c r="M2037" i="15"/>
  <c r="N2037" i="15"/>
  <c r="O2037" i="15"/>
  <c r="P2037" i="15"/>
  <c r="Q2037" i="15"/>
  <c r="T2037" i="15"/>
  <c r="U2037" i="15"/>
  <c r="V2037" i="15"/>
  <c r="W2037" i="15"/>
  <c r="X2037" i="15"/>
  <c r="Y2037" i="15"/>
  <c r="Z2037" i="15"/>
  <c r="AA2037" i="15"/>
  <c r="B2038" i="15"/>
  <c r="C2038" i="15"/>
  <c r="D2038" i="15"/>
  <c r="E2038" i="15"/>
  <c r="J2038" i="15"/>
  <c r="K2038" i="15"/>
  <c r="L2038" i="15"/>
  <c r="M2038" i="15"/>
  <c r="N2038" i="15"/>
  <c r="O2038" i="15"/>
  <c r="P2038" i="15"/>
  <c r="Q2038" i="15"/>
  <c r="T2038" i="15"/>
  <c r="U2038" i="15"/>
  <c r="V2038" i="15"/>
  <c r="W2038" i="15"/>
  <c r="X2038" i="15"/>
  <c r="Y2038" i="15"/>
  <c r="Z2038" i="15"/>
  <c r="AA2038" i="15"/>
  <c r="B2039" i="15"/>
  <c r="C2039" i="15"/>
  <c r="D2039" i="15"/>
  <c r="E2039" i="15"/>
  <c r="J2039" i="15"/>
  <c r="K2039" i="15"/>
  <c r="L2039" i="15"/>
  <c r="M2039" i="15"/>
  <c r="N2039" i="15"/>
  <c r="O2039" i="15"/>
  <c r="P2039" i="15"/>
  <c r="Q2039" i="15"/>
  <c r="T2039" i="15"/>
  <c r="U2039" i="15"/>
  <c r="V2039" i="15"/>
  <c r="W2039" i="15"/>
  <c r="X2039" i="15"/>
  <c r="Y2039" i="15"/>
  <c r="Z2039" i="15"/>
  <c r="AA2039" i="15"/>
  <c r="B2040" i="15"/>
  <c r="C2040" i="15"/>
  <c r="D2040" i="15"/>
  <c r="E2040" i="15"/>
  <c r="J2040" i="15"/>
  <c r="K2040" i="15"/>
  <c r="L2040" i="15"/>
  <c r="M2040" i="15"/>
  <c r="N2040" i="15"/>
  <c r="O2040" i="15"/>
  <c r="P2040" i="15"/>
  <c r="Q2040" i="15"/>
  <c r="T2040" i="15"/>
  <c r="U2040" i="15"/>
  <c r="V2040" i="15"/>
  <c r="W2040" i="15"/>
  <c r="X2040" i="15"/>
  <c r="Y2040" i="15"/>
  <c r="Z2040" i="15"/>
  <c r="AA2040" i="15"/>
  <c r="B2041" i="15"/>
  <c r="C2041" i="15"/>
  <c r="D2041" i="15"/>
  <c r="E2041" i="15"/>
  <c r="J2041" i="15"/>
  <c r="K2041" i="15"/>
  <c r="L2041" i="15"/>
  <c r="M2041" i="15"/>
  <c r="N2041" i="15"/>
  <c r="O2041" i="15"/>
  <c r="P2041" i="15"/>
  <c r="Q2041" i="15"/>
  <c r="T2041" i="15"/>
  <c r="U2041" i="15"/>
  <c r="V2041" i="15"/>
  <c r="W2041" i="15"/>
  <c r="X2041" i="15"/>
  <c r="Y2041" i="15"/>
  <c r="Z2041" i="15"/>
  <c r="AA2041" i="15"/>
  <c r="B2042" i="15"/>
  <c r="C2042" i="15"/>
  <c r="D2042" i="15"/>
  <c r="E2042" i="15"/>
  <c r="J2042" i="15"/>
  <c r="K2042" i="15"/>
  <c r="L2042" i="15"/>
  <c r="M2042" i="15"/>
  <c r="N2042" i="15"/>
  <c r="O2042" i="15"/>
  <c r="P2042" i="15"/>
  <c r="Q2042" i="15"/>
  <c r="T2042" i="15"/>
  <c r="U2042" i="15"/>
  <c r="V2042" i="15"/>
  <c r="W2042" i="15"/>
  <c r="X2042" i="15"/>
  <c r="Y2042" i="15"/>
  <c r="Z2042" i="15"/>
  <c r="AA2042" i="15"/>
  <c r="B2043" i="15"/>
  <c r="C2043" i="15"/>
  <c r="D2043" i="15"/>
  <c r="E2043" i="15"/>
  <c r="J2043" i="15"/>
  <c r="K2043" i="15"/>
  <c r="L2043" i="15"/>
  <c r="M2043" i="15"/>
  <c r="N2043" i="15"/>
  <c r="O2043" i="15"/>
  <c r="P2043" i="15"/>
  <c r="Q2043" i="15"/>
  <c r="T2043" i="15"/>
  <c r="U2043" i="15"/>
  <c r="V2043" i="15"/>
  <c r="W2043" i="15"/>
  <c r="X2043" i="15"/>
  <c r="Y2043" i="15"/>
  <c r="Z2043" i="15"/>
  <c r="AA2043" i="15"/>
  <c r="B2044" i="15"/>
  <c r="C2044" i="15"/>
  <c r="D2044" i="15"/>
  <c r="E2044" i="15"/>
  <c r="J2044" i="15"/>
  <c r="K2044" i="15"/>
  <c r="L2044" i="15"/>
  <c r="M2044" i="15"/>
  <c r="N2044" i="15"/>
  <c r="O2044" i="15"/>
  <c r="P2044" i="15"/>
  <c r="Q2044" i="15"/>
  <c r="T2044" i="15"/>
  <c r="U2044" i="15"/>
  <c r="V2044" i="15"/>
  <c r="W2044" i="15"/>
  <c r="X2044" i="15"/>
  <c r="Y2044" i="15"/>
  <c r="Z2044" i="15"/>
  <c r="AA2044" i="15"/>
  <c r="B2045" i="15"/>
  <c r="C2045" i="15"/>
  <c r="D2045" i="15"/>
  <c r="E2045" i="15"/>
  <c r="J2045" i="15"/>
  <c r="K2045" i="15"/>
  <c r="L2045" i="15"/>
  <c r="M2045" i="15"/>
  <c r="N2045" i="15"/>
  <c r="O2045" i="15"/>
  <c r="P2045" i="15"/>
  <c r="Q2045" i="15"/>
  <c r="T2045" i="15"/>
  <c r="U2045" i="15"/>
  <c r="V2045" i="15"/>
  <c r="W2045" i="15"/>
  <c r="X2045" i="15"/>
  <c r="Y2045" i="15"/>
  <c r="Z2045" i="15"/>
  <c r="AA2045" i="15"/>
  <c r="B2046" i="15"/>
  <c r="C2046" i="15"/>
  <c r="D2046" i="15"/>
  <c r="E2046" i="15"/>
  <c r="J2046" i="15"/>
  <c r="K2046" i="15"/>
  <c r="L2046" i="15"/>
  <c r="M2046" i="15"/>
  <c r="N2046" i="15"/>
  <c r="O2046" i="15"/>
  <c r="P2046" i="15"/>
  <c r="Q2046" i="15"/>
  <c r="T2046" i="15"/>
  <c r="U2046" i="15"/>
  <c r="V2046" i="15"/>
  <c r="W2046" i="15"/>
  <c r="X2046" i="15"/>
  <c r="Y2046" i="15"/>
  <c r="Z2046" i="15"/>
  <c r="AA2046" i="15"/>
  <c r="B2047" i="15"/>
  <c r="C2047" i="15"/>
  <c r="D2047" i="15"/>
  <c r="E2047" i="15"/>
  <c r="J2047" i="15"/>
  <c r="K2047" i="15"/>
  <c r="L2047" i="15"/>
  <c r="M2047" i="15"/>
  <c r="N2047" i="15"/>
  <c r="O2047" i="15"/>
  <c r="P2047" i="15"/>
  <c r="Q2047" i="15"/>
  <c r="T2047" i="15"/>
  <c r="U2047" i="15"/>
  <c r="V2047" i="15"/>
  <c r="W2047" i="15"/>
  <c r="X2047" i="15"/>
  <c r="Y2047" i="15"/>
  <c r="Z2047" i="15"/>
  <c r="AA2047" i="15"/>
  <c r="B2048" i="15"/>
  <c r="C2048" i="15"/>
  <c r="D2048" i="15"/>
  <c r="E2048" i="15"/>
  <c r="J2048" i="15"/>
  <c r="K2048" i="15"/>
  <c r="L2048" i="15"/>
  <c r="M2048" i="15"/>
  <c r="N2048" i="15"/>
  <c r="O2048" i="15"/>
  <c r="P2048" i="15"/>
  <c r="Q2048" i="15"/>
  <c r="T2048" i="15"/>
  <c r="U2048" i="15"/>
  <c r="V2048" i="15"/>
  <c r="W2048" i="15"/>
  <c r="X2048" i="15"/>
  <c r="Y2048" i="15"/>
  <c r="Z2048" i="15"/>
  <c r="AA2048" i="15"/>
  <c r="B2049" i="15"/>
  <c r="C2049" i="15"/>
  <c r="D2049" i="15"/>
  <c r="E2049" i="15"/>
  <c r="J2049" i="15"/>
  <c r="K2049" i="15"/>
  <c r="L2049" i="15"/>
  <c r="M2049" i="15"/>
  <c r="N2049" i="15"/>
  <c r="O2049" i="15"/>
  <c r="P2049" i="15"/>
  <c r="Q2049" i="15"/>
  <c r="T2049" i="15"/>
  <c r="U2049" i="15"/>
  <c r="V2049" i="15"/>
  <c r="W2049" i="15"/>
  <c r="X2049" i="15"/>
  <c r="Y2049" i="15"/>
  <c r="Z2049" i="15"/>
  <c r="AA2049" i="15"/>
  <c r="B2050" i="15"/>
  <c r="C2050" i="15"/>
  <c r="D2050" i="15"/>
  <c r="E2050" i="15"/>
  <c r="J2050" i="15"/>
  <c r="K2050" i="15"/>
  <c r="L2050" i="15"/>
  <c r="M2050" i="15"/>
  <c r="N2050" i="15"/>
  <c r="O2050" i="15"/>
  <c r="P2050" i="15"/>
  <c r="Q2050" i="15"/>
  <c r="T2050" i="15"/>
  <c r="U2050" i="15"/>
  <c r="V2050" i="15"/>
  <c r="W2050" i="15"/>
  <c r="X2050" i="15"/>
  <c r="Y2050" i="15"/>
  <c r="Z2050" i="15"/>
  <c r="AA2050" i="15"/>
  <c r="B2051" i="15"/>
  <c r="C2051" i="15"/>
  <c r="D2051" i="15"/>
  <c r="E2051" i="15"/>
  <c r="J2051" i="15"/>
  <c r="K2051" i="15"/>
  <c r="L2051" i="15"/>
  <c r="M2051" i="15"/>
  <c r="N2051" i="15"/>
  <c r="O2051" i="15"/>
  <c r="P2051" i="15"/>
  <c r="Q2051" i="15"/>
  <c r="T2051" i="15"/>
  <c r="U2051" i="15"/>
  <c r="V2051" i="15"/>
  <c r="W2051" i="15"/>
  <c r="X2051" i="15"/>
  <c r="Y2051" i="15"/>
  <c r="Z2051" i="15"/>
  <c r="AA2051" i="15"/>
  <c r="B2052" i="15"/>
  <c r="C2052" i="15"/>
  <c r="D2052" i="15"/>
  <c r="E2052" i="15"/>
  <c r="J2052" i="15"/>
  <c r="K2052" i="15"/>
  <c r="L2052" i="15"/>
  <c r="M2052" i="15"/>
  <c r="N2052" i="15"/>
  <c r="O2052" i="15"/>
  <c r="P2052" i="15"/>
  <c r="Q2052" i="15"/>
  <c r="T2052" i="15"/>
  <c r="U2052" i="15"/>
  <c r="V2052" i="15"/>
  <c r="W2052" i="15"/>
  <c r="X2052" i="15"/>
  <c r="Y2052" i="15"/>
  <c r="Z2052" i="15"/>
  <c r="AA2052" i="15"/>
  <c r="B2053" i="15"/>
  <c r="C2053" i="15"/>
  <c r="D2053" i="15"/>
  <c r="E2053" i="15"/>
  <c r="J2053" i="15"/>
  <c r="K2053" i="15"/>
  <c r="L2053" i="15"/>
  <c r="M2053" i="15"/>
  <c r="N2053" i="15"/>
  <c r="O2053" i="15"/>
  <c r="P2053" i="15"/>
  <c r="Q2053" i="15"/>
  <c r="T2053" i="15"/>
  <c r="U2053" i="15"/>
  <c r="V2053" i="15"/>
  <c r="W2053" i="15"/>
  <c r="X2053" i="15"/>
  <c r="Y2053" i="15"/>
  <c r="Z2053" i="15"/>
  <c r="AA2053" i="15"/>
  <c r="B2054" i="15"/>
  <c r="C2054" i="15"/>
  <c r="D2054" i="15"/>
  <c r="E2054" i="15"/>
  <c r="J2054" i="15"/>
  <c r="K2054" i="15"/>
  <c r="L2054" i="15"/>
  <c r="M2054" i="15"/>
  <c r="N2054" i="15"/>
  <c r="O2054" i="15"/>
  <c r="P2054" i="15"/>
  <c r="Q2054" i="15"/>
  <c r="T2054" i="15"/>
  <c r="U2054" i="15"/>
  <c r="V2054" i="15"/>
  <c r="W2054" i="15"/>
  <c r="X2054" i="15"/>
  <c r="Y2054" i="15"/>
  <c r="Z2054" i="15"/>
  <c r="AA2054" i="15"/>
  <c r="B2055" i="15"/>
  <c r="C2055" i="15"/>
  <c r="D2055" i="15"/>
  <c r="E2055" i="15"/>
  <c r="J2055" i="15"/>
  <c r="K2055" i="15"/>
  <c r="L2055" i="15"/>
  <c r="M2055" i="15"/>
  <c r="N2055" i="15"/>
  <c r="O2055" i="15"/>
  <c r="P2055" i="15"/>
  <c r="Q2055" i="15"/>
  <c r="T2055" i="15"/>
  <c r="U2055" i="15"/>
  <c r="V2055" i="15"/>
  <c r="W2055" i="15"/>
  <c r="X2055" i="15"/>
  <c r="Y2055" i="15"/>
  <c r="Z2055" i="15"/>
  <c r="AA2055" i="15"/>
  <c r="B2056" i="15"/>
  <c r="C2056" i="15"/>
  <c r="D2056" i="15"/>
  <c r="E2056" i="15"/>
  <c r="J2056" i="15"/>
  <c r="K2056" i="15"/>
  <c r="L2056" i="15"/>
  <c r="M2056" i="15"/>
  <c r="N2056" i="15"/>
  <c r="O2056" i="15"/>
  <c r="P2056" i="15"/>
  <c r="Q2056" i="15"/>
  <c r="T2056" i="15"/>
  <c r="U2056" i="15"/>
  <c r="V2056" i="15"/>
  <c r="W2056" i="15"/>
  <c r="X2056" i="15"/>
  <c r="Y2056" i="15"/>
  <c r="Z2056" i="15"/>
  <c r="AA2056" i="15"/>
  <c r="B2057" i="15"/>
  <c r="C2057" i="15"/>
  <c r="D2057" i="15"/>
  <c r="E2057" i="15"/>
  <c r="J2057" i="15"/>
  <c r="K2057" i="15"/>
  <c r="L2057" i="15"/>
  <c r="M2057" i="15"/>
  <c r="N2057" i="15"/>
  <c r="O2057" i="15"/>
  <c r="P2057" i="15"/>
  <c r="Q2057" i="15"/>
  <c r="T2057" i="15"/>
  <c r="U2057" i="15"/>
  <c r="V2057" i="15"/>
  <c r="W2057" i="15"/>
  <c r="X2057" i="15"/>
  <c r="Y2057" i="15"/>
  <c r="Z2057" i="15"/>
  <c r="AA2057" i="15"/>
  <c r="B2058" i="15"/>
  <c r="C2058" i="15"/>
  <c r="D2058" i="15"/>
  <c r="E2058" i="15"/>
  <c r="J2058" i="15"/>
  <c r="K2058" i="15"/>
  <c r="L2058" i="15"/>
  <c r="M2058" i="15"/>
  <c r="N2058" i="15"/>
  <c r="O2058" i="15"/>
  <c r="P2058" i="15"/>
  <c r="Q2058" i="15"/>
  <c r="T2058" i="15"/>
  <c r="U2058" i="15"/>
  <c r="V2058" i="15"/>
  <c r="W2058" i="15"/>
  <c r="X2058" i="15"/>
  <c r="Y2058" i="15"/>
  <c r="Z2058" i="15"/>
  <c r="AA2058" i="15"/>
  <c r="B2059" i="15"/>
  <c r="C2059" i="15"/>
  <c r="D2059" i="15"/>
  <c r="E2059" i="15"/>
  <c r="J2059" i="15"/>
  <c r="K2059" i="15"/>
  <c r="L2059" i="15"/>
  <c r="M2059" i="15"/>
  <c r="N2059" i="15"/>
  <c r="O2059" i="15"/>
  <c r="P2059" i="15"/>
  <c r="Q2059" i="15"/>
  <c r="T2059" i="15"/>
  <c r="U2059" i="15"/>
  <c r="V2059" i="15"/>
  <c r="W2059" i="15"/>
  <c r="X2059" i="15"/>
  <c r="Y2059" i="15"/>
  <c r="Z2059" i="15"/>
  <c r="AA2059" i="15"/>
  <c r="B2060" i="15"/>
  <c r="C2060" i="15"/>
  <c r="D2060" i="15"/>
  <c r="E2060" i="15"/>
  <c r="J2060" i="15"/>
  <c r="K2060" i="15"/>
  <c r="L2060" i="15"/>
  <c r="M2060" i="15"/>
  <c r="N2060" i="15"/>
  <c r="O2060" i="15"/>
  <c r="P2060" i="15"/>
  <c r="Q2060" i="15"/>
  <c r="T2060" i="15"/>
  <c r="U2060" i="15"/>
  <c r="V2060" i="15"/>
  <c r="W2060" i="15"/>
  <c r="X2060" i="15"/>
  <c r="Y2060" i="15"/>
  <c r="Z2060" i="15"/>
  <c r="AA2060" i="15"/>
  <c r="B2061" i="15"/>
  <c r="C2061" i="15"/>
  <c r="D2061" i="15"/>
  <c r="E2061" i="15"/>
  <c r="J2061" i="15"/>
  <c r="K2061" i="15"/>
  <c r="L2061" i="15"/>
  <c r="M2061" i="15"/>
  <c r="N2061" i="15"/>
  <c r="O2061" i="15"/>
  <c r="P2061" i="15"/>
  <c r="Q2061" i="15"/>
  <c r="T2061" i="15"/>
  <c r="U2061" i="15"/>
  <c r="V2061" i="15"/>
  <c r="W2061" i="15"/>
  <c r="X2061" i="15"/>
  <c r="Y2061" i="15"/>
  <c r="Z2061" i="15"/>
  <c r="AA2061" i="15"/>
  <c r="B2062" i="15"/>
  <c r="C2062" i="15"/>
  <c r="D2062" i="15"/>
  <c r="E2062" i="15"/>
  <c r="J2062" i="15"/>
  <c r="K2062" i="15"/>
  <c r="L2062" i="15"/>
  <c r="M2062" i="15"/>
  <c r="N2062" i="15"/>
  <c r="O2062" i="15"/>
  <c r="P2062" i="15"/>
  <c r="Q2062" i="15"/>
  <c r="T2062" i="15"/>
  <c r="U2062" i="15"/>
  <c r="V2062" i="15"/>
  <c r="W2062" i="15"/>
  <c r="X2062" i="15"/>
  <c r="Y2062" i="15"/>
  <c r="Z2062" i="15"/>
  <c r="AA2062" i="15"/>
  <c r="B2063" i="15"/>
  <c r="C2063" i="15"/>
  <c r="D2063" i="15"/>
  <c r="E2063" i="15"/>
  <c r="J2063" i="15"/>
  <c r="K2063" i="15"/>
  <c r="L2063" i="15"/>
  <c r="M2063" i="15"/>
  <c r="N2063" i="15"/>
  <c r="O2063" i="15"/>
  <c r="P2063" i="15"/>
  <c r="Q2063" i="15"/>
  <c r="T2063" i="15"/>
  <c r="U2063" i="15"/>
  <c r="V2063" i="15"/>
  <c r="W2063" i="15"/>
  <c r="X2063" i="15"/>
  <c r="Y2063" i="15"/>
  <c r="Z2063" i="15"/>
  <c r="AA2063" i="15"/>
  <c r="B2064" i="15"/>
  <c r="C2064" i="15"/>
  <c r="D2064" i="15"/>
  <c r="E2064" i="15"/>
  <c r="J2064" i="15"/>
  <c r="K2064" i="15"/>
  <c r="L2064" i="15"/>
  <c r="M2064" i="15"/>
  <c r="N2064" i="15"/>
  <c r="O2064" i="15"/>
  <c r="P2064" i="15"/>
  <c r="Q2064" i="15"/>
  <c r="T2064" i="15"/>
  <c r="U2064" i="15"/>
  <c r="V2064" i="15"/>
  <c r="W2064" i="15"/>
  <c r="X2064" i="15"/>
  <c r="Y2064" i="15"/>
  <c r="Z2064" i="15"/>
  <c r="AA2064" i="15"/>
  <c r="B2065" i="15"/>
  <c r="C2065" i="15"/>
  <c r="D2065" i="15"/>
  <c r="E2065" i="15"/>
  <c r="J2065" i="15"/>
  <c r="K2065" i="15"/>
  <c r="L2065" i="15"/>
  <c r="M2065" i="15"/>
  <c r="N2065" i="15"/>
  <c r="O2065" i="15"/>
  <c r="P2065" i="15"/>
  <c r="Q2065" i="15"/>
  <c r="T2065" i="15"/>
  <c r="U2065" i="15"/>
  <c r="V2065" i="15"/>
  <c r="W2065" i="15"/>
  <c r="X2065" i="15"/>
  <c r="Y2065" i="15"/>
  <c r="Z2065" i="15"/>
  <c r="AA2065" i="15"/>
  <c r="B2066" i="15"/>
  <c r="C2066" i="15"/>
  <c r="D2066" i="15"/>
  <c r="E2066" i="15"/>
  <c r="J2066" i="15"/>
  <c r="K2066" i="15"/>
  <c r="L2066" i="15"/>
  <c r="M2066" i="15"/>
  <c r="N2066" i="15"/>
  <c r="O2066" i="15"/>
  <c r="P2066" i="15"/>
  <c r="Q2066" i="15"/>
  <c r="T2066" i="15"/>
  <c r="U2066" i="15"/>
  <c r="V2066" i="15"/>
  <c r="W2066" i="15"/>
  <c r="X2066" i="15"/>
  <c r="Y2066" i="15"/>
  <c r="Z2066" i="15"/>
  <c r="AA2066" i="15"/>
  <c r="B2067" i="15"/>
  <c r="C2067" i="15"/>
  <c r="D2067" i="15"/>
  <c r="E2067" i="15"/>
  <c r="J2067" i="15"/>
  <c r="K2067" i="15"/>
  <c r="L2067" i="15"/>
  <c r="M2067" i="15"/>
  <c r="N2067" i="15"/>
  <c r="O2067" i="15"/>
  <c r="P2067" i="15"/>
  <c r="Q2067" i="15"/>
  <c r="T2067" i="15"/>
  <c r="U2067" i="15"/>
  <c r="V2067" i="15"/>
  <c r="W2067" i="15"/>
  <c r="X2067" i="15"/>
  <c r="Y2067" i="15"/>
  <c r="Z2067" i="15"/>
  <c r="AA2067" i="15"/>
  <c r="B2068" i="15"/>
  <c r="C2068" i="15"/>
  <c r="D2068" i="15"/>
  <c r="E2068" i="15"/>
  <c r="J2068" i="15"/>
  <c r="K2068" i="15"/>
  <c r="L2068" i="15"/>
  <c r="M2068" i="15"/>
  <c r="N2068" i="15"/>
  <c r="O2068" i="15"/>
  <c r="P2068" i="15"/>
  <c r="Q2068" i="15"/>
  <c r="T2068" i="15"/>
  <c r="U2068" i="15"/>
  <c r="V2068" i="15"/>
  <c r="W2068" i="15"/>
  <c r="X2068" i="15"/>
  <c r="Y2068" i="15"/>
  <c r="Z2068" i="15"/>
  <c r="AA2068" i="15"/>
  <c r="B2069" i="15"/>
  <c r="C2069" i="15"/>
  <c r="D2069" i="15"/>
  <c r="E2069" i="15"/>
  <c r="J2069" i="15"/>
  <c r="K2069" i="15"/>
  <c r="L2069" i="15"/>
  <c r="M2069" i="15"/>
  <c r="N2069" i="15"/>
  <c r="O2069" i="15"/>
  <c r="P2069" i="15"/>
  <c r="Q2069" i="15"/>
  <c r="T2069" i="15"/>
  <c r="U2069" i="15"/>
  <c r="V2069" i="15"/>
  <c r="W2069" i="15"/>
  <c r="X2069" i="15"/>
  <c r="Y2069" i="15"/>
  <c r="Z2069" i="15"/>
  <c r="AA2069" i="15"/>
  <c r="B2070" i="15"/>
  <c r="C2070" i="15"/>
  <c r="D2070" i="15"/>
  <c r="E2070" i="15"/>
  <c r="J2070" i="15"/>
  <c r="K2070" i="15"/>
  <c r="L2070" i="15"/>
  <c r="M2070" i="15"/>
  <c r="N2070" i="15"/>
  <c r="O2070" i="15"/>
  <c r="P2070" i="15"/>
  <c r="Q2070" i="15"/>
  <c r="T2070" i="15"/>
  <c r="U2070" i="15"/>
  <c r="V2070" i="15"/>
  <c r="W2070" i="15"/>
  <c r="X2070" i="15"/>
  <c r="Y2070" i="15"/>
  <c r="Z2070" i="15"/>
  <c r="AA2070" i="15"/>
  <c r="B2071" i="15"/>
  <c r="C2071" i="15"/>
  <c r="D2071" i="15"/>
  <c r="E2071" i="15"/>
  <c r="J2071" i="15"/>
  <c r="K2071" i="15"/>
  <c r="L2071" i="15"/>
  <c r="M2071" i="15"/>
  <c r="N2071" i="15"/>
  <c r="O2071" i="15"/>
  <c r="P2071" i="15"/>
  <c r="Q2071" i="15"/>
  <c r="T2071" i="15"/>
  <c r="U2071" i="15"/>
  <c r="V2071" i="15"/>
  <c r="W2071" i="15"/>
  <c r="X2071" i="15"/>
  <c r="Y2071" i="15"/>
  <c r="Z2071" i="15"/>
  <c r="AA2071" i="15"/>
  <c r="B2072" i="15"/>
  <c r="C2072" i="15"/>
  <c r="D2072" i="15"/>
  <c r="E2072" i="15"/>
  <c r="J2072" i="15"/>
  <c r="K2072" i="15"/>
  <c r="L2072" i="15"/>
  <c r="M2072" i="15"/>
  <c r="N2072" i="15"/>
  <c r="O2072" i="15"/>
  <c r="P2072" i="15"/>
  <c r="Q2072" i="15"/>
  <c r="T2072" i="15"/>
  <c r="U2072" i="15"/>
  <c r="V2072" i="15"/>
  <c r="W2072" i="15"/>
  <c r="X2072" i="15"/>
  <c r="Y2072" i="15"/>
  <c r="Z2072" i="15"/>
  <c r="AA2072" i="15"/>
  <c r="B2073" i="15"/>
  <c r="C2073" i="15"/>
  <c r="D2073" i="15"/>
  <c r="E2073" i="15"/>
  <c r="J2073" i="15"/>
  <c r="K2073" i="15"/>
  <c r="L2073" i="15"/>
  <c r="M2073" i="15"/>
  <c r="N2073" i="15"/>
  <c r="O2073" i="15"/>
  <c r="P2073" i="15"/>
  <c r="Q2073" i="15"/>
  <c r="T2073" i="15"/>
  <c r="U2073" i="15"/>
  <c r="V2073" i="15"/>
  <c r="W2073" i="15"/>
  <c r="X2073" i="15"/>
  <c r="Y2073" i="15"/>
  <c r="Z2073" i="15"/>
  <c r="AA2073" i="15"/>
  <c r="B2074" i="15"/>
  <c r="C2074" i="15"/>
  <c r="D2074" i="15"/>
  <c r="E2074" i="15"/>
  <c r="J2074" i="15"/>
  <c r="K2074" i="15"/>
  <c r="L2074" i="15"/>
  <c r="M2074" i="15"/>
  <c r="N2074" i="15"/>
  <c r="O2074" i="15"/>
  <c r="P2074" i="15"/>
  <c r="Q2074" i="15"/>
  <c r="T2074" i="15"/>
  <c r="U2074" i="15"/>
  <c r="V2074" i="15"/>
  <c r="W2074" i="15"/>
  <c r="X2074" i="15"/>
  <c r="Y2074" i="15"/>
  <c r="Z2074" i="15"/>
  <c r="AA2074" i="15"/>
  <c r="B2075" i="15"/>
  <c r="C2075" i="15"/>
  <c r="D2075" i="15"/>
  <c r="E2075" i="15"/>
  <c r="J2075" i="15"/>
  <c r="K2075" i="15"/>
  <c r="L2075" i="15"/>
  <c r="M2075" i="15"/>
  <c r="N2075" i="15"/>
  <c r="O2075" i="15"/>
  <c r="P2075" i="15"/>
  <c r="Q2075" i="15"/>
  <c r="T2075" i="15"/>
  <c r="U2075" i="15"/>
  <c r="V2075" i="15"/>
  <c r="W2075" i="15"/>
  <c r="X2075" i="15"/>
  <c r="Y2075" i="15"/>
  <c r="Z2075" i="15"/>
  <c r="AA2075" i="15"/>
  <c r="B2076" i="15"/>
  <c r="C2076" i="15"/>
  <c r="D2076" i="15"/>
  <c r="E2076" i="15"/>
  <c r="J2076" i="15"/>
  <c r="K2076" i="15"/>
  <c r="L2076" i="15"/>
  <c r="M2076" i="15"/>
  <c r="N2076" i="15"/>
  <c r="O2076" i="15"/>
  <c r="P2076" i="15"/>
  <c r="Q2076" i="15"/>
  <c r="T2076" i="15"/>
  <c r="U2076" i="15"/>
  <c r="V2076" i="15"/>
  <c r="W2076" i="15"/>
  <c r="X2076" i="15"/>
  <c r="Y2076" i="15"/>
  <c r="Z2076" i="15"/>
  <c r="AA2076" i="15"/>
  <c r="B2077" i="15"/>
  <c r="C2077" i="15"/>
  <c r="D2077" i="15"/>
  <c r="E2077" i="15"/>
  <c r="J2077" i="15"/>
  <c r="K2077" i="15"/>
  <c r="L2077" i="15"/>
  <c r="M2077" i="15"/>
  <c r="N2077" i="15"/>
  <c r="O2077" i="15"/>
  <c r="P2077" i="15"/>
  <c r="Q2077" i="15"/>
  <c r="T2077" i="15"/>
  <c r="U2077" i="15"/>
  <c r="V2077" i="15"/>
  <c r="W2077" i="15"/>
  <c r="X2077" i="15"/>
  <c r="Y2077" i="15"/>
  <c r="Z2077" i="15"/>
  <c r="AA2077" i="15"/>
  <c r="B2078" i="15"/>
  <c r="C2078" i="15"/>
  <c r="D2078" i="15"/>
  <c r="E2078" i="15"/>
  <c r="J2078" i="15"/>
  <c r="K2078" i="15"/>
  <c r="L2078" i="15"/>
  <c r="M2078" i="15"/>
  <c r="N2078" i="15"/>
  <c r="O2078" i="15"/>
  <c r="P2078" i="15"/>
  <c r="Q2078" i="15"/>
  <c r="T2078" i="15"/>
  <c r="U2078" i="15"/>
  <c r="V2078" i="15"/>
  <c r="W2078" i="15"/>
  <c r="X2078" i="15"/>
  <c r="Y2078" i="15"/>
  <c r="Z2078" i="15"/>
  <c r="AA2078" i="15"/>
  <c r="B2079" i="15"/>
  <c r="C2079" i="15"/>
  <c r="D2079" i="15"/>
  <c r="E2079" i="15"/>
  <c r="J2079" i="15"/>
  <c r="K2079" i="15"/>
  <c r="L2079" i="15"/>
  <c r="M2079" i="15"/>
  <c r="N2079" i="15"/>
  <c r="O2079" i="15"/>
  <c r="P2079" i="15"/>
  <c r="Q2079" i="15"/>
  <c r="T2079" i="15"/>
  <c r="U2079" i="15"/>
  <c r="V2079" i="15"/>
  <c r="W2079" i="15"/>
  <c r="X2079" i="15"/>
  <c r="Y2079" i="15"/>
  <c r="Z2079" i="15"/>
  <c r="AA2079" i="15"/>
  <c r="B2080" i="15"/>
  <c r="C2080" i="15"/>
  <c r="D2080" i="15"/>
  <c r="E2080" i="15"/>
  <c r="J2080" i="15"/>
  <c r="K2080" i="15"/>
  <c r="L2080" i="15"/>
  <c r="M2080" i="15"/>
  <c r="N2080" i="15"/>
  <c r="O2080" i="15"/>
  <c r="P2080" i="15"/>
  <c r="Q2080" i="15"/>
  <c r="T2080" i="15"/>
  <c r="U2080" i="15"/>
  <c r="V2080" i="15"/>
  <c r="W2080" i="15"/>
  <c r="X2080" i="15"/>
  <c r="Y2080" i="15"/>
  <c r="Z2080" i="15"/>
  <c r="AA2080" i="15"/>
  <c r="B2081" i="15"/>
  <c r="C2081" i="15"/>
  <c r="D2081" i="15"/>
  <c r="E2081" i="15"/>
  <c r="J2081" i="15"/>
  <c r="K2081" i="15"/>
  <c r="L2081" i="15"/>
  <c r="M2081" i="15"/>
  <c r="N2081" i="15"/>
  <c r="O2081" i="15"/>
  <c r="P2081" i="15"/>
  <c r="Q2081" i="15"/>
  <c r="T2081" i="15"/>
  <c r="U2081" i="15"/>
  <c r="V2081" i="15"/>
  <c r="W2081" i="15"/>
  <c r="X2081" i="15"/>
  <c r="Y2081" i="15"/>
  <c r="Z2081" i="15"/>
  <c r="AA2081" i="15"/>
  <c r="B2082" i="15"/>
  <c r="C2082" i="15"/>
  <c r="D2082" i="15"/>
  <c r="E2082" i="15"/>
  <c r="J2082" i="15"/>
  <c r="K2082" i="15"/>
  <c r="L2082" i="15"/>
  <c r="M2082" i="15"/>
  <c r="N2082" i="15"/>
  <c r="O2082" i="15"/>
  <c r="P2082" i="15"/>
  <c r="Q2082" i="15"/>
  <c r="T2082" i="15"/>
  <c r="U2082" i="15"/>
  <c r="V2082" i="15"/>
  <c r="W2082" i="15"/>
  <c r="X2082" i="15"/>
  <c r="Y2082" i="15"/>
  <c r="Z2082" i="15"/>
  <c r="AA2082" i="15"/>
  <c r="B2083" i="15"/>
  <c r="C2083" i="15"/>
  <c r="D2083" i="15"/>
  <c r="E2083" i="15"/>
  <c r="J2083" i="15"/>
  <c r="K2083" i="15"/>
  <c r="L2083" i="15"/>
  <c r="M2083" i="15"/>
  <c r="N2083" i="15"/>
  <c r="O2083" i="15"/>
  <c r="P2083" i="15"/>
  <c r="Q2083" i="15"/>
  <c r="T2083" i="15"/>
  <c r="U2083" i="15"/>
  <c r="V2083" i="15"/>
  <c r="W2083" i="15"/>
  <c r="X2083" i="15"/>
  <c r="Y2083" i="15"/>
  <c r="Z2083" i="15"/>
  <c r="AA2083" i="15"/>
  <c r="B2084" i="15"/>
  <c r="C2084" i="15"/>
  <c r="D2084" i="15"/>
  <c r="E2084" i="15"/>
  <c r="J2084" i="15"/>
  <c r="K2084" i="15"/>
  <c r="L2084" i="15"/>
  <c r="M2084" i="15"/>
  <c r="N2084" i="15"/>
  <c r="O2084" i="15"/>
  <c r="P2084" i="15"/>
  <c r="Q2084" i="15"/>
  <c r="T2084" i="15"/>
  <c r="U2084" i="15"/>
  <c r="V2084" i="15"/>
  <c r="W2084" i="15"/>
  <c r="X2084" i="15"/>
  <c r="Y2084" i="15"/>
  <c r="Z2084" i="15"/>
  <c r="AA2084" i="15"/>
  <c r="B2085" i="15"/>
  <c r="C2085" i="15"/>
  <c r="D2085" i="15"/>
  <c r="E2085" i="15"/>
  <c r="J2085" i="15"/>
  <c r="K2085" i="15"/>
  <c r="L2085" i="15"/>
  <c r="M2085" i="15"/>
  <c r="N2085" i="15"/>
  <c r="O2085" i="15"/>
  <c r="P2085" i="15"/>
  <c r="Q2085" i="15"/>
  <c r="T2085" i="15"/>
  <c r="U2085" i="15"/>
  <c r="V2085" i="15"/>
  <c r="W2085" i="15"/>
  <c r="X2085" i="15"/>
  <c r="Y2085" i="15"/>
  <c r="Z2085" i="15"/>
  <c r="AA2085" i="15"/>
  <c r="B2086" i="15"/>
  <c r="C2086" i="15"/>
  <c r="D2086" i="15"/>
  <c r="E2086" i="15"/>
  <c r="J2086" i="15"/>
  <c r="K2086" i="15"/>
  <c r="L2086" i="15"/>
  <c r="M2086" i="15"/>
  <c r="N2086" i="15"/>
  <c r="O2086" i="15"/>
  <c r="P2086" i="15"/>
  <c r="Q2086" i="15"/>
  <c r="T2086" i="15"/>
  <c r="U2086" i="15"/>
  <c r="V2086" i="15"/>
  <c r="W2086" i="15"/>
  <c r="X2086" i="15"/>
  <c r="Y2086" i="15"/>
  <c r="Z2086" i="15"/>
  <c r="AA2086" i="15"/>
  <c r="B2087" i="15"/>
  <c r="C2087" i="15"/>
  <c r="D2087" i="15"/>
  <c r="E2087" i="15"/>
  <c r="J2087" i="15"/>
  <c r="K2087" i="15"/>
  <c r="L2087" i="15"/>
  <c r="M2087" i="15"/>
  <c r="N2087" i="15"/>
  <c r="O2087" i="15"/>
  <c r="P2087" i="15"/>
  <c r="Q2087" i="15"/>
  <c r="T2087" i="15"/>
  <c r="U2087" i="15"/>
  <c r="V2087" i="15"/>
  <c r="W2087" i="15"/>
  <c r="X2087" i="15"/>
  <c r="Y2087" i="15"/>
  <c r="Z2087" i="15"/>
  <c r="AA2087" i="15"/>
  <c r="B2088" i="15"/>
  <c r="C2088" i="15"/>
  <c r="D2088" i="15"/>
  <c r="E2088" i="15"/>
  <c r="J2088" i="15"/>
  <c r="K2088" i="15"/>
  <c r="L2088" i="15"/>
  <c r="M2088" i="15"/>
  <c r="N2088" i="15"/>
  <c r="O2088" i="15"/>
  <c r="P2088" i="15"/>
  <c r="Q2088" i="15"/>
  <c r="T2088" i="15"/>
  <c r="U2088" i="15"/>
  <c r="V2088" i="15"/>
  <c r="W2088" i="15"/>
  <c r="X2088" i="15"/>
  <c r="Y2088" i="15"/>
  <c r="Z2088" i="15"/>
  <c r="AA2088" i="15"/>
  <c r="B2089" i="15"/>
  <c r="C2089" i="15"/>
  <c r="D2089" i="15"/>
  <c r="E2089" i="15"/>
  <c r="J2089" i="15"/>
  <c r="K2089" i="15"/>
  <c r="L2089" i="15"/>
  <c r="M2089" i="15"/>
  <c r="N2089" i="15"/>
  <c r="O2089" i="15"/>
  <c r="P2089" i="15"/>
  <c r="Q2089" i="15"/>
  <c r="T2089" i="15"/>
  <c r="U2089" i="15"/>
  <c r="V2089" i="15"/>
  <c r="W2089" i="15"/>
  <c r="X2089" i="15"/>
  <c r="Y2089" i="15"/>
  <c r="Z2089" i="15"/>
  <c r="AA2089" i="15"/>
  <c r="B2090" i="15"/>
  <c r="C2090" i="15"/>
  <c r="D2090" i="15"/>
  <c r="E2090" i="15"/>
  <c r="J2090" i="15"/>
  <c r="K2090" i="15"/>
  <c r="L2090" i="15"/>
  <c r="M2090" i="15"/>
  <c r="N2090" i="15"/>
  <c r="O2090" i="15"/>
  <c r="P2090" i="15"/>
  <c r="Q2090" i="15"/>
  <c r="T2090" i="15"/>
  <c r="U2090" i="15"/>
  <c r="V2090" i="15"/>
  <c r="W2090" i="15"/>
  <c r="X2090" i="15"/>
  <c r="Y2090" i="15"/>
  <c r="Z2090" i="15"/>
  <c r="AA2090" i="15"/>
  <c r="B2091" i="15"/>
  <c r="C2091" i="15"/>
  <c r="D2091" i="15"/>
  <c r="E2091" i="15"/>
  <c r="J2091" i="15"/>
  <c r="K2091" i="15"/>
  <c r="L2091" i="15"/>
  <c r="M2091" i="15"/>
  <c r="N2091" i="15"/>
  <c r="O2091" i="15"/>
  <c r="P2091" i="15"/>
  <c r="Q2091" i="15"/>
  <c r="T2091" i="15"/>
  <c r="U2091" i="15"/>
  <c r="V2091" i="15"/>
  <c r="W2091" i="15"/>
  <c r="X2091" i="15"/>
  <c r="Y2091" i="15"/>
  <c r="Z2091" i="15"/>
  <c r="AA2091" i="15"/>
  <c r="B2092" i="15"/>
  <c r="C2092" i="15"/>
  <c r="D2092" i="15"/>
  <c r="E2092" i="15"/>
  <c r="J2092" i="15"/>
  <c r="K2092" i="15"/>
  <c r="L2092" i="15"/>
  <c r="M2092" i="15"/>
  <c r="N2092" i="15"/>
  <c r="O2092" i="15"/>
  <c r="P2092" i="15"/>
  <c r="Q2092" i="15"/>
  <c r="T2092" i="15"/>
  <c r="U2092" i="15"/>
  <c r="V2092" i="15"/>
  <c r="W2092" i="15"/>
  <c r="X2092" i="15"/>
  <c r="Y2092" i="15"/>
  <c r="Z2092" i="15"/>
  <c r="AA2092" i="15"/>
  <c r="B2093" i="15"/>
  <c r="C2093" i="15"/>
  <c r="D2093" i="15"/>
  <c r="E2093" i="15"/>
  <c r="J2093" i="15"/>
  <c r="K2093" i="15"/>
  <c r="L2093" i="15"/>
  <c r="M2093" i="15"/>
  <c r="N2093" i="15"/>
  <c r="O2093" i="15"/>
  <c r="P2093" i="15"/>
  <c r="Q2093" i="15"/>
  <c r="T2093" i="15"/>
  <c r="U2093" i="15"/>
  <c r="V2093" i="15"/>
  <c r="W2093" i="15"/>
  <c r="X2093" i="15"/>
  <c r="Y2093" i="15"/>
  <c r="Z2093" i="15"/>
  <c r="AA2093" i="15"/>
  <c r="B2094" i="15"/>
  <c r="C2094" i="15"/>
  <c r="D2094" i="15"/>
  <c r="E2094" i="15"/>
  <c r="J2094" i="15"/>
  <c r="K2094" i="15"/>
  <c r="L2094" i="15"/>
  <c r="M2094" i="15"/>
  <c r="N2094" i="15"/>
  <c r="O2094" i="15"/>
  <c r="P2094" i="15"/>
  <c r="Q2094" i="15"/>
  <c r="T2094" i="15"/>
  <c r="U2094" i="15"/>
  <c r="V2094" i="15"/>
  <c r="W2094" i="15"/>
  <c r="X2094" i="15"/>
  <c r="Y2094" i="15"/>
  <c r="Z2094" i="15"/>
  <c r="AA2094" i="15"/>
  <c r="B2095" i="15"/>
  <c r="C2095" i="15"/>
  <c r="D2095" i="15"/>
  <c r="E2095" i="15"/>
  <c r="J2095" i="15"/>
  <c r="K2095" i="15"/>
  <c r="L2095" i="15"/>
  <c r="M2095" i="15"/>
  <c r="N2095" i="15"/>
  <c r="O2095" i="15"/>
  <c r="P2095" i="15"/>
  <c r="Q2095" i="15"/>
  <c r="T2095" i="15"/>
  <c r="U2095" i="15"/>
  <c r="V2095" i="15"/>
  <c r="W2095" i="15"/>
  <c r="X2095" i="15"/>
  <c r="Y2095" i="15"/>
  <c r="Z2095" i="15"/>
  <c r="AA2095" i="15"/>
  <c r="B2096" i="15"/>
  <c r="C2096" i="15"/>
  <c r="D2096" i="15"/>
  <c r="E2096" i="15"/>
  <c r="J2096" i="15"/>
  <c r="K2096" i="15"/>
  <c r="L2096" i="15"/>
  <c r="M2096" i="15"/>
  <c r="N2096" i="15"/>
  <c r="O2096" i="15"/>
  <c r="P2096" i="15"/>
  <c r="Q2096" i="15"/>
  <c r="T2096" i="15"/>
  <c r="U2096" i="15"/>
  <c r="V2096" i="15"/>
  <c r="W2096" i="15"/>
  <c r="X2096" i="15"/>
  <c r="Y2096" i="15"/>
  <c r="Z2096" i="15"/>
  <c r="AA2096" i="15"/>
  <c r="B2097" i="15"/>
  <c r="C2097" i="15"/>
  <c r="D2097" i="15"/>
  <c r="E2097" i="15"/>
  <c r="J2097" i="15"/>
  <c r="K2097" i="15"/>
  <c r="L2097" i="15"/>
  <c r="M2097" i="15"/>
  <c r="N2097" i="15"/>
  <c r="O2097" i="15"/>
  <c r="P2097" i="15"/>
  <c r="Q2097" i="15"/>
  <c r="T2097" i="15"/>
  <c r="U2097" i="15"/>
  <c r="V2097" i="15"/>
  <c r="W2097" i="15"/>
  <c r="X2097" i="15"/>
  <c r="Y2097" i="15"/>
  <c r="Z2097" i="15"/>
  <c r="AA2097" i="15"/>
  <c r="B2098" i="15"/>
  <c r="C2098" i="15"/>
  <c r="D2098" i="15"/>
  <c r="E2098" i="15"/>
  <c r="J2098" i="15"/>
  <c r="K2098" i="15"/>
  <c r="L2098" i="15"/>
  <c r="M2098" i="15"/>
  <c r="N2098" i="15"/>
  <c r="O2098" i="15"/>
  <c r="P2098" i="15"/>
  <c r="Q2098" i="15"/>
  <c r="T2098" i="15"/>
  <c r="U2098" i="15"/>
  <c r="V2098" i="15"/>
  <c r="W2098" i="15"/>
  <c r="X2098" i="15"/>
  <c r="Y2098" i="15"/>
  <c r="Z2098" i="15"/>
  <c r="AA2098" i="15"/>
  <c r="B2099" i="15"/>
  <c r="C2099" i="15"/>
  <c r="D2099" i="15"/>
  <c r="E2099" i="15"/>
  <c r="J2099" i="15"/>
  <c r="K2099" i="15"/>
  <c r="L2099" i="15"/>
  <c r="M2099" i="15"/>
  <c r="N2099" i="15"/>
  <c r="O2099" i="15"/>
  <c r="P2099" i="15"/>
  <c r="Q2099" i="15"/>
  <c r="T2099" i="15"/>
  <c r="U2099" i="15"/>
  <c r="V2099" i="15"/>
  <c r="W2099" i="15"/>
  <c r="X2099" i="15"/>
  <c r="Y2099" i="15"/>
  <c r="Z2099" i="15"/>
  <c r="AA2099" i="15"/>
  <c r="B2100" i="15"/>
  <c r="C2100" i="15"/>
  <c r="D2100" i="15"/>
  <c r="E2100" i="15"/>
  <c r="J2100" i="15"/>
  <c r="K2100" i="15"/>
  <c r="L2100" i="15"/>
  <c r="M2100" i="15"/>
  <c r="N2100" i="15"/>
  <c r="O2100" i="15"/>
  <c r="P2100" i="15"/>
  <c r="Q2100" i="15"/>
  <c r="T2100" i="15"/>
  <c r="U2100" i="15"/>
  <c r="V2100" i="15"/>
  <c r="W2100" i="15"/>
  <c r="X2100" i="15"/>
  <c r="Y2100" i="15"/>
  <c r="Z2100" i="15"/>
  <c r="AA2100" i="15"/>
  <c r="B2101" i="15"/>
  <c r="C2101" i="15"/>
  <c r="D2101" i="15"/>
  <c r="E2101" i="15"/>
  <c r="J2101" i="15"/>
  <c r="K2101" i="15"/>
  <c r="L2101" i="15"/>
  <c r="M2101" i="15"/>
  <c r="N2101" i="15"/>
  <c r="O2101" i="15"/>
  <c r="P2101" i="15"/>
  <c r="Q2101" i="15"/>
  <c r="T2101" i="15"/>
  <c r="U2101" i="15"/>
  <c r="V2101" i="15"/>
  <c r="W2101" i="15"/>
  <c r="X2101" i="15"/>
  <c r="Y2101" i="15"/>
  <c r="Z2101" i="15"/>
  <c r="AA2101" i="15"/>
  <c r="B2102" i="15"/>
  <c r="C2102" i="15"/>
  <c r="D2102" i="15"/>
  <c r="E2102" i="15"/>
  <c r="J2102" i="15"/>
  <c r="K2102" i="15"/>
  <c r="L2102" i="15"/>
  <c r="M2102" i="15"/>
  <c r="N2102" i="15"/>
  <c r="O2102" i="15"/>
  <c r="P2102" i="15"/>
  <c r="Q2102" i="15"/>
  <c r="T2102" i="15"/>
  <c r="U2102" i="15"/>
  <c r="V2102" i="15"/>
  <c r="W2102" i="15"/>
  <c r="X2102" i="15"/>
  <c r="Y2102" i="15"/>
  <c r="Z2102" i="15"/>
  <c r="AA2102" i="15"/>
  <c r="B2103" i="15"/>
  <c r="C2103" i="15"/>
  <c r="D2103" i="15"/>
  <c r="E2103" i="15"/>
  <c r="J2103" i="15"/>
  <c r="K2103" i="15"/>
  <c r="L2103" i="15"/>
  <c r="M2103" i="15"/>
  <c r="N2103" i="15"/>
  <c r="O2103" i="15"/>
  <c r="P2103" i="15"/>
  <c r="Q2103" i="15"/>
  <c r="T2103" i="15"/>
  <c r="U2103" i="15"/>
  <c r="V2103" i="15"/>
  <c r="W2103" i="15"/>
  <c r="X2103" i="15"/>
  <c r="Y2103" i="15"/>
  <c r="Z2103" i="15"/>
  <c r="AA2103" i="15"/>
  <c r="B2104" i="15"/>
  <c r="C2104" i="15"/>
  <c r="D2104" i="15"/>
  <c r="E2104" i="15"/>
  <c r="J2104" i="15"/>
  <c r="K2104" i="15"/>
  <c r="L2104" i="15"/>
  <c r="M2104" i="15"/>
  <c r="N2104" i="15"/>
  <c r="O2104" i="15"/>
  <c r="P2104" i="15"/>
  <c r="Q2104" i="15"/>
  <c r="T2104" i="15"/>
  <c r="U2104" i="15"/>
  <c r="V2104" i="15"/>
  <c r="W2104" i="15"/>
  <c r="X2104" i="15"/>
  <c r="Y2104" i="15"/>
  <c r="Z2104" i="15"/>
  <c r="AA2104" i="15"/>
  <c r="B2105" i="15"/>
  <c r="C2105" i="15"/>
  <c r="D2105" i="15"/>
  <c r="E2105" i="15"/>
  <c r="J2105" i="15"/>
  <c r="K2105" i="15"/>
  <c r="L2105" i="15"/>
  <c r="M2105" i="15"/>
  <c r="N2105" i="15"/>
  <c r="O2105" i="15"/>
  <c r="P2105" i="15"/>
  <c r="Q2105" i="15"/>
  <c r="T2105" i="15"/>
  <c r="U2105" i="15"/>
  <c r="V2105" i="15"/>
  <c r="W2105" i="15"/>
  <c r="X2105" i="15"/>
  <c r="Y2105" i="15"/>
  <c r="Z2105" i="15"/>
  <c r="AA2105" i="15"/>
  <c r="B2106" i="15"/>
  <c r="C2106" i="15"/>
  <c r="D2106" i="15"/>
  <c r="E2106" i="15"/>
  <c r="J2106" i="15"/>
  <c r="K2106" i="15"/>
  <c r="L2106" i="15"/>
  <c r="M2106" i="15"/>
  <c r="N2106" i="15"/>
  <c r="O2106" i="15"/>
  <c r="P2106" i="15"/>
  <c r="Q2106" i="15"/>
  <c r="T2106" i="15"/>
  <c r="U2106" i="15"/>
  <c r="V2106" i="15"/>
  <c r="W2106" i="15"/>
  <c r="X2106" i="15"/>
  <c r="Y2106" i="15"/>
  <c r="Z2106" i="15"/>
  <c r="AA2106" i="15"/>
  <c r="B2107" i="15"/>
  <c r="C2107" i="15"/>
  <c r="D2107" i="15"/>
  <c r="E2107" i="15"/>
  <c r="J2107" i="15"/>
  <c r="K2107" i="15"/>
  <c r="L2107" i="15"/>
  <c r="M2107" i="15"/>
  <c r="N2107" i="15"/>
  <c r="O2107" i="15"/>
  <c r="P2107" i="15"/>
  <c r="Q2107" i="15"/>
  <c r="T2107" i="15"/>
  <c r="U2107" i="15"/>
  <c r="V2107" i="15"/>
  <c r="W2107" i="15"/>
  <c r="X2107" i="15"/>
  <c r="Y2107" i="15"/>
  <c r="Z2107" i="15"/>
  <c r="AA2107" i="15"/>
  <c r="B2108" i="15"/>
  <c r="C2108" i="15"/>
  <c r="D2108" i="15"/>
  <c r="E2108" i="15"/>
  <c r="J2108" i="15"/>
  <c r="K2108" i="15"/>
  <c r="L2108" i="15"/>
  <c r="M2108" i="15"/>
  <c r="N2108" i="15"/>
  <c r="O2108" i="15"/>
  <c r="P2108" i="15"/>
  <c r="Q2108" i="15"/>
  <c r="T2108" i="15"/>
  <c r="U2108" i="15"/>
  <c r="V2108" i="15"/>
  <c r="W2108" i="15"/>
  <c r="X2108" i="15"/>
  <c r="Y2108" i="15"/>
  <c r="Z2108" i="15"/>
  <c r="AA2108" i="15"/>
  <c r="B2109" i="15"/>
  <c r="C2109" i="15"/>
  <c r="D2109" i="15"/>
  <c r="E2109" i="15"/>
  <c r="J2109" i="15"/>
  <c r="K2109" i="15"/>
  <c r="L2109" i="15"/>
  <c r="M2109" i="15"/>
  <c r="N2109" i="15"/>
  <c r="O2109" i="15"/>
  <c r="P2109" i="15"/>
  <c r="Q2109" i="15"/>
  <c r="T2109" i="15"/>
  <c r="U2109" i="15"/>
  <c r="V2109" i="15"/>
  <c r="W2109" i="15"/>
  <c r="X2109" i="15"/>
  <c r="Y2109" i="15"/>
  <c r="Z2109" i="15"/>
  <c r="AA2109" i="15"/>
  <c r="B2110" i="15"/>
  <c r="C2110" i="15"/>
  <c r="D2110" i="15"/>
  <c r="E2110" i="15"/>
  <c r="J2110" i="15"/>
  <c r="K2110" i="15"/>
  <c r="L2110" i="15"/>
  <c r="M2110" i="15"/>
  <c r="N2110" i="15"/>
  <c r="O2110" i="15"/>
  <c r="P2110" i="15"/>
  <c r="Q2110" i="15"/>
  <c r="T2110" i="15"/>
  <c r="U2110" i="15"/>
  <c r="V2110" i="15"/>
  <c r="W2110" i="15"/>
  <c r="X2110" i="15"/>
  <c r="Y2110" i="15"/>
  <c r="Z2110" i="15"/>
  <c r="AA2110" i="15"/>
  <c r="B2111" i="15"/>
  <c r="C2111" i="15"/>
  <c r="D2111" i="15"/>
  <c r="E2111" i="15"/>
  <c r="J2111" i="15"/>
  <c r="K2111" i="15"/>
  <c r="L2111" i="15"/>
  <c r="M2111" i="15"/>
  <c r="N2111" i="15"/>
  <c r="O2111" i="15"/>
  <c r="P2111" i="15"/>
  <c r="Q2111" i="15"/>
  <c r="T2111" i="15"/>
  <c r="U2111" i="15"/>
  <c r="V2111" i="15"/>
  <c r="W2111" i="15"/>
  <c r="X2111" i="15"/>
  <c r="Y2111" i="15"/>
  <c r="Z2111" i="15"/>
  <c r="AA2111" i="15"/>
  <c r="B2112" i="15"/>
  <c r="C2112" i="15"/>
  <c r="D2112" i="15"/>
  <c r="E2112" i="15"/>
  <c r="J2112" i="15"/>
  <c r="K2112" i="15"/>
  <c r="L2112" i="15"/>
  <c r="M2112" i="15"/>
  <c r="N2112" i="15"/>
  <c r="O2112" i="15"/>
  <c r="P2112" i="15"/>
  <c r="Q2112" i="15"/>
  <c r="T2112" i="15"/>
  <c r="U2112" i="15"/>
  <c r="V2112" i="15"/>
  <c r="W2112" i="15"/>
  <c r="X2112" i="15"/>
  <c r="Y2112" i="15"/>
  <c r="Z2112" i="15"/>
  <c r="AA2112" i="15"/>
  <c r="B2113" i="15"/>
  <c r="C2113" i="15"/>
  <c r="D2113" i="15"/>
  <c r="E2113" i="15"/>
  <c r="J2113" i="15"/>
  <c r="K2113" i="15"/>
  <c r="L2113" i="15"/>
  <c r="M2113" i="15"/>
  <c r="N2113" i="15"/>
  <c r="O2113" i="15"/>
  <c r="P2113" i="15"/>
  <c r="Q2113" i="15"/>
  <c r="T2113" i="15"/>
  <c r="U2113" i="15"/>
  <c r="V2113" i="15"/>
  <c r="W2113" i="15"/>
  <c r="X2113" i="15"/>
  <c r="Y2113" i="15"/>
  <c r="Z2113" i="15"/>
  <c r="AA2113" i="15"/>
  <c r="B2114" i="15"/>
  <c r="C2114" i="15"/>
  <c r="D2114" i="15"/>
  <c r="E2114" i="15"/>
  <c r="J2114" i="15"/>
  <c r="K2114" i="15"/>
  <c r="L2114" i="15"/>
  <c r="M2114" i="15"/>
  <c r="N2114" i="15"/>
  <c r="O2114" i="15"/>
  <c r="P2114" i="15"/>
  <c r="Q2114" i="15"/>
  <c r="T2114" i="15"/>
  <c r="U2114" i="15"/>
  <c r="V2114" i="15"/>
  <c r="W2114" i="15"/>
  <c r="X2114" i="15"/>
  <c r="Y2114" i="15"/>
  <c r="Z2114" i="15"/>
  <c r="AA2114" i="15"/>
  <c r="B2115" i="15"/>
  <c r="C2115" i="15"/>
  <c r="D2115" i="15"/>
  <c r="E2115" i="15"/>
  <c r="J2115" i="15"/>
  <c r="K2115" i="15"/>
  <c r="L2115" i="15"/>
  <c r="M2115" i="15"/>
  <c r="N2115" i="15"/>
  <c r="O2115" i="15"/>
  <c r="P2115" i="15"/>
  <c r="Q2115" i="15"/>
  <c r="T2115" i="15"/>
  <c r="U2115" i="15"/>
  <c r="V2115" i="15"/>
  <c r="W2115" i="15"/>
  <c r="X2115" i="15"/>
  <c r="Y2115" i="15"/>
  <c r="Z2115" i="15"/>
  <c r="AA2115" i="15"/>
  <c r="B2116" i="15"/>
  <c r="C2116" i="15"/>
  <c r="D2116" i="15"/>
  <c r="E2116" i="15"/>
  <c r="J2116" i="15"/>
  <c r="K2116" i="15"/>
  <c r="L2116" i="15"/>
  <c r="M2116" i="15"/>
  <c r="N2116" i="15"/>
  <c r="O2116" i="15"/>
  <c r="P2116" i="15"/>
  <c r="Q2116" i="15"/>
  <c r="T2116" i="15"/>
  <c r="U2116" i="15"/>
  <c r="V2116" i="15"/>
  <c r="W2116" i="15"/>
  <c r="X2116" i="15"/>
  <c r="Y2116" i="15"/>
  <c r="Z2116" i="15"/>
  <c r="AA2116" i="15"/>
  <c r="B2117" i="15"/>
  <c r="C2117" i="15"/>
  <c r="D2117" i="15"/>
  <c r="E2117" i="15"/>
  <c r="J2117" i="15"/>
  <c r="K2117" i="15"/>
  <c r="L2117" i="15"/>
  <c r="M2117" i="15"/>
  <c r="N2117" i="15"/>
  <c r="O2117" i="15"/>
  <c r="P2117" i="15"/>
  <c r="Q2117" i="15"/>
  <c r="T2117" i="15"/>
  <c r="U2117" i="15"/>
  <c r="V2117" i="15"/>
  <c r="W2117" i="15"/>
  <c r="X2117" i="15"/>
  <c r="Y2117" i="15"/>
  <c r="Z2117" i="15"/>
  <c r="AA2117" i="15"/>
  <c r="B2118" i="15"/>
  <c r="C2118" i="15"/>
  <c r="D2118" i="15"/>
  <c r="E2118" i="15"/>
  <c r="J2118" i="15"/>
  <c r="K2118" i="15"/>
  <c r="L2118" i="15"/>
  <c r="M2118" i="15"/>
  <c r="N2118" i="15"/>
  <c r="O2118" i="15"/>
  <c r="P2118" i="15"/>
  <c r="Q2118" i="15"/>
  <c r="T2118" i="15"/>
  <c r="U2118" i="15"/>
  <c r="V2118" i="15"/>
  <c r="W2118" i="15"/>
  <c r="X2118" i="15"/>
  <c r="Y2118" i="15"/>
  <c r="Z2118" i="15"/>
  <c r="AA2118" i="15"/>
  <c r="B2119" i="15"/>
  <c r="C2119" i="15"/>
  <c r="D2119" i="15"/>
  <c r="E2119" i="15"/>
  <c r="J2119" i="15"/>
  <c r="K2119" i="15"/>
  <c r="L2119" i="15"/>
  <c r="M2119" i="15"/>
  <c r="N2119" i="15"/>
  <c r="O2119" i="15"/>
  <c r="P2119" i="15"/>
  <c r="Q2119" i="15"/>
  <c r="T2119" i="15"/>
  <c r="U2119" i="15"/>
  <c r="V2119" i="15"/>
  <c r="W2119" i="15"/>
  <c r="X2119" i="15"/>
  <c r="Y2119" i="15"/>
  <c r="Z2119" i="15"/>
  <c r="AA2119" i="15"/>
  <c r="B2120" i="15"/>
  <c r="C2120" i="15"/>
  <c r="D2120" i="15"/>
  <c r="E2120" i="15"/>
  <c r="J2120" i="15"/>
  <c r="K2120" i="15"/>
  <c r="L2120" i="15"/>
  <c r="M2120" i="15"/>
  <c r="N2120" i="15"/>
  <c r="O2120" i="15"/>
  <c r="P2120" i="15"/>
  <c r="Q2120" i="15"/>
  <c r="T2120" i="15"/>
  <c r="U2120" i="15"/>
  <c r="V2120" i="15"/>
  <c r="W2120" i="15"/>
  <c r="X2120" i="15"/>
  <c r="Y2120" i="15"/>
  <c r="Z2120" i="15"/>
  <c r="AA2120" i="15"/>
  <c r="B2121" i="15"/>
  <c r="C2121" i="15"/>
  <c r="D2121" i="15"/>
  <c r="E2121" i="15"/>
  <c r="J2121" i="15"/>
  <c r="K2121" i="15"/>
  <c r="L2121" i="15"/>
  <c r="M2121" i="15"/>
  <c r="N2121" i="15"/>
  <c r="O2121" i="15"/>
  <c r="P2121" i="15"/>
  <c r="Q2121" i="15"/>
  <c r="T2121" i="15"/>
  <c r="U2121" i="15"/>
  <c r="V2121" i="15"/>
  <c r="W2121" i="15"/>
  <c r="X2121" i="15"/>
  <c r="Y2121" i="15"/>
  <c r="Z2121" i="15"/>
  <c r="AA2121" i="15"/>
  <c r="B2122" i="15"/>
  <c r="C2122" i="15"/>
  <c r="D2122" i="15"/>
  <c r="E2122" i="15"/>
  <c r="J2122" i="15"/>
  <c r="K2122" i="15"/>
  <c r="L2122" i="15"/>
  <c r="M2122" i="15"/>
  <c r="N2122" i="15"/>
  <c r="O2122" i="15"/>
  <c r="P2122" i="15"/>
  <c r="Q2122" i="15"/>
  <c r="T2122" i="15"/>
  <c r="U2122" i="15"/>
  <c r="V2122" i="15"/>
  <c r="W2122" i="15"/>
  <c r="X2122" i="15"/>
  <c r="Y2122" i="15"/>
  <c r="Z2122" i="15"/>
  <c r="AA2122" i="15"/>
  <c r="B2123" i="15"/>
  <c r="C2123" i="15"/>
  <c r="D2123" i="15"/>
  <c r="E2123" i="15"/>
  <c r="J2123" i="15"/>
  <c r="K2123" i="15"/>
  <c r="L2123" i="15"/>
  <c r="M2123" i="15"/>
  <c r="N2123" i="15"/>
  <c r="O2123" i="15"/>
  <c r="P2123" i="15"/>
  <c r="Q2123" i="15"/>
  <c r="T2123" i="15"/>
  <c r="U2123" i="15"/>
  <c r="V2123" i="15"/>
  <c r="W2123" i="15"/>
  <c r="X2123" i="15"/>
  <c r="Y2123" i="15"/>
  <c r="Z2123" i="15"/>
  <c r="AA2123" i="15"/>
  <c r="B2124" i="15"/>
  <c r="C2124" i="15"/>
  <c r="D2124" i="15"/>
  <c r="E2124" i="15"/>
  <c r="J2124" i="15"/>
  <c r="K2124" i="15"/>
  <c r="L2124" i="15"/>
  <c r="M2124" i="15"/>
  <c r="N2124" i="15"/>
  <c r="O2124" i="15"/>
  <c r="P2124" i="15"/>
  <c r="Q2124" i="15"/>
  <c r="T2124" i="15"/>
  <c r="U2124" i="15"/>
  <c r="V2124" i="15"/>
  <c r="W2124" i="15"/>
  <c r="X2124" i="15"/>
  <c r="Y2124" i="15"/>
  <c r="Z2124" i="15"/>
  <c r="AA2124" i="15"/>
  <c r="B2125" i="15"/>
  <c r="C2125" i="15"/>
  <c r="D2125" i="15"/>
  <c r="E2125" i="15"/>
  <c r="J2125" i="15"/>
  <c r="K2125" i="15"/>
  <c r="L2125" i="15"/>
  <c r="M2125" i="15"/>
  <c r="N2125" i="15"/>
  <c r="O2125" i="15"/>
  <c r="P2125" i="15"/>
  <c r="Q2125" i="15"/>
  <c r="T2125" i="15"/>
  <c r="U2125" i="15"/>
  <c r="V2125" i="15"/>
  <c r="W2125" i="15"/>
  <c r="X2125" i="15"/>
  <c r="Y2125" i="15"/>
  <c r="Z2125" i="15"/>
  <c r="AA2125" i="15"/>
  <c r="B2126" i="15"/>
  <c r="C2126" i="15"/>
  <c r="D2126" i="15"/>
  <c r="E2126" i="15"/>
  <c r="J2126" i="15"/>
  <c r="K2126" i="15"/>
  <c r="L2126" i="15"/>
  <c r="M2126" i="15"/>
  <c r="N2126" i="15"/>
  <c r="O2126" i="15"/>
  <c r="P2126" i="15"/>
  <c r="Q2126" i="15"/>
  <c r="T2126" i="15"/>
  <c r="U2126" i="15"/>
  <c r="V2126" i="15"/>
  <c r="W2126" i="15"/>
  <c r="X2126" i="15"/>
  <c r="Y2126" i="15"/>
  <c r="Z2126" i="15"/>
  <c r="AA2126" i="15"/>
  <c r="B2127" i="15"/>
  <c r="C2127" i="15"/>
  <c r="D2127" i="15"/>
  <c r="E2127" i="15"/>
  <c r="J2127" i="15"/>
  <c r="K2127" i="15"/>
  <c r="L2127" i="15"/>
  <c r="M2127" i="15"/>
  <c r="N2127" i="15"/>
  <c r="O2127" i="15"/>
  <c r="P2127" i="15"/>
  <c r="Q2127" i="15"/>
  <c r="T2127" i="15"/>
  <c r="U2127" i="15"/>
  <c r="V2127" i="15"/>
  <c r="W2127" i="15"/>
  <c r="X2127" i="15"/>
  <c r="Y2127" i="15"/>
  <c r="Z2127" i="15"/>
  <c r="AA2127" i="15"/>
  <c r="B2128" i="15"/>
  <c r="C2128" i="15"/>
  <c r="D2128" i="15"/>
  <c r="E2128" i="15"/>
  <c r="J2128" i="15"/>
  <c r="K2128" i="15"/>
  <c r="L2128" i="15"/>
  <c r="M2128" i="15"/>
  <c r="N2128" i="15"/>
  <c r="O2128" i="15"/>
  <c r="P2128" i="15"/>
  <c r="Q2128" i="15"/>
  <c r="T2128" i="15"/>
  <c r="U2128" i="15"/>
  <c r="V2128" i="15"/>
  <c r="W2128" i="15"/>
  <c r="X2128" i="15"/>
  <c r="Y2128" i="15"/>
  <c r="Z2128" i="15"/>
  <c r="AA2128" i="15"/>
  <c r="B2129" i="15"/>
  <c r="C2129" i="15"/>
  <c r="D2129" i="15"/>
  <c r="E2129" i="15"/>
  <c r="J2129" i="15"/>
  <c r="K2129" i="15"/>
  <c r="L2129" i="15"/>
  <c r="M2129" i="15"/>
  <c r="N2129" i="15"/>
  <c r="O2129" i="15"/>
  <c r="P2129" i="15"/>
  <c r="Q2129" i="15"/>
  <c r="T2129" i="15"/>
  <c r="U2129" i="15"/>
  <c r="V2129" i="15"/>
  <c r="W2129" i="15"/>
  <c r="X2129" i="15"/>
  <c r="Y2129" i="15"/>
  <c r="Z2129" i="15"/>
  <c r="AA2129" i="15"/>
  <c r="B2130" i="15"/>
  <c r="C2130" i="15"/>
  <c r="D2130" i="15"/>
  <c r="E2130" i="15"/>
  <c r="J2130" i="15"/>
  <c r="K2130" i="15"/>
  <c r="L2130" i="15"/>
  <c r="M2130" i="15"/>
  <c r="N2130" i="15"/>
  <c r="O2130" i="15"/>
  <c r="P2130" i="15"/>
  <c r="Q2130" i="15"/>
  <c r="T2130" i="15"/>
  <c r="U2130" i="15"/>
  <c r="V2130" i="15"/>
  <c r="W2130" i="15"/>
  <c r="X2130" i="15"/>
  <c r="Y2130" i="15"/>
  <c r="Z2130" i="15"/>
  <c r="AA2130" i="15"/>
  <c r="B2131" i="15"/>
  <c r="C2131" i="15"/>
  <c r="D2131" i="15"/>
  <c r="E2131" i="15"/>
  <c r="J2131" i="15"/>
  <c r="K2131" i="15"/>
  <c r="L2131" i="15"/>
  <c r="M2131" i="15"/>
  <c r="N2131" i="15"/>
  <c r="O2131" i="15"/>
  <c r="P2131" i="15"/>
  <c r="Q2131" i="15"/>
  <c r="T2131" i="15"/>
  <c r="U2131" i="15"/>
  <c r="V2131" i="15"/>
  <c r="W2131" i="15"/>
  <c r="X2131" i="15"/>
  <c r="Y2131" i="15"/>
  <c r="Z2131" i="15"/>
  <c r="AA2131" i="15"/>
  <c r="B2132" i="15"/>
  <c r="C2132" i="15"/>
  <c r="D2132" i="15"/>
  <c r="E2132" i="15"/>
  <c r="J2132" i="15"/>
  <c r="K2132" i="15"/>
  <c r="L2132" i="15"/>
  <c r="M2132" i="15"/>
  <c r="N2132" i="15"/>
  <c r="O2132" i="15"/>
  <c r="P2132" i="15"/>
  <c r="Q2132" i="15"/>
  <c r="T2132" i="15"/>
  <c r="U2132" i="15"/>
  <c r="V2132" i="15"/>
  <c r="W2132" i="15"/>
  <c r="X2132" i="15"/>
  <c r="Y2132" i="15"/>
  <c r="Z2132" i="15"/>
  <c r="AA2132" i="15"/>
  <c r="B2133" i="15"/>
  <c r="C2133" i="15"/>
  <c r="D2133" i="15"/>
  <c r="E2133" i="15"/>
  <c r="J2133" i="15"/>
  <c r="K2133" i="15"/>
  <c r="L2133" i="15"/>
  <c r="M2133" i="15"/>
  <c r="N2133" i="15"/>
  <c r="O2133" i="15"/>
  <c r="P2133" i="15"/>
  <c r="Q2133" i="15"/>
  <c r="T2133" i="15"/>
  <c r="U2133" i="15"/>
  <c r="V2133" i="15"/>
  <c r="W2133" i="15"/>
  <c r="X2133" i="15"/>
  <c r="Y2133" i="15"/>
  <c r="Z2133" i="15"/>
  <c r="AA2133" i="15"/>
  <c r="B2134" i="15"/>
  <c r="C2134" i="15"/>
  <c r="D2134" i="15"/>
  <c r="E2134" i="15"/>
  <c r="J2134" i="15"/>
  <c r="K2134" i="15"/>
  <c r="L2134" i="15"/>
  <c r="M2134" i="15"/>
  <c r="N2134" i="15"/>
  <c r="O2134" i="15"/>
  <c r="P2134" i="15"/>
  <c r="Q2134" i="15"/>
  <c r="T2134" i="15"/>
  <c r="U2134" i="15"/>
  <c r="V2134" i="15"/>
  <c r="W2134" i="15"/>
  <c r="X2134" i="15"/>
  <c r="Y2134" i="15"/>
  <c r="Z2134" i="15"/>
  <c r="AA2134" i="15"/>
  <c r="B2135" i="15"/>
  <c r="C2135" i="15"/>
  <c r="D2135" i="15"/>
  <c r="E2135" i="15"/>
  <c r="J2135" i="15"/>
  <c r="K2135" i="15"/>
  <c r="L2135" i="15"/>
  <c r="M2135" i="15"/>
  <c r="N2135" i="15"/>
  <c r="O2135" i="15"/>
  <c r="P2135" i="15"/>
  <c r="Q2135" i="15"/>
  <c r="T2135" i="15"/>
  <c r="U2135" i="15"/>
  <c r="V2135" i="15"/>
  <c r="W2135" i="15"/>
  <c r="X2135" i="15"/>
  <c r="Y2135" i="15"/>
  <c r="Z2135" i="15"/>
  <c r="AA2135" i="15"/>
  <c r="B2136" i="15"/>
  <c r="C2136" i="15"/>
  <c r="D2136" i="15"/>
  <c r="E2136" i="15"/>
  <c r="J2136" i="15"/>
  <c r="K2136" i="15"/>
  <c r="L2136" i="15"/>
  <c r="M2136" i="15"/>
  <c r="N2136" i="15"/>
  <c r="O2136" i="15"/>
  <c r="P2136" i="15"/>
  <c r="Q2136" i="15"/>
  <c r="T2136" i="15"/>
  <c r="U2136" i="15"/>
  <c r="V2136" i="15"/>
  <c r="W2136" i="15"/>
  <c r="X2136" i="15"/>
  <c r="Y2136" i="15"/>
  <c r="Z2136" i="15"/>
  <c r="AA2136" i="15"/>
  <c r="B2137" i="15"/>
  <c r="C2137" i="15"/>
  <c r="D2137" i="15"/>
  <c r="E2137" i="15"/>
  <c r="J2137" i="15"/>
  <c r="K2137" i="15"/>
  <c r="L2137" i="15"/>
  <c r="M2137" i="15"/>
  <c r="N2137" i="15"/>
  <c r="O2137" i="15"/>
  <c r="P2137" i="15"/>
  <c r="Q2137" i="15"/>
  <c r="T2137" i="15"/>
  <c r="U2137" i="15"/>
  <c r="V2137" i="15"/>
  <c r="W2137" i="15"/>
  <c r="X2137" i="15"/>
  <c r="Y2137" i="15"/>
  <c r="Z2137" i="15"/>
  <c r="AA2137" i="15"/>
  <c r="B2138" i="15"/>
  <c r="C2138" i="15"/>
  <c r="D2138" i="15"/>
  <c r="E2138" i="15"/>
  <c r="J2138" i="15"/>
  <c r="K2138" i="15"/>
  <c r="L2138" i="15"/>
  <c r="M2138" i="15"/>
  <c r="N2138" i="15"/>
  <c r="O2138" i="15"/>
  <c r="P2138" i="15"/>
  <c r="Q2138" i="15"/>
  <c r="T2138" i="15"/>
  <c r="U2138" i="15"/>
  <c r="V2138" i="15"/>
  <c r="W2138" i="15"/>
  <c r="X2138" i="15"/>
  <c r="Y2138" i="15"/>
  <c r="Z2138" i="15"/>
  <c r="AA2138" i="15"/>
  <c r="B2139" i="15"/>
  <c r="C2139" i="15"/>
  <c r="D2139" i="15"/>
  <c r="E2139" i="15"/>
  <c r="J2139" i="15"/>
  <c r="K2139" i="15"/>
  <c r="L2139" i="15"/>
  <c r="M2139" i="15"/>
  <c r="N2139" i="15"/>
  <c r="O2139" i="15"/>
  <c r="P2139" i="15"/>
  <c r="Q2139" i="15"/>
  <c r="T2139" i="15"/>
  <c r="U2139" i="15"/>
  <c r="V2139" i="15"/>
  <c r="W2139" i="15"/>
  <c r="X2139" i="15"/>
  <c r="Y2139" i="15"/>
  <c r="Z2139" i="15"/>
  <c r="AA2139" i="15"/>
  <c r="B2140" i="15"/>
  <c r="C2140" i="15"/>
  <c r="D2140" i="15"/>
  <c r="E2140" i="15"/>
  <c r="J2140" i="15"/>
  <c r="K2140" i="15"/>
  <c r="L2140" i="15"/>
  <c r="M2140" i="15"/>
  <c r="N2140" i="15"/>
  <c r="O2140" i="15"/>
  <c r="P2140" i="15"/>
  <c r="Q2140" i="15"/>
  <c r="T2140" i="15"/>
  <c r="U2140" i="15"/>
  <c r="V2140" i="15"/>
  <c r="W2140" i="15"/>
  <c r="X2140" i="15"/>
  <c r="Y2140" i="15"/>
  <c r="Z2140" i="15"/>
  <c r="AA2140" i="15"/>
  <c r="B2141" i="15"/>
  <c r="C2141" i="15"/>
  <c r="D2141" i="15"/>
  <c r="E2141" i="15"/>
  <c r="J2141" i="15"/>
  <c r="K2141" i="15"/>
  <c r="L2141" i="15"/>
  <c r="M2141" i="15"/>
  <c r="N2141" i="15"/>
  <c r="O2141" i="15"/>
  <c r="P2141" i="15"/>
  <c r="Q2141" i="15"/>
  <c r="T2141" i="15"/>
  <c r="U2141" i="15"/>
  <c r="V2141" i="15"/>
  <c r="W2141" i="15"/>
  <c r="X2141" i="15"/>
  <c r="Y2141" i="15"/>
  <c r="Z2141" i="15"/>
  <c r="AA2141" i="15"/>
  <c r="B2142" i="15"/>
  <c r="C2142" i="15"/>
  <c r="D2142" i="15"/>
  <c r="E2142" i="15"/>
  <c r="J2142" i="15"/>
  <c r="K2142" i="15"/>
  <c r="L2142" i="15"/>
  <c r="M2142" i="15"/>
  <c r="N2142" i="15"/>
  <c r="O2142" i="15"/>
  <c r="P2142" i="15"/>
  <c r="Q2142" i="15"/>
  <c r="T2142" i="15"/>
  <c r="U2142" i="15"/>
  <c r="V2142" i="15"/>
  <c r="W2142" i="15"/>
  <c r="X2142" i="15"/>
  <c r="Y2142" i="15"/>
  <c r="Z2142" i="15"/>
  <c r="AA2142" i="15"/>
  <c r="B2143" i="15"/>
  <c r="C2143" i="15"/>
  <c r="D2143" i="15"/>
  <c r="E2143" i="15"/>
  <c r="J2143" i="15"/>
  <c r="K2143" i="15"/>
  <c r="L2143" i="15"/>
  <c r="M2143" i="15"/>
  <c r="N2143" i="15"/>
  <c r="O2143" i="15"/>
  <c r="P2143" i="15"/>
  <c r="Q2143" i="15"/>
  <c r="T2143" i="15"/>
  <c r="U2143" i="15"/>
  <c r="V2143" i="15"/>
  <c r="W2143" i="15"/>
  <c r="X2143" i="15"/>
  <c r="Y2143" i="15"/>
  <c r="Z2143" i="15"/>
  <c r="AA2143" i="15"/>
  <c r="B2144" i="15"/>
  <c r="C2144" i="15"/>
  <c r="D2144" i="15"/>
  <c r="E2144" i="15"/>
  <c r="J2144" i="15"/>
  <c r="K2144" i="15"/>
  <c r="L2144" i="15"/>
  <c r="M2144" i="15"/>
  <c r="N2144" i="15"/>
  <c r="O2144" i="15"/>
  <c r="P2144" i="15"/>
  <c r="Q2144" i="15"/>
  <c r="T2144" i="15"/>
  <c r="U2144" i="15"/>
  <c r="V2144" i="15"/>
  <c r="W2144" i="15"/>
  <c r="X2144" i="15"/>
  <c r="Y2144" i="15"/>
  <c r="Z2144" i="15"/>
  <c r="AA2144" i="15"/>
  <c r="B2145" i="15"/>
  <c r="C2145" i="15"/>
  <c r="D2145" i="15"/>
  <c r="E2145" i="15"/>
  <c r="J2145" i="15"/>
  <c r="K2145" i="15"/>
  <c r="L2145" i="15"/>
  <c r="M2145" i="15"/>
  <c r="N2145" i="15"/>
  <c r="O2145" i="15"/>
  <c r="P2145" i="15"/>
  <c r="Q2145" i="15"/>
  <c r="T2145" i="15"/>
  <c r="U2145" i="15"/>
  <c r="V2145" i="15"/>
  <c r="W2145" i="15"/>
  <c r="X2145" i="15"/>
  <c r="Y2145" i="15"/>
  <c r="Z2145" i="15"/>
  <c r="AA2145" i="15"/>
  <c r="B2146" i="15"/>
  <c r="C2146" i="15"/>
  <c r="D2146" i="15"/>
  <c r="E2146" i="15"/>
  <c r="J2146" i="15"/>
  <c r="K2146" i="15"/>
  <c r="L2146" i="15"/>
  <c r="M2146" i="15"/>
  <c r="N2146" i="15"/>
  <c r="O2146" i="15"/>
  <c r="P2146" i="15"/>
  <c r="Q2146" i="15"/>
  <c r="T2146" i="15"/>
  <c r="U2146" i="15"/>
  <c r="V2146" i="15"/>
  <c r="W2146" i="15"/>
  <c r="X2146" i="15"/>
  <c r="Y2146" i="15"/>
  <c r="Z2146" i="15"/>
  <c r="AA2146" i="15"/>
  <c r="B2147" i="15"/>
  <c r="C2147" i="15"/>
  <c r="D2147" i="15"/>
  <c r="E2147" i="15"/>
  <c r="J2147" i="15"/>
  <c r="K2147" i="15"/>
  <c r="L2147" i="15"/>
  <c r="M2147" i="15"/>
  <c r="N2147" i="15"/>
  <c r="O2147" i="15"/>
  <c r="P2147" i="15"/>
  <c r="Q2147" i="15"/>
  <c r="T2147" i="15"/>
  <c r="U2147" i="15"/>
  <c r="V2147" i="15"/>
  <c r="W2147" i="15"/>
  <c r="X2147" i="15"/>
  <c r="Y2147" i="15"/>
  <c r="Z2147" i="15"/>
  <c r="AA2147" i="15"/>
  <c r="B2148" i="15"/>
  <c r="C2148" i="15"/>
  <c r="D2148" i="15"/>
  <c r="E2148" i="15"/>
  <c r="J2148" i="15"/>
  <c r="K2148" i="15"/>
  <c r="L2148" i="15"/>
  <c r="M2148" i="15"/>
  <c r="N2148" i="15"/>
  <c r="O2148" i="15"/>
  <c r="P2148" i="15"/>
  <c r="Q2148" i="15"/>
  <c r="T2148" i="15"/>
  <c r="U2148" i="15"/>
  <c r="V2148" i="15"/>
  <c r="W2148" i="15"/>
  <c r="X2148" i="15"/>
  <c r="Y2148" i="15"/>
  <c r="Z2148" i="15"/>
  <c r="AA2148" i="15"/>
  <c r="B2149" i="15"/>
  <c r="C2149" i="15"/>
  <c r="D2149" i="15"/>
  <c r="E2149" i="15"/>
  <c r="J2149" i="15"/>
  <c r="K2149" i="15"/>
  <c r="L2149" i="15"/>
  <c r="M2149" i="15"/>
  <c r="N2149" i="15"/>
  <c r="O2149" i="15"/>
  <c r="P2149" i="15"/>
  <c r="Q2149" i="15"/>
  <c r="T2149" i="15"/>
  <c r="U2149" i="15"/>
  <c r="V2149" i="15"/>
  <c r="W2149" i="15"/>
  <c r="X2149" i="15"/>
  <c r="Y2149" i="15"/>
  <c r="Z2149" i="15"/>
  <c r="AA2149" i="15"/>
  <c r="B2150" i="15"/>
  <c r="C2150" i="15"/>
  <c r="D2150" i="15"/>
  <c r="E2150" i="15"/>
  <c r="J2150" i="15"/>
  <c r="K2150" i="15"/>
  <c r="L2150" i="15"/>
  <c r="M2150" i="15"/>
  <c r="N2150" i="15"/>
  <c r="O2150" i="15"/>
  <c r="P2150" i="15"/>
  <c r="Q2150" i="15"/>
  <c r="T2150" i="15"/>
  <c r="U2150" i="15"/>
  <c r="V2150" i="15"/>
  <c r="W2150" i="15"/>
  <c r="X2150" i="15"/>
  <c r="Y2150" i="15"/>
  <c r="Z2150" i="15"/>
  <c r="AA2150" i="15"/>
  <c r="B2151" i="15"/>
  <c r="C2151" i="15"/>
  <c r="D2151" i="15"/>
  <c r="E2151" i="15"/>
  <c r="J2151" i="15"/>
  <c r="K2151" i="15"/>
  <c r="L2151" i="15"/>
  <c r="M2151" i="15"/>
  <c r="N2151" i="15"/>
  <c r="O2151" i="15"/>
  <c r="P2151" i="15"/>
  <c r="Q2151" i="15"/>
  <c r="T2151" i="15"/>
  <c r="U2151" i="15"/>
  <c r="V2151" i="15"/>
  <c r="W2151" i="15"/>
  <c r="X2151" i="15"/>
  <c r="Y2151" i="15"/>
  <c r="Z2151" i="15"/>
  <c r="AA2151" i="15"/>
  <c r="B2152" i="15"/>
  <c r="C2152" i="15"/>
  <c r="D2152" i="15"/>
  <c r="E2152" i="15"/>
  <c r="J2152" i="15"/>
  <c r="K2152" i="15"/>
  <c r="L2152" i="15"/>
  <c r="M2152" i="15"/>
  <c r="N2152" i="15"/>
  <c r="O2152" i="15"/>
  <c r="P2152" i="15"/>
  <c r="Q2152" i="15"/>
  <c r="T2152" i="15"/>
  <c r="U2152" i="15"/>
  <c r="V2152" i="15"/>
  <c r="W2152" i="15"/>
  <c r="X2152" i="15"/>
  <c r="Y2152" i="15"/>
  <c r="Z2152" i="15"/>
  <c r="AA2152" i="15"/>
  <c r="B2153" i="15"/>
  <c r="C2153" i="15"/>
  <c r="D2153" i="15"/>
  <c r="E2153" i="15"/>
  <c r="J2153" i="15"/>
  <c r="K2153" i="15"/>
  <c r="L2153" i="15"/>
  <c r="M2153" i="15"/>
  <c r="N2153" i="15"/>
  <c r="O2153" i="15"/>
  <c r="P2153" i="15"/>
  <c r="Q2153" i="15"/>
  <c r="T2153" i="15"/>
  <c r="U2153" i="15"/>
  <c r="V2153" i="15"/>
  <c r="W2153" i="15"/>
  <c r="X2153" i="15"/>
  <c r="Y2153" i="15"/>
  <c r="Z2153" i="15"/>
  <c r="AA2153" i="15"/>
  <c r="B2154" i="15"/>
  <c r="C2154" i="15"/>
  <c r="D2154" i="15"/>
  <c r="E2154" i="15"/>
  <c r="J2154" i="15"/>
  <c r="K2154" i="15"/>
  <c r="L2154" i="15"/>
  <c r="M2154" i="15"/>
  <c r="N2154" i="15"/>
  <c r="O2154" i="15"/>
  <c r="P2154" i="15"/>
  <c r="Q2154" i="15"/>
  <c r="T2154" i="15"/>
  <c r="U2154" i="15"/>
  <c r="V2154" i="15"/>
  <c r="W2154" i="15"/>
  <c r="X2154" i="15"/>
  <c r="Y2154" i="15"/>
  <c r="Z2154" i="15"/>
  <c r="AA2154" i="15"/>
  <c r="B2155" i="15"/>
  <c r="C2155" i="15"/>
  <c r="D2155" i="15"/>
  <c r="E2155" i="15"/>
  <c r="J2155" i="15"/>
  <c r="K2155" i="15"/>
  <c r="L2155" i="15"/>
  <c r="M2155" i="15"/>
  <c r="N2155" i="15"/>
  <c r="O2155" i="15"/>
  <c r="P2155" i="15"/>
  <c r="Q2155" i="15"/>
  <c r="T2155" i="15"/>
  <c r="U2155" i="15"/>
  <c r="V2155" i="15"/>
  <c r="W2155" i="15"/>
  <c r="X2155" i="15"/>
  <c r="Y2155" i="15"/>
  <c r="Z2155" i="15"/>
  <c r="AA2155" i="15"/>
  <c r="B2156" i="15"/>
  <c r="C2156" i="15"/>
  <c r="D2156" i="15"/>
  <c r="E2156" i="15"/>
  <c r="J2156" i="15"/>
  <c r="K2156" i="15"/>
  <c r="L2156" i="15"/>
  <c r="M2156" i="15"/>
  <c r="N2156" i="15"/>
  <c r="O2156" i="15"/>
  <c r="P2156" i="15"/>
  <c r="Q2156" i="15"/>
  <c r="T2156" i="15"/>
  <c r="U2156" i="15"/>
  <c r="V2156" i="15"/>
  <c r="W2156" i="15"/>
  <c r="X2156" i="15"/>
  <c r="Y2156" i="15"/>
  <c r="Z2156" i="15"/>
  <c r="AA2156" i="15"/>
  <c r="B2157" i="15"/>
  <c r="C2157" i="15"/>
  <c r="D2157" i="15"/>
  <c r="E2157" i="15"/>
  <c r="J2157" i="15"/>
  <c r="K2157" i="15"/>
  <c r="L2157" i="15"/>
  <c r="M2157" i="15"/>
  <c r="N2157" i="15"/>
  <c r="O2157" i="15"/>
  <c r="P2157" i="15"/>
  <c r="Q2157" i="15"/>
  <c r="T2157" i="15"/>
  <c r="U2157" i="15"/>
  <c r="V2157" i="15"/>
  <c r="W2157" i="15"/>
  <c r="X2157" i="15"/>
  <c r="Y2157" i="15"/>
  <c r="Z2157" i="15"/>
  <c r="AA2157" i="15"/>
  <c r="B2158" i="15"/>
  <c r="C2158" i="15"/>
  <c r="D2158" i="15"/>
  <c r="E2158" i="15"/>
  <c r="J2158" i="15"/>
  <c r="K2158" i="15"/>
  <c r="L2158" i="15"/>
  <c r="M2158" i="15"/>
  <c r="N2158" i="15"/>
  <c r="O2158" i="15"/>
  <c r="P2158" i="15"/>
  <c r="Q2158" i="15"/>
  <c r="T2158" i="15"/>
  <c r="U2158" i="15"/>
  <c r="V2158" i="15"/>
  <c r="W2158" i="15"/>
  <c r="X2158" i="15"/>
  <c r="Y2158" i="15"/>
  <c r="Z2158" i="15"/>
  <c r="AA2158" i="15"/>
  <c r="B2159" i="15"/>
  <c r="C2159" i="15"/>
  <c r="D2159" i="15"/>
  <c r="E2159" i="15"/>
  <c r="J2159" i="15"/>
  <c r="K2159" i="15"/>
  <c r="L2159" i="15"/>
  <c r="M2159" i="15"/>
  <c r="N2159" i="15"/>
  <c r="O2159" i="15"/>
  <c r="P2159" i="15"/>
  <c r="Q2159" i="15"/>
  <c r="T2159" i="15"/>
  <c r="U2159" i="15"/>
  <c r="V2159" i="15"/>
  <c r="W2159" i="15"/>
  <c r="X2159" i="15"/>
  <c r="Y2159" i="15"/>
  <c r="Z2159" i="15"/>
  <c r="AA2159" i="15"/>
  <c r="B2160" i="15"/>
  <c r="C2160" i="15"/>
  <c r="D2160" i="15"/>
  <c r="E2160" i="15"/>
  <c r="J2160" i="15"/>
  <c r="K2160" i="15"/>
  <c r="L2160" i="15"/>
  <c r="M2160" i="15"/>
  <c r="N2160" i="15"/>
  <c r="O2160" i="15"/>
  <c r="P2160" i="15"/>
  <c r="Q2160" i="15"/>
  <c r="T2160" i="15"/>
  <c r="U2160" i="15"/>
  <c r="V2160" i="15"/>
  <c r="W2160" i="15"/>
  <c r="X2160" i="15"/>
  <c r="Y2160" i="15"/>
  <c r="Z2160" i="15"/>
  <c r="AA2160" i="15"/>
  <c r="B2161" i="15"/>
  <c r="C2161" i="15"/>
  <c r="D2161" i="15"/>
  <c r="E2161" i="15"/>
  <c r="J2161" i="15"/>
  <c r="K2161" i="15"/>
  <c r="L2161" i="15"/>
  <c r="M2161" i="15"/>
  <c r="N2161" i="15"/>
  <c r="O2161" i="15"/>
  <c r="P2161" i="15"/>
  <c r="Q2161" i="15"/>
  <c r="T2161" i="15"/>
  <c r="U2161" i="15"/>
  <c r="V2161" i="15"/>
  <c r="W2161" i="15"/>
  <c r="X2161" i="15"/>
  <c r="Y2161" i="15"/>
  <c r="Z2161" i="15"/>
  <c r="AA2161" i="15"/>
  <c r="B2162" i="15"/>
  <c r="C2162" i="15"/>
  <c r="D2162" i="15"/>
  <c r="E2162" i="15"/>
  <c r="J2162" i="15"/>
  <c r="K2162" i="15"/>
  <c r="L2162" i="15"/>
  <c r="M2162" i="15"/>
  <c r="N2162" i="15"/>
  <c r="O2162" i="15"/>
  <c r="P2162" i="15"/>
  <c r="Q2162" i="15"/>
  <c r="T2162" i="15"/>
  <c r="U2162" i="15"/>
  <c r="V2162" i="15"/>
  <c r="W2162" i="15"/>
  <c r="X2162" i="15"/>
  <c r="Y2162" i="15"/>
  <c r="Z2162" i="15"/>
  <c r="AA2162" i="15"/>
  <c r="B2163" i="15"/>
  <c r="C2163" i="15"/>
  <c r="D2163" i="15"/>
  <c r="E2163" i="15"/>
  <c r="J2163" i="15"/>
  <c r="K2163" i="15"/>
  <c r="L2163" i="15"/>
  <c r="M2163" i="15"/>
  <c r="N2163" i="15"/>
  <c r="O2163" i="15"/>
  <c r="P2163" i="15"/>
  <c r="Q2163" i="15"/>
  <c r="T2163" i="15"/>
  <c r="U2163" i="15"/>
  <c r="V2163" i="15"/>
  <c r="W2163" i="15"/>
  <c r="X2163" i="15"/>
  <c r="Y2163" i="15"/>
  <c r="Z2163" i="15"/>
  <c r="AA2163" i="15"/>
  <c r="B2164" i="15"/>
  <c r="C2164" i="15"/>
  <c r="D2164" i="15"/>
  <c r="E2164" i="15"/>
  <c r="J2164" i="15"/>
  <c r="K2164" i="15"/>
  <c r="L2164" i="15"/>
  <c r="M2164" i="15"/>
  <c r="N2164" i="15"/>
  <c r="O2164" i="15"/>
  <c r="P2164" i="15"/>
  <c r="Q2164" i="15"/>
  <c r="T2164" i="15"/>
  <c r="U2164" i="15"/>
  <c r="V2164" i="15"/>
  <c r="W2164" i="15"/>
  <c r="X2164" i="15"/>
  <c r="Y2164" i="15"/>
  <c r="Z2164" i="15"/>
  <c r="AA2164" i="15"/>
  <c r="B2165" i="15"/>
  <c r="C2165" i="15"/>
  <c r="D2165" i="15"/>
  <c r="E2165" i="15"/>
  <c r="J2165" i="15"/>
  <c r="K2165" i="15"/>
  <c r="L2165" i="15"/>
  <c r="M2165" i="15"/>
  <c r="N2165" i="15"/>
  <c r="O2165" i="15"/>
  <c r="P2165" i="15"/>
  <c r="Q2165" i="15"/>
  <c r="T2165" i="15"/>
  <c r="U2165" i="15"/>
  <c r="V2165" i="15"/>
  <c r="W2165" i="15"/>
  <c r="X2165" i="15"/>
  <c r="Y2165" i="15"/>
  <c r="Z2165" i="15"/>
  <c r="AA2165" i="15"/>
  <c r="B2166" i="15"/>
  <c r="C2166" i="15"/>
  <c r="D2166" i="15"/>
  <c r="E2166" i="15"/>
  <c r="J2166" i="15"/>
  <c r="K2166" i="15"/>
  <c r="L2166" i="15"/>
  <c r="M2166" i="15"/>
  <c r="N2166" i="15"/>
  <c r="O2166" i="15"/>
  <c r="P2166" i="15"/>
  <c r="Q2166" i="15"/>
  <c r="T2166" i="15"/>
  <c r="U2166" i="15"/>
  <c r="V2166" i="15"/>
  <c r="W2166" i="15"/>
  <c r="X2166" i="15"/>
  <c r="Y2166" i="15"/>
  <c r="Z2166" i="15"/>
  <c r="AA2166" i="15"/>
  <c r="B2167" i="15"/>
  <c r="C2167" i="15"/>
  <c r="D2167" i="15"/>
  <c r="E2167" i="15"/>
  <c r="J2167" i="15"/>
  <c r="K2167" i="15"/>
  <c r="L2167" i="15"/>
  <c r="M2167" i="15"/>
  <c r="N2167" i="15"/>
  <c r="O2167" i="15"/>
  <c r="P2167" i="15"/>
  <c r="Q2167" i="15"/>
  <c r="T2167" i="15"/>
  <c r="U2167" i="15"/>
  <c r="V2167" i="15"/>
  <c r="W2167" i="15"/>
  <c r="X2167" i="15"/>
  <c r="Y2167" i="15"/>
  <c r="Z2167" i="15"/>
  <c r="AA2167" i="15"/>
  <c r="B2168" i="15"/>
  <c r="C2168" i="15"/>
  <c r="D2168" i="15"/>
  <c r="E2168" i="15"/>
  <c r="J2168" i="15"/>
  <c r="K2168" i="15"/>
  <c r="L2168" i="15"/>
  <c r="M2168" i="15"/>
  <c r="N2168" i="15"/>
  <c r="O2168" i="15"/>
  <c r="P2168" i="15"/>
  <c r="Q2168" i="15"/>
  <c r="T2168" i="15"/>
  <c r="U2168" i="15"/>
  <c r="V2168" i="15"/>
  <c r="W2168" i="15"/>
  <c r="X2168" i="15"/>
  <c r="Y2168" i="15"/>
  <c r="Z2168" i="15"/>
  <c r="AA2168" i="15"/>
  <c r="B2169" i="15"/>
  <c r="C2169" i="15"/>
  <c r="D2169" i="15"/>
  <c r="E2169" i="15"/>
  <c r="J2169" i="15"/>
  <c r="K2169" i="15"/>
  <c r="L2169" i="15"/>
  <c r="M2169" i="15"/>
  <c r="N2169" i="15"/>
  <c r="O2169" i="15"/>
  <c r="P2169" i="15"/>
  <c r="Q2169" i="15"/>
  <c r="T2169" i="15"/>
  <c r="U2169" i="15"/>
  <c r="V2169" i="15"/>
  <c r="W2169" i="15"/>
  <c r="X2169" i="15"/>
  <c r="Y2169" i="15"/>
  <c r="Z2169" i="15"/>
  <c r="AA2169" i="15"/>
  <c r="B2170" i="15"/>
  <c r="C2170" i="15"/>
  <c r="D2170" i="15"/>
  <c r="E2170" i="15"/>
  <c r="J2170" i="15"/>
  <c r="K2170" i="15"/>
  <c r="L2170" i="15"/>
  <c r="M2170" i="15"/>
  <c r="N2170" i="15"/>
  <c r="O2170" i="15"/>
  <c r="P2170" i="15"/>
  <c r="Q2170" i="15"/>
  <c r="T2170" i="15"/>
  <c r="U2170" i="15"/>
  <c r="V2170" i="15"/>
  <c r="W2170" i="15"/>
  <c r="X2170" i="15"/>
  <c r="Y2170" i="15"/>
  <c r="Z2170" i="15"/>
  <c r="AA2170" i="15"/>
  <c r="B2171" i="15"/>
  <c r="C2171" i="15"/>
  <c r="D2171" i="15"/>
  <c r="E2171" i="15"/>
  <c r="J2171" i="15"/>
  <c r="K2171" i="15"/>
  <c r="L2171" i="15"/>
  <c r="M2171" i="15"/>
  <c r="N2171" i="15"/>
  <c r="O2171" i="15"/>
  <c r="P2171" i="15"/>
  <c r="Q2171" i="15"/>
  <c r="T2171" i="15"/>
  <c r="U2171" i="15"/>
  <c r="V2171" i="15"/>
  <c r="W2171" i="15"/>
  <c r="X2171" i="15"/>
  <c r="Y2171" i="15"/>
  <c r="Z2171" i="15"/>
  <c r="AA2171" i="15"/>
  <c r="B2172" i="15"/>
  <c r="C2172" i="15"/>
  <c r="D2172" i="15"/>
  <c r="E2172" i="15"/>
  <c r="J2172" i="15"/>
  <c r="K2172" i="15"/>
  <c r="L2172" i="15"/>
  <c r="M2172" i="15"/>
  <c r="N2172" i="15"/>
  <c r="O2172" i="15"/>
  <c r="P2172" i="15"/>
  <c r="Q2172" i="15"/>
  <c r="T2172" i="15"/>
  <c r="U2172" i="15"/>
  <c r="V2172" i="15"/>
  <c r="W2172" i="15"/>
  <c r="X2172" i="15"/>
  <c r="Y2172" i="15"/>
  <c r="Z2172" i="15"/>
  <c r="AA2172" i="15"/>
  <c r="B2173" i="15"/>
  <c r="C2173" i="15"/>
  <c r="D2173" i="15"/>
  <c r="E2173" i="15"/>
  <c r="J2173" i="15"/>
  <c r="K2173" i="15"/>
  <c r="L2173" i="15"/>
  <c r="M2173" i="15"/>
  <c r="N2173" i="15"/>
  <c r="O2173" i="15"/>
  <c r="P2173" i="15"/>
  <c r="Q2173" i="15"/>
  <c r="T2173" i="15"/>
  <c r="U2173" i="15"/>
  <c r="V2173" i="15"/>
  <c r="W2173" i="15"/>
  <c r="X2173" i="15"/>
  <c r="Y2173" i="15"/>
  <c r="Z2173" i="15"/>
  <c r="AA2173" i="15"/>
  <c r="B2174" i="15"/>
  <c r="C2174" i="15"/>
  <c r="D2174" i="15"/>
  <c r="E2174" i="15"/>
  <c r="J2174" i="15"/>
  <c r="K2174" i="15"/>
  <c r="L2174" i="15"/>
  <c r="M2174" i="15"/>
  <c r="N2174" i="15"/>
  <c r="O2174" i="15"/>
  <c r="P2174" i="15"/>
  <c r="Q2174" i="15"/>
  <c r="T2174" i="15"/>
  <c r="U2174" i="15"/>
  <c r="V2174" i="15"/>
  <c r="W2174" i="15"/>
  <c r="X2174" i="15"/>
  <c r="Y2174" i="15"/>
  <c r="Z2174" i="15"/>
  <c r="AA2174" i="15"/>
  <c r="B2175" i="15"/>
  <c r="C2175" i="15"/>
  <c r="D2175" i="15"/>
  <c r="E2175" i="15"/>
  <c r="J2175" i="15"/>
  <c r="K2175" i="15"/>
  <c r="L2175" i="15"/>
  <c r="M2175" i="15"/>
  <c r="N2175" i="15"/>
  <c r="O2175" i="15"/>
  <c r="P2175" i="15"/>
  <c r="Q2175" i="15"/>
  <c r="T2175" i="15"/>
  <c r="U2175" i="15"/>
  <c r="V2175" i="15"/>
  <c r="W2175" i="15"/>
  <c r="X2175" i="15"/>
  <c r="Y2175" i="15"/>
  <c r="Z2175" i="15"/>
  <c r="AA2175" i="15"/>
  <c r="B2176" i="15"/>
  <c r="C2176" i="15"/>
  <c r="D2176" i="15"/>
  <c r="E2176" i="15"/>
  <c r="J2176" i="15"/>
  <c r="K2176" i="15"/>
  <c r="L2176" i="15"/>
  <c r="M2176" i="15"/>
  <c r="N2176" i="15"/>
  <c r="O2176" i="15"/>
  <c r="P2176" i="15"/>
  <c r="Q2176" i="15"/>
  <c r="T2176" i="15"/>
  <c r="U2176" i="15"/>
  <c r="V2176" i="15"/>
  <c r="W2176" i="15"/>
  <c r="X2176" i="15"/>
  <c r="Y2176" i="15"/>
  <c r="Z2176" i="15"/>
  <c r="AA2176" i="15"/>
  <c r="B2177" i="15"/>
  <c r="C2177" i="15"/>
  <c r="D2177" i="15"/>
  <c r="E2177" i="15"/>
  <c r="J2177" i="15"/>
  <c r="K2177" i="15"/>
  <c r="L2177" i="15"/>
  <c r="M2177" i="15"/>
  <c r="N2177" i="15"/>
  <c r="O2177" i="15"/>
  <c r="P2177" i="15"/>
  <c r="Q2177" i="15"/>
  <c r="T2177" i="15"/>
  <c r="U2177" i="15"/>
  <c r="V2177" i="15"/>
  <c r="W2177" i="15"/>
  <c r="X2177" i="15"/>
  <c r="Y2177" i="15"/>
  <c r="Z2177" i="15"/>
  <c r="AA2177" i="15"/>
  <c r="B2178" i="15"/>
  <c r="C2178" i="15"/>
  <c r="D2178" i="15"/>
  <c r="E2178" i="15"/>
  <c r="J2178" i="15"/>
  <c r="K2178" i="15"/>
  <c r="L2178" i="15"/>
  <c r="M2178" i="15"/>
  <c r="N2178" i="15"/>
  <c r="O2178" i="15"/>
  <c r="P2178" i="15"/>
  <c r="Q2178" i="15"/>
  <c r="T2178" i="15"/>
  <c r="U2178" i="15"/>
  <c r="V2178" i="15"/>
  <c r="W2178" i="15"/>
  <c r="X2178" i="15"/>
  <c r="Y2178" i="15"/>
  <c r="Z2178" i="15"/>
  <c r="AA2178" i="15"/>
  <c r="B2179" i="15"/>
  <c r="C2179" i="15"/>
  <c r="D2179" i="15"/>
  <c r="E2179" i="15"/>
  <c r="J2179" i="15"/>
  <c r="K2179" i="15"/>
  <c r="L2179" i="15"/>
  <c r="M2179" i="15"/>
  <c r="N2179" i="15"/>
  <c r="O2179" i="15"/>
  <c r="P2179" i="15"/>
  <c r="Q2179" i="15"/>
  <c r="T2179" i="15"/>
  <c r="U2179" i="15"/>
  <c r="V2179" i="15"/>
  <c r="W2179" i="15"/>
  <c r="X2179" i="15"/>
  <c r="Y2179" i="15"/>
  <c r="Z2179" i="15"/>
  <c r="AA2179" i="15"/>
  <c r="B2180" i="15"/>
  <c r="C2180" i="15"/>
  <c r="D2180" i="15"/>
  <c r="E2180" i="15"/>
  <c r="J2180" i="15"/>
  <c r="K2180" i="15"/>
  <c r="L2180" i="15"/>
  <c r="M2180" i="15"/>
  <c r="N2180" i="15"/>
  <c r="O2180" i="15"/>
  <c r="P2180" i="15"/>
  <c r="Q2180" i="15"/>
  <c r="T2180" i="15"/>
  <c r="U2180" i="15"/>
  <c r="V2180" i="15"/>
  <c r="W2180" i="15"/>
  <c r="X2180" i="15"/>
  <c r="Y2180" i="15"/>
  <c r="Z2180" i="15"/>
  <c r="AA2180" i="15"/>
  <c r="B2181" i="15"/>
  <c r="C2181" i="15"/>
  <c r="D2181" i="15"/>
  <c r="E2181" i="15"/>
  <c r="J2181" i="15"/>
  <c r="K2181" i="15"/>
  <c r="L2181" i="15"/>
  <c r="M2181" i="15"/>
  <c r="N2181" i="15"/>
  <c r="O2181" i="15"/>
  <c r="P2181" i="15"/>
  <c r="Q2181" i="15"/>
  <c r="T2181" i="15"/>
  <c r="U2181" i="15"/>
  <c r="V2181" i="15"/>
  <c r="W2181" i="15"/>
  <c r="X2181" i="15"/>
  <c r="Y2181" i="15"/>
  <c r="Z2181" i="15"/>
  <c r="AA2181" i="15"/>
  <c r="B2182" i="15"/>
  <c r="C2182" i="15"/>
  <c r="D2182" i="15"/>
  <c r="E2182" i="15"/>
  <c r="J2182" i="15"/>
  <c r="K2182" i="15"/>
  <c r="L2182" i="15"/>
  <c r="M2182" i="15"/>
  <c r="N2182" i="15"/>
  <c r="O2182" i="15"/>
  <c r="P2182" i="15"/>
  <c r="Q2182" i="15"/>
  <c r="T2182" i="15"/>
  <c r="U2182" i="15"/>
  <c r="V2182" i="15"/>
  <c r="W2182" i="15"/>
  <c r="X2182" i="15"/>
  <c r="Y2182" i="15"/>
  <c r="Z2182" i="15"/>
  <c r="AA2182" i="15"/>
  <c r="B2183" i="15"/>
  <c r="C2183" i="15"/>
  <c r="D2183" i="15"/>
  <c r="E2183" i="15"/>
  <c r="J2183" i="15"/>
  <c r="K2183" i="15"/>
  <c r="L2183" i="15"/>
  <c r="M2183" i="15"/>
  <c r="N2183" i="15"/>
  <c r="O2183" i="15"/>
  <c r="P2183" i="15"/>
  <c r="Q2183" i="15"/>
  <c r="T2183" i="15"/>
  <c r="U2183" i="15"/>
  <c r="V2183" i="15"/>
  <c r="W2183" i="15"/>
  <c r="X2183" i="15"/>
  <c r="Y2183" i="15"/>
  <c r="Z2183" i="15"/>
  <c r="AA2183" i="15"/>
  <c r="B2184" i="15"/>
  <c r="C2184" i="15"/>
  <c r="D2184" i="15"/>
  <c r="E2184" i="15"/>
  <c r="J2184" i="15"/>
  <c r="K2184" i="15"/>
  <c r="L2184" i="15"/>
  <c r="M2184" i="15"/>
  <c r="N2184" i="15"/>
  <c r="O2184" i="15"/>
  <c r="P2184" i="15"/>
  <c r="Q2184" i="15"/>
  <c r="T2184" i="15"/>
  <c r="U2184" i="15"/>
  <c r="V2184" i="15"/>
  <c r="W2184" i="15"/>
  <c r="X2184" i="15"/>
  <c r="Y2184" i="15"/>
  <c r="Z2184" i="15"/>
  <c r="AA2184" i="15"/>
  <c r="B2185" i="15"/>
  <c r="C2185" i="15"/>
  <c r="D2185" i="15"/>
  <c r="E2185" i="15"/>
  <c r="J2185" i="15"/>
  <c r="K2185" i="15"/>
  <c r="L2185" i="15"/>
  <c r="M2185" i="15"/>
  <c r="N2185" i="15"/>
  <c r="O2185" i="15"/>
  <c r="P2185" i="15"/>
  <c r="Q2185" i="15"/>
  <c r="T2185" i="15"/>
  <c r="U2185" i="15"/>
  <c r="V2185" i="15"/>
  <c r="W2185" i="15"/>
  <c r="X2185" i="15"/>
  <c r="Y2185" i="15"/>
  <c r="Z2185" i="15"/>
  <c r="AA2185" i="15"/>
  <c r="B2186" i="15"/>
  <c r="C2186" i="15"/>
  <c r="D2186" i="15"/>
  <c r="E2186" i="15"/>
  <c r="J2186" i="15"/>
  <c r="K2186" i="15"/>
  <c r="L2186" i="15"/>
  <c r="M2186" i="15"/>
  <c r="N2186" i="15"/>
  <c r="O2186" i="15"/>
  <c r="P2186" i="15"/>
  <c r="Q2186" i="15"/>
  <c r="T2186" i="15"/>
  <c r="U2186" i="15"/>
  <c r="V2186" i="15"/>
  <c r="W2186" i="15"/>
  <c r="X2186" i="15"/>
  <c r="Y2186" i="15"/>
  <c r="Z2186" i="15"/>
  <c r="AA2186" i="15"/>
  <c r="B2187" i="15"/>
  <c r="C2187" i="15"/>
  <c r="D2187" i="15"/>
  <c r="E2187" i="15"/>
  <c r="J2187" i="15"/>
  <c r="K2187" i="15"/>
  <c r="L2187" i="15"/>
  <c r="M2187" i="15"/>
  <c r="N2187" i="15"/>
  <c r="O2187" i="15"/>
  <c r="P2187" i="15"/>
  <c r="Q2187" i="15"/>
  <c r="T2187" i="15"/>
  <c r="U2187" i="15"/>
  <c r="V2187" i="15"/>
  <c r="W2187" i="15"/>
  <c r="X2187" i="15"/>
  <c r="Y2187" i="15"/>
  <c r="Z2187" i="15"/>
  <c r="AA2187" i="15"/>
  <c r="B2188" i="15"/>
  <c r="C2188" i="15"/>
  <c r="D2188" i="15"/>
  <c r="E2188" i="15"/>
  <c r="J2188" i="15"/>
  <c r="K2188" i="15"/>
  <c r="L2188" i="15"/>
  <c r="M2188" i="15"/>
  <c r="N2188" i="15"/>
  <c r="O2188" i="15"/>
  <c r="P2188" i="15"/>
  <c r="Q2188" i="15"/>
  <c r="T2188" i="15"/>
  <c r="U2188" i="15"/>
  <c r="V2188" i="15"/>
  <c r="W2188" i="15"/>
  <c r="X2188" i="15"/>
  <c r="Y2188" i="15"/>
  <c r="Z2188" i="15"/>
  <c r="AA2188" i="15"/>
  <c r="B2189" i="15"/>
  <c r="C2189" i="15"/>
  <c r="D2189" i="15"/>
  <c r="E2189" i="15"/>
  <c r="J2189" i="15"/>
  <c r="K2189" i="15"/>
  <c r="L2189" i="15"/>
  <c r="M2189" i="15"/>
  <c r="N2189" i="15"/>
  <c r="O2189" i="15"/>
  <c r="P2189" i="15"/>
  <c r="Q2189" i="15"/>
  <c r="T2189" i="15"/>
  <c r="U2189" i="15"/>
  <c r="V2189" i="15"/>
  <c r="W2189" i="15"/>
  <c r="X2189" i="15"/>
  <c r="Y2189" i="15"/>
  <c r="Z2189" i="15"/>
  <c r="AA2189" i="15"/>
  <c r="B2190" i="15"/>
  <c r="C2190" i="15"/>
  <c r="D2190" i="15"/>
  <c r="E2190" i="15"/>
  <c r="J2190" i="15"/>
  <c r="K2190" i="15"/>
  <c r="L2190" i="15"/>
  <c r="M2190" i="15"/>
  <c r="N2190" i="15"/>
  <c r="O2190" i="15"/>
  <c r="P2190" i="15"/>
  <c r="Q2190" i="15"/>
  <c r="T2190" i="15"/>
  <c r="U2190" i="15"/>
  <c r="V2190" i="15"/>
  <c r="W2190" i="15"/>
  <c r="X2190" i="15"/>
  <c r="Y2190" i="15"/>
  <c r="Z2190" i="15"/>
  <c r="AA2190" i="15"/>
  <c r="B2191" i="15"/>
  <c r="C2191" i="15"/>
  <c r="D2191" i="15"/>
  <c r="E2191" i="15"/>
  <c r="J2191" i="15"/>
  <c r="K2191" i="15"/>
  <c r="L2191" i="15"/>
  <c r="M2191" i="15"/>
  <c r="N2191" i="15"/>
  <c r="O2191" i="15"/>
  <c r="P2191" i="15"/>
  <c r="Q2191" i="15"/>
  <c r="T2191" i="15"/>
  <c r="U2191" i="15"/>
  <c r="V2191" i="15"/>
  <c r="W2191" i="15"/>
  <c r="X2191" i="15"/>
  <c r="Y2191" i="15"/>
  <c r="Z2191" i="15"/>
  <c r="AA2191" i="15"/>
  <c r="B2192" i="15"/>
  <c r="C2192" i="15"/>
  <c r="D2192" i="15"/>
  <c r="E2192" i="15"/>
  <c r="J2192" i="15"/>
  <c r="K2192" i="15"/>
  <c r="L2192" i="15"/>
  <c r="M2192" i="15"/>
  <c r="N2192" i="15"/>
  <c r="O2192" i="15"/>
  <c r="P2192" i="15"/>
  <c r="Q2192" i="15"/>
  <c r="T2192" i="15"/>
  <c r="U2192" i="15"/>
  <c r="V2192" i="15"/>
  <c r="W2192" i="15"/>
  <c r="X2192" i="15"/>
  <c r="Y2192" i="15"/>
  <c r="Z2192" i="15"/>
  <c r="AA2192" i="15"/>
  <c r="B2193" i="15"/>
  <c r="C2193" i="15"/>
  <c r="D2193" i="15"/>
  <c r="E2193" i="15"/>
  <c r="J2193" i="15"/>
  <c r="K2193" i="15"/>
  <c r="L2193" i="15"/>
  <c r="M2193" i="15"/>
  <c r="N2193" i="15"/>
  <c r="O2193" i="15"/>
  <c r="P2193" i="15"/>
  <c r="Q2193" i="15"/>
  <c r="T2193" i="15"/>
  <c r="U2193" i="15"/>
  <c r="V2193" i="15"/>
  <c r="W2193" i="15"/>
  <c r="X2193" i="15"/>
  <c r="Y2193" i="15"/>
  <c r="Z2193" i="15"/>
  <c r="AA2193" i="15"/>
  <c r="B2194" i="15"/>
  <c r="C2194" i="15"/>
  <c r="D2194" i="15"/>
  <c r="E2194" i="15"/>
  <c r="J2194" i="15"/>
  <c r="K2194" i="15"/>
  <c r="L2194" i="15"/>
  <c r="M2194" i="15"/>
  <c r="N2194" i="15"/>
  <c r="O2194" i="15"/>
  <c r="P2194" i="15"/>
  <c r="Q2194" i="15"/>
  <c r="T2194" i="15"/>
  <c r="U2194" i="15"/>
  <c r="V2194" i="15"/>
  <c r="W2194" i="15"/>
  <c r="X2194" i="15"/>
  <c r="Y2194" i="15"/>
  <c r="Z2194" i="15"/>
  <c r="AA2194" i="15"/>
  <c r="B2195" i="15"/>
  <c r="C2195" i="15"/>
  <c r="D2195" i="15"/>
  <c r="E2195" i="15"/>
  <c r="J2195" i="15"/>
  <c r="K2195" i="15"/>
  <c r="L2195" i="15"/>
  <c r="M2195" i="15"/>
  <c r="N2195" i="15"/>
  <c r="O2195" i="15"/>
  <c r="P2195" i="15"/>
  <c r="Q2195" i="15"/>
  <c r="T2195" i="15"/>
  <c r="U2195" i="15"/>
  <c r="V2195" i="15"/>
  <c r="W2195" i="15"/>
  <c r="X2195" i="15"/>
  <c r="Y2195" i="15"/>
  <c r="Z2195" i="15"/>
  <c r="AA2195" i="15"/>
  <c r="B2196" i="15"/>
  <c r="C2196" i="15"/>
  <c r="D2196" i="15"/>
  <c r="E2196" i="15"/>
  <c r="J2196" i="15"/>
  <c r="K2196" i="15"/>
  <c r="L2196" i="15"/>
  <c r="M2196" i="15"/>
  <c r="N2196" i="15"/>
  <c r="O2196" i="15"/>
  <c r="P2196" i="15"/>
  <c r="Q2196" i="15"/>
  <c r="T2196" i="15"/>
  <c r="U2196" i="15"/>
  <c r="V2196" i="15"/>
  <c r="W2196" i="15"/>
  <c r="X2196" i="15"/>
  <c r="Y2196" i="15"/>
  <c r="Z2196" i="15"/>
  <c r="AA2196" i="15"/>
  <c r="B2197" i="15"/>
  <c r="C2197" i="15"/>
  <c r="D2197" i="15"/>
  <c r="E2197" i="15"/>
  <c r="J2197" i="15"/>
  <c r="K2197" i="15"/>
  <c r="L2197" i="15"/>
  <c r="M2197" i="15"/>
  <c r="N2197" i="15"/>
  <c r="O2197" i="15"/>
  <c r="P2197" i="15"/>
  <c r="Q2197" i="15"/>
  <c r="T2197" i="15"/>
  <c r="U2197" i="15"/>
  <c r="V2197" i="15"/>
  <c r="W2197" i="15"/>
  <c r="X2197" i="15"/>
  <c r="Y2197" i="15"/>
  <c r="Z2197" i="15"/>
  <c r="AA2197" i="15"/>
  <c r="B2198" i="15"/>
  <c r="C2198" i="15"/>
  <c r="D2198" i="15"/>
  <c r="E2198" i="15"/>
  <c r="J2198" i="15"/>
  <c r="K2198" i="15"/>
  <c r="L2198" i="15"/>
  <c r="M2198" i="15"/>
  <c r="N2198" i="15"/>
  <c r="O2198" i="15"/>
  <c r="P2198" i="15"/>
  <c r="Q2198" i="15"/>
  <c r="T2198" i="15"/>
  <c r="U2198" i="15"/>
  <c r="V2198" i="15"/>
  <c r="W2198" i="15"/>
  <c r="X2198" i="15"/>
  <c r="Y2198" i="15"/>
  <c r="Z2198" i="15"/>
  <c r="AA2198" i="15"/>
  <c r="B2199" i="15"/>
  <c r="C2199" i="15"/>
  <c r="D2199" i="15"/>
  <c r="E2199" i="15"/>
  <c r="J2199" i="15"/>
  <c r="K2199" i="15"/>
  <c r="L2199" i="15"/>
  <c r="M2199" i="15"/>
  <c r="N2199" i="15"/>
  <c r="O2199" i="15"/>
  <c r="P2199" i="15"/>
  <c r="Q2199" i="15"/>
  <c r="T2199" i="15"/>
  <c r="U2199" i="15"/>
  <c r="V2199" i="15"/>
  <c r="W2199" i="15"/>
  <c r="X2199" i="15"/>
  <c r="Y2199" i="15"/>
  <c r="Z2199" i="15"/>
  <c r="AA2199" i="15"/>
  <c r="B2200" i="15"/>
  <c r="C2200" i="15"/>
  <c r="D2200" i="15"/>
  <c r="E2200" i="15"/>
  <c r="J2200" i="15"/>
  <c r="K2200" i="15"/>
  <c r="L2200" i="15"/>
  <c r="M2200" i="15"/>
  <c r="N2200" i="15"/>
  <c r="O2200" i="15"/>
  <c r="P2200" i="15"/>
  <c r="Q2200" i="15"/>
  <c r="T2200" i="15"/>
  <c r="U2200" i="15"/>
  <c r="V2200" i="15"/>
  <c r="W2200" i="15"/>
  <c r="X2200" i="15"/>
  <c r="Y2200" i="15"/>
  <c r="Z2200" i="15"/>
  <c r="AA2200" i="15"/>
  <c r="B2201" i="15"/>
  <c r="C2201" i="15"/>
  <c r="D2201" i="15"/>
  <c r="E2201" i="15"/>
  <c r="J2201" i="15"/>
  <c r="K2201" i="15"/>
  <c r="L2201" i="15"/>
  <c r="M2201" i="15"/>
  <c r="N2201" i="15"/>
  <c r="O2201" i="15"/>
  <c r="P2201" i="15"/>
  <c r="Q2201" i="15"/>
  <c r="T2201" i="15"/>
  <c r="U2201" i="15"/>
  <c r="V2201" i="15"/>
  <c r="W2201" i="15"/>
  <c r="X2201" i="15"/>
  <c r="Y2201" i="15"/>
  <c r="Z2201" i="15"/>
  <c r="AA2201" i="15"/>
  <c r="B2202" i="15"/>
  <c r="C2202" i="15"/>
  <c r="D2202" i="15"/>
  <c r="E2202" i="15"/>
  <c r="J2202" i="15"/>
  <c r="K2202" i="15"/>
  <c r="L2202" i="15"/>
  <c r="M2202" i="15"/>
  <c r="N2202" i="15"/>
  <c r="O2202" i="15"/>
  <c r="P2202" i="15"/>
  <c r="Q2202" i="15"/>
  <c r="T2202" i="15"/>
  <c r="U2202" i="15"/>
  <c r="V2202" i="15"/>
  <c r="W2202" i="15"/>
  <c r="X2202" i="15"/>
  <c r="Y2202" i="15"/>
  <c r="Z2202" i="15"/>
  <c r="AA2202" i="15"/>
  <c r="B2203" i="15"/>
  <c r="C2203" i="15"/>
  <c r="D2203" i="15"/>
  <c r="E2203" i="15"/>
  <c r="J2203" i="15"/>
  <c r="K2203" i="15"/>
  <c r="L2203" i="15"/>
  <c r="M2203" i="15"/>
  <c r="N2203" i="15"/>
  <c r="O2203" i="15"/>
  <c r="P2203" i="15"/>
  <c r="Q2203" i="15"/>
  <c r="T2203" i="15"/>
  <c r="U2203" i="15"/>
  <c r="V2203" i="15"/>
  <c r="W2203" i="15"/>
  <c r="X2203" i="15"/>
  <c r="Y2203" i="15"/>
  <c r="Z2203" i="15"/>
  <c r="AA2203" i="15"/>
  <c r="B2204" i="15"/>
  <c r="C2204" i="15"/>
  <c r="D2204" i="15"/>
  <c r="E2204" i="15"/>
  <c r="J2204" i="15"/>
  <c r="K2204" i="15"/>
  <c r="L2204" i="15"/>
  <c r="M2204" i="15"/>
  <c r="N2204" i="15"/>
  <c r="O2204" i="15"/>
  <c r="P2204" i="15"/>
  <c r="Q2204" i="15"/>
  <c r="T2204" i="15"/>
  <c r="U2204" i="15"/>
  <c r="V2204" i="15"/>
  <c r="W2204" i="15"/>
  <c r="X2204" i="15"/>
  <c r="Y2204" i="15"/>
  <c r="Z2204" i="15"/>
  <c r="AA2204" i="15"/>
  <c r="B2205" i="15"/>
  <c r="C2205" i="15"/>
  <c r="D2205" i="15"/>
  <c r="E2205" i="15"/>
  <c r="J2205" i="15"/>
  <c r="K2205" i="15"/>
  <c r="L2205" i="15"/>
  <c r="M2205" i="15"/>
  <c r="N2205" i="15"/>
  <c r="O2205" i="15"/>
  <c r="P2205" i="15"/>
  <c r="Q2205" i="15"/>
  <c r="T2205" i="15"/>
  <c r="U2205" i="15"/>
  <c r="V2205" i="15"/>
  <c r="W2205" i="15"/>
  <c r="X2205" i="15"/>
  <c r="Y2205" i="15"/>
  <c r="Z2205" i="15"/>
  <c r="AA2205" i="15"/>
  <c r="B2206" i="15"/>
  <c r="C2206" i="15"/>
  <c r="D2206" i="15"/>
  <c r="E2206" i="15"/>
  <c r="J2206" i="15"/>
  <c r="K2206" i="15"/>
  <c r="L2206" i="15"/>
  <c r="M2206" i="15"/>
  <c r="N2206" i="15"/>
  <c r="O2206" i="15"/>
  <c r="P2206" i="15"/>
  <c r="Q2206" i="15"/>
  <c r="T2206" i="15"/>
  <c r="U2206" i="15"/>
  <c r="V2206" i="15"/>
  <c r="W2206" i="15"/>
  <c r="X2206" i="15"/>
  <c r="Y2206" i="15"/>
  <c r="Z2206" i="15"/>
  <c r="AA2206" i="15"/>
  <c r="B2207" i="15"/>
  <c r="C2207" i="15"/>
  <c r="D2207" i="15"/>
  <c r="E2207" i="15"/>
  <c r="J2207" i="15"/>
  <c r="K2207" i="15"/>
  <c r="L2207" i="15"/>
  <c r="M2207" i="15"/>
  <c r="N2207" i="15"/>
  <c r="O2207" i="15"/>
  <c r="P2207" i="15"/>
  <c r="Q2207" i="15"/>
  <c r="T2207" i="15"/>
  <c r="U2207" i="15"/>
  <c r="V2207" i="15"/>
  <c r="W2207" i="15"/>
  <c r="X2207" i="15"/>
  <c r="Y2207" i="15"/>
  <c r="Z2207" i="15"/>
  <c r="AA2207" i="15"/>
  <c r="B2208" i="15"/>
  <c r="C2208" i="15"/>
  <c r="D2208" i="15"/>
  <c r="E2208" i="15"/>
  <c r="J2208" i="15"/>
  <c r="K2208" i="15"/>
  <c r="L2208" i="15"/>
  <c r="M2208" i="15"/>
  <c r="N2208" i="15"/>
  <c r="O2208" i="15"/>
  <c r="P2208" i="15"/>
  <c r="Q2208" i="15"/>
  <c r="T2208" i="15"/>
  <c r="U2208" i="15"/>
  <c r="V2208" i="15"/>
  <c r="W2208" i="15"/>
  <c r="X2208" i="15"/>
  <c r="Y2208" i="15"/>
  <c r="Z2208" i="15"/>
  <c r="AA2208" i="15"/>
  <c r="B2209" i="15"/>
  <c r="C2209" i="15"/>
  <c r="D2209" i="15"/>
  <c r="E2209" i="15"/>
  <c r="J2209" i="15"/>
  <c r="K2209" i="15"/>
  <c r="L2209" i="15"/>
  <c r="M2209" i="15"/>
  <c r="N2209" i="15"/>
  <c r="O2209" i="15"/>
  <c r="P2209" i="15"/>
  <c r="Q2209" i="15"/>
  <c r="T2209" i="15"/>
  <c r="U2209" i="15"/>
  <c r="V2209" i="15"/>
  <c r="W2209" i="15"/>
  <c r="X2209" i="15"/>
  <c r="Y2209" i="15"/>
  <c r="Z2209" i="15"/>
  <c r="AA2209" i="15"/>
  <c r="B2210" i="15"/>
  <c r="C2210" i="15"/>
  <c r="D2210" i="15"/>
  <c r="E2210" i="15"/>
  <c r="J2210" i="15"/>
  <c r="K2210" i="15"/>
  <c r="L2210" i="15"/>
  <c r="M2210" i="15"/>
  <c r="N2210" i="15"/>
  <c r="O2210" i="15"/>
  <c r="P2210" i="15"/>
  <c r="Q2210" i="15"/>
  <c r="T2210" i="15"/>
  <c r="U2210" i="15"/>
  <c r="V2210" i="15"/>
  <c r="W2210" i="15"/>
  <c r="X2210" i="15"/>
  <c r="Y2210" i="15"/>
  <c r="Z2210" i="15"/>
  <c r="AA2210" i="15"/>
  <c r="B2211" i="15"/>
  <c r="C2211" i="15"/>
  <c r="D2211" i="15"/>
  <c r="E2211" i="15"/>
  <c r="J2211" i="15"/>
  <c r="K2211" i="15"/>
  <c r="L2211" i="15"/>
  <c r="M2211" i="15"/>
  <c r="N2211" i="15"/>
  <c r="O2211" i="15"/>
  <c r="P2211" i="15"/>
  <c r="Q2211" i="15"/>
  <c r="T2211" i="15"/>
  <c r="U2211" i="15"/>
  <c r="V2211" i="15"/>
  <c r="W2211" i="15"/>
  <c r="X2211" i="15"/>
  <c r="Y2211" i="15"/>
  <c r="Z2211" i="15"/>
  <c r="AA2211" i="15"/>
  <c r="B2212" i="15"/>
  <c r="C2212" i="15"/>
  <c r="D2212" i="15"/>
  <c r="E2212" i="15"/>
  <c r="J2212" i="15"/>
  <c r="K2212" i="15"/>
  <c r="L2212" i="15"/>
  <c r="M2212" i="15"/>
  <c r="N2212" i="15"/>
  <c r="O2212" i="15"/>
  <c r="P2212" i="15"/>
  <c r="Q2212" i="15"/>
  <c r="T2212" i="15"/>
  <c r="U2212" i="15"/>
  <c r="V2212" i="15"/>
  <c r="W2212" i="15"/>
  <c r="X2212" i="15"/>
  <c r="Y2212" i="15"/>
  <c r="Z2212" i="15"/>
  <c r="AA2212" i="15"/>
  <c r="B2213" i="15"/>
  <c r="C2213" i="15"/>
  <c r="D2213" i="15"/>
  <c r="E2213" i="15"/>
  <c r="J2213" i="15"/>
  <c r="K2213" i="15"/>
  <c r="L2213" i="15"/>
  <c r="M2213" i="15"/>
  <c r="N2213" i="15"/>
  <c r="O2213" i="15"/>
  <c r="P2213" i="15"/>
  <c r="Q2213" i="15"/>
  <c r="T2213" i="15"/>
  <c r="U2213" i="15"/>
  <c r="V2213" i="15"/>
  <c r="W2213" i="15"/>
  <c r="X2213" i="15"/>
  <c r="Y2213" i="15"/>
  <c r="Z2213" i="15"/>
  <c r="AA2213" i="15"/>
  <c r="B2214" i="15"/>
  <c r="C2214" i="15"/>
  <c r="D2214" i="15"/>
  <c r="E2214" i="15"/>
  <c r="J2214" i="15"/>
  <c r="K2214" i="15"/>
  <c r="L2214" i="15"/>
  <c r="M2214" i="15"/>
  <c r="N2214" i="15"/>
  <c r="O2214" i="15"/>
  <c r="P2214" i="15"/>
  <c r="Q2214" i="15"/>
  <c r="T2214" i="15"/>
  <c r="U2214" i="15"/>
  <c r="V2214" i="15"/>
  <c r="W2214" i="15"/>
  <c r="X2214" i="15"/>
  <c r="Y2214" i="15"/>
  <c r="Z2214" i="15"/>
  <c r="AA2214" i="15"/>
  <c r="B2215" i="15"/>
  <c r="C2215" i="15"/>
  <c r="D2215" i="15"/>
  <c r="E2215" i="15"/>
  <c r="J2215" i="15"/>
  <c r="K2215" i="15"/>
  <c r="L2215" i="15"/>
  <c r="M2215" i="15"/>
  <c r="N2215" i="15"/>
  <c r="O2215" i="15"/>
  <c r="P2215" i="15"/>
  <c r="Q2215" i="15"/>
  <c r="T2215" i="15"/>
  <c r="U2215" i="15"/>
  <c r="V2215" i="15"/>
  <c r="W2215" i="15"/>
  <c r="X2215" i="15"/>
  <c r="Y2215" i="15"/>
  <c r="Z2215" i="15"/>
  <c r="AA2215" i="15"/>
  <c r="B2216" i="15"/>
  <c r="C2216" i="15"/>
  <c r="D2216" i="15"/>
  <c r="E2216" i="15"/>
  <c r="J2216" i="15"/>
  <c r="K2216" i="15"/>
  <c r="L2216" i="15"/>
  <c r="M2216" i="15"/>
  <c r="N2216" i="15"/>
  <c r="O2216" i="15"/>
  <c r="P2216" i="15"/>
  <c r="Q2216" i="15"/>
  <c r="T2216" i="15"/>
  <c r="U2216" i="15"/>
  <c r="V2216" i="15"/>
  <c r="W2216" i="15"/>
  <c r="X2216" i="15"/>
  <c r="Y2216" i="15"/>
  <c r="Z2216" i="15"/>
  <c r="AA2216" i="15"/>
  <c r="B2217" i="15"/>
  <c r="C2217" i="15"/>
  <c r="D2217" i="15"/>
  <c r="E2217" i="15"/>
  <c r="J2217" i="15"/>
  <c r="K2217" i="15"/>
  <c r="L2217" i="15"/>
  <c r="M2217" i="15"/>
  <c r="N2217" i="15"/>
  <c r="O2217" i="15"/>
  <c r="P2217" i="15"/>
  <c r="Q2217" i="15"/>
  <c r="T2217" i="15"/>
  <c r="U2217" i="15"/>
  <c r="V2217" i="15"/>
  <c r="W2217" i="15"/>
  <c r="X2217" i="15"/>
  <c r="Y2217" i="15"/>
  <c r="Z2217" i="15"/>
  <c r="AA2217" i="15"/>
  <c r="B2218" i="15"/>
  <c r="C2218" i="15"/>
  <c r="D2218" i="15"/>
  <c r="E2218" i="15"/>
  <c r="J2218" i="15"/>
  <c r="K2218" i="15"/>
  <c r="L2218" i="15"/>
  <c r="M2218" i="15"/>
  <c r="N2218" i="15"/>
  <c r="O2218" i="15"/>
  <c r="P2218" i="15"/>
  <c r="Q2218" i="15"/>
  <c r="T2218" i="15"/>
  <c r="U2218" i="15"/>
  <c r="V2218" i="15"/>
  <c r="W2218" i="15"/>
  <c r="X2218" i="15"/>
  <c r="Y2218" i="15"/>
  <c r="Z2218" i="15"/>
  <c r="AA2218" i="15"/>
  <c r="B2219" i="15"/>
  <c r="C2219" i="15"/>
  <c r="D2219" i="15"/>
  <c r="E2219" i="15"/>
  <c r="J2219" i="15"/>
  <c r="K2219" i="15"/>
  <c r="L2219" i="15"/>
  <c r="M2219" i="15"/>
  <c r="N2219" i="15"/>
  <c r="O2219" i="15"/>
  <c r="P2219" i="15"/>
  <c r="Q2219" i="15"/>
  <c r="T2219" i="15"/>
  <c r="U2219" i="15"/>
  <c r="V2219" i="15"/>
  <c r="W2219" i="15"/>
  <c r="X2219" i="15"/>
  <c r="Y2219" i="15"/>
  <c r="Z2219" i="15"/>
  <c r="AA2219" i="15"/>
  <c r="B2220" i="15"/>
  <c r="C2220" i="15"/>
  <c r="D2220" i="15"/>
  <c r="E2220" i="15"/>
  <c r="J2220" i="15"/>
  <c r="K2220" i="15"/>
  <c r="L2220" i="15"/>
  <c r="M2220" i="15"/>
  <c r="N2220" i="15"/>
  <c r="O2220" i="15"/>
  <c r="P2220" i="15"/>
  <c r="Q2220" i="15"/>
  <c r="T2220" i="15"/>
  <c r="U2220" i="15"/>
  <c r="V2220" i="15"/>
  <c r="W2220" i="15"/>
  <c r="X2220" i="15"/>
  <c r="Y2220" i="15"/>
  <c r="Z2220" i="15"/>
  <c r="AA2220" i="15"/>
  <c r="B2221" i="15"/>
  <c r="C2221" i="15"/>
  <c r="D2221" i="15"/>
  <c r="E2221" i="15"/>
  <c r="J2221" i="15"/>
  <c r="K2221" i="15"/>
  <c r="L2221" i="15"/>
  <c r="M2221" i="15"/>
  <c r="N2221" i="15"/>
  <c r="O2221" i="15"/>
  <c r="P2221" i="15"/>
  <c r="Q2221" i="15"/>
  <c r="T2221" i="15"/>
  <c r="U2221" i="15"/>
  <c r="V2221" i="15"/>
  <c r="W2221" i="15"/>
  <c r="X2221" i="15"/>
  <c r="Y2221" i="15"/>
  <c r="Z2221" i="15"/>
  <c r="AA2221" i="15"/>
  <c r="B2222" i="15"/>
  <c r="C2222" i="15"/>
  <c r="D2222" i="15"/>
  <c r="E2222" i="15"/>
  <c r="J2222" i="15"/>
  <c r="K2222" i="15"/>
  <c r="L2222" i="15"/>
  <c r="M2222" i="15"/>
  <c r="N2222" i="15"/>
  <c r="O2222" i="15"/>
  <c r="P2222" i="15"/>
  <c r="Q2222" i="15"/>
  <c r="T2222" i="15"/>
  <c r="U2222" i="15"/>
  <c r="V2222" i="15"/>
  <c r="W2222" i="15"/>
  <c r="X2222" i="15"/>
  <c r="Y2222" i="15"/>
  <c r="Z2222" i="15"/>
  <c r="AA2222" i="15"/>
  <c r="B2223" i="15"/>
  <c r="C2223" i="15"/>
  <c r="D2223" i="15"/>
  <c r="E2223" i="15"/>
  <c r="J2223" i="15"/>
  <c r="K2223" i="15"/>
  <c r="L2223" i="15"/>
  <c r="M2223" i="15"/>
  <c r="N2223" i="15"/>
  <c r="O2223" i="15"/>
  <c r="P2223" i="15"/>
  <c r="Q2223" i="15"/>
  <c r="T2223" i="15"/>
  <c r="U2223" i="15"/>
  <c r="V2223" i="15"/>
  <c r="W2223" i="15"/>
  <c r="X2223" i="15"/>
  <c r="Y2223" i="15"/>
  <c r="Z2223" i="15"/>
  <c r="AA2223" i="15"/>
  <c r="B2224" i="15"/>
  <c r="C2224" i="15"/>
  <c r="D2224" i="15"/>
  <c r="E2224" i="15"/>
  <c r="J2224" i="15"/>
  <c r="K2224" i="15"/>
  <c r="L2224" i="15"/>
  <c r="M2224" i="15"/>
  <c r="N2224" i="15"/>
  <c r="O2224" i="15"/>
  <c r="P2224" i="15"/>
  <c r="Q2224" i="15"/>
  <c r="T2224" i="15"/>
  <c r="U2224" i="15"/>
  <c r="V2224" i="15"/>
  <c r="W2224" i="15"/>
  <c r="X2224" i="15"/>
  <c r="Y2224" i="15"/>
  <c r="Z2224" i="15"/>
  <c r="AA2224" i="15"/>
  <c r="B2225" i="15"/>
  <c r="C2225" i="15"/>
  <c r="D2225" i="15"/>
  <c r="E2225" i="15"/>
  <c r="J2225" i="15"/>
  <c r="K2225" i="15"/>
  <c r="L2225" i="15"/>
  <c r="M2225" i="15"/>
  <c r="N2225" i="15"/>
  <c r="O2225" i="15"/>
  <c r="P2225" i="15"/>
  <c r="Q2225" i="15"/>
  <c r="T2225" i="15"/>
  <c r="U2225" i="15"/>
  <c r="V2225" i="15"/>
  <c r="W2225" i="15"/>
  <c r="X2225" i="15"/>
  <c r="Y2225" i="15"/>
  <c r="Z2225" i="15"/>
  <c r="AA2225" i="15"/>
  <c r="B2226" i="15"/>
  <c r="C2226" i="15"/>
  <c r="D2226" i="15"/>
  <c r="E2226" i="15"/>
  <c r="J2226" i="15"/>
  <c r="K2226" i="15"/>
  <c r="L2226" i="15"/>
  <c r="M2226" i="15"/>
  <c r="N2226" i="15"/>
  <c r="O2226" i="15"/>
  <c r="P2226" i="15"/>
  <c r="Q2226" i="15"/>
  <c r="T2226" i="15"/>
  <c r="U2226" i="15"/>
  <c r="V2226" i="15"/>
  <c r="W2226" i="15"/>
  <c r="X2226" i="15"/>
  <c r="Y2226" i="15"/>
  <c r="Z2226" i="15"/>
  <c r="AA2226" i="15"/>
  <c r="B2227" i="15"/>
  <c r="C2227" i="15"/>
  <c r="D2227" i="15"/>
  <c r="E2227" i="15"/>
  <c r="J2227" i="15"/>
  <c r="K2227" i="15"/>
  <c r="L2227" i="15"/>
  <c r="M2227" i="15"/>
  <c r="N2227" i="15"/>
  <c r="O2227" i="15"/>
  <c r="P2227" i="15"/>
  <c r="Q2227" i="15"/>
  <c r="T2227" i="15"/>
  <c r="U2227" i="15"/>
  <c r="V2227" i="15"/>
  <c r="W2227" i="15"/>
  <c r="X2227" i="15"/>
  <c r="Y2227" i="15"/>
  <c r="Z2227" i="15"/>
  <c r="AA2227" i="15"/>
  <c r="B2228" i="15"/>
  <c r="C2228" i="15"/>
  <c r="D2228" i="15"/>
  <c r="E2228" i="15"/>
  <c r="J2228" i="15"/>
  <c r="K2228" i="15"/>
  <c r="L2228" i="15"/>
  <c r="M2228" i="15"/>
  <c r="N2228" i="15"/>
  <c r="O2228" i="15"/>
  <c r="P2228" i="15"/>
  <c r="Q2228" i="15"/>
  <c r="T2228" i="15"/>
  <c r="U2228" i="15"/>
  <c r="V2228" i="15"/>
  <c r="W2228" i="15"/>
  <c r="X2228" i="15"/>
  <c r="Y2228" i="15"/>
  <c r="Z2228" i="15"/>
  <c r="AA2228" i="15"/>
  <c r="B2229" i="15"/>
  <c r="C2229" i="15"/>
  <c r="D2229" i="15"/>
  <c r="E2229" i="15"/>
  <c r="J2229" i="15"/>
  <c r="K2229" i="15"/>
  <c r="L2229" i="15"/>
  <c r="M2229" i="15"/>
  <c r="N2229" i="15"/>
  <c r="O2229" i="15"/>
  <c r="P2229" i="15"/>
  <c r="Q2229" i="15"/>
  <c r="T2229" i="15"/>
  <c r="U2229" i="15"/>
  <c r="V2229" i="15"/>
  <c r="W2229" i="15"/>
  <c r="X2229" i="15"/>
  <c r="Y2229" i="15"/>
  <c r="Z2229" i="15"/>
  <c r="AA2229" i="15"/>
  <c r="B2230" i="15"/>
  <c r="C2230" i="15"/>
  <c r="D2230" i="15"/>
  <c r="E2230" i="15"/>
  <c r="J2230" i="15"/>
  <c r="K2230" i="15"/>
  <c r="L2230" i="15"/>
  <c r="M2230" i="15"/>
  <c r="N2230" i="15"/>
  <c r="O2230" i="15"/>
  <c r="P2230" i="15"/>
  <c r="Q2230" i="15"/>
  <c r="T2230" i="15"/>
  <c r="U2230" i="15"/>
  <c r="V2230" i="15"/>
  <c r="W2230" i="15"/>
  <c r="X2230" i="15"/>
  <c r="Y2230" i="15"/>
  <c r="Z2230" i="15"/>
  <c r="AA2230" i="15"/>
  <c r="B2231" i="15"/>
  <c r="C2231" i="15"/>
  <c r="D2231" i="15"/>
  <c r="E2231" i="15"/>
  <c r="J2231" i="15"/>
  <c r="K2231" i="15"/>
  <c r="L2231" i="15"/>
  <c r="M2231" i="15"/>
  <c r="N2231" i="15"/>
  <c r="O2231" i="15"/>
  <c r="P2231" i="15"/>
  <c r="Q2231" i="15"/>
  <c r="T2231" i="15"/>
  <c r="U2231" i="15"/>
  <c r="V2231" i="15"/>
  <c r="W2231" i="15"/>
  <c r="X2231" i="15"/>
  <c r="Y2231" i="15"/>
  <c r="Z2231" i="15"/>
  <c r="AA2231" i="15"/>
  <c r="B2232" i="15"/>
  <c r="C2232" i="15"/>
  <c r="D2232" i="15"/>
  <c r="E2232" i="15"/>
  <c r="J2232" i="15"/>
  <c r="K2232" i="15"/>
  <c r="L2232" i="15"/>
  <c r="M2232" i="15"/>
  <c r="N2232" i="15"/>
  <c r="O2232" i="15"/>
  <c r="P2232" i="15"/>
  <c r="Q2232" i="15"/>
  <c r="T2232" i="15"/>
  <c r="U2232" i="15"/>
  <c r="V2232" i="15"/>
  <c r="W2232" i="15"/>
  <c r="X2232" i="15"/>
  <c r="Y2232" i="15"/>
  <c r="Z2232" i="15"/>
  <c r="AA2232" i="15"/>
  <c r="B2233" i="15"/>
  <c r="C2233" i="15"/>
  <c r="D2233" i="15"/>
  <c r="E2233" i="15"/>
  <c r="J2233" i="15"/>
  <c r="K2233" i="15"/>
  <c r="L2233" i="15"/>
  <c r="M2233" i="15"/>
  <c r="N2233" i="15"/>
  <c r="O2233" i="15"/>
  <c r="P2233" i="15"/>
  <c r="Q2233" i="15"/>
  <c r="T2233" i="15"/>
  <c r="U2233" i="15"/>
  <c r="V2233" i="15"/>
  <c r="W2233" i="15"/>
  <c r="X2233" i="15"/>
  <c r="Y2233" i="15"/>
  <c r="Z2233" i="15"/>
  <c r="AA2233" i="15"/>
  <c r="B2234" i="15"/>
  <c r="C2234" i="15"/>
  <c r="D2234" i="15"/>
  <c r="E2234" i="15"/>
  <c r="J2234" i="15"/>
  <c r="K2234" i="15"/>
  <c r="L2234" i="15"/>
  <c r="M2234" i="15"/>
  <c r="N2234" i="15"/>
  <c r="O2234" i="15"/>
  <c r="P2234" i="15"/>
  <c r="Q2234" i="15"/>
  <c r="T2234" i="15"/>
  <c r="U2234" i="15"/>
  <c r="V2234" i="15"/>
  <c r="W2234" i="15"/>
  <c r="X2234" i="15"/>
  <c r="Y2234" i="15"/>
  <c r="Z2234" i="15"/>
  <c r="AA2234" i="15"/>
  <c r="B2235" i="15"/>
  <c r="C2235" i="15"/>
  <c r="D2235" i="15"/>
  <c r="E2235" i="15"/>
  <c r="J2235" i="15"/>
  <c r="K2235" i="15"/>
  <c r="L2235" i="15"/>
  <c r="M2235" i="15"/>
  <c r="N2235" i="15"/>
  <c r="O2235" i="15"/>
  <c r="P2235" i="15"/>
  <c r="Q2235" i="15"/>
  <c r="T2235" i="15"/>
  <c r="U2235" i="15"/>
  <c r="V2235" i="15"/>
  <c r="W2235" i="15"/>
  <c r="X2235" i="15"/>
  <c r="Y2235" i="15"/>
  <c r="Z2235" i="15"/>
  <c r="AA2235" i="15"/>
  <c r="B2236" i="15"/>
  <c r="C2236" i="15"/>
  <c r="D2236" i="15"/>
  <c r="E2236" i="15"/>
  <c r="J2236" i="15"/>
  <c r="K2236" i="15"/>
  <c r="L2236" i="15"/>
  <c r="M2236" i="15"/>
  <c r="N2236" i="15"/>
  <c r="O2236" i="15"/>
  <c r="P2236" i="15"/>
  <c r="Q2236" i="15"/>
  <c r="T2236" i="15"/>
  <c r="U2236" i="15"/>
  <c r="V2236" i="15"/>
  <c r="W2236" i="15"/>
  <c r="X2236" i="15"/>
  <c r="Y2236" i="15"/>
  <c r="Z2236" i="15"/>
  <c r="AA2236" i="15"/>
  <c r="B2237" i="15"/>
  <c r="C2237" i="15"/>
  <c r="D2237" i="15"/>
  <c r="E2237" i="15"/>
  <c r="J2237" i="15"/>
  <c r="K2237" i="15"/>
  <c r="L2237" i="15"/>
  <c r="M2237" i="15"/>
  <c r="N2237" i="15"/>
  <c r="O2237" i="15"/>
  <c r="P2237" i="15"/>
  <c r="Q2237" i="15"/>
  <c r="T2237" i="15"/>
  <c r="U2237" i="15"/>
  <c r="V2237" i="15"/>
  <c r="W2237" i="15"/>
  <c r="X2237" i="15"/>
  <c r="Y2237" i="15"/>
  <c r="Z2237" i="15"/>
  <c r="AA2237" i="15"/>
  <c r="B2238" i="15"/>
  <c r="C2238" i="15"/>
  <c r="D2238" i="15"/>
  <c r="E2238" i="15"/>
  <c r="J2238" i="15"/>
  <c r="K2238" i="15"/>
  <c r="L2238" i="15"/>
  <c r="M2238" i="15"/>
  <c r="N2238" i="15"/>
  <c r="O2238" i="15"/>
  <c r="P2238" i="15"/>
  <c r="Q2238" i="15"/>
  <c r="T2238" i="15"/>
  <c r="U2238" i="15"/>
  <c r="V2238" i="15"/>
  <c r="W2238" i="15"/>
  <c r="X2238" i="15"/>
  <c r="Y2238" i="15"/>
  <c r="Z2238" i="15"/>
  <c r="AA2238" i="15"/>
  <c r="B2239" i="15"/>
  <c r="C2239" i="15"/>
  <c r="D2239" i="15"/>
  <c r="E2239" i="15"/>
  <c r="J2239" i="15"/>
  <c r="K2239" i="15"/>
  <c r="L2239" i="15"/>
  <c r="M2239" i="15"/>
  <c r="N2239" i="15"/>
  <c r="O2239" i="15"/>
  <c r="P2239" i="15"/>
  <c r="Q2239" i="15"/>
  <c r="T2239" i="15"/>
  <c r="U2239" i="15"/>
  <c r="V2239" i="15"/>
  <c r="W2239" i="15"/>
  <c r="X2239" i="15"/>
  <c r="Y2239" i="15"/>
  <c r="Z2239" i="15"/>
  <c r="AA2239" i="15"/>
  <c r="B2240" i="15"/>
  <c r="C2240" i="15"/>
  <c r="D2240" i="15"/>
  <c r="E2240" i="15"/>
  <c r="J2240" i="15"/>
  <c r="K2240" i="15"/>
  <c r="L2240" i="15"/>
  <c r="M2240" i="15"/>
  <c r="N2240" i="15"/>
  <c r="O2240" i="15"/>
  <c r="P2240" i="15"/>
  <c r="Q2240" i="15"/>
  <c r="T2240" i="15"/>
  <c r="U2240" i="15"/>
  <c r="V2240" i="15"/>
  <c r="W2240" i="15"/>
  <c r="X2240" i="15"/>
  <c r="Y2240" i="15"/>
  <c r="Z2240" i="15"/>
  <c r="AA2240" i="15"/>
  <c r="B2241" i="15"/>
  <c r="C2241" i="15"/>
  <c r="D2241" i="15"/>
  <c r="E2241" i="15"/>
  <c r="J2241" i="15"/>
  <c r="K2241" i="15"/>
  <c r="L2241" i="15"/>
  <c r="M2241" i="15"/>
  <c r="N2241" i="15"/>
  <c r="O2241" i="15"/>
  <c r="P2241" i="15"/>
  <c r="Q2241" i="15"/>
  <c r="T2241" i="15"/>
  <c r="U2241" i="15"/>
  <c r="V2241" i="15"/>
  <c r="W2241" i="15"/>
  <c r="X2241" i="15"/>
  <c r="Y2241" i="15"/>
  <c r="Z2241" i="15"/>
  <c r="AA2241" i="15"/>
  <c r="B2242" i="15"/>
  <c r="C2242" i="15"/>
  <c r="D2242" i="15"/>
  <c r="E2242" i="15"/>
  <c r="J2242" i="15"/>
  <c r="K2242" i="15"/>
  <c r="L2242" i="15"/>
  <c r="M2242" i="15"/>
  <c r="N2242" i="15"/>
  <c r="O2242" i="15"/>
  <c r="P2242" i="15"/>
  <c r="Q2242" i="15"/>
  <c r="T2242" i="15"/>
  <c r="U2242" i="15"/>
  <c r="V2242" i="15"/>
  <c r="W2242" i="15"/>
  <c r="X2242" i="15"/>
  <c r="Y2242" i="15"/>
  <c r="Z2242" i="15"/>
  <c r="AA2242" i="15"/>
  <c r="B2243" i="15"/>
  <c r="C2243" i="15"/>
  <c r="D2243" i="15"/>
  <c r="E2243" i="15"/>
  <c r="J2243" i="15"/>
  <c r="K2243" i="15"/>
  <c r="L2243" i="15"/>
  <c r="M2243" i="15"/>
  <c r="N2243" i="15"/>
  <c r="O2243" i="15"/>
  <c r="P2243" i="15"/>
  <c r="Q2243" i="15"/>
  <c r="T2243" i="15"/>
  <c r="U2243" i="15"/>
  <c r="V2243" i="15"/>
  <c r="W2243" i="15"/>
  <c r="X2243" i="15"/>
  <c r="Y2243" i="15"/>
  <c r="Z2243" i="15"/>
  <c r="AA2243" i="15"/>
  <c r="B2244" i="15"/>
  <c r="C2244" i="15"/>
  <c r="D2244" i="15"/>
  <c r="E2244" i="15"/>
  <c r="J2244" i="15"/>
  <c r="K2244" i="15"/>
  <c r="L2244" i="15"/>
  <c r="M2244" i="15"/>
  <c r="N2244" i="15"/>
  <c r="O2244" i="15"/>
  <c r="P2244" i="15"/>
  <c r="Q2244" i="15"/>
  <c r="T2244" i="15"/>
  <c r="U2244" i="15"/>
  <c r="V2244" i="15"/>
  <c r="W2244" i="15"/>
  <c r="X2244" i="15"/>
  <c r="Y2244" i="15"/>
  <c r="Z2244" i="15"/>
  <c r="AA2244" i="15"/>
  <c r="B2245" i="15"/>
  <c r="C2245" i="15"/>
  <c r="D2245" i="15"/>
  <c r="E2245" i="15"/>
  <c r="J2245" i="15"/>
  <c r="K2245" i="15"/>
  <c r="L2245" i="15"/>
  <c r="M2245" i="15"/>
  <c r="N2245" i="15"/>
  <c r="O2245" i="15"/>
  <c r="P2245" i="15"/>
  <c r="Q2245" i="15"/>
  <c r="T2245" i="15"/>
  <c r="U2245" i="15"/>
  <c r="V2245" i="15"/>
  <c r="W2245" i="15"/>
  <c r="X2245" i="15"/>
  <c r="Y2245" i="15"/>
  <c r="Z2245" i="15"/>
  <c r="AA2245" i="15"/>
  <c r="B2246" i="15"/>
  <c r="C2246" i="15"/>
  <c r="D2246" i="15"/>
  <c r="E2246" i="15"/>
  <c r="J2246" i="15"/>
  <c r="K2246" i="15"/>
  <c r="L2246" i="15"/>
  <c r="M2246" i="15"/>
  <c r="N2246" i="15"/>
  <c r="O2246" i="15"/>
  <c r="P2246" i="15"/>
  <c r="Q2246" i="15"/>
  <c r="T2246" i="15"/>
  <c r="U2246" i="15"/>
  <c r="V2246" i="15"/>
  <c r="W2246" i="15"/>
  <c r="X2246" i="15"/>
  <c r="Y2246" i="15"/>
  <c r="Z2246" i="15"/>
  <c r="AA2246" i="15"/>
  <c r="B2247" i="15"/>
  <c r="C2247" i="15"/>
  <c r="D2247" i="15"/>
  <c r="E2247" i="15"/>
  <c r="J2247" i="15"/>
  <c r="K2247" i="15"/>
  <c r="L2247" i="15"/>
  <c r="M2247" i="15"/>
  <c r="N2247" i="15"/>
  <c r="O2247" i="15"/>
  <c r="P2247" i="15"/>
  <c r="Q2247" i="15"/>
  <c r="T2247" i="15"/>
  <c r="U2247" i="15"/>
  <c r="V2247" i="15"/>
  <c r="W2247" i="15"/>
  <c r="X2247" i="15"/>
  <c r="Y2247" i="15"/>
  <c r="Z2247" i="15"/>
  <c r="AA2247" i="15"/>
  <c r="B2248" i="15"/>
  <c r="C2248" i="15"/>
  <c r="D2248" i="15"/>
  <c r="E2248" i="15"/>
  <c r="J2248" i="15"/>
  <c r="K2248" i="15"/>
  <c r="L2248" i="15"/>
  <c r="M2248" i="15"/>
  <c r="N2248" i="15"/>
  <c r="O2248" i="15"/>
  <c r="P2248" i="15"/>
  <c r="Q2248" i="15"/>
  <c r="T2248" i="15"/>
  <c r="U2248" i="15"/>
  <c r="V2248" i="15"/>
  <c r="W2248" i="15"/>
  <c r="X2248" i="15"/>
  <c r="Y2248" i="15"/>
  <c r="Z2248" i="15"/>
  <c r="AA2248" i="15"/>
  <c r="B2249" i="15"/>
  <c r="C2249" i="15"/>
  <c r="D2249" i="15"/>
  <c r="E2249" i="15"/>
  <c r="J2249" i="15"/>
  <c r="K2249" i="15"/>
  <c r="L2249" i="15"/>
  <c r="M2249" i="15"/>
  <c r="N2249" i="15"/>
  <c r="O2249" i="15"/>
  <c r="P2249" i="15"/>
  <c r="Q2249" i="15"/>
  <c r="T2249" i="15"/>
  <c r="U2249" i="15"/>
  <c r="V2249" i="15"/>
  <c r="W2249" i="15"/>
  <c r="X2249" i="15"/>
  <c r="Y2249" i="15"/>
  <c r="Z2249" i="15"/>
  <c r="AA2249" i="15"/>
  <c r="B2250" i="15"/>
  <c r="C2250" i="15"/>
  <c r="D2250" i="15"/>
  <c r="E2250" i="15"/>
  <c r="J2250" i="15"/>
  <c r="K2250" i="15"/>
  <c r="L2250" i="15"/>
  <c r="M2250" i="15"/>
  <c r="N2250" i="15"/>
  <c r="O2250" i="15"/>
  <c r="P2250" i="15"/>
  <c r="Q2250" i="15"/>
  <c r="T2250" i="15"/>
  <c r="U2250" i="15"/>
  <c r="V2250" i="15"/>
  <c r="W2250" i="15"/>
  <c r="X2250" i="15"/>
  <c r="Y2250" i="15"/>
  <c r="Z2250" i="15"/>
  <c r="AA2250" i="15"/>
  <c r="B2251" i="15"/>
  <c r="C2251" i="15"/>
  <c r="D2251" i="15"/>
  <c r="E2251" i="15"/>
  <c r="J2251" i="15"/>
  <c r="K2251" i="15"/>
  <c r="L2251" i="15"/>
  <c r="M2251" i="15"/>
  <c r="N2251" i="15"/>
  <c r="O2251" i="15"/>
  <c r="P2251" i="15"/>
  <c r="Q2251" i="15"/>
  <c r="T2251" i="15"/>
  <c r="U2251" i="15"/>
  <c r="V2251" i="15"/>
  <c r="W2251" i="15"/>
  <c r="X2251" i="15"/>
  <c r="Y2251" i="15"/>
  <c r="Z2251" i="15"/>
  <c r="AA2251" i="15"/>
  <c r="B2252" i="15"/>
  <c r="C2252" i="15"/>
  <c r="D2252" i="15"/>
  <c r="E2252" i="15"/>
  <c r="J2252" i="15"/>
  <c r="K2252" i="15"/>
  <c r="L2252" i="15"/>
  <c r="M2252" i="15"/>
  <c r="N2252" i="15"/>
  <c r="O2252" i="15"/>
  <c r="P2252" i="15"/>
  <c r="Q2252" i="15"/>
  <c r="T2252" i="15"/>
  <c r="U2252" i="15"/>
  <c r="V2252" i="15"/>
  <c r="W2252" i="15"/>
  <c r="X2252" i="15"/>
  <c r="Y2252" i="15"/>
  <c r="Z2252" i="15"/>
  <c r="AA2252" i="15"/>
  <c r="B2253" i="15"/>
  <c r="C2253" i="15"/>
  <c r="D2253" i="15"/>
  <c r="E2253" i="15"/>
  <c r="J2253" i="15"/>
  <c r="K2253" i="15"/>
  <c r="L2253" i="15"/>
  <c r="M2253" i="15"/>
  <c r="N2253" i="15"/>
  <c r="O2253" i="15"/>
  <c r="P2253" i="15"/>
  <c r="Q2253" i="15"/>
  <c r="T2253" i="15"/>
  <c r="U2253" i="15"/>
  <c r="V2253" i="15"/>
  <c r="W2253" i="15"/>
  <c r="X2253" i="15"/>
  <c r="Y2253" i="15"/>
  <c r="Z2253" i="15"/>
  <c r="AA2253" i="15"/>
  <c r="B2254" i="15"/>
  <c r="C2254" i="15"/>
  <c r="D2254" i="15"/>
  <c r="E2254" i="15"/>
  <c r="J2254" i="15"/>
  <c r="K2254" i="15"/>
  <c r="L2254" i="15"/>
  <c r="M2254" i="15"/>
  <c r="N2254" i="15"/>
  <c r="O2254" i="15"/>
  <c r="P2254" i="15"/>
  <c r="Q2254" i="15"/>
  <c r="T2254" i="15"/>
  <c r="U2254" i="15"/>
  <c r="V2254" i="15"/>
  <c r="W2254" i="15"/>
  <c r="X2254" i="15"/>
  <c r="Y2254" i="15"/>
  <c r="Z2254" i="15"/>
  <c r="AA2254" i="15"/>
  <c r="B2255" i="15"/>
  <c r="C2255" i="15"/>
  <c r="D2255" i="15"/>
  <c r="E2255" i="15"/>
  <c r="J2255" i="15"/>
  <c r="K2255" i="15"/>
  <c r="L2255" i="15"/>
  <c r="M2255" i="15"/>
  <c r="N2255" i="15"/>
  <c r="O2255" i="15"/>
  <c r="P2255" i="15"/>
  <c r="Q2255" i="15"/>
  <c r="T2255" i="15"/>
  <c r="U2255" i="15"/>
  <c r="V2255" i="15"/>
  <c r="W2255" i="15"/>
  <c r="X2255" i="15"/>
  <c r="Y2255" i="15"/>
  <c r="Z2255" i="15"/>
  <c r="AA2255" i="15"/>
  <c r="B2256" i="15"/>
  <c r="C2256" i="15"/>
  <c r="D2256" i="15"/>
  <c r="E2256" i="15"/>
  <c r="J2256" i="15"/>
  <c r="K2256" i="15"/>
  <c r="L2256" i="15"/>
  <c r="M2256" i="15"/>
  <c r="N2256" i="15"/>
  <c r="O2256" i="15"/>
  <c r="P2256" i="15"/>
  <c r="Q2256" i="15"/>
  <c r="T2256" i="15"/>
  <c r="U2256" i="15"/>
  <c r="V2256" i="15"/>
  <c r="W2256" i="15"/>
  <c r="X2256" i="15"/>
  <c r="Y2256" i="15"/>
  <c r="Z2256" i="15"/>
  <c r="AA2256" i="15"/>
  <c r="B2257" i="15"/>
  <c r="C2257" i="15"/>
  <c r="D2257" i="15"/>
  <c r="E2257" i="15"/>
  <c r="J2257" i="15"/>
  <c r="K2257" i="15"/>
  <c r="L2257" i="15"/>
  <c r="M2257" i="15"/>
  <c r="N2257" i="15"/>
  <c r="O2257" i="15"/>
  <c r="P2257" i="15"/>
  <c r="Q2257" i="15"/>
  <c r="T2257" i="15"/>
  <c r="U2257" i="15"/>
  <c r="V2257" i="15"/>
  <c r="W2257" i="15"/>
  <c r="X2257" i="15"/>
  <c r="Y2257" i="15"/>
  <c r="Z2257" i="15"/>
  <c r="AA2257" i="15"/>
  <c r="B2258" i="15"/>
  <c r="C2258" i="15"/>
  <c r="D2258" i="15"/>
  <c r="E2258" i="15"/>
  <c r="J2258" i="15"/>
  <c r="K2258" i="15"/>
  <c r="L2258" i="15"/>
  <c r="M2258" i="15"/>
  <c r="N2258" i="15"/>
  <c r="O2258" i="15"/>
  <c r="P2258" i="15"/>
  <c r="Q2258" i="15"/>
  <c r="T2258" i="15"/>
  <c r="U2258" i="15"/>
  <c r="V2258" i="15"/>
  <c r="W2258" i="15"/>
  <c r="X2258" i="15"/>
  <c r="Y2258" i="15"/>
  <c r="Z2258" i="15"/>
  <c r="AA2258" i="15"/>
  <c r="B2259" i="15"/>
  <c r="C2259" i="15"/>
  <c r="D2259" i="15"/>
  <c r="E2259" i="15"/>
  <c r="J2259" i="15"/>
  <c r="K2259" i="15"/>
  <c r="L2259" i="15"/>
  <c r="M2259" i="15"/>
  <c r="N2259" i="15"/>
  <c r="O2259" i="15"/>
  <c r="P2259" i="15"/>
  <c r="Q2259" i="15"/>
  <c r="T2259" i="15"/>
  <c r="U2259" i="15"/>
  <c r="V2259" i="15"/>
  <c r="W2259" i="15"/>
  <c r="X2259" i="15"/>
  <c r="Y2259" i="15"/>
  <c r="Z2259" i="15"/>
  <c r="AA2259" i="15"/>
  <c r="B2260" i="15"/>
  <c r="C2260" i="15"/>
  <c r="D2260" i="15"/>
  <c r="E2260" i="15"/>
  <c r="J2260" i="15"/>
  <c r="K2260" i="15"/>
  <c r="L2260" i="15"/>
  <c r="M2260" i="15"/>
  <c r="N2260" i="15"/>
  <c r="O2260" i="15"/>
  <c r="P2260" i="15"/>
  <c r="Q2260" i="15"/>
  <c r="T2260" i="15"/>
  <c r="U2260" i="15"/>
  <c r="V2260" i="15"/>
  <c r="W2260" i="15"/>
  <c r="X2260" i="15"/>
  <c r="Y2260" i="15"/>
  <c r="Z2260" i="15"/>
  <c r="AA2260" i="15"/>
  <c r="B2261" i="15"/>
  <c r="C2261" i="15"/>
  <c r="D2261" i="15"/>
  <c r="E2261" i="15"/>
  <c r="J2261" i="15"/>
  <c r="K2261" i="15"/>
  <c r="L2261" i="15"/>
  <c r="M2261" i="15"/>
  <c r="N2261" i="15"/>
  <c r="O2261" i="15"/>
  <c r="P2261" i="15"/>
  <c r="Q2261" i="15"/>
  <c r="T2261" i="15"/>
  <c r="U2261" i="15"/>
  <c r="V2261" i="15"/>
  <c r="W2261" i="15"/>
  <c r="X2261" i="15"/>
  <c r="Y2261" i="15"/>
  <c r="Z2261" i="15"/>
  <c r="AA2261" i="15"/>
  <c r="B2262" i="15"/>
  <c r="C2262" i="15"/>
  <c r="D2262" i="15"/>
  <c r="E2262" i="15"/>
  <c r="J2262" i="15"/>
  <c r="K2262" i="15"/>
  <c r="L2262" i="15"/>
  <c r="M2262" i="15"/>
  <c r="N2262" i="15"/>
  <c r="O2262" i="15"/>
  <c r="P2262" i="15"/>
  <c r="Q2262" i="15"/>
  <c r="T2262" i="15"/>
  <c r="U2262" i="15"/>
  <c r="V2262" i="15"/>
  <c r="W2262" i="15"/>
  <c r="X2262" i="15"/>
  <c r="Y2262" i="15"/>
  <c r="Z2262" i="15"/>
  <c r="AA2262" i="15"/>
  <c r="B2263" i="15"/>
  <c r="C2263" i="15"/>
  <c r="D2263" i="15"/>
  <c r="E2263" i="15"/>
  <c r="J2263" i="15"/>
  <c r="K2263" i="15"/>
  <c r="L2263" i="15"/>
  <c r="M2263" i="15"/>
  <c r="N2263" i="15"/>
  <c r="O2263" i="15"/>
  <c r="P2263" i="15"/>
  <c r="Q2263" i="15"/>
  <c r="T2263" i="15"/>
  <c r="U2263" i="15"/>
  <c r="V2263" i="15"/>
  <c r="W2263" i="15"/>
  <c r="X2263" i="15"/>
  <c r="Y2263" i="15"/>
  <c r="Z2263" i="15"/>
  <c r="AA2263" i="15"/>
  <c r="B2264" i="15"/>
  <c r="C2264" i="15"/>
  <c r="D2264" i="15"/>
  <c r="E2264" i="15"/>
  <c r="J2264" i="15"/>
  <c r="K2264" i="15"/>
  <c r="L2264" i="15"/>
  <c r="M2264" i="15"/>
  <c r="N2264" i="15"/>
  <c r="O2264" i="15"/>
  <c r="P2264" i="15"/>
  <c r="Q2264" i="15"/>
  <c r="T2264" i="15"/>
  <c r="U2264" i="15"/>
  <c r="V2264" i="15"/>
  <c r="W2264" i="15"/>
  <c r="X2264" i="15"/>
  <c r="Y2264" i="15"/>
  <c r="Z2264" i="15"/>
  <c r="AA2264" i="15"/>
  <c r="B2265" i="15"/>
  <c r="C2265" i="15"/>
  <c r="D2265" i="15"/>
  <c r="E2265" i="15"/>
  <c r="J2265" i="15"/>
  <c r="K2265" i="15"/>
  <c r="L2265" i="15"/>
  <c r="M2265" i="15"/>
  <c r="N2265" i="15"/>
  <c r="O2265" i="15"/>
  <c r="P2265" i="15"/>
  <c r="Q2265" i="15"/>
  <c r="T2265" i="15"/>
  <c r="U2265" i="15"/>
  <c r="V2265" i="15"/>
  <c r="W2265" i="15"/>
  <c r="X2265" i="15"/>
  <c r="Y2265" i="15"/>
  <c r="Z2265" i="15"/>
  <c r="AA2265" i="15"/>
  <c r="B2266" i="15"/>
  <c r="C2266" i="15"/>
  <c r="D2266" i="15"/>
  <c r="E2266" i="15"/>
  <c r="J2266" i="15"/>
  <c r="K2266" i="15"/>
  <c r="L2266" i="15"/>
  <c r="M2266" i="15"/>
  <c r="N2266" i="15"/>
  <c r="O2266" i="15"/>
  <c r="P2266" i="15"/>
  <c r="Q2266" i="15"/>
  <c r="T2266" i="15"/>
  <c r="U2266" i="15"/>
  <c r="V2266" i="15"/>
  <c r="W2266" i="15"/>
  <c r="X2266" i="15"/>
  <c r="Y2266" i="15"/>
  <c r="Z2266" i="15"/>
  <c r="AA2266" i="15"/>
  <c r="B2267" i="15"/>
  <c r="C2267" i="15"/>
  <c r="D2267" i="15"/>
  <c r="E2267" i="15"/>
  <c r="J2267" i="15"/>
  <c r="K2267" i="15"/>
  <c r="L2267" i="15"/>
  <c r="M2267" i="15"/>
  <c r="N2267" i="15"/>
  <c r="O2267" i="15"/>
  <c r="P2267" i="15"/>
  <c r="Q2267" i="15"/>
  <c r="T2267" i="15"/>
  <c r="U2267" i="15"/>
  <c r="V2267" i="15"/>
  <c r="W2267" i="15"/>
  <c r="X2267" i="15"/>
  <c r="Y2267" i="15"/>
  <c r="Z2267" i="15"/>
  <c r="AA2267" i="15"/>
  <c r="B2268" i="15"/>
  <c r="C2268" i="15"/>
  <c r="D2268" i="15"/>
  <c r="E2268" i="15"/>
  <c r="J2268" i="15"/>
  <c r="K2268" i="15"/>
  <c r="L2268" i="15"/>
  <c r="M2268" i="15"/>
  <c r="N2268" i="15"/>
  <c r="O2268" i="15"/>
  <c r="P2268" i="15"/>
  <c r="Q2268" i="15"/>
  <c r="T2268" i="15"/>
  <c r="U2268" i="15"/>
  <c r="V2268" i="15"/>
  <c r="W2268" i="15"/>
  <c r="X2268" i="15"/>
  <c r="Y2268" i="15"/>
  <c r="Z2268" i="15"/>
  <c r="AA2268" i="15"/>
  <c r="B2269" i="15"/>
  <c r="C2269" i="15"/>
  <c r="D2269" i="15"/>
  <c r="E2269" i="15"/>
  <c r="J2269" i="15"/>
  <c r="K2269" i="15"/>
  <c r="L2269" i="15"/>
  <c r="M2269" i="15"/>
  <c r="N2269" i="15"/>
  <c r="O2269" i="15"/>
  <c r="P2269" i="15"/>
  <c r="Q2269" i="15"/>
  <c r="T2269" i="15"/>
  <c r="U2269" i="15"/>
  <c r="V2269" i="15"/>
  <c r="W2269" i="15"/>
  <c r="X2269" i="15"/>
  <c r="Y2269" i="15"/>
  <c r="Z2269" i="15"/>
  <c r="AA2269" i="15"/>
  <c r="B2270" i="15"/>
  <c r="C2270" i="15"/>
  <c r="D2270" i="15"/>
  <c r="E2270" i="15"/>
  <c r="J2270" i="15"/>
  <c r="K2270" i="15"/>
  <c r="L2270" i="15"/>
  <c r="M2270" i="15"/>
  <c r="N2270" i="15"/>
  <c r="O2270" i="15"/>
  <c r="P2270" i="15"/>
  <c r="Q2270" i="15"/>
  <c r="T2270" i="15"/>
  <c r="U2270" i="15"/>
  <c r="V2270" i="15"/>
  <c r="W2270" i="15"/>
  <c r="X2270" i="15"/>
  <c r="Y2270" i="15"/>
  <c r="Z2270" i="15"/>
  <c r="AA2270" i="15"/>
  <c r="B2271" i="15"/>
  <c r="C2271" i="15"/>
  <c r="D2271" i="15"/>
  <c r="E2271" i="15"/>
  <c r="J2271" i="15"/>
  <c r="K2271" i="15"/>
  <c r="L2271" i="15"/>
  <c r="M2271" i="15"/>
  <c r="N2271" i="15"/>
  <c r="O2271" i="15"/>
  <c r="P2271" i="15"/>
  <c r="Q2271" i="15"/>
  <c r="T2271" i="15"/>
  <c r="U2271" i="15"/>
  <c r="V2271" i="15"/>
  <c r="W2271" i="15"/>
  <c r="X2271" i="15"/>
  <c r="Y2271" i="15"/>
  <c r="Z2271" i="15"/>
  <c r="AA2271" i="15"/>
  <c r="B2272" i="15"/>
  <c r="C2272" i="15"/>
  <c r="D2272" i="15"/>
  <c r="E2272" i="15"/>
  <c r="J2272" i="15"/>
  <c r="K2272" i="15"/>
  <c r="L2272" i="15"/>
  <c r="M2272" i="15"/>
  <c r="N2272" i="15"/>
  <c r="O2272" i="15"/>
  <c r="P2272" i="15"/>
  <c r="Q2272" i="15"/>
  <c r="T2272" i="15"/>
  <c r="U2272" i="15"/>
  <c r="V2272" i="15"/>
  <c r="W2272" i="15"/>
  <c r="X2272" i="15"/>
  <c r="Y2272" i="15"/>
  <c r="Z2272" i="15"/>
  <c r="AA2272" i="15"/>
  <c r="B2273" i="15"/>
  <c r="C2273" i="15"/>
  <c r="D2273" i="15"/>
  <c r="E2273" i="15"/>
  <c r="J2273" i="15"/>
  <c r="K2273" i="15"/>
  <c r="L2273" i="15"/>
  <c r="M2273" i="15"/>
  <c r="N2273" i="15"/>
  <c r="O2273" i="15"/>
  <c r="P2273" i="15"/>
  <c r="Q2273" i="15"/>
  <c r="T2273" i="15"/>
  <c r="U2273" i="15"/>
  <c r="V2273" i="15"/>
  <c r="W2273" i="15"/>
  <c r="X2273" i="15"/>
  <c r="Y2273" i="15"/>
  <c r="Z2273" i="15"/>
  <c r="AA2273" i="15"/>
  <c r="B2274" i="15"/>
  <c r="C2274" i="15"/>
  <c r="D2274" i="15"/>
  <c r="E2274" i="15"/>
  <c r="J2274" i="15"/>
  <c r="K2274" i="15"/>
  <c r="L2274" i="15"/>
  <c r="M2274" i="15"/>
  <c r="N2274" i="15"/>
  <c r="O2274" i="15"/>
  <c r="P2274" i="15"/>
  <c r="Q2274" i="15"/>
  <c r="T2274" i="15"/>
  <c r="U2274" i="15"/>
  <c r="V2274" i="15"/>
  <c r="W2274" i="15"/>
  <c r="X2274" i="15"/>
  <c r="Y2274" i="15"/>
  <c r="Z2274" i="15"/>
  <c r="AA2274" i="15"/>
  <c r="B2275" i="15"/>
  <c r="C2275" i="15"/>
  <c r="D2275" i="15"/>
  <c r="E2275" i="15"/>
  <c r="J2275" i="15"/>
  <c r="K2275" i="15"/>
  <c r="L2275" i="15"/>
  <c r="M2275" i="15"/>
  <c r="N2275" i="15"/>
  <c r="O2275" i="15"/>
  <c r="P2275" i="15"/>
  <c r="Q2275" i="15"/>
  <c r="T2275" i="15"/>
  <c r="U2275" i="15"/>
  <c r="V2275" i="15"/>
  <c r="W2275" i="15"/>
  <c r="X2275" i="15"/>
  <c r="Y2275" i="15"/>
  <c r="Z2275" i="15"/>
  <c r="AA2275" i="15"/>
  <c r="B2276" i="15"/>
  <c r="C2276" i="15"/>
  <c r="D2276" i="15"/>
  <c r="E2276" i="15"/>
  <c r="J2276" i="15"/>
  <c r="K2276" i="15"/>
  <c r="L2276" i="15"/>
  <c r="M2276" i="15"/>
  <c r="N2276" i="15"/>
  <c r="O2276" i="15"/>
  <c r="P2276" i="15"/>
  <c r="Q2276" i="15"/>
  <c r="T2276" i="15"/>
  <c r="U2276" i="15"/>
  <c r="V2276" i="15"/>
  <c r="W2276" i="15"/>
  <c r="X2276" i="15"/>
  <c r="Y2276" i="15"/>
  <c r="Z2276" i="15"/>
  <c r="AA2276" i="15"/>
  <c r="B2277" i="15"/>
  <c r="C2277" i="15"/>
  <c r="D2277" i="15"/>
  <c r="E2277" i="15"/>
  <c r="J2277" i="15"/>
  <c r="K2277" i="15"/>
  <c r="L2277" i="15"/>
  <c r="M2277" i="15"/>
  <c r="N2277" i="15"/>
  <c r="O2277" i="15"/>
  <c r="P2277" i="15"/>
  <c r="Q2277" i="15"/>
  <c r="T2277" i="15"/>
  <c r="U2277" i="15"/>
  <c r="V2277" i="15"/>
  <c r="W2277" i="15"/>
  <c r="X2277" i="15"/>
  <c r="Y2277" i="15"/>
  <c r="Z2277" i="15"/>
  <c r="AA2277" i="15"/>
  <c r="B2278" i="15"/>
  <c r="C2278" i="15"/>
  <c r="D2278" i="15"/>
  <c r="E2278" i="15"/>
  <c r="J2278" i="15"/>
  <c r="K2278" i="15"/>
  <c r="L2278" i="15"/>
  <c r="M2278" i="15"/>
  <c r="N2278" i="15"/>
  <c r="O2278" i="15"/>
  <c r="P2278" i="15"/>
  <c r="Q2278" i="15"/>
  <c r="T2278" i="15"/>
  <c r="U2278" i="15"/>
  <c r="V2278" i="15"/>
  <c r="W2278" i="15"/>
  <c r="X2278" i="15"/>
  <c r="Y2278" i="15"/>
  <c r="Z2278" i="15"/>
  <c r="AA2278" i="15"/>
  <c r="B2279" i="15"/>
  <c r="C2279" i="15"/>
  <c r="D2279" i="15"/>
  <c r="E2279" i="15"/>
  <c r="J2279" i="15"/>
  <c r="K2279" i="15"/>
  <c r="L2279" i="15"/>
  <c r="M2279" i="15"/>
  <c r="N2279" i="15"/>
  <c r="O2279" i="15"/>
  <c r="P2279" i="15"/>
  <c r="Q2279" i="15"/>
  <c r="T2279" i="15"/>
  <c r="U2279" i="15"/>
  <c r="V2279" i="15"/>
  <c r="W2279" i="15"/>
  <c r="X2279" i="15"/>
  <c r="Y2279" i="15"/>
  <c r="Z2279" i="15"/>
  <c r="AA2279" i="15"/>
  <c r="B2280" i="15"/>
  <c r="C2280" i="15"/>
  <c r="D2280" i="15"/>
  <c r="E2280" i="15"/>
  <c r="J2280" i="15"/>
  <c r="K2280" i="15"/>
  <c r="L2280" i="15"/>
  <c r="M2280" i="15"/>
  <c r="N2280" i="15"/>
  <c r="O2280" i="15"/>
  <c r="P2280" i="15"/>
  <c r="Q2280" i="15"/>
  <c r="T2280" i="15"/>
  <c r="U2280" i="15"/>
  <c r="V2280" i="15"/>
  <c r="W2280" i="15"/>
  <c r="X2280" i="15"/>
  <c r="Y2280" i="15"/>
  <c r="Z2280" i="15"/>
  <c r="AA2280" i="15"/>
  <c r="B2281" i="15"/>
  <c r="C2281" i="15"/>
  <c r="D2281" i="15"/>
  <c r="E2281" i="15"/>
  <c r="J2281" i="15"/>
  <c r="K2281" i="15"/>
  <c r="L2281" i="15"/>
  <c r="M2281" i="15"/>
  <c r="N2281" i="15"/>
  <c r="O2281" i="15"/>
  <c r="P2281" i="15"/>
  <c r="Q2281" i="15"/>
  <c r="T2281" i="15"/>
  <c r="U2281" i="15"/>
  <c r="V2281" i="15"/>
  <c r="W2281" i="15"/>
  <c r="X2281" i="15"/>
  <c r="Y2281" i="15"/>
  <c r="Z2281" i="15"/>
  <c r="AA2281" i="15"/>
  <c r="B2282" i="15"/>
  <c r="C2282" i="15"/>
  <c r="D2282" i="15"/>
  <c r="E2282" i="15"/>
  <c r="J2282" i="15"/>
  <c r="K2282" i="15"/>
  <c r="L2282" i="15"/>
  <c r="M2282" i="15"/>
  <c r="N2282" i="15"/>
  <c r="O2282" i="15"/>
  <c r="P2282" i="15"/>
  <c r="Q2282" i="15"/>
  <c r="T2282" i="15"/>
  <c r="U2282" i="15"/>
  <c r="V2282" i="15"/>
  <c r="W2282" i="15"/>
  <c r="X2282" i="15"/>
  <c r="Y2282" i="15"/>
  <c r="Z2282" i="15"/>
  <c r="AA2282" i="15"/>
  <c r="B2283" i="15"/>
  <c r="C2283" i="15"/>
  <c r="D2283" i="15"/>
  <c r="E2283" i="15"/>
  <c r="J2283" i="15"/>
  <c r="K2283" i="15"/>
  <c r="L2283" i="15"/>
  <c r="M2283" i="15"/>
  <c r="N2283" i="15"/>
  <c r="O2283" i="15"/>
  <c r="P2283" i="15"/>
  <c r="Q2283" i="15"/>
  <c r="T2283" i="15"/>
  <c r="U2283" i="15"/>
  <c r="V2283" i="15"/>
  <c r="W2283" i="15"/>
  <c r="X2283" i="15"/>
  <c r="Y2283" i="15"/>
  <c r="Z2283" i="15"/>
  <c r="AA2283" i="15"/>
  <c r="B2284" i="15"/>
  <c r="C2284" i="15"/>
  <c r="D2284" i="15"/>
  <c r="E2284" i="15"/>
  <c r="J2284" i="15"/>
  <c r="K2284" i="15"/>
  <c r="L2284" i="15"/>
  <c r="M2284" i="15"/>
  <c r="N2284" i="15"/>
  <c r="O2284" i="15"/>
  <c r="P2284" i="15"/>
  <c r="Q2284" i="15"/>
  <c r="T2284" i="15"/>
  <c r="U2284" i="15"/>
  <c r="V2284" i="15"/>
  <c r="W2284" i="15"/>
  <c r="X2284" i="15"/>
  <c r="Y2284" i="15"/>
  <c r="Z2284" i="15"/>
  <c r="AA2284" i="15"/>
  <c r="B2285" i="15"/>
  <c r="C2285" i="15"/>
  <c r="D2285" i="15"/>
  <c r="E2285" i="15"/>
  <c r="J2285" i="15"/>
  <c r="K2285" i="15"/>
  <c r="L2285" i="15"/>
  <c r="M2285" i="15"/>
  <c r="N2285" i="15"/>
  <c r="O2285" i="15"/>
  <c r="P2285" i="15"/>
  <c r="Q2285" i="15"/>
  <c r="T2285" i="15"/>
  <c r="U2285" i="15"/>
  <c r="V2285" i="15"/>
  <c r="W2285" i="15"/>
  <c r="X2285" i="15"/>
  <c r="Y2285" i="15"/>
  <c r="Z2285" i="15"/>
  <c r="AA2285" i="15"/>
  <c r="B2286" i="15"/>
  <c r="C2286" i="15"/>
  <c r="D2286" i="15"/>
  <c r="E2286" i="15"/>
  <c r="J2286" i="15"/>
  <c r="K2286" i="15"/>
  <c r="L2286" i="15"/>
  <c r="M2286" i="15"/>
  <c r="N2286" i="15"/>
  <c r="O2286" i="15"/>
  <c r="P2286" i="15"/>
  <c r="Q2286" i="15"/>
  <c r="T2286" i="15"/>
  <c r="U2286" i="15"/>
  <c r="V2286" i="15"/>
  <c r="W2286" i="15"/>
  <c r="X2286" i="15"/>
  <c r="Y2286" i="15"/>
  <c r="Z2286" i="15"/>
  <c r="AA2286" i="15"/>
  <c r="B2287" i="15"/>
  <c r="C2287" i="15"/>
  <c r="D2287" i="15"/>
  <c r="E2287" i="15"/>
  <c r="J2287" i="15"/>
  <c r="K2287" i="15"/>
  <c r="L2287" i="15"/>
  <c r="M2287" i="15"/>
  <c r="N2287" i="15"/>
  <c r="O2287" i="15"/>
  <c r="P2287" i="15"/>
  <c r="Q2287" i="15"/>
  <c r="T2287" i="15"/>
  <c r="U2287" i="15"/>
  <c r="V2287" i="15"/>
  <c r="W2287" i="15"/>
  <c r="X2287" i="15"/>
  <c r="Y2287" i="15"/>
  <c r="Z2287" i="15"/>
  <c r="AA2287" i="15"/>
  <c r="B2288" i="15"/>
  <c r="C2288" i="15"/>
  <c r="D2288" i="15"/>
  <c r="E2288" i="15"/>
  <c r="J2288" i="15"/>
  <c r="K2288" i="15"/>
  <c r="L2288" i="15"/>
  <c r="M2288" i="15"/>
  <c r="N2288" i="15"/>
  <c r="O2288" i="15"/>
  <c r="P2288" i="15"/>
  <c r="Q2288" i="15"/>
  <c r="T2288" i="15"/>
  <c r="U2288" i="15"/>
  <c r="V2288" i="15"/>
  <c r="W2288" i="15"/>
  <c r="X2288" i="15"/>
  <c r="Y2288" i="15"/>
  <c r="Z2288" i="15"/>
  <c r="AA2288" i="15"/>
  <c r="B2289" i="15"/>
  <c r="C2289" i="15"/>
  <c r="D2289" i="15"/>
  <c r="E2289" i="15"/>
  <c r="J2289" i="15"/>
  <c r="K2289" i="15"/>
  <c r="L2289" i="15"/>
  <c r="M2289" i="15"/>
  <c r="N2289" i="15"/>
  <c r="O2289" i="15"/>
  <c r="P2289" i="15"/>
  <c r="Q2289" i="15"/>
  <c r="T2289" i="15"/>
  <c r="U2289" i="15"/>
  <c r="V2289" i="15"/>
  <c r="W2289" i="15"/>
  <c r="X2289" i="15"/>
  <c r="Y2289" i="15"/>
  <c r="Z2289" i="15"/>
  <c r="AA2289" i="15"/>
  <c r="B2290" i="15"/>
  <c r="C2290" i="15"/>
  <c r="D2290" i="15"/>
  <c r="E2290" i="15"/>
  <c r="J2290" i="15"/>
  <c r="K2290" i="15"/>
  <c r="L2290" i="15"/>
  <c r="M2290" i="15"/>
  <c r="N2290" i="15"/>
  <c r="O2290" i="15"/>
  <c r="P2290" i="15"/>
  <c r="Q2290" i="15"/>
  <c r="T2290" i="15"/>
  <c r="U2290" i="15"/>
  <c r="V2290" i="15"/>
  <c r="W2290" i="15"/>
  <c r="X2290" i="15"/>
  <c r="Y2290" i="15"/>
  <c r="Z2290" i="15"/>
  <c r="AA2290" i="15"/>
  <c r="B2291" i="15"/>
  <c r="C2291" i="15"/>
  <c r="D2291" i="15"/>
  <c r="E2291" i="15"/>
  <c r="J2291" i="15"/>
  <c r="K2291" i="15"/>
  <c r="L2291" i="15"/>
  <c r="M2291" i="15"/>
  <c r="N2291" i="15"/>
  <c r="O2291" i="15"/>
  <c r="P2291" i="15"/>
  <c r="Q2291" i="15"/>
  <c r="T2291" i="15"/>
  <c r="U2291" i="15"/>
  <c r="V2291" i="15"/>
  <c r="W2291" i="15"/>
  <c r="X2291" i="15"/>
  <c r="Y2291" i="15"/>
  <c r="Z2291" i="15"/>
  <c r="AA2291" i="15"/>
  <c r="B2292" i="15"/>
  <c r="C2292" i="15"/>
  <c r="D2292" i="15"/>
  <c r="E2292" i="15"/>
  <c r="J2292" i="15"/>
  <c r="K2292" i="15"/>
  <c r="L2292" i="15"/>
  <c r="M2292" i="15"/>
  <c r="N2292" i="15"/>
  <c r="O2292" i="15"/>
  <c r="P2292" i="15"/>
  <c r="Q2292" i="15"/>
  <c r="T2292" i="15"/>
  <c r="U2292" i="15"/>
  <c r="V2292" i="15"/>
  <c r="W2292" i="15"/>
  <c r="X2292" i="15"/>
  <c r="Y2292" i="15"/>
  <c r="Z2292" i="15"/>
  <c r="AA2292" i="15"/>
  <c r="B2293" i="15"/>
  <c r="C2293" i="15"/>
  <c r="D2293" i="15"/>
  <c r="E2293" i="15"/>
  <c r="J2293" i="15"/>
  <c r="K2293" i="15"/>
  <c r="L2293" i="15"/>
  <c r="M2293" i="15"/>
  <c r="N2293" i="15"/>
  <c r="O2293" i="15"/>
  <c r="P2293" i="15"/>
  <c r="Q2293" i="15"/>
  <c r="T2293" i="15"/>
  <c r="U2293" i="15"/>
  <c r="V2293" i="15"/>
  <c r="W2293" i="15"/>
  <c r="X2293" i="15"/>
  <c r="Y2293" i="15"/>
  <c r="Z2293" i="15"/>
  <c r="AA2293" i="15"/>
  <c r="B2294" i="15"/>
  <c r="C2294" i="15"/>
  <c r="D2294" i="15"/>
  <c r="E2294" i="15"/>
  <c r="J2294" i="15"/>
  <c r="K2294" i="15"/>
  <c r="L2294" i="15"/>
  <c r="M2294" i="15"/>
  <c r="N2294" i="15"/>
  <c r="O2294" i="15"/>
  <c r="P2294" i="15"/>
  <c r="Q2294" i="15"/>
  <c r="T2294" i="15"/>
  <c r="U2294" i="15"/>
  <c r="V2294" i="15"/>
  <c r="W2294" i="15"/>
  <c r="X2294" i="15"/>
  <c r="Y2294" i="15"/>
  <c r="Z2294" i="15"/>
  <c r="AA2294" i="15"/>
  <c r="B2295" i="15"/>
  <c r="C2295" i="15"/>
  <c r="D2295" i="15"/>
  <c r="E2295" i="15"/>
  <c r="J2295" i="15"/>
  <c r="K2295" i="15"/>
  <c r="L2295" i="15"/>
  <c r="M2295" i="15"/>
  <c r="N2295" i="15"/>
  <c r="O2295" i="15"/>
  <c r="P2295" i="15"/>
  <c r="Q2295" i="15"/>
  <c r="T2295" i="15"/>
  <c r="U2295" i="15"/>
  <c r="V2295" i="15"/>
  <c r="W2295" i="15"/>
  <c r="X2295" i="15"/>
  <c r="Y2295" i="15"/>
  <c r="Z2295" i="15"/>
  <c r="AA2295" i="15"/>
  <c r="B2296" i="15"/>
  <c r="C2296" i="15"/>
  <c r="D2296" i="15"/>
  <c r="E2296" i="15"/>
  <c r="J2296" i="15"/>
  <c r="K2296" i="15"/>
  <c r="L2296" i="15"/>
  <c r="M2296" i="15"/>
  <c r="N2296" i="15"/>
  <c r="O2296" i="15"/>
  <c r="P2296" i="15"/>
  <c r="Q2296" i="15"/>
  <c r="T2296" i="15"/>
  <c r="U2296" i="15"/>
  <c r="V2296" i="15"/>
  <c r="W2296" i="15"/>
  <c r="X2296" i="15"/>
  <c r="Y2296" i="15"/>
  <c r="Z2296" i="15"/>
  <c r="AA2296" i="15"/>
  <c r="B2297" i="15"/>
  <c r="C2297" i="15"/>
  <c r="D2297" i="15"/>
  <c r="E2297" i="15"/>
  <c r="J2297" i="15"/>
  <c r="K2297" i="15"/>
  <c r="L2297" i="15"/>
  <c r="M2297" i="15"/>
  <c r="N2297" i="15"/>
  <c r="O2297" i="15"/>
  <c r="P2297" i="15"/>
  <c r="Q2297" i="15"/>
  <c r="T2297" i="15"/>
  <c r="U2297" i="15"/>
  <c r="V2297" i="15"/>
  <c r="W2297" i="15"/>
  <c r="X2297" i="15"/>
  <c r="Y2297" i="15"/>
  <c r="Z2297" i="15"/>
  <c r="AA2297" i="15"/>
  <c r="B2298" i="15"/>
  <c r="C2298" i="15"/>
  <c r="D2298" i="15"/>
  <c r="E2298" i="15"/>
  <c r="J2298" i="15"/>
  <c r="K2298" i="15"/>
  <c r="L2298" i="15"/>
  <c r="M2298" i="15"/>
  <c r="N2298" i="15"/>
  <c r="O2298" i="15"/>
  <c r="P2298" i="15"/>
  <c r="Q2298" i="15"/>
  <c r="T2298" i="15"/>
  <c r="U2298" i="15"/>
  <c r="V2298" i="15"/>
  <c r="W2298" i="15"/>
  <c r="X2298" i="15"/>
  <c r="Y2298" i="15"/>
  <c r="Z2298" i="15"/>
  <c r="AA2298" i="15"/>
  <c r="B2299" i="15"/>
  <c r="C2299" i="15"/>
  <c r="D2299" i="15"/>
  <c r="E2299" i="15"/>
  <c r="J2299" i="15"/>
  <c r="K2299" i="15"/>
  <c r="L2299" i="15"/>
  <c r="M2299" i="15"/>
  <c r="N2299" i="15"/>
  <c r="O2299" i="15"/>
  <c r="P2299" i="15"/>
  <c r="Q2299" i="15"/>
  <c r="T2299" i="15"/>
  <c r="U2299" i="15"/>
  <c r="V2299" i="15"/>
  <c r="W2299" i="15"/>
  <c r="X2299" i="15"/>
  <c r="Y2299" i="15"/>
  <c r="Z2299" i="15"/>
  <c r="AA2299" i="15"/>
  <c r="B2300" i="15"/>
  <c r="C2300" i="15"/>
  <c r="D2300" i="15"/>
  <c r="E2300" i="15"/>
  <c r="J2300" i="15"/>
  <c r="K2300" i="15"/>
  <c r="L2300" i="15"/>
  <c r="M2300" i="15"/>
  <c r="N2300" i="15"/>
  <c r="O2300" i="15"/>
  <c r="P2300" i="15"/>
  <c r="Q2300" i="15"/>
  <c r="T2300" i="15"/>
  <c r="U2300" i="15"/>
  <c r="V2300" i="15"/>
  <c r="W2300" i="15"/>
  <c r="X2300" i="15"/>
  <c r="Y2300" i="15"/>
  <c r="Z2300" i="15"/>
  <c r="AA2300" i="15"/>
  <c r="B2301" i="15"/>
  <c r="C2301" i="15"/>
  <c r="D2301" i="15"/>
  <c r="E2301" i="15"/>
  <c r="J2301" i="15"/>
  <c r="K2301" i="15"/>
  <c r="L2301" i="15"/>
  <c r="M2301" i="15"/>
  <c r="N2301" i="15"/>
  <c r="O2301" i="15"/>
  <c r="P2301" i="15"/>
  <c r="Q2301" i="15"/>
  <c r="T2301" i="15"/>
  <c r="U2301" i="15"/>
  <c r="V2301" i="15"/>
  <c r="W2301" i="15"/>
  <c r="X2301" i="15"/>
  <c r="Y2301" i="15"/>
  <c r="Z2301" i="15"/>
  <c r="AA2301" i="15"/>
  <c r="B2302" i="15"/>
  <c r="C2302" i="15"/>
  <c r="D2302" i="15"/>
  <c r="E2302" i="15"/>
  <c r="J2302" i="15"/>
  <c r="K2302" i="15"/>
  <c r="L2302" i="15"/>
  <c r="M2302" i="15"/>
  <c r="N2302" i="15"/>
  <c r="O2302" i="15"/>
  <c r="P2302" i="15"/>
  <c r="Q2302" i="15"/>
  <c r="T2302" i="15"/>
  <c r="U2302" i="15"/>
  <c r="V2302" i="15"/>
  <c r="W2302" i="15"/>
  <c r="X2302" i="15"/>
  <c r="Y2302" i="15"/>
  <c r="Z2302" i="15"/>
  <c r="AA2302" i="15"/>
  <c r="B2303" i="15"/>
  <c r="C2303" i="15"/>
  <c r="D2303" i="15"/>
  <c r="E2303" i="15"/>
  <c r="J2303" i="15"/>
  <c r="K2303" i="15"/>
  <c r="L2303" i="15"/>
  <c r="M2303" i="15"/>
  <c r="N2303" i="15"/>
  <c r="O2303" i="15"/>
  <c r="P2303" i="15"/>
  <c r="Q2303" i="15"/>
  <c r="T2303" i="15"/>
  <c r="U2303" i="15"/>
  <c r="V2303" i="15"/>
  <c r="W2303" i="15"/>
  <c r="X2303" i="15"/>
  <c r="Y2303" i="15"/>
  <c r="Z2303" i="15"/>
  <c r="AA2303" i="15"/>
  <c r="B2304" i="15"/>
  <c r="C2304" i="15"/>
  <c r="D2304" i="15"/>
  <c r="E2304" i="15"/>
  <c r="J2304" i="15"/>
  <c r="K2304" i="15"/>
  <c r="L2304" i="15"/>
  <c r="M2304" i="15"/>
  <c r="N2304" i="15"/>
  <c r="O2304" i="15"/>
  <c r="P2304" i="15"/>
  <c r="Q2304" i="15"/>
  <c r="T2304" i="15"/>
  <c r="U2304" i="15"/>
  <c r="V2304" i="15"/>
  <c r="W2304" i="15"/>
  <c r="X2304" i="15"/>
  <c r="Y2304" i="15"/>
  <c r="Z2304" i="15"/>
  <c r="AA2304" i="15"/>
  <c r="B2305" i="15"/>
  <c r="C2305" i="15"/>
  <c r="D2305" i="15"/>
  <c r="E2305" i="15"/>
  <c r="J2305" i="15"/>
  <c r="K2305" i="15"/>
  <c r="L2305" i="15"/>
  <c r="M2305" i="15"/>
  <c r="N2305" i="15"/>
  <c r="O2305" i="15"/>
  <c r="P2305" i="15"/>
  <c r="Q2305" i="15"/>
  <c r="T2305" i="15"/>
  <c r="U2305" i="15"/>
  <c r="V2305" i="15"/>
  <c r="W2305" i="15"/>
  <c r="X2305" i="15"/>
  <c r="Y2305" i="15"/>
  <c r="Z2305" i="15"/>
  <c r="AA2305" i="15"/>
  <c r="B2306" i="15"/>
  <c r="C2306" i="15"/>
  <c r="D2306" i="15"/>
  <c r="E2306" i="15"/>
  <c r="J2306" i="15"/>
  <c r="K2306" i="15"/>
  <c r="L2306" i="15"/>
  <c r="M2306" i="15"/>
  <c r="N2306" i="15"/>
  <c r="O2306" i="15"/>
  <c r="P2306" i="15"/>
  <c r="Q2306" i="15"/>
  <c r="T2306" i="15"/>
  <c r="U2306" i="15"/>
  <c r="V2306" i="15"/>
  <c r="W2306" i="15"/>
  <c r="X2306" i="15"/>
  <c r="Y2306" i="15"/>
  <c r="Z2306" i="15"/>
  <c r="AA2306" i="15"/>
  <c r="B2307" i="15"/>
  <c r="C2307" i="15"/>
  <c r="D2307" i="15"/>
  <c r="E2307" i="15"/>
  <c r="J2307" i="15"/>
  <c r="K2307" i="15"/>
  <c r="L2307" i="15"/>
  <c r="M2307" i="15"/>
  <c r="N2307" i="15"/>
  <c r="O2307" i="15"/>
  <c r="P2307" i="15"/>
  <c r="Q2307" i="15"/>
  <c r="T2307" i="15"/>
  <c r="U2307" i="15"/>
  <c r="V2307" i="15"/>
  <c r="W2307" i="15"/>
  <c r="X2307" i="15"/>
  <c r="Y2307" i="15"/>
  <c r="Z2307" i="15"/>
  <c r="AA2307" i="15"/>
  <c r="B2308" i="15"/>
  <c r="C2308" i="15"/>
  <c r="D2308" i="15"/>
  <c r="E2308" i="15"/>
  <c r="J2308" i="15"/>
  <c r="K2308" i="15"/>
  <c r="L2308" i="15"/>
  <c r="M2308" i="15"/>
  <c r="N2308" i="15"/>
  <c r="O2308" i="15"/>
  <c r="P2308" i="15"/>
  <c r="Q2308" i="15"/>
  <c r="T2308" i="15"/>
  <c r="U2308" i="15"/>
  <c r="V2308" i="15"/>
  <c r="W2308" i="15"/>
  <c r="X2308" i="15"/>
  <c r="Y2308" i="15"/>
  <c r="Z2308" i="15"/>
  <c r="AA2308" i="15"/>
  <c r="B2309" i="15"/>
  <c r="C2309" i="15"/>
  <c r="D2309" i="15"/>
  <c r="E2309" i="15"/>
  <c r="J2309" i="15"/>
  <c r="K2309" i="15"/>
  <c r="L2309" i="15"/>
  <c r="M2309" i="15"/>
  <c r="N2309" i="15"/>
  <c r="O2309" i="15"/>
  <c r="P2309" i="15"/>
  <c r="Q2309" i="15"/>
  <c r="T2309" i="15"/>
  <c r="U2309" i="15"/>
  <c r="V2309" i="15"/>
  <c r="W2309" i="15"/>
  <c r="X2309" i="15"/>
  <c r="Y2309" i="15"/>
  <c r="Z2309" i="15"/>
  <c r="AA2309" i="15"/>
  <c r="B2310" i="15"/>
  <c r="C2310" i="15"/>
  <c r="D2310" i="15"/>
  <c r="E2310" i="15"/>
  <c r="J2310" i="15"/>
  <c r="K2310" i="15"/>
  <c r="L2310" i="15"/>
  <c r="M2310" i="15"/>
  <c r="N2310" i="15"/>
  <c r="O2310" i="15"/>
  <c r="P2310" i="15"/>
  <c r="Q2310" i="15"/>
  <c r="T2310" i="15"/>
  <c r="U2310" i="15"/>
  <c r="V2310" i="15"/>
  <c r="W2310" i="15"/>
  <c r="X2310" i="15"/>
  <c r="Y2310" i="15"/>
  <c r="Z2310" i="15"/>
  <c r="AA2310" i="15"/>
  <c r="B2311" i="15"/>
  <c r="C2311" i="15"/>
  <c r="D2311" i="15"/>
  <c r="E2311" i="15"/>
  <c r="J2311" i="15"/>
  <c r="K2311" i="15"/>
  <c r="L2311" i="15"/>
  <c r="M2311" i="15"/>
  <c r="N2311" i="15"/>
  <c r="O2311" i="15"/>
  <c r="P2311" i="15"/>
  <c r="Q2311" i="15"/>
  <c r="T2311" i="15"/>
  <c r="U2311" i="15"/>
  <c r="V2311" i="15"/>
  <c r="W2311" i="15"/>
  <c r="X2311" i="15"/>
  <c r="Y2311" i="15"/>
  <c r="Z2311" i="15"/>
  <c r="AA2311" i="15"/>
  <c r="B2312" i="15"/>
  <c r="C2312" i="15"/>
  <c r="D2312" i="15"/>
  <c r="E2312" i="15"/>
  <c r="J2312" i="15"/>
  <c r="K2312" i="15"/>
  <c r="L2312" i="15"/>
  <c r="M2312" i="15"/>
  <c r="N2312" i="15"/>
  <c r="O2312" i="15"/>
  <c r="P2312" i="15"/>
  <c r="Q2312" i="15"/>
  <c r="T2312" i="15"/>
  <c r="U2312" i="15"/>
  <c r="V2312" i="15"/>
  <c r="W2312" i="15"/>
  <c r="X2312" i="15"/>
  <c r="Y2312" i="15"/>
  <c r="Z2312" i="15"/>
  <c r="AA2312" i="15"/>
  <c r="B2313" i="15"/>
  <c r="C2313" i="15"/>
  <c r="D2313" i="15"/>
  <c r="E2313" i="15"/>
  <c r="J2313" i="15"/>
  <c r="K2313" i="15"/>
  <c r="L2313" i="15"/>
  <c r="M2313" i="15"/>
  <c r="N2313" i="15"/>
  <c r="O2313" i="15"/>
  <c r="P2313" i="15"/>
  <c r="Q2313" i="15"/>
  <c r="T2313" i="15"/>
  <c r="U2313" i="15"/>
  <c r="V2313" i="15"/>
  <c r="W2313" i="15"/>
  <c r="X2313" i="15"/>
  <c r="Y2313" i="15"/>
  <c r="Z2313" i="15"/>
  <c r="AA2313" i="15"/>
  <c r="B2314" i="15"/>
  <c r="C2314" i="15"/>
  <c r="D2314" i="15"/>
  <c r="E2314" i="15"/>
  <c r="J2314" i="15"/>
  <c r="K2314" i="15"/>
  <c r="L2314" i="15"/>
  <c r="M2314" i="15"/>
  <c r="N2314" i="15"/>
  <c r="O2314" i="15"/>
  <c r="P2314" i="15"/>
  <c r="Q2314" i="15"/>
  <c r="T2314" i="15"/>
  <c r="U2314" i="15"/>
  <c r="V2314" i="15"/>
  <c r="W2314" i="15"/>
  <c r="X2314" i="15"/>
  <c r="Y2314" i="15"/>
  <c r="Z2314" i="15"/>
  <c r="AA2314" i="15"/>
  <c r="B2315" i="15"/>
  <c r="C2315" i="15"/>
  <c r="D2315" i="15"/>
  <c r="E2315" i="15"/>
  <c r="J2315" i="15"/>
  <c r="K2315" i="15"/>
  <c r="L2315" i="15"/>
  <c r="M2315" i="15"/>
  <c r="N2315" i="15"/>
  <c r="O2315" i="15"/>
  <c r="P2315" i="15"/>
  <c r="Q2315" i="15"/>
  <c r="T2315" i="15"/>
  <c r="U2315" i="15"/>
  <c r="V2315" i="15"/>
  <c r="W2315" i="15"/>
  <c r="X2315" i="15"/>
  <c r="Y2315" i="15"/>
  <c r="Z2315" i="15"/>
  <c r="AA2315" i="15"/>
  <c r="B2316" i="15"/>
  <c r="C2316" i="15"/>
  <c r="D2316" i="15"/>
  <c r="E2316" i="15"/>
  <c r="J2316" i="15"/>
  <c r="K2316" i="15"/>
  <c r="L2316" i="15"/>
  <c r="M2316" i="15"/>
  <c r="N2316" i="15"/>
  <c r="O2316" i="15"/>
  <c r="P2316" i="15"/>
  <c r="Q2316" i="15"/>
  <c r="T2316" i="15"/>
  <c r="U2316" i="15"/>
  <c r="V2316" i="15"/>
  <c r="W2316" i="15"/>
  <c r="X2316" i="15"/>
  <c r="Y2316" i="15"/>
  <c r="Z2316" i="15"/>
  <c r="AA2316" i="15"/>
  <c r="B2317" i="15"/>
  <c r="C2317" i="15"/>
  <c r="D2317" i="15"/>
  <c r="E2317" i="15"/>
  <c r="J2317" i="15"/>
  <c r="K2317" i="15"/>
  <c r="L2317" i="15"/>
  <c r="M2317" i="15"/>
  <c r="N2317" i="15"/>
  <c r="O2317" i="15"/>
  <c r="P2317" i="15"/>
  <c r="Q2317" i="15"/>
  <c r="T2317" i="15"/>
  <c r="U2317" i="15"/>
  <c r="V2317" i="15"/>
  <c r="W2317" i="15"/>
  <c r="X2317" i="15"/>
  <c r="Y2317" i="15"/>
  <c r="Z2317" i="15"/>
  <c r="AA2317" i="15"/>
  <c r="B2318" i="15"/>
  <c r="C2318" i="15"/>
  <c r="D2318" i="15"/>
  <c r="E2318" i="15"/>
  <c r="J2318" i="15"/>
  <c r="K2318" i="15"/>
  <c r="L2318" i="15"/>
  <c r="M2318" i="15"/>
  <c r="N2318" i="15"/>
  <c r="O2318" i="15"/>
  <c r="P2318" i="15"/>
  <c r="Q2318" i="15"/>
  <c r="T2318" i="15"/>
  <c r="U2318" i="15"/>
  <c r="V2318" i="15"/>
  <c r="W2318" i="15"/>
  <c r="X2318" i="15"/>
  <c r="Y2318" i="15"/>
  <c r="Z2318" i="15"/>
  <c r="AA2318" i="15"/>
  <c r="B2319" i="15"/>
  <c r="C2319" i="15"/>
  <c r="D2319" i="15"/>
  <c r="E2319" i="15"/>
  <c r="J2319" i="15"/>
  <c r="K2319" i="15"/>
  <c r="L2319" i="15"/>
  <c r="M2319" i="15"/>
  <c r="N2319" i="15"/>
  <c r="O2319" i="15"/>
  <c r="P2319" i="15"/>
  <c r="Q2319" i="15"/>
  <c r="T2319" i="15"/>
  <c r="U2319" i="15"/>
  <c r="V2319" i="15"/>
  <c r="W2319" i="15"/>
  <c r="X2319" i="15"/>
  <c r="Y2319" i="15"/>
  <c r="Z2319" i="15"/>
  <c r="AA2319" i="15"/>
  <c r="B2320" i="15"/>
  <c r="C2320" i="15"/>
  <c r="D2320" i="15"/>
  <c r="E2320" i="15"/>
  <c r="J2320" i="15"/>
  <c r="K2320" i="15"/>
  <c r="L2320" i="15"/>
  <c r="M2320" i="15"/>
  <c r="N2320" i="15"/>
  <c r="O2320" i="15"/>
  <c r="P2320" i="15"/>
  <c r="Q2320" i="15"/>
  <c r="T2320" i="15"/>
  <c r="U2320" i="15"/>
  <c r="V2320" i="15"/>
  <c r="W2320" i="15"/>
  <c r="X2320" i="15"/>
  <c r="Y2320" i="15"/>
  <c r="Z2320" i="15"/>
  <c r="AA2320" i="15"/>
  <c r="B2321" i="15"/>
  <c r="C2321" i="15"/>
  <c r="D2321" i="15"/>
  <c r="E2321" i="15"/>
  <c r="J2321" i="15"/>
  <c r="K2321" i="15"/>
  <c r="L2321" i="15"/>
  <c r="M2321" i="15"/>
  <c r="N2321" i="15"/>
  <c r="O2321" i="15"/>
  <c r="P2321" i="15"/>
  <c r="Q2321" i="15"/>
  <c r="T2321" i="15"/>
  <c r="U2321" i="15"/>
  <c r="V2321" i="15"/>
  <c r="W2321" i="15"/>
  <c r="X2321" i="15"/>
  <c r="Y2321" i="15"/>
  <c r="Z2321" i="15"/>
  <c r="AA2321" i="15"/>
  <c r="B2322" i="15"/>
  <c r="C2322" i="15"/>
  <c r="D2322" i="15"/>
  <c r="E2322" i="15"/>
  <c r="J2322" i="15"/>
  <c r="K2322" i="15"/>
  <c r="L2322" i="15"/>
  <c r="M2322" i="15"/>
  <c r="N2322" i="15"/>
  <c r="O2322" i="15"/>
  <c r="P2322" i="15"/>
  <c r="Q2322" i="15"/>
  <c r="T2322" i="15"/>
  <c r="U2322" i="15"/>
  <c r="V2322" i="15"/>
  <c r="W2322" i="15"/>
  <c r="X2322" i="15"/>
  <c r="Y2322" i="15"/>
  <c r="Z2322" i="15"/>
  <c r="AA2322" i="15"/>
  <c r="B2323" i="15"/>
  <c r="C2323" i="15"/>
  <c r="D2323" i="15"/>
  <c r="E2323" i="15"/>
  <c r="J2323" i="15"/>
  <c r="K2323" i="15"/>
  <c r="L2323" i="15"/>
  <c r="M2323" i="15"/>
  <c r="N2323" i="15"/>
  <c r="O2323" i="15"/>
  <c r="P2323" i="15"/>
  <c r="Q2323" i="15"/>
  <c r="T2323" i="15"/>
  <c r="U2323" i="15"/>
  <c r="V2323" i="15"/>
  <c r="W2323" i="15"/>
  <c r="X2323" i="15"/>
  <c r="Y2323" i="15"/>
  <c r="Z2323" i="15"/>
  <c r="AA2323" i="15"/>
  <c r="B2324" i="15"/>
  <c r="C2324" i="15"/>
  <c r="D2324" i="15"/>
  <c r="E2324" i="15"/>
  <c r="J2324" i="15"/>
  <c r="K2324" i="15"/>
  <c r="L2324" i="15"/>
  <c r="M2324" i="15"/>
  <c r="N2324" i="15"/>
  <c r="O2324" i="15"/>
  <c r="P2324" i="15"/>
  <c r="Q2324" i="15"/>
  <c r="T2324" i="15"/>
  <c r="U2324" i="15"/>
  <c r="V2324" i="15"/>
  <c r="W2324" i="15"/>
  <c r="X2324" i="15"/>
  <c r="Y2324" i="15"/>
  <c r="Z2324" i="15"/>
  <c r="AA2324" i="15"/>
  <c r="B2325" i="15"/>
  <c r="C2325" i="15"/>
  <c r="D2325" i="15"/>
  <c r="E2325" i="15"/>
  <c r="J2325" i="15"/>
  <c r="K2325" i="15"/>
  <c r="L2325" i="15"/>
  <c r="M2325" i="15"/>
  <c r="N2325" i="15"/>
  <c r="O2325" i="15"/>
  <c r="P2325" i="15"/>
  <c r="Q2325" i="15"/>
  <c r="T2325" i="15"/>
  <c r="U2325" i="15"/>
  <c r="V2325" i="15"/>
  <c r="W2325" i="15"/>
  <c r="X2325" i="15"/>
  <c r="Y2325" i="15"/>
  <c r="Z2325" i="15"/>
  <c r="AA2325" i="15"/>
  <c r="B2326" i="15"/>
  <c r="C2326" i="15"/>
  <c r="D2326" i="15"/>
  <c r="E2326" i="15"/>
  <c r="J2326" i="15"/>
  <c r="K2326" i="15"/>
  <c r="L2326" i="15"/>
  <c r="M2326" i="15"/>
  <c r="N2326" i="15"/>
  <c r="O2326" i="15"/>
  <c r="P2326" i="15"/>
  <c r="Q2326" i="15"/>
  <c r="T2326" i="15"/>
  <c r="U2326" i="15"/>
  <c r="V2326" i="15"/>
  <c r="W2326" i="15"/>
  <c r="X2326" i="15"/>
  <c r="Y2326" i="15"/>
  <c r="Z2326" i="15"/>
  <c r="AA2326" i="15"/>
  <c r="B2327" i="15"/>
  <c r="C2327" i="15"/>
  <c r="D2327" i="15"/>
  <c r="E2327" i="15"/>
  <c r="J2327" i="15"/>
  <c r="K2327" i="15"/>
  <c r="L2327" i="15"/>
  <c r="M2327" i="15"/>
  <c r="N2327" i="15"/>
  <c r="O2327" i="15"/>
  <c r="P2327" i="15"/>
  <c r="Q2327" i="15"/>
  <c r="T2327" i="15"/>
  <c r="U2327" i="15"/>
  <c r="V2327" i="15"/>
  <c r="W2327" i="15"/>
  <c r="X2327" i="15"/>
  <c r="Y2327" i="15"/>
  <c r="Z2327" i="15"/>
  <c r="AA2327" i="15"/>
  <c r="B2328" i="15"/>
  <c r="C2328" i="15"/>
  <c r="D2328" i="15"/>
  <c r="E2328" i="15"/>
  <c r="J2328" i="15"/>
  <c r="K2328" i="15"/>
  <c r="L2328" i="15"/>
  <c r="M2328" i="15"/>
  <c r="N2328" i="15"/>
  <c r="O2328" i="15"/>
  <c r="P2328" i="15"/>
  <c r="Q2328" i="15"/>
  <c r="T2328" i="15"/>
  <c r="U2328" i="15"/>
  <c r="V2328" i="15"/>
  <c r="W2328" i="15"/>
  <c r="X2328" i="15"/>
  <c r="Y2328" i="15"/>
  <c r="Z2328" i="15"/>
  <c r="AA2328" i="15"/>
  <c r="B2329" i="15"/>
  <c r="C2329" i="15"/>
  <c r="D2329" i="15"/>
  <c r="E2329" i="15"/>
  <c r="J2329" i="15"/>
  <c r="K2329" i="15"/>
  <c r="L2329" i="15"/>
  <c r="M2329" i="15"/>
  <c r="N2329" i="15"/>
  <c r="O2329" i="15"/>
  <c r="P2329" i="15"/>
  <c r="Q2329" i="15"/>
  <c r="T2329" i="15"/>
  <c r="U2329" i="15"/>
  <c r="V2329" i="15"/>
  <c r="W2329" i="15"/>
  <c r="X2329" i="15"/>
  <c r="Y2329" i="15"/>
  <c r="Z2329" i="15"/>
  <c r="AA2329" i="15"/>
  <c r="B2330" i="15"/>
  <c r="C2330" i="15"/>
  <c r="D2330" i="15"/>
  <c r="E2330" i="15"/>
  <c r="J2330" i="15"/>
  <c r="K2330" i="15"/>
  <c r="L2330" i="15"/>
  <c r="M2330" i="15"/>
  <c r="N2330" i="15"/>
  <c r="O2330" i="15"/>
  <c r="P2330" i="15"/>
  <c r="Q2330" i="15"/>
  <c r="T2330" i="15"/>
  <c r="U2330" i="15"/>
  <c r="V2330" i="15"/>
  <c r="W2330" i="15"/>
  <c r="X2330" i="15"/>
  <c r="Y2330" i="15"/>
  <c r="Z2330" i="15"/>
  <c r="AA2330" i="15"/>
  <c r="B2331" i="15"/>
  <c r="C2331" i="15"/>
  <c r="D2331" i="15"/>
  <c r="E2331" i="15"/>
  <c r="J2331" i="15"/>
  <c r="K2331" i="15"/>
  <c r="L2331" i="15"/>
  <c r="M2331" i="15"/>
  <c r="N2331" i="15"/>
  <c r="O2331" i="15"/>
  <c r="P2331" i="15"/>
  <c r="Q2331" i="15"/>
  <c r="T2331" i="15"/>
  <c r="U2331" i="15"/>
  <c r="V2331" i="15"/>
  <c r="W2331" i="15"/>
  <c r="X2331" i="15"/>
  <c r="Y2331" i="15"/>
  <c r="Z2331" i="15"/>
  <c r="AA2331" i="15"/>
  <c r="B2332" i="15"/>
  <c r="C2332" i="15"/>
  <c r="D2332" i="15"/>
  <c r="E2332" i="15"/>
  <c r="J2332" i="15"/>
  <c r="K2332" i="15"/>
  <c r="L2332" i="15"/>
  <c r="M2332" i="15"/>
  <c r="N2332" i="15"/>
  <c r="O2332" i="15"/>
  <c r="P2332" i="15"/>
  <c r="Q2332" i="15"/>
  <c r="T2332" i="15"/>
  <c r="U2332" i="15"/>
  <c r="V2332" i="15"/>
  <c r="W2332" i="15"/>
  <c r="X2332" i="15"/>
  <c r="Y2332" i="15"/>
  <c r="Z2332" i="15"/>
  <c r="AA2332" i="15"/>
  <c r="B2333" i="15"/>
  <c r="C2333" i="15"/>
  <c r="D2333" i="15"/>
  <c r="E2333" i="15"/>
  <c r="J2333" i="15"/>
  <c r="K2333" i="15"/>
  <c r="L2333" i="15"/>
  <c r="M2333" i="15"/>
  <c r="N2333" i="15"/>
  <c r="O2333" i="15"/>
  <c r="P2333" i="15"/>
  <c r="Q2333" i="15"/>
  <c r="T2333" i="15"/>
  <c r="U2333" i="15"/>
  <c r="V2333" i="15"/>
  <c r="W2333" i="15"/>
  <c r="X2333" i="15"/>
  <c r="Y2333" i="15"/>
  <c r="Z2333" i="15"/>
  <c r="AA2333" i="15"/>
  <c r="B2334" i="15"/>
  <c r="C2334" i="15"/>
  <c r="D2334" i="15"/>
  <c r="E2334" i="15"/>
  <c r="J2334" i="15"/>
  <c r="K2334" i="15"/>
  <c r="L2334" i="15"/>
  <c r="M2334" i="15"/>
  <c r="N2334" i="15"/>
  <c r="O2334" i="15"/>
  <c r="P2334" i="15"/>
  <c r="Q2334" i="15"/>
  <c r="T2334" i="15"/>
  <c r="U2334" i="15"/>
  <c r="V2334" i="15"/>
  <c r="W2334" i="15"/>
  <c r="X2334" i="15"/>
  <c r="Y2334" i="15"/>
  <c r="Z2334" i="15"/>
  <c r="AA2334" i="15"/>
  <c r="B2335" i="15"/>
  <c r="C2335" i="15"/>
  <c r="D2335" i="15"/>
  <c r="E2335" i="15"/>
  <c r="J2335" i="15"/>
  <c r="K2335" i="15"/>
  <c r="L2335" i="15"/>
  <c r="M2335" i="15"/>
  <c r="N2335" i="15"/>
  <c r="O2335" i="15"/>
  <c r="P2335" i="15"/>
  <c r="Q2335" i="15"/>
  <c r="T2335" i="15"/>
  <c r="U2335" i="15"/>
  <c r="V2335" i="15"/>
  <c r="W2335" i="15"/>
  <c r="X2335" i="15"/>
  <c r="Y2335" i="15"/>
  <c r="Z2335" i="15"/>
  <c r="AA2335" i="15"/>
  <c r="B2336" i="15"/>
  <c r="C2336" i="15"/>
  <c r="D2336" i="15"/>
  <c r="E2336" i="15"/>
  <c r="J2336" i="15"/>
  <c r="K2336" i="15"/>
  <c r="L2336" i="15"/>
  <c r="M2336" i="15"/>
  <c r="N2336" i="15"/>
  <c r="O2336" i="15"/>
  <c r="P2336" i="15"/>
  <c r="Q2336" i="15"/>
  <c r="T2336" i="15"/>
  <c r="U2336" i="15"/>
  <c r="V2336" i="15"/>
  <c r="W2336" i="15"/>
  <c r="X2336" i="15"/>
  <c r="Y2336" i="15"/>
  <c r="Z2336" i="15"/>
  <c r="AA2336" i="15"/>
  <c r="B2337" i="15"/>
  <c r="C2337" i="15"/>
  <c r="D2337" i="15"/>
  <c r="E2337" i="15"/>
  <c r="J2337" i="15"/>
  <c r="K2337" i="15"/>
  <c r="L2337" i="15"/>
  <c r="M2337" i="15"/>
  <c r="N2337" i="15"/>
  <c r="O2337" i="15"/>
  <c r="P2337" i="15"/>
  <c r="Q2337" i="15"/>
  <c r="T2337" i="15"/>
  <c r="U2337" i="15"/>
  <c r="V2337" i="15"/>
  <c r="W2337" i="15"/>
  <c r="X2337" i="15"/>
  <c r="Y2337" i="15"/>
  <c r="Z2337" i="15"/>
  <c r="AA2337" i="15"/>
  <c r="B2338" i="15"/>
  <c r="C2338" i="15"/>
  <c r="D2338" i="15"/>
  <c r="E2338" i="15"/>
  <c r="J2338" i="15"/>
  <c r="K2338" i="15"/>
  <c r="L2338" i="15"/>
  <c r="M2338" i="15"/>
  <c r="N2338" i="15"/>
  <c r="O2338" i="15"/>
  <c r="P2338" i="15"/>
  <c r="Q2338" i="15"/>
  <c r="T2338" i="15"/>
  <c r="U2338" i="15"/>
  <c r="V2338" i="15"/>
  <c r="W2338" i="15"/>
  <c r="X2338" i="15"/>
  <c r="Y2338" i="15"/>
  <c r="Z2338" i="15"/>
  <c r="AA2338" i="15"/>
  <c r="B2339" i="15"/>
  <c r="C2339" i="15"/>
  <c r="D2339" i="15"/>
  <c r="E2339" i="15"/>
  <c r="J2339" i="15"/>
  <c r="K2339" i="15"/>
  <c r="L2339" i="15"/>
  <c r="M2339" i="15"/>
  <c r="N2339" i="15"/>
  <c r="O2339" i="15"/>
  <c r="P2339" i="15"/>
  <c r="Q2339" i="15"/>
  <c r="T2339" i="15"/>
  <c r="U2339" i="15"/>
  <c r="V2339" i="15"/>
  <c r="W2339" i="15"/>
  <c r="X2339" i="15"/>
  <c r="Y2339" i="15"/>
  <c r="Z2339" i="15"/>
  <c r="AA2339" i="15"/>
  <c r="B2340" i="15"/>
  <c r="C2340" i="15"/>
  <c r="D2340" i="15"/>
  <c r="E2340" i="15"/>
  <c r="J2340" i="15"/>
  <c r="K2340" i="15"/>
  <c r="L2340" i="15"/>
  <c r="M2340" i="15"/>
  <c r="N2340" i="15"/>
  <c r="O2340" i="15"/>
  <c r="P2340" i="15"/>
  <c r="Q2340" i="15"/>
  <c r="T2340" i="15"/>
  <c r="U2340" i="15"/>
  <c r="V2340" i="15"/>
  <c r="W2340" i="15"/>
  <c r="X2340" i="15"/>
  <c r="Y2340" i="15"/>
  <c r="Z2340" i="15"/>
  <c r="AA2340" i="15"/>
  <c r="B2341" i="15"/>
  <c r="C2341" i="15"/>
  <c r="D2341" i="15"/>
  <c r="E2341" i="15"/>
  <c r="J2341" i="15"/>
  <c r="K2341" i="15"/>
  <c r="L2341" i="15"/>
  <c r="M2341" i="15"/>
  <c r="N2341" i="15"/>
  <c r="O2341" i="15"/>
  <c r="P2341" i="15"/>
  <c r="Q2341" i="15"/>
  <c r="T2341" i="15"/>
  <c r="U2341" i="15"/>
  <c r="V2341" i="15"/>
  <c r="W2341" i="15"/>
  <c r="X2341" i="15"/>
  <c r="Y2341" i="15"/>
  <c r="Z2341" i="15"/>
  <c r="AA2341" i="15"/>
  <c r="B2342" i="15"/>
  <c r="C2342" i="15"/>
  <c r="D2342" i="15"/>
  <c r="E2342" i="15"/>
  <c r="J2342" i="15"/>
  <c r="K2342" i="15"/>
  <c r="L2342" i="15"/>
  <c r="M2342" i="15"/>
  <c r="N2342" i="15"/>
  <c r="O2342" i="15"/>
  <c r="P2342" i="15"/>
  <c r="Q2342" i="15"/>
  <c r="T2342" i="15"/>
  <c r="U2342" i="15"/>
  <c r="V2342" i="15"/>
  <c r="W2342" i="15"/>
  <c r="X2342" i="15"/>
  <c r="Y2342" i="15"/>
  <c r="Z2342" i="15"/>
  <c r="AA2342" i="15"/>
  <c r="B2343" i="15"/>
  <c r="C2343" i="15"/>
  <c r="D2343" i="15"/>
  <c r="E2343" i="15"/>
  <c r="J2343" i="15"/>
  <c r="K2343" i="15"/>
  <c r="L2343" i="15"/>
  <c r="M2343" i="15"/>
  <c r="N2343" i="15"/>
  <c r="O2343" i="15"/>
  <c r="P2343" i="15"/>
  <c r="Q2343" i="15"/>
  <c r="T2343" i="15"/>
  <c r="U2343" i="15"/>
  <c r="V2343" i="15"/>
  <c r="W2343" i="15"/>
  <c r="X2343" i="15"/>
  <c r="Y2343" i="15"/>
  <c r="Z2343" i="15"/>
  <c r="AA2343" i="15"/>
  <c r="B2344" i="15"/>
  <c r="C2344" i="15"/>
  <c r="D2344" i="15"/>
  <c r="E2344" i="15"/>
  <c r="J2344" i="15"/>
  <c r="K2344" i="15"/>
  <c r="L2344" i="15"/>
  <c r="M2344" i="15"/>
  <c r="N2344" i="15"/>
  <c r="O2344" i="15"/>
  <c r="P2344" i="15"/>
  <c r="Q2344" i="15"/>
  <c r="T2344" i="15"/>
  <c r="U2344" i="15"/>
  <c r="V2344" i="15"/>
  <c r="W2344" i="15"/>
  <c r="X2344" i="15"/>
  <c r="Y2344" i="15"/>
  <c r="Z2344" i="15"/>
  <c r="AA2344" i="15"/>
  <c r="B2345" i="15"/>
  <c r="C2345" i="15"/>
  <c r="D2345" i="15"/>
  <c r="E2345" i="15"/>
  <c r="J2345" i="15"/>
  <c r="K2345" i="15"/>
  <c r="L2345" i="15"/>
  <c r="M2345" i="15"/>
  <c r="N2345" i="15"/>
  <c r="O2345" i="15"/>
  <c r="P2345" i="15"/>
  <c r="Q2345" i="15"/>
  <c r="T2345" i="15"/>
  <c r="U2345" i="15"/>
  <c r="V2345" i="15"/>
  <c r="W2345" i="15"/>
  <c r="X2345" i="15"/>
  <c r="Y2345" i="15"/>
  <c r="Z2345" i="15"/>
  <c r="AA2345" i="15"/>
  <c r="B2346" i="15"/>
  <c r="C2346" i="15"/>
  <c r="D2346" i="15"/>
  <c r="E2346" i="15"/>
  <c r="J2346" i="15"/>
  <c r="K2346" i="15"/>
  <c r="L2346" i="15"/>
  <c r="M2346" i="15"/>
  <c r="N2346" i="15"/>
  <c r="O2346" i="15"/>
  <c r="P2346" i="15"/>
  <c r="Q2346" i="15"/>
  <c r="T2346" i="15"/>
  <c r="U2346" i="15"/>
  <c r="V2346" i="15"/>
  <c r="W2346" i="15"/>
  <c r="X2346" i="15"/>
  <c r="Y2346" i="15"/>
  <c r="Z2346" i="15"/>
  <c r="AA2346" i="15"/>
  <c r="B2347" i="15"/>
  <c r="C2347" i="15"/>
  <c r="D2347" i="15"/>
  <c r="E2347" i="15"/>
  <c r="J2347" i="15"/>
  <c r="K2347" i="15"/>
  <c r="L2347" i="15"/>
  <c r="M2347" i="15"/>
  <c r="N2347" i="15"/>
  <c r="O2347" i="15"/>
  <c r="P2347" i="15"/>
  <c r="Q2347" i="15"/>
  <c r="T2347" i="15"/>
  <c r="U2347" i="15"/>
  <c r="V2347" i="15"/>
  <c r="W2347" i="15"/>
  <c r="X2347" i="15"/>
  <c r="Y2347" i="15"/>
  <c r="Z2347" i="15"/>
  <c r="AA2347" i="15"/>
  <c r="B2348" i="15"/>
  <c r="C2348" i="15"/>
  <c r="D2348" i="15"/>
  <c r="E2348" i="15"/>
  <c r="J2348" i="15"/>
  <c r="K2348" i="15"/>
  <c r="L2348" i="15"/>
  <c r="M2348" i="15"/>
  <c r="N2348" i="15"/>
  <c r="O2348" i="15"/>
  <c r="P2348" i="15"/>
  <c r="Q2348" i="15"/>
  <c r="T2348" i="15"/>
  <c r="U2348" i="15"/>
  <c r="V2348" i="15"/>
  <c r="W2348" i="15"/>
  <c r="X2348" i="15"/>
  <c r="Y2348" i="15"/>
  <c r="Z2348" i="15"/>
  <c r="AA2348" i="15"/>
  <c r="B2349" i="15"/>
  <c r="C2349" i="15"/>
  <c r="D2349" i="15"/>
  <c r="E2349" i="15"/>
  <c r="J2349" i="15"/>
  <c r="K2349" i="15"/>
  <c r="L2349" i="15"/>
  <c r="M2349" i="15"/>
  <c r="N2349" i="15"/>
  <c r="O2349" i="15"/>
  <c r="P2349" i="15"/>
  <c r="Q2349" i="15"/>
  <c r="T2349" i="15"/>
  <c r="U2349" i="15"/>
  <c r="V2349" i="15"/>
  <c r="W2349" i="15"/>
  <c r="X2349" i="15"/>
  <c r="Y2349" i="15"/>
  <c r="Z2349" i="15"/>
  <c r="AA2349" i="15"/>
  <c r="B2350" i="15"/>
  <c r="C2350" i="15"/>
  <c r="D2350" i="15"/>
  <c r="E2350" i="15"/>
  <c r="J2350" i="15"/>
  <c r="K2350" i="15"/>
  <c r="L2350" i="15"/>
  <c r="M2350" i="15"/>
  <c r="N2350" i="15"/>
  <c r="O2350" i="15"/>
  <c r="P2350" i="15"/>
  <c r="Q2350" i="15"/>
  <c r="T2350" i="15"/>
  <c r="U2350" i="15"/>
  <c r="V2350" i="15"/>
  <c r="W2350" i="15"/>
  <c r="X2350" i="15"/>
  <c r="Y2350" i="15"/>
  <c r="Z2350" i="15"/>
  <c r="AA2350" i="15"/>
  <c r="B2351" i="15"/>
  <c r="C2351" i="15"/>
  <c r="D2351" i="15"/>
  <c r="E2351" i="15"/>
  <c r="J2351" i="15"/>
  <c r="K2351" i="15"/>
  <c r="L2351" i="15"/>
  <c r="M2351" i="15"/>
  <c r="N2351" i="15"/>
  <c r="O2351" i="15"/>
  <c r="P2351" i="15"/>
  <c r="Q2351" i="15"/>
  <c r="T2351" i="15"/>
  <c r="U2351" i="15"/>
  <c r="V2351" i="15"/>
  <c r="W2351" i="15"/>
  <c r="X2351" i="15"/>
  <c r="Y2351" i="15"/>
  <c r="Z2351" i="15"/>
  <c r="AA2351" i="15"/>
  <c r="B2352" i="15"/>
  <c r="C2352" i="15"/>
  <c r="D2352" i="15"/>
  <c r="E2352" i="15"/>
  <c r="J2352" i="15"/>
  <c r="K2352" i="15"/>
  <c r="L2352" i="15"/>
  <c r="M2352" i="15"/>
  <c r="N2352" i="15"/>
  <c r="O2352" i="15"/>
  <c r="P2352" i="15"/>
  <c r="Q2352" i="15"/>
  <c r="T2352" i="15"/>
  <c r="U2352" i="15"/>
  <c r="V2352" i="15"/>
  <c r="W2352" i="15"/>
  <c r="X2352" i="15"/>
  <c r="Y2352" i="15"/>
  <c r="Z2352" i="15"/>
  <c r="AA2352" i="15"/>
  <c r="B2353" i="15"/>
  <c r="C2353" i="15"/>
  <c r="D2353" i="15"/>
  <c r="E2353" i="15"/>
  <c r="J2353" i="15"/>
  <c r="K2353" i="15"/>
  <c r="L2353" i="15"/>
  <c r="M2353" i="15"/>
  <c r="N2353" i="15"/>
  <c r="O2353" i="15"/>
  <c r="P2353" i="15"/>
  <c r="Q2353" i="15"/>
  <c r="T2353" i="15"/>
  <c r="U2353" i="15"/>
  <c r="V2353" i="15"/>
  <c r="W2353" i="15"/>
  <c r="X2353" i="15"/>
  <c r="Y2353" i="15"/>
  <c r="Z2353" i="15"/>
  <c r="AA2353" i="15"/>
  <c r="B2354" i="15"/>
  <c r="C2354" i="15"/>
  <c r="D2354" i="15"/>
  <c r="E2354" i="15"/>
  <c r="J2354" i="15"/>
  <c r="K2354" i="15"/>
  <c r="L2354" i="15"/>
  <c r="M2354" i="15"/>
  <c r="N2354" i="15"/>
  <c r="O2354" i="15"/>
  <c r="P2354" i="15"/>
  <c r="Q2354" i="15"/>
  <c r="T2354" i="15"/>
  <c r="U2354" i="15"/>
  <c r="V2354" i="15"/>
  <c r="W2354" i="15"/>
  <c r="X2354" i="15"/>
  <c r="Y2354" i="15"/>
  <c r="Z2354" i="15"/>
  <c r="AA2354" i="15"/>
  <c r="B2355" i="15"/>
  <c r="C2355" i="15"/>
  <c r="D2355" i="15"/>
  <c r="E2355" i="15"/>
  <c r="J2355" i="15"/>
  <c r="K2355" i="15"/>
  <c r="L2355" i="15"/>
  <c r="M2355" i="15"/>
  <c r="N2355" i="15"/>
  <c r="O2355" i="15"/>
  <c r="P2355" i="15"/>
  <c r="Q2355" i="15"/>
  <c r="T2355" i="15"/>
  <c r="U2355" i="15"/>
  <c r="V2355" i="15"/>
  <c r="W2355" i="15"/>
  <c r="X2355" i="15"/>
  <c r="Y2355" i="15"/>
  <c r="Z2355" i="15"/>
  <c r="AA2355" i="15"/>
  <c r="B2356" i="15"/>
  <c r="C2356" i="15"/>
  <c r="D2356" i="15"/>
  <c r="E2356" i="15"/>
  <c r="J2356" i="15"/>
  <c r="K2356" i="15"/>
  <c r="L2356" i="15"/>
  <c r="M2356" i="15"/>
  <c r="N2356" i="15"/>
  <c r="O2356" i="15"/>
  <c r="P2356" i="15"/>
  <c r="Q2356" i="15"/>
  <c r="T2356" i="15"/>
  <c r="U2356" i="15"/>
  <c r="V2356" i="15"/>
  <c r="W2356" i="15"/>
  <c r="X2356" i="15"/>
  <c r="Y2356" i="15"/>
  <c r="Z2356" i="15"/>
  <c r="AA2356" i="15"/>
  <c r="B2357" i="15"/>
  <c r="C2357" i="15"/>
  <c r="D2357" i="15"/>
  <c r="E2357" i="15"/>
  <c r="J2357" i="15"/>
  <c r="K2357" i="15"/>
  <c r="L2357" i="15"/>
  <c r="M2357" i="15"/>
  <c r="N2357" i="15"/>
  <c r="O2357" i="15"/>
  <c r="P2357" i="15"/>
  <c r="Q2357" i="15"/>
  <c r="T2357" i="15"/>
  <c r="U2357" i="15"/>
  <c r="V2357" i="15"/>
  <c r="W2357" i="15"/>
  <c r="X2357" i="15"/>
  <c r="Y2357" i="15"/>
  <c r="Z2357" i="15"/>
  <c r="AA2357" i="15"/>
  <c r="B2358" i="15"/>
  <c r="C2358" i="15"/>
  <c r="D2358" i="15"/>
  <c r="E2358" i="15"/>
  <c r="J2358" i="15"/>
  <c r="K2358" i="15"/>
  <c r="L2358" i="15"/>
  <c r="M2358" i="15"/>
  <c r="N2358" i="15"/>
  <c r="O2358" i="15"/>
  <c r="P2358" i="15"/>
  <c r="Q2358" i="15"/>
  <c r="T2358" i="15"/>
  <c r="U2358" i="15"/>
  <c r="V2358" i="15"/>
  <c r="W2358" i="15"/>
  <c r="X2358" i="15"/>
  <c r="Y2358" i="15"/>
  <c r="Z2358" i="15"/>
  <c r="AA2358" i="15"/>
  <c r="B2359" i="15"/>
  <c r="C2359" i="15"/>
  <c r="D2359" i="15"/>
  <c r="E2359" i="15"/>
  <c r="J2359" i="15"/>
  <c r="K2359" i="15"/>
  <c r="L2359" i="15"/>
  <c r="M2359" i="15"/>
  <c r="N2359" i="15"/>
  <c r="O2359" i="15"/>
  <c r="P2359" i="15"/>
  <c r="Q2359" i="15"/>
  <c r="T2359" i="15"/>
  <c r="U2359" i="15"/>
  <c r="V2359" i="15"/>
  <c r="W2359" i="15"/>
  <c r="X2359" i="15"/>
  <c r="Y2359" i="15"/>
  <c r="Z2359" i="15"/>
  <c r="AA2359" i="15"/>
  <c r="B2360" i="15"/>
  <c r="C2360" i="15"/>
  <c r="D2360" i="15"/>
  <c r="E2360" i="15"/>
  <c r="J2360" i="15"/>
  <c r="K2360" i="15"/>
  <c r="L2360" i="15"/>
  <c r="M2360" i="15"/>
  <c r="N2360" i="15"/>
  <c r="O2360" i="15"/>
  <c r="P2360" i="15"/>
  <c r="Q2360" i="15"/>
  <c r="T2360" i="15"/>
  <c r="U2360" i="15"/>
  <c r="V2360" i="15"/>
  <c r="W2360" i="15"/>
  <c r="X2360" i="15"/>
  <c r="Y2360" i="15"/>
  <c r="Z2360" i="15"/>
  <c r="AA2360" i="15"/>
  <c r="B2361" i="15"/>
  <c r="C2361" i="15"/>
  <c r="D2361" i="15"/>
  <c r="E2361" i="15"/>
  <c r="J2361" i="15"/>
  <c r="K2361" i="15"/>
  <c r="L2361" i="15"/>
  <c r="M2361" i="15"/>
  <c r="N2361" i="15"/>
  <c r="O2361" i="15"/>
  <c r="P2361" i="15"/>
  <c r="Q2361" i="15"/>
  <c r="T2361" i="15"/>
  <c r="U2361" i="15"/>
  <c r="V2361" i="15"/>
  <c r="W2361" i="15"/>
  <c r="X2361" i="15"/>
  <c r="Y2361" i="15"/>
  <c r="Z2361" i="15"/>
  <c r="AA2361" i="15"/>
  <c r="B2362" i="15"/>
  <c r="C2362" i="15"/>
  <c r="D2362" i="15"/>
  <c r="E2362" i="15"/>
  <c r="J2362" i="15"/>
  <c r="K2362" i="15"/>
  <c r="L2362" i="15"/>
  <c r="M2362" i="15"/>
  <c r="N2362" i="15"/>
  <c r="O2362" i="15"/>
  <c r="P2362" i="15"/>
  <c r="Q2362" i="15"/>
  <c r="T2362" i="15"/>
  <c r="U2362" i="15"/>
  <c r="V2362" i="15"/>
  <c r="W2362" i="15"/>
  <c r="X2362" i="15"/>
  <c r="Y2362" i="15"/>
  <c r="Z2362" i="15"/>
  <c r="AA2362" i="15"/>
  <c r="B2363" i="15"/>
  <c r="C2363" i="15"/>
  <c r="D2363" i="15"/>
  <c r="E2363" i="15"/>
  <c r="J2363" i="15"/>
  <c r="K2363" i="15"/>
  <c r="L2363" i="15"/>
  <c r="M2363" i="15"/>
  <c r="N2363" i="15"/>
  <c r="O2363" i="15"/>
  <c r="P2363" i="15"/>
  <c r="Q2363" i="15"/>
  <c r="T2363" i="15"/>
  <c r="U2363" i="15"/>
  <c r="V2363" i="15"/>
  <c r="W2363" i="15"/>
  <c r="X2363" i="15"/>
  <c r="Y2363" i="15"/>
  <c r="Z2363" i="15"/>
  <c r="AA2363" i="15"/>
  <c r="B2364" i="15"/>
  <c r="C2364" i="15"/>
  <c r="D2364" i="15"/>
  <c r="E2364" i="15"/>
  <c r="J2364" i="15"/>
  <c r="K2364" i="15"/>
  <c r="L2364" i="15"/>
  <c r="M2364" i="15"/>
  <c r="N2364" i="15"/>
  <c r="O2364" i="15"/>
  <c r="P2364" i="15"/>
  <c r="Q2364" i="15"/>
  <c r="T2364" i="15"/>
  <c r="U2364" i="15"/>
  <c r="V2364" i="15"/>
  <c r="W2364" i="15"/>
  <c r="X2364" i="15"/>
  <c r="Y2364" i="15"/>
  <c r="Z2364" i="15"/>
  <c r="AA2364" i="15"/>
  <c r="B2365" i="15"/>
  <c r="C2365" i="15"/>
  <c r="D2365" i="15"/>
  <c r="E2365" i="15"/>
  <c r="J2365" i="15"/>
  <c r="K2365" i="15"/>
  <c r="L2365" i="15"/>
  <c r="M2365" i="15"/>
  <c r="N2365" i="15"/>
  <c r="O2365" i="15"/>
  <c r="P2365" i="15"/>
  <c r="Q2365" i="15"/>
  <c r="T2365" i="15"/>
  <c r="U2365" i="15"/>
  <c r="V2365" i="15"/>
  <c r="W2365" i="15"/>
  <c r="X2365" i="15"/>
  <c r="Y2365" i="15"/>
  <c r="Z2365" i="15"/>
  <c r="AA2365" i="15"/>
  <c r="B2366" i="15"/>
  <c r="C2366" i="15"/>
  <c r="D2366" i="15"/>
  <c r="E2366" i="15"/>
  <c r="J2366" i="15"/>
  <c r="K2366" i="15"/>
  <c r="L2366" i="15"/>
  <c r="M2366" i="15"/>
  <c r="N2366" i="15"/>
  <c r="O2366" i="15"/>
  <c r="P2366" i="15"/>
  <c r="Q2366" i="15"/>
  <c r="T2366" i="15"/>
  <c r="U2366" i="15"/>
  <c r="V2366" i="15"/>
  <c r="W2366" i="15"/>
  <c r="X2366" i="15"/>
  <c r="Y2366" i="15"/>
  <c r="Z2366" i="15"/>
  <c r="AA2366" i="15"/>
  <c r="B2367" i="15"/>
  <c r="C2367" i="15"/>
  <c r="D2367" i="15"/>
  <c r="E2367" i="15"/>
  <c r="J2367" i="15"/>
  <c r="K2367" i="15"/>
  <c r="L2367" i="15"/>
  <c r="M2367" i="15"/>
  <c r="N2367" i="15"/>
  <c r="O2367" i="15"/>
  <c r="P2367" i="15"/>
  <c r="Q2367" i="15"/>
  <c r="T2367" i="15"/>
  <c r="U2367" i="15"/>
  <c r="V2367" i="15"/>
  <c r="W2367" i="15"/>
  <c r="X2367" i="15"/>
  <c r="Y2367" i="15"/>
  <c r="Z2367" i="15"/>
  <c r="AA2367" i="15"/>
  <c r="B2368" i="15"/>
  <c r="C2368" i="15"/>
  <c r="D2368" i="15"/>
  <c r="E2368" i="15"/>
  <c r="J2368" i="15"/>
  <c r="K2368" i="15"/>
  <c r="L2368" i="15"/>
  <c r="M2368" i="15"/>
  <c r="N2368" i="15"/>
  <c r="O2368" i="15"/>
  <c r="P2368" i="15"/>
  <c r="Q2368" i="15"/>
  <c r="T2368" i="15"/>
  <c r="U2368" i="15"/>
  <c r="V2368" i="15"/>
  <c r="W2368" i="15"/>
  <c r="X2368" i="15"/>
  <c r="Y2368" i="15"/>
  <c r="Z2368" i="15"/>
  <c r="AA2368" i="15"/>
  <c r="B2369" i="15"/>
  <c r="C2369" i="15"/>
  <c r="D2369" i="15"/>
  <c r="E2369" i="15"/>
  <c r="J2369" i="15"/>
  <c r="K2369" i="15"/>
  <c r="L2369" i="15"/>
  <c r="M2369" i="15"/>
  <c r="N2369" i="15"/>
  <c r="O2369" i="15"/>
  <c r="P2369" i="15"/>
  <c r="Q2369" i="15"/>
  <c r="T2369" i="15"/>
  <c r="U2369" i="15"/>
  <c r="V2369" i="15"/>
  <c r="W2369" i="15"/>
  <c r="X2369" i="15"/>
  <c r="Y2369" i="15"/>
  <c r="Z2369" i="15"/>
  <c r="AA2369" i="15"/>
  <c r="B2370" i="15"/>
  <c r="C2370" i="15"/>
  <c r="D2370" i="15"/>
  <c r="E2370" i="15"/>
  <c r="J2370" i="15"/>
  <c r="K2370" i="15"/>
  <c r="L2370" i="15"/>
  <c r="M2370" i="15"/>
  <c r="N2370" i="15"/>
  <c r="O2370" i="15"/>
  <c r="P2370" i="15"/>
  <c r="Q2370" i="15"/>
  <c r="T2370" i="15"/>
  <c r="U2370" i="15"/>
  <c r="V2370" i="15"/>
  <c r="W2370" i="15"/>
  <c r="X2370" i="15"/>
  <c r="Y2370" i="15"/>
  <c r="Z2370" i="15"/>
  <c r="AA2370" i="15"/>
  <c r="B2371" i="15"/>
  <c r="C2371" i="15"/>
  <c r="D2371" i="15"/>
  <c r="E2371" i="15"/>
  <c r="J2371" i="15"/>
  <c r="K2371" i="15"/>
  <c r="L2371" i="15"/>
  <c r="M2371" i="15"/>
  <c r="N2371" i="15"/>
  <c r="O2371" i="15"/>
  <c r="P2371" i="15"/>
  <c r="Q2371" i="15"/>
  <c r="T2371" i="15"/>
  <c r="U2371" i="15"/>
  <c r="V2371" i="15"/>
  <c r="W2371" i="15"/>
  <c r="X2371" i="15"/>
  <c r="Y2371" i="15"/>
  <c r="Z2371" i="15"/>
  <c r="AA2371" i="15"/>
  <c r="B2372" i="15"/>
  <c r="C2372" i="15"/>
  <c r="D2372" i="15"/>
  <c r="E2372" i="15"/>
  <c r="J2372" i="15"/>
  <c r="K2372" i="15"/>
  <c r="L2372" i="15"/>
  <c r="M2372" i="15"/>
  <c r="N2372" i="15"/>
  <c r="O2372" i="15"/>
  <c r="P2372" i="15"/>
  <c r="Q2372" i="15"/>
  <c r="T2372" i="15"/>
  <c r="U2372" i="15"/>
  <c r="V2372" i="15"/>
  <c r="W2372" i="15"/>
  <c r="X2372" i="15"/>
  <c r="Y2372" i="15"/>
  <c r="Z2372" i="15"/>
  <c r="AA2372" i="15"/>
  <c r="B2373" i="15"/>
  <c r="C2373" i="15"/>
  <c r="D2373" i="15"/>
  <c r="E2373" i="15"/>
  <c r="J2373" i="15"/>
  <c r="K2373" i="15"/>
  <c r="L2373" i="15"/>
  <c r="M2373" i="15"/>
  <c r="N2373" i="15"/>
  <c r="O2373" i="15"/>
  <c r="P2373" i="15"/>
  <c r="Q2373" i="15"/>
  <c r="T2373" i="15"/>
  <c r="U2373" i="15"/>
  <c r="V2373" i="15"/>
  <c r="W2373" i="15"/>
  <c r="X2373" i="15"/>
  <c r="Y2373" i="15"/>
  <c r="Z2373" i="15"/>
  <c r="AA2373" i="15"/>
  <c r="B2374" i="15"/>
  <c r="C2374" i="15"/>
  <c r="D2374" i="15"/>
  <c r="E2374" i="15"/>
  <c r="J2374" i="15"/>
  <c r="K2374" i="15"/>
  <c r="L2374" i="15"/>
  <c r="M2374" i="15"/>
  <c r="N2374" i="15"/>
  <c r="O2374" i="15"/>
  <c r="P2374" i="15"/>
  <c r="Q2374" i="15"/>
  <c r="T2374" i="15"/>
  <c r="U2374" i="15"/>
  <c r="V2374" i="15"/>
  <c r="W2374" i="15"/>
  <c r="X2374" i="15"/>
  <c r="Y2374" i="15"/>
  <c r="Z2374" i="15"/>
  <c r="AA2374" i="15"/>
  <c r="B2375" i="15"/>
  <c r="C2375" i="15"/>
  <c r="D2375" i="15"/>
  <c r="E2375" i="15"/>
  <c r="J2375" i="15"/>
  <c r="K2375" i="15"/>
  <c r="L2375" i="15"/>
  <c r="M2375" i="15"/>
  <c r="N2375" i="15"/>
  <c r="O2375" i="15"/>
  <c r="P2375" i="15"/>
  <c r="Q2375" i="15"/>
  <c r="T2375" i="15"/>
  <c r="U2375" i="15"/>
  <c r="V2375" i="15"/>
  <c r="W2375" i="15"/>
  <c r="X2375" i="15"/>
  <c r="Y2375" i="15"/>
  <c r="Z2375" i="15"/>
  <c r="AA2375" i="15"/>
  <c r="B2376" i="15"/>
  <c r="C2376" i="15"/>
  <c r="D2376" i="15"/>
  <c r="E2376" i="15"/>
  <c r="J2376" i="15"/>
  <c r="K2376" i="15"/>
  <c r="L2376" i="15"/>
  <c r="M2376" i="15"/>
  <c r="N2376" i="15"/>
  <c r="O2376" i="15"/>
  <c r="P2376" i="15"/>
  <c r="Q2376" i="15"/>
  <c r="T2376" i="15"/>
  <c r="U2376" i="15"/>
  <c r="V2376" i="15"/>
  <c r="W2376" i="15"/>
  <c r="X2376" i="15"/>
  <c r="Y2376" i="15"/>
  <c r="Z2376" i="15"/>
  <c r="AA2376" i="15"/>
  <c r="B2377" i="15"/>
  <c r="C2377" i="15"/>
  <c r="D2377" i="15"/>
  <c r="E2377" i="15"/>
  <c r="J2377" i="15"/>
  <c r="K2377" i="15"/>
  <c r="L2377" i="15"/>
  <c r="M2377" i="15"/>
  <c r="N2377" i="15"/>
  <c r="O2377" i="15"/>
  <c r="P2377" i="15"/>
  <c r="Q2377" i="15"/>
  <c r="T2377" i="15"/>
  <c r="U2377" i="15"/>
  <c r="V2377" i="15"/>
  <c r="W2377" i="15"/>
  <c r="X2377" i="15"/>
  <c r="Y2377" i="15"/>
  <c r="Z2377" i="15"/>
  <c r="AA2377" i="15"/>
  <c r="B2378" i="15"/>
  <c r="C2378" i="15"/>
  <c r="D2378" i="15"/>
  <c r="E2378" i="15"/>
  <c r="J2378" i="15"/>
  <c r="K2378" i="15"/>
  <c r="L2378" i="15"/>
  <c r="M2378" i="15"/>
  <c r="N2378" i="15"/>
  <c r="O2378" i="15"/>
  <c r="P2378" i="15"/>
  <c r="Q2378" i="15"/>
  <c r="T2378" i="15"/>
  <c r="U2378" i="15"/>
  <c r="V2378" i="15"/>
  <c r="W2378" i="15"/>
  <c r="X2378" i="15"/>
  <c r="Y2378" i="15"/>
  <c r="Z2378" i="15"/>
  <c r="AA2378" i="15"/>
  <c r="B2379" i="15"/>
  <c r="C2379" i="15"/>
  <c r="D2379" i="15"/>
  <c r="E2379" i="15"/>
  <c r="J2379" i="15"/>
  <c r="K2379" i="15"/>
  <c r="L2379" i="15"/>
  <c r="M2379" i="15"/>
  <c r="N2379" i="15"/>
  <c r="O2379" i="15"/>
  <c r="P2379" i="15"/>
  <c r="Q2379" i="15"/>
  <c r="T2379" i="15"/>
  <c r="U2379" i="15"/>
  <c r="V2379" i="15"/>
  <c r="W2379" i="15"/>
  <c r="X2379" i="15"/>
  <c r="Y2379" i="15"/>
  <c r="Z2379" i="15"/>
  <c r="AA2379" i="15"/>
  <c r="B2380" i="15"/>
  <c r="C2380" i="15"/>
  <c r="D2380" i="15"/>
  <c r="E2380" i="15"/>
  <c r="J2380" i="15"/>
  <c r="K2380" i="15"/>
  <c r="L2380" i="15"/>
  <c r="M2380" i="15"/>
  <c r="N2380" i="15"/>
  <c r="O2380" i="15"/>
  <c r="P2380" i="15"/>
  <c r="Q2380" i="15"/>
  <c r="T2380" i="15"/>
  <c r="U2380" i="15"/>
  <c r="V2380" i="15"/>
  <c r="W2380" i="15"/>
  <c r="X2380" i="15"/>
  <c r="Y2380" i="15"/>
  <c r="Z2380" i="15"/>
  <c r="AA2380" i="15"/>
  <c r="B2381" i="15"/>
  <c r="C2381" i="15"/>
  <c r="D2381" i="15"/>
  <c r="E2381" i="15"/>
  <c r="J2381" i="15"/>
  <c r="K2381" i="15"/>
  <c r="L2381" i="15"/>
  <c r="M2381" i="15"/>
  <c r="N2381" i="15"/>
  <c r="O2381" i="15"/>
  <c r="P2381" i="15"/>
  <c r="Q2381" i="15"/>
  <c r="T2381" i="15"/>
  <c r="U2381" i="15"/>
  <c r="V2381" i="15"/>
  <c r="W2381" i="15"/>
  <c r="X2381" i="15"/>
  <c r="Y2381" i="15"/>
  <c r="Z2381" i="15"/>
  <c r="AA2381" i="15"/>
  <c r="B2382" i="15"/>
  <c r="C2382" i="15"/>
  <c r="D2382" i="15"/>
  <c r="E2382" i="15"/>
  <c r="J2382" i="15"/>
  <c r="K2382" i="15"/>
  <c r="L2382" i="15"/>
  <c r="M2382" i="15"/>
  <c r="N2382" i="15"/>
  <c r="O2382" i="15"/>
  <c r="P2382" i="15"/>
  <c r="Q2382" i="15"/>
  <c r="T2382" i="15"/>
  <c r="U2382" i="15"/>
  <c r="V2382" i="15"/>
  <c r="W2382" i="15"/>
  <c r="X2382" i="15"/>
  <c r="Y2382" i="15"/>
  <c r="Z2382" i="15"/>
  <c r="AA2382" i="15"/>
  <c r="B2383" i="15"/>
  <c r="C2383" i="15"/>
  <c r="D2383" i="15"/>
  <c r="E2383" i="15"/>
  <c r="J2383" i="15"/>
  <c r="K2383" i="15"/>
  <c r="L2383" i="15"/>
  <c r="M2383" i="15"/>
  <c r="N2383" i="15"/>
  <c r="O2383" i="15"/>
  <c r="P2383" i="15"/>
  <c r="Q2383" i="15"/>
  <c r="T2383" i="15"/>
  <c r="U2383" i="15"/>
  <c r="V2383" i="15"/>
  <c r="W2383" i="15"/>
  <c r="X2383" i="15"/>
  <c r="Y2383" i="15"/>
  <c r="Z2383" i="15"/>
  <c r="AA2383" i="15"/>
  <c r="B2384" i="15"/>
  <c r="C2384" i="15"/>
  <c r="D2384" i="15"/>
  <c r="E2384" i="15"/>
  <c r="J2384" i="15"/>
  <c r="K2384" i="15"/>
  <c r="L2384" i="15"/>
  <c r="M2384" i="15"/>
  <c r="N2384" i="15"/>
  <c r="O2384" i="15"/>
  <c r="P2384" i="15"/>
  <c r="Q2384" i="15"/>
  <c r="T2384" i="15"/>
  <c r="U2384" i="15"/>
  <c r="V2384" i="15"/>
  <c r="W2384" i="15"/>
  <c r="X2384" i="15"/>
  <c r="Y2384" i="15"/>
  <c r="Z2384" i="15"/>
  <c r="AA2384" i="15"/>
  <c r="B2385" i="15"/>
  <c r="C2385" i="15"/>
  <c r="D2385" i="15"/>
  <c r="E2385" i="15"/>
  <c r="J2385" i="15"/>
  <c r="K2385" i="15"/>
  <c r="L2385" i="15"/>
  <c r="M2385" i="15"/>
  <c r="N2385" i="15"/>
  <c r="O2385" i="15"/>
  <c r="P2385" i="15"/>
  <c r="Q2385" i="15"/>
  <c r="T2385" i="15"/>
  <c r="U2385" i="15"/>
  <c r="V2385" i="15"/>
  <c r="W2385" i="15"/>
  <c r="X2385" i="15"/>
  <c r="Y2385" i="15"/>
  <c r="Z2385" i="15"/>
  <c r="AA2385" i="15"/>
  <c r="B2386" i="15"/>
  <c r="C2386" i="15"/>
  <c r="D2386" i="15"/>
  <c r="E2386" i="15"/>
  <c r="J2386" i="15"/>
  <c r="K2386" i="15"/>
  <c r="L2386" i="15"/>
  <c r="M2386" i="15"/>
  <c r="N2386" i="15"/>
  <c r="O2386" i="15"/>
  <c r="P2386" i="15"/>
  <c r="Q2386" i="15"/>
  <c r="T2386" i="15"/>
  <c r="U2386" i="15"/>
  <c r="V2386" i="15"/>
  <c r="W2386" i="15"/>
  <c r="X2386" i="15"/>
  <c r="Y2386" i="15"/>
  <c r="Z2386" i="15"/>
  <c r="AA2386" i="15"/>
  <c r="B2387" i="15"/>
  <c r="C2387" i="15"/>
  <c r="D2387" i="15"/>
  <c r="E2387" i="15"/>
  <c r="J2387" i="15"/>
  <c r="K2387" i="15"/>
  <c r="L2387" i="15"/>
  <c r="M2387" i="15"/>
  <c r="N2387" i="15"/>
  <c r="O2387" i="15"/>
  <c r="P2387" i="15"/>
  <c r="Q2387" i="15"/>
  <c r="T2387" i="15"/>
  <c r="U2387" i="15"/>
  <c r="V2387" i="15"/>
  <c r="W2387" i="15"/>
  <c r="X2387" i="15"/>
  <c r="Y2387" i="15"/>
  <c r="Z2387" i="15"/>
  <c r="AA2387" i="15"/>
  <c r="B2388" i="15"/>
  <c r="C2388" i="15"/>
  <c r="D2388" i="15"/>
  <c r="E2388" i="15"/>
  <c r="J2388" i="15"/>
  <c r="K2388" i="15"/>
  <c r="L2388" i="15"/>
  <c r="M2388" i="15"/>
  <c r="N2388" i="15"/>
  <c r="O2388" i="15"/>
  <c r="P2388" i="15"/>
  <c r="Q2388" i="15"/>
  <c r="T2388" i="15"/>
  <c r="U2388" i="15"/>
  <c r="V2388" i="15"/>
  <c r="W2388" i="15"/>
  <c r="X2388" i="15"/>
  <c r="Y2388" i="15"/>
  <c r="Z2388" i="15"/>
  <c r="AA2388" i="15"/>
  <c r="B2389" i="15"/>
  <c r="C2389" i="15"/>
  <c r="D2389" i="15"/>
  <c r="E2389" i="15"/>
  <c r="J2389" i="15"/>
  <c r="K2389" i="15"/>
  <c r="L2389" i="15"/>
  <c r="M2389" i="15"/>
  <c r="N2389" i="15"/>
  <c r="O2389" i="15"/>
  <c r="P2389" i="15"/>
  <c r="Q2389" i="15"/>
  <c r="T2389" i="15"/>
  <c r="U2389" i="15"/>
  <c r="V2389" i="15"/>
  <c r="W2389" i="15"/>
  <c r="X2389" i="15"/>
  <c r="Y2389" i="15"/>
  <c r="Z2389" i="15"/>
  <c r="AA2389" i="15"/>
  <c r="B2390" i="15"/>
  <c r="C2390" i="15"/>
  <c r="D2390" i="15"/>
  <c r="E2390" i="15"/>
  <c r="J2390" i="15"/>
  <c r="K2390" i="15"/>
  <c r="L2390" i="15"/>
  <c r="M2390" i="15"/>
  <c r="N2390" i="15"/>
  <c r="O2390" i="15"/>
  <c r="P2390" i="15"/>
  <c r="Q2390" i="15"/>
  <c r="T2390" i="15"/>
  <c r="U2390" i="15"/>
  <c r="V2390" i="15"/>
  <c r="W2390" i="15"/>
  <c r="X2390" i="15"/>
  <c r="Y2390" i="15"/>
  <c r="Z2390" i="15"/>
  <c r="AA2390" i="15"/>
  <c r="B2391" i="15"/>
  <c r="C2391" i="15"/>
  <c r="D2391" i="15"/>
  <c r="E2391" i="15"/>
  <c r="J2391" i="15"/>
  <c r="K2391" i="15"/>
  <c r="L2391" i="15"/>
  <c r="M2391" i="15"/>
  <c r="N2391" i="15"/>
  <c r="O2391" i="15"/>
  <c r="P2391" i="15"/>
  <c r="Q2391" i="15"/>
  <c r="T2391" i="15"/>
  <c r="U2391" i="15"/>
  <c r="V2391" i="15"/>
  <c r="W2391" i="15"/>
  <c r="X2391" i="15"/>
  <c r="Y2391" i="15"/>
  <c r="Z2391" i="15"/>
  <c r="AA2391" i="15"/>
  <c r="B2392" i="15"/>
  <c r="C2392" i="15"/>
  <c r="D2392" i="15"/>
  <c r="E2392" i="15"/>
  <c r="J2392" i="15"/>
  <c r="K2392" i="15"/>
  <c r="L2392" i="15"/>
  <c r="M2392" i="15"/>
  <c r="N2392" i="15"/>
  <c r="O2392" i="15"/>
  <c r="P2392" i="15"/>
  <c r="Q2392" i="15"/>
  <c r="T2392" i="15"/>
  <c r="U2392" i="15"/>
  <c r="V2392" i="15"/>
  <c r="W2392" i="15"/>
  <c r="X2392" i="15"/>
  <c r="Y2392" i="15"/>
  <c r="Z2392" i="15"/>
  <c r="AA2392" i="15"/>
  <c r="B2393" i="15"/>
  <c r="C2393" i="15"/>
  <c r="D2393" i="15"/>
  <c r="E2393" i="15"/>
  <c r="J2393" i="15"/>
  <c r="K2393" i="15"/>
  <c r="L2393" i="15"/>
  <c r="M2393" i="15"/>
  <c r="N2393" i="15"/>
  <c r="O2393" i="15"/>
  <c r="P2393" i="15"/>
  <c r="Q2393" i="15"/>
  <c r="T2393" i="15"/>
  <c r="U2393" i="15"/>
  <c r="V2393" i="15"/>
  <c r="W2393" i="15"/>
  <c r="X2393" i="15"/>
  <c r="Y2393" i="15"/>
  <c r="Z2393" i="15"/>
  <c r="AA2393" i="15"/>
  <c r="B2394" i="15"/>
  <c r="C2394" i="15"/>
  <c r="D2394" i="15"/>
  <c r="E2394" i="15"/>
  <c r="J2394" i="15"/>
  <c r="K2394" i="15"/>
  <c r="L2394" i="15"/>
  <c r="M2394" i="15"/>
  <c r="N2394" i="15"/>
  <c r="O2394" i="15"/>
  <c r="P2394" i="15"/>
  <c r="Q2394" i="15"/>
  <c r="T2394" i="15"/>
  <c r="U2394" i="15"/>
  <c r="V2394" i="15"/>
  <c r="W2394" i="15"/>
  <c r="X2394" i="15"/>
  <c r="Y2394" i="15"/>
  <c r="Z2394" i="15"/>
  <c r="AA2394" i="15"/>
  <c r="B2395" i="15"/>
  <c r="C2395" i="15"/>
  <c r="D2395" i="15"/>
  <c r="E2395" i="15"/>
  <c r="J2395" i="15"/>
  <c r="K2395" i="15"/>
  <c r="L2395" i="15"/>
  <c r="M2395" i="15"/>
  <c r="N2395" i="15"/>
  <c r="O2395" i="15"/>
  <c r="P2395" i="15"/>
  <c r="Q2395" i="15"/>
  <c r="T2395" i="15"/>
  <c r="U2395" i="15"/>
  <c r="V2395" i="15"/>
  <c r="W2395" i="15"/>
  <c r="X2395" i="15"/>
  <c r="Y2395" i="15"/>
  <c r="Z2395" i="15"/>
  <c r="AA2395" i="15"/>
  <c r="B2396" i="15"/>
  <c r="C2396" i="15"/>
  <c r="D2396" i="15"/>
  <c r="E2396" i="15"/>
  <c r="J2396" i="15"/>
  <c r="K2396" i="15"/>
  <c r="L2396" i="15"/>
  <c r="M2396" i="15"/>
  <c r="N2396" i="15"/>
  <c r="O2396" i="15"/>
  <c r="P2396" i="15"/>
  <c r="Q2396" i="15"/>
  <c r="T2396" i="15"/>
  <c r="U2396" i="15"/>
  <c r="V2396" i="15"/>
  <c r="W2396" i="15"/>
  <c r="X2396" i="15"/>
  <c r="Y2396" i="15"/>
  <c r="Z2396" i="15"/>
  <c r="AA2396" i="15"/>
  <c r="B2397" i="15"/>
  <c r="C2397" i="15"/>
  <c r="D2397" i="15"/>
  <c r="E2397" i="15"/>
  <c r="J2397" i="15"/>
  <c r="K2397" i="15"/>
  <c r="L2397" i="15"/>
  <c r="M2397" i="15"/>
  <c r="N2397" i="15"/>
  <c r="O2397" i="15"/>
  <c r="P2397" i="15"/>
  <c r="Q2397" i="15"/>
  <c r="T2397" i="15"/>
  <c r="U2397" i="15"/>
  <c r="V2397" i="15"/>
  <c r="W2397" i="15"/>
  <c r="X2397" i="15"/>
  <c r="Y2397" i="15"/>
  <c r="Z2397" i="15"/>
  <c r="AA2397" i="15"/>
  <c r="B2398" i="15"/>
  <c r="C2398" i="15"/>
  <c r="D2398" i="15"/>
  <c r="E2398" i="15"/>
  <c r="J2398" i="15"/>
  <c r="K2398" i="15"/>
  <c r="L2398" i="15"/>
  <c r="M2398" i="15"/>
  <c r="N2398" i="15"/>
  <c r="O2398" i="15"/>
  <c r="P2398" i="15"/>
  <c r="Q2398" i="15"/>
  <c r="T2398" i="15"/>
  <c r="U2398" i="15"/>
  <c r="V2398" i="15"/>
  <c r="W2398" i="15"/>
  <c r="X2398" i="15"/>
  <c r="Y2398" i="15"/>
  <c r="Z2398" i="15"/>
  <c r="AA2398" i="15"/>
  <c r="B2399" i="15"/>
  <c r="C2399" i="15"/>
  <c r="D2399" i="15"/>
  <c r="E2399" i="15"/>
  <c r="J2399" i="15"/>
  <c r="K2399" i="15"/>
  <c r="L2399" i="15"/>
  <c r="M2399" i="15"/>
  <c r="N2399" i="15"/>
  <c r="O2399" i="15"/>
  <c r="P2399" i="15"/>
  <c r="Q2399" i="15"/>
  <c r="T2399" i="15"/>
  <c r="U2399" i="15"/>
  <c r="V2399" i="15"/>
  <c r="W2399" i="15"/>
  <c r="X2399" i="15"/>
  <c r="Y2399" i="15"/>
  <c r="Z2399" i="15"/>
  <c r="AA2399" i="15"/>
  <c r="B2400" i="15"/>
  <c r="C2400" i="15"/>
  <c r="D2400" i="15"/>
  <c r="E2400" i="15"/>
  <c r="J2400" i="15"/>
  <c r="K2400" i="15"/>
  <c r="L2400" i="15"/>
  <c r="M2400" i="15"/>
  <c r="N2400" i="15"/>
  <c r="O2400" i="15"/>
  <c r="P2400" i="15"/>
  <c r="Q2400" i="15"/>
  <c r="T2400" i="15"/>
  <c r="U2400" i="15"/>
  <c r="V2400" i="15"/>
  <c r="W2400" i="15"/>
  <c r="X2400" i="15"/>
  <c r="Y2400" i="15"/>
  <c r="Z2400" i="15"/>
  <c r="AA2400" i="15"/>
  <c r="B2401" i="15"/>
  <c r="C2401" i="15"/>
  <c r="D2401" i="15"/>
  <c r="E2401" i="15"/>
  <c r="J2401" i="15"/>
  <c r="K2401" i="15"/>
  <c r="L2401" i="15"/>
  <c r="M2401" i="15"/>
  <c r="N2401" i="15"/>
  <c r="O2401" i="15"/>
  <c r="P2401" i="15"/>
  <c r="Q2401" i="15"/>
  <c r="T2401" i="15"/>
  <c r="U2401" i="15"/>
  <c r="V2401" i="15"/>
  <c r="W2401" i="15"/>
  <c r="X2401" i="15"/>
  <c r="Y2401" i="15"/>
  <c r="Z2401" i="15"/>
  <c r="AA2401" i="15"/>
  <c r="B2402" i="15"/>
  <c r="C2402" i="15"/>
  <c r="D2402" i="15"/>
  <c r="E2402" i="15"/>
  <c r="J2402" i="15"/>
  <c r="K2402" i="15"/>
  <c r="L2402" i="15"/>
  <c r="M2402" i="15"/>
  <c r="N2402" i="15"/>
  <c r="O2402" i="15"/>
  <c r="P2402" i="15"/>
  <c r="Q2402" i="15"/>
  <c r="T2402" i="15"/>
  <c r="U2402" i="15"/>
  <c r="V2402" i="15"/>
  <c r="W2402" i="15"/>
  <c r="X2402" i="15"/>
  <c r="Y2402" i="15"/>
  <c r="Z2402" i="15"/>
  <c r="AA2402" i="15"/>
  <c r="B2403" i="15"/>
  <c r="C2403" i="15"/>
  <c r="D2403" i="15"/>
  <c r="E2403" i="15"/>
  <c r="J2403" i="15"/>
  <c r="K2403" i="15"/>
  <c r="L2403" i="15"/>
  <c r="M2403" i="15"/>
  <c r="N2403" i="15"/>
  <c r="O2403" i="15"/>
  <c r="P2403" i="15"/>
  <c r="Q2403" i="15"/>
  <c r="T2403" i="15"/>
  <c r="U2403" i="15"/>
  <c r="V2403" i="15"/>
  <c r="W2403" i="15"/>
  <c r="X2403" i="15"/>
  <c r="Y2403" i="15"/>
  <c r="Z2403" i="15"/>
  <c r="AA2403" i="15"/>
  <c r="B2404" i="15"/>
  <c r="C2404" i="15"/>
  <c r="D2404" i="15"/>
  <c r="E2404" i="15"/>
  <c r="J2404" i="15"/>
  <c r="K2404" i="15"/>
  <c r="L2404" i="15"/>
  <c r="M2404" i="15"/>
  <c r="N2404" i="15"/>
  <c r="O2404" i="15"/>
  <c r="P2404" i="15"/>
  <c r="Q2404" i="15"/>
  <c r="T2404" i="15"/>
  <c r="U2404" i="15"/>
  <c r="V2404" i="15"/>
  <c r="W2404" i="15"/>
  <c r="X2404" i="15"/>
  <c r="Y2404" i="15"/>
  <c r="Z2404" i="15"/>
  <c r="AA2404" i="15"/>
  <c r="B2405" i="15"/>
  <c r="C2405" i="15"/>
  <c r="D2405" i="15"/>
  <c r="E2405" i="15"/>
  <c r="J2405" i="15"/>
  <c r="K2405" i="15"/>
  <c r="L2405" i="15"/>
  <c r="M2405" i="15"/>
  <c r="N2405" i="15"/>
  <c r="O2405" i="15"/>
  <c r="P2405" i="15"/>
  <c r="Q2405" i="15"/>
  <c r="T2405" i="15"/>
  <c r="U2405" i="15"/>
  <c r="V2405" i="15"/>
  <c r="W2405" i="15"/>
  <c r="X2405" i="15"/>
  <c r="Y2405" i="15"/>
  <c r="Z2405" i="15"/>
  <c r="AA2405" i="15"/>
  <c r="B2406" i="15"/>
  <c r="C2406" i="15"/>
  <c r="D2406" i="15"/>
  <c r="E2406" i="15"/>
  <c r="J2406" i="15"/>
  <c r="K2406" i="15"/>
  <c r="L2406" i="15"/>
  <c r="M2406" i="15"/>
  <c r="N2406" i="15"/>
  <c r="O2406" i="15"/>
  <c r="P2406" i="15"/>
  <c r="Q2406" i="15"/>
  <c r="T2406" i="15"/>
  <c r="U2406" i="15"/>
  <c r="V2406" i="15"/>
  <c r="W2406" i="15"/>
  <c r="X2406" i="15"/>
  <c r="Y2406" i="15"/>
  <c r="Z2406" i="15"/>
  <c r="AA2406" i="15"/>
  <c r="B2407" i="15"/>
  <c r="C2407" i="15"/>
  <c r="D2407" i="15"/>
  <c r="E2407" i="15"/>
  <c r="J2407" i="15"/>
  <c r="K2407" i="15"/>
  <c r="L2407" i="15"/>
  <c r="M2407" i="15"/>
  <c r="N2407" i="15"/>
  <c r="O2407" i="15"/>
  <c r="P2407" i="15"/>
  <c r="Q2407" i="15"/>
  <c r="T2407" i="15"/>
  <c r="U2407" i="15"/>
  <c r="V2407" i="15"/>
  <c r="W2407" i="15"/>
  <c r="X2407" i="15"/>
  <c r="Y2407" i="15"/>
  <c r="Z2407" i="15"/>
  <c r="AA2407" i="15"/>
  <c r="B2408" i="15"/>
  <c r="C2408" i="15"/>
  <c r="D2408" i="15"/>
  <c r="E2408" i="15"/>
  <c r="J2408" i="15"/>
  <c r="K2408" i="15"/>
  <c r="L2408" i="15"/>
  <c r="M2408" i="15"/>
  <c r="N2408" i="15"/>
  <c r="O2408" i="15"/>
  <c r="P2408" i="15"/>
  <c r="Q2408" i="15"/>
  <c r="T2408" i="15"/>
  <c r="U2408" i="15"/>
  <c r="V2408" i="15"/>
  <c r="W2408" i="15"/>
  <c r="X2408" i="15"/>
  <c r="Y2408" i="15"/>
  <c r="Z2408" i="15"/>
  <c r="AA2408" i="15"/>
  <c r="B2409" i="15"/>
  <c r="C2409" i="15"/>
  <c r="D2409" i="15"/>
  <c r="E2409" i="15"/>
  <c r="J2409" i="15"/>
  <c r="K2409" i="15"/>
  <c r="L2409" i="15"/>
  <c r="M2409" i="15"/>
  <c r="N2409" i="15"/>
  <c r="O2409" i="15"/>
  <c r="P2409" i="15"/>
  <c r="Q2409" i="15"/>
  <c r="T2409" i="15"/>
  <c r="U2409" i="15"/>
  <c r="V2409" i="15"/>
  <c r="W2409" i="15"/>
  <c r="X2409" i="15"/>
  <c r="Y2409" i="15"/>
  <c r="Z2409" i="15"/>
  <c r="AA2409" i="15"/>
  <c r="B2410" i="15"/>
  <c r="C2410" i="15"/>
  <c r="D2410" i="15"/>
  <c r="E2410" i="15"/>
  <c r="J2410" i="15"/>
  <c r="K2410" i="15"/>
  <c r="L2410" i="15"/>
  <c r="M2410" i="15"/>
  <c r="N2410" i="15"/>
  <c r="O2410" i="15"/>
  <c r="P2410" i="15"/>
  <c r="Q2410" i="15"/>
  <c r="T2410" i="15"/>
  <c r="U2410" i="15"/>
  <c r="V2410" i="15"/>
  <c r="W2410" i="15"/>
  <c r="X2410" i="15"/>
  <c r="Y2410" i="15"/>
  <c r="Z2410" i="15"/>
  <c r="AA2410" i="15"/>
  <c r="B2411" i="15"/>
  <c r="C2411" i="15"/>
  <c r="D2411" i="15"/>
  <c r="E2411" i="15"/>
  <c r="J2411" i="15"/>
  <c r="K2411" i="15"/>
  <c r="L2411" i="15"/>
  <c r="M2411" i="15"/>
  <c r="N2411" i="15"/>
  <c r="O2411" i="15"/>
  <c r="P2411" i="15"/>
  <c r="Q2411" i="15"/>
  <c r="T2411" i="15"/>
  <c r="U2411" i="15"/>
  <c r="V2411" i="15"/>
  <c r="W2411" i="15"/>
  <c r="X2411" i="15"/>
  <c r="Y2411" i="15"/>
  <c r="Z2411" i="15"/>
  <c r="AA2411" i="15"/>
  <c r="B2412" i="15"/>
  <c r="C2412" i="15"/>
  <c r="D2412" i="15"/>
  <c r="E2412" i="15"/>
  <c r="J2412" i="15"/>
  <c r="K2412" i="15"/>
  <c r="L2412" i="15"/>
  <c r="M2412" i="15"/>
  <c r="N2412" i="15"/>
  <c r="O2412" i="15"/>
  <c r="P2412" i="15"/>
  <c r="Q2412" i="15"/>
  <c r="T2412" i="15"/>
  <c r="U2412" i="15"/>
  <c r="V2412" i="15"/>
  <c r="W2412" i="15"/>
  <c r="X2412" i="15"/>
  <c r="Y2412" i="15"/>
  <c r="Z2412" i="15"/>
  <c r="AA2412" i="15"/>
  <c r="B2413" i="15"/>
  <c r="C2413" i="15"/>
  <c r="D2413" i="15"/>
  <c r="E2413" i="15"/>
  <c r="J2413" i="15"/>
  <c r="K2413" i="15"/>
  <c r="L2413" i="15"/>
  <c r="M2413" i="15"/>
  <c r="N2413" i="15"/>
  <c r="O2413" i="15"/>
  <c r="P2413" i="15"/>
  <c r="Q2413" i="15"/>
  <c r="T2413" i="15"/>
  <c r="U2413" i="15"/>
  <c r="V2413" i="15"/>
  <c r="W2413" i="15"/>
  <c r="X2413" i="15"/>
  <c r="Y2413" i="15"/>
  <c r="Z2413" i="15"/>
  <c r="AA2413" i="15"/>
  <c r="B2414" i="15"/>
  <c r="C2414" i="15"/>
  <c r="D2414" i="15"/>
  <c r="E2414" i="15"/>
  <c r="J2414" i="15"/>
  <c r="K2414" i="15"/>
  <c r="L2414" i="15"/>
  <c r="M2414" i="15"/>
  <c r="N2414" i="15"/>
  <c r="O2414" i="15"/>
  <c r="P2414" i="15"/>
  <c r="Q2414" i="15"/>
  <c r="T2414" i="15"/>
  <c r="U2414" i="15"/>
  <c r="V2414" i="15"/>
  <c r="W2414" i="15"/>
  <c r="X2414" i="15"/>
  <c r="Y2414" i="15"/>
  <c r="Z2414" i="15"/>
  <c r="AA2414" i="15"/>
  <c r="B2415" i="15"/>
  <c r="C2415" i="15"/>
  <c r="D2415" i="15"/>
  <c r="E2415" i="15"/>
  <c r="J2415" i="15"/>
  <c r="K2415" i="15"/>
  <c r="L2415" i="15"/>
  <c r="M2415" i="15"/>
  <c r="N2415" i="15"/>
  <c r="O2415" i="15"/>
  <c r="P2415" i="15"/>
  <c r="Q2415" i="15"/>
  <c r="T2415" i="15"/>
  <c r="U2415" i="15"/>
  <c r="V2415" i="15"/>
  <c r="W2415" i="15"/>
  <c r="X2415" i="15"/>
  <c r="Y2415" i="15"/>
  <c r="Z2415" i="15"/>
  <c r="AA2415" i="15"/>
  <c r="B2416" i="15"/>
  <c r="C2416" i="15"/>
  <c r="D2416" i="15"/>
  <c r="E2416" i="15"/>
  <c r="J2416" i="15"/>
  <c r="K2416" i="15"/>
  <c r="L2416" i="15"/>
  <c r="M2416" i="15"/>
  <c r="N2416" i="15"/>
  <c r="O2416" i="15"/>
  <c r="P2416" i="15"/>
  <c r="Q2416" i="15"/>
  <c r="T2416" i="15"/>
  <c r="U2416" i="15"/>
  <c r="V2416" i="15"/>
  <c r="W2416" i="15"/>
  <c r="X2416" i="15"/>
  <c r="Y2416" i="15"/>
  <c r="Z2416" i="15"/>
  <c r="AA2416" i="15"/>
  <c r="B2417" i="15"/>
  <c r="C2417" i="15"/>
  <c r="D2417" i="15"/>
  <c r="E2417" i="15"/>
  <c r="J2417" i="15"/>
  <c r="K2417" i="15"/>
  <c r="L2417" i="15"/>
  <c r="M2417" i="15"/>
  <c r="N2417" i="15"/>
  <c r="O2417" i="15"/>
  <c r="P2417" i="15"/>
  <c r="Q2417" i="15"/>
  <c r="T2417" i="15"/>
  <c r="U2417" i="15"/>
  <c r="V2417" i="15"/>
  <c r="W2417" i="15"/>
  <c r="X2417" i="15"/>
  <c r="Y2417" i="15"/>
  <c r="Z2417" i="15"/>
  <c r="AA2417" i="15"/>
  <c r="B2418" i="15"/>
  <c r="C2418" i="15"/>
  <c r="D2418" i="15"/>
  <c r="E2418" i="15"/>
  <c r="J2418" i="15"/>
  <c r="K2418" i="15"/>
  <c r="L2418" i="15"/>
  <c r="M2418" i="15"/>
  <c r="N2418" i="15"/>
  <c r="O2418" i="15"/>
  <c r="P2418" i="15"/>
  <c r="Q2418" i="15"/>
  <c r="T2418" i="15"/>
  <c r="U2418" i="15"/>
  <c r="V2418" i="15"/>
  <c r="W2418" i="15"/>
  <c r="X2418" i="15"/>
  <c r="Y2418" i="15"/>
  <c r="Z2418" i="15"/>
  <c r="AA2418" i="15"/>
  <c r="B2419" i="15"/>
  <c r="C2419" i="15"/>
  <c r="D2419" i="15"/>
  <c r="E2419" i="15"/>
  <c r="J2419" i="15"/>
  <c r="K2419" i="15"/>
  <c r="L2419" i="15"/>
  <c r="M2419" i="15"/>
  <c r="N2419" i="15"/>
  <c r="O2419" i="15"/>
  <c r="P2419" i="15"/>
  <c r="Q2419" i="15"/>
  <c r="T2419" i="15"/>
  <c r="U2419" i="15"/>
  <c r="V2419" i="15"/>
  <c r="W2419" i="15"/>
  <c r="X2419" i="15"/>
  <c r="Y2419" i="15"/>
  <c r="Z2419" i="15"/>
  <c r="AA2419" i="15"/>
  <c r="B2420" i="15"/>
  <c r="C2420" i="15"/>
  <c r="D2420" i="15"/>
  <c r="E2420" i="15"/>
  <c r="J2420" i="15"/>
  <c r="K2420" i="15"/>
  <c r="L2420" i="15"/>
  <c r="M2420" i="15"/>
  <c r="N2420" i="15"/>
  <c r="O2420" i="15"/>
  <c r="P2420" i="15"/>
  <c r="Q2420" i="15"/>
  <c r="T2420" i="15"/>
  <c r="U2420" i="15"/>
  <c r="V2420" i="15"/>
  <c r="W2420" i="15"/>
  <c r="X2420" i="15"/>
  <c r="Y2420" i="15"/>
  <c r="Z2420" i="15"/>
  <c r="AA2420" i="15"/>
  <c r="B2421" i="15"/>
  <c r="C2421" i="15"/>
  <c r="D2421" i="15"/>
  <c r="E2421" i="15"/>
  <c r="J2421" i="15"/>
  <c r="K2421" i="15"/>
  <c r="L2421" i="15"/>
  <c r="M2421" i="15"/>
  <c r="N2421" i="15"/>
  <c r="O2421" i="15"/>
  <c r="P2421" i="15"/>
  <c r="Q2421" i="15"/>
  <c r="T2421" i="15"/>
  <c r="U2421" i="15"/>
  <c r="V2421" i="15"/>
  <c r="W2421" i="15"/>
  <c r="X2421" i="15"/>
  <c r="Y2421" i="15"/>
  <c r="Z2421" i="15"/>
  <c r="AA2421" i="15"/>
  <c r="B2422" i="15"/>
  <c r="C2422" i="15"/>
  <c r="D2422" i="15"/>
  <c r="E2422" i="15"/>
  <c r="J2422" i="15"/>
  <c r="K2422" i="15"/>
  <c r="L2422" i="15"/>
  <c r="M2422" i="15"/>
  <c r="N2422" i="15"/>
  <c r="O2422" i="15"/>
  <c r="P2422" i="15"/>
  <c r="Q2422" i="15"/>
  <c r="T2422" i="15"/>
  <c r="U2422" i="15"/>
  <c r="V2422" i="15"/>
  <c r="W2422" i="15"/>
  <c r="X2422" i="15"/>
  <c r="Y2422" i="15"/>
  <c r="Z2422" i="15"/>
  <c r="AA2422" i="15"/>
  <c r="B2423" i="15"/>
  <c r="C2423" i="15"/>
  <c r="D2423" i="15"/>
  <c r="E2423" i="15"/>
  <c r="J2423" i="15"/>
  <c r="K2423" i="15"/>
  <c r="L2423" i="15"/>
  <c r="M2423" i="15"/>
  <c r="N2423" i="15"/>
  <c r="O2423" i="15"/>
  <c r="P2423" i="15"/>
  <c r="Q2423" i="15"/>
  <c r="T2423" i="15"/>
  <c r="U2423" i="15"/>
  <c r="V2423" i="15"/>
  <c r="W2423" i="15"/>
  <c r="X2423" i="15"/>
  <c r="Y2423" i="15"/>
  <c r="Z2423" i="15"/>
  <c r="AA2423" i="15"/>
  <c r="B2424" i="15"/>
  <c r="C2424" i="15"/>
  <c r="D2424" i="15"/>
  <c r="E2424" i="15"/>
  <c r="J2424" i="15"/>
  <c r="K2424" i="15"/>
  <c r="L2424" i="15"/>
  <c r="M2424" i="15"/>
  <c r="N2424" i="15"/>
  <c r="O2424" i="15"/>
  <c r="P2424" i="15"/>
  <c r="Q2424" i="15"/>
  <c r="T2424" i="15"/>
  <c r="U2424" i="15"/>
  <c r="V2424" i="15"/>
  <c r="W2424" i="15"/>
  <c r="X2424" i="15"/>
  <c r="Y2424" i="15"/>
  <c r="Z2424" i="15"/>
  <c r="AA2424" i="15"/>
  <c r="B2425" i="15"/>
  <c r="C2425" i="15"/>
  <c r="D2425" i="15"/>
  <c r="E2425" i="15"/>
  <c r="J2425" i="15"/>
  <c r="K2425" i="15"/>
  <c r="L2425" i="15"/>
  <c r="M2425" i="15"/>
  <c r="N2425" i="15"/>
  <c r="O2425" i="15"/>
  <c r="P2425" i="15"/>
  <c r="Q2425" i="15"/>
  <c r="T2425" i="15"/>
  <c r="U2425" i="15"/>
  <c r="V2425" i="15"/>
  <c r="W2425" i="15"/>
  <c r="X2425" i="15"/>
  <c r="Y2425" i="15"/>
  <c r="Z2425" i="15"/>
  <c r="AA2425" i="15"/>
  <c r="B2426" i="15"/>
  <c r="C2426" i="15"/>
  <c r="D2426" i="15"/>
  <c r="E2426" i="15"/>
  <c r="J2426" i="15"/>
  <c r="K2426" i="15"/>
  <c r="L2426" i="15"/>
  <c r="M2426" i="15"/>
  <c r="N2426" i="15"/>
  <c r="O2426" i="15"/>
  <c r="P2426" i="15"/>
  <c r="Q2426" i="15"/>
  <c r="T2426" i="15"/>
  <c r="U2426" i="15"/>
  <c r="V2426" i="15"/>
  <c r="W2426" i="15"/>
  <c r="X2426" i="15"/>
  <c r="Y2426" i="15"/>
  <c r="Z2426" i="15"/>
  <c r="AA2426" i="15"/>
  <c r="B2427" i="15"/>
  <c r="C2427" i="15"/>
  <c r="D2427" i="15"/>
  <c r="E2427" i="15"/>
  <c r="J2427" i="15"/>
  <c r="K2427" i="15"/>
  <c r="L2427" i="15"/>
  <c r="M2427" i="15"/>
  <c r="N2427" i="15"/>
  <c r="O2427" i="15"/>
  <c r="P2427" i="15"/>
  <c r="Q2427" i="15"/>
  <c r="T2427" i="15"/>
  <c r="U2427" i="15"/>
  <c r="V2427" i="15"/>
  <c r="W2427" i="15"/>
  <c r="X2427" i="15"/>
  <c r="Y2427" i="15"/>
  <c r="Z2427" i="15"/>
  <c r="AA2427" i="15"/>
  <c r="B2428" i="15"/>
  <c r="C2428" i="15"/>
  <c r="D2428" i="15"/>
  <c r="E2428" i="15"/>
  <c r="J2428" i="15"/>
  <c r="K2428" i="15"/>
  <c r="L2428" i="15"/>
  <c r="M2428" i="15"/>
  <c r="N2428" i="15"/>
  <c r="O2428" i="15"/>
  <c r="P2428" i="15"/>
  <c r="Q2428" i="15"/>
  <c r="T2428" i="15"/>
  <c r="U2428" i="15"/>
  <c r="V2428" i="15"/>
  <c r="W2428" i="15"/>
  <c r="X2428" i="15"/>
  <c r="Y2428" i="15"/>
  <c r="Z2428" i="15"/>
  <c r="AA2428" i="15"/>
  <c r="B2429" i="15"/>
  <c r="C2429" i="15"/>
  <c r="D2429" i="15"/>
  <c r="E2429" i="15"/>
  <c r="J2429" i="15"/>
  <c r="K2429" i="15"/>
  <c r="L2429" i="15"/>
  <c r="M2429" i="15"/>
  <c r="N2429" i="15"/>
  <c r="O2429" i="15"/>
  <c r="P2429" i="15"/>
  <c r="Q2429" i="15"/>
  <c r="T2429" i="15"/>
  <c r="U2429" i="15"/>
  <c r="V2429" i="15"/>
  <c r="W2429" i="15"/>
  <c r="X2429" i="15"/>
  <c r="Y2429" i="15"/>
  <c r="Z2429" i="15"/>
  <c r="AA2429" i="15"/>
  <c r="B2430" i="15"/>
  <c r="C2430" i="15"/>
  <c r="D2430" i="15"/>
  <c r="E2430" i="15"/>
  <c r="J2430" i="15"/>
  <c r="K2430" i="15"/>
  <c r="L2430" i="15"/>
  <c r="M2430" i="15"/>
  <c r="N2430" i="15"/>
  <c r="O2430" i="15"/>
  <c r="P2430" i="15"/>
  <c r="Q2430" i="15"/>
  <c r="T2430" i="15"/>
  <c r="U2430" i="15"/>
  <c r="V2430" i="15"/>
  <c r="W2430" i="15"/>
  <c r="X2430" i="15"/>
  <c r="Y2430" i="15"/>
  <c r="Z2430" i="15"/>
  <c r="AA2430" i="15"/>
  <c r="B2431" i="15"/>
  <c r="C2431" i="15"/>
  <c r="D2431" i="15"/>
  <c r="E2431" i="15"/>
  <c r="J2431" i="15"/>
  <c r="K2431" i="15"/>
  <c r="L2431" i="15"/>
  <c r="M2431" i="15"/>
  <c r="N2431" i="15"/>
  <c r="O2431" i="15"/>
  <c r="P2431" i="15"/>
  <c r="Q2431" i="15"/>
  <c r="T2431" i="15"/>
  <c r="U2431" i="15"/>
  <c r="V2431" i="15"/>
  <c r="W2431" i="15"/>
  <c r="X2431" i="15"/>
  <c r="Y2431" i="15"/>
  <c r="Z2431" i="15"/>
  <c r="AA2431" i="15"/>
  <c r="B2432" i="15"/>
  <c r="C2432" i="15"/>
  <c r="D2432" i="15"/>
  <c r="E2432" i="15"/>
  <c r="J2432" i="15"/>
  <c r="K2432" i="15"/>
  <c r="L2432" i="15"/>
  <c r="M2432" i="15"/>
  <c r="N2432" i="15"/>
  <c r="O2432" i="15"/>
  <c r="P2432" i="15"/>
  <c r="Q2432" i="15"/>
  <c r="T2432" i="15"/>
  <c r="U2432" i="15"/>
  <c r="V2432" i="15"/>
  <c r="W2432" i="15"/>
  <c r="X2432" i="15"/>
  <c r="Y2432" i="15"/>
  <c r="Z2432" i="15"/>
  <c r="AA2432" i="15"/>
  <c r="B2433" i="15"/>
  <c r="C2433" i="15"/>
  <c r="D2433" i="15"/>
  <c r="E2433" i="15"/>
  <c r="J2433" i="15"/>
  <c r="K2433" i="15"/>
  <c r="L2433" i="15"/>
  <c r="M2433" i="15"/>
  <c r="N2433" i="15"/>
  <c r="O2433" i="15"/>
  <c r="P2433" i="15"/>
  <c r="Q2433" i="15"/>
  <c r="T2433" i="15"/>
  <c r="U2433" i="15"/>
  <c r="V2433" i="15"/>
  <c r="W2433" i="15"/>
  <c r="X2433" i="15"/>
  <c r="Y2433" i="15"/>
  <c r="Z2433" i="15"/>
  <c r="AA2433" i="15"/>
  <c r="B2434" i="15"/>
  <c r="C2434" i="15"/>
  <c r="D2434" i="15"/>
  <c r="E2434" i="15"/>
  <c r="J2434" i="15"/>
  <c r="K2434" i="15"/>
  <c r="L2434" i="15"/>
  <c r="M2434" i="15"/>
  <c r="N2434" i="15"/>
  <c r="O2434" i="15"/>
  <c r="P2434" i="15"/>
  <c r="Q2434" i="15"/>
  <c r="T2434" i="15"/>
  <c r="U2434" i="15"/>
  <c r="V2434" i="15"/>
  <c r="W2434" i="15"/>
  <c r="X2434" i="15"/>
  <c r="Y2434" i="15"/>
  <c r="Z2434" i="15"/>
  <c r="AA2434" i="15"/>
  <c r="B2435" i="15"/>
  <c r="C2435" i="15"/>
  <c r="D2435" i="15"/>
  <c r="E2435" i="15"/>
  <c r="J2435" i="15"/>
  <c r="K2435" i="15"/>
  <c r="L2435" i="15"/>
  <c r="M2435" i="15"/>
  <c r="N2435" i="15"/>
  <c r="O2435" i="15"/>
  <c r="P2435" i="15"/>
  <c r="Q2435" i="15"/>
  <c r="T2435" i="15"/>
  <c r="U2435" i="15"/>
  <c r="V2435" i="15"/>
  <c r="W2435" i="15"/>
  <c r="X2435" i="15"/>
  <c r="Y2435" i="15"/>
  <c r="Z2435" i="15"/>
  <c r="AA2435" i="15"/>
  <c r="B2436" i="15"/>
  <c r="C2436" i="15"/>
  <c r="D2436" i="15"/>
  <c r="E2436" i="15"/>
  <c r="J2436" i="15"/>
  <c r="K2436" i="15"/>
  <c r="L2436" i="15"/>
  <c r="M2436" i="15"/>
  <c r="N2436" i="15"/>
  <c r="O2436" i="15"/>
  <c r="P2436" i="15"/>
  <c r="Q2436" i="15"/>
  <c r="T2436" i="15"/>
  <c r="U2436" i="15"/>
  <c r="V2436" i="15"/>
  <c r="W2436" i="15"/>
  <c r="X2436" i="15"/>
  <c r="Y2436" i="15"/>
  <c r="Z2436" i="15"/>
  <c r="AA2436" i="15"/>
  <c r="B2437" i="15"/>
  <c r="C2437" i="15"/>
  <c r="D2437" i="15"/>
  <c r="E2437" i="15"/>
  <c r="J2437" i="15"/>
  <c r="K2437" i="15"/>
  <c r="L2437" i="15"/>
  <c r="M2437" i="15"/>
  <c r="N2437" i="15"/>
  <c r="O2437" i="15"/>
  <c r="P2437" i="15"/>
  <c r="Q2437" i="15"/>
  <c r="T2437" i="15"/>
  <c r="U2437" i="15"/>
  <c r="V2437" i="15"/>
  <c r="W2437" i="15"/>
  <c r="X2437" i="15"/>
  <c r="Y2437" i="15"/>
  <c r="Z2437" i="15"/>
  <c r="AA2437" i="15"/>
  <c r="B2438" i="15"/>
  <c r="C2438" i="15"/>
  <c r="D2438" i="15"/>
  <c r="E2438" i="15"/>
  <c r="J2438" i="15"/>
  <c r="K2438" i="15"/>
  <c r="L2438" i="15"/>
  <c r="M2438" i="15"/>
  <c r="N2438" i="15"/>
  <c r="O2438" i="15"/>
  <c r="P2438" i="15"/>
  <c r="Q2438" i="15"/>
  <c r="T2438" i="15"/>
  <c r="U2438" i="15"/>
  <c r="V2438" i="15"/>
  <c r="W2438" i="15"/>
  <c r="X2438" i="15"/>
  <c r="Y2438" i="15"/>
  <c r="Z2438" i="15"/>
  <c r="AA2438" i="15"/>
  <c r="B2439" i="15"/>
  <c r="C2439" i="15"/>
  <c r="D2439" i="15"/>
  <c r="E2439" i="15"/>
  <c r="J2439" i="15"/>
  <c r="K2439" i="15"/>
  <c r="L2439" i="15"/>
  <c r="M2439" i="15"/>
  <c r="N2439" i="15"/>
  <c r="O2439" i="15"/>
  <c r="P2439" i="15"/>
  <c r="Q2439" i="15"/>
  <c r="T2439" i="15"/>
  <c r="U2439" i="15"/>
  <c r="V2439" i="15"/>
  <c r="W2439" i="15"/>
  <c r="X2439" i="15"/>
  <c r="Y2439" i="15"/>
  <c r="Z2439" i="15"/>
  <c r="AA2439" i="15"/>
  <c r="B2440" i="15"/>
  <c r="C2440" i="15"/>
  <c r="D2440" i="15"/>
  <c r="E2440" i="15"/>
  <c r="J2440" i="15"/>
  <c r="K2440" i="15"/>
  <c r="L2440" i="15"/>
  <c r="M2440" i="15"/>
  <c r="N2440" i="15"/>
  <c r="O2440" i="15"/>
  <c r="P2440" i="15"/>
  <c r="Q2440" i="15"/>
  <c r="T2440" i="15"/>
  <c r="U2440" i="15"/>
  <c r="V2440" i="15"/>
  <c r="W2440" i="15"/>
  <c r="X2440" i="15"/>
  <c r="Y2440" i="15"/>
  <c r="Z2440" i="15"/>
  <c r="AA2440" i="15"/>
  <c r="B2441" i="15"/>
  <c r="C2441" i="15"/>
  <c r="D2441" i="15"/>
  <c r="E2441" i="15"/>
  <c r="J2441" i="15"/>
  <c r="K2441" i="15"/>
  <c r="L2441" i="15"/>
  <c r="M2441" i="15"/>
  <c r="N2441" i="15"/>
  <c r="O2441" i="15"/>
  <c r="P2441" i="15"/>
  <c r="Q2441" i="15"/>
  <c r="T2441" i="15"/>
  <c r="U2441" i="15"/>
  <c r="V2441" i="15"/>
  <c r="W2441" i="15"/>
  <c r="X2441" i="15"/>
  <c r="Y2441" i="15"/>
  <c r="Z2441" i="15"/>
  <c r="AA2441" i="15"/>
  <c r="B2442" i="15"/>
  <c r="C2442" i="15"/>
  <c r="D2442" i="15"/>
  <c r="E2442" i="15"/>
  <c r="J2442" i="15"/>
  <c r="K2442" i="15"/>
  <c r="L2442" i="15"/>
  <c r="M2442" i="15"/>
  <c r="N2442" i="15"/>
  <c r="O2442" i="15"/>
  <c r="P2442" i="15"/>
  <c r="Q2442" i="15"/>
  <c r="T2442" i="15"/>
  <c r="U2442" i="15"/>
  <c r="V2442" i="15"/>
  <c r="W2442" i="15"/>
  <c r="X2442" i="15"/>
  <c r="Y2442" i="15"/>
  <c r="Z2442" i="15"/>
  <c r="AA2442" i="15"/>
  <c r="B2443" i="15"/>
  <c r="C2443" i="15"/>
  <c r="D2443" i="15"/>
  <c r="E2443" i="15"/>
  <c r="J2443" i="15"/>
  <c r="K2443" i="15"/>
  <c r="L2443" i="15"/>
  <c r="M2443" i="15"/>
  <c r="N2443" i="15"/>
  <c r="O2443" i="15"/>
  <c r="P2443" i="15"/>
  <c r="Q2443" i="15"/>
  <c r="T2443" i="15"/>
  <c r="U2443" i="15"/>
  <c r="V2443" i="15"/>
  <c r="W2443" i="15"/>
  <c r="X2443" i="15"/>
  <c r="Y2443" i="15"/>
  <c r="Z2443" i="15"/>
  <c r="AA2443" i="15"/>
  <c r="B2444" i="15"/>
  <c r="C2444" i="15"/>
  <c r="D2444" i="15"/>
  <c r="E2444" i="15"/>
  <c r="J2444" i="15"/>
  <c r="K2444" i="15"/>
  <c r="L2444" i="15"/>
  <c r="M2444" i="15"/>
  <c r="N2444" i="15"/>
  <c r="O2444" i="15"/>
  <c r="P2444" i="15"/>
  <c r="Q2444" i="15"/>
  <c r="T2444" i="15"/>
  <c r="U2444" i="15"/>
  <c r="V2444" i="15"/>
  <c r="W2444" i="15"/>
  <c r="X2444" i="15"/>
  <c r="Y2444" i="15"/>
  <c r="Z2444" i="15"/>
  <c r="AA2444" i="15"/>
  <c r="B2445" i="15"/>
  <c r="C2445" i="15"/>
  <c r="D2445" i="15"/>
  <c r="E2445" i="15"/>
  <c r="J2445" i="15"/>
  <c r="K2445" i="15"/>
  <c r="L2445" i="15"/>
  <c r="M2445" i="15"/>
  <c r="N2445" i="15"/>
  <c r="O2445" i="15"/>
  <c r="P2445" i="15"/>
  <c r="Q2445" i="15"/>
  <c r="T2445" i="15"/>
  <c r="U2445" i="15"/>
  <c r="V2445" i="15"/>
  <c r="W2445" i="15"/>
  <c r="X2445" i="15"/>
  <c r="Y2445" i="15"/>
  <c r="Z2445" i="15"/>
  <c r="AA2445" i="15"/>
  <c r="B2446" i="15"/>
  <c r="C2446" i="15"/>
  <c r="D2446" i="15"/>
  <c r="E2446" i="15"/>
  <c r="J2446" i="15"/>
  <c r="K2446" i="15"/>
  <c r="L2446" i="15"/>
  <c r="M2446" i="15"/>
  <c r="N2446" i="15"/>
  <c r="O2446" i="15"/>
  <c r="P2446" i="15"/>
  <c r="Q2446" i="15"/>
  <c r="T2446" i="15"/>
  <c r="U2446" i="15"/>
  <c r="V2446" i="15"/>
  <c r="W2446" i="15"/>
  <c r="X2446" i="15"/>
  <c r="Y2446" i="15"/>
  <c r="Z2446" i="15"/>
  <c r="AA2446" i="15"/>
  <c r="B2447" i="15"/>
  <c r="C2447" i="15"/>
  <c r="D2447" i="15"/>
  <c r="E2447" i="15"/>
  <c r="J2447" i="15"/>
  <c r="K2447" i="15"/>
  <c r="L2447" i="15"/>
  <c r="M2447" i="15"/>
  <c r="N2447" i="15"/>
  <c r="O2447" i="15"/>
  <c r="P2447" i="15"/>
  <c r="Q2447" i="15"/>
  <c r="T2447" i="15"/>
  <c r="U2447" i="15"/>
  <c r="V2447" i="15"/>
  <c r="W2447" i="15"/>
  <c r="X2447" i="15"/>
  <c r="Y2447" i="15"/>
  <c r="Z2447" i="15"/>
  <c r="AA2447" i="15"/>
  <c r="B2448" i="15"/>
  <c r="C2448" i="15"/>
  <c r="D2448" i="15"/>
  <c r="E2448" i="15"/>
  <c r="J2448" i="15"/>
  <c r="K2448" i="15"/>
  <c r="L2448" i="15"/>
  <c r="M2448" i="15"/>
  <c r="N2448" i="15"/>
  <c r="O2448" i="15"/>
  <c r="P2448" i="15"/>
  <c r="Q2448" i="15"/>
  <c r="T2448" i="15"/>
  <c r="U2448" i="15"/>
  <c r="V2448" i="15"/>
  <c r="W2448" i="15"/>
  <c r="X2448" i="15"/>
  <c r="Y2448" i="15"/>
  <c r="Z2448" i="15"/>
  <c r="AA2448" i="15"/>
  <c r="B2449" i="15"/>
  <c r="C2449" i="15"/>
  <c r="D2449" i="15"/>
  <c r="E2449" i="15"/>
  <c r="J2449" i="15"/>
  <c r="K2449" i="15"/>
  <c r="L2449" i="15"/>
  <c r="M2449" i="15"/>
  <c r="N2449" i="15"/>
  <c r="O2449" i="15"/>
  <c r="P2449" i="15"/>
  <c r="Q2449" i="15"/>
  <c r="T2449" i="15"/>
  <c r="U2449" i="15"/>
  <c r="V2449" i="15"/>
  <c r="W2449" i="15"/>
  <c r="X2449" i="15"/>
  <c r="Y2449" i="15"/>
  <c r="Z2449" i="15"/>
  <c r="AA2449" i="15"/>
  <c r="B2450" i="15"/>
  <c r="C2450" i="15"/>
  <c r="D2450" i="15"/>
  <c r="E2450" i="15"/>
  <c r="J2450" i="15"/>
  <c r="K2450" i="15"/>
  <c r="L2450" i="15"/>
  <c r="M2450" i="15"/>
  <c r="N2450" i="15"/>
  <c r="O2450" i="15"/>
  <c r="P2450" i="15"/>
  <c r="Q2450" i="15"/>
  <c r="T2450" i="15"/>
  <c r="U2450" i="15"/>
  <c r="V2450" i="15"/>
  <c r="W2450" i="15"/>
  <c r="X2450" i="15"/>
  <c r="Y2450" i="15"/>
  <c r="Z2450" i="15"/>
  <c r="AA2450" i="15"/>
  <c r="B2451" i="15"/>
  <c r="C2451" i="15"/>
  <c r="D2451" i="15"/>
  <c r="E2451" i="15"/>
  <c r="J2451" i="15"/>
  <c r="K2451" i="15"/>
  <c r="L2451" i="15"/>
  <c r="M2451" i="15"/>
  <c r="N2451" i="15"/>
  <c r="O2451" i="15"/>
  <c r="P2451" i="15"/>
  <c r="Q2451" i="15"/>
  <c r="T2451" i="15"/>
  <c r="U2451" i="15"/>
  <c r="V2451" i="15"/>
  <c r="W2451" i="15"/>
  <c r="X2451" i="15"/>
  <c r="Y2451" i="15"/>
  <c r="Z2451" i="15"/>
  <c r="AA2451" i="15"/>
  <c r="B2452" i="15"/>
  <c r="C2452" i="15"/>
  <c r="D2452" i="15"/>
  <c r="E2452" i="15"/>
  <c r="J2452" i="15"/>
  <c r="K2452" i="15"/>
  <c r="L2452" i="15"/>
  <c r="M2452" i="15"/>
  <c r="N2452" i="15"/>
  <c r="O2452" i="15"/>
  <c r="P2452" i="15"/>
  <c r="Q2452" i="15"/>
  <c r="T2452" i="15"/>
  <c r="U2452" i="15"/>
  <c r="V2452" i="15"/>
  <c r="W2452" i="15"/>
  <c r="X2452" i="15"/>
  <c r="Y2452" i="15"/>
  <c r="Z2452" i="15"/>
  <c r="AA2452" i="15"/>
  <c r="B2453" i="15"/>
  <c r="C2453" i="15"/>
  <c r="D2453" i="15"/>
  <c r="E2453" i="15"/>
  <c r="J2453" i="15"/>
  <c r="K2453" i="15"/>
  <c r="L2453" i="15"/>
  <c r="M2453" i="15"/>
  <c r="N2453" i="15"/>
  <c r="O2453" i="15"/>
  <c r="P2453" i="15"/>
  <c r="Q2453" i="15"/>
  <c r="T2453" i="15"/>
  <c r="U2453" i="15"/>
  <c r="V2453" i="15"/>
  <c r="W2453" i="15"/>
  <c r="X2453" i="15"/>
  <c r="Y2453" i="15"/>
  <c r="Z2453" i="15"/>
  <c r="AA2453" i="15"/>
  <c r="B2454" i="15"/>
  <c r="C2454" i="15"/>
  <c r="D2454" i="15"/>
  <c r="E2454" i="15"/>
  <c r="J2454" i="15"/>
  <c r="K2454" i="15"/>
  <c r="L2454" i="15"/>
  <c r="M2454" i="15"/>
  <c r="N2454" i="15"/>
  <c r="O2454" i="15"/>
  <c r="P2454" i="15"/>
  <c r="Q2454" i="15"/>
  <c r="T2454" i="15"/>
  <c r="U2454" i="15"/>
  <c r="V2454" i="15"/>
  <c r="W2454" i="15"/>
  <c r="X2454" i="15"/>
  <c r="Y2454" i="15"/>
  <c r="Z2454" i="15"/>
  <c r="AA2454" i="15"/>
  <c r="B2455" i="15"/>
  <c r="C2455" i="15"/>
  <c r="D2455" i="15"/>
  <c r="E2455" i="15"/>
  <c r="J2455" i="15"/>
  <c r="K2455" i="15"/>
  <c r="L2455" i="15"/>
  <c r="M2455" i="15"/>
  <c r="N2455" i="15"/>
  <c r="O2455" i="15"/>
  <c r="P2455" i="15"/>
  <c r="Q2455" i="15"/>
  <c r="T2455" i="15"/>
  <c r="U2455" i="15"/>
  <c r="V2455" i="15"/>
  <c r="W2455" i="15"/>
  <c r="X2455" i="15"/>
  <c r="Y2455" i="15"/>
  <c r="Z2455" i="15"/>
  <c r="AA2455" i="15"/>
  <c r="B2456" i="15"/>
  <c r="C2456" i="15"/>
  <c r="D2456" i="15"/>
  <c r="E2456" i="15"/>
  <c r="J2456" i="15"/>
  <c r="K2456" i="15"/>
  <c r="L2456" i="15"/>
  <c r="M2456" i="15"/>
  <c r="N2456" i="15"/>
  <c r="O2456" i="15"/>
  <c r="P2456" i="15"/>
  <c r="Q2456" i="15"/>
  <c r="T2456" i="15"/>
  <c r="U2456" i="15"/>
  <c r="V2456" i="15"/>
  <c r="W2456" i="15"/>
  <c r="X2456" i="15"/>
  <c r="Y2456" i="15"/>
  <c r="Z2456" i="15"/>
  <c r="AA2456" i="15"/>
  <c r="B2457" i="15"/>
  <c r="C2457" i="15"/>
  <c r="D2457" i="15"/>
  <c r="E2457" i="15"/>
  <c r="J2457" i="15"/>
  <c r="K2457" i="15"/>
  <c r="L2457" i="15"/>
  <c r="M2457" i="15"/>
  <c r="N2457" i="15"/>
  <c r="O2457" i="15"/>
  <c r="P2457" i="15"/>
  <c r="Q2457" i="15"/>
  <c r="T2457" i="15"/>
  <c r="U2457" i="15"/>
  <c r="V2457" i="15"/>
  <c r="W2457" i="15"/>
  <c r="X2457" i="15"/>
  <c r="Y2457" i="15"/>
  <c r="Z2457" i="15"/>
  <c r="AA2457" i="15"/>
  <c r="B2458" i="15"/>
  <c r="C2458" i="15"/>
  <c r="D2458" i="15"/>
  <c r="E2458" i="15"/>
  <c r="J2458" i="15"/>
  <c r="K2458" i="15"/>
  <c r="L2458" i="15"/>
  <c r="M2458" i="15"/>
  <c r="N2458" i="15"/>
  <c r="O2458" i="15"/>
  <c r="P2458" i="15"/>
  <c r="Q2458" i="15"/>
  <c r="T2458" i="15"/>
  <c r="U2458" i="15"/>
  <c r="V2458" i="15"/>
  <c r="W2458" i="15"/>
  <c r="X2458" i="15"/>
  <c r="Y2458" i="15"/>
  <c r="Z2458" i="15"/>
  <c r="AA2458" i="15"/>
  <c r="B2459" i="15"/>
  <c r="C2459" i="15"/>
  <c r="D2459" i="15"/>
  <c r="E2459" i="15"/>
  <c r="J2459" i="15"/>
  <c r="K2459" i="15"/>
  <c r="L2459" i="15"/>
  <c r="M2459" i="15"/>
  <c r="N2459" i="15"/>
  <c r="O2459" i="15"/>
  <c r="P2459" i="15"/>
  <c r="Q2459" i="15"/>
  <c r="T2459" i="15"/>
  <c r="U2459" i="15"/>
  <c r="V2459" i="15"/>
  <c r="W2459" i="15"/>
  <c r="X2459" i="15"/>
  <c r="Y2459" i="15"/>
  <c r="Z2459" i="15"/>
  <c r="AA2459" i="15"/>
  <c r="B2460" i="15"/>
  <c r="C2460" i="15"/>
  <c r="D2460" i="15"/>
  <c r="E2460" i="15"/>
  <c r="J2460" i="15"/>
  <c r="K2460" i="15"/>
  <c r="L2460" i="15"/>
  <c r="M2460" i="15"/>
  <c r="N2460" i="15"/>
  <c r="O2460" i="15"/>
  <c r="P2460" i="15"/>
  <c r="Q2460" i="15"/>
  <c r="T2460" i="15"/>
  <c r="U2460" i="15"/>
  <c r="V2460" i="15"/>
  <c r="W2460" i="15"/>
  <c r="X2460" i="15"/>
  <c r="Y2460" i="15"/>
  <c r="Z2460" i="15"/>
  <c r="AA2460" i="15"/>
  <c r="B2461" i="15"/>
  <c r="C2461" i="15"/>
  <c r="D2461" i="15"/>
  <c r="E2461" i="15"/>
  <c r="J2461" i="15"/>
  <c r="K2461" i="15"/>
  <c r="L2461" i="15"/>
  <c r="M2461" i="15"/>
  <c r="N2461" i="15"/>
  <c r="O2461" i="15"/>
  <c r="P2461" i="15"/>
  <c r="Q2461" i="15"/>
  <c r="T2461" i="15"/>
  <c r="U2461" i="15"/>
  <c r="V2461" i="15"/>
  <c r="W2461" i="15"/>
  <c r="X2461" i="15"/>
  <c r="Y2461" i="15"/>
  <c r="Z2461" i="15"/>
  <c r="AA2461" i="15"/>
  <c r="B2462" i="15"/>
  <c r="C2462" i="15"/>
  <c r="D2462" i="15"/>
  <c r="E2462" i="15"/>
  <c r="J2462" i="15"/>
  <c r="K2462" i="15"/>
  <c r="L2462" i="15"/>
  <c r="M2462" i="15"/>
  <c r="N2462" i="15"/>
  <c r="O2462" i="15"/>
  <c r="P2462" i="15"/>
  <c r="Q2462" i="15"/>
  <c r="T2462" i="15"/>
  <c r="U2462" i="15"/>
  <c r="V2462" i="15"/>
  <c r="W2462" i="15"/>
  <c r="X2462" i="15"/>
  <c r="Y2462" i="15"/>
  <c r="Z2462" i="15"/>
  <c r="AA2462" i="15"/>
  <c r="B2463" i="15"/>
  <c r="C2463" i="15"/>
  <c r="D2463" i="15"/>
  <c r="E2463" i="15"/>
  <c r="J2463" i="15"/>
  <c r="K2463" i="15"/>
  <c r="L2463" i="15"/>
  <c r="M2463" i="15"/>
  <c r="N2463" i="15"/>
  <c r="O2463" i="15"/>
  <c r="P2463" i="15"/>
  <c r="Q2463" i="15"/>
  <c r="T2463" i="15"/>
  <c r="U2463" i="15"/>
  <c r="V2463" i="15"/>
  <c r="W2463" i="15"/>
  <c r="X2463" i="15"/>
  <c r="Y2463" i="15"/>
  <c r="Z2463" i="15"/>
  <c r="AA2463" i="15"/>
  <c r="B2464" i="15"/>
  <c r="C2464" i="15"/>
  <c r="D2464" i="15"/>
  <c r="E2464" i="15"/>
  <c r="J2464" i="15"/>
  <c r="K2464" i="15"/>
  <c r="L2464" i="15"/>
  <c r="M2464" i="15"/>
  <c r="N2464" i="15"/>
  <c r="O2464" i="15"/>
  <c r="P2464" i="15"/>
  <c r="Q2464" i="15"/>
  <c r="T2464" i="15"/>
  <c r="U2464" i="15"/>
  <c r="V2464" i="15"/>
  <c r="W2464" i="15"/>
  <c r="X2464" i="15"/>
  <c r="Y2464" i="15"/>
  <c r="Z2464" i="15"/>
  <c r="AA2464" i="15"/>
  <c r="B2465" i="15"/>
  <c r="C2465" i="15"/>
  <c r="D2465" i="15"/>
  <c r="E2465" i="15"/>
  <c r="J2465" i="15"/>
  <c r="K2465" i="15"/>
  <c r="L2465" i="15"/>
  <c r="M2465" i="15"/>
  <c r="N2465" i="15"/>
  <c r="O2465" i="15"/>
  <c r="P2465" i="15"/>
  <c r="Q2465" i="15"/>
  <c r="T2465" i="15"/>
  <c r="U2465" i="15"/>
  <c r="V2465" i="15"/>
  <c r="W2465" i="15"/>
  <c r="X2465" i="15"/>
  <c r="Y2465" i="15"/>
  <c r="Z2465" i="15"/>
  <c r="AA2465" i="15"/>
  <c r="B2466" i="15"/>
  <c r="C2466" i="15"/>
  <c r="D2466" i="15"/>
  <c r="E2466" i="15"/>
  <c r="J2466" i="15"/>
  <c r="K2466" i="15"/>
  <c r="L2466" i="15"/>
  <c r="M2466" i="15"/>
  <c r="N2466" i="15"/>
  <c r="O2466" i="15"/>
  <c r="P2466" i="15"/>
  <c r="Q2466" i="15"/>
  <c r="T2466" i="15"/>
  <c r="U2466" i="15"/>
  <c r="V2466" i="15"/>
  <c r="W2466" i="15"/>
  <c r="X2466" i="15"/>
  <c r="Y2466" i="15"/>
  <c r="Z2466" i="15"/>
  <c r="AA2466" i="15"/>
  <c r="B2467" i="15"/>
  <c r="C2467" i="15"/>
  <c r="D2467" i="15"/>
  <c r="E2467" i="15"/>
  <c r="J2467" i="15"/>
  <c r="K2467" i="15"/>
  <c r="L2467" i="15"/>
  <c r="M2467" i="15"/>
  <c r="N2467" i="15"/>
  <c r="O2467" i="15"/>
  <c r="P2467" i="15"/>
  <c r="Q2467" i="15"/>
  <c r="T2467" i="15"/>
  <c r="U2467" i="15"/>
  <c r="V2467" i="15"/>
  <c r="W2467" i="15"/>
  <c r="X2467" i="15"/>
  <c r="Y2467" i="15"/>
  <c r="Z2467" i="15"/>
  <c r="AA2467" i="15"/>
  <c r="B2468" i="15"/>
  <c r="C2468" i="15"/>
  <c r="D2468" i="15"/>
  <c r="E2468" i="15"/>
  <c r="J2468" i="15"/>
  <c r="K2468" i="15"/>
  <c r="L2468" i="15"/>
  <c r="M2468" i="15"/>
  <c r="N2468" i="15"/>
  <c r="O2468" i="15"/>
  <c r="P2468" i="15"/>
  <c r="Q2468" i="15"/>
  <c r="T2468" i="15"/>
  <c r="U2468" i="15"/>
  <c r="V2468" i="15"/>
  <c r="W2468" i="15"/>
  <c r="X2468" i="15"/>
  <c r="Y2468" i="15"/>
  <c r="Z2468" i="15"/>
  <c r="AA2468" i="15"/>
  <c r="B2469" i="15"/>
  <c r="C2469" i="15"/>
  <c r="D2469" i="15"/>
  <c r="E2469" i="15"/>
  <c r="J2469" i="15"/>
  <c r="K2469" i="15"/>
  <c r="L2469" i="15"/>
  <c r="M2469" i="15"/>
  <c r="N2469" i="15"/>
  <c r="O2469" i="15"/>
  <c r="P2469" i="15"/>
  <c r="Q2469" i="15"/>
  <c r="T2469" i="15"/>
  <c r="U2469" i="15"/>
  <c r="V2469" i="15"/>
  <c r="W2469" i="15"/>
  <c r="X2469" i="15"/>
  <c r="Y2469" i="15"/>
  <c r="Z2469" i="15"/>
  <c r="AA2469" i="15"/>
  <c r="B2470" i="15"/>
  <c r="C2470" i="15"/>
  <c r="D2470" i="15"/>
  <c r="E2470" i="15"/>
  <c r="J2470" i="15"/>
  <c r="K2470" i="15"/>
  <c r="L2470" i="15"/>
  <c r="M2470" i="15"/>
  <c r="N2470" i="15"/>
  <c r="O2470" i="15"/>
  <c r="P2470" i="15"/>
  <c r="Q2470" i="15"/>
  <c r="T2470" i="15"/>
  <c r="U2470" i="15"/>
  <c r="V2470" i="15"/>
  <c r="W2470" i="15"/>
  <c r="X2470" i="15"/>
  <c r="Y2470" i="15"/>
  <c r="Z2470" i="15"/>
  <c r="AA2470" i="15"/>
  <c r="B2471" i="15"/>
  <c r="C2471" i="15"/>
  <c r="D2471" i="15"/>
  <c r="E2471" i="15"/>
  <c r="J2471" i="15"/>
  <c r="K2471" i="15"/>
  <c r="L2471" i="15"/>
  <c r="M2471" i="15"/>
  <c r="N2471" i="15"/>
  <c r="O2471" i="15"/>
  <c r="P2471" i="15"/>
  <c r="Q2471" i="15"/>
  <c r="T2471" i="15"/>
  <c r="U2471" i="15"/>
  <c r="V2471" i="15"/>
  <c r="W2471" i="15"/>
  <c r="X2471" i="15"/>
  <c r="Y2471" i="15"/>
  <c r="Z2471" i="15"/>
  <c r="AA2471" i="15"/>
  <c r="B2472" i="15"/>
  <c r="C2472" i="15"/>
  <c r="D2472" i="15"/>
  <c r="E2472" i="15"/>
  <c r="J2472" i="15"/>
  <c r="K2472" i="15"/>
  <c r="L2472" i="15"/>
  <c r="M2472" i="15"/>
  <c r="N2472" i="15"/>
  <c r="O2472" i="15"/>
  <c r="P2472" i="15"/>
  <c r="Q2472" i="15"/>
  <c r="T2472" i="15"/>
  <c r="U2472" i="15"/>
  <c r="V2472" i="15"/>
  <c r="W2472" i="15"/>
  <c r="X2472" i="15"/>
  <c r="Y2472" i="15"/>
  <c r="Z2472" i="15"/>
  <c r="AA2472" i="15"/>
  <c r="B2473" i="15"/>
  <c r="C2473" i="15"/>
  <c r="D2473" i="15"/>
  <c r="E2473" i="15"/>
  <c r="J2473" i="15"/>
  <c r="K2473" i="15"/>
  <c r="L2473" i="15"/>
  <c r="M2473" i="15"/>
  <c r="N2473" i="15"/>
  <c r="O2473" i="15"/>
  <c r="P2473" i="15"/>
  <c r="Q2473" i="15"/>
  <c r="T2473" i="15"/>
  <c r="U2473" i="15"/>
  <c r="V2473" i="15"/>
  <c r="W2473" i="15"/>
  <c r="X2473" i="15"/>
  <c r="Y2473" i="15"/>
  <c r="Z2473" i="15"/>
  <c r="AA2473" i="15"/>
  <c r="B2474" i="15"/>
  <c r="C2474" i="15"/>
  <c r="D2474" i="15"/>
  <c r="E2474" i="15"/>
  <c r="J2474" i="15"/>
  <c r="K2474" i="15"/>
  <c r="L2474" i="15"/>
  <c r="M2474" i="15"/>
  <c r="N2474" i="15"/>
  <c r="O2474" i="15"/>
  <c r="P2474" i="15"/>
  <c r="Q2474" i="15"/>
  <c r="T2474" i="15"/>
  <c r="U2474" i="15"/>
  <c r="V2474" i="15"/>
  <c r="W2474" i="15"/>
  <c r="X2474" i="15"/>
  <c r="Y2474" i="15"/>
  <c r="Z2474" i="15"/>
  <c r="AA2474" i="15"/>
  <c r="B2475" i="15"/>
  <c r="C2475" i="15"/>
  <c r="D2475" i="15"/>
  <c r="E2475" i="15"/>
  <c r="J2475" i="15"/>
  <c r="K2475" i="15"/>
  <c r="L2475" i="15"/>
  <c r="M2475" i="15"/>
  <c r="N2475" i="15"/>
  <c r="O2475" i="15"/>
  <c r="P2475" i="15"/>
  <c r="Q2475" i="15"/>
  <c r="T2475" i="15"/>
  <c r="U2475" i="15"/>
  <c r="V2475" i="15"/>
  <c r="W2475" i="15"/>
  <c r="X2475" i="15"/>
  <c r="Y2475" i="15"/>
  <c r="Z2475" i="15"/>
  <c r="AA2475" i="15"/>
  <c r="B2476" i="15"/>
  <c r="C2476" i="15"/>
  <c r="D2476" i="15"/>
  <c r="E2476" i="15"/>
  <c r="J2476" i="15"/>
  <c r="K2476" i="15"/>
  <c r="L2476" i="15"/>
  <c r="M2476" i="15"/>
  <c r="N2476" i="15"/>
  <c r="O2476" i="15"/>
  <c r="P2476" i="15"/>
  <c r="Q2476" i="15"/>
  <c r="T2476" i="15"/>
  <c r="U2476" i="15"/>
  <c r="V2476" i="15"/>
  <c r="W2476" i="15"/>
  <c r="X2476" i="15"/>
  <c r="Y2476" i="15"/>
  <c r="Z2476" i="15"/>
  <c r="AA2476" i="15"/>
  <c r="B2477" i="15"/>
  <c r="C2477" i="15"/>
  <c r="D2477" i="15"/>
  <c r="E2477" i="15"/>
  <c r="J2477" i="15"/>
  <c r="K2477" i="15"/>
  <c r="L2477" i="15"/>
  <c r="M2477" i="15"/>
  <c r="N2477" i="15"/>
  <c r="O2477" i="15"/>
  <c r="P2477" i="15"/>
  <c r="Q2477" i="15"/>
  <c r="T2477" i="15"/>
  <c r="U2477" i="15"/>
  <c r="V2477" i="15"/>
  <c r="W2477" i="15"/>
  <c r="X2477" i="15"/>
  <c r="Y2477" i="15"/>
  <c r="Z2477" i="15"/>
  <c r="AA2477" i="15"/>
  <c r="B2478" i="15"/>
  <c r="C2478" i="15"/>
  <c r="D2478" i="15"/>
  <c r="E2478" i="15"/>
  <c r="J2478" i="15"/>
  <c r="K2478" i="15"/>
  <c r="L2478" i="15"/>
  <c r="M2478" i="15"/>
  <c r="N2478" i="15"/>
  <c r="O2478" i="15"/>
  <c r="P2478" i="15"/>
  <c r="Q2478" i="15"/>
  <c r="T2478" i="15"/>
  <c r="U2478" i="15"/>
  <c r="V2478" i="15"/>
  <c r="W2478" i="15"/>
  <c r="X2478" i="15"/>
  <c r="Y2478" i="15"/>
  <c r="Z2478" i="15"/>
  <c r="AA2478" i="15"/>
  <c r="B2479" i="15"/>
  <c r="C2479" i="15"/>
  <c r="D2479" i="15"/>
  <c r="E2479" i="15"/>
  <c r="J2479" i="15"/>
  <c r="K2479" i="15"/>
  <c r="L2479" i="15"/>
  <c r="M2479" i="15"/>
  <c r="N2479" i="15"/>
  <c r="O2479" i="15"/>
  <c r="P2479" i="15"/>
  <c r="Q2479" i="15"/>
  <c r="T2479" i="15"/>
  <c r="U2479" i="15"/>
  <c r="V2479" i="15"/>
  <c r="W2479" i="15"/>
  <c r="X2479" i="15"/>
  <c r="Y2479" i="15"/>
  <c r="Z2479" i="15"/>
  <c r="AA2479" i="15"/>
  <c r="B2480" i="15"/>
  <c r="C2480" i="15"/>
  <c r="D2480" i="15"/>
  <c r="E2480" i="15"/>
  <c r="J2480" i="15"/>
  <c r="K2480" i="15"/>
  <c r="L2480" i="15"/>
  <c r="M2480" i="15"/>
  <c r="N2480" i="15"/>
  <c r="O2480" i="15"/>
  <c r="P2480" i="15"/>
  <c r="Q2480" i="15"/>
  <c r="T2480" i="15"/>
  <c r="U2480" i="15"/>
  <c r="V2480" i="15"/>
  <c r="W2480" i="15"/>
  <c r="X2480" i="15"/>
  <c r="Y2480" i="15"/>
  <c r="Z2480" i="15"/>
  <c r="AA2480" i="15"/>
  <c r="B2481" i="15"/>
  <c r="C2481" i="15"/>
  <c r="D2481" i="15"/>
  <c r="E2481" i="15"/>
  <c r="J2481" i="15"/>
  <c r="K2481" i="15"/>
  <c r="L2481" i="15"/>
  <c r="M2481" i="15"/>
  <c r="N2481" i="15"/>
  <c r="O2481" i="15"/>
  <c r="P2481" i="15"/>
  <c r="Q2481" i="15"/>
  <c r="T2481" i="15"/>
  <c r="U2481" i="15"/>
  <c r="V2481" i="15"/>
  <c r="W2481" i="15"/>
  <c r="X2481" i="15"/>
  <c r="Y2481" i="15"/>
  <c r="Z2481" i="15"/>
  <c r="AA2481" i="15"/>
  <c r="B2482" i="15"/>
  <c r="C2482" i="15"/>
  <c r="D2482" i="15"/>
  <c r="E2482" i="15"/>
  <c r="J2482" i="15"/>
  <c r="K2482" i="15"/>
  <c r="L2482" i="15"/>
  <c r="M2482" i="15"/>
  <c r="N2482" i="15"/>
  <c r="O2482" i="15"/>
  <c r="P2482" i="15"/>
  <c r="Q2482" i="15"/>
  <c r="T2482" i="15"/>
  <c r="U2482" i="15"/>
  <c r="V2482" i="15"/>
  <c r="W2482" i="15"/>
  <c r="X2482" i="15"/>
  <c r="Y2482" i="15"/>
  <c r="Z2482" i="15"/>
  <c r="AA2482" i="15"/>
  <c r="B2483" i="15"/>
  <c r="C2483" i="15"/>
  <c r="D2483" i="15"/>
  <c r="E2483" i="15"/>
  <c r="J2483" i="15"/>
  <c r="K2483" i="15"/>
  <c r="L2483" i="15"/>
  <c r="M2483" i="15"/>
  <c r="N2483" i="15"/>
  <c r="O2483" i="15"/>
  <c r="P2483" i="15"/>
  <c r="Q2483" i="15"/>
  <c r="T2483" i="15"/>
  <c r="U2483" i="15"/>
  <c r="V2483" i="15"/>
  <c r="W2483" i="15"/>
  <c r="X2483" i="15"/>
  <c r="Y2483" i="15"/>
  <c r="Z2483" i="15"/>
  <c r="AA2483" i="15"/>
  <c r="B2484" i="15"/>
  <c r="C2484" i="15"/>
  <c r="D2484" i="15"/>
  <c r="E2484" i="15"/>
  <c r="J2484" i="15"/>
  <c r="K2484" i="15"/>
  <c r="L2484" i="15"/>
  <c r="M2484" i="15"/>
  <c r="N2484" i="15"/>
  <c r="O2484" i="15"/>
  <c r="P2484" i="15"/>
  <c r="Q2484" i="15"/>
  <c r="T2484" i="15"/>
  <c r="U2484" i="15"/>
  <c r="V2484" i="15"/>
  <c r="W2484" i="15"/>
  <c r="X2484" i="15"/>
  <c r="Y2484" i="15"/>
  <c r="Z2484" i="15"/>
  <c r="AA2484" i="15"/>
  <c r="B2485" i="15"/>
  <c r="C2485" i="15"/>
  <c r="D2485" i="15"/>
  <c r="E2485" i="15"/>
  <c r="J2485" i="15"/>
  <c r="K2485" i="15"/>
  <c r="L2485" i="15"/>
  <c r="M2485" i="15"/>
  <c r="N2485" i="15"/>
  <c r="O2485" i="15"/>
  <c r="P2485" i="15"/>
  <c r="Q2485" i="15"/>
  <c r="T2485" i="15"/>
  <c r="U2485" i="15"/>
  <c r="V2485" i="15"/>
  <c r="W2485" i="15"/>
  <c r="X2485" i="15"/>
  <c r="Y2485" i="15"/>
  <c r="Z2485" i="15"/>
  <c r="AA2485" i="15"/>
  <c r="B2486" i="15"/>
  <c r="C2486" i="15"/>
  <c r="D2486" i="15"/>
  <c r="E2486" i="15"/>
  <c r="J2486" i="15"/>
  <c r="K2486" i="15"/>
  <c r="L2486" i="15"/>
  <c r="M2486" i="15"/>
  <c r="N2486" i="15"/>
  <c r="O2486" i="15"/>
  <c r="P2486" i="15"/>
  <c r="Q2486" i="15"/>
  <c r="T2486" i="15"/>
  <c r="U2486" i="15"/>
  <c r="V2486" i="15"/>
  <c r="W2486" i="15"/>
  <c r="X2486" i="15"/>
  <c r="Y2486" i="15"/>
  <c r="Z2486" i="15"/>
  <c r="AA2486" i="15"/>
  <c r="B2487" i="15"/>
  <c r="C2487" i="15"/>
  <c r="D2487" i="15"/>
  <c r="E2487" i="15"/>
  <c r="J2487" i="15"/>
  <c r="K2487" i="15"/>
  <c r="L2487" i="15"/>
  <c r="M2487" i="15"/>
  <c r="N2487" i="15"/>
  <c r="O2487" i="15"/>
  <c r="P2487" i="15"/>
  <c r="Q2487" i="15"/>
  <c r="T2487" i="15"/>
  <c r="U2487" i="15"/>
  <c r="V2487" i="15"/>
  <c r="W2487" i="15"/>
  <c r="X2487" i="15"/>
  <c r="Y2487" i="15"/>
  <c r="Z2487" i="15"/>
  <c r="AA2487" i="15"/>
  <c r="B2488" i="15"/>
  <c r="C2488" i="15"/>
  <c r="D2488" i="15"/>
  <c r="E2488" i="15"/>
  <c r="J2488" i="15"/>
  <c r="K2488" i="15"/>
  <c r="L2488" i="15"/>
  <c r="M2488" i="15"/>
  <c r="N2488" i="15"/>
  <c r="O2488" i="15"/>
  <c r="P2488" i="15"/>
  <c r="Q2488" i="15"/>
  <c r="T2488" i="15"/>
  <c r="U2488" i="15"/>
  <c r="V2488" i="15"/>
  <c r="W2488" i="15"/>
  <c r="X2488" i="15"/>
  <c r="Y2488" i="15"/>
  <c r="Z2488" i="15"/>
  <c r="AA2488" i="15"/>
  <c r="B2489" i="15"/>
  <c r="C2489" i="15"/>
  <c r="D2489" i="15"/>
  <c r="E2489" i="15"/>
  <c r="J2489" i="15"/>
  <c r="K2489" i="15"/>
  <c r="L2489" i="15"/>
  <c r="M2489" i="15"/>
  <c r="N2489" i="15"/>
  <c r="O2489" i="15"/>
  <c r="P2489" i="15"/>
  <c r="Q2489" i="15"/>
  <c r="T2489" i="15"/>
  <c r="U2489" i="15"/>
  <c r="V2489" i="15"/>
  <c r="W2489" i="15"/>
  <c r="X2489" i="15"/>
  <c r="Y2489" i="15"/>
  <c r="Z2489" i="15"/>
  <c r="AA2489" i="15"/>
  <c r="B2490" i="15"/>
  <c r="C2490" i="15"/>
  <c r="D2490" i="15"/>
  <c r="E2490" i="15"/>
  <c r="J2490" i="15"/>
  <c r="K2490" i="15"/>
  <c r="L2490" i="15"/>
  <c r="M2490" i="15"/>
  <c r="N2490" i="15"/>
  <c r="O2490" i="15"/>
  <c r="P2490" i="15"/>
  <c r="Q2490" i="15"/>
  <c r="T2490" i="15"/>
  <c r="U2490" i="15"/>
  <c r="V2490" i="15"/>
  <c r="W2490" i="15"/>
  <c r="X2490" i="15"/>
  <c r="Y2490" i="15"/>
  <c r="Z2490" i="15"/>
  <c r="AA2490" i="15"/>
  <c r="B2491" i="15"/>
  <c r="C2491" i="15"/>
  <c r="D2491" i="15"/>
  <c r="E2491" i="15"/>
  <c r="J2491" i="15"/>
  <c r="K2491" i="15"/>
  <c r="L2491" i="15"/>
  <c r="M2491" i="15"/>
  <c r="N2491" i="15"/>
  <c r="O2491" i="15"/>
  <c r="P2491" i="15"/>
  <c r="Q2491" i="15"/>
  <c r="T2491" i="15"/>
  <c r="U2491" i="15"/>
  <c r="V2491" i="15"/>
  <c r="W2491" i="15"/>
  <c r="X2491" i="15"/>
  <c r="Y2491" i="15"/>
  <c r="Z2491" i="15"/>
  <c r="AA2491" i="15"/>
  <c r="B2492" i="15"/>
  <c r="C2492" i="15"/>
  <c r="D2492" i="15"/>
  <c r="E2492" i="15"/>
  <c r="J2492" i="15"/>
  <c r="K2492" i="15"/>
  <c r="L2492" i="15"/>
  <c r="M2492" i="15"/>
  <c r="N2492" i="15"/>
  <c r="O2492" i="15"/>
  <c r="P2492" i="15"/>
  <c r="Q2492" i="15"/>
  <c r="T2492" i="15"/>
  <c r="U2492" i="15"/>
  <c r="V2492" i="15"/>
  <c r="W2492" i="15"/>
  <c r="X2492" i="15"/>
  <c r="Y2492" i="15"/>
  <c r="Z2492" i="15"/>
  <c r="AA2492" i="15"/>
  <c r="B2493" i="15"/>
  <c r="C2493" i="15"/>
  <c r="D2493" i="15"/>
  <c r="E2493" i="15"/>
  <c r="J2493" i="15"/>
  <c r="K2493" i="15"/>
  <c r="L2493" i="15"/>
  <c r="M2493" i="15"/>
  <c r="N2493" i="15"/>
  <c r="O2493" i="15"/>
  <c r="P2493" i="15"/>
  <c r="Q2493" i="15"/>
  <c r="T2493" i="15"/>
  <c r="U2493" i="15"/>
  <c r="V2493" i="15"/>
  <c r="W2493" i="15"/>
  <c r="X2493" i="15"/>
  <c r="Y2493" i="15"/>
  <c r="Z2493" i="15"/>
  <c r="AA2493" i="15"/>
  <c r="B2494" i="15"/>
  <c r="C2494" i="15"/>
  <c r="D2494" i="15"/>
  <c r="E2494" i="15"/>
  <c r="J2494" i="15"/>
  <c r="K2494" i="15"/>
  <c r="L2494" i="15"/>
  <c r="M2494" i="15"/>
  <c r="N2494" i="15"/>
  <c r="O2494" i="15"/>
  <c r="P2494" i="15"/>
  <c r="Q2494" i="15"/>
  <c r="T2494" i="15"/>
  <c r="U2494" i="15"/>
  <c r="V2494" i="15"/>
  <c r="W2494" i="15"/>
  <c r="X2494" i="15"/>
  <c r="Y2494" i="15"/>
  <c r="Z2494" i="15"/>
  <c r="AA2494" i="15"/>
  <c r="B2495" i="15"/>
  <c r="C2495" i="15"/>
  <c r="D2495" i="15"/>
  <c r="E2495" i="15"/>
  <c r="J2495" i="15"/>
  <c r="K2495" i="15"/>
  <c r="L2495" i="15"/>
  <c r="M2495" i="15"/>
  <c r="N2495" i="15"/>
  <c r="O2495" i="15"/>
  <c r="P2495" i="15"/>
  <c r="Q2495" i="15"/>
  <c r="T2495" i="15"/>
  <c r="U2495" i="15"/>
  <c r="V2495" i="15"/>
  <c r="W2495" i="15"/>
  <c r="X2495" i="15"/>
  <c r="Y2495" i="15"/>
  <c r="Z2495" i="15"/>
  <c r="AA2495" i="15"/>
  <c r="B2496" i="15"/>
  <c r="C2496" i="15"/>
  <c r="D2496" i="15"/>
  <c r="E2496" i="15"/>
  <c r="J2496" i="15"/>
  <c r="K2496" i="15"/>
  <c r="L2496" i="15"/>
  <c r="M2496" i="15"/>
  <c r="N2496" i="15"/>
  <c r="O2496" i="15"/>
  <c r="P2496" i="15"/>
  <c r="Q2496" i="15"/>
  <c r="T2496" i="15"/>
  <c r="U2496" i="15"/>
  <c r="V2496" i="15"/>
  <c r="W2496" i="15"/>
  <c r="X2496" i="15"/>
  <c r="Y2496" i="15"/>
  <c r="Z2496" i="15"/>
  <c r="AA2496" i="15"/>
  <c r="B2497" i="15"/>
  <c r="C2497" i="15"/>
  <c r="D2497" i="15"/>
  <c r="E2497" i="15"/>
  <c r="J2497" i="15"/>
  <c r="K2497" i="15"/>
  <c r="L2497" i="15"/>
  <c r="M2497" i="15"/>
  <c r="N2497" i="15"/>
  <c r="O2497" i="15"/>
  <c r="P2497" i="15"/>
  <c r="Q2497" i="15"/>
  <c r="T2497" i="15"/>
  <c r="U2497" i="15"/>
  <c r="V2497" i="15"/>
  <c r="W2497" i="15"/>
  <c r="X2497" i="15"/>
  <c r="Y2497" i="15"/>
  <c r="Z2497" i="15"/>
  <c r="AA2497" i="15"/>
  <c r="B2498" i="15"/>
  <c r="C2498" i="15"/>
  <c r="D2498" i="15"/>
  <c r="E2498" i="15"/>
  <c r="J2498" i="15"/>
  <c r="K2498" i="15"/>
  <c r="L2498" i="15"/>
  <c r="M2498" i="15"/>
  <c r="N2498" i="15"/>
  <c r="O2498" i="15"/>
  <c r="P2498" i="15"/>
  <c r="Q2498" i="15"/>
  <c r="T2498" i="15"/>
  <c r="U2498" i="15"/>
  <c r="V2498" i="15"/>
  <c r="W2498" i="15"/>
  <c r="X2498" i="15"/>
  <c r="Y2498" i="15"/>
  <c r="Z2498" i="15"/>
  <c r="AA2498" i="15"/>
  <c r="B2499" i="15"/>
  <c r="C2499" i="15"/>
  <c r="D2499" i="15"/>
  <c r="E2499" i="15"/>
  <c r="J2499" i="15"/>
  <c r="K2499" i="15"/>
  <c r="L2499" i="15"/>
  <c r="M2499" i="15"/>
  <c r="N2499" i="15"/>
  <c r="O2499" i="15"/>
  <c r="P2499" i="15"/>
  <c r="Q2499" i="15"/>
  <c r="T2499" i="15"/>
  <c r="U2499" i="15"/>
  <c r="V2499" i="15"/>
  <c r="W2499" i="15"/>
  <c r="X2499" i="15"/>
  <c r="Y2499" i="15"/>
  <c r="Z2499" i="15"/>
  <c r="AA2499" i="15"/>
  <c r="B2500" i="15"/>
  <c r="C2500" i="15"/>
  <c r="D2500" i="15"/>
  <c r="E2500" i="15"/>
  <c r="J2500" i="15"/>
  <c r="K2500" i="15"/>
  <c r="L2500" i="15"/>
  <c r="M2500" i="15"/>
  <c r="N2500" i="15"/>
  <c r="O2500" i="15"/>
  <c r="P2500" i="15"/>
  <c r="Q2500" i="15"/>
  <c r="T2500" i="15"/>
  <c r="U2500" i="15"/>
  <c r="V2500" i="15"/>
  <c r="W2500" i="15"/>
  <c r="X2500" i="15"/>
  <c r="Y2500" i="15"/>
  <c r="Z2500" i="15"/>
  <c r="AA2500" i="15"/>
  <c r="B2501" i="15"/>
  <c r="C2501" i="15"/>
  <c r="D2501" i="15"/>
  <c r="E2501" i="15"/>
  <c r="J2501" i="15"/>
  <c r="K2501" i="15"/>
  <c r="L2501" i="15"/>
  <c r="M2501" i="15"/>
  <c r="N2501" i="15"/>
  <c r="O2501" i="15"/>
  <c r="P2501" i="15"/>
  <c r="Q2501" i="15"/>
  <c r="T2501" i="15"/>
  <c r="U2501" i="15"/>
  <c r="V2501" i="15"/>
  <c r="W2501" i="15"/>
  <c r="X2501" i="15"/>
  <c r="Y2501" i="15"/>
  <c r="Z2501" i="15"/>
  <c r="AA2501" i="15"/>
  <c r="B2502" i="15"/>
  <c r="C2502" i="15"/>
  <c r="D2502" i="15"/>
  <c r="E2502" i="15"/>
  <c r="J2502" i="15"/>
  <c r="K2502" i="15"/>
  <c r="L2502" i="15"/>
  <c r="M2502" i="15"/>
  <c r="N2502" i="15"/>
  <c r="O2502" i="15"/>
  <c r="P2502" i="15"/>
  <c r="Q2502" i="15"/>
  <c r="T2502" i="15"/>
  <c r="U2502" i="15"/>
  <c r="V2502" i="15"/>
  <c r="W2502" i="15"/>
  <c r="X2502" i="15"/>
  <c r="Y2502" i="15"/>
  <c r="Z2502" i="15"/>
  <c r="AA2502" i="15"/>
  <c r="B2503" i="15"/>
  <c r="C2503" i="15"/>
  <c r="D2503" i="15"/>
  <c r="E2503" i="15"/>
  <c r="J2503" i="15"/>
  <c r="K2503" i="15"/>
  <c r="L2503" i="15"/>
  <c r="M2503" i="15"/>
  <c r="N2503" i="15"/>
  <c r="O2503" i="15"/>
  <c r="P2503" i="15"/>
  <c r="Q2503" i="15"/>
  <c r="T2503" i="15"/>
  <c r="U2503" i="15"/>
  <c r="V2503" i="15"/>
  <c r="W2503" i="15"/>
  <c r="X2503" i="15"/>
  <c r="Y2503" i="15"/>
  <c r="Z2503" i="15"/>
  <c r="AA2503" i="15"/>
  <c r="B2504" i="15"/>
  <c r="C2504" i="15"/>
  <c r="D2504" i="15"/>
  <c r="E2504" i="15"/>
  <c r="J2504" i="15"/>
  <c r="K2504" i="15"/>
  <c r="L2504" i="15"/>
  <c r="M2504" i="15"/>
  <c r="N2504" i="15"/>
  <c r="O2504" i="15"/>
  <c r="P2504" i="15"/>
  <c r="Q2504" i="15"/>
  <c r="T2504" i="15"/>
  <c r="U2504" i="15"/>
  <c r="V2504" i="15"/>
  <c r="W2504" i="15"/>
  <c r="X2504" i="15"/>
  <c r="Y2504" i="15"/>
  <c r="Z2504" i="15"/>
  <c r="AA2504" i="15"/>
  <c r="B2505" i="15"/>
  <c r="C2505" i="15"/>
  <c r="D2505" i="15"/>
  <c r="E2505" i="15"/>
  <c r="J2505" i="15"/>
  <c r="K2505" i="15"/>
  <c r="L2505" i="15"/>
  <c r="M2505" i="15"/>
  <c r="N2505" i="15"/>
  <c r="O2505" i="15"/>
  <c r="P2505" i="15"/>
  <c r="Q2505" i="15"/>
  <c r="T2505" i="15"/>
  <c r="U2505" i="15"/>
  <c r="V2505" i="15"/>
  <c r="W2505" i="15"/>
  <c r="X2505" i="15"/>
  <c r="Y2505" i="15"/>
  <c r="Z2505" i="15"/>
  <c r="AA2505" i="15"/>
  <c r="B2506" i="15"/>
  <c r="C2506" i="15"/>
  <c r="D2506" i="15"/>
  <c r="E2506" i="15"/>
  <c r="J2506" i="15"/>
  <c r="K2506" i="15"/>
  <c r="L2506" i="15"/>
  <c r="M2506" i="15"/>
  <c r="N2506" i="15"/>
  <c r="O2506" i="15"/>
  <c r="P2506" i="15"/>
  <c r="Q2506" i="15"/>
  <c r="T2506" i="15"/>
  <c r="U2506" i="15"/>
  <c r="V2506" i="15"/>
  <c r="W2506" i="15"/>
  <c r="X2506" i="15"/>
  <c r="Y2506" i="15"/>
  <c r="Z2506" i="15"/>
  <c r="AA2506" i="15"/>
  <c r="B2507" i="15"/>
  <c r="C2507" i="15"/>
  <c r="D2507" i="15"/>
  <c r="E2507" i="15"/>
  <c r="J2507" i="15"/>
  <c r="K2507" i="15"/>
  <c r="L2507" i="15"/>
  <c r="M2507" i="15"/>
  <c r="N2507" i="15"/>
  <c r="O2507" i="15"/>
  <c r="P2507" i="15"/>
  <c r="Q2507" i="15"/>
  <c r="T2507" i="15"/>
  <c r="U2507" i="15"/>
  <c r="V2507" i="15"/>
  <c r="W2507" i="15"/>
  <c r="X2507" i="15"/>
  <c r="Y2507" i="15"/>
  <c r="Z2507" i="15"/>
  <c r="AA2507" i="15"/>
  <c r="B2508" i="15"/>
  <c r="C2508" i="15"/>
  <c r="D2508" i="15"/>
  <c r="E2508" i="15"/>
  <c r="J2508" i="15"/>
  <c r="K2508" i="15"/>
  <c r="L2508" i="15"/>
  <c r="M2508" i="15"/>
  <c r="N2508" i="15"/>
  <c r="O2508" i="15"/>
  <c r="P2508" i="15"/>
  <c r="Q2508" i="15"/>
  <c r="T2508" i="15"/>
  <c r="U2508" i="15"/>
  <c r="V2508" i="15"/>
  <c r="W2508" i="15"/>
  <c r="X2508" i="15"/>
  <c r="Y2508" i="15"/>
  <c r="Z2508" i="15"/>
  <c r="AA2508" i="15"/>
  <c r="B2509" i="15"/>
  <c r="C2509" i="15"/>
  <c r="D2509" i="15"/>
  <c r="E2509" i="15"/>
  <c r="J2509" i="15"/>
  <c r="K2509" i="15"/>
  <c r="L2509" i="15"/>
  <c r="M2509" i="15"/>
  <c r="N2509" i="15"/>
  <c r="O2509" i="15"/>
  <c r="P2509" i="15"/>
  <c r="Q2509" i="15"/>
  <c r="T2509" i="15"/>
  <c r="U2509" i="15"/>
  <c r="V2509" i="15"/>
  <c r="W2509" i="15"/>
  <c r="X2509" i="15"/>
  <c r="Y2509" i="15"/>
  <c r="Z2509" i="15"/>
  <c r="AA2509" i="15"/>
  <c r="B2510" i="15"/>
  <c r="C2510" i="15"/>
  <c r="D2510" i="15"/>
  <c r="E2510" i="15"/>
  <c r="J2510" i="15"/>
  <c r="K2510" i="15"/>
  <c r="L2510" i="15"/>
  <c r="M2510" i="15"/>
  <c r="N2510" i="15"/>
  <c r="O2510" i="15"/>
  <c r="P2510" i="15"/>
  <c r="Q2510" i="15"/>
  <c r="T2510" i="15"/>
  <c r="U2510" i="15"/>
  <c r="V2510" i="15"/>
  <c r="W2510" i="15"/>
  <c r="X2510" i="15"/>
  <c r="Y2510" i="15"/>
  <c r="Z2510" i="15"/>
  <c r="AA2510" i="15"/>
  <c r="B2511" i="15"/>
  <c r="C2511" i="15"/>
  <c r="D2511" i="15"/>
  <c r="E2511" i="15"/>
  <c r="J2511" i="15"/>
  <c r="K2511" i="15"/>
  <c r="L2511" i="15"/>
  <c r="M2511" i="15"/>
  <c r="N2511" i="15"/>
  <c r="O2511" i="15"/>
  <c r="P2511" i="15"/>
  <c r="Q2511" i="15"/>
  <c r="T2511" i="15"/>
  <c r="U2511" i="15"/>
  <c r="V2511" i="15"/>
  <c r="W2511" i="15"/>
  <c r="X2511" i="15"/>
  <c r="Y2511" i="15"/>
  <c r="Z2511" i="15"/>
  <c r="AA2511" i="15"/>
  <c r="B2512" i="15"/>
  <c r="C2512" i="15"/>
  <c r="D2512" i="15"/>
  <c r="E2512" i="15"/>
  <c r="J2512" i="15"/>
  <c r="K2512" i="15"/>
  <c r="L2512" i="15"/>
  <c r="M2512" i="15"/>
  <c r="N2512" i="15"/>
  <c r="O2512" i="15"/>
  <c r="P2512" i="15"/>
  <c r="Q2512" i="15"/>
  <c r="T2512" i="15"/>
  <c r="U2512" i="15"/>
  <c r="V2512" i="15"/>
  <c r="W2512" i="15"/>
  <c r="X2512" i="15"/>
  <c r="Y2512" i="15"/>
  <c r="Z2512" i="15"/>
  <c r="AA2512" i="15"/>
  <c r="B2513" i="15"/>
  <c r="C2513" i="15"/>
  <c r="D2513" i="15"/>
  <c r="E2513" i="15"/>
  <c r="J2513" i="15"/>
  <c r="K2513" i="15"/>
  <c r="L2513" i="15"/>
  <c r="M2513" i="15"/>
  <c r="N2513" i="15"/>
  <c r="O2513" i="15"/>
  <c r="P2513" i="15"/>
  <c r="Q2513" i="15"/>
  <c r="T2513" i="15"/>
  <c r="U2513" i="15"/>
  <c r="V2513" i="15"/>
  <c r="W2513" i="15"/>
  <c r="X2513" i="15"/>
  <c r="Y2513" i="15"/>
  <c r="Z2513" i="15"/>
  <c r="AA2513" i="15"/>
  <c r="B2514" i="15"/>
  <c r="C2514" i="15"/>
  <c r="D2514" i="15"/>
  <c r="E2514" i="15"/>
  <c r="J2514" i="15"/>
  <c r="K2514" i="15"/>
  <c r="L2514" i="15"/>
  <c r="M2514" i="15"/>
  <c r="N2514" i="15"/>
  <c r="O2514" i="15"/>
  <c r="P2514" i="15"/>
  <c r="Q2514" i="15"/>
  <c r="T2514" i="15"/>
  <c r="U2514" i="15"/>
  <c r="V2514" i="15"/>
  <c r="W2514" i="15"/>
  <c r="X2514" i="15"/>
  <c r="Y2514" i="15"/>
  <c r="Z2514" i="15"/>
  <c r="AA2514" i="15"/>
  <c r="B2515" i="15"/>
  <c r="C2515" i="15"/>
  <c r="D2515" i="15"/>
  <c r="E2515" i="15"/>
  <c r="J2515" i="15"/>
  <c r="K2515" i="15"/>
  <c r="L2515" i="15"/>
  <c r="M2515" i="15"/>
  <c r="N2515" i="15"/>
  <c r="O2515" i="15"/>
  <c r="P2515" i="15"/>
  <c r="Q2515" i="15"/>
  <c r="T2515" i="15"/>
  <c r="U2515" i="15"/>
  <c r="V2515" i="15"/>
  <c r="W2515" i="15"/>
  <c r="X2515" i="15"/>
  <c r="Y2515" i="15"/>
  <c r="Z2515" i="15"/>
  <c r="AA2515" i="15"/>
  <c r="B2516" i="15"/>
  <c r="C2516" i="15"/>
  <c r="D2516" i="15"/>
  <c r="E2516" i="15"/>
  <c r="J2516" i="15"/>
  <c r="K2516" i="15"/>
  <c r="L2516" i="15"/>
  <c r="M2516" i="15"/>
  <c r="N2516" i="15"/>
  <c r="O2516" i="15"/>
  <c r="P2516" i="15"/>
  <c r="Q2516" i="15"/>
  <c r="T2516" i="15"/>
  <c r="U2516" i="15"/>
  <c r="V2516" i="15"/>
  <c r="W2516" i="15"/>
  <c r="X2516" i="15"/>
  <c r="Y2516" i="15"/>
  <c r="Z2516" i="15"/>
  <c r="AA2516" i="15"/>
  <c r="B2517" i="15"/>
  <c r="C2517" i="15"/>
  <c r="D2517" i="15"/>
  <c r="E2517" i="15"/>
  <c r="J2517" i="15"/>
  <c r="K2517" i="15"/>
  <c r="L2517" i="15"/>
  <c r="M2517" i="15"/>
  <c r="N2517" i="15"/>
  <c r="O2517" i="15"/>
  <c r="P2517" i="15"/>
  <c r="Q2517" i="15"/>
  <c r="T2517" i="15"/>
  <c r="U2517" i="15"/>
  <c r="V2517" i="15"/>
  <c r="W2517" i="15"/>
  <c r="X2517" i="15"/>
  <c r="Y2517" i="15"/>
  <c r="Z2517" i="15"/>
  <c r="AA2517" i="15"/>
  <c r="B2518" i="15"/>
  <c r="C2518" i="15"/>
  <c r="D2518" i="15"/>
  <c r="E2518" i="15"/>
  <c r="J2518" i="15"/>
  <c r="K2518" i="15"/>
  <c r="L2518" i="15"/>
  <c r="M2518" i="15"/>
  <c r="N2518" i="15"/>
  <c r="O2518" i="15"/>
  <c r="P2518" i="15"/>
  <c r="Q2518" i="15"/>
  <c r="T2518" i="15"/>
  <c r="U2518" i="15"/>
  <c r="V2518" i="15"/>
  <c r="W2518" i="15"/>
  <c r="X2518" i="15"/>
  <c r="Y2518" i="15"/>
  <c r="Z2518" i="15"/>
  <c r="AA2518" i="15"/>
  <c r="B2519" i="15"/>
  <c r="C2519" i="15"/>
  <c r="D2519" i="15"/>
  <c r="E2519" i="15"/>
  <c r="J2519" i="15"/>
  <c r="K2519" i="15"/>
  <c r="L2519" i="15"/>
  <c r="M2519" i="15"/>
  <c r="N2519" i="15"/>
  <c r="O2519" i="15"/>
  <c r="P2519" i="15"/>
  <c r="Q2519" i="15"/>
  <c r="T2519" i="15"/>
  <c r="U2519" i="15"/>
  <c r="V2519" i="15"/>
  <c r="W2519" i="15"/>
  <c r="X2519" i="15"/>
  <c r="Y2519" i="15"/>
  <c r="Z2519" i="15"/>
  <c r="AA2519" i="15"/>
  <c r="B2520" i="15"/>
  <c r="C2520" i="15"/>
  <c r="D2520" i="15"/>
  <c r="E2520" i="15"/>
  <c r="J2520" i="15"/>
  <c r="K2520" i="15"/>
  <c r="L2520" i="15"/>
  <c r="M2520" i="15"/>
  <c r="N2520" i="15"/>
  <c r="O2520" i="15"/>
  <c r="P2520" i="15"/>
  <c r="Q2520" i="15"/>
  <c r="T2520" i="15"/>
  <c r="U2520" i="15"/>
  <c r="V2520" i="15"/>
  <c r="W2520" i="15"/>
  <c r="X2520" i="15"/>
  <c r="Y2520" i="15"/>
  <c r="Z2520" i="15"/>
  <c r="AA2520" i="15"/>
  <c r="B2521" i="15"/>
  <c r="C2521" i="15"/>
  <c r="D2521" i="15"/>
  <c r="E2521" i="15"/>
  <c r="J2521" i="15"/>
  <c r="K2521" i="15"/>
  <c r="L2521" i="15"/>
  <c r="M2521" i="15"/>
  <c r="N2521" i="15"/>
  <c r="O2521" i="15"/>
  <c r="P2521" i="15"/>
  <c r="Q2521" i="15"/>
  <c r="T2521" i="15"/>
  <c r="U2521" i="15"/>
  <c r="V2521" i="15"/>
  <c r="W2521" i="15"/>
  <c r="X2521" i="15"/>
  <c r="Y2521" i="15"/>
  <c r="Z2521" i="15"/>
  <c r="AA2521" i="15"/>
  <c r="B2522" i="15"/>
  <c r="C2522" i="15"/>
  <c r="D2522" i="15"/>
  <c r="E2522" i="15"/>
  <c r="J2522" i="15"/>
  <c r="K2522" i="15"/>
  <c r="L2522" i="15"/>
  <c r="M2522" i="15"/>
  <c r="N2522" i="15"/>
  <c r="O2522" i="15"/>
  <c r="P2522" i="15"/>
  <c r="Q2522" i="15"/>
  <c r="T2522" i="15"/>
  <c r="U2522" i="15"/>
  <c r="V2522" i="15"/>
  <c r="W2522" i="15"/>
  <c r="X2522" i="15"/>
  <c r="Y2522" i="15"/>
  <c r="Z2522" i="15"/>
  <c r="AA2522" i="15"/>
  <c r="B2523" i="15"/>
  <c r="C2523" i="15"/>
  <c r="D2523" i="15"/>
  <c r="E2523" i="15"/>
  <c r="J2523" i="15"/>
  <c r="K2523" i="15"/>
  <c r="L2523" i="15"/>
  <c r="M2523" i="15"/>
  <c r="N2523" i="15"/>
  <c r="O2523" i="15"/>
  <c r="P2523" i="15"/>
  <c r="Q2523" i="15"/>
  <c r="T2523" i="15"/>
  <c r="U2523" i="15"/>
  <c r="V2523" i="15"/>
  <c r="W2523" i="15"/>
  <c r="X2523" i="15"/>
  <c r="Y2523" i="15"/>
  <c r="Z2523" i="15"/>
  <c r="AA2523" i="15"/>
  <c r="B2524" i="15"/>
  <c r="C2524" i="15"/>
  <c r="D2524" i="15"/>
  <c r="E2524" i="15"/>
  <c r="J2524" i="15"/>
  <c r="K2524" i="15"/>
  <c r="L2524" i="15"/>
  <c r="M2524" i="15"/>
  <c r="N2524" i="15"/>
  <c r="O2524" i="15"/>
  <c r="P2524" i="15"/>
  <c r="Q2524" i="15"/>
  <c r="T2524" i="15"/>
  <c r="U2524" i="15"/>
  <c r="V2524" i="15"/>
  <c r="W2524" i="15"/>
  <c r="X2524" i="15"/>
  <c r="Y2524" i="15"/>
  <c r="Z2524" i="15"/>
  <c r="AA2524" i="15"/>
  <c r="B2525" i="15"/>
  <c r="C2525" i="15"/>
  <c r="D2525" i="15"/>
  <c r="E2525" i="15"/>
  <c r="J2525" i="15"/>
  <c r="K2525" i="15"/>
  <c r="L2525" i="15"/>
  <c r="M2525" i="15"/>
  <c r="N2525" i="15"/>
  <c r="O2525" i="15"/>
  <c r="P2525" i="15"/>
  <c r="Q2525" i="15"/>
  <c r="T2525" i="15"/>
  <c r="U2525" i="15"/>
  <c r="V2525" i="15"/>
  <c r="W2525" i="15"/>
  <c r="X2525" i="15"/>
  <c r="Y2525" i="15"/>
  <c r="Z2525" i="15"/>
  <c r="AA2525" i="15"/>
  <c r="B2526" i="15"/>
  <c r="C2526" i="15"/>
  <c r="D2526" i="15"/>
  <c r="E2526" i="15"/>
  <c r="J2526" i="15"/>
  <c r="K2526" i="15"/>
  <c r="L2526" i="15"/>
  <c r="M2526" i="15"/>
  <c r="N2526" i="15"/>
  <c r="O2526" i="15"/>
  <c r="P2526" i="15"/>
  <c r="Q2526" i="15"/>
  <c r="T2526" i="15"/>
  <c r="U2526" i="15"/>
  <c r="V2526" i="15"/>
  <c r="W2526" i="15"/>
  <c r="X2526" i="15"/>
  <c r="Y2526" i="15"/>
  <c r="Z2526" i="15"/>
  <c r="AA2526" i="15"/>
  <c r="B2527" i="15"/>
  <c r="C2527" i="15"/>
  <c r="D2527" i="15"/>
  <c r="E2527" i="15"/>
  <c r="J2527" i="15"/>
  <c r="K2527" i="15"/>
  <c r="L2527" i="15"/>
  <c r="M2527" i="15"/>
  <c r="N2527" i="15"/>
  <c r="O2527" i="15"/>
  <c r="P2527" i="15"/>
  <c r="Q2527" i="15"/>
  <c r="T2527" i="15"/>
  <c r="U2527" i="15"/>
  <c r="V2527" i="15"/>
  <c r="W2527" i="15"/>
  <c r="X2527" i="15"/>
  <c r="Y2527" i="15"/>
  <c r="Z2527" i="15"/>
  <c r="AA2527" i="15"/>
  <c r="B2528" i="15"/>
  <c r="C2528" i="15"/>
  <c r="D2528" i="15"/>
  <c r="E2528" i="15"/>
  <c r="J2528" i="15"/>
  <c r="K2528" i="15"/>
  <c r="L2528" i="15"/>
  <c r="M2528" i="15"/>
  <c r="N2528" i="15"/>
  <c r="O2528" i="15"/>
  <c r="P2528" i="15"/>
  <c r="Q2528" i="15"/>
  <c r="T2528" i="15"/>
  <c r="U2528" i="15"/>
  <c r="V2528" i="15"/>
  <c r="W2528" i="15"/>
  <c r="X2528" i="15"/>
  <c r="Y2528" i="15"/>
  <c r="Z2528" i="15"/>
  <c r="AA2528" i="15"/>
  <c r="B2529" i="15"/>
  <c r="C2529" i="15"/>
  <c r="D2529" i="15"/>
  <c r="E2529" i="15"/>
  <c r="J2529" i="15"/>
  <c r="K2529" i="15"/>
  <c r="L2529" i="15"/>
  <c r="M2529" i="15"/>
  <c r="N2529" i="15"/>
  <c r="O2529" i="15"/>
  <c r="P2529" i="15"/>
  <c r="Q2529" i="15"/>
  <c r="T2529" i="15"/>
  <c r="U2529" i="15"/>
  <c r="V2529" i="15"/>
  <c r="W2529" i="15"/>
  <c r="X2529" i="15"/>
  <c r="Y2529" i="15"/>
  <c r="Z2529" i="15"/>
  <c r="AA2529" i="15"/>
  <c r="B2530" i="15"/>
  <c r="C2530" i="15"/>
  <c r="D2530" i="15"/>
  <c r="E2530" i="15"/>
  <c r="J2530" i="15"/>
  <c r="K2530" i="15"/>
  <c r="L2530" i="15"/>
  <c r="M2530" i="15"/>
  <c r="N2530" i="15"/>
  <c r="O2530" i="15"/>
  <c r="P2530" i="15"/>
  <c r="Q2530" i="15"/>
  <c r="T2530" i="15"/>
  <c r="U2530" i="15"/>
  <c r="V2530" i="15"/>
  <c r="W2530" i="15"/>
  <c r="X2530" i="15"/>
  <c r="Y2530" i="15"/>
  <c r="Z2530" i="15"/>
  <c r="AA2530" i="15"/>
  <c r="B2531" i="15"/>
  <c r="C2531" i="15"/>
  <c r="D2531" i="15"/>
  <c r="E2531" i="15"/>
  <c r="J2531" i="15"/>
  <c r="K2531" i="15"/>
  <c r="L2531" i="15"/>
  <c r="M2531" i="15"/>
  <c r="N2531" i="15"/>
  <c r="O2531" i="15"/>
  <c r="P2531" i="15"/>
  <c r="Q2531" i="15"/>
  <c r="T2531" i="15"/>
  <c r="U2531" i="15"/>
  <c r="V2531" i="15"/>
  <c r="W2531" i="15"/>
  <c r="X2531" i="15"/>
  <c r="Y2531" i="15"/>
  <c r="Z2531" i="15"/>
  <c r="AA2531" i="15"/>
  <c r="B2532" i="15"/>
  <c r="C2532" i="15"/>
  <c r="D2532" i="15"/>
  <c r="E2532" i="15"/>
  <c r="J2532" i="15"/>
  <c r="K2532" i="15"/>
  <c r="L2532" i="15"/>
  <c r="M2532" i="15"/>
  <c r="N2532" i="15"/>
  <c r="O2532" i="15"/>
  <c r="P2532" i="15"/>
  <c r="Q2532" i="15"/>
  <c r="T2532" i="15"/>
  <c r="U2532" i="15"/>
  <c r="V2532" i="15"/>
  <c r="W2532" i="15"/>
  <c r="X2532" i="15"/>
  <c r="Y2532" i="15"/>
  <c r="Z2532" i="15"/>
  <c r="AA2532" i="15"/>
  <c r="B2533" i="15"/>
  <c r="C2533" i="15"/>
  <c r="D2533" i="15"/>
  <c r="E2533" i="15"/>
  <c r="J2533" i="15"/>
  <c r="K2533" i="15"/>
  <c r="L2533" i="15"/>
  <c r="M2533" i="15"/>
  <c r="N2533" i="15"/>
  <c r="O2533" i="15"/>
  <c r="P2533" i="15"/>
  <c r="Q2533" i="15"/>
  <c r="T2533" i="15"/>
  <c r="U2533" i="15"/>
  <c r="V2533" i="15"/>
  <c r="W2533" i="15"/>
  <c r="X2533" i="15"/>
  <c r="Y2533" i="15"/>
  <c r="Z2533" i="15"/>
  <c r="AA2533" i="15"/>
  <c r="B2534" i="15"/>
  <c r="C2534" i="15"/>
  <c r="D2534" i="15"/>
  <c r="E2534" i="15"/>
  <c r="J2534" i="15"/>
  <c r="K2534" i="15"/>
  <c r="L2534" i="15"/>
  <c r="M2534" i="15"/>
  <c r="N2534" i="15"/>
  <c r="O2534" i="15"/>
  <c r="P2534" i="15"/>
  <c r="Q2534" i="15"/>
  <c r="T2534" i="15"/>
  <c r="U2534" i="15"/>
  <c r="V2534" i="15"/>
  <c r="W2534" i="15"/>
  <c r="X2534" i="15"/>
  <c r="Y2534" i="15"/>
  <c r="Z2534" i="15"/>
  <c r="AA2534" i="15"/>
  <c r="B2535" i="15"/>
  <c r="C2535" i="15"/>
  <c r="D2535" i="15"/>
  <c r="E2535" i="15"/>
  <c r="J2535" i="15"/>
  <c r="K2535" i="15"/>
  <c r="L2535" i="15"/>
  <c r="M2535" i="15"/>
  <c r="N2535" i="15"/>
  <c r="O2535" i="15"/>
  <c r="P2535" i="15"/>
  <c r="Q2535" i="15"/>
  <c r="T2535" i="15"/>
  <c r="U2535" i="15"/>
  <c r="V2535" i="15"/>
  <c r="W2535" i="15"/>
  <c r="X2535" i="15"/>
  <c r="Y2535" i="15"/>
  <c r="Z2535" i="15"/>
  <c r="AA2535" i="15"/>
  <c r="B2536" i="15"/>
  <c r="C2536" i="15"/>
  <c r="D2536" i="15"/>
  <c r="E2536" i="15"/>
  <c r="J2536" i="15"/>
  <c r="K2536" i="15"/>
  <c r="L2536" i="15"/>
  <c r="M2536" i="15"/>
  <c r="N2536" i="15"/>
  <c r="O2536" i="15"/>
  <c r="P2536" i="15"/>
  <c r="Q2536" i="15"/>
  <c r="T2536" i="15"/>
  <c r="U2536" i="15"/>
  <c r="V2536" i="15"/>
  <c r="W2536" i="15"/>
  <c r="X2536" i="15"/>
  <c r="Y2536" i="15"/>
  <c r="Z2536" i="15"/>
  <c r="AA2536" i="15"/>
  <c r="B2537" i="15"/>
  <c r="C2537" i="15"/>
  <c r="D2537" i="15"/>
  <c r="E2537" i="15"/>
  <c r="J2537" i="15"/>
  <c r="K2537" i="15"/>
  <c r="L2537" i="15"/>
  <c r="M2537" i="15"/>
  <c r="N2537" i="15"/>
  <c r="O2537" i="15"/>
  <c r="P2537" i="15"/>
  <c r="Q2537" i="15"/>
  <c r="T2537" i="15"/>
  <c r="U2537" i="15"/>
  <c r="V2537" i="15"/>
  <c r="W2537" i="15"/>
  <c r="X2537" i="15"/>
  <c r="Y2537" i="15"/>
  <c r="Z2537" i="15"/>
  <c r="AA2537" i="15"/>
  <c r="B2538" i="15"/>
  <c r="C2538" i="15"/>
  <c r="D2538" i="15"/>
  <c r="E2538" i="15"/>
  <c r="J2538" i="15"/>
  <c r="K2538" i="15"/>
  <c r="L2538" i="15"/>
  <c r="M2538" i="15"/>
  <c r="N2538" i="15"/>
  <c r="O2538" i="15"/>
  <c r="P2538" i="15"/>
  <c r="Q2538" i="15"/>
  <c r="T2538" i="15"/>
  <c r="U2538" i="15"/>
  <c r="V2538" i="15"/>
  <c r="W2538" i="15"/>
  <c r="X2538" i="15"/>
  <c r="Y2538" i="15"/>
  <c r="Z2538" i="15"/>
  <c r="AA2538" i="15"/>
  <c r="B2539" i="15"/>
  <c r="C2539" i="15"/>
  <c r="D2539" i="15"/>
  <c r="E2539" i="15"/>
  <c r="J2539" i="15"/>
  <c r="K2539" i="15"/>
  <c r="L2539" i="15"/>
  <c r="M2539" i="15"/>
  <c r="N2539" i="15"/>
  <c r="O2539" i="15"/>
  <c r="P2539" i="15"/>
  <c r="Q2539" i="15"/>
  <c r="T2539" i="15"/>
  <c r="U2539" i="15"/>
  <c r="V2539" i="15"/>
  <c r="W2539" i="15"/>
  <c r="X2539" i="15"/>
  <c r="Y2539" i="15"/>
  <c r="Z2539" i="15"/>
  <c r="AA2539" i="15"/>
  <c r="B2540" i="15"/>
  <c r="C2540" i="15"/>
  <c r="D2540" i="15"/>
  <c r="E2540" i="15"/>
  <c r="J2540" i="15"/>
  <c r="K2540" i="15"/>
  <c r="L2540" i="15"/>
  <c r="M2540" i="15"/>
  <c r="N2540" i="15"/>
  <c r="O2540" i="15"/>
  <c r="P2540" i="15"/>
  <c r="Q2540" i="15"/>
  <c r="T2540" i="15"/>
  <c r="U2540" i="15"/>
  <c r="V2540" i="15"/>
  <c r="W2540" i="15"/>
  <c r="X2540" i="15"/>
  <c r="Y2540" i="15"/>
  <c r="Z2540" i="15"/>
  <c r="AA2540" i="15"/>
  <c r="B2541" i="15"/>
  <c r="C2541" i="15"/>
  <c r="D2541" i="15"/>
  <c r="E2541" i="15"/>
  <c r="J2541" i="15"/>
  <c r="K2541" i="15"/>
  <c r="L2541" i="15"/>
  <c r="M2541" i="15"/>
  <c r="N2541" i="15"/>
  <c r="O2541" i="15"/>
  <c r="P2541" i="15"/>
  <c r="Q2541" i="15"/>
  <c r="T2541" i="15"/>
  <c r="U2541" i="15"/>
  <c r="V2541" i="15"/>
  <c r="W2541" i="15"/>
  <c r="X2541" i="15"/>
  <c r="Y2541" i="15"/>
  <c r="Z2541" i="15"/>
  <c r="AA2541" i="15"/>
  <c r="B2542" i="15"/>
  <c r="C2542" i="15"/>
  <c r="D2542" i="15"/>
  <c r="E2542" i="15"/>
  <c r="J2542" i="15"/>
  <c r="K2542" i="15"/>
  <c r="L2542" i="15"/>
  <c r="M2542" i="15"/>
  <c r="N2542" i="15"/>
  <c r="O2542" i="15"/>
  <c r="P2542" i="15"/>
  <c r="Q2542" i="15"/>
  <c r="T2542" i="15"/>
  <c r="U2542" i="15"/>
  <c r="V2542" i="15"/>
  <c r="W2542" i="15"/>
  <c r="X2542" i="15"/>
  <c r="Y2542" i="15"/>
  <c r="Z2542" i="15"/>
  <c r="AA2542" i="15"/>
  <c r="B2543" i="15"/>
  <c r="C2543" i="15"/>
  <c r="D2543" i="15"/>
  <c r="E2543" i="15"/>
  <c r="J2543" i="15"/>
  <c r="K2543" i="15"/>
  <c r="L2543" i="15"/>
  <c r="M2543" i="15"/>
  <c r="N2543" i="15"/>
  <c r="O2543" i="15"/>
  <c r="P2543" i="15"/>
  <c r="Q2543" i="15"/>
  <c r="T2543" i="15"/>
  <c r="U2543" i="15"/>
  <c r="V2543" i="15"/>
  <c r="W2543" i="15"/>
  <c r="X2543" i="15"/>
  <c r="Y2543" i="15"/>
  <c r="Z2543" i="15"/>
  <c r="AA2543" i="15"/>
  <c r="B2544" i="15"/>
  <c r="C2544" i="15"/>
  <c r="D2544" i="15"/>
  <c r="E2544" i="15"/>
  <c r="J2544" i="15"/>
  <c r="K2544" i="15"/>
  <c r="L2544" i="15"/>
  <c r="M2544" i="15"/>
  <c r="N2544" i="15"/>
  <c r="O2544" i="15"/>
  <c r="P2544" i="15"/>
  <c r="Q2544" i="15"/>
  <c r="T2544" i="15"/>
  <c r="U2544" i="15"/>
  <c r="V2544" i="15"/>
  <c r="W2544" i="15"/>
  <c r="X2544" i="15"/>
  <c r="Y2544" i="15"/>
  <c r="Z2544" i="15"/>
  <c r="AA2544" i="15"/>
  <c r="B2545" i="15"/>
  <c r="C2545" i="15"/>
  <c r="D2545" i="15"/>
  <c r="E2545" i="15"/>
  <c r="J2545" i="15"/>
  <c r="K2545" i="15"/>
  <c r="L2545" i="15"/>
  <c r="M2545" i="15"/>
  <c r="N2545" i="15"/>
  <c r="O2545" i="15"/>
  <c r="P2545" i="15"/>
  <c r="Q2545" i="15"/>
  <c r="T2545" i="15"/>
  <c r="U2545" i="15"/>
  <c r="V2545" i="15"/>
  <c r="W2545" i="15"/>
  <c r="X2545" i="15"/>
  <c r="Y2545" i="15"/>
  <c r="Z2545" i="15"/>
  <c r="AA2545" i="15"/>
  <c r="B2546" i="15"/>
  <c r="C2546" i="15"/>
  <c r="D2546" i="15"/>
  <c r="E2546" i="15"/>
  <c r="J2546" i="15"/>
  <c r="K2546" i="15"/>
  <c r="L2546" i="15"/>
  <c r="M2546" i="15"/>
  <c r="N2546" i="15"/>
  <c r="O2546" i="15"/>
  <c r="P2546" i="15"/>
  <c r="Q2546" i="15"/>
  <c r="T2546" i="15"/>
  <c r="U2546" i="15"/>
  <c r="V2546" i="15"/>
  <c r="W2546" i="15"/>
  <c r="X2546" i="15"/>
  <c r="Y2546" i="15"/>
  <c r="Z2546" i="15"/>
  <c r="AA2546" i="15"/>
  <c r="B2547" i="15"/>
  <c r="C2547" i="15"/>
  <c r="D2547" i="15"/>
  <c r="E2547" i="15"/>
  <c r="J2547" i="15"/>
  <c r="K2547" i="15"/>
  <c r="L2547" i="15"/>
  <c r="M2547" i="15"/>
  <c r="N2547" i="15"/>
  <c r="O2547" i="15"/>
  <c r="P2547" i="15"/>
  <c r="Q2547" i="15"/>
  <c r="T2547" i="15"/>
  <c r="U2547" i="15"/>
  <c r="V2547" i="15"/>
  <c r="W2547" i="15"/>
  <c r="X2547" i="15"/>
  <c r="Y2547" i="15"/>
  <c r="Z2547" i="15"/>
  <c r="AA2547" i="15"/>
  <c r="B2548" i="15"/>
  <c r="C2548" i="15"/>
  <c r="D2548" i="15"/>
  <c r="E2548" i="15"/>
  <c r="J2548" i="15"/>
  <c r="K2548" i="15"/>
  <c r="L2548" i="15"/>
  <c r="M2548" i="15"/>
  <c r="N2548" i="15"/>
  <c r="O2548" i="15"/>
  <c r="P2548" i="15"/>
  <c r="Q2548" i="15"/>
  <c r="T2548" i="15"/>
  <c r="U2548" i="15"/>
  <c r="V2548" i="15"/>
  <c r="W2548" i="15"/>
  <c r="X2548" i="15"/>
  <c r="Y2548" i="15"/>
  <c r="Z2548" i="15"/>
  <c r="AA2548" i="15"/>
  <c r="B2549" i="15"/>
  <c r="C2549" i="15"/>
  <c r="D2549" i="15"/>
  <c r="E2549" i="15"/>
  <c r="J2549" i="15"/>
  <c r="K2549" i="15"/>
  <c r="L2549" i="15"/>
  <c r="M2549" i="15"/>
  <c r="N2549" i="15"/>
  <c r="O2549" i="15"/>
  <c r="P2549" i="15"/>
  <c r="Q2549" i="15"/>
  <c r="T2549" i="15"/>
  <c r="U2549" i="15"/>
  <c r="V2549" i="15"/>
  <c r="W2549" i="15"/>
  <c r="X2549" i="15"/>
  <c r="Y2549" i="15"/>
  <c r="Z2549" i="15"/>
  <c r="AA2549" i="15"/>
  <c r="B2550" i="15"/>
  <c r="C2550" i="15"/>
  <c r="D2550" i="15"/>
  <c r="E2550" i="15"/>
  <c r="J2550" i="15"/>
  <c r="K2550" i="15"/>
  <c r="L2550" i="15"/>
  <c r="M2550" i="15"/>
  <c r="N2550" i="15"/>
  <c r="O2550" i="15"/>
  <c r="P2550" i="15"/>
  <c r="Q2550" i="15"/>
  <c r="T2550" i="15"/>
  <c r="U2550" i="15"/>
  <c r="V2550" i="15"/>
  <c r="W2550" i="15"/>
  <c r="X2550" i="15"/>
  <c r="Y2550" i="15"/>
  <c r="Z2550" i="15"/>
  <c r="AA2550" i="15"/>
  <c r="B2551" i="15"/>
  <c r="C2551" i="15"/>
  <c r="D2551" i="15"/>
  <c r="E2551" i="15"/>
  <c r="J2551" i="15"/>
  <c r="K2551" i="15"/>
  <c r="L2551" i="15"/>
  <c r="M2551" i="15"/>
  <c r="N2551" i="15"/>
  <c r="O2551" i="15"/>
  <c r="P2551" i="15"/>
  <c r="Q2551" i="15"/>
  <c r="T2551" i="15"/>
  <c r="U2551" i="15"/>
  <c r="V2551" i="15"/>
  <c r="W2551" i="15"/>
  <c r="X2551" i="15"/>
  <c r="Y2551" i="15"/>
  <c r="Z2551" i="15"/>
  <c r="AA2551" i="15"/>
  <c r="B2552" i="15"/>
  <c r="C2552" i="15"/>
  <c r="D2552" i="15"/>
  <c r="E2552" i="15"/>
  <c r="J2552" i="15"/>
  <c r="K2552" i="15"/>
  <c r="L2552" i="15"/>
  <c r="M2552" i="15"/>
  <c r="N2552" i="15"/>
  <c r="O2552" i="15"/>
  <c r="P2552" i="15"/>
  <c r="Q2552" i="15"/>
  <c r="T2552" i="15"/>
  <c r="U2552" i="15"/>
  <c r="V2552" i="15"/>
  <c r="W2552" i="15"/>
  <c r="X2552" i="15"/>
  <c r="Y2552" i="15"/>
  <c r="Z2552" i="15"/>
  <c r="AA2552" i="15"/>
  <c r="B2553" i="15"/>
  <c r="C2553" i="15"/>
  <c r="D2553" i="15"/>
  <c r="E2553" i="15"/>
  <c r="J2553" i="15"/>
  <c r="K2553" i="15"/>
  <c r="L2553" i="15"/>
  <c r="M2553" i="15"/>
  <c r="N2553" i="15"/>
  <c r="O2553" i="15"/>
  <c r="P2553" i="15"/>
  <c r="Q2553" i="15"/>
  <c r="T2553" i="15"/>
  <c r="U2553" i="15"/>
  <c r="V2553" i="15"/>
  <c r="W2553" i="15"/>
  <c r="X2553" i="15"/>
  <c r="Y2553" i="15"/>
  <c r="Z2553" i="15"/>
  <c r="AA2553" i="15"/>
  <c r="B2554" i="15"/>
  <c r="C2554" i="15"/>
  <c r="D2554" i="15"/>
  <c r="E2554" i="15"/>
  <c r="J2554" i="15"/>
  <c r="K2554" i="15"/>
  <c r="L2554" i="15"/>
  <c r="M2554" i="15"/>
  <c r="N2554" i="15"/>
  <c r="O2554" i="15"/>
  <c r="P2554" i="15"/>
  <c r="Q2554" i="15"/>
  <c r="T2554" i="15"/>
  <c r="U2554" i="15"/>
  <c r="V2554" i="15"/>
  <c r="W2554" i="15"/>
  <c r="X2554" i="15"/>
  <c r="Y2554" i="15"/>
  <c r="Z2554" i="15"/>
  <c r="AA2554" i="15"/>
  <c r="B2555" i="15"/>
  <c r="C2555" i="15"/>
  <c r="D2555" i="15"/>
  <c r="E2555" i="15"/>
  <c r="J2555" i="15"/>
  <c r="K2555" i="15"/>
  <c r="L2555" i="15"/>
  <c r="M2555" i="15"/>
  <c r="N2555" i="15"/>
  <c r="O2555" i="15"/>
  <c r="P2555" i="15"/>
  <c r="Q2555" i="15"/>
  <c r="T2555" i="15"/>
  <c r="U2555" i="15"/>
  <c r="V2555" i="15"/>
  <c r="W2555" i="15"/>
  <c r="X2555" i="15"/>
  <c r="Y2555" i="15"/>
  <c r="Z2555" i="15"/>
  <c r="AA2555" i="15"/>
  <c r="B2556" i="15"/>
  <c r="C2556" i="15"/>
  <c r="D2556" i="15"/>
  <c r="E2556" i="15"/>
  <c r="J2556" i="15"/>
  <c r="K2556" i="15"/>
  <c r="L2556" i="15"/>
  <c r="M2556" i="15"/>
  <c r="N2556" i="15"/>
  <c r="O2556" i="15"/>
  <c r="P2556" i="15"/>
  <c r="Q2556" i="15"/>
  <c r="T2556" i="15"/>
  <c r="U2556" i="15"/>
  <c r="V2556" i="15"/>
  <c r="W2556" i="15"/>
  <c r="X2556" i="15"/>
  <c r="Y2556" i="15"/>
  <c r="Z2556" i="15"/>
  <c r="AA2556" i="15"/>
  <c r="B2557" i="15"/>
  <c r="C2557" i="15"/>
  <c r="D2557" i="15"/>
  <c r="E2557" i="15"/>
  <c r="J2557" i="15"/>
  <c r="K2557" i="15"/>
  <c r="L2557" i="15"/>
  <c r="M2557" i="15"/>
  <c r="N2557" i="15"/>
  <c r="O2557" i="15"/>
  <c r="P2557" i="15"/>
  <c r="Q2557" i="15"/>
  <c r="T2557" i="15"/>
  <c r="U2557" i="15"/>
  <c r="V2557" i="15"/>
  <c r="W2557" i="15"/>
  <c r="X2557" i="15"/>
  <c r="Y2557" i="15"/>
  <c r="Z2557" i="15"/>
  <c r="AA2557" i="15"/>
  <c r="B2558" i="15"/>
  <c r="C2558" i="15"/>
  <c r="D2558" i="15"/>
  <c r="E2558" i="15"/>
  <c r="J2558" i="15"/>
  <c r="K2558" i="15"/>
  <c r="L2558" i="15"/>
  <c r="M2558" i="15"/>
  <c r="N2558" i="15"/>
  <c r="O2558" i="15"/>
  <c r="P2558" i="15"/>
  <c r="Q2558" i="15"/>
  <c r="T2558" i="15"/>
  <c r="U2558" i="15"/>
  <c r="V2558" i="15"/>
  <c r="W2558" i="15"/>
  <c r="X2558" i="15"/>
  <c r="Y2558" i="15"/>
  <c r="Z2558" i="15"/>
  <c r="AA2558" i="15"/>
  <c r="B2559" i="15"/>
  <c r="C2559" i="15"/>
  <c r="D2559" i="15"/>
  <c r="E2559" i="15"/>
  <c r="J2559" i="15"/>
  <c r="K2559" i="15"/>
  <c r="L2559" i="15"/>
  <c r="M2559" i="15"/>
  <c r="N2559" i="15"/>
  <c r="O2559" i="15"/>
  <c r="P2559" i="15"/>
  <c r="Q2559" i="15"/>
  <c r="T2559" i="15"/>
  <c r="U2559" i="15"/>
  <c r="V2559" i="15"/>
  <c r="W2559" i="15"/>
  <c r="X2559" i="15"/>
  <c r="Y2559" i="15"/>
  <c r="Z2559" i="15"/>
  <c r="AA2559" i="15"/>
  <c r="B2560" i="15"/>
  <c r="C2560" i="15"/>
  <c r="D2560" i="15"/>
  <c r="E2560" i="15"/>
  <c r="J2560" i="15"/>
  <c r="K2560" i="15"/>
  <c r="L2560" i="15"/>
  <c r="M2560" i="15"/>
  <c r="N2560" i="15"/>
  <c r="O2560" i="15"/>
  <c r="P2560" i="15"/>
  <c r="Q2560" i="15"/>
  <c r="T2560" i="15"/>
  <c r="U2560" i="15"/>
  <c r="V2560" i="15"/>
  <c r="W2560" i="15"/>
  <c r="X2560" i="15"/>
  <c r="Y2560" i="15"/>
  <c r="Z2560" i="15"/>
  <c r="AA2560" i="15"/>
  <c r="B2561" i="15"/>
  <c r="C2561" i="15"/>
  <c r="D2561" i="15"/>
  <c r="E2561" i="15"/>
  <c r="J2561" i="15"/>
  <c r="K2561" i="15"/>
  <c r="L2561" i="15"/>
  <c r="M2561" i="15"/>
  <c r="N2561" i="15"/>
  <c r="O2561" i="15"/>
  <c r="P2561" i="15"/>
  <c r="Q2561" i="15"/>
  <c r="T2561" i="15"/>
  <c r="U2561" i="15"/>
  <c r="V2561" i="15"/>
  <c r="W2561" i="15"/>
  <c r="X2561" i="15"/>
  <c r="Y2561" i="15"/>
  <c r="Z2561" i="15"/>
  <c r="AA2561" i="15"/>
  <c r="B2562" i="15"/>
  <c r="C2562" i="15"/>
  <c r="D2562" i="15"/>
  <c r="E2562" i="15"/>
  <c r="J2562" i="15"/>
  <c r="K2562" i="15"/>
  <c r="L2562" i="15"/>
  <c r="M2562" i="15"/>
  <c r="N2562" i="15"/>
  <c r="O2562" i="15"/>
  <c r="P2562" i="15"/>
  <c r="Q2562" i="15"/>
  <c r="T2562" i="15"/>
  <c r="U2562" i="15"/>
  <c r="V2562" i="15"/>
  <c r="W2562" i="15"/>
  <c r="X2562" i="15"/>
  <c r="Y2562" i="15"/>
  <c r="Z2562" i="15"/>
  <c r="AA2562" i="15"/>
  <c r="B2563" i="15"/>
  <c r="C2563" i="15"/>
  <c r="D2563" i="15"/>
  <c r="E2563" i="15"/>
  <c r="J2563" i="15"/>
  <c r="K2563" i="15"/>
  <c r="L2563" i="15"/>
  <c r="M2563" i="15"/>
  <c r="N2563" i="15"/>
  <c r="O2563" i="15"/>
  <c r="P2563" i="15"/>
  <c r="Q2563" i="15"/>
  <c r="T2563" i="15"/>
  <c r="U2563" i="15"/>
  <c r="V2563" i="15"/>
  <c r="W2563" i="15"/>
  <c r="X2563" i="15"/>
  <c r="Y2563" i="15"/>
  <c r="Z2563" i="15"/>
  <c r="AA2563" i="15"/>
  <c r="B2564" i="15"/>
  <c r="C2564" i="15"/>
  <c r="D2564" i="15"/>
  <c r="E2564" i="15"/>
  <c r="J2564" i="15"/>
  <c r="K2564" i="15"/>
  <c r="L2564" i="15"/>
  <c r="M2564" i="15"/>
  <c r="N2564" i="15"/>
  <c r="O2564" i="15"/>
  <c r="P2564" i="15"/>
  <c r="Q2564" i="15"/>
  <c r="T2564" i="15"/>
  <c r="U2564" i="15"/>
  <c r="V2564" i="15"/>
  <c r="W2564" i="15"/>
  <c r="X2564" i="15"/>
  <c r="Y2564" i="15"/>
  <c r="Z2564" i="15"/>
  <c r="AA2564" i="15"/>
  <c r="B2565" i="15"/>
  <c r="C2565" i="15"/>
  <c r="D2565" i="15"/>
  <c r="E2565" i="15"/>
  <c r="J2565" i="15"/>
  <c r="K2565" i="15"/>
  <c r="L2565" i="15"/>
  <c r="M2565" i="15"/>
  <c r="N2565" i="15"/>
  <c r="O2565" i="15"/>
  <c r="P2565" i="15"/>
  <c r="Q2565" i="15"/>
  <c r="T2565" i="15"/>
  <c r="U2565" i="15"/>
  <c r="V2565" i="15"/>
  <c r="W2565" i="15"/>
  <c r="X2565" i="15"/>
  <c r="Y2565" i="15"/>
  <c r="Z2565" i="15"/>
  <c r="AA2565" i="15"/>
  <c r="B2566" i="15"/>
  <c r="C2566" i="15"/>
  <c r="D2566" i="15"/>
  <c r="E2566" i="15"/>
  <c r="J2566" i="15"/>
  <c r="K2566" i="15"/>
  <c r="L2566" i="15"/>
  <c r="M2566" i="15"/>
  <c r="N2566" i="15"/>
  <c r="O2566" i="15"/>
  <c r="P2566" i="15"/>
  <c r="Q2566" i="15"/>
  <c r="T2566" i="15"/>
  <c r="U2566" i="15"/>
  <c r="V2566" i="15"/>
  <c r="W2566" i="15"/>
  <c r="X2566" i="15"/>
  <c r="Y2566" i="15"/>
  <c r="Z2566" i="15"/>
  <c r="AA2566" i="15"/>
  <c r="B2567" i="15"/>
  <c r="C2567" i="15"/>
  <c r="D2567" i="15"/>
  <c r="E2567" i="15"/>
  <c r="J2567" i="15"/>
  <c r="K2567" i="15"/>
  <c r="L2567" i="15"/>
  <c r="M2567" i="15"/>
  <c r="N2567" i="15"/>
  <c r="O2567" i="15"/>
  <c r="P2567" i="15"/>
  <c r="Q2567" i="15"/>
  <c r="T2567" i="15"/>
  <c r="U2567" i="15"/>
  <c r="V2567" i="15"/>
  <c r="W2567" i="15"/>
  <c r="X2567" i="15"/>
  <c r="Y2567" i="15"/>
  <c r="Z2567" i="15"/>
  <c r="AA2567" i="15"/>
  <c r="B2568" i="15"/>
  <c r="C2568" i="15"/>
  <c r="D2568" i="15"/>
  <c r="E2568" i="15"/>
  <c r="J2568" i="15"/>
  <c r="K2568" i="15"/>
  <c r="L2568" i="15"/>
  <c r="M2568" i="15"/>
  <c r="N2568" i="15"/>
  <c r="O2568" i="15"/>
  <c r="P2568" i="15"/>
  <c r="Q2568" i="15"/>
  <c r="T2568" i="15"/>
  <c r="U2568" i="15"/>
  <c r="V2568" i="15"/>
  <c r="W2568" i="15"/>
  <c r="X2568" i="15"/>
  <c r="Y2568" i="15"/>
  <c r="Z2568" i="15"/>
  <c r="AA2568" i="15"/>
  <c r="B2569" i="15"/>
  <c r="C2569" i="15"/>
  <c r="D2569" i="15"/>
  <c r="E2569" i="15"/>
  <c r="J2569" i="15"/>
  <c r="K2569" i="15"/>
  <c r="L2569" i="15"/>
  <c r="M2569" i="15"/>
  <c r="N2569" i="15"/>
  <c r="O2569" i="15"/>
  <c r="P2569" i="15"/>
  <c r="Q2569" i="15"/>
  <c r="T2569" i="15"/>
  <c r="U2569" i="15"/>
  <c r="V2569" i="15"/>
  <c r="W2569" i="15"/>
  <c r="X2569" i="15"/>
  <c r="Y2569" i="15"/>
  <c r="Z2569" i="15"/>
  <c r="AA2569" i="15"/>
  <c r="B2570" i="15"/>
  <c r="C2570" i="15"/>
  <c r="D2570" i="15"/>
  <c r="E2570" i="15"/>
  <c r="J2570" i="15"/>
  <c r="K2570" i="15"/>
  <c r="L2570" i="15"/>
  <c r="M2570" i="15"/>
  <c r="N2570" i="15"/>
  <c r="O2570" i="15"/>
  <c r="P2570" i="15"/>
  <c r="Q2570" i="15"/>
  <c r="T2570" i="15"/>
  <c r="U2570" i="15"/>
  <c r="V2570" i="15"/>
  <c r="W2570" i="15"/>
  <c r="X2570" i="15"/>
  <c r="Y2570" i="15"/>
  <c r="Z2570" i="15"/>
  <c r="AA2570" i="15"/>
  <c r="B2571" i="15"/>
  <c r="C2571" i="15"/>
  <c r="D2571" i="15"/>
  <c r="E2571" i="15"/>
  <c r="J2571" i="15"/>
  <c r="K2571" i="15"/>
  <c r="L2571" i="15"/>
  <c r="M2571" i="15"/>
  <c r="N2571" i="15"/>
  <c r="O2571" i="15"/>
  <c r="P2571" i="15"/>
  <c r="Q2571" i="15"/>
  <c r="T2571" i="15"/>
  <c r="U2571" i="15"/>
  <c r="V2571" i="15"/>
  <c r="W2571" i="15"/>
  <c r="X2571" i="15"/>
  <c r="Y2571" i="15"/>
  <c r="Z2571" i="15"/>
  <c r="AA2571" i="15"/>
  <c r="B2572" i="15"/>
  <c r="C2572" i="15"/>
  <c r="D2572" i="15"/>
  <c r="E2572" i="15"/>
  <c r="J2572" i="15"/>
  <c r="K2572" i="15"/>
  <c r="L2572" i="15"/>
  <c r="M2572" i="15"/>
  <c r="N2572" i="15"/>
  <c r="O2572" i="15"/>
  <c r="P2572" i="15"/>
  <c r="Q2572" i="15"/>
  <c r="T2572" i="15"/>
  <c r="U2572" i="15"/>
  <c r="V2572" i="15"/>
  <c r="W2572" i="15"/>
  <c r="X2572" i="15"/>
  <c r="Y2572" i="15"/>
  <c r="Z2572" i="15"/>
  <c r="AA2572" i="15"/>
  <c r="B2573" i="15"/>
  <c r="C2573" i="15"/>
  <c r="D2573" i="15"/>
  <c r="E2573" i="15"/>
  <c r="J2573" i="15"/>
  <c r="K2573" i="15"/>
  <c r="L2573" i="15"/>
  <c r="M2573" i="15"/>
  <c r="N2573" i="15"/>
  <c r="O2573" i="15"/>
  <c r="P2573" i="15"/>
  <c r="Q2573" i="15"/>
  <c r="T2573" i="15"/>
  <c r="U2573" i="15"/>
  <c r="V2573" i="15"/>
  <c r="W2573" i="15"/>
  <c r="X2573" i="15"/>
  <c r="Y2573" i="15"/>
  <c r="Z2573" i="15"/>
  <c r="AA2573" i="15"/>
  <c r="B2574" i="15"/>
  <c r="C2574" i="15"/>
  <c r="D2574" i="15"/>
  <c r="E2574" i="15"/>
  <c r="J2574" i="15"/>
  <c r="K2574" i="15"/>
  <c r="L2574" i="15"/>
  <c r="M2574" i="15"/>
  <c r="N2574" i="15"/>
  <c r="O2574" i="15"/>
  <c r="P2574" i="15"/>
  <c r="Q2574" i="15"/>
  <c r="T2574" i="15"/>
  <c r="U2574" i="15"/>
  <c r="V2574" i="15"/>
  <c r="W2574" i="15"/>
  <c r="X2574" i="15"/>
  <c r="Y2574" i="15"/>
  <c r="Z2574" i="15"/>
  <c r="AA2574" i="15"/>
  <c r="B2575" i="15"/>
  <c r="C2575" i="15"/>
  <c r="D2575" i="15"/>
  <c r="E2575" i="15"/>
  <c r="J2575" i="15"/>
  <c r="K2575" i="15"/>
  <c r="L2575" i="15"/>
  <c r="M2575" i="15"/>
  <c r="N2575" i="15"/>
  <c r="O2575" i="15"/>
  <c r="P2575" i="15"/>
  <c r="Q2575" i="15"/>
  <c r="T2575" i="15"/>
  <c r="U2575" i="15"/>
  <c r="V2575" i="15"/>
  <c r="W2575" i="15"/>
  <c r="X2575" i="15"/>
  <c r="Y2575" i="15"/>
  <c r="Z2575" i="15"/>
  <c r="AA2575" i="15"/>
  <c r="B2576" i="15"/>
  <c r="C2576" i="15"/>
  <c r="D2576" i="15"/>
  <c r="E2576" i="15"/>
  <c r="J2576" i="15"/>
  <c r="K2576" i="15"/>
  <c r="L2576" i="15"/>
  <c r="M2576" i="15"/>
  <c r="N2576" i="15"/>
  <c r="O2576" i="15"/>
  <c r="P2576" i="15"/>
  <c r="Q2576" i="15"/>
  <c r="T2576" i="15"/>
  <c r="U2576" i="15"/>
  <c r="V2576" i="15"/>
  <c r="W2576" i="15"/>
  <c r="X2576" i="15"/>
  <c r="Y2576" i="15"/>
  <c r="Z2576" i="15"/>
  <c r="AA2576" i="15"/>
  <c r="B2577" i="15"/>
  <c r="C2577" i="15"/>
  <c r="D2577" i="15"/>
  <c r="E2577" i="15"/>
  <c r="J2577" i="15"/>
  <c r="K2577" i="15"/>
  <c r="L2577" i="15"/>
  <c r="M2577" i="15"/>
  <c r="N2577" i="15"/>
  <c r="O2577" i="15"/>
  <c r="P2577" i="15"/>
  <c r="Q2577" i="15"/>
  <c r="T2577" i="15"/>
  <c r="U2577" i="15"/>
  <c r="V2577" i="15"/>
  <c r="W2577" i="15"/>
  <c r="X2577" i="15"/>
  <c r="Y2577" i="15"/>
  <c r="Z2577" i="15"/>
  <c r="AA2577" i="15"/>
  <c r="B2578" i="15"/>
  <c r="C2578" i="15"/>
  <c r="D2578" i="15"/>
  <c r="E2578" i="15"/>
  <c r="J2578" i="15"/>
  <c r="K2578" i="15"/>
  <c r="L2578" i="15"/>
  <c r="M2578" i="15"/>
  <c r="N2578" i="15"/>
  <c r="O2578" i="15"/>
  <c r="P2578" i="15"/>
  <c r="Q2578" i="15"/>
  <c r="T2578" i="15"/>
  <c r="U2578" i="15"/>
  <c r="V2578" i="15"/>
  <c r="W2578" i="15"/>
  <c r="X2578" i="15"/>
  <c r="Y2578" i="15"/>
  <c r="Z2578" i="15"/>
  <c r="AA2578" i="15"/>
  <c r="B2579" i="15"/>
  <c r="C2579" i="15"/>
  <c r="D2579" i="15"/>
  <c r="E2579" i="15"/>
  <c r="J2579" i="15"/>
  <c r="K2579" i="15"/>
  <c r="L2579" i="15"/>
  <c r="M2579" i="15"/>
  <c r="N2579" i="15"/>
  <c r="O2579" i="15"/>
  <c r="P2579" i="15"/>
  <c r="Q2579" i="15"/>
  <c r="T2579" i="15"/>
  <c r="U2579" i="15"/>
  <c r="V2579" i="15"/>
  <c r="W2579" i="15"/>
  <c r="X2579" i="15"/>
  <c r="Y2579" i="15"/>
  <c r="Z2579" i="15"/>
  <c r="AA2579" i="15"/>
  <c r="B2580" i="15"/>
  <c r="C2580" i="15"/>
  <c r="D2580" i="15"/>
  <c r="E2580" i="15"/>
  <c r="J2580" i="15"/>
  <c r="K2580" i="15"/>
  <c r="L2580" i="15"/>
  <c r="M2580" i="15"/>
  <c r="N2580" i="15"/>
  <c r="O2580" i="15"/>
  <c r="P2580" i="15"/>
  <c r="Q2580" i="15"/>
  <c r="T2580" i="15"/>
  <c r="U2580" i="15"/>
  <c r="V2580" i="15"/>
  <c r="W2580" i="15"/>
  <c r="X2580" i="15"/>
  <c r="Y2580" i="15"/>
  <c r="Z2580" i="15"/>
  <c r="AA2580" i="15"/>
  <c r="B2581" i="15"/>
  <c r="C2581" i="15"/>
  <c r="D2581" i="15"/>
  <c r="E2581" i="15"/>
  <c r="J2581" i="15"/>
  <c r="K2581" i="15"/>
  <c r="L2581" i="15"/>
  <c r="M2581" i="15"/>
  <c r="N2581" i="15"/>
  <c r="O2581" i="15"/>
  <c r="P2581" i="15"/>
  <c r="Q2581" i="15"/>
  <c r="T2581" i="15"/>
  <c r="U2581" i="15"/>
  <c r="V2581" i="15"/>
  <c r="W2581" i="15"/>
  <c r="X2581" i="15"/>
  <c r="Y2581" i="15"/>
  <c r="Z2581" i="15"/>
  <c r="AA2581" i="15"/>
  <c r="B2582" i="15"/>
  <c r="C2582" i="15"/>
  <c r="D2582" i="15"/>
  <c r="E2582" i="15"/>
  <c r="J2582" i="15"/>
  <c r="K2582" i="15"/>
  <c r="L2582" i="15"/>
  <c r="M2582" i="15"/>
  <c r="N2582" i="15"/>
  <c r="O2582" i="15"/>
  <c r="P2582" i="15"/>
  <c r="Q2582" i="15"/>
  <c r="T2582" i="15"/>
  <c r="U2582" i="15"/>
  <c r="V2582" i="15"/>
  <c r="W2582" i="15"/>
  <c r="X2582" i="15"/>
  <c r="Y2582" i="15"/>
  <c r="Z2582" i="15"/>
  <c r="AA2582" i="15"/>
  <c r="B2583" i="15"/>
  <c r="C2583" i="15"/>
  <c r="D2583" i="15"/>
  <c r="E2583" i="15"/>
  <c r="J2583" i="15"/>
  <c r="K2583" i="15"/>
  <c r="L2583" i="15"/>
  <c r="M2583" i="15"/>
  <c r="N2583" i="15"/>
  <c r="O2583" i="15"/>
  <c r="P2583" i="15"/>
  <c r="Q2583" i="15"/>
  <c r="T2583" i="15"/>
  <c r="U2583" i="15"/>
  <c r="V2583" i="15"/>
  <c r="W2583" i="15"/>
  <c r="X2583" i="15"/>
  <c r="Y2583" i="15"/>
  <c r="Z2583" i="15"/>
  <c r="AA2583" i="15"/>
  <c r="B2584" i="15"/>
  <c r="C2584" i="15"/>
  <c r="D2584" i="15"/>
  <c r="E2584" i="15"/>
  <c r="J2584" i="15"/>
  <c r="K2584" i="15"/>
  <c r="L2584" i="15"/>
  <c r="M2584" i="15"/>
  <c r="N2584" i="15"/>
  <c r="O2584" i="15"/>
  <c r="P2584" i="15"/>
  <c r="Q2584" i="15"/>
  <c r="T2584" i="15"/>
  <c r="U2584" i="15"/>
  <c r="V2584" i="15"/>
  <c r="W2584" i="15"/>
  <c r="X2584" i="15"/>
  <c r="Y2584" i="15"/>
  <c r="Z2584" i="15"/>
  <c r="AA2584" i="15"/>
  <c r="B2585" i="15"/>
  <c r="C2585" i="15"/>
  <c r="D2585" i="15"/>
  <c r="E2585" i="15"/>
  <c r="J2585" i="15"/>
  <c r="K2585" i="15"/>
  <c r="L2585" i="15"/>
  <c r="M2585" i="15"/>
  <c r="N2585" i="15"/>
  <c r="O2585" i="15"/>
  <c r="P2585" i="15"/>
  <c r="Q2585" i="15"/>
  <c r="T2585" i="15"/>
  <c r="U2585" i="15"/>
  <c r="V2585" i="15"/>
  <c r="W2585" i="15"/>
  <c r="X2585" i="15"/>
  <c r="Y2585" i="15"/>
  <c r="Z2585" i="15"/>
  <c r="AA2585" i="15"/>
  <c r="B2586" i="15"/>
  <c r="C2586" i="15"/>
  <c r="D2586" i="15"/>
  <c r="E2586" i="15"/>
  <c r="J2586" i="15"/>
  <c r="K2586" i="15"/>
  <c r="L2586" i="15"/>
  <c r="M2586" i="15"/>
  <c r="N2586" i="15"/>
  <c r="O2586" i="15"/>
  <c r="P2586" i="15"/>
  <c r="Q2586" i="15"/>
  <c r="T2586" i="15"/>
  <c r="U2586" i="15"/>
  <c r="V2586" i="15"/>
  <c r="W2586" i="15"/>
  <c r="X2586" i="15"/>
  <c r="Y2586" i="15"/>
  <c r="Z2586" i="15"/>
  <c r="AA2586" i="15"/>
  <c r="B2587" i="15"/>
  <c r="C2587" i="15"/>
  <c r="D2587" i="15"/>
  <c r="E2587" i="15"/>
  <c r="J2587" i="15"/>
  <c r="K2587" i="15"/>
  <c r="L2587" i="15"/>
  <c r="M2587" i="15"/>
  <c r="N2587" i="15"/>
  <c r="O2587" i="15"/>
  <c r="P2587" i="15"/>
  <c r="Q2587" i="15"/>
  <c r="T2587" i="15"/>
  <c r="U2587" i="15"/>
  <c r="V2587" i="15"/>
  <c r="W2587" i="15"/>
  <c r="X2587" i="15"/>
  <c r="Y2587" i="15"/>
  <c r="Z2587" i="15"/>
  <c r="AA2587" i="15"/>
  <c r="B2588" i="15"/>
  <c r="C2588" i="15"/>
  <c r="D2588" i="15"/>
  <c r="E2588" i="15"/>
  <c r="J2588" i="15"/>
  <c r="K2588" i="15"/>
  <c r="L2588" i="15"/>
  <c r="M2588" i="15"/>
  <c r="N2588" i="15"/>
  <c r="O2588" i="15"/>
  <c r="P2588" i="15"/>
  <c r="Q2588" i="15"/>
  <c r="T2588" i="15"/>
  <c r="U2588" i="15"/>
  <c r="V2588" i="15"/>
  <c r="W2588" i="15"/>
  <c r="X2588" i="15"/>
  <c r="Y2588" i="15"/>
  <c r="Z2588" i="15"/>
  <c r="AA2588" i="15"/>
  <c r="B2589" i="15"/>
  <c r="C2589" i="15"/>
  <c r="D2589" i="15"/>
  <c r="E2589" i="15"/>
  <c r="J2589" i="15"/>
  <c r="K2589" i="15"/>
  <c r="L2589" i="15"/>
  <c r="M2589" i="15"/>
  <c r="N2589" i="15"/>
  <c r="O2589" i="15"/>
  <c r="P2589" i="15"/>
  <c r="Q2589" i="15"/>
  <c r="T2589" i="15"/>
  <c r="U2589" i="15"/>
  <c r="V2589" i="15"/>
  <c r="W2589" i="15"/>
  <c r="X2589" i="15"/>
  <c r="Y2589" i="15"/>
  <c r="Z2589" i="15"/>
  <c r="AA2589" i="15"/>
  <c r="B2590" i="15"/>
  <c r="C2590" i="15"/>
  <c r="D2590" i="15"/>
  <c r="E2590" i="15"/>
  <c r="J2590" i="15"/>
  <c r="K2590" i="15"/>
  <c r="L2590" i="15"/>
  <c r="M2590" i="15"/>
  <c r="N2590" i="15"/>
  <c r="O2590" i="15"/>
  <c r="P2590" i="15"/>
  <c r="Q2590" i="15"/>
  <c r="T2590" i="15"/>
  <c r="U2590" i="15"/>
  <c r="V2590" i="15"/>
  <c r="W2590" i="15"/>
  <c r="X2590" i="15"/>
  <c r="Y2590" i="15"/>
  <c r="Z2590" i="15"/>
  <c r="AA2590" i="15"/>
  <c r="B2591" i="15"/>
  <c r="C2591" i="15"/>
  <c r="D2591" i="15"/>
  <c r="E2591" i="15"/>
  <c r="J2591" i="15"/>
  <c r="K2591" i="15"/>
  <c r="L2591" i="15"/>
  <c r="M2591" i="15"/>
  <c r="N2591" i="15"/>
  <c r="O2591" i="15"/>
  <c r="P2591" i="15"/>
  <c r="Q2591" i="15"/>
  <c r="T2591" i="15"/>
  <c r="U2591" i="15"/>
  <c r="V2591" i="15"/>
  <c r="W2591" i="15"/>
  <c r="X2591" i="15"/>
  <c r="Y2591" i="15"/>
  <c r="Z2591" i="15"/>
  <c r="AA2591" i="15"/>
  <c r="B2592" i="15"/>
  <c r="C2592" i="15"/>
  <c r="D2592" i="15"/>
  <c r="E2592" i="15"/>
  <c r="J2592" i="15"/>
  <c r="K2592" i="15"/>
  <c r="L2592" i="15"/>
  <c r="M2592" i="15"/>
  <c r="N2592" i="15"/>
  <c r="O2592" i="15"/>
  <c r="P2592" i="15"/>
  <c r="Q2592" i="15"/>
  <c r="T2592" i="15"/>
  <c r="U2592" i="15"/>
  <c r="V2592" i="15"/>
  <c r="W2592" i="15"/>
  <c r="X2592" i="15"/>
  <c r="Y2592" i="15"/>
  <c r="Z2592" i="15"/>
  <c r="AA2592" i="15"/>
  <c r="B2593" i="15"/>
  <c r="C2593" i="15"/>
  <c r="D2593" i="15"/>
  <c r="E2593" i="15"/>
  <c r="J2593" i="15"/>
  <c r="K2593" i="15"/>
  <c r="L2593" i="15"/>
  <c r="M2593" i="15"/>
  <c r="N2593" i="15"/>
  <c r="O2593" i="15"/>
  <c r="P2593" i="15"/>
  <c r="Q2593" i="15"/>
  <c r="T2593" i="15"/>
  <c r="U2593" i="15"/>
  <c r="V2593" i="15"/>
  <c r="W2593" i="15"/>
  <c r="X2593" i="15"/>
  <c r="Y2593" i="15"/>
  <c r="Z2593" i="15"/>
  <c r="AA2593" i="15"/>
  <c r="B2594" i="15"/>
  <c r="C2594" i="15"/>
  <c r="D2594" i="15"/>
  <c r="E2594" i="15"/>
  <c r="J2594" i="15"/>
  <c r="K2594" i="15"/>
  <c r="L2594" i="15"/>
  <c r="M2594" i="15"/>
  <c r="N2594" i="15"/>
  <c r="O2594" i="15"/>
  <c r="P2594" i="15"/>
  <c r="Q2594" i="15"/>
  <c r="T2594" i="15"/>
  <c r="U2594" i="15"/>
  <c r="V2594" i="15"/>
  <c r="W2594" i="15"/>
  <c r="X2594" i="15"/>
  <c r="Y2594" i="15"/>
  <c r="Z2594" i="15"/>
  <c r="AA2594" i="15"/>
  <c r="B2595" i="15"/>
  <c r="C2595" i="15"/>
  <c r="D2595" i="15"/>
  <c r="E2595" i="15"/>
  <c r="J2595" i="15"/>
  <c r="K2595" i="15"/>
  <c r="L2595" i="15"/>
  <c r="M2595" i="15"/>
  <c r="N2595" i="15"/>
  <c r="O2595" i="15"/>
  <c r="P2595" i="15"/>
  <c r="Q2595" i="15"/>
  <c r="T2595" i="15"/>
  <c r="U2595" i="15"/>
  <c r="V2595" i="15"/>
  <c r="W2595" i="15"/>
  <c r="X2595" i="15"/>
  <c r="Y2595" i="15"/>
  <c r="Z2595" i="15"/>
  <c r="AA2595" i="15"/>
  <c r="B2596" i="15"/>
  <c r="C2596" i="15"/>
  <c r="D2596" i="15"/>
  <c r="E2596" i="15"/>
  <c r="J2596" i="15"/>
  <c r="K2596" i="15"/>
  <c r="L2596" i="15"/>
  <c r="M2596" i="15"/>
  <c r="N2596" i="15"/>
  <c r="O2596" i="15"/>
  <c r="P2596" i="15"/>
  <c r="Q2596" i="15"/>
  <c r="T2596" i="15"/>
  <c r="U2596" i="15"/>
  <c r="V2596" i="15"/>
  <c r="W2596" i="15"/>
  <c r="X2596" i="15"/>
  <c r="Y2596" i="15"/>
  <c r="Z2596" i="15"/>
  <c r="AA2596" i="15"/>
  <c r="B2597" i="15"/>
  <c r="C2597" i="15"/>
  <c r="D2597" i="15"/>
  <c r="E2597" i="15"/>
  <c r="J2597" i="15"/>
  <c r="K2597" i="15"/>
  <c r="L2597" i="15"/>
  <c r="M2597" i="15"/>
  <c r="N2597" i="15"/>
  <c r="O2597" i="15"/>
  <c r="P2597" i="15"/>
  <c r="Q2597" i="15"/>
  <c r="T2597" i="15"/>
  <c r="U2597" i="15"/>
  <c r="V2597" i="15"/>
  <c r="W2597" i="15"/>
  <c r="X2597" i="15"/>
  <c r="Y2597" i="15"/>
  <c r="Z2597" i="15"/>
  <c r="AA2597" i="15"/>
  <c r="B2598" i="15"/>
  <c r="C2598" i="15"/>
  <c r="D2598" i="15"/>
  <c r="E2598" i="15"/>
  <c r="J2598" i="15"/>
  <c r="K2598" i="15"/>
  <c r="L2598" i="15"/>
  <c r="M2598" i="15"/>
  <c r="N2598" i="15"/>
  <c r="O2598" i="15"/>
  <c r="P2598" i="15"/>
  <c r="Q2598" i="15"/>
  <c r="T2598" i="15"/>
  <c r="U2598" i="15"/>
  <c r="V2598" i="15"/>
  <c r="W2598" i="15"/>
  <c r="X2598" i="15"/>
  <c r="Y2598" i="15"/>
  <c r="Z2598" i="15"/>
  <c r="AA2598" i="15"/>
  <c r="B2599" i="15"/>
  <c r="C2599" i="15"/>
  <c r="D2599" i="15"/>
  <c r="E2599" i="15"/>
  <c r="J2599" i="15"/>
  <c r="K2599" i="15"/>
  <c r="L2599" i="15"/>
  <c r="M2599" i="15"/>
  <c r="N2599" i="15"/>
  <c r="O2599" i="15"/>
  <c r="P2599" i="15"/>
  <c r="Q2599" i="15"/>
  <c r="T2599" i="15"/>
  <c r="U2599" i="15"/>
  <c r="V2599" i="15"/>
  <c r="W2599" i="15"/>
  <c r="X2599" i="15"/>
  <c r="Y2599" i="15"/>
  <c r="Z2599" i="15"/>
  <c r="AA2599" i="15"/>
  <c r="B2600" i="15"/>
  <c r="C2600" i="15"/>
  <c r="D2600" i="15"/>
  <c r="E2600" i="15"/>
  <c r="J2600" i="15"/>
  <c r="K2600" i="15"/>
  <c r="L2600" i="15"/>
  <c r="M2600" i="15"/>
  <c r="N2600" i="15"/>
  <c r="O2600" i="15"/>
  <c r="P2600" i="15"/>
  <c r="Q2600" i="15"/>
  <c r="T2600" i="15"/>
  <c r="U2600" i="15"/>
  <c r="V2600" i="15"/>
  <c r="W2600" i="15"/>
  <c r="X2600" i="15"/>
  <c r="Y2600" i="15"/>
  <c r="Z2600" i="15"/>
  <c r="AA2600" i="15"/>
  <c r="B2601" i="15"/>
  <c r="C2601" i="15"/>
  <c r="D2601" i="15"/>
  <c r="E2601" i="15"/>
  <c r="J2601" i="15"/>
  <c r="K2601" i="15"/>
  <c r="L2601" i="15"/>
  <c r="M2601" i="15"/>
  <c r="N2601" i="15"/>
  <c r="O2601" i="15"/>
  <c r="P2601" i="15"/>
  <c r="Q2601" i="15"/>
  <c r="T2601" i="15"/>
  <c r="U2601" i="15"/>
  <c r="V2601" i="15"/>
  <c r="W2601" i="15"/>
  <c r="X2601" i="15"/>
  <c r="Y2601" i="15"/>
  <c r="Z2601" i="15"/>
  <c r="AA2601" i="15"/>
  <c r="B2602" i="15"/>
  <c r="C2602" i="15"/>
  <c r="D2602" i="15"/>
  <c r="E2602" i="15"/>
  <c r="J2602" i="15"/>
  <c r="K2602" i="15"/>
  <c r="L2602" i="15"/>
  <c r="M2602" i="15"/>
  <c r="N2602" i="15"/>
  <c r="O2602" i="15"/>
  <c r="P2602" i="15"/>
  <c r="Q2602" i="15"/>
  <c r="T2602" i="15"/>
  <c r="U2602" i="15"/>
  <c r="V2602" i="15"/>
  <c r="W2602" i="15"/>
  <c r="X2602" i="15"/>
  <c r="Y2602" i="15"/>
  <c r="Z2602" i="15"/>
  <c r="AA2602" i="15"/>
  <c r="B2603" i="15"/>
  <c r="C2603" i="15"/>
  <c r="D2603" i="15"/>
  <c r="E2603" i="15"/>
  <c r="J2603" i="15"/>
  <c r="K2603" i="15"/>
  <c r="L2603" i="15"/>
  <c r="M2603" i="15"/>
  <c r="N2603" i="15"/>
  <c r="O2603" i="15"/>
  <c r="P2603" i="15"/>
  <c r="Q2603" i="15"/>
  <c r="T2603" i="15"/>
  <c r="U2603" i="15"/>
  <c r="V2603" i="15"/>
  <c r="W2603" i="15"/>
  <c r="X2603" i="15"/>
  <c r="Y2603" i="15"/>
  <c r="Z2603" i="15"/>
  <c r="AA2603" i="15"/>
  <c r="B2604" i="15"/>
  <c r="C2604" i="15"/>
  <c r="D2604" i="15"/>
  <c r="E2604" i="15"/>
  <c r="J2604" i="15"/>
  <c r="K2604" i="15"/>
  <c r="L2604" i="15"/>
  <c r="M2604" i="15"/>
  <c r="N2604" i="15"/>
  <c r="O2604" i="15"/>
  <c r="P2604" i="15"/>
  <c r="Q2604" i="15"/>
  <c r="T2604" i="15"/>
  <c r="U2604" i="15"/>
  <c r="V2604" i="15"/>
  <c r="W2604" i="15"/>
  <c r="X2604" i="15"/>
  <c r="Y2604" i="15"/>
  <c r="Z2604" i="15"/>
  <c r="AA2604" i="15"/>
  <c r="B2605" i="15"/>
  <c r="C2605" i="15"/>
  <c r="D2605" i="15"/>
  <c r="E2605" i="15"/>
  <c r="J2605" i="15"/>
  <c r="K2605" i="15"/>
  <c r="L2605" i="15"/>
  <c r="M2605" i="15"/>
  <c r="N2605" i="15"/>
  <c r="O2605" i="15"/>
  <c r="P2605" i="15"/>
  <c r="Q2605" i="15"/>
  <c r="T2605" i="15"/>
  <c r="U2605" i="15"/>
  <c r="V2605" i="15"/>
  <c r="W2605" i="15"/>
  <c r="X2605" i="15"/>
  <c r="Y2605" i="15"/>
  <c r="Z2605" i="15"/>
  <c r="AA2605" i="15"/>
  <c r="B2606" i="15"/>
  <c r="C2606" i="15"/>
  <c r="D2606" i="15"/>
  <c r="E2606" i="15"/>
  <c r="J2606" i="15"/>
  <c r="K2606" i="15"/>
  <c r="L2606" i="15"/>
  <c r="M2606" i="15"/>
  <c r="N2606" i="15"/>
  <c r="O2606" i="15"/>
  <c r="P2606" i="15"/>
  <c r="Q2606" i="15"/>
  <c r="T2606" i="15"/>
  <c r="U2606" i="15"/>
  <c r="V2606" i="15"/>
  <c r="W2606" i="15"/>
  <c r="X2606" i="15"/>
  <c r="Y2606" i="15"/>
  <c r="Z2606" i="15"/>
  <c r="AA2606" i="15"/>
  <c r="B2607" i="15"/>
  <c r="C2607" i="15"/>
  <c r="D2607" i="15"/>
  <c r="E2607" i="15"/>
  <c r="J2607" i="15"/>
  <c r="K2607" i="15"/>
  <c r="L2607" i="15"/>
  <c r="M2607" i="15"/>
  <c r="N2607" i="15"/>
  <c r="O2607" i="15"/>
  <c r="P2607" i="15"/>
  <c r="Q2607" i="15"/>
  <c r="T2607" i="15"/>
  <c r="U2607" i="15"/>
  <c r="V2607" i="15"/>
  <c r="W2607" i="15"/>
  <c r="X2607" i="15"/>
  <c r="Y2607" i="15"/>
  <c r="Z2607" i="15"/>
  <c r="AA2607" i="15"/>
  <c r="B2608" i="15"/>
  <c r="C2608" i="15"/>
  <c r="D2608" i="15"/>
  <c r="E2608" i="15"/>
  <c r="J2608" i="15"/>
  <c r="K2608" i="15"/>
  <c r="L2608" i="15"/>
  <c r="M2608" i="15"/>
  <c r="N2608" i="15"/>
  <c r="O2608" i="15"/>
  <c r="P2608" i="15"/>
  <c r="Q2608" i="15"/>
  <c r="T2608" i="15"/>
  <c r="U2608" i="15"/>
  <c r="V2608" i="15"/>
  <c r="W2608" i="15"/>
  <c r="X2608" i="15"/>
  <c r="Y2608" i="15"/>
  <c r="Z2608" i="15"/>
  <c r="AA2608" i="15"/>
  <c r="B2609" i="15"/>
  <c r="C2609" i="15"/>
  <c r="D2609" i="15"/>
  <c r="E2609" i="15"/>
  <c r="J2609" i="15"/>
  <c r="K2609" i="15"/>
  <c r="L2609" i="15"/>
  <c r="M2609" i="15"/>
  <c r="N2609" i="15"/>
  <c r="O2609" i="15"/>
  <c r="P2609" i="15"/>
  <c r="Q2609" i="15"/>
  <c r="T2609" i="15"/>
  <c r="U2609" i="15"/>
  <c r="V2609" i="15"/>
  <c r="W2609" i="15"/>
  <c r="X2609" i="15"/>
  <c r="Y2609" i="15"/>
  <c r="Z2609" i="15"/>
  <c r="AA2609" i="15"/>
  <c r="B2610" i="15"/>
  <c r="C2610" i="15"/>
  <c r="D2610" i="15"/>
  <c r="E2610" i="15"/>
  <c r="J2610" i="15"/>
  <c r="K2610" i="15"/>
  <c r="L2610" i="15"/>
  <c r="M2610" i="15"/>
  <c r="N2610" i="15"/>
  <c r="O2610" i="15"/>
  <c r="P2610" i="15"/>
  <c r="Q2610" i="15"/>
  <c r="T2610" i="15"/>
  <c r="U2610" i="15"/>
  <c r="V2610" i="15"/>
  <c r="W2610" i="15"/>
  <c r="X2610" i="15"/>
  <c r="Y2610" i="15"/>
  <c r="Z2610" i="15"/>
  <c r="AA2610" i="15"/>
  <c r="B2611" i="15"/>
  <c r="C2611" i="15"/>
  <c r="D2611" i="15"/>
  <c r="E2611" i="15"/>
  <c r="J2611" i="15"/>
  <c r="K2611" i="15"/>
  <c r="L2611" i="15"/>
  <c r="M2611" i="15"/>
  <c r="N2611" i="15"/>
  <c r="O2611" i="15"/>
  <c r="P2611" i="15"/>
  <c r="Q2611" i="15"/>
  <c r="T2611" i="15"/>
  <c r="U2611" i="15"/>
  <c r="V2611" i="15"/>
  <c r="W2611" i="15"/>
  <c r="X2611" i="15"/>
  <c r="Y2611" i="15"/>
  <c r="Z2611" i="15"/>
  <c r="AA2611" i="15"/>
  <c r="AA2" i="15"/>
  <c r="Z2" i="15"/>
  <c r="Y2" i="15"/>
  <c r="X2" i="15"/>
  <c r="W2" i="15"/>
  <c r="V2" i="15"/>
  <c r="U2" i="15"/>
  <c r="T2" i="15"/>
  <c r="Q2" i="15"/>
  <c r="P2" i="15"/>
  <c r="O2" i="15"/>
  <c r="N2" i="15"/>
  <c r="M2" i="15"/>
  <c r="L2" i="15"/>
  <c r="K2" i="15"/>
  <c r="J2" i="15"/>
  <c r="E2" i="15"/>
  <c r="D2" i="15"/>
  <c r="C2" i="15"/>
  <c r="B2" i="15"/>
  <c r="A1713" i="9" l="1"/>
  <c r="C2612" i="14"/>
  <c r="B2612" i="14"/>
  <c r="A2612" i="14"/>
  <c r="C2611" i="14"/>
  <c r="B2611" i="14"/>
  <c r="A2611" i="14"/>
  <c r="C2610" i="14"/>
  <c r="B2610" i="14"/>
  <c r="A2610" i="14"/>
  <c r="C2609" i="14"/>
  <c r="B2609" i="14"/>
  <c r="A2609" i="14"/>
  <c r="C2608" i="14"/>
  <c r="B2608" i="14"/>
  <c r="A2608" i="14"/>
  <c r="C2607" i="14"/>
  <c r="B2607" i="14"/>
  <c r="A2607" i="14"/>
  <c r="C2606" i="14"/>
  <c r="B2606" i="14"/>
  <c r="A2606" i="14"/>
  <c r="C2605" i="14"/>
  <c r="B2605" i="14"/>
  <c r="A2605" i="14"/>
  <c r="C2604" i="14"/>
  <c r="B2604" i="14"/>
  <c r="A2604" i="14"/>
  <c r="C2603" i="14"/>
  <c r="B2603" i="14"/>
  <c r="A2603" i="14"/>
  <c r="C2602" i="14"/>
  <c r="B2602" i="14"/>
  <c r="A2602" i="14"/>
  <c r="C2601" i="14"/>
  <c r="B2601" i="14"/>
  <c r="A2601" i="14"/>
  <c r="C2600" i="14"/>
  <c r="B2600" i="14"/>
  <c r="A2600" i="14"/>
  <c r="C2599" i="14"/>
  <c r="B2599" i="14"/>
  <c r="A2599" i="14"/>
  <c r="C2598" i="14"/>
  <c r="B2598" i="14"/>
  <c r="A2598" i="14"/>
  <c r="C2597" i="14"/>
  <c r="B2597" i="14"/>
  <c r="A2597" i="14"/>
  <c r="C2596" i="14"/>
  <c r="B2596" i="14"/>
  <c r="A2596" i="14"/>
  <c r="C2595" i="14"/>
  <c r="B2595" i="14"/>
  <c r="A2595" i="14"/>
  <c r="C2594" i="14"/>
  <c r="B2594" i="14"/>
  <c r="A2594" i="14"/>
  <c r="C2593" i="14"/>
  <c r="B2593" i="14"/>
  <c r="A2593" i="14"/>
  <c r="C2592" i="14"/>
  <c r="B2592" i="14"/>
  <c r="A2592" i="14"/>
  <c r="C2591" i="14"/>
  <c r="B2591" i="14"/>
  <c r="A2591" i="14"/>
  <c r="C2590" i="14"/>
  <c r="B2590" i="14"/>
  <c r="A2590" i="14"/>
  <c r="C2589" i="14"/>
  <c r="B2589" i="14"/>
  <c r="A2589" i="14"/>
  <c r="C2588" i="14"/>
  <c r="B2588" i="14"/>
  <c r="A2588" i="14"/>
  <c r="C2587" i="14"/>
  <c r="B2587" i="14"/>
  <c r="A2587" i="14"/>
  <c r="C2586" i="14"/>
  <c r="B2586" i="14"/>
  <c r="A2586" i="14"/>
  <c r="C2585" i="14"/>
  <c r="B2585" i="14"/>
  <c r="A2585" i="14"/>
  <c r="C2584" i="14"/>
  <c r="B2584" i="14"/>
  <c r="A2584" i="14"/>
  <c r="C2583" i="14"/>
  <c r="B2583" i="14"/>
  <c r="A2583" i="14"/>
  <c r="C2582" i="14"/>
  <c r="B2582" i="14"/>
  <c r="A2582" i="14"/>
  <c r="C2581" i="14"/>
  <c r="B2581" i="14"/>
  <c r="A2581" i="14"/>
  <c r="C2580" i="14"/>
  <c r="B2580" i="14"/>
  <c r="A2580" i="14"/>
  <c r="C2579" i="14"/>
  <c r="B2579" i="14"/>
  <c r="A2579" i="14"/>
  <c r="C2578" i="14"/>
  <c r="B2578" i="14"/>
  <c r="A2578" i="14"/>
  <c r="C2577" i="14"/>
  <c r="B2577" i="14"/>
  <c r="A2577" i="14"/>
  <c r="C2576" i="14"/>
  <c r="B2576" i="14"/>
  <c r="A2576" i="14"/>
  <c r="C2575" i="14"/>
  <c r="B2575" i="14"/>
  <c r="A2575" i="14"/>
  <c r="C2574" i="14"/>
  <c r="B2574" i="14"/>
  <c r="A2574" i="14"/>
  <c r="C2573" i="14"/>
  <c r="B2573" i="14"/>
  <c r="A2573" i="14"/>
  <c r="C2572" i="14"/>
  <c r="B2572" i="14"/>
  <c r="A2572" i="14"/>
  <c r="C2571" i="14"/>
  <c r="B2571" i="14"/>
  <c r="A2571" i="14"/>
  <c r="C2570" i="14"/>
  <c r="B2570" i="14"/>
  <c r="A2570" i="14"/>
  <c r="C2569" i="14"/>
  <c r="B2569" i="14"/>
  <c r="A2569" i="14"/>
  <c r="C2568" i="14"/>
  <c r="B2568" i="14"/>
  <c r="A2568" i="14"/>
  <c r="C2567" i="14"/>
  <c r="B2567" i="14"/>
  <c r="A2567" i="14"/>
  <c r="C2566" i="14"/>
  <c r="B2566" i="14"/>
  <c r="A2566" i="14"/>
  <c r="C2565" i="14"/>
  <c r="B2565" i="14"/>
  <c r="A2565" i="14"/>
  <c r="C2564" i="14"/>
  <c r="B2564" i="14"/>
  <c r="A2564" i="14"/>
  <c r="C2563" i="14"/>
  <c r="B2563" i="14"/>
  <c r="A2563" i="14"/>
  <c r="C2562" i="14"/>
  <c r="B2562" i="14"/>
  <c r="A2562" i="14"/>
  <c r="C2561" i="14"/>
  <c r="B2561" i="14"/>
  <c r="A2561" i="14"/>
  <c r="C2560" i="14"/>
  <c r="B2560" i="14"/>
  <c r="A2560" i="14"/>
  <c r="C2559" i="14"/>
  <c r="B2559" i="14"/>
  <c r="A2559" i="14"/>
  <c r="C2558" i="14"/>
  <c r="B2558" i="14"/>
  <c r="A2558" i="14"/>
  <c r="C2557" i="14"/>
  <c r="B2557" i="14"/>
  <c r="A2557" i="14"/>
  <c r="C2556" i="14"/>
  <c r="B2556" i="14"/>
  <c r="A2556" i="14"/>
  <c r="C2555" i="14"/>
  <c r="B2555" i="14"/>
  <c r="A2555" i="14"/>
  <c r="C2554" i="14"/>
  <c r="B2554" i="14"/>
  <c r="A2554" i="14"/>
  <c r="C2553" i="14"/>
  <c r="B2553" i="14"/>
  <c r="A2553" i="14"/>
  <c r="C2552" i="14"/>
  <c r="B2552" i="14"/>
  <c r="A2552" i="14"/>
  <c r="C2551" i="14"/>
  <c r="B2551" i="14"/>
  <c r="A2551" i="14"/>
  <c r="C2550" i="14"/>
  <c r="B2550" i="14"/>
  <c r="A2550" i="14"/>
  <c r="C2549" i="14"/>
  <c r="B2549" i="14"/>
  <c r="A2549" i="14"/>
  <c r="C2548" i="14"/>
  <c r="B2548" i="14"/>
  <c r="A2548" i="14"/>
  <c r="C2547" i="14"/>
  <c r="B2547" i="14"/>
  <c r="A2547" i="14"/>
  <c r="C2546" i="14"/>
  <c r="B2546" i="14"/>
  <c r="A2546" i="14"/>
  <c r="C2545" i="14"/>
  <c r="B2545" i="14"/>
  <c r="A2545" i="14"/>
  <c r="C2544" i="14"/>
  <c r="B2544" i="14"/>
  <c r="A2544" i="14"/>
  <c r="C2543" i="14"/>
  <c r="B2543" i="14"/>
  <c r="A2543" i="14"/>
  <c r="C2542" i="14"/>
  <c r="B2542" i="14"/>
  <c r="A2542" i="14"/>
  <c r="C2541" i="14"/>
  <c r="B2541" i="14"/>
  <c r="A2541" i="14"/>
  <c r="C2540" i="14"/>
  <c r="B2540" i="14"/>
  <c r="A2540" i="14"/>
  <c r="C2539" i="14"/>
  <c r="B2539" i="14"/>
  <c r="A2539" i="14"/>
  <c r="C2538" i="14"/>
  <c r="B2538" i="14"/>
  <c r="A2538" i="14"/>
  <c r="C2537" i="14"/>
  <c r="B2537" i="14"/>
  <c r="A2537" i="14"/>
  <c r="C2536" i="14"/>
  <c r="B2536" i="14"/>
  <c r="A2536" i="14"/>
  <c r="C2535" i="14"/>
  <c r="B2535" i="14"/>
  <c r="A2535" i="14"/>
  <c r="C2534" i="14"/>
  <c r="B2534" i="14"/>
  <c r="A2534" i="14"/>
  <c r="C2533" i="14"/>
  <c r="B2533" i="14"/>
  <c r="A2533" i="14"/>
  <c r="C2532" i="14"/>
  <c r="B2532" i="14"/>
  <c r="A2532" i="14"/>
  <c r="C2531" i="14"/>
  <c r="B2531" i="14"/>
  <c r="A2531" i="14"/>
  <c r="C2530" i="14"/>
  <c r="B2530" i="14"/>
  <c r="A2530" i="14"/>
  <c r="C2529" i="14"/>
  <c r="B2529" i="14"/>
  <c r="A2529" i="14"/>
  <c r="C2528" i="14"/>
  <c r="B2528" i="14"/>
  <c r="A2528" i="14"/>
  <c r="C2527" i="14"/>
  <c r="B2527" i="14"/>
  <c r="A2527" i="14"/>
  <c r="C2526" i="14"/>
  <c r="B2526" i="14"/>
  <c r="A2526" i="14"/>
  <c r="C2525" i="14"/>
  <c r="B2525" i="14"/>
  <c r="A2525" i="14"/>
  <c r="C2524" i="14"/>
  <c r="B2524" i="14"/>
  <c r="A2524" i="14"/>
  <c r="C2523" i="14"/>
  <c r="B2523" i="14"/>
  <c r="A2523" i="14"/>
  <c r="C2522" i="14"/>
  <c r="B2522" i="14"/>
  <c r="A2522" i="14"/>
  <c r="C2521" i="14"/>
  <c r="B2521" i="14"/>
  <c r="A2521" i="14"/>
  <c r="C2520" i="14"/>
  <c r="B2520" i="14"/>
  <c r="A2520" i="14"/>
  <c r="C2519" i="14"/>
  <c r="B2519" i="14"/>
  <c r="A2519" i="14"/>
  <c r="C2518" i="14"/>
  <c r="B2518" i="14"/>
  <c r="A2518" i="14"/>
  <c r="C2517" i="14"/>
  <c r="B2517" i="14"/>
  <c r="A2517" i="14"/>
  <c r="C2516" i="14"/>
  <c r="B2516" i="14"/>
  <c r="A2516" i="14"/>
  <c r="C2515" i="14"/>
  <c r="B2515" i="14"/>
  <c r="A2515" i="14"/>
  <c r="C2514" i="14"/>
  <c r="B2514" i="14"/>
  <c r="A2514" i="14"/>
  <c r="C2513" i="14"/>
  <c r="B2513" i="14"/>
  <c r="A2513" i="14"/>
  <c r="C2512" i="14"/>
  <c r="B2512" i="14"/>
  <c r="A2512" i="14"/>
  <c r="C2511" i="14"/>
  <c r="B2511" i="14"/>
  <c r="A2511" i="14"/>
  <c r="C2510" i="14"/>
  <c r="B2510" i="14"/>
  <c r="A2510" i="14"/>
  <c r="C2509" i="14"/>
  <c r="B2509" i="14"/>
  <c r="A2509" i="14"/>
  <c r="C2508" i="14"/>
  <c r="B2508" i="14"/>
  <c r="A2508" i="14"/>
  <c r="C2507" i="14"/>
  <c r="B2507" i="14"/>
  <c r="A2507" i="14"/>
  <c r="C2506" i="14"/>
  <c r="B2506" i="14"/>
  <c r="A2506" i="14"/>
  <c r="C2505" i="14"/>
  <c r="B2505" i="14"/>
  <c r="A2505" i="14"/>
  <c r="C2504" i="14"/>
  <c r="B2504" i="14"/>
  <c r="A2504" i="14"/>
  <c r="C2503" i="14"/>
  <c r="B2503" i="14"/>
  <c r="A2503" i="14"/>
  <c r="C2502" i="14"/>
  <c r="B2502" i="14"/>
  <c r="A2502" i="14"/>
  <c r="C2501" i="14"/>
  <c r="B2501" i="14"/>
  <c r="A2501" i="14"/>
  <c r="C2500" i="14"/>
  <c r="B2500" i="14"/>
  <c r="A2500" i="14"/>
  <c r="C2499" i="14"/>
  <c r="B2499" i="14"/>
  <c r="A2499" i="14"/>
  <c r="C2498" i="14"/>
  <c r="B2498" i="14"/>
  <c r="A2498" i="14"/>
  <c r="C2497" i="14"/>
  <c r="B2497" i="14"/>
  <c r="A2497" i="14"/>
  <c r="C2496" i="14"/>
  <c r="B2496" i="14"/>
  <c r="A2496" i="14"/>
  <c r="C2495" i="14"/>
  <c r="B2495" i="14"/>
  <c r="A2495" i="14"/>
  <c r="C2494" i="14"/>
  <c r="B2494" i="14"/>
  <c r="A2494" i="14"/>
  <c r="C2493" i="14"/>
  <c r="B2493" i="14"/>
  <c r="A2493" i="14"/>
  <c r="C2492" i="14"/>
  <c r="B2492" i="14"/>
  <c r="A2492" i="14"/>
  <c r="C2491" i="14"/>
  <c r="B2491" i="14"/>
  <c r="A2491" i="14"/>
  <c r="C2490" i="14"/>
  <c r="B2490" i="14"/>
  <c r="A2490" i="14"/>
  <c r="C2489" i="14"/>
  <c r="B2489" i="14"/>
  <c r="A2489" i="14"/>
  <c r="C2488" i="14"/>
  <c r="B2488" i="14"/>
  <c r="A2488" i="14"/>
  <c r="C2487" i="14"/>
  <c r="B2487" i="14"/>
  <c r="A2487" i="14"/>
  <c r="C2486" i="14"/>
  <c r="B2486" i="14"/>
  <c r="A2486" i="14"/>
  <c r="C2485" i="14"/>
  <c r="B2485" i="14"/>
  <c r="A2485" i="14"/>
  <c r="C2484" i="14"/>
  <c r="B2484" i="14"/>
  <c r="A2484" i="14"/>
  <c r="C2483" i="14"/>
  <c r="B2483" i="14"/>
  <c r="A2483" i="14"/>
  <c r="C2482" i="14"/>
  <c r="B2482" i="14"/>
  <c r="A2482" i="14"/>
  <c r="C2481" i="14"/>
  <c r="B2481" i="14"/>
  <c r="A2481" i="14"/>
  <c r="C2480" i="14"/>
  <c r="B2480" i="14"/>
  <c r="A2480" i="14"/>
  <c r="C2479" i="14"/>
  <c r="B2479" i="14"/>
  <c r="A2479" i="14"/>
  <c r="C2478" i="14"/>
  <c r="B2478" i="14"/>
  <c r="A2478" i="14"/>
  <c r="C2477" i="14"/>
  <c r="B2477" i="14"/>
  <c r="A2477" i="14"/>
  <c r="C2476" i="14"/>
  <c r="B2476" i="14"/>
  <c r="A2476" i="14"/>
  <c r="C2475" i="14"/>
  <c r="B2475" i="14"/>
  <c r="A2475" i="14"/>
  <c r="C2474" i="14"/>
  <c r="B2474" i="14"/>
  <c r="A2474" i="14"/>
  <c r="C2473" i="14"/>
  <c r="B2473" i="14"/>
  <c r="A2473" i="14"/>
  <c r="C2472" i="14"/>
  <c r="B2472" i="14"/>
  <c r="A2472" i="14"/>
  <c r="C2471" i="14"/>
  <c r="B2471" i="14"/>
  <c r="A2471" i="14"/>
  <c r="C2470" i="14"/>
  <c r="B2470" i="14"/>
  <c r="A2470" i="14"/>
  <c r="C2469" i="14"/>
  <c r="B2469" i="14"/>
  <c r="A2469" i="14"/>
  <c r="C2468" i="14"/>
  <c r="B2468" i="14"/>
  <c r="A2468" i="14"/>
  <c r="C2467" i="14"/>
  <c r="B2467" i="14"/>
  <c r="A2467" i="14"/>
  <c r="C2466" i="14"/>
  <c r="B2466" i="14"/>
  <c r="A2466" i="14"/>
  <c r="C2465" i="14"/>
  <c r="B2465" i="14"/>
  <c r="A2465" i="14"/>
  <c r="C2464" i="14"/>
  <c r="B2464" i="14"/>
  <c r="A2464" i="14"/>
  <c r="C2463" i="14"/>
  <c r="B2463" i="14"/>
  <c r="A2463" i="14"/>
  <c r="C2462" i="14"/>
  <c r="B2462" i="14"/>
  <c r="A2462" i="14"/>
  <c r="C2461" i="14"/>
  <c r="B2461" i="14"/>
  <c r="A2461" i="14"/>
  <c r="C2460" i="14"/>
  <c r="B2460" i="14"/>
  <c r="A2460" i="14"/>
  <c r="C2459" i="14"/>
  <c r="B2459" i="14"/>
  <c r="A2459" i="14"/>
  <c r="C2458" i="14"/>
  <c r="B2458" i="14"/>
  <c r="A2458" i="14"/>
  <c r="C2457" i="14"/>
  <c r="B2457" i="14"/>
  <c r="A2457" i="14"/>
  <c r="C2456" i="14"/>
  <c r="B2456" i="14"/>
  <c r="A2456" i="14"/>
  <c r="C2455" i="14"/>
  <c r="B2455" i="14"/>
  <c r="A2455" i="14"/>
  <c r="C2454" i="14"/>
  <c r="B2454" i="14"/>
  <c r="A2454" i="14"/>
  <c r="C2453" i="14"/>
  <c r="B2453" i="14"/>
  <c r="A2453" i="14"/>
  <c r="C2452" i="14"/>
  <c r="B2452" i="14"/>
  <c r="A2452" i="14"/>
  <c r="C2451" i="14"/>
  <c r="B2451" i="14"/>
  <c r="A2451" i="14"/>
  <c r="C2450" i="14"/>
  <c r="B2450" i="14"/>
  <c r="A2450" i="14"/>
  <c r="C2449" i="14"/>
  <c r="B2449" i="14"/>
  <c r="A2449" i="14"/>
  <c r="C2448" i="14"/>
  <c r="B2448" i="14"/>
  <c r="A2448" i="14"/>
  <c r="C2447" i="14"/>
  <c r="B2447" i="14"/>
  <c r="A2447" i="14"/>
  <c r="C2446" i="14"/>
  <c r="B2446" i="14"/>
  <c r="A2446" i="14"/>
  <c r="C2445" i="14"/>
  <c r="B2445" i="14"/>
  <c r="A2445" i="14"/>
  <c r="C2444" i="14"/>
  <c r="B2444" i="14"/>
  <c r="A2444" i="14"/>
  <c r="C2443" i="14"/>
  <c r="B2443" i="14"/>
  <c r="A2443" i="14"/>
  <c r="C2442" i="14"/>
  <c r="B2442" i="14"/>
  <c r="A2442" i="14"/>
  <c r="C2441" i="14"/>
  <c r="B2441" i="14"/>
  <c r="A2441" i="14"/>
  <c r="C2440" i="14"/>
  <c r="B2440" i="14"/>
  <c r="A2440" i="14"/>
  <c r="C2439" i="14"/>
  <c r="B2439" i="14"/>
  <c r="A2439" i="14"/>
  <c r="C2438" i="14"/>
  <c r="B2438" i="14"/>
  <c r="A2438" i="14"/>
  <c r="C2437" i="14"/>
  <c r="B2437" i="14"/>
  <c r="A2437" i="14"/>
  <c r="C2436" i="14"/>
  <c r="B2436" i="14"/>
  <c r="A2436" i="14"/>
  <c r="C2435" i="14"/>
  <c r="B2435" i="14"/>
  <c r="A2435" i="14"/>
  <c r="C2434" i="14"/>
  <c r="B2434" i="14"/>
  <c r="A2434" i="14"/>
  <c r="C2433" i="14"/>
  <c r="B2433" i="14"/>
  <c r="A2433" i="14"/>
  <c r="C2432" i="14"/>
  <c r="B2432" i="14"/>
  <c r="A2432" i="14"/>
  <c r="C2431" i="14"/>
  <c r="B2431" i="14"/>
  <c r="A2431" i="14"/>
  <c r="C2430" i="14"/>
  <c r="B2430" i="14"/>
  <c r="A2430" i="14"/>
  <c r="C2429" i="14"/>
  <c r="B2429" i="14"/>
  <c r="A2429" i="14"/>
  <c r="C2428" i="14"/>
  <c r="B2428" i="14"/>
  <c r="A2428" i="14"/>
  <c r="C2427" i="14"/>
  <c r="B2427" i="14"/>
  <c r="A2427" i="14"/>
  <c r="C2426" i="14"/>
  <c r="B2426" i="14"/>
  <c r="A2426" i="14"/>
  <c r="C2425" i="14"/>
  <c r="B2425" i="14"/>
  <c r="A2425" i="14"/>
  <c r="C2424" i="14"/>
  <c r="B2424" i="14"/>
  <c r="A2424" i="14"/>
  <c r="C2423" i="14"/>
  <c r="B2423" i="14"/>
  <c r="A2423" i="14"/>
  <c r="C2422" i="14"/>
  <c r="B2422" i="14"/>
  <c r="A2422" i="14"/>
  <c r="C2421" i="14"/>
  <c r="B2421" i="14"/>
  <c r="A2421" i="14"/>
  <c r="C2420" i="14"/>
  <c r="B2420" i="14"/>
  <c r="A2420" i="14"/>
  <c r="C2419" i="14"/>
  <c r="B2419" i="14"/>
  <c r="A2419" i="14"/>
  <c r="C2418" i="14"/>
  <c r="B2418" i="14"/>
  <c r="A2418" i="14"/>
  <c r="C2417" i="14"/>
  <c r="B2417" i="14"/>
  <c r="A2417" i="14"/>
  <c r="C2416" i="14"/>
  <c r="B2416" i="14"/>
  <c r="A2416" i="14"/>
  <c r="C2415" i="14"/>
  <c r="B2415" i="14"/>
  <c r="A2415" i="14"/>
  <c r="C2414" i="14"/>
  <c r="B2414" i="14"/>
  <c r="A2414" i="14"/>
  <c r="C2413" i="14"/>
  <c r="B2413" i="14"/>
  <c r="A2413" i="14"/>
  <c r="C2412" i="14"/>
  <c r="B2412" i="14"/>
  <c r="A2412" i="14"/>
  <c r="C2411" i="14"/>
  <c r="B2411" i="14"/>
  <c r="A2411" i="14"/>
  <c r="C2410" i="14"/>
  <c r="B2410" i="14"/>
  <c r="A2410" i="14"/>
  <c r="C2409" i="14"/>
  <c r="B2409" i="14"/>
  <c r="A2409" i="14"/>
  <c r="C2408" i="14"/>
  <c r="B2408" i="14"/>
  <c r="A2408" i="14"/>
  <c r="C2407" i="14"/>
  <c r="B2407" i="14"/>
  <c r="A2407" i="14"/>
  <c r="C2406" i="14"/>
  <c r="B2406" i="14"/>
  <c r="A2406" i="14"/>
  <c r="C2405" i="14"/>
  <c r="B2405" i="14"/>
  <c r="A2405" i="14"/>
  <c r="C2404" i="14"/>
  <c r="B2404" i="14"/>
  <c r="A2404" i="14"/>
  <c r="C2403" i="14"/>
  <c r="B2403" i="14"/>
  <c r="A2403" i="14"/>
  <c r="C2402" i="14"/>
  <c r="B2402" i="14"/>
  <c r="A2402" i="14"/>
  <c r="C2401" i="14"/>
  <c r="B2401" i="14"/>
  <c r="A2401" i="14"/>
  <c r="C2400" i="14"/>
  <c r="B2400" i="14"/>
  <c r="A2400" i="14"/>
  <c r="C2399" i="14"/>
  <c r="B2399" i="14"/>
  <c r="A2399" i="14"/>
  <c r="C2398" i="14"/>
  <c r="B2398" i="14"/>
  <c r="A2398" i="14"/>
  <c r="C2397" i="14"/>
  <c r="B2397" i="14"/>
  <c r="A2397" i="14"/>
  <c r="C2396" i="14"/>
  <c r="B2396" i="14"/>
  <c r="A2396" i="14"/>
  <c r="C2395" i="14"/>
  <c r="B2395" i="14"/>
  <c r="A2395" i="14"/>
  <c r="C2394" i="14"/>
  <c r="B2394" i="14"/>
  <c r="A2394" i="14"/>
  <c r="C2393" i="14"/>
  <c r="B2393" i="14"/>
  <c r="A2393" i="14"/>
  <c r="C2392" i="14"/>
  <c r="B2392" i="14"/>
  <c r="A2392" i="14"/>
  <c r="C2391" i="14"/>
  <c r="B2391" i="14"/>
  <c r="A2391" i="14"/>
  <c r="C2390" i="14"/>
  <c r="B2390" i="14"/>
  <c r="A2390" i="14"/>
  <c r="C2389" i="14"/>
  <c r="B2389" i="14"/>
  <c r="A2389" i="14"/>
  <c r="C2388" i="14"/>
  <c r="B2388" i="14"/>
  <c r="A2388" i="14"/>
  <c r="C2387" i="14"/>
  <c r="B2387" i="14"/>
  <c r="A2387" i="14"/>
  <c r="C2386" i="14"/>
  <c r="B2386" i="14"/>
  <c r="A2386" i="14"/>
  <c r="C2385" i="14"/>
  <c r="B2385" i="14"/>
  <c r="A2385" i="14"/>
  <c r="C2384" i="14"/>
  <c r="B2384" i="14"/>
  <c r="A2384" i="14"/>
  <c r="C2383" i="14"/>
  <c r="B2383" i="14"/>
  <c r="A2383" i="14"/>
  <c r="C2382" i="14"/>
  <c r="B2382" i="14"/>
  <c r="A2382" i="14"/>
  <c r="C2381" i="14"/>
  <c r="B2381" i="14"/>
  <c r="A2381" i="14"/>
  <c r="C2380" i="14"/>
  <c r="B2380" i="14"/>
  <c r="A2380" i="14"/>
  <c r="C2379" i="14"/>
  <c r="B2379" i="14"/>
  <c r="A2379" i="14"/>
  <c r="C2378" i="14"/>
  <c r="B2378" i="14"/>
  <c r="A2378" i="14"/>
  <c r="C2377" i="14"/>
  <c r="B2377" i="14"/>
  <c r="A2377" i="14"/>
  <c r="C2376" i="14"/>
  <c r="B2376" i="14"/>
  <c r="A2376" i="14"/>
  <c r="C2375" i="14"/>
  <c r="B2375" i="14"/>
  <c r="A2375" i="14"/>
  <c r="C2374" i="14"/>
  <c r="B2374" i="14"/>
  <c r="A2374" i="14"/>
  <c r="C2373" i="14"/>
  <c r="B2373" i="14"/>
  <c r="A2373" i="14"/>
  <c r="C2372" i="14"/>
  <c r="B2372" i="14"/>
  <c r="A2372" i="14"/>
  <c r="C2371" i="14"/>
  <c r="B2371" i="14"/>
  <c r="A2371" i="14"/>
  <c r="C2370" i="14"/>
  <c r="B2370" i="14"/>
  <c r="A2370" i="14"/>
  <c r="C2369" i="14"/>
  <c r="B2369" i="14"/>
  <c r="A2369" i="14"/>
  <c r="C2368" i="14"/>
  <c r="B2368" i="14"/>
  <c r="A2368" i="14"/>
  <c r="C2367" i="14"/>
  <c r="B2367" i="14"/>
  <c r="A2367" i="14"/>
  <c r="C2366" i="14"/>
  <c r="B2366" i="14"/>
  <c r="A2366" i="14"/>
  <c r="C2365" i="14"/>
  <c r="B2365" i="14"/>
  <c r="A2365" i="14"/>
  <c r="C2364" i="14"/>
  <c r="B2364" i="14"/>
  <c r="A2364" i="14"/>
  <c r="C2363" i="14"/>
  <c r="B2363" i="14"/>
  <c r="A2363" i="14"/>
  <c r="C2362" i="14"/>
  <c r="B2362" i="14"/>
  <c r="A2362" i="14"/>
  <c r="C2361" i="14"/>
  <c r="B2361" i="14"/>
  <c r="A2361" i="14"/>
  <c r="C2360" i="14"/>
  <c r="B2360" i="14"/>
  <c r="A2360" i="14"/>
  <c r="C2359" i="14"/>
  <c r="B2359" i="14"/>
  <c r="A2359" i="14"/>
  <c r="C2358" i="14"/>
  <c r="B2358" i="14"/>
  <c r="A2358" i="14"/>
  <c r="C2357" i="14"/>
  <c r="B2357" i="14"/>
  <c r="A2357" i="14"/>
  <c r="C2356" i="14"/>
  <c r="B2356" i="14"/>
  <c r="A2356" i="14"/>
  <c r="C2355" i="14"/>
  <c r="B2355" i="14"/>
  <c r="A2355" i="14"/>
  <c r="C2354" i="14"/>
  <c r="B2354" i="14"/>
  <c r="A2354" i="14"/>
  <c r="C2353" i="14"/>
  <c r="B2353" i="14"/>
  <c r="A2353" i="14"/>
  <c r="C2352" i="14"/>
  <c r="B2352" i="14"/>
  <c r="A2352" i="14"/>
  <c r="C2351" i="14"/>
  <c r="B2351" i="14"/>
  <c r="A2351" i="14"/>
  <c r="C2350" i="14"/>
  <c r="B2350" i="14"/>
  <c r="A2350" i="14"/>
  <c r="C2349" i="14"/>
  <c r="B2349" i="14"/>
  <c r="A2349" i="14"/>
  <c r="C2348" i="14"/>
  <c r="B2348" i="14"/>
  <c r="A2348" i="14"/>
  <c r="C2347" i="14"/>
  <c r="B2347" i="14"/>
  <c r="A2347" i="14"/>
  <c r="C2346" i="14"/>
  <c r="B2346" i="14"/>
  <c r="A2346" i="14"/>
  <c r="C2345" i="14"/>
  <c r="B2345" i="14"/>
  <c r="A2345" i="14"/>
  <c r="C2344" i="14"/>
  <c r="B2344" i="14"/>
  <c r="A2344" i="14"/>
  <c r="C2343" i="14"/>
  <c r="B2343" i="14"/>
  <c r="A2343" i="14"/>
  <c r="C2342" i="14"/>
  <c r="B2342" i="14"/>
  <c r="A2342" i="14"/>
  <c r="C2341" i="14"/>
  <c r="B2341" i="14"/>
  <c r="A2341" i="14"/>
  <c r="C2340" i="14"/>
  <c r="B2340" i="14"/>
  <c r="A2340" i="14"/>
  <c r="C2339" i="14"/>
  <c r="B2339" i="14"/>
  <c r="A2339" i="14"/>
  <c r="C2338" i="14"/>
  <c r="B2338" i="14"/>
  <c r="A2338" i="14"/>
  <c r="C2337" i="14"/>
  <c r="B2337" i="14"/>
  <c r="A2337" i="14"/>
  <c r="C2336" i="14"/>
  <c r="B2336" i="14"/>
  <c r="A2336" i="14"/>
  <c r="C2335" i="14"/>
  <c r="B2335" i="14"/>
  <c r="A2335" i="14"/>
  <c r="C2334" i="14"/>
  <c r="B2334" i="14"/>
  <c r="A2334" i="14"/>
  <c r="C2333" i="14"/>
  <c r="B2333" i="14"/>
  <c r="A2333" i="14"/>
  <c r="C2332" i="14"/>
  <c r="B2332" i="14"/>
  <c r="A2332" i="14"/>
  <c r="C2331" i="14"/>
  <c r="B2331" i="14"/>
  <c r="A2331" i="14"/>
  <c r="C2330" i="14"/>
  <c r="B2330" i="14"/>
  <c r="A2330" i="14"/>
  <c r="C2329" i="14"/>
  <c r="B2329" i="14"/>
  <c r="A2329" i="14"/>
  <c r="C2328" i="14"/>
  <c r="B2328" i="14"/>
  <c r="A2328" i="14"/>
  <c r="C2327" i="14"/>
  <c r="B2327" i="14"/>
  <c r="A2327" i="14"/>
  <c r="C2326" i="14"/>
  <c r="B2326" i="14"/>
  <c r="A2326" i="14"/>
  <c r="C2325" i="14"/>
  <c r="B2325" i="14"/>
  <c r="A2325" i="14"/>
  <c r="C2324" i="14"/>
  <c r="B2324" i="14"/>
  <c r="A2324" i="14"/>
  <c r="C2323" i="14"/>
  <c r="B2323" i="14"/>
  <c r="A2323" i="14"/>
  <c r="C2322" i="14"/>
  <c r="B2322" i="14"/>
  <c r="A2322" i="14"/>
  <c r="C2321" i="14"/>
  <c r="B2321" i="14"/>
  <c r="A2321" i="14"/>
  <c r="C2320" i="14"/>
  <c r="B2320" i="14"/>
  <c r="A2320" i="14"/>
  <c r="C2319" i="14"/>
  <c r="B2319" i="14"/>
  <c r="A2319" i="14"/>
  <c r="C2318" i="14"/>
  <c r="B2318" i="14"/>
  <c r="A2318" i="14"/>
  <c r="C2317" i="14"/>
  <c r="B2317" i="14"/>
  <c r="A2317" i="14"/>
  <c r="C2316" i="14"/>
  <c r="B2316" i="14"/>
  <c r="A2316" i="14"/>
  <c r="C2315" i="14"/>
  <c r="B2315" i="14"/>
  <c r="A2315" i="14"/>
  <c r="C2314" i="14"/>
  <c r="B2314" i="14"/>
  <c r="A2314" i="14"/>
  <c r="C2313" i="14"/>
  <c r="B2313" i="14"/>
  <c r="A2313" i="14"/>
  <c r="C2312" i="14"/>
  <c r="B2312" i="14"/>
  <c r="A2312" i="14"/>
  <c r="C2311" i="14"/>
  <c r="B2311" i="14"/>
  <c r="A2311" i="14"/>
  <c r="C2310" i="14"/>
  <c r="B2310" i="14"/>
  <c r="A2310" i="14"/>
  <c r="C2309" i="14"/>
  <c r="B2309" i="14"/>
  <c r="A2309" i="14"/>
  <c r="C2308" i="14"/>
  <c r="B2308" i="14"/>
  <c r="A2308" i="14"/>
  <c r="C2307" i="14"/>
  <c r="B2307" i="14"/>
  <c r="A2307" i="14"/>
  <c r="C2306" i="14"/>
  <c r="B2306" i="14"/>
  <c r="A2306" i="14"/>
  <c r="C2305" i="14"/>
  <c r="B2305" i="14"/>
  <c r="A2305" i="14"/>
  <c r="C2304" i="14"/>
  <c r="B2304" i="14"/>
  <c r="A2304" i="14"/>
  <c r="C2303" i="14"/>
  <c r="B2303" i="14"/>
  <c r="A2303" i="14"/>
  <c r="C2302" i="14"/>
  <c r="B2302" i="14"/>
  <c r="A2302" i="14"/>
  <c r="C2301" i="14"/>
  <c r="B2301" i="14"/>
  <c r="A2301" i="14"/>
  <c r="C2300" i="14"/>
  <c r="B2300" i="14"/>
  <c r="A2300" i="14"/>
  <c r="C2299" i="14"/>
  <c r="B2299" i="14"/>
  <c r="A2299" i="14"/>
  <c r="C2298" i="14"/>
  <c r="B2298" i="14"/>
  <c r="A2298" i="14"/>
  <c r="C2297" i="14"/>
  <c r="B2297" i="14"/>
  <c r="A2297" i="14"/>
  <c r="C2296" i="14"/>
  <c r="B2296" i="14"/>
  <c r="A2296" i="14"/>
  <c r="C2295" i="14"/>
  <c r="B2295" i="14"/>
  <c r="A2295" i="14"/>
  <c r="C2294" i="14"/>
  <c r="B2294" i="14"/>
  <c r="A2294" i="14"/>
  <c r="C2293" i="14"/>
  <c r="B2293" i="14"/>
  <c r="A2293" i="14"/>
  <c r="C2292" i="14"/>
  <c r="B2292" i="14"/>
  <c r="A2292" i="14"/>
  <c r="C2291" i="14"/>
  <c r="B2291" i="14"/>
  <c r="A2291" i="14"/>
  <c r="C2290" i="14"/>
  <c r="B2290" i="14"/>
  <c r="A2290" i="14"/>
  <c r="C2289" i="14"/>
  <c r="B2289" i="14"/>
  <c r="A2289" i="14"/>
  <c r="C2288" i="14"/>
  <c r="B2288" i="14"/>
  <c r="A2288" i="14"/>
  <c r="C2287" i="14"/>
  <c r="B2287" i="14"/>
  <c r="A2287" i="14"/>
  <c r="C2286" i="14"/>
  <c r="B2286" i="14"/>
  <c r="A2286" i="14"/>
  <c r="C2285" i="14"/>
  <c r="B2285" i="14"/>
  <c r="A2285" i="14"/>
  <c r="C2284" i="14"/>
  <c r="B2284" i="14"/>
  <c r="A2284" i="14"/>
  <c r="C2283" i="14"/>
  <c r="B2283" i="14"/>
  <c r="A2283" i="14"/>
  <c r="C2282" i="14"/>
  <c r="B2282" i="14"/>
  <c r="A2282" i="14"/>
  <c r="C2281" i="14"/>
  <c r="B2281" i="14"/>
  <c r="A2281" i="14"/>
  <c r="C2280" i="14"/>
  <c r="B2280" i="14"/>
  <c r="A2280" i="14"/>
  <c r="C2279" i="14"/>
  <c r="B2279" i="14"/>
  <c r="A2279" i="14"/>
  <c r="C2278" i="14"/>
  <c r="B2278" i="14"/>
  <c r="A2278" i="14"/>
  <c r="C2277" i="14"/>
  <c r="B2277" i="14"/>
  <c r="A2277" i="14"/>
  <c r="C2276" i="14"/>
  <c r="B2276" i="14"/>
  <c r="A2276" i="14"/>
  <c r="C2275" i="14"/>
  <c r="B2275" i="14"/>
  <c r="A2275" i="14"/>
  <c r="C2274" i="14"/>
  <c r="B2274" i="14"/>
  <c r="A2274" i="14"/>
  <c r="C2273" i="14"/>
  <c r="B2273" i="14"/>
  <c r="A2273" i="14"/>
  <c r="C2272" i="14"/>
  <c r="B2272" i="14"/>
  <c r="A2272" i="14"/>
  <c r="C2271" i="14"/>
  <c r="B2271" i="14"/>
  <c r="A2271" i="14"/>
  <c r="C2270" i="14"/>
  <c r="B2270" i="14"/>
  <c r="A2270" i="14"/>
  <c r="C2269" i="14"/>
  <c r="B2269" i="14"/>
  <c r="A2269" i="14"/>
  <c r="C2268" i="14"/>
  <c r="B2268" i="14"/>
  <c r="A2268" i="14"/>
  <c r="C2267" i="14"/>
  <c r="B2267" i="14"/>
  <c r="A2267" i="14"/>
  <c r="C2266" i="14"/>
  <c r="B2266" i="14"/>
  <c r="A2266" i="14"/>
  <c r="C2265" i="14"/>
  <c r="B2265" i="14"/>
  <c r="A2265" i="14"/>
  <c r="C2264" i="14"/>
  <c r="B2264" i="14"/>
  <c r="A2264" i="14"/>
  <c r="C2263" i="14"/>
  <c r="B2263" i="14"/>
  <c r="A2263" i="14"/>
  <c r="C2262" i="14"/>
  <c r="B2262" i="14"/>
  <c r="A2262" i="14"/>
  <c r="C2261" i="14"/>
  <c r="B2261" i="14"/>
  <c r="A2261" i="14"/>
  <c r="C2260" i="14"/>
  <c r="B2260" i="14"/>
  <c r="A2260" i="14"/>
  <c r="C2259" i="14"/>
  <c r="B2259" i="14"/>
  <c r="A2259" i="14"/>
  <c r="C2258" i="14"/>
  <c r="B2258" i="14"/>
  <c r="A2258" i="14"/>
  <c r="C2257" i="14"/>
  <c r="B2257" i="14"/>
  <c r="A2257" i="14"/>
  <c r="C2256" i="14"/>
  <c r="B2256" i="14"/>
  <c r="A2256" i="14"/>
  <c r="C2255" i="14"/>
  <c r="B2255" i="14"/>
  <c r="A2255" i="14"/>
  <c r="C2254" i="14"/>
  <c r="B2254" i="14"/>
  <c r="A2254" i="14"/>
  <c r="C2253" i="14"/>
  <c r="B2253" i="14"/>
  <c r="A2253" i="14"/>
  <c r="C2252" i="14"/>
  <c r="B2252" i="14"/>
  <c r="A2252" i="14"/>
  <c r="C2251" i="14"/>
  <c r="B2251" i="14"/>
  <c r="A2251" i="14"/>
  <c r="C2250" i="14"/>
  <c r="B2250" i="14"/>
  <c r="A2250" i="14"/>
  <c r="C2249" i="14"/>
  <c r="B2249" i="14"/>
  <c r="A2249" i="14"/>
  <c r="C2248" i="14"/>
  <c r="B2248" i="14"/>
  <c r="A2248" i="14"/>
  <c r="C2247" i="14"/>
  <c r="B2247" i="14"/>
  <c r="A2247" i="14"/>
  <c r="C2246" i="14"/>
  <c r="B2246" i="14"/>
  <c r="A2246" i="14"/>
  <c r="C2245" i="14"/>
  <c r="B2245" i="14"/>
  <c r="A2245" i="14"/>
  <c r="C2244" i="14"/>
  <c r="B2244" i="14"/>
  <c r="A2244" i="14"/>
  <c r="C2243" i="14"/>
  <c r="B2243" i="14"/>
  <c r="A2243" i="14"/>
  <c r="C2242" i="14"/>
  <c r="B2242" i="14"/>
  <c r="A2242" i="14"/>
  <c r="C2241" i="14"/>
  <c r="B2241" i="14"/>
  <c r="A2241" i="14"/>
  <c r="C2240" i="14"/>
  <c r="B2240" i="14"/>
  <c r="A2240" i="14"/>
  <c r="C2239" i="14"/>
  <c r="B2239" i="14"/>
  <c r="A2239" i="14"/>
  <c r="C2238" i="14"/>
  <c r="B2238" i="14"/>
  <c r="A2238" i="14"/>
  <c r="C2237" i="14"/>
  <c r="B2237" i="14"/>
  <c r="A2237" i="14"/>
  <c r="C2236" i="14"/>
  <c r="B2236" i="14"/>
  <c r="A2236" i="14"/>
  <c r="C2235" i="14"/>
  <c r="B2235" i="14"/>
  <c r="A2235" i="14"/>
  <c r="C2234" i="14"/>
  <c r="B2234" i="14"/>
  <c r="A2234" i="14"/>
  <c r="C2233" i="14"/>
  <c r="B2233" i="14"/>
  <c r="A2233" i="14"/>
  <c r="C2232" i="14"/>
  <c r="B2232" i="14"/>
  <c r="A2232" i="14"/>
  <c r="C2231" i="14"/>
  <c r="B2231" i="14"/>
  <c r="A2231" i="14"/>
  <c r="C2230" i="14"/>
  <c r="B2230" i="14"/>
  <c r="A2230" i="14"/>
  <c r="C2229" i="14"/>
  <c r="B2229" i="14"/>
  <c r="A2229" i="14"/>
  <c r="C2228" i="14"/>
  <c r="B2228" i="14"/>
  <c r="A2228" i="14"/>
  <c r="C2227" i="14"/>
  <c r="B2227" i="14"/>
  <c r="A2227" i="14"/>
  <c r="C2226" i="14"/>
  <c r="B2226" i="14"/>
  <c r="A2226" i="14"/>
  <c r="C2225" i="14"/>
  <c r="B2225" i="14"/>
  <c r="A2225" i="14"/>
  <c r="C2224" i="14"/>
  <c r="B2224" i="14"/>
  <c r="A2224" i="14"/>
  <c r="C2223" i="14"/>
  <c r="B2223" i="14"/>
  <c r="A2223" i="14"/>
  <c r="C2222" i="14"/>
  <c r="B2222" i="14"/>
  <c r="A2222" i="14"/>
  <c r="C2221" i="14"/>
  <c r="B2221" i="14"/>
  <c r="A2221" i="14"/>
  <c r="C2220" i="14"/>
  <c r="B2220" i="14"/>
  <c r="A2220" i="14"/>
  <c r="C2219" i="14"/>
  <c r="B2219" i="14"/>
  <c r="A2219" i="14"/>
  <c r="C2218" i="14"/>
  <c r="B2218" i="14"/>
  <c r="A2218" i="14"/>
  <c r="C2217" i="14"/>
  <c r="B2217" i="14"/>
  <c r="A2217" i="14"/>
  <c r="C2216" i="14"/>
  <c r="B2216" i="14"/>
  <c r="A2216" i="14"/>
  <c r="C2215" i="14"/>
  <c r="B2215" i="14"/>
  <c r="A2215" i="14"/>
  <c r="C2214" i="14"/>
  <c r="B2214" i="14"/>
  <c r="A2214" i="14"/>
  <c r="C2213" i="14"/>
  <c r="B2213" i="14"/>
  <c r="A2213" i="14"/>
  <c r="C2212" i="14"/>
  <c r="B2212" i="14"/>
  <c r="A2212" i="14"/>
  <c r="C2211" i="14"/>
  <c r="B2211" i="14"/>
  <c r="A2211" i="14"/>
  <c r="C2210" i="14"/>
  <c r="B2210" i="14"/>
  <c r="A2210" i="14"/>
  <c r="C2209" i="14"/>
  <c r="B2209" i="14"/>
  <c r="A2209" i="14"/>
  <c r="C2208" i="14"/>
  <c r="B2208" i="14"/>
  <c r="A2208" i="14"/>
  <c r="C2207" i="14"/>
  <c r="B2207" i="14"/>
  <c r="A2207" i="14"/>
  <c r="C2206" i="14"/>
  <c r="B2206" i="14"/>
  <c r="A2206" i="14"/>
  <c r="C2205" i="14"/>
  <c r="B2205" i="14"/>
  <c r="A2205" i="14"/>
  <c r="C2204" i="14"/>
  <c r="B2204" i="14"/>
  <c r="A2204" i="14"/>
  <c r="C2203" i="14"/>
  <c r="B2203" i="14"/>
  <c r="A2203" i="14"/>
  <c r="C2202" i="14"/>
  <c r="B2202" i="14"/>
  <c r="A2202" i="14"/>
  <c r="C2201" i="14"/>
  <c r="B2201" i="14"/>
  <c r="A2201" i="14"/>
  <c r="C2200" i="14"/>
  <c r="B2200" i="14"/>
  <c r="A2200" i="14"/>
  <c r="C2199" i="14"/>
  <c r="B2199" i="14"/>
  <c r="A2199" i="14"/>
  <c r="C2198" i="14"/>
  <c r="B2198" i="14"/>
  <c r="A2198" i="14"/>
  <c r="C2197" i="14"/>
  <c r="B2197" i="14"/>
  <c r="A2197" i="14"/>
  <c r="C2196" i="14"/>
  <c r="B2196" i="14"/>
  <c r="A2196" i="14"/>
  <c r="C2195" i="14"/>
  <c r="B2195" i="14"/>
  <c r="A2195" i="14"/>
  <c r="C2194" i="14"/>
  <c r="B2194" i="14"/>
  <c r="A2194" i="14"/>
  <c r="C2193" i="14"/>
  <c r="B2193" i="14"/>
  <c r="A2193" i="14"/>
  <c r="C2192" i="14"/>
  <c r="B2192" i="14"/>
  <c r="A2192" i="14"/>
  <c r="C2191" i="14"/>
  <c r="B2191" i="14"/>
  <c r="A2191" i="14"/>
  <c r="C2190" i="14"/>
  <c r="B2190" i="14"/>
  <c r="A2190" i="14"/>
  <c r="C2189" i="14"/>
  <c r="B2189" i="14"/>
  <c r="A2189" i="14"/>
  <c r="C2188" i="14"/>
  <c r="B2188" i="14"/>
  <c r="A2188" i="14"/>
  <c r="C2187" i="14"/>
  <c r="B2187" i="14"/>
  <c r="A2187" i="14"/>
  <c r="C2186" i="14"/>
  <c r="B2186" i="14"/>
  <c r="A2186" i="14"/>
  <c r="C2185" i="14"/>
  <c r="B2185" i="14"/>
  <c r="A2185" i="14"/>
  <c r="C2184" i="14"/>
  <c r="B2184" i="14"/>
  <c r="A2184" i="14"/>
  <c r="C2183" i="14"/>
  <c r="B2183" i="14"/>
  <c r="A2183" i="14"/>
  <c r="C2182" i="14"/>
  <c r="B2182" i="14"/>
  <c r="A2182" i="14"/>
  <c r="C2181" i="14"/>
  <c r="B2181" i="14"/>
  <c r="A2181" i="14"/>
  <c r="C2180" i="14"/>
  <c r="B2180" i="14"/>
  <c r="A2180" i="14"/>
  <c r="C2179" i="14"/>
  <c r="B2179" i="14"/>
  <c r="A2179" i="14"/>
  <c r="C2178" i="14"/>
  <c r="B2178" i="14"/>
  <c r="A2178" i="14"/>
  <c r="C2177" i="14"/>
  <c r="B2177" i="14"/>
  <c r="A2177" i="14"/>
  <c r="C2176" i="14"/>
  <c r="B2176" i="14"/>
  <c r="A2176" i="14"/>
  <c r="C2175" i="14"/>
  <c r="B2175" i="14"/>
  <c r="A2175" i="14"/>
  <c r="C2174" i="14"/>
  <c r="B2174" i="14"/>
  <c r="A2174" i="14"/>
  <c r="C2173" i="14"/>
  <c r="B2173" i="14"/>
  <c r="A2173" i="14"/>
  <c r="C2172" i="14"/>
  <c r="B2172" i="14"/>
  <c r="A2172" i="14"/>
  <c r="C2171" i="14"/>
  <c r="B2171" i="14"/>
  <c r="A2171" i="14"/>
  <c r="C2170" i="14"/>
  <c r="B2170" i="14"/>
  <c r="A2170" i="14"/>
  <c r="C2169" i="14"/>
  <c r="B2169" i="14"/>
  <c r="A2169" i="14"/>
  <c r="C2168" i="14"/>
  <c r="B2168" i="14"/>
  <c r="A2168" i="14"/>
  <c r="C2167" i="14"/>
  <c r="B2167" i="14"/>
  <c r="A2167" i="14"/>
  <c r="C2166" i="14"/>
  <c r="B2166" i="14"/>
  <c r="A2166" i="14"/>
  <c r="C2165" i="14"/>
  <c r="B2165" i="14"/>
  <c r="A2165" i="14"/>
  <c r="C2164" i="14"/>
  <c r="B2164" i="14"/>
  <c r="A2164" i="14"/>
  <c r="C2163" i="14"/>
  <c r="B2163" i="14"/>
  <c r="A2163" i="14"/>
  <c r="C2162" i="14"/>
  <c r="B2162" i="14"/>
  <c r="A2162" i="14"/>
  <c r="C2161" i="14"/>
  <c r="B2161" i="14"/>
  <c r="A2161" i="14"/>
  <c r="C2160" i="14"/>
  <c r="B2160" i="14"/>
  <c r="A2160" i="14"/>
  <c r="C2159" i="14"/>
  <c r="B2159" i="14"/>
  <c r="A2159" i="14"/>
  <c r="C2158" i="14"/>
  <c r="B2158" i="14"/>
  <c r="A2158" i="14"/>
  <c r="C2157" i="14"/>
  <c r="B2157" i="14"/>
  <c r="A2157" i="14"/>
  <c r="C2156" i="14"/>
  <c r="B2156" i="14"/>
  <c r="A2156" i="14"/>
  <c r="C2155" i="14"/>
  <c r="B2155" i="14"/>
  <c r="A2155" i="14"/>
  <c r="C2154" i="14"/>
  <c r="B2154" i="14"/>
  <c r="A2154" i="14"/>
  <c r="C2153" i="14"/>
  <c r="B2153" i="14"/>
  <c r="A2153" i="14"/>
  <c r="C2152" i="14"/>
  <c r="B2152" i="14"/>
  <c r="A2152" i="14"/>
  <c r="C2151" i="14"/>
  <c r="B2151" i="14"/>
  <c r="A2151" i="14"/>
  <c r="C2150" i="14"/>
  <c r="B2150" i="14"/>
  <c r="A2150" i="14"/>
  <c r="C2149" i="14"/>
  <c r="B2149" i="14"/>
  <c r="A2149" i="14"/>
  <c r="C2148" i="14"/>
  <c r="B2148" i="14"/>
  <c r="A2148" i="14"/>
  <c r="C2147" i="14"/>
  <c r="B2147" i="14"/>
  <c r="A2147" i="14"/>
  <c r="C2146" i="14"/>
  <c r="B2146" i="14"/>
  <c r="A2146" i="14"/>
  <c r="C2145" i="14"/>
  <c r="B2145" i="14"/>
  <c r="A2145" i="14"/>
  <c r="C2144" i="14"/>
  <c r="B2144" i="14"/>
  <c r="A2144" i="14"/>
  <c r="C2143" i="14"/>
  <c r="B2143" i="14"/>
  <c r="A2143" i="14"/>
  <c r="C2142" i="14"/>
  <c r="B2142" i="14"/>
  <c r="A2142" i="14"/>
  <c r="C2141" i="14"/>
  <c r="B2141" i="14"/>
  <c r="A2141" i="14"/>
  <c r="C2140" i="14"/>
  <c r="B2140" i="14"/>
  <c r="A2140" i="14"/>
  <c r="C2139" i="14"/>
  <c r="B2139" i="14"/>
  <c r="A2139" i="14"/>
  <c r="C2138" i="14"/>
  <c r="B2138" i="14"/>
  <c r="A2138" i="14"/>
  <c r="C2137" i="14"/>
  <c r="B2137" i="14"/>
  <c r="A2137" i="14"/>
  <c r="C2136" i="14"/>
  <c r="B2136" i="14"/>
  <c r="A2136" i="14"/>
  <c r="C2135" i="14"/>
  <c r="B2135" i="14"/>
  <c r="A2135" i="14"/>
  <c r="C2134" i="14"/>
  <c r="B2134" i="14"/>
  <c r="A2134" i="14"/>
  <c r="C2133" i="14"/>
  <c r="B2133" i="14"/>
  <c r="A2133" i="14"/>
  <c r="C2132" i="14"/>
  <c r="B2132" i="14"/>
  <c r="A2132" i="14"/>
  <c r="C2131" i="14"/>
  <c r="B2131" i="14"/>
  <c r="A2131" i="14"/>
  <c r="C2130" i="14"/>
  <c r="B2130" i="14"/>
  <c r="A2130" i="14"/>
  <c r="C2129" i="14"/>
  <c r="B2129" i="14"/>
  <c r="A2129" i="14"/>
  <c r="C2128" i="14"/>
  <c r="B2128" i="14"/>
  <c r="A2128" i="14"/>
  <c r="C2127" i="14"/>
  <c r="B2127" i="14"/>
  <c r="A2127" i="14"/>
  <c r="C2126" i="14"/>
  <c r="B2126" i="14"/>
  <c r="A2126" i="14"/>
  <c r="C2125" i="14"/>
  <c r="B2125" i="14"/>
  <c r="A2125" i="14"/>
  <c r="C2124" i="14"/>
  <c r="B2124" i="14"/>
  <c r="A2124" i="14"/>
  <c r="C2123" i="14"/>
  <c r="B2123" i="14"/>
  <c r="A2123" i="14"/>
  <c r="C2122" i="14"/>
  <c r="B2122" i="14"/>
  <c r="A2122" i="14"/>
  <c r="C2121" i="14"/>
  <c r="B2121" i="14"/>
  <c r="A2121" i="14"/>
  <c r="C2120" i="14"/>
  <c r="B2120" i="14"/>
  <c r="A2120" i="14"/>
  <c r="C2119" i="14"/>
  <c r="B2119" i="14"/>
  <c r="A2119" i="14"/>
  <c r="C2118" i="14"/>
  <c r="B2118" i="14"/>
  <c r="A2118" i="14"/>
  <c r="C2117" i="14"/>
  <c r="B2117" i="14"/>
  <c r="A2117" i="14"/>
  <c r="C2116" i="14"/>
  <c r="B2116" i="14"/>
  <c r="A2116" i="14"/>
  <c r="C2115" i="14"/>
  <c r="B2115" i="14"/>
  <c r="A2115" i="14"/>
  <c r="C2114" i="14"/>
  <c r="B2114" i="14"/>
  <c r="A2114" i="14"/>
  <c r="C2113" i="14"/>
  <c r="B2113" i="14"/>
  <c r="A2113" i="14"/>
  <c r="C2112" i="14"/>
  <c r="B2112" i="14"/>
  <c r="A2112" i="14"/>
  <c r="C2111" i="14"/>
  <c r="B2111" i="14"/>
  <c r="A2111" i="14"/>
  <c r="C2110" i="14"/>
  <c r="B2110" i="14"/>
  <c r="A2110" i="14"/>
  <c r="C2109" i="14"/>
  <c r="B2109" i="14"/>
  <c r="A2109" i="14"/>
  <c r="C2108" i="14"/>
  <c r="B2108" i="14"/>
  <c r="A2108" i="14"/>
  <c r="C2107" i="14"/>
  <c r="B2107" i="14"/>
  <c r="A2107" i="14"/>
  <c r="C2106" i="14"/>
  <c r="B2106" i="14"/>
  <c r="A2106" i="14"/>
  <c r="C2105" i="14"/>
  <c r="B2105" i="14"/>
  <c r="A2105" i="14"/>
  <c r="C2104" i="14"/>
  <c r="B2104" i="14"/>
  <c r="A2104" i="14"/>
  <c r="C2103" i="14"/>
  <c r="B2103" i="14"/>
  <c r="A2103" i="14"/>
  <c r="C2102" i="14"/>
  <c r="B2102" i="14"/>
  <c r="A2102" i="14"/>
  <c r="C2101" i="14"/>
  <c r="B2101" i="14"/>
  <c r="A2101" i="14"/>
  <c r="C2100" i="14"/>
  <c r="B2100" i="14"/>
  <c r="A2100" i="14"/>
  <c r="C2099" i="14"/>
  <c r="B2099" i="14"/>
  <c r="A2099" i="14"/>
  <c r="C2098" i="14"/>
  <c r="B2098" i="14"/>
  <c r="A2098" i="14"/>
  <c r="C2097" i="14"/>
  <c r="B2097" i="14"/>
  <c r="A2097" i="14"/>
  <c r="C2096" i="14"/>
  <c r="B2096" i="14"/>
  <c r="A2096" i="14"/>
  <c r="C2095" i="14"/>
  <c r="B2095" i="14"/>
  <c r="A2095" i="14"/>
  <c r="C2094" i="14"/>
  <c r="B2094" i="14"/>
  <c r="A2094" i="14"/>
  <c r="C2093" i="14"/>
  <c r="B2093" i="14"/>
  <c r="A2093" i="14"/>
  <c r="C2092" i="14"/>
  <c r="B2092" i="14"/>
  <c r="A2092" i="14"/>
  <c r="C2091" i="14"/>
  <c r="B2091" i="14"/>
  <c r="A2091" i="14"/>
  <c r="C2090" i="14"/>
  <c r="B2090" i="14"/>
  <c r="A2090" i="14"/>
  <c r="C2089" i="14"/>
  <c r="B2089" i="14"/>
  <c r="A2089" i="14"/>
  <c r="C2088" i="14"/>
  <c r="B2088" i="14"/>
  <c r="A2088" i="14"/>
  <c r="C2087" i="14"/>
  <c r="B2087" i="14"/>
  <c r="A2087" i="14"/>
  <c r="C2086" i="14"/>
  <c r="B2086" i="14"/>
  <c r="A2086" i="14"/>
  <c r="C2085" i="14"/>
  <c r="B2085" i="14"/>
  <c r="A2085" i="14"/>
  <c r="C2084" i="14"/>
  <c r="B2084" i="14"/>
  <c r="A2084" i="14"/>
  <c r="C2083" i="14"/>
  <c r="B2083" i="14"/>
  <c r="A2083" i="14"/>
  <c r="C2082" i="14"/>
  <c r="B2082" i="14"/>
  <c r="A2082" i="14"/>
  <c r="C2081" i="14"/>
  <c r="B2081" i="14"/>
  <c r="A2081" i="14"/>
  <c r="C2080" i="14"/>
  <c r="B2080" i="14"/>
  <c r="A2080" i="14"/>
  <c r="C2079" i="14"/>
  <c r="B2079" i="14"/>
  <c r="A2079" i="14"/>
  <c r="C2078" i="14"/>
  <c r="B2078" i="14"/>
  <c r="A2078" i="14"/>
  <c r="C2077" i="14"/>
  <c r="B2077" i="14"/>
  <c r="A2077" i="14"/>
  <c r="C2076" i="14"/>
  <c r="B2076" i="14"/>
  <c r="A2076" i="14"/>
  <c r="C2075" i="14"/>
  <c r="B2075" i="14"/>
  <c r="A2075" i="14"/>
  <c r="C2074" i="14"/>
  <c r="B2074" i="14"/>
  <c r="A2074" i="14"/>
  <c r="C2073" i="14"/>
  <c r="B2073" i="14"/>
  <c r="A2073" i="14"/>
  <c r="C2072" i="14"/>
  <c r="B2072" i="14"/>
  <c r="A2072" i="14"/>
  <c r="C2071" i="14"/>
  <c r="B2071" i="14"/>
  <c r="A2071" i="14"/>
  <c r="C2070" i="14"/>
  <c r="B2070" i="14"/>
  <c r="A2070" i="14"/>
  <c r="C2069" i="14"/>
  <c r="B2069" i="14"/>
  <c r="A2069" i="14"/>
  <c r="C2068" i="14"/>
  <c r="B2068" i="14"/>
  <c r="A2068" i="14"/>
  <c r="C2067" i="14"/>
  <c r="B2067" i="14"/>
  <c r="A2067" i="14"/>
  <c r="C2066" i="14"/>
  <c r="B2066" i="14"/>
  <c r="A2066" i="14"/>
  <c r="C2065" i="14"/>
  <c r="B2065" i="14"/>
  <c r="A2065" i="14"/>
  <c r="C2064" i="14"/>
  <c r="B2064" i="14"/>
  <c r="A2064" i="14"/>
  <c r="C2063" i="14"/>
  <c r="B2063" i="14"/>
  <c r="A2063" i="14"/>
  <c r="C2062" i="14"/>
  <c r="B2062" i="14"/>
  <c r="A2062" i="14"/>
  <c r="C2061" i="14"/>
  <c r="B2061" i="14"/>
  <c r="A2061" i="14"/>
  <c r="C2060" i="14"/>
  <c r="B2060" i="14"/>
  <c r="A2060" i="14"/>
  <c r="C2059" i="14"/>
  <c r="B2059" i="14"/>
  <c r="A2059" i="14"/>
  <c r="C2058" i="14"/>
  <c r="B2058" i="14"/>
  <c r="A2058" i="14"/>
  <c r="C2057" i="14"/>
  <c r="B2057" i="14"/>
  <c r="A2057" i="14"/>
  <c r="C2056" i="14"/>
  <c r="B2056" i="14"/>
  <c r="A2056" i="14"/>
  <c r="C2055" i="14"/>
  <c r="B2055" i="14"/>
  <c r="A2055" i="14"/>
  <c r="C2054" i="14"/>
  <c r="B2054" i="14"/>
  <c r="A2054" i="14"/>
  <c r="C2053" i="14"/>
  <c r="B2053" i="14"/>
  <c r="A2053" i="14"/>
  <c r="C2052" i="14"/>
  <c r="B2052" i="14"/>
  <c r="A2052" i="14"/>
  <c r="C2051" i="14"/>
  <c r="B2051" i="14"/>
  <c r="A2051" i="14"/>
  <c r="C2050" i="14"/>
  <c r="B2050" i="14"/>
  <c r="A2050" i="14"/>
  <c r="C2049" i="14"/>
  <c r="B2049" i="14"/>
  <c r="A2049" i="14"/>
  <c r="C2048" i="14"/>
  <c r="B2048" i="14"/>
  <c r="A2048" i="14"/>
  <c r="C2047" i="14"/>
  <c r="B2047" i="14"/>
  <c r="A2047" i="14"/>
  <c r="C2046" i="14"/>
  <c r="B2046" i="14"/>
  <c r="A2046" i="14"/>
  <c r="C2045" i="14"/>
  <c r="B2045" i="14"/>
  <c r="A2045" i="14"/>
  <c r="C2044" i="14"/>
  <c r="B2044" i="14"/>
  <c r="A2044" i="14"/>
  <c r="C2043" i="14"/>
  <c r="B2043" i="14"/>
  <c r="A2043" i="14"/>
  <c r="C2042" i="14"/>
  <c r="B2042" i="14"/>
  <c r="A2042" i="14"/>
  <c r="C2041" i="14"/>
  <c r="B2041" i="14"/>
  <c r="A2041" i="14"/>
  <c r="C2040" i="14"/>
  <c r="B2040" i="14"/>
  <c r="A2040" i="14"/>
  <c r="C2039" i="14"/>
  <c r="B2039" i="14"/>
  <c r="A2039" i="14"/>
  <c r="C2038" i="14"/>
  <c r="B2038" i="14"/>
  <c r="A2038" i="14"/>
  <c r="C2037" i="14"/>
  <c r="B2037" i="14"/>
  <c r="A2037" i="14"/>
  <c r="C2036" i="14"/>
  <c r="B2036" i="14"/>
  <c r="A2036" i="14"/>
  <c r="C2035" i="14"/>
  <c r="B2035" i="14"/>
  <c r="A2035" i="14"/>
  <c r="C2034" i="14"/>
  <c r="B2034" i="14"/>
  <c r="A2034" i="14"/>
  <c r="C2033" i="14"/>
  <c r="B2033" i="14"/>
  <c r="A2033" i="14"/>
  <c r="C2032" i="14"/>
  <c r="B2032" i="14"/>
  <c r="A2032" i="14"/>
  <c r="C2031" i="14"/>
  <c r="B2031" i="14"/>
  <c r="A2031" i="14"/>
  <c r="C2030" i="14"/>
  <c r="B2030" i="14"/>
  <c r="A2030" i="14"/>
  <c r="C2029" i="14"/>
  <c r="B2029" i="14"/>
  <c r="A2029" i="14"/>
  <c r="C2028" i="14"/>
  <c r="B2028" i="14"/>
  <c r="A2028" i="14"/>
  <c r="C2027" i="14"/>
  <c r="B2027" i="14"/>
  <c r="A2027" i="14"/>
  <c r="C2026" i="14"/>
  <c r="B2026" i="14"/>
  <c r="A2026" i="14"/>
  <c r="C2025" i="14"/>
  <c r="B2025" i="14"/>
  <c r="A2025" i="14"/>
  <c r="C2024" i="14"/>
  <c r="B2024" i="14"/>
  <c r="A2024" i="14"/>
  <c r="C2023" i="14"/>
  <c r="B2023" i="14"/>
  <c r="A2023" i="14"/>
  <c r="C2022" i="14"/>
  <c r="B2022" i="14"/>
  <c r="A2022" i="14"/>
  <c r="C2021" i="14"/>
  <c r="B2021" i="14"/>
  <c r="A2021" i="14"/>
  <c r="C2020" i="14"/>
  <c r="B2020" i="14"/>
  <c r="A2020" i="14"/>
  <c r="C2019" i="14"/>
  <c r="B2019" i="14"/>
  <c r="A2019" i="14"/>
  <c r="C2018" i="14"/>
  <c r="B2018" i="14"/>
  <c r="A2018" i="14"/>
  <c r="C2017" i="14"/>
  <c r="B2017" i="14"/>
  <c r="A2017" i="14"/>
  <c r="C2016" i="14"/>
  <c r="B2016" i="14"/>
  <c r="A2016" i="14"/>
  <c r="C2015" i="14"/>
  <c r="B2015" i="14"/>
  <c r="A2015" i="14"/>
  <c r="C2014" i="14"/>
  <c r="B2014" i="14"/>
  <c r="A2014" i="14"/>
  <c r="C2013" i="14"/>
  <c r="B2013" i="14"/>
  <c r="A2013" i="14"/>
  <c r="C2012" i="14"/>
  <c r="B2012" i="14"/>
  <c r="A2012" i="14"/>
  <c r="C2011" i="14"/>
  <c r="B2011" i="14"/>
  <c r="A2011" i="14"/>
  <c r="C2010" i="14"/>
  <c r="B2010" i="14"/>
  <c r="A2010" i="14"/>
  <c r="C2009" i="14"/>
  <c r="B2009" i="14"/>
  <c r="A2009" i="14"/>
  <c r="C2008" i="14"/>
  <c r="B2008" i="14"/>
  <c r="A2008" i="14"/>
  <c r="C2007" i="14"/>
  <c r="B2007" i="14"/>
  <c r="A2007" i="14"/>
  <c r="C2006" i="14"/>
  <c r="B2006" i="14"/>
  <c r="A2006" i="14"/>
  <c r="C2005" i="14"/>
  <c r="B2005" i="14"/>
  <c r="A2005" i="14"/>
  <c r="C2004" i="14"/>
  <c r="B2004" i="14"/>
  <c r="A2004" i="14"/>
  <c r="C2003" i="14"/>
  <c r="B2003" i="14"/>
  <c r="A2003" i="14"/>
  <c r="C2002" i="14"/>
  <c r="B2002" i="14"/>
  <c r="A2002" i="14"/>
  <c r="C2001" i="14"/>
  <c r="B2001" i="14"/>
  <c r="A2001" i="14"/>
  <c r="C2000" i="14"/>
  <c r="B2000" i="14"/>
  <c r="A2000" i="14"/>
  <c r="C1999" i="14"/>
  <c r="B1999" i="14"/>
  <c r="A1999" i="14"/>
  <c r="C1998" i="14"/>
  <c r="B1998" i="14"/>
  <c r="A1998" i="14"/>
  <c r="C1997" i="14"/>
  <c r="B1997" i="14"/>
  <c r="A1997" i="14"/>
  <c r="C1996" i="14"/>
  <c r="B1996" i="14"/>
  <c r="A1996" i="14"/>
  <c r="C1995" i="14"/>
  <c r="B1995" i="14"/>
  <c r="A1995" i="14"/>
  <c r="C1994" i="14"/>
  <c r="B1994" i="14"/>
  <c r="A1994" i="14"/>
  <c r="C1993" i="14"/>
  <c r="B1993" i="14"/>
  <c r="A1993" i="14"/>
  <c r="C1992" i="14"/>
  <c r="B1992" i="14"/>
  <c r="A1992" i="14"/>
  <c r="C1991" i="14"/>
  <c r="B1991" i="14"/>
  <c r="A1991" i="14"/>
  <c r="C1990" i="14"/>
  <c r="B1990" i="14"/>
  <c r="A1990" i="14"/>
  <c r="C1989" i="14"/>
  <c r="B1989" i="14"/>
  <c r="A1989" i="14"/>
  <c r="C1988" i="14"/>
  <c r="B1988" i="14"/>
  <c r="A1988" i="14"/>
  <c r="C1987" i="14"/>
  <c r="B1987" i="14"/>
  <c r="A1987" i="14"/>
  <c r="C1986" i="14"/>
  <c r="B1986" i="14"/>
  <c r="A1986" i="14"/>
  <c r="C1985" i="14"/>
  <c r="B1985" i="14"/>
  <c r="A1985" i="14"/>
  <c r="C1984" i="14"/>
  <c r="B1984" i="14"/>
  <c r="A1984" i="14"/>
  <c r="C1983" i="14"/>
  <c r="B1983" i="14"/>
  <c r="A1983" i="14"/>
  <c r="C1982" i="14"/>
  <c r="B1982" i="14"/>
  <c r="A1982" i="14"/>
  <c r="C1981" i="14"/>
  <c r="B1981" i="14"/>
  <c r="A1981" i="14"/>
  <c r="C1980" i="14"/>
  <c r="B1980" i="14"/>
  <c r="A1980" i="14"/>
  <c r="C1979" i="14"/>
  <c r="B1979" i="14"/>
  <c r="A1979" i="14"/>
  <c r="C1978" i="14"/>
  <c r="B1978" i="14"/>
  <c r="A1978" i="14"/>
  <c r="C1977" i="14"/>
  <c r="B1977" i="14"/>
  <c r="A1977" i="14"/>
  <c r="C1976" i="14"/>
  <c r="B1976" i="14"/>
  <c r="A1976" i="14"/>
  <c r="C1975" i="14"/>
  <c r="B1975" i="14"/>
  <c r="A1975" i="14"/>
  <c r="C1974" i="14"/>
  <c r="B1974" i="14"/>
  <c r="A1974" i="14"/>
  <c r="C1973" i="14"/>
  <c r="B1973" i="14"/>
  <c r="A1973" i="14"/>
  <c r="C1972" i="14"/>
  <c r="B1972" i="14"/>
  <c r="A1972" i="14"/>
  <c r="C1971" i="14"/>
  <c r="B1971" i="14"/>
  <c r="A1971" i="14"/>
  <c r="C1970" i="14"/>
  <c r="B1970" i="14"/>
  <c r="A1970" i="14"/>
  <c r="C1969" i="14"/>
  <c r="B1969" i="14"/>
  <c r="A1969" i="14"/>
  <c r="C1968" i="14"/>
  <c r="B1968" i="14"/>
  <c r="A1968" i="14"/>
  <c r="C1967" i="14"/>
  <c r="B1967" i="14"/>
  <c r="A1967" i="14"/>
  <c r="C1966" i="14"/>
  <c r="B1966" i="14"/>
  <c r="A1966" i="14"/>
  <c r="C1965" i="14"/>
  <c r="B1965" i="14"/>
  <c r="A1965" i="14"/>
  <c r="C1964" i="14"/>
  <c r="B1964" i="14"/>
  <c r="A1964" i="14"/>
  <c r="C1963" i="14"/>
  <c r="B1963" i="14"/>
  <c r="A1963" i="14"/>
  <c r="C1962" i="14"/>
  <c r="B1962" i="14"/>
  <c r="A1962" i="14"/>
  <c r="C1961" i="14"/>
  <c r="B1961" i="14"/>
  <c r="A1961" i="14"/>
  <c r="C1960" i="14"/>
  <c r="B1960" i="14"/>
  <c r="A1960" i="14"/>
  <c r="C1959" i="14"/>
  <c r="B1959" i="14"/>
  <c r="A1959" i="14"/>
  <c r="C1958" i="14"/>
  <c r="B1958" i="14"/>
  <c r="A1958" i="14"/>
  <c r="C1957" i="14"/>
  <c r="B1957" i="14"/>
  <c r="A1957" i="14"/>
  <c r="C1956" i="14"/>
  <c r="B1956" i="14"/>
  <c r="A1956" i="14"/>
  <c r="C1955" i="14"/>
  <c r="B1955" i="14"/>
  <c r="A1955" i="14"/>
  <c r="C1954" i="14"/>
  <c r="B1954" i="14"/>
  <c r="A1954" i="14"/>
  <c r="C1953" i="14"/>
  <c r="B1953" i="14"/>
  <c r="A1953" i="14"/>
  <c r="C1952" i="14"/>
  <c r="B1952" i="14"/>
  <c r="A1952" i="14"/>
  <c r="C1951" i="14"/>
  <c r="B1951" i="14"/>
  <c r="A1951" i="14"/>
  <c r="C1950" i="14"/>
  <c r="B1950" i="14"/>
  <c r="A1950" i="14"/>
  <c r="C1949" i="14"/>
  <c r="B1949" i="14"/>
  <c r="A1949" i="14"/>
  <c r="C1948" i="14"/>
  <c r="B1948" i="14"/>
  <c r="A1948" i="14"/>
  <c r="C1947" i="14"/>
  <c r="B1947" i="14"/>
  <c r="A1947" i="14"/>
  <c r="C1946" i="14"/>
  <c r="B1946" i="14"/>
  <c r="A1946" i="14"/>
  <c r="C1945" i="14"/>
  <c r="B1945" i="14"/>
  <c r="A1945" i="14"/>
  <c r="C1944" i="14"/>
  <c r="B1944" i="14"/>
  <c r="A1944" i="14"/>
  <c r="C1943" i="14"/>
  <c r="B1943" i="14"/>
  <c r="A1943" i="14"/>
  <c r="C1942" i="14"/>
  <c r="B1942" i="14"/>
  <c r="A1942" i="14"/>
  <c r="C1941" i="14"/>
  <c r="B1941" i="14"/>
  <c r="A1941" i="14"/>
  <c r="C1940" i="14"/>
  <c r="B1940" i="14"/>
  <c r="A1940" i="14"/>
  <c r="C1939" i="14"/>
  <c r="B1939" i="14"/>
  <c r="A1939" i="14"/>
  <c r="C1938" i="14"/>
  <c r="B1938" i="14"/>
  <c r="A1938" i="14"/>
  <c r="C1937" i="14"/>
  <c r="B1937" i="14"/>
  <c r="A1937" i="14"/>
  <c r="C1936" i="14"/>
  <c r="B1936" i="14"/>
  <c r="A1936" i="14"/>
  <c r="C1935" i="14"/>
  <c r="B1935" i="14"/>
  <c r="A1935" i="14"/>
  <c r="C1934" i="14"/>
  <c r="B1934" i="14"/>
  <c r="A1934" i="14"/>
  <c r="C1933" i="14"/>
  <c r="B1933" i="14"/>
  <c r="A1933" i="14"/>
  <c r="C1932" i="14"/>
  <c r="B1932" i="14"/>
  <c r="A1932" i="14"/>
  <c r="C1931" i="14"/>
  <c r="B1931" i="14"/>
  <c r="A1931" i="14"/>
  <c r="C1930" i="14"/>
  <c r="B1930" i="14"/>
  <c r="A1930" i="14"/>
  <c r="C1929" i="14"/>
  <c r="B1929" i="14"/>
  <c r="A1929" i="14"/>
  <c r="C1928" i="14"/>
  <c r="B1928" i="14"/>
  <c r="A1928" i="14"/>
  <c r="C1927" i="14"/>
  <c r="B1927" i="14"/>
  <c r="A1927" i="14"/>
  <c r="C1926" i="14"/>
  <c r="B1926" i="14"/>
  <c r="A1926" i="14"/>
  <c r="C1925" i="14"/>
  <c r="B1925" i="14"/>
  <c r="A1925" i="14"/>
  <c r="C1924" i="14"/>
  <c r="B1924" i="14"/>
  <c r="A1924" i="14"/>
  <c r="C1923" i="14"/>
  <c r="B1923" i="14"/>
  <c r="A1923" i="14"/>
  <c r="C1922" i="14"/>
  <c r="B1922" i="14"/>
  <c r="A1922" i="14"/>
  <c r="C1921" i="14"/>
  <c r="B1921" i="14"/>
  <c r="A1921" i="14"/>
  <c r="C1920" i="14"/>
  <c r="B1920" i="14"/>
  <c r="A1920" i="14"/>
  <c r="C1919" i="14"/>
  <c r="B1919" i="14"/>
  <c r="A1919" i="14"/>
  <c r="C1918" i="14"/>
  <c r="B1918" i="14"/>
  <c r="A1918" i="14"/>
  <c r="C1917" i="14"/>
  <c r="B1917" i="14"/>
  <c r="A1917" i="14"/>
  <c r="C1916" i="14"/>
  <c r="B1916" i="14"/>
  <c r="A1916" i="14"/>
  <c r="C1915" i="14"/>
  <c r="B1915" i="14"/>
  <c r="A1915" i="14"/>
  <c r="C1914" i="14"/>
  <c r="B1914" i="14"/>
  <c r="A1914" i="14"/>
  <c r="C1913" i="14"/>
  <c r="B1913" i="14"/>
  <c r="A1913" i="14"/>
  <c r="C1912" i="14"/>
  <c r="B1912" i="14"/>
  <c r="A1912" i="14"/>
  <c r="C1911" i="14"/>
  <c r="B1911" i="14"/>
  <c r="A1911" i="14"/>
  <c r="C1910" i="14"/>
  <c r="B1910" i="14"/>
  <c r="A1910" i="14"/>
  <c r="C1909" i="14"/>
  <c r="B1909" i="14"/>
  <c r="A1909" i="14"/>
  <c r="C1908" i="14"/>
  <c r="B1908" i="14"/>
  <c r="A1908" i="14"/>
  <c r="C1907" i="14"/>
  <c r="B1907" i="14"/>
  <c r="A1907" i="14"/>
  <c r="C1906" i="14"/>
  <c r="B1906" i="14"/>
  <c r="A1906" i="14"/>
  <c r="C1905" i="14"/>
  <c r="B1905" i="14"/>
  <c r="A1905" i="14"/>
  <c r="C1904" i="14"/>
  <c r="B1904" i="14"/>
  <c r="A1904" i="14"/>
  <c r="C1903" i="14"/>
  <c r="B1903" i="14"/>
  <c r="A1903" i="14"/>
  <c r="C1902" i="14"/>
  <c r="B1902" i="14"/>
  <c r="A1902" i="14"/>
  <c r="C1901" i="14"/>
  <c r="B1901" i="14"/>
  <c r="A1901" i="14"/>
  <c r="C1900" i="14"/>
  <c r="B1900" i="14"/>
  <c r="A1900" i="14"/>
  <c r="C1899" i="14"/>
  <c r="B1899" i="14"/>
  <c r="A1899" i="14"/>
  <c r="C1898" i="14"/>
  <c r="B1898" i="14"/>
  <c r="A1898" i="14"/>
  <c r="C1897" i="14"/>
  <c r="B1897" i="14"/>
  <c r="A1897" i="14"/>
  <c r="C1896" i="14"/>
  <c r="B1896" i="14"/>
  <c r="A1896" i="14"/>
  <c r="C1895" i="14"/>
  <c r="B1895" i="14"/>
  <c r="A1895" i="14"/>
  <c r="C1894" i="14"/>
  <c r="B1894" i="14"/>
  <c r="A1894" i="14"/>
  <c r="C1893" i="14"/>
  <c r="B1893" i="14"/>
  <c r="A1893" i="14"/>
  <c r="C1892" i="14"/>
  <c r="B1892" i="14"/>
  <c r="A1892" i="14"/>
  <c r="C1891" i="14"/>
  <c r="B1891" i="14"/>
  <c r="A1891" i="14"/>
  <c r="C1890" i="14"/>
  <c r="B1890" i="14"/>
  <c r="A1890" i="14"/>
  <c r="C1889" i="14"/>
  <c r="B1889" i="14"/>
  <c r="A1889" i="14"/>
  <c r="C1888" i="14"/>
  <c r="B1888" i="14"/>
  <c r="A1888" i="14"/>
  <c r="C1887" i="14"/>
  <c r="B1887" i="14"/>
  <c r="A1887" i="14"/>
  <c r="C1886" i="14"/>
  <c r="B1886" i="14"/>
  <c r="A1886" i="14"/>
  <c r="C1885" i="14"/>
  <c r="B1885" i="14"/>
  <c r="A1885" i="14"/>
  <c r="C1884" i="14"/>
  <c r="B1884" i="14"/>
  <c r="A1884" i="14"/>
  <c r="C1883" i="14"/>
  <c r="B1883" i="14"/>
  <c r="A1883" i="14"/>
  <c r="C1882" i="14"/>
  <c r="B1882" i="14"/>
  <c r="A1882" i="14"/>
  <c r="C1881" i="14"/>
  <c r="B1881" i="14"/>
  <c r="A1881" i="14"/>
  <c r="C1880" i="14"/>
  <c r="B1880" i="14"/>
  <c r="A1880" i="14"/>
  <c r="C1879" i="14"/>
  <c r="B1879" i="14"/>
  <c r="A1879" i="14"/>
  <c r="C1878" i="14"/>
  <c r="B1878" i="14"/>
  <c r="A1878" i="14"/>
  <c r="C1877" i="14"/>
  <c r="B1877" i="14"/>
  <c r="A1877" i="14"/>
  <c r="C1876" i="14"/>
  <c r="B1876" i="14"/>
  <c r="A1876" i="14"/>
  <c r="C1875" i="14"/>
  <c r="B1875" i="14"/>
  <c r="A1875" i="14"/>
  <c r="C1874" i="14"/>
  <c r="B1874" i="14"/>
  <c r="A1874" i="14"/>
  <c r="C1873" i="14"/>
  <c r="B1873" i="14"/>
  <c r="A1873" i="14"/>
  <c r="C1872" i="14"/>
  <c r="B1872" i="14"/>
  <c r="A1872" i="14"/>
  <c r="C1871" i="14"/>
  <c r="B1871" i="14"/>
  <c r="A1871" i="14"/>
  <c r="C1870" i="14"/>
  <c r="B1870" i="14"/>
  <c r="A1870" i="14"/>
  <c r="C1869" i="14"/>
  <c r="B1869" i="14"/>
  <c r="A1869" i="14"/>
  <c r="C1868" i="14"/>
  <c r="B1868" i="14"/>
  <c r="A1868" i="14"/>
  <c r="C1867" i="14"/>
  <c r="B1867" i="14"/>
  <c r="A1867" i="14"/>
  <c r="C1866" i="14"/>
  <c r="B1866" i="14"/>
  <c r="A1866" i="14"/>
  <c r="C1865" i="14"/>
  <c r="B1865" i="14"/>
  <c r="A1865" i="14"/>
  <c r="C1864" i="14"/>
  <c r="B1864" i="14"/>
  <c r="A1864" i="14"/>
  <c r="C1863" i="14"/>
  <c r="B1863" i="14"/>
  <c r="A1863" i="14"/>
  <c r="C1862" i="14"/>
  <c r="B1862" i="14"/>
  <c r="A1862" i="14"/>
  <c r="C1861" i="14"/>
  <c r="B1861" i="14"/>
  <c r="A1861" i="14"/>
  <c r="C1860" i="14"/>
  <c r="B1860" i="14"/>
  <c r="A1860" i="14"/>
  <c r="C1859" i="14"/>
  <c r="B1859" i="14"/>
  <c r="A1859" i="14"/>
  <c r="C1858" i="14"/>
  <c r="B1858" i="14"/>
  <c r="A1858" i="14"/>
  <c r="C1857" i="14"/>
  <c r="B1857" i="14"/>
  <c r="A1857" i="14"/>
  <c r="C1856" i="14"/>
  <c r="B1856" i="14"/>
  <c r="A1856" i="14"/>
  <c r="C1855" i="14"/>
  <c r="B1855" i="14"/>
  <c r="A1855" i="14"/>
  <c r="C1854" i="14"/>
  <c r="B1854" i="14"/>
  <c r="A1854" i="14"/>
  <c r="C1853" i="14"/>
  <c r="B1853" i="14"/>
  <c r="A1853" i="14"/>
  <c r="C1852" i="14"/>
  <c r="B1852" i="14"/>
  <c r="A1852" i="14"/>
  <c r="C1851" i="14"/>
  <c r="B1851" i="14"/>
  <c r="A1851" i="14"/>
  <c r="C1850" i="14"/>
  <c r="B1850" i="14"/>
  <c r="A1850" i="14"/>
  <c r="C1849" i="14"/>
  <c r="B1849" i="14"/>
  <c r="A1849" i="14"/>
  <c r="C1848" i="14"/>
  <c r="B1848" i="14"/>
  <c r="A1848" i="14"/>
  <c r="C1847" i="14"/>
  <c r="B1847" i="14"/>
  <c r="A1847" i="14"/>
  <c r="C1846" i="14"/>
  <c r="B1846" i="14"/>
  <c r="A1846" i="14"/>
  <c r="C1845" i="14"/>
  <c r="B1845" i="14"/>
  <c r="A1845" i="14"/>
  <c r="C1844" i="14"/>
  <c r="B1844" i="14"/>
  <c r="A1844" i="14"/>
  <c r="C1843" i="14"/>
  <c r="B1843" i="14"/>
  <c r="A1843" i="14"/>
  <c r="C1842" i="14"/>
  <c r="B1842" i="14"/>
  <c r="A1842" i="14"/>
  <c r="C1841" i="14"/>
  <c r="B1841" i="14"/>
  <c r="A1841" i="14"/>
  <c r="C1840" i="14"/>
  <c r="B1840" i="14"/>
  <c r="A1840" i="14"/>
  <c r="C1839" i="14"/>
  <c r="B1839" i="14"/>
  <c r="A1839" i="14"/>
  <c r="C1838" i="14"/>
  <c r="B1838" i="14"/>
  <c r="A1838" i="14"/>
  <c r="C1837" i="14"/>
  <c r="B1837" i="14"/>
  <c r="A1837" i="14"/>
  <c r="C1836" i="14"/>
  <c r="B1836" i="14"/>
  <c r="A1836" i="14"/>
  <c r="C1835" i="14"/>
  <c r="B1835" i="14"/>
  <c r="A1835" i="14"/>
  <c r="C1834" i="14"/>
  <c r="B1834" i="14"/>
  <c r="A1834" i="14"/>
  <c r="C1833" i="14"/>
  <c r="B1833" i="14"/>
  <c r="A1833" i="14"/>
  <c r="C1832" i="14"/>
  <c r="B1832" i="14"/>
  <c r="A1832" i="14"/>
  <c r="C1831" i="14"/>
  <c r="B1831" i="14"/>
  <c r="A1831" i="14"/>
  <c r="C1830" i="14"/>
  <c r="B1830" i="14"/>
  <c r="A1830" i="14"/>
  <c r="C1829" i="14"/>
  <c r="B1829" i="14"/>
  <c r="A1829" i="14"/>
  <c r="C1828" i="14"/>
  <c r="B1828" i="14"/>
  <c r="A1828" i="14"/>
  <c r="C1827" i="14"/>
  <c r="B1827" i="14"/>
  <c r="A1827" i="14"/>
  <c r="C1826" i="14"/>
  <c r="B1826" i="14"/>
  <c r="A1826" i="14"/>
  <c r="C1825" i="14"/>
  <c r="B1825" i="14"/>
  <c r="A1825" i="14"/>
  <c r="C1824" i="14"/>
  <c r="B1824" i="14"/>
  <c r="A1824" i="14"/>
  <c r="C1823" i="14"/>
  <c r="B1823" i="14"/>
  <c r="A1823" i="14"/>
  <c r="C1822" i="14"/>
  <c r="B1822" i="14"/>
  <c r="A1822" i="14"/>
  <c r="C1821" i="14"/>
  <c r="B1821" i="14"/>
  <c r="A1821" i="14"/>
  <c r="C1820" i="14"/>
  <c r="B1820" i="14"/>
  <c r="A1820" i="14"/>
  <c r="C1819" i="14"/>
  <c r="B1819" i="14"/>
  <c r="A1819" i="14"/>
  <c r="C1818" i="14"/>
  <c r="B1818" i="14"/>
  <c r="A1818" i="14"/>
  <c r="C1817" i="14"/>
  <c r="B1817" i="14"/>
  <c r="A1817" i="14"/>
  <c r="C1816" i="14"/>
  <c r="B1816" i="14"/>
  <c r="A1816" i="14"/>
  <c r="C1815" i="14"/>
  <c r="B1815" i="14"/>
  <c r="A1815" i="14"/>
  <c r="C1814" i="14"/>
  <c r="B1814" i="14"/>
  <c r="A1814" i="14"/>
  <c r="C1813" i="14"/>
  <c r="B1813" i="14"/>
  <c r="A1813" i="14"/>
  <c r="C1812" i="14"/>
  <c r="B1812" i="14"/>
  <c r="A1812" i="14"/>
  <c r="C1811" i="14"/>
  <c r="B1811" i="14"/>
  <c r="A1811" i="14"/>
  <c r="C1810" i="14"/>
  <c r="B1810" i="14"/>
  <c r="A1810" i="14"/>
  <c r="C1809" i="14"/>
  <c r="B1809" i="14"/>
  <c r="A1809" i="14"/>
  <c r="C1808" i="14"/>
  <c r="B1808" i="14"/>
  <c r="A1808" i="14"/>
  <c r="C1807" i="14"/>
  <c r="B1807" i="14"/>
  <c r="A1807" i="14"/>
  <c r="C1806" i="14"/>
  <c r="B1806" i="14"/>
  <c r="A1806" i="14"/>
  <c r="C1805" i="14"/>
  <c r="B1805" i="14"/>
  <c r="A1805" i="14"/>
  <c r="C1804" i="14"/>
  <c r="B1804" i="14"/>
  <c r="A1804" i="14"/>
  <c r="C1803" i="14"/>
  <c r="B1803" i="14"/>
  <c r="A1803" i="14"/>
  <c r="C1802" i="14"/>
  <c r="B1802" i="14"/>
  <c r="A1802" i="14"/>
  <c r="C1801" i="14"/>
  <c r="B1801" i="14"/>
  <c r="A1801" i="14"/>
  <c r="C1800" i="14"/>
  <c r="B1800" i="14"/>
  <c r="A1800" i="14"/>
  <c r="C1799" i="14"/>
  <c r="B1799" i="14"/>
  <c r="A1799" i="14"/>
  <c r="C1798" i="14"/>
  <c r="B1798" i="14"/>
  <c r="A1798" i="14"/>
  <c r="C1797" i="14"/>
  <c r="B1797" i="14"/>
  <c r="A1797" i="14"/>
  <c r="C1796" i="14"/>
  <c r="B1796" i="14"/>
  <c r="A1796" i="14"/>
  <c r="C1795" i="14"/>
  <c r="B1795" i="14"/>
  <c r="A1795" i="14"/>
  <c r="C1794" i="14"/>
  <c r="B1794" i="14"/>
  <c r="A1794" i="14"/>
  <c r="C1793" i="14"/>
  <c r="B1793" i="14"/>
  <c r="A1793" i="14"/>
  <c r="C1792" i="14"/>
  <c r="B1792" i="14"/>
  <c r="A1792" i="14"/>
  <c r="C1791" i="14"/>
  <c r="B1791" i="14"/>
  <c r="A1791" i="14"/>
  <c r="C1790" i="14"/>
  <c r="B1790" i="14"/>
  <c r="A1790" i="14"/>
  <c r="C1789" i="14"/>
  <c r="B1789" i="14"/>
  <c r="A1789" i="14"/>
  <c r="C1788" i="14"/>
  <c r="B1788" i="14"/>
  <c r="A1788" i="14"/>
  <c r="C1787" i="14"/>
  <c r="B1787" i="14"/>
  <c r="A1787" i="14"/>
  <c r="C1786" i="14"/>
  <c r="B1786" i="14"/>
  <c r="A1786" i="14"/>
  <c r="C1785" i="14"/>
  <c r="B1785" i="14"/>
  <c r="A1785" i="14"/>
  <c r="C1784" i="14"/>
  <c r="B1784" i="14"/>
  <c r="A1784" i="14"/>
  <c r="C1783" i="14"/>
  <c r="B1783" i="14"/>
  <c r="A1783" i="14"/>
  <c r="C1782" i="14"/>
  <c r="B1782" i="14"/>
  <c r="A1782" i="14"/>
  <c r="C1781" i="14"/>
  <c r="B1781" i="14"/>
  <c r="A1781" i="14"/>
  <c r="C1780" i="14"/>
  <c r="B1780" i="14"/>
  <c r="A1780" i="14"/>
  <c r="C1779" i="14"/>
  <c r="B1779" i="14"/>
  <c r="A1779" i="14"/>
  <c r="C1778" i="14"/>
  <c r="B1778" i="14"/>
  <c r="A1778" i="14"/>
  <c r="C1777" i="14"/>
  <c r="B1777" i="14"/>
  <c r="A1777" i="14"/>
  <c r="C1776" i="14"/>
  <c r="B1776" i="14"/>
  <c r="A1776" i="14"/>
  <c r="C1775" i="14"/>
  <c r="B1775" i="14"/>
  <c r="A1775" i="14"/>
  <c r="C1774" i="14"/>
  <c r="B1774" i="14"/>
  <c r="A1774" i="14"/>
  <c r="C1773" i="14"/>
  <c r="B1773" i="14"/>
  <c r="A1773" i="14"/>
  <c r="C1772" i="14"/>
  <c r="B1772" i="14"/>
  <c r="A1772" i="14"/>
  <c r="C1771" i="14"/>
  <c r="B1771" i="14"/>
  <c r="A1771" i="14"/>
  <c r="C1770" i="14"/>
  <c r="B1770" i="14"/>
  <c r="A1770" i="14"/>
  <c r="C1769" i="14"/>
  <c r="B1769" i="14"/>
  <c r="A1769" i="14"/>
  <c r="C1768" i="14"/>
  <c r="B1768" i="14"/>
  <c r="A1768" i="14"/>
  <c r="C1767" i="14"/>
  <c r="B1767" i="14"/>
  <c r="A1767" i="14"/>
  <c r="C1766" i="14"/>
  <c r="B1766" i="14"/>
  <c r="A1766" i="14"/>
  <c r="C1765" i="14"/>
  <c r="B1765" i="14"/>
  <c r="A1765" i="14"/>
  <c r="C1764" i="14"/>
  <c r="B1764" i="14"/>
  <c r="A1764" i="14"/>
  <c r="C1763" i="14"/>
  <c r="B1763" i="14"/>
  <c r="A1763" i="14"/>
  <c r="C1762" i="14"/>
  <c r="B1762" i="14"/>
  <c r="A1762" i="14"/>
  <c r="C1761" i="14"/>
  <c r="B1761" i="14"/>
  <c r="A1761" i="14"/>
  <c r="C1760" i="14"/>
  <c r="B1760" i="14"/>
  <c r="A1760" i="14"/>
  <c r="C1759" i="14"/>
  <c r="B1759" i="14"/>
  <c r="A1759" i="14"/>
  <c r="C1758" i="14"/>
  <c r="B1758" i="14"/>
  <c r="A1758" i="14"/>
  <c r="C1757" i="14"/>
  <c r="B1757" i="14"/>
  <c r="A1757" i="14"/>
  <c r="C1756" i="14"/>
  <c r="B1756" i="14"/>
  <c r="A1756" i="14"/>
  <c r="C1755" i="14"/>
  <c r="B1755" i="14"/>
  <c r="A1755" i="14"/>
  <c r="C1754" i="14"/>
  <c r="B1754" i="14"/>
  <c r="A1754" i="14"/>
  <c r="C1753" i="14"/>
  <c r="B1753" i="14"/>
  <c r="A1753" i="14"/>
  <c r="C1752" i="14"/>
  <c r="B1752" i="14"/>
  <c r="A1752" i="14"/>
  <c r="C1751" i="14"/>
  <c r="B1751" i="14"/>
  <c r="A1751" i="14"/>
  <c r="C1750" i="14"/>
  <c r="B1750" i="14"/>
  <c r="A1750" i="14"/>
  <c r="C1749" i="14"/>
  <c r="B1749" i="14"/>
  <c r="A1749" i="14"/>
  <c r="C1748" i="14"/>
  <c r="B1748" i="14"/>
  <c r="A1748" i="14"/>
  <c r="C1747" i="14"/>
  <c r="B1747" i="14"/>
  <c r="A1747" i="14"/>
  <c r="C1746" i="14"/>
  <c r="B1746" i="14"/>
  <c r="A1746" i="14"/>
  <c r="C1745" i="14"/>
  <c r="B1745" i="14"/>
  <c r="A1745" i="14"/>
  <c r="C1744" i="14"/>
  <c r="B1744" i="14"/>
  <c r="A1744" i="14"/>
  <c r="C1743" i="14"/>
  <c r="B1743" i="14"/>
  <c r="A1743" i="14"/>
  <c r="C1742" i="14"/>
  <c r="B1742" i="14"/>
  <c r="A1742" i="14"/>
  <c r="C1741" i="14"/>
  <c r="B1741" i="14"/>
  <c r="A1741" i="14"/>
  <c r="C1740" i="14"/>
  <c r="B1740" i="14"/>
  <c r="A1740" i="14"/>
  <c r="C1739" i="14"/>
  <c r="B1739" i="14"/>
  <c r="A1739" i="14"/>
  <c r="C1738" i="14"/>
  <c r="B1738" i="14"/>
  <c r="A1738" i="14"/>
  <c r="C1737" i="14"/>
  <c r="B1737" i="14"/>
  <c r="A1737" i="14"/>
  <c r="C1736" i="14"/>
  <c r="B1736" i="14"/>
  <c r="A1736" i="14"/>
  <c r="C1735" i="14"/>
  <c r="B1735" i="14"/>
  <c r="A1735" i="14"/>
  <c r="C1734" i="14"/>
  <c r="B1734" i="14"/>
  <c r="A1734" i="14"/>
  <c r="C1733" i="14"/>
  <c r="B1733" i="14"/>
  <c r="A1733" i="14"/>
  <c r="C1732" i="14"/>
  <c r="B1732" i="14"/>
  <c r="A1732" i="14"/>
  <c r="C1731" i="14"/>
  <c r="B1731" i="14"/>
  <c r="A1731" i="14"/>
  <c r="C1730" i="14"/>
  <c r="B1730" i="14"/>
  <c r="A1730" i="14"/>
  <c r="C1729" i="14"/>
  <c r="B1729" i="14"/>
  <c r="A1729" i="14"/>
  <c r="C1728" i="14"/>
  <c r="B1728" i="14"/>
  <c r="A1728" i="14"/>
  <c r="C1727" i="14"/>
  <c r="B1727" i="14"/>
  <c r="A1727" i="14"/>
  <c r="C1726" i="14"/>
  <c r="B1726" i="14"/>
  <c r="A1726" i="14"/>
  <c r="C1725" i="14"/>
  <c r="B1725" i="14"/>
  <c r="A1725" i="14"/>
  <c r="C1724" i="14"/>
  <c r="B1724" i="14"/>
  <c r="A1724" i="14"/>
  <c r="C1723" i="14"/>
  <c r="B1723" i="14"/>
  <c r="A1723" i="14"/>
  <c r="C1722" i="14"/>
  <c r="B1722" i="14"/>
  <c r="A1722" i="14"/>
  <c r="C1721" i="14"/>
  <c r="B1721" i="14"/>
  <c r="A1721" i="14"/>
  <c r="C1720" i="14"/>
  <c r="B1720" i="14"/>
  <c r="A1720" i="14"/>
  <c r="C1719" i="14"/>
  <c r="B1719" i="14"/>
  <c r="A1719" i="14"/>
  <c r="C1718" i="14"/>
  <c r="B1718" i="14"/>
  <c r="A1718" i="14"/>
  <c r="C1717" i="14"/>
  <c r="B1717" i="14"/>
  <c r="A1717" i="14"/>
  <c r="C1716" i="14"/>
  <c r="B1716" i="14"/>
  <c r="A1716" i="14"/>
  <c r="C1715" i="14"/>
  <c r="B1715" i="14"/>
  <c r="A1715" i="14"/>
  <c r="C1714" i="14"/>
  <c r="B1714" i="14"/>
  <c r="A1714" i="14"/>
  <c r="C1713" i="14"/>
  <c r="B1713" i="14"/>
  <c r="A1713" i="14"/>
  <c r="C1712" i="14"/>
  <c r="B1712" i="14"/>
  <c r="A1712" i="14"/>
  <c r="C1711" i="14"/>
  <c r="B1711" i="14"/>
  <c r="A1711" i="14"/>
  <c r="C1710" i="14"/>
  <c r="B1710" i="14"/>
  <c r="A1710" i="14"/>
  <c r="C1709" i="14"/>
  <c r="B1709" i="14"/>
  <c r="A1709" i="14"/>
  <c r="C1708" i="14"/>
  <c r="B1708" i="14"/>
  <c r="A1708" i="14"/>
  <c r="C1707" i="14"/>
  <c r="B1707" i="14"/>
  <c r="A1707" i="14"/>
  <c r="C1706" i="14"/>
  <c r="B1706" i="14"/>
  <c r="A1706" i="14"/>
  <c r="C1705" i="14"/>
  <c r="B1705" i="14"/>
  <c r="A1705" i="14"/>
  <c r="C1704" i="14"/>
  <c r="B1704" i="14"/>
  <c r="A1704" i="14"/>
  <c r="C1703" i="14"/>
  <c r="B1703" i="14"/>
  <c r="A1703" i="14"/>
  <c r="C1702" i="14"/>
  <c r="B1702" i="14"/>
  <c r="A1702" i="14"/>
  <c r="C1701" i="14"/>
  <c r="B1701" i="14"/>
  <c r="A1701" i="14"/>
  <c r="C1700" i="14"/>
  <c r="B1700" i="14"/>
  <c r="A1700" i="14"/>
  <c r="C1699" i="14"/>
  <c r="B1699" i="14"/>
  <c r="A1699" i="14"/>
  <c r="C1698" i="14"/>
  <c r="B1698" i="14"/>
  <c r="A1698" i="14"/>
  <c r="C1697" i="14"/>
  <c r="B1697" i="14"/>
  <c r="A1697" i="14"/>
  <c r="C1696" i="14"/>
  <c r="B1696" i="14"/>
  <c r="A1696" i="14"/>
  <c r="C1695" i="14"/>
  <c r="B1695" i="14"/>
  <c r="A1695" i="14"/>
  <c r="C1694" i="14"/>
  <c r="B1694" i="14"/>
  <c r="A1694" i="14"/>
  <c r="C1693" i="14"/>
  <c r="B1693" i="14"/>
  <c r="A1693" i="14"/>
  <c r="C1692" i="14"/>
  <c r="B1692" i="14"/>
  <c r="A1692" i="14"/>
  <c r="C1691" i="14"/>
  <c r="B1691" i="14"/>
  <c r="A1691" i="14"/>
  <c r="C1690" i="14"/>
  <c r="B1690" i="14"/>
  <c r="A1690" i="14"/>
  <c r="C1689" i="14"/>
  <c r="B1689" i="14"/>
  <c r="A1689" i="14"/>
  <c r="C1688" i="14"/>
  <c r="B1688" i="14"/>
  <c r="A1688" i="14"/>
  <c r="C1687" i="14"/>
  <c r="B1687" i="14"/>
  <c r="A1687" i="14"/>
  <c r="C1686" i="14"/>
  <c r="B1686" i="14"/>
  <c r="A1686" i="14"/>
  <c r="C1685" i="14"/>
  <c r="B1685" i="14"/>
  <c r="A1685" i="14"/>
  <c r="C1684" i="14"/>
  <c r="B1684" i="14"/>
  <c r="A1684" i="14"/>
  <c r="C1683" i="14"/>
  <c r="B1683" i="14"/>
  <c r="A1683" i="14"/>
  <c r="C1682" i="14"/>
  <c r="B1682" i="14"/>
  <c r="A1682" i="14"/>
  <c r="C1681" i="14"/>
  <c r="B1681" i="14"/>
  <c r="A1681" i="14"/>
  <c r="C1680" i="14"/>
  <c r="B1680" i="14"/>
  <c r="A1680" i="14"/>
  <c r="C1679" i="14"/>
  <c r="B1679" i="14"/>
  <c r="A1679" i="14"/>
  <c r="C1678" i="14"/>
  <c r="B1678" i="14"/>
  <c r="A1678" i="14"/>
  <c r="C1677" i="14"/>
  <c r="B1677" i="14"/>
  <c r="A1677" i="14"/>
  <c r="C1676" i="14"/>
  <c r="B1676" i="14"/>
  <c r="A1676" i="14"/>
  <c r="C1675" i="14"/>
  <c r="B1675" i="14"/>
  <c r="A1675" i="14"/>
  <c r="C1674" i="14"/>
  <c r="B1674" i="14"/>
  <c r="A1674" i="14"/>
  <c r="C1673" i="14"/>
  <c r="B1673" i="14"/>
  <c r="A1673" i="14"/>
  <c r="C1672" i="14"/>
  <c r="B1672" i="14"/>
  <c r="A1672" i="14"/>
  <c r="C1671" i="14"/>
  <c r="B1671" i="14"/>
  <c r="A1671" i="14"/>
  <c r="C1670" i="14"/>
  <c r="B1670" i="14"/>
  <c r="A1670" i="14"/>
  <c r="C1669" i="14"/>
  <c r="B1669" i="14"/>
  <c r="A1669" i="14"/>
  <c r="C1668" i="14"/>
  <c r="B1668" i="14"/>
  <c r="A1668" i="14"/>
  <c r="C1667" i="14"/>
  <c r="B1667" i="14"/>
  <c r="A1667" i="14"/>
  <c r="C1666" i="14"/>
  <c r="B1666" i="14"/>
  <c r="A1666" i="14"/>
  <c r="C1665" i="14"/>
  <c r="B1665" i="14"/>
  <c r="A1665" i="14"/>
  <c r="C1664" i="14"/>
  <c r="B1664" i="14"/>
  <c r="A1664" i="14"/>
  <c r="C1663" i="14"/>
  <c r="B1663" i="14"/>
  <c r="A1663" i="14"/>
  <c r="C1662" i="14"/>
  <c r="B1662" i="14"/>
  <c r="A1662" i="14"/>
  <c r="C1661" i="14"/>
  <c r="B1661" i="14"/>
  <c r="A1661" i="14"/>
  <c r="C1660" i="14"/>
  <c r="B1660" i="14"/>
  <c r="A1660" i="14"/>
  <c r="C1659" i="14"/>
  <c r="B1659" i="14"/>
  <c r="A1659" i="14"/>
  <c r="C1658" i="14"/>
  <c r="B1658" i="14"/>
  <c r="A1658" i="14"/>
  <c r="C1657" i="14"/>
  <c r="B1657" i="14"/>
  <c r="A1657" i="14"/>
  <c r="C1656" i="14"/>
  <c r="B1656" i="14"/>
  <c r="A1656" i="14"/>
  <c r="C1655" i="14"/>
  <c r="B1655" i="14"/>
  <c r="A1655" i="14"/>
  <c r="C1654" i="14"/>
  <c r="B1654" i="14"/>
  <c r="A1654" i="14"/>
  <c r="C1653" i="14"/>
  <c r="B1653" i="14"/>
  <c r="A1653" i="14"/>
  <c r="C1652" i="14"/>
  <c r="B1652" i="14"/>
  <c r="A1652" i="14"/>
  <c r="C1651" i="14"/>
  <c r="B1651" i="14"/>
  <c r="A1651" i="14"/>
  <c r="C1650" i="14"/>
  <c r="B1650" i="14"/>
  <c r="A1650" i="14"/>
  <c r="C1649" i="14"/>
  <c r="B1649" i="14"/>
  <c r="A1649" i="14"/>
  <c r="C1648" i="14"/>
  <c r="B1648" i="14"/>
  <c r="A1648" i="14"/>
  <c r="C1647" i="14"/>
  <c r="B1647" i="14"/>
  <c r="A1647" i="14"/>
  <c r="C1646" i="14"/>
  <c r="B1646" i="14"/>
  <c r="A1646" i="14"/>
  <c r="C1645" i="14"/>
  <c r="B1645" i="14"/>
  <c r="A1645" i="14"/>
  <c r="C1644" i="14"/>
  <c r="B1644" i="14"/>
  <c r="A1644" i="14"/>
  <c r="C1643" i="14"/>
  <c r="B1643" i="14"/>
  <c r="A1643" i="14"/>
  <c r="C1642" i="14"/>
  <c r="B1642" i="14"/>
  <c r="A1642" i="14"/>
  <c r="C1641" i="14"/>
  <c r="B1641" i="14"/>
  <c r="A1641" i="14"/>
  <c r="C1640" i="14"/>
  <c r="B1640" i="14"/>
  <c r="A1640" i="14"/>
  <c r="C1639" i="14"/>
  <c r="B1639" i="14"/>
  <c r="A1639" i="14"/>
  <c r="C1638" i="14"/>
  <c r="B1638" i="14"/>
  <c r="A1638" i="14"/>
  <c r="C1637" i="14"/>
  <c r="B1637" i="14"/>
  <c r="A1637" i="14"/>
  <c r="C1636" i="14"/>
  <c r="B1636" i="14"/>
  <c r="A1636" i="14"/>
  <c r="C1635" i="14"/>
  <c r="B1635" i="14"/>
  <c r="A1635" i="14"/>
  <c r="C1634" i="14"/>
  <c r="B1634" i="14"/>
  <c r="A1634" i="14"/>
  <c r="C1633" i="14"/>
  <c r="B1633" i="14"/>
  <c r="A1633" i="14"/>
  <c r="C1632" i="14"/>
  <c r="B1632" i="14"/>
  <c r="A1632" i="14"/>
  <c r="C1631" i="14"/>
  <c r="B1631" i="14"/>
  <c r="A1631" i="14"/>
  <c r="C1630" i="14"/>
  <c r="B1630" i="14"/>
  <c r="A1630" i="14"/>
  <c r="C1629" i="14"/>
  <c r="B1629" i="14"/>
  <c r="A1629" i="14"/>
  <c r="C1628" i="14"/>
  <c r="B1628" i="14"/>
  <c r="A1628" i="14"/>
  <c r="C1627" i="14"/>
  <c r="B1627" i="14"/>
  <c r="A1627" i="14"/>
  <c r="C1626" i="14"/>
  <c r="B1626" i="14"/>
  <c r="A1626" i="14"/>
  <c r="C1625" i="14"/>
  <c r="B1625" i="14"/>
  <c r="A1625" i="14"/>
  <c r="C1624" i="14"/>
  <c r="B1624" i="14"/>
  <c r="A1624" i="14"/>
  <c r="C1623" i="14"/>
  <c r="B1623" i="14"/>
  <c r="A1623" i="14"/>
  <c r="C1622" i="14"/>
  <c r="B1622" i="14"/>
  <c r="A1622" i="14"/>
  <c r="C1621" i="14"/>
  <c r="B1621" i="14"/>
  <c r="A1621" i="14"/>
  <c r="C1620" i="14"/>
  <c r="B1620" i="14"/>
  <c r="A1620" i="14"/>
  <c r="C1619" i="14"/>
  <c r="B1619" i="14"/>
  <c r="A1619" i="14"/>
  <c r="C1618" i="14"/>
  <c r="B1618" i="14"/>
  <c r="A1618" i="14"/>
  <c r="C1617" i="14"/>
  <c r="B1617" i="14"/>
  <c r="A1617" i="14"/>
  <c r="C1616" i="14"/>
  <c r="B1616" i="14"/>
  <c r="A1616" i="14"/>
  <c r="C1615" i="14"/>
  <c r="B1615" i="14"/>
  <c r="A1615" i="14"/>
  <c r="C1614" i="14"/>
  <c r="B1614" i="14"/>
  <c r="A1614" i="14"/>
  <c r="C1613" i="14"/>
  <c r="B1613" i="14"/>
  <c r="A1613" i="14"/>
  <c r="C1612" i="14"/>
  <c r="B1612" i="14"/>
  <c r="A1612" i="14"/>
  <c r="C1611" i="14"/>
  <c r="B1611" i="14"/>
  <c r="A1611" i="14"/>
  <c r="C1610" i="14"/>
  <c r="B1610" i="14"/>
  <c r="A1610" i="14"/>
  <c r="C1609" i="14"/>
  <c r="B1609" i="14"/>
  <c r="A1609" i="14"/>
  <c r="C1608" i="14"/>
  <c r="B1608" i="14"/>
  <c r="A1608" i="14"/>
  <c r="C1607" i="14"/>
  <c r="B1607" i="14"/>
  <c r="A1607" i="14"/>
  <c r="C1606" i="14"/>
  <c r="B1606" i="14"/>
  <c r="A1606" i="14"/>
  <c r="C1605" i="14"/>
  <c r="B1605" i="14"/>
  <c r="A1605" i="14"/>
  <c r="C1604" i="14"/>
  <c r="B1604" i="14"/>
  <c r="A1604" i="14"/>
  <c r="C1603" i="14"/>
  <c r="B1603" i="14"/>
  <c r="A1603" i="14"/>
  <c r="C1602" i="14"/>
  <c r="B1602" i="14"/>
  <c r="A1602" i="14"/>
  <c r="C1601" i="14"/>
  <c r="B1601" i="14"/>
  <c r="A1601" i="14"/>
  <c r="C1600" i="14"/>
  <c r="B1600" i="14"/>
  <c r="A1600" i="14"/>
  <c r="C1599" i="14"/>
  <c r="B1599" i="14"/>
  <c r="A1599" i="14"/>
  <c r="C1598" i="14"/>
  <c r="B1598" i="14"/>
  <c r="A1598" i="14"/>
  <c r="C1597" i="14"/>
  <c r="B1597" i="14"/>
  <c r="A1597" i="14"/>
  <c r="C1596" i="14"/>
  <c r="B1596" i="14"/>
  <c r="A1596" i="14"/>
  <c r="C1595" i="14"/>
  <c r="B1595" i="14"/>
  <c r="A1595" i="14"/>
  <c r="C1594" i="14"/>
  <c r="B1594" i="14"/>
  <c r="A1594" i="14"/>
  <c r="C1593" i="14"/>
  <c r="B1593" i="14"/>
  <c r="A1593" i="14"/>
  <c r="C1592" i="14"/>
  <c r="B1592" i="14"/>
  <c r="A1592" i="14"/>
  <c r="C1591" i="14"/>
  <c r="B1591" i="14"/>
  <c r="A1591" i="14"/>
  <c r="C1590" i="14"/>
  <c r="B1590" i="14"/>
  <c r="A1590" i="14"/>
  <c r="C1589" i="14"/>
  <c r="B1589" i="14"/>
  <c r="A1589" i="14"/>
  <c r="C1588" i="14"/>
  <c r="B1588" i="14"/>
  <c r="A1588" i="14"/>
  <c r="C1587" i="14"/>
  <c r="B1587" i="14"/>
  <c r="A1587" i="14"/>
  <c r="C1586" i="14"/>
  <c r="B1586" i="14"/>
  <c r="A1586" i="14"/>
  <c r="C1585" i="14"/>
  <c r="B1585" i="14"/>
  <c r="A1585" i="14"/>
  <c r="C1584" i="14"/>
  <c r="B1584" i="14"/>
  <c r="A1584" i="14"/>
  <c r="C1583" i="14"/>
  <c r="B1583" i="14"/>
  <c r="A1583" i="14"/>
  <c r="C1582" i="14"/>
  <c r="B1582" i="14"/>
  <c r="A1582" i="14"/>
  <c r="C1581" i="14"/>
  <c r="B1581" i="14"/>
  <c r="A1581" i="14"/>
  <c r="C1580" i="14"/>
  <c r="B1580" i="14"/>
  <c r="A1580" i="14"/>
  <c r="C1579" i="14"/>
  <c r="B1579" i="14"/>
  <c r="A1579" i="14"/>
  <c r="C1578" i="14"/>
  <c r="B1578" i="14"/>
  <c r="A1578" i="14"/>
  <c r="C1577" i="14"/>
  <c r="B1577" i="14"/>
  <c r="A1577" i="14"/>
  <c r="C1576" i="14"/>
  <c r="B1576" i="14"/>
  <c r="A1576" i="14"/>
  <c r="C1575" i="14"/>
  <c r="B1575" i="14"/>
  <c r="A1575" i="14"/>
  <c r="C1574" i="14"/>
  <c r="B1574" i="14"/>
  <c r="A1574" i="14"/>
  <c r="C1573" i="14"/>
  <c r="B1573" i="14"/>
  <c r="A1573" i="14"/>
  <c r="C1572" i="14"/>
  <c r="B1572" i="14"/>
  <c r="A1572" i="14"/>
  <c r="C1571" i="14"/>
  <c r="B1571" i="14"/>
  <c r="A1571" i="14"/>
  <c r="C1570" i="14"/>
  <c r="B1570" i="14"/>
  <c r="A1570" i="14"/>
  <c r="C1569" i="14"/>
  <c r="B1569" i="14"/>
  <c r="A1569" i="14"/>
  <c r="C1568" i="14"/>
  <c r="B1568" i="14"/>
  <c r="A1568" i="14"/>
  <c r="C1567" i="14"/>
  <c r="B1567" i="14"/>
  <c r="A1567" i="14"/>
  <c r="C1566" i="14"/>
  <c r="B1566" i="14"/>
  <c r="A1566" i="14"/>
  <c r="C1565" i="14"/>
  <c r="B1565" i="14"/>
  <c r="A1565" i="14"/>
  <c r="C1564" i="14"/>
  <c r="B1564" i="14"/>
  <c r="A1564" i="14"/>
  <c r="C1563" i="14"/>
  <c r="B1563" i="14"/>
  <c r="A1563" i="14"/>
  <c r="C1562" i="14"/>
  <c r="B1562" i="14"/>
  <c r="A1562" i="14"/>
  <c r="C1561" i="14"/>
  <c r="B1561" i="14"/>
  <c r="A1561" i="14"/>
  <c r="C1560" i="14"/>
  <c r="B1560" i="14"/>
  <c r="A1560" i="14"/>
  <c r="C1559" i="14"/>
  <c r="B1559" i="14"/>
  <c r="A1559" i="14"/>
  <c r="C1558" i="14"/>
  <c r="B1558" i="14"/>
  <c r="A1558" i="14"/>
  <c r="C1557" i="14"/>
  <c r="B1557" i="14"/>
  <c r="A1557" i="14"/>
  <c r="C1556" i="14"/>
  <c r="B1556" i="14"/>
  <c r="A1556" i="14"/>
  <c r="C1555" i="14"/>
  <c r="B1555" i="14"/>
  <c r="A1555" i="14"/>
  <c r="C1554" i="14"/>
  <c r="B1554" i="14"/>
  <c r="A1554" i="14"/>
  <c r="C1553" i="14"/>
  <c r="B1553" i="14"/>
  <c r="A1553" i="14"/>
  <c r="C1552" i="14"/>
  <c r="B1552" i="14"/>
  <c r="A1552" i="14"/>
  <c r="C1551" i="14"/>
  <c r="B1551" i="14"/>
  <c r="A1551" i="14"/>
  <c r="C1550" i="14"/>
  <c r="B1550" i="14"/>
  <c r="A1550" i="14"/>
  <c r="C1549" i="14"/>
  <c r="B1549" i="14"/>
  <c r="A1549" i="14"/>
  <c r="C1548" i="14"/>
  <c r="B1548" i="14"/>
  <c r="A1548" i="14"/>
  <c r="C1547" i="14"/>
  <c r="B1547" i="14"/>
  <c r="A1547" i="14"/>
  <c r="C1546" i="14"/>
  <c r="B1546" i="14"/>
  <c r="A1546" i="14"/>
  <c r="C1545" i="14"/>
  <c r="B1545" i="14"/>
  <c r="A1545" i="14"/>
  <c r="C1544" i="14"/>
  <c r="B1544" i="14"/>
  <c r="A1544" i="14"/>
  <c r="C1543" i="14"/>
  <c r="B1543" i="14"/>
  <c r="A1543" i="14"/>
  <c r="C1542" i="14"/>
  <c r="B1542" i="14"/>
  <c r="A1542" i="14"/>
  <c r="C1541" i="14"/>
  <c r="B1541" i="14"/>
  <c r="A1541" i="14"/>
  <c r="C1540" i="14"/>
  <c r="B1540" i="14"/>
  <c r="A1540" i="14"/>
  <c r="C1539" i="14"/>
  <c r="B1539" i="14"/>
  <c r="A1539" i="14"/>
  <c r="C1538" i="14"/>
  <c r="B1538" i="14"/>
  <c r="A1538" i="14"/>
  <c r="C1537" i="14"/>
  <c r="B1537" i="14"/>
  <c r="A1537" i="14"/>
  <c r="C1536" i="14"/>
  <c r="B1536" i="14"/>
  <c r="A1536" i="14"/>
  <c r="C1535" i="14"/>
  <c r="B1535" i="14"/>
  <c r="A1535" i="14"/>
  <c r="C1534" i="14"/>
  <c r="B1534" i="14"/>
  <c r="A1534" i="14"/>
  <c r="C1533" i="14"/>
  <c r="B1533" i="14"/>
  <c r="A1533" i="14"/>
  <c r="C1532" i="14"/>
  <c r="B1532" i="14"/>
  <c r="A1532" i="14"/>
  <c r="C1531" i="14"/>
  <c r="B1531" i="14"/>
  <c r="A1531" i="14"/>
  <c r="C1530" i="14"/>
  <c r="B1530" i="14"/>
  <c r="A1530" i="14"/>
  <c r="C1529" i="14"/>
  <c r="B1529" i="14"/>
  <c r="A1529" i="14"/>
  <c r="C1528" i="14"/>
  <c r="B1528" i="14"/>
  <c r="A1528" i="14"/>
  <c r="C1527" i="14"/>
  <c r="B1527" i="14"/>
  <c r="A1527" i="14"/>
  <c r="C1526" i="14"/>
  <c r="B1526" i="14"/>
  <c r="A1526" i="14"/>
  <c r="C1525" i="14"/>
  <c r="B1525" i="14"/>
  <c r="A1525" i="14"/>
  <c r="C1524" i="14"/>
  <c r="B1524" i="14"/>
  <c r="A1524" i="14"/>
  <c r="C1523" i="14"/>
  <c r="B1523" i="14"/>
  <c r="A1523" i="14"/>
  <c r="C1522" i="14"/>
  <c r="B1522" i="14"/>
  <c r="A1522" i="14"/>
  <c r="C1521" i="14"/>
  <c r="B1521" i="14"/>
  <c r="A1521" i="14"/>
  <c r="C1520" i="14"/>
  <c r="B1520" i="14"/>
  <c r="A1520" i="14"/>
  <c r="C1519" i="14"/>
  <c r="B1519" i="14"/>
  <c r="A1519" i="14"/>
  <c r="C1518" i="14"/>
  <c r="B1518" i="14"/>
  <c r="A1518" i="14"/>
  <c r="C1517" i="14"/>
  <c r="B1517" i="14"/>
  <c r="A1517" i="14"/>
  <c r="C1516" i="14"/>
  <c r="B1516" i="14"/>
  <c r="A1516" i="14"/>
  <c r="C1515" i="14"/>
  <c r="B1515" i="14"/>
  <c r="A1515" i="14"/>
  <c r="C1514" i="14"/>
  <c r="B1514" i="14"/>
  <c r="A1514" i="14"/>
  <c r="C1513" i="14"/>
  <c r="B1513" i="14"/>
  <c r="A1513" i="14"/>
  <c r="C1512" i="14"/>
  <c r="B1512" i="14"/>
  <c r="A1512" i="14"/>
  <c r="C1511" i="14"/>
  <c r="B1511" i="14"/>
  <c r="A1511" i="14"/>
  <c r="C1510" i="14"/>
  <c r="B1510" i="14"/>
  <c r="A1510" i="14"/>
  <c r="C1509" i="14"/>
  <c r="B1509" i="14"/>
  <c r="A1509" i="14"/>
  <c r="C1508" i="14"/>
  <c r="B1508" i="14"/>
  <c r="A1508" i="14"/>
  <c r="C1507" i="14"/>
  <c r="B1507" i="14"/>
  <c r="A1507" i="14"/>
  <c r="C1506" i="14"/>
  <c r="B1506" i="14"/>
  <c r="A1506" i="14"/>
  <c r="C1505" i="14"/>
  <c r="B1505" i="14"/>
  <c r="A1505" i="14"/>
  <c r="C1504" i="14"/>
  <c r="B1504" i="14"/>
  <c r="A1504" i="14"/>
  <c r="C1503" i="14"/>
  <c r="B1503" i="14"/>
  <c r="A1503" i="14"/>
  <c r="C1502" i="14"/>
  <c r="B1502" i="14"/>
  <c r="A1502" i="14"/>
  <c r="C1501" i="14"/>
  <c r="B1501" i="14"/>
  <c r="A1501" i="14"/>
  <c r="C1500" i="14"/>
  <c r="B1500" i="14"/>
  <c r="A1500" i="14"/>
  <c r="C1499" i="14"/>
  <c r="B1499" i="14"/>
  <c r="A1499" i="14"/>
  <c r="C1498" i="14"/>
  <c r="B1498" i="14"/>
  <c r="A1498" i="14"/>
  <c r="C1497" i="14"/>
  <c r="B1497" i="14"/>
  <c r="A1497" i="14"/>
  <c r="C1496" i="14"/>
  <c r="B1496" i="14"/>
  <c r="A1496" i="14"/>
  <c r="C1495" i="14"/>
  <c r="B1495" i="14"/>
  <c r="A1495" i="14"/>
  <c r="C1494" i="14"/>
  <c r="B1494" i="14"/>
  <c r="A1494" i="14"/>
  <c r="C1493" i="14"/>
  <c r="B1493" i="14"/>
  <c r="A1493" i="14"/>
  <c r="C1492" i="14"/>
  <c r="B1492" i="14"/>
  <c r="A1492" i="14"/>
  <c r="C1491" i="14"/>
  <c r="B1491" i="14"/>
  <c r="A1491" i="14"/>
  <c r="C1490" i="14"/>
  <c r="B1490" i="14"/>
  <c r="A1490" i="14"/>
  <c r="C1489" i="14"/>
  <c r="B1489" i="14"/>
  <c r="A1489" i="14"/>
  <c r="C1488" i="14"/>
  <c r="B1488" i="14"/>
  <c r="A1488" i="14"/>
  <c r="C1487" i="14"/>
  <c r="B1487" i="14"/>
  <c r="A1487" i="14"/>
  <c r="C1486" i="14"/>
  <c r="B1486" i="14"/>
  <c r="A1486" i="14"/>
  <c r="C1485" i="14"/>
  <c r="B1485" i="14"/>
  <c r="A1485" i="14"/>
  <c r="C1484" i="14"/>
  <c r="B1484" i="14"/>
  <c r="A1484" i="14"/>
  <c r="C1483" i="14"/>
  <c r="B1483" i="14"/>
  <c r="A1483" i="14"/>
  <c r="C1482" i="14"/>
  <c r="B1482" i="14"/>
  <c r="A1482" i="14"/>
  <c r="C1481" i="14"/>
  <c r="B1481" i="14"/>
  <c r="A1481" i="14"/>
  <c r="C1480" i="14"/>
  <c r="B1480" i="14"/>
  <c r="A1480" i="14"/>
  <c r="C1479" i="14"/>
  <c r="B1479" i="14"/>
  <c r="A1479" i="14"/>
  <c r="C1478" i="14"/>
  <c r="B1478" i="14"/>
  <c r="A1478" i="14"/>
  <c r="C1477" i="14"/>
  <c r="B1477" i="14"/>
  <c r="A1477" i="14"/>
  <c r="C1476" i="14"/>
  <c r="B1476" i="14"/>
  <c r="A1476" i="14"/>
  <c r="C1475" i="14"/>
  <c r="B1475" i="14"/>
  <c r="A1475" i="14"/>
  <c r="C1474" i="14"/>
  <c r="B1474" i="14"/>
  <c r="A1474" i="14"/>
  <c r="C1473" i="14"/>
  <c r="B1473" i="14"/>
  <c r="A1473" i="14"/>
  <c r="C1472" i="14"/>
  <c r="B1472" i="14"/>
  <c r="A1472" i="14"/>
  <c r="C1471" i="14"/>
  <c r="B1471" i="14"/>
  <c r="A1471" i="14"/>
  <c r="C1470" i="14"/>
  <c r="B1470" i="14"/>
  <c r="A1470" i="14"/>
  <c r="C1469" i="14"/>
  <c r="B1469" i="14"/>
  <c r="A1469" i="14"/>
  <c r="C1468" i="14"/>
  <c r="B1468" i="14"/>
  <c r="A1468" i="14"/>
  <c r="C1467" i="14"/>
  <c r="B1467" i="14"/>
  <c r="A1467" i="14"/>
  <c r="C1466" i="14"/>
  <c r="B1466" i="14"/>
  <c r="A1466" i="14"/>
  <c r="C1465" i="14"/>
  <c r="B1465" i="14"/>
  <c r="A1465" i="14"/>
  <c r="C1464" i="14"/>
  <c r="B1464" i="14"/>
  <c r="A1464" i="14"/>
  <c r="C1463" i="14"/>
  <c r="B1463" i="14"/>
  <c r="A1463" i="14"/>
  <c r="C1462" i="14"/>
  <c r="B1462" i="14"/>
  <c r="A1462" i="14"/>
  <c r="C1461" i="14"/>
  <c r="B1461" i="14"/>
  <c r="A1461" i="14"/>
  <c r="C1460" i="14"/>
  <c r="B1460" i="14"/>
  <c r="A1460" i="14"/>
  <c r="C1459" i="14"/>
  <c r="B1459" i="14"/>
  <c r="A1459" i="14"/>
  <c r="C1458" i="14"/>
  <c r="B1458" i="14"/>
  <c r="A1458" i="14"/>
  <c r="C1457" i="14"/>
  <c r="B1457" i="14"/>
  <c r="A1457" i="14"/>
  <c r="C1456" i="14"/>
  <c r="B1456" i="14"/>
  <c r="A1456" i="14"/>
  <c r="C1455" i="14"/>
  <c r="B1455" i="14"/>
  <c r="A1455" i="14"/>
  <c r="C1454" i="14"/>
  <c r="B1454" i="14"/>
  <c r="A1454" i="14"/>
  <c r="C1453" i="14"/>
  <c r="B1453" i="14"/>
  <c r="A1453" i="14"/>
  <c r="C1452" i="14"/>
  <c r="B1452" i="14"/>
  <c r="A1452" i="14"/>
  <c r="C1451" i="14"/>
  <c r="B1451" i="14"/>
  <c r="A1451" i="14"/>
  <c r="C1450" i="14"/>
  <c r="B1450" i="14"/>
  <c r="A1450" i="14"/>
  <c r="C1449" i="14"/>
  <c r="B1449" i="14"/>
  <c r="A1449" i="14"/>
  <c r="C1448" i="14"/>
  <c r="B1448" i="14"/>
  <c r="A1448" i="14"/>
  <c r="C1447" i="14"/>
  <c r="B1447" i="14"/>
  <c r="A1447" i="14"/>
  <c r="C1446" i="14"/>
  <c r="B1446" i="14"/>
  <c r="A1446" i="14"/>
  <c r="C1445" i="14"/>
  <c r="B1445" i="14"/>
  <c r="A1445" i="14"/>
  <c r="C1444" i="14"/>
  <c r="B1444" i="14"/>
  <c r="A1444" i="14"/>
  <c r="C1443" i="14"/>
  <c r="B1443" i="14"/>
  <c r="A1443" i="14"/>
  <c r="C1442" i="14"/>
  <c r="B1442" i="14"/>
  <c r="A1442" i="14"/>
  <c r="C1441" i="14"/>
  <c r="B1441" i="14"/>
  <c r="A1441" i="14"/>
  <c r="C1440" i="14"/>
  <c r="B1440" i="14"/>
  <c r="A1440" i="14"/>
  <c r="C1439" i="14"/>
  <c r="B1439" i="14"/>
  <c r="A1439" i="14"/>
  <c r="C1438" i="14"/>
  <c r="B1438" i="14"/>
  <c r="A1438" i="14"/>
  <c r="C1437" i="14"/>
  <c r="B1437" i="14"/>
  <c r="A1437" i="14"/>
  <c r="C1436" i="14"/>
  <c r="B1436" i="14"/>
  <c r="A1436" i="14"/>
  <c r="C1435" i="14"/>
  <c r="B1435" i="14"/>
  <c r="A1435" i="14"/>
  <c r="C1434" i="14"/>
  <c r="B1434" i="14"/>
  <c r="A1434" i="14"/>
  <c r="C1433" i="14"/>
  <c r="B1433" i="14"/>
  <c r="A1433" i="14"/>
  <c r="C1432" i="14"/>
  <c r="B1432" i="14"/>
  <c r="A1432" i="14"/>
  <c r="C1431" i="14"/>
  <c r="B1431" i="14"/>
  <c r="A1431" i="14"/>
  <c r="C1430" i="14"/>
  <c r="B1430" i="14"/>
  <c r="A1430" i="14"/>
  <c r="C1429" i="14"/>
  <c r="B1429" i="14"/>
  <c r="A1429" i="14"/>
  <c r="C1428" i="14"/>
  <c r="B1428" i="14"/>
  <c r="A1428" i="14"/>
  <c r="C1427" i="14"/>
  <c r="B1427" i="14"/>
  <c r="A1427" i="14"/>
  <c r="C1426" i="14"/>
  <c r="B1426" i="14"/>
  <c r="A1426" i="14"/>
  <c r="C1425" i="14"/>
  <c r="B1425" i="14"/>
  <c r="A1425" i="14"/>
  <c r="C1424" i="14"/>
  <c r="B1424" i="14"/>
  <c r="A1424" i="14"/>
  <c r="C1423" i="14"/>
  <c r="B1423" i="14"/>
  <c r="A1423" i="14"/>
  <c r="C1422" i="14"/>
  <c r="B1422" i="14"/>
  <c r="A1422" i="14"/>
  <c r="C1421" i="14"/>
  <c r="B1421" i="14"/>
  <c r="A1421" i="14"/>
  <c r="C1420" i="14"/>
  <c r="B1420" i="14"/>
  <c r="A1420" i="14"/>
  <c r="C1419" i="14"/>
  <c r="B1419" i="14"/>
  <c r="A1419" i="14"/>
  <c r="C1418" i="14"/>
  <c r="B1418" i="14"/>
  <c r="A1418" i="14"/>
  <c r="C1417" i="14"/>
  <c r="B1417" i="14"/>
  <c r="A1417" i="14"/>
  <c r="C1416" i="14"/>
  <c r="B1416" i="14"/>
  <c r="A1416" i="14"/>
  <c r="C1415" i="14"/>
  <c r="B1415" i="14"/>
  <c r="A1415" i="14"/>
  <c r="C1414" i="14"/>
  <c r="B1414" i="14"/>
  <c r="A1414" i="14"/>
  <c r="C1413" i="14"/>
  <c r="B1413" i="14"/>
  <c r="A1413" i="14"/>
  <c r="C1412" i="14"/>
  <c r="B1412" i="14"/>
  <c r="A1412" i="14"/>
  <c r="C1411" i="14"/>
  <c r="B1411" i="14"/>
  <c r="A1411" i="14"/>
  <c r="C1410" i="14"/>
  <c r="B1410" i="14"/>
  <c r="A1410" i="14"/>
  <c r="C1409" i="14"/>
  <c r="B1409" i="14"/>
  <c r="A1409" i="14"/>
  <c r="C1408" i="14"/>
  <c r="B1408" i="14"/>
  <c r="A1408" i="14"/>
  <c r="C1407" i="14"/>
  <c r="B1407" i="14"/>
  <c r="A1407" i="14"/>
  <c r="C1406" i="14"/>
  <c r="B1406" i="14"/>
  <c r="A1406" i="14"/>
  <c r="C1405" i="14"/>
  <c r="B1405" i="14"/>
  <c r="A1405" i="14"/>
  <c r="C1404" i="14"/>
  <c r="B1404" i="14"/>
  <c r="A1404" i="14"/>
  <c r="C1403" i="14"/>
  <c r="B1403" i="14"/>
  <c r="A1403" i="14"/>
  <c r="C1402" i="14"/>
  <c r="B1402" i="14"/>
  <c r="A1402" i="14"/>
  <c r="C1401" i="14"/>
  <c r="B1401" i="14"/>
  <c r="A1401" i="14"/>
  <c r="C1400" i="14"/>
  <c r="B1400" i="14"/>
  <c r="A1400" i="14"/>
  <c r="C1399" i="14"/>
  <c r="B1399" i="14"/>
  <c r="A1399" i="14"/>
  <c r="C1398" i="14"/>
  <c r="B1398" i="14"/>
  <c r="A1398" i="14"/>
  <c r="C1397" i="14"/>
  <c r="B1397" i="14"/>
  <c r="A1397" i="14"/>
  <c r="C1396" i="14"/>
  <c r="B1396" i="14"/>
  <c r="A1396" i="14"/>
  <c r="C1395" i="14"/>
  <c r="B1395" i="14"/>
  <c r="A1395" i="14"/>
  <c r="C1394" i="14"/>
  <c r="B1394" i="14"/>
  <c r="A1394" i="14"/>
  <c r="C1393" i="14"/>
  <c r="B1393" i="14"/>
  <c r="A1393" i="14"/>
  <c r="C1392" i="14"/>
  <c r="B1392" i="14"/>
  <c r="A1392" i="14"/>
  <c r="C1391" i="14"/>
  <c r="B1391" i="14"/>
  <c r="A1391" i="14"/>
  <c r="C1390" i="14"/>
  <c r="B1390" i="14"/>
  <c r="A1390" i="14"/>
  <c r="C1389" i="14"/>
  <c r="B1389" i="14"/>
  <c r="A1389" i="14"/>
  <c r="C1388" i="14"/>
  <c r="B1388" i="14"/>
  <c r="A1388" i="14"/>
  <c r="C1387" i="14"/>
  <c r="B1387" i="14"/>
  <c r="A1387" i="14"/>
  <c r="C1386" i="14"/>
  <c r="B1386" i="14"/>
  <c r="A1386" i="14"/>
  <c r="C1385" i="14"/>
  <c r="B1385" i="14"/>
  <c r="A1385" i="14"/>
  <c r="C1384" i="14"/>
  <c r="B1384" i="14"/>
  <c r="A1384" i="14"/>
  <c r="C1383" i="14"/>
  <c r="B1383" i="14"/>
  <c r="A1383" i="14"/>
  <c r="C1382" i="14"/>
  <c r="B1382" i="14"/>
  <c r="A1382" i="14"/>
  <c r="C1381" i="14"/>
  <c r="B1381" i="14"/>
  <c r="A1381" i="14"/>
  <c r="C1380" i="14"/>
  <c r="B1380" i="14"/>
  <c r="A1380" i="14"/>
  <c r="C1379" i="14"/>
  <c r="B1379" i="14"/>
  <c r="A1379" i="14"/>
  <c r="C1378" i="14"/>
  <c r="B1378" i="14"/>
  <c r="A1378" i="14"/>
  <c r="C1377" i="14"/>
  <c r="B1377" i="14"/>
  <c r="A1377" i="14"/>
  <c r="C1376" i="14"/>
  <c r="B1376" i="14"/>
  <c r="A1376" i="14"/>
  <c r="C1375" i="14"/>
  <c r="B1375" i="14"/>
  <c r="A1375" i="14"/>
  <c r="C1374" i="14"/>
  <c r="B1374" i="14"/>
  <c r="A1374" i="14"/>
  <c r="C1373" i="14"/>
  <c r="B1373" i="14"/>
  <c r="A1373" i="14"/>
  <c r="C1372" i="14"/>
  <c r="B1372" i="14"/>
  <c r="A1372" i="14"/>
  <c r="C1371" i="14"/>
  <c r="B1371" i="14"/>
  <c r="A1371" i="14"/>
  <c r="C1370" i="14"/>
  <c r="B1370" i="14"/>
  <c r="A1370" i="14"/>
  <c r="C1369" i="14"/>
  <c r="B1369" i="14"/>
  <c r="A1369" i="14"/>
  <c r="C1368" i="14"/>
  <c r="B1368" i="14"/>
  <c r="A1368" i="14"/>
  <c r="C1367" i="14"/>
  <c r="B1367" i="14"/>
  <c r="A1367" i="14"/>
  <c r="C1366" i="14"/>
  <c r="B1366" i="14"/>
  <c r="A1366" i="14"/>
  <c r="C1365" i="14"/>
  <c r="B1365" i="14"/>
  <c r="A1365" i="14"/>
  <c r="C1364" i="14"/>
  <c r="B1364" i="14"/>
  <c r="A1364" i="14"/>
  <c r="C1363" i="14"/>
  <c r="B1363" i="14"/>
  <c r="A1363" i="14"/>
  <c r="C1362" i="14"/>
  <c r="B1362" i="14"/>
  <c r="A1362" i="14"/>
  <c r="C1361" i="14"/>
  <c r="B1361" i="14"/>
  <c r="A1361" i="14"/>
  <c r="C1360" i="14"/>
  <c r="B1360" i="14"/>
  <c r="A1360" i="14"/>
  <c r="C1359" i="14"/>
  <c r="B1359" i="14"/>
  <c r="A1359" i="14"/>
  <c r="C1358" i="14"/>
  <c r="B1358" i="14"/>
  <c r="A1358" i="14"/>
  <c r="C1357" i="14"/>
  <c r="B1357" i="14"/>
  <c r="A1357" i="14"/>
  <c r="C1356" i="14"/>
  <c r="B1356" i="14"/>
  <c r="A1356" i="14"/>
  <c r="C1355" i="14"/>
  <c r="B1355" i="14"/>
  <c r="A1355" i="14"/>
  <c r="C1354" i="14"/>
  <c r="B1354" i="14"/>
  <c r="A1354" i="14"/>
  <c r="C1353" i="14"/>
  <c r="B1353" i="14"/>
  <c r="A1353" i="14"/>
  <c r="C1352" i="14"/>
  <c r="B1352" i="14"/>
  <c r="A1352" i="14"/>
  <c r="C1351" i="14"/>
  <c r="B1351" i="14"/>
  <c r="A1351" i="14"/>
  <c r="C1350" i="14"/>
  <c r="B1350" i="14"/>
  <c r="A1350" i="14"/>
  <c r="C1349" i="14"/>
  <c r="B1349" i="14"/>
  <c r="A1349" i="14"/>
  <c r="C1348" i="14"/>
  <c r="B1348" i="14"/>
  <c r="A1348" i="14"/>
  <c r="C1347" i="14"/>
  <c r="B1347" i="14"/>
  <c r="A1347" i="14"/>
  <c r="C1346" i="14"/>
  <c r="B1346" i="14"/>
  <c r="A1346" i="14"/>
  <c r="C1345" i="14"/>
  <c r="B1345" i="14"/>
  <c r="A1345" i="14"/>
  <c r="C1344" i="14"/>
  <c r="B1344" i="14"/>
  <c r="A1344" i="14"/>
  <c r="C1343" i="14"/>
  <c r="B1343" i="14"/>
  <c r="A1343" i="14"/>
  <c r="C1342" i="14"/>
  <c r="B1342" i="14"/>
  <c r="A1342" i="14"/>
  <c r="C1341" i="14"/>
  <c r="B1341" i="14"/>
  <c r="A1341" i="14"/>
  <c r="C1340" i="14"/>
  <c r="B1340" i="14"/>
  <c r="A1340" i="14"/>
  <c r="C1339" i="14"/>
  <c r="B1339" i="14"/>
  <c r="A1339" i="14"/>
  <c r="C1338" i="14"/>
  <c r="B1338" i="14"/>
  <c r="A1338" i="14"/>
  <c r="C1337" i="14"/>
  <c r="B1337" i="14"/>
  <c r="A1337" i="14"/>
  <c r="C1336" i="14"/>
  <c r="B1336" i="14"/>
  <c r="A1336" i="14"/>
  <c r="C1335" i="14"/>
  <c r="B1335" i="14"/>
  <c r="A1335" i="14"/>
  <c r="C1334" i="14"/>
  <c r="B1334" i="14"/>
  <c r="A1334" i="14"/>
  <c r="C1333" i="14"/>
  <c r="B1333" i="14"/>
  <c r="A1333" i="14"/>
  <c r="C1332" i="14"/>
  <c r="B1332" i="14"/>
  <c r="A1332" i="14"/>
  <c r="C1331" i="14"/>
  <c r="B1331" i="14"/>
  <c r="A1331" i="14"/>
  <c r="C1330" i="14"/>
  <c r="B1330" i="14"/>
  <c r="A1330" i="14"/>
  <c r="C1329" i="14"/>
  <c r="B1329" i="14"/>
  <c r="A1329" i="14"/>
  <c r="C1328" i="14"/>
  <c r="B1328" i="14"/>
  <c r="A1328" i="14"/>
  <c r="C1327" i="14"/>
  <c r="B1327" i="14"/>
  <c r="A1327" i="14"/>
  <c r="C1326" i="14"/>
  <c r="B1326" i="14"/>
  <c r="A1326" i="14"/>
  <c r="C1325" i="14"/>
  <c r="B1325" i="14"/>
  <c r="A1325" i="14"/>
  <c r="C1324" i="14"/>
  <c r="B1324" i="14"/>
  <c r="A1324" i="14"/>
  <c r="C1323" i="14"/>
  <c r="B1323" i="14"/>
  <c r="A1323" i="14"/>
  <c r="C1322" i="14"/>
  <c r="B1322" i="14"/>
  <c r="A1322" i="14"/>
  <c r="C1321" i="14"/>
  <c r="B1321" i="14"/>
  <c r="A1321" i="14"/>
  <c r="C1320" i="14"/>
  <c r="B1320" i="14"/>
  <c r="A1320" i="14"/>
  <c r="C1319" i="14"/>
  <c r="B1319" i="14"/>
  <c r="A1319" i="14"/>
  <c r="C1318" i="14"/>
  <c r="B1318" i="14"/>
  <c r="A1318" i="14"/>
  <c r="C1317" i="14"/>
  <c r="B1317" i="14"/>
  <c r="A1317" i="14"/>
  <c r="C1316" i="14"/>
  <c r="B1316" i="14"/>
  <c r="A1316" i="14"/>
  <c r="C1315" i="14"/>
  <c r="B1315" i="14"/>
  <c r="A1315" i="14"/>
  <c r="C1314" i="14"/>
  <c r="B1314" i="14"/>
  <c r="A1314" i="14"/>
  <c r="C1313" i="14"/>
  <c r="B1313" i="14"/>
  <c r="A1313" i="14"/>
  <c r="C1312" i="14"/>
  <c r="B1312" i="14"/>
  <c r="A1312" i="14"/>
  <c r="C1311" i="14"/>
  <c r="B1311" i="14"/>
  <c r="A1311" i="14"/>
  <c r="C1310" i="14"/>
  <c r="B1310" i="14"/>
  <c r="A1310" i="14"/>
  <c r="C1309" i="14"/>
  <c r="B1309" i="14"/>
  <c r="A1309" i="14"/>
  <c r="C1308" i="14"/>
  <c r="B1308" i="14"/>
  <c r="A1308" i="14"/>
  <c r="C1307" i="14"/>
  <c r="B1307" i="14"/>
  <c r="A1307" i="14"/>
  <c r="C1306" i="14"/>
  <c r="B1306" i="14"/>
  <c r="A1306" i="14"/>
  <c r="C1305" i="14"/>
  <c r="B1305" i="14"/>
  <c r="A1305" i="14"/>
  <c r="C1304" i="14"/>
  <c r="B1304" i="14"/>
  <c r="A1304" i="14"/>
  <c r="C1303" i="14"/>
  <c r="B1303" i="14"/>
  <c r="A1303" i="14"/>
  <c r="C1302" i="14"/>
  <c r="B1302" i="14"/>
  <c r="A1302" i="14"/>
  <c r="C1301" i="14"/>
  <c r="B1301" i="14"/>
  <c r="A1301" i="14"/>
  <c r="C1300" i="14"/>
  <c r="B1300" i="14"/>
  <c r="A1300" i="14"/>
  <c r="C1299" i="14"/>
  <c r="B1299" i="14"/>
  <c r="A1299" i="14"/>
  <c r="C1298" i="14"/>
  <c r="B1298" i="14"/>
  <c r="A1298" i="14"/>
  <c r="C1297" i="14"/>
  <c r="B1297" i="14"/>
  <c r="A1297" i="14"/>
  <c r="C1296" i="14"/>
  <c r="B1296" i="14"/>
  <c r="A1296" i="14"/>
  <c r="C1295" i="14"/>
  <c r="B1295" i="14"/>
  <c r="A1295" i="14"/>
  <c r="C1294" i="14"/>
  <c r="B1294" i="14"/>
  <c r="A1294" i="14"/>
  <c r="C1293" i="14"/>
  <c r="B1293" i="14"/>
  <c r="A1293" i="14"/>
  <c r="C1292" i="14"/>
  <c r="B1292" i="14"/>
  <c r="A1292" i="14"/>
  <c r="C1291" i="14"/>
  <c r="B1291" i="14"/>
  <c r="A1291" i="14"/>
  <c r="C1290" i="14"/>
  <c r="B1290" i="14"/>
  <c r="A1290" i="14"/>
  <c r="C1289" i="14"/>
  <c r="B1289" i="14"/>
  <c r="A1289" i="14"/>
  <c r="C1288" i="14"/>
  <c r="B1288" i="14"/>
  <c r="A1288" i="14"/>
  <c r="C1287" i="14"/>
  <c r="B1287" i="14"/>
  <c r="A1287" i="14"/>
  <c r="C1286" i="14"/>
  <c r="B1286" i="14"/>
  <c r="A1286" i="14"/>
  <c r="C1285" i="14"/>
  <c r="B1285" i="14"/>
  <c r="A1285" i="14"/>
  <c r="C1284" i="14"/>
  <c r="B1284" i="14"/>
  <c r="A1284" i="14"/>
  <c r="C1283" i="14"/>
  <c r="B1283" i="14"/>
  <c r="A1283" i="14"/>
  <c r="C1282" i="14"/>
  <c r="B1282" i="14"/>
  <c r="A1282" i="14"/>
  <c r="C1281" i="14"/>
  <c r="B1281" i="14"/>
  <c r="A1281" i="14"/>
  <c r="C1280" i="14"/>
  <c r="B1280" i="14"/>
  <c r="A1280" i="14"/>
  <c r="C1279" i="14"/>
  <c r="B1279" i="14"/>
  <c r="A1279" i="14"/>
  <c r="C1278" i="14"/>
  <c r="B1278" i="14"/>
  <c r="A1278" i="14"/>
  <c r="C1277" i="14"/>
  <c r="B1277" i="14"/>
  <c r="A1277" i="14"/>
  <c r="C1276" i="14"/>
  <c r="B1276" i="14"/>
  <c r="A1276" i="14"/>
  <c r="C1275" i="14"/>
  <c r="B1275" i="14"/>
  <c r="A1275" i="14"/>
  <c r="C1274" i="14"/>
  <c r="B1274" i="14"/>
  <c r="A1274" i="14"/>
  <c r="C1273" i="14"/>
  <c r="B1273" i="14"/>
  <c r="A1273" i="14"/>
  <c r="C1272" i="14"/>
  <c r="B1272" i="14"/>
  <c r="A1272" i="14"/>
  <c r="C1271" i="14"/>
  <c r="B1271" i="14"/>
  <c r="A1271" i="14"/>
  <c r="C1270" i="14"/>
  <c r="B1270" i="14"/>
  <c r="A1270" i="14"/>
  <c r="C1269" i="14"/>
  <c r="B1269" i="14"/>
  <c r="A1269" i="14"/>
  <c r="C1268" i="14"/>
  <c r="B1268" i="14"/>
  <c r="A1268" i="14"/>
  <c r="C1267" i="14"/>
  <c r="B1267" i="14"/>
  <c r="A1267" i="14"/>
  <c r="C1266" i="14"/>
  <c r="B1266" i="14"/>
  <c r="A1266" i="14"/>
  <c r="C1265" i="14"/>
  <c r="B1265" i="14"/>
  <c r="A1265" i="14"/>
  <c r="C1264" i="14"/>
  <c r="B1264" i="14"/>
  <c r="A1264" i="14"/>
  <c r="C1263" i="14"/>
  <c r="B1263" i="14"/>
  <c r="A1263" i="14"/>
  <c r="C1262" i="14"/>
  <c r="B1262" i="14"/>
  <c r="A1262" i="14"/>
  <c r="C1261" i="14"/>
  <c r="B1261" i="14"/>
  <c r="A1261" i="14"/>
  <c r="C1260" i="14"/>
  <c r="B1260" i="14"/>
  <c r="A1260" i="14"/>
  <c r="C1259" i="14"/>
  <c r="B1259" i="14"/>
  <c r="A1259" i="14"/>
  <c r="C1258" i="14"/>
  <c r="B1258" i="14"/>
  <c r="A1258" i="14"/>
  <c r="C1257" i="14"/>
  <c r="B1257" i="14"/>
  <c r="A1257" i="14"/>
  <c r="C1256" i="14"/>
  <c r="B1256" i="14"/>
  <c r="A1256" i="14"/>
  <c r="C1255" i="14"/>
  <c r="B1255" i="14"/>
  <c r="A1255" i="14"/>
  <c r="C1254" i="14"/>
  <c r="B1254" i="14"/>
  <c r="A1254" i="14"/>
  <c r="C1253" i="14"/>
  <c r="B1253" i="14"/>
  <c r="A1253" i="14"/>
  <c r="C1252" i="14"/>
  <c r="B1252" i="14"/>
  <c r="A1252" i="14"/>
  <c r="C1251" i="14"/>
  <c r="B1251" i="14"/>
  <c r="A1251" i="14"/>
  <c r="C1250" i="14"/>
  <c r="B1250" i="14"/>
  <c r="A1250" i="14"/>
  <c r="C1249" i="14"/>
  <c r="B1249" i="14"/>
  <c r="A1249" i="14"/>
  <c r="C1248" i="14"/>
  <c r="B1248" i="14"/>
  <c r="A1248" i="14"/>
  <c r="C1247" i="14"/>
  <c r="B1247" i="14"/>
  <c r="A1247" i="14"/>
  <c r="C1246" i="14"/>
  <c r="B1246" i="14"/>
  <c r="A1246" i="14"/>
  <c r="C1245" i="14"/>
  <c r="B1245" i="14"/>
  <c r="A1245" i="14"/>
  <c r="C1244" i="14"/>
  <c r="B1244" i="14"/>
  <c r="A1244" i="14"/>
  <c r="C1243" i="14"/>
  <c r="B1243" i="14"/>
  <c r="A1243" i="14"/>
  <c r="C1242" i="14"/>
  <c r="B1242" i="14"/>
  <c r="A1242" i="14"/>
  <c r="C1241" i="14"/>
  <c r="B1241" i="14"/>
  <c r="A1241" i="14"/>
  <c r="C1240" i="14"/>
  <c r="B1240" i="14"/>
  <c r="A1240" i="14"/>
  <c r="C1239" i="14"/>
  <c r="B1239" i="14"/>
  <c r="A1239" i="14"/>
  <c r="C1238" i="14"/>
  <c r="B1238" i="14"/>
  <c r="A1238" i="14"/>
  <c r="C1237" i="14"/>
  <c r="B1237" i="14"/>
  <c r="A1237" i="14"/>
  <c r="C1236" i="14"/>
  <c r="B1236" i="14"/>
  <c r="A1236" i="14"/>
  <c r="C1235" i="14"/>
  <c r="B1235" i="14"/>
  <c r="A1235" i="14"/>
  <c r="C1234" i="14"/>
  <c r="B1234" i="14"/>
  <c r="A1234" i="14"/>
  <c r="C1233" i="14"/>
  <c r="B1233" i="14"/>
  <c r="A1233" i="14"/>
  <c r="C1232" i="14"/>
  <c r="B1232" i="14"/>
  <c r="A1232" i="14"/>
  <c r="C1231" i="14"/>
  <c r="B1231" i="14"/>
  <c r="A1231" i="14"/>
  <c r="C1230" i="14"/>
  <c r="B1230" i="14"/>
  <c r="A1230" i="14"/>
  <c r="C1229" i="14"/>
  <c r="B1229" i="14"/>
  <c r="A1229" i="14"/>
  <c r="C1228" i="14"/>
  <c r="B1228" i="14"/>
  <c r="A1228" i="14"/>
  <c r="C1227" i="14"/>
  <c r="B1227" i="14"/>
  <c r="A1227" i="14"/>
  <c r="C1226" i="14"/>
  <c r="B1226" i="14"/>
  <c r="A1226" i="14"/>
  <c r="C1225" i="14"/>
  <c r="B1225" i="14"/>
  <c r="A1225" i="14"/>
  <c r="C1224" i="14"/>
  <c r="B1224" i="14"/>
  <c r="A1224" i="14"/>
  <c r="C1223" i="14"/>
  <c r="B1223" i="14"/>
  <c r="A1223" i="14"/>
  <c r="C1222" i="14"/>
  <c r="B1222" i="14"/>
  <c r="A1222" i="14"/>
  <c r="C1221" i="14"/>
  <c r="B1221" i="14"/>
  <c r="A1221" i="14"/>
  <c r="C1220" i="14"/>
  <c r="B1220" i="14"/>
  <c r="A1220" i="14"/>
  <c r="C1219" i="14"/>
  <c r="B1219" i="14"/>
  <c r="A1219" i="14"/>
  <c r="C1218" i="14"/>
  <c r="B1218" i="14"/>
  <c r="A1218" i="14"/>
  <c r="C1217" i="14"/>
  <c r="B1217" i="14"/>
  <c r="A1217" i="14"/>
  <c r="C1216" i="14"/>
  <c r="B1216" i="14"/>
  <c r="A1216" i="14"/>
  <c r="C1215" i="14"/>
  <c r="B1215" i="14"/>
  <c r="A1215" i="14"/>
  <c r="C1214" i="14"/>
  <c r="B1214" i="14"/>
  <c r="A1214" i="14"/>
  <c r="C1213" i="14"/>
  <c r="B1213" i="14"/>
  <c r="A1213" i="14"/>
  <c r="C1212" i="14"/>
  <c r="B1212" i="14"/>
  <c r="A1212" i="14"/>
  <c r="C1211" i="14"/>
  <c r="B1211" i="14"/>
  <c r="A1211" i="14"/>
  <c r="C1210" i="14"/>
  <c r="B1210" i="14"/>
  <c r="A1210" i="14"/>
  <c r="C1209" i="14"/>
  <c r="B1209" i="14"/>
  <c r="A1209" i="14"/>
  <c r="C1208" i="14"/>
  <c r="B1208" i="14"/>
  <c r="A1208" i="14"/>
  <c r="C1207" i="14"/>
  <c r="B1207" i="14"/>
  <c r="A1207" i="14"/>
  <c r="C1206" i="14"/>
  <c r="B1206" i="14"/>
  <c r="A1206" i="14"/>
  <c r="C1205" i="14"/>
  <c r="B1205" i="14"/>
  <c r="A1205" i="14"/>
  <c r="C1204" i="14"/>
  <c r="B1204" i="14"/>
  <c r="A1204" i="14"/>
  <c r="C1203" i="14"/>
  <c r="B1203" i="14"/>
  <c r="A1203" i="14"/>
  <c r="C1202" i="14"/>
  <c r="B1202" i="14"/>
  <c r="A1202" i="14"/>
  <c r="C1201" i="14"/>
  <c r="B1201" i="14"/>
  <c r="A1201" i="14"/>
  <c r="C1200" i="14"/>
  <c r="B1200" i="14"/>
  <c r="A1200" i="14"/>
  <c r="C1199" i="14"/>
  <c r="B1199" i="14"/>
  <c r="A1199" i="14"/>
  <c r="C1198" i="14"/>
  <c r="B1198" i="14"/>
  <c r="A1198" i="14"/>
  <c r="C1197" i="14"/>
  <c r="B1197" i="14"/>
  <c r="A1197" i="14"/>
  <c r="C1196" i="14"/>
  <c r="B1196" i="14"/>
  <c r="A1196" i="14"/>
  <c r="C1195" i="14"/>
  <c r="B1195" i="14"/>
  <c r="A1195" i="14"/>
  <c r="C1194" i="14"/>
  <c r="B1194" i="14"/>
  <c r="A1194" i="14"/>
  <c r="C1193" i="14"/>
  <c r="B1193" i="14"/>
  <c r="A1193" i="14"/>
  <c r="C1192" i="14"/>
  <c r="B1192" i="14"/>
  <c r="A1192" i="14"/>
  <c r="C1191" i="14"/>
  <c r="B1191" i="14"/>
  <c r="A1191" i="14"/>
  <c r="C1190" i="14"/>
  <c r="B1190" i="14"/>
  <c r="A1190" i="14"/>
  <c r="C1189" i="14"/>
  <c r="B1189" i="14"/>
  <c r="A1189" i="14"/>
  <c r="C1188" i="14"/>
  <c r="B1188" i="14"/>
  <c r="A1188" i="14"/>
  <c r="C1187" i="14"/>
  <c r="B1187" i="14"/>
  <c r="A1187" i="14"/>
  <c r="C1186" i="14"/>
  <c r="B1186" i="14"/>
  <c r="A1186" i="14"/>
  <c r="C1185" i="14"/>
  <c r="B1185" i="14"/>
  <c r="A1185" i="14"/>
  <c r="C1184" i="14"/>
  <c r="B1184" i="14"/>
  <c r="A1184" i="14"/>
  <c r="C1183" i="14"/>
  <c r="B1183" i="14"/>
  <c r="A1183" i="14"/>
  <c r="C1182" i="14"/>
  <c r="B1182" i="14"/>
  <c r="A1182" i="14"/>
  <c r="C1181" i="14"/>
  <c r="B1181" i="14"/>
  <c r="A1181" i="14"/>
  <c r="C1180" i="14"/>
  <c r="B1180" i="14"/>
  <c r="A1180" i="14"/>
  <c r="C1179" i="14"/>
  <c r="B1179" i="14"/>
  <c r="A1179" i="14"/>
  <c r="C1178" i="14"/>
  <c r="B1178" i="14"/>
  <c r="A1178" i="14"/>
  <c r="C1177" i="14"/>
  <c r="B1177" i="14"/>
  <c r="A1177" i="14"/>
  <c r="C1176" i="14"/>
  <c r="B1176" i="14"/>
  <c r="A1176" i="14"/>
  <c r="C1175" i="14"/>
  <c r="B1175" i="14"/>
  <c r="A1175" i="14"/>
  <c r="C1174" i="14"/>
  <c r="B1174" i="14"/>
  <c r="A1174" i="14"/>
  <c r="C1173" i="14"/>
  <c r="B1173" i="14"/>
  <c r="A1173" i="14"/>
  <c r="C1172" i="14"/>
  <c r="B1172" i="14"/>
  <c r="A1172" i="14"/>
  <c r="C1171" i="14"/>
  <c r="B1171" i="14"/>
  <c r="A1171" i="14"/>
  <c r="C1170" i="14"/>
  <c r="B1170" i="14"/>
  <c r="A1170" i="14"/>
  <c r="C1169" i="14"/>
  <c r="B1169" i="14"/>
  <c r="A1169" i="14"/>
  <c r="C1168" i="14"/>
  <c r="B1168" i="14"/>
  <c r="A1168" i="14"/>
  <c r="C1167" i="14"/>
  <c r="B1167" i="14"/>
  <c r="A1167" i="14"/>
  <c r="C1166" i="14"/>
  <c r="B1166" i="14"/>
  <c r="A1166" i="14"/>
  <c r="C1165" i="14"/>
  <c r="B1165" i="14"/>
  <c r="A1165" i="14"/>
  <c r="C1164" i="14"/>
  <c r="B1164" i="14"/>
  <c r="A1164" i="14"/>
  <c r="C1163" i="14"/>
  <c r="B1163" i="14"/>
  <c r="A1163" i="14"/>
  <c r="C1162" i="14"/>
  <c r="B1162" i="14"/>
  <c r="A1162" i="14"/>
  <c r="C1161" i="14"/>
  <c r="B1161" i="14"/>
  <c r="A1161" i="14"/>
  <c r="C1160" i="14"/>
  <c r="B1160" i="14"/>
  <c r="A1160" i="14"/>
  <c r="C1159" i="14"/>
  <c r="B1159" i="14"/>
  <c r="A1159" i="14"/>
  <c r="C1158" i="14"/>
  <c r="B1158" i="14"/>
  <c r="A1158" i="14"/>
  <c r="C1157" i="14"/>
  <c r="B1157" i="14"/>
  <c r="A1157" i="14"/>
  <c r="C1156" i="14"/>
  <c r="B1156" i="14"/>
  <c r="A1156" i="14"/>
  <c r="C1155" i="14"/>
  <c r="B1155" i="14"/>
  <c r="A1155" i="14"/>
  <c r="C1154" i="14"/>
  <c r="B1154" i="14"/>
  <c r="A1154" i="14"/>
  <c r="C1153" i="14"/>
  <c r="B1153" i="14"/>
  <c r="A1153" i="14"/>
  <c r="C1152" i="14"/>
  <c r="B1152" i="14"/>
  <c r="A1152" i="14"/>
  <c r="C1151" i="14"/>
  <c r="B1151" i="14"/>
  <c r="A1151" i="14"/>
  <c r="C1150" i="14"/>
  <c r="B1150" i="14"/>
  <c r="A1150" i="14"/>
  <c r="C1149" i="14"/>
  <c r="B1149" i="14"/>
  <c r="A1149" i="14"/>
  <c r="C1148" i="14"/>
  <c r="B1148" i="14"/>
  <c r="A1148" i="14"/>
  <c r="C1147" i="14"/>
  <c r="B1147" i="14"/>
  <c r="A1147" i="14"/>
  <c r="C1146" i="14"/>
  <c r="B1146" i="14"/>
  <c r="A1146" i="14"/>
  <c r="C1145" i="14"/>
  <c r="B1145" i="14"/>
  <c r="A1145" i="14"/>
  <c r="C1144" i="14"/>
  <c r="B1144" i="14"/>
  <c r="A1144" i="14"/>
  <c r="C1143" i="14"/>
  <c r="B1143" i="14"/>
  <c r="A1143" i="14"/>
  <c r="C1142" i="14"/>
  <c r="B1142" i="14"/>
  <c r="A1142" i="14"/>
  <c r="C1141" i="14"/>
  <c r="B1141" i="14"/>
  <c r="A1141" i="14"/>
  <c r="C1140" i="14"/>
  <c r="B1140" i="14"/>
  <c r="A1140" i="14"/>
  <c r="C1139" i="14"/>
  <c r="B1139" i="14"/>
  <c r="A1139" i="14"/>
  <c r="C1138" i="14"/>
  <c r="B1138" i="14"/>
  <c r="A1138" i="14"/>
  <c r="C1137" i="14"/>
  <c r="B1137" i="14"/>
  <c r="A1137" i="14"/>
  <c r="C1136" i="14"/>
  <c r="B1136" i="14"/>
  <c r="A1136" i="14"/>
  <c r="C1135" i="14"/>
  <c r="B1135" i="14"/>
  <c r="A1135" i="14"/>
  <c r="C1134" i="14"/>
  <c r="B1134" i="14"/>
  <c r="A1134" i="14"/>
  <c r="C1133" i="14"/>
  <c r="B1133" i="14"/>
  <c r="A1133" i="14"/>
  <c r="C1132" i="14"/>
  <c r="B1132" i="14"/>
  <c r="A1132" i="14"/>
  <c r="C1131" i="14"/>
  <c r="B1131" i="14"/>
  <c r="A1131" i="14"/>
  <c r="C1130" i="14"/>
  <c r="B1130" i="14"/>
  <c r="A1130" i="14"/>
  <c r="C1129" i="14"/>
  <c r="B1129" i="14"/>
  <c r="A1129" i="14"/>
  <c r="C1128" i="14"/>
  <c r="B1128" i="14"/>
  <c r="A1128" i="14"/>
  <c r="C1127" i="14"/>
  <c r="B1127" i="14"/>
  <c r="A1127" i="14"/>
  <c r="C1126" i="14"/>
  <c r="B1126" i="14"/>
  <c r="A1126" i="14"/>
  <c r="C1125" i="14"/>
  <c r="B1125" i="14"/>
  <c r="A1125" i="14"/>
  <c r="C1124" i="14"/>
  <c r="B1124" i="14"/>
  <c r="A1124" i="14"/>
  <c r="C1123" i="14"/>
  <c r="B1123" i="14"/>
  <c r="A1123" i="14"/>
  <c r="C1122" i="14"/>
  <c r="B1122" i="14"/>
  <c r="A1122" i="14"/>
  <c r="C1121" i="14"/>
  <c r="B1121" i="14"/>
  <c r="A1121" i="14"/>
  <c r="C1120" i="14"/>
  <c r="B1120" i="14"/>
  <c r="A1120" i="14"/>
  <c r="C1119" i="14"/>
  <c r="B1119" i="14"/>
  <c r="A1119" i="14"/>
  <c r="C1118" i="14"/>
  <c r="B1118" i="14"/>
  <c r="A1118" i="14"/>
  <c r="C1117" i="14"/>
  <c r="B1117" i="14"/>
  <c r="A1117" i="14"/>
  <c r="C1116" i="14"/>
  <c r="B1116" i="14"/>
  <c r="A1116" i="14"/>
  <c r="C1115" i="14"/>
  <c r="B1115" i="14"/>
  <c r="A1115" i="14"/>
  <c r="C1114" i="14"/>
  <c r="B1114" i="14"/>
  <c r="A1114" i="14"/>
  <c r="C1113" i="14"/>
  <c r="B1113" i="14"/>
  <c r="A1113" i="14"/>
  <c r="C1112" i="14"/>
  <c r="B1112" i="14"/>
  <c r="A1112" i="14"/>
  <c r="C1111" i="14"/>
  <c r="B1111" i="14"/>
  <c r="A1111" i="14"/>
  <c r="C1110" i="14"/>
  <c r="B1110" i="14"/>
  <c r="A1110" i="14"/>
  <c r="C1109" i="14"/>
  <c r="B1109" i="14"/>
  <c r="A1109" i="14"/>
  <c r="C1108" i="14"/>
  <c r="B1108" i="14"/>
  <c r="A1108" i="14"/>
  <c r="C1107" i="14"/>
  <c r="B1107" i="14"/>
  <c r="A1107" i="14"/>
  <c r="C1106" i="14"/>
  <c r="B1106" i="14"/>
  <c r="A1106" i="14"/>
  <c r="C1105" i="14"/>
  <c r="B1105" i="14"/>
  <c r="A1105" i="14"/>
  <c r="C1104" i="14"/>
  <c r="B1104" i="14"/>
  <c r="A1104" i="14"/>
  <c r="C1103" i="14"/>
  <c r="B1103" i="14"/>
  <c r="A1103" i="14"/>
  <c r="C1102" i="14"/>
  <c r="B1102" i="14"/>
  <c r="A1102" i="14"/>
  <c r="C1101" i="14"/>
  <c r="B1101" i="14"/>
  <c r="A1101" i="14"/>
  <c r="C1100" i="14"/>
  <c r="B1100" i="14"/>
  <c r="A1100" i="14"/>
  <c r="C1099" i="14"/>
  <c r="B1099" i="14"/>
  <c r="A1099" i="14"/>
  <c r="C1098" i="14"/>
  <c r="B1098" i="14"/>
  <c r="A1098" i="14"/>
  <c r="C1097" i="14"/>
  <c r="B1097" i="14"/>
  <c r="A1097" i="14"/>
  <c r="C1096" i="14"/>
  <c r="B1096" i="14"/>
  <c r="A1096" i="14"/>
  <c r="C1095" i="14"/>
  <c r="B1095" i="14"/>
  <c r="A1095" i="14"/>
  <c r="C1094" i="14"/>
  <c r="B1094" i="14"/>
  <c r="A1094" i="14"/>
  <c r="C1093" i="14"/>
  <c r="B1093" i="14"/>
  <c r="A1093" i="14"/>
  <c r="C1092" i="14"/>
  <c r="B1092" i="14"/>
  <c r="A1092" i="14"/>
  <c r="C1091" i="14"/>
  <c r="B1091" i="14"/>
  <c r="A1091" i="14"/>
  <c r="C1090" i="14"/>
  <c r="B1090" i="14"/>
  <c r="A1090" i="14"/>
  <c r="C1089" i="14"/>
  <c r="B1089" i="14"/>
  <c r="A1089" i="14"/>
  <c r="C1088" i="14"/>
  <c r="B1088" i="14"/>
  <c r="A1088" i="14"/>
  <c r="C1087" i="14"/>
  <c r="B1087" i="14"/>
  <c r="A1087" i="14"/>
  <c r="C1086" i="14"/>
  <c r="B1086" i="14"/>
  <c r="A1086" i="14"/>
  <c r="C1085" i="14"/>
  <c r="B1085" i="14"/>
  <c r="A1085" i="14"/>
  <c r="C1084" i="14"/>
  <c r="B1084" i="14"/>
  <c r="A1084" i="14"/>
  <c r="C1083" i="14"/>
  <c r="B1083" i="14"/>
  <c r="A1083" i="14"/>
  <c r="C1082" i="14"/>
  <c r="B1082" i="14"/>
  <c r="A1082" i="14"/>
  <c r="C1081" i="14"/>
  <c r="B1081" i="14"/>
  <c r="A1081" i="14"/>
  <c r="C1080" i="14"/>
  <c r="B1080" i="14"/>
  <c r="A1080" i="14"/>
  <c r="C1079" i="14"/>
  <c r="B1079" i="14"/>
  <c r="A1079" i="14"/>
  <c r="C1078" i="14"/>
  <c r="B1078" i="14"/>
  <c r="A1078" i="14"/>
  <c r="C1077" i="14"/>
  <c r="B1077" i="14"/>
  <c r="A1077" i="14"/>
  <c r="C1076" i="14"/>
  <c r="B1076" i="14"/>
  <c r="A1076" i="14"/>
  <c r="C1075" i="14"/>
  <c r="B1075" i="14"/>
  <c r="A1075" i="14"/>
  <c r="C1074" i="14"/>
  <c r="B1074" i="14"/>
  <c r="A1074" i="14"/>
  <c r="C1073" i="14"/>
  <c r="B1073" i="14"/>
  <c r="A1073" i="14"/>
  <c r="C1072" i="14"/>
  <c r="B1072" i="14"/>
  <c r="A1072" i="14"/>
  <c r="C1071" i="14"/>
  <c r="B1071" i="14"/>
  <c r="A1071" i="14"/>
  <c r="C1070" i="14"/>
  <c r="B1070" i="14"/>
  <c r="A1070" i="14"/>
  <c r="C1069" i="14"/>
  <c r="B1069" i="14"/>
  <c r="A1069" i="14"/>
  <c r="C1068" i="14"/>
  <c r="B1068" i="14"/>
  <c r="A1068" i="14"/>
  <c r="C1067" i="14"/>
  <c r="B1067" i="14"/>
  <c r="A1067" i="14"/>
  <c r="C1066" i="14"/>
  <c r="B1066" i="14"/>
  <c r="A1066" i="14"/>
  <c r="C1065" i="14"/>
  <c r="B1065" i="14"/>
  <c r="A1065" i="14"/>
  <c r="C1064" i="14"/>
  <c r="B1064" i="14"/>
  <c r="A1064" i="14"/>
  <c r="C1063" i="14"/>
  <c r="B1063" i="14"/>
  <c r="A1063" i="14"/>
  <c r="C1062" i="14"/>
  <c r="B1062" i="14"/>
  <c r="A1062" i="14"/>
  <c r="C1061" i="14"/>
  <c r="B1061" i="14"/>
  <c r="A1061" i="14"/>
  <c r="C1060" i="14"/>
  <c r="B1060" i="14"/>
  <c r="A1060" i="14"/>
  <c r="C1059" i="14"/>
  <c r="B1059" i="14"/>
  <c r="A1059" i="14"/>
  <c r="C1058" i="14"/>
  <c r="B1058" i="14"/>
  <c r="A1058" i="14"/>
  <c r="C1057" i="14"/>
  <c r="B1057" i="14"/>
  <c r="A1057" i="14"/>
  <c r="C1056" i="14"/>
  <c r="B1056" i="14"/>
  <c r="A1056" i="14"/>
  <c r="C1055" i="14"/>
  <c r="B1055" i="14"/>
  <c r="A1055" i="14"/>
  <c r="C1054" i="14"/>
  <c r="B1054" i="14"/>
  <c r="A1054" i="14"/>
  <c r="C1053" i="14"/>
  <c r="B1053" i="14"/>
  <c r="A1053" i="14"/>
  <c r="C1052" i="14"/>
  <c r="B1052" i="14"/>
  <c r="A1052" i="14"/>
  <c r="C1051" i="14"/>
  <c r="B1051" i="14"/>
  <c r="A1051" i="14"/>
  <c r="C1050" i="14"/>
  <c r="B1050" i="14"/>
  <c r="A1050" i="14"/>
  <c r="C1049" i="14"/>
  <c r="B1049" i="14"/>
  <c r="A1049" i="14"/>
  <c r="C1048" i="14"/>
  <c r="B1048" i="14"/>
  <c r="A1048" i="14"/>
  <c r="C1047" i="14"/>
  <c r="B1047" i="14"/>
  <c r="A1047" i="14"/>
  <c r="C1046" i="14"/>
  <c r="B1046" i="14"/>
  <c r="A1046" i="14"/>
  <c r="C1045" i="14"/>
  <c r="B1045" i="14"/>
  <c r="A1045" i="14"/>
  <c r="C1044" i="14"/>
  <c r="B1044" i="14"/>
  <c r="A1044" i="14"/>
  <c r="C1043" i="14"/>
  <c r="B1043" i="14"/>
  <c r="A1043" i="14"/>
  <c r="C1042" i="14"/>
  <c r="B1042" i="14"/>
  <c r="A1042" i="14"/>
  <c r="C1041" i="14"/>
  <c r="B1041" i="14"/>
  <c r="A1041" i="14"/>
  <c r="C1040" i="14"/>
  <c r="B1040" i="14"/>
  <c r="A1040" i="14"/>
  <c r="C1039" i="14"/>
  <c r="B1039" i="14"/>
  <c r="A1039" i="14"/>
  <c r="C1038" i="14"/>
  <c r="B1038" i="14"/>
  <c r="A1038" i="14"/>
  <c r="C1037" i="14"/>
  <c r="B1037" i="14"/>
  <c r="A1037" i="14"/>
  <c r="C1036" i="14"/>
  <c r="B1036" i="14"/>
  <c r="A1036" i="14"/>
  <c r="C1035" i="14"/>
  <c r="B1035" i="14"/>
  <c r="A1035" i="14"/>
  <c r="C1034" i="14"/>
  <c r="B1034" i="14"/>
  <c r="A1034" i="14"/>
  <c r="C1033" i="14"/>
  <c r="B1033" i="14"/>
  <c r="A1033" i="14"/>
  <c r="C1032" i="14"/>
  <c r="B1032" i="14"/>
  <c r="A1032" i="14"/>
  <c r="C1031" i="14"/>
  <c r="B1031" i="14"/>
  <c r="A1031" i="14"/>
  <c r="C1030" i="14"/>
  <c r="B1030" i="14"/>
  <c r="A1030" i="14"/>
  <c r="C1029" i="14"/>
  <c r="B1029" i="14"/>
  <c r="A1029" i="14"/>
  <c r="C1028" i="14"/>
  <c r="B1028" i="14"/>
  <c r="A1028" i="14"/>
  <c r="C1027" i="14"/>
  <c r="B1027" i="14"/>
  <c r="A1027" i="14"/>
  <c r="C1026" i="14"/>
  <c r="B1026" i="14"/>
  <c r="A1026" i="14"/>
  <c r="C1025" i="14"/>
  <c r="B1025" i="14"/>
  <c r="A1025" i="14"/>
  <c r="C1024" i="14"/>
  <c r="B1024" i="14"/>
  <c r="A1024" i="14"/>
  <c r="C1023" i="14"/>
  <c r="B1023" i="14"/>
  <c r="A1023" i="14"/>
  <c r="C1022" i="14"/>
  <c r="B1022" i="14"/>
  <c r="A1022" i="14"/>
  <c r="C1021" i="14"/>
  <c r="B1021" i="14"/>
  <c r="A1021" i="14"/>
  <c r="C1020" i="14"/>
  <c r="B1020" i="14"/>
  <c r="A1020" i="14"/>
  <c r="C1019" i="14"/>
  <c r="B1019" i="14"/>
  <c r="A1019" i="14"/>
  <c r="C1018" i="14"/>
  <c r="B1018" i="14"/>
  <c r="A1018" i="14"/>
  <c r="C1017" i="14"/>
  <c r="B1017" i="14"/>
  <c r="A1017" i="14"/>
  <c r="C1016" i="14"/>
  <c r="B1016" i="14"/>
  <c r="A1016" i="14"/>
  <c r="C1015" i="14"/>
  <c r="B1015" i="14"/>
  <c r="A1015" i="14"/>
  <c r="C1014" i="14"/>
  <c r="B1014" i="14"/>
  <c r="A1014" i="14"/>
  <c r="C1013" i="14"/>
  <c r="B1013" i="14"/>
  <c r="A1013" i="14"/>
  <c r="C1012" i="14"/>
  <c r="B1012" i="14"/>
  <c r="A1012" i="14"/>
  <c r="C1011" i="14"/>
  <c r="B1011" i="14"/>
  <c r="A1011" i="14"/>
  <c r="C1010" i="14"/>
  <c r="B1010" i="14"/>
  <c r="A1010" i="14"/>
  <c r="C1009" i="14"/>
  <c r="B1009" i="14"/>
  <c r="A1009" i="14"/>
  <c r="C1008" i="14"/>
  <c r="B1008" i="14"/>
  <c r="A1008" i="14"/>
  <c r="C1007" i="14"/>
  <c r="B1007" i="14"/>
  <c r="A1007" i="14"/>
  <c r="C1006" i="14"/>
  <c r="B1006" i="14"/>
  <c r="A1006" i="14"/>
  <c r="C1005" i="14"/>
  <c r="B1005" i="14"/>
  <c r="A1005" i="14"/>
  <c r="C1004" i="14"/>
  <c r="B1004" i="14"/>
  <c r="A1004" i="14"/>
  <c r="C1003" i="14"/>
  <c r="B1003" i="14"/>
  <c r="A1003" i="14"/>
  <c r="C1002" i="14"/>
  <c r="B1002" i="14"/>
  <c r="A1002" i="14"/>
  <c r="C1001" i="14"/>
  <c r="B1001" i="14"/>
  <c r="A1001" i="14"/>
  <c r="C1000" i="14"/>
  <c r="B1000" i="14"/>
  <c r="A1000" i="14"/>
  <c r="C999" i="14"/>
  <c r="B999" i="14"/>
  <c r="A999" i="14"/>
  <c r="C998" i="14"/>
  <c r="B998" i="14"/>
  <c r="A998" i="14"/>
  <c r="C997" i="14"/>
  <c r="B997" i="14"/>
  <c r="A997" i="14"/>
  <c r="C996" i="14"/>
  <c r="B996" i="14"/>
  <c r="A996" i="14"/>
  <c r="C995" i="14"/>
  <c r="B995" i="14"/>
  <c r="A995" i="14"/>
  <c r="C994" i="14"/>
  <c r="B994" i="14"/>
  <c r="A994" i="14"/>
  <c r="C993" i="14"/>
  <c r="B993" i="14"/>
  <c r="A993" i="14"/>
  <c r="C992" i="14"/>
  <c r="B992" i="14"/>
  <c r="A992" i="14"/>
  <c r="C991" i="14"/>
  <c r="B991" i="14"/>
  <c r="A991" i="14"/>
  <c r="C990" i="14"/>
  <c r="B990" i="14"/>
  <c r="A990" i="14"/>
  <c r="C989" i="14"/>
  <c r="B989" i="14"/>
  <c r="A989" i="14"/>
  <c r="C988" i="14"/>
  <c r="B988" i="14"/>
  <c r="A988" i="14"/>
  <c r="C987" i="14"/>
  <c r="B987" i="14"/>
  <c r="A987" i="14"/>
  <c r="C986" i="14"/>
  <c r="B986" i="14"/>
  <c r="A986" i="14"/>
  <c r="C985" i="14"/>
  <c r="B985" i="14"/>
  <c r="A985" i="14"/>
  <c r="C984" i="14"/>
  <c r="B984" i="14"/>
  <c r="A984" i="14"/>
  <c r="C983" i="14"/>
  <c r="B983" i="14"/>
  <c r="A983" i="14"/>
  <c r="C982" i="14"/>
  <c r="B982" i="14"/>
  <c r="A982" i="14"/>
  <c r="C981" i="14"/>
  <c r="B981" i="14"/>
  <c r="A981" i="14"/>
  <c r="C980" i="14"/>
  <c r="B980" i="14"/>
  <c r="A980" i="14"/>
  <c r="C979" i="14"/>
  <c r="B979" i="14"/>
  <c r="A979" i="14"/>
  <c r="C978" i="14"/>
  <c r="B978" i="14"/>
  <c r="A978" i="14"/>
  <c r="C977" i="14"/>
  <c r="B977" i="14"/>
  <c r="A977" i="14"/>
  <c r="C976" i="14"/>
  <c r="B976" i="14"/>
  <c r="A976" i="14"/>
  <c r="C975" i="14"/>
  <c r="B975" i="14"/>
  <c r="A975" i="14"/>
  <c r="C974" i="14"/>
  <c r="B974" i="14"/>
  <c r="A974" i="14"/>
  <c r="C973" i="14"/>
  <c r="B973" i="14"/>
  <c r="A973" i="14"/>
  <c r="C972" i="14"/>
  <c r="B972" i="14"/>
  <c r="A972" i="14"/>
  <c r="C971" i="14"/>
  <c r="B971" i="14"/>
  <c r="A971" i="14"/>
  <c r="C970" i="14"/>
  <c r="B970" i="14"/>
  <c r="A970" i="14"/>
  <c r="C969" i="14"/>
  <c r="B969" i="14"/>
  <c r="A969" i="14"/>
  <c r="C968" i="14"/>
  <c r="B968" i="14"/>
  <c r="A968" i="14"/>
  <c r="C967" i="14"/>
  <c r="B967" i="14"/>
  <c r="A967" i="14"/>
  <c r="C966" i="14"/>
  <c r="B966" i="14"/>
  <c r="A966" i="14"/>
  <c r="C965" i="14"/>
  <c r="B965" i="14"/>
  <c r="A965" i="14"/>
  <c r="C964" i="14"/>
  <c r="B964" i="14"/>
  <c r="A964" i="14"/>
  <c r="C963" i="14"/>
  <c r="B963" i="14"/>
  <c r="A963" i="14"/>
  <c r="C962" i="14"/>
  <c r="B962" i="14"/>
  <c r="A962" i="14"/>
  <c r="C961" i="14"/>
  <c r="B961" i="14"/>
  <c r="A961" i="14"/>
  <c r="C960" i="14"/>
  <c r="B960" i="14"/>
  <c r="A960" i="14"/>
  <c r="C959" i="14"/>
  <c r="B959" i="14"/>
  <c r="A959" i="14"/>
  <c r="C958" i="14"/>
  <c r="B958" i="14"/>
  <c r="A958" i="14"/>
  <c r="C957" i="14"/>
  <c r="B957" i="14"/>
  <c r="A957" i="14"/>
  <c r="C956" i="14"/>
  <c r="B956" i="14"/>
  <c r="A956" i="14"/>
  <c r="C955" i="14"/>
  <c r="B955" i="14"/>
  <c r="A955" i="14"/>
  <c r="C954" i="14"/>
  <c r="B954" i="14"/>
  <c r="A954" i="14"/>
  <c r="C953" i="14"/>
  <c r="B953" i="14"/>
  <c r="A953" i="14"/>
  <c r="C952" i="14"/>
  <c r="B952" i="14"/>
  <c r="A952" i="14"/>
  <c r="C951" i="14"/>
  <c r="B951" i="14"/>
  <c r="A951" i="14"/>
  <c r="C950" i="14"/>
  <c r="B950" i="14"/>
  <c r="A950" i="14"/>
  <c r="C949" i="14"/>
  <c r="B949" i="14"/>
  <c r="A949" i="14"/>
  <c r="C948" i="14"/>
  <c r="B948" i="14"/>
  <c r="A948" i="14"/>
  <c r="C947" i="14"/>
  <c r="B947" i="14"/>
  <c r="A947" i="14"/>
  <c r="C946" i="14"/>
  <c r="B946" i="14"/>
  <c r="A946" i="14"/>
  <c r="C945" i="14"/>
  <c r="B945" i="14"/>
  <c r="A945" i="14"/>
  <c r="C944" i="14"/>
  <c r="B944" i="14"/>
  <c r="A944" i="14"/>
  <c r="C943" i="14"/>
  <c r="B943" i="14"/>
  <c r="A943" i="14"/>
  <c r="C942" i="14"/>
  <c r="B942" i="14"/>
  <c r="A942" i="14"/>
  <c r="C941" i="14"/>
  <c r="B941" i="14"/>
  <c r="A941" i="14"/>
  <c r="C940" i="14"/>
  <c r="B940" i="14"/>
  <c r="A940" i="14"/>
  <c r="C939" i="14"/>
  <c r="B939" i="14"/>
  <c r="A939" i="14"/>
  <c r="C938" i="14"/>
  <c r="B938" i="14"/>
  <c r="A938" i="14"/>
  <c r="C937" i="14"/>
  <c r="B937" i="14"/>
  <c r="A937" i="14"/>
  <c r="C936" i="14"/>
  <c r="B936" i="14"/>
  <c r="A936" i="14"/>
  <c r="C935" i="14"/>
  <c r="B935" i="14"/>
  <c r="A935" i="14"/>
  <c r="C934" i="14"/>
  <c r="B934" i="14"/>
  <c r="A934" i="14"/>
  <c r="C933" i="14"/>
  <c r="B933" i="14"/>
  <c r="A933" i="14"/>
  <c r="C932" i="14"/>
  <c r="B932" i="14"/>
  <c r="A932" i="14"/>
  <c r="C931" i="14"/>
  <c r="B931" i="14"/>
  <c r="A931" i="14"/>
  <c r="C930" i="14"/>
  <c r="B930" i="14"/>
  <c r="A930" i="14"/>
  <c r="C929" i="14"/>
  <c r="B929" i="14"/>
  <c r="A929" i="14"/>
  <c r="C928" i="14"/>
  <c r="B928" i="14"/>
  <c r="A928" i="14"/>
  <c r="C927" i="14"/>
  <c r="B927" i="14"/>
  <c r="A927" i="14"/>
  <c r="C926" i="14"/>
  <c r="B926" i="14"/>
  <c r="A926" i="14"/>
  <c r="C925" i="14"/>
  <c r="B925" i="14"/>
  <c r="A925" i="14"/>
  <c r="C924" i="14"/>
  <c r="B924" i="14"/>
  <c r="A924" i="14"/>
  <c r="C923" i="14"/>
  <c r="B923" i="14"/>
  <c r="A923" i="14"/>
  <c r="C922" i="14"/>
  <c r="B922" i="14"/>
  <c r="A922" i="14"/>
  <c r="C921" i="14"/>
  <c r="B921" i="14"/>
  <c r="A921" i="14"/>
  <c r="C920" i="14"/>
  <c r="B920" i="14"/>
  <c r="A920" i="14"/>
  <c r="C919" i="14"/>
  <c r="B919" i="14"/>
  <c r="A919" i="14"/>
  <c r="C918" i="14"/>
  <c r="B918" i="14"/>
  <c r="A918" i="14"/>
  <c r="C917" i="14"/>
  <c r="B917" i="14"/>
  <c r="A917" i="14"/>
  <c r="C916" i="14"/>
  <c r="B916" i="14"/>
  <c r="A916" i="14"/>
  <c r="C915" i="14"/>
  <c r="B915" i="14"/>
  <c r="A915" i="14"/>
  <c r="C914" i="14"/>
  <c r="B914" i="14"/>
  <c r="A914" i="14"/>
  <c r="C913" i="14"/>
  <c r="B913" i="14"/>
  <c r="A913" i="14"/>
  <c r="C912" i="14"/>
  <c r="B912" i="14"/>
  <c r="A912" i="14"/>
  <c r="C911" i="14"/>
  <c r="B911" i="14"/>
  <c r="A911" i="14"/>
  <c r="C910" i="14"/>
  <c r="B910" i="14"/>
  <c r="A910" i="14"/>
  <c r="C909" i="14"/>
  <c r="B909" i="14"/>
  <c r="A909" i="14"/>
  <c r="C908" i="14"/>
  <c r="B908" i="14"/>
  <c r="A908" i="14"/>
  <c r="C907" i="14"/>
  <c r="B907" i="14"/>
  <c r="A907" i="14"/>
  <c r="C906" i="14"/>
  <c r="B906" i="14"/>
  <c r="A906" i="14"/>
  <c r="C905" i="14"/>
  <c r="B905" i="14"/>
  <c r="A905" i="14"/>
  <c r="C904" i="14"/>
  <c r="B904" i="14"/>
  <c r="A904" i="14"/>
  <c r="C903" i="14"/>
  <c r="B903" i="14"/>
  <c r="A903" i="14"/>
  <c r="C902" i="14"/>
  <c r="B902" i="14"/>
  <c r="A902" i="14"/>
  <c r="C901" i="14"/>
  <c r="B901" i="14"/>
  <c r="A901" i="14"/>
  <c r="C900" i="14"/>
  <c r="B900" i="14"/>
  <c r="A900" i="14"/>
  <c r="C899" i="14"/>
  <c r="B899" i="14"/>
  <c r="A899" i="14"/>
  <c r="C898" i="14"/>
  <c r="B898" i="14"/>
  <c r="A898" i="14"/>
  <c r="C897" i="14"/>
  <c r="B897" i="14"/>
  <c r="A897" i="14"/>
  <c r="C896" i="14"/>
  <c r="B896" i="14"/>
  <c r="A896" i="14"/>
  <c r="C895" i="14"/>
  <c r="B895" i="14"/>
  <c r="A895" i="14"/>
  <c r="C894" i="14"/>
  <c r="B894" i="14"/>
  <c r="A894" i="14"/>
  <c r="C893" i="14"/>
  <c r="B893" i="14"/>
  <c r="A893" i="14"/>
  <c r="C892" i="14"/>
  <c r="B892" i="14"/>
  <c r="A892" i="14"/>
  <c r="C891" i="14"/>
  <c r="B891" i="14"/>
  <c r="A891" i="14"/>
  <c r="C890" i="14"/>
  <c r="B890" i="14"/>
  <c r="A890" i="14"/>
  <c r="C889" i="14"/>
  <c r="B889" i="14"/>
  <c r="A889" i="14"/>
  <c r="C888" i="14"/>
  <c r="B888" i="14"/>
  <c r="A888" i="14"/>
  <c r="C887" i="14"/>
  <c r="B887" i="14"/>
  <c r="A887" i="14"/>
  <c r="C886" i="14"/>
  <c r="B886" i="14"/>
  <c r="A886" i="14"/>
  <c r="C885" i="14"/>
  <c r="B885" i="14"/>
  <c r="A885" i="14"/>
  <c r="C884" i="14"/>
  <c r="B884" i="14"/>
  <c r="A884" i="14"/>
  <c r="C883" i="14"/>
  <c r="B883" i="14"/>
  <c r="A883" i="14"/>
  <c r="C882" i="14"/>
  <c r="B882" i="14"/>
  <c r="A882" i="14"/>
  <c r="C881" i="14"/>
  <c r="B881" i="14"/>
  <c r="A881" i="14"/>
  <c r="C880" i="14"/>
  <c r="B880" i="14"/>
  <c r="A880" i="14"/>
  <c r="C879" i="14"/>
  <c r="B879" i="14"/>
  <c r="A879" i="14"/>
  <c r="C878" i="14"/>
  <c r="B878" i="14"/>
  <c r="A878" i="14"/>
  <c r="C877" i="14"/>
  <c r="B877" i="14"/>
  <c r="A877" i="14"/>
  <c r="C876" i="14"/>
  <c r="B876" i="14"/>
  <c r="A876" i="14"/>
  <c r="C875" i="14"/>
  <c r="B875" i="14"/>
  <c r="A875" i="14"/>
  <c r="C874" i="14"/>
  <c r="B874" i="14"/>
  <c r="A874" i="14"/>
  <c r="C873" i="14"/>
  <c r="B873" i="14"/>
  <c r="A873" i="14"/>
  <c r="C872" i="14"/>
  <c r="B872" i="14"/>
  <c r="A872" i="14"/>
  <c r="C871" i="14"/>
  <c r="B871" i="14"/>
  <c r="A871" i="14"/>
  <c r="C870" i="14"/>
  <c r="B870" i="14"/>
  <c r="A870" i="14"/>
  <c r="C869" i="14"/>
  <c r="B869" i="14"/>
  <c r="A869" i="14"/>
  <c r="C868" i="14"/>
  <c r="B868" i="14"/>
  <c r="A868" i="14"/>
  <c r="C867" i="14"/>
  <c r="B867" i="14"/>
  <c r="A867" i="14"/>
  <c r="C866" i="14"/>
  <c r="B866" i="14"/>
  <c r="A866" i="14"/>
  <c r="C865" i="14"/>
  <c r="B865" i="14"/>
  <c r="A865" i="14"/>
  <c r="C864" i="14"/>
  <c r="B864" i="14"/>
  <c r="A864" i="14"/>
  <c r="C863" i="14"/>
  <c r="B863" i="14"/>
  <c r="A863" i="14"/>
  <c r="C862" i="14"/>
  <c r="B862" i="14"/>
  <c r="A862" i="14"/>
  <c r="C861" i="14"/>
  <c r="B861" i="14"/>
  <c r="A861" i="14"/>
  <c r="C860" i="14"/>
  <c r="B860" i="14"/>
  <c r="A860" i="14"/>
  <c r="C859" i="14"/>
  <c r="B859" i="14"/>
  <c r="A859" i="14"/>
  <c r="C858" i="14"/>
  <c r="B858" i="14"/>
  <c r="A858" i="14"/>
  <c r="C857" i="14"/>
  <c r="B857" i="14"/>
  <c r="A857" i="14"/>
  <c r="C856" i="14"/>
  <c r="B856" i="14"/>
  <c r="A856" i="14"/>
  <c r="C855" i="14"/>
  <c r="B855" i="14"/>
  <c r="A855" i="14"/>
  <c r="C854" i="14"/>
  <c r="B854" i="14"/>
  <c r="A854" i="14"/>
  <c r="C853" i="14"/>
  <c r="B853" i="14"/>
  <c r="A853" i="14"/>
  <c r="C852" i="14"/>
  <c r="B852" i="14"/>
  <c r="A852" i="14"/>
  <c r="C851" i="14"/>
  <c r="B851" i="14"/>
  <c r="A851" i="14"/>
  <c r="C850" i="14"/>
  <c r="B850" i="14"/>
  <c r="A850" i="14"/>
  <c r="C849" i="14"/>
  <c r="B849" i="14"/>
  <c r="A849" i="14"/>
  <c r="C848" i="14"/>
  <c r="B848" i="14"/>
  <c r="A848" i="14"/>
  <c r="C847" i="14"/>
  <c r="B847" i="14"/>
  <c r="A847" i="14"/>
  <c r="C846" i="14"/>
  <c r="B846" i="14"/>
  <c r="A846" i="14"/>
  <c r="C845" i="14"/>
  <c r="B845" i="14"/>
  <c r="A845" i="14"/>
  <c r="C844" i="14"/>
  <c r="B844" i="14"/>
  <c r="A844" i="14"/>
  <c r="C843" i="14"/>
  <c r="B843" i="14"/>
  <c r="A843" i="14"/>
  <c r="C842" i="14"/>
  <c r="B842" i="14"/>
  <c r="A842" i="14"/>
  <c r="C841" i="14"/>
  <c r="B841" i="14"/>
  <c r="A841" i="14"/>
  <c r="C840" i="14"/>
  <c r="B840" i="14"/>
  <c r="A840" i="14"/>
  <c r="C839" i="14"/>
  <c r="B839" i="14"/>
  <c r="A839" i="14"/>
  <c r="C838" i="14"/>
  <c r="B838" i="14"/>
  <c r="A838" i="14"/>
  <c r="C837" i="14"/>
  <c r="B837" i="14"/>
  <c r="A837" i="14"/>
  <c r="C836" i="14"/>
  <c r="B836" i="14"/>
  <c r="A836" i="14"/>
  <c r="C835" i="14"/>
  <c r="B835" i="14"/>
  <c r="A835" i="14"/>
  <c r="C834" i="14"/>
  <c r="B834" i="14"/>
  <c r="A834" i="14"/>
  <c r="C833" i="14"/>
  <c r="B833" i="14"/>
  <c r="A833" i="14"/>
  <c r="C832" i="14"/>
  <c r="B832" i="14"/>
  <c r="A832" i="14"/>
  <c r="C831" i="14"/>
  <c r="B831" i="14"/>
  <c r="A831" i="14"/>
  <c r="C830" i="14"/>
  <c r="B830" i="14"/>
  <c r="A830" i="14"/>
  <c r="C829" i="14"/>
  <c r="B829" i="14"/>
  <c r="A829" i="14"/>
  <c r="C828" i="14"/>
  <c r="B828" i="14"/>
  <c r="A828" i="14"/>
  <c r="C827" i="14"/>
  <c r="B827" i="14"/>
  <c r="A827" i="14"/>
  <c r="C826" i="14"/>
  <c r="B826" i="14"/>
  <c r="A826" i="14"/>
  <c r="C825" i="14"/>
  <c r="B825" i="14"/>
  <c r="A825" i="14"/>
  <c r="C824" i="14"/>
  <c r="B824" i="14"/>
  <c r="A824" i="14"/>
  <c r="C823" i="14"/>
  <c r="B823" i="14"/>
  <c r="A823" i="14"/>
  <c r="C822" i="14"/>
  <c r="B822" i="14"/>
  <c r="A822" i="14"/>
  <c r="C821" i="14"/>
  <c r="B821" i="14"/>
  <c r="A821" i="14"/>
  <c r="C820" i="14"/>
  <c r="B820" i="14"/>
  <c r="A820" i="14"/>
  <c r="C819" i="14"/>
  <c r="B819" i="14"/>
  <c r="A819" i="14"/>
  <c r="C818" i="14"/>
  <c r="B818" i="14"/>
  <c r="A818" i="14"/>
  <c r="C817" i="14"/>
  <c r="B817" i="14"/>
  <c r="A817" i="14"/>
  <c r="C816" i="14"/>
  <c r="B816" i="14"/>
  <c r="A816" i="14"/>
  <c r="C815" i="14"/>
  <c r="B815" i="14"/>
  <c r="A815" i="14"/>
  <c r="C814" i="14"/>
  <c r="B814" i="14"/>
  <c r="A814" i="14"/>
  <c r="C813" i="14"/>
  <c r="B813" i="14"/>
  <c r="A813" i="14"/>
  <c r="C812" i="14"/>
  <c r="B812" i="14"/>
  <c r="A812" i="14"/>
  <c r="C811" i="14"/>
  <c r="B811" i="14"/>
  <c r="A811" i="14"/>
  <c r="C810" i="14"/>
  <c r="B810" i="14"/>
  <c r="A810" i="14"/>
  <c r="C809" i="14"/>
  <c r="B809" i="14"/>
  <c r="A809" i="14"/>
  <c r="C808" i="14"/>
  <c r="B808" i="14"/>
  <c r="A808" i="14"/>
  <c r="C807" i="14"/>
  <c r="B807" i="14"/>
  <c r="A807" i="14"/>
  <c r="C806" i="14"/>
  <c r="B806" i="14"/>
  <c r="A806" i="14"/>
  <c r="C805" i="14"/>
  <c r="B805" i="14"/>
  <c r="A805" i="14"/>
  <c r="C804" i="14"/>
  <c r="B804" i="14"/>
  <c r="A804" i="14"/>
  <c r="C803" i="14"/>
  <c r="B803" i="14"/>
  <c r="A803" i="14"/>
  <c r="C802" i="14"/>
  <c r="B802" i="14"/>
  <c r="A802" i="14"/>
  <c r="C801" i="14"/>
  <c r="B801" i="14"/>
  <c r="A801" i="14"/>
  <c r="C800" i="14"/>
  <c r="B800" i="14"/>
  <c r="A800" i="14"/>
  <c r="C799" i="14"/>
  <c r="B799" i="14"/>
  <c r="A799" i="14"/>
  <c r="C798" i="14"/>
  <c r="B798" i="14"/>
  <c r="A798" i="14"/>
  <c r="C797" i="14"/>
  <c r="B797" i="14"/>
  <c r="A797" i="14"/>
  <c r="C796" i="14"/>
  <c r="B796" i="14"/>
  <c r="A796" i="14"/>
  <c r="C795" i="14"/>
  <c r="B795" i="14"/>
  <c r="A795" i="14"/>
  <c r="C794" i="14"/>
  <c r="B794" i="14"/>
  <c r="A794" i="14"/>
  <c r="C793" i="14"/>
  <c r="B793" i="14"/>
  <c r="A793" i="14"/>
  <c r="C792" i="14"/>
  <c r="B792" i="14"/>
  <c r="A792" i="14"/>
  <c r="C791" i="14"/>
  <c r="B791" i="14"/>
  <c r="A791" i="14"/>
  <c r="C790" i="14"/>
  <c r="B790" i="14"/>
  <c r="A790" i="14"/>
  <c r="C789" i="14"/>
  <c r="B789" i="14"/>
  <c r="A789" i="14"/>
  <c r="C788" i="14"/>
  <c r="B788" i="14"/>
  <c r="A788" i="14"/>
  <c r="C787" i="14"/>
  <c r="B787" i="14"/>
  <c r="A787" i="14"/>
  <c r="C786" i="14"/>
  <c r="B786" i="14"/>
  <c r="A786" i="14"/>
  <c r="C785" i="14"/>
  <c r="B785" i="14"/>
  <c r="A785" i="14"/>
  <c r="C784" i="14"/>
  <c r="B784" i="14"/>
  <c r="A784" i="14"/>
  <c r="C783" i="14"/>
  <c r="B783" i="14"/>
  <c r="A783" i="14"/>
  <c r="C782" i="14"/>
  <c r="B782" i="14"/>
  <c r="A782" i="14"/>
  <c r="C781" i="14"/>
  <c r="B781" i="14"/>
  <c r="A781" i="14"/>
  <c r="C780" i="14"/>
  <c r="B780" i="14"/>
  <c r="A780" i="14"/>
  <c r="C779" i="14"/>
  <c r="B779" i="14"/>
  <c r="A779" i="14"/>
  <c r="C778" i="14"/>
  <c r="B778" i="14"/>
  <c r="A778" i="14"/>
  <c r="C777" i="14"/>
  <c r="B777" i="14"/>
  <c r="A777" i="14"/>
  <c r="C776" i="14"/>
  <c r="B776" i="14"/>
  <c r="A776" i="14"/>
  <c r="C775" i="14"/>
  <c r="B775" i="14"/>
  <c r="A775" i="14"/>
  <c r="C774" i="14"/>
  <c r="B774" i="14"/>
  <c r="A774" i="14"/>
  <c r="C773" i="14"/>
  <c r="B773" i="14"/>
  <c r="A773" i="14"/>
  <c r="C772" i="14"/>
  <c r="B772" i="14"/>
  <c r="A772" i="14"/>
  <c r="C771" i="14"/>
  <c r="B771" i="14"/>
  <c r="A771" i="14"/>
  <c r="C770" i="14"/>
  <c r="B770" i="14"/>
  <c r="A770" i="14"/>
  <c r="C769" i="14"/>
  <c r="B769" i="14"/>
  <c r="A769" i="14"/>
  <c r="C768" i="14"/>
  <c r="B768" i="14"/>
  <c r="A768" i="14"/>
  <c r="C767" i="14"/>
  <c r="B767" i="14"/>
  <c r="A767" i="14"/>
  <c r="C766" i="14"/>
  <c r="B766" i="14"/>
  <c r="A766" i="14"/>
  <c r="C765" i="14"/>
  <c r="B765" i="14"/>
  <c r="A765" i="14"/>
  <c r="C764" i="14"/>
  <c r="B764" i="14"/>
  <c r="A764" i="14"/>
  <c r="C763" i="14"/>
  <c r="B763" i="14"/>
  <c r="A763" i="14"/>
  <c r="C762" i="14"/>
  <c r="B762" i="14"/>
  <c r="A762" i="14"/>
  <c r="C761" i="14"/>
  <c r="B761" i="14"/>
  <c r="A761" i="14"/>
  <c r="C760" i="14"/>
  <c r="B760" i="14"/>
  <c r="A760" i="14"/>
  <c r="C759" i="14"/>
  <c r="B759" i="14"/>
  <c r="A759" i="14"/>
  <c r="C758" i="14"/>
  <c r="B758" i="14"/>
  <c r="A758" i="14"/>
  <c r="C757" i="14"/>
  <c r="B757" i="14"/>
  <c r="A757" i="14"/>
  <c r="C756" i="14"/>
  <c r="B756" i="14"/>
  <c r="A756" i="14"/>
  <c r="C755" i="14"/>
  <c r="B755" i="14"/>
  <c r="A755" i="14"/>
  <c r="C754" i="14"/>
  <c r="B754" i="14"/>
  <c r="A754" i="14"/>
  <c r="C753" i="14"/>
  <c r="B753" i="14"/>
  <c r="A753" i="14"/>
  <c r="C752" i="14"/>
  <c r="B752" i="14"/>
  <c r="A752" i="14"/>
  <c r="C751" i="14"/>
  <c r="B751" i="14"/>
  <c r="A751" i="14"/>
  <c r="C750" i="14"/>
  <c r="B750" i="14"/>
  <c r="A750" i="14"/>
  <c r="C749" i="14"/>
  <c r="B749" i="14"/>
  <c r="A749" i="14"/>
  <c r="C748" i="14"/>
  <c r="B748" i="14"/>
  <c r="A748" i="14"/>
  <c r="C747" i="14"/>
  <c r="B747" i="14"/>
  <c r="A747" i="14"/>
  <c r="C746" i="14"/>
  <c r="B746" i="14"/>
  <c r="A746" i="14"/>
  <c r="C745" i="14"/>
  <c r="B745" i="14"/>
  <c r="A745" i="14"/>
  <c r="C744" i="14"/>
  <c r="B744" i="14"/>
  <c r="A744" i="14"/>
  <c r="C743" i="14"/>
  <c r="B743" i="14"/>
  <c r="A743" i="14"/>
  <c r="C742" i="14"/>
  <c r="B742" i="14"/>
  <c r="A742" i="14"/>
  <c r="C741" i="14"/>
  <c r="B741" i="14"/>
  <c r="A741" i="14"/>
  <c r="C740" i="14"/>
  <c r="B740" i="14"/>
  <c r="A740" i="14"/>
  <c r="C739" i="14"/>
  <c r="B739" i="14"/>
  <c r="A739" i="14"/>
  <c r="C738" i="14"/>
  <c r="B738" i="14"/>
  <c r="A738" i="14"/>
  <c r="C737" i="14"/>
  <c r="B737" i="14"/>
  <c r="A737" i="14"/>
  <c r="C736" i="14"/>
  <c r="B736" i="14"/>
  <c r="A736" i="14"/>
  <c r="C735" i="14"/>
  <c r="B735" i="14"/>
  <c r="A735" i="14"/>
  <c r="C734" i="14"/>
  <c r="B734" i="14"/>
  <c r="A734" i="14"/>
  <c r="C733" i="14"/>
  <c r="B733" i="14"/>
  <c r="A733" i="14"/>
  <c r="C732" i="14"/>
  <c r="B732" i="14"/>
  <c r="A732" i="14"/>
  <c r="C731" i="14"/>
  <c r="B731" i="14"/>
  <c r="A731" i="14"/>
  <c r="C730" i="14"/>
  <c r="B730" i="14"/>
  <c r="A730" i="14"/>
  <c r="C729" i="14"/>
  <c r="B729" i="14"/>
  <c r="A729" i="14"/>
  <c r="C728" i="14"/>
  <c r="B728" i="14"/>
  <c r="A728" i="14"/>
  <c r="C727" i="14"/>
  <c r="B727" i="14"/>
  <c r="A727" i="14"/>
  <c r="C726" i="14"/>
  <c r="B726" i="14"/>
  <c r="A726" i="14"/>
  <c r="C725" i="14"/>
  <c r="B725" i="14"/>
  <c r="A725" i="14"/>
  <c r="C724" i="14"/>
  <c r="B724" i="14"/>
  <c r="A724" i="14"/>
  <c r="C723" i="14"/>
  <c r="B723" i="14"/>
  <c r="A723" i="14"/>
  <c r="C722" i="14"/>
  <c r="B722" i="14"/>
  <c r="A722" i="14"/>
  <c r="C721" i="14"/>
  <c r="B721" i="14"/>
  <c r="A721" i="14"/>
  <c r="C720" i="14"/>
  <c r="B720" i="14"/>
  <c r="A720" i="14"/>
  <c r="C719" i="14"/>
  <c r="B719" i="14"/>
  <c r="A719" i="14"/>
  <c r="C718" i="14"/>
  <c r="B718" i="14"/>
  <c r="A718" i="14"/>
  <c r="C717" i="14"/>
  <c r="B717" i="14"/>
  <c r="A717" i="14"/>
  <c r="C716" i="14"/>
  <c r="B716" i="14"/>
  <c r="A716" i="14"/>
  <c r="C715" i="14"/>
  <c r="B715" i="14"/>
  <c r="A715" i="14"/>
  <c r="C714" i="14"/>
  <c r="B714" i="14"/>
  <c r="A714" i="14"/>
  <c r="C713" i="14"/>
  <c r="B713" i="14"/>
  <c r="A713" i="14"/>
  <c r="C712" i="14"/>
  <c r="B712" i="14"/>
  <c r="A712" i="14"/>
  <c r="C711" i="14"/>
  <c r="B711" i="14"/>
  <c r="A711" i="14"/>
  <c r="C710" i="14"/>
  <c r="B710" i="14"/>
  <c r="A710" i="14"/>
  <c r="C709" i="14"/>
  <c r="B709" i="14"/>
  <c r="A709" i="14"/>
  <c r="C708" i="14"/>
  <c r="B708" i="14"/>
  <c r="A708" i="14"/>
  <c r="C707" i="14"/>
  <c r="B707" i="14"/>
  <c r="A707" i="14"/>
  <c r="C706" i="14"/>
  <c r="B706" i="14"/>
  <c r="A706" i="14"/>
  <c r="C705" i="14"/>
  <c r="B705" i="14"/>
  <c r="A705" i="14"/>
  <c r="C704" i="14"/>
  <c r="B704" i="14"/>
  <c r="A704" i="14"/>
  <c r="C703" i="14"/>
  <c r="B703" i="14"/>
  <c r="A703" i="14"/>
  <c r="C702" i="14"/>
  <c r="B702" i="14"/>
  <c r="A702" i="14"/>
  <c r="C701" i="14"/>
  <c r="B701" i="14"/>
  <c r="A701" i="14"/>
  <c r="C700" i="14"/>
  <c r="B700" i="14"/>
  <c r="A700" i="14"/>
  <c r="C699" i="14"/>
  <c r="B699" i="14"/>
  <c r="A699" i="14"/>
  <c r="C698" i="14"/>
  <c r="B698" i="14"/>
  <c r="A698" i="14"/>
  <c r="C697" i="14"/>
  <c r="B697" i="14"/>
  <c r="A697" i="14"/>
  <c r="C696" i="14"/>
  <c r="B696" i="14"/>
  <c r="A696" i="14"/>
  <c r="C695" i="14"/>
  <c r="B695" i="14"/>
  <c r="A695" i="14"/>
  <c r="C694" i="14"/>
  <c r="B694" i="14"/>
  <c r="A694" i="14"/>
  <c r="C693" i="14"/>
  <c r="B693" i="14"/>
  <c r="A693" i="14"/>
  <c r="C692" i="14"/>
  <c r="B692" i="14"/>
  <c r="A692" i="14"/>
  <c r="C691" i="14"/>
  <c r="B691" i="14"/>
  <c r="A691" i="14"/>
  <c r="C690" i="14"/>
  <c r="B690" i="14"/>
  <c r="A690" i="14"/>
  <c r="C689" i="14"/>
  <c r="B689" i="14"/>
  <c r="A689" i="14"/>
  <c r="C688" i="14"/>
  <c r="B688" i="14"/>
  <c r="A688" i="14"/>
  <c r="C687" i="14"/>
  <c r="B687" i="14"/>
  <c r="A687" i="14"/>
  <c r="C686" i="14"/>
  <c r="B686" i="14"/>
  <c r="A686" i="14"/>
  <c r="C685" i="14"/>
  <c r="B685" i="14"/>
  <c r="A685" i="14"/>
  <c r="C684" i="14"/>
  <c r="B684" i="14"/>
  <c r="A684" i="14"/>
  <c r="C683" i="14"/>
  <c r="B683" i="14"/>
  <c r="A683" i="14"/>
  <c r="C682" i="14"/>
  <c r="B682" i="14"/>
  <c r="A682" i="14"/>
  <c r="C681" i="14"/>
  <c r="B681" i="14"/>
  <c r="A681" i="14"/>
  <c r="C680" i="14"/>
  <c r="B680" i="14"/>
  <c r="A680" i="14"/>
  <c r="C679" i="14"/>
  <c r="B679" i="14"/>
  <c r="A679" i="14"/>
  <c r="C678" i="14"/>
  <c r="B678" i="14"/>
  <c r="A678" i="14"/>
  <c r="C677" i="14"/>
  <c r="B677" i="14"/>
  <c r="A677" i="14"/>
  <c r="C676" i="14"/>
  <c r="B676" i="14"/>
  <c r="A676" i="14"/>
  <c r="C675" i="14"/>
  <c r="B675" i="14"/>
  <c r="A675" i="14"/>
  <c r="C674" i="14"/>
  <c r="B674" i="14"/>
  <c r="A674" i="14"/>
  <c r="C673" i="14"/>
  <c r="B673" i="14"/>
  <c r="A673" i="14"/>
  <c r="C672" i="14"/>
  <c r="B672" i="14"/>
  <c r="A672" i="14"/>
  <c r="C671" i="14"/>
  <c r="B671" i="14"/>
  <c r="A671" i="14"/>
  <c r="C670" i="14"/>
  <c r="B670" i="14"/>
  <c r="A670" i="14"/>
  <c r="C669" i="14"/>
  <c r="B669" i="14"/>
  <c r="A669" i="14"/>
  <c r="C668" i="14"/>
  <c r="B668" i="14"/>
  <c r="A668" i="14"/>
  <c r="C667" i="14"/>
  <c r="B667" i="14"/>
  <c r="A667" i="14"/>
  <c r="C666" i="14"/>
  <c r="B666" i="14"/>
  <c r="A666" i="14"/>
  <c r="C665" i="14"/>
  <c r="B665" i="14"/>
  <c r="A665" i="14"/>
  <c r="C664" i="14"/>
  <c r="B664" i="14"/>
  <c r="A664" i="14"/>
  <c r="C663" i="14"/>
  <c r="B663" i="14"/>
  <c r="A663" i="14"/>
  <c r="C662" i="14"/>
  <c r="B662" i="14"/>
  <c r="A662" i="14"/>
  <c r="C661" i="14"/>
  <c r="B661" i="14"/>
  <c r="A661" i="14"/>
  <c r="C660" i="14"/>
  <c r="B660" i="14"/>
  <c r="A660" i="14"/>
  <c r="C659" i="14"/>
  <c r="B659" i="14"/>
  <c r="A659" i="14"/>
  <c r="C658" i="14"/>
  <c r="B658" i="14"/>
  <c r="A658" i="14"/>
  <c r="C657" i="14"/>
  <c r="B657" i="14"/>
  <c r="A657" i="14"/>
  <c r="C656" i="14"/>
  <c r="B656" i="14"/>
  <c r="A656" i="14"/>
  <c r="C655" i="14"/>
  <c r="B655" i="14"/>
  <c r="A655" i="14"/>
  <c r="C654" i="14"/>
  <c r="B654" i="14"/>
  <c r="A654" i="14"/>
  <c r="C653" i="14"/>
  <c r="B653" i="14"/>
  <c r="A653" i="14"/>
  <c r="C652" i="14"/>
  <c r="B652" i="14"/>
  <c r="A652" i="14"/>
  <c r="C651" i="14"/>
  <c r="B651" i="14"/>
  <c r="A651" i="14"/>
  <c r="C650" i="14"/>
  <c r="B650" i="14"/>
  <c r="A650" i="14"/>
  <c r="C649" i="14"/>
  <c r="B649" i="14"/>
  <c r="A649" i="14"/>
  <c r="C648" i="14"/>
  <c r="B648" i="14"/>
  <c r="A648" i="14"/>
  <c r="C647" i="14"/>
  <c r="B647" i="14"/>
  <c r="A647" i="14"/>
  <c r="C646" i="14"/>
  <c r="B646" i="14"/>
  <c r="A646" i="14"/>
  <c r="C645" i="14"/>
  <c r="B645" i="14"/>
  <c r="A645" i="14"/>
  <c r="C644" i="14"/>
  <c r="B644" i="14"/>
  <c r="A644" i="14"/>
  <c r="C643" i="14"/>
  <c r="B643" i="14"/>
  <c r="A643" i="14"/>
  <c r="C642" i="14"/>
  <c r="B642" i="14"/>
  <c r="A642" i="14"/>
  <c r="C641" i="14"/>
  <c r="B641" i="14"/>
  <c r="A641" i="14"/>
  <c r="C640" i="14"/>
  <c r="B640" i="14"/>
  <c r="A640" i="14"/>
  <c r="C639" i="14"/>
  <c r="B639" i="14"/>
  <c r="A639" i="14"/>
  <c r="C638" i="14"/>
  <c r="B638" i="14"/>
  <c r="A638" i="14"/>
  <c r="C637" i="14"/>
  <c r="B637" i="14"/>
  <c r="A637" i="14"/>
  <c r="C636" i="14"/>
  <c r="B636" i="14"/>
  <c r="A636" i="14"/>
  <c r="C635" i="14"/>
  <c r="B635" i="14"/>
  <c r="A635" i="14"/>
  <c r="C634" i="14"/>
  <c r="B634" i="14"/>
  <c r="A634" i="14"/>
  <c r="C633" i="14"/>
  <c r="B633" i="14"/>
  <c r="A633" i="14"/>
  <c r="C632" i="14"/>
  <c r="B632" i="14"/>
  <c r="A632" i="14"/>
  <c r="C631" i="14"/>
  <c r="B631" i="14"/>
  <c r="A631" i="14"/>
  <c r="C630" i="14"/>
  <c r="B630" i="14"/>
  <c r="A630" i="14"/>
  <c r="C629" i="14"/>
  <c r="B629" i="14"/>
  <c r="A629" i="14"/>
  <c r="C628" i="14"/>
  <c r="B628" i="14"/>
  <c r="A628" i="14"/>
  <c r="C627" i="14"/>
  <c r="B627" i="14"/>
  <c r="A627" i="14"/>
  <c r="C626" i="14"/>
  <c r="B626" i="14"/>
  <c r="A626" i="14"/>
  <c r="C625" i="14"/>
  <c r="B625" i="14"/>
  <c r="A625" i="14"/>
  <c r="C624" i="14"/>
  <c r="B624" i="14"/>
  <c r="A624" i="14"/>
  <c r="C623" i="14"/>
  <c r="B623" i="14"/>
  <c r="A623" i="14"/>
  <c r="C622" i="14"/>
  <c r="B622" i="14"/>
  <c r="A622" i="14"/>
  <c r="C621" i="14"/>
  <c r="B621" i="14"/>
  <c r="A621" i="14"/>
  <c r="C620" i="14"/>
  <c r="B620" i="14"/>
  <c r="A620" i="14"/>
  <c r="C619" i="14"/>
  <c r="B619" i="14"/>
  <c r="A619" i="14"/>
  <c r="C618" i="14"/>
  <c r="B618" i="14"/>
  <c r="A618" i="14"/>
  <c r="C617" i="14"/>
  <c r="B617" i="14"/>
  <c r="A617" i="14"/>
  <c r="C616" i="14"/>
  <c r="B616" i="14"/>
  <c r="A616" i="14"/>
  <c r="C615" i="14"/>
  <c r="B615" i="14"/>
  <c r="A615" i="14"/>
  <c r="C614" i="14"/>
  <c r="B614" i="14"/>
  <c r="A614" i="14"/>
  <c r="C613" i="14"/>
  <c r="B613" i="14"/>
  <c r="A613" i="14"/>
  <c r="C612" i="14"/>
  <c r="B612" i="14"/>
  <c r="A612" i="14"/>
  <c r="C611" i="14"/>
  <c r="B611" i="14"/>
  <c r="A611" i="14"/>
  <c r="C610" i="14"/>
  <c r="B610" i="14"/>
  <c r="A610" i="14"/>
  <c r="C609" i="14"/>
  <c r="B609" i="14"/>
  <c r="A609" i="14"/>
  <c r="C608" i="14"/>
  <c r="B608" i="14"/>
  <c r="A608" i="14"/>
  <c r="C607" i="14"/>
  <c r="B607" i="14"/>
  <c r="A607" i="14"/>
  <c r="C606" i="14"/>
  <c r="B606" i="14"/>
  <c r="A606" i="14"/>
  <c r="C605" i="14"/>
  <c r="B605" i="14"/>
  <c r="A605" i="14"/>
  <c r="C604" i="14"/>
  <c r="B604" i="14"/>
  <c r="A604" i="14"/>
  <c r="C603" i="14"/>
  <c r="B603" i="14"/>
  <c r="A603" i="14"/>
  <c r="C602" i="14"/>
  <c r="B602" i="14"/>
  <c r="A602" i="14"/>
  <c r="C601" i="14"/>
  <c r="B601" i="14"/>
  <c r="A601" i="14"/>
  <c r="C600" i="14"/>
  <c r="B600" i="14"/>
  <c r="A600" i="14"/>
  <c r="C599" i="14"/>
  <c r="B599" i="14"/>
  <c r="A599" i="14"/>
  <c r="C598" i="14"/>
  <c r="B598" i="14"/>
  <c r="A598" i="14"/>
  <c r="C597" i="14"/>
  <c r="B597" i="14"/>
  <c r="A597" i="14"/>
  <c r="C596" i="14"/>
  <c r="B596" i="14"/>
  <c r="A596" i="14"/>
  <c r="C595" i="14"/>
  <c r="B595" i="14"/>
  <c r="A595" i="14"/>
  <c r="C594" i="14"/>
  <c r="B594" i="14"/>
  <c r="A594" i="14"/>
  <c r="C593" i="14"/>
  <c r="B593" i="14"/>
  <c r="A593" i="14"/>
  <c r="C592" i="14"/>
  <c r="B592" i="14"/>
  <c r="A592" i="14"/>
  <c r="C591" i="14"/>
  <c r="B591" i="14"/>
  <c r="A591" i="14"/>
  <c r="C590" i="14"/>
  <c r="B590" i="14"/>
  <c r="A590" i="14"/>
  <c r="C589" i="14"/>
  <c r="B589" i="14"/>
  <c r="A589" i="14"/>
  <c r="C588" i="14"/>
  <c r="B588" i="14"/>
  <c r="A588" i="14"/>
  <c r="C587" i="14"/>
  <c r="B587" i="14"/>
  <c r="A587" i="14"/>
  <c r="C586" i="14"/>
  <c r="B586" i="14"/>
  <c r="A586" i="14"/>
  <c r="C585" i="14"/>
  <c r="B585" i="14"/>
  <c r="A585" i="14"/>
  <c r="C584" i="14"/>
  <c r="B584" i="14"/>
  <c r="A584" i="14"/>
  <c r="C583" i="14"/>
  <c r="B583" i="14"/>
  <c r="A583" i="14"/>
  <c r="C582" i="14"/>
  <c r="B582" i="14"/>
  <c r="A582" i="14"/>
  <c r="C581" i="14"/>
  <c r="B581" i="14"/>
  <c r="A581" i="14"/>
  <c r="C580" i="14"/>
  <c r="B580" i="14"/>
  <c r="A580" i="14"/>
  <c r="C579" i="14"/>
  <c r="B579" i="14"/>
  <c r="A579" i="14"/>
  <c r="C578" i="14"/>
  <c r="B578" i="14"/>
  <c r="A578" i="14"/>
  <c r="C577" i="14"/>
  <c r="B577" i="14"/>
  <c r="A577" i="14"/>
  <c r="C576" i="14"/>
  <c r="B576" i="14"/>
  <c r="A576" i="14"/>
  <c r="C575" i="14"/>
  <c r="B575" i="14"/>
  <c r="A575" i="14"/>
  <c r="C574" i="14"/>
  <c r="B574" i="14"/>
  <c r="A574" i="14"/>
  <c r="C573" i="14"/>
  <c r="B573" i="14"/>
  <c r="A573" i="14"/>
  <c r="C572" i="14"/>
  <c r="B572" i="14"/>
  <c r="A572" i="14"/>
  <c r="C571" i="14"/>
  <c r="B571" i="14"/>
  <c r="A571" i="14"/>
  <c r="C570" i="14"/>
  <c r="B570" i="14"/>
  <c r="A570" i="14"/>
  <c r="C569" i="14"/>
  <c r="B569" i="14"/>
  <c r="A569" i="14"/>
  <c r="C568" i="14"/>
  <c r="B568" i="14"/>
  <c r="A568" i="14"/>
  <c r="C567" i="14"/>
  <c r="B567" i="14"/>
  <c r="A567" i="14"/>
  <c r="C566" i="14"/>
  <c r="B566" i="14"/>
  <c r="A566" i="14"/>
  <c r="C565" i="14"/>
  <c r="B565" i="14"/>
  <c r="A565" i="14"/>
  <c r="C564" i="14"/>
  <c r="B564" i="14"/>
  <c r="A564" i="14"/>
  <c r="C563" i="14"/>
  <c r="B563" i="14"/>
  <c r="A563" i="14"/>
  <c r="C562" i="14"/>
  <c r="B562" i="14"/>
  <c r="A562" i="14"/>
  <c r="C561" i="14"/>
  <c r="B561" i="14"/>
  <c r="A561" i="14"/>
  <c r="C560" i="14"/>
  <c r="B560" i="14"/>
  <c r="A560" i="14"/>
  <c r="C559" i="14"/>
  <c r="B559" i="14"/>
  <c r="A559" i="14"/>
  <c r="C558" i="14"/>
  <c r="B558" i="14"/>
  <c r="A558" i="14"/>
  <c r="C557" i="14"/>
  <c r="B557" i="14"/>
  <c r="A557" i="14"/>
  <c r="C556" i="14"/>
  <c r="B556" i="14"/>
  <c r="A556" i="14"/>
  <c r="C555" i="14"/>
  <c r="B555" i="14"/>
  <c r="A555" i="14"/>
  <c r="C554" i="14"/>
  <c r="B554" i="14"/>
  <c r="A554" i="14"/>
  <c r="C553" i="14"/>
  <c r="B553" i="14"/>
  <c r="A553" i="14"/>
  <c r="C552" i="14"/>
  <c r="B552" i="14"/>
  <c r="A552" i="14"/>
  <c r="C551" i="14"/>
  <c r="B551" i="14"/>
  <c r="A551" i="14"/>
  <c r="C550" i="14"/>
  <c r="B550" i="14"/>
  <c r="A550" i="14"/>
  <c r="C549" i="14"/>
  <c r="B549" i="14"/>
  <c r="A549" i="14"/>
  <c r="C548" i="14"/>
  <c r="B548" i="14"/>
  <c r="A548" i="14"/>
  <c r="C547" i="14"/>
  <c r="B547" i="14"/>
  <c r="A547" i="14"/>
  <c r="C546" i="14"/>
  <c r="B546" i="14"/>
  <c r="A546" i="14"/>
  <c r="C545" i="14"/>
  <c r="B545" i="14"/>
  <c r="A545" i="14"/>
  <c r="C544" i="14"/>
  <c r="B544" i="14"/>
  <c r="A544" i="14"/>
  <c r="C543" i="14"/>
  <c r="B543" i="14"/>
  <c r="A543" i="14"/>
  <c r="C542" i="14"/>
  <c r="B542" i="14"/>
  <c r="A542" i="14"/>
  <c r="C541" i="14"/>
  <c r="B541" i="14"/>
  <c r="A541" i="14"/>
  <c r="C540" i="14"/>
  <c r="B540" i="14"/>
  <c r="A540" i="14"/>
  <c r="C539" i="14"/>
  <c r="B539" i="14"/>
  <c r="A539" i="14"/>
  <c r="C538" i="14"/>
  <c r="B538" i="14"/>
  <c r="A538" i="14"/>
  <c r="C537" i="14"/>
  <c r="B537" i="14"/>
  <c r="A537" i="14"/>
  <c r="C536" i="14"/>
  <c r="B536" i="14"/>
  <c r="A536" i="14"/>
  <c r="C535" i="14"/>
  <c r="B535" i="14"/>
  <c r="A535" i="14"/>
  <c r="C534" i="14"/>
  <c r="B534" i="14"/>
  <c r="A534" i="14"/>
  <c r="C533" i="14"/>
  <c r="B533" i="14"/>
  <c r="A533" i="14"/>
  <c r="C532" i="14"/>
  <c r="B532" i="14"/>
  <c r="A532" i="14"/>
  <c r="C531" i="14"/>
  <c r="B531" i="14"/>
  <c r="A531" i="14"/>
  <c r="C530" i="14"/>
  <c r="B530" i="14"/>
  <c r="A530" i="14"/>
  <c r="C529" i="14"/>
  <c r="B529" i="14"/>
  <c r="A529" i="14"/>
  <c r="C528" i="14"/>
  <c r="B528" i="14"/>
  <c r="A528" i="14"/>
  <c r="C527" i="14"/>
  <c r="B527" i="14"/>
  <c r="A527" i="14"/>
  <c r="C526" i="14"/>
  <c r="B526" i="14"/>
  <c r="A526" i="14"/>
  <c r="C525" i="14"/>
  <c r="B525" i="14"/>
  <c r="A525" i="14"/>
  <c r="C524" i="14"/>
  <c r="B524" i="14"/>
  <c r="A524" i="14"/>
  <c r="C523" i="14"/>
  <c r="B523" i="14"/>
  <c r="A523" i="14"/>
  <c r="C522" i="14"/>
  <c r="B522" i="14"/>
  <c r="A522" i="14"/>
  <c r="C521" i="14"/>
  <c r="B521" i="14"/>
  <c r="A521" i="14"/>
  <c r="C520" i="14"/>
  <c r="B520" i="14"/>
  <c r="A520" i="14"/>
  <c r="C519" i="14"/>
  <c r="B519" i="14"/>
  <c r="A519" i="14"/>
  <c r="C518" i="14"/>
  <c r="B518" i="14"/>
  <c r="A518" i="14"/>
  <c r="C517" i="14"/>
  <c r="B517" i="14"/>
  <c r="A517" i="14"/>
  <c r="C516" i="14"/>
  <c r="B516" i="14"/>
  <c r="A516" i="14"/>
  <c r="C515" i="14"/>
  <c r="B515" i="14"/>
  <c r="A515" i="14"/>
  <c r="C514" i="14"/>
  <c r="B514" i="14"/>
  <c r="A514" i="14"/>
  <c r="C513" i="14"/>
  <c r="B513" i="14"/>
  <c r="A513" i="14"/>
  <c r="C512" i="14"/>
  <c r="B512" i="14"/>
  <c r="A512" i="14"/>
  <c r="C511" i="14"/>
  <c r="B511" i="14"/>
  <c r="A511" i="14"/>
  <c r="C510" i="14"/>
  <c r="B510" i="14"/>
  <c r="A510" i="14"/>
  <c r="C509" i="14"/>
  <c r="B509" i="14"/>
  <c r="A509" i="14"/>
  <c r="C508" i="14"/>
  <c r="B508" i="14"/>
  <c r="A508" i="14"/>
  <c r="C507" i="14"/>
  <c r="B507" i="14"/>
  <c r="A507" i="14"/>
  <c r="C506" i="14"/>
  <c r="B506" i="14"/>
  <c r="A506" i="14"/>
  <c r="C505" i="14"/>
  <c r="B505" i="14"/>
  <c r="A505" i="14"/>
  <c r="C504" i="14"/>
  <c r="B504" i="14"/>
  <c r="A504" i="14"/>
  <c r="C503" i="14"/>
  <c r="B503" i="14"/>
  <c r="A503" i="14"/>
  <c r="C502" i="14"/>
  <c r="B502" i="14"/>
  <c r="A502" i="14"/>
  <c r="C501" i="14"/>
  <c r="B501" i="14"/>
  <c r="A501" i="14"/>
  <c r="C500" i="14"/>
  <c r="B500" i="14"/>
  <c r="A500" i="14"/>
  <c r="C499" i="14"/>
  <c r="B499" i="14"/>
  <c r="A499" i="14"/>
  <c r="C498" i="14"/>
  <c r="B498" i="14"/>
  <c r="A498" i="14"/>
  <c r="C497" i="14"/>
  <c r="B497" i="14"/>
  <c r="A497" i="14"/>
  <c r="C496" i="14"/>
  <c r="B496" i="14"/>
  <c r="A496" i="14"/>
  <c r="C495" i="14"/>
  <c r="B495" i="14"/>
  <c r="A495" i="14"/>
  <c r="C494" i="14"/>
  <c r="B494" i="14"/>
  <c r="A494" i="14"/>
  <c r="C493" i="14"/>
  <c r="B493" i="14"/>
  <c r="A493" i="14"/>
  <c r="C492" i="14"/>
  <c r="B492" i="14"/>
  <c r="A492" i="14"/>
  <c r="C491" i="14"/>
  <c r="B491" i="14"/>
  <c r="A491" i="14"/>
  <c r="C490" i="14"/>
  <c r="B490" i="14"/>
  <c r="A490" i="14"/>
  <c r="C489" i="14"/>
  <c r="B489" i="14"/>
  <c r="A489" i="14"/>
  <c r="C488" i="14"/>
  <c r="B488" i="14"/>
  <c r="A488" i="14"/>
  <c r="C487" i="14"/>
  <c r="B487" i="14"/>
  <c r="A487" i="14"/>
  <c r="C486" i="14"/>
  <c r="B486" i="14"/>
  <c r="A486" i="14"/>
  <c r="C485" i="14"/>
  <c r="B485" i="14"/>
  <c r="A485" i="14"/>
  <c r="C484" i="14"/>
  <c r="B484" i="14"/>
  <c r="A484" i="14"/>
  <c r="C483" i="14"/>
  <c r="B483" i="14"/>
  <c r="A483" i="14"/>
  <c r="C482" i="14"/>
  <c r="B482" i="14"/>
  <c r="A482" i="14"/>
  <c r="C481" i="14"/>
  <c r="B481" i="14"/>
  <c r="A481" i="14"/>
  <c r="C480" i="14"/>
  <c r="B480" i="14"/>
  <c r="A480" i="14"/>
  <c r="C479" i="14"/>
  <c r="B479" i="14"/>
  <c r="A479" i="14"/>
  <c r="C478" i="14"/>
  <c r="B478" i="14"/>
  <c r="A478" i="14"/>
  <c r="C477" i="14"/>
  <c r="B477" i="14"/>
  <c r="A477" i="14"/>
  <c r="C476" i="14"/>
  <c r="B476" i="14"/>
  <c r="A476" i="14"/>
  <c r="C475" i="14"/>
  <c r="B475" i="14"/>
  <c r="A475" i="14"/>
  <c r="C474" i="14"/>
  <c r="B474" i="14"/>
  <c r="A474" i="14"/>
  <c r="C473" i="14"/>
  <c r="B473" i="14"/>
  <c r="A473" i="14"/>
  <c r="C472" i="14"/>
  <c r="B472" i="14"/>
  <c r="A472" i="14"/>
  <c r="C471" i="14"/>
  <c r="B471" i="14"/>
  <c r="A471" i="14"/>
  <c r="C470" i="14"/>
  <c r="B470" i="14"/>
  <c r="A470" i="14"/>
  <c r="C469" i="14"/>
  <c r="B469" i="14"/>
  <c r="A469" i="14"/>
  <c r="C468" i="14"/>
  <c r="B468" i="14"/>
  <c r="A468" i="14"/>
  <c r="C467" i="14"/>
  <c r="B467" i="14"/>
  <c r="A467" i="14"/>
  <c r="C466" i="14"/>
  <c r="B466" i="14"/>
  <c r="A466" i="14"/>
  <c r="C465" i="14"/>
  <c r="B465" i="14"/>
  <c r="A465" i="14"/>
  <c r="C464" i="14"/>
  <c r="B464" i="14"/>
  <c r="A464" i="14"/>
  <c r="C463" i="14"/>
  <c r="B463" i="14"/>
  <c r="A463" i="14"/>
  <c r="C462" i="14"/>
  <c r="B462" i="14"/>
  <c r="A462" i="14"/>
  <c r="C461" i="14"/>
  <c r="B461" i="14"/>
  <c r="A461" i="14"/>
  <c r="C460" i="14"/>
  <c r="B460" i="14"/>
  <c r="A460" i="14"/>
  <c r="C459" i="14"/>
  <c r="B459" i="14"/>
  <c r="A459" i="14"/>
  <c r="C458" i="14"/>
  <c r="B458" i="14"/>
  <c r="A458" i="14"/>
  <c r="C457" i="14"/>
  <c r="B457" i="14"/>
  <c r="A457" i="14"/>
  <c r="C456" i="14"/>
  <c r="B456" i="14"/>
  <c r="A456" i="14"/>
  <c r="C455" i="14"/>
  <c r="B455" i="14"/>
  <c r="A455" i="14"/>
  <c r="C454" i="14"/>
  <c r="B454" i="14"/>
  <c r="A454" i="14"/>
  <c r="C453" i="14"/>
  <c r="B453" i="14"/>
  <c r="A453" i="14"/>
  <c r="C452" i="14"/>
  <c r="B452" i="14"/>
  <c r="A452" i="14"/>
  <c r="C451" i="14"/>
  <c r="B451" i="14"/>
  <c r="A451" i="14"/>
  <c r="C450" i="14"/>
  <c r="B450" i="14"/>
  <c r="A450" i="14"/>
  <c r="C449" i="14"/>
  <c r="B449" i="14"/>
  <c r="A449" i="14"/>
  <c r="C448" i="14"/>
  <c r="B448" i="14"/>
  <c r="A448" i="14"/>
  <c r="C447" i="14"/>
  <c r="B447" i="14"/>
  <c r="A447" i="14"/>
  <c r="C446" i="14"/>
  <c r="B446" i="14"/>
  <c r="A446" i="14"/>
  <c r="C445" i="14"/>
  <c r="B445" i="14"/>
  <c r="A445" i="14"/>
  <c r="C444" i="14"/>
  <c r="B444" i="14"/>
  <c r="A444" i="14"/>
  <c r="C443" i="14"/>
  <c r="B443" i="14"/>
  <c r="A443" i="14"/>
  <c r="C442" i="14"/>
  <c r="B442" i="14"/>
  <c r="A442" i="14"/>
  <c r="C441" i="14"/>
  <c r="B441" i="14"/>
  <c r="A441" i="14"/>
  <c r="C440" i="14"/>
  <c r="B440" i="14"/>
  <c r="A440" i="14"/>
  <c r="C439" i="14"/>
  <c r="B439" i="14"/>
  <c r="A439" i="14"/>
  <c r="C438" i="14"/>
  <c r="B438" i="14"/>
  <c r="A438" i="14"/>
  <c r="C437" i="14"/>
  <c r="B437" i="14"/>
  <c r="A437" i="14"/>
  <c r="C436" i="14"/>
  <c r="B436" i="14"/>
  <c r="A436" i="14"/>
  <c r="C435" i="14"/>
  <c r="B435" i="14"/>
  <c r="A435" i="14"/>
  <c r="C434" i="14"/>
  <c r="B434" i="14"/>
  <c r="A434" i="14"/>
  <c r="C433" i="14"/>
  <c r="B433" i="14"/>
  <c r="A433" i="14"/>
  <c r="C432" i="14"/>
  <c r="B432" i="14"/>
  <c r="A432" i="14"/>
  <c r="C431" i="14"/>
  <c r="B431" i="14"/>
  <c r="A431" i="14"/>
  <c r="C430" i="14"/>
  <c r="B430" i="14"/>
  <c r="A430" i="14"/>
  <c r="C429" i="14"/>
  <c r="B429" i="14"/>
  <c r="A429" i="14"/>
  <c r="C428" i="14"/>
  <c r="B428" i="14"/>
  <c r="A428" i="14"/>
  <c r="C427" i="14"/>
  <c r="B427" i="14"/>
  <c r="A427" i="14"/>
  <c r="C426" i="14"/>
  <c r="B426" i="14"/>
  <c r="A426" i="14"/>
  <c r="C425" i="14"/>
  <c r="B425" i="14"/>
  <c r="A425" i="14"/>
  <c r="C424" i="14"/>
  <c r="B424" i="14"/>
  <c r="A424" i="14"/>
  <c r="C423" i="14"/>
  <c r="B423" i="14"/>
  <c r="A423" i="14"/>
  <c r="C422" i="14"/>
  <c r="B422" i="14"/>
  <c r="A422" i="14"/>
  <c r="C421" i="14"/>
  <c r="B421" i="14"/>
  <c r="A421" i="14"/>
  <c r="C420" i="14"/>
  <c r="B420" i="14"/>
  <c r="A420" i="14"/>
  <c r="C419" i="14"/>
  <c r="B419" i="14"/>
  <c r="A419" i="14"/>
  <c r="C418" i="14"/>
  <c r="B418" i="14"/>
  <c r="A418" i="14"/>
  <c r="C417" i="14"/>
  <c r="B417" i="14"/>
  <c r="A417" i="14"/>
  <c r="C416" i="14"/>
  <c r="B416" i="14"/>
  <c r="A416" i="14"/>
  <c r="C415" i="14"/>
  <c r="B415" i="14"/>
  <c r="A415" i="14"/>
  <c r="C414" i="14"/>
  <c r="B414" i="14"/>
  <c r="A414" i="14"/>
  <c r="C413" i="14"/>
  <c r="B413" i="14"/>
  <c r="A413" i="14"/>
  <c r="C412" i="14"/>
  <c r="B412" i="14"/>
  <c r="A412" i="14"/>
  <c r="C411" i="14"/>
  <c r="B411" i="14"/>
  <c r="A411" i="14"/>
  <c r="C410" i="14"/>
  <c r="B410" i="14"/>
  <c r="A410" i="14"/>
  <c r="C409" i="14"/>
  <c r="B409" i="14"/>
  <c r="A409" i="14"/>
  <c r="C408" i="14"/>
  <c r="B408" i="14"/>
  <c r="A408" i="14"/>
  <c r="C407" i="14"/>
  <c r="B407" i="14"/>
  <c r="A407" i="14"/>
  <c r="C406" i="14"/>
  <c r="B406" i="14"/>
  <c r="A406" i="14"/>
  <c r="C405" i="14"/>
  <c r="B405" i="14"/>
  <c r="A405" i="14"/>
  <c r="C404" i="14"/>
  <c r="B404" i="14"/>
  <c r="A404" i="14"/>
  <c r="C403" i="14"/>
  <c r="B403" i="14"/>
  <c r="A403" i="14"/>
  <c r="C402" i="14"/>
  <c r="B402" i="14"/>
  <c r="A402" i="14"/>
  <c r="C401" i="14"/>
  <c r="B401" i="14"/>
  <c r="A401" i="14"/>
  <c r="C400" i="14"/>
  <c r="B400" i="14"/>
  <c r="A400" i="14"/>
  <c r="C399" i="14"/>
  <c r="B399" i="14"/>
  <c r="A399" i="14"/>
  <c r="C398" i="14"/>
  <c r="B398" i="14"/>
  <c r="A398" i="14"/>
  <c r="C397" i="14"/>
  <c r="B397" i="14"/>
  <c r="A397" i="14"/>
  <c r="C396" i="14"/>
  <c r="B396" i="14"/>
  <c r="A396" i="14"/>
  <c r="C395" i="14"/>
  <c r="B395" i="14"/>
  <c r="A395" i="14"/>
  <c r="C394" i="14"/>
  <c r="B394" i="14"/>
  <c r="A394" i="14"/>
  <c r="C393" i="14"/>
  <c r="B393" i="14"/>
  <c r="A393" i="14"/>
  <c r="C392" i="14"/>
  <c r="B392" i="14"/>
  <c r="A392" i="14"/>
  <c r="C391" i="14"/>
  <c r="B391" i="14"/>
  <c r="A391" i="14"/>
  <c r="C390" i="14"/>
  <c r="B390" i="14"/>
  <c r="A390" i="14"/>
  <c r="C389" i="14"/>
  <c r="B389" i="14"/>
  <c r="A389" i="14"/>
  <c r="C388" i="14"/>
  <c r="B388" i="14"/>
  <c r="A388" i="14"/>
  <c r="C387" i="14"/>
  <c r="B387" i="14"/>
  <c r="A387" i="14"/>
  <c r="C386" i="14"/>
  <c r="B386" i="14"/>
  <c r="A386" i="14"/>
  <c r="C385" i="14"/>
  <c r="B385" i="14"/>
  <c r="A385" i="14"/>
  <c r="C384" i="14"/>
  <c r="B384" i="14"/>
  <c r="A384" i="14"/>
  <c r="C383" i="14"/>
  <c r="B383" i="14"/>
  <c r="A383" i="14"/>
  <c r="C382" i="14"/>
  <c r="B382" i="14"/>
  <c r="A382" i="14"/>
  <c r="C381" i="14"/>
  <c r="B381" i="14"/>
  <c r="A381" i="14"/>
  <c r="C380" i="14"/>
  <c r="B380" i="14"/>
  <c r="A380" i="14"/>
  <c r="C379" i="14"/>
  <c r="B379" i="14"/>
  <c r="A379" i="14"/>
  <c r="C378" i="14"/>
  <c r="B378" i="14"/>
  <c r="A378" i="14"/>
  <c r="C377" i="14"/>
  <c r="B377" i="14"/>
  <c r="A377" i="14"/>
  <c r="C376" i="14"/>
  <c r="B376" i="14"/>
  <c r="A376" i="14"/>
  <c r="C375" i="14"/>
  <c r="B375" i="14"/>
  <c r="A375" i="14"/>
  <c r="C374" i="14"/>
  <c r="B374" i="14"/>
  <c r="A374" i="14"/>
  <c r="C373" i="14"/>
  <c r="B373" i="14"/>
  <c r="A373" i="14"/>
  <c r="C372" i="14"/>
  <c r="B372" i="14"/>
  <c r="A372" i="14"/>
  <c r="C371" i="14"/>
  <c r="B371" i="14"/>
  <c r="A371" i="14"/>
  <c r="C370" i="14"/>
  <c r="B370" i="14"/>
  <c r="A370" i="14"/>
  <c r="C369" i="14"/>
  <c r="B369" i="14"/>
  <c r="A369" i="14"/>
  <c r="C368" i="14"/>
  <c r="B368" i="14"/>
  <c r="A368" i="14"/>
  <c r="C367" i="14"/>
  <c r="B367" i="14"/>
  <c r="A367" i="14"/>
  <c r="C366" i="14"/>
  <c r="B366" i="14"/>
  <c r="A366" i="14"/>
  <c r="C365" i="14"/>
  <c r="B365" i="14"/>
  <c r="A365" i="14"/>
  <c r="C364" i="14"/>
  <c r="B364" i="14"/>
  <c r="A364" i="14"/>
  <c r="C363" i="14"/>
  <c r="B363" i="14"/>
  <c r="A363" i="14"/>
  <c r="C362" i="14"/>
  <c r="B362" i="14"/>
  <c r="A362" i="14"/>
  <c r="C361" i="14"/>
  <c r="B361" i="14"/>
  <c r="A361" i="14"/>
  <c r="C360" i="14"/>
  <c r="B360" i="14"/>
  <c r="A360" i="14"/>
  <c r="C359" i="14"/>
  <c r="B359" i="14"/>
  <c r="A359" i="14"/>
  <c r="C358" i="14"/>
  <c r="B358" i="14"/>
  <c r="A358" i="14"/>
  <c r="C357" i="14"/>
  <c r="B357" i="14"/>
  <c r="A357" i="14"/>
  <c r="C356" i="14"/>
  <c r="B356" i="14"/>
  <c r="A356" i="14"/>
  <c r="C355" i="14"/>
  <c r="B355" i="14"/>
  <c r="A355" i="14"/>
  <c r="C354" i="14"/>
  <c r="B354" i="14"/>
  <c r="A354" i="14"/>
  <c r="C353" i="14"/>
  <c r="B353" i="14"/>
  <c r="A353" i="14"/>
  <c r="C352" i="14"/>
  <c r="B352" i="14"/>
  <c r="A352" i="14"/>
  <c r="C351" i="14"/>
  <c r="B351" i="14"/>
  <c r="A351" i="14"/>
  <c r="C350" i="14"/>
  <c r="B350" i="14"/>
  <c r="A350" i="14"/>
  <c r="C349" i="14"/>
  <c r="B349" i="14"/>
  <c r="A349" i="14"/>
  <c r="C348" i="14"/>
  <c r="B348" i="14"/>
  <c r="A348" i="14"/>
  <c r="C347" i="14"/>
  <c r="B347" i="14"/>
  <c r="A347" i="14"/>
  <c r="C346" i="14"/>
  <c r="B346" i="14"/>
  <c r="A346" i="14"/>
  <c r="C345" i="14"/>
  <c r="B345" i="14"/>
  <c r="A345" i="14"/>
  <c r="C344" i="14"/>
  <c r="B344" i="14"/>
  <c r="A344" i="14"/>
  <c r="C343" i="14"/>
  <c r="B343" i="14"/>
  <c r="A343" i="14"/>
  <c r="C342" i="14"/>
  <c r="B342" i="14"/>
  <c r="A342" i="14"/>
  <c r="C341" i="14"/>
  <c r="B341" i="14"/>
  <c r="A341" i="14"/>
  <c r="C340" i="14"/>
  <c r="B340" i="14"/>
  <c r="A340" i="14"/>
  <c r="C339" i="14"/>
  <c r="B339" i="14"/>
  <c r="A339" i="14"/>
  <c r="C338" i="14"/>
  <c r="B338" i="14"/>
  <c r="A338" i="14"/>
  <c r="C337" i="14"/>
  <c r="B337" i="14"/>
  <c r="A337" i="14"/>
  <c r="C336" i="14"/>
  <c r="B336" i="14"/>
  <c r="A336" i="14"/>
  <c r="C335" i="14"/>
  <c r="B335" i="14"/>
  <c r="A335" i="14"/>
  <c r="C334" i="14"/>
  <c r="B334" i="14"/>
  <c r="A334" i="14"/>
  <c r="C333" i="14"/>
  <c r="B333" i="14"/>
  <c r="A333" i="14"/>
  <c r="C332" i="14"/>
  <c r="B332" i="14"/>
  <c r="A332" i="14"/>
  <c r="C331" i="14"/>
  <c r="B331" i="14"/>
  <c r="A331" i="14"/>
  <c r="C330" i="14"/>
  <c r="B330" i="14"/>
  <c r="A330" i="14"/>
  <c r="C329" i="14"/>
  <c r="B329" i="14"/>
  <c r="A329" i="14"/>
  <c r="C328" i="14"/>
  <c r="B328" i="14"/>
  <c r="A328" i="14"/>
  <c r="C327" i="14"/>
  <c r="B327" i="14"/>
  <c r="A327" i="14"/>
  <c r="C326" i="14"/>
  <c r="B326" i="14"/>
  <c r="A326" i="14"/>
  <c r="C325" i="14"/>
  <c r="B325" i="14"/>
  <c r="A325" i="14"/>
  <c r="C324" i="14"/>
  <c r="B324" i="14"/>
  <c r="A324" i="14"/>
  <c r="C323" i="14"/>
  <c r="B323" i="14"/>
  <c r="A323" i="14"/>
  <c r="C322" i="14"/>
  <c r="B322" i="14"/>
  <c r="A322" i="14"/>
  <c r="C321" i="14"/>
  <c r="B321" i="14"/>
  <c r="A321" i="14"/>
  <c r="C320" i="14"/>
  <c r="B320" i="14"/>
  <c r="A320" i="14"/>
  <c r="C319" i="14"/>
  <c r="B319" i="14"/>
  <c r="A319" i="14"/>
  <c r="C318" i="14"/>
  <c r="B318" i="14"/>
  <c r="A318" i="14"/>
  <c r="C317" i="14"/>
  <c r="B317" i="14"/>
  <c r="A317" i="14"/>
  <c r="C316" i="14"/>
  <c r="B316" i="14"/>
  <c r="A316" i="14"/>
  <c r="C315" i="14"/>
  <c r="B315" i="14"/>
  <c r="A315" i="14"/>
  <c r="C314" i="14"/>
  <c r="B314" i="14"/>
  <c r="A314" i="14"/>
  <c r="C313" i="14"/>
  <c r="B313" i="14"/>
  <c r="A313" i="14"/>
  <c r="C312" i="14"/>
  <c r="B312" i="14"/>
  <c r="A312" i="14"/>
  <c r="C311" i="14"/>
  <c r="B311" i="14"/>
  <c r="A311" i="14"/>
  <c r="C310" i="14"/>
  <c r="B310" i="14"/>
  <c r="A310" i="14"/>
  <c r="C309" i="14"/>
  <c r="B309" i="14"/>
  <c r="A309" i="14"/>
  <c r="C308" i="14"/>
  <c r="B308" i="14"/>
  <c r="A308" i="14"/>
  <c r="C307" i="14"/>
  <c r="B307" i="14"/>
  <c r="A307" i="14"/>
  <c r="C306" i="14"/>
  <c r="B306" i="14"/>
  <c r="A306" i="14"/>
  <c r="C305" i="14"/>
  <c r="B305" i="14"/>
  <c r="A305" i="14"/>
  <c r="C304" i="14"/>
  <c r="B304" i="14"/>
  <c r="A304" i="14"/>
  <c r="C303" i="14"/>
  <c r="B303" i="14"/>
  <c r="A303" i="14"/>
  <c r="C302" i="14"/>
  <c r="B302" i="14"/>
  <c r="A302" i="14"/>
  <c r="C301" i="14"/>
  <c r="B301" i="14"/>
  <c r="A301" i="14"/>
  <c r="C300" i="14"/>
  <c r="B300" i="14"/>
  <c r="A300" i="14"/>
  <c r="C299" i="14"/>
  <c r="B299" i="14"/>
  <c r="A299" i="14"/>
  <c r="C298" i="14"/>
  <c r="B298" i="14"/>
  <c r="A298" i="14"/>
  <c r="C297" i="14"/>
  <c r="B297" i="14"/>
  <c r="A297" i="14"/>
  <c r="C296" i="14"/>
  <c r="B296" i="14"/>
  <c r="A296" i="14"/>
  <c r="C295" i="14"/>
  <c r="B295" i="14"/>
  <c r="A295" i="14"/>
  <c r="C294" i="14"/>
  <c r="B294" i="14"/>
  <c r="A294" i="14"/>
  <c r="C293" i="14"/>
  <c r="B293" i="14"/>
  <c r="A293" i="14"/>
  <c r="C292" i="14"/>
  <c r="B292" i="14"/>
  <c r="A292" i="14"/>
  <c r="C291" i="14"/>
  <c r="B291" i="14"/>
  <c r="A291" i="14"/>
  <c r="C290" i="14"/>
  <c r="B290" i="14"/>
  <c r="A290" i="14"/>
  <c r="C289" i="14"/>
  <c r="B289" i="14"/>
  <c r="A289" i="14"/>
  <c r="C288" i="14"/>
  <c r="B288" i="14"/>
  <c r="A288" i="14"/>
  <c r="C287" i="14"/>
  <c r="B287" i="14"/>
  <c r="A287" i="14"/>
  <c r="C286" i="14"/>
  <c r="B286" i="14"/>
  <c r="A286" i="14"/>
  <c r="C285" i="14"/>
  <c r="B285" i="14"/>
  <c r="A285" i="14"/>
  <c r="C284" i="14"/>
  <c r="B284" i="14"/>
  <c r="A284" i="14"/>
  <c r="C283" i="14"/>
  <c r="B283" i="14"/>
  <c r="A283" i="14"/>
  <c r="C282" i="14"/>
  <c r="B282" i="14"/>
  <c r="A282" i="14"/>
  <c r="C281" i="14"/>
  <c r="B281" i="14"/>
  <c r="A281" i="14"/>
  <c r="C280" i="14"/>
  <c r="B280" i="14"/>
  <c r="A280" i="14"/>
  <c r="C279" i="14"/>
  <c r="B279" i="14"/>
  <c r="A279" i="14"/>
  <c r="C278" i="14"/>
  <c r="B278" i="14"/>
  <c r="A278" i="14"/>
  <c r="C277" i="14"/>
  <c r="B277" i="14"/>
  <c r="A277" i="14"/>
  <c r="C276" i="14"/>
  <c r="B276" i="14"/>
  <c r="A276" i="14"/>
  <c r="C275" i="14"/>
  <c r="B275" i="14"/>
  <c r="A275" i="14"/>
  <c r="C274" i="14"/>
  <c r="B274" i="14"/>
  <c r="A274" i="14"/>
  <c r="C273" i="14"/>
  <c r="B273" i="14"/>
  <c r="A273" i="14"/>
  <c r="C272" i="14"/>
  <c r="B272" i="14"/>
  <c r="A272" i="14"/>
  <c r="C271" i="14"/>
  <c r="B271" i="14"/>
  <c r="A271" i="14"/>
  <c r="C270" i="14"/>
  <c r="B270" i="14"/>
  <c r="A270" i="14"/>
  <c r="C269" i="14"/>
  <c r="B269" i="14"/>
  <c r="A269" i="14"/>
  <c r="C268" i="14"/>
  <c r="B268" i="14"/>
  <c r="A268" i="14"/>
  <c r="C267" i="14"/>
  <c r="B267" i="14"/>
  <c r="A267" i="14"/>
  <c r="C266" i="14"/>
  <c r="B266" i="14"/>
  <c r="A266" i="14"/>
  <c r="C265" i="14"/>
  <c r="B265" i="14"/>
  <c r="A265" i="14"/>
  <c r="C264" i="14"/>
  <c r="B264" i="14"/>
  <c r="A264" i="14"/>
  <c r="C263" i="14"/>
  <c r="B263" i="14"/>
  <c r="A263" i="14"/>
  <c r="C262" i="14"/>
  <c r="B262" i="14"/>
  <c r="A262" i="14"/>
  <c r="C261" i="14"/>
  <c r="B261" i="14"/>
  <c r="A261" i="14"/>
  <c r="C260" i="14"/>
  <c r="B260" i="14"/>
  <c r="A260" i="14"/>
  <c r="C259" i="14"/>
  <c r="B259" i="14"/>
  <c r="A259" i="14"/>
  <c r="C258" i="14"/>
  <c r="B258" i="14"/>
  <c r="A258" i="14"/>
  <c r="C257" i="14"/>
  <c r="B257" i="14"/>
  <c r="A257" i="14"/>
  <c r="C256" i="14"/>
  <c r="B256" i="14"/>
  <c r="A256" i="14"/>
  <c r="C255" i="14"/>
  <c r="B255" i="14"/>
  <c r="A255" i="14"/>
  <c r="C254" i="14"/>
  <c r="B254" i="14"/>
  <c r="A254" i="14"/>
  <c r="C253" i="14"/>
  <c r="B253" i="14"/>
  <c r="A253" i="14"/>
  <c r="C252" i="14"/>
  <c r="B252" i="14"/>
  <c r="A252" i="14"/>
  <c r="C251" i="14"/>
  <c r="B251" i="14"/>
  <c r="A251" i="14"/>
  <c r="C250" i="14"/>
  <c r="B250" i="14"/>
  <c r="A250" i="14"/>
  <c r="C249" i="14"/>
  <c r="B249" i="14"/>
  <c r="A249" i="14"/>
  <c r="C248" i="14"/>
  <c r="B248" i="14"/>
  <c r="A248" i="14"/>
  <c r="C247" i="14"/>
  <c r="B247" i="14"/>
  <c r="A247" i="14"/>
  <c r="C246" i="14"/>
  <c r="B246" i="14"/>
  <c r="A246" i="14"/>
  <c r="C245" i="14"/>
  <c r="B245" i="14"/>
  <c r="A245" i="14"/>
  <c r="C244" i="14"/>
  <c r="B244" i="14"/>
  <c r="A244" i="14"/>
  <c r="C243" i="14"/>
  <c r="B243" i="14"/>
  <c r="A243" i="14"/>
  <c r="C242" i="14"/>
  <c r="B242" i="14"/>
  <c r="A242" i="14"/>
  <c r="C241" i="14"/>
  <c r="B241" i="14"/>
  <c r="A241" i="14"/>
  <c r="C240" i="14"/>
  <c r="B240" i="14"/>
  <c r="A240" i="14"/>
  <c r="C239" i="14"/>
  <c r="B239" i="14"/>
  <c r="A239" i="14"/>
  <c r="C238" i="14"/>
  <c r="B238" i="14"/>
  <c r="A238" i="14"/>
  <c r="C237" i="14"/>
  <c r="B237" i="14"/>
  <c r="A237" i="14"/>
  <c r="C236" i="14"/>
  <c r="B236" i="14"/>
  <c r="A236" i="14"/>
  <c r="C235" i="14"/>
  <c r="B235" i="14"/>
  <c r="A235" i="14"/>
  <c r="C234" i="14"/>
  <c r="B234" i="14"/>
  <c r="A234" i="14"/>
  <c r="C233" i="14"/>
  <c r="B233" i="14"/>
  <c r="A233" i="14"/>
  <c r="C232" i="14"/>
  <c r="B232" i="14"/>
  <c r="A232" i="14"/>
  <c r="C231" i="14"/>
  <c r="B231" i="14"/>
  <c r="A231" i="14"/>
  <c r="C230" i="14"/>
  <c r="B230" i="14"/>
  <c r="A230" i="14"/>
  <c r="C229" i="14"/>
  <c r="B229" i="14"/>
  <c r="A229" i="14"/>
  <c r="C228" i="14"/>
  <c r="B228" i="14"/>
  <c r="A228" i="14"/>
  <c r="C227" i="14"/>
  <c r="B227" i="14"/>
  <c r="A227" i="14"/>
  <c r="C226" i="14"/>
  <c r="B226" i="14"/>
  <c r="A226" i="14"/>
  <c r="C225" i="14"/>
  <c r="B225" i="14"/>
  <c r="A225" i="14"/>
  <c r="C224" i="14"/>
  <c r="B224" i="14"/>
  <c r="A224" i="14"/>
  <c r="C223" i="14"/>
  <c r="B223" i="14"/>
  <c r="A223" i="14"/>
  <c r="C222" i="14"/>
  <c r="B222" i="14"/>
  <c r="A222" i="14"/>
  <c r="C221" i="14"/>
  <c r="B221" i="14"/>
  <c r="A221" i="14"/>
  <c r="C220" i="14"/>
  <c r="B220" i="14"/>
  <c r="A220" i="14"/>
  <c r="C219" i="14"/>
  <c r="B219" i="14"/>
  <c r="A219" i="14"/>
  <c r="C218" i="14"/>
  <c r="B218" i="14"/>
  <c r="A218" i="14"/>
  <c r="C217" i="14"/>
  <c r="B217" i="14"/>
  <c r="A217" i="14"/>
  <c r="C216" i="14"/>
  <c r="B216" i="14"/>
  <c r="A216" i="14"/>
  <c r="C215" i="14"/>
  <c r="B215" i="14"/>
  <c r="A215" i="14"/>
  <c r="C214" i="14"/>
  <c r="B214" i="14"/>
  <c r="A214" i="14"/>
  <c r="C213" i="14"/>
  <c r="B213" i="14"/>
  <c r="A213" i="14"/>
  <c r="C212" i="14"/>
  <c r="B212" i="14"/>
  <c r="A212" i="14"/>
  <c r="C211" i="14"/>
  <c r="B211" i="14"/>
  <c r="A211" i="14"/>
  <c r="C210" i="14"/>
  <c r="B210" i="14"/>
  <c r="A210" i="14"/>
  <c r="C209" i="14"/>
  <c r="B209" i="14"/>
  <c r="A209" i="14"/>
  <c r="C208" i="14"/>
  <c r="B208" i="14"/>
  <c r="A208" i="14"/>
  <c r="C207" i="14"/>
  <c r="B207" i="14"/>
  <c r="A207" i="14"/>
  <c r="C206" i="14"/>
  <c r="B206" i="14"/>
  <c r="A206" i="14"/>
  <c r="C205" i="14"/>
  <c r="B205" i="14"/>
  <c r="A205" i="14"/>
  <c r="C204" i="14"/>
  <c r="B204" i="14"/>
  <c r="A204" i="14"/>
  <c r="C203" i="14"/>
  <c r="B203" i="14"/>
  <c r="A203" i="14"/>
  <c r="C202" i="14"/>
  <c r="B202" i="14"/>
  <c r="A202" i="14"/>
  <c r="C201" i="14"/>
  <c r="B201" i="14"/>
  <c r="A201" i="14"/>
  <c r="C200" i="14"/>
  <c r="B200" i="14"/>
  <c r="A200" i="14"/>
  <c r="C199" i="14"/>
  <c r="B199" i="14"/>
  <c r="A199" i="14"/>
  <c r="C198" i="14"/>
  <c r="B198" i="14"/>
  <c r="A198" i="14"/>
  <c r="C197" i="14"/>
  <c r="B197" i="14"/>
  <c r="A197" i="14"/>
  <c r="C196" i="14"/>
  <c r="B196" i="14"/>
  <c r="A196" i="14"/>
  <c r="C195" i="14"/>
  <c r="B195" i="14"/>
  <c r="A195" i="14"/>
  <c r="C194" i="14"/>
  <c r="B194" i="14"/>
  <c r="A194" i="14"/>
  <c r="C193" i="14"/>
  <c r="B193" i="14"/>
  <c r="A193" i="14"/>
  <c r="C192" i="14"/>
  <c r="B192" i="14"/>
  <c r="A192" i="14"/>
  <c r="C191" i="14"/>
  <c r="B191" i="14"/>
  <c r="A191" i="14"/>
  <c r="C190" i="14"/>
  <c r="B190" i="14"/>
  <c r="A190" i="14"/>
  <c r="C189" i="14"/>
  <c r="B189" i="14"/>
  <c r="A189" i="14"/>
  <c r="C188" i="14"/>
  <c r="B188" i="14"/>
  <c r="A188" i="14"/>
  <c r="C187" i="14"/>
  <c r="B187" i="14"/>
  <c r="A187" i="14"/>
  <c r="C186" i="14"/>
  <c r="B186" i="14"/>
  <c r="A186" i="14"/>
  <c r="C185" i="14"/>
  <c r="B185" i="14"/>
  <c r="A185" i="14"/>
  <c r="C184" i="14"/>
  <c r="B184" i="14"/>
  <c r="A184" i="14"/>
  <c r="C183" i="14"/>
  <c r="B183" i="14"/>
  <c r="A183" i="14"/>
  <c r="C182" i="14"/>
  <c r="B182" i="14"/>
  <c r="A182" i="14"/>
  <c r="C181" i="14"/>
  <c r="B181" i="14"/>
  <c r="A181" i="14"/>
  <c r="C180" i="14"/>
  <c r="B180" i="14"/>
  <c r="A180" i="14"/>
  <c r="C179" i="14"/>
  <c r="B179" i="14"/>
  <c r="A179" i="14"/>
  <c r="C178" i="14"/>
  <c r="B178" i="14"/>
  <c r="A178" i="14"/>
  <c r="C177" i="14"/>
  <c r="B177" i="14"/>
  <c r="A177" i="14"/>
  <c r="C176" i="14"/>
  <c r="B176" i="14"/>
  <c r="A176" i="14"/>
  <c r="C175" i="14"/>
  <c r="B175" i="14"/>
  <c r="A175" i="14"/>
  <c r="C174" i="14"/>
  <c r="B174" i="14"/>
  <c r="A174" i="14"/>
  <c r="C173" i="14"/>
  <c r="B173" i="14"/>
  <c r="A173" i="14"/>
  <c r="C172" i="14"/>
  <c r="B172" i="14"/>
  <c r="A172" i="14"/>
  <c r="C171" i="14"/>
  <c r="B171" i="14"/>
  <c r="A171" i="14"/>
  <c r="C170" i="14"/>
  <c r="B170" i="14"/>
  <c r="A170" i="14"/>
  <c r="C169" i="14"/>
  <c r="B169" i="14"/>
  <c r="A169" i="14"/>
  <c r="C168" i="14"/>
  <c r="B168" i="14"/>
  <c r="A168" i="14"/>
  <c r="C167" i="14"/>
  <c r="B167" i="14"/>
  <c r="A167" i="14"/>
  <c r="C166" i="14"/>
  <c r="B166" i="14"/>
  <c r="A166" i="14"/>
  <c r="C165" i="14"/>
  <c r="B165" i="14"/>
  <c r="A165" i="14"/>
  <c r="C164" i="14"/>
  <c r="B164" i="14"/>
  <c r="A164" i="14"/>
  <c r="C163" i="14"/>
  <c r="B163" i="14"/>
  <c r="A163" i="14"/>
  <c r="C162" i="14"/>
  <c r="B162" i="14"/>
  <c r="A162" i="14"/>
  <c r="C161" i="14"/>
  <c r="B161" i="14"/>
  <c r="A161" i="14"/>
  <c r="C160" i="14"/>
  <c r="B160" i="14"/>
  <c r="A160" i="14"/>
  <c r="C159" i="14"/>
  <c r="B159" i="14"/>
  <c r="A159" i="14"/>
  <c r="C158" i="14"/>
  <c r="B158" i="14"/>
  <c r="A158" i="14"/>
  <c r="C157" i="14"/>
  <c r="B157" i="14"/>
  <c r="A157" i="14"/>
  <c r="C156" i="14"/>
  <c r="B156" i="14"/>
  <c r="A156" i="14"/>
  <c r="C155" i="14"/>
  <c r="B155" i="14"/>
  <c r="A155" i="14"/>
  <c r="C154" i="14"/>
  <c r="B154" i="14"/>
  <c r="A154" i="14"/>
  <c r="C153" i="14"/>
  <c r="B153" i="14"/>
  <c r="A153" i="14"/>
  <c r="C152" i="14"/>
  <c r="B152" i="14"/>
  <c r="A152" i="14"/>
  <c r="C151" i="14"/>
  <c r="B151" i="14"/>
  <c r="A151" i="14"/>
  <c r="C150" i="14"/>
  <c r="B150" i="14"/>
  <c r="A150" i="14"/>
  <c r="C149" i="14"/>
  <c r="B149" i="14"/>
  <c r="A149" i="14"/>
  <c r="C148" i="14"/>
  <c r="B148" i="14"/>
  <c r="A148" i="14"/>
  <c r="C147" i="14"/>
  <c r="B147" i="14"/>
  <c r="A147" i="14"/>
  <c r="C146" i="14"/>
  <c r="B146" i="14"/>
  <c r="A146" i="14"/>
  <c r="C145" i="14"/>
  <c r="B145" i="14"/>
  <c r="A145" i="14"/>
  <c r="C144" i="14"/>
  <c r="B144" i="14"/>
  <c r="A144" i="14"/>
  <c r="C143" i="14"/>
  <c r="B143" i="14"/>
  <c r="A143" i="14"/>
  <c r="C142" i="14"/>
  <c r="B142" i="14"/>
  <c r="A142" i="14"/>
  <c r="C141" i="14"/>
  <c r="B141" i="14"/>
  <c r="A141" i="14"/>
  <c r="C140" i="14"/>
  <c r="B140" i="14"/>
  <c r="A140" i="14"/>
  <c r="C139" i="14"/>
  <c r="B139" i="14"/>
  <c r="A139" i="14"/>
  <c r="C138" i="14"/>
  <c r="B138" i="14"/>
  <c r="A138" i="14"/>
  <c r="C137" i="14"/>
  <c r="B137" i="14"/>
  <c r="A137" i="14"/>
  <c r="C136" i="14"/>
  <c r="B136" i="14"/>
  <c r="A136" i="14"/>
  <c r="C135" i="14"/>
  <c r="B135" i="14"/>
  <c r="A135" i="14"/>
  <c r="C134" i="14"/>
  <c r="B134" i="14"/>
  <c r="A134" i="14"/>
  <c r="C133" i="14"/>
  <c r="B133" i="14"/>
  <c r="A133" i="14"/>
  <c r="C132" i="14"/>
  <c r="B132" i="14"/>
  <c r="A132" i="14"/>
  <c r="C131" i="14"/>
  <c r="B131" i="14"/>
  <c r="A131" i="14"/>
  <c r="C130" i="14"/>
  <c r="B130" i="14"/>
  <c r="A130" i="14"/>
  <c r="C129" i="14"/>
  <c r="B129" i="14"/>
  <c r="A129" i="14"/>
  <c r="C128" i="14"/>
  <c r="B128" i="14"/>
  <c r="A128" i="14"/>
  <c r="C127" i="14"/>
  <c r="B127" i="14"/>
  <c r="A127" i="14"/>
  <c r="C126" i="14"/>
  <c r="B126" i="14"/>
  <c r="A126" i="14"/>
  <c r="C125" i="14"/>
  <c r="B125" i="14"/>
  <c r="A125" i="14"/>
  <c r="C124" i="14"/>
  <c r="B124" i="14"/>
  <c r="A124" i="14"/>
  <c r="C123" i="14"/>
  <c r="B123" i="14"/>
  <c r="A123" i="14"/>
  <c r="C122" i="14"/>
  <c r="B122" i="14"/>
  <c r="A122" i="14"/>
  <c r="C121" i="14"/>
  <c r="B121" i="14"/>
  <c r="A121" i="14"/>
  <c r="C120" i="14"/>
  <c r="B120" i="14"/>
  <c r="A120" i="14"/>
  <c r="C119" i="14"/>
  <c r="B119" i="14"/>
  <c r="A119" i="14"/>
  <c r="C118" i="14"/>
  <c r="B118" i="14"/>
  <c r="A118" i="14"/>
  <c r="C117" i="14"/>
  <c r="B117" i="14"/>
  <c r="A117" i="14"/>
  <c r="C116" i="14"/>
  <c r="B116" i="14"/>
  <c r="A116" i="14"/>
  <c r="C115" i="14"/>
  <c r="B115" i="14"/>
  <c r="A115" i="14"/>
  <c r="C114" i="14"/>
  <c r="B114" i="14"/>
  <c r="A114" i="14"/>
  <c r="C113" i="14"/>
  <c r="B113" i="14"/>
  <c r="A113" i="14"/>
  <c r="C112" i="14"/>
  <c r="B112" i="14"/>
  <c r="A112" i="14"/>
  <c r="C111" i="14"/>
  <c r="B111" i="14"/>
  <c r="A111" i="14"/>
  <c r="C110" i="14"/>
  <c r="B110" i="14"/>
  <c r="A110" i="14"/>
  <c r="C109" i="14"/>
  <c r="B109" i="14"/>
  <c r="A109" i="14"/>
  <c r="C108" i="14"/>
  <c r="B108" i="14"/>
  <c r="A108" i="14"/>
  <c r="C107" i="14"/>
  <c r="B107" i="14"/>
  <c r="A107" i="14"/>
  <c r="C106" i="14"/>
  <c r="B106" i="14"/>
  <c r="A106" i="14"/>
  <c r="C105" i="14"/>
  <c r="B105" i="14"/>
  <c r="A105" i="14"/>
  <c r="C104" i="14"/>
  <c r="B104" i="14"/>
  <c r="A104" i="14"/>
  <c r="C103" i="14"/>
  <c r="B103" i="14"/>
  <c r="A103" i="14"/>
  <c r="C102" i="14"/>
  <c r="B102" i="14"/>
  <c r="A102" i="14"/>
  <c r="C101" i="14"/>
  <c r="B101" i="14"/>
  <c r="A101" i="14"/>
  <c r="C100" i="14"/>
  <c r="B100" i="14"/>
  <c r="A100" i="14"/>
  <c r="C99" i="14"/>
  <c r="B99" i="14"/>
  <c r="A99" i="14"/>
  <c r="C98" i="14"/>
  <c r="B98" i="14"/>
  <c r="A98" i="14"/>
  <c r="C97" i="14"/>
  <c r="B97" i="14"/>
  <c r="A97" i="14"/>
  <c r="C96" i="14"/>
  <c r="B96" i="14"/>
  <c r="A96" i="14"/>
  <c r="C95" i="14"/>
  <c r="B95" i="14"/>
  <c r="A95" i="14"/>
  <c r="C94" i="14"/>
  <c r="B94" i="14"/>
  <c r="A94" i="14"/>
  <c r="C93" i="14"/>
  <c r="B93" i="14"/>
  <c r="A93" i="14"/>
  <c r="C92" i="14"/>
  <c r="B92" i="14"/>
  <c r="A92" i="14"/>
  <c r="C91" i="14"/>
  <c r="B91" i="14"/>
  <c r="A91" i="14"/>
  <c r="C90" i="14"/>
  <c r="B90" i="14"/>
  <c r="A90" i="14"/>
  <c r="C89" i="14"/>
  <c r="B89" i="14"/>
  <c r="A89" i="14"/>
  <c r="C88" i="14"/>
  <c r="B88" i="14"/>
  <c r="A88" i="14"/>
  <c r="C87" i="14"/>
  <c r="B87" i="14"/>
  <c r="A87" i="14"/>
  <c r="C86" i="14"/>
  <c r="B86" i="14"/>
  <c r="A86" i="14"/>
  <c r="C85" i="14"/>
  <c r="B85" i="14"/>
  <c r="A85" i="14"/>
  <c r="C84" i="14"/>
  <c r="B84" i="14"/>
  <c r="A84" i="14"/>
  <c r="C83" i="14"/>
  <c r="B83" i="14"/>
  <c r="A83" i="14"/>
  <c r="C82" i="14"/>
  <c r="B82" i="14"/>
  <c r="A82" i="14"/>
  <c r="C81" i="14"/>
  <c r="B81" i="14"/>
  <c r="A81" i="14"/>
  <c r="C80" i="14"/>
  <c r="B80" i="14"/>
  <c r="A80" i="14"/>
  <c r="C79" i="14"/>
  <c r="B79" i="14"/>
  <c r="A79" i="14"/>
  <c r="C78" i="14"/>
  <c r="B78" i="14"/>
  <c r="A78" i="14"/>
  <c r="C77" i="14"/>
  <c r="B77" i="14"/>
  <c r="A77" i="14"/>
  <c r="C76" i="14"/>
  <c r="B76" i="14"/>
  <c r="A76" i="14"/>
  <c r="C75" i="14"/>
  <c r="B75" i="14"/>
  <c r="A75" i="14"/>
  <c r="C74" i="14"/>
  <c r="B74" i="14"/>
  <c r="A74" i="14"/>
  <c r="C73" i="14"/>
  <c r="B73" i="14"/>
  <c r="A73" i="14"/>
  <c r="C72" i="14"/>
  <c r="B72" i="14"/>
  <c r="A72" i="14"/>
  <c r="C71" i="14"/>
  <c r="B71" i="14"/>
  <c r="A71" i="14"/>
  <c r="C70" i="14"/>
  <c r="B70" i="14"/>
  <c r="A70" i="14"/>
  <c r="C69" i="14"/>
  <c r="B69" i="14"/>
  <c r="A69" i="14"/>
  <c r="C68" i="14"/>
  <c r="B68" i="14"/>
  <c r="A68" i="14"/>
  <c r="C67" i="14"/>
  <c r="B67" i="14"/>
  <c r="A67" i="14"/>
  <c r="C66" i="14"/>
  <c r="B66" i="14"/>
  <c r="A66" i="14"/>
  <c r="C65" i="14"/>
  <c r="B65" i="14"/>
  <c r="A65" i="14"/>
  <c r="C64" i="14"/>
  <c r="B64" i="14"/>
  <c r="A64" i="14"/>
  <c r="C63" i="14"/>
  <c r="B63" i="14"/>
  <c r="A63" i="14"/>
  <c r="C62" i="14"/>
  <c r="B62" i="14"/>
  <c r="A62" i="14"/>
  <c r="C61" i="14"/>
  <c r="B61" i="14"/>
  <c r="A61" i="14"/>
  <c r="C60" i="14"/>
  <c r="B60" i="14"/>
  <c r="A60" i="14"/>
  <c r="C59" i="14"/>
  <c r="B59" i="14"/>
  <c r="A59" i="14"/>
  <c r="C58" i="14"/>
  <c r="B58" i="14"/>
  <c r="A58" i="14"/>
  <c r="C57" i="14"/>
  <c r="B57" i="14"/>
  <c r="A57" i="14"/>
  <c r="C56" i="14"/>
  <c r="B56" i="14"/>
  <c r="A56" i="14"/>
  <c r="C55" i="14"/>
  <c r="B55" i="14"/>
  <c r="A55" i="14"/>
  <c r="C54" i="14"/>
  <c r="B54" i="14"/>
  <c r="A54" i="14"/>
  <c r="C53" i="14"/>
  <c r="B53" i="14"/>
  <c r="A53" i="14"/>
  <c r="C52" i="14"/>
  <c r="B52" i="14"/>
  <c r="A52" i="14"/>
  <c r="C51" i="14"/>
  <c r="B51" i="14"/>
  <c r="A51" i="14"/>
  <c r="C50" i="14"/>
  <c r="B50" i="14"/>
  <c r="A50" i="14"/>
  <c r="C49" i="14"/>
  <c r="B49" i="14"/>
  <c r="A49" i="14"/>
  <c r="C48" i="14"/>
  <c r="B48" i="14"/>
  <c r="A48" i="14"/>
  <c r="C47" i="14"/>
  <c r="B47" i="14"/>
  <c r="A47" i="14"/>
  <c r="C46" i="14"/>
  <c r="B46" i="14"/>
  <c r="A46" i="14"/>
  <c r="C45" i="14"/>
  <c r="B45" i="14"/>
  <c r="A45" i="14"/>
  <c r="C44" i="14"/>
  <c r="B44" i="14"/>
  <c r="A44" i="14"/>
  <c r="C43" i="14"/>
  <c r="B43" i="14"/>
  <c r="A43" i="14"/>
  <c r="C42" i="14"/>
  <c r="B42" i="14"/>
  <c r="A42" i="14"/>
  <c r="C41" i="14"/>
  <c r="B41" i="14"/>
  <c r="A41" i="14"/>
  <c r="C40" i="14"/>
  <c r="B40" i="14"/>
  <c r="A40" i="14"/>
  <c r="C39" i="14"/>
  <c r="B39" i="14"/>
  <c r="A39" i="14"/>
  <c r="C38" i="14"/>
  <c r="B38" i="14"/>
  <c r="A38" i="14"/>
  <c r="C37" i="14"/>
  <c r="B37" i="14"/>
  <c r="A37" i="14"/>
  <c r="C36" i="14"/>
  <c r="B36" i="14"/>
  <c r="A36" i="14"/>
  <c r="C35" i="14"/>
  <c r="B35" i="14"/>
  <c r="A35" i="14"/>
  <c r="C34" i="14"/>
  <c r="B34" i="14"/>
  <c r="A34" i="14"/>
  <c r="C33" i="14"/>
  <c r="B33" i="14"/>
  <c r="A33" i="14"/>
  <c r="C32" i="14"/>
  <c r="B32" i="14"/>
  <c r="A32" i="14"/>
  <c r="C31" i="14"/>
  <c r="B31" i="14"/>
  <c r="A31" i="14"/>
  <c r="C30" i="14"/>
  <c r="B30" i="14"/>
  <c r="A30" i="14"/>
  <c r="C29" i="14"/>
  <c r="B29" i="14"/>
  <c r="A29" i="14"/>
  <c r="C28" i="14"/>
  <c r="B28" i="14"/>
  <c r="A28" i="14"/>
  <c r="C27" i="14"/>
  <c r="B27" i="14"/>
  <c r="A27" i="14"/>
  <c r="C26" i="14"/>
  <c r="B26" i="14"/>
  <c r="A26" i="14"/>
  <c r="C25" i="14"/>
  <c r="B25" i="14"/>
  <c r="A25" i="14"/>
  <c r="C24" i="14"/>
  <c r="B24" i="14"/>
  <c r="A24" i="14"/>
  <c r="C23" i="14"/>
  <c r="B23" i="14"/>
  <c r="A23" i="14"/>
  <c r="C22" i="14"/>
  <c r="B22" i="14"/>
  <c r="A22" i="14"/>
  <c r="C21" i="14"/>
  <c r="B21" i="14"/>
  <c r="A21" i="14"/>
  <c r="C20" i="14"/>
  <c r="B20" i="14"/>
  <c r="A20" i="14"/>
  <c r="C19" i="14"/>
  <c r="B19" i="14"/>
  <c r="A19" i="14"/>
  <c r="C18" i="14"/>
  <c r="B18" i="14"/>
  <c r="A18" i="14"/>
  <c r="C17" i="14"/>
  <c r="B17" i="14"/>
  <c r="A17" i="14"/>
  <c r="C16" i="14"/>
  <c r="B16" i="14"/>
  <c r="A16" i="14"/>
  <c r="C15" i="14"/>
  <c r="B15" i="14"/>
  <c r="A15" i="14"/>
  <c r="C14" i="14"/>
  <c r="B14" i="14"/>
  <c r="A14" i="14"/>
  <c r="C13" i="14"/>
  <c r="B13" i="14"/>
  <c r="A13" i="14"/>
  <c r="C12" i="14"/>
  <c r="B12" i="14"/>
  <c r="A12" i="14"/>
  <c r="C11" i="14"/>
  <c r="B11" i="14"/>
  <c r="A11" i="14"/>
  <c r="C10" i="14"/>
  <c r="B10" i="14"/>
  <c r="A10" i="14"/>
  <c r="C9" i="14"/>
  <c r="B9" i="14"/>
  <c r="A9" i="14"/>
  <c r="C8" i="14"/>
  <c r="B8" i="14"/>
  <c r="A8" i="14"/>
  <c r="C7" i="14"/>
  <c r="B7" i="14"/>
  <c r="A7" i="14"/>
  <c r="C6" i="14"/>
  <c r="B6" i="14"/>
  <c r="A6" i="14"/>
  <c r="C5" i="14"/>
  <c r="B5" i="14"/>
  <c r="A5" i="14"/>
  <c r="C4" i="14"/>
  <c r="B4" i="14"/>
  <c r="A4" i="14"/>
  <c r="C3" i="14"/>
  <c r="B3" i="14"/>
  <c r="A3" i="14"/>
  <c r="C2" i="14"/>
  <c r="B2" i="14"/>
  <c r="A2" i="14"/>
  <c r="A2" i="15" l="1"/>
  <c r="B2" i="13" l="1"/>
  <c r="B3" i="13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B36" i="13"/>
  <c r="B37" i="13"/>
  <c r="B38" i="13"/>
  <c r="B39" i="13"/>
  <c r="B40" i="13"/>
  <c r="B41" i="13"/>
  <c r="B42" i="13"/>
  <c r="B43" i="13"/>
  <c r="B44" i="13"/>
  <c r="B45" i="13"/>
  <c r="B46" i="13"/>
  <c r="B47" i="13"/>
  <c r="B48" i="13"/>
  <c r="B49" i="13"/>
  <c r="B50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B64" i="13"/>
  <c r="B65" i="13"/>
  <c r="B66" i="13"/>
  <c r="B67" i="13"/>
  <c r="B68" i="13"/>
  <c r="B69" i="13"/>
  <c r="B70" i="13"/>
  <c r="B71" i="13"/>
  <c r="B72" i="13"/>
  <c r="B73" i="13"/>
  <c r="B74" i="13"/>
  <c r="B75" i="13"/>
  <c r="B76" i="13"/>
  <c r="B77" i="13"/>
  <c r="B78" i="13"/>
  <c r="B79" i="13"/>
  <c r="B80" i="13"/>
  <c r="B81" i="13"/>
  <c r="B82" i="13"/>
  <c r="B83" i="13"/>
  <c r="B84" i="13"/>
  <c r="B85" i="13"/>
  <c r="B86" i="13"/>
  <c r="B87" i="13"/>
  <c r="B88" i="13"/>
  <c r="B89" i="13"/>
  <c r="B90" i="13"/>
  <c r="B91" i="13"/>
  <c r="B92" i="13"/>
  <c r="B93" i="13"/>
  <c r="B94" i="13"/>
  <c r="B95" i="13"/>
  <c r="B96" i="13"/>
  <c r="B97" i="13"/>
  <c r="B98" i="13"/>
  <c r="B99" i="13"/>
  <c r="B100" i="13"/>
  <c r="B101" i="13"/>
  <c r="B102" i="13"/>
  <c r="B103" i="13"/>
  <c r="B104" i="13"/>
  <c r="B105" i="13"/>
  <c r="B106" i="13"/>
  <c r="B107" i="13"/>
  <c r="B108" i="13"/>
  <c r="B109" i="13"/>
  <c r="B110" i="13"/>
  <c r="B111" i="13"/>
  <c r="B112" i="13"/>
  <c r="B113" i="13"/>
  <c r="B114" i="13"/>
  <c r="B115" i="13"/>
  <c r="B116" i="13"/>
  <c r="B117" i="13"/>
  <c r="B118" i="13"/>
  <c r="B119" i="13"/>
  <c r="B120" i="13"/>
  <c r="B121" i="13"/>
  <c r="B122" i="13"/>
  <c r="B123" i="13"/>
  <c r="B124" i="13"/>
  <c r="B125" i="13"/>
  <c r="B126" i="13"/>
  <c r="B127" i="13"/>
  <c r="B128" i="13"/>
  <c r="B129" i="13"/>
  <c r="B130" i="13"/>
  <c r="B131" i="13"/>
  <c r="B132" i="13"/>
  <c r="B133" i="13"/>
  <c r="B134" i="13"/>
  <c r="B135" i="13"/>
  <c r="B136" i="13"/>
  <c r="B137" i="13"/>
  <c r="B138" i="13"/>
  <c r="B139" i="13"/>
  <c r="B140" i="13"/>
  <c r="B141" i="13"/>
  <c r="B142" i="13"/>
  <c r="B143" i="13"/>
  <c r="B144" i="13"/>
  <c r="B145" i="13"/>
  <c r="B146" i="13"/>
  <c r="B147" i="13"/>
  <c r="B148" i="13"/>
  <c r="B149" i="13"/>
  <c r="B150" i="13"/>
  <c r="B151" i="13"/>
  <c r="B152" i="13"/>
  <c r="B153" i="13"/>
  <c r="B154" i="13"/>
  <c r="B155" i="13"/>
  <c r="B156" i="13"/>
  <c r="B157" i="13"/>
  <c r="B158" i="13"/>
  <c r="B159" i="13"/>
  <c r="B160" i="13"/>
  <c r="B161" i="13"/>
  <c r="B162" i="13"/>
  <c r="B163" i="13"/>
  <c r="B164" i="13"/>
  <c r="B165" i="13"/>
  <c r="B166" i="13"/>
  <c r="B167" i="13"/>
  <c r="B168" i="13"/>
  <c r="B169" i="13"/>
  <c r="B170" i="13"/>
  <c r="B171" i="13"/>
  <c r="B172" i="13"/>
  <c r="B173" i="13"/>
  <c r="B174" i="13"/>
  <c r="B175" i="13"/>
  <c r="B176" i="13"/>
  <c r="B177" i="13"/>
  <c r="B178" i="13"/>
  <c r="B179" i="13"/>
  <c r="B180" i="13"/>
  <c r="B181" i="13"/>
  <c r="B182" i="13"/>
  <c r="B183" i="13"/>
  <c r="B184" i="13"/>
  <c r="B185" i="13"/>
  <c r="B186" i="13"/>
  <c r="B187" i="13"/>
  <c r="B188" i="13"/>
  <c r="B189" i="13"/>
  <c r="B190" i="13"/>
  <c r="B191" i="13"/>
  <c r="B192" i="13"/>
  <c r="B193" i="13"/>
  <c r="B194" i="13"/>
  <c r="B195" i="13"/>
  <c r="B196" i="13"/>
  <c r="B197" i="13"/>
  <c r="B198" i="13"/>
  <c r="B199" i="13"/>
  <c r="B200" i="13"/>
  <c r="B201" i="13"/>
  <c r="B202" i="13"/>
  <c r="B203" i="13"/>
  <c r="B204" i="13"/>
  <c r="B205" i="13"/>
  <c r="B206" i="13"/>
  <c r="B207" i="13"/>
  <c r="B208" i="13"/>
  <c r="B209" i="13"/>
  <c r="B210" i="13"/>
  <c r="B211" i="13"/>
  <c r="B212" i="13"/>
  <c r="B213" i="13"/>
  <c r="B214" i="13"/>
  <c r="B215" i="13"/>
  <c r="B216" i="13"/>
  <c r="B217" i="13"/>
  <c r="B218" i="13"/>
  <c r="B219" i="13"/>
  <c r="B220" i="13"/>
  <c r="B221" i="13"/>
  <c r="B222" i="13"/>
  <c r="B223" i="13"/>
  <c r="B224" i="13"/>
  <c r="B225" i="13"/>
  <c r="B226" i="13"/>
  <c r="B227" i="13"/>
  <c r="B228" i="13"/>
  <c r="B229" i="13"/>
  <c r="B230" i="13"/>
  <c r="B231" i="13"/>
  <c r="B232" i="13"/>
  <c r="B233" i="13"/>
  <c r="B234" i="13"/>
  <c r="B235" i="13"/>
  <c r="B236" i="13"/>
  <c r="B237" i="13"/>
  <c r="B238" i="13"/>
  <c r="B239" i="13"/>
  <c r="B240" i="13"/>
  <c r="B241" i="13"/>
  <c r="B242" i="13"/>
  <c r="B243" i="13"/>
  <c r="B244" i="13"/>
  <c r="B245" i="13"/>
  <c r="B246" i="13"/>
  <c r="B247" i="13"/>
  <c r="B248" i="13"/>
  <c r="B249" i="13"/>
  <c r="B250" i="13"/>
  <c r="B251" i="13"/>
  <c r="B252" i="13"/>
  <c r="B253" i="13"/>
  <c r="B254" i="13"/>
  <c r="B255" i="13"/>
  <c r="B256" i="13"/>
  <c r="B257" i="13"/>
  <c r="B258" i="13"/>
  <c r="B259" i="13"/>
  <c r="B260" i="13"/>
  <c r="B261" i="13"/>
  <c r="B262" i="13"/>
  <c r="B263" i="13"/>
  <c r="B264" i="13"/>
  <c r="B265" i="13"/>
  <c r="B266" i="13"/>
  <c r="B267" i="13"/>
  <c r="B268" i="13"/>
  <c r="B269" i="13"/>
  <c r="B270" i="13"/>
  <c r="B271" i="13"/>
  <c r="B272" i="13"/>
  <c r="B273" i="13"/>
  <c r="B274" i="13"/>
  <c r="B275" i="13"/>
  <c r="B276" i="13"/>
  <c r="B277" i="13"/>
  <c r="B278" i="13"/>
  <c r="B279" i="13"/>
  <c r="B280" i="13"/>
  <c r="B281" i="13"/>
  <c r="B282" i="13"/>
  <c r="B283" i="13"/>
  <c r="B284" i="13"/>
  <c r="B285" i="13"/>
  <c r="B286" i="13"/>
  <c r="B287" i="13"/>
  <c r="B288" i="13"/>
  <c r="B289" i="13"/>
  <c r="B290" i="13"/>
  <c r="B291" i="13"/>
  <c r="B292" i="13"/>
  <c r="B293" i="13"/>
  <c r="B294" i="13"/>
  <c r="B295" i="13"/>
  <c r="B296" i="13"/>
  <c r="B297" i="13"/>
  <c r="B298" i="13"/>
  <c r="B299" i="13"/>
  <c r="B300" i="13"/>
  <c r="B301" i="13"/>
  <c r="B302" i="13"/>
  <c r="B303" i="13"/>
  <c r="B304" i="13"/>
  <c r="B305" i="13"/>
  <c r="B306" i="13"/>
  <c r="B307" i="13"/>
  <c r="B308" i="13"/>
  <c r="B309" i="13"/>
  <c r="B310" i="13"/>
  <c r="B311" i="13"/>
  <c r="B312" i="13"/>
  <c r="B313" i="13"/>
  <c r="B314" i="13"/>
  <c r="B315" i="13"/>
  <c r="B316" i="13"/>
  <c r="B317" i="13"/>
  <c r="B318" i="13"/>
  <c r="B319" i="13"/>
  <c r="B320" i="13"/>
  <c r="B321" i="13"/>
  <c r="B322" i="13"/>
  <c r="B323" i="13"/>
  <c r="B324" i="13"/>
  <c r="B325" i="13"/>
  <c r="B326" i="13"/>
  <c r="B327" i="13"/>
  <c r="B328" i="13"/>
  <c r="B329" i="13"/>
  <c r="B330" i="13"/>
  <c r="B331" i="13"/>
  <c r="B332" i="13"/>
  <c r="B333" i="13"/>
  <c r="B334" i="13"/>
  <c r="B335" i="13"/>
  <c r="B336" i="13"/>
  <c r="B337" i="13"/>
  <c r="B338" i="13"/>
  <c r="B339" i="13"/>
  <c r="B340" i="13"/>
  <c r="B341" i="13"/>
  <c r="B342" i="13"/>
  <c r="B343" i="13"/>
  <c r="B344" i="13"/>
  <c r="B345" i="13"/>
  <c r="B346" i="13"/>
  <c r="B347" i="13"/>
  <c r="B348" i="13"/>
  <c r="B349" i="13"/>
  <c r="B350" i="13"/>
  <c r="B351" i="13"/>
  <c r="B352" i="13"/>
  <c r="B353" i="13"/>
  <c r="B354" i="13"/>
  <c r="B355" i="13"/>
  <c r="B356" i="13"/>
  <c r="B357" i="13"/>
  <c r="B358" i="13"/>
  <c r="B359" i="13"/>
  <c r="B360" i="13"/>
  <c r="B361" i="13"/>
  <c r="B362" i="13"/>
  <c r="B363" i="13"/>
  <c r="B364" i="13"/>
  <c r="B365" i="13"/>
  <c r="B366" i="13"/>
  <c r="B367" i="13"/>
  <c r="B368" i="13"/>
  <c r="B369" i="13"/>
  <c r="B370" i="13"/>
  <c r="B371" i="13"/>
  <c r="B372" i="13"/>
  <c r="B373" i="13"/>
  <c r="B374" i="13"/>
  <c r="B375" i="13"/>
  <c r="B376" i="13"/>
  <c r="B377" i="13"/>
  <c r="B378" i="13"/>
  <c r="B379" i="13"/>
  <c r="B380" i="13"/>
  <c r="B381" i="13"/>
  <c r="B382" i="13"/>
  <c r="B383" i="13"/>
  <c r="B384" i="13"/>
  <c r="B385" i="13"/>
  <c r="B386" i="13"/>
  <c r="B387" i="13"/>
  <c r="B388" i="13"/>
  <c r="B389" i="13"/>
  <c r="B390" i="13"/>
  <c r="B391" i="13"/>
  <c r="B392" i="13"/>
  <c r="B393" i="13"/>
  <c r="B394" i="13"/>
  <c r="B395" i="13"/>
  <c r="B396" i="13"/>
  <c r="B397" i="13"/>
  <c r="B398" i="13"/>
  <c r="B399" i="13"/>
  <c r="B400" i="13"/>
  <c r="B401" i="13"/>
  <c r="B402" i="13"/>
  <c r="B403" i="13"/>
  <c r="B404" i="13"/>
  <c r="B405" i="13"/>
  <c r="B406" i="13"/>
  <c r="B407" i="13"/>
  <c r="B408" i="13"/>
  <c r="B409" i="13"/>
  <c r="B410" i="13"/>
  <c r="B411" i="13"/>
  <c r="B412" i="13"/>
  <c r="B413" i="13"/>
  <c r="B414" i="13"/>
  <c r="B415" i="13"/>
  <c r="B416" i="13"/>
  <c r="B417" i="13"/>
  <c r="B418" i="13"/>
  <c r="B419" i="13"/>
  <c r="B420" i="13"/>
  <c r="B421" i="13"/>
  <c r="B422" i="13"/>
  <c r="B423" i="13"/>
  <c r="B424" i="13"/>
  <c r="B425" i="13"/>
  <c r="B426" i="13"/>
  <c r="B427" i="13"/>
  <c r="B428" i="13"/>
  <c r="B429" i="13"/>
  <c r="B430" i="13"/>
  <c r="B431" i="13"/>
  <c r="B432" i="13"/>
  <c r="B433" i="13"/>
  <c r="B434" i="13"/>
  <c r="B435" i="13"/>
  <c r="B436" i="13"/>
  <c r="B437" i="13"/>
  <c r="B438" i="13"/>
  <c r="B439" i="13"/>
  <c r="B440" i="13"/>
  <c r="B441" i="13"/>
  <c r="B442" i="13"/>
  <c r="B443" i="13"/>
  <c r="B444" i="13"/>
  <c r="B445" i="13"/>
  <c r="B446" i="13"/>
  <c r="B447" i="13"/>
  <c r="B448" i="13"/>
  <c r="B449" i="13"/>
  <c r="B450" i="13"/>
  <c r="B451" i="13"/>
  <c r="B452" i="13"/>
  <c r="B453" i="13"/>
  <c r="B454" i="13"/>
  <c r="B455" i="13"/>
  <c r="B456" i="13"/>
  <c r="B457" i="13"/>
  <c r="B458" i="13"/>
  <c r="B459" i="13"/>
  <c r="B460" i="13"/>
  <c r="B461" i="13"/>
  <c r="B462" i="13"/>
  <c r="B463" i="13"/>
  <c r="B464" i="13"/>
  <c r="B465" i="13"/>
  <c r="B466" i="13"/>
  <c r="B467" i="13"/>
  <c r="B468" i="13"/>
  <c r="B469" i="13"/>
  <c r="B470" i="13"/>
  <c r="B471" i="13"/>
  <c r="B472" i="13"/>
  <c r="B473" i="13"/>
  <c r="B474" i="13"/>
  <c r="B475" i="13"/>
  <c r="B476" i="13"/>
  <c r="B477" i="13"/>
  <c r="B478" i="13"/>
  <c r="B479" i="13"/>
  <c r="B480" i="13"/>
  <c r="B481" i="13"/>
  <c r="B482" i="13"/>
  <c r="B483" i="13"/>
  <c r="B484" i="13"/>
  <c r="B485" i="13"/>
  <c r="B486" i="13"/>
  <c r="B487" i="13"/>
  <c r="B488" i="13"/>
  <c r="B489" i="13"/>
  <c r="B490" i="13"/>
  <c r="B491" i="13"/>
  <c r="B492" i="13"/>
  <c r="B493" i="13"/>
  <c r="B494" i="13"/>
  <c r="B495" i="13"/>
  <c r="B496" i="13"/>
  <c r="B497" i="13"/>
  <c r="B498" i="13"/>
  <c r="B499" i="13"/>
  <c r="B500" i="13"/>
  <c r="B501" i="13"/>
  <c r="B502" i="13"/>
  <c r="B503" i="13"/>
  <c r="B504" i="13"/>
  <c r="B505" i="13"/>
  <c r="B506" i="13"/>
  <c r="B507" i="13"/>
  <c r="B508" i="13"/>
  <c r="B509" i="13"/>
  <c r="B510" i="13"/>
  <c r="B511" i="13"/>
  <c r="B512" i="13"/>
  <c r="B513" i="13"/>
  <c r="B514" i="13"/>
  <c r="B515" i="13"/>
  <c r="B516" i="13"/>
  <c r="B517" i="13"/>
  <c r="B518" i="13"/>
  <c r="B519" i="13"/>
  <c r="B520" i="13"/>
  <c r="B521" i="13"/>
  <c r="B522" i="13"/>
  <c r="B523" i="13"/>
  <c r="B524" i="13"/>
  <c r="B525" i="13"/>
  <c r="B526" i="13"/>
  <c r="B527" i="13"/>
  <c r="B528" i="13"/>
  <c r="B529" i="13"/>
  <c r="B530" i="13"/>
  <c r="B531" i="13"/>
  <c r="B532" i="13"/>
  <c r="B533" i="13"/>
  <c r="B534" i="13"/>
  <c r="B535" i="13"/>
  <c r="B536" i="13"/>
  <c r="B537" i="13"/>
  <c r="B538" i="13"/>
  <c r="B539" i="13"/>
  <c r="B540" i="13"/>
  <c r="B541" i="13"/>
  <c r="B542" i="13"/>
  <c r="B543" i="13"/>
  <c r="B544" i="13"/>
  <c r="B545" i="13"/>
  <c r="B546" i="13"/>
  <c r="B547" i="13"/>
  <c r="B548" i="13"/>
  <c r="B549" i="13"/>
  <c r="B550" i="13"/>
  <c r="B551" i="13"/>
  <c r="B552" i="13"/>
  <c r="B553" i="13"/>
  <c r="B554" i="13"/>
  <c r="B555" i="13"/>
  <c r="B556" i="13"/>
  <c r="B557" i="13"/>
  <c r="B558" i="13"/>
  <c r="B559" i="13"/>
  <c r="B560" i="13"/>
  <c r="B561" i="13"/>
  <c r="B562" i="13"/>
  <c r="B563" i="13"/>
  <c r="B564" i="13"/>
  <c r="B565" i="13"/>
  <c r="B566" i="13"/>
  <c r="B567" i="13"/>
  <c r="B568" i="13"/>
  <c r="B569" i="13"/>
  <c r="B570" i="13"/>
  <c r="B571" i="13"/>
  <c r="B572" i="13"/>
  <c r="B573" i="13"/>
  <c r="B574" i="13"/>
  <c r="B575" i="13"/>
  <c r="B576" i="13"/>
  <c r="B577" i="13"/>
  <c r="B578" i="13"/>
  <c r="B579" i="13"/>
  <c r="B580" i="13"/>
  <c r="B581" i="13"/>
  <c r="B582" i="13"/>
  <c r="B583" i="13"/>
  <c r="B584" i="13"/>
  <c r="B585" i="13"/>
  <c r="B586" i="13"/>
  <c r="B587" i="13"/>
  <c r="B588" i="13"/>
  <c r="B589" i="13"/>
  <c r="B590" i="13"/>
  <c r="B591" i="13"/>
  <c r="B592" i="13"/>
  <c r="B593" i="13"/>
  <c r="B594" i="13"/>
  <c r="B595" i="13"/>
  <c r="B596" i="13"/>
  <c r="B597" i="13"/>
  <c r="B598" i="13"/>
  <c r="B599" i="13"/>
  <c r="B600" i="13"/>
  <c r="B601" i="13"/>
  <c r="B602" i="13"/>
  <c r="B603" i="13"/>
  <c r="B604" i="13"/>
  <c r="B605" i="13"/>
  <c r="B606" i="13"/>
  <c r="B607" i="13"/>
  <c r="B608" i="13"/>
  <c r="B609" i="13"/>
  <c r="B610" i="13"/>
  <c r="B611" i="13"/>
  <c r="B612" i="13"/>
  <c r="B613" i="13"/>
  <c r="B614" i="13"/>
  <c r="B615" i="13"/>
  <c r="B616" i="13"/>
  <c r="B617" i="13"/>
  <c r="B618" i="13"/>
  <c r="B619" i="13"/>
  <c r="B620" i="13"/>
  <c r="B621" i="13"/>
  <c r="B622" i="13"/>
  <c r="B623" i="13"/>
  <c r="B624" i="13"/>
  <c r="B625" i="13"/>
  <c r="B626" i="13"/>
  <c r="B627" i="13"/>
  <c r="B628" i="13"/>
  <c r="B629" i="13"/>
  <c r="B630" i="13"/>
  <c r="B631" i="13"/>
  <c r="B632" i="13"/>
  <c r="B633" i="13"/>
  <c r="B634" i="13"/>
  <c r="B635" i="13"/>
  <c r="B636" i="13"/>
  <c r="B637" i="13"/>
  <c r="B638" i="13"/>
  <c r="B639" i="13"/>
  <c r="B640" i="13"/>
  <c r="B641" i="13"/>
  <c r="B642" i="13"/>
  <c r="B643" i="13"/>
  <c r="B644" i="13"/>
  <c r="B645" i="13"/>
  <c r="B646" i="13"/>
  <c r="B647" i="13"/>
  <c r="B648" i="13"/>
  <c r="B649" i="13"/>
  <c r="B650" i="13"/>
  <c r="B651" i="13"/>
  <c r="B652" i="13"/>
  <c r="B653" i="13"/>
  <c r="B654" i="13"/>
  <c r="B655" i="13"/>
  <c r="B656" i="13"/>
  <c r="B657" i="13"/>
  <c r="B658" i="13"/>
  <c r="B659" i="13"/>
  <c r="B660" i="13"/>
  <c r="B661" i="13"/>
  <c r="B662" i="13"/>
  <c r="B663" i="13"/>
  <c r="B664" i="13"/>
  <c r="B665" i="13"/>
  <c r="B666" i="13"/>
  <c r="B667" i="13"/>
  <c r="B668" i="13"/>
  <c r="B669" i="13"/>
  <c r="B670" i="13"/>
  <c r="B671" i="13"/>
  <c r="B672" i="13"/>
  <c r="B673" i="13"/>
  <c r="B674" i="13"/>
  <c r="B675" i="13"/>
  <c r="B676" i="13"/>
  <c r="B677" i="13"/>
  <c r="B678" i="13"/>
  <c r="B679" i="13"/>
  <c r="B680" i="13"/>
  <c r="B681" i="13"/>
  <c r="B682" i="13"/>
  <c r="B683" i="13"/>
  <c r="B684" i="13"/>
  <c r="B685" i="13"/>
  <c r="B686" i="13"/>
  <c r="B687" i="13"/>
  <c r="B688" i="13"/>
  <c r="B689" i="13"/>
  <c r="B690" i="13"/>
  <c r="B691" i="13"/>
  <c r="B692" i="13"/>
  <c r="B693" i="13"/>
  <c r="B694" i="13"/>
  <c r="B695" i="13"/>
  <c r="B696" i="13"/>
  <c r="B697" i="13"/>
  <c r="B698" i="13"/>
  <c r="B699" i="13"/>
  <c r="B700" i="13"/>
  <c r="B701" i="13"/>
  <c r="B702" i="13"/>
  <c r="B703" i="13"/>
  <c r="B704" i="13"/>
  <c r="B705" i="13"/>
  <c r="B706" i="13"/>
  <c r="B707" i="13"/>
  <c r="B708" i="13"/>
  <c r="B709" i="13"/>
  <c r="B710" i="13"/>
  <c r="B711" i="13"/>
  <c r="B712" i="13"/>
  <c r="B713" i="13"/>
  <c r="B714" i="13"/>
  <c r="B715" i="13"/>
  <c r="B716" i="13"/>
  <c r="B717" i="13"/>
  <c r="B718" i="13"/>
  <c r="B719" i="13"/>
  <c r="B720" i="13"/>
  <c r="B721" i="13"/>
  <c r="B722" i="13"/>
  <c r="B723" i="13"/>
  <c r="B724" i="13"/>
  <c r="B725" i="13"/>
  <c r="B726" i="13"/>
  <c r="B727" i="13"/>
  <c r="B728" i="13"/>
  <c r="B729" i="13"/>
  <c r="B730" i="13"/>
  <c r="B731" i="13"/>
  <c r="B732" i="13"/>
  <c r="B733" i="13"/>
  <c r="B734" i="13"/>
  <c r="B735" i="13"/>
  <c r="B736" i="13"/>
  <c r="B737" i="13"/>
  <c r="B738" i="13"/>
  <c r="B739" i="13"/>
  <c r="B740" i="13"/>
  <c r="B741" i="13"/>
  <c r="B742" i="13"/>
  <c r="B743" i="13"/>
  <c r="B744" i="13"/>
  <c r="B745" i="13"/>
  <c r="B746" i="13"/>
  <c r="B747" i="13"/>
  <c r="B748" i="13"/>
  <c r="B749" i="13"/>
  <c r="B750" i="13"/>
  <c r="B751" i="13"/>
  <c r="B752" i="13"/>
  <c r="B753" i="13"/>
  <c r="B754" i="13"/>
  <c r="B755" i="13"/>
  <c r="B756" i="13"/>
  <c r="B757" i="13"/>
  <c r="B758" i="13"/>
  <c r="B759" i="13"/>
  <c r="B760" i="13"/>
  <c r="B761" i="13"/>
  <c r="B762" i="13"/>
  <c r="B763" i="13"/>
  <c r="B764" i="13"/>
  <c r="B765" i="13"/>
  <c r="B766" i="13"/>
  <c r="B767" i="13"/>
  <c r="B768" i="13"/>
  <c r="B769" i="13"/>
  <c r="B770" i="13"/>
  <c r="B771" i="13"/>
  <c r="B772" i="13"/>
  <c r="B773" i="13"/>
  <c r="B774" i="13"/>
  <c r="B775" i="13"/>
  <c r="B776" i="13"/>
  <c r="B777" i="13"/>
  <c r="B778" i="13"/>
  <c r="B779" i="13"/>
  <c r="B780" i="13"/>
  <c r="B781" i="13"/>
  <c r="B782" i="13"/>
  <c r="B783" i="13"/>
  <c r="B784" i="13"/>
  <c r="B785" i="13"/>
  <c r="B786" i="13"/>
  <c r="B787" i="13"/>
  <c r="B788" i="13"/>
  <c r="B789" i="13"/>
  <c r="B790" i="13"/>
  <c r="B791" i="13"/>
  <c r="B792" i="13"/>
  <c r="B793" i="13"/>
  <c r="B794" i="13"/>
  <c r="B795" i="13"/>
  <c r="B796" i="13"/>
  <c r="B797" i="13"/>
  <c r="B798" i="13"/>
  <c r="B799" i="13"/>
  <c r="B800" i="13"/>
  <c r="B801" i="13"/>
  <c r="B802" i="13"/>
  <c r="B803" i="13"/>
  <c r="B804" i="13"/>
  <c r="B805" i="13"/>
  <c r="B806" i="13"/>
  <c r="B807" i="13"/>
  <c r="B808" i="13"/>
  <c r="B809" i="13"/>
  <c r="B810" i="13"/>
  <c r="B811" i="13"/>
  <c r="B812" i="13"/>
  <c r="B813" i="13"/>
  <c r="B814" i="13"/>
  <c r="B815" i="13"/>
  <c r="B816" i="13"/>
  <c r="B817" i="13"/>
  <c r="B818" i="13"/>
  <c r="B819" i="13"/>
  <c r="B820" i="13"/>
  <c r="B821" i="13"/>
  <c r="B822" i="13"/>
  <c r="B823" i="13"/>
  <c r="B824" i="13"/>
  <c r="B825" i="13"/>
  <c r="B826" i="13"/>
  <c r="B827" i="13"/>
  <c r="B828" i="13"/>
  <c r="B829" i="13"/>
  <c r="B830" i="13"/>
  <c r="B831" i="13"/>
  <c r="B832" i="13"/>
  <c r="B833" i="13"/>
  <c r="B834" i="13"/>
  <c r="B835" i="13"/>
  <c r="B836" i="13"/>
  <c r="B837" i="13"/>
  <c r="B838" i="13"/>
  <c r="B839" i="13"/>
  <c r="B840" i="13"/>
  <c r="B841" i="13"/>
  <c r="B842" i="13"/>
  <c r="B843" i="13"/>
  <c r="B844" i="13"/>
  <c r="B845" i="13"/>
  <c r="B846" i="13"/>
  <c r="B847" i="13"/>
  <c r="B848" i="13"/>
  <c r="B849" i="13"/>
  <c r="B850" i="13"/>
  <c r="B851" i="13"/>
  <c r="B852" i="13"/>
  <c r="B853" i="13"/>
  <c r="B854" i="13"/>
  <c r="B855" i="13"/>
  <c r="B856" i="13"/>
  <c r="B857" i="13"/>
  <c r="B858" i="13"/>
  <c r="B859" i="13"/>
  <c r="B860" i="13"/>
  <c r="B861" i="13"/>
  <c r="B862" i="13"/>
  <c r="B863" i="13"/>
  <c r="B864" i="13"/>
  <c r="B865" i="13"/>
  <c r="B866" i="13"/>
  <c r="B867" i="13"/>
  <c r="B868" i="13"/>
  <c r="B869" i="13"/>
  <c r="B870" i="13"/>
  <c r="B871" i="13"/>
  <c r="B872" i="13"/>
  <c r="B873" i="13"/>
  <c r="B874" i="13"/>
  <c r="B875" i="13"/>
  <c r="B876" i="13"/>
  <c r="B877" i="13"/>
  <c r="B878" i="13"/>
  <c r="B879" i="13"/>
  <c r="B880" i="13"/>
  <c r="B881" i="13"/>
  <c r="B882" i="13"/>
  <c r="B883" i="13"/>
  <c r="B884" i="13"/>
  <c r="B885" i="13"/>
  <c r="B886" i="13"/>
  <c r="B887" i="13"/>
  <c r="B888" i="13"/>
  <c r="B889" i="13"/>
  <c r="B890" i="13"/>
  <c r="B891" i="13"/>
  <c r="B892" i="13"/>
  <c r="B893" i="13"/>
  <c r="B894" i="13"/>
  <c r="B895" i="13"/>
  <c r="B896" i="13"/>
  <c r="B897" i="13"/>
  <c r="B898" i="13"/>
  <c r="B899" i="13"/>
  <c r="B900" i="13"/>
  <c r="B901" i="13"/>
  <c r="B902" i="13"/>
  <c r="B903" i="13"/>
  <c r="B904" i="13"/>
  <c r="B905" i="13"/>
  <c r="B906" i="13"/>
  <c r="B907" i="13"/>
  <c r="B908" i="13"/>
  <c r="B909" i="13"/>
  <c r="B910" i="13"/>
  <c r="B911" i="13"/>
  <c r="B912" i="13"/>
  <c r="B913" i="13"/>
  <c r="B914" i="13"/>
  <c r="B915" i="13"/>
  <c r="B916" i="13"/>
  <c r="B917" i="13"/>
  <c r="B918" i="13"/>
  <c r="B919" i="13"/>
  <c r="B920" i="13"/>
  <c r="B921" i="13"/>
  <c r="B922" i="13"/>
  <c r="B923" i="13"/>
  <c r="B924" i="13"/>
  <c r="B925" i="13"/>
  <c r="B926" i="13"/>
  <c r="B927" i="13"/>
  <c r="B928" i="13"/>
  <c r="B929" i="13"/>
  <c r="B930" i="13"/>
  <c r="B931" i="13"/>
  <c r="B932" i="13"/>
  <c r="B933" i="13"/>
  <c r="B934" i="13"/>
  <c r="B935" i="13"/>
  <c r="B936" i="13"/>
  <c r="B937" i="13"/>
  <c r="B938" i="13"/>
  <c r="B939" i="13"/>
  <c r="B940" i="13"/>
  <c r="B941" i="13"/>
  <c r="B942" i="13"/>
  <c r="B943" i="13"/>
  <c r="B944" i="13"/>
  <c r="B945" i="13"/>
  <c r="B946" i="13"/>
  <c r="B947" i="13"/>
  <c r="B948" i="13"/>
  <c r="B949" i="13"/>
  <c r="B950" i="13"/>
  <c r="B951" i="13"/>
  <c r="B952" i="13"/>
  <c r="B953" i="13"/>
  <c r="B954" i="13"/>
  <c r="B955" i="13"/>
  <c r="B956" i="13"/>
  <c r="B957" i="13"/>
  <c r="B958" i="13"/>
  <c r="B959" i="13"/>
  <c r="B960" i="13"/>
  <c r="B961" i="13"/>
  <c r="B962" i="13"/>
  <c r="B963" i="13"/>
  <c r="B964" i="13"/>
  <c r="B965" i="13"/>
  <c r="B966" i="13"/>
  <c r="B967" i="13"/>
  <c r="B968" i="13"/>
  <c r="B969" i="13"/>
  <c r="B970" i="13"/>
  <c r="B971" i="13"/>
  <c r="B972" i="13"/>
  <c r="B973" i="13"/>
  <c r="B974" i="13"/>
  <c r="B975" i="13"/>
  <c r="B976" i="13"/>
  <c r="B977" i="13"/>
  <c r="B978" i="13"/>
  <c r="B979" i="13"/>
  <c r="B980" i="13"/>
  <c r="B981" i="13"/>
  <c r="B982" i="13"/>
  <c r="B983" i="13"/>
  <c r="B984" i="13"/>
  <c r="B985" i="13"/>
  <c r="B986" i="13"/>
  <c r="B987" i="13"/>
  <c r="B988" i="13"/>
  <c r="B989" i="13"/>
  <c r="B990" i="13"/>
  <c r="B991" i="13"/>
  <c r="B992" i="13"/>
  <c r="B993" i="13"/>
  <c r="B994" i="13"/>
  <c r="B995" i="13"/>
  <c r="B996" i="13"/>
  <c r="B997" i="13"/>
  <c r="B998" i="13"/>
  <c r="B999" i="13"/>
  <c r="B1000" i="13"/>
  <c r="B1001" i="13"/>
  <c r="B1002" i="13"/>
  <c r="B1003" i="13"/>
  <c r="B1004" i="13"/>
  <c r="B1005" i="13"/>
  <c r="B1006" i="13"/>
  <c r="B1007" i="13"/>
  <c r="B1008" i="13"/>
  <c r="B1009" i="13"/>
  <c r="B1010" i="13"/>
  <c r="B1011" i="13"/>
  <c r="B1012" i="13"/>
  <c r="B1013" i="13"/>
  <c r="B1014" i="13"/>
  <c r="B1015" i="13"/>
  <c r="B1016" i="13"/>
  <c r="B1017" i="13"/>
  <c r="B1018" i="13"/>
  <c r="B1019" i="13"/>
  <c r="B1020" i="13"/>
  <c r="B1021" i="13"/>
  <c r="B1022" i="13"/>
  <c r="B1023" i="13"/>
  <c r="B1024" i="13"/>
  <c r="B1025" i="13"/>
  <c r="B1026" i="13"/>
  <c r="B1027" i="13"/>
  <c r="B1028" i="13"/>
  <c r="B1029" i="13"/>
  <c r="B1030" i="13"/>
  <c r="B1031" i="13"/>
  <c r="B1032" i="13"/>
  <c r="B1033" i="13"/>
  <c r="B1034" i="13"/>
  <c r="B1035" i="13"/>
  <c r="B1036" i="13"/>
  <c r="B1037" i="13"/>
  <c r="B1038" i="13"/>
  <c r="B1039" i="13"/>
  <c r="B1040" i="13"/>
  <c r="B1041" i="13"/>
  <c r="B1042" i="13"/>
  <c r="B1043" i="13"/>
  <c r="B1044" i="13"/>
  <c r="B1045" i="13"/>
  <c r="B1046" i="13"/>
  <c r="B1047" i="13"/>
  <c r="B1048" i="13"/>
  <c r="B1049" i="13"/>
  <c r="B1050" i="13"/>
  <c r="B1051" i="13"/>
  <c r="B1052" i="13"/>
  <c r="B1053" i="13"/>
  <c r="B1054" i="13"/>
  <c r="B1055" i="13"/>
  <c r="B1056" i="13"/>
  <c r="B1057" i="13"/>
  <c r="B1058" i="13"/>
  <c r="B1059" i="13"/>
  <c r="B1060" i="13"/>
  <c r="B1061" i="13"/>
  <c r="B1062" i="13"/>
  <c r="B1063" i="13"/>
  <c r="B1064" i="13"/>
  <c r="B1065" i="13"/>
  <c r="B1066" i="13"/>
  <c r="B1067" i="13"/>
  <c r="B1068" i="13"/>
  <c r="B1069" i="13"/>
  <c r="B1070" i="13"/>
  <c r="B1071" i="13"/>
  <c r="B1072" i="13"/>
  <c r="B1073" i="13"/>
  <c r="B1074" i="13"/>
  <c r="B1075" i="13"/>
  <c r="B1076" i="13"/>
  <c r="B1077" i="13"/>
  <c r="B1078" i="13"/>
  <c r="B1079" i="13"/>
  <c r="B1080" i="13"/>
  <c r="B1081" i="13"/>
  <c r="B1082" i="13"/>
  <c r="B1083" i="13"/>
  <c r="B1084" i="13"/>
  <c r="B1085" i="13"/>
  <c r="B1086" i="13"/>
  <c r="B1087" i="13"/>
  <c r="B1088" i="13"/>
  <c r="B1089" i="13"/>
  <c r="B1090" i="13"/>
  <c r="B1091" i="13"/>
  <c r="B1092" i="13"/>
  <c r="B1093" i="13"/>
  <c r="B1094" i="13"/>
  <c r="B1095" i="13"/>
  <c r="B1096" i="13"/>
  <c r="B1097" i="13"/>
  <c r="B1098" i="13"/>
  <c r="B1099" i="13"/>
  <c r="B1100" i="13"/>
  <c r="B1101" i="13"/>
  <c r="B1102" i="13"/>
  <c r="B1103" i="13"/>
  <c r="B1104" i="13"/>
  <c r="B1105" i="13"/>
  <c r="B1106" i="13"/>
  <c r="B1107" i="13"/>
  <c r="B1108" i="13"/>
  <c r="B1109" i="13"/>
  <c r="B1110" i="13"/>
  <c r="B1111" i="13"/>
  <c r="B1112" i="13"/>
  <c r="B1113" i="13"/>
  <c r="B1114" i="13"/>
  <c r="B1115" i="13"/>
  <c r="B1116" i="13"/>
  <c r="B1117" i="13"/>
  <c r="B1118" i="13"/>
  <c r="B1119" i="13"/>
  <c r="B1120" i="13"/>
  <c r="B1121" i="13"/>
  <c r="B1122" i="13"/>
  <c r="B1123" i="13"/>
  <c r="B1124" i="13"/>
  <c r="B1125" i="13"/>
  <c r="B1126" i="13"/>
  <c r="B1127" i="13"/>
  <c r="B1128" i="13"/>
  <c r="B1129" i="13"/>
  <c r="B1130" i="13"/>
  <c r="B1131" i="13"/>
  <c r="B1132" i="13"/>
  <c r="B1133" i="13"/>
  <c r="B1134" i="13"/>
  <c r="B1135" i="13"/>
  <c r="B1136" i="13"/>
  <c r="B1137" i="13"/>
  <c r="B1138" i="13"/>
  <c r="B1139" i="13"/>
  <c r="B1140" i="13"/>
  <c r="B1141" i="13"/>
  <c r="B1142" i="13"/>
  <c r="B1143" i="13"/>
  <c r="B1144" i="13"/>
  <c r="B1145" i="13"/>
  <c r="B1146" i="13"/>
  <c r="B1147" i="13"/>
  <c r="B1148" i="13"/>
  <c r="B1149" i="13"/>
  <c r="B1150" i="13"/>
  <c r="B1151" i="13"/>
  <c r="B1152" i="13"/>
  <c r="B1153" i="13"/>
  <c r="B1154" i="13"/>
  <c r="B1155" i="13"/>
  <c r="B1156" i="13"/>
  <c r="B1157" i="13"/>
  <c r="B1158" i="13"/>
  <c r="B1159" i="13"/>
  <c r="B1160" i="13"/>
  <c r="B1161" i="13"/>
  <c r="B1162" i="13"/>
  <c r="B1163" i="13"/>
  <c r="B1164" i="13"/>
  <c r="B1165" i="13"/>
  <c r="B1166" i="13"/>
  <c r="B1167" i="13"/>
  <c r="B1168" i="13"/>
  <c r="B1169" i="13"/>
  <c r="B1170" i="13"/>
  <c r="B1171" i="13"/>
  <c r="B1172" i="13"/>
  <c r="B1173" i="13"/>
  <c r="B1174" i="13"/>
  <c r="B1175" i="13"/>
  <c r="B1176" i="13"/>
  <c r="B1177" i="13"/>
  <c r="B1178" i="13"/>
  <c r="B1179" i="13"/>
  <c r="B1180" i="13"/>
  <c r="B1181" i="13"/>
  <c r="B1182" i="13"/>
  <c r="B1183" i="13"/>
  <c r="B1184" i="13"/>
  <c r="B1185" i="13"/>
  <c r="B1186" i="13"/>
  <c r="B1187" i="13"/>
  <c r="B1188" i="13"/>
  <c r="B1189" i="13"/>
  <c r="B1190" i="13"/>
  <c r="B1191" i="13"/>
  <c r="B1192" i="13"/>
  <c r="B1193" i="13"/>
  <c r="B1194" i="13"/>
  <c r="B1195" i="13"/>
  <c r="B1196" i="13"/>
  <c r="B1197" i="13"/>
  <c r="B1198" i="13"/>
  <c r="B1199" i="13"/>
  <c r="B1200" i="13"/>
  <c r="B1201" i="13"/>
  <c r="B1202" i="13"/>
  <c r="B1203" i="13"/>
  <c r="B1204" i="13"/>
  <c r="B1205" i="13"/>
  <c r="B1206" i="13"/>
  <c r="B1207" i="13"/>
  <c r="B1208" i="13"/>
  <c r="B1209" i="13"/>
  <c r="B1210" i="13"/>
  <c r="B1211" i="13"/>
  <c r="B1212" i="13"/>
  <c r="B1213" i="13"/>
  <c r="B1214" i="13"/>
  <c r="B1215" i="13"/>
  <c r="B1216" i="13"/>
  <c r="B1217" i="13"/>
  <c r="B1218" i="13"/>
  <c r="B1219" i="13"/>
  <c r="B1220" i="13"/>
  <c r="B1221" i="13"/>
  <c r="B1222" i="13"/>
  <c r="B1223" i="13"/>
  <c r="B1224" i="13"/>
  <c r="B1225" i="13"/>
  <c r="B1226" i="13"/>
  <c r="B1227" i="13"/>
  <c r="B1228" i="13"/>
  <c r="B1229" i="13"/>
  <c r="B1230" i="13"/>
  <c r="B1231" i="13"/>
  <c r="B1232" i="13"/>
  <c r="B1233" i="13"/>
  <c r="B1234" i="13"/>
  <c r="B1235" i="13"/>
  <c r="B1236" i="13"/>
  <c r="B1237" i="13"/>
  <c r="B1238" i="13"/>
  <c r="B1239" i="13"/>
  <c r="B1240" i="13"/>
  <c r="B1241" i="13"/>
  <c r="B1242" i="13"/>
  <c r="B1243" i="13"/>
  <c r="B1244" i="13"/>
  <c r="B1245" i="13"/>
  <c r="B1246" i="13"/>
  <c r="B1247" i="13"/>
  <c r="B1248" i="13"/>
  <c r="B1249" i="13"/>
  <c r="B1250" i="13"/>
  <c r="B1251" i="13"/>
  <c r="B1252" i="13"/>
  <c r="B1253" i="13"/>
  <c r="B1254" i="13"/>
  <c r="B1255" i="13"/>
  <c r="B1256" i="13"/>
  <c r="B1257" i="13"/>
  <c r="B1258" i="13"/>
  <c r="B1259" i="13"/>
  <c r="B1260" i="13"/>
  <c r="B1261" i="13"/>
  <c r="B1262" i="13"/>
  <c r="B1263" i="13"/>
  <c r="B1264" i="13"/>
  <c r="B1265" i="13"/>
  <c r="B1266" i="13"/>
  <c r="B1267" i="13"/>
  <c r="B1268" i="13"/>
  <c r="B1269" i="13"/>
  <c r="B1270" i="13"/>
  <c r="B1271" i="13"/>
  <c r="B1272" i="13"/>
  <c r="B1273" i="13"/>
  <c r="B1274" i="13"/>
  <c r="B1275" i="13"/>
  <c r="B1276" i="13"/>
  <c r="B1277" i="13"/>
  <c r="B1278" i="13"/>
  <c r="B1279" i="13"/>
  <c r="B1280" i="13"/>
  <c r="B1281" i="13"/>
  <c r="B1282" i="13"/>
  <c r="B1283" i="13"/>
  <c r="B1284" i="13"/>
  <c r="B1285" i="13"/>
  <c r="B1286" i="13"/>
  <c r="B1287" i="13"/>
  <c r="B1288" i="13"/>
  <c r="B1289" i="13"/>
  <c r="B1290" i="13"/>
  <c r="B1291" i="13"/>
  <c r="B1292" i="13"/>
  <c r="B1293" i="13"/>
  <c r="B1294" i="13"/>
  <c r="B1295" i="13"/>
  <c r="B1296" i="13"/>
  <c r="B1297" i="13"/>
  <c r="B1298" i="13"/>
  <c r="B1299" i="13"/>
  <c r="B1300" i="13"/>
  <c r="B1301" i="13"/>
  <c r="B1302" i="13"/>
  <c r="B1303" i="13"/>
  <c r="B1304" i="13"/>
  <c r="B1305" i="13"/>
  <c r="B1306" i="13"/>
  <c r="B1307" i="13"/>
  <c r="B1308" i="13"/>
  <c r="B1309" i="13"/>
  <c r="B1310" i="13"/>
  <c r="B1311" i="13"/>
  <c r="B1312" i="13"/>
  <c r="B1313" i="13"/>
  <c r="B1314" i="13"/>
  <c r="B1315" i="13"/>
  <c r="B1316" i="13"/>
  <c r="B1317" i="13"/>
  <c r="B1318" i="13"/>
  <c r="B1319" i="13"/>
  <c r="B1320" i="13"/>
  <c r="B1321" i="13"/>
  <c r="B1322" i="13"/>
  <c r="B1323" i="13"/>
  <c r="B1324" i="13"/>
  <c r="B1325" i="13"/>
  <c r="B1326" i="13"/>
  <c r="B1327" i="13"/>
  <c r="B1328" i="13"/>
  <c r="B1329" i="13"/>
  <c r="B1330" i="13"/>
  <c r="B1331" i="13"/>
  <c r="B1332" i="13"/>
  <c r="B1333" i="13"/>
  <c r="B1334" i="13"/>
  <c r="B1335" i="13"/>
  <c r="B1336" i="13"/>
  <c r="B1337" i="13"/>
  <c r="B1338" i="13"/>
  <c r="B1339" i="13"/>
  <c r="B1340" i="13"/>
  <c r="B1341" i="13"/>
  <c r="B1342" i="13"/>
  <c r="B1343" i="13"/>
  <c r="B1344" i="13"/>
  <c r="B1345" i="13"/>
  <c r="B1346" i="13"/>
  <c r="B1347" i="13"/>
  <c r="B1348" i="13"/>
  <c r="B1349" i="13"/>
  <c r="B1350" i="13"/>
  <c r="B1351" i="13"/>
  <c r="B1352" i="13"/>
  <c r="B1353" i="13"/>
  <c r="B1354" i="13"/>
  <c r="B1355" i="13"/>
  <c r="B1356" i="13"/>
  <c r="B1357" i="13"/>
  <c r="B1358" i="13"/>
  <c r="B1359" i="13"/>
  <c r="B1360" i="13"/>
  <c r="B1361" i="13"/>
  <c r="B1362" i="13"/>
  <c r="B1363" i="13"/>
  <c r="B1364" i="13"/>
  <c r="B1365" i="13"/>
  <c r="B1366" i="13"/>
  <c r="B1367" i="13"/>
  <c r="B1368" i="13"/>
  <c r="B1369" i="13"/>
  <c r="B1370" i="13"/>
  <c r="B1371" i="13"/>
  <c r="B1372" i="13"/>
  <c r="B1373" i="13"/>
  <c r="B1374" i="13"/>
  <c r="B1375" i="13"/>
  <c r="B1376" i="13"/>
  <c r="B1377" i="13"/>
  <c r="B1378" i="13"/>
  <c r="B1379" i="13"/>
  <c r="B1380" i="13"/>
  <c r="B1381" i="13"/>
  <c r="B1382" i="13"/>
  <c r="B1383" i="13"/>
  <c r="B1384" i="13"/>
  <c r="B1385" i="13"/>
  <c r="B1386" i="13"/>
  <c r="B1387" i="13"/>
  <c r="B1388" i="13"/>
  <c r="B1389" i="13"/>
  <c r="B1390" i="13"/>
  <c r="B1391" i="13"/>
  <c r="B1392" i="13"/>
  <c r="B1393" i="13"/>
  <c r="B1394" i="13"/>
  <c r="B1395" i="13"/>
  <c r="B1396" i="13"/>
  <c r="B1397" i="13"/>
  <c r="B1398" i="13"/>
  <c r="B1399" i="13"/>
  <c r="B1400" i="13"/>
  <c r="B1401" i="13"/>
  <c r="B1402" i="13"/>
  <c r="B1403" i="13"/>
  <c r="B1404" i="13"/>
  <c r="B1405" i="13"/>
  <c r="B1406" i="13"/>
  <c r="B1407" i="13"/>
  <c r="B1408" i="13"/>
  <c r="B1409" i="13"/>
  <c r="B1410" i="13"/>
  <c r="B1411" i="13"/>
  <c r="B1412" i="13"/>
  <c r="B1413" i="13"/>
  <c r="B1414" i="13"/>
  <c r="B1415" i="13"/>
  <c r="B1416" i="13"/>
  <c r="B1417" i="13"/>
  <c r="B1418" i="13"/>
  <c r="B1419" i="13"/>
  <c r="B1420" i="13"/>
  <c r="B1421" i="13"/>
  <c r="B1422" i="13"/>
  <c r="B1423" i="13"/>
  <c r="B1424" i="13"/>
  <c r="B1425" i="13"/>
  <c r="B1426" i="13"/>
  <c r="B1427" i="13"/>
  <c r="B1428" i="13"/>
  <c r="B1429" i="13"/>
  <c r="B1430" i="13"/>
  <c r="B1431" i="13"/>
  <c r="B1432" i="13"/>
  <c r="B1433" i="13"/>
  <c r="B1434" i="13"/>
  <c r="B1435" i="13"/>
  <c r="B1436" i="13"/>
  <c r="B1437" i="13"/>
  <c r="B1438" i="13"/>
  <c r="B1439" i="13"/>
  <c r="B1440" i="13"/>
  <c r="B1441" i="13"/>
  <c r="B1442" i="13"/>
  <c r="B1443" i="13"/>
  <c r="B1444" i="13"/>
  <c r="B1445" i="13"/>
  <c r="B1446" i="13"/>
  <c r="B1447" i="13"/>
  <c r="B1448" i="13"/>
  <c r="B1449" i="13"/>
  <c r="B1450" i="13"/>
  <c r="B1451" i="13"/>
  <c r="B1452" i="13"/>
  <c r="B1453" i="13"/>
  <c r="B1454" i="13"/>
  <c r="B1455" i="13"/>
  <c r="B1456" i="13"/>
  <c r="B1457" i="13"/>
  <c r="B1458" i="13"/>
  <c r="B1459" i="13"/>
  <c r="B1460" i="13"/>
  <c r="B1461" i="13"/>
  <c r="B1462" i="13"/>
  <c r="B1463" i="13"/>
  <c r="B1464" i="13"/>
  <c r="B1465" i="13"/>
  <c r="B1466" i="13"/>
  <c r="B1467" i="13"/>
  <c r="B1468" i="13"/>
  <c r="B1469" i="13"/>
  <c r="B1470" i="13"/>
  <c r="B1471" i="13"/>
  <c r="B1472" i="13"/>
  <c r="B1473" i="13"/>
  <c r="B1474" i="13"/>
  <c r="B1475" i="13"/>
  <c r="B1476" i="13"/>
  <c r="B1477" i="13"/>
  <c r="B1478" i="13"/>
  <c r="B1479" i="13"/>
  <c r="B1480" i="13"/>
  <c r="B1481" i="13"/>
  <c r="B1482" i="13"/>
  <c r="B1483" i="13"/>
  <c r="B1484" i="13"/>
  <c r="B1485" i="13"/>
  <c r="B1486" i="13"/>
  <c r="B1487" i="13"/>
  <c r="B1488" i="13"/>
  <c r="B1489" i="13"/>
  <c r="B1490" i="13"/>
  <c r="B1491" i="13"/>
  <c r="B1492" i="13"/>
  <c r="B1493" i="13"/>
  <c r="B1494" i="13"/>
  <c r="B1495" i="13"/>
  <c r="B1496" i="13"/>
  <c r="B1497" i="13"/>
  <c r="B1498" i="13"/>
  <c r="B1499" i="13"/>
  <c r="B1500" i="13"/>
  <c r="B1501" i="13"/>
  <c r="B1502" i="13"/>
  <c r="B1503" i="13"/>
  <c r="B1504" i="13"/>
  <c r="B1505" i="13"/>
  <c r="B1506" i="13"/>
  <c r="B1507" i="13"/>
  <c r="B1508" i="13"/>
  <c r="B1509" i="13"/>
  <c r="B1510" i="13"/>
  <c r="B1511" i="13"/>
  <c r="B1512" i="13"/>
  <c r="B1513" i="13"/>
  <c r="B1514" i="13"/>
  <c r="B1515" i="13"/>
  <c r="B1516" i="13"/>
  <c r="B1517" i="13"/>
  <c r="B1518" i="13"/>
  <c r="B1519" i="13"/>
  <c r="B1520" i="13"/>
  <c r="B1521" i="13"/>
  <c r="B1522" i="13"/>
  <c r="B1523" i="13"/>
  <c r="B1524" i="13"/>
  <c r="B1525" i="13"/>
  <c r="B1526" i="13"/>
  <c r="B1527" i="13"/>
  <c r="B1528" i="13"/>
  <c r="B1529" i="13"/>
  <c r="B1530" i="13"/>
  <c r="B1531" i="13"/>
  <c r="B1532" i="13"/>
  <c r="B1533" i="13"/>
  <c r="B1534" i="13"/>
  <c r="B1535" i="13"/>
  <c r="B1536" i="13"/>
  <c r="B1537" i="13"/>
  <c r="B1538" i="13"/>
  <c r="B1539" i="13"/>
  <c r="B1540" i="13"/>
  <c r="B1541" i="13"/>
  <c r="B1542" i="13"/>
  <c r="B1543" i="13"/>
  <c r="B1544" i="13"/>
  <c r="B1545" i="13"/>
  <c r="B1546" i="13"/>
  <c r="B1547" i="13"/>
  <c r="B1548" i="13"/>
  <c r="B1549" i="13"/>
  <c r="B1550" i="13"/>
  <c r="B1551" i="13"/>
  <c r="B1552" i="13"/>
  <c r="B1553" i="13"/>
  <c r="B1554" i="13"/>
  <c r="B1555" i="13"/>
  <c r="B1556" i="13"/>
  <c r="B1557" i="13"/>
  <c r="B1558" i="13"/>
  <c r="B1559" i="13"/>
  <c r="B1560" i="13"/>
  <c r="B1561" i="13"/>
  <c r="B1562" i="13"/>
  <c r="B1563" i="13"/>
  <c r="B1564" i="13"/>
  <c r="B1565" i="13"/>
  <c r="B1566" i="13"/>
  <c r="B1567" i="13"/>
  <c r="B1568" i="13"/>
  <c r="B1569" i="13"/>
  <c r="B1570" i="13"/>
  <c r="B1571" i="13"/>
  <c r="B1572" i="13"/>
  <c r="B1573" i="13"/>
  <c r="B1574" i="13"/>
  <c r="B1575" i="13"/>
  <c r="B1576" i="13"/>
  <c r="B1577" i="13"/>
  <c r="B1578" i="13"/>
  <c r="B1579" i="13"/>
  <c r="B1580" i="13"/>
  <c r="B1581" i="13"/>
  <c r="B1582" i="13"/>
  <c r="B1583" i="13"/>
  <c r="B1584" i="13"/>
  <c r="B1585" i="13"/>
  <c r="B1586" i="13"/>
  <c r="B1587" i="13"/>
  <c r="B1588" i="13"/>
  <c r="B1589" i="13"/>
  <c r="B1590" i="13"/>
  <c r="B1591" i="13"/>
  <c r="B1592" i="13"/>
  <c r="B1593" i="13"/>
  <c r="B1594" i="13"/>
  <c r="B1595" i="13"/>
  <c r="B1596" i="13"/>
  <c r="B1597" i="13"/>
  <c r="B1598" i="13"/>
  <c r="B1599" i="13"/>
  <c r="B1600" i="13"/>
  <c r="B1601" i="13"/>
  <c r="B1602" i="13"/>
  <c r="B1603" i="13"/>
  <c r="B1604" i="13"/>
  <c r="B1605" i="13"/>
  <c r="B1606" i="13"/>
  <c r="B1607" i="13"/>
  <c r="B1608" i="13"/>
  <c r="B1609" i="13"/>
  <c r="B1610" i="13"/>
  <c r="B1611" i="13"/>
  <c r="B1612" i="13"/>
  <c r="B1613" i="13"/>
  <c r="B1614" i="13"/>
  <c r="B1615" i="13"/>
  <c r="B1616" i="13"/>
  <c r="B1617" i="13"/>
  <c r="B1618" i="13"/>
  <c r="B1619" i="13"/>
  <c r="B1620" i="13"/>
  <c r="B1621" i="13"/>
  <c r="B1622" i="13"/>
  <c r="B1623" i="13"/>
  <c r="B1624" i="13"/>
  <c r="B1625" i="13"/>
  <c r="B1626" i="13"/>
  <c r="B1627" i="13"/>
  <c r="B1628" i="13"/>
  <c r="B1629" i="13"/>
  <c r="B1630" i="13"/>
  <c r="B1631" i="13"/>
  <c r="B1632" i="13"/>
  <c r="B1633" i="13"/>
  <c r="B1634" i="13"/>
  <c r="B1635" i="13"/>
  <c r="B1636" i="13"/>
  <c r="B1637" i="13"/>
  <c r="B1638" i="13"/>
  <c r="B1639" i="13"/>
  <c r="B1640" i="13"/>
  <c r="B1641" i="13"/>
  <c r="B1642" i="13"/>
  <c r="B1643" i="13"/>
  <c r="B1644" i="13"/>
  <c r="B1645" i="13"/>
  <c r="B1646" i="13"/>
  <c r="B1647" i="13"/>
  <c r="B1648" i="13"/>
  <c r="B1649" i="13"/>
  <c r="B1650" i="13"/>
  <c r="B1651" i="13"/>
  <c r="B1652" i="13"/>
  <c r="B1653" i="13"/>
  <c r="B1654" i="13"/>
  <c r="B1655" i="13"/>
  <c r="B1656" i="13"/>
  <c r="B1657" i="13"/>
  <c r="B1658" i="13"/>
  <c r="B1659" i="13"/>
  <c r="B1660" i="13"/>
  <c r="B1661" i="13"/>
  <c r="B1662" i="13"/>
  <c r="B1663" i="13"/>
  <c r="B1664" i="13"/>
  <c r="B1665" i="13"/>
  <c r="B1666" i="13"/>
  <c r="B1667" i="13"/>
  <c r="B1668" i="13"/>
  <c r="B1669" i="13"/>
  <c r="B1670" i="13"/>
  <c r="B1671" i="13"/>
  <c r="B1672" i="13"/>
  <c r="B1673" i="13"/>
  <c r="B1674" i="13"/>
  <c r="B1675" i="13"/>
  <c r="B1676" i="13"/>
  <c r="B1677" i="13"/>
  <c r="B1678" i="13"/>
  <c r="B1679" i="13"/>
  <c r="B1680" i="13"/>
  <c r="B1681" i="13"/>
  <c r="B1682" i="13"/>
  <c r="B1683" i="13"/>
  <c r="B1684" i="13"/>
  <c r="B1685" i="13"/>
  <c r="B1686" i="13"/>
  <c r="B1687" i="13"/>
  <c r="B1688" i="13"/>
  <c r="B1689" i="13"/>
  <c r="B1690" i="13"/>
  <c r="B1691" i="13"/>
  <c r="B1692" i="13"/>
  <c r="B1693" i="13"/>
  <c r="B1694" i="13"/>
  <c r="B1695" i="13"/>
  <c r="B1696" i="13"/>
  <c r="B1697" i="13"/>
  <c r="B1698" i="13"/>
  <c r="B1699" i="13"/>
  <c r="B1700" i="13"/>
  <c r="B1701" i="13"/>
  <c r="B1702" i="13"/>
  <c r="B1703" i="13"/>
  <c r="B1704" i="13"/>
  <c r="B1705" i="13"/>
  <c r="B1706" i="13"/>
  <c r="B1707" i="13"/>
  <c r="B1708" i="13"/>
  <c r="B1709" i="13"/>
  <c r="B1710" i="13"/>
  <c r="B1711" i="13"/>
  <c r="B1712" i="13"/>
  <c r="B1713" i="13"/>
  <c r="B1714" i="13"/>
  <c r="B1715" i="13"/>
  <c r="B1716" i="13"/>
  <c r="B1717" i="13"/>
  <c r="B1718" i="13"/>
  <c r="B1719" i="13"/>
  <c r="B1720" i="13"/>
  <c r="B1721" i="13"/>
  <c r="B1722" i="13"/>
  <c r="B1723" i="13"/>
  <c r="B1724" i="13"/>
  <c r="B1725" i="13"/>
  <c r="B1726" i="13"/>
  <c r="B1727" i="13"/>
  <c r="B1728" i="13"/>
  <c r="B1729" i="13"/>
  <c r="B1730" i="13"/>
  <c r="B1731" i="13"/>
  <c r="B1732" i="13"/>
  <c r="B1733" i="13"/>
  <c r="B1734" i="13"/>
  <c r="B1735" i="13"/>
  <c r="B1736" i="13"/>
  <c r="B1737" i="13"/>
  <c r="B1738" i="13"/>
  <c r="B1739" i="13"/>
  <c r="B1740" i="13"/>
  <c r="B1741" i="13"/>
  <c r="B1742" i="13"/>
  <c r="B1743" i="13"/>
  <c r="B1744" i="13"/>
  <c r="B1745" i="13"/>
  <c r="B1746" i="13"/>
  <c r="B1747" i="13"/>
  <c r="B1748" i="13"/>
  <c r="B1749" i="13"/>
  <c r="B1750" i="13"/>
  <c r="B1751" i="13"/>
  <c r="B1752" i="13"/>
  <c r="B1753" i="13"/>
  <c r="B1754" i="13"/>
  <c r="B1755" i="13"/>
  <c r="B1756" i="13"/>
  <c r="B1757" i="13"/>
  <c r="B1758" i="13"/>
  <c r="B1759" i="13"/>
  <c r="B1760" i="13"/>
  <c r="B1761" i="13"/>
  <c r="B1762" i="13"/>
  <c r="B1763" i="13"/>
  <c r="B1764" i="13"/>
  <c r="B1765" i="13"/>
  <c r="B1766" i="13"/>
  <c r="B1767" i="13"/>
  <c r="B1768" i="13"/>
  <c r="B1769" i="13"/>
  <c r="B1770" i="13"/>
  <c r="B1771" i="13"/>
  <c r="B1772" i="13"/>
  <c r="B1773" i="13"/>
  <c r="B1774" i="13"/>
  <c r="B1775" i="13"/>
  <c r="B1776" i="13"/>
  <c r="B1777" i="13"/>
  <c r="B1778" i="13"/>
  <c r="B1779" i="13"/>
  <c r="B1780" i="13"/>
  <c r="B1781" i="13"/>
  <c r="B1782" i="13"/>
  <c r="B1783" i="13"/>
  <c r="B1784" i="13"/>
  <c r="B1785" i="13"/>
  <c r="B1786" i="13"/>
  <c r="B1787" i="13"/>
  <c r="B1788" i="13"/>
  <c r="B1789" i="13"/>
  <c r="B1790" i="13"/>
  <c r="B1791" i="13"/>
  <c r="B1792" i="13"/>
  <c r="B1793" i="13"/>
  <c r="B1794" i="13"/>
  <c r="B1795" i="13"/>
  <c r="B1796" i="13"/>
  <c r="B1797" i="13"/>
  <c r="B1798" i="13"/>
  <c r="B1799" i="13"/>
  <c r="B1800" i="13"/>
  <c r="B1801" i="13"/>
  <c r="B1802" i="13"/>
  <c r="B1803" i="13"/>
  <c r="B1804" i="13"/>
  <c r="B1805" i="13"/>
  <c r="B1806" i="13"/>
  <c r="B1807" i="13"/>
  <c r="B1808" i="13"/>
  <c r="B1809" i="13"/>
  <c r="B1810" i="13"/>
  <c r="B1811" i="13"/>
  <c r="B1812" i="13"/>
  <c r="B1813" i="13"/>
  <c r="B1814" i="13"/>
  <c r="B1815" i="13"/>
  <c r="B1816" i="13"/>
  <c r="B1817" i="13"/>
  <c r="B1818" i="13"/>
  <c r="B1819" i="13"/>
  <c r="B1820" i="13"/>
  <c r="B1821" i="13"/>
  <c r="B1822" i="13"/>
  <c r="B1823" i="13"/>
  <c r="B1824" i="13"/>
  <c r="B1825" i="13"/>
  <c r="B1826" i="13"/>
  <c r="B1827" i="13"/>
  <c r="B1828" i="13"/>
  <c r="B1829" i="13"/>
  <c r="B1830" i="13"/>
  <c r="B1831" i="13"/>
  <c r="B1832" i="13"/>
  <c r="B1833" i="13"/>
  <c r="B1834" i="13"/>
  <c r="B1835" i="13"/>
  <c r="B1836" i="13"/>
  <c r="B1837" i="13"/>
  <c r="B1838" i="13"/>
  <c r="B1839" i="13"/>
  <c r="B1840" i="13"/>
  <c r="B1841" i="13"/>
  <c r="B1842" i="13"/>
  <c r="B1843" i="13"/>
  <c r="B1844" i="13"/>
  <c r="B1845" i="13"/>
  <c r="B1846" i="13"/>
  <c r="B1847" i="13"/>
  <c r="B1848" i="13"/>
  <c r="B1849" i="13"/>
  <c r="B1850" i="13"/>
  <c r="B1851" i="13"/>
  <c r="B1852" i="13"/>
  <c r="B1853" i="13"/>
  <c r="B1854" i="13"/>
  <c r="B1855" i="13"/>
  <c r="B1856" i="13"/>
  <c r="B1857" i="13"/>
  <c r="B1858" i="13"/>
  <c r="B1859" i="13"/>
  <c r="B1860" i="13"/>
  <c r="B1861" i="13"/>
  <c r="B1862" i="13"/>
  <c r="B1863" i="13"/>
  <c r="B1864" i="13"/>
  <c r="B1865" i="13"/>
  <c r="B1866" i="13"/>
  <c r="B1867" i="13"/>
  <c r="B1868" i="13"/>
  <c r="B1869" i="13"/>
  <c r="B1870" i="13"/>
  <c r="B1871" i="13"/>
  <c r="B1872" i="13"/>
  <c r="B1873" i="13"/>
  <c r="B1874" i="13"/>
  <c r="B1875" i="13"/>
  <c r="B1876" i="13"/>
  <c r="B1877" i="13"/>
  <c r="B1878" i="13"/>
  <c r="B1879" i="13"/>
  <c r="B1880" i="13"/>
  <c r="B1881" i="13"/>
  <c r="B1882" i="13"/>
  <c r="B1883" i="13"/>
  <c r="B1884" i="13"/>
  <c r="B1885" i="13"/>
  <c r="B1886" i="13"/>
  <c r="B1887" i="13"/>
  <c r="B1888" i="13"/>
  <c r="B1889" i="13"/>
  <c r="B1890" i="13"/>
  <c r="B1891" i="13"/>
  <c r="B1892" i="13"/>
  <c r="B1893" i="13"/>
  <c r="B1894" i="13"/>
  <c r="B1895" i="13"/>
  <c r="B1896" i="13"/>
  <c r="B1897" i="13"/>
  <c r="B1898" i="13"/>
  <c r="B1899" i="13"/>
  <c r="B1900" i="13"/>
  <c r="B1901" i="13"/>
  <c r="B1902" i="13"/>
  <c r="B1903" i="13"/>
  <c r="B1904" i="13"/>
  <c r="B1905" i="13"/>
  <c r="B1906" i="13"/>
  <c r="B1907" i="13"/>
  <c r="B1908" i="13"/>
  <c r="B1909" i="13"/>
  <c r="B1910" i="13"/>
  <c r="B1911" i="13"/>
  <c r="B1912" i="13"/>
  <c r="B1913" i="13"/>
  <c r="B1914" i="13"/>
  <c r="B1915" i="13"/>
  <c r="B1916" i="13"/>
  <c r="B1917" i="13"/>
  <c r="B1918" i="13"/>
  <c r="B1919" i="13"/>
  <c r="B1920" i="13"/>
  <c r="B1921" i="13"/>
  <c r="B1922" i="13"/>
  <c r="B1923" i="13"/>
  <c r="B1924" i="13"/>
  <c r="B1925" i="13"/>
  <c r="B1926" i="13"/>
  <c r="B1927" i="13"/>
  <c r="B1928" i="13"/>
  <c r="B1929" i="13"/>
  <c r="B1930" i="13"/>
  <c r="B1931" i="13"/>
  <c r="B1932" i="13"/>
  <c r="B1933" i="13"/>
  <c r="B1934" i="13"/>
  <c r="B1935" i="13"/>
  <c r="B1936" i="13"/>
  <c r="B1937" i="13"/>
  <c r="B1938" i="13"/>
  <c r="B1939" i="13"/>
  <c r="B1940" i="13"/>
  <c r="B1941" i="13"/>
  <c r="B1942" i="13"/>
  <c r="B1943" i="13"/>
  <c r="B1944" i="13"/>
  <c r="B1945" i="13"/>
  <c r="B1946" i="13"/>
  <c r="B1947" i="13"/>
  <c r="B1948" i="13"/>
  <c r="B1949" i="13"/>
  <c r="B1950" i="13"/>
  <c r="B1951" i="13"/>
  <c r="B1952" i="13"/>
  <c r="B1953" i="13"/>
  <c r="B1954" i="13"/>
  <c r="B1955" i="13"/>
  <c r="B1956" i="13"/>
  <c r="B1957" i="13"/>
  <c r="B1958" i="13"/>
  <c r="B1959" i="13"/>
  <c r="B1960" i="13"/>
  <c r="B1961" i="13"/>
  <c r="B1962" i="13"/>
  <c r="B1963" i="13"/>
  <c r="B1964" i="13"/>
  <c r="B1965" i="13"/>
  <c r="B1966" i="13"/>
  <c r="B1967" i="13"/>
  <c r="B1968" i="13"/>
  <c r="B1969" i="13"/>
  <c r="B1970" i="13"/>
  <c r="B1971" i="13"/>
  <c r="B1972" i="13"/>
  <c r="B1973" i="13"/>
  <c r="B1974" i="13"/>
  <c r="B1975" i="13"/>
  <c r="B1976" i="13"/>
  <c r="B1977" i="13"/>
  <c r="B1978" i="13"/>
  <c r="B1979" i="13"/>
  <c r="B1980" i="13"/>
  <c r="B1981" i="13"/>
  <c r="B1982" i="13"/>
  <c r="B1983" i="13"/>
  <c r="B1984" i="13"/>
  <c r="B1985" i="13"/>
  <c r="B1986" i="13"/>
  <c r="B1987" i="13"/>
  <c r="B1988" i="13"/>
  <c r="B1989" i="13"/>
  <c r="B1990" i="13"/>
  <c r="B1991" i="13"/>
  <c r="B1992" i="13"/>
  <c r="B1993" i="13"/>
  <c r="B1994" i="13"/>
  <c r="B1995" i="13"/>
  <c r="B1996" i="13"/>
  <c r="B1997" i="13"/>
  <c r="B1998" i="13"/>
  <c r="B1999" i="13"/>
  <c r="B2000" i="13"/>
  <c r="B2001" i="13"/>
  <c r="B2002" i="13"/>
  <c r="B2003" i="13"/>
  <c r="B2004" i="13"/>
  <c r="B2005" i="13"/>
  <c r="B2006" i="13"/>
  <c r="B2007" i="13"/>
  <c r="B2008" i="13"/>
  <c r="B2009" i="13"/>
  <c r="B2010" i="13"/>
  <c r="B2011" i="13"/>
  <c r="B2012" i="13"/>
  <c r="B2013" i="13"/>
  <c r="B2014" i="13"/>
  <c r="B2015" i="13"/>
  <c r="B2016" i="13"/>
  <c r="B2017" i="13"/>
  <c r="B2018" i="13"/>
  <c r="B2019" i="13"/>
  <c r="B2020" i="13"/>
  <c r="B2021" i="13"/>
  <c r="B2022" i="13"/>
  <c r="B2023" i="13"/>
  <c r="B2024" i="13"/>
  <c r="B2025" i="13"/>
  <c r="B2026" i="13"/>
  <c r="B2027" i="13"/>
  <c r="B2028" i="13"/>
  <c r="B2029" i="13"/>
  <c r="B2030" i="13"/>
  <c r="B2031" i="13"/>
  <c r="B2032" i="13"/>
  <c r="B2033" i="13"/>
  <c r="B2034" i="13"/>
  <c r="B2035" i="13"/>
  <c r="B2036" i="13"/>
  <c r="B2037" i="13"/>
  <c r="B2038" i="13"/>
  <c r="B2039" i="13"/>
  <c r="B2040" i="13"/>
  <c r="B2041" i="13"/>
  <c r="B2042" i="13"/>
  <c r="B2043" i="13"/>
  <c r="B2044" i="13"/>
  <c r="B2045" i="13"/>
  <c r="B2046" i="13"/>
  <c r="B2047" i="13"/>
  <c r="B2048" i="13"/>
  <c r="B2049" i="13"/>
  <c r="B2050" i="13"/>
  <c r="B2051" i="13"/>
  <c r="B2052" i="13"/>
  <c r="B2053" i="13"/>
  <c r="B2054" i="13"/>
  <c r="B2055" i="13"/>
  <c r="B2056" i="13"/>
  <c r="B2057" i="13"/>
  <c r="B2058" i="13"/>
  <c r="B2059" i="13"/>
  <c r="B2060" i="13"/>
  <c r="B2061" i="13"/>
  <c r="B2062" i="13"/>
  <c r="B2063" i="13"/>
  <c r="B2064" i="13"/>
  <c r="B2065" i="13"/>
  <c r="B2066" i="13"/>
  <c r="B2067" i="13"/>
  <c r="B2068" i="13"/>
  <c r="B2069" i="13"/>
  <c r="B2070" i="13"/>
  <c r="B2071" i="13"/>
  <c r="B2072" i="13"/>
  <c r="B2073" i="13"/>
  <c r="B2074" i="13"/>
  <c r="B2075" i="13"/>
  <c r="B2076" i="13"/>
  <c r="B2077" i="13"/>
  <c r="B2078" i="13"/>
  <c r="B2079" i="13"/>
  <c r="B2080" i="13"/>
  <c r="B2081" i="13"/>
  <c r="B2082" i="13"/>
  <c r="B2083" i="13"/>
  <c r="B2084" i="13"/>
  <c r="B2085" i="13"/>
  <c r="B2086" i="13"/>
  <c r="B2087" i="13"/>
  <c r="B2088" i="13"/>
  <c r="B2089" i="13"/>
  <c r="B2090" i="13"/>
  <c r="B2091" i="13"/>
  <c r="B2092" i="13"/>
  <c r="B2093" i="13"/>
  <c r="B2094" i="13"/>
  <c r="B2095" i="13"/>
  <c r="B2096" i="13"/>
  <c r="B2097" i="13"/>
  <c r="B2098" i="13"/>
  <c r="B2099" i="13"/>
  <c r="B2100" i="13"/>
  <c r="B2101" i="13"/>
  <c r="B2102" i="13"/>
  <c r="B2103" i="13"/>
  <c r="B2104" i="13"/>
  <c r="B2105" i="13"/>
  <c r="B2106" i="13"/>
  <c r="B2107" i="13"/>
  <c r="B2108" i="13"/>
  <c r="B2109" i="13"/>
  <c r="B2110" i="13"/>
  <c r="B2111" i="13"/>
  <c r="B2112" i="13"/>
  <c r="B2113" i="13"/>
  <c r="B2114" i="13"/>
  <c r="B2115" i="13"/>
  <c r="B2116" i="13"/>
  <c r="B2117" i="13"/>
  <c r="B2118" i="13"/>
  <c r="B2119" i="13"/>
  <c r="B2120" i="13"/>
  <c r="B2121" i="13"/>
  <c r="B2122" i="13"/>
  <c r="B2123" i="13"/>
  <c r="B2124" i="13"/>
  <c r="B2125" i="13"/>
  <c r="B2126" i="13"/>
  <c r="B2127" i="13"/>
  <c r="B2128" i="13"/>
  <c r="B2129" i="13"/>
  <c r="B2130" i="13"/>
  <c r="B2131" i="13"/>
  <c r="B2132" i="13"/>
  <c r="B2133" i="13"/>
  <c r="B2134" i="13"/>
  <c r="B2135" i="13"/>
  <c r="B2136" i="13"/>
  <c r="B2137" i="13"/>
  <c r="B2138" i="13"/>
  <c r="B2139" i="13"/>
  <c r="B2140" i="13"/>
  <c r="B2141" i="13"/>
  <c r="B2142" i="13"/>
  <c r="B2143" i="13"/>
  <c r="B2144" i="13"/>
  <c r="B2145" i="13"/>
  <c r="B2146" i="13"/>
  <c r="B2147" i="13"/>
  <c r="B2148" i="13"/>
  <c r="B2149" i="13"/>
  <c r="B2150" i="13"/>
  <c r="B2151" i="13"/>
  <c r="B2152" i="13"/>
  <c r="B2153" i="13"/>
  <c r="B2154" i="13"/>
  <c r="B2155" i="13"/>
  <c r="B2156" i="13"/>
  <c r="B2157" i="13"/>
  <c r="B2158" i="13"/>
  <c r="B2159" i="13"/>
  <c r="B2160" i="13"/>
  <c r="B2161" i="13"/>
  <c r="B2162" i="13"/>
  <c r="B2163" i="13"/>
  <c r="B2164" i="13"/>
  <c r="B2165" i="13"/>
  <c r="B2166" i="13"/>
  <c r="B2167" i="13"/>
  <c r="B2168" i="13"/>
  <c r="B2169" i="13"/>
  <c r="B2170" i="13"/>
  <c r="B2171" i="13"/>
  <c r="B2172" i="13"/>
  <c r="B2173" i="13"/>
  <c r="B2174" i="13"/>
  <c r="B2175" i="13"/>
  <c r="B2176" i="13"/>
  <c r="B2177" i="13"/>
  <c r="B2178" i="13"/>
  <c r="B2179" i="13"/>
  <c r="B2180" i="13"/>
  <c r="B2181" i="13"/>
  <c r="B2182" i="13"/>
  <c r="B2183" i="13"/>
  <c r="B2184" i="13"/>
  <c r="B2185" i="13"/>
  <c r="B2186" i="13"/>
  <c r="B2187" i="13"/>
  <c r="B2188" i="13"/>
  <c r="B2189" i="13"/>
  <c r="B2190" i="13"/>
  <c r="B2191" i="13"/>
  <c r="B2192" i="13"/>
  <c r="B2193" i="13"/>
  <c r="B2194" i="13"/>
  <c r="B2195" i="13"/>
  <c r="B2196" i="13"/>
  <c r="B2197" i="13"/>
  <c r="B2198" i="13"/>
  <c r="B2199" i="13"/>
  <c r="B2200" i="13"/>
  <c r="B2201" i="13"/>
  <c r="B2202" i="13"/>
  <c r="B2203" i="13"/>
  <c r="B2204" i="13"/>
  <c r="B2205" i="13"/>
  <c r="B2206" i="13"/>
  <c r="B2207" i="13"/>
  <c r="B2208" i="13"/>
  <c r="B2209" i="13"/>
  <c r="B2210" i="13"/>
  <c r="B2211" i="13"/>
  <c r="B2212" i="13"/>
  <c r="B2213" i="13"/>
  <c r="B2214" i="13"/>
  <c r="B2215" i="13"/>
  <c r="B2216" i="13"/>
  <c r="B2217" i="13"/>
  <c r="B2218" i="13"/>
  <c r="B2219" i="13"/>
  <c r="B2220" i="13"/>
  <c r="B2221" i="13"/>
  <c r="B2222" i="13"/>
  <c r="B2223" i="13"/>
  <c r="B2224" i="13"/>
  <c r="B2225" i="13"/>
  <c r="B2226" i="13"/>
  <c r="B2227" i="13"/>
  <c r="B2228" i="13"/>
  <c r="B2229" i="13"/>
  <c r="B2230" i="13"/>
  <c r="B2231" i="13"/>
  <c r="B2232" i="13"/>
  <c r="B2233" i="13"/>
  <c r="B2234" i="13"/>
  <c r="B2235" i="13"/>
  <c r="B2236" i="13"/>
  <c r="B2237" i="13"/>
  <c r="B2238" i="13"/>
  <c r="B2239" i="13"/>
  <c r="B2240" i="13"/>
  <c r="B2241" i="13"/>
  <c r="B2242" i="13"/>
  <c r="B2243" i="13"/>
  <c r="B2244" i="13"/>
  <c r="B2245" i="13"/>
  <c r="B2246" i="13"/>
  <c r="B2247" i="13"/>
  <c r="B2248" i="13"/>
  <c r="B2249" i="13"/>
  <c r="B2250" i="13"/>
  <c r="B2251" i="13"/>
  <c r="B2252" i="13"/>
  <c r="B2253" i="13"/>
  <c r="B2254" i="13"/>
  <c r="B2255" i="13"/>
  <c r="B2256" i="13"/>
  <c r="B2257" i="13"/>
  <c r="B2258" i="13"/>
  <c r="B2259" i="13"/>
  <c r="B2260" i="13"/>
  <c r="B2261" i="13"/>
  <c r="B2262" i="13"/>
  <c r="B2263" i="13"/>
  <c r="B2264" i="13"/>
  <c r="B2265" i="13"/>
  <c r="B2266" i="13"/>
  <c r="B2267" i="13"/>
  <c r="B2268" i="13"/>
  <c r="B2269" i="13"/>
  <c r="B2270" i="13"/>
  <c r="B2271" i="13"/>
  <c r="B2272" i="13"/>
  <c r="B2273" i="13"/>
  <c r="B2274" i="13"/>
  <c r="B2275" i="13"/>
  <c r="B2276" i="13"/>
  <c r="B2277" i="13"/>
  <c r="B2278" i="13"/>
  <c r="B2279" i="13"/>
  <c r="B2280" i="13"/>
  <c r="B2281" i="13"/>
  <c r="B2282" i="13"/>
  <c r="B2283" i="13"/>
  <c r="B2284" i="13"/>
  <c r="B2285" i="13"/>
  <c r="B2286" i="13"/>
  <c r="B2287" i="13"/>
  <c r="B2288" i="13"/>
  <c r="B2289" i="13"/>
  <c r="B2290" i="13"/>
  <c r="B2291" i="13"/>
  <c r="B2292" i="13"/>
  <c r="B2293" i="13"/>
  <c r="B2294" i="13"/>
  <c r="B2295" i="13"/>
  <c r="B2296" i="13"/>
  <c r="B2297" i="13"/>
  <c r="B2298" i="13"/>
  <c r="B2299" i="13"/>
  <c r="B2300" i="13"/>
  <c r="B2301" i="13"/>
  <c r="B2302" i="13"/>
  <c r="B2303" i="13"/>
  <c r="B2304" i="13"/>
  <c r="B2305" i="13"/>
  <c r="B2306" i="13"/>
  <c r="B2307" i="13"/>
  <c r="B2308" i="13"/>
  <c r="B2309" i="13"/>
  <c r="B2310" i="13"/>
  <c r="B2311" i="13"/>
  <c r="B2312" i="13"/>
  <c r="B2313" i="13"/>
  <c r="B2314" i="13"/>
  <c r="B2315" i="13"/>
  <c r="B2316" i="13"/>
  <c r="B2317" i="13"/>
  <c r="B2318" i="13"/>
  <c r="B2319" i="13"/>
  <c r="B2320" i="13"/>
  <c r="B2321" i="13"/>
  <c r="B2322" i="13"/>
  <c r="B2323" i="13"/>
  <c r="B2324" i="13"/>
  <c r="B2325" i="13"/>
  <c r="B2326" i="13"/>
  <c r="B2327" i="13"/>
  <c r="B2328" i="13"/>
  <c r="B2329" i="13"/>
  <c r="B2330" i="13"/>
  <c r="B2331" i="13"/>
  <c r="B2332" i="13"/>
  <c r="B2333" i="13"/>
  <c r="B2334" i="13"/>
  <c r="B2335" i="13"/>
  <c r="B2336" i="13"/>
  <c r="B2337" i="13"/>
  <c r="B2338" i="13"/>
  <c r="B2339" i="13"/>
  <c r="B2340" i="13"/>
  <c r="B2341" i="13"/>
  <c r="B2342" i="13"/>
  <c r="B2343" i="13"/>
  <c r="B2344" i="13"/>
  <c r="B2345" i="13"/>
  <c r="B2346" i="13"/>
  <c r="B2347" i="13"/>
  <c r="B2348" i="13"/>
  <c r="B2349" i="13"/>
  <c r="B2350" i="13"/>
  <c r="B2351" i="13"/>
  <c r="B2352" i="13"/>
  <c r="B2353" i="13"/>
  <c r="B2354" i="13"/>
  <c r="B2355" i="13"/>
  <c r="B2356" i="13"/>
  <c r="B2357" i="13"/>
  <c r="B2358" i="13"/>
  <c r="B2359" i="13"/>
  <c r="B2360" i="13"/>
  <c r="B2361" i="13"/>
  <c r="B2362" i="13"/>
  <c r="B2363" i="13"/>
  <c r="B2364" i="13"/>
  <c r="B2365" i="13"/>
  <c r="B2366" i="13"/>
  <c r="B2367" i="13"/>
  <c r="B2368" i="13"/>
  <c r="B2369" i="13"/>
  <c r="B2370" i="13"/>
  <c r="B2371" i="13"/>
  <c r="B2372" i="13"/>
  <c r="B2373" i="13"/>
  <c r="B2374" i="13"/>
  <c r="B2375" i="13"/>
  <c r="B2376" i="13"/>
  <c r="B2377" i="13"/>
  <c r="B2378" i="13"/>
  <c r="B2379" i="13"/>
  <c r="B2380" i="13"/>
  <c r="B2381" i="13"/>
  <c r="B2382" i="13"/>
  <c r="B2383" i="13"/>
  <c r="B2384" i="13"/>
  <c r="B2385" i="13"/>
  <c r="B2386" i="13"/>
  <c r="B2387" i="13"/>
  <c r="B2388" i="13"/>
  <c r="B2389" i="13"/>
  <c r="B2390" i="13"/>
  <c r="B2391" i="13"/>
  <c r="B2392" i="13"/>
  <c r="B2393" i="13"/>
  <c r="B2394" i="13"/>
  <c r="B2395" i="13"/>
  <c r="B2396" i="13"/>
  <c r="B2397" i="13"/>
  <c r="B2398" i="13"/>
  <c r="B2399" i="13"/>
  <c r="B2400" i="13"/>
  <c r="B2401" i="13"/>
  <c r="B2402" i="13"/>
  <c r="B2403" i="13"/>
  <c r="B2404" i="13"/>
  <c r="B2405" i="13"/>
  <c r="B2406" i="13"/>
  <c r="B2407" i="13"/>
  <c r="B2408" i="13"/>
  <c r="B2409" i="13"/>
  <c r="B2410" i="13"/>
  <c r="B2411" i="13"/>
  <c r="B2412" i="13"/>
  <c r="B2413" i="13"/>
  <c r="B2414" i="13"/>
  <c r="B2415" i="13"/>
  <c r="B2416" i="13"/>
  <c r="B2417" i="13"/>
  <c r="B2418" i="13"/>
  <c r="B2419" i="13"/>
  <c r="B2420" i="13"/>
  <c r="B2421" i="13"/>
  <c r="B2422" i="13"/>
  <c r="B2423" i="13"/>
  <c r="B2424" i="13"/>
  <c r="B2425" i="13"/>
  <c r="B2426" i="13"/>
  <c r="B2427" i="13"/>
  <c r="B2428" i="13"/>
  <c r="B2429" i="13"/>
  <c r="B2430" i="13"/>
  <c r="B2431" i="13"/>
  <c r="B2432" i="13"/>
  <c r="B2433" i="13"/>
  <c r="B2434" i="13"/>
  <c r="B2435" i="13"/>
  <c r="B2436" i="13"/>
  <c r="B2437" i="13"/>
  <c r="B2438" i="13"/>
  <c r="B2439" i="13"/>
  <c r="B2440" i="13"/>
  <c r="B2441" i="13"/>
  <c r="B2442" i="13"/>
  <c r="B2443" i="13"/>
  <c r="B2444" i="13"/>
  <c r="B2445" i="13"/>
  <c r="B2446" i="13"/>
  <c r="B2447" i="13"/>
  <c r="B2448" i="13"/>
  <c r="B2449" i="13"/>
  <c r="B2450" i="13"/>
  <c r="B2451" i="13"/>
  <c r="B2452" i="13"/>
  <c r="B2453" i="13"/>
  <c r="B2454" i="13"/>
  <c r="B2455" i="13"/>
  <c r="B2456" i="13"/>
  <c r="B2457" i="13"/>
  <c r="B2458" i="13"/>
  <c r="B2459" i="13"/>
  <c r="B2460" i="13"/>
  <c r="B2461" i="13"/>
  <c r="B2462" i="13"/>
  <c r="B2463" i="13"/>
  <c r="B2464" i="13"/>
  <c r="B2465" i="13"/>
  <c r="B2466" i="13"/>
  <c r="B2467" i="13"/>
  <c r="B2468" i="13"/>
  <c r="B2469" i="13"/>
  <c r="B2470" i="13"/>
  <c r="B2471" i="13"/>
  <c r="B2472" i="13"/>
  <c r="B2473" i="13"/>
  <c r="B2474" i="13"/>
  <c r="B2475" i="13"/>
  <c r="B2476" i="13"/>
  <c r="B2477" i="13"/>
  <c r="B2478" i="13"/>
  <c r="B2479" i="13"/>
  <c r="B2480" i="13"/>
  <c r="B2481" i="13"/>
  <c r="B2482" i="13"/>
  <c r="B2483" i="13"/>
  <c r="B2484" i="13"/>
  <c r="B2485" i="13"/>
  <c r="B2486" i="13"/>
  <c r="B2487" i="13"/>
  <c r="B2488" i="13"/>
  <c r="B2489" i="13"/>
  <c r="B2490" i="13"/>
  <c r="B2491" i="13"/>
  <c r="B2492" i="13"/>
  <c r="B2493" i="13"/>
  <c r="B2494" i="13"/>
  <c r="B2495" i="13"/>
  <c r="B2496" i="13"/>
  <c r="B2497" i="13"/>
  <c r="B2498" i="13"/>
  <c r="B2499" i="13"/>
  <c r="B2500" i="13"/>
  <c r="B2501" i="13"/>
  <c r="B2502" i="13"/>
  <c r="B2503" i="13"/>
  <c r="B2504" i="13"/>
  <c r="B2505" i="13"/>
  <c r="B2506" i="13"/>
  <c r="B2507" i="13"/>
  <c r="B2508" i="13"/>
  <c r="B2509" i="13"/>
  <c r="B2510" i="13"/>
  <c r="B2511" i="13"/>
  <c r="B2512" i="13"/>
  <c r="B2513" i="13"/>
  <c r="B2514" i="13"/>
  <c r="B2515" i="13"/>
  <c r="B2516" i="13"/>
  <c r="B2517" i="13"/>
  <c r="B2518" i="13"/>
  <c r="B2519" i="13"/>
  <c r="B2520" i="13"/>
  <c r="B2521" i="13"/>
  <c r="B2522" i="13"/>
  <c r="B2523" i="13"/>
  <c r="B2524" i="13"/>
  <c r="B2525" i="13"/>
  <c r="B2526" i="13"/>
  <c r="B2527" i="13"/>
  <c r="B2528" i="13"/>
  <c r="B2529" i="13"/>
  <c r="B2530" i="13"/>
  <c r="B2531" i="13"/>
  <c r="B2532" i="13"/>
  <c r="B2533" i="13"/>
  <c r="B2534" i="13"/>
  <c r="B2535" i="13"/>
  <c r="B2536" i="13"/>
  <c r="B2537" i="13"/>
  <c r="B2538" i="13"/>
  <c r="B2539" i="13"/>
  <c r="B2540" i="13"/>
  <c r="B2541" i="13"/>
  <c r="B2542" i="13"/>
  <c r="B2543" i="13"/>
  <c r="B2544" i="13"/>
  <c r="B2545" i="13"/>
  <c r="B2546" i="13"/>
  <c r="B2547" i="13"/>
  <c r="B2548" i="13"/>
  <c r="B2549" i="13"/>
  <c r="B2550" i="13"/>
  <c r="B2551" i="13"/>
  <c r="B2552" i="13"/>
  <c r="B2553" i="13"/>
  <c r="B2554" i="13"/>
  <c r="B2555" i="13"/>
  <c r="B2556" i="13"/>
  <c r="B2557" i="13"/>
  <c r="B2558" i="13"/>
  <c r="B2559" i="13"/>
  <c r="B2560" i="13"/>
  <c r="B2561" i="13"/>
  <c r="B2562" i="13"/>
  <c r="B2563" i="13"/>
  <c r="B2564" i="13"/>
  <c r="B2565" i="13"/>
  <c r="B2566" i="13"/>
  <c r="B2567" i="13"/>
  <c r="B2568" i="13"/>
  <c r="B2569" i="13"/>
  <c r="B2570" i="13"/>
  <c r="B2571" i="13"/>
  <c r="B2572" i="13"/>
  <c r="B2573" i="13"/>
  <c r="B2574" i="13"/>
  <c r="B2575" i="13"/>
  <c r="B2576" i="13"/>
  <c r="B2577" i="13"/>
  <c r="B2578" i="13"/>
  <c r="B2579" i="13"/>
  <c r="B2580" i="13"/>
  <c r="B2581" i="13"/>
  <c r="B2582" i="13"/>
  <c r="B2583" i="13"/>
  <c r="B2584" i="13"/>
  <c r="B2585" i="13"/>
  <c r="B2586" i="13"/>
  <c r="B2587" i="13"/>
  <c r="B2588" i="13"/>
  <c r="B2589" i="13"/>
  <c r="B2590" i="13"/>
  <c r="B2591" i="13"/>
  <c r="B2592" i="13"/>
  <c r="B2593" i="13"/>
  <c r="B2594" i="13"/>
  <c r="B2595" i="13"/>
  <c r="B2596" i="13"/>
  <c r="B2597" i="13"/>
  <c r="B2598" i="13"/>
  <c r="B2599" i="13"/>
  <c r="B2600" i="13"/>
  <c r="B2601" i="13"/>
  <c r="B2602" i="13"/>
  <c r="B2603" i="13"/>
  <c r="B2604" i="13"/>
  <c r="B2605" i="13"/>
  <c r="B2606" i="13"/>
  <c r="B2607" i="13"/>
  <c r="B2608" i="13"/>
  <c r="B2609" i="13"/>
  <c r="B2610" i="13"/>
  <c r="B2611" i="13"/>
  <c r="B2612" i="13"/>
  <c r="A1358" i="3"/>
  <c r="A1198" i="9"/>
  <c r="A2612" i="15"/>
  <c r="A2611" i="15"/>
  <c r="A2610" i="15"/>
  <c r="A2609" i="15"/>
  <c r="A2608" i="15"/>
  <c r="A2607" i="15"/>
  <c r="A2606" i="15"/>
  <c r="A2605" i="15"/>
  <c r="A2604" i="15"/>
  <c r="A2603" i="15"/>
  <c r="A2602" i="15"/>
  <c r="A2601" i="15"/>
  <c r="A2600" i="15"/>
  <c r="A2599" i="15"/>
  <c r="A2598" i="15"/>
  <c r="A2597" i="15"/>
  <c r="A2596" i="15"/>
  <c r="A2595" i="15"/>
  <c r="A2594" i="15"/>
  <c r="A2593" i="15"/>
  <c r="A2592" i="15"/>
  <c r="A2591" i="15"/>
  <c r="A2590" i="15"/>
  <c r="A2589" i="15"/>
  <c r="A2588" i="15"/>
  <c r="A2587" i="15"/>
  <c r="A2586" i="15"/>
  <c r="A2585" i="15"/>
  <c r="A2584" i="15"/>
  <c r="A2583" i="15"/>
  <c r="A2582" i="15"/>
  <c r="A2581" i="15"/>
  <c r="A2580" i="15"/>
  <c r="A2579" i="15"/>
  <c r="A2578" i="15"/>
  <c r="A2577" i="15"/>
  <c r="A2576" i="15"/>
  <c r="A2575" i="15"/>
  <c r="A2574" i="15"/>
  <c r="A2573" i="15"/>
  <c r="A2572" i="15"/>
  <c r="A2571" i="15"/>
  <c r="A2570" i="15"/>
  <c r="A2569" i="15"/>
  <c r="A2568" i="15"/>
  <c r="A2567" i="15"/>
  <c r="A2566" i="15"/>
  <c r="A2565" i="15"/>
  <c r="A2564" i="15"/>
  <c r="A2563" i="15"/>
  <c r="A2562" i="15"/>
  <c r="A2561" i="15"/>
  <c r="A2560" i="15"/>
  <c r="A2559" i="15"/>
  <c r="A2558" i="15"/>
  <c r="A2557" i="15"/>
  <c r="A2556" i="15"/>
  <c r="A2555" i="15"/>
  <c r="A2554" i="15"/>
  <c r="A2553" i="15"/>
  <c r="A2552" i="15"/>
  <c r="A2551" i="15"/>
  <c r="A2550" i="15"/>
  <c r="A2549" i="15"/>
  <c r="A2548" i="15"/>
  <c r="A2547" i="15"/>
  <c r="A2546" i="15"/>
  <c r="A2545" i="15"/>
  <c r="A2544" i="15"/>
  <c r="A2543" i="15"/>
  <c r="A2542" i="15"/>
  <c r="A2541" i="15"/>
  <c r="A2540" i="15"/>
  <c r="A2539" i="15"/>
  <c r="A2538" i="15"/>
  <c r="A2537" i="15"/>
  <c r="A2536" i="15"/>
  <c r="A2535" i="15"/>
  <c r="A2534" i="15"/>
  <c r="A2533" i="15"/>
  <c r="A2532" i="15"/>
  <c r="A2531" i="15"/>
  <c r="A2530" i="15"/>
  <c r="A2529" i="15"/>
  <c r="A2528" i="15"/>
  <c r="A2527" i="15"/>
  <c r="A2526" i="15"/>
  <c r="A2525" i="15"/>
  <c r="A2524" i="15"/>
  <c r="A2523" i="15"/>
  <c r="A2522" i="15"/>
  <c r="A2521" i="15"/>
  <c r="A2520" i="15"/>
  <c r="A2519" i="15"/>
  <c r="A2518" i="15"/>
  <c r="A2517" i="15"/>
  <c r="A2516" i="15"/>
  <c r="A2515" i="15"/>
  <c r="A2514" i="15"/>
  <c r="A2513" i="15"/>
  <c r="A2512" i="15"/>
  <c r="A2511" i="15"/>
  <c r="A2510" i="15"/>
  <c r="A2509" i="15"/>
  <c r="A2508" i="15"/>
  <c r="A2507" i="15"/>
  <c r="A2506" i="15"/>
  <c r="A2505" i="15"/>
  <c r="A2504" i="15"/>
  <c r="A2503" i="15"/>
  <c r="A2502" i="15"/>
  <c r="A2501" i="15"/>
  <c r="A2500" i="15"/>
  <c r="A2499" i="15"/>
  <c r="A2498" i="15"/>
  <c r="A2497" i="15"/>
  <c r="A2496" i="15"/>
  <c r="A2495" i="15"/>
  <c r="A2494" i="15"/>
  <c r="A2493" i="15"/>
  <c r="A2492" i="15"/>
  <c r="A2491" i="15"/>
  <c r="A2490" i="15"/>
  <c r="A2489" i="15"/>
  <c r="A2488" i="15"/>
  <c r="A2487" i="15"/>
  <c r="A2486" i="15"/>
  <c r="A2485" i="15"/>
  <c r="A2484" i="15"/>
  <c r="A2483" i="15"/>
  <c r="A2482" i="15"/>
  <c r="A2481" i="15"/>
  <c r="A2480" i="15"/>
  <c r="A2479" i="15"/>
  <c r="A2478" i="15"/>
  <c r="A2477" i="15"/>
  <c r="A2476" i="15"/>
  <c r="A2475" i="15"/>
  <c r="A2474" i="15"/>
  <c r="A2473" i="15"/>
  <c r="A2472" i="15"/>
  <c r="A2471" i="15"/>
  <c r="A2470" i="15"/>
  <c r="A2469" i="15"/>
  <c r="A2468" i="15"/>
  <c r="A2467" i="15"/>
  <c r="A2466" i="15"/>
  <c r="A2465" i="15"/>
  <c r="A2464" i="15"/>
  <c r="A2463" i="15"/>
  <c r="A2462" i="15"/>
  <c r="A2461" i="15"/>
  <c r="A2460" i="15"/>
  <c r="A2459" i="15"/>
  <c r="A2458" i="15"/>
  <c r="A2457" i="15"/>
  <c r="A2456" i="15"/>
  <c r="A2455" i="15"/>
  <c r="A2454" i="15"/>
  <c r="A2453" i="15"/>
  <c r="A2452" i="15"/>
  <c r="A2451" i="15"/>
  <c r="A2450" i="15"/>
  <c r="A2449" i="15"/>
  <c r="A2448" i="15"/>
  <c r="A2447" i="15"/>
  <c r="A2446" i="15"/>
  <c r="A2445" i="15"/>
  <c r="A2444" i="15"/>
  <c r="A2443" i="15"/>
  <c r="A2442" i="15"/>
  <c r="A2441" i="15"/>
  <c r="A2440" i="15"/>
  <c r="A2439" i="15"/>
  <c r="A2438" i="15"/>
  <c r="A2437" i="15"/>
  <c r="A2436" i="15"/>
  <c r="A2435" i="15"/>
  <c r="A2434" i="15"/>
  <c r="A2433" i="15"/>
  <c r="A2432" i="15"/>
  <c r="A2431" i="15"/>
  <c r="A2430" i="15"/>
  <c r="A2429" i="15"/>
  <c r="A2428" i="15"/>
  <c r="A2427" i="15"/>
  <c r="A2426" i="15"/>
  <c r="A2425" i="15"/>
  <c r="A2424" i="15"/>
  <c r="A2423" i="15"/>
  <c r="A2422" i="15"/>
  <c r="A2421" i="15"/>
  <c r="A2420" i="15"/>
  <c r="A2419" i="15"/>
  <c r="A2418" i="15"/>
  <c r="A2417" i="15"/>
  <c r="A2416" i="15"/>
  <c r="A2415" i="15"/>
  <c r="A2414" i="15"/>
  <c r="A2413" i="15"/>
  <c r="A2412" i="15"/>
  <c r="A2411" i="15"/>
  <c r="A2410" i="15"/>
  <c r="A2409" i="15"/>
  <c r="A2408" i="15"/>
  <c r="A2407" i="15"/>
  <c r="A2406" i="15"/>
  <c r="A2405" i="15"/>
  <c r="A2404" i="15"/>
  <c r="A2403" i="15"/>
  <c r="A2402" i="15"/>
  <c r="A2401" i="15"/>
  <c r="A2400" i="15"/>
  <c r="A2399" i="15"/>
  <c r="A2398" i="15"/>
  <c r="A2397" i="15"/>
  <c r="A2396" i="15"/>
  <c r="A2395" i="15"/>
  <c r="A2394" i="15"/>
  <c r="A2393" i="15"/>
  <c r="A2392" i="15"/>
  <c r="A2391" i="15"/>
  <c r="A2390" i="15"/>
  <c r="A2389" i="15"/>
  <c r="A2388" i="15"/>
  <c r="A2387" i="15"/>
  <c r="A2386" i="15"/>
  <c r="A2385" i="15"/>
  <c r="A2384" i="15"/>
  <c r="A2383" i="15"/>
  <c r="A2382" i="15"/>
  <c r="A2381" i="15"/>
  <c r="A2380" i="15"/>
  <c r="A2379" i="15"/>
  <c r="A2378" i="15"/>
  <c r="A2377" i="15"/>
  <c r="A2376" i="15"/>
  <c r="A2375" i="15"/>
  <c r="A2374" i="15"/>
  <c r="A2373" i="15"/>
  <c r="A2372" i="15"/>
  <c r="A2371" i="15"/>
  <c r="A2370" i="15"/>
  <c r="A2369" i="15"/>
  <c r="A2368" i="15"/>
  <c r="A2367" i="15"/>
  <c r="A2366" i="15"/>
  <c r="A2365" i="15"/>
  <c r="A2364" i="15"/>
  <c r="A2363" i="15"/>
  <c r="A2362" i="15"/>
  <c r="A2361" i="15"/>
  <c r="A2360" i="15"/>
  <c r="A2359" i="15"/>
  <c r="A2358" i="15"/>
  <c r="A2357" i="15"/>
  <c r="A2356" i="15"/>
  <c r="A2355" i="15"/>
  <c r="A2354" i="15"/>
  <c r="A2353" i="15"/>
  <c r="A2352" i="15"/>
  <c r="A2351" i="15"/>
  <c r="A2350" i="15"/>
  <c r="A2349" i="15"/>
  <c r="A2348" i="15"/>
  <c r="A2347" i="15"/>
  <c r="A2346" i="15"/>
  <c r="A2345" i="15"/>
  <c r="A2344" i="15"/>
  <c r="A2343" i="15"/>
  <c r="A2342" i="15"/>
  <c r="A2341" i="15"/>
  <c r="A2340" i="15"/>
  <c r="A2339" i="15"/>
  <c r="A2338" i="15"/>
  <c r="A2337" i="15"/>
  <c r="A2336" i="15"/>
  <c r="A2335" i="15"/>
  <c r="A2334" i="15"/>
  <c r="A2333" i="15"/>
  <c r="A2332" i="15"/>
  <c r="A2331" i="15"/>
  <c r="A2330" i="15"/>
  <c r="A2329" i="15"/>
  <c r="A2328" i="15"/>
  <c r="A2327" i="15"/>
  <c r="A2326" i="15"/>
  <c r="A2325" i="15"/>
  <c r="A2324" i="15"/>
  <c r="A2323" i="15"/>
  <c r="A2322" i="15"/>
  <c r="A2321" i="15"/>
  <c r="A2320" i="15"/>
  <c r="A2319" i="15"/>
  <c r="A2318" i="15"/>
  <c r="A2317" i="15"/>
  <c r="A2316" i="15"/>
  <c r="A2315" i="15"/>
  <c r="A2314" i="15"/>
  <c r="A2313" i="15"/>
  <c r="A2312" i="15"/>
  <c r="A2311" i="15"/>
  <c r="A2310" i="15"/>
  <c r="A2309" i="15"/>
  <c r="A2308" i="15"/>
  <c r="A2307" i="15"/>
  <c r="A2306" i="15"/>
  <c r="A2305" i="15"/>
  <c r="A2304" i="15"/>
  <c r="A2303" i="15"/>
  <c r="A2302" i="15"/>
  <c r="A2301" i="15"/>
  <c r="A2300" i="15"/>
  <c r="A2299" i="15"/>
  <c r="A2298" i="15"/>
  <c r="A2297" i="15"/>
  <c r="A2296" i="15"/>
  <c r="A2295" i="15"/>
  <c r="A2294" i="15"/>
  <c r="A2293" i="15"/>
  <c r="A2292" i="15"/>
  <c r="A2291" i="15"/>
  <c r="A2290" i="15"/>
  <c r="A2289" i="15"/>
  <c r="A2288" i="15"/>
  <c r="A2287" i="15"/>
  <c r="A2286" i="15"/>
  <c r="A2285" i="15"/>
  <c r="A2284" i="15"/>
  <c r="A2283" i="15"/>
  <c r="A2282" i="15"/>
  <c r="A2281" i="15"/>
  <c r="A2280" i="15"/>
  <c r="A2279" i="15"/>
  <c r="A2278" i="15"/>
  <c r="A2277" i="15"/>
  <c r="A2276" i="15"/>
  <c r="A2275" i="15"/>
  <c r="A2274" i="15"/>
  <c r="A2273" i="15"/>
  <c r="A2272" i="15"/>
  <c r="A2271" i="15"/>
  <c r="A2270" i="15"/>
  <c r="A2269" i="15"/>
  <c r="A2268" i="15"/>
  <c r="A2267" i="15"/>
  <c r="A2266" i="15"/>
  <c r="A2265" i="15"/>
  <c r="A2264" i="15"/>
  <c r="A2263" i="15"/>
  <c r="A2262" i="15"/>
  <c r="A2261" i="15"/>
  <c r="A2260" i="15"/>
  <c r="A2259" i="15"/>
  <c r="A2258" i="15"/>
  <c r="A2257" i="15"/>
  <c r="A2256" i="15"/>
  <c r="A2255" i="15"/>
  <c r="A2254" i="15"/>
  <c r="A2253" i="15"/>
  <c r="A2252" i="15"/>
  <c r="A2251" i="15"/>
  <c r="A2250" i="15"/>
  <c r="A2249" i="15"/>
  <c r="A2248" i="15"/>
  <c r="A2247" i="15"/>
  <c r="A2246" i="15"/>
  <c r="A2245" i="15"/>
  <c r="A2244" i="15"/>
  <c r="A2243" i="15"/>
  <c r="A2242" i="15"/>
  <c r="A2241" i="15"/>
  <c r="A2240" i="15"/>
  <c r="A2239" i="15"/>
  <c r="A2238" i="15"/>
  <c r="A2237" i="15"/>
  <c r="A2236" i="15"/>
  <c r="A2235" i="15"/>
  <c r="A2234" i="15"/>
  <c r="A2233" i="15"/>
  <c r="A2232" i="15"/>
  <c r="A2231" i="15"/>
  <c r="A2230" i="15"/>
  <c r="A2229" i="15"/>
  <c r="A2228" i="15"/>
  <c r="A2227" i="15"/>
  <c r="A2226" i="15"/>
  <c r="A2225" i="15"/>
  <c r="A2224" i="15"/>
  <c r="A2223" i="15"/>
  <c r="A2222" i="15"/>
  <c r="A2221" i="15"/>
  <c r="A2220" i="15"/>
  <c r="A2219" i="15"/>
  <c r="A2218" i="15"/>
  <c r="A2217" i="15"/>
  <c r="A2216" i="15"/>
  <c r="A2215" i="15"/>
  <c r="A2214" i="15"/>
  <c r="A2213" i="15"/>
  <c r="A2212" i="15"/>
  <c r="A2211" i="15"/>
  <c r="A2210" i="15"/>
  <c r="A2209" i="15"/>
  <c r="A2208" i="15"/>
  <c r="A2207" i="15"/>
  <c r="A2206" i="15"/>
  <c r="A2205" i="15"/>
  <c r="A2204" i="15"/>
  <c r="A2203" i="15"/>
  <c r="A2202" i="15"/>
  <c r="A2201" i="15"/>
  <c r="A2200" i="15"/>
  <c r="A2199" i="15"/>
  <c r="A2198" i="15"/>
  <c r="A2197" i="15"/>
  <c r="A2196" i="15"/>
  <c r="A2195" i="15"/>
  <c r="A2194" i="15"/>
  <c r="A2193" i="15"/>
  <c r="A2192" i="15"/>
  <c r="A2191" i="15"/>
  <c r="A2190" i="15"/>
  <c r="A2189" i="15"/>
  <c r="A2188" i="15"/>
  <c r="A2187" i="15"/>
  <c r="A2186" i="15"/>
  <c r="A2185" i="15"/>
  <c r="A2184" i="15"/>
  <c r="A2183" i="15"/>
  <c r="A2182" i="15"/>
  <c r="A2181" i="15"/>
  <c r="A2180" i="15"/>
  <c r="A2179" i="15"/>
  <c r="A2178" i="15"/>
  <c r="A2177" i="15"/>
  <c r="A2176" i="15"/>
  <c r="A2175" i="15"/>
  <c r="A2174" i="15"/>
  <c r="A2173" i="15"/>
  <c r="A2172" i="15"/>
  <c r="A2171" i="15"/>
  <c r="A2170" i="15"/>
  <c r="A2169" i="15"/>
  <c r="A2168" i="15"/>
  <c r="A2167" i="15"/>
  <c r="A2166" i="15"/>
  <c r="A2165" i="15"/>
  <c r="A2164" i="15"/>
  <c r="A2163" i="15"/>
  <c r="A2162" i="15"/>
  <c r="A2161" i="15"/>
  <c r="A2160" i="15"/>
  <c r="A2159" i="15"/>
  <c r="A2158" i="15"/>
  <c r="A2157" i="15"/>
  <c r="A2156" i="15"/>
  <c r="A2155" i="15"/>
  <c r="A2154" i="15"/>
  <c r="A2153" i="15"/>
  <c r="A2152" i="15"/>
  <c r="A2151" i="15"/>
  <c r="A2150" i="15"/>
  <c r="A2149" i="15"/>
  <c r="A2148" i="15"/>
  <c r="A2147" i="15"/>
  <c r="A2146" i="15"/>
  <c r="A2145" i="15"/>
  <c r="A2144" i="15"/>
  <c r="A2143" i="15"/>
  <c r="A2142" i="15"/>
  <c r="A2141" i="15"/>
  <c r="A2140" i="15"/>
  <c r="A2139" i="15"/>
  <c r="A2138" i="15"/>
  <c r="A2137" i="15"/>
  <c r="A2136" i="15"/>
  <c r="A2135" i="15"/>
  <c r="A2134" i="15"/>
  <c r="A2133" i="15"/>
  <c r="A2132" i="15"/>
  <c r="A2131" i="15"/>
  <c r="A2130" i="15"/>
  <c r="A2129" i="15"/>
  <c r="A2128" i="15"/>
  <c r="A2127" i="15"/>
  <c r="A2126" i="15"/>
  <c r="A2125" i="15"/>
  <c r="A2124" i="15"/>
  <c r="A2123" i="15"/>
  <c r="A2122" i="15"/>
  <c r="A2121" i="15"/>
  <c r="A2120" i="15"/>
  <c r="A2119" i="15"/>
  <c r="A2118" i="15"/>
  <c r="A2117" i="15"/>
  <c r="A2116" i="15"/>
  <c r="A2115" i="15"/>
  <c r="A2114" i="15"/>
  <c r="A2113" i="15"/>
  <c r="A2112" i="15"/>
  <c r="A2111" i="15"/>
  <c r="A2110" i="15"/>
  <c r="A2109" i="15"/>
  <c r="A2108" i="15"/>
  <c r="A2107" i="15"/>
  <c r="A2106" i="15"/>
  <c r="A2105" i="15"/>
  <c r="A2104" i="15"/>
  <c r="A2103" i="15"/>
  <c r="A2102" i="15"/>
  <c r="A2101" i="15"/>
  <c r="A2100" i="15"/>
  <c r="A2099" i="15"/>
  <c r="A2098" i="15"/>
  <c r="A2097" i="15"/>
  <c r="A2096" i="15"/>
  <c r="A2095" i="15"/>
  <c r="A2094" i="15"/>
  <c r="A2093" i="15"/>
  <c r="A2092" i="15"/>
  <c r="A2091" i="15"/>
  <c r="A2090" i="15"/>
  <c r="A2089" i="15"/>
  <c r="A2088" i="15"/>
  <c r="A2087" i="15"/>
  <c r="A2086" i="15"/>
  <c r="A2085" i="15"/>
  <c r="A2084" i="15"/>
  <c r="A2083" i="15"/>
  <c r="A2082" i="15"/>
  <c r="A2081" i="15"/>
  <c r="A2080" i="15"/>
  <c r="A2079" i="15"/>
  <c r="A2078" i="15"/>
  <c r="A2077" i="15"/>
  <c r="A2076" i="15"/>
  <c r="A2075" i="15"/>
  <c r="A2074" i="15"/>
  <c r="A2073" i="15"/>
  <c r="A2072" i="15"/>
  <c r="A2071" i="15"/>
  <c r="A2070" i="15"/>
  <c r="A2069" i="15"/>
  <c r="A2068" i="15"/>
  <c r="A2067" i="15"/>
  <c r="A2066" i="15"/>
  <c r="A2065" i="15"/>
  <c r="A2064" i="15"/>
  <c r="A2063" i="15"/>
  <c r="A2062" i="15"/>
  <c r="A2061" i="15"/>
  <c r="A2060" i="15"/>
  <c r="A2059" i="15"/>
  <c r="A2058" i="15"/>
  <c r="A2057" i="15"/>
  <c r="A2056" i="15"/>
  <c r="A2055" i="15"/>
  <c r="A2054" i="15"/>
  <c r="A2053" i="15"/>
  <c r="A2052" i="15"/>
  <c r="A2051" i="15"/>
  <c r="A2050" i="15"/>
  <c r="A2049" i="15"/>
  <c r="A2048" i="15"/>
  <c r="A2047" i="15"/>
  <c r="A2046" i="15"/>
  <c r="A2045" i="15"/>
  <c r="A2044" i="15"/>
  <c r="A2043" i="15"/>
  <c r="A2042" i="15"/>
  <c r="A2041" i="15"/>
  <c r="A2040" i="15"/>
  <c r="A2039" i="15"/>
  <c r="A2038" i="15"/>
  <c r="A2037" i="15"/>
  <c r="A2036" i="15"/>
  <c r="A2035" i="15"/>
  <c r="A2034" i="15"/>
  <c r="A2033" i="15"/>
  <c r="A2032" i="15"/>
  <c r="A2031" i="15"/>
  <c r="A2030" i="15"/>
  <c r="A2029" i="15"/>
  <c r="A2028" i="15"/>
  <c r="A2027" i="15"/>
  <c r="A2026" i="15"/>
  <c r="A2025" i="15"/>
  <c r="A2024" i="15"/>
  <c r="A2023" i="15"/>
  <c r="A2022" i="15"/>
  <c r="A2021" i="15"/>
  <c r="A2020" i="15"/>
  <c r="A2019" i="15"/>
  <c r="A2018" i="15"/>
  <c r="A2017" i="15"/>
  <c r="A2016" i="15"/>
  <c r="A2015" i="15"/>
  <c r="A2014" i="15"/>
  <c r="A2013" i="15"/>
  <c r="A2012" i="15"/>
  <c r="A2011" i="15"/>
  <c r="A2010" i="15"/>
  <c r="A2009" i="15"/>
  <c r="A2008" i="15"/>
  <c r="A2007" i="15"/>
  <c r="A2006" i="15"/>
  <c r="A2005" i="15"/>
  <c r="A2004" i="15"/>
  <c r="A2003" i="15"/>
  <c r="A2002" i="15"/>
  <c r="A2001" i="15"/>
  <c r="A2000" i="15"/>
  <c r="A1999" i="15"/>
  <c r="A1998" i="15"/>
  <c r="A1997" i="15"/>
  <c r="A1996" i="15"/>
  <c r="A1995" i="15"/>
  <c r="A1994" i="15"/>
  <c r="A1993" i="15"/>
  <c r="A1992" i="15"/>
  <c r="A1991" i="15"/>
  <c r="A1990" i="15"/>
  <c r="A1989" i="15"/>
  <c r="A1988" i="15"/>
  <c r="A1987" i="15"/>
  <c r="A1986" i="15"/>
  <c r="A1985" i="15"/>
  <c r="A1984" i="15"/>
  <c r="A1983" i="15"/>
  <c r="A1982" i="15"/>
  <c r="A1981" i="15"/>
  <c r="A1980" i="15"/>
  <c r="A1979" i="15"/>
  <c r="A1978" i="15"/>
  <c r="A1977" i="15"/>
  <c r="A1976" i="15"/>
  <c r="A1975" i="15"/>
  <c r="A1974" i="15"/>
  <c r="A1973" i="15"/>
  <c r="A1972" i="15"/>
  <c r="A1971" i="15"/>
  <c r="A1970" i="15"/>
  <c r="A1969" i="15"/>
  <c r="A1968" i="15"/>
  <c r="A1967" i="15"/>
  <c r="A1966" i="15"/>
  <c r="A1965" i="15"/>
  <c r="A1964" i="15"/>
  <c r="A1963" i="15"/>
  <c r="A1962" i="15"/>
  <c r="A1961" i="15"/>
  <c r="A1960" i="15"/>
  <c r="A1959" i="15"/>
  <c r="A1958" i="15"/>
  <c r="A1957" i="15"/>
  <c r="A1956" i="15"/>
  <c r="A1955" i="15"/>
  <c r="A1954" i="15"/>
  <c r="A1953" i="15"/>
  <c r="A1952" i="15"/>
  <c r="A1951" i="15"/>
  <c r="A1950" i="15"/>
  <c r="A1949" i="15"/>
  <c r="A1948" i="15"/>
  <c r="A1947" i="15"/>
  <c r="A1946" i="15"/>
  <c r="A1945" i="15"/>
  <c r="A1944" i="15"/>
  <c r="A1943" i="15"/>
  <c r="A1942" i="15"/>
  <c r="A1941" i="15"/>
  <c r="A1940" i="15"/>
  <c r="A1939" i="15"/>
  <c r="A1938" i="15"/>
  <c r="A1937" i="15"/>
  <c r="A1936" i="15"/>
  <c r="A1935" i="15"/>
  <c r="A1934" i="15"/>
  <c r="A1933" i="15"/>
  <c r="A1932" i="15"/>
  <c r="A1931" i="15"/>
  <c r="A1930" i="15"/>
  <c r="A1929" i="15"/>
  <c r="A1928" i="15"/>
  <c r="A1927" i="15"/>
  <c r="A1926" i="15"/>
  <c r="A1925" i="15"/>
  <c r="A1924" i="15"/>
  <c r="A1923" i="15"/>
  <c r="A1922" i="15"/>
  <c r="A1921" i="15"/>
  <c r="A1920" i="15"/>
  <c r="A1919" i="15"/>
  <c r="A1918" i="15"/>
  <c r="A1917" i="15"/>
  <c r="A1916" i="15"/>
  <c r="A1915" i="15"/>
  <c r="A1914" i="15"/>
  <c r="A1913" i="15"/>
  <c r="A1912" i="15"/>
  <c r="A1911" i="15"/>
  <c r="A1910" i="15"/>
  <c r="A1909" i="15"/>
  <c r="A1908" i="15"/>
  <c r="A1907" i="15"/>
  <c r="A1906" i="15"/>
  <c r="A1905" i="15"/>
  <c r="A1904" i="15"/>
  <c r="A1903" i="15"/>
  <c r="A1902" i="15"/>
  <c r="A1901" i="15"/>
  <c r="A1900" i="15"/>
  <c r="A1899" i="15"/>
  <c r="A1898" i="15"/>
  <c r="A1897" i="15"/>
  <c r="A1896" i="15"/>
  <c r="A1895" i="15"/>
  <c r="A1894" i="15"/>
  <c r="A1893" i="15"/>
  <c r="A1892" i="15"/>
  <c r="A1891" i="15"/>
  <c r="A1890" i="15"/>
  <c r="A1889" i="15"/>
  <c r="A1888" i="15"/>
  <c r="A1887" i="15"/>
  <c r="A1886" i="15"/>
  <c r="A1885" i="15"/>
  <c r="A1884" i="15"/>
  <c r="A1883" i="15"/>
  <c r="A1882" i="15"/>
  <c r="A1881" i="15"/>
  <c r="A1880" i="15"/>
  <c r="A1879" i="15"/>
  <c r="A1878" i="15"/>
  <c r="A1877" i="15"/>
  <c r="A1876" i="15"/>
  <c r="A1875" i="15"/>
  <c r="A1874" i="15"/>
  <c r="A1873" i="15"/>
  <c r="A1872" i="15"/>
  <c r="A1871" i="15"/>
  <c r="A1870" i="15"/>
  <c r="A1869" i="15"/>
  <c r="A1868" i="15"/>
  <c r="A1867" i="15"/>
  <c r="A1866" i="15"/>
  <c r="A1865" i="15"/>
  <c r="A1864" i="15"/>
  <c r="A1863" i="15"/>
  <c r="A1862" i="15"/>
  <c r="A1861" i="15"/>
  <c r="A1860" i="15"/>
  <c r="A1859" i="15"/>
  <c r="A1858" i="15"/>
  <c r="A1857" i="15"/>
  <c r="A1856" i="15"/>
  <c r="A1855" i="15"/>
  <c r="A1854" i="15"/>
  <c r="A1853" i="15"/>
  <c r="A1852" i="15"/>
  <c r="A1851" i="15"/>
  <c r="A1850" i="15"/>
  <c r="A1849" i="15"/>
  <c r="A1848" i="15"/>
  <c r="A1847" i="15"/>
  <c r="A1846" i="15"/>
  <c r="A1845" i="15"/>
  <c r="A1844" i="15"/>
  <c r="A1843" i="15"/>
  <c r="A1842" i="15"/>
  <c r="A1841" i="15"/>
  <c r="A1840" i="15"/>
  <c r="A1839" i="15"/>
  <c r="A1838" i="15"/>
  <c r="A1837" i="15"/>
  <c r="A1836" i="15"/>
  <c r="A1835" i="15"/>
  <c r="A1834" i="15"/>
  <c r="A1833" i="15"/>
  <c r="A1832" i="15"/>
  <c r="A1831" i="15"/>
  <c r="A1830" i="15"/>
  <c r="A1829" i="15"/>
  <c r="A1828" i="15"/>
  <c r="A1827" i="15"/>
  <c r="A1826" i="15"/>
  <c r="A1825" i="15"/>
  <c r="A1824" i="15"/>
  <c r="A1823" i="15"/>
  <c r="A1822" i="15"/>
  <c r="A1821" i="15"/>
  <c r="A1820" i="15"/>
  <c r="A1819" i="15"/>
  <c r="A1818" i="15"/>
  <c r="A1817" i="15"/>
  <c r="A1816" i="15"/>
  <c r="A1815" i="15"/>
  <c r="A1814" i="15"/>
  <c r="A1813" i="15"/>
  <c r="A1812" i="15"/>
  <c r="A1811" i="15"/>
  <c r="A1810" i="15"/>
  <c r="A1809" i="15"/>
  <c r="A1808" i="15"/>
  <c r="A1807" i="15"/>
  <c r="A1806" i="15"/>
  <c r="A1805" i="15"/>
  <c r="A1804" i="15"/>
  <c r="A1803" i="15"/>
  <c r="A1802" i="15"/>
  <c r="A1801" i="15"/>
  <c r="A1800" i="15"/>
  <c r="A1799" i="15"/>
  <c r="A1798" i="15"/>
  <c r="A1797" i="15"/>
  <c r="A1796" i="15"/>
  <c r="A1795" i="15"/>
  <c r="A1794" i="15"/>
  <c r="A1793" i="15"/>
  <c r="A1792" i="15"/>
  <c r="A1791" i="15"/>
  <c r="A1790" i="15"/>
  <c r="A1789" i="15"/>
  <c r="A1788" i="15"/>
  <c r="A1787" i="15"/>
  <c r="A1786" i="15"/>
  <c r="A1785" i="15"/>
  <c r="A1784" i="15"/>
  <c r="A1783" i="15"/>
  <c r="A1782" i="15"/>
  <c r="A1781" i="15"/>
  <c r="A1780" i="15"/>
  <c r="A1779" i="15"/>
  <c r="A1778" i="15"/>
  <c r="A1777" i="15"/>
  <c r="A1776" i="15"/>
  <c r="A1775" i="15"/>
  <c r="A1774" i="15"/>
  <c r="A1773" i="15"/>
  <c r="A1772" i="15"/>
  <c r="A1771" i="15"/>
  <c r="A1770" i="15"/>
  <c r="A1769" i="15"/>
  <c r="A1768" i="15"/>
  <c r="A1767" i="15"/>
  <c r="A1766" i="15"/>
  <c r="A1765" i="15"/>
  <c r="A1764" i="15"/>
  <c r="A1763" i="15"/>
  <c r="A1762" i="15"/>
  <c r="A1761" i="15"/>
  <c r="A1760" i="15"/>
  <c r="A1759" i="15"/>
  <c r="A1758" i="15"/>
  <c r="A1757" i="15"/>
  <c r="A1756" i="15"/>
  <c r="A1755" i="15"/>
  <c r="A1754" i="15"/>
  <c r="A1753" i="15"/>
  <c r="A1752" i="15"/>
  <c r="A1751" i="15"/>
  <c r="A1750" i="15"/>
  <c r="A1749" i="15"/>
  <c r="A1748" i="15"/>
  <c r="A1747" i="15"/>
  <c r="A1746" i="15"/>
  <c r="A1745" i="15"/>
  <c r="A1744" i="15"/>
  <c r="A1743" i="15"/>
  <c r="A1742" i="15"/>
  <c r="A1741" i="15"/>
  <c r="A1740" i="15"/>
  <c r="A1739" i="15"/>
  <c r="A1738" i="15"/>
  <c r="A1737" i="15"/>
  <c r="A1736" i="15"/>
  <c r="A1735" i="15"/>
  <c r="A1734" i="15"/>
  <c r="A1733" i="15"/>
  <c r="A1732" i="15"/>
  <c r="A1731" i="15"/>
  <c r="A1730" i="15"/>
  <c r="A1729" i="15"/>
  <c r="A1728" i="15"/>
  <c r="A1727" i="15"/>
  <c r="A1726" i="15"/>
  <c r="A1725" i="15"/>
  <c r="A1724" i="15"/>
  <c r="A1723" i="15"/>
  <c r="A1722" i="15"/>
  <c r="A1721" i="15"/>
  <c r="A1720" i="15"/>
  <c r="A1719" i="15"/>
  <c r="A1718" i="15"/>
  <c r="A1717" i="15"/>
  <c r="A1716" i="15"/>
  <c r="A1715" i="15"/>
  <c r="A1714" i="15"/>
  <c r="A1713" i="15"/>
  <c r="A1712" i="15"/>
  <c r="A1711" i="15"/>
  <c r="A1710" i="15"/>
  <c r="A1709" i="15"/>
  <c r="A1708" i="15"/>
  <c r="A1707" i="15"/>
  <c r="A1706" i="15"/>
  <c r="A1705" i="15"/>
  <c r="A1704" i="15"/>
  <c r="A1703" i="15"/>
  <c r="A1702" i="15"/>
  <c r="A1701" i="15"/>
  <c r="A1700" i="15"/>
  <c r="A1699" i="15"/>
  <c r="A1698" i="15"/>
  <c r="A1697" i="15"/>
  <c r="A1696" i="15"/>
  <c r="A1695" i="15"/>
  <c r="A1694" i="15"/>
  <c r="A1693" i="15"/>
  <c r="A1692" i="15"/>
  <c r="A1691" i="15"/>
  <c r="A1690" i="15"/>
  <c r="A1689" i="15"/>
  <c r="A1688" i="15"/>
  <c r="A1687" i="15"/>
  <c r="A1686" i="15"/>
  <c r="A1685" i="15"/>
  <c r="A1684" i="15"/>
  <c r="A1683" i="15"/>
  <c r="A1682" i="15"/>
  <c r="A1681" i="15"/>
  <c r="A1680" i="15"/>
  <c r="A1679" i="15"/>
  <c r="A1678" i="15"/>
  <c r="A1677" i="15"/>
  <c r="A1676" i="15"/>
  <c r="A1675" i="15"/>
  <c r="A1674" i="15"/>
  <c r="A1673" i="15"/>
  <c r="A1672" i="15"/>
  <c r="A1671" i="15"/>
  <c r="A1670" i="15"/>
  <c r="A1669" i="15"/>
  <c r="A1668" i="15"/>
  <c r="A1667" i="15"/>
  <c r="A1666" i="15"/>
  <c r="A1665" i="15"/>
  <c r="A1664" i="15"/>
  <c r="A1663" i="15"/>
  <c r="A1662" i="15"/>
  <c r="A1661" i="15"/>
  <c r="A1660" i="15"/>
  <c r="A1659" i="15"/>
  <c r="A1658" i="15"/>
  <c r="A1657" i="15"/>
  <c r="A1656" i="15"/>
  <c r="A1655" i="15"/>
  <c r="A1654" i="15"/>
  <c r="A1653" i="15"/>
  <c r="A1652" i="15"/>
  <c r="A1651" i="15"/>
  <c r="A1650" i="15"/>
  <c r="A1649" i="15"/>
  <c r="A1648" i="15"/>
  <c r="A1647" i="15"/>
  <c r="A1646" i="15"/>
  <c r="A1645" i="15"/>
  <c r="A1644" i="15"/>
  <c r="A1643" i="15"/>
  <c r="A1642" i="15"/>
  <c r="A1641" i="15"/>
  <c r="A1640" i="15"/>
  <c r="A1639" i="15"/>
  <c r="A1638" i="15"/>
  <c r="A1637" i="15"/>
  <c r="A1636" i="15"/>
  <c r="A1635" i="15"/>
  <c r="A1634" i="15"/>
  <c r="A1633" i="15"/>
  <c r="A1632" i="15"/>
  <c r="A1631" i="15"/>
  <c r="A1630" i="15"/>
  <c r="A1629" i="15"/>
  <c r="A1628" i="15"/>
  <c r="A1627" i="15"/>
  <c r="A1626" i="15"/>
  <c r="A1625" i="15"/>
  <c r="A1624" i="15"/>
  <c r="A1623" i="15"/>
  <c r="A1622" i="15"/>
  <c r="A1621" i="15"/>
  <c r="A1620" i="15"/>
  <c r="A1619" i="15"/>
  <c r="A1618" i="15"/>
  <c r="A1617" i="15"/>
  <c r="A1616" i="15"/>
  <c r="A1615" i="15"/>
  <c r="A1614" i="15"/>
  <c r="A1613" i="15"/>
  <c r="A1612" i="15"/>
  <c r="A1611" i="15"/>
  <c r="A1610" i="15"/>
  <c r="A1609" i="15"/>
  <c r="A1608" i="15"/>
  <c r="A1607" i="15"/>
  <c r="A1606" i="15"/>
  <c r="A1605" i="15"/>
  <c r="A1604" i="15"/>
  <c r="A1603" i="15"/>
  <c r="A1602" i="15"/>
  <c r="A1601" i="15"/>
  <c r="A1600" i="15"/>
  <c r="A1599" i="15"/>
  <c r="A1598" i="15"/>
  <c r="A1597" i="15"/>
  <c r="A1596" i="15"/>
  <c r="A1595" i="15"/>
  <c r="A1594" i="15"/>
  <c r="A1593" i="15"/>
  <c r="A1592" i="15"/>
  <c r="A1591" i="15"/>
  <c r="A1590" i="15"/>
  <c r="A1589" i="15"/>
  <c r="A1588" i="15"/>
  <c r="A1587" i="15"/>
  <c r="A1586" i="15"/>
  <c r="A1585" i="15"/>
  <c r="A1584" i="15"/>
  <c r="A1583" i="15"/>
  <c r="A1582" i="15"/>
  <c r="A1581" i="15"/>
  <c r="A1580" i="15"/>
  <c r="A1579" i="15"/>
  <c r="A1578" i="15"/>
  <c r="A1577" i="15"/>
  <c r="A1576" i="15"/>
  <c r="A1575" i="15"/>
  <c r="A1574" i="15"/>
  <c r="A1573" i="15"/>
  <c r="A1572" i="15"/>
  <c r="A1571" i="15"/>
  <c r="A1570" i="15"/>
  <c r="A1569" i="15"/>
  <c r="A1568" i="15"/>
  <c r="A1567" i="15"/>
  <c r="A1566" i="15"/>
  <c r="A1565" i="15"/>
  <c r="A1564" i="15"/>
  <c r="A1563" i="15"/>
  <c r="A1562" i="15"/>
  <c r="A1561" i="15"/>
  <c r="A1560" i="15"/>
  <c r="A1559" i="15"/>
  <c r="A1558" i="15"/>
  <c r="A1557" i="15"/>
  <c r="A1556" i="15"/>
  <c r="A1555" i="15"/>
  <c r="A1554" i="15"/>
  <c r="A1553" i="15"/>
  <c r="A1552" i="15"/>
  <c r="A1551" i="15"/>
  <c r="A1550" i="15"/>
  <c r="A1549" i="15"/>
  <c r="A1548" i="15"/>
  <c r="A1547" i="15"/>
  <c r="A1546" i="15"/>
  <c r="A1545" i="15"/>
  <c r="A1544" i="15"/>
  <c r="A1543" i="15"/>
  <c r="A1542" i="15"/>
  <c r="A1541" i="15"/>
  <c r="A1540" i="15"/>
  <c r="A1539" i="15"/>
  <c r="A1538" i="15"/>
  <c r="A1537" i="15"/>
  <c r="A1536" i="15"/>
  <c r="A1535" i="15"/>
  <c r="A1534" i="15"/>
  <c r="A1533" i="15"/>
  <c r="A1532" i="15"/>
  <c r="A1531" i="15"/>
  <c r="A1530" i="15"/>
  <c r="A1529" i="15"/>
  <c r="A1528" i="15"/>
  <c r="A1527" i="15"/>
  <c r="A1526" i="15"/>
  <c r="A1525" i="15"/>
  <c r="A1524" i="15"/>
  <c r="A1523" i="15"/>
  <c r="A1522" i="15"/>
  <c r="A1521" i="15"/>
  <c r="A1520" i="15"/>
  <c r="A1519" i="15"/>
  <c r="A1518" i="15"/>
  <c r="A1517" i="15"/>
  <c r="A1516" i="15"/>
  <c r="A1515" i="15"/>
  <c r="A1514" i="15"/>
  <c r="A1513" i="15"/>
  <c r="A1512" i="15"/>
  <c r="A1511" i="15"/>
  <c r="A1510" i="15"/>
  <c r="A1509" i="15"/>
  <c r="A1508" i="15"/>
  <c r="A1507" i="15"/>
  <c r="A1506" i="15"/>
  <c r="A1505" i="15"/>
  <c r="A1504" i="15"/>
  <c r="A1503" i="15"/>
  <c r="A1502" i="15"/>
  <c r="A1501" i="15"/>
  <c r="A1500" i="15"/>
  <c r="A1499" i="15"/>
  <c r="A1498" i="15"/>
  <c r="A1497" i="15"/>
  <c r="A1496" i="15"/>
  <c r="A1495" i="15"/>
  <c r="A1494" i="15"/>
  <c r="A1493" i="15"/>
  <c r="A1492" i="15"/>
  <c r="A1491" i="15"/>
  <c r="A1490" i="15"/>
  <c r="A1489" i="15"/>
  <c r="A1488" i="15"/>
  <c r="A1487" i="15"/>
  <c r="A1486" i="15"/>
  <c r="A1485" i="15"/>
  <c r="A1484" i="15"/>
  <c r="A1483" i="15"/>
  <c r="A1482" i="15"/>
  <c r="A1481" i="15"/>
  <c r="A1480" i="15"/>
  <c r="A1479" i="15"/>
  <c r="A1478" i="15"/>
  <c r="A1477" i="15"/>
  <c r="A1476" i="15"/>
  <c r="A1475" i="15"/>
  <c r="A1474" i="15"/>
  <c r="A1473" i="15"/>
  <c r="A1472" i="15"/>
  <c r="A1471" i="15"/>
  <c r="A1470" i="15"/>
  <c r="A1469" i="15"/>
  <c r="A1468" i="15"/>
  <c r="A1467" i="15"/>
  <c r="A1466" i="15"/>
  <c r="A1465" i="15"/>
  <c r="A1464" i="15"/>
  <c r="A1463" i="15"/>
  <c r="A1462" i="15"/>
  <c r="A1461" i="15"/>
  <c r="A1460" i="15"/>
  <c r="A1459" i="15"/>
  <c r="A1458" i="15"/>
  <c r="A1457" i="15"/>
  <c r="A1456" i="15"/>
  <c r="A1455" i="15"/>
  <c r="A1454" i="15"/>
  <c r="A1453" i="15"/>
  <c r="A1452" i="15"/>
  <c r="A1451" i="15"/>
  <c r="A1450" i="15"/>
  <c r="A1449" i="15"/>
  <c r="A1448" i="15"/>
  <c r="A1447" i="15"/>
  <c r="A1446" i="15"/>
  <c r="A1445" i="15"/>
  <c r="A1444" i="15"/>
  <c r="A1443" i="15"/>
  <c r="A1442" i="15"/>
  <c r="A1441" i="15"/>
  <c r="A1440" i="15"/>
  <c r="A1439" i="15"/>
  <c r="A1438" i="15"/>
  <c r="A1437" i="15"/>
  <c r="A1436" i="15"/>
  <c r="A1435" i="15"/>
  <c r="A1434" i="15"/>
  <c r="A1433" i="15"/>
  <c r="A1432" i="15"/>
  <c r="A1431" i="15"/>
  <c r="A1430" i="15"/>
  <c r="A1429" i="15"/>
  <c r="A1428" i="15"/>
  <c r="A1427" i="15"/>
  <c r="A1426" i="15"/>
  <c r="A1425" i="15"/>
  <c r="A1424" i="15"/>
  <c r="A1423" i="15"/>
  <c r="A1422" i="15"/>
  <c r="A1421" i="15"/>
  <c r="A1420" i="15"/>
  <c r="A1419" i="15"/>
  <c r="A1418" i="15"/>
  <c r="A1417" i="15"/>
  <c r="A1416" i="15"/>
  <c r="A1415" i="15"/>
  <c r="A1414" i="15"/>
  <c r="A1413" i="15"/>
  <c r="A1412" i="15"/>
  <c r="A1411" i="15"/>
  <c r="A1410" i="15"/>
  <c r="A1409" i="15"/>
  <c r="A1408" i="15"/>
  <c r="A1407" i="15"/>
  <c r="A1406" i="15"/>
  <c r="A1405" i="15"/>
  <c r="A1404" i="15"/>
  <c r="A1403" i="15"/>
  <c r="A1402" i="15"/>
  <c r="A1401" i="15"/>
  <c r="A1400" i="15"/>
  <c r="A1399" i="15"/>
  <c r="A1398" i="15"/>
  <c r="A1397" i="15"/>
  <c r="A1396" i="15"/>
  <c r="A1395" i="15"/>
  <c r="A1394" i="15"/>
  <c r="A1393" i="15"/>
  <c r="A1392" i="15"/>
  <c r="A1391" i="15"/>
  <c r="A1390" i="15"/>
  <c r="A1389" i="15"/>
  <c r="A1388" i="15"/>
  <c r="A1387" i="15"/>
  <c r="A1386" i="15"/>
  <c r="A1385" i="15"/>
  <c r="A1384" i="15"/>
  <c r="A1383" i="15"/>
  <c r="A1382" i="15"/>
  <c r="A1381" i="15"/>
  <c r="A1380" i="15"/>
  <c r="A1379" i="15"/>
  <c r="A1378" i="15"/>
  <c r="A1377" i="15"/>
  <c r="A1376" i="15"/>
  <c r="A1375" i="15"/>
  <c r="A1374" i="15"/>
  <c r="A1373" i="15"/>
  <c r="A1372" i="15"/>
  <c r="A1371" i="15"/>
  <c r="A1370" i="15"/>
  <c r="A1369" i="15"/>
  <c r="A1368" i="15"/>
  <c r="A1367" i="15"/>
  <c r="A1366" i="15"/>
  <c r="A1365" i="15"/>
  <c r="A1364" i="15"/>
  <c r="A1363" i="15"/>
  <c r="A1362" i="15"/>
  <c r="A1361" i="15"/>
  <c r="A1360" i="15"/>
  <c r="A1359" i="15"/>
  <c r="A1358" i="15"/>
  <c r="A1357" i="15"/>
  <c r="A1356" i="15"/>
  <c r="A1355" i="15"/>
  <c r="A1354" i="15"/>
  <c r="A1353" i="15"/>
  <c r="A1352" i="15"/>
  <c r="A1351" i="15"/>
  <c r="A1350" i="15"/>
  <c r="A1349" i="15"/>
  <c r="A1348" i="15"/>
  <c r="A1347" i="15"/>
  <c r="A1346" i="15"/>
  <c r="A1345" i="15"/>
  <c r="A1344" i="15"/>
  <c r="A1343" i="15"/>
  <c r="A1342" i="15"/>
  <c r="A1341" i="15"/>
  <c r="A1340" i="15"/>
  <c r="A1339" i="15"/>
  <c r="A1338" i="15"/>
  <c r="A1337" i="15"/>
  <c r="A1336" i="15"/>
  <c r="A1335" i="15"/>
  <c r="A1334" i="15"/>
  <c r="A1333" i="15"/>
  <c r="A1332" i="15"/>
  <c r="A1331" i="15"/>
  <c r="A1330" i="15"/>
  <c r="A1329" i="15"/>
  <c r="A1328" i="15"/>
  <c r="A1327" i="15"/>
  <c r="A1326" i="15"/>
  <c r="A1325" i="15"/>
  <c r="A1324" i="15"/>
  <c r="A1323" i="15"/>
  <c r="A1322" i="15"/>
  <c r="A1321" i="15"/>
  <c r="A1320" i="15"/>
  <c r="A1319" i="15"/>
  <c r="A1318" i="15"/>
  <c r="A1317" i="15"/>
  <c r="A1316" i="15"/>
  <c r="A1315" i="15"/>
  <c r="A1314" i="15"/>
  <c r="A1313" i="15"/>
  <c r="A1312" i="15"/>
  <c r="A1311" i="15"/>
  <c r="A1310" i="15"/>
  <c r="A1309" i="15"/>
  <c r="A1308" i="15"/>
  <c r="A1307" i="15"/>
  <c r="A1306" i="15"/>
  <c r="A1305" i="15"/>
  <c r="A1304" i="15"/>
  <c r="A1303" i="15"/>
  <c r="A1302" i="15"/>
  <c r="A1301" i="15"/>
  <c r="A1300" i="15"/>
  <c r="A1299" i="15"/>
  <c r="A1298" i="15"/>
  <c r="A1297" i="15"/>
  <c r="A1296" i="15"/>
  <c r="A1295" i="15"/>
  <c r="A1294" i="15"/>
  <c r="A1293" i="15"/>
  <c r="A1292" i="15"/>
  <c r="A1291" i="15"/>
  <c r="A1290" i="15"/>
  <c r="A1289" i="15"/>
  <c r="A1288" i="15"/>
  <c r="A1287" i="15"/>
  <c r="A1286" i="15"/>
  <c r="A1285" i="15"/>
  <c r="A1284" i="15"/>
  <c r="A1283" i="15"/>
  <c r="A1282" i="15"/>
  <c r="A1281" i="15"/>
  <c r="A1280" i="15"/>
  <c r="A1279" i="15"/>
  <c r="A1278" i="15"/>
  <c r="A1277" i="15"/>
  <c r="A1276" i="15"/>
  <c r="A1275" i="15"/>
  <c r="A1274" i="15"/>
  <c r="A1273" i="15"/>
  <c r="A1272" i="15"/>
  <c r="A1271" i="15"/>
  <c r="A1270" i="15"/>
  <c r="A1269" i="15"/>
  <c r="A1268" i="15"/>
  <c r="A1267" i="15"/>
  <c r="A1266" i="15"/>
  <c r="A1265" i="15"/>
  <c r="A1264" i="15"/>
  <c r="A1263" i="15"/>
  <c r="A1262" i="15"/>
  <c r="A1261" i="15"/>
  <c r="A1260" i="15"/>
  <c r="A1259" i="15"/>
  <c r="A1258" i="15"/>
  <c r="A1257" i="15"/>
  <c r="A1256" i="15"/>
  <c r="A1255" i="15"/>
  <c r="A1254" i="15"/>
  <c r="A1253" i="15"/>
  <c r="A1252" i="15"/>
  <c r="A1251" i="15"/>
  <c r="A1250" i="15"/>
  <c r="A1249" i="15"/>
  <c r="A1248" i="15"/>
  <c r="A1247" i="15"/>
  <c r="A1246" i="15"/>
  <c r="A1245" i="15"/>
  <c r="A1244" i="15"/>
  <c r="A1243" i="15"/>
  <c r="A1242" i="15"/>
  <c r="A1241" i="15"/>
  <c r="A1240" i="15"/>
  <c r="A1239" i="15"/>
  <c r="A1238" i="15"/>
  <c r="A1237" i="15"/>
  <c r="A1236" i="15"/>
  <c r="A1235" i="15"/>
  <c r="A1234" i="15"/>
  <c r="A1233" i="15"/>
  <c r="A1232" i="15"/>
  <c r="A1231" i="15"/>
  <c r="A1230" i="15"/>
  <c r="A1229" i="15"/>
  <c r="A1228" i="15"/>
  <c r="A1227" i="15"/>
  <c r="A1226" i="15"/>
  <c r="A1225" i="15"/>
  <c r="A1224" i="15"/>
  <c r="A1223" i="15"/>
  <c r="A1222" i="15"/>
  <c r="A1221" i="15"/>
  <c r="A1220" i="15"/>
  <c r="A1219" i="15"/>
  <c r="A1218" i="15"/>
  <c r="A1217" i="15"/>
  <c r="A1216" i="15"/>
  <c r="A1215" i="15"/>
  <c r="A1214" i="15"/>
  <c r="A1213" i="15"/>
  <c r="A1212" i="15"/>
  <c r="A1211" i="15"/>
  <c r="A1210" i="15"/>
  <c r="A1209" i="15"/>
  <c r="A1208" i="15"/>
  <c r="A1207" i="15"/>
  <c r="A1206" i="15"/>
  <c r="A1205" i="15"/>
  <c r="A1204" i="15"/>
  <c r="A1203" i="15"/>
  <c r="A1202" i="15"/>
  <c r="A1201" i="15"/>
  <c r="A1200" i="15"/>
  <c r="A1199" i="15"/>
  <c r="A1198" i="15"/>
  <c r="A1197" i="15"/>
  <c r="A1196" i="15"/>
  <c r="A1195" i="15"/>
  <c r="A1194" i="15"/>
  <c r="A1193" i="15"/>
  <c r="A1192" i="15"/>
  <c r="A1191" i="15"/>
  <c r="A1190" i="15"/>
  <c r="A1189" i="15"/>
  <c r="A1188" i="15"/>
  <c r="A1187" i="15"/>
  <c r="A1186" i="15"/>
  <c r="A1185" i="15"/>
  <c r="A1184" i="15"/>
  <c r="A1183" i="15"/>
  <c r="A1182" i="15"/>
  <c r="A1181" i="15"/>
  <c r="A1180" i="15"/>
  <c r="A1179" i="15"/>
  <c r="A1178" i="15"/>
  <c r="A1177" i="15"/>
  <c r="A1176" i="15"/>
  <c r="A1175" i="15"/>
  <c r="A1174" i="15"/>
  <c r="A1173" i="15"/>
  <c r="A1172" i="15"/>
  <c r="A1171" i="15"/>
  <c r="A1170" i="15"/>
  <c r="A1169" i="15"/>
  <c r="A1168" i="15"/>
  <c r="A1167" i="15"/>
  <c r="A1166" i="15"/>
  <c r="A1165" i="15"/>
  <c r="A1164" i="15"/>
  <c r="A1163" i="15"/>
  <c r="A1162" i="15"/>
  <c r="A1161" i="15"/>
  <c r="A1160" i="15"/>
  <c r="A1159" i="15"/>
  <c r="A1158" i="15"/>
  <c r="A1157" i="15"/>
  <c r="A1156" i="15"/>
  <c r="A1155" i="15"/>
  <c r="A1154" i="15"/>
  <c r="A1153" i="15"/>
  <c r="A1152" i="15"/>
  <c r="A1151" i="15"/>
  <c r="A1150" i="15"/>
  <c r="A1149" i="15"/>
  <c r="A1148" i="15"/>
  <c r="A1147" i="15"/>
  <c r="A1146" i="15"/>
  <c r="A1145" i="15"/>
  <c r="A1144" i="15"/>
  <c r="A1143" i="15"/>
  <c r="A1142" i="15"/>
  <c r="A1141" i="15"/>
  <c r="A1140" i="15"/>
  <c r="A1139" i="15"/>
  <c r="A1138" i="15"/>
  <c r="A1137" i="15"/>
  <c r="A1136" i="15"/>
  <c r="A1135" i="15"/>
  <c r="A1134" i="15"/>
  <c r="A1133" i="15"/>
  <c r="A1132" i="15"/>
  <c r="A1131" i="15"/>
  <c r="A1130" i="15"/>
  <c r="A1129" i="15"/>
  <c r="A1128" i="15"/>
  <c r="A1127" i="15"/>
  <c r="A1126" i="15"/>
  <c r="A1125" i="15"/>
  <c r="A1124" i="15"/>
  <c r="A1123" i="15"/>
  <c r="A1122" i="15"/>
  <c r="A1121" i="15"/>
  <c r="A1120" i="15"/>
  <c r="A1119" i="15"/>
  <c r="A1118" i="15"/>
  <c r="A1117" i="15"/>
  <c r="A1116" i="15"/>
  <c r="A1115" i="15"/>
  <c r="A1114" i="15"/>
  <c r="A1113" i="15"/>
  <c r="A1112" i="15"/>
  <c r="A1111" i="15"/>
  <c r="A1110" i="15"/>
  <c r="A1109" i="15"/>
  <c r="A1108" i="15"/>
  <c r="A1107" i="15"/>
  <c r="A1106" i="15"/>
  <c r="A1105" i="15"/>
  <c r="A1104" i="15"/>
  <c r="A1103" i="15"/>
  <c r="A1102" i="15"/>
  <c r="A1101" i="15"/>
  <c r="A1100" i="15"/>
  <c r="A1099" i="15"/>
  <c r="A1098" i="15"/>
  <c r="A1097" i="15"/>
  <c r="A1096" i="15"/>
  <c r="A1095" i="15"/>
  <c r="A1094" i="15"/>
  <c r="A1093" i="15"/>
  <c r="A1092" i="15"/>
  <c r="A1091" i="15"/>
  <c r="A1090" i="15"/>
  <c r="A1089" i="15"/>
  <c r="A1088" i="15"/>
  <c r="A1087" i="15"/>
  <c r="A1086" i="15"/>
  <c r="A1085" i="15"/>
  <c r="A1084" i="15"/>
  <c r="A1083" i="15"/>
  <c r="A1082" i="15"/>
  <c r="A1081" i="15"/>
  <c r="A1080" i="15"/>
  <c r="A1079" i="15"/>
  <c r="A1078" i="15"/>
  <c r="A1077" i="15"/>
  <c r="A1076" i="15"/>
  <c r="A1075" i="15"/>
  <c r="A1074" i="15"/>
  <c r="A1073" i="15"/>
  <c r="A1072" i="15"/>
  <c r="A1071" i="15"/>
  <c r="A1070" i="15"/>
  <c r="A1069" i="15"/>
  <c r="A1068" i="15"/>
  <c r="A1067" i="15"/>
  <c r="A1066" i="15"/>
  <c r="A1065" i="15"/>
  <c r="A1064" i="15"/>
  <c r="A1063" i="15"/>
  <c r="A1062" i="15"/>
  <c r="A1061" i="15"/>
  <c r="A1060" i="15"/>
  <c r="A1059" i="15"/>
  <c r="A1058" i="15"/>
  <c r="A1057" i="15"/>
  <c r="A1056" i="15"/>
  <c r="A1055" i="15"/>
  <c r="A1054" i="15"/>
  <c r="A1053" i="15"/>
  <c r="A1052" i="15"/>
  <c r="A1051" i="15"/>
  <c r="A1050" i="15"/>
  <c r="A1049" i="15"/>
  <c r="A1048" i="15"/>
  <c r="A1047" i="15"/>
  <c r="A1046" i="15"/>
  <c r="A1045" i="15"/>
  <c r="A1044" i="15"/>
  <c r="A1043" i="15"/>
  <c r="A1042" i="15"/>
  <c r="A1041" i="15"/>
  <c r="A1040" i="15"/>
  <c r="A1039" i="15"/>
  <c r="A1038" i="15"/>
  <c r="A1037" i="15"/>
  <c r="A1036" i="15"/>
  <c r="A1035" i="15"/>
  <c r="A1034" i="15"/>
  <c r="A1033" i="15"/>
  <c r="A1032" i="15"/>
  <c r="A1031" i="15"/>
  <c r="A1030" i="15"/>
  <c r="A1029" i="15"/>
  <c r="A1028" i="15"/>
  <c r="A1027" i="15"/>
  <c r="A1026" i="15"/>
  <c r="A1025" i="15"/>
  <c r="A1024" i="15"/>
  <c r="A1023" i="15"/>
  <c r="A1022" i="15"/>
  <c r="A1021" i="15"/>
  <c r="A1020" i="15"/>
  <c r="A1019" i="15"/>
  <c r="A1018" i="15"/>
  <c r="A1017" i="15"/>
  <c r="A1016" i="15"/>
  <c r="A1015" i="15"/>
  <c r="A1014" i="15"/>
  <c r="A1013" i="15"/>
  <c r="A1012" i="15"/>
  <c r="A1011" i="15"/>
  <c r="A1010" i="15"/>
  <c r="A1009" i="15"/>
  <c r="A1008" i="15"/>
  <c r="A1007" i="15"/>
  <c r="A1006" i="15"/>
  <c r="A1005" i="15"/>
  <c r="A1004" i="15"/>
  <c r="A1003" i="15"/>
  <c r="A1002" i="15"/>
  <c r="A1001" i="15"/>
  <c r="A1000" i="15"/>
  <c r="A999" i="15"/>
  <c r="A998" i="15"/>
  <c r="A997" i="15"/>
  <c r="A996" i="15"/>
  <c r="A995" i="15"/>
  <c r="A994" i="15"/>
  <c r="A993" i="15"/>
  <c r="A992" i="15"/>
  <c r="A991" i="15"/>
  <c r="A990" i="15"/>
  <c r="A989" i="15"/>
  <c r="A988" i="15"/>
  <c r="A987" i="15"/>
  <c r="A986" i="15"/>
  <c r="A985" i="15"/>
  <c r="A984" i="15"/>
  <c r="A983" i="15"/>
  <c r="A982" i="15"/>
  <c r="A981" i="15"/>
  <c r="A980" i="15"/>
  <c r="A979" i="15"/>
  <c r="A978" i="15"/>
  <c r="A977" i="15"/>
  <c r="A976" i="15"/>
  <c r="A975" i="15"/>
  <c r="A974" i="15"/>
  <c r="A973" i="15"/>
  <c r="A972" i="15"/>
  <c r="A971" i="15"/>
  <c r="A970" i="15"/>
  <c r="A969" i="15"/>
  <c r="A968" i="15"/>
  <c r="A967" i="15"/>
  <c r="A966" i="15"/>
  <c r="A965" i="15"/>
  <c r="A964" i="15"/>
  <c r="A963" i="15"/>
  <c r="A962" i="15"/>
  <c r="A961" i="15"/>
  <c r="A960" i="15"/>
  <c r="A959" i="15"/>
  <c r="A958" i="15"/>
  <c r="A957" i="15"/>
  <c r="A956" i="15"/>
  <c r="A955" i="15"/>
  <c r="A954" i="15"/>
  <c r="A953" i="15"/>
  <c r="A952" i="15"/>
  <c r="A951" i="15"/>
  <c r="A950" i="15"/>
  <c r="A949" i="15"/>
  <c r="A948" i="15"/>
  <c r="A947" i="15"/>
  <c r="A946" i="15"/>
  <c r="A945" i="15"/>
  <c r="A944" i="15"/>
  <c r="A943" i="15"/>
  <c r="A942" i="15"/>
  <c r="A941" i="15"/>
  <c r="A940" i="15"/>
  <c r="A939" i="15"/>
  <c r="A938" i="15"/>
  <c r="A937" i="15"/>
  <c r="A936" i="15"/>
  <c r="A935" i="15"/>
  <c r="A934" i="15"/>
  <c r="A933" i="15"/>
  <c r="A932" i="15"/>
  <c r="A931" i="15"/>
  <c r="A930" i="15"/>
  <c r="A929" i="15"/>
  <c r="A928" i="15"/>
  <c r="A927" i="15"/>
  <c r="A926" i="15"/>
  <c r="A925" i="15"/>
  <c r="A924" i="15"/>
  <c r="A923" i="15"/>
  <c r="A922" i="15"/>
  <c r="A921" i="15"/>
  <c r="A920" i="15"/>
  <c r="A919" i="15"/>
  <c r="A918" i="15"/>
  <c r="A917" i="15"/>
  <c r="A916" i="15"/>
  <c r="A915" i="15"/>
  <c r="A914" i="15"/>
  <c r="A913" i="15"/>
  <c r="A912" i="15"/>
  <c r="A911" i="15"/>
  <c r="A910" i="15"/>
  <c r="A909" i="15"/>
  <c r="A908" i="15"/>
  <c r="A907" i="15"/>
  <c r="A906" i="15"/>
  <c r="A905" i="15"/>
  <c r="A904" i="15"/>
  <c r="A903" i="15"/>
  <c r="A902" i="15"/>
  <c r="A901" i="15"/>
  <c r="A900" i="15"/>
  <c r="A899" i="15"/>
  <c r="A898" i="15"/>
  <c r="A897" i="15"/>
  <c r="A896" i="15"/>
  <c r="A895" i="15"/>
  <c r="A894" i="15"/>
  <c r="A893" i="15"/>
  <c r="A892" i="15"/>
  <c r="A891" i="15"/>
  <c r="A890" i="15"/>
  <c r="A889" i="15"/>
  <c r="A888" i="15"/>
  <c r="A887" i="15"/>
  <c r="A886" i="15"/>
  <c r="A885" i="15"/>
  <c r="A884" i="15"/>
  <c r="A883" i="15"/>
  <c r="A882" i="15"/>
  <c r="A881" i="15"/>
  <c r="A880" i="15"/>
  <c r="A879" i="15"/>
  <c r="A878" i="15"/>
  <c r="A877" i="15"/>
  <c r="A876" i="15"/>
  <c r="A875" i="15"/>
  <c r="A874" i="15"/>
  <c r="A873" i="15"/>
  <c r="A872" i="15"/>
  <c r="A871" i="15"/>
  <c r="A870" i="15"/>
  <c r="A869" i="15"/>
  <c r="A868" i="15"/>
  <c r="A867" i="15"/>
  <c r="A866" i="15"/>
  <c r="A865" i="15"/>
  <c r="A864" i="15"/>
  <c r="A863" i="15"/>
  <c r="A862" i="15"/>
  <c r="A861" i="15"/>
  <c r="A860" i="15"/>
  <c r="A859" i="15"/>
  <c r="A858" i="15"/>
  <c r="A857" i="15"/>
  <c r="A856" i="15"/>
  <c r="A855" i="15"/>
  <c r="A854" i="15"/>
  <c r="A853" i="15"/>
  <c r="A852" i="15"/>
  <c r="A851" i="15"/>
  <c r="A850" i="15"/>
  <c r="A849" i="15"/>
  <c r="A848" i="15"/>
  <c r="A847" i="15"/>
  <c r="A846" i="15"/>
  <c r="A845" i="15"/>
  <c r="A844" i="15"/>
  <c r="A843" i="15"/>
  <c r="A842" i="15"/>
  <c r="A841" i="15"/>
  <c r="A840" i="15"/>
  <c r="A839" i="15"/>
  <c r="A838" i="15"/>
  <c r="A837" i="15"/>
  <c r="A836" i="15"/>
  <c r="A835" i="15"/>
  <c r="A834" i="15"/>
  <c r="A833" i="15"/>
  <c r="A832" i="15"/>
  <c r="A831" i="15"/>
  <c r="A830" i="15"/>
  <c r="A829" i="15"/>
  <c r="A828" i="15"/>
  <c r="A827" i="15"/>
  <c r="A826" i="15"/>
  <c r="A825" i="15"/>
  <c r="A824" i="15"/>
  <c r="A823" i="15"/>
  <c r="A822" i="15"/>
  <c r="A821" i="15"/>
  <c r="A820" i="15"/>
  <c r="A819" i="15"/>
  <c r="A818" i="15"/>
  <c r="A817" i="15"/>
  <c r="A816" i="15"/>
  <c r="A815" i="15"/>
  <c r="A814" i="15"/>
  <c r="A813" i="15"/>
  <c r="A812" i="15"/>
  <c r="A811" i="15"/>
  <c r="A810" i="15"/>
  <c r="A809" i="15"/>
  <c r="A808" i="15"/>
  <c r="A807" i="15"/>
  <c r="A806" i="15"/>
  <c r="A805" i="15"/>
  <c r="A804" i="15"/>
  <c r="A803" i="15"/>
  <c r="A802" i="15"/>
  <c r="A801" i="15"/>
  <c r="A800" i="15"/>
  <c r="A799" i="15"/>
  <c r="A798" i="15"/>
  <c r="A797" i="15"/>
  <c r="A796" i="15"/>
  <c r="A795" i="15"/>
  <c r="A794" i="15"/>
  <c r="A793" i="15"/>
  <c r="A792" i="15"/>
  <c r="A791" i="15"/>
  <c r="A790" i="15"/>
  <c r="A789" i="15"/>
  <c r="A788" i="15"/>
  <c r="A787" i="15"/>
  <c r="A786" i="15"/>
  <c r="A785" i="15"/>
  <c r="A784" i="15"/>
  <c r="A783" i="15"/>
  <c r="A782" i="15"/>
  <c r="A781" i="15"/>
  <c r="A780" i="15"/>
  <c r="A779" i="15"/>
  <c r="A778" i="15"/>
  <c r="A777" i="15"/>
  <c r="A776" i="15"/>
  <c r="A775" i="15"/>
  <c r="A774" i="15"/>
  <c r="A773" i="15"/>
  <c r="A772" i="15"/>
  <c r="A771" i="15"/>
  <c r="A770" i="15"/>
  <c r="A769" i="15"/>
  <c r="A768" i="15"/>
  <c r="A767" i="15"/>
  <c r="A766" i="15"/>
  <c r="A765" i="15"/>
  <c r="A764" i="15"/>
  <c r="A763" i="15"/>
  <c r="A762" i="15"/>
  <c r="A761" i="15"/>
  <c r="A760" i="15"/>
  <c r="A759" i="15"/>
  <c r="A758" i="15"/>
  <c r="A757" i="15"/>
  <c r="A756" i="15"/>
  <c r="A755" i="15"/>
  <c r="A754" i="15"/>
  <c r="A753" i="15"/>
  <c r="A752" i="15"/>
  <c r="A751" i="15"/>
  <c r="A750" i="15"/>
  <c r="A749" i="15"/>
  <c r="A748" i="15"/>
  <c r="A747" i="15"/>
  <c r="A746" i="15"/>
  <c r="A745" i="15"/>
  <c r="A744" i="15"/>
  <c r="A743" i="15"/>
  <c r="A742" i="15"/>
  <c r="A741" i="15"/>
  <c r="A740" i="15"/>
  <c r="A739" i="15"/>
  <c r="A738" i="15"/>
  <c r="A737" i="15"/>
  <c r="A736" i="15"/>
  <c r="A735" i="15"/>
  <c r="A734" i="15"/>
  <c r="A733" i="15"/>
  <c r="A732" i="15"/>
  <c r="A731" i="15"/>
  <c r="A730" i="15"/>
  <c r="A729" i="15"/>
  <c r="A728" i="15"/>
  <c r="A727" i="15"/>
  <c r="A726" i="15"/>
  <c r="A725" i="15"/>
  <c r="A724" i="15"/>
  <c r="A723" i="15"/>
  <c r="A722" i="15"/>
  <c r="A721" i="15"/>
  <c r="A720" i="15"/>
  <c r="A719" i="15"/>
  <c r="A718" i="15"/>
  <c r="A717" i="15"/>
  <c r="A716" i="15"/>
  <c r="A715" i="15"/>
  <c r="A714" i="15"/>
  <c r="A713" i="15"/>
  <c r="A712" i="15"/>
  <c r="A711" i="15"/>
  <c r="A710" i="15"/>
  <c r="A709" i="15"/>
  <c r="A708" i="15"/>
  <c r="A707" i="15"/>
  <c r="A706" i="15"/>
  <c r="A705" i="15"/>
  <c r="A704" i="15"/>
  <c r="A703" i="15"/>
  <c r="A702" i="15"/>
  <c r="A701" i="15"/>
  <c r="A700" i="15"/>
  <c r="A699" i="15"/>
  <c r="A698" i="15"/>
  <c r="A697" i="15"/>
  <c r="A696" i="15"/>
  <c r="A695" i="15"/>
  <c r="A694" i="15"/>
  <c r="A693" i="15"/>
  <c r="A692" i="15"/>
  <c r="A691" i="15"/>
  <c r="A690" i="15"/>
  <c r="A689" i="15"/>
  <c r="A688" i="15"/>
  <c r="A687" i="15"/>
  <c r="A686" i="15"/>
  <c r="A685" i="15"/>
  <c r="A684" i="15"/>
  <c r="A683" i="15"/>
  <c r="A682" i="15"/>
  <c r="A681" i="15"/>
  <c r="A680" i="15"/>
  <c r="A679" i="15"/>
  <c r="A678" i="15"/>
  <c r="A677" i="15"/>
  <c r="A676" i="15"/>
  <c r="A675" i="15"/>
  <c r="A674" i="15"/>
  <c r="A673" i="15"/>
  <c r="A672" i="15"/>
  <c r="A671" i="15"/>
  <c r="A670" i="15"/>
  <c r="A669" i="15"/>
  <c r="A668" i="15"/>
  <c r="A667" i="15"/>
  <c r="A666" i="15"/>
  <c r="A665" i="15"/>
  <c r="A664" i="15"/>
  <c r="A663" i="15"/>
  <c r="A662" i="15"/>
  <c r="A661" i="15"/>
  <c r="A660" i="15"/>
  <c r="A659" i="15"/>
  <c r="A658" i="15"/>
  <c r="A657" i="15"/>
  <c r="A656" i="15"/>
  <c r="A655" i="15"/>
  <c r="A654" i="15"/>
  <c r="A653" i="15"/>
  <c r="A652" i="15"/>
  <c r="A651" i="15"/>
  <c r="A650" i="15"/>
  <c r="A649" i="15"/>
  <c r="A648" i="15"/>
  <c r="A647" i="15"/>
  <c r="A646" i="15"/>
  <c r="A645" i="15"/>
  <c r="A644" i="15"/>
  <c r="A643" i="15"/>
  <c r="A642" i="15"/>
  <c r="A641" i="15"/>
  <c r="A640" i="15"/>
  <c r="A639" i="15"/>
  <c r="A638" i="15"/>
  <c r="A637" i="15"/>
  <c r="A636" i="15"/>
  <c r="A635" i="15"/>
  <c r="A634" i="15"/>
  <c r="A633" i="15"/>
  <c r="A632" i="15"/>
  <c r="A631" i="15"/>
  <c r="A630" i="15"/>
  <c r="A629" i="15"/>
  <c r="A628" i="15"/>
  <c r="A627" i="15"/>
  <c r="A626" i="15"/>
  <c r="A625" i="15"/>
  <c r="A624" i="15"/>
  <c r="A623" i="15"/>
  <c r="A622" i="15"/>
  <c r="A621" i="15"/>
  <c r="A620" i="15"/>
  <c r="A619" i="15"/>
  <c r="A618" i="15"/>
  <c r="A617" i="15"/>
  <c r="A616" i="15"/>
  <c r="A615" i="15"/>
  <c r="A614" i="15"/>
  <c r="A613" i="15"/>
  <c r="A612" i="15"/>
  <c r="A611" i="15"/>
  <c r="A610" i="15"/>
  <c r="A609" i="15"/>
  <c r="A608" i="15"/>
  <c r="A607" i="15"/>
  <c r="A606" i="15"/>
  <c r="A605" i="15"/>
  <c r="A604" i="15"/>
  <c r="A603" i="15"/>
  <c r="A602" i="15"/>
  <c r="A601" i="15"/>
  <c r="A600" i="15"/>
  <c r="A599" i="15"/>
  <c r="A598" i="15"/>
  <c r="A597" i="15"/>
  <c r="A596" i="15"/>
  <c r="A595" i="15"/>
  <c r="A594" i="15"/>
  <c r="A593" i="15"/>
  <c r="A592" i="15"/>
  <c r="A591" i="15"/>
  <c r="A590" i="15"/>
  <c r="A589" i="15"/>
  <c r="A588" i="15"/>
  <c r="A587" i="15"/>
  <c r="A586" i="15"/>
  <c r="A585" i="15"/>
  <c r="A584" i="15"/>
  <c r="A583" i="15"/>
  <c r="A582" i="15"/>
  <c r="A581" i="15"/>
  <c r="A580" i="15"/>
  <c r="A579" i="15"/>
  <c r="A578" i="15"/>
  <c r="A577" i="15"/>
  <c r="A576" i="15"/>
  <c r="A575" i="15"/>
  <c r="A574" i="15"/>
  <c r="A573" i="15"/>
  <c r="A572" i="15"/>
  <c r="A571" i="15"/>
  <c r="A570" i="15"/>
  <c r="A569" i="15"/>
  <c r="A568" i="15"/>
  <c r="A567" i="15"/>
  <c r="A566" i="15"/>
  <c r="A565" i="15"/>
  <c r="A564" i="15"/>
  <c r="A563" i="15"/>
  <c r="A562" i="15"/>
  <c r="A561" i="15"/>
  <c r="A560" i="15"/>
  <c r="A559" i="15"/>
  <c r="A558" i="15"/>
  <c r="A557" i="15"/>
  <c r="A556" i="15"/>
  <c r="A555" i="15"/>
  <c r="A554" i="15"/>
  <c r="A553" i="15"/>
  <c r="A552" i="15"/>
  <c r="A551" i="15"/>
  <c r="A550" i="15"/>
  <c r="A549" i="15"/>
  <c r="A548" i="15"/>
  <c r="A547" i="15"/>
  <c r="A546" i="15"/>
  <c r="A545" i="15"/>
  <c r="A544" i="15"/>
  <c r="A543" i="15"/>
  <c r="A542" i="15"/>
  <c r="A541" i="15"/>
  <c r="A540" i="15"/>
  <c r="A539" i="15"/>
  <c r="A538" i="15"/>
  <c r="A537" i="15"/>
  <c r="A536" i="15"/>
  <c r="A535" i="15"/>
  <c r="A534" i="15"/>
  <c r="A533" i="15"/>
  <c r="A532" i="15"/>
  <c r="A531" i="15"/>
  <c r="A530" i="15"/>
  <c r="A529" i="15"/>
  <c r="A528" i="15"/>
  <c r="A527" i="15"/>
  <c r="A526" i="15"/>
  <c r="A525" i="15"/>
  <c r="A524" i="15"/>
  <c r="A523" i="15"/>
  <c r="A522" i="15"/>
  <c r="A521" i="15"/>
  <c r="A520" i="15"/>
  <c r="A519" i="15"/>
  <c r="A518" i="15"/>
  <c r="A517" i="15"/>
  <c r="A516" i="15"/>
  <c r="A515" i="15"/>
  <c r="A514" i="15"/>
  <c r="A513" i="15"/>
  <c r="A512" i="15"/>
  <c r="A511" i="15"/>
  <c r="A510" i="15"/>
  <c r="A509" i="15"/>
  <c r="A508" i="15"/>
  <c r="A507" i="15"/>
  <c r="A506" i="15"/>
  <c r="A505" i="15"/>
  <c r="A504" i="15"/>
  <c r="A503" i="15"/>
  <c r="A502" i="15"/>
  <c r="A501" i="15"/>
  <c r="A500" i="15"/>
  <c r="A499" i="15"/>
  <c r="A498" i="15"/>
  <c r="A497" i="15"/>
  <c r="A496" i="15"/>
  <c r="A495" i="15"/>
  <c r="A494" i="15"/>
  <c r="A493" i="15"/>
  <c r="A492" i="15"/>
  <c r="A491" i="15"/>
  <c r="A490" i="15"/>
  <c r="A489" i="15"/>
  <c r="A488" i="15"/>
  <c r="A487" i="15"/>
  <c r="A486" i="15"/>
  <c r="A485" i="15"/>
  <c r="A484" i="15"/>
  <c r="A483" i="15"/>
  <c r="A482" i="15"/>
  <c r="A481" i="15"/>
  <c r="A480" i="15"/>
  <c r="A479" i="15"/>
  <c r="A478" i="15"/>
  <c r="A477" i="15"/>
  <c r="A476" i="15"/>
  <c r="A475" i="15"/>
  <c r="A474" i="15"/>
  <c r="A473" i="15"/>
  <c r="A472" i="15"/>
  <c r="A471" i="15"/>
  <c r="A470" i="15"/>
  <c r="A469" i="15"/>
  <c r="A468" i="15"/>
  <c r="A467" i="15"/>
  <c r="A466" i="15"/>
  <c r="A465" i="15"/>
  <c r="A464" i="15"/>
  <c r="A463" i="15"/>
  <c r="A462" i="15"/>
  <c r="A461" i="15"/>
  <c r="A460" i="15"/>
  <c r="A459" i="15"/>
  <c r="A458" i="15"/>
  <c r="A457" i="15"/>
  <c r="A456" i="15"/>
  <c r="A455" i="15"/>
  <c r="A454" i="15"/>
  <c r="A453" i="15"/>
  <c r="A452" i="15"/>
  <c r="A451" i="15"/>
  <c r="A450" i="15"/>
  <c r="A449" i="15"/>
  <c r="A448" i="15"/>
  <c r="A447" i="15"/>
  <c r="A446" i="15"/>
  <c r="A445" i="15"/>
  <c r="A444" i="15"/>
  <c r="A443" i="15"/>
  <c r="A442" i="15"/>
  <c r="A441" i="15"/>
  <c r="A440" i="15"/>
  <c r="A439" i="15"/>
  <c r="A438" i="15"/>
  <c r="A437" i="15"/>
  <c r="A436" i="15"/>
  <c r="A435" i="15"/>
  <c r="A434" i="15"/>
  <c r="A433" i="15"/>
  <c r="A432" i="15"/>
  <c r="A431" i="15"/>
  <c r="A430" i="15"/>
  <c r="A429" i="15"/>
  <c r="A428" i="15"/>
  <c r="A427" i="15"/>
  <c r="A426" i="15"/>
  <c r="A425" i="15"/>
  <c r="A424" i="15"/>
  <c r="A423" i="15"/>
  <c r="A422" i="15"/>
  <c r="A421" i="15"/>
  <c r="A420" i="15"/>
  <c r="A419" i="15"/>
  <c r="A418" i="15"/>
  <c r="A417" i="15"/>
  <c r="A416" i="15"/>
  <c r="A415" i="15"/>
  <c r="A414" i="15"/>
  <c r="A413" i="15"/>
  <c r="A412" i="15"/>
  <c r="A411" i="15"/>
  <c r="A410" i="15"/>
  <c r="A409" i="15"/>
  <c r="A408" i="15"/>
  <c r="A407" i="15"/>
  <c r="A406" i="15"/>
  <c r="A405" i="15"/>
  <c r="A404" i="15"/>
  <c r="A403" i="15"/>
  <c r="A402" i="15"/>
  <c r="A401" i="15"/>
  <c r="A400" i="15"/>
  <c r="A399" i="15"/>
  <c r="A398" i="15"/>
  <c r="A397" i="15"/>
  <c r="A396" i="15"/>
  <c r="A395" i="15"/>
  <c r="A394" i="15"/>
  <c r="A393" i="15"/>
  <c r="A392" i="15"/>
  <c r="A391" i="15"/>
  <c r="A390" i="15"/>
  <c r="A389" i="15"/>
  <c r="A388" i="15"/>
  <c r="A387" i="15"/>
  <c r="A386" i="15"/>
  <c r="A385" i="15"/>
  <c r="A384" i="15"/>
  <c r="A383" i="15"/>
  <c r="A382" i="15"/>
  <c r="A381" i="15"/>
  <c r="A380" i="15"/>
  <c r="A379" i="15"/>
  <c r="A378" i="15"/>
  <c r="A377" i="15"/>
  <c r="A376" i="15"/>
  <c r="A375" i="15"/>
  <c r="A374" i="15"/>
  <c r="A373" i="15"/>
  <c r="A372" i="15"/>
  <c r="A371" i="15"/>
  <c r="A370" i="15"/>
  <c r="A369" i="15"/>
  <c r="A368" i="15"/>
  <c r="A367" i="15"/>
  <c r="A366" i="15"/>
  <c r="A365" i="15"/>
  <c r="A364" i="15"/>
  <c r="A363" i="15"/>
  <c r="A362" i="15"/>
  <c r="A361" i="15"/>
  <c r="A360" i="15"/>
  <c r="A359" i="15"/>
  <c r="A358" i="15"/>
  <c r="A357" i="15"/>
  <c r="A356" i="15"/>
  <c r="A355" i="15"/>
  <c r="A354" i="15"/>
  <c r="A353" i="15"/>
  <c r="A352" i="15"/>
  <c r="A351" i="15"/>
  <c r="A350" i="15"/>
  <c r="A349" i="15"/>
  <c r="A348" i="15"/>
  <c r="A347" i="15"/>
  <c r="A346" i="15"/>
  <c r="A345" i="15"/>
  <c r="A344" i="15"/>
  <c r="A343" i="15"/>
  <c r="A342" i="15"/>
  <c r="A341" i="15"/>
  <c r="A340" i="15"/>
  <c r="A339" i="15"/>
  <c r="A338" i="15"/>
  <c r="A337" i="15"/>
  <c r="A336" i="15"/>
  <c r="A335" i="15"/>
  <c r="A334" i="15"/>
  <c r="A333" i="15"/>
  <c r="A332" i="15"/>
  <c r="A331" i="15"/>
  <c r="A330" i="15"/>
  <c r="A329" i="15"/>
  <c r="A328" i="15"/>
  <c r="A327" i="15"/>
  <c r="A326" i="15"/>
  <c r="A325" i="15"/>
  <c r="A324" i="15"/>
  <c r="A323" i="15"/>
  <c r="A322" i="15"/>
  <c r="A321" i="15"/>
  <c r="A320" i="15"/>
  <c r="A319" i="15"/>
  <c r="A318" i="15"/>
  <c r="A317" i="15"/>
  <c r="A316" i="15"/>
  <c r="A315" i="15"/>
  <c r="A314" i="15"/>
  <c r="A313" i="15"/>
  <c r="A312" i="15"/>
  <c r="A311" i="15"/>
  <c r="A310" i="15"/>
  <c r="A309" i="15"/>
  <c r="A308" i="15"/>
  <c r="A307" i="15"/>
  <c r="A306" i="15"/>
  <c r="A305" i="15"/>
  <c r="A304" i="15"/>
  <c r="A303" i="15"/>
  <c r="A302" i="15"/>
  <c r="A301" i="15"/>
  <c r="A300" i="15"/>
  <c r="A299" i="15"/>
  <c r="A298" i="15"/>
  <c r="A297" i="15"/>
  <c r="A296" i="15"/>
  <c r="A295" i="15"/>
  <c r="A294" i="15"/>
  <c r="A293" i="15"/>
  <c r="A292" i="15"/>
  <c r="A291" i="15"/>
  <c r="A290" i="15"/>
  <c r="A289" i="15"/>
  <c r="A288" i="15"/>
  <c r="A287" i="15"/>
  <c r="A286" i="15"/>
  <c r="A285" i="15"/>
  <c r="A284" i="15"/>
  <c r="A283" i="15"/>
  <c r="A282" i="15"/>
  <c r="A281" i="15"/>
  <c r="A280" i="15"/>
  <c r="A279" i="15"/>
  <c r="A278" i="15"/>
  <c r="A277" i="15"/>
  <c r="A276" i="15"/>
  <c r="A275" i="15"/>
  <c r="A274" i="15"/>
  <c r="A273" i="15"/>
  <c r="A272" i="15"/>
  <c r="A271" i="15"/>
  <c r="A270" i="15"/>
  <c r="A269" i="15"/>
  <c r="A268" i="15"/>
  <c r="A267" i="15"/>
  <c r="A266" i="15"/>
  <c r="A265" i="15"/>
  <c r="A264" i="15"/>
  <c r="A263" i="15"/>
  <c r="A262" i="15"/>
  <c r="A261" i="15"/>
  <c r="A260" i="15"/>
  <c r="A259" i="15"/>
  <c r="A258" i="15"/>
  <c r="A257" i="15"/>
  <c r="A256" i="15"/>
  <c r="A255" i="15"/>
  <c r="A254" i="15"/>
  <c r="A253" i="15"/>
  <c r="A252" i="15"/>
  <c r="A251" i="15"/>
  <c r="A250" i="15"/>
  <c r="A249" i="15"/>
  <c r="A248" i="15"/>
  <c r="A247" i="15"/>
  <c r="A246" i="15"/>
  <c r="A245" i="15"/>
  <c r="A244" i="15"/>
  <c r="A243" i="15"/>
  <c r="A242" i="15"/>
  <c r="A241" i="15"/>
  <c r="A240" i="15"/>
  <c r="A239" i="15"/>
  <c r="A238" i="15"/>
  <c r="A237" i="15"/>
  <c r="A236" i="15"/>
  <c r="A235" i="15"/>
  <c r="A234" i="15"/>
  <c r="A233" i="15"/>
  <c r="A232" i="15"/>
  <c r="A231" i="15"/>
  <c r="A230" i="15"/>
  <c r="A229" i="15"/>
  <c r="A228" i="15"/>
  <c r="A227" i="15"/>
  <c r="A226" i="15"/>
  <c r="A225" i="15"/>
  <c r="A224" i="15"/>
  <c r="A223" i="15"/>
  <c r="A222" i="15"/>
  <c r="A221" i="15"/>
  <c r="A220" i="15"/>
  <c r="A219" i="15"/>
  <c r="A218" i="15"/>
  <c r="A217" i="15"/>
  <c r="A216" i="15"/>
  <c r="A215" i="15"/>
  <c r="A214" i="15"/>
  <c r="A213" i="15"/>
  <c r="A212" i="15"/>
  <c r="A211" i="15"/>
  <c r="A210" i="15"/>
  <c r="A209" i="15"/>
  <c r="A208" i="15"/>
  <c r="A207" i="15"/>
  <c r="A206" i="15"/>
  <c r="A205" i="15"/>
  <c r="A204" i="15"/>
  <c r="A203" i="15"/>
  <c r="A202" i="15"/>
  <c r="A201" i="15"/>
  <c r="A200" i="15"/>
  <c r="A199" i="15"/>
  <c r="A198" i="15"/>
  <c r="A197" i="15"/>
  <c r="A196" i="15"/>
  <c r="A195" i="15"/>
  <c r="A194" i="15"/>
  <c r="A193" i="15"/>
  <c r="A192" i="15"/>
  <c r="A191" i="15"/>
  <c r="A190" i="15"/>
  <c r="A189" i="15"/>
  <c r="A188" i="15"/>
  <c r="A187" i="15"/>
  <c r="A186" i="15"/>
  <c r="A185" i="15"/>
  <c r="A184" i="15"/>
  <c r="A183" i="15"/>
  <c r="A182" i="15"/>
  <c r="A181" i="15"/>
  <c r="A180" i="15"/>
  <c r="A179" i="15"/>
  <c r="A178" i="15"/>
  <c r="A177" i="15"/>
  <c r="A176" i="15"/>
  <c r="A175" i="15"/>
  <c r="A174" i="15"/>
  <c r="A173" i="15"/>
  <c r="A172" i="15"/>
  <c r="A171" i="15"/>
  <c r="A170" i="15"/>
  <c r="A169" i="15"/>
  <c r="A168" i="15"/>
  <c r="A167" i="15"/>
  <c r="A166" i="15"/>
  <c r="A165" i="15"/>
  <c r="A164" i="15"/>
  <c r="A163" i="15"/>
  <c r="A162" i="15"/>
  <c r="A161" i="15"/>
  <c r="A160" i="15"/>
  <c r="A159" i="15"/>
  <c r="A158" i="15"/>
  <c r="A157" i="15"/>
  <c r="A156" i="15"/>
  <c r="A155" i="15"/>
  <c r="A154" i="15"/>
  <c r="A153" i="15"/>
  <c r="A152" i="15"/>
  <c r="A151" i="15"/>
  <c r="A150" i="15"/>
  <c r="A149" i="15"/>
  <c r="A148" i="15"/>
  <c r="A147" i="15"/>
  <c r="A146" i="15"/>
  <c r="A145" i="15"/>
  <c r="A144" i="15"/>
  <c r="A143" i="15"/>
  <c r="A142" i="15"/>
  <c r="A141" i="15"/>
  <c r="A140" i="15"/>
  <c r="A139" i="15"/>
  <c r="A138" i="15"/>
  <c r="A137" i="15"/>
  <c r="A136" i="15"/>
  <c r="A135" i="15"/>
  <c r="A134" i="15"/>
  <c r="A133" i="15"/>
  <c r="A132" i="15"/>
  <c r="A131" i="15"/>
  <c r="A130" i="15"/>
  <c r="A129" i="15"/>
  <c r="A128" i="15"/>
  <c r="A127" i="15"/>
  <c r="A126" i="15"/>
  <c r="A125" i="15"/>
  <c r="A124" i="15"/>
  <c r="A123" i="15"/>
  <c r="A122" i="15"/>
  <c r="A121" i="15"/>
  <c r="A120" i="15"/>
  <c r="A119" i="15"/>
  <c r="A118" i="15"/>
  <c r="A117" i="15"/>
  <c r="A116" i="15"/>
  <c r="A115" i="15"/>
  <c r="A114" i="15"/>
  <c r="A113" i="15"/>
  <c r="A112" i="15"/>
  <c r="A111" i="15"/>
  <c r="A110" i="15"/>
  <c r="A109" i="15"/>
  <c r="A108" i="15"/>
  <c r="A107" i="15"/>
  <c r="A106" i="15"/>
  <c r="A105" i="15"/>
  <c r="A104" i="15"/>
  <c r="A103" i="15"/>
  <c r="A102" i="15"/>
  <c r="A101" i="15"/>
  <c r="A100" i="15"/>
  <c r="A99" i="15"/>
  <c r="A98" i="15"/>
  <c r="A97" i="15"/>
  <c r="A96" i="15"/>
  <c r="A95" i="15"/>
  <c r="A94" i="15"/>
  <c r="A93" i="15"/>
  <c r="A92" i="15"/>
  <c r="A91" i="15"/>
  <c r="A90" i="15"/>
  <c r="A89" i="15"/>
  <c r="A88" i="15"/>
  <c r="A87" i="15"/>
  <c r="A86" i="15"/>
  <c r="A85" i="15"/>
  <c r="A84" i="15"/>
  <c r="A83" i="15"/>
  <c r="A82" i="15"/>
  <c r="A81" i="15"/>
  <c r="A80" i="15"/>
  <c r="A79" i="15"/>
  <c r="A78" i="15"/>
  <c r="A77" i="15"/>
  <c r="A76" i="15"/>
  <c r="A75" i="15"/>
  <c r="A74" i="15"/>
  <c r="A73" i="15"/>
  <c r="A72" i="15"/>
  <c r="A71" i="15"/>
  <c r="A70" i="15"/>
  <c r="A69" i="15"/>
  <c r="A68" i="15"/>
  <c r="A67" i="15"/>
  <c r="A66" i="15"/>
  <c r="A65" i="15"/>
  <c r="A64" i="15"/>
  <c r="A63" i="15"/>
  <c r="A62" i="15"/>
  <c r="A61" i="15"/>
  <c r="A60" i="15"/>
  <c r="A59" i="15"/>
  <c r="A58" i="15"/>
  <c r="A57" i="15"/>
  <c r="A56" i="15"/>
  <c r="A55" i="15"/>
  <c r="A54" i="15"/>
  <c r="A53" i="15"/>
  <c r="A52" i="15"/>
  <c r="A51" i="15"/>
  <c r="A50" i="15"/>
  <c r="A49" i="15"/>
  <c r="A48" i="15"/>
  <c r="A47" i="15"/>
  <c r="A46" i="15"/>
  <c r="A45" i="15"/>
  <c r="A44" i="15"/>
  <c r="A43" i="15"/>
  <c r="A42" i="15"/>
  <c r="A41" i="15"/>
  <c r="A40" i="15"/>
  <c r="A39" i="15"/>
  <c r="A38" i="15"/>
  <c r="A37" i="15"/>
  <c r="A36" i="15"/>
  <c r="A35" i="15"/>
  <c r="A34" i="15"/>
  <c r="A33" i="15"/>
  <c r="A32" i="15"/>
  <c r="A31" i="15"/>
  <c r="A30" i="15"/>
  <c r="A29" i="15"/>
  <c r="A28" i="15"/>
  <c r="A27" i="15"/>
  <c r="A26" i="15"/>
  <c r="A25" i="15"/>
  <c r="A24" i="15"/>
  <c r="A23" i="15"/>
  <c r="A22" i="15"/>
  <c r="A21" i="15"/>
  <c r="A20" i="15"/>
  <c r="A19" i="15"/>
  <c r="A18" i="15"/>
  <c r="A17" i="15"/>
  <c r="A16" i="15"/>
  <c r="A15" i="15"/>
  <c r="A14" i="15"/>
  <c r="A13" i="15"/>
  <c r="A12" i="15"/>
  <c r="A11" i="15"/>
  <c r="A10" i="15"/>
  <c r="A9" i="15"/>
  <c r="A8" i="15"/>
  <c r="A7" i="15"/>
  <c r="A6" i="15"/>
  <c r="A5" i="15"/>
  <c r="A4" i="15"/>
  <c r="A3" i="15"/>
  <c r="A2612" i="13" l="1"/>
  <c r="C2612" i="13"/>
  <c r="A2611" i="13"/>
  <c r="C2611" i="13"/>
  <c r="A2610" i="13"/>
  <c r="C2610" i="13"/>
  <c r="A2609" i="13"/>
  <c r="C2609" i="13"/>
  <c r="A2608" i="13"/>
  <c r="C2608" i="13"/>
  <c r="A2607" i="13"/>
  <c r="C2607" i="13"/>
  <c r="A2606" i="13"/>
  <c r="C2606" i="13"/>
  <c r="A2605" i="13"/>
  <c r="C2605" i="13"/>
  <c r="A2604" i="13"/>
  <c r="C2604" i="13"/>
  <c r="A2603" i="13"/>
  <c r="C2603" i="13"/>
  <c r="A2602" i="13"/>
  <c r="C2602" i="13"/>
  <c r="A2601" i="13"/>
  <c r="C2601" i="13"/>
  <c r="A2600" i="13"/>
  <c r="C2600" i="13"/>
  <c r="A2599" i="13"/>
  <c r="C2599" i="13"/>
  <c r="A2598" i="13"/>
  <c r="C2598" i="13"/>
  <c r="A2597" i="13"/>
  <c r="C2597" i="13"/>
  <c r="A2596" i="13"/>
  <c r="C2596" i="13"/>
  <c r="A2595" i="13"/>
  <c r="C2595" i="13"/>
  <c r="A2594" i="13"/>
  <c r="C2594" i="13"/>
  <c r="A2593" i="13"/>
  <c r="C2593" i="13"/>
  <c r="A2592" i="13"/>
  <c r="C2592" i="13"/>
  <c r="A2591" i="13"/>
  <c r="C2591" i="13"/>
  <c r="A2590" i="13"/>
  <c r="C2590" i="13"/>
  <c r="A2589" i="13"/>
  <c r="C2589" i="13"/>
  <c r="A2588" i="13"/>
  <c r="C2588" i="13"/>
  <c r="A2587" i="13"/>
  <c r="C2587" i="13"/>
  <c r="A2586" i="13"/>
  <c r="C2586" i="13"/>
  <c r="A2585" i="13"/>
  <c r="C2585" i="13"/>
  <c r="A2584" i="13"/>
  <c r="C2584" i="13"/>
  <c r="A2583" i="13"/>
  <c r="C2583" i="13"/>
  <c r="A2582" i="13"/>
  <c r="C2582" i="13"/>
  <c r="A2581" i="13"/>
  <c r="C2581" i="13"/>
  <c r="A2580" i="13"/>
  <c r="C2580" i="13"/>
  <c r="A2579" i="13"/>
  <c r="C2579" i="13"/>
  <c r="A2578" i="13"/>
  <c r="C2578" i="13"/>
  <c r="A2577" i="13"/>
  <c r="C2577" i="13"/>
  <c r="A2576" i="13"/>
  <c r="C2576" i="13"/>
  <c r="A2575" i="13"/>
  <c r="C2575" i="13"/>
  <c r="A2574" i="13"/>
  <c r="C2574" i="13"/>
  <c r="A2573" i="13"/>
  <c r="C2573" i="13"/>
  <c r="A2572" i="13"/>
  <c r="C2572" i="13"/>
  <c r="A2571" i="13"/>
  <c r="C2571" i="13"/>
  <c r="A2570" i="13"/>
  <c r="C2570" i="13"/>
  <c r="A2569" i="13"/>
  <c r="C2569" i="13"/>
  <c r="A2568" i="13"/>
  <c r="C2568" i="13"/>
  <c r="A2567" i="13"/>
  <c r="C2567" i="13"/>
  <c r="A2566" i="13"/>
  <c r="C2566" i="13"/>
  <c r="A2565" i="13"/>
  <c r="C2565" i="13"/>
  <c r="A2564" i="13"/>
  <c r="C2564" i="13"/>
  <c r="A2563" i="13"/>
  <c r="C2563" i="13"/>
  <c r="A2562" i="13"/>
  <c r="C2562" i="13"/>
  <c r="A2561" i="13"/>
  <c r="C2561" i="13"/>
  <c r="A2560" i="13"/>
  <c r="C2560" i="13"/>
  <c r="A2559" i="13"/>
  <c r="C2559" i="13"/>
  <c r="A2558" i="13"/>
  <c r="C2558" i="13"/>
  <c r="A2557" i="13"/>
  <c r="C2557" i="13"/>
  <c r="A2556" i="13"/>
  <c r="C2556" i="13"/>
  <c r="A2555" i="13"/>
  <c r="C2555" i="13"/>
  <c r="A2554" i="13"/>
  <c r="C2554" i="13"/>
  <c r="A2553" i="13"/>
  <c r="C2553" i="13"/>
  <c r="A2552" i="13"/>
  <c r="C2552" i="13"/>
  <c r="A2551" i="13"/>
  <c r="C2551" i="13"/>
  <c r="A2550" i="13"/>
  <c r="C2550" i="13"/>
  <c r="A2549" i="13"/>
  <c r="C2549" i="13"/>
  <c r="A2548" i="13"/>
  <c r="C2548" i="13"/>
  <c r="A2547" i="13"/>
  <c r="C2547" i="13"/>
  <c r="A2546" i="13"/>
  <c r="C2546" i="13"/>
  <c r="A2545" i="13"/>
  <c r="C2545" i="13"/>
  <c r="A2544" i="13"/>
  <c r="C2544" i="13"/>
  <c r="A2543" i="13"/>
  <c r="C2543" i="13"/>
  <c r="A2542" i="13"/>
  <c r="C2542" i="13"/>
  <c r="A2541" i="13"/>
  <c r="C2541" i="13"/>
  <c r="A2540" i="13"/>
  <c r="C2540" i="13"/>
  <c r="A2539" i="13"/>
  <c r="C2539" i="13"/>
  <c r="A2538" i="13"/>
  <c r="C2538" i="13"/>
  <c r="A2537" i="13"/>
  <c r="C2537" i="13"/>
  <c r="A2536" i="13"/>
  <c r="C2536" i="13"/>
  <c r="A2535" i="13"/>
  <c r="C2535" i="13"/>
  <c r="A2534" i="13"/>
  <c r="C2534" i="13"/>
  <c r="A2533" i="13"/>
  <c r="C2533" i="13"/>
  <c r="A2532" i="13"/>
  <c r="C2532" i="13"/>
  <c r="A2531" i="13"/>
  <c r="C2531" i="13"/>
  <c r="A2530" i="13"/>
  <c r="C2530" i="13"/>
  <c r="A2529" i="13"/>
  <c r="C2529" i="13"/>
  <c r="A2528" i="13"/>
  <c r="C2528" i="13"/>
  <c r="A2527" i="13"/>
  <c r="C2527" i="13"/>
  <c r="A2526" i="13"/>
  <c r="C2526" i="13"/>
  <c r="A2525" i="13"/>
  <c r="C2525" i="13"/>
  <c r="A2524" i="13"/>
  <c r="C2524" i="13"/>
  <c r="A2523" i="13"/>
  <c r="C2523" i="13"/>
  <c r="A2522" i="13"/>
  <c r="C2522" i="13"/>
  <c r="A2521" i="13"/>
  <c r="C2521" i="13"/>
  <c r="A2520" i="13"/>
  <c r="C2520" i="13"/>
  <c r="A2519" i="13"/>
  <c r="C2519" i="13"/>
  <c r="A2518" i="13"/>
  <c r="C2518" i="13"/>
  <c r="A2517" i="13"/>
  <c r="C2517" i="13"/>
  <c r="A2516" i="13"/>
  <c r="C2516" i="13"/>
  <c r="A2515" i="13"/>
  <c r="C2515" i="13"/>
  <c r="A2514" i="13"/>
  <c r="C2514" i="13"/>
  <c r="A2513" i="13"/>
  <c r="C2513" i="13"/>
  <c r="A2512" i="13"/>
  <c r="C2512" i="13"/>
  <c r="A2511" i="13"/>
  <c r="C2511" i="13"/>
  <c r="A2510" i="13"/>
  <c r="C2510" i="13"/>
  <c r="A2509" i="13"/>
  <c r="C2509" i="13"/>
  <c r="A2508" i="13"/>
  <c r="C2508" i="13"/>
  <c r="A2507" i="13"/>
  <c r="C2507" i="13"/>
  <c r="A2506" i="13"/>
  <c r="C2506" i="13"/>
  <c r="A2505" i="13"/>
  <c r="C2505" i="13"/>
  <c r="A2504" i="13"/>
  <c r="C2504" i="13"/>
  <c r="A2503" i="13"/>
  <c r="C2503" i="13"/>
  <c r="A2502" i="13"/>
  <c r="C2502" i="13"/>
  <c r="A2501" i="13"/>
  <c r="C2501" i="13"/>
  <c r="A2500" i="13"/>
  <c r="C2500" i="13"/>
  <c r="A2499" i="13"/>
  <c r="C2499" i="13"/>
  <c r="A2498" i="13"/>
  <c r="C2498" i="13"/>
  <c r="A2497" i="13"/>
  <c r="C2497" i="13"/>
  <c r="A2496" i="13"/>
  <c r="C2496" i="13"/>
  <c r="A2495" i="13"/>
  <c r="C2495" i="13"/>
  <c r="A2494" i="13"/>
  <c r="C2494" i="13"/>
  <c r="A2493" i="13"/>
  <c r="C2493" i="13"/>
  <c r="A2492" i="13"/>
  <c r="C2492" i="13"/>
  <c r="A2491" i="13"/>
  <c r="C2491" i="13"/>
  <c r="A2490" i="13"/>
  <c r="C2490" i="13"/>
  <c r="A2489" i="13"/>
  <c r="C2489" i="13"/>
  <c r="A2488" i="13"/>
  <c r="C2488" i="13"/>
  <c r="A2487" i="13"/>
  <c r="C2487" i="13"/>
  <c r="A2486" i="13"/>
  <c r="C2486" i="13"/>
  <c r="A2485" i="13"/>
  <c r="C2485" i="13"/>
  <c r="A2484" i="13"/>
  <c r="C2484" i="13"/>
  <c r="A2483" i="13"/>
  <c r="C2483" i="13"/>
  <c r="A2482" i="13"/>
  <c r="C2482" i="13"/>
  <c r="A2481" i="13"/>
  <c r="C2481" i="13"/>
  <c r="A2480" i="13"/>
  <c r="C2480" i="13"/>
  <c r="A2479" i="13"/>
  <c r="C2479" i="13"/>
  <c r="A2478" i="13"/>
  <c r="C2478" i="13"/>
  <c r="A2477" i="13"/>
  <c r="C2477" i="13"/>
  <c r="A2476" i="13"/>
  <c r="C2476" i="13"/>
  <c r="A2475" i="13"/>
  <c r="C2475" i="13"/>
  <c r="A2474" i="13"/>
  <c r="C2474" i="13"/>
  <c r="A2473" i="13"/>
  <c r="C2473" i="13"/>
  <c r="A2472" i="13"/>
  <c r="C2472" i="13"/>
  <c r="A2471" i="13"/>
  <c r="C2471" i="13"/>
  <c r="A2470" i="13"/>
  <c r="C2470" i="13"/>
  <c r="A2469" i="13"/>
  <c r="C2469" i="13"/>
  <c r="A2468" i="13"/>
  <c r="C2468" i="13"/>
  <c r="A2467" i="13"/>
  <c r="C2467" i="13"/>
  <c r="A2466" i="13"/>
  <c r="C2466" i="13"/>
  <c r="A2465" i="13"/>
  <c r="C2465" i="13"/>
  <c r="A2464" i="13"/>
  <c r="C2464" i="13"/>
  <c r="A2463" i="13"/>
  <c r="C2463" i="13"/>
  <c r="A2462" i="13"/>
  <c r="C2462" i="13"/>
  <c r="A2461" i="13"/>
  <c r="C2461" i="13"/>
  <c r="A2460" i="13"/>
  <c r="C2460" i="13"/>
  <c r="A2459" i="13"/>
  <c r="C2459" i="13"/>
  <c r="A2458" i="13"/>
  <c r="C2458" i="13"/>
  <c r="A2457" i="13"/>
  <c r="C2457" i="13"/>
  <c r="A2456" i="13"/>
  <c r="C2456" i="13"/>
  <c r="A2455" i="13"/>
  <c r="C2455" i="13"/>
  <c r="A2454" i="13"/>
  <c r="C2454" i="13"/>
  <c r="A2453" i="13"/>
  <c r="C2453" i="13"/>
  <c r="A2452" i="13"/>
  <c r="C2452" i="13"/>
  <c r="A2451" i="13"/>
  <c r="C2451" i="13"/>
  <c r="A2450" i="13"/>
  <c r="C2450" i="13"/>
  <c r="A2449" i="13"/>
  <c r="C2449" i="13"/>
  <c r="A2448" i="13"/>
  <c r="C2448" i="13"/>
  <c r="A2447" i="13"/>
  <c r="C2447" i="13"/>
  <c r="A2446" i="13"/>
  <c r="C2446" i="13"/>
  <c r="A2445" i="13"/>
  <c r="C2445" i="13"/>
  <c r="A2444" i="13"/>
  <c r="C2444" i="13"/>
  <c r="A2443" i="13"/>
  <c r="C2443" i="13"/>
  <c r="A2442" i="13"/>
  <c r="C2442" i="13"/>
  <c r="A2441" i="13"/>
  <c r="C2441" i="13"/>
  <c r="A2440" i="13"/>
  <c r="C2440" i="13"/>
  <c r="A2439" i="13"/>
  <c r="C2439" i="13"/>
  <c r="A2438" i="13"/>
  <c r="C2438" i="13"/>
  <c r="A2437" i="13"/>
  <c r="C2437" i="13"/>
  <c r="A2436" i="13"/>
  <c r="C2436" i="13"/>
  <c r="A2435" i="13"/>
  <c r="C2435" i="13"/>
  <c r="A2434" i="13"/>
  <c r="C2434" i="13"/>
  <c r="A2433" i="13"/>
  <c r="C2433" i="13"/>
  <c r="A2432" i="13"/>
  <c r="C2432" i="13"/>
  <c r="A2431" i="13"/>
  <c r="C2431" i="13"/>
  <c r="A2430" i="13"/>
  <c r="C2430" i="13"/>
  <c r="A2429" i="13"/>
  <c r="C2429" i="13"/>
  <c r="A2428" i="13"/>
  <c r="C2428" i="13"/>
  <c r="A2427" i="13"/>
  <c r="C2427" i="13"/>
  <c r="A2426" i="13"/>
  <c r="C2426" i="13"/>
  <c r="A2425" i="13"/>
  <c r="C2425" i="13"/>
  <c r="A2424" i="13"/>
  <c r="C2424" i="13"/>
  <c r="A2423" i="13"/>
  <c r="C2423" i="13"/>
  <c r="A2422" i="13"/>
  <c r="C2422" i="13"/>
  <c r="A2421" i="13"/>
  <c r="C2421" i="13"/>
  <c r="A2420" i="13"/>
  <c r="C2420" i="13"/>
  <c r="A2419" i="13"/>
  <c r="C2419" i="13"/>
  <c r="A2418" i="13"/>
  <c r="C2418" i="13"/>
  <c r="A2417" i="13"/>
  <c r="C2417" i="13"/>
  <c r="A2416" i="13"/>
  <c r="C2416" i="13"/>
  <c r="A2415" i="13"/>
  <c r="C2415" i="13"/>
  <c r="A2414" i="13"/>
  <c r="C2414" i="13"/>
  <c r="A2413" i="13"/>
  <c r="C2413" i="13"/>
  <c r="A2412" i="13"/>
  <c r="C2412" i="13"/>
  <c r="A2411" i="13"/>
  <c r="C2411" i="13"/>
  <c r="A2410" i="13"/>
  <c r="C2410" i="13"/>
  <c r="A2409" i="13"/>
  <c r="C2409" i="13"/>
  <c r="A2408" i="13"/>
  <c r="C2408" i="13"/>
  <c r="A2407" i="13"/>
  <c r="C2407" i="13"/>
  <c r="A2406" i="13"/>
  <c r="C2406" i="13"/>
  <c r="A2405" i="13"/>
  <c r="C2405" i="13"/>
  <c r="A2404" i="13"/>
  <c r="C2404" i="13"/>
  <c r="A2403" i="13"/>
  <c r="C2403" i="13"/>
  <c r="A2402" i="13"/>
  <c r="C2402" i="13"/>
  <c r="A2401" i="13"/>
  <c r="C2401" i="13"/>
  <c r="A2400" i="13"/>
  <c r="C2400" i="13"/>
  <c r="A2399" i="13"/>
  <c r="C2399" i="13"/>
  <c r="A2398" i="13"/>
  <c r="C2398" i="13"/>
  <c r="A2397" i="13"/>
  <c r="C2397" i="13"/>
  <c r="A2396" i="13"/>
  <c r="C2396" i="13"/>
  <c r="A2395" i="13"/>
  <c r="C2395" i="13"/>
  <c r="A2394" i="13"/>
  <c r="C2394" i="13"/>
  <c r="A2393" i="13"/>
  <c r="C2393" i="13"/>
  <c r="A2392" i="13"/>
  <c r="C2392" i="13"/>
  <c r="A2391" i="13"/>
  <c r="C2391" i="13"/>
  <c r="A2390" i="13"/>
  <c r="C2390" i="13"/>
  <c r="A2389" i="13"/>
  <c r="C2389" i="13"/>
  <c r="A2388" i="13"/>
  <c r="C2388" i="13"/>
  <c r="A2387" i="13"/>
  <c r="C2387" i="13"/>
  <c r="A2386" i="13"/>
  <c r="C2386" i="13"/>
  <c r="A2385" i="13"/>
  <c r="C2385" i="13"/>
  <c r="A2384" i="13"/>
  <c r="C2384" i="13"/>
  <c r="A2383" i="13"/>
  <c r="C2383" i="13"/>
  <c r="A2382" i="13"/>
  <c r="C2382" i="13"/>
  <c r="A2381" i="13"/>
  <c r="C2381" i="13"/>
  <c r="A2380" i="13"/>
  <c r="C2380" i="13"/>
  <c r="A2379" i="13"/>
  <c r="C2379" i="13"/>
  <c r="A2378" i="13"/>
  <c r="C2378" i="13"/>
  <c r="A2377" i="13"/>
  <c r="C2377" i="13"/>
  <c r="A2376" i="13"/>
  <c r="C2376" i="13"/>
  <c r="A2375" i="13"/>
  <c r="C2375" i="13"/>
  <c r="A2374" i="13"/>
  <c r="C2374" i="13"/>
  <c r="A2373" i="13"/>
  <c r="C2373" i="13"/>
  <c r="A2372" i="13"/>
  <c r="C2372" i="13"/>
  <c r="A2371" i="13"/>
  <c r="C2371" i="13"/>
  <c r="A2370" i="13"/>
  <c r="C2370" i="13"/>
  <c r="A2369" i="13"/>
  <c r="C2369" i="13"/>
  <c r="A2368" i="13"/>
  <c r="C2368" i="13"/>
  <c r="A2367" i="13"/>
  <c r="C2367" i="13"/>
  <c r="A2366" i="13"/>
  <c r="C2366" i="13"/>
  <c r="A2365" i="13"/>
  <c r="C2365" i="13"/>
  <c r="A2364" i="13"/>
  <c r="C2364" i="13"/>
  <c r="A2363" i="13"/>
  <c r="C2363" i="13"/>
  <c r="A2362" i="13"/>
  <c r="C2362" i="13"/>
  <c r="A2361" i="13"/>
  <c r="C2361" i="13"/>
  <c r="A2360" i="13"/>
  <c r="C2360" i="13"/>
  <c r="A2359" i="13"/>
  <c r="C2359" i="13"/>
  <c r="A2358" i="13"/>
  <c r="C2358" i="13"/>
  <c r="A2357" i="13"/>
  <c r="C2357" i="13"/>
  <c r="A2356" i="13"/>
  <c r="C2356" i="13"/>
  <c r="A2355" i="13"/>
  <c r="C2355" i="13"/>
  <c r="A2354" i="13"/>
  <c r="C2354" i="13"/>
  <c r="A2353" i="13"/>
  <c r="C2353" i="13"/>
  <c r="A2352" i="13"/>
  <c r="C2352" i="13"/>
  <c r="A2351" i="13"/>
  <c r="C2351" i="13"/>
  <c r="A2350" i="13"/>
  <c r="C2350" i="13"/>
  <c r="A2349" i="13"/>
  <c r="C2349" i="13"/>
  <c r="A2348" i="13"/>
  <c r="C2348" i="13"/>
  <c r="A2347" i="13"/>
  <c r="C2347" i="13"/>
  <c r="A2346" i="13"/>
  <c r="C2346" i="13"/>
  <c r="A2345" i="13"/>
  <c r="C2345" i="13"/>
  <c r="A2344" i="13"/>
  <c r="C2344" i="13"/>
  <c r="A2343" i="13"/>
  <c r="C2343" i="13"/>
  <c r="A2342" i="13"/>
  <c r="C2342" i="13"/>
  <c r="A2341" i="13"/>
  <c r="C2341" i="13"/>
  <c r="A2340" i="13"/>
  <c r="C2340" i="13"/>
  <c r="A2339" i="13"/>
  <c r="C2339" i="13"/>
  <c r="A2338" i="13"/>
  <c r="C2338" i="13"/>
  <c r="A2337" i="13"/>
  <c r="C2337" i="13"/>
  <c r="A2336" i="13"/>
  <c r="C2336" i="13"/>
  <c r="A2335" i="13"/>
  <c r="C2335" i="13"/>
  <c r="A2334" i="13"/>
  <c r="C2334" i="13"/>
  <c r="A2333" i="13"/>
  <c r="C2333" i="13"/>
  <c r="A2332" i="13"/>
  <c r="C2332" i="13"/>
  <c r="A2331" i="13"/>
  <c r="C2331" i="13"/>
  <c r="A2330" i="13"/>
  <c r="C2330" i="13"/>
  <c r="A2329" i="13"/>
  <c r="C2329" i="13"/>
  <c r="A2328" i="13"/>
  <c r="C2328" i="13"/>
  <c r="A2327" i="13"/>
  <c r="C2327" i="13"/>
  <c r="A2326" i="13"/>
  <c r="C2326" i="13"/>
  <c r="A2325" i="13"/>
  <c r="C2325" i="13"/>
  <c r="A2324" i="13"/>
  <c r="C2324" i="13"/>
  <c r="A2323" i="13"/>
  <c r="C2323" i="13"/>
  <c r="A2322" i="13"/>
  <c r="C2322" i="13"/>
  <c r="A2321" i="13"/>
  <c r="C2321" i="13"/>
  <c r="A2320" i="13"/>
  <c r="C2320" i="13"/>
  <c r="A2319" i="13"/>
  <c r="C2319" i="13"/>
  <c r="A2318" i="13"/>
  <c r="C2318" i="13"/>
  <c r="A2317" i="13"/>
  <c r="C2317" i="13"/>
  <c r="A2316" i="13"/>
  <c r="C2316" i="13"/>
  <c r="A2315" i="13"/>
  <c r="C2315" i="13"/>
  <c r="A2314" i="13"/>
  <c r="C2314" i="13"/>
  <c r="A2313" i="13"/>
  <c r="C2313" i="13"/>
  <c r="A2312" i="13"/>
  <c r="C2312" i="13"/>
  <c r="A2311" i="13"/>
  <c r="C2311" i="13"/>
  <c r="A2310" i="13"/>
  <c r="C2310" i="13"/>
  <c r="A2309" i="13"/>
  <c r="C2309" i="13"/>
  <c r="A2308" i="13"/>
  <c r="C2308" i="13"/>
  <c r="A2307" i="13"/>
  <c r="C2307" i="13"/>
  <c r="A2306" i="13"/>
  <c r="C2306" i="13"/>
  <c r="A2305" i="13"/>
  <c r="C2305" i="13"/>
  <c r="A2304" i="13"/>
  <c r="C2304" i="13"/>
  <c r="A2303" i="13"/>
  <c r="C2303" i="13"/>
  <c r="A2302" i="13"/>
  <c r="C2302" i="13"/>
  <c r="A2301" i="13"/>
  <c r="C2301" i="13"/>
  <c r="A2300" i="13"/>
  <c r="C2300" i="13"/>
  <c r="A2299" i="13"/>
  <c r="C2299" i="13"/>
  <c r="A2298" i="13"/>
  <c r="C2298" i="13"/>
  <c r="A2297" i="13"/>
  <c r="C2297" i="13"/>
  <c r="A2296" i="13"/>
  <c r="C2296" i="13"/>
  <c r="A2295" i="13"/>
  <c r="C2295" i="13"/>
  <c r="A2294" i="13"/>
  <c r="C2294" i="13"/>
  <c r="A2293" i="13"/>
  <c r="C2293" i="13"/>
  <c r="A2292" i="13"/>
  <c r="C2292" i="13"/>
  <c r="A2291" i="13"/>
  <c r="C2291" i="13"/>
  <c r="A2290" i="13"/>
  <c r="C2290" i="13"/>
  <c r="A2289" i="13"/>
  <c r="C2289" i="13"/>
  <c r="A2288" i="13"/>
  <c r="C2288" i="13"/>
  <c r="A2287" i="13"/>
  <c r="C2287" i="13"/>
  <c r="A2286" i="13"/>
  <c r="C2286" i="13"/>
  <c r="A2285" i="13"/>
  <c r="C2285" i="13"/>
  <c r="A2284" i="13"/>
  <c r="C2284" i="13"/>
  <c r="A2283" i="13"/>
  <c r="C2283" i="13"/>
  <c r="A2282" i="13"/>
  <c r="C2282" i="13"/>
  <c r="A2281" i="13"/>
  <c r="C2281" i="13"/>
  <c r="A2280" i="13"/>
  <c r="C2280" i="13"/>
  <c r="A2279" i="13"/>
  <c r="C2279" i="13"/>
  <c r="A2278" i="13"/>
  <c r="C2278" i="13"/>
  <c r="A2277" i="13"/>
  <c r="C2277" i="13"/>
  <c r="A2276" i="13"/>
  <c r="C2276" i="13"/>
  <c r="A2275" i="13"/>
  <c r="C2275" i="13"/>
  <c r="A2274" i="13"/>
  <c r="C2274" i="13"/>
  <c r="A2273" i="13"/>
  <c r="C2273" i="13"/>
  <c r="A2272" i="13"/>
  <c r="C2272" i="13"/>
  <c r="A2271" i="13"/>
  <c r="C2271" i="13"/>
  <c r="A2270" i="13"/>
  <c r="C2270" i="13"/>
  <c r="A2269" i="13"/>
  <c r="C2269" i="13"/>
  <c r="A2268" i="13"/>
  <c r="C2268" i="13"/>
  <c r="A2267" i="13"/>
  <c r="C2267" i="13"/>
  <c r="A2266" i="13"/>
  <c r="C2266" i="13"/>
  <c r="A2265" i="13"/>
  <c r="C2265" i="13"/>
  <c r="A2264" i="13"/>
  <c r="C2264" i="13"/>
  <c r="A2263" i="13"/>
  <c r="C2263" i="13"/>
  <c r="A2262" i="13"/>
  <c r="C2262" i="13"/>
  <c r="A2261" i="13"/>
  <c r="C2261" i="13"/>
  <c r="A2260" i="13"/>
  <c r="C2260" i="13"/>
  <c r="A2259" i="13"/>
  <c r="C2259" i="13"/>
  <c r="A2258" i="13"/>
  <c r="C2258" i="13"/>
  <c r="A2257" i="13"/>
  <c r="C2257" i="13"/>
  <c r="A2256" i="13"/>
  <c r="C2256" i="13"/>
  <c r="A2255" i="13"/>
  <c r="C2255" i="13"/>
  <c r="A2254" i="13"/>
  <c r="C2254" i="13"/>
  <c r="A2253" i="13"/>
  <c r="C2253" i="13"/>
  <c r="A2252" i="13"/>
  <c r="C2252" i="13"/>
  <c r="A2251" i="13"/>
  <c r="C2251" i="13"/>
  <c r="A2250" i="13"/>
  <c r="C2250" i="13"/>
  <c r="A2249" i="13"/>
  <c r="C2249" i="13"/>
  <c r="A2248" i="13"/>
  <c r="C2248" i="13"/>
  <c r="A2247" i="13"/>
  <c r="C2247" i="13"/>
  <c r="A2246" i="13"/>
  <c r="C2246" i="13"/>
  <c r="A2245" i="13"/>
  <c r="C2245" i="13"/>
  <c r="A2244" i="13"/>
  <c r="C2244" i="13"/>
  <c r="A2243" i="13"/>
  <c r="C2243" i="13"/>
  <c r="A2242" i="13"/>
  <c r="C2242" i="13"/>
  <c r="A2241" i="13"/>
  <c r="C2241" i="13"/>
  <c r="A2240" i="13"/>
  <c r="C2240" i="13"/>
  <c r="A2239" i="13"/>
  <c r="C2239" i="13"/>
  <c r="A2238" i="13"/>
  <c r="C2238" i="13"/>
  <c r="A2237" i="13"/>
  <c r="C2237" i="13"/>
  <c r="A2236" i="13"/>
  <c r="C2236" i="13"/>
  <c r="A2235" i="13"/>
  <c r="C2235" i="13"/>
  <c r="A2234" i="13"/>
  <c r="C2234" i="13"/>
  <c r="A2233" i="13"/>
  <c r="C2233" i="13"/>
  <c r="A2232" i="13"/>
  <c r="C2232" i="13"/>
  <c r="A2231" i="13"/>
  <c r="C2231" i="13"/>
  <c r="A2230" i="13"/>
  <c r="C2230" i="13"/>
  <c r="A2229" i="13"/>
  <c r="C2229" i="13"/>
  <c r="A2228" i="13"/>
  <c r="C2228" i="13"/>
  <c r="A2227" i="13"/>
  <c r="C2227" i="13"/>
  <c r="A2226" i="13"/>
  <c r="C2226" i="13"/>
  <c r="A2225" i="13"/>
  <c r="C2225" i="13"/>
  <c r="A2224" i="13"/>
  <c r="C2224" i="13"/>
  <c r="A2223" i="13"/>
  <c r="C2223" i="13"/>
  <c r="A2222" i="13"/>
  <c r="C2222" i="13"/>
  <c r="A2221" i="13"/>
  <c r="C2221" i="13"/>
  <c r="A2220" i="13"/>
  <c r="C2220" i="13"/>
  <c r="A2219" i="13"/>
  <c r="C2219" i="13"/>
  <c r="A2218" i="13"/>
  <c r="C2218" i="13"/>
  <c r="A2217" i="13"/>
  <c r="C2217" i="13"/>
  <c r="A2216" i="13"/>
  <c r="C2216" i="13"/>
  <c r="A2215" i="13"/>
  <c r="C2215" i="13"/>
  <c r="A2214" i="13"/>
  <c r="C2214" i="13"/>
  <c r="A2213" i="13"/>
  <c r="C2213" i="13"/>
  <c r="A2212" i="13"/>
  <c r="C2212" i="13"/>
  <c r="A2211" i="13"/>
  <c r="C2211" i="13"/>
  <c r="A2210" i="13"/>
  <c r="C2210" i="13"/>
  <c r="A2209" i="13"/>
  <c r="C2209" i="13"/>
  <c r="A2208" i="13"/>
  <c r="C2208" i="13"/>
  <c r="A2207" i="13"/>
  <c r="C2207" i="13"/>
  <c r="A2206" i="13"/>
  <c r="C2206" i="13"/>
  <c r="A2205" i="13"/>
  <c r="C2205" i="13"/>
  <c r="A2204" i="13"/>
  <c r="C2204" i="13"/>
  <c r="A2203" i="13"/>
  <c r="C2203" i="13"/>
  <c r="A2202" i="13"/>
  <c r="C2202" i="13"/>
  <c r="A2201" i="13"/>
  <c r="C2201" i="13"/>
  <c r="A2200" i="13"/>
  <c r="C2200" i="13"/>
  <c r="A2199" i="13"/>
  <c r="C2199" i="13"/>
  <c r="A2198" i="13"/>
  <c r="C2198" i="13"/>
  <c r="A2197" i="13"/>
  <c r="C2197" i="13"/>
  <c r="A2196" i="13"/>
  <c r="C2196" i="13"/>
  <c r="A2195" i="13"/>
  <c r="C2195" i="13"/>
  <c r="A2194" i="13"/>
  <c r="C2194" i="13"/>
  <c r="A2193" i="13"/>
  <c r="C2193" i="13"/>
  <c r="A2192" i="13"/>
  <c r="C2192" i="13"/>
  <c r="A2191" i="13"/>
  <c r="C2191" i="13"/>
  <c r="A2190" i="13"/>
  <c r="C2190" i="13"/>
  <c r="A2189" i="13"/>
  <c r="C2189" i="13"/>
  <c r="A2188" i="13"/>
  <c r="C2188" i="13"/>
  <c r="A2187" i="13"/>
  <c r="C2187" i="13"/>
  <c r="A2186" i="13"/>
  <c r="C2186" i="13"/>
  <c r="A2185" i="13"/>
  <c r="C2185" i="13"/>
  <c r="A2184" i="13"/>
  <c r="C2184" i="13"/>
  <c r="A2183" i="13"/>
  <c r="C2183" i="13"/>
  <c r="A2182" i="13"/>
  <c r="C2182" i="13"/>
  <c r="A2181" i="13"/>
  <c r="C2181" i="13"/>
  <c r="A2180" i="13"/>
  <c r="C2180" i="13"/>
  <c r="A2179" i="13"/>
  <c r="C2179" i="13"/>
  <c r="A2178" i="13"/>
  <c r="C2178" i="13"/>
  <c r="A2177" i="13"/>
  <c r="C2177" i="13"/>
  <c r="A2176" i="13"/>
  <c r="C2176" i="13"/>
  <c r="A2175" i="13"/>
  <c r="C2175" i="13"/>
  <c r="A2174" i="13"/>
  <c r="C2174" i="13"/>
  <c r="A2173" i="13"/>
  <c r="C2173" i="13"/>
  <c r="A2172" i="13"/>
  <c r="C2172" i="13"/>
  <c r="A2171" i="13"/>
  <c r="C2171" i="13"/>
  <c r="A2170" i="13"/>
  <c r="C2170" i="13"/>
  <c r="A2169" i="13"/>
  <c r="C2169" i="13"/>
  <c r="A2168" i="13"/>
  <c r="C2168" i="13"/>
  <c r="A2167" i="13"/>
  <c r="C2167" i="13"/>
  <c r="A2166" i="13"/>
  <c r="C2166" i="13"/>
  <c r="A2165" i="13"/>
  <c r="C2165" i="13"/>
  <c r="A2164" i="13"/>
  <c r="C2164" i="13"/>
  <c r="A2163" i="13"/>
  <c r="C2163" i="13"/>
  <c r="A2162" i="13"/>
  <c r="C2162" i="13"/>
  <c r="A2161" i="13"/>
  <c r="C2161" i="13"/>
  <c r="A2160" i="13"/>
  <c r="C2160" i="13"/>
  <c r="A2159" i="13"/>
  <c r="C2159" i="13"/>
  <c r="A2158" i="13"/>
  <c r="C2158" i="13"/>
  <c r="A2157" i="13"/>
  <c r="C2157" i="13"/>
  <c r="A2156" i="13"/>
  <c r="C2156" i="13"/>
  <c r="A2155" i="13"/>
  <c r="C2155" i="13"/>
  <c r="A2154" i="13"/>
  <c r="C2154" i="13"/>
  <c r="A2153" i="13"/>
  <c r="C2153" i="13"/>
  <c r="A2152" i="13"/>
  <c r="C2152" i="13"/>
  <c r="A2151" i="13"/>
  <c r="C2151" i="13"/>
  <c r="A2150" i="13"/>
  <c r="C2150" i="13"/>
  <c r="A2149" i="13"/>
  <c r="C2149" i="13"/>
  <c r="A2148" i="13"/>
  <c r="C2148" i="13"/>
  <c r="A2147" i="13"/>
  <c r="C2147" i="13"/>
  <c r="A2146" i="13"/>
  <c r="C2146" i="13"/>
  <c r="A2145" i="13"/>
  <c r="C2145" i="13"/>
  <c r="A2144" i="13"/>
  <c r="C2144" i="13"/>
  <c r="A2143" i="13"/>
  <c r="C2143" i="13"/>
  <c r="A2142" i="13"/>
  <c r="C2142" i="13"/>
  <c r="A2141" i="13"/>
  <c r="C2141" i="13"/>
  <c r="A2140" i="13"/>
  <c r="C2140" i="13"/>
  <c r="A2139" i="13"/>
  <c r="C2139" i="13"/>
  <c r="A2138" i="13"/>
  <c r="C2138" i="13"/>
  <c r="A2137" i="13"/>
  <c r="C2137" i="13"/>
  <c r="A2136" i="13"/>
  <c r="C2136" i="13"/>
  <c r="A2135" i="13"/>
  <c r="C2135" i="13"/>
  <c r="A2134" i="13"/>
  <c r="C2134" i="13"/>
  <c r="A2133" i="13"/>
  <c r="C2133" i="13"/>
  <c r="A2132" i="13"/>
  <c r="C2132" i="13"/>
  <c r="A2131" i="13"/>
  <c r="C2131" i="13"/>
  <c r="A2130" i="13"/>
  <c r="C2130" i="13"/>
  <c r="A2129" i="13"/>
  <c r="C2129" i="13"/>
  <c r="A2128" i="13"/>
  <c r="C2128" i="13"/>
  <c r="A2127" i="13"/>
  <c r="C2127" i="13"/>
  <c r="A2126" i="13"/>
  <c r="C2126" i="13"/>
  <c r="A2125" i="13"/>
  <c r="C2125" i="13"/>
  <c r="A2124" i="13"/>
  <c r="C2124" i="13"/>
  <c r="A2123" i="13"/>
  <c r="C2123" i="13"/>
  <c r="A2122" i="13"/>
  <c r="C2122" i="13"/>
  <c r="A2121" i="13"/>
  <c r="C2121" i="13"/>
  <c r="A2120" i="13"/>
  <c r="C2120" i="13"/>
  <c r="A2119" i="13"/>
  <c r="C2119" i="13"/>
  <c r="A2118" i="13"/>
  <c r="C2118" i="13"/>
  <c r="A2117" i="13"/>
  <c r="C2117" i="13"/>
  <c r="A2116" i="13"/>
  <c r="C2116" i="13"/>
  <c r="A2115" i="13"/>
  <c r="C2115" i="13"/>
  <c r="A2114" i="13"/>
  <c r="C2114" i="13"/>
  <c r="A2113" i="13"/>
  <c r="C2113" i="13"/>
  <c r="A2112" i="13"/>
  <c r="C2112" i="13"/>
  <c r="A2111" i="13"/>
  <c r="C2111" i="13"/>
  <c r="A2110" i="13"/>
  <c r="C2110" i="13"/>
  <c r="A2109" i="13"/>
  <c r="C2109" i="13"/>
  <c r="A2108" i="13"/>
  <c r="C2108" i="13"/>
  <c r="A2107" i="13"/>
  <c r="C2107" i="13"/>
  <c r="A2106" i="13"/>
  <c r="C2106" i="13"/>
  <c r="A2105" i="13"/>
  <c r="C2105" i="13"/>
  <c r="A2104" i="13"/>
  <c r="C2104" i="13"/>
  <c r="A2103" i="13"/>
  <c r="C2103" i="13"/>
  <c r="A2102" i="13"/>
  <c r="C2102" i="13"/>
  <c r="A2101" i="13"/>
  <c r="C2101" i="13"/>
  <c r="A2100" i="13"/>
  <c r="C2100" i="13"/>
  <c r="A2099" i="13"/>
  <c r="C2099" i="13"/>
  <c r="A2098" i="13"/>
  <c r="C2098" i="13"/>
  <c r="A2097" i="13"/>
  <c r="C2097" i="13"/>
  <c r="A2096" i="13"/>
  <c r="C2096" i="13"/>
  <c r="A2095" i="13"/>
  <c r="C2095" i="13"/>
  <c r="A2094" i="13"/>
  <c r="C2094" i="13"/>
  <c r="A2093" i="13"/>
  <c r="C2093" i="13"/>
  <c r="A2092" i="13"/>
  <c r="C2092" i="13"/>
  <c r="A2091" i="13"/>
  <c r="C2091" i="13"/>
  <c r="A2090" i="13"/>
  <c r="C2090" i="13"/>
  <c r="A2089" i="13"/>
  <c r="C2089" i="13"/>
  <c r="A2088" i="13"/>
  <c r="C2088" i="13"/>
  <c r="A2087" i="13"/>
  <c r="C2087" i="13"/>
  <c r="A2086" i="13"/>
  <c r="C2086" i="13"/>
  <c r="A2085" i="13"/>
  <c r="C2085" i="13"/>
  <c r="A2084" i="13"/>
  <c r="C2084" i="13"/>
  <c r="A2083" i="13"/>
  <c r="C2083" i="13"/>
  <c r="A2082" i="13"/>
  <c r="C2082" i="13"/>
  <c r="A2081" i="13"/>
  <c r="C2081" i="13"/>
  <c r="A2080" i="13"/>
  <c r="C2080" i="13"/>
  <c r="A2079" i="13"/>
  <c r="C2079" i="13"/>
  <c r="A2078" i="13"/>
  <c r="C2078" i="13"/>
  <c r="A2077" i="13"/>
  <c r="C2077" i="13"/>
  <c r="A2076" i="13"/>
  <c r="C2076" i="13"/>
  <c r="A2075" i="13"/>
  <c r="C2075" i="13"/>
  <c r="A2074" i="13"/>
  <c r="C2074" i="13"/>
  <c r="A2073" i="13"/>
  <c r="C2073" i="13"/>
  <c r="A2072" i="13"/>
  <c r="C2072" i="13"/>
  <c r="A2071" i="13"/>
  <c r="C2071" i="13"/>
  <c r="A2070" i="13"/>
  <c r="C2070" i="13"/>
  <c r="A2069" i="13"/>
  <c r="C2069" i="13"/>
  <c r="A2068" i="13"/>
  <c r="C2068" i="13"/>
  <c r="A2067" i="13"/>
  <c r="C2067" i="13"/>
  <c r="A2066" i="13"/>
  <c r="C2066" i="13"/>
  <c r="A2065" i="13"/>
  <c r="C2065" i="13"/>
  <c r="A2064" i="13"/>
  <c r="C2064" i="13"/>
  <c r="A2063" i="13"/>
  <c r="C2063" i="13"/>
  <c r="A2062" i="13"/>
  <c r="C2062" i="13"/>
  <c r="A2061" i="13"/>
  <c r="C2061" i="13"/>
  <c r="A2060" i="13"/>
  <c r="C2060" i="13"/>
  <c r="A2059" i="13"/>
  <c r="C2059" i="13"/>
  <c r="A2058" i="13"/>
  <c r="C2058" i="13"/>
  <c r="A2057" i="13"/>
  <c r="C2057" i="13"/>
  <c r="A2056" i="13"/>
  <c r="C2056" i="13"/>
  <c r="A2055" i="13"/>
  <c r="C2055" i="13"/>
  <c r="A2054" i="13"/>
  <c r="C2054" i="13"/>
  <c r="A2053" i="13"/>
  <c r="C2053" i="13"/>
  <c r="A2052" i="13"/>
  <c r="C2052" i="13"/>
  <c r="A2051" i="13"/>
  <c r="C2051" i="13"/>
  <c r="A2050" i="13"/>
  <c r="C2050" i="13"/>
  <c r="A2049" i="13"/>
  <c r="C2049" i="13"/>
  <c r="A2048" i="13"/>
  <c r="C2048" i="13"/>
  <c r="A2047" i="13"/>
  <c r="C2047" i="13"/>
  <c r="A2046" i="13"/>
  <c r="C2046" i="13"/>
  <c r="A2045" i="13"/>
  <c r="C2045" i="13"/>
  <c r="A2044" i="13"/>
  <c r="C2044" i="13"/>
  <c r="A2043" i="13"/>
  <c r="C2043" i="13"/>
  <c r="A2042" i="13"/>
  <c r="C2042" i="13"/>
  <c r="A2041" i="13"/>
  <c r="C2041" i="13"/>
  <c r="A2040" i="13"/>
  <c r="C2040" i="13"/>
  <c r="A2039" i="13"/>
  <c r="C2039" i="13"/>
  <c r="A2038" i="13"/>
  <c r="C2038" i="13"/>
  <c r="A2037" i="13"/>
  <c r="C2037" i="13"/>
  <c r="A2036" i="13"/>
  <c r="C2036" i="13"/>
  <c r="A2035" i="13"/>
  <c r="C2035" i="13"/>
  <c r="A2034" i="13"/>
  <c r="C2034" i="13"/>
  <c r="A2033" i="13"/>
  <c r="C2033" i="13"/>
  <c r="A2032" i="13"/>
  <c r="C2032" i="13"/>
  <c r="A2031" i="13"/>
  <c r="C2031" i="13"/>
  <c r="A2030" i="13"/>
  <c r="C2030" i="13"/>
  <c r="A2029" i="13"/>
  <c r="C2029" i="13"/>
  <c r="A2028" i="13"/>
  <c r="C2028" i="13"/>
  <c r="A2027" i="13"/>
  <c r="C2027" i="13"/>
  <c r="A2026" i="13"/>
  <c r="C2026" i="13"/>
  <c r="A2025" i="13"/>
  <c r="C2025" i="13"/>
  <c r="A2024" i="13"/>
  <c r="C2024" i="13"/>
  <c r="A2023" i="13"/>
  <c r="C2023" i="13"/>
  <c r="A2022" i="13"/>
  <c r="C2022" i="13"/>
  <c r="A2021" i="13"/>
  <c r="C2021" i="13"/>
  <c r="A2020" i="13"/>
  <c r="C2020" i="13"/>
  <c r="A2019" i="13"/>
  <c r="C2019" i="13"/>
  <c r="A2018" i="13"/>
  <c r="C2018" i="13"/>
  <c r="A2017" i="13"/>
  <c r="C2017" i="13"/>
  <c r="A2016" i="13"/>
  <c r="C2016" i="13"/>
  <c r="A2015" i="13"/>
  <c r="C2015" i="13"/>
  <c r="A2014" i="13"/>
  <c r="C2014" i="13"/>
  <c r="A2013" i="13"/>
  <c r="C2013" i="13"/>
  <c r="A2012" i="13"/>
  <c r="C2012" i="13"/>
  <c r="A2011" i="13"/>
  <c r="C2011" i="13"/>
  <c r="A2010" i="13"/>
  <c r="C2010" i="13"/>
  <c r="A2009" i="13"/>
  <c r="C2009" i="13"/>
  <c r="A2008" i="13"/>
  <c r="C2008" i="13"/>
  <c r="A2007" i="13"/>
  <c r="C2007" i="13"/>
  <c r="A2006" i="13"/>
  <c r="C2006" i="13"/>
  <c r="A2005" i="13"/>
  <c r="C2005" i="13"/>
  <c r="A2004" i="13"/>
  <c r="C2004" i="13"/>
  <c r="A2003" i="13"/>
  <c r="C2003" i="13"/>
  <c r="A2002" i="13"/>
  <c r="C2002" i="13"/>
  <c r="A2001" i="13"/>
  <c r="C2001" i="13"/>
  <c r="A2000" i="13"/>
  <c r="C2000" i="13"/>
  <c r="A1999" i="13"/>
  <c r="C1999" i="13"/>
  <c r="A1998" i="13"/>
  <c r="C1998" i="13"/>
  <c r="A1997" i="13"/>
  <c r="C1997" i="13"/>
  <c r="A1996" i="13"/>
  <c r="C1996" i="13"/>
  <c r="A1995" i="13"/>
  <c r="C1995" i="13"/>
  <c r="A1994" i="13"/>
  <c r="C1994" i="13"/>
  <c r="A1993" i="13"/>
  <c r="C1993" i="13"/>
  <c r="A1992" i="13"/>
  <c r="C1992" i="13"/>
  <c r="A1991" i="13"/>
  <c r="C1991" i="13"/>
  <c r="A1990" i="13"/>
  <c r="C1990" i="13"/>
  <c r="A1989" i="13"/>
  <c r="C1989" i="13"/>
  <c r="A1988" i="13"/>
  <c r="C1988" i="13"/>
  <c r="A1987" i="13"/>
  <c r="C1987" i="13"/>
  <c r="A1986" i="13"/>
  <c r="C1986" i="13"/>
  <c r="A1985" i="13"/>
  <c r="C1985" i="13"/>
  <c r="A1984" i="13"/>
  <c r="C1984" i="13"/>
  <c r="A1983" i="13"/>
  <c r="C1983" i="13"/>
  <c r="A1982" i="13"/>
  <c r="C1982" i="13"/>
  <c r="A1981" i="13"/>
  <c r="C1981" i="13"/>
  <c r="A1980" i="13"/>
  <c r="C1980" i="13"/>
  <c r="A1979" i="13"/>
  <c r="C1979" i="13"/>
  <c r="A1978" i="13"/>
  <c r="C1978" i="13"/>
  <c r="A1977" i="13"/>
  <c r="C1977" i="13"/>
  <c r="A1976" i="13"/>
  <c r="C1976" i="13"/>
  <c r="A1975" i="13"/>
  <c r="C1975" i="13"/>
  <c r="A1974" i="13"/>
  <c r="C1974" i="13"/>
  <c r="A1973" i="13"/>
  <c r="C1973" i="13"/>
  <c r="A1972" i="13"/>
  <c r="C1972" i="13"/>
  <c r="A1971" i="13"/>
  <c r="C1971" i="13"/>
  <c r="A1970" i="13"/>
  <c r="C1970" i="13"/>
  <c r="A1969" i="13"/>
  <c r="C1969" i="13"/>
  <c r="A1968" i="13"/>
  <c r="C1968" i="13"/>
  <c r="A1967" i="13"/>
  <c r="C1967" i="13"/>
  <c r="A1966" i="13"/>
  <c r="C1966" i="13"/>
  <c r="A1965" i="13"/>
  <c r="C1965" i="13"/>
  <c r="A1964" i="13"/>
  <c r="C1964" i="13"/>
  <c r="A1963" i="13"/>
  <c r="C1963" i="13"/>
  <c r="A1962" i="13"/>
  <c r="C1962" i="13"/>
  <c r="A1961" i="13"/>
  <c r="C1961" i="13"/>
  <c r="A1960" i="13"/>
  <c r="C1960" i="13"/>
  <c r="A1959" i="13"/>
  <c r="C1959" i="13"/>
  <c r="A1958" i="13"/>
  <c r="C1958" i="13"/>
  <c r="A1957" i="13"/>
  <c r="C1957" i="13"/>
  <c r="A1956" i="13"/>
  <c r="C1956" i="13"/>
  <c r="A1955" i="13"/>
  <c r="C1955" i="13"/>
  <c r="A1954" i="13"/>
  <c r="C1954" i="13"/>
  <c r="A1953" i="13"/>
  <c r="C1953" i="13"/>
  <c r="A1952" i="13"/>
  <c r="C1952" i="13"/>
  <c r="A1951" i="13"/>
  <c r="C1951" i="13"/>
  <c r="A1950" i="13"/>
  <c r="C1950" i="13"/>
  <c r="A1949" i="13"/>
  <c r="C1949" i="13"/>
  <c r="A1948" i="13"/>
  <c r="C1948" i="13"/>
  <c r="A1947" i="13"/>
  <c r="C1947" i="13"/>
  <c r="A1946" i="13"/>
  <c r="C1946" i="13"/>
  <c r="A1945" i="13"/>
  <c r="C1945" i="13"/>
  <c r="A1944" i="13"/>
  <c r="C1944" i="13"/>
  <c r="A1943" i="13"/>
  <c r="C1943" i="13"/>
  <c r="A1942" i="13"/>
  <c r="C1942" i="13"/>
  <c r="A1941" i="13"/>
  <c r="C1941" i="13"/>
  <c r="A1940" i="13"/>
  <c r="C1940" i="13"/>
  <c r="A1939" i="13"/>
  <c r="C1939" i="13"/>
  <c r="A1938" i="13"/>
  <c r="C1938" i="13"/>
  <c r="A1937" i="13"/>
  <c r="C1937" i="13"/>
  <c r="A1936" i="13"/>
  <c r="C1936" i="13"/>
  <c r="A1935" i="13"/>
  <c r="C1935" i="13"/>
  <c r="A1934" i="13"/>
  <c r="C1934" i="13"/>
  <c r="A1933" i="13"/>
  <c r="C1933" i="13"/>
  <c r="A1932" i="13"/>
  <c r="C1932" i="13"/>
  <c r="A1931" i="13"/>
  <c r="C1931" i="13"/>
  <c r="A1930" i="13"/>
  <c r="C1930" i="13"/>
  <c r="A1929" i="13"/>
  <c r="C1929" i="13"/>
  <c r="A1928" i="13"/>
  <c r="C1928" i="13"/>
  <c r="A1927" i="13"/>
  <c r="C1927" i="13"/>
  <c r="A1926" i="13"/>
  <c r="C1926" i="13"/>
  <c r="A1925" i="13"/>
  <c r="C1925" i="13"/>
  <c r="A1924" i="13"/>
  <c r="C1924" i="13"/>
  <c r="A1923" i="13"/>
  <c r="C1923" i="13"/>
  <c r="A1922" i="13"/>
  <c r="C1922" i="13"/>
  <c r="A1921" i="13"/>
  <c r="C1921" i="13"/>
  <c r="A1920" i="13"/>
  <c r="C1920" i="13"/>
  <c r="A1919" i="13"/>
  <c r="C1919" i="13"/>
  <c r="A1918" i="13"/>
  <c r="C1918" i="13"/>
  <c r="A1917" i="13"/>
  <c r="C1917" i="13"/>
  <c r="A1916" i="13"/>
  <c r="C1916" i="13"/>
  <c r="A1915" i="13"/>
  <c r="C1915" i="13"/>
  <c r="A1914" i="13"/>
  <c r="C1914" i="13"/>
  <c r="A1913" i="13"/>
  <c r="C1913" i="13"/>
  <c r="A1912" i="13"/>
  <c r="C1912" i="13"/>
  <c r="A1911" i="13"/>
  <c r="C1911" i="13"/>
  <c r="A1910" i="13"/>
  <c r="C1910" i="13"/>
  <c r="A1909" i="13"/>
  <c r="C1909" i="13"/>
  <c r="A1908" i="13"/>
  <c r="C1908" i="13"/>
  <c r="A1907" i="13"/>
  <c r="C1907" i="13"/>
  <c r="A1906" i="13"/>
  <c r="C1906" i="13"/>
  <c r="A1905" i="13"/>
  <c r="C1905" i="13"/>
  <c r="A1904" i="13"/>
  <c r="C1904" i="13"/>
  <c r="A1903" i="13"/>
  <c r="C1903" i="13"/>
  <c r="A1902" i="13"/>
  <c r="C1902" i="13"/>
  <c r="A1901" i="13"/>
  <c r="C1901" i="13"/>
  <c r="A1900" i="13"/>
  <c r="C1900" i="13"/>
  <c r="A1899" i="13"/>
  <c r="C1899" i="13"/>
  <c r="A1898" i="13"/>
  <c r="C1898" i="13"/>
  <c r="A1897" i="13"/>
  <c r="C1897" i="13"/>
  <c r="A1896" i="13"/>
  <c r="C1896" i="13"/>
  <c r="A1895" i="13"/>
  <c r="C1895" i="13"/>
  <c r="A1894" i="13"/>
  <c r="C1894" i="13"/>
  <c r="A1893" i="13"/>
  <c r="C1893" i="13"/>
  <c r="A1892" i="13"/>
  <c r="C1892" i="13"/>
  <c r="A1891" i="13"/>
  <c r="C1891" i="13"/>
  <c r="A1890" i="13"/>
  <c r="C1890" i="13"/>
  <c r="A1889" i="13"/>
  <c r="C1889" i="13"/>
  <c r="A1888" i="13"/>
  <c r="C1888" i="13"/>
  <c r="A1887" i="13"/>
  <c r="C1887" i="13"/>
  <c r="A1886" i="13"/>
  <c r="C1886" i="13"/>
  <c r="A1885" i="13"/>
  <c r="C1885" i="13"/>
  <c r="A1884" i="13"/>
  <c r="C1884" i="13"/>
  <c r="A1883" i="13"/>
  <c r="C1883" i="13"/>
  <c r="A1882" i="13"/>
  <c r="C1882" i="13"/>
  <c r="A1881" i="13"/>
  <c r="C1881" i="13"/>
  <c r="A1880" i="13"/>
  <c r="C1880" i="13"/>
  <c r="A1879" i="13"/>
  <c r="C1879" i="13"/>
  <c r="A1878" i="13"/>
  <c r="C1878" i="13"/>
  <c r="A1877" i="13"/>
  <c r="C1877" i="13"/>
  <c r="A1876" i="13"/>
  <c r="C1876" i="13"/>
  <c r="A1875" i="13"/>
  <c r="C1875" i="13"/>
  <c r="A1874" i="13"/>
  <c r="C1874" i="13"/>
  <c r="A1873" i="13"/>
  <c r="C1873" i="13"/>
  <c r="A1872" i="13"/>
  <c r="C1872" i="13"/>
  <c r="A1871" i="13"/>
  <c r="C1871" i="13"/>
  <c r="A1870" i="13"/>
  <c r="C1870" i="13"/>
  <c r="A1869" i="13"/>
  <c r="C1869" i="13"/>
  <c r="A1868" i="13"/>
  <c r="C1868" i="13"/>
  <c r="A1867" i="13"/>
  <c r="C1867" i="13"/>
  <c r="A1866" i="13"/>
  <c r="C1866" i="13"/>
  <c r="A1865" i="13"/>
  <c r="C1865" i="13"/>
  <c r="A1864" i="13"/>
  <c r="C1864" i="13"/>
  <c r="A1863" i="13"/>
  <c r="C1863" i="13"/>
  <c r="A1862" i="13"/>
  <c r="C1862" i="13"/>
  <c r="A1861" i="13"/>
  <c r="C1861" i="13"/>
  <c r="A1860" i="13"/>
  <c r="C1860" i="13"/>
  <c r="A1859" i="13"/>
  <c r="C1859" i="13"/>
  <c r="A1858" i="13"/>
  <c r="C1858" i="13"/>
  <c r="A1857" i="13"/>
  <c r="C1857" i="13"/>
  <c r="A1856" i="13"/>
  <c r="C1856" i="13"/>
  <c r="A1855" i="13"/>
  <c r="C1855" i="13"/>
  <c r="A1854" i="13"/>
  <c r="C1854" i="13"/>
  <c r="A1853" i="13"/>
  <c r="C1853" i="13"/>
  <c r="A1852" i="13"/>
  <c r="C1852" i="13"/>
  <c r="A1851" i="13"/>
  <c r="C1851" i="13"/>
  <c r="A1850" i="13"/>
  <c r="C1850" i="13"/>
  <c r="A1849" i="13"/>
  <c r="C1849" i="13"/>
  <c r="A1848" i="13"/>
  <c r="C1848" i="13"/>
  <c r="A1847" i="13"/>
  <c r="C1847" i="13"/>
  <c r="A1846" i="13"/>
  <c r="C1846" i="13"/>
  <c r="A1845" i="13"/>
  <c r="C1845" i="13"/>
  <c r="A1844" i="13"/>
  <c r="C1844" i="13"/>
  <c r="A1843" i="13"/>
  <c r="C1843" i="13"/>
  <c r="A1842" i="13"/>
  <c r="C1842" i="13"/>
  <c r="A1841" i="13"/>
  <c r="C1841" i="13"/>
  <c r="A1840" i="13"/>
  <c r="C1840" i="13"/>
  <c r="A1839" i="13"/>
  <c r="C1839" i="13"/>
  <c r="A1838" i="13"/>
  <c r="C1838" i="13"/>
  <c r="A1837" i="13"/>
  <c r="C1837" i="13"/>
  <c r="A1836" i="13"/>
  <c r="C1836" i="13"/>
  <c r="A1835" i="13"/>
  <c r="C1835" i="13"/>
  <c r="A1834" i="13"/>
  <c r="C1834" i="13"/>
  <c r="A1833" i="13"/>
  <c r="C1833" i="13"/>
  <c r="A1832" i="13"/>
  <c r="C1832" i="13"/>
  <c r="A1831" i="13"/>
  <c r="C1831" i="13"/>
  <c r="A1830" i="13"/>
  <c r="C1830" i="13"/>
  <c r="A1829" i="13"/>
  <c r="C1829" i="13"/>
  <c r="A1828" i="13"/>
  <c r="C1828" i="13"/>
  <c r="A1827" i="13"/>
  <c r="C1827" i="13"/>
  <c r="A1826" i="13"/>
  <c r="C1826" i="13"/>
  <c r="A1825" i="13"/>
  <c r="C1825" i="13"/>
  <c r="A1824" i="13"/>
  <c r="C1824" i="13"/>
  <c r="A1823" i="13"/>
  <c r="C1823" i="13"/>
  <c r="A1822" i="13"/>
  <c r="C1822" i="13"/>
  <c r="A1821" i="13"/>
  <c r="C1821" i="13"/>
  <c r="A1820" i="13"/>
  <c r="C1820" i="13"/>
  <c r="A1819" i="13"/>
  <c r="C1819" i="13"/>
  <c r="A1818" i="13"/>
  <c r="C1818" i="13"/>
  <c r="A1817" i="13"/>
  <c r="C1817" i="13"/>
  <c r="A1816" i="13"/>
  <c r="C1816" i="13"/>
  <c r="A1815" i="13"/>
  <c r="C1815" i="13"/>
  <c r="A1814" i="13"/>
  <c r="C1814" i="13"/>
  <c r="A1813" i="13"/>
  <c r="C1813" i="13"/>
  <c r="A1812" i="13"/>
  <c r="C1812" i="13"/>
  <c r="A1811" i="13"/>
  <c r="C1811" i="13"/>
  <c r="A1810" i="13"/>
  <c r="C1810" i="13"/>
  <c r="A1809" i="13"/>
  <c r="C1809" i="13"/>
  <c r="A1808" i="13"/>
  <c r="C1808" i="13"/>
  <c r="A1807" i="13"/>
  <c r="C1807" i="13"/>
  <c r="A1806" i="13"/>
  <c r="C1806" i="13"/>
  <c r="A1805" i="13"/>
  <c r="C1805" i="13"/>
  <c r="A1804" i="13"/>
  <c r="C1804" i="13"/>
  <c r="A1803" i="13"/>
  <c r="C1803" i="13"/>
  <c r="A1802" i="13"/>
  <c r="C1802" i="13"/>
  <c r="A1801" i="13"/>
  <c r="C1801" i="13"/>
  <c r="A1800" i="13"/>
  <c r="C1800" i="13"/>
  <c r="A1799" i="13"/>
  <c r="C1799" i="13"/>
  <c r="A1798" i="13"/>
  <c r="C1798" i="13"/>
  <c r="A1797" i="13"/>
  <c r="C1797" i="13"/>
  <c r="A1796" i="13"/>
  <c r="C1796" i="13"/>
  <c r="A1795" i="13"/>
  <c r="C1795" i="13"/>
  <c r="A1794" i="13"/>
  <c r="C1794" i="13"/>
  <c r="A1793" i="13"/>
  <c r="C1793" i="13"/>
  <c r="A1792" i="13"/>
  <c r="C1792" i="13"/>
  <c r="A1791" i="13"/>
  <c r="C1791" i="13"/>
  <c r="A1790" i="13"/>
  <c r="C1790" i="13"/>
  <c r="A1789" i="13"/>
  <c r="C1789" i="13"/>
  <c r="A1788" i="13"/>
  <c r="C1788" i="13"/>
  <c r="A1787" i="13"/>
  <c r="C1787" i="13"/>
  <c r="A1786" i="13"/>
  <c r="C1786" i="13"/>
  <c r="A1785" i="13"/>
  <c r="C1785" i="13"/>
  <c r="A1784" i="13"/>
  <c r="C1784" i="13"/>
  <c r="A1783" i="13"/>
  <c r="C1783" i="13"/>
  <c r="A1782" i="13"/>
  <c r="C1782" i="13"/>
  <c r="A1781" i="13"/>
  <c r="C1781" i="13"/>
  <c r="A1780" i="13"/>
  <c r="C1780" i="13"/>
  <c r="A1779" i="13"/>
  <c r="C1779" i="13"/>
  <c r="A1778" i="13"/>
  <c r="C1778" i="13"/>
  <c r="A1777" i="13"/>
  <c r="C1777" i="13"/>
  <c r="A1776" i="13"/>
  <c r="C1776" i="13"/>
  <c r="A1775" i="13"/>
  <c r="C1775" i="13"/>
  <c r="A1774" i="13"/>
  <c r="C1774" i="13"/>
  <c r="A1773" i="13"/>
  <c r="C1773" i="13"/>
  <c r="A1772" i="13"/>
  <c r="C1772" i="13"/>
  <c r="A1771" i="13"/>
  <c r="C1771" i="13"/>
  <c r="A1770" i="13"/>
  <c r="C1770" i="13"/>
  <c r="A1769" i="13"/>
  <c r="C1769" i="13"/>
  <c r="A1768" i="13"/>
  <c r="C1768" i="13"/>
  <c r="A1767" i="13"/>
  <c r="C1767" i="13"/>
  <c r="A1766" i="13"/>
  <c r="C1766" i="13"/>
  <c r="A1765" i="13"/>
  <c r="C1765" i="13"/>
  <c r="A1764" i="13"/>
  <c r="C1764" i="13"/>
  <c r="A1763" i="13"/>
  <c r="C1763" i="13"/>
  <c r="A1762" i="13"/>
  <c r="C1762" i="13"/>
  <c r="A1761" i="13"/>
  <c r="C1761" i="13"/>
  <c r="A1760" i="13"/>
  <c r="C1760" i="13"/>
  <c r="A1759" i="13"/>
  <c r="C1759" i="13"/>
  <c r="A1758" i="13"/>
  <c r="C1758" i="13"/>
  <c r="A1757" i="13"/>
  <c r="C1757" i="13"/>
  <c r="A1756" i="13"/>
  <c r="C1756" i="13"/>
  <c r="A1755" i="13"/>
  <c r="C1755" i="13"/>
  <c r="A1754" i="13"/>
  <c r="C1754" i="13"/>
  <c r="A1753" i="13"/>
  <c r="C1753" i="13"/>
  <c r="A1752" i="13"/>
  <c r="C1752" i="13"/>
  <c r="A1751" i="13"/>
  <c r="C1751" i="13"/>
  <c r="A1750" i="13"/>
  <c r="C1750" i="13"/>
  <c r="A1749" i="13"/>
  <c r="C1749" i="13"/>
  <c r="A1748" i="13"/>
  <c r="C1748" i="13"/>
  <c r="A1747" i="13"/>
  <c r="C1747" i="13"/>
  <c r="A1746" i="13"/>
  <c r="C1746" i="13"/>
  <c r="A1745" i="13"/>
  <c r="C1745" i="13"/>
  <c r="A1744" i="13"/>
  <c r="C1744" i="13"/>
  <c r="A1743" i="13"/>
  <c r="C1743" i="13"/>
  <c r="A1742" i="13"/>
  <c r="C1742" i="13"/>
  <c r="A1741" i="13"/>
  <c r="C1741" i="13"/>
  <c r="A1740" i="13"/>
  <c r="C1740" i="13"/>
  <c r="A1739" i="13"/>
  <c r="C1739" i="13"/>
  <c r="A1738" i="13"/>
  <c r="C1738" i="13"/>
  <c r="A1737" i="13"/>
  <c r="C1737" i="13"/>
  <c r="A1736" i="13"/>
  <c r="C1736" i="13"/>
  <c r="A1735" i="13"/>
  <c r="C1735" i="13"/>
  <c r="A1734" i="13"/>
  <c r="C1734" i="13"/>
  <c r="A1733" i="13"/>
  <c r="C1733" i="13"/>
  <c r="A1732" i="13"/>
  <c r="C1732" i="13"/>
  <c r="A1731" i="13"/>
  <c r="C1731" i="13"/>
  <c r="A1730" i="13"/>
  <c r="C1730" i="13"/>
  <c r="A1729" i="13"/>
  <c r="C1729" i="13"/>
  <c r="A1728" i="13"/>
  <c r="C1728" i="13"/>
  <c r="A1727" i="13"/>
  <c r="C1727" i="13"/>
  <c r="A1726" i="13"/>
  <c r="C1726" i="13"/>
  <c r="A1725" i="13"/>
  <c r="C1725" i="13"/>
  <c r="A1724" i="13"/>
  <c r="C1724" i="13"/>
  <c r="A1723" i="13"/>
  <c r="C1723" i="13"/>
  <c r="A1722" i="13"/>
  <c r="C1722" i="13"/>
  <c r="A1721" i="13"/>
  <c r="C1721" i="13"/>
  <c r="A1720" i="13"/>
  <c r="C1720" i="13"/>
  <c r="A1719" i="13"/>
  <c r="C1719" i="13"/>
  <c r="A1718" i="13"/>
  <c r="C1718" i="13"/>
  <c r="A1717" i="13"/>
  <c r="C1717" i="13"/>
  <c r="A1716" i="13"/>
  <c r="C1716" i="13"/>
  <c r="A1715" i="13"/>
  <c r="C1715" i="13"/>
  <c r="A1714" i="13"/>
  <c r="C1714" i="13"/>
  <c r="A1713" i="13"/>
  <c r="C1713" i="13"/>
  <c r="A1712" i="13"/>
  <c r="C1712" i="13"/>
  <c r="A1711" i="13"/>
  <c r="C1711" i="13"/>
  <c r="A1710" i="13"/>
  <c r="C1710" i="13"/>
  <c r="A1709" i="13"/>
  <c r="C1709" i="13"/>
  <c r="A1708" i="13"/>
  <c r="C1708" i="13"/>
  <c r="A1707" i="13"/>
  <c r="C1707" i="13"/>
  <c r="A1706" i="13"/>
  <c r="C1706" i="13"/>
  <c r="A1705" i="13"/>
  <c r="C1705" i="13"/>
  <c r="A1704" i="13"/>
  <c r="C1704" i="13"/>
  <c r="A1703" i="13"/>
  <c r="C1703" i="13"/>
  <c r="A1702" i="13"/>
  <c r="C1702" i="13"/>
  <c r="A1701" i="13"/>
  <c r="C1701" i="13"/>
  <c r="A1700" i="13"/>
  <c r="C1700" i="13"/>
  <c r="A1699" i="13"/>
  <c r="C1699" i="13"/>
  <c r="A1698" i="13"/>
  <c r="C1698" i="13"/>
  <c r="A1697" i="13"/>
  <c r="C1697" i="13"/>
  <c r="A1696" i="13"/>
  <c r="C1696" i="13"/>
  <c r="A1695" i="13"/>
  <c r="C1695" i="13"/>
  <c r="A1694" i="13"/>
  <c r="C1694" i="13"/>
  <c r="A1693" i="13"/>
  <c r="C1693" i="13"/>
  <c r="A1692" i="13"/>
  <c r="C1692" i="13"/>
  <c r="A1691" i="13"/>
  <c r="C1691" i="13"/>
  <c r="A1690" i="13"/>
  <c r="C1690" i="13"/>
  <c r="A1689" i="13"/>
  <c r="C1689" i="13"/>
  <c r="A1688" i="13"/>
  <c r="C1688" i="13"/>
  <c r="A1687" i="13"/>
  <c r="C1687" i="13"/>
  <c r="A1686" i="13"/>
  <c r="C1686" i="13"/>
  <c r="A1685" i="13"/>
  <c r="C1685" i="13"/>
  <c r="A1684" i="13"/>
  <c r="C1684" i="13"/>
  <c r="A1683" i="13"/>
  <c r="C1683" i="13"/>
  <c r="A1682" i="13"/>
  <c r="C1682" i="13"/>
  <c r="A1681" i="13"/>
  <c r="C1681" i="13"/>
  <c r="A1680" i="13"/>
  <c r="C1680" i="13"/>
  <c r="A1679" i="13"/>
  <c r="C1679" i="13"/>
  <c r="A1678" i="13"/>
  <c r="C1678" i="13"/>
  <c r="A1677" i="13"/>
  <c r="C1677" i="13"/>
  <c r="A1676" i="13"/>
  <c r="C1676" i="13"/>
  <c r="A1675" i="13"/>
  <c r="C1675" i="13"/>
  <c r="A1674" i="13"/>
  <c r="C1674" i="13"/>
  <c r="A1673" i="13"/>
  <c r="C1673" i="13"/>
  <c r="A1672" i="13"/>
  <c r="C1672" i="13"/>
  <c r="A1671" i="13"/>
  <c r="C1671" i="13"/>
  <c r="A1670" i="13"/>
  <c r="C1670" i="13"/>
  <c r="A1669" i="13"/>
  <c r="C1669" i="13"/>
  <c r="A1668" i="13"/>
  <c r="C1668" i="13"/>
  <c r="A1667" i="13"/>
  <c r="C1667" i="13"/>
  <c r="A1666" i="13"/>
  <c r="C1666" i="13"/>
  <c r="A1665" i="13"/>
  <c r="C1665" i="13"/>
  <c r="A1664" i="13"/>
  <c r="C1664" i="13"/>
  <c r="A1663" i="13"/>
  <c r="C1663" i="13"/>
  <c r="A1662" i="13"/>
  <c r="C1662" i="13"/>
  <c r="A1661" i="13"/>
  <c r="C1661" i="13"/>
  <c r="A1660" i="13"/>
  <c r="C1660" i="13"/>
  <c r="A1659" i="13"/>
  <c r="C1659" i="13"/>
  <c r="A1658" i="13"/>
  <c r="C1658" i="13"/>
  <c r="A1657" i="13"/>
  <c r="C1657" i="13"/>
  <c r="A1656" i="13"/>
  <c r="C1656" i="13"/>
  <c r="A1655" i="13"/>
  <c r="C1655" i="13"/>
  <c r="A1654" i="13"/>
  <c r="C1654" i="13"/>
  <c r="A1653" i="13"/>
  <c r="C1653" i="13"/>
  <c r="A1652" i="13"/>
  <c r="C1652" i="13"/>
  <c r="A1651" i="13"/>
  <c r="C1651" i="13"/>
  <c r="A1650" i="13"/>
  <c r="C1650" i="13"/>
  <c r="A1649" i="13"/>
  <c r="C1649" i="13"/>
  <c r="A1648" i="13"/>
  <c r="C1648" i="13"/>
  <c r="A1647" i="13"/>
  <c r="C1647" i="13"/>
  <c r="A1646" i="13"/>
  <c r="C1646" i="13"/>
  <c r="A1645" i="13"/>
  <c r="C1645" i="13"/>
  <c r="A1644" i="13"/>
  <c r="C1644" i="13"/>
  <c r="A1643" i="13"/>
  <c r="C1643" i="13"/>
  <c r="A1642" i="13"/>
  <c r="C1642" i="13"/>
  <c r="A1641" i="13"/>
  <c r="C1641" i="13"/>
  <c r="A1640" i="13"/>
  <c r="C1640" i="13"/>
  <c r="A1639" i="13"/>
  <c r="C1639" i="13"/>
  <c r="A1638" i="13"/>
  <c r="C1638" i="13"/>
  <c r="A1637" i="13"/>
  <c r="C1637" i="13"/>
  <c r="A1636" i="13"/>
  <c r="C1636" i="13"/>
  <c r="A1635" i="13"/>
  <c r="C1635" i="13"/>
  <c r="A1634" i="13"/>
  <c r="C1634" i="13"/>
  <c r="A1633" i="13"/>
  <c r="C1633" i="13"/>
  <c r="A1632" i="13"/>
  <c r="C1632" i="13"/>
  <c r="A1631" i="13"/>
  <c r="C1631" i="13"/>
  <c r="A1630" i="13"/>
  <c r="C1630" i="13"/>
  <c r="A1629" i="13"/>
  <c r="C1629" i="13"/>
  <c r="A1628" i="13"/>
  <c r="C1628" i="13"/>
  <c r="A1627" i="13"/>
  <c r="C1627" i="13"/>
  <c r="A1626" i="13"/>
  <c r="C1626" i="13"/>
  <c r="A1625" i="13"/>
  <c r="C1625" i="13"/>
  <c r="A1624" i="13"/>
  <c r="C1624" i="13"/>
  <c r="A1623" i="13"/>
  <c r="C1623" i="13"/>
  <c r="A1622" i="13"/>
  <c r="C1622" i="13"/>
  <c r="A1621" i="13"/>
  <c r="C1621" i="13"/>
  <c r="A1620" i="13"/>
  <c r="C1620" i="13"/>
  <c r="A1619" i="13"/>
  <c r="C1619" i="13"/>
  <c r="A1618" i="13"/>
  <c r="C1618" i="13"/>
  <c r="A1617" i="13"/>
  <c r="C1617" i="13"/>
  <c r="A1616" i="13"/>
  <c r="C1616" i="13"/>
  <c r="A1615" i="13"/>
  <c r="C1615" i="13"/>
  <c r="A1614" i="13"/>
  <c r="C1614" i="13"/>
  <c r="A1613" i="13"/>
  <c r="C1613" i="13"/>
  <c r="A1612" i="13"/>
  <c r="C1612" i="13"/>
  <c r="A1611" i="13"/>
  <c r="C1611" i="13"/>
  <c r="A1610" i="13"/>
  <c r="C1610" i="13"/>
  <c r="A1609" i="13"/>
  <c r="C1609" i="13"/>
  <c r="A1608" i="13"/>
  <c r="C1608" i="13"/>
  <c r="A1607" i="13"/>
  <c r="C1607" i="13"/>
  <c r="A1606" i="13"/>
  <c r="C1606" i="13"/>
  <c r="A1605" i="13"/>
  <c r="C1605" i="13"/>
  <c r="A1604" i="13"/>
  <c r="C1604" i="13"/>
  <c r="A1603" i="13"/>
  <c r="C1603" i="13"/>
  <c r="A1602" i="13"/>
  <c r="C1602" i="13"/>
  <c r="A1601" i="13"/>
  <c r="C1601" i="13"/>
  <c r="A1600" i="13"/>
  <c r="C1600" i="13"/>
  <c r="A1599" i="13"/>
  <c r="C1599" i="13"/>
  <c r="A1598" i="13"/>
  <c r="C1598" i="13"/>
  <c r="A1597" i="13"/>
  <c r="C1597" i="13"/>
  <c r="A1596" i="13"/>
  <c r="C1596" i="13"/>
  <c r="A1595" i="13"/>
  <c r="C1595" i="13"/>
  <c r="A1594" i="13"/>
  <c r="C1594" i="13"/>
  <c r="A1593" i="13"/>
  <c r="C1593" i="13"/>
  <c r="A1592" i="13"/>
  <c r="C1592" i="13"/>
  <c r="A1591" i="13"/>
  <c r="C1591" i="13"/>
  <c r="A1590" i="13"/>
  <c r="C1590" i="13"/>
  <c r="A1589" i="13"/>
  <c r="C1589" i="13"/>
  <c r="A1588" i="13"/>
  <c r="C1588" i="13"/>
  <c r="A1587" i="13"/>
  <c r="C1587" i="13"/>
  <c r="A1586" i="13"/>
  <c r="C1586" i="13"/>
  <c r="A1585" i="13"/>
  <c r="C1585" i="13"/>
  <c r="A1584" i="13"/>
  <c r="C1584" i="13"/>
  <c r="A1583" i="13"/>
  <c r="C1583" i="13"/>
  <c r="A1582" i="13"/>
  <c r="C1582" i="13"/>
  <c r="A1581" i="13"/>
  <c r="C1581" i="13"/>
  <c r="A1580" i="13"/>
  <c r="C1580" i="13"/>
  <c r="A1579" i="13"/>
  <c r="C1579" i="13"/>
  <c r="A1578" i="13"/>
  <c r="C1578" i="13"/>
  <c r="A1577" i="13"/>
  <c r="C1577" i="13"/>
  <c r="A1576" i="13"/>
  <c r="C1576" i="13"/>
  <c r="A1575" i="13"/>
  <c r="C1575" i="13"/>
  <c r="A1574" i="13"/>
  <c r="C1574" i="13"/>
  <c r="A1573" i="13"/>
  <c r="C1573" i="13"/>
  <c r="A1572" i="13"/>
  <c r="C1572" i="13"/>
  <c r="A1571" i="13"/>
  <c r="C1571" i="13"/>
  <c r="A1570" i="13"/>
  <c r="C1570" i="13"/>
  <c r="A1569" i="13"/>
  <c r="C1569" i="13"/>
  <c r="A1568" i="13"/>
  <c r="C1568" i="13"/>
  <c r="A1567" i="13"/>
  <c r="C1567" i="13"/>
  <c r="A1566" i="13"/>
  <c r="C1566" i="13"/>
  <c r="A1565" i="13"/>
  <c r="C1565" i="13"/>
  <c r="A1564" i="13"/>
  <c r="C1564" i="13"/>
  <c r="A1563" i="13"/>
  <c r="C1563" i="13"/>
  <c r="A1562" i="13"/>
  <c r="C1562" i="13"/>
  <c r="A1561" i="13"/>
  <c r="C1561" i="13"/>
  <c r="A1560" i="13"/>
  <c r="C1560" i="13"/>
  <c r="A1559" i="13"/>
  <c r="C1559" i="13"/>
  <c r="A1558" i="13"/>
  <c r="C1558" i="13"/>
  <c r="A1557" i="13"/>
  <c r="C1557" i="13"/>
  <c r="A1556" i="13"/>
  <c r="C1556" i="13"/>
  <c r="A1555" i="13"/>
  <c r="C1555" i="13"/>
  <c r="A1554" i="13"/>
  <c r="C1554" i="13"/>
  <c r="A1553" i="13"/>
  <c r="C1553" i="13"/>
  <c r="A1552" i="13"/>
  <c r="C1552" i="13"/>
  <c r="A1551" i="13"/>
  <c r="C1551" i="13"/>
  <c r="A1550" i="13"/>
  <c r="C1550" i="13"/>
  <c r="A1549" i="13"/>
  <c r="C1549" i="13"/>
  <c r="A1548" i="13"/>
  <c r="C1548" i="13"/>
  <c r="A1547" i="13"/>
  <c r="C1547" i="13"/>
  <c r="A1546" i="13"/>
  <c r="C1546" i="13"/>
  <c r="A1545" i="13"/>
  <c r="C1545" i="13"/>
  <c r="A1544" i="13"/>
  <c r="C1544" i="13"/>
  <c r="A1543" i="13"/>
  <c r="C1543" i="13"/>
  <c r="A1542" i="13"/>
  <c r="C1542" i="13"/>
  <c r="A1541" i="13"/>
  <c r="C1541" i="13"/>
  <c r="A1540" i="13"/>
  <c r="C1540" i="13"/>
  <c r="A1539" i="13"/>
  <c r="C1539" i="13"/>
  <c r="A1538" i="13"/>
  <c r="C1538" i="13"/>
  <c r="A1537" i="13"/>
  <c r="C1537" i="13"/>
  <c r="A1536" i="13"/>
  <c r="C1536" i="13"/>
  <c r="A1535" i="13"/>
  <c r="C1535" i="13"/>
  <c r="A1534" i="13"/>
  <c r="C1534" i="13"/>
  <c r="A1533" i="13"/>
  <c r="C1533" i="13"/>
  <c r="A1532" i="13"/>
  <c r="C1532" i="13"/>
  <c r="A1531" i="13"/>
  <c r="C1531" i="13"/>
  <c r="A1530" i="13"/>
  <c r="C1530" i="13"/>
  <c r="A1529" i="13"/>
  <c r="C1529" i="13"/>
  <c r="A1528" i="13"/>
  <c r="C1528" i="13"/>
  <c r="A1527" i="13"/>
  <c r="C1527" i="13"/>
  <c r="A1526" i="13"/>
  <c r="C1526" i="13"/>
  <c r="A1525" i="13"/>
  <c r="C1525" i="13"/>
  <c r="A1524" i="13"/>
  <c r="C1524" i="13"/>
  <c r="A1523" i="13"/>
  <c r="C1523" i="13"/>
  <c r="A1522" i="13"/>
  <c r="C1522" i="13"/>
  <c r="A1521" i="13"/>
  <c r="C1521" i="13"/>
  <c r="A1520" i="13"/>
  <c r="C1520" i="13"/>
  <c r="A1519" i="13"/>
  <c r="C1519" i="13"/>
  <c r="A1518" i="13"/>
  <c r="C1518" i="13"/>
  <c r="A1517" i="13"/>
  <c r="C1517" i="13"/>
  <c r="A1516" i="13"/>
  <c r="C1516" i="13"/>
  <c r="A1515" i="13"/>
  <c r="C1515" i="13"/>
  <c r="A1514" i="13"/>
  <c r="C1514" i="13"/>
  <c r="A1513" i="13"/>
  <c r="C1513" i="13"/>
  <c r="A1512" i="13"/>
  <c r="C1512" i="13"/>
  <c r="A1511" i="13"/>
  <c r="C1511" i="13"/>
  <c r="A1510" i="13"/>
  <c r="C1510" i="13"/>
  <c r="A1509" i="13"/>
  <c r="C1509" i="13"/>
  <c r="A1508" i="13"/>
  <c r="C1508" i="13"/>
  <c r="A1507" i="13"/>
  <c r="C1507" i="13"/>
  <c r="A1506" i="13"/>
  <c r="C1506" i="13"/>
  <c r="A1505" i="13"/>
  <c r="C1505" i="13"/>
  <c r="A1504" i="13"/>
  <c r="C1504" i="13"/>
  <c r="A1503" i="13"/>
  <c r="C1503" i="13"/>
  <c r="A1502" i="13"/>
  <c r="C1502" i="13"/>
  <c r="A1501" i="13"/>
  <c r="C1501" i="13"/>
  <c r="A1500" i="13"/>
  <c r="C1500" i="13"/>
  <c r="A1499" i="13"/>
  <c r="C1499" i="13"/>
  <c r="A1498" i="13"/>
  <c r="C1498" i="13"/>
  <c r="A1497" i="13"/>
  <c r="C1497" i="13"/>
  <c r="A1496" i="13"/>
  <c r="C1496" i="13"/>
  <c r="A1495" i="13"/>
  <c r="C1495" i="13"/>
  <c r="A1494" i="13"/>
  <c r="C1494" i="13"/>
  <c r="A1493" i="13"/>
  <c r="C1493" i="13"/>
  <c r="A1492" i="13"/>
  <c r="C1492" i="13"/>
  <c r="A1491" i="13"/>
  <c r="C1491" i="13"/>
  <c r="A1490" i="13"/>
  <c r="C1490" i="13"/>
  <c r="A1489" i="13"/>
  <c r="C1489" i="13"/>
  <c r="A1488" i="13"/>
  <c r="C1488" i="13"/>
  <c r="A1487" i="13"/>
  <c r="C1487" i="13"/>
  <c r="A1486" i="13"/>
  <c r="C1486" i="13"/>
  <c r="A1485" i="13"/>
  <c r="C1485" i="13"/>
  <c r="A1484" i="13"/>
  <c r="C1484" i="13"/>
  <c r="A1483" i="13"/>
  <c r="C1483" i="13"/>
  <c r="A1482" i="13"/>
  <c r="C1482" i="13"/>
  <c r="A1481" i="13"/>
  <c r="C1481" i="13"/>
  <c r="A1480" i="13"/>
  <c r="C1480" i="13"/>
  <c r="A1479" i="13"/>
  <c r="C1479" i="13"/>
  <c r="A1478" i="13"/>
  <c r="C1478" i="13"/>
  <c r="A1477" i="13"/>
  <c r="C1477" i="13"/>
  <c r="A1476" i="13"/>
  <c r="C1476" i="13"/>
  <c r="A1475" i="13"/>
  <c r="C1475" i="13"/>
  <c r="A1474" i="13"/>
  <c r="C1474" i="13"/>
  <c r="A1473" i="13"/>
  <c r="C1473" i="13"/>
  <c r="A1472" i="13"/>
  <c r="C1472" i="13"/>
  <c r="A1471" i="13"/>
  <c r="C1471" i="13"/>
  <c r="A1470" i="13"/>
  <c r="C1470" i="13"/>
  <c r="A1469" i="13"/>
  <c r="C1469" i="13"/>
  <c r="A1468" i="13"/>
  <c r="C1468" i="13"/>
  <c r="A1467" i="13"/>
  <c r="C1467" i="13"/>
  <c r="A1466" i="13"/>
  <c r="C1466" i="13"/>
  <c r="A1465" i="13"/>
  <c r="C1465" i="13"/>
  <c r="A1464" i="13"/>
  <c r="C1464" i="13"/>
  <c r="A1463" i="13"/>
  <c r="C1463" i="13"/>
  <c r="A1462" i="13"/>
  <c r="C1462" i="13"/>
  <c r="A1461" i="13"/>
  <c r="C1461" i="13"/>
  <c r="A1460" i="13"/>
  <c r="C1460" i="13"/>
  <c r="A1459" i="13"/>
  <c r="C1459" i="13"/>
  <c r="A1458" i="13"/>
  <c r="C1458" i="13"/>
  <c r="A1457" i="13"/>
  <c r="C1457" i="13"/>
  <c r="A1456" i="13"/>
  <c r="C1456" i="13"/>
  <c r="A1455" i="13"/>
  <c r="C1455" i="13"/>
  <c r="A1454" i="13"/>
  <c r="C1454" i="13"/>
  <c r="A1453" i="13"/>
  <c r="C1453" i="13"/>
  <c r="A1452" i="13"/>
  <c r="C1452" i="13"/>
  <c r="A1451" i="13"/>
  <c r="C1451" i="13"/>
  <c r="A1450" i="13"/>
  <c r="C1450" i="13"/>
  <c r="A1449" i="13"/>
  <c r="C1449" i="13"/>
  <c r="A1448" i="13"/>
  <c r="C1448" i="13"/>
  <c r="A1447" i="13"/>
  <c r="C1447" i="13"/>
  <c r="A1446" i="13"/>
  <c r="C1446" i="13"/>
  <c r="A1445" i="13"/>
  <c r="C1445" i="13"/>
  <c r="A1444" i="13"/>
  <c r="C1444" i="13"/>
  <c r="A1443" i="13"/>
  <c r="C1443" i="13"/>
  <c r="A1442" i="13"/>
  <c r="C1442" i="13"/>
  <c r="A1441" i="13"/>
  <c r="C1441" i="13"/>
  <c r="A1440" i="13"/>
  <c r="C1440" i="13"/>
  <c r="A1439" i="13"/>
  <c r="C1439" i="13"/>
  <c r="A1438" i="13"/>
  <c r="C1438" i="13"/>
  <c r="A1437" i="13"/>
  <c r="C1437" i="13"/>
  <c r="A1436" i="13"/>
  <c r="C1436" i="13"/>
  <c r="A1435" i="13"/>
  <c r="C1435" i="13"/>
  <c r="A1434" i="13"/>
  <c r="C1434" i="13"/>
  <c r="A1433" i="13"/>
  <c r="C1433" i="13"/>
  <c r="A1432" i="13"/>
  <c r="C1432" i="13"/>
  <c r="A1431" i="13"/>
  <c r="C1431" i="13"/>
  <c r="A1430" i="13"/>
  <c r="C1430" i="13"/>
  <c r="A1429" i="13"/>
  <c r="C1429" i="13"/>
  <c r="A1428" i="13"/>
  <c r="C1428" i="13"/>
  <c r="A1427" i="13"/>
  <c r="C1427" i="13"/>
  <c r="A1426" i="13"/>
  <c r="C1426" i="13"/>
  <c r="A1425" i="13"/>
  <c r="C1425" i="13"/>
  <c r="A1424" i="13"/>
  <c r="C1424" i="13"/>
  <c r="A1423" i="13"/>
  <c r="C1423" i="13"/>
  <c r="A1422" i="13"/>
  <c r="C1422" i="13"/>
  <c r="A1421" i="13"/>
  <c r="C1421" i="13"/>
  <c r="A1420" i="13"/>
  <c r="C1420" i="13"/>
  <c r="A1419" i="13"/>
  <c r="C1419" i="13"/>
  <c r="A1418" i="13"/>
  <c r="C1418" i="13"/>
  <c r="A1417" i="13"/>
  <c r="C1417" i="13"/>
  <c r="A1416" i="13"/>
  <c r="C1416" i="13"/>
  <c r="A1415" i="13"/>
  <c r="C1415" i="13"/>
  <c r="A1414" i="13"/>
  <c r="C1414" i="13"/>
  <c r="A1413" i="13"/>
  <c r="C1413" i="13"/>
  <c r="A1412" i="13"/>
  <c r="C1412" i="13"/>
  <c r="A1411" i="13"/>
  <c r="C1411" i="13"/>
  <c r="A1410" i="13"/>
  <c r="C1410" i="13"/>
  <c r="A1409" i="13"/>
  <c r="C1409" i="13"/>
  <c r="A1408" i="13"/>
  <c r="C1408" i="13"/>
  <c r="A1407" i="13"/>
  <c r="C1407" i="13"/>
  <c r="A1406" i="13"/>
  <c r="C1406" i="13"/>
  <c r="A1405" i="13"/>
  <c r="C1405" i="13"/>
  <c r="A1404" i="13"/>
  <c r="C1404" i="13"/>
  <c r="A1403" i="13"/>
  <c r="C1403" i="13"/>
  <c r="A1402" i="13"/>
  <c r="C1402" i="13"/>
  <c r="A1401" i="13"/>
  <c r="C1401" i="13"/>
  <c r="A1400" i="13"/>
  <c r="C1400" i="13"/>
  <c r="A1399" i="13"/>
  <c r="C1399" i="13"/>
  <c r="A1398" i="13"/>
  <c r="C1398" i="13"/>
  <c r="A1397" i="13"/>
  <c r="C1397" i="13"/>
  <c r="A1396" i="13"/>
  <c r="C1396" i="13"/>
  <c r="A1395" i="13"/>
  <c r="C1395" i="13"/>
  <c r="A1394" i="13"/>
  <c r="C1394" i="13"/>
  <c r="A1393" i="13"/>
  <c r="C1393" i="13"/>
  <c r="A1392" i="13"/>
  <c r="C1392" i="13"/>
  <c r="A1391" i="13"/>
  <c r="C1391" i="13"/>
  <c r="A1390" i="13"/>
  <c r="C1390" i="13"/>
  <c r="A1389" i="13"/>
  <c r="C1389" i="13"/>
  <c r="A1388" i="13"/>
  <c r="C1388" i="13"/>
  <c r="A1387" i="13"/>
  <c r="C1387" i="13"/>
  <c r="A1386" i="13"/>
  <c r="C1386" i="13"/>
  <c r="A1385" i="13"/>
  <c r="C1385" i="13"/>
  <c r="A1384" i="13"/>
  <c r="C1384" i="13"/>
  <c r="A1383" i="13"/>
  <c r="C1383" i="13"/>
  <c r="A1382" i="13"/>
  <c r="C1382" i="13"/>
  <c r="A1381" i="13"/>
  <c r="C1381" i="13"/>
  <c r="A1380" i="13"/>
  <c r="C1380" i="13"/>
  <c r="A1379" i="13"/>
  <c r="C1379" i="13"/>
  <c r="A1378" i="13"/>
  <c r="C1378" i="13"/>
  <c r="A1377" i="13"/>
  <c r="C1377" i="13"/>
  <c r="A1376" i="13"/>
  <c r="C1376" i="13"/>
  <c r="A1375" i="13"/>
  <c r="C1375" i="13"/>
  <c r="A1374" i="13"/>
  <c r="C1374" i="13"/>
  <c r="A1373" i="13"/>
  <c r="C1373" i="13"/>
  <c r="A1372" i="13"/>
  <c r="C1372" i="13"/>
  <c r="A1371" i="13"/>
  <c r="C1371" i="13"/>
  <c r="A1370" i="13"/>
  <c r="C1370" i="13"/>
  <c r="A1369" i="13"/>
  <c r="C1369" i="13"/>
  <c r="A1368" i="13"/>
  <c r="C1368" i="13"/>
  <c r="A1367" i="13"/>
  <c r="C1367" i="13"/>
  <c r="A1366" i="13"/>
  <c r="C1366" i="13"/>
  <c r="A1365" i="13"/>
  <c r="C1365" i="13"/>
  <c r="A1364" i="13"/>
  <c r="C1364" i="13"/>
  <c r="A1363" i="13"/>
  <c r="C1363" i="13"/>
  <c r="A1362" i="13"/>
  <c r="C1362" i="13"/>
  <c r="A1361" i="13"/>
  <c r="C1361" i="13"/>
  <c r="A1360" i="13"/>
  <c r="C1360" i="13"/>
  <c r="A1359" i="13"/>
  <c r="C1359" i="13"/>
  <c r="A1358" i="13"/>
  <c r="C1358" i="13"/>
  <c r="A1357" i="13"/>
  <c r="C1357" i="13"/>
  <c r="A1356" i="13"/>
  <c r="C1356" i="13"/>
  <c r="A1355" i="13"/>
  <c r="C1355" i="13"/>
  <c r="A1354" i="13"/>
  <c r="C1354" i="13"/>
  <c r="A1353" i="13"/>
  <c r="C1353" i="13"/>
  <c r="A1352" i="13"/>
  <c r="C1352" i="13"/>
  <c r="A1351" i="13"/>
  <c r="C1351" i="13"/>
  <c r="A1350" i="13"/>
  <c r="C1350" i="13"/>
  <c r="A1349" i="13"/>
  <c r="C1349" i="13"/>
  <c r="A1348" i="13"/>
  <c r="C1348" i="13"/>
  <c r="A1347" i="13"/>
  <c r="C1347" i="13"/>
  <c r="A1346" i="13"/>
  <c r="C1346" i="13"/>
  <c r="A1345" i="13"/>
  <c r="C1345" i="13"/>
  <c r="A1344" i="13"/>
  <c r="C1344" i="13"/>
  <c r="A1343" i="13"/>
  <c r="C1343" i="13"/>
  <c r="A1342" i="13"/>
  <c r="C1342" i="13"/>
  <c r="A1341" i="13"/>
  <c r="C1341" i="13"/>
  <c r="A1340" i="13"/>
  <c r="C1340" i="13"/>
  <c r="A1339" i="13"/>
  <c r="C1339" i="13"/>
  <c r="A1338" i="13"/>
  <c r="C1338" i="13"/>
  <c r="A1337" i="13"/>
  <c r="C1337" i="13"/>
  <c r="A1336" i="13"/>
  <c r="C1336" i="13"/>
  <c r="A1335" i="13"/>
  <c r="C1335" i="13"/>
  <c r="A1334" i="13"/>
  <c r="C1334" i="13"/>
  <c r="A1333" i="13"/>
  <c r="C1333" i="13"/>
  <c r="A1332" i="13"/>
  <c r="C1332" i="13"/>
  <c r="A1331" i="13"/>
  <c r="C1331" i="13"/>
  <c r="A1330" i="13"/>
  <c r="C1330" i="13"/>
  <c r="A1329" i="13"/>
  <c r="C1329" i="13"/>
  <c r="A1328" i="13"/>
  <c r="C1328" i="13"/>
  <c r="A1327" i="13"/>
  <c r="C1327" i="13"/>
  <c r="A1326" i="13"/>
  <c r="C1326" i="13"/>
  <c r="A1325" i="13"/>
  <c r="C1325" i="13"/>
  <c r="A1324" i="13"/>
  <c r="C1324" i="13"/>
  <c r="A1323" i="13"/>
  <c r="C1323" i="13"/>
  <c r="A1322" i="13"/>
  <c r="C1322" i="13"/>
  <c r="A1321" i="13"/>
  <c r="C1321" i="13"/>
  <c r="A1320" i="13"/>
  <c r="C1320" i="13"/>
  <c r="A1319" i="13"/>
  <c r="C1319" i="13"/>
  <c r="A1318" i="13"/>
  <c r="C1318" i="13"/>
  <c r="A1317" i="13"/>
  <c r="C1317" i="13"/>
  <c r="A1316" i="13"/>
  <c r="C1316" i="13"/>
  <c r="A1315" i="13"/>
  <c r="C1315" i="13"/>
  <c r="A1314" i="13"/>
  <c r="C1314" i="13"/>
  <c r="A1313" i="13"/>
  <c r="C1313" i="13"/>
  <c r="A1312" i="13"/>
  <c r="C1312" i="13"/>
  <c r="A1311" i="13"/>
  <c r="C1311" i="13"/>
  <c r="A1310" i="13"/>
  <c r="C1310" i="13"/>
  <c r="A1309" i="13"/>
  <c r="C1309" i="13"/>
  <c r="A1308" i="13"/>
  <c r="C1308" i="13"/>
  <c r="A1307" i="13"/>
  <c r="C1307" i="13"/>
  <c r="A1306" i="13"/>
  <c r="C1306" i="13"/>
  <c r="A1305" i="13"/>
  <c r="C1305" i="13"/>
  <c r="A1304" i="13"/>
  <c r="C1304" i="13"/>
  <c r="A1303" i="13"/>
  <c r="C1303" i="13"/>
  <c r="A1302" i="13"/>
  <c r="C1302" i="13"/>
  <c r="A1301" i="13"/>
  <c r="C1301" i="13"/>
  <c r="A1300" i="13"/>
  <c r="C1300" i="13"/>
  <c r="A1299" i="13"/>
  <c r="C1299" i="13"/>
  <c r="A1298" i="13"/>
  <c r="C1298" i="13"/>
  <c r="A1297" i="13"/>
  <c r="C1297" i="13"/>
  <c r="A1296" i="13"/>
  <c r="C1296" i="13"/>
  <c r="A1295" i="13"/>
  <c r="C1295" i="13"/>
  <c r="A1294" i="13"/>
  <c r="C1294" i="13"/>
  <c r="A1293" i="13"/>
  <c r="C1293" i="13"/>
  <c r="A1292" i="13"/>
  <c r="C1292" i="13"/>
  <c r="A1291" i="13"/>
  <c r="C1291" i="13"/>
  <c r="A1290" i="13"/>
  <c r="C1290" i="13"/>
  <c r="A1289" i="13"/>
  <c r="C1289" i="13"/>
  <c r="A1288" i="13"/>
  <c r="C1288" i="13"/>
  <c r="A1287" i="13"/>
  <c r="C1287" i="13"/>
  <c r="A1286" i="13"/>
  <c r="C1286" i="13"/>
  <c r="A1285" i="13"/>
  <c r="C1285" i="13"/>
  <c r="A1284" i="13"/>
  <c r="C1284" i="13"/>
  <c r="A1283" i="13"/>
  <c r="C1283" i="13"/>
  <c r="A1282" i="13"/>
  <c r="C1282" i="13"/>
  <c r="A1281" i="13"/>
  <c r="C1281" i="13"/>
  <c r="A1280" i="13"/>
  <c r="C1280" i="13"/>
  <c r="A1279" i="13"/>
  <c r="C1279" i="13"/>
  <c r="A1278" i="13"/>
  <c r="C1278" i="13"/>
  <c r="A1277" i="13"/>
  <c r="C1277" i="13"/>
  <c r="A1276" i="13"/>
  <c r="C1276" i="13"/>
  <c r="A1275" i="13"/>
  <c r="C1275" i="13"/>
  <c r="A1274" i="13"/>
  <c r="C1274" i="13"/>
  <c r="A1273" i="13"/>
  <c r="C1273" i="13"/>
  <c r="A1272" i="13"/>
  <c r="C1272" i="13"/>
  <c r="A1271" i="13"/>
  <c r="C1271" i="13"/>
  <c r="A1270" i="13"/>
  <c r="C1270" i="13"/>
  <c r="A1269" i="13"/>
  <c r="C1269" i="13"/>
  <c r="A1268" i="13"/>
  <c r="C1268" i="13"/>
  <c r="A1267" i="13"/>
  <c r="C1267" i="13"/>
  <c r="A1266" i="13"/>
  <c r="C1266" i="13"/>
  <c r="A1265" i="13"/>
  <c r="C1265" i="13"/>
  <c r="A1264" i="13"/>
  <c r="C1264" i="13"/>
  <c r="A1263" i="13"/>
  <c r="C1263" i="13"/>
  <c r="A1262" i="13"/>
  <c r="C1262" i="13"/>
  <c r="A1261" i="13"/>
  <c r="C1261" i="13"/>
  <c r="A1260" i="13"/>
  <c r="C1260" i="13"/>
  <c r="A1259" i="13"/>
  <c r="C1259" i="13"/>
  <c r="A1258" i="13"/>
  <c r="C1258" i="13"/>
  <c r="A1257" i="13"/>
  <c r="C1257" i="13"/>
  <c r="A1256" i="13"/>
  <c r="C1256" i="13"/>
  <c r="A1255" i="13"/>
  <c r="C1255" i="13"/>
  <c r="A1254" i="13"/>
  <c r="C1254" i="13"/>
  <c r="A1253" i="13"/>
  <c r="C1253" i="13"/>
  <c r="A1252" i="13"/>
  <c r="C1252" i="13"/>
  <c r="A1251" i="13"/>
  <c r="C1251" i="13"/>
  <c r="A1250" i="13"/>
  <c r="C1250" i="13"/>
  <c r="A1249" i="13"/>
  <c r="C1249" i="13"/>
  <c r="A1248" i="13"/>
  <c r="C1248" i="13"/>
  <c r="A1247" i="13"/>
  <c r="C1247" i="13"/>
  <c r="A1246" i="13"/>
  <c r="C1246" i="13"/>
  <c r="A1245" i="13"/>
  <c r="C1245" i="13"/>
  <c r="A1244" i="13"/>
  <c r="C1244" i="13"/>
  <c r="A1243" i="13"/>
  <c r="C1243" i="13"/>
  <c r="A1242" i="13"/>
  <c r="C1242" i="13"/>
  <c r="A1241" i="13"/>
  <c r="C1241" i="13"/>
  <c r="A1240" i="13"/>
  <c r="C1240" i="13"/>
  <c r="A1239" i="13"/>
  <c r="C1239" i="13"/>
  <c r="A1238" i="13"/>
  <c r="C1238" i="13"/>
  <c r="A1237" i="13"/>
  <c r="C1237" i="13"/>
  <c r="A1236" i="13"/>
  <c r="C1236" i="13"/>
  <c r="A1235" i="13"/>
  <c r="C1235" i="13"/>
  <c r="A1234" i="13"/>
  <c r="C1234" i="13"/>
  <c r="A1233" i="13"/>
  <c r="C1233" i="13"/>
  <c r="A1232" i="13"/>
  <c r="C1232" i="13"/>
  <c r="A1231" i="13"/>
  <c r="C1231" i="13"/>
  <c r="A1230" i="13"/>
  <c r="C1230" i="13"/>
  <c r="A1229" i="13"/>
  <c r="C1229" i="13"/>
  <c r="A1228" i="13"/>
  <c r="C1228" i="13"/>
  <c r="A1227" i="13"/>
  <c r="C1227" i="13"/>
  <c r="A1226" i="13"/>
  <c r="C1226" i="13"/>
  <c r="A1225" i="13"/>
  <c r="C1225" i="13"/>
  <c r="A1224" i="13"/>
  <c r="C1224" i="13"/>
  <c r="A1223" i="13"/>
  <c r="C1223" i="13"/>
  <c r="A1222" i="13"/>
  <c r="C1222" i="13"/>
  <c r="A1221" i="13"/>
  <c r="C1221" i="13"/>
  <c r="A1220" i="13"/>
  <c r="C1220" i="13"/>
  <c r="A1219" i="13"/>
  <c r="C1219" i="13"/>
  <c r="A1218" i="13"/>
  <c r="C1218" i="13"/>
  <c r="A1217" i="13"/>
  <c r="C1217" i="13"/>
  <c r="A1216" i="13"/>
  <c r="C1216" i="13"/>
  <c r="A1215" i="13"/>
  <c r="C1215" i="13"/>
  <c r="A1214" i="13"/>
  <c r="C1214" i="13"/>
  <c r="A1213" i="13"/>
  <c r="C1213" i="13"/>
  <c r="A1212" i="13"/>
  <c r="C1212" i="13"/>
  <c r="A1211" i="13"/>
  <c r="C1211" i="13"/>
  <c r="A1210" i="13"/>
  <c r="C1210" i="13"/>
  <c r="A1209" i="13"/>
  <c r="C1209" i="13"/>
  <c r="A1208" i="13"/>
  <c r="C1208" i="13"/>
  <c r="A1207" i="13"/>
  <c r="C1207" i="13"/>
  <c r="A1206" i="13"/>
  <c r="C1206" i="13"/>
  <c r="A1205" i="13"/>
  <c r="C1205" i="13"/>
  <c r="A1204" i="13"/>
  <c r="C1204" i="13"/>
  <c r="A1203" i="13"/>
  <c r="C1203" i="13"/>
  <c r="A1202" i="13"/>
  <c r="C1202" i="13"/>
  <c r="A1201" i="13"/>
  <c r="C1201" i="13"/>
  <c r="A1200" i="13"/>
  <c r="C1200" i="13"/>
  <c r="A1199" i="13"/>
  <c r="C1199" i="13"/>
  <c r="A1198" i="13"/>
  <c r="C1198" i="13"/>
  <c r="A1197" i="13"/>
  <c r="C1197" i="13"/>
  <c r="A1196" i="13"/>
  <c r="C1196" i="13"/>
  <c r="A1195" i="13"/>
  <c r="C1195" i="13"/>
  <c r="A1194" i="13"/>
  <c r="C1194" i="13"/>
  <c r="A1193" i="13"/>
  <c r="C1193" i="13"/>
  <c r="A1192" i="13"/>
  <c r="C1192" i="13"/>
  <c r="A1191" i="13"/>
  <c r="C1191" i="13"/>
  <c r="A1190" i="13"/>
  <c r="C1190" i="13"/>
  <c r="A1189" i="13"/>
  <c r="C1189" i="13"/>
  <c r="A1188" i="13"/>
  <c r="C1188" i="13"/>
  <c r="A1187" i="13"/>
  <c r="C1187" i="13"/>
  <c r="A1186" i="13"/>
  <c r="C1186" i="13"/>
  <c r="A1185" i="13"/>
  <c r="C1185" i="13"/>
  <c r="A1184" i="13"/>
  <c r="C1184" i="13"/>
  <c r="A1183" i="13"/>
  <c r="C1183" i="13"/>
  <c r="A1182" i="13"/>
  <c r="C1182" i="13"/>
  <c r="A1181" i="13"/>
  <c r="C1181" i="13"/>
  <c r="A1180" i="13"/>
  <c r="C1180" i="13"/>
  <c r="A1179" i="13"/>
  <c r="C1179" i="13"/>
  <c r="A1178" i="13"/>
  <c r="C1178" i="13"/>
  <c r="A1177" i="13"/>
  <c r="C1177" i="13"/>
  <c r="A1176" i="13"/>
  <c r="C1176" i="13"/>
  <c r="A1175" i="13"/>
  <c r="C1175" i="13"/>
  <c r="A1174" i="13"/>
  <c r="C1174" i="13"/>
  <c r="A1173" i="13"/>
  <c r="C1173" i="13"/>
  <c r="A1172" i="13"/>
  <c r="C1172" i="13"/>
  <c r="A1171" i="13"/>
  <c r="C1171" i="13"/>
  <c r="A1170" i="13"/>
  <c r="C1170" i="13"/>
  <c r="A1169" i="13"/>
  <c r="C1169" i="13"/>
  <c r="A1168" i="13"/>
  <c r="C1168" i="13"/>
  <c r="A1167" i="13"/>
  <c r="C1167" i="13"/>
  <c r="A1166" i="13"/>
  <c r="C1166" i="13"/>
  <c r="A1165" i="13"/>
  <c r="C1165" i="13"/>
  <c r="A1164" i="13"/>
  <c r="C1164" i="13"/>
  <c r="A1163" i="13"/>
  <c r="C1163" i="13"/>
  <c r="A1162" i="13"/>
  <c r="C1162" i="13"/>
  <c r="A1161" i="13"/>
  <c r="C1161" i="13"/>
  <c r="A1160" i="13"/>
  <c r="C1160" i="13"/>
  <c r="A1159" i="13"/>
  <c r="C1159" i="13"/>
  <c r="A1158" i="13"/>
  <c r="C1158" i="13"/>
  <c r="A1157" i="13"/>
  <c r="C1157" i="13"/>
  <c r="A1156" i="13"/>
  <c r="C1156" i="13"/>
  <c r="A1155" i="13"/>
  <c r="C1155" i="13"/>
  <c r="A1154" i="13"/>
  <c r="C1154" i="13"/>
  <c r="A1153" i="13"/>
  <c r="C1153" i="13"/>
  <c r="A1152" i="13"/>
  <c r="C1152" i="13"/>
  <c r="A1151" i="13"/>
  <c r="C1151" i="13"/>
  <c r="A1150" i="13"/>
  <c r="C1150" i="13"/>
  <c r="A1149" i="13"/>
  <c r="C1149" i="13"/>
  <c r="A1148" i="13"/>
  <c r="C1148" i="13"/>
  <c r="A1147" i="13"/>
  <c r="C1147" i="13"/>
  <c r="A1146" i="13"/>
  <c r="C1146" i="13"/>
  <c r="A1145" i="13"/>
  <c r="C1145" i="13"/>
  <c r="A1144" i="13"/>
  <c r="C1144" i="13"/>
  <c r="A1143" i="13"/>
  <c r="C1143" i="13"/>
  <c r="A1142" i="13"/>
  <c r="C1142" i="13"/>
  <c r="A1141" i="13"/>
  <c r="C1141" i="13"/>
  <c r="A1140" i="13"/>
  <c r="C1140" i="13"/>
  <c r="A1139" i="13"/>
  <c r="C1139" i="13"/>
  <c r="A1138" i="13"/>
  <c r="C1138" i="13"/>
  <c r="A1137" i="13"/>
  <c r="C1137" i="13"/>
  <c r="A1136" i="13"/>
  <c r="C1136" i="13"/>
  <c r="A1135" i="13"/>
  <c r="C1135" i="13"/>
  <c r="A1134" i="13"/>
  <c r="C1134" i="13"/>
  <c r="A1133" i="13"/>
  <c r="C1133" i="13"/>
  <c r="A1132" i="13"/>
  <c r="C1132" i="13"/>
  <c r="A1131" i="13"/>
  <c r="C1131" i="13"/>
  <c r="A1130" i="13"/>
  <c r="C1130" i="13"/>
  <c r="A1129" i="13"/>
  <c r="C1129" i="13"/>
  <c r="A1128" i="13"/>
  <c r="C1128" i="13"/>
  <c r="A1127" i="13"/>
  <c r="C1127" i="13"/>
  <c r="A1126" i="13"/>
  <c r="C1126" i="13"/>
  <c r="A1125" i="13"/>
  <c r="C1125" i="13"/>
  <c r="A1124" i="13"/>
  <c r="C1124" i="13"/>
  <c r="A1123" i="13"/>
  <c r="C1123" i="13"/>
  <c r="A1122" i="13"/>
  <c r="C1122" i="13"/>
  <c r="A1121" i="13"/>
  <c r="C1121" i="13"/>
  <c r="A1120" i="13"/>
  <c r="C1120" i="13"/>
  <c r="A1119" i="13"/>
  <c r="C1119" i="13"/>
  <c r="A1118" i="13"/>
  <c r="C1118" i="13"/>
  <c r="A1117" i="13"/>
  <c r="C1117" i="13"/>
  <c r="A1116" i="13"/>
  <c r="C1116" i="13"/>
  <c r="A1115" i="13"/>
  <c r="C1115" i="13"/>
  <c r="A1114" i="13"/>
  <c r="C1114" i="13"/>
  <c r="A1113" i="13"/>
  <c r="C1113" i="13"/>
  <c r="A1112" i="13"/>
  <c r="C1112" i="13"/>
  <c r="A1111" i="13"/>
  <c r="C1111" i="13"/>
  <c r="A1110" i="13"/>
  <c r="C1110" i="13"/>
  <c r="A1109" i="13"/>
  <c r="C1109" i="13"/>
  <c r="A1108" i="13"/>
  <c r="C1108" i="13"/>
  <c r="A1107" i="13"/>
  <c r="C1107" i="13"/>
  <c r="A1106" i="13"/>
  <c r="C1106" i="13"/>
  <c r="A1105" i="13"/>
  <c r="C1105" i="13"/>
  <c r="A1104" i="13"/>
  <c r="C1104" i="13"/>
  <c r="A1103" i="13"/>
  <c r="C1103" i="13"/>
  <c r="A1102" i="13"/>
  <c r="C1102" i="13"/>
  <c r="A1101" i="13"/>
  <c r="C1101" i="13"/>
  <c r="A1100" i="13"/>
  <c r="C1100" i="13"/>
  <c r="A1099" i="13"/>
  <c r="C1099" i="13"/>
  <c r="A1098" i="13"/>
  <c r="C1098" i="13"/>
  <c r="A1097" i="13"/>
  <c r="C1097" i="13"/>
  <c r="A1096" i="13"/>
  <c r="C1096" i="13"/>
  <c r="A1095" i="13"/>
  <c r="C1095" i="13"/>
  <c r="A1094" i="13"/>
  <c r="C1094" i="13"/>
  <c r="A1093" i="13"/>
  <c r="C1093" i="13"/>
  <c r="A1092" i="13"/>
  <c r="C1092" i="13"/>
  <c r="A1091" i="13"/>
  <c r="C1091" i="13"/>
  <c r="A1090" i="13"/>
  <c r="C1090" i="13"/>
  <c r="A1089" i="13"/>
  <c r="C1089" i="13"/>
  <c r="A1088" i="13"/>
  <c r="C1088" i="13"/>
  <c r="A1087" i="13"/>
  <c r="C1087" i="13"/>
  <c r="A1086" i="13"/>
  <c r="C1086" i="13"/>
  <c r="A1085" i="13"/>
  <c r="C1085" i="13"/>
  <c r="A1084" i="13"/>
  <c r="C1084" i="13"/>
  <c r="A1083" i="13"/>
  <c r="C1083" i="13"/>
  <c r="A1082" i="13"/>
  <c r="C1082" i="13"/>
  <c r="A1081" i="13"/>
  <c r="C1081" i="13"/>
  <c r="A1080" i="13"/>
  <c r="C1080" i="13"/>
  <c r="A1079" i="13"/>
  <c r="C1079" i="13"/>
  <c r="A1078" i="13"/>
  <c r="C1078" i="13"/>
  <c r="A1077" i="13"/>
  <c r="C1077" i="13"/>
  <c r="A1076" i="13"/>
  <c r="C1076" i="13"/>
  <c r="A1075" i="13"/>
  <c r="C1075" i="13"/>
  <c r="A1074" i="13"/>
  <c r="C1074" i="13"/>
  <c r="A1073" i="13"/>
  <c r="C1073" i="13"/>
  <c r="A1072" i="13"/>
  <c r="C1072" i="13"/>
  <c r="A1071" i="13"/>
  <c r="C1071" i="13"/>
  <c r="A1070" i="13"/>
  <c r="C1070" i="13"/>
  <c r="A1069" i="13"/>
  <c r="C1069" i="13"/>
  <c r="A1068" i="13"/>
  <c r="C1068" i="13"/>
  <c r="A1067" i="13"/>
  <c r="C1067" i="13"/>
  <c r="A1066" i="13"/>
  <c r="C1066" i="13"/>
  <c r="A1065" i="13"/>
  <c r="C1065" i="13"/>
  <c r="A1064" i="13"/>
  <c r="C1064" i="13"/>
  <c r="A1063" i="13"/>
  <c r="C1063" i="13"/>
  <c r="A1062" i="13"/>
  <c r="C1062" i="13"/>
  <c r="A1061" i="13"/>
  <c r="C1061" i="13"/>
  <c r="A1060" i="13"/>
  <c r="C1060" i="13"/>
  <c r="A1059" i="13"/>
  <c r="C1059" i="13"/>
  <c r="A1058" i="13"/>
  <c r="C1058" i="13"/>
  <c r="A1057" i="13"/>
  <c r="C1057" i="13"/>
  <c r="A1056" i="13"/>
  <c r="C1056" i="13"/>
  <c r="A1055" i="13"/>
  <c r="C1055" i="13"/>
  <c r="A1054" i="13"/>
  <c r="C1054" i="13"/>
  <c r="A1053" i="13"/>
  <c r="C1053" i="13"/>
  <c r="A1052" i="13"/>
  <c r="C1052" i="13"/>
  <c r="A1051" i="13"/>
  <c r="C1051" i="13"/>
  <c r="A1050" i="13"/>
  <c r="C1050" i="13"/>
  <c r="A1049" i="13"/>
  <c r="C1049" i="13"/>
  <c r="A1048" i="13"/>
  <c r="C1048" i="13"/>
  <c r="A1047" i="13"/>
  <c r="C1047" i="13"/>
  <c r="A1046" i="13"/>
  <c r="C1046" i="13"/>
  <c r="A1045" i="13"/>
  <c r="C1045" i="13"/>
  <c r="A1044" i="13"/>
  <c r="C1044" i="13"/>
  <c r="A1043" i="13"/>
  <c r="C1043" i="13"/>
  <c r="A1042" i="13"/>
  <c r="C1042" i="13"/>
  <c r="A1041" i="13"/>
  <c r="C1041" i="13"/>
  <c r="A1040" i="13"/>
  <c r="C1040" i="13"/>
  <c r="A1039" i="13"/>
  <c r="C1039" i="13"/>
  <c r="A1038" i="13"/>
  <c r="C1038" i="13"/>
  <c r="A1037" i="13"/>
  <c r="C1037" i="13"/>
  <c r="A1036" i="13"/>
  <c r="C1036" i="13"/>
  <c r="A1035" i="13"/>
  <c r="C1035" i="13"/>
  <c r="A1034" i="13"/>
  <c r="C1034" i="13"/>
  <c r="A1033" i="13"/>
  <c r="C1033" i="13"/>
  <c r="A1032" i="13"/>
  <c r="C1032" i="13"/>
  <c r="A1031" i="13"/>
  <c r="C1031" i="13"/>
  <c r="A1030" i="13"/>
  <c r="C1030" i="13"/>
  <c r="A1029" i="13"/>
  <c r="C1029" i="13"/>
  <c r="A1028" i="13"/>
  <c r="C1028" i="13"/>
  <c r="A1027" i="13"/>
  <c r="C1027" i="13"/>
  <c r="A1026" i="13"/>
  <c r="C1026" i="13"/>
  <c r="A1025" i="13"/>
  <c r="C1025" i="13"/>
  <c r="A1024" i="13"/>
  <c r="C1024" i="13"/>
  <c r="A1023" i="13"/>
  <c r="C1023" i="13"/>
  <c r="A1022" i="13"/>
  <c r="C1022" i="13"/>
  <c r="A1021" i="13"/>
  <c r="C1021" i="13"/>
  <c r="A1020" i="13"/>
  <c r="C1020" i="13"/>
  <c r="A1019" i="13"/>
  <c r="C1019" i="13"/>
  <c r="A1018" i="13"/>
  <c r="C1018" i="13"/>
  <c r="A1017" i="13"/>
  <c r="C1017" i="13"/>
  <c r="A1016" i="13"/>
  <c r="C1016" i="13"/>
  <c r="A1015" i="13"/>
  <c r="C1015" i="13"/>
  <c r="A1014" i="13"/>
  <c r="C1014" i="13"/>
  <c r="A1013" i="13"/>
  <c r="C1013" i="13"/>
  <c r="A1012" i="13"/>
  <c r="C1012" i="13"/>
  <c r="A1011" i="13"/>
  <c r="C1011" i="13"/>
  <c r="A1010" i="13"/>
  <c r="C1010" i="13"/>
  <c r="A1009" i="13"/>
  <c r="C1009" i="13"/>
  <c r="A1008" i="13"/>
  <c r="C1008" i="13"/>
  <c r="A1007" i="13"/>
  <c r="C1007" i="13"/>
  <c r="A1006" i="13"/>
  <c r="C1006" i="13"/>
  <c r="A1005" i="13"/>
  <c r="C1005" i="13"/>
  <c r="A1004" i="13"/>
  <c r="C1004" i="13"/>
  <c r="A1003" i="13"/>
  <c r="C1003" i="13"/>
  <c r="A1002" i="13"/>
  <c r="C1002" i="13"/>
  <c r="A1001" i="13"/>
  <c r="C1001" i="13"/>
  <c r="A1000" i="13"/>
  <c r="C1000" i="13"/>
  <c r="A999" i="13"/>
  <c r="C999" i="13"/>
  <c r="A998" i="13"/>
  <c r="C998" i="13"/>
  <c r="A997" i="13"/>
  <c r="C997" i="13"/>
  <c r="A996" i="13"/>
  <c r="C996" i="13"/>
  <c r="A995" i="13"/>
  <c r="C995" i="13"/>
  <c r="A994" i="13"/>
  <c r="C994" i="13"/>
  <c r="A993" i="13"/>
  <c r="C993" i="13"/>
  <c r="A992" i="13"/>
  <c r="C992" i="13"/>
  <c r="A991" i="13"/>
  <c r="C991" i="13"/>
  <c r="A990" i="13"/>
  <c r="C990" i="13"/>
  <c r="A989" i="13"/>
  <c r="C989" i="13"/>
  <c r="A988" i="13"/>
  <c r="C988" i="13"/>
  <c r="A987" i="13"/>
  <c r="C987" i="13"/>
  <c r="A986" i="13"/>
  <c r="C986" i="13"/>
  <c r="A985" i="13"/>
  <c r="C985" i="13"/>
  <c r="A984" i="13"/>
  <c r="C984" i="13"/>
  <c r="A983" i="13"/>
  <c r="C983" i="13"/>
  <c r="A982" i="13"/>
  <c r="C982" i="13"/>
  <c r="A981" i="13"/>
  <c r="C981" i="13"/>
  <c r="A980" i="13"/>
  <c r="C980" i="13"/>
  <c r="A979" i="13"/>
  <c r="C979" i="13"/>
  <c r="A978" i="13"/>
  <c r="C978" i="13"/>
  <c r="A977" i="13"/>
  <c r="C977" i="13"/>
  <c r="A976" i="13"/>
  <c r="C976" i="13"/>
  <c r="A975" i="13"/>
  <c r="C975" i="13"/>
  <c r="A974" i="13"/>
  <c r="C974" i="13"/>
  <c r="A973" i="13"/>
  <c r="C973" i="13"/>
  <c r="A972" i="13"/>
  <c r="C972" i="13"/>
  <c r="A971" i="13"/>
  <c r="C971" i="13"/>
  <c r="A970" i="13"/>
  <c r="C970" i="13"/>
  <c r="A969" i="13"/>
  <c r="C969" i="13"/>
  <c r="A968" i="13"/>
  <c r="C968" i="13"/>
  <c r="A967" i="13"/>
  <c r="C967" i="13"/>
  <c r="A966" i="13"/>
  <c r="C966" i="13"/>
  <c r="A965" i="13"/>
  <c r="C965" i="13"/>
  <c r="A964" i="13"/>
  <c r="C964" i="13"/>
  <c r="A963" i="13"/>
  <c r="C963" i="13"/>
  <c r="A962" i="13"/>
  <c r="C962" i="13"/>
  <c r="A961" i="13"/>
  <c r="C961" i="13"/>
  <c r="A960" i="13"/>
  <c r="C960" i="13"/>
  <c r="A959" i="13"/>
  <c r="C959" i="13"/>
  <c r="A958" i="13"/>
  <c r="C958" i="13"/>
  <c r="A957" i="13"/>
  <c r="C957" i="13"/>
  <c r="A956" i="13"/>
  <c r="C956" i="13"/>
  <c r="A955" i="13"/>
  <c r="C955" i="13"/>
  <c r="A954" i="13"/>
  <c r="C954" i="13"/>
  <c r="A953" i="13"/>
  <c r="C953" i="13"/>
  <c r="A952" i="13"/>
  <c r="C952" i="13"/>
  <c r="A951" i="13"/>
  <c r="C951" i="13"/>
  <c r="A950" i="13"/>
  <c r="C950" i="13"/>
  <c r="A949" i="13"/>
  <c r="C949" i="13"/>
  <c r="A948" i="13"/>
  <c r="C948" i="13"/>
  <c r="A947" i="13"/>
  <c r="C947" i="13"/>
  <c r="A946" i="13"/>
  <c r="C946" i="13"/>
  <c r="A945" i="13"/>
  <c r="C945" i="13"/>
  <c r="A944" i="13"/>
  <c r="C944" i="13"/>
  <c r="A943" i="13"/>
  <c r="C943" i="13"/>
  <c r="A942" i="13"/>
  <c r="C942" i="13"/>
  <c r="A941" i="13"/>
  <c r="C941" i="13"/>
  <c r="A940" i="13"/>
  <c r="C940" i="13"/>
  <c r="A939" i="13"/>
  <c r="C939" i="13"/>
  <c r="A938" i="13"/>
  <c r="C938" i="13"/>
  <c r="A937" i="13"/>
  <c r="C937" i="13"/>
  <c r="A936" i="13"/>
  <c r="C936" i="13"/>
  <c r="A935" i="13"/>
  <c r="C935" i="13"/>
  <c r="A934" i="13"/>
  <c r="C934" i="13"/>
  <c r="A933" i="13"/>
  <c r="C933" i="13"/>
  <c r="A932" i="13"/>
  <c r="C932" i="13"/>
  <c r="A931" i="13"/>
  <c r="C931" i="13"/>
  <c r="A930" i="13"/>
  <c r="C930" i="13"/>
  <c r="A929" i="13"/>
  <c r="C929" i="13"/>
  <c r="A928" i="13"/>
  <c r="C928" i="13"/>
  <c r="A927" i="13"/>
  <c r="C927" i="13"/>
  <c r="A926" i="13"/>
  <c r="C926" i="13"/>
  <c r="A925" i="13"/>
  <c r="C925" i="13"/>
  <c r="A924" i="13"/>
  <c r="C924" i="13"/>
  <c r="A923" i="13"/>
  <c r="C923" i="13"/>
  <c r="A922" i="13"/>
  <c r="C922" i="13"/>
  <c r="A921" i="13"/>
  <c r="C921" i="13"/>
  <c r="A920" i="13"/>
  <c r="C920" i="13"/>
  <c r="A919" i="13"/>
  <c r="C919" i="13"/>
  <c r="A918" i="13"/>
  <c r="C918" i="13"/>
  <c r="A917" i="13"/>
  <c r="C917" i="13"/>
  <c r="A916" i="13"/>
  <c r="C916" i="13"/>
  <c r="A915" i="13"/>
  <c r="C915" i="13"/>
  <c r="A914" i="13"/>
  <c r="C914" i="13"/>
  <c r="A913" i="13"/>
  <c r="C913" i="13"/>
  <c r="A912" i="13"/>
  <c r="C912" i="13"/>
  <c r="A911" i="13"/>
  <c r="C911" i="13"/>
  <c r="A910" i="13"/>
  <c r="C910" i="13"/>
  <c r="A909" i="13"/>
  <c r="C909" i="13"/>
  <c r="A908" i="13"/>
  <c r="C908" i="13"/>
  <c r="A907" i="13"/>
  <c r="C907" i="13"/>
  <c r="A906" i="13"/>
  <c r="C906" i="13"/>
  <c r="A905" i="13"/>
  <c r="C905" i="13"/>
  <c r="A904" i="13"/>
  <c r="C904" i="13"/>
  <c r="A903" i="13"/>
  <c r="C903" i="13"/>
  <c r="A902" i="13"/>
  <c r="C902" i="13"/>
  <c r="A901" i="13"/>
  <c r="C901" i="13"/>
  <c r="A900" i="13"/>
  <c r="C900" i="13"/>
  <c r="A899" i="13"/>
  <c r="C899" i="13"/>
  <c r="A898" i="13"/>
  <c r="C898" i="13"/>
  <c r="A897" i="13"/>
  <c r="C897" i="13"/>
  <c r="A896" i="13"/>
  <c r="C896" i="13"/>
  <c r="A895" i="13"/>
  <c r="C895" i="13"/>
  <c r="A894" i="13"/>
  <c r="C894" i="13"/>
  <c r="A893" i="13"/>
  <c r="C893" i="13"/>
  <c r="A892" i="13"/>
  <c r="C892" i="13"/>
  <c r="A891" i="13"/>
  <c r="C891" i="13"/>
  <c r="A890" i="13"/>
  <c r="C890" i="13"/>
  <c r="A889" i="13"/>
  <c r="C889" i="13"/>
  <c r="A888" i="13"/>
  <c r="C888" i="13"/>
  <c r="A887" i="13"/>
  <c r="C887" i="13"/>
  <c r="A886" i="13"/>
  <c r="C886" i="13"/>
  <c r="A885" i="13"/>
  <c r="C885" i="13"/>
  <c r="A884" i="13"/>
  <c r="C884" i="13"/>
  <c r="A883" i="13"/>
  <c r="C883" i="13"/>
  <c r="A882" i="13"/>
  <c r="C882" i="13"/>
  <c r="A881" i="13"/>
  <c r="C881" i="13"/>
  <c r="A880" i="13"/>
  <c r="C880" i="13"/>
  <c r="A879" i="13"/>
  <c r="C879" i="13"/>
  <c r="A878" i="13"/>
  <c r="C878" i="13"/>
  <c r="A877" i="13"/>
  <c r="C877" i="13"/>
  <c r="A876" i="13"/>
  <c r="C876" i="13"/>
  <c r="A875" i="13"/>
  <c r="C875" i="13"/>
  <c r="A874" i="13"/>
  <c r="C874" i="13"/>
  <c r="A873" i="13"/>
  <c r="C873" i="13"/>
  <c r="A872" i="13"/>
  <c r="C872" i="13"/>
  <c r="A871" i="13"/>
  <c r="C871" i="13"/>
  <c r="A870" i="13"/>
  <c r="C870" i="13"/>
  <c r="A869" i="13"/>
  <c r="C869" i="13"/>
  <c r="A868" i="13"/>
  <c r="C868" i="13"/>
  <c r="A867" i="13"/>
  <c r="C867" i="13"/>
  <c r="A866" i="13"/>
  <c r="C866" i="13"/>
  <c r="A865" i="13"/>
  <c r="C865" i="13"/>
  <c r="A864" i="13"/>
  <c r="C864" i="13"/>
  <c r="A863" i="13"/>
  <c r="C863" i="13"/>
  <c r="A862" i="13"/>
  <c r="C862" i="13"/>
  <c r="A861" i="13"/>
  <c r="C861" i="13"/>
  <c r="A860" i="13"/>
  <c r="C860" i="13"/>
  <c r="A859" i="13"/>
  <c r="C859" i="13"/>
  <c r="A858" i="13"/>
  <c r="C858" i="13"/>
  <c r="A857" i="13"/>
  <c r="C857" i="13"/>
  <c r="A856" i="13"/>
  <c r="C856" i="13"/>
  <c r="A855" i="13"/>
  <c r="C855" i="13"/>
  <c r="A854" i="13"/>
  <c r="C854" i="13"/>
  <c r="A853" i="13"/>
  <c r="C853" i="13"/>
  <c r="A852" i="13"/>
  <c r="C852" i="13"/>
  <c r="A851" i="13"/>
  <c r="C851" i="13"/>
  <c r="A850" i="13"/>
  <c r="C850" i="13"/>
  <c r="A849" i="13"/>
  <c r="C849" i="13"/>
  <c r="A848" i="13"/>
  <c r="C848" i="13"/>
  <c r="A847" i="13"/>
  <c r="C847" i="13"/>
  <c r="A846" i="13"/>
  <c r="C846" i="13"/>
  <c r="A845" i="13"/>
  <c r="C845" i="13"/>
  <c r="A844" i="13"/>
  <c r="C844" i="13"/>
  <c r="A843" i="13"/>
  <c r="C843" i="13"/>
  <c r="A842" i="13"/>
  <c r="C842" i="13"/>
  <c r="A841" i="13"/>
  <c r="C841" i="13"/>
  <c r="A840" i="13"/>
  <c r="C840" i="13"/>
  <c r="A839" i="13"/>
  <c r="C839" i="13"/>
  <c r="A838" i="13"/>
  <c r="C838" i="13"/>
  <c r="A837" i="13"/>
  <c r="C837" i="13"/>
  <c r="A836" i="13"/>
  <c r="C836" i="13"/>
  <c r="A835" i="13"/>
  <c r="C835" i="13"/>
  <c r="A834" i="13"/>
  <c r="C834" i="13"/>
  <c r="A833" i="13"/>
  <c r="C833" i="13"/>
  <c r="A832" i="13"/>
  <c r="C832" i="13"/>
  <c r="A831" i="13"/>
  <c r="C831" i="13"/>
  <c r="A830" i="13"/>
  <c r="C830" i="13"/>
  <c r="A829" i="13"/>
  <c r="C829" i="13"/>
  <c r="A828" i="13"/>
  <c r="C828" i="13"/>
  <c r="A827" i="13"/>
  <c r="C827" i="13"/>
  <c r="A826" i="13"/>
  <c r="C826" i="13"/>
  <c r="A825" i="13"/>
  <c r="C825" i="13"/>
  <c r="A824" i="13"/>
  <c r="C824" i="13"/>
  <c r="A823" i="13"/>
  <c r="C823" i="13"/>
  <c r="A822" i="13"/>
  <c r="C822" i="13"/>
  <c r="A821" i="13"/>
  <c r="C821" i="13"/>
  <c r="A820" i="13"/>
  <c r="C820" i="13"/>
  <c r="A819" i="13"/>
  <c r="C819" i="13"/>
  <c r="A818" i="13"/>
  <c r="C818" i="13"/>
  <c r="A817" i="13"/>
  <c r="C817" i="13"/>
  <c r="A816" i="13"/>
  <c r="C816" i="13"/>
  <c r="A815" i="13"/>
  <c r="C815" i="13"/>
  <c r="A814" i="13"/>
  <c r="C814" i="13"/>
  <c r="A813" i="13"/>
  <c r="C813" i="13"/>
  <c r="A812" i="13"/>
  <c r="C812" i="13"/>
  <c r="A811" i="13"/>
  <c r="C811" i="13"/>
  <c r="A810" i="13"/>
  <c r="C810" i="13"/>
  <c r="A809" i="13"/>
  <c r="C809" i="13"/>
  <c r="A808" i="13"/>
  <c r="C808" i="13"/>
  <c r="A807" i="13"/>
  <c r="C807" i="13"/>
  <c r="A806" i="13"/>
  <c r="C806" i="13"/>
  <c r="A805" i="13"/>
  <c r="C805" i="13"/>
  <c r="A804" i="13"/>
  <c r="C804" i="13"/>
  <c r="A803" i="13"/>
  <c r="C803" i="13"/>
  <c r="A802" i="13"/>
  <c r="C802" i="13"/>
  <c r="A801" i="13"/>
  <c r="C801" i="13"/>
  <c r="A800" i="13"/>
  <c r="C800" i="13"/>
  <c r="A799" i="13"/>
  <c r="C799" i="13"/>
  <c r="A798" i="13"/>
  <c r="C798" i="13"/>
  <c r="A797" i="13"/>
  <c r="C797" i="13"/>
  <c r="A796" i="13"/>
  <c r="C796" i="13"/>
  <c r="A795" i="13"/>
  <c r="C795" i="13"/>
  <c r="A794" i="13"/>
  <c r="C794" i="13"/>
  <c r="A793" i="13"/>
  <c r="C793" i="13"/>
  <c r="A792" i="13"/>
  <c r="C792" i="13"/>
  <c r="A791" i="13"/>
  <c r="C791" i="13"/>
  <c r="A790" i="13"/>
  <c r="C790" i="13"/>
  <c r="A789" i="13"/>
  <c r="C789" i="13"/>
  <c r="A788" i="13"/>
  <c r="C788" i="13"/>
  <c r="A787" i="13"/>
  <c r="C787" i="13"/>
  <c r="A786" i="13"/>
  <c r="C786" i="13"/>
  <c r="A785" i="13"/>
  <c r="C785" i="13"/>
  <c r="A784" i="13"/>
  <c r="C784" i="13"/>
  <c r="A783" i="13"/>
  <c r="C783" i="13"/>
  <c r="A782" i="13"/>
  <c r="C782" i="13"/>
  <c r="A781" i="13"/>
  <c r="C781" i="13"/>
  <c r="A780" i="13"/>
  <c r="C780" i="13"/>
  <c r="A779" i="13"/>
  <c r="C779" i="13"/>
  <c r="A778" i="13"/>
  <c r="C778" i="13"/>
  <c r="A777" i="13"/>
  <c r="C777" i="13"/>
  <c r="A776" i="13"/>
  <c r="C776" i="13"/>
  <c r="A775" i="13"/>
  <c r="C775" i="13"/>
  <c r="A774" i="13"/>
  <c r="C774" i="13"/>
  <c r="A773" i="13"/>
  <c r="C773" i="13"/>
  <c r="A772" i="13"/>
  <c r="C772" i="13"/>
  <c r="A771" i="13"/>
  <c r="C771" i="13"/>
  <c r="A770" i="13"/>
  <c r="C770" i="13"/>
  <c r="A769" i="13"/>
  <c r="C769" i="13"/>
  <c r="A768" i="13"/>
  <c r="C768" i="13"/>
  <c r="A767" i="13"/>
  <c r="C767" i="13"/>
  <c r="A766" i="13"/>
  <c r="C766" i="13"/>
  <c r="A765" i="13"/>
  <c r="C765" i="13"/>
  <c r="A764" i="13"/>
  <c r="C764" i="13"/>
  <c r="A763" i="13"/>
  <c r="C763" i="13"/>
  <c r="A762" i="13"/>
  <c r="C762" i="13"/>
  <c r="A761" i="13"/>
  <c r="C761" i="13"/>
  <c r="A760" i="13"/>
  <c r="C760" i="13"/>
  <c r="A759" i="13"/>
  <c r="C759" i="13"/>
  <c r="A758" i="13"/>
  <c r="C758" i="13"/>
  <c r="A757" i="13"/>
  <c r="C757" i="13"/>
  <c r="A756" i="13"/>
  <c r="C756" i="13"/>
  <c r="A755" i="13"/>
  <c r="C755" i="13"/>
  <c r="A754" i="13"/>
  <c r="C754" i="13"/>
  <c r="A753" i="13"/>
  <c r="C753" i="13"/>
  <c r="A752" i="13"/>
  <c r="C752" i="13"/>
  <c r="A751" i="13"/>
  <c r="C751" i="13"/>
  <c r="A750" i="13"/>
  <c r="C750" i="13"/>
  <c r="A749" i="13"/>
  <c r="C749" i="13"/>
  <c r="A748" i="13"/>
  <c r="C748" i="13"/>
  <c r="A747" i="13"/>
  <c r="C747" i="13"/>
  <c r="A746" i="13"/>
  <c r="C746" i="13"/>
  <c r="A745" i="13"/>
  <c r="C745" i="13"/>
  <c r="A744" i="13"/>
  <c r="C744" i="13"/>
  <c r="A743" i="13"/>
  <c r="C743" i="13"/>
  <c r="A742" i="13"/>
  <c r="C742" i="13"/>
  <c r="A741" i="13"/>
  <c r="C741" i="13"/>
  <c r="A740" i="13"/>
  <c r="C740" i="13"/>
  <c r="A739" i="13"/>
  <c r="C739" i="13"/>
  <c r="A738" i="13"/>
  <c r="C738" i="13"/>
  <c r="A737" i="13"/>
  <c r="C737" i="13"/>
  <c r="A736" i="13"/>
  <c r="C736" i="13"/>
  <c r="A735" i="13"/>
  <c r="C735" i="13"/>
  <c r="A734" i="13"/>
  <c r="C734" i="13"/>
  <c r="A733" i="13"/>
  <c r="C733" i="13"/>
  <c r="A732" i="13"/>
  <c r="C732" i="13"/>
  <c r="A731" i="13"/>
  <c r="C731" i="13"/>
  <c r="A730" i="13"/>
  <c r="C730" i="13"/>
  <c r="A729" i="13"/>
  <c r="C729" i="13"/>
  <c r="A728" i="13"/>
  <c r="C728" i="13"/>
  <c r="A727" i="13"/>
  <c r="C727" i="13"/>
  <c r="A726" i="13"/>
  <c r="C726" i="13"/>
  <c r="A725" i="13"/>
  <c r="C725" i="13"/>
  <c r="A724" i="13"/>
  <c r="C724" i="13"/>
  <c r="A723" i="13"/>
  <c r="C723" i="13"/>
  <c r="A722" i="13"/>
  <c r="C722" i="13"/>
  <c r="A721" i="13"/>
  <c r="C721" i="13"/>
  <c r="A720" i="13"/>
  <c r="C720" i="13"/>
  <c r="A719" i="13"/>
  <c r="C719" i="13"/>
  <c r="A718" i="13"/>
  <c r="C718" i="13"/>
  <c r="A717" i="13"/>
  <c r="C717" i="13"/>
  <c r="A716" i="13"/>
  <c r="C716" i="13"/>
  <c r="A715" i="13"/>
  <c r="C715" i="13"/>
  <c r="A714" i="13"/>
  <c r="C714" i="13"/>
  <c r="A713" i="13"/>
  <c r="C713" i="13"/>
  <c r="A712" i="13"/>
  <c r="C712" i="13"/>
  <c r="A711" i="13"/>
  <c r="C711" i="13"/>
  <c r="A710" i="13"/>
  <c r="C710" i="13"/>
  <c r="A709" i="13"/>
  <c r="C709" i="13"/>
  <c r="A708" i="13"/>
  <c r="C708" i="13"/>
  <c r="A707" i="13"/>
  <c r="C707" i="13"/>
  <c r="A706" i="13"/>
  <c r="C706" i="13"/>
  <c r="A705" i="13"/>
  <c r="C705" i="13"/>
  <c r="A704" i="13"/>
  <c r="C704" i="13"/>
  <c r="A703" i="13"/>
  <c r="C703" i="13"/>
  <c r="A702" i="13"/>
  <c r="C702" i="13"/>
  <c r="A701" i="13"/>
  <c r="C701" i="13"/>
  <c r="A700" i="13"/>
  <c r="C700" i="13"/>
  <c r="A699" i="13"/>
  <c r="C699" i="13"/>
  <c r="A698" i="13"/>
  <c r="C698" i="13"/>
  <c r="A697" i="13"/>
  <c r="C697" i="13"/>
  <c r="A696" i="13"/>
  <c r="C696" i="13"/>
  <c r="A695" i="13"/>
  <c r="C695" i="13"/>
  <c r="A694" i="13"/>
  <c r="C694" i="13"/>
  <c r="A693" i="13"/>
  <c r="C693" i="13"/>
  <c r="A692" i="13"/>
  <c r="C692" i="13"/>
  <c r="A691" i="13"/>
  <c r="C691" i="13"/>
  <c r="A690" i="13"/>
  <c r="C690" i="13"/>
  <c r="A689" i="13"/>
  <c r="C689" i="13"/>
  <c r="A688" i="13"/>
  <c r="C688" i="13"/>
  <c r="A687" i="13"/>
  <c r="C687" i="13"/>
  <c r="A686" i="13"/>
  <c r="C686" i="13"/>
  <c r="A685" i="13"/>
  <c r="C685" i="13"/>
  <c r="A684" i="13"/>
  <c r="C684" i="13"/>
  <c r="A683" i="13"/>
  <c r="C683" i="13"/>
  <c r="A682" i="13"/>
  <c r="C682" i="13"/>
  <c r="A681" i="13"/>
  <c r="C681" i="13"/>
  <c r="A680" i="13"/>
  <c r="C680" i="13"/>
  <c r="A679" i="13"/>
  <c r="C679" i="13"/>
  <c r="A678" i="13"/>
  <c r="C678" i="13"/>
  <c r="A677" i="13"/>
  <c r="C677" i="13"/>
  <c r="A676" i="13"/>
  <c r="C676" i="13"/>
  <c r="A675" i="13"/>
  <c r="C675" i="13"/>
  <c r="A674" i="13"/>
  <c r="C674" i="13"/>
  <c r="A673" i="13"/>
  <c r="C673" i="13"/>
  <c r="A672" i="13"/>
  <c r="C672" i="13"/>
  <c r="A671" i="13"/>
  <c r="C671" i="13"/>
  <c r="A670" i="13"/>
  <c r="C670" i="13"/>
  <c r="A669" i="13"/>
  <c r="C669" i="13"/>
  <c r="A668" i="13"/>
  <c r="C668" i="13"/>
  <c r="A667" i="13"/>
  <c r="C667" i="13"/>
  <c r="A666" i="13"/>
  <c r="C666" i="13"/>
  <c r="A665" i="13"/>
  <c r="C665" i="13"/>
  <c r="A664" i="13"/>
  <c r="C664" i="13"/>
  <c r="A663" i="13"/>
  <c r="C663" i="13"/>
  <c r="A662" i="13"/>
  <c r="C662" i="13"/>
  <c r="A661" i="13"/>
  <c r="C661" i="13"/>
  <c r="A660" i="13"/>
  <c r="C660" i="13"/>
  <c r="A659" i="13"/>
  <c r="C659" i="13"/>
  <c r="A658" i="13"/>
  <c r="C658" i="13"/>
  <c r="A657" i="13"/>
  <c r="C657" i="13"/>
  <c r="A656" i="13"/>
  <c r="C656" i="13"/>
  <c r="A655" i="13"/>
  <c r="C655" i="13"/>
  <c r="A654" i="13"/>
  <c r="C654" i="13"/>
  <c r="A653" i="13"/>
  <c r="C653" i="13"/>
  <c r="A652" i="13"/>
  <c r="C652" i="13"/>
  <c r="A651" i="13"/>
  <c r="C651" i="13"/>
  <c r="A650" i="13"/>
  <c r="C650" i="13"/>
  <c r="A649" i="13"/>
  <c r="C649" i="13"/>
  <c r="A648" i="13"/>
  <c r="C648" i="13"/>
  <c r="A647" i="13"/>
  <c r="C647" i="13"/>
  <c r="A646" i="13"/>
  <c r="C646" i="13"/>
  <c r="A645" i="13"/>
  <c r="C645" i="13"/>
  <c r="A644" i="13"/>
  <c r="C644" i="13"/>
  <c r="A643" i="13"/>
  <c r="C643" i="13"/>
  <c r="A642" i="13"/>
  <c r="C642" i="13"/>
  <c r="A641" i="13"/>
  <c r="C641" i="13"/>
  <c r="A640" i="13"/>
  <c r="C640" i="13"/>
  <c r="A639" i="13"/>
  <c r="C639" i="13"/>
  <c r="A638" i="13"/>
  <c r="C638" i="13"/>
  <c r="A637" i="13"/>
  <c r="C637" i="13"/>
  <c r="A636" i="13"/>
  <c r="C636" i="13"/>
  <c r="A635" i="13"/>
  <c r="C635" i="13"/>
  <c r="A634" i="13"/>
  <c r="C634" i="13"/>
  <c r="A633" i="13"/>
  <c r="C633" i="13"/>
  <c r="A632" i="13"/>
  <c r="C632" i="13"/>
  <c r="A631" i="13"/>
  <c r="C631" i="13"/>
  <c r="A630" i="13"/>
  <c r="C630" i="13"/>
  <c r="A629" i="13"/>
  <c r="C629" i="13"/>
  <c r="A628" i="13"/>
  <c r="C628" i="13"/>
  <c r="A627" i="13"/>
  <c r="C627" i="13"/>
  <c r="A626" i="13"/>
  <c r="C626" i="13"/>
  <c r="A625" i="13"/>
  <c r="C625" i="13"/>
  <c r="A624" i="13"/>
  <c r="C624" i="13"/>
  <c r="A623" i="13"/>
  <c r="C623" i="13"/>
  <c r="A622" i="13"/>
  <c r="C622" i="13"/>
  <c r="A621" i="13"/>
  <c r="C621" i="13"/>
  <c r="A620" i="13"/>
  <c r="C620" i="13"/>
  <c r="A619" i="13"/>
  <c r="C619" i="13"/>
  <c r="A618" i="13"/>
  <c r="C618" i="13"/>
  <c r="A617" i="13"/>
  <c r="C617" i="13"/>
  <c r="A616" i="13"/>
  <c r="C616" i="13"/>
  <c r="A615" i="13"/>
  <c r="C615" i="13"/>
  <c r="A614" i="13"/>
  <c r="C614" i="13"/>
  <c r="A613" i="13"/>
  <c r="C613" i="13"/>
  <c r="A612" i="13"/>
  <c r="C612" i="13"/>
  <c r="A611" i="13"/>
  <c r="C611" i="13"/>
  <c r="A610" i="13"/>
  <c r="C610" i="13"/>
  <c r="A609" i="13"/>
  <c r="C609" i="13"/>
  <c r="A608" i="13"/>
  <c r="C608" i="13"/>
  <c r="A607" i="13"/>
  <c r="C607" i="13"/>
  <c r="A606" i="13"/>
  <c r="C606" i="13"/>
  <c r="A605" i="13"/>
  <c r="C605" i="13"/>
  <c r="A604" i="13"/>
  <c r="C604" i="13"/>
  <c r="A603" i="13"/>
  <c r="C603" i="13"/>
  <c r="A602" i="13"/>
  <c r="C602" i="13"/>
  <c r="A601" i="13"/>
  <c r="C601" i="13"/>
  <c r="A600" i="13"/>
  <c r="C600" i="13"/>
  <c r="A599" i="13"/>
  <c r="C599" i="13"/>
  <c r="A598" i="13"/>
  <c r="C598" i="13"/>
  <c r="A597" i="13"/>
  <c r="C597" i="13"/>
  <c r="A596" i="13"/>
  <c r="C596" i="13"/>
  <c r="A595" i="13"/>
  <c r="C595" i="13"/>
  <c r="A594" i="13"/>
  <c r="C594" i="13"/>
  <c r="A593" i="13"/>
  <c r="C593" i="13"/>
  <c r="A592" i="13"/>
  <c r="C592" i="13"/>
  <c r="A591" i="13"/>
  <c r="C591" i="13"/>
  <c r="A590" i="13"/>
  <c r="C590" i="13"/>
  <c r="A589" i="13"/>
  <c r="C589" i="13"/>
  <c r="A588" i="13"/>
  <c r="C588" i="13"/>
  <c r="A587" i="13"/>
  <c r="C587" i="13"/>
  <c r="A586" i="13"/>
  <c r="C586" i="13"/>
  <c r="A585" i="13"/>
  <c r="C585" i="13"/>
  <c r="A584" i="13"/>
  <c r="C584" i="13"/>
  <c r="A583" i="13"/>
  <c r="C583" i="13"/>
  <c r="A582" i="13"/>
  <c r="C582" i="13"/>
  <c r="A581" i="13"/>
  <c r="C581" i="13"/>
  <c r="A580" i="13"/>
  <c r="C580" i="13"/>
  <c r="A579" i="13"/>
  <c r="C579" i="13"/>
  <c r="A578" i="13"/>
  <c r="C578" i="13"/>
  <c r="A577" i="13"/>
  <c r="C577" i="13"/>
  <c r="A576" i="13"/>
  <c r="C576" i="13"/>
  <c r="A575" i="13"/>
  <c r="C575" i="13"/>
  <c r="A574" i="13"/>
  <c r="C574" i="13"/>
  <c r="A573" i="13"/>
  <c r="C573" i="13"/>
  <c r="A572" i="13"/>
  <c r="C572" i="13"/>
  <c r="A571" i="13"/>
  <c r="C571" i="13"/>
  <c r="A570" i="13"/>
  <c r="C570" i="13"/>
  <c r="A569" i="13"/>
  <c r="C569" i="13"/>
  <c r="A568" i="13"/>
  <c r="C568" i="13"/>
  <c r="A567" i="13"/>
  <c r="C567" i="13"/>
  <c r="A566" i="13"/>
  <c r="C566" i="13"/>
  <c r="A565" i="13"/>
  <c r="C565" i="13"/>
  <c r="A564" i="13"/>
  <c r="C564" i="13"/>
  <c r="A563" i="13"/>
  <c r="C563" i="13"/>
  <c r="A562" i="13"/>
  <c r="C562" i="13"/>
  <c r="A561" i="13"/>
  <c r="C561" i="13"/>
  <c r="A560" i="13"/>
  <c r="C560" i="13"/>
  <c r="A559" i="13"/>
  <c r="C559" i="13"/>
  <c r="A558" i="13"/>
  <c r="C558" i="13"/>
  <c r="A557" i="13"/>
  <c r="C557" i="13"/>
  <c r="A556" i="13"/>
  <c r="C556" i="13"/>
  <c r="A555" i="13"/>
  <c r="C555" i="13"/>
  <c r="A554" i="13"/>
  <c r="C554" i="13"/>
  <c r="A553" i="13"/>
  <c r="C553" i="13"/>
  <c r="A552" i="13"/>
  <c r="C552" i="13"/>
  <c r="A551" i="13"/>
  <c r="C551" i="13"/>
  <c r="A550" i="13"/>
  <c r="C550" i="13"/>
  <c r="A549" i="13"/>
  <c r="C549" i="13"/>
  <c r="A548" i="13"/>
  <c r="C548" i="13"/>
  <c r="A547" i="13"/>
  <c r="C547" i="13"/>
  <c r="A546" i="13"/>
  <c r="C546" i="13"/>
  <c r="A545" i="13"/>
  <c r="C545" i="13"/>
  <c r="A544" i="13"/>
  <c r="C544" i="13"/>
  <c r="A543" i="13"/>
  <c r="C543" i="13"/>
  <c r="A542" i="13"/>
  <c r="C542" i="13"/>
  <c r="A541" i="13"/>
  <c r="C541" i="13"/>
  <c r="A540" i="13"/>
  <c r="C540" i="13"/>
  <c r="A539" i="13"/>
  <c r="C539" i="13"/>
  <c r="A538" i="13"/>
  <c r="C538" i="13"/>
  <c r="A537" i="13"/>
  <c r="C537" i="13"/>
  <c r="A536" i="13"/>
  <c r="C536" i="13"/>
  <c r="A535" i="13"/>
  <c r="C535" i="13"/>
  <c r="A534" i="13"/>
  <c r="C534" i="13"/>
  <c r="A533" i="13"/>
  <c r="C533" i="13"/>
  <c r="A532" i="13"/>
  <c r="C532" i="13"/>
  <c r="A531" i="13"/>
  <c r="C531" i="13"/>
  <c r="A530" i="13"/>
  <c r="C530" i="13"/>
  <c r="A529" i="13"/>
  <c r="C529" i="13"/>
  <c r="A528" i="13"/>
  <c r="C528" i="13"/>
  <c r="A527" i="13"/>
  <c r="C527" i="13"/>
  <c r="A526" i="13"/>
  <c r="C526" i="13"/>
  <c r="A525" i="13"/>
  <c r="C525" i="13"/>
  <c r="A524" i="13"/>
  <c r="C524" i="13"/>
  <c r="A523" i="13"/>
  <c r="C523" i="13"/>
  <c r="A522" i="13"/>
  <c r="C522" i="13"/>
  <c r="A521" i="13"/>
  <c r="C521" i="13"/>
  <c r="A520" i="13"/>
  <c r="C520" i="13"/>
  <c r="A519" i="13"/>
  <c r="C519" i="13"/>
  <c r="A518" i="13"/>
  <c r="C518" i="13"/>
  <c r="A517" i="13"/>
  <c r="C517" i="13"/>
  <c r="A516" i="13"/>
  <c r="C516" i="13"/>
  <c r="A515" i="13"/>
  <c r="C515" i="13"/>
  <c r="A514" i="13"/>
  <c r="C514" i="13"/>
  <c r="A513" i="13"/>
  <c r="C513" i="13"/>
  <c r="A512" i="13"/>
  <c r="C512" i="13"/>
  <c r="A511" i="13"/>
  <c r="C511" i="13"/>
  <c r="A510" i="13"/>
  <c r="C510" i="13"/>
  <c r="A509" i="13"/>
  <c r="C509" i="13"/>
  <c r="A508" i="13"/>
  <c r="C508" i="13"/>
  <c r="A507" i="13"/>
  <c r="C507" i="13"/>
  <c r="A506" i="13"/>
  <c r="C506" i="13"/>
  <c r="A505" i="13"/>
  <c r="C505" i="13"/>
  <c r="A504" i="13"/>
  <c r="C504" i="13"/>
  <c r="A503" i="13"/>
  <c r="C503" i="13"/>
  <c r="A502" i="13"/>
  <c r="C502" i="13"/>
  <c r="A501" i="13"/>
  <c r="C501" i="13"/>
  <c r="A500" i="13"/>
  <c r="C500" i="13"/>
  <c r="A499" i="13"/>
  <c r="C499" i="13"/>
  <c r="A498" i="13"/>
  <c r="C498" i="13"/>
  <c r="A497" i="13"/>
  <c r="C497" i="13"/>
  <c r="A496" i="13"/>
  <c r="C496" i="13"/>
  <c r="A495" i="13"/>
  <c r="C495" i="13"/>
  <c r="A494" i="13"/>
  <c r="C494" i="13"/>
  <c r="A493" i="13"/>
  <c r="C493" i="13"/>
  <c r="A492" i="13"/>
  <c r="C492" i="13"/>
  <c r="A491" i="13"/>
  <c r="C491" i="13"/>
  <c r="A490" i="13"/>
  <c r="C490" i="13"/>
  <c r="A489" i="13"/>
  <c r="C489" i="13"/>
  <c r="A488" i="13"/>
  <c r="C488" i="13"/>
  <c r="A487" i="13"/>
  <c r="C487" i="13"/>
  <c r="A486" i="13"/>
  <c r="C486" i="13"/>
  <c r="A485" i="13"/>
  <c r="C485" i="13"/>
  <c r="A484" i="13"/>
  <c r="C484" i="13"/>
  <c r="A483" i="13"/>
  <c r="C483" i="13"/>
  <c r="A482" i="13"/>
  <c r="C482" i="13"/>
  <c r="A481" i="13"/>
  <c r="C481" i="13"/>
  <c r="A480" i="13"/>
  <c r="C480" i="13"/>
  <c r="A479" i="13"/>
  <c r="C479" i="13"/>
  <c r="A478" i="13"/>
  <c r="C478" i="13"/>
  <c r="A477" i="13"/>
  <c r="C477" i="13"/>
  <c r="A476" i="13"/>
  <c r="C476" i="13"/>
  <c r="A475" i="13"/>
  <c r="C475" i="13"/>
  <c r="A474" i="13"/>
  <c r="C474" i="13"/>
  <c r="A473" i="13"/>
  <c r="C473" i="13"/>
  <c r="A472" i="13"/>
  <c r="C472" i="13"/>
  <c r="A471" i="13"/>
  <c r="C471" i="13"/>
  <c r="A470" i="13"/>
  <c r="C470" i="13"/>
  <c r="A469" i="13"/>
  <c r="C469" i="13"/>
  <c r="A468" i="13"/>
  <c r="C468" i="13"/>
  <c r="A467" i="13"/>
  <c r="C467" i="13"/>
  <c r="A466" i="13"/>
  <c r="C466" i="13"/>
  <c r="A465" i="13"/>
  <c r="C465" i="13"/>
  <c r="A464" i="13"/>
  <c r="C464" i="13"/>
  <c r="A463" i="13"/>
  <c r="C463" i="13"/>
  <c r="A462" i="13"/>
  <c r="C462" i="13"/>
  <c r="A461" i="13"/>
  <c r="C461" i="13"/>
  <c r="A460" i="13"/>
  <c r="C460" i="13"/>
  <c r="A459" i="13"/>
  <c r="C459" i="13"/>
  <c r="A458" i="13"/>
  <c r="C458" i="13"/>
  <c r="A457" i="13"/>
  <c r="C457" i="13"/>
  <c r="A456" i="13"/>
  <c r="C456" i="13"/>
  <c r="A455" i="13"/>
  <c r="C455" i="13"/>
  <c r="A454" i="13"/>
  <c r="C454" i="13"/>
  <c r="A453" i="13"/>
  <c r="C453" i="13"/>
  <c r="A452" i="13"/>
  <c r="C452" i="13"/>
  <c r="A451" i="13"/>
  <c r="C451" i="13"/>
  <c r="A450" i="13"/>
  <c r="C450" i="13"/>
  <c r="A449" i="13"/>
  <c r="C449" i="13"/>
  <c r="A448" i="13"/>
  <c r="C448" i="13"/>
  <c r="A447" i="13"/>
  <c r="C447" i="13"/>
  <c r="A446" i="13"/>
  <c r="C446" i="13"/>
  <c r="A445" i="13"/>
  <c r="C445" i="13"/>
  <c r="A444" i="13"/>
  <c r="C444" i="13"/>
  <c r="A443" i="13"/>
  <c r="C443" i="13"/>
  <c r="A442" i="13"/>
  <c r="C442" i="13"/>
  <c r="A441" i="13"/>
  <c r="C441" i="13"/>
  <c r="A440" i="13"/>
  <c r="C440" i="13"/>
  <c r="A439" i="13"/>
  <c r="C439" i="13"/>
  <c r="A438" i="13"/>
  <c r="C438" i="13"/>
  <c r="A437" i="13"/>
  <c r="C437" i="13"/>
  <c r="A436" i="13"/>
  <c r="C436" i="13"/>
  <c r="A435" i="13"/>
  <c r="C435" i="13"/>
  <c r="A434" i="13"/>
  <c r="C434" i="13"/>
  <c r="A433" i="13"/>
  <c r="C433" i="13"/>
  <c r="A432" i="13"/>
  <c r="C432" i="13"/>
  <c r="A431" i="13"/>
  <c r="C431" i="13"/>
  <c r="A430" i="13"/>
  <c r="C430" i="13"/>
  <c r="A429" i="13"/>
  <c r="C429" i="13"/>
  <c r="A428" i="13"/>
  <c r="C428" i="13"/>
  <c r="A427" i="13"/>
  <c r="C427" i="13"/>
  <c r="A426" i="13"/>
  <c r="C426" i="13"/>
  <c r="A425" i="13"/>
  <c r="C425" i="13"/>
  <c r="A424" i="13"/>
  <c r="C424" i="13"/>
  <c r="A423" i="13"/>
  <c r="C423" i="13"/>
  <c r="A422" i="13"/>
  <c r="C422" i="13"/>
  <c r="A421" i="13"/>
  <c r="C421" i="13"/>
  <c r="A420" i="13"/>
  <c r="C420" i="13"/>
  <c r="A419" i="13"/>
  <c r="C419" i="13"/>
  <c r="A418" i="13"/>
  <c r="C418" i="13"/>
  <c r="A417" i="13"/>
  <c r="C417" i="13"/>
  <c r="A416" i="13"/>
  <c r="C416" i="13"/>
  <c r="A415" i="13"/>
  <c r="C415" i="13"/>
  <c r="A414" i="13"/>
  <c r="C414" i="13"/>
  <c r="A413" i="13"/>
  <c r="C413" i="13"/>
  <c r="A412" i="13"/>
  <c r="C412" i="13"/>
  <c r="A411" i="13"/>
  <c r="C411" i="13"/>
  <c r="A410" i="13"/>
  <c r="C410" i="13"/>
  <c r="A409" i="13"/>
  <c r="C409" i="13"/>
  <c r="A408" i="13"/>
  <c r="C408" i="13"/>
  <c r="A407" i="13"/>
  <c r="C407" i="13"/>
  <c r="A406" i="13"/>
  <c r="C406" i="13"/>
  <c r="A405" i="13"/>
  <c r="C405" i="13"/>
  <c r="A404" i="13"/>
  <c r="C404" i="13"/>
  <c r="A403" i="13"/>
  <c r="C403" i="13"/>
  <c r="A402" i="13"/>
  <c r="C402" i="13"/>
  <c r="A401" i="13"/>
  <c r="C401" i="13"/>
  <c r="A400" i="13"/>
  <c r="C400" i="13"/>
  <c r="A399" i="13"/>
  <c r="C399" i="13"/>
  <c r="A398" i="13"/>
  <c r="C398" i="13"/>
  <c r="A397" i="13"/>
  <c r="C397" i="13"/>
  <c r="A396" i="13"/>
  <c r="C396" i="13"/>
  <c r="A395" i="13"/>
  <c r="C395" i="13"/>
  <c r="A394" i="13"/>
  <c r="C394" i="13"/>
  <c r="A393" i="13"/>
  <c r="C393" i="13"/>
  <c r="A392" i="13"/>
  <c r="C392" i="13"/>
  <c r="A391" i="13"/>
  <c r="C391" i="13"/>
  <c r="A390" i="13"/>
  <c r="C390" i="13"/>
  <c r="A389" i="13"/>
  <c r="C389" i="13"/>
  <c r="A388" i="13"/>
  <c r="C388" i="13"/>
  <c r="A387" i="13"/>
  <c r="C387" i="13"/>
  <c r="A386" i="13"/>
  <c r="C386" i="13"/>
  <c r="A385" i="13"/>
  <c r="C385" i="13"/>
  <c r="A384" i="13"/>
  <c r="C384" i="13"/>
  <c r="A383" i="13"/>
  <c r="C383" i="13"/>
  <c r="A382" i="13"/>
  <c r="C382" i="13"/>
  <c r="A381" i="13"/>
  <c r="C381" i="13"/>
  <c r="A380" i="13"/>
  <c r="C380" i="13"/>
  <c r="A379" i="13"/>
  <c r="C379" i="13"/>
  <c r="A378" i="13"/>
  <c r="C378" i="13"/>
  <c r="A377" i="13"/>
  <c r="C377" i="13"/>
  <c r="A376" i="13"/>
  <c r="C376" i="13"/>
  <c r="A375" i="13"/>
  <c r="C375" i="13"/>
  <c r="A374" i="13"/>
  <c r="C374" i="13"/>
  <c r="A373" i="13"/>
  <c r="C373" i="13"/>
  <c r="A372" i="13"/>
  <c r="C372" i="13"/>
  <c r="A371" i="13"/>
  <c r="C371" i="13"/>
  <c r="A370" i="13"/>
  <c r="C370" i="13"/>
  <c r="A369" i="13"/>
  <c r="C369" i="13"/>
  <c r="A368" i="13"/>
  <c r="C368" i="13"/>
  <c r="A367" i="13"/>
  <c r="C367" i="13"/>
  <c r="A366" i="13"/>
  <c r="C366" i="13"/>
  <c r="A365" i="13"/>
  <c r="C365" i="13"/>
  <c r="A364" i="13"/>
  <c r="C364" i="13"/>
  <c r="A363" i="13"/>
  <c r="C363" i="13"/>
  <c r="A362" i="13"/>
  <c r="C362" i="13"/>
  <c r="A361" i="13"/>
  <c r="C361" i="13"/>
  <c r="A360" i="13"/>
  <c r="C360" i="13"/>
  <c r="A359" i="13"/>
  <c r="C359" i="13"/>
  <c r="A358" i="13"/>
  <c r="C358" i="13"/>
  <c r="A357" i="13"/>
  <c r="C357" i="13"/>
  <c r="A356" i="13"/>
  <c r="C356" i="13"/>
  <c r="A355" i="13"/>
  <c r="C355" i="13"/>
  <c r="A354" i="13"/>
  <c r="C354" i="13"/>
  <c r="A353" i="13"/>
  <c r="C353" i="13"/>
  <c r="A352" i="13"/>
  <c r="C352" i="13"/>
  <c r="A351" i="13"/>
  <c r="C351" i="13"/>
  <c r="A350" i="13"/>
  <c r="C350" i="13"/>
  <c r="A349" i="13"/>
  <c r="C349" i="13"/>
  <c r="A348" i="13"/>
  <c r="C348" i="13"/>
  <c r="A347" i="13"/>
  <c r="C347" i="13"/>
  <c r="A346" i="13"/>
  <c r="C346" i="13"/>
  <c r="A345" i="13"/>
  <c r="C345" i="13"/>
  <c r="A344" i="13"/>
  <c r="C344" i="13"/>
  <c r="A343" i="13"/>
  <c r="C343" i="13"/>
  <c r="A342" i="13"/>
  <c r="C342" i="13"/>
  <c r="A341" i="13"/>
  <c r="C341" i="13"/>
  <c r="A340" i="13"/>
  <c r="C340" i="13"/>
  <c r="A339" i="13"/>
  <c r="C339" i="13"/>
  <c r="A338" i="13"/>
  <c r="C338" i="13"/>
  <c r="A337" i="13"/>
  <c r="C337" i="13"/>
  <c r="A336" i="13"/>
  <c r="C336" i="13"/>
  <c r="A335" i="13"/>
  <c r="C335" i="13"/>
  <c r="A334" i="13"/>
  <c r="C334" i="13"/>
  <c r="A333" i="13"/>
  <c r="C333" i="13"/>
  <c r="A332" i="13"/>
  <c r="C332" i="13"/>
  <c r="A331" i="13"/>
  <c r="C331" i="13"/>
  <c r="A330" i="13"/>
  <c r="C330" i="13"/>
  <c r="A329" i="13"/>
  <c r="C329" i="13"/>
  <c r="A328" i="13"/>
  <c r="C328" i="13"/>
  <c r="A327" i="13"/>
  <c r="C327" i="13"/>
  <c r="A326" i="13"/>
  <c r="C326" i="13"/>
  <c r="A325" i="13"/>
  <c r="C325" i="13"/>
  <c r="A324" i="13"/>
  <c r="C324" i="13"/>
  <c r="A323" i="13"/>
  <c r="C323" i="13"/>
  <c r="A322" i="13"/>
  <c r="C322" i="13"/>
  <c r="A321" i="13"/>
  <c r="C321" i="13"/>
  <c r="A320" i="13"/>
  <c r="C320" i="13"/>
  <c r="A319" i="13"/>
  <c r="C319" i="13"/>
  <c r="A318" i="13"/>
  <c r="C318" i="13"/>
  <c r="A317" i="13"/>
  <c r="C317" i="13"/>
  <c r="A316" i="13"/>
  <c r="C316" i="13"/>
  <c r="A315" i="13"/>
  <c r="C315" i="13"/>
  <c r="A314" i="13"/>
  <c r="C314" i="13"/>
  <c r="A313" i="13"/>
  <c r="C313" i="13"/>
  <c r="A312" i="13"/>
  <c r="C312" i="13"/>
  <c r="A311" i="13"/>
  <c r="C311" i="13"/>
  <c r="A310" i="13"/>
  <c r="C310" i="13"/>
  <c r="A309" i="13"/>
  <c r="C309" i="13"/>
  <c r="A308" i="13"/>
  <c r="C308" i="13"/>
  <c r="A307" i="13"/>
  <c r="C307" i="13"/>
  <c r="A306" i="13"/>
  <c r="C306" i="13"/>
  <c r="A305" i="13"/>
  <c r="C305" i="13"/>
  <c r="A304" i="13"/>
  <c r="C304" i="13"/>
  <c r="A303" i="13"/>
  <c r="C303" i="13"/>
  <c r="A302" i="13"/>
  <c r="C302" i="13"/>
  <c r="A301" i="13"/>
  <c r="C301" i="13"/>
  <c r="A300" i="13"/>
  <c r="C300" i="13"/>
  <c r="A299" i="13"/>
  <c r="C299" i="13"/>
  <c r="A298" i="13"/>
  <c r="C298" i="13"/>
  <c r="A297" i="13"/>
  <c r="C297" i="13"/>
  <c r="A296" i="13"/>
  <c r="C296" i="13"/>
  <c r="A295" i="13"/>
  <c r="C295" i="13"/>
  <c r="A294" i="13"/>
  <c r="C294" i="13"/>
  <c r="A293" i="13"/>
  <c r="C293" i="13"/>
  <c r="A292" i="13"/>
  <c r="C292" i="13"/>
  <c r="A291" i="13"/>
  <c r="C291" i="13"/>
  <c r="A290" i="13"/>
  <c r="C290" i="13"/>
  <c r="A289" i="13"/>
  <c r="C289" i="13"/>
  <c r="A288" i="13"/>
  <c r="C288" i="13"/>
  <c r="A287" i="13"/>
  <c r="C287" i="13"/>
  <c r="A286" i="13"/>
  <c r="C286" i="13"/>
  <c r="A285" i="13"/>
  <c r="C285" i="13"/>
  <c r="A284" i="13"/>
  <c r="C284" i="13"/>
  <c r="A283" i="13"/>
  <c r="C283" i="13"/>
  <c r="A282" i="13"/>
  <c r="C282" i="13"/>
  <c r="A281" i="13"/>
  <c r="C281" i="13"/>
  <c r="A280" i="13"/>
  <c r="C280" i="13"/>
  <c r="A279" i="13"/>
  <c r="C279" i="13"/>
  <c r="A278" i="13"/>
  <c r="C278" i="13"/>
  <c r="A277" i="13"/>
  <c r="C277" i="13"/>
  <c r="A276" i="13"/>
  <c r="C276" i="13"/>
  <c r="A275" i="13"/>
  <c r="C275" i="13"/>
  <c r="A274" i="13"/>
  <c r="C274" i="13"/>
  <c r="A273" i="13"/>
  <c r="C273" i="13"/>
  <c r="A272" i="13"/>
  <c r="C272" i="13"/>
  <c r="A271" i="13"/>
  <c r="C271" i="13"/>
  <c r="A270" i="13"/>
  <c r="C270" i="13"/>
  <c r="A269" i="13"/>
  <c r="C269" i="13"/>
  <c r="A268" i="13"/>
  <c r="C268" i="13"/>
  <c r="A267" i="13"/>
  <c r="C267" i="13"/>
  <c r="A266" i="13"/>
  <c r="C266" i="13"/>
  <c r="A265" i="13"/>
  <c r="C265" i="13"/>
  <c r="A264" i="13"/>
  <c r="C264" i="13"/>
  <c r="A263" i="13"/>
  <c r="C263" i="13"/>
  <c r="A262" i="13"/>
  <c r="C262" i="13"/>
  <c r="A261" i="13"/>
  <c r="C261" i="13"/>
  <c r="A260" i="13"/>
  <c r="C260" i="13"/>
  <c r="A259" i="13"/>
  <c r="C259" i="13"/>
  <c r="A258" i="13"/>
  <c r="C258" i="13"/>
  <c r="A257" i="13"/>
  <c r="C257" i="13"/>
  <c r="A256" i="13"/>
  <c r="C256" i="13"/>
  <c r="A255" i="13"/>
  <c r="C255" i="13"/>
  <c r="A254" i="13"/>
  <c r="C254" i="13"/>
  <c r="A253" i="13"/>
  <c r="C253" i="13"/>
  <c r="A252" i="13"/>
  <c r="C252" i="13"/>
  <c r="A251" i="13"/>
  <c r="C251" i="13"/>
  <c r="A250" i="13"/>
  <c r="C250" i="13"/>
  <c r="A249" i="13"/>
  <c r="C249" i="13"/>
  <c r="A248" i="13"/>
  <c r="C248" i="13"/>
  <c r="A247" i="13"/>
  <c r="C247" i="13"/>
  <c r="A246" i="13"/>
  <c r="C246" i="13"/>
  <c r="A245" i="13"/>
  <c r="C245" i="13"/>
  <c r="A244" i="13"/>
  <c r="C244" i="13"/>
  <c r="A243" i="13"/>
  <c r="C243" i="13"/>
  <c r="A242" i="13"/>
  <c r="C242" i="13"/>
  <c r="A241" i="13"/>
  <c r="C241" i="13"/>
  <c r="A240" i="13"/>
  <c r="C240" i="13"/>
  <c r="A239" i="13"/>
  <c r="C239" i="13"/>
  <c r="A238" i="13"/>
  <c r="C238" i="13"/>
  <c r="A237" i="13"/>
  <c r="C237" i="13"/>
  <c r="A236" i="13"/>
  <c r="C236" i="13"/>
  <c r="A235" i="13"/>
  <c r="C235" i="13"/>
  <c r="A234" i="13"/>
  <c r="C234" i="13"/>
  <c r="A233" i="13"/>
  <c r="C233" i="13"/>
  <c r="A232" i="13"/>
  <c r="C232" i="13"/>
  <c r="A231" i="13"/>
  <c r="C231" i="13"/>
  <c r="A230" i="13"/>
  <c r="C230" i="13"/>
  <c r="A229" i="13"/>
  <c r="C229" i="13"/>
  <c r="A228" i="13"/>
  <c r="C228" i="13"/>
  <c r="A227" i="13"/>
  <c r="C227" i="13"/>
  <c r="A226" i="13"/>
  <c r="C226" i="13"/>
  <c r="A225" i="13"/>
  <c r="C225" i="13"/>
  <c r="A224" i="13"/>
  <c r="C224" i="13"/>
  <c r="A223" i="13"/>
  <c r="C223" i="13"/>
  <c r="A222" i="13"/>
  <c r="C222" i="13"/>
  <c r="A221" i="13"/>
  <c r="C221" i="13"/>
  <c r="A220" i="13"/>
  <c r="C220" i="13"/>
  <c r="A219" i="13"/>
  <c r="C219" i="13"/>
  <c r="A218" i="13"/>
  <c r="C218" i="13"/>
  <c r="A217" i="13"/>
  <c r="C217" i="13"/>
  <c r="A216" i="13"/>
  <c r="C216" i="13"/>
  <c r="A215" i="13"/>
  <c r="C215" i="13"/>
  <c r="A214" i="13"/>
  <c r="C214" i="13"/>
  <c r="A213" i="13"/>
  <c r="C213" i="13"/>
  <c r="A212" i="13"/>
  <c r="C212" i="13"/>
  <c r="A211" i="13"/>
  <c r="C211" i="13"/>
  <c r="A210" i="13"/>
  <c r="C210" i="13"/>
  <c r="A209" i="13"/>
  <c r="C209" i="13"/>
  <c r="A208" i="13"/>
  <c r="C208" i="13"/>
  <c r="A207" i="13"/>
  <c r="C207" i="13"/>
  <c r="A206" i="13"/>
  <c r="C206" i="13"/>
  <c r="A205" i="13"/>
  <c r="C205" i="13"/>
  <c r="A204" i="13"/>
  <c r="C204" i="13"/>
  <c r="A203" i="13"/>
  <c r="C203" i="13"/>
  <c r="A202" i="13"/>
  <c r="C202" i="13"/>
  <c r="A201" i="13"/>
  <c r="C201" i="13"/>
  <c r="A200" i="13"/>
  <c r="C200" i="13"/>
  <c r="A199" i="13"/>
  <c r="C199" i="13"/>
  <c r="A198" i="13"/>
  <c r="C198" i="13"/>
  <c r="A197" i="13"/>
  <c r="C197" i="13"/>
  <c r="A196" i="13"/>
  <c r="C196" i="13"/>
  <c r="A195" i="13"/>
  <c r="C195" i="13"/>
  <c r="A194" i="13"/>
  <c r="C194" i="13"/>
  <c r="A193" i="13"/>
  <c r="C193" i="13"/>
  <c r="A192" i="13"/>
  <c r="C192" i="13"/>
  <c r="A191" i="13"/>
  <c r="C191" i="13"/>
  <c r="A190" i="13"/>
  <c r="C190" i="13"/>
  <c r="A189" i="13"/>
  <c r="C189" i="13"/>
  <c r="A188" i="13"/>
  <c r="C188" i="13"/>
  <c r="A187" i="13"/>
  <c r="C187" i="13"/>
  <c r="A186" i="13"/>
  <c r="C186" i="13"/>
  <c r="A185" i="13"/>
  <c r="C185" i="13"/>
  <c r="A184" i="13"/>
  <c r="C184" i="13"/>
  <c r="A183" i="13"/>
  <c r="C183" i="13"/>
  <c r="A182" i="13"/>
  <c r="C182" i="13"/>
  <c r="A181" i="13"/>
  <c r="C181" i="13"/>
  <c r="A180" i="13"/>
  <c r="C180" i="13"/>
  <c r="A179" i="13"/>
  <c r="C179" i="13"/>
  <c r="A178" i="13"/>
  <c r="C178" i="13"/>
  <c r="A177" i="13"/>
  <c r="C177" i="13"/>
  <c r="A176" i="13"/>
  <c r="C176" i="13"/>
  <c r="A175" i="13"/>
  <c r="C175" i="13"/>
  <c r="A174" i="13"/>
  <c r="C174" i="13"/>
  <c r="A173" i="13"/>
  <c r="C173" i="13"/>
  <c r="A172" i="13"/>
  <c r="C172" i="13"/>
  <c r="A171" i="13"/>
  <c r="C171" i="13"/>
  <c r="A170" i="13"/>
  <c r="C170" i="13"/>
  <c r="A169" i="13"/>
  <c r="C169" i="13"/>
  <c r="A168" i="13"/>
  <c r="C168" i="13"/>
  <c r="A167" i="13"/>
  <c r="C167" i="13"/>
  <c r="A166" i="13"/>
  <c r="C166" i="13"/>
  <c r="A165" i="13"/>
  <c r="C165" i="13"/>
  <c r="A164" i="13"/>
  <c r="C164" i="13"/>
  <c r="A163" i="13"/>
  <c r="C163" i="13"/>
  <c r="A162" i="13"/>
  <c r="C162" i="13"/>
  <c r="A161" i="13"/>
  <c r="C161" i="13"/>
  <c r="A160" i="13"/>
  <c r="C160" i="13"/>
  <c r="A159" i="13"/>
  <c r="C159" i="13"/>
  <c r="A158" i="13"/>
  <c r="C158" i="13"/>
  <c r="A157" i="13"/>
  <c r="C157" i="13"/>
  <c r="A156" i="13"/>
  <c r="C156" i="13"/>
  <c r="A155" i="13"/>
  <c r="C155" i="13"/>
  <c r="A154" i="13"/>
  <c r="C154" i="13"/>
  <c r="A153" i="13"/>
  <c r="C153" i="13"/>
  <c r="A152" i="13"/>
  <c r="C152" i="13"/>
  <c r="A151" i="13"/>
  <c r="C151" i="13"/>
  <c r="A150" i="13"/>
  <c r="C150" i="13"/>
  <c r="A149" i="13"/>
  <c r="C149" i="13"/>
  <c r="A148" i="13"/>
  <c r="C148" i="13"/>
  <c r="A147" i="13"/>
  <c r="C147" i="13"/>
  <c r="A146" i="13"/>
  <c r="C146" i="13"/>
  <c r="A145" i="13"/>
  <c r="C145" i="13"/>
  <c r="A144" i="13"/>
  <c r="C144" i="13"/>
  <c r="A143" i="13"/>
  <c r="C143" i="13"/>
  <c r="A142" i="13"/>
  <c r="C142" i="13"/>
  <c r="A141" i="13"/>
  <c r="C141" i="13"/>
  <c r="A140" i="13"/>
  <c r="C140" i="13"/>
  <c r="A139" i="13"/>
  <c r="C139" i="13"/>
  <c r="A138" i="13"/>
  <c r="C138" i="13"/>
  <c r="A137" i="13"/>
  <c r="C137" i="13"/>
  <c r="A136" i="13"/>
  <c r="C136" i="13"/>
  <c r="A135" i="13"/>
  <c r="C135" i="13"/>
  <c r="A134" i="13"/>
  <c r="C134" i="13"/>
  <c r="A133" i="13"/>
  <c r="C133" i="13"/>
  <c r="A132" i="13"/>
  <c r="C132" i="13"/>
  <c r="A131" i="13"/>
  <c r="C131" i="13"/>
  <c r="A130" i="13"/>
  <c r="C130" i="13"/>
  <c r="A129" i="13"/>
  <c r="C129" i="13"/>
  <c r="A128" i="13"/>
  <c r="C128" i="13"/>
  <c r="A127" i="13"/>
  <c r="C127" i="13"/>
  <c r="A126" i="13"/>
  <c r="C126" i="13"/>
  <c r="A125" i="13"/>
  <c r="C125" i="13"/>
  <c r="A124" i="13"/>
  <c r="C124" i="13"/>
  <c r="A123" i="13"/>
  <c r="C123" i="13"/>
  <c r="A122" i="13"/>
  <c r="C122" i="13"/>
  <c r="A121" i="13"/>
  <c r="C121" i="13"/>
  <c r="A120" i="13"/>
  <c r="C120" i="13"/>
  <c r="A119" i="13"/>
  <c r="C119" i="13"/>
  <c r="A118" i="13"/>
  <c r="C118" i="13"/>
  <c r="A117" i="13"/>
  <c r="C117" i="13"/>
  <c r="A116" i="13"/>
  <c r="C116" i="13"/>
  <c r="A115" i="13"/>
  <c r="C115" i="13"/>
  <c r="A114" i="13"/>
  <c r="C114" i="13"/>
  <c r="A113" i="13"/>
  <c r="C113" i="13"/>
  <c r="A112" i="13"/>
  <c r="C112" i="13"/>
  <c r="A111" i="13"/>
  <c r="C111" i="13"/>
  <c r="A110" i="13"/>
  <c r="C110" i="13"/>
  <c r="A109" i="13"/>
  <c r="C109" i="13"/>
  <c r="A108" i="13"/>
  <c r="C108" i="13"/>
  <c r="A107" i="13"/>
  <c r="C107" i="13"/>
  <c r="A106" i="13"/>
  <c r="C106" i="13"/>
  <c r="A105" i="13"/>
  <c r="C105" i="13"/>
  <c r="A104" i="13"/>
  <c r="C104" i="13"/>
  <c r="A103" i="13"/>
  <c r="C103" i="13"/>
  <c r="A102" i="13"/>
  <c r="C102" i="13"/>
  <c r="A101" i="13"/>
  <c r="C101" i="13"/>
  <c r="A100" i="13"/>
  <c r="C100" i="13"/>
  <c r="A99" i="13"/>
  <c r="C99" i="13"/>
  <c r="A98" i="13"/>
  <c r="C98" i="13"/>
  <c r="A97" i="13"/>
  <c r="C97" i="13"/>
  <c r="A96" i="13"/>
  <c r="C96" i="13"/>
  <c r="A95" i="13"/>
  <c r="C95" i="13"/>
  <c r="A94" i="13"/>
  <c r="C94" i="13"/>
  <c r="A93" i="13"/>
  <c r="C93" i="13"/>
  <c r="A92" i="13"/>
  <c r="C92" i="13"/>
  <c r="A91" i="13"/>
  <c r="C91" i="13"/>
  <c r="A90" i="13"/>
  <c r="C90" i="13"/>
  <c r="A89" i="13"/>
  <c r="C89" i="13"/>
  <c r="A88" i="13"/>
  <c r="C88" i="13"/>
  <c r="A87" i="13"/>
  <c r="C87" i="13"/>
  <c r="A86" i="13"/>
  <c r="C86" i="13"/>
  <c r="A85" i="13"/>
  <c r="C85" i="13"/>
  <c r="A84" i="13"/>
  <c r="C84" i="13"/>
  <c r="A83" i="13"/>
  <c r="C83" i="13"/>
  <c r="A82" i="13"/>
  <c r="C82" i="13"/>
  <c r="A81" i="13"/>
  <c r="C81" i="13"/>
  <c r="A80" i="13"/>
  <c r="C80" i="13"/>
  <c r="A79" i="13"/>
  <c r="C79" i="13"/>
  <c r="A78" i="13"/>
  <c r="C78" i="13"/>
  <c r="A77" i="13"/>
  <c r="C77" i="13"/>
  <c r="A76" i="13"/>
  <c r="C76" i="13"/>
  <c r="A75" i="13"/>
  <c r="C75" i="13"/>
  <c r="A74" i="13"/>
  <c r="C74" i="13"/>
  <c r="A73" i="13"/>
  <c r="C73" i="13"/>
  <c r="A72" i="13"/>
  <c r="C72" i="13"/>
  <c r="A71" i="13"/>
  <c r="C71" i="13"/>
  <c r="A70" i="13"/>
  <c r="C70" i="13"/>
  <c r="A69" i="13"/>
  <c r="C69" i="13"/>
  <c r="A68" i="13"/>
  <c r="C68" i="13"/>
  <c r="A67" i="13"/>
  <c r="C67" i="13"/>
  <c r="A66" i="13"/>
  <c r="C66" i="13"/>
  <c r="A65" i="13"/>
  <c r="C65" i="13"/>
  <c r="A64" i="13"/>
  <c r="C64" i="13"/>
  <c r="A63" i="13"/>
  <c r="C63" i="13"/>
  <c r="A62" i="13"/>
  <c r="C62" i="13"/>
  <c r="A61" i="13"/>
  <c r="C61" i="13"/>
  <c r="A60" i="13"/>
  <c r="C60" i="13"/>
  <c r="A59" i="13"/>
  <c r="C59" i="13"/>
  <c r="A58" i="13"/>
  <c r="C58" i="13"/>
  <c r="A57" i="13"/>
  <c r="C57" i="13"/>
  <c r="A56" i="13"/>
  <c r="C56" i="13"/>
  <c r="A55" i="13"/>
  <c r="C55" i="13"/>
  <c r="A54" i="13"/>
  <c r="C54" i="13"/>
  <c r="A53" i="13"/>
  <c r="C53" i="13"/>
  <c r="A52" i="13"/>
  <c r="C52" i="13"/>
  <c r="A51" i="13"/>
  <c r="C51" i="13"/>
  <c r="A50" i="13"/>
  <c r="C50" i="13"/>
  <c r="A49" i="13"/>
  <c r="C49" i="13"/>
  <c r="A48" i="13"/>
  <c r="C48" i="13"/>
  <c r="A47" i="13"/>
  <c r="C47" i="13"/>
  <c r="A46" i="13"/>
  <c r="C46" i="13"/>
  <c r="A45" i="13"/>
  <c r="C45" i="13"/>
  <c r="A44" i="13"/>
  <c r="C44" i="13"/>
  <c r="A43" i="13"/>
  <c r="C43" i="13"/>
  <c r="A42" i="13"/>
  <c r="C42" i="13"/>
  <c r="A41" i="13"/>
  <c r="C41" i="13"/>
  <c r="A40" i="13"/>
  <c r="C40" i="13"/>
  <c r="A39" i="13"/>
  <c r="C39" i="13"/>
  <c r="A38" i="13"/>
  <c r="C38" i="13"/>
  <c r="A37" i="13"/>
  <c r="C37" i="13"/>
  <c r="A36" i="13"/>
  <c r="C36" i="13"/>
  <c r="A35" i="13"/>
  <c r="C35" i="13"/>
  <c r="A34" i="13"/>
  <c r="C34" i="13"/>
  <c r="A33" i="13"/>
  <c r="C33" i="13"/>
  <c r="A32" i="13"/>
  <c r="C32" i="13"/>
  <c r="A31" i="13"/>
  <c r="C31" i="13"/>
  <c r="A30" i="13"/>
  <c r="C30" i="13"/>
  <c r="A29" i="13"/>
  <c r="C29" i="13"/>
  <c r="A28" i="13"/>
  <c r="C28" i="13"/>
  <c r="A27" i="13"/>
  <c r="C27" i="13"/>
  <c r="A26" i="13"/>
  <c r="C26" i="13"/>
  <c r="A25" i="13"/>
  <c r="C25" i="13"/>
  <c r="A24" i="13"/>
  <c r="C24" i="13"/>
  <c r="A23" i="13"/>
  <c r="C23" i="13"/>
  <c r="A22" i="13"/>
  <c r="C22" i="13"/>
  <c r="A21" i="13"/>
  <c r="C21" i="13"/>
  <c r="A20" i="13"/>
  <c r="C20" i="13"/>
  <c r="A19" i="13"/>
  <c r="C19" i="13"/>
  <c r="A18" i="13"/>
  <c r="C18" i="13"/>
  <c r="A17" i="13"/>
  <c r="C17" i="13"/>
  <c r="A16" i="13"/>
  <c r="C16" i="13"/>
  <c r="A15" i="13"/>
  <c r="C15" i="13"/>
  <c r="A14" i="13"/>
  <c r="C14" i="13"/>
  <c r="A13" i="13"/>
  <c r="C13" i="13"/>
  <c r="A12" i="13"/>
  <c r="C12" i="13"/>
  <c r="A11" i="13"/>
  <c r="C11" i="13"/>
  <c r="A10" i="13"/>
  <c r="C10" i="13"/>
  <c r="A9" i="13"/>
  <c r="C9" i="13"/>
  <c r="A8" i="13"/>
  <c r="C8" i="13"/>
  <c r="A7" i="13"/>
  <c r="C7" i="13"/>
  <c r="A6" i="13"/>
  <c r="C6" i="13"/>
  <c r="A5" i="13"/>
  <c r="C5" i="13"/>
  <c r="A4" i="13"/>
  <c r="C4" i="13"/>
  <c r="A3" i="13"/>
  <c r="C3" i="13"/>
  <c r="A2" i="13"/>
  <c r="C2" i="13"/>
  <c r="A2612" i="12"/>
  <c r="B2612" i="12"/>
  <c r="C2612" i="12"/>
  <c r="A2611" i="12"/>
  <c r="B2611" i="12"/>
  <c r="C2611" i="12"/>
  <c r="A2610" i="12"/>
  <c r="B2610" i="12"/>
  <c r="C2610" i="12"/>
  <c r="A2609" i="12"/>
  <c r="B2609" i="12"/>
  <c r="C2609" i="12"/>
  <c r="A2608" i="12"/>
  <c r="B2608" i="12"/>
  <c r="C2608" i="12"/>
  <c r="A2607" i="12"/>
  <c r="B2607" i="12"/>
  <c r="C2607" i="12"/>
  <c r="A2606" i="12"/>
  <c r="B2606" i="12"/>
  <c r="C2606" i="12"/>
  <c r="A2605" i="12"/>
  <c r="B2605" i="12"/>
  <c r="C2605" i="12"/>
  <c r="A2604" i="12"/>
  <c r="B2604" i="12"/>
  <c r="C2604" i="12"/>
  <c r="A2603" i="12"/>
  <c r="B2603" i="12"/>
  <c r="C2603" i="12"/>
  <c r="A2602" i="12"/>
  <c r="B2602" i="12"/>
  <c r="C2602" i="12"/>
  <c r="A2601" i="12"/>
  <c r="B2601" i="12"/>
  <c r="C2601" i="12"/>
  <c r="A2600" i="12"/>
  <c r="B2600" i="12"/>
  <c r="C2600" i="12"/>
  <c r="A2599" i="12"/>
  <c r="B2599" i="12"/>
  <c r="C2599" i="12"/>
  <c r="A2598" i="12"/>
  <c r="B2598" i="12"/>
  <c r="C2598" i="12"/>
  <c r="A2597" i="12"/>
  <c r="B2597" i="12"/>
  <c r="C2597" i="12"/>
  <c r="A2596" i="12"/>
  <c r="B2596" i="12"/>
  <c r="C2596" i="12"/>
  <c r="A2595" i="12"/>
  <c r="B2595" i="12"/>
  <c r="C2595" i="12"/>
  <c r="A2594" i="12"/>
  <c r="B2594" i="12"/>
  <c r="C2594" i="12"/>
  <c r="A2593" i="12"/>
  <c r="B2593" i="12"/>
  <c r="C2593" i="12"/>
  <c r="A2592" i="12"/>
  <c r="B2592" i="12"/>
  <c r="C2592" i="12"/>
  <c r="A2591" i="12"/>
  <c r="B2591" i="12"/>
  <c r="C2591" i="12"/>
  <c r="A2590" i="12"/>
  <c r="B2590" i="12"/>
  <c r="C2590" i="12"/>
  <c r="A2589" i="12"/>
  <c r="B2589" i="12"/>
  <c r="C2589" i="12"/>
  <c r="A2588" i="12"/>
  <c r="B2588" i="12"/>
  <c r="C2588" i="12"/>
  <c r="A2587" i="12"/>
  <c r="B2587" i="12"/>
  <c r="C2587" i="12"/>
  <c r="A2586" i="12"/>
  <c r="B2586" i="12"/>
  <c r="C2586" i="12"/>
  <c r="A2585" i="12"/>
  <c r="B2585" i="12"/>
  <c r="C2585" i="12"/>
  <c r="A2584" i="12"/>
  <c r="B2584" i="12"/>
  <c r="C2584" i="12"/>
  <c r="A2583" i="12"/>
  <c r="B2583" i="12"/>
  <c r="C2583" i="12"/>
  <c r="A2582" i="12"/>
  <c r="B2582" i="12"/>
  <c r="C2582" i="12"/>
  <c r="A2581" i="12"/>
  <c r="B2581" i="12"/>
  <c r="C2581" i="12"/>
  <c r="A2580" i="12"/>
  <c r="B2580" i="12"/>
  <c r="C2580" i="12"/>
  <c r="A2579" i="12"/>
  <c r="B2579" i="12"/>
  <c r="C2579" i="12"/>
  <c r="A2578" i="12"/>
  <c r="B2578" i="12"/>
  <c r="C2578" i="12"/>
  <c r="A2577" i="12"/>
  <c r="B2577" i="12"/>
  <c r="C2577" i="12"/>
  <c r="A2576" i="12"/>
  <c r="B2576" i="12"/>
  <c r="C2576" i="12"/>
  <c r="A2575" i="12"/>
  <c r="B2575" i="12"/>
  <c r="C2575" i="12"/>
  <c r="A2574" i="12"/>
  <c r="B2574" i="12"/>
  <c r="C2574" i="12"/>
  <c r="A2573" i="12"/>
  <c r="B2573" i="12"/>
  <c r="C2573" i="12"/>
  <c r="A2572" i="12"/>
  <c r="B2572" i="12"/>
  <c r="C2572" i="12"/>
  <c r="A2571" i="12"/>
  <c r="B2571" i="12"/>
  <c r="C2571" i="12"/>
  <c r="A2570" i="12"/>
  <c r="B2570" i="12"/>
  <c r="C2570" i="12"/>
  <c r="A2569" i="12"/>
  <c r="B2569" i="12"/>
  <c r="C2569" i="12"/>
  <c r="A2568" i="12"/>
  <c r="B2568" i="12"/>
  <c r="C2568" i="12"/>
  <c r="A2567" i="12"/>
  <c r="B2567" i="12"/>
  <c r="C2567" i="12"/>
  <c r="A2566" i="12"/>
  <c r="B2566" i="12"/>
  <c r="C2566" i="12"/>
  <c r="A2565" i="12"/>
  <c r="B2565" i="12"/>
  <c r="C2565" i="12"/>
  <c r="A2564" i="12"/>
  <c r="B2564" i="12"/>
  <c r="C2564" i="12"/>
  <c r="A2563" i="12"/>
  <c r="B2563" i="12"/>
  <c r="C2563" i="12"/>
  <c r="A2562" i="12"/>
  <c r="B2562" i="12"/>
  <c r="C2562" i="12"/>
  <c r="A2561" i="12"/>
  <c r="B2561" i="12"/>
  <c r="C2561" i="12"/>
  <c r="A2560" i="12"/>
  <c r="B2560" i="12"/>
  <c r="C2560" i="12"/>
  <c r="A2559" i="12"/>
  <c r="B2559" i="12"/>
  <c r="C2559" i="12"/>
  <c r="A2558" i="12"/>
  <c r="B2558" i="12"/>
  <c r="C2558" i="12"/>
  <c r="A2557" i="12"/>
  <c r="B2557" i="12"/>
  <c r="C2557" i="12"/>
  <c r="A2556" i="12"/>
  <c r="B2556" i="12"/>
  <c r="C2556" i="12"/>
  <c r="A2555" i="12"/>
  <c r="B2555" i="12"/>
  <c r="C2555" i="12"/>
  <c r="A2554" i="12"/>
  <c r="B2554" i="12"/>
  <c r="C2554" i="12"/>
  <c r="A2553" i="12"/>
  <c r="B2553" i="12"/>
  <c r="C2553" i="12"/>
  <c r="A2552" i="12"/>
  <c r="B2552" i="12"/>
  <c r="C2552" i="12"/>
  <c r="A2551" i="12"/>
  <c r="B2551" i="12"/>
  <c r="C2551" i="12"/>
  <c r="A2550" i="12"/>
  <c r="B2550" i="12"/>
  <c r="C2550" i="12"/>
  <c r="A2549" i="12"/>
  <c r="B2549" i="12"/>
  <c r="C2549" i="12"/>
  <c r="A2548" i="12"/>
  <c r="B2548" i="12"/>
  <c r="C2548" i="12"/>
  <c r="A2547" i="12"/>
  <c r="B2547" i="12"/>
  <c r="C2547" i="12"/>
  <c r="A2546" i="12"/>
  <c r="B2546" i="12"/>
  <c r="C2546" i="12"/>
  <c r="A2545" i="12"/>
  <c r="B2545" i="12"/>
  <c r="C2545" i="12"/>
  <c r="A2544" i="12"/>
  <c r="B2544" i="12"/>
  <c r="C2544" i="12"/>
  <c r="A2543" i="12"/>
  <c r="B2543" i="12"/>
  <c r="C2543" i="12"/>
  <c r="A2542" i="12"/>
  <c r="B2542" i="12"/>
  <c r="C2542" i="12"/>
  <c r="A2541" i="12"/>
  <c r="B2541" i="12"/>
  <c r="C2541" i="12"/>
  <c r="A2540" i="12"/>
  <c r="B2540" i="12"/>
  <c r="C2540" i="12"/>
  <c r="A2539" i="12"/>
  <c r="B2539" i="12"/>
  <c r="C2539" i="12"/>
  <c r="A2538" i="12"/>
  <c r="B2538" i="12"/>
  <c r="C2538" i="12"/>
  <c r="A2537" i="12"/>
  <c r="B2537" i="12"/>
  <c r="C2537" i="12"/>
  <c r="A2536" i="12"/>
  <c r="B2536" i="12"/>
  <c r="C2536" i="12"/>
  <c r="A2535" i="12"/>
  <c r="B2535" i="12"/>
  <c r="C2535" i="12"/>
  <c r="A2534" i="12"/>
  <c r="B2534" i="12"/>
  <c r="C2534" i="12"/>
  <c r="A2533" i="12"/>
  <c r="B2533" i="12"/>
  <c r="C2533" i="12"/>
  <c r="A2532" i="12"/>
  <c r="B2532" i="12"/>
  <c r="C2532" i="12"/>
  <c r="A2531" i="12"/>
  <c r="B2531" i="12"/>
  <c r="C2531" i="12"/>
  <c r="A2530" i="12"/>
  <c r="B2530" i="12"/>
  <c r="C2530" i="12"/>
  <c r="A2529" i="12"/>
  <c r="B2529" i="12"/>
  <c r="C2529" i="12"/>
  <c r="A2528" i="12"/>
  <c r="B2528" i="12"/>
  <c r="C2528" i="12"/>
  <c r="A2527" i="12"/>
  <c r="B2527" i="12"/>
  <c r="C2527" i="12"/>
  <c r="A2526" i="12"/>
  <c r="B2526" i="12"/>
  <c r="C2526" i="12"/>
  <c r="A2525" i="12"/>
  <c r="B2525" i="12"/>
  <c r="C2525" i="12"/>
  <c r="A2524" i="12"/>
  <c r="B2524" i="12"/>
  <c r="C2524" i="12"/>
  <c r="A2523" i="12"/>
  <c r="B2523" i="12"/>
  <c r="C2523" i="12"/>
  <c r="A2522" i="12"/>
  <c r="B2522" i="12"/>
  <c r="C2522" i="12"/>
  <c r="A2521" i="12"/>
  <c r="B2521" i="12"/>
  <c r="C2521" i="12"/>
  <c r="A2520" i="12"/>
  <c r="B2520" i="12"/>
  <c r="C2520" i="12"/>
  <c r="A2519" i="12"/>
  <c r="B2519" i="12"/>
  <c r="C2519" i="12"/>
  <c r="A2518" i="12"/>
  <c r="B2518" i="12"/>
  <c r="C2518" i="12"/>
  <c r="A2517" i="12"/>
  <c r="B2517" i="12"/>
  <c r="C2517" i="12"/>
  <c r="A2516" i="12"/>
  <c r="B2516" i="12"/>
  <c r="C2516" i="12"/>
  <c r="A2515" i="12"/>
  <c r="B2515" i="12"/>
  <c r="C2515" i="12"/>
  <c r="A2514" i="12"/>
  <c r="B2514" i="12"/>
  <c r="C2514" i="12"/>
  <c r="A2513" i="12"/>
  <c r="B2513" i="12"/>
  <c r="C2513" i="12"/>
  <c r="A2512" i="12"/>
  <c r="B2512" i="12"/>
  <c r="C2512" i="12"/>
  <c r="A2511" i="12"/>
  <c r="B2511" i="12"/>
  <c r="C2511" i="12"/>
  <c r="A2510" i="12"/>
  <c r="B2510" i="12"/>
  <c r="C2510" i="12"/>
  <c r="A2509" i="12"/>
  <c r="B2509" i="12"/>
  <c r="C2509" i="12"/>
  <c r="A2508" i="12"/>
  <c r="B2508" i="12"/>
  <c r="C2508" i="12"/>
  <c r="A2507" i="12"/>
  <c r="B2507" i="12"/>
  <c r="C2507" i="12"/>
  <c r="A2506" i="12"/>
  <c r="B2506" i="12"/>
  <c r="C2506" i="12"/>
  <c r="A2505" i="12"/>
  <c r="B2505" i="12"/>
  <c r="C2505" i="12"/>
  <c r="A2504" i="12"/>
  <c r="B2504" i="12"/>
  <c r="C2504" i="12"/>
  <c r="A2503" i="12"/>
  <c r="B2503" i="12"/>
  <c r="C2503" i="12"/>
  <c r="A2502" i="12"/>
  <c r="B2502" i="12"/>
  <c r="C2502" i="12"/>
  <c r="A2501" i="12"/>
  <c r="B2501" i="12"/>
  <c r="C2501" i="12"/>
  <c r="A2500" i="12"/>
  <c r="B2500" i="12"/>
  <c r="C2500" i="12"/>
  <c r="A2499" i="12"/>
  <c r="B2499" i="12"/>
  <c r="C2499" i="12"/>
  <c r="A2498" i="12"/>
  <c r="B2498" i="12"/>
  <c r="C2498" i="12"/>
  <c r="A2497" i="12"/>
  <c r="B2497" i="12"/>
  <c r="C2497" i="12"/>
  <c r="A2496" i="12"/>
  <c r="B2496" i="12"/>
  <c r="C2496" i="12"/>
  <c r="A2495" i="12"/>
  <c r="B2495" i="12"/>
  <c r="C2495" i="12"/>
  <c r="A2494" i="12"/>
  <c r="B2494" i="12"/>
  <c r="C2494" i="12"/>
  <c r="A2493" i="12"/>
  <c r="B2493" i="12"/>
  <c r="C2493" i="12"/>
  <c r="A2492" i="12"/>
  <c r="B2492" i="12"/>
  <c r="C2492" i="12"/>
  <c r="A2491" i="12"/>
  <c r="B2491" i="12"/>
  <c r="C2491" i="12"/>
  <c r="A2490" i="12"/>
  <c r="B2490" i="12"/>
  <c r="C2490" i="12"/>
  <c r="A2489" i="12"/>
  <c r="B2489" i="12"/>
  <c r="C2489" i="12"/>
  <c r="A2488" i="12"/>
  <c r="B2488" i="12"/>
  <c r="C2488" i="12"/>
  <c r="A2487" i="12"/>
  <c r="B2487" i="12"/>
  <c r="C2487" i="12"/>
  <c r="A2486" i="12"/>
  <c r="B2486" i="12"/>
  <c r="C2486" i="12"/>
  <c r="A2485" i="12"/>
  <c r="B2485" i="12"/>
  <c r="C2485" i="12"/>
  <c r="A2484" i="12"/>
  <c r="B2484" i="12"/>
  <c r="C2484" i="12"/>
  <c r="A2483" i="12"/>
  <c r="B2483" i="12"/>
  <c r="C2483" i="12"/>
  <c r="A2482" i="12"/>
  <c r="B2482" i="12"/>
  <c r="C2482" i="12"/>
  <c r="A2481" i="12"/>
  <c r="B2481" i="12"/>
  <c r="C2481" i="12"/>
  <c r="A2480" i="12"/>
  <c r="B2480" i="12"/>
  <c r="C2480" i="12"/>
  <c r="A2479" i="12"/>
  <c r="B2479" i="12"/>
  <c r="C2479" i="12"/>
  <c r="A2478" i="12"/>
  <c r="B2478" i="12"/>
  <c r="C2478" i="12"/>
  <c r="A2477" i="12"/>
  <c r="B2477" i="12"/>
  <c r="C2477" i="12"/>
  <c r="A2476" i="12"/>
  <c r="B2476" i="12"/>
  <c r="C2476" i="12"/>
  <c r="A2475" i="12"/>
  <c r="B2475" i="12"/>
  <c r="C2475" i="12"/>
  <c r="A2474" i="12"/>
  <c r="B2474" i="12"/>
  <c r="C2474" i="12"/>
  <c r="A2473" i="12"/>
  <c r="B2473" i="12"/>
  <c r="C2473" i="12"/>
  <c r="A2472" i="12"/>
  <c r="B2472" i="12"/>
  <c r="C2472" i="12"/>
  <c r="A2471" i="12"/>
  <c r="B2471" i="12"/>
  <c r="C2471" i="12"/>
  <c r="A2470" i="12"/>
  <c r="B2470" i="12"/>
  <c r="C2470" i="12"/>
  <c r="A2469" i="12"/>
  <c r="B2469" i="12"/>
  <c r="C2469" i="12"/>
  <c r="A2468" i="12"/>
  <c r="B2468" i="12"/>
  <c r="C2468" i="12"/>
  <c r="A2467" i="12"/>
  <c r="B2467" i="12"/>
  <c r="C2467" i="12"/>
  <c r="A2466" i="12"/>
  <c r="B2466" i="12"/>
  <c r="C2466" i="12"/>
  <c r="A2465" i="12"/>
  <c r="B2465" i="12"/>
  <c r="C2465" i="12"/>
  <c r="A2464" i="12"/>
  <c r="B2464" i="12"/>
  <c r="C2464" i="12"/>
  <c r="A2463" i="12"/>
  <c r="B2463" i="12"/>
  <c r="C2463" i="12"/>
  <c r="A2462" i="12"/>
  <c r="B2462" i="12"/>
  <c r="C2462" i="12"/>
  <c r="A2461" i="12"/>
  <c r="B2461" i="12"/>
  <c r="C2461" i="12"/>
  <c r="A2460" i="12"/>
  <c r="B2460" i="12"/>
  <c r="C2460" i="12"/>
  <c r="A2459" i="12"/>
  <c r="B2459" i="12"/>
  <c r="C2459" i="12"/>
  <c r="A2458" i="12"/>
  <c r="B2458" i="12"/>
  <c r="C2458" i="12"/>
  <c r="A2457" i="12"/>
  <c r="B2457" i="12"/>
  <c r="C2457" i="12"/>
  <c r="A2456" i="12"/>
  <c r="B2456" i="12"/>
  <c r="C2456" i="12"/>
  <c r="A2455" i="12"/>
  <c r="B2455" i="12"/>
  <c r="C2455" i="12"/>
  <c r="A2454" i="12"/>
  <c r="B2454" i="12"/>
  <c r="C2454" i="12"/>
  <c r="A2453" i="12"/>
  <c r="B2453" i="12"/>
  <c r="C2453" i="12"/>
  <c r="A2452" i="12"/>
  <c r="B2452" i="12"/>
  <c r="C2452" i="12"/>
  <c r="A2451" i="12"/>
  <c r="B2451" i="12"/>
  <c r="C2451" i="12"/>
  <c r="A2450" i="12"/>
  <c r="B2450" i="12"/>
  <c r="C2450" i="12"/>
  <c r="A2449" i="12"/>
  <c r="B2449" i="12"/>
  <c r="C2449" i="12"/>
  <c r="A2448" i="12"/>
  <c r="B2448" i="12"/>
  <c r="C2448" i="12"/>
  <c r="A2447" i="12"/>
  <c r="B2447" i="12"/>
  <c r="C2447" i="12"/>
  <c r="A2446" i="12"/>
  <c r="B2446" i="12"/>
  <c r="C2446" i="12"/>
  <c r="A2445" i="12"/>
  <c r="B2445" i="12"/>
  <c r="C2445" i="12"/>
  <c r="A2444" i="12"/>
  <c r="B2444" i="12"/>
  <c r="C2444" i="12"/>
  <c r="A2443" i="12"/>
  <c r="B2443" i="12"/>
  <c r="C2443" i="12"/>
  <c r="A2442" i="12"/>
  <c r="B2442" i="12"/>
  <c r="C2442" i="12"/>
  <c r="A2441" i="12"/>
  <c r="B2441" i="12"/>
  <c r="C2441" i="12"/>
  <c r="A2440" i="12"/>
  <c r="B2440" i="12"/>
  <c r="C2440" i="12"/>
  <c r="A2439" i="12"/>
  <c r="B2439" i="12"/>
  <c r="C2439" i="12"/>
  <c r="A2438" i="12"/>
  <c r="B2438" i="12"/>
  <c r="C2438" i="12"/>
  <c r="A2437" i="12"/>
  <c r="B2437" i="12"/>
  <c r="C2437" i="12"/>
  <c r="A2436" i="12"/>
  <c r="B2436" i="12"/>
  <c r="C2436" i="12"/>
  <c r="A2435" i="12"/>
  <c r="B2435" i="12"/>
  <c r="C2435" i="12"/>
  <c r="A2434" i="12"/>
  <c r="B2434" i="12"/>
  <c r="C2434" i="12"/>
  <c r="A2433" i="12"/>
  <c r="B2433" i="12"/>
  <c r="C2433" i="12"/>
  <c r="A2432" i="12"/>
  <c r="B2432" i="12"/>
  <c r="C2432" i="12"/>
  <c r="A2431" i="12"/>
  <c r="B2431" i="12"/>
  <c r="C2431" i="12"/>
  <c r="A2430" i="12"/>
  <c r="B2430" i="12"/>
  <c r="C2430" i="12"/>
  <c r="A2429" i="12"/>
  <c r="B2429" i="12"/>
  <c r="C2429" i="12"/>
  <c r="A2428" i="12"/>
  <c r="B2428" i="12"/>
  <c r="C2428" i="12"/>
  <c r="A2427" i="12"/>
  <c r="B2427" i="12"/>
  <c r="C2427" i="12"/>
  <c r="A2426" i="12"/>
  <c r="B2426" i="12"/>
  <c r="C2426" i="12"/>
  <c r="A2425" i="12"/>
  <c r="B2425" i="12"/>
  <c r="C2425" i="12"/>
  <c r="A2424" i="12"/>
  <c r="B2424" i="12"/>
  <c r="C2424" i="12"/>
  <c r="A2423" i="12"/>
  <c r="B2423" i="12"/>
  <c r="C2423" i="12"/>
  <c r="A2422" i="12"/>
  <c r="B2422" i="12"/>
  <c r="C2422" i="12"/>
  <c r="A2421" i="12"/>
  <c r="B2421" i="12"/>
  <c r="C2421" i="12"/>
  <c r="A2420" i="12"/>
  <c r="B2420" i="12"/>
  <c r="C2420" i="12"/>
  <c r="A2419" i="12"/>
  <c r="B2419" i="12"/>
  <c r="C2419" i="12"/>
  <c r="A2418" i="12"/>
  <c r="B2418" i="12"/>
  <c r="C2418" i="12"/>
  <c r="A2417" i="12"/>
  <c r="B2417" i="12"/>
  <c r="C2417" i="12"/>
  <c r="A2416" i="12"/>
  <c r="B2416" i="12"/>
  <c r="C2416" i="12"/>
  <c r="A2415" i="12"/>
  <c r="B2415" i="12"/>
  <c r="C2415" i="12"/>
  <c r="A2414" i="12"/>
  <c r="B2414" i="12"/>
  <c r="C2414" i="12"/>
  <c r="A2413" i="12"/>
  <c r="B2413" i="12"/>
  <c r="C2413" i="12"/>
  <c r="A2412" i="12"/>
  <c r="B2412" i="12"/>
  <c r="C2412" i="12"/>
  <c r="A2411" i="12"/>
  <c r="B2411" i="12"/>
  <c r="C2411" i="12"/>
  <c r="A2410" i="12"/>
  <c r="B2410" i="12"/>
  <c r="C2410" i="12"/>
  <c r="A2409" i="12"/>
  <c r="B2409" i="12"/>
  <c r="C2409" i="12"/>
  <c r="A2408" i="12"/>
  <c r="B2408" i="12"/>
  <c r="C2408" i="12"/>
  <c r="A2407" i="12"/>
  <c r="B2407" i="12"/>
  <c r="C2407" i="12"/>
  <c r="A2406" i="12"/>
  <c r="B2406" i="12"/>
  <c r="C2406" i="12"/>
  <c r="A2405" i="12"/>
  <c r="B2405" i="12"/>
  <c r="C2405" i="12"/>
  <c r="A2404" i="12"/>
  <c r="B2404" i="12"/>
  <c r="C2404" i="12"/>
  <c r="A2403" i="12"/>
  <c r="B2403" i="12"/>
  <c r="C2403" i="12"/>
  <c r="A2402" i="12"/>
  <c r="B2402" i="12"/>
  <c r="C2402" i="12"/>
  <c r="A2401" i="12"/>
  <c r="B2401" i="12"/>
  <c r="C2401" i="12"/>
  <c r="A2400" i="12"/>
  <c r="B2400" i="12"/>
  <c r="C2400" i="12"/>
  <c r="A2399" i="12"/>
  <c r="B2399" i="12"/>
  <c r="C2399" i="12"/>
  <c r="A2398" i="12"/>
  <c r="B2398" i="12"/>
  <c r="C2398" i="12"/>
  <c r="A2397" i="12"/>
  <c r="B2397" i="12"/>
  <c r="C2397" i="12"/>
  <c r="A2396" i="12"/>
  <c r="B2396" i="12"/>
  <c r="C2396" i="12"/>
  <c r="A2395" i="12"/>
  <c r="B2395" i="12"/>
  <c r="C2395" i="12"/>
  <c r="A2394" i="12"/>
  <c r="B2394" i="12"/>
  <c r="C2394" i="12"/>
  <c r="A2393" i="12"/>
  <c r="B2393" i="12"/>
  <c r="C2393" i="12"/>
  <c r="A2392" i="12"/>
  <c r="B2392" i="12"/>
  <c r="C2392" i="12"/>
  <c r="A2391" i="12"/>
  <c r="B2391" i="12"/>
  <c r="C2391" i="12"/>
  <c r="A2390" i="12"/>
  <c r="B2390" i="12"/>
  <c r="C2390" i="12"/>
  <c r="A2389" i="12"/>
  <c r="B2389" i="12"/>
  <c r="C2389" i="12"/>
  <c r="A2388" i="12"/>
  <c r="B2388" i="12"/>
  <c r="C2388" i="12"/>
  <c r="A2387" i="12"/>
  <c r="B2387" i="12"/>
  <c r="C2387" i="12"/>
  <c r="A2386" i="12"/>
  <c r="B2386" i="12"/>
  <c r="C2386" i="12"/>
  <c r="A2385" i="12"/>
  <c r="B2385" i="12"/>
  <c r="C2385" i="12"/>
  <c r="A2384" i="12"/>
  <c r="B2384" i="12"/>
  <c r="C2384" i="12"/>
  <c r="A2383" i="12"/>
  <c r="B2383" i="12"/>
  <c r="C2383" i="12"/>
  <c r="A2382" i="12"/>
  <c r="B2382" i="12"/>
  <c r="C2382" i="12"/>
  <c r="A2381" i="12"/>
  <c r="B2381" i="12"/>
  <c r="C2381" i="12"/>
  <c r="A2380" i="12"/>
  <c r="B2380" i="12"/>
  <c r="C2380" i="12"/>
  <c r="A2379" i="12"/>
  <c r="B2379" i="12"/>
  <c r="C2379" i="12"/>
  <c r="A2378" i="12"/>
  <c r="B2378" i="12"/>
  <c r="C2378" i="12"/>
  <c r="A2377" i="12"/>
  <c r="B2377" i="12"/>
  <c r="C2377" i="12"/>
  <c r="A2376" i="12"/>
  <c r="B2376" i="12"/>
  <c r="C2376" i="12"/>
  <c r="A2375" i="12"/>
  <c r="B2375" i="12"/>
  <c r="C2375" i="12"/>
  <c r="A2374" i="12"/>
  <c r="B2374" i="12"/>
  <c r="C2374" i="12"/>
  <c r="A2373" i="12"/>
  <c r="B2373" i="12"/>
  <c r="C2373" i="12"/>
  <c r="A2372" i="12"/>
  <c r="B2372" i="12"/>
  <c r="C2372" i="12"/>
  <c r="A2371" i="12"/>
  <c r="B2371" i="12"/>
  <c r="C2371" i="12"/>
  <c r="A2370" i="12"/>
  <c r="B2370" i="12"/>
  <c r="C2370" i="12"/>
  <c r="A2369" i="12"/>
  <c r="B2369" i="12"/>
  <c r="C2369" i="12"/>
  <c r="A2368" i="12"/>
  <c r="B2368" i="12"/>
  <c r="C2368" i="12"/>
  <c r="A2367" i="12"/>
  <c r="B2367" i="12"/>
  <c r="C2367" i="12"/>
  <c r="A2366" i="12"/>
  <c r="B2366" i="12"/>
  <c r="C2366" i="12"/>
  <c r="A2365" i="12"/>
  <c r="B2365" i="12"/>
  <c r="C2365" i="12"/>
  <c r="A2364" i="12"/>
  <c r="B2364" i="12"/>
  <c r="C2364" i="12"/>
  <c r="A2363" i="12"/>
  <c r="B2363" i="12"/>
  <c r="C2363" i="12"/>
  <c r="A2362" i="12"/>
  <c r="B2362" i="12"/>
  <c r="C2362" i="12"/>
  <c r="A2361" i="12"/>
  <c r="B2361" i="12"/>
  <c r="C2361" i="12"/>
  <c r="A2360" i="12"/>
  <c r="B2360" i="12"/>
  <c r="C2360" i="12"/>
  <c r="A2359" i="12"/>
  <c r="B2359" i="12"/>
  <c r="C2359" i="12"/>
  <c r="A2358" i="12"/>
  <c r="B2358" i="12"/>
  <c r="C2358" i="12"/>
  <c r="A2357" i="12"/>
  <c r="B2357" i="12"/>
  <c r="C2357" i="12"/>
  <c r="A2356" i="12"/>
  <c r="B2356" i="12"/>
  <c r="C2356" i="12"/>
  <c r="A2355" i="12"/>
  <c r="B2355" i="12"/>
  <c r="C2355" i="12"/>
  <c r="A2354" i="12"/>
  <c r="B2354" i="12"/>
  <c r="C2354" i="12"/>
  <c r="A2353" i="12"/>
  <c r="B2353" i="12"/>
  <c r="C2353" i="12"/>
  <c r="A2352" i="12"/>
  <c r="B2352" i="12"/>
  <c r="C2352" i="12"/>
  <c r="A2351" i="12"/>
  <c r="B2351" i="12"/>
  <c r="C2351" i="12"/>
  <c r="A2350" i="12"/>
  <c r="B2350" i="12"/>
  <c r="C2350" i="12"/>
  <c r="A2349" i="12"/>
  <c r="B2349" i="12"/>
  <c r="C2349" i="12"/>
  <c r="A2348" i="12"/>
  <c r="B2348" i="12"/>
  <c r="C2348" i="12"/>
  <c r="A2347" i="12"/>
  <c r="B2347" i="12"/>
  <c r="C2347" i="12"/>
  <c r="A2346" i="12"/>
  <c r="B2346" i="12"/>
  <c r="C2346" i="12"/>
  <c r="A2345" i="12"/>
  <c r="B2345" i="12"/>
  <c r="C2345" i="12"/>
  <c r="A2344" i="12"/>
  <c r="B2344" i="12"/>
  <c r="C2344" i="12"/>
  <c r="A2343" i="12"/>
  <c r="B2343" i="12"/>
  <c r="C2343" i="12"/>
  <c r="A2342" i="12"/>
  <c r="B2342" i="12"/>
  <c r="C2342" i="12"/>
  <c r="A2341" i="12"/>
  <c r="B2341" i="12"/>
  <c r="C2341" i="12"/>
  <c r="A2340" i="12"/>
  <c r="B2340" i="12"/>
  <c r="C2340" i="12"/>
  <c r="A2339" i="12"/>
  <c r="B2339" i="12"/>
  <c r="C2339" i="12"/>
  <c r="A2338" i="12"/>
  <c r="B2338" i="12"/>
  <c r="C2338" i="12"/>
  <c r="A2337" i="12"/>
  <c r="B2337" i="12"/>
  <c r="C2337" i="12"/>
  <c r="A2336" i="12"/>
  <c r="B2336" i="12"/>
  <c r="C2336" i="12"/>
  <c r="A2335" i="12"/>
  <c r="B2335" i="12"/>
  <c r="C2335" i="12"/>
  <c r="A2334" i="12"/>
  <c r="B2334" i="12"/>
  <c r="C2334" i="12"/>
  <c r="A2333" i="12"/>
  <c r="B2333" i="12"/>
  <c r="C2333" i="12"/>
  <c r="A2332" i="12"/>
  <c r="B2332" i="12"/>
  <c r="C2332" i="12"/>
  <c r="A2331" i="12"/>
  <c r="B2331" i="12"/>
  <c r="C2331" i="12"/>
  <c r="A2330" i="12"/>
  <c r="B2330" i="12"/>
  <c r="C2330" i="12"/>
  <c r="A2329" i="12"/>
  <c r="B2329" i="12"/>
  <c r="C2329" i="12"/>
  <c r="A2328" i="12"/>
  <c r="B2328" i="12"/>
  <c r="C2328" i="12"/>
  <c r="A2327" i="12"/>
  <c r="B2327" i="12"/>
  <c r="C2327" i="12"/>
  <c r="A2326" i="12"/>
  <c r="B2326" i="12"/>
  <c r="C2326" i="12"/>
  <c r="A2325" i="12"/>
  <c r="B2325" i="12"/>
  <c r="C2325" i="12"/>
  <c r="A2324" i="12"/>
  <c r="B2324" i="12"/>
  <c r="C2324" i="12"/>
  <c r="A2323" i="12"/>
  <c r="B2323" i="12"/>
  <c r="C2323" i="12"/>
  <c r="A2322" i="12"/>
  <c r="B2322" i="12"/>
  <c r="C2322" i="12"/>
  <c r="A2321" i="12"/>
  <c r="B2321" i="12"/>
  <c r="C2321" i="12"/>
  <c r="A2320" i="12"/>
  <c r="B2320" i="12"/>
  <c r="C2320" i="12"/>
  <c r="A2319" i="12"/>
  <c r="B2319" i="12"/>
  <c r="C2319" i="12"/>
  <c r="A2318" i="12"/>
  <c r="B2318" i="12"/>
  <c r="C2318" i="12"/>
  <c r="A2317" i="12"/>
  <c r="B2317" i="12"/>
  <c r="C2317" i="12"/>
  <c r="A2316" i="12"/>
  <c r="B2316" i="12"/>
  <c r="C2316" i="12"/>
  <c r="A2315" i="12"/>
  <c r="B2315" i="12"/>
  <c r="C2315" i="12"/>
  <c r="A2314" i="12"/>
  <c r="B2314" i="12"/>
  <c r="C2314" i="12"/>
  <c r="A2313" i="12"/>
  <c r="B2313" i="12"/>
  <c r="C2313" i="12"/>
  <c r="A2312" i="12"/>
  <c r="B2312" i="12"/>
  <c r="C2312" i="12"/>
  <c r="A2311" i="12"/>
  <c r="B2311" i="12"/>
  <c r="C2311" i="12"/>
  <c r="A2310" i="12"/>
  <c r="B2310" i="12"/>
  <c r="C2310" i="12"/>
  <c r="A2309" i="12"/>
  <c r="B2309" i="12"/>
  <c r="C2309" i="12"/>
  <c r="A2308" i="12"/>
  <c r="B2308" i="12"/>
  <c r="C2308" i="12"/>
  <c r="A2307" i="12"/>
  <c r="B2307" i="12"/>
  <c r="C2307" i="12"/>
  <c r="A2306" i="12"/>
  <c r="B2306" i="12"/>
  <c r="C2306" i="12"/>
  <c r="A2305" i="12"/>
  <c r="B2305" i="12"/>
  <c r="C2305" i="12"/>
  <c r="A2304" i="12"/>
  <c r="B2304" i="12"/>
  <c r="C2304" i="12"/>
  <c r="A2303" i="12"/>
  <c r="B2303" i="12"/>
  <c r="C2303" i="12"/>
  <c r="A2302" i="12"/>
  <c r="B2302" i="12"/>
  <c r="C2302" i="12"/>
  <c r="A2301" i="12"/>
  <c r="B2301" i="12"/>
  <c r="C2301" i="12"/>
  <c r="A2300" i="12"/>
  <c r="B2300" i="12"/>
  <c r="C2300" i="12"/>
  <c r="A2299" i="12"/>
  <c r="B2299" i="12"/>
  <c r="C2299" i="12"/>
  <c r="A2298" i="12"/>
  <c r="B2298" i="12"/>
  <c r="C2298" i="12"/>
  <c r="A2297" i="12"/>
  <c r="B2297" i="12"/>
  <c r="C2297" i="12"/>
  <c r="A2296" i="12"/>
  <c r="B2296" i="12"/>
  <c r="C2296" i="12"/>
  <c r="A2295" i="12"/>
  <c r="B2295" i="12"/>
  <c r="C2295" i="12"/>
  <c r="A2294" i="12"/>
  <c r="B2294" i="12"/>
  <c r="C2294" i="12"/>
  <c r="A2293" i="12"/>
  <c r="B2293" i="12"/>
  <c r="C2293" i="12"/>
  <c r="A2292" i="12"/>
  <c r="B2292" i="12"/>
  <c r="C2292" i="12"/>
  <c r="A2291" i="12"/>
  <c r="B2291" i="12"/>
  <c r="C2291" i="12"/>
  <c r="A2290" i="12"/>
  <c r="B2290" i="12"/>
  <c r="C2290" i="12"/>
  <c r="A2289" i="12"/>
  <c r="B2289" i="12"/>
  <c r="C2289" i="12"/>
  <c r="A2288" i="12"/>
  <c r="B2288" i="12"/>
  <c r="C2288" i="12"/>
  <c r="A2287" i="12"/>
  <c r="B2287" i="12"/>
  <c r="C2287" i="12"/>
  <c r="A2286" i="12"/>
  <c r="B2286" i="12"/>
  <c r="C2286" i="12"/>
  <c r="A2285" i="12"/>
  <c r="B2285" i="12"/>
  <c r="C2285" i="12"/>
  <c r="A2284" i="12"/>
  <c r="B2284" i="12"/>
  <c r="C2284" i="12"/>
  <c r="A2283" i="12"/>
  <c r="B2283" i="12"/>
  <c r="C2283" i="12"/>
  <c r="A2282" i="12"/>
  <c r="B2282" i="12"/>
  <c r="C2282" i="12"/>
  <c r="A2281" i="12"/>
  <c r="B2281" i="12"/>
  <c r="C2281" i="12"/>
  <c r="A2280" i="12"/>
  <c r="B2280" i="12"/>
  <c r="C2280" i="12"/>
  <c r="A2279" i="12"/>
  <c r="B2279" i="12"/>
  <c r="C2279" i="12"/>
  <c r="A2278" i="12"/>
  <c r="B2278" i="12"/>
  <c r="C2278" i="12"/>
  <c r="A2277" i="12"/>
  <c r="B2277" i="12"/>
  <c r="C2277" i="12"/>
  <c r="A2276" i="12"/>
  <c r="B2276" i="12"/>
  <c r="C2276" i="12"/>
  <c r="A2275" i="12"/>
  <c r="B2275" i="12"/>
  <c r="C2275" i="12"/>
  <c r="A2274" i="12"/>
  <c r="B2274" i="12"/>
  <c r="C2274" i="12"/>
  <c r="A2273" i="12"/>
  <c r="B2273" i="12"/>
  <c r="C2273" i="12"/>
  <c r="A2272" i="12"/>
  <c r="B2272" i="12"/>
  <c r="C2272" i="12"/>
  <c r="A2271" i="12"/>
  <c r="B2271" i="12"/>
  <c r="C2271" i="12"/>
  <c r="A2270" i="12"/>
  <c r="B2270" i="12"/>
  <c r="C2270" i="12"/>
  <c r="A2269" i="12"/>
  <c r="B2269" i="12"/>
  <c r="C2269" i="12"/>
  <c r="A2268" i="12"/>
  <c r="B2268" i="12"/>
  <c r="C2268" i="12"/>
  <c r="A2267" i="12"/>
  <c r="B2267" i="12"/>
  <c r="C2267" i="12"/>
  <c r="A2266" i="12"/>
  <c r="B2266" i="12"/>
  <c r="C2266" i="12"/>
  <c r="A2265" i="12"/>
  <c r="B2265" i="12"/>
  <c r="C2265" i="12"/>
  <c r="A2264" i="12"/>
  <c r="B2264" i="12"/>
  <c r="C2264" i="12"/>
  <c r="A2263" i="12"/>
  <c r="B2263" i="12"/>
  <c r="C2263" i="12"/>
  <c r="A2262" i="12"/>
  <c r="B2262" i="12"/>
  <c r="C2262" i="12"/>
  <c r="A2261" i="12"/>
  <c r="B2261" i="12"/>
  <c r="C2261" i="12"/>
  <c r="A2260" i="12"/>
  <c r="B2260" i="12"/>
  <c r="C2260" i="12"/>
  <c r="A2259" i="12"/>
  <c r="B2259" i="12"/>
  <c r="C2259" i="12"/>
  <c r="A2258" i="12"/>
  <c r="B2258" i="12"/>
  <c r="C2258" i="12"/>
  <c r="A2257" i="12"/>
  <c r="B2257" i="12"/>
  <c r="C2257" i="12"/>
  <c r="A2256" i="12"/>
  <c r="B2256" i="12"/>
  <c r="C2256" i="12"/>
  <c r="A2255" i="12"/>
  <c r="B2255" i="12"/>
  <c r="C2255" i="12"/>
  <c r="A2254" i="12"/>
  <c r="B2254" i="12"/>
  <c r="C2254" i="12"/>
  <c r="A2253" i="12"/>
  <c r="B2253" i="12"/>
  <c r="C2253" i="12"/>
  <c r="A2252" i="12"/>
  <c r="B2252" i="12"/>
  <c r="C2252" i="12"/>
  <c r="A2251" i="12"/>
  <c r="B2251" i="12"/>
  <c r="C2251" i="12"/>
  <c r="A2250" i="12"/>
  <c r="B2250" i="12"/>
  <c r="C2250" i="12"/>
  <c r="A2249" i="12"/>
  <c r="B2249" i="12"/>
  <c r="C2249" i="12"/>
  <c r="A2248" i="12"/>
  <c r="B2248" i="12"/>
  <c r="C2248" i="12"/>
  <c r="A2247" i="12"/>
  <c r="B2247" i="12"/>
  <c r="C2247" i="12"/>
  <c r="A2246" i="12"/>
  <c r="B2246" i="12"/>
  <c r="C2246" i="12"/>
  <c r="A2245" i="12"/>
  <c r="B2245" i="12"/>
  <c r="C2245" i="12"/>
  <c r="A2244" i="12"/>
  <c r="B2244" i="12"/>
  <c r="C2244" i="12"/>
  <c r="A2243" i="12"/>
  <c r="B2243" i="12"/>
  <c r="C2243" i="12"/>
  <c r="A2242" i="12"/>
  <c r="B2242" i="12"/>
  <c r="C2242" i="12"/>
  <c r="A2241" i="12"/>
  <c r="B2241" i="12"/>
  <c r="C2241" i="12"/>
  <c r="A2240" i="12"/>
  <c r="B2240" i="12"/>
  <c r="C2240" i="12"/>
  <c r="A2239" i="12"/>
  <c r="B2239" i="12"/>
  <c r="C2239" i="12"/>
  <c r="A2238" i="12"/>
  <c r="B2238" i="12"/>
  <c r="C2238" i="12"/>
  <c r="A2237" i="12"/>
  <c r="B2237" i="12"/>
  <c r="C2237" i="12"/>
  <c r="A2236" i="12"/>
  <c r="B2236" i="12"/>
  <c r="C2236" i="12"/>
  <c r="A2235" i="12"/>
  <c r="B2235" i="12"/>
  <c r="C2235" i="12"/>
  <c r="A2234" i="12"/>
  <c r="B2234" i="12"/>
  <c r="C2234" i="12"/>
  <c r="A2233" i="12"/>
  <c r="B2233" i="12"/>
  <c r="C2233" i="12"/>
  <c r="A2232" i="12"/>
  <c r="B2232" i="12"/>
  <c r="C2232" i="12"/>
  <c r="A2231" i="12"/>
  <c r="B2231" i="12"/>
  <c r="C2231" i="12"/>
  <c r="A2230" i="12"/>
  <c r="B2230" i="12"/>
  <c r="C2230" i="12"/>
  <c r="A2229" i="12"/>
  <c r="B2229" i="12"/>
  <c r="C2229" i="12"/>
  <c r="A2228" i="12"/>
  <c r="B2228" i="12"/>
  <c r="C2228" i="12"/>
  <c r="A2227" i="12"/>
  <c r="B2227" i="12"/>
  <c r="C2227" i="12"/>
  <c r="A2226" i="12"/>
  <c r="B2226" i="12"/>
  <c r="C2226" i="12"/>
  <c r="A2225" i="12"/>
  <c r="B2225" i="12"/>
  <c r="C2225" i="12"/>
  <c r="A2224" i="12"/>
  <c r="B2224" i="12"/>
  <c r="C2224" i="12"/>
  <c r="A2223" i="12"/>
  <c r="B2223" i="12"/>
  <c r="C2223" i="12"/>
  <c r="A2222" i="12"/>
  <c r="B2222" i="12"/>
  <c r="C2222" i="12"/>
  <c r="A2221" i="12"/>
  <c r="B2221" i="12"/>
  <c r="C2221" i="12"/>
  <c r="A2220" i="12"/>
  <c r="B2220" i="12"/>
  <c r="C2220" i="12"/>
  <c r="A2219" i="12"/>
  <c r="B2219" i="12"/>
  <c r="C2219" i="12"/>
  <c r="A2218" i="12"/>
  <c r="B2218" i="12"/>
  <c r="C2218" i="12"/>
  <c r="A2217" i="12"/>
  <c r="B2217" i="12"/>
  <c r="C2217" i="12"/>
  <c r="A2216" i="12"/>
  <c r="B2216" i="12"/>
  <c r="C2216" i="12"/>
  <c r="A2215" i="12"/>
  <c r="B2215" i="12"/>
  <c r="C2215" i="12"/>
  <c r="A2214" i="12"/>
  <c r="B2214" i="12"/>
  <c r="C2214" i="12"/>
  <c r="A2213" i="12"/>
  <c r="B2213" i="12"/>
  <c r="C2213" i="12"/>
  <c r="A2212" i="12"/>
  <c r="B2212" i="12"/>
  <c r="C2212" i="12"/>
  <c r="A2211" i="12"/>
  <c r="B2211" i="12"/>
  <c r="C2211" i="12"/>
  <c r="A2210" i="12"/>
  <c r="B2210" i="12"/>
  <c r="C2210" i="12"/>
  <c r="A2209" i="12"/>
  <c r="B2209" i="12"/>
  <c r="C2209" i="12"/>
  <c r="A2208" i="12"/>
  <c r="B2208" i="12"/>
  <c r="C2208" i="12"/>
  <c r="A2207" i="12"/>
  <c r="B2207" i="12"/>
  <c r="C2207" i="12"/>
  <c r="A2206" i="12"/>
  <c r="B2206" i="12"/>
  <c r="C2206" i="12"/>
  <c r="A2205" i="12"/>
  <c r="B2205" i="12"/>
  <c r="C2205" i="12"/>
  <c r="A2204" i="12"/>
  <c r="B2204" i="12"/>
  <c r="C2204" i="12"/>
  <c r="A2203" i="12"/>
  <c r="B2203" i="12"/>
  <c r="C2203" i="12"/>
  <c r="A2202" i="12"/>
  <c r="B2202" i="12"/>
  <c r="C2202" i="12"/>
  <c r="A2201" i="12"/>
  <c r="B2201" i="12"/>
  <c r="C2201" i="12"/>
  <c r="A2200" i="12"/>
  <c r="B2200" i="12"/>
  <c r="C2200" i="12"/>
  <c r="A2199" i="12"/>
  <c r="B2199" i="12"/>
  <c r="C2199" i="12"/>
  <c r="A2198" i="12"/>
  <c r="B2198" i="12"/>
  <c r="C2198" i="12"/>
  <c r="A2197" i="12"/>
  <c r="B2197" i="12"/>
  <c r="C2197" i="12"/>
  <c r="A2196" i="12"/>
  <c r="B2196" i="12"/>
  <c r="C2196" i="12"/>
  <c r="A2195" i="12"/>
  <c r="B2195" i="12"/>
  <c r="C2195" i="12"/>
  <c r="A2194" i="12"/>
  <c r="B2194" i="12"/>
  <c r="C2194" i="12"/>
  <c r="A2193" i="12"/>
  <c r="B2193" i="12"/>
  <c r="C2193" i="12"/>
  <c r="A2192" i="12"/>
  <c r="B2192" i="12"/>
  <c r="C2192" i="12"/>
  <c r="A2191" i="12"/>
  <c r="B2191" i="12"/>
  <c r="C2191" i="12"/>
  <c r="A2190" i="12"/>
  <c r="B2190" i="12"/>
  <c r="C2190" i="12"/>
  <c r="A2189" i="12"/>
  <c r="B2189" i="12"/>
  <c r="C2189" i="12"/>
  <c r="A2188" i="12"/>
  <c r="B2188" i="12"/>
  <c r="C2188" i="12"/>
  <c r="A2187" i="12"/>
  <c r="B2187" i="12"/>
  <c r="C2187" i="12"/>
  <c r="A2186" i="12"/>
  <c r="B2186" i="12"/>
  <c r="C2186" i="12"/>
  <c r="A2185" i="12"/>
  <c r="B2185" i="12"/>
  <c r="C2185" i="12"/>
  <c r="A2184" i="12"/>
  <c r="B2184" i="12"/>
  <c r="C2184" i="12"/>
  <c r="A2183" i="12"/>
  <c r="B2183" i="12"/>
  <c r="C2183" i="12"/>
  <c r="A2182" i="12"/>
  <c r="B2182" i="12"/>
  <c r="C2182" i="12"/>
  <c r="A2181" i="12"/>
  <c r="B2181" i="12"/>
  <c r="C2181" i="12"/>
  <c r="A2180" i="12"/>
  <c r="B2180" i="12"/>
  <c r="C2180" i="12"/>
  <c r="A2179" i="12"/>
  <c r="B2179" i="12"/>
  <c r="C2179" i="12"/>
  <c r="A2178" i="12"/>
  <c r="B2178" i="12"/>
  <c r="C2178" i="12"/>
  <c r="A2177" i="12"/>
  <c r="B2177" i="12"/>
  <c r="C2177" i="12"/>
  <c r="A2176" i="12"/>
  <c r="B2176" i="12"/>
  <c r="C2176" i="12"/>
  <c r="A2175" i="12"/>
  <c r="B2175" i="12"/>
  <c r="C2175" i="12"/>
  <c r="A2174" i="12"/>
  <c r="B2174" i="12"/>
  <c r="C2174" i="12"/>
  <c r="A2173" i="12"/>
  <c r="B2173" i="12"/>
  <c r="C2173" i="12"/>
  <c r="A2172" i="12"/>
  <c r="B2172" i="12"/>
  <c r="C2172" i="12"/>
  <c r="A2171" i="12"/>
  <c r="B2171" i="12"/>
  <c r="C2171" i="12"/>
  <c r="A2170" i="12"/>
  <c r="B2170" i="12"/>
  <c r="C2170" i="12"/>
  <c r="A2169" i="12"/>
  <c r="B2169" i="12"/>
  <c r="C2169" i="12"/>
  <c r="A2168" i="12"/>
  <c r="B2168" i="12"/>
  <c r="C2168" i="12"/>
  <c r="A2167" i="12"/>
  <c r="B2167" i="12"/>
  <c r="C2167" i="12"/>
  <c r="A2166" i="12"/>
  <c r="B2166" i="12"/>
  <c r="C2166" i="12"/>
  <c r="A2165" i="12"/>
  <c r="B2165" i="12"/>
  <c r="C2165" i="12"/>
  <c r="A2164" i="12"/>
  <c r="B2164" i="12"/>
  <c r="C2164" i="12"/>
  <c r="A2163" i="12"/>
  <c r="B2163" i="12"/>
  <c r="C2163" i="12"/>
  <c r="A2162" i="12"/>
  <c r="B2162" i="12"/>
  <c r="C2162" i="12"/>
  <c r="A2161" i="12"/>
  <c r="B2161" i="12"/>
  <c r="C2161" i="12"/>
  <c r="A2160" i="12"/>
  <c r="B2160" i="12"/>
  <c r="C2160" i="12"/>
  <c r="A2159" i="12"/>
  <c r="B2159" i="12"/>
  <c r="C2159" i="12"/>
  <c r="A2158" i="12"/>
  <c r="B2158" i="12"/>
  <c r="C2158" i="12"/>
  <c r="A2157" i="12"/>
  <c r="B2157" i="12"/>
  <c r="C2157" i="12"/>
  <c r="A2156" i="12"/>
  <c r="B2156" i="12"/>
  <c r="C2156" i="12"/>
  <c r="A2155" i="12"/>
  <c r="B2155" i="12"/>
  <c r="C2155" i="12"/>
  <c r="A2154" i="12"/>
  <c r="B2154" i="12"/>
  <c r="C2154" i="12"/>
  <c r="A2153" i="12"/>
  <c r="B2153" i="12"/>
  <c r="C2153" i="12"/>
  <c r="A2152" i="12"/>
  <c r="B2152" i="12"/>
  <c r="C2152" i="12"/>
  <c r="A2151" i="12"/>
  <c r="B2151" i="12"/>
  <c r="C2151" i="12"/>
  <c r="A2150" i="12"/>
  <c r="B2150" i="12"/>
  <c r="C2150" i="12"/>
  <c r="A2149" i="12"/>
  <c r="B2149" i="12"/>
  <c r="C2149" i="12"/>
  <c r="A2148" i="12"/>
  <c r="B2148" i="12"/>
  <c r="C2148" i="12"/>
  <c r="A2147" i="12"/>
  <c r="B2147" i="12"/>
  <c r="C2147" i="12"/>
  <c r="A2146" i="12"/>
  <c r="B2146" i="12"/>
  <c r="C2146" i="12"/>
  <c r="A2145" i="12"/>
  <c r="B2145" i="12"/>
  <c r="C2145" i="12"/>
  <c r="A2144" i="12"/>
  <c r="B2144" i="12"/>
  <c r="C2144" i="12"/>
  <c r="A2143" i="12"/>
  <c r="B2143" i="12"/>
  <c r="C2143" i="12"/>
  <c r="A2142" i="12"/>
  <c r="B2142" i="12"/>
  <c r="C2142" i="12"/>
  <c r="A2141" i="12"/>
  <c r="B2141" i="12"/>
  <c r="C2141" i="12"/>
  <c r="A2140" i="12"/>
  <c r="B2140" i="12"/>
  <c r="C2140" i="12"/>
  <c r="A2139" i="12"/>
  <c r="B2139" i="12"/>
  <c r="C2139" i="12"/>
  <c r="A2138" i="12"/>
  <c r="B2138" i="12"/>
  <c r="C2138" i="12"/>
  <c r="A2137" i="12"/>
  <c r="B2137" i="12"/>
  <c r="C2137" i="12"/>
  <c r="A2136" i="12"/>
  <c r="B2136" i="12"/>
  <c r="C2136" i="12"/>
  <c r="A2135" i="12"/>
  <c r="B2135" i="12"/>
  <c r="C2135" i="12"/>
  <c r="A2134" i="12"/>
  <c r="B2134" i="12"/>
  <c r="C2134" i="12"/>
  <c r="A2133" i="12"/>
  <c r="B2133" i="12"/>
  <c r="C2133" i="12"/>
  <c r="A2132" i="12"/>
  <c r="B2132" i="12"/>
  <c r="C2132" i="12"/>
  <c r="A2131" i="12"/>
  <c r="B2131" i="12"/>
  <c r="C2131" i="12"/>
  <c r="A2130" i="12"/>
  <c r="B2130" i="12"/>
  <c r="C2130" i="12"/>
  <c r="A2129" i="12"/>
  <c r="B2129" i="12"/>
  <c r="C2129" i="12"/>
  <c r="A2128" i="12"/>
  <c r="B2128" i="12"/>
  <c r="C2128" i="12"/>
  <c r="A2127" i="12"/>
  <c r="B2127" i="12"/>
  <c r="C2127" i="12"/>
  <c r="A2126" i="12"/>
  <c r="B2126" i="12"/>
  <c r="C2126" i="12"/>
  <c r="A2125" i="12"/>
  <c r="B2125" i="12"/>
  <c r="C2125" i="12"/>
  <c r="A2124" i="12"/>
  <c r="B2124" i="12"/>
  <c r="C2124" i="12"/>
  <c r="A2123" i="12"/>
  <c r="B2123" i="12"/>
  <c r="C2123" i="12"/>
  <c r="A2122" i="12"/>
  <c r="B2122" i="12"/>
  <c r="C2122" i="12"/>
  <c r="A2121" i="12"/>
  <c r="B2121" i="12"/>
  <c r="C2121" i="12"/>
  <c r="A2120" i="12"/>
  <c r="B2120" i="12"/>
  <c r="C2120" i="12"/>
  <c r="A2119" i="12"/>
  <c r="B2119" i="12"/>
  <c r="C2119" i="12"/>
  <c r="A2118" i="12"/>
  <c r="B2118" i="12"/>
  <c r="C2118" i="12"/>
  <c r="A2117" i="12"/>
  <c r="B2117" i="12"/>
  <c r="C2117" i="12"/>
  <c r="A2116" i="12"/>
  <c r="B2116" i="12"/>
  <c r="C2116" i="12"/>
  <c r="A2115" i="12"/>
  <c r="B2115" i="12"/>
  <c r="C2115" i="12"/>
  <c r="A2114" i="12"/>
  <c r="B2114" i="12"/>
  <c r="C2114" i="12"/>
  <c r="A2113" i="12"/>
  <c r="B2113" i="12"/>
  <c r="C2113" i="12"/>
  <c r="A2112" i="12"/>
  <c r="B2112" i="12"/>
  <c r="C2112" i="12"/>
  <c r="A2111" i="12"/>
  <c r="B2111" i="12"/>
  <c r="C2111" i="12"/>
  <c r="A2110" i="12"/>
  <c r="B2110" i="12"/>
  <c r="C2110" i="12"/>
  <c r="A2109" i="12"/>
  <c r="B2109" i="12"/>
  <c r="C2109" i="12"/>
  <c r="A2108" i="12"/>
  <c r="B2108" i="12"/>
  <c r="C2108" i="12"/>
  <c r="A2107" i="12"/>
  <c r="B2107" i="12"/>
  <c r="C2107" i="12"/>
  <c r="A2106" i="12"/>
  <c r="B2106" i="12"/>
  <c r="C2106" i="12"/>
  <c r="A2105" i="12"/>
  <c r="B2105" i="12"/>
  <c r="C2105" i="12"/>
  <c r="A2104" i="12"/>
  <c r="B2104" i="12"/>
  <c r="C2104" i="12"/>
  <c r="A2103" i="12"/>
  <c r="B2103" i="12"/>
  <c r="C2103" i="12"/>
  <c r="A2102" i="12"/>
  <c r="B2102" i="12"/>
  <c r="C2102" i="12"/>
  <c r="A2101" i="12"/>
  <c r="B2101" i="12"/>
  <c r="C2101" i="12"/>
  <c r="A2100" i="12"/>
  <c r="B2100" i="12"/>
  <c r="C2100" i="12"/>
  <c r="A2099" i="12"/>
  <c r="B2099" i="12"/>
  <c r="C2099" i="12"/>
  <c r="A2098" i="12"/>
  <c r="B2098" i="12"/>
  <c r="C2098" i="12"/>
  <c r="A2097" i="12"/>
  <c r="B2097" i="12"/>
  <c r="C2097" i="12"/>
  <c r="A2096" i="12"/>
  <c r="B2096" i="12"/>
  <c r="C2096" i="12"/>
  <c r="A2095" i="12"/>
  <c r="B2095" i="12"/>
  <c r="C2095" i="12"/>
  <c r="A2094" i="12"/>
  <c r="B2094" i="12"/>
  <c r="C2094" i="12"/>
  <c r="A2093" i="12"/>
  <c r="B2093" i="12"/>
  <c r="C2093" i="12"/>
  <c r="A2092" i="12"/>
  <c r="B2092" i="12"/>
  <c r="C2092" i="12"/>
  <c r="A2091" i="12"/>
  <c r="B2091" i="12"/>
  <c r="C2091" i="12"/>
  <c r="A2090" i="12"/>
  <c r="B2090" i="12"/>
  <c r="C2090" i="12"/>
  <c r="A2089" i="12"/>
  <c r="B2089" i="12"/>
  <c r="C2089" i="12"/>
  <c r="A2088" i="12"/>
  <c r="B2088" i="12"/>
  <c r="C2088" i="12"/>
  <c r="A2087" i="12"/>
  <c r="B2087" i="12"/>
  <c r="C2087" i="12"/>
  <c r="A2086" i="12"/>
  <c r="B2086" i="12"/>
  <c r="C2086" i="12"/>
  <c r="A2085" i="12"/>
  <c r="B2085" i="12"/>
  <c r="C2085" i="12"/>
  <c r="A2084" i="12"/>
  <c r="B2084" i="12"/>
  <c r="C2084" i="12"/>
  <c r="A2083" i="12"/>
  <c r="B2083" i="12"/>
  <c r="C2083" i="12"/>
  <c r="A2082" i="12"/>
  <c r="B2082" i="12"/>
  <c r="C2082" i="12"/>
  <c r="A2081" i="12"/>
  <c r="B2081" i="12"/>
  <c r="C2081" i="12"/>
  <c r="A2080" i="12"/>
  <c r="B2080" i="12"/>
  <c r="C2080" i="12"/>
  <c r="A2079" i="12"/>
  <c r="B2079" i="12"/>
  <c r="C2079" i="12"/>
  <c r="A2078" i="12"/>
  <c r="B2078" i="12"/>
  <c r="C2078" i="12"/>
  <c r="A2077" i="12"/>
  <c r="B2077" i="12"/>
  <c r="C2077" i="12"/>
  <c r="A2076" i="12"/>
  <c r="B2076" i="12"/>
  <c r="C2076" i="12"/>
  <c r="A2075" i="12"/>
  <c r="B2075" i="12"/>
  <c r="C2075" i="12"/>
  <c r="A2074" i="12"/>
  <c r="B2074" i="12"/>
  <c r="C2074" i="12"/>
  <c r="A2073" i="12"/>
  <c r="B2073" i="12"/>
  <c r="C2073" i="12"/>
  <c r="A2072" i="12"/>
  <c r="B2072" i="12"/>
  <c r="C2072" i="12"/>
  <c r="A2071" i="12"/>
  <c r="B2071" i="12"/>
  <c r="C2071" i="12"/>
  <c r="A2070" i="12"/>
  <c r="B2070" i="12"/>
  <c r="C2070" i="12"/>
  <c r="A2069" i="12"/>
  <c r="B2069" i="12"/>
  <c r="C2069" i="12"/>
  <c r="A2068" i="12"/>
  <c r="B2068" i="12"/>
  <c r="C2068" i="12"/>
  <c r="A2067" i="12"/>
  <c r="B2067" i="12"/>
  <c r="C2067" i="12"/>
  <c r="A2066" i="12"/>
  <c r="B2066" i="12"/>
  <c r="C2066" i="12"/>
  <c r="A2065" i="12"/>
  <c r="B2065" i="12"/>
  <c r="C2065" i="12"/>
  <c r="A2064" i="12"/>
  <c r="B2064" i="12"/>
  <c r="C2064" i="12"/>
  <c r="A2063" i="12"/>
  <c r="B2063" i="12"/>
  <c r="C2063" i="12"/>
  <c r="A2062" i="12"/>
  <c r="B2062" i="12"/>
  <c r="C2062" i="12"/>
  <c r="A2061" i="12"/>
  <c r="B2061" i="12"/>
  <c r="C2061" i="12"/>
  <c r="A2060" i="12"/>
  <c r="B2060" i="12"/>
  <c r="C2060" i="12"/>
  <c r="A2059" i="12"/>
  <c r="B2059" i="12"/>
  <c r="C2059" i="12"/>
  <c r="A2058" i="12"/>
  <c r="B2058" i="12"/>
  <c r="C2058" i="12"/>
  <c r="A2057" i="12"/>
  <c r="B2057" i="12"/>
  <c r="C2057" i="12"/>
  <c r="A2056" i="12"/>
  <c r="B2056" i="12"/>
  <c r="C2056" i="12"/>
  <c r="A2055" i="12"/>
  <c r="B2055" i="12"/>
  <c r="C2055" i="12"/>
  <c r="A2054" i="12"/>
  <c r="B2054" i="12"/>
  <c r="C2054" i="12"/>
  <c r="A2053" i="12"/>
  <c r="B2053" i="12"/>
  <c r="C2053" i="12"/>
  <c r="A2052" i="12"/>
  <c r="B2052" i="12"/>
  <c r="C2052" i="12"/>
  <c r="A2051" i="12"/>
  <c r="B2051" i="12"/>
  <c r="C2051" i="12"/>
  <c r="A2050" i="12"/>
  <c r="B2050" i="12"/>
  <c r="C2050" i="12"/>
  <c r="A2049" i="12"/>
  <c r="B2049" i="12"/>
  <c r="C2049" i="12"/>
  <c r="A2048" i="12"/>
  <c r="B2048" i="12"/>
  <c r="C2048" i="12"/>
  <c r="A2047" i="12"/>
  <c r="B2047" i="12"/>
  <c r="C2047" i="12"/>
  <c r="A2046" i="12"/>
  <c r="B2046" i="12"/>
  <c r="C2046" i="12"/>
  <c r="A2045" i="12"/>
  <c r="B2045" i="12"/>
  <c r="C2045" i="12"/>
  <c r="A2044" i="12"/>
  <c r="B2044" i="12"/>
  <c r="C2044" i="12"/>
  <c r="A2043" i="12"/>
  <c r="B2043" i="12"/>
  <c r="C2043" i="12"/>
  <c r="A2042" i="12"/>
  <c r="B2042" i="12"/>
  <c r="C2042" i="12"/>
  <c r="A2041" i="12"/>
  <c r="B2041" i="12"/>
  <c r="C2041" i="12"/>
  <c r="A2040" i="12"/>
  <c r="B2040" i="12"/>
  <c r="C2040" i="12"/>
  <c r="A2039" i="12"/>
  <c r="B2039" i="12"/>
  <c r="C2039" i="12"/>
  <c r="A2038" i="12"/>
  <c r="B2038" i="12"/>
  <c r="C2038" i="12"/>
  <c r="A2037" i="12"/>
  <c r="B2037" i="12"/>
  <c r="C2037" i="12"/>
  <c r="A2036" i="12"/>
  <c r="B2036" i="12"/>
  <c r="C2036" i="12"/>
  <c r="A2035" i="12"/>
  <c r="B2035" i="12"/>
  <c r="C2035" i="12"/>
  <c r="A2034" i="12"/>
  <c r="B2034" i="12"/>
  <c r="C2034" i="12"/>
  <c r="A2033" i="12"/>
  <c r="B2033" i="12"/>
  <c r="C2033" i="12"/>
  <c r="A2032" i="12"/>
  <c r="B2032" i="12"/>
  <c r="C2032" i="12"/>
  <c r="A2031" i="12"/>
  <c r="B2031" i="12"/>
  <c r="C2031" i="12"/>
  <c r="A2030" i="12"/>
  <c r="B2030" i="12"/>
  <c r="C2030" i="12"/>
  <c r="A2029" i="12"/>
  <c r="B2029" i="12"/>
  <c r="C2029" i="12"/>
  <c r="A2028" i="12"/>
  <c r="B2028" i="12"/>
  <c r="C2028" i="12"/>
  <c r="A2027" i="12"/>
  <c r="B2027" i="12"/>
  <c r="C2027" i="12"/>
  <c r="A2026" i="12"/>
  <c r="B2026" i="12"/>
  <c r="C2026" i="12"/>
  <c r="A2025" i="12"/>
  <c r="B2025" i="12"/>
  <c r="C2025" i="12"/>
  <c r="A2024" i="12"/>
  <c r="B2024" i="12"/>
  <c r="C2024" i="12"/>
  <c r="A2023" i="12"/>
  <c r="B2023" i="12"/>
  <c r="C2023" i="12"/>
  <c r="A2022" i="12"/>
  <c r="B2022" i="12"/>
  <c r="C2022" i="12"/>
  <c r="A2021" i="12"/>
  <c r="B2021" i="12"/>
  <c r="C2021" i="12"/>
  <c r="A2020" i="12"/>
  <c r="B2020" i="12"/>
  <c r="C2020" i="12"/>
  <c r="A2019" i="12"/>
  <c r="B2019" i="12"/>
  <c r="C2019" i="12"/>
  <c r="A2018" i="12"/>
  <c r="B2018" i="12"/>
  <c r="C2018" i="12"/>
  <c r="A2017" i="12"/>
  <c r="B2017" i="12"/>
  <c r="C2017" i="12"/>
  <c r="A2016" i="12"/>
  <c r="B2016" i="12"/>
  <c r="C2016" i="12"/>
  <c r="A2015" i="12"/>
  <c r="B2015" i="12"/>
  <c r="C2015" i="12"/>
  <c r="A2014" i="12"/>
  <c r="B2014" i="12"/>
  <c r="C2014" i="12"/>
  <c r="A2013" i="12"/>
  <c r="B2013" i="12"/>
  <c r="C2013" i="12"/>
  <c r="A2012" i="12"/>
  <c r="B2012" i="12"/>
  <c r="C2012" i="12"/>
  <c r="A2011" i="12"/>
  <c r="B2011" i="12"/>
  <c r="C2011" i="12"/>
  <c r="A2010" i="12"/>
  <c r="B2010" i="12"/>
  <c r="C2010" i="12"/>
  <c r="A2009" i="12"/>
  <c r="B2009" i="12"/>
  <c r="C2009" i="12"/>
  <c r="A2008" i="12"/>
  <c r="B2008" i="12"/>
  <c r="C2008" i="12"/>
  <c r="A2007" i="12"/>
  <c r="B2007" i="12"/>
  <c r="C2007" i="12"/>
  <c r="A2006" i="12"/>
  <c r="B2006" i="12"/>
  <c r="C2006" i="12"/>
  <c r="A2005" i="12"/>
  <c r="B2005" i="12"/>
  <c r="C2005" i="12"/>
  <c r="A2004" i="12"/>
  <c r="B2004" i="12"/>
  <c r="C2004" i="12"/>
  <c r="A2003" i="12"/>
  <c r="B2003" i="12"/>
  <c r="C2003" i="12"/>
  <c r="A2002" i="12"/>
  <c r="B2002" i="12"/>
  <c r="C2002" i="12"/>
  <c r="A2001" i="12"/>
  <c r="B2001" i="12"/>
  <c r="C2001" i="12"/>
  <c r="A2000" i="12"/>
  <c r="B2000" i="12"/>
  <c r="C2000" i="12"/>
  <c r="A1999" i="12"/>
  <c r="B1999" i="12"/>
  <c r="C1999" i="12"/>
  <c r="A1998" i="12"/>
  <c r="B1998" i="12"/>
  <c r="C1998" i="12"/>
  <c r="A1997" i="12"/>
  <c r="B1997" i="12"/>
  <c r="C1997" i="12"/>
  <c r="A1996" i="12"/>
  <c r="B1996" i="12"/>
  <c r="C1996" i="12"/>
  <c r="A1995" i="12"/>
  <c r="B1995" i="12"/>
  <c r="C1995" i="12"/>
  <c r="A1994" i="12"/>
  <c r="B1994" i="12"/>
  <c r="C1994" i="12"/>
  <c r="A1993" i="12"/>
  <c r="B1993" i="12"/>
  <c r="C1993" i="12"/>
  <c r="A1992" i="12"/>
  <c r="B1992" i="12"/>
  <c r="C1992" i="12"/>
  <c r="A1991" i="12"/>
  <c r="B1991" i="12"/>
  <c r="C1991" i="12"/>
  <c r="A1990" i="12"/>
  <c r="B1990" i="12"/>
  <c r="C1990" i="12"/>
  <c r="A1989" i="12"/>
  <c r="B1989" i="12"/>
  <c r="C1989" i="12"/>
  <c r="A1988" i="12"/>
  <c r="B1988" i="12"/>
  <c r="C1988" i="12"/>
  <c r="A1987" i="12"/>
  <c r="B1987" i="12"/>
  <c r="C1987" i="12"/>
  <c r="A1986" i="12"/>
  <c r="B1986" i="12"/>
  <c r="C1986" i="12"/>
  <c r="A1985" i="12"/>
  <c r="B1985" i="12"/>
  <c r="C1985" i="12"/>
  <c r="A1984" i="12"/>
  <c r="B1984" i="12"/>
  <c r="C1984" i="12"/>
  <c r="A1983" i="12"/>
  <c r="B1983" i="12"/>
  <c r="C1983" i="12"/>
  <c r="A1982" i="12"/>
  <c r="B1982" i="12"/>
  <c r="C1982" i="12"/>
  <c r="A1981" i="12"/>
  <c r="B1981" i="12"/>
  <c r="C1981" i="12"/>
  <c r="A1980" i="12"/>
  <c r="B1980" i="12"/>
  <c r="C1980" i="12"/>
  <c r="A1979" i="12"/>
  <c r="B1979" i="12"/>
  <c r="C1979" i="12"/>
  <c r="A1978" i="12"/>
  <c r="B1978" i="12"/>
  <c r="C1978" i="12"/>
  <c r="A1977" i="12"/>
  <c r="B1977" i="12"/>
  <c r="C1977" i="12"/>
  <c r="A1976" i="12"/>
  <c r="B1976" i="12"/>
  <c r="C1976" i="12"/>
  <c r="A1975" i="12"/>
  <c r="B1975" i="12"/>
  <c r="C1975" i="12"/>
  <c r="A1974" i="12"/>
  <c r="B1974" i="12"/>
  <c r="C1974" i="12"/>
  <c r="A1973" i="12"/>
  <c r="B1973" i="12"/>
  <c r="C1973" i="12"/>
  <c r="A1972" i="12"/>
  <c r="B1972" i="12"/>
  <c r="C1972" i="12"/>
  <c r="A1971" i="12"/>
  <c r="B1971" i="12"/>
  <c r="C1971" i="12"/>
  <c r="A1970" i="12"/>
  <c r="B1970" i="12"/>
  <c r="C1970" i="12"/>
  <c r="A1969" i="12"/>
  <c r="B1969" i="12"/>
  <c r="C1969" i="12"/>
  <c r="A1968" i="12"/>
  <c r="B1968" i="12"/>
  <c r="C1968" i="12"/>
  <c r="A1967" i="12"/>
  <c r="B1967" i="12"/>
  <c r="C1967" i="12"/>
  <c r="A1966" i="12"/>
  <c r="B1966" i="12"/>
  <c r="C1966" i="12"/>
  <c r="A1965" i="12"/>
  <c r="B1965" i="12"/>
  <c r="C1965" i="12"/>
  <c r="A1964" i="12"/>
  <c r="B1964" i="12"/>
  <c r="C1964" i="12"/>
  <c r="A1963" i="12"/>
  <c r="B1963" i="12"/>
  <c r="C1963" i="12"/>
  <c r="A1962" i="12"/>
  <c r="B1962" i="12"/>
  <c r="C1962" i="12"/>
  <c r="A1961" i="12"/>
  <c r="B1961" i="12"/>
  <c r="C1961" i="12"/>
  <c r="A1960" i="12"/>
  <c r="B1960" i="12"/>
  <c r="C1960" i="12"/>
  <c r="A1959" i="12"/>
  <c r="B1959" i="12"/>
  <c r="C1959" i="12"/>
  <c r="A1958" i="12"/>
  <c r="B1958" i="12"/>
  <c r="C1958" i="12"/>
  <c r="A1957" i="12"/>
  <c r="B1957" i="12"/>
  <c r="C1957" i="12"/>
  <c r="A1956" i="12"/>
  <c r="B1956" i="12"/>
  <c r="C1956" i="12"/>
  <c r="A1955" i="12"/>
  <c r="B1955" i="12"/>
  <c r="C1955" i="12"/>
  <c r="A1954" i="12"/>
  <c r="B1954" i="12"/>
  <c r="C1954" i="12"/>
  <c r="A1953" i="12"/>
  <c r="B1953" i="12"/>
  <c r="C1953" i="12"/>
  <c r="A1952" i="12"/>
  <c r="B1952" i="12"/>
  <c r="C1952" i="12"/>
  <c r="A1951" i="12"/>
  <c r="B1951" i="12"/>
  <c r="C1951" i="12"/>
  <c r="A1950" i="12"/>
  <c r="B1950" i="12"/>
  <c r="C1950" i="12"/>
  <c r="A1949" i="12"/>
  <c r="B1949" i="12"/>
  <c r="C1949" i="12"/>
  <c r="A1948" i="12"/>
  <c r="B1948" i="12"/>
  <c r="C1948" i="12"/>
  <c r="A1947" i="12"/>
  <c r="B1947" i="12"/>
  <c r="C1947" i="12"/>
  <c r="A1946" i="12"/>
  <c r="B1946" i="12"/>
  <c r="C1946" i="12"/>
  <c r="A1945" i="12"/>
  <c r="B1945" i="12"/>
  <c r="C1945" i="12"/>
  <c r="A1944" i="12"/>
  <c r="B1944" i="12"/>
  <c r="C1944" i="12"/>
  <c r="A1943" i="12"/>
  <c r="B1943" i="12"/>
  <c r="C1943" i="12"/>
  <c r="A1942" i="12"/>
  <c r="B1942" i="12"/>
  <c r="C1942" i="12"/>
  <c r="A1941" i="12"/>
  <c r="B1941" i="12"/>
  <c r="C1941" i="12"/>
  <c r="A1940" i="12"/>
  <c r="B1940" i="12"/>
  <c r="C1940" i="12"/>
  <c r="A1939" i="12"/>
  <c r="B1939" i="12"/>
  <c r="C1939" i="12"/>
  <c r="A1938" i="12"/>
  <c r="B1938" i="12"/>
  <c r="C1938" i="12"/>
  <c r="A1937" i="12"/>
  <c r="B1937" i="12"/>
  <c r="C1937" i="12"/>
  <c r="A1936" i="12"/>
  <c r="B1936" i="12"/>
  <c r="C1936" i="12"/>
  <c r="A1935" i="12"/>
  <c r="B1935" i="12"/>
  <c r="C1935" i="12"/>
  <c r="A1934" i="12"/>
  <c r="B1934" i="12"/>
  <c r="C1934" i="12"/>
  <c r="A1933" i="12"/>
  <c r="B1933" i="12"/>
  <c r="C1933" i="12"/>
  <c r="A1932" i="12"/>
  <c r="B1932" i="12"/>
  <c r="C1932" i="12"/>
  <c r="A1931" i="12"/>
  <c r="B1931" i="12"/>
  <c r="C1931" i="12"/>
  <c r="A1930" i="12"/>
  <c r="B1930" i="12"/>
  <c r="C1930" i="12"/>
  <c r="A1929" i="12"/>
  <c r="B1929" i="12"/>
  <c r="C1929" i="12"/>
  <c r="A1928" i="12"/>
  <c r="B1928" i="12"/>
  <c r="C1928" i="12"/>
  <c r="A1927" i="12"/>
  <c r="B1927" i="12"/>
  <c r="C1927" i="12"/>
  <c r="A1926" i="12"/>
  <c r="B1926" i="12"/>
  <c r="C1926" i="12"/>
  <c r="A1925" i="12"/>
  <c r="B1925" i="12"/>
  <c r="C1925" i="12"/>
  <c r="A1924" i="12"/>
  <c r="B1924" i="12"/>
  <c r="C1924" i="12"/>
  <c r="A1923" i="12"/>
  <c r="B1923" i="12"/>
  <c r="C1923" i="12"/>
  <c r="A1922" i="12"/>
  <c r="B1922" i="12"/>
  <c r="C1922" i="12"/>
  <c r="A1921" i="12"/>
  <c r="B1921" i="12"/>
  <c r="C1921" i="12"/>
  <c r="A1920" i="12"/>
  <c r="B1920" i="12"/>
  <c r="C1920" i="12"/>
  <c r="A1919" i="12"/>
  <c r="B1919" i="12"/>
  <c r="C1919" i="12"/>
  <c r="A1918" i="12"/>
  <c r="B1918" i="12"/>
  <c r="C1918" i="12"/>
  <c r="A1917" i="12"/>
  <c r="B1917" i="12"/>
  <c r="C1917" i="12"/>
  <c r="A1916" i="12"/>
  <c r="B1916" i="12"/>
  <c r="C1916" i="12"/>
  <c r="A1915" i="12"/>
  <c r="B1915" i="12"/>
  <c r="C1915" i="12"/>
  <c r="A1914" i="12"/>
  <c r="B1914" i="12"/>
  <c r="C1914" i="12"/>
  <c r="A1913" i="12"/>
  <c r="B1913" i="12"/>
  <c r="C1913" i="12"/>
  <c r="A1912" i="12"/>
  <c r="B1912" i="12"/>
  <c r="C1912" i="12"/>
  <c r="A1911" i="12"/>
  <c r="B1911" i="12"/>
  <c r="C1911" i="12"/>
  <c r="A1910" i="12"/>
  <c r="B1910" i="12"/>
  <c r="C1910" i="12"/>
  <c r="A1909" i="12"/>
  <c r="B1909" i="12"/>
  <c r="C1909" i="12"/>
  <c r="A1908" i="12"/>
  <c r="B1908" i="12"/>
  <c r="C1908" i="12"/>
  <c r="A1907" i="12"/>
  <c r="B1907" i="12"/>
  <c r="C1907" i="12"/>
  <c r="A1906" i="12"/>
  <c r="B1906" i="12"/>
  <c r="C1906" i="12"/>
  <c r="A1905" i="12"/>
  <c r="B1905" i="12"/>
  <c r="C1905" i="12"/>
  <c r="A1904" i="12"/>
  <c r="B1904" i="12"/>
  <c r="C1904" i="12"/>
  <c r="A1903" i="12"/>
  <c r="B1903" i="12"/>
  <c r="C1903" i="12"/>
  <c r="A1902" i="12"/>
  <c r="B1902" i="12"/>
  <c r="C1902" i="12"/>
  <c r="A1901" i="12"/>
  <c r="B1901" i="12"/>
  <c r="C1901" i="12"/>
  <c r="A1900" i="12"/>
  <c r="B1900" i="12"/>
  <c r="C1900" i="12"/>
  <c r="A1899" i="12"/>
  <c r="B1899" i="12"/>
  <c r="C1899" i="12"/>
  <c r="A1898" i="12"/>
  <c r="B1898" i="12"/>
  <c r="C1898" i="12"/>
  <c r="A1897" i="12"/>
  <c r="B1897" i="12"/>
  <c r="C1897" i="12"/>
  <c r="A1896" i="12"/>
  <c r="B1896" i="12"/>
  <c r="C1896" i="12"/>
  <c r="A1895" i="12"/>
  <c r="B1895" i="12"/>
  <c r="C1895" i="12"/>
  <c r="A1894" i="12"/>
  <c r="B1894" i="12"/>
  <c r="C1894" i="12"/>
  <c r="A1893" i="12"/>
  <c r="B1893" i="12"/>
  <c r="C1893" i="12"/>
  <c r="A1892" i="12"/>
  <c r="B1892" i="12"/>
  <c r="C1892" i="12"/>
  <c r="A1891" i="12"/>
  <c r="B1891" i="12"/>
  <c r="C1891" i="12"/>
  <c r="A1890" i="12"/>
  <c r="B1890" i="12"/>
  <c r="C1890" i="12"/>
  <c r="A1889" i="12"/>
  <c r="B1889" i="12"/>
  <c r="C1889" i="12"/>
  <c r="A1888" i="12"/>
  <c r="B1888" i="12"/>
  <c r="C1888" i="12"/>
  <c r="A1887" i="12"/>
  <c r="B1887" i="12"/>
  <c r="C1887" i="12"/>
  <c r="A1886" i="12"/>
  <c r="B1886" i="12"/>
  <c r="C1886" i="12"/>
  <c r="A1885" i="12"/>
  <c r="B1885" i="12"/>
  <c r="C1885" i="12"/>
  <c r="A1884" i="12"/>
  <c r="B1884" i="12"/>
  <c r="C1884" i="12"/>
  <c r="A1883" i="12"/>
  <c r="B1883" i="12"/>
  <c r="C1883" i="12"/>
  <c r="A1882" i="12"/>
  <c r="B1882" i="12"/>
  <c r="C1882" i="12"/>
  <c r="A1881" i="12"/>
  <c r="B1881" i="12"/>
  <c r="C1881" i="12"/>
  <c r="A1880" i="12"/>
  <c r="B1880" i="12"/>
  <c r="C1880" i="12"/>
  <c r="A1879" i="12"/>
  <c r="B1879" i="12"/>
  <c r="C1879" i="12"/>
  <c r="A1878" i="12"/>
  <c r="B1878" i="12"/>
  <c r="C1878" i="12"/>
  <c r="A1877" i="12"/>
  <c r="B1877" i="12"/>
  <c r="C1877" i="12"/>
  <c r="A1876" i="12"/>
  <c r="B1876" i="12"/>
  <c r="C1876" i="12"/>
  <c r="A1875" i="12"/>
  <c r="B1875" i="12"/>
  <c r="C1875" i="12"/>
  <c r="A1874" i="12"/>
  <c r="B1874" i="12"/>
  <c r="C1874" i="12"/>
  <c r="A1873" i="12"/>
  <c r="B1873" i="12"/>
  <c r="C1873" i="12"/>
  <c r="A1872" i="12"/>
  <c r="B1872" i="12"/>
  <c r="C1872" i="12"/>
  <c r="A1871" i="12"/>
  <c r="B1871" i="12"/>
  <c r="C1871" i="12"/>
  <c r="A1870" i="12"/>
  <c r="B1870" i="12"/>
  <c r="C1870" i="12"/>
  <c r="A1869" i="12"/>
  <c r="B1869" i="12"/>
  <c r="C1869" i="12"/>
  <c r="A1868" i="12"/>
  <c r="B1868" i="12"/>
  <c r="C1868" i="12"/>
  <c r="A1867" i="12"/>
  <c r="B1867" i="12"/>
  <c r="C1867" i="12"/>
  <c r="A1866" i="12"/>
  <c r="B1866" i="12"/>
  <c r="C1866" i="12"/>
  <c r="A1865" i="12"/>
  <c r="B1865" i="12"/>
  <c r="C1865" i="12"/>
  <c r="A1864" i="12"/>
  <c r="B1864" i="12"/>
  <c r="C1864" i="12"/>
  <c r="A1863" i="12"/>
  <c r="B1863" i="12"/>
  <c r="C1863" i="12"/>
  <c r="A1862" i="12"/>
  <c r="B1862" i="12"/>
  <c r="C1862" i="12"/>
  <c r="A1861" i="12"/>
  <c r="B1861" i="12"/>
  <c r="C1861" i="12"/>
  <c r="A1860" i="12"/>
  <c r="B1860" i="12"/>
  <c r="C1860" i="12"/>
  <c r="A1859" i="12"/>
  <c r="B1859" i="12"/>
  <c r="C1859" i="12"/>
  <c r="A1858" i="12"/>
  <c r="B1858" i="12"/>
  <c r="C1858" i="12"/>
  <c r="A1857" i="12"/>
  <c r="B1857" i="12"/>
  <c r="C1857" i="12"/>
  <c r="A1856" i="12"/>
  <c r="B1856" i="12"/>
  <c r="C1856" i="12"/>
  <c r="A1855" i="12"/>
  <c r="B1855" i="12"/>
  <c r="C1855" i="12"/>
  <c r="A1854" i="12"/>
  <c r="B1854" i="12"/>
  <c r="C1854" i="12"/>
  <c r="A1853" i="12"/>
  <c r="B1853" i="12"/>
  <c r="C1853" i="12"/>
  <c r="A1852" i="12"/>
  <c r="B1852" i="12"/>
  <c r="C1852" i="12"/>
  <c r="A1851" i="12"/>
  <c r="B1851" i="12"/>
  <c r="C1851" i="12"/>
  <c r="A1850" i="12"/>
  <c r="B1850" i="12"/>
  <c r="C1850" i="12"/>
  <c r="A1849" i="12"/>
  <c r="B1849" i="12"/>
  <c r="C1849" i="12"/>
  <c r="A1848" i="12"/>
  <c r="B1848" i="12"/>
  <c r="C1848" i="12"/>
  <c r="A1847" i="12"/>
  <c r="B1847" i="12"/>
  <c r="C1847" i="12"/>
  <c r="A1846" i="12"/>
  <c r="B1846" i="12"/>
  <c r="C1846" i="12"/>
  <c r="A1845" i="12"/>
  <c r="B1845" i="12"/>
  <c r="C1845" i="12"/>
  <c r="A1844" i="12"/>
  <c r="B1844" i="12"/>
  <c r="C1844" i="12"/>
  <c r="A1843" i="12"/>
  <c r="B1843" i="12"/>
  <c r="C1843" i="12"/>
  <c r="A1842" i="12"/>
  <c r="B1842" i="12"/>
  <c r="C1842" i="12"/>
  <c r="A1841" i="12"/>
  <c r="B1841" i="12"/>
  <c r="C1841" i="12"/>
  <c r="A1840" i="12"/>
  <c r="B1840" i="12"/>
  <c r="C1840" i="12"/>
  <c r="A1839" i="12"/>
  <c r="B1839" i="12"/>
  <c r="C1839" i="12"/>
  <c r="A1838" i="12"/>
  <c r="B1838" i="12"/>
  <c r="C1838" i="12"/>
  <c r="A1837" i="12"/>
  <c r="B1837" i="12"/>
  <c r="C1837" i="12"/>
  <c r="A1836" i="12"/>
  <c r="B1836" i="12"/>
  <c r="C1836" i="12"/>
  <c r="A1835" i="12"/>
  <c r="B1835" i="12"/>
  <c r="C1835" i="12"/>
  <c r="A1834" i="12"/>
  <c r="B1834" i="12"/>
  <c r="C1834" i="12"/>
  <c r="A1833" i="12"/>
  <c r="B1833" i="12"/>
  <c r="C1833" i="12"/>
  <c r="A1832" i="12"/>
  <c r="B1832" i="12"/>
  <c r="C1832" i="12"/>
  <c r="A1831" i="12"/>
  <c r="B1831" i="12"/>
  <c r="C1831" i="12"/>
  <c r="A1830" i="12"/>
  <c r="B1830" i="12"/>
  <c r="C1830" i="12"/>
  <c r="A1829" i="12"/>
  <c r="B1829" i="12"/>
  <c r="C1829" i="12"/>
  <c r="A1828" i="12"/>
  <c r="B1828" i="12"/>
  <c r="C1828" i="12"/>
  <c r="A1827" i="12"/>
  <c r="B1827" i="12"/>
  <c r="C1827" i="12"/>
  <c r="A1826" i="12"/>
  <c r="B1826" i="12"/>
  <c r="C1826" i="12"/>
  <c r="A1825" i="12"/>
  <c r="B1825" i="12"/>
  <c r="C1825" i="12"/>
  <c r="A1824" i="12"/>
  <c r="B1824" i="12"/>
  <c r="C1824" i="12"/>
  <c r="A1823" i="12"/>
  <c r="B1823" i="12"/>
  <c r="C1823" i="12"/>
  <c r="A1822" i="12"/>
  <c r="B1822" i="12"/>
  <c r="C1822" i="12"/>
  <c r="A1821" i="12"/>
  <c r="B1821" i="12"/>
  <c r="C1821" i="12"/>
  <c r="A1820" i="12"/>
  <c r="B1820" i="12"/>
  <c r="C1820" i="12"/>
  <c r="A1819" i="12"/>
  <c r="B1819" i="12"/>
  <c r="C1819" i="12"/>
  <c r="A1818" i="12"/>
  <c r="B1818" i="12"/>
  <c r="C1818" i="12"/>
  <c r="A1817" i="12"/>
  <c r="B1817" i="12"/>
  <c r="C1817" i="12"/>
  <c r="A1816" i="12"/>
  <c r="B1816" i="12"/>
  <c r="C1816" i="12"/>
  <c r="A1815" i="12"/>
  <c r="B1815" i="12"/>
  <c r="C1815" i="12"/>
  <c r="A1814" i="12"/>
  <c r="B1814" i="12"/>
  <c r="C1814" i="12"/>
  <c r="A1813" i="12"/>
  <c r="B1813" i="12"/>
  <c r="C1813" i="12"/>
  <c r="A1812" i="12"/>
  <c r="B1812" i="12"/>
  <c r="C1812" i="12"/>
  <c r="A1811" i="12"/>
  <c r="B1811" i="12"/>
  <c r="C1811" i="12"/>
  <c r="A1810" i="12"/>
  <c r="B1810" i="12"/>
  <c r="C1810" i="12"/>
  <c r="A1809" i="12"/>
  <c r="B1809" i="12"/>
  <c r="C1809" i="12"/>
  <c r="A1808" i="12"/>
  <c r="B1808" i="12"/>
  <c r="C1808" i="12"/>
  <c r="A1807" i="12"/>
  <c r="B1807" i="12"/>
  <c r="C1807" i="12"/>
  <c r="A1806" i="12"/>
  <c r="B1806" i="12"/>
  <c r="C1806" i="12"/>
  <c r="A1805" i="12"/>
  <c r="B1805" i="12"/>
  <c r="C1805" i="12"/>
  <c r="A1804" i="12"/>
  <c r="B1804" i="12"/>
  <c r="C1804" i="12"/>
  <c r="A1803" i="12"/>
  <c r="B1803" i="12"/>
  <c r="C1803" i="12"/>
  <c r="A1802" i="12"/>
  <c r="B1802" i="12"/>
  <c r="C1802" i="12"/>
  <c r="A1801" i="12"/>
  <c r="B1801" i="12"/>
  <c r="C1801" i="12"/>
  <c r="A1800" i="12"/>
  <c r="B1800" i="12"/>
  <c r="C1800" i="12"/>
  <c r="A1799" i="12"/>
  <c r="B1799" i="12"/>
  <c r="C1799" i="12"/>
  <c r="A1798" i="12"/>
  <c r="B1798" i="12"/>
  <c r="C1798" i="12"/>
  <c r="A1797" i="12"/>
  <c r="B1797" i="12"/>
  <c r="C1797" i="12"/>
  <c r="A1796" i="12"/>
  <c r="B1796" i="12"/>
  <c r="C1796" i="12"/>
  <c r="A1795" i="12"/>
  <c r="B1795" i="12"/>
  <c r="C1795" i="12"/>
  <c r="A1794" i="12"/>
  <c r="B1794" i="12"/>
  <c r="C1794" i="12"/>
  <c r="A1793" i="12"/>
  <c r="B1793" i="12"/>
  <c r="C1793" i="12"/>
  <c r="A1792" i="12"/>
  <c r="B1792" i="12"/>
  <c r="C1792" i="12"/>
  <c r="A1791" i="12"/>
  <c r="B1791" i="12"/>
  <c r="C1791" i="12"/>
  <c r="A1790" i="12"/>
  <c r="B1790" i="12"/>
  <c r="C1790" i="12"/>
  <c r="A1789" i="12"/>
  <c r="B1789" i="12"/>
  <c r="C1789" i="12"/>
  <c r="A1788" i="12"/>
  <c r="B1788" i="12"/>
  <c r="C1788" i="12"/>
  <c r="A1787" i="12"/>
  <c r="B1787" i="12"/>
  <c r="C1787" i="12"/>
  <c r="A1786" i="12"/>
  <c r="B1786" i="12"/>
  <c r="C1786" i="12"/>
  <c r="A1785" i="12"/>
  <c r="B1785" i="12"/>
  <c r="C1785" i="12"/>
  <c r="A1784" i="12"/>
  <c r="B1784" i="12"/>
  <c r="C1784" i="12"/>
  <c r="A1783" i="12"/>
  <c r="B1783" i="12"/>
  <c r="C1783" i="12"/>
  <c r="A1782" i="12"/>
  <c r="B1782" i="12"/>
  <c r="C1782" i="12"/>
  <c r="A1781" i="12"/>
  <c r="B1781" i="12"/>
  <c r="C1781" i="12"/>
  <c r="A1780" i="12"/>
  <c r="B1780" i="12"/>
  <c r="C1780" i="12"/>
  <c r="A1779" i="12"/>
  <c r="B1779" i="12"/>
  <c r="C1779" i="12"/>
  <c r="A1778" i="12"/>
  <c r="B1778" i="12"/>
  <c r="C1778" i="12"/>
  <c r="A1777" i="12"/>
  <c r="B1777" i="12"/>
  <c r="C1777" i="12"/>
  <c r="A1776" i="12"/>
  <c r="B1776" i="12"/>
  <c r="C1776" i="12"/>
  <c r="A1775" i="12"/>
  <c r="B1775" i="12"/>
  <c r="C1775" i="12"/>
  <c r="A1774" i="12"/>
  <c r="B1774" i="12"/>
  <c r="C1774" i="12"/>
  <c r="A1773" i="12"/>
  <c r="B1773" i="12"/>
  <c r="C1773" i="12"/>
  <c r="A1772" i="12"/>
  <c r="B1772" i="12"/>
  <c r="C1772" i="12"/>
  <c r="A1771" i="12"/>
  <c r="B1771" i="12"/>
  <c r="C1771" i="12"/>
  <c r="A1770" i="12"/>
  <c r="B1770" i="12"/>
  <c r="C1770" i="12"/>
  <c r="A1769" i="12"/>
  <c r="B1769" i="12"/>
  <c r="C1769" i="12"/>
  <c r="A1768" i="12"/>
  <c r="B1768" i="12"/>
  <c r="C1768" i="12"/>
  <c r="A1767" i="12"/>
  <c r="B1767" i="12"/>
  <c r="C1767" i="12"/>
  <c r="A1766" i="12"/>
  <c r="B1766" i="12"/>
  <c r="C1766" i="12"/>
  <c r="A1765" i="12"/>
  <c r="B1765" i="12"/>
  <c r="C1765" i="12"/>
  <c r="A1764" i="12"/>
  <c r="B1764" i="12"/>
  <c r="C1764" i="12"/>
  <c r="A1763" i="12"/>
  <c r="B1763" i="12"/>
  <c r="C1763" i="12"/>
  <c r="A1762" i="12"/>
  <c r="B1762" i="12"/>
  <c r="C1762" i="12"/>
  <c r="A1761" i="12"/>
  <c r="B1761" i="12"/>
  <c r="C1761" i="12"/>
  <c r="A1760" i="12"/>
  <c r="B1760" i="12"/>
  <c r="C1760" i="12"/>
  <c r="A1759" i="12"/>
  <c r="B1759" i="12"/>
  <c r="C1759" i="12"/>
  <c r="A1758" i="12"/>
  <c r="B1758" i="12"/>
  <c r="C1758" i="12"/>
  <c r="A1757" i="12"/>
  <c r="B1757" i="12"/>
  <c r="C1757" i="12"/>
  <c r="A1756" i="12"/>
  <c r="B1756" i="12"/>
  <c r="C1756" i="12"/>
  <c r="A1755" i="12"/>
  <c r="B1755" i="12"/>
  <c r="C1755" i="12"/>
  <c r="A1754" i="12"/>
  <c r="B1754" i="12"/>
  <c r="C1754" i="12"/>
  <c r="A1753" i="12"/>
  <c r="B1753" i="12"/>
  <c r="C1753" i="12"/>
  <c r="A1752" i="12"/>
  <c r="B1752" i="12"/>
  <c r="C1752" i="12"/>
  <c r="A1751" i="12"/>
  <c r="B1751" i="12"/>
  <c r="C1751" i="12"/>
  <c r="A1750" i="12"/>
  <c r="B1750" i="12"/>
  <c r="C1750" i="12"/>
  <c r="A1749" i="12"/>
  <c r="B1749" i="12"/>
  <c r="C1749" i="12"/>
  <c r="A1748" i="12"/>
  <c r="B1748" i="12"/>
  <c r="C1748" i="12"/>
  <c r="A1747" i="12"/>
  <c r="B1747" i="12"/>
  <c r="C1747" i="12"/>
  <c r="A1746" i="12"/>
  <c r="B1746" i="12"/>
  <c r="C1746" i="12"/>
  <c r="A1745" i="12"/>
  <c r="B1745" i="12"/>
  <c r="C1745" i="12"/>
  <c r="A1744" i="12"/>
  <c r="B1744" i="12"/>
  <c r="C1744" i="12"/>
  <c r="A1743" i="12"/>
  <c r="B1743" i="12"/>
  <c r="C1743" i="12"/>
  <c r="A1742" i="12"/>
  <c r="B1742" i="12"/>
  <c r="C1742" i="12"/>
  <c r="A1741" i="12"/>
  <c r="B1741" i="12"/>
  <c r="C1741" i="12"/>
  <c r="A1740" i="12"/>
  <c r="B1740" i="12"/>
  <c r="C1740" i="12"/>
  <c r="A1739" i="12"/>
  <c r="B1739" i="12"/>
  <c r="C1739" i="12"/>
  <c r="A1738" i="12"/>
  <c r="B1738" i="12"/>
  <c r="C1738" i="12"/>
  <c r="A1737" i="12"/>
  <c r="B1737" i="12"/>
  <c r="C1737" i="12"/>
  <c r="A1736" i="12"/>
  <c r="B1736" i="12"/>
  <c r="C1736" i="12"/>
  <c r="A1735" i="12"/>
  <c r="B1735" i="12"/>
  <c r="C1735" i="12"/>
  <c r="A1734" i="12"/>
  <c r="B1734" i="12"/>
  <c r="C1734" i="12"/>
  <c r="A1733" i="12"/>
  <c r="B1733" i="12"/>
  <c r="C1733" i="12"/>
  <c r="A1732" i="12"/>
  <c r="B1732" i="12"/>
  <c r="C1732" i="12"/>
  <c r="A1731" i="12"/>
  <c r="B1731" i="12"/>
  <c r="C1731" i="12"/>
  <c r="A1730" i="12"/>
  <c r="B1730" i="12"/>
  <c r="C1730" i="12"/>
  <c r="A1729" i="12"/>
  <c r="B1729" i="12"/>
  <c r="C1729" i="12"/>
  <c r="A1728" i="12"/>
  <c r="B1728" i="12"/>
  <c r="C1728" i="12"/>
  <c r="A1727" i="12"/>
  <c r="B1727" i="12"/>
  <c r="C1727" i="12"/>
  <c r="A1726" i="12"/>
  <c r="B1726" i="12"/>
  <c r="C1726" i="12"/>
  <c r="A1725" i="12"/>
  <c r="B1725" i="12"/>
  <c r="C1725" i="12"/>
  <c r="A1724" i="12"/>
  <c r="B1724" i="12"/>
  <c r="C1724" i="12"/>
  <c r="A1723" i="12"/>
  <c r="B1723" i="12"/>
  <c r="C1723" i="12"/>
  <c r="A1722" i="12"/>
  <c r="B1722" i="12"/>
  <c r="C1722" i="12"/>
  <c r="A1721" i="12"/>
  <c r="B1721" i="12"/>
  <c r="C1721" i="12"/>
  <c r="A1720" i="12"/>
  <c r="B1720" i="12"/>
  <c r="C1720" i="12"/>
  <c r="A1719" i="12"/>
  <c r="B1719" i="12"/>
  <c r="C1719" i="12"/>
  <c r="A1718" i="12"/>
  <c r="B1718" i="12"/>
  <c r="C1718" i="12"/>
  <c r="A1717" i="12"/>
  <c r="B1717" i="12"/>
  <c r="C1717" i="12"/>
  <c r="A1716" i="12"/>
  <c r="B1716" i="12"/>
  <c r="C1716" i="12"/>
  <c r="A1715" i="12"/>
  <c r="B1715" i="12"/>
  <c r="C1715" i="12"/>
  <c r="A1714" i="12"/>
  <c r="B1714" i="12"/>
  <c r="C1714" i="12"/>
  <c r="A1713" i="12"/>
  <c r="B1713" i="12"/>
  <c r="C1713" i="12"/>
  <c r="A1712" i="12"/>
  <c r="B1712" i="12"/>
  <c r="C1712" i="12"/>
  <c r="A1711" i="12"/>
  <c r="B1711" i="12"/>
  <c r="C1711" i="12"/>
  <c r="A1710" i="12"/>
  <c r="B1710" i="12"/>
  <c r="C1710" i="12"/>
  <c r="A1709" i="12"/>
  <c r="B1709" i="12"/>
  <c r="C1709" i="12"/>
  <c r="A1708" i="12"/>
  <c r="B1708" i="12"/>
  <c r="C1708" i="12"/>
  <c r="A1707" i="12"/>
  <c r="B1707" i="12"/>
  <c r="C1707" i="12"/>
  <c r="A1706" i="12"/>
  <c r="B1706" i="12"/>
  <c r="C1706" i="12"/>
  <c r="A1705" i="12"/>
  <c r="B1705" i="12"/>
  <c r="C1705" i="12"/>
  <c r="A1704" i="12"/>
  <c r="B1704" i="12"/>
  <c r="C1704" i="12"/>
  <c r="A1703" i="12"/>
  <c r="B1703" i="12"/>
  <c r="C1703" i="12"/>
  <c r="A1702" i="12"/>
  <c r="B1702" i="12"/>
  <c r="C1702" i="12"/>
  <c r="A1701" i="12"/>
  <c r="B1701" i="12"/>
  <c r="C1701" i="12"/>
  <c r="A1700" i="12"/>
  <c r="B1700" i="12"/>
  <c r="C1700" i="12"/>
  <c r="A1699" i="12"/>
  <c r="B1699" i="12"/>
  <c r="C1699" i="12"/>
  <c r="A1698" i="12"/>
  <c r="B1698" i="12"/>
  <c r="C1698" i="12"/>
  <c r="A1697" i="12"/>
  <c r="B1697" i="12"/>
  <c r="C1697" i="12"/>
  <c r="A1696" i="12"/>
  <c r="B1696" i="12"/>
  <c r="C1696" i="12"/>
  <c r="A1695" i="12"/>
  <c r="B1695" i="12"/>
  <c r="C1695" i="12"/>
  <c r="A1694" i="12"/>
  <c r="B1694" i="12"/>
  <c r="C1694" i="12"/>
  <c r="A1693" i="12"/>
  <c r="B1693" i="12"/>
  <c r="C1693" i="12"/>
  <c r="A1692" i="12"/>
  <c r="B1692" i="12"/>
  <c r="C1692" i="12"/>
  <c r="A1691" i="12"/>
  <c r="B1691" i="12"/>
  <c r="C1691" i="12"/>
  <c r="A1690" i="12"/>
  <c r="B1690" i="12"/>
  <c r="C1690" i="12"/>
  <c r="A1689" i="12"/>
  <c r="B1689" i="12"/>
  <c r="C1689" i="12"/>
  <c r="A1688" i="12"/>
  <c r="B1688" i="12"/>
  <c r="C1688" i="12"/>
  <c r="A1687" i="12"/>
  <c r="B1687" i="12"/>
  <c r="C1687" i="12"/>
  <c r="A1686" i="12"/>
  <c r="B1686" i="12"/>
  <c r="C1686" i="12"/>
  <c r="A1685" i="12"/>
  <c r="B1685" i="12"/>
  <c r="C1685" i="12"/>
  <c r="A1684" i="12"/>
  <c r="B1684" i="12"/>
  <c r="C1684" i="12"/>
  <c r="A1683" i="12"/>
  <c r="B1683" i="12"/>
  <c r="C1683" i="12"/>
  <c r="A1682" i="12"/>
  <c r="B1682" i="12"/>
  <c r="C1682" i="12"/>
  <c r="A1681" i="12"/>
  <c r="B1681" i="12"/>
  <c r="C1681" i="12"/>
  <c r="A1680" i="12"/>
  <c r="B1680" i="12"/>
  <c r="C1680" i="12"/>
  <c r="A1679" i="12"/>
  <c r="B1679" i="12"/>
  <c r="C1679" i="12"/>
  <c r="A1678" i="12"/>
  <c r="B1678" i="12"/>
  <c r="C1678" i="12"/>
  <c r="A1677" i="12"/>
  <c r="B1677" i="12"/>
  <c r="C1677" i="12"/>
  <c r="A1676" i="12"/>
  <c r="B1676" i="12"/>
  <c r="C1676" i="12"/>
  <c r="A1675" i="12"/>
  <c r="B1675" i="12"/>
  <c r="C1675" i="12"/>
  <c r="A1674" i="12"/>
  <c r="B1674" i="12"/>
  <c r="C1674" i="12"/>
  <c r="A1673" i="12"/>
  <c r="B1673" i="12"/>
  <c r="C1673" i="12"/>
  <c r="A1672" i="12"/>
  <c r="B1672" i="12"/>
  <c r="C1672" i="12"/>
  <c r="A1671" i="12"/>
  <c r="B1671" i="12"/>
  <c r="C1671" i="12"/>
  <c r="A1670" i="12"/>
  <c r="B1670" i="12"/>
  <c r="C1670" i="12"/>
  <c r="A1669" i="12"/>
  <c r="B1669" i="12"/>
  <c r="C1669" i="12"/>
  <c r="A1668" i="12"/>
  <c r="B1668" i="12"/>
  <c r="C1668" i="12"/>
  <c r="A1667" i="12"/>
  <c r="B1667" i="12"/>
  <c r="C1667" i="12"/>
  <c r="A1666" i="12"/>
  <c r="B1666" i="12"/>
  <c r="C1666" i="12"/>
  <c r="A1665" i="12"/>
  <c r="B1665" i="12"/>
  <c r="C1665" i="12"/>
  <c r="A1664" i="12"/>
  <c r="B1664" i="12"/>
  <c r="C1664" i="12"/>
  <c r="A1663" i="12"/>
  <c r="B1663" i="12"/>
  <c r="C1663" i="12"/>
  <c r="A1662" i="12"/>
  <c r="B1662" i="12"/>
  <c r="C1662" i="12"/>
  <c r="A1661" i="12"/>
  <c r="B1661" i="12"/>
  <c r="C1661" i="12"/>
  <c r="A1660" i="12"/>
  <c r="B1660" i="12"/>
  <c r="C1660" i="12"/>
  <c r="A1659" i="12"/>
  <c r="B1659" i="12"/>
  <c r="C1659" i="12"/>
  <c r="A1658" i="12"/>
  <c r="B1658" i="12"/>
  <c r="C1658" i="12"/>
  <c r="A1657" i="12"/>
  <c r="B1657" i="12"/>
  <c r="C1657" i="12"/>
  <c r="A1656" i="12"/>
  <c r="B1656" i="12"/>
  <c r="C1656" i="12"/>
  <c r="A1655" i="12"/>
  <c r="B1655" i="12"/>
  <c r="C1655" i="12"/>
  <c r="A1654" i="12"/>
  <c r="B1654" i="12"/>
  <c r="C1654" i="12"/>
  <c r="A1653" i="12"/>
  <c r="B1653" i="12"/>
  <c r="C1653" i="12"/>
  <c r="A1652" i="12"/>
  <c r="B1652" i="12"/>
  <c r="C1652" i="12"/>
  <c r="A1651" i="12"/>
  <c r="B1651" i="12"/>
  <c r="C1651" i="12"/>
  <c r="A1650" i="12"/>
  <c r="B1650" i="12"/>
  <c r="C1650" i="12"/>
  <c r="A1649" i="12"/>
  <c r="B1649" i="12"/>
  <c r="C1649" i="12"/>
  <c r="A1648" i="12"/>
  <c r="B1648" i="12"/>
  <c r="C1648" i="12"/>
  <c r="A1647" i="12"/>
  <c r="B1647" i="12"/>
  <c r="C1647" i="12"/>
  <c r="A1646" i="12"/>
  <c r="B1646" i="12"/>
  <c r="C1646" i="12"/>
  <c r="A1645" i="12"/>
  <c r="B1645" i="12"/>
  <c r="C1645" i="12"/>
  <c r="A1644" i="12"/>
  <c r="B1644" i="12"/>
  <c r="C1644" i="12"/>
  <c r="A1643" i="12"/>
  <c r="B1643" i="12"/>
  <c r="C1643" i="12"/>
  <c r="A1642" i="12"/>
  <c r="B1642" i="12"/>
  <c r="C1642" i="12"/>
  <c r="A1641" i="12"/>
  <c r="B1641" i="12"/>
  <c r="C1641" i="12"/>
  <c r="A1640" i="12"/>
  <c r="B1640" i="12"/>
  <c r="C1640" i="12"/>
  <c r="A1639" i="12"/>
  <c r="B1639" i="12"/>
  <c r="C1639" i="12"/>
  <c r="A1638" i="12"/>
  <c r="B1638" i="12"/>
  <c r="C1638" i="12"/>
  <c r="A1637" i="12"/>
  <c r="B1637" i="12"/>
  <c r="C1637" i="12"/>
  <c r="A1636" i="12"/>
  <c r="B1636" i="12"/>
  <c r="C1636" i="12"/>
  <c r="A1635" i="12"/>
  <c r="B1635" i="12"/>
  <c r="C1635" i="12"/>
  <c r="A1634" i="12"/>
  <c r="B1634" i="12"/>
  <c r="C1634" i="12"/>
  <c r="A1633" i="12"/>
  <c r="B1633" i="12"/>
  <c r="C1633" i="12"/>
  <c r="A1632" i="12"/>
  <c r="B1632" i="12"/>
  <c r="C1632" i="12"/>
  <c r="A1631" i="12"/>
  <c r="B1631" i="12"/>
  <c r="C1631" i="12"/>
  <c r="A1630" i="12"/>
  <c r="B1630" i="12"/>
  <c r="C1630" i="12"/>
  <c r="A1629" i="12"/>
  <c r="B1629" i="12"/>
  <c r="C1629" i="12"/>
  <c r="A1628" i="12"/>
  <c r="B1628" i="12"/>
  <c r="C1628" i="12"/>
  <c r="A1627" i="12"/>
  <c r="B1627" i="12"/>
  <c r="C1627" i="12"/>
  <c r="A1626" i="12"/>
  <c r="B1626" i="12"/>
  <c r="C1626" i="12"/>
  <c r="A1625" i="12"/>
  <c r="B1625" i="12"/>
  <c r="C1625" i="12"/>
  <c r="A1624" i="12"/>
  <c r="B1624" i="12"/>
  <c r="C1624" i="12"/>
  <c r="A1623" i="12"/>
  <c r="B1623" i="12"/>
  <c r="C1623" i="12"/>
  <c r="A1622" i="12"/>
  <c r="B1622" i="12"/>
  <c r="C1622" i="12"/>
  <c r="A1621" i="12"/>
  <c r="B1621" i="12"/>
  <c r="C1621" i="12"/>
  <c r="A1620" i="12"/>
  <c r="B1620" i="12"/>
  <c r="C1620" i="12"/>
  <c r="A1619" i="12"/>
  <c r="B1619" i="12"/>
  <c r="C1619" i="12"/>
  <c r="A1618" i="12"/>
  <c r="B1618" i="12"/>
  <c r="C1618" i="12"/>
  <c r="A1617" i="12"/>
  <c r="B1617" i="12"/>
  <c r="C1617" i="12"/>
  <c r="A1616" i="12"/>
  <c r="B1616" i="12"/>
  <c r="C1616" i="12"/>
  <c r="A1615" i="12"/>
  <c r="B1615" i="12"/>
  <c r="C1615" i="12"/>
  <c r="A1614" i="12"/>
  <c r="B1614" i="12"/>
  <c r="C1614" i="12"/>
  <c r="A1613" i="12"/>
  <c r="B1613" i="12"/>
  <c r="C1613" i="12"/>
  <c r="A1612" i="12"/>
  <c r="B1612" i="12"/>
  <c r="C1612" i="12"/>
  <c r="A1611" i="12"/>
  <c r="B1611" i="12"/>
  <c r="C1611" i="12"/>
  <c r="A1610" i="12"/>
  <c r="B1610" i="12"/>
  <c r="C1610" i="12"/>
  <c r="A1609" i="12"/>
  <c r="B1609" i="12"/>
  <c r="C1609" i="12"/>
  <c r="A1608" i="12"/>
  <c r="B1608" i="12"/>
  <c r="C1608" i="12"/>
  <c r="A1607" i="12"/>
  <c r="B1607" i="12"/>
  <c r="C1607" i="12"/>
  <c r="A1606" i="12"/>
  <c r="B1606" i="12"/>
  <c r="C1606" i="12"/>
  <c r="A1605" i="12"/>
  <c r="B1605" i="12"/>
  <c r="C1605" i="12"/>
  <c r="A1604" i="12"/>
  <c r="B1604" i="12"/>
  <c r="C1604" i="12"/>
  <c r="A1603" i="12"/>
  <c r="B1603" i="12"/>
  <c r="C1603" i="12"/>
  <c r="A1602" i="12"/>
  <c r="B1602" i="12"/>
  <c r="C1602" i="12"/>
  <c r="A1601" i="12"/>
  <c r="B1601" i="12"/>
  <c r="C1601" i="12"/>
  <c r="A1600" i="12"/>
  <c r="B1600" i="12"/>
  <c r="C1600" i="12"/>
  <c r="A1599" i="12"/>
  <c r="B1599" i="12"/>
  <c r="C1599" i="12"/>
  <c r="A1598" i="12"/>
  <c r="B1598" i="12"/>
  <c r="C1598" i="12"/>
  <c r="A1597" i="12"/>
  <c r="B1597" i="12"/>
  <c r="C1597" i="12"/>
  <c r="A1596" i="12"/>
  <c r="B1596" i="12"/>
  <c r="C1596" i="12"/>
  <c r="A1595" i="12"/>
  <c r="B1595" i="12"/>
  <c r="C1595" i="12"/>
  <c r="A1594" i="12"/>
  <c r="B1594" i="12"/>
  <c r="C1594" i="12"/>
  <c r="A1593" i="12"/>
  <c r="B1593" i="12"/>
  <c r="C1593" i="12"/>
  <c r="A1592" i="12"/>
  <c r="B1592" i="12"/>
  <c r="C1592" i="12"/>
  <c r="A1591" i="12"/>
  <c r="B1591" i="12"/>
  <c r="C1591" i="12"/>
  <c r="A1590" i="12"/>
  <c r="B1590" i="12"/>
  <c r="C1590" i="12"/>
  <c r="A1589" i="12"/>
  <c r="B1589" i="12"/>
  <c r="C1589" i="12"/>
  <c r="A1588" i="12"/>
  <c r="B1588" i="12"/>
  <c r="C1588" i="12"/>
  <c r="A1587" i="12"/>
  <c r="B1587" i="12"/>
  <c r="C1587" i="12"/>
  <c r="A1586" i="12"/>
  <c r="B1586" i="12"/>
  <c r="C1586" i="12"/>
  <c r="A1585" i="12"/>
  <c r="B1585" i="12"/>
  <c r="C1585" i="12"/>
  <c r="A1584" i="12"/>
  <c r="B1584" i="12"/>
  <c r="C1584" i="12"/>
  <c r="A1583" i="12"/>
  <c r="B1583" i="12"/>
  <c r="C1583" i="12"/>
  <c r="A1582" i="12"/>
  <c r="B1582" i="12"/>
  <c r="C1582" i="12"/>
  <c r="A1581" i="12"/>
  <c r="B1581" i="12"/>
  <c r="C1581" i="12"/>
  <c r="A1580" i="12"/>
  <c r="B1580" i="12"/>
  <c r="C1580" i="12"/>
  <c r="A1579" i="12"/>
  <c r="B1579" i="12"/>
  <c r="C1579" i="12"/>
  <c r="A1578" i="12"/>
  <c r="B1578" i="12"/>
  <c r="C1578" i="12"/>
  <c r="A1577" i="12"/>
  <c r="B1577" i="12"/>
  <c r="C1577" i="12"/>
  <c r="A1576" i="12"/>
  <c r="B1576" i="12"/>
  <c r="C1576" i="12"/>
  <c r="A1575" i="12"/>
  <c r="B1575" i="12"/>
  <c r="C1575" i="12"/>
  <c r="A1574" i="12"/>
  <c r="B1574" i="12"/>
  <c r="C1574" i="12"/>
  <c r="A1573" i="12"/>
  <c r="B1573" i="12"/>
  <c r="C1573" i="12"/>
  <c r="A1572" i="12"/>
  <c r="B1572" i="12"/>
  <c r="C1572" i="12"/>
  <c r="A1571" i="12"/>
  <c r="B1571" i="12"/>
  <c r="C1571" i="12"/>
  <c r="A1570" i="12"/>
  <c r="B1570" i="12"/>
  <c r="C1570" i="12"/>
  <c r="A1569" i="12"/>
  <c r="B1569" i="12"/>
  <c r="C1569" i="12"/>
  <c r="A1568" i="12"/>
  <c r="B1568" i="12"/>
  <c r="C1568" i="12"/>
  <c r="A1567" i="12"/>
  <c r="B1567" i="12"/>
  <c r="C1567" i="12"/>
  <c r="A1566" i="12"/>
  <c r="B1566" i="12"/>
  <c r="C1566" i="12"/>
  <c r="A1565" i="12"/>
  <c r="B1565" i="12"/>
  <c r="C1565" i="12"/>
  <c r="A1564" i="12"/>
  <c r="B1564" i="12"/>
  <c r="C1564" i="12"/>
  <c r="A1563" i="12"/>
  <c r="B1563" i="12"/>
  <c r="C1563" i="12"/>
  <c r="A1562" i="12"/>
  <c r="B1562" i="12"/>
  <c r="C1562" i="12"/>
  <c r="A1561" i="12"/>
  <c r="B1561" i="12"/>
  <c r="C1561" i="12"/>
  <c r="A1560" i="12"/>
  <c r="B1560" i="12"/>
  <c r="C1560" i="12"/>
  <c r="A1559" i="12"/>
  <c r="B1559" i="12"/>
  <c r="C1559" i="12"/>
  <c r="A1558" i="12"/>
  <c r="B1558" i="12"/>
  <c r="C1558" i="12"/>
  <c r="A1557" i="12"/>
  <c r="B1557" i="12"/>
  <c r="C1557" i="12"/>
  <c r="A1556" i="12"/>
  <c r="B1556" i="12"/>
  <c r="C1556" i="12"/>
  <c r="A1555" i="12"/>
  <c r="B1555" i="12"/>
  <c r="C1555" i="12"/>
  <c r="A1554" i="12"/>
  <c r="B1554" i="12"/>
  <c r="C1554" i="12"/>
  <c r="A1553" i="12"/>
  <c r="B1553" i="12"/>
  <c r="C1553" i="12"/>
  <c r="A1552" i="12"/>
  <c r="B1552" i="12"/>
  <c r="C1552" i="12"/>
  <c r="A1551" i="12"/>
  <c r="B1551" i="12"/>
  <c r="C1551" i="12"/>
  <c r="A1550" i="12"/>
  <c r="B1550" i="12"/>
  <c r="C1550" i="12"/>
  <c r="A1549" i="12"/>
  <c r="B1549" i="12"/>
  <c r="C1549" i="12"/>
  <c r="A1548" i="12"/>
  <c r="B1548" i="12"/>
  <c r="C1548" i="12"/>
  <c r="A1547" i="12"/>
  <c r="B1547" i="12"/>
  <c r="C1547" i="12"/>
  <c r="A1546" i="12"/>
  <c r="B1546" i="12"/>
  <c r="C1546" i="12"/>
  <c r="A1545" i="12"/>
  <c r="B1545" i="12"/>
  <c r="C1545" i="12"/>
  <c r="A1544" i="12"/>
  <c r="B1544" i="12"/>
  <c r="C1544" i="12"/>
  <c r="A1543" i="12"/>
  <c r="B1543" i="12"/>
  <c r="C1543" i="12"/>
  <c r="A1542" i="12"/>
  <c r="B1542" i="12"/>
  <c r="C1542" i="12"/>
  <c r="A1541" i="12"/>
  <c r="B1541" i="12"/>
  <c r="C1541" i="12"/>
  <c r="A1540" i="12"/>
  <c r="B1540" i="12"/>
  <c r="C1540" i="12"/>
  <c r="A1539" i="12"/>
  <c r="B1539" i="12"/>
  <c r="C1539" i="12"/>
  <c r="A1538" i="12"/>
  <c r="B1538" i="12"/>
  <c r="C1538" i="12"/>
  <c r="A1537" i="12"/>
  <c r="B1537" i="12"/>
  <c r="C1537" i="12"/>
  <c r="A1536" i="12"/>
  <c r="B1536" i="12"/>
  <c r="C1536" i="12"/>
  <c r="A1535" i="12"/>
  <c r="B1535" i="12"/>
  <c r="C1535" i="12"/>
  <c r="A1534" i="12"/>
  <c r="B1534" i="12"/>
  <c r="C1534" i="12"/>
  <c r="A1533" i="12"/>
  <c r="B1533" i="12"/>
  <c r="C1533" i="12"/>
  <c r="A1532" i="12"/>
  <c r="B1532" i="12"/>
  <c r="C1532" i="12"/>
  <c r="A1531" i="12"/>
  <c r="B1531" i="12"/>
  <c r="C1531" i="12"/>
  <c r="A1530" i="12"/>
  <c r="B1530" i="12"/>
  <c r="C1530" i="12"/>
  <c r="A1529" i="12"/>
  <c r="B1529" i="12"/>
  <c r="C1529" i="12"/>
  <c r="A1528" i="12"/>
  <c r="B1528" i="12"/>
  <c r="C1528" i="12"/>
  <c r="A1527" i="12"/>
  <c r="B1527" i="12"/>
  <c r="C1527" i="12"/>
  <c r="A1526" i="12"/>
  <c r="B1526" i="12"/>
  <c r="C1526" i="12"/>
  <c r="A1525" i="12"/>
  <c r="B1525" i="12"/>
  <c r="C1525" i="12"/>
  <c r="A1524" i="12"/>
  <c r="B1524" i="12"/>
  <c r="C1524" i="12"/>
  <c r="A1523" i="12"/>
  <c r="B1523" i="12"/>
  <c r="C1523" i="12"/>
  <c r="A1522" i="12"/>
  <c r="B1522" i="12"/>
  <c r="C1522" i="12"/>
  <c r="A1521" i="12"/>
  <c r="B1521" i="12"/>
  <c r="C1521" i="12"/>
  <c r="A1520" i="12"/>
  <c r="B1520" i="12"/>
  <c r="C1520" i="12"/>
  <c r="A1519" i="12"/>
  <c r="B1519" i="12"/>
  <c r="C1519" i="12"/>
  <c r="A1518" i="12"/>
  <c r="B1518" i="12"/>
  <c r="C1518" i="12"/>
  <c r="A1517" i="12"/>
  <c r="B1517" i="12"/>
  <c r="C1517" i="12"/>
  <c r="A1516" i="12"/>
  <c r="B1516" i="12"/>
  <c r="C1516" i="12"/>
  <c r="A1515" i="12"/>
  <c r="B1515" i="12"/>
  <c r="C1515" i="12"/>
  <c r="A1514" i="12"/>
  <c r="B1514" i="12"/>
  <c r="C1514" i="12"/>
  <c r="A1513" i="12"/>
  <c r="B1513" i="12"/>
  <c r="C1513" i="12"/>
  <c r="A1512" i="12"/>
  <c r="B1512" i="12"/>
  <c r="C1512" i="12"/>
  <c r="A1511" i="12"/>
  <c r="B1511" i="12"/>
  <c r="C1511" i="12"/>
  <c r="A1510" i="12"/>
  <c r="B1510" i="12"/>
  <c r="C1510" i="12"/>
  <c r="A1509" i="12"/>
  <c r="B1509" i="12"/>
  <c r="C1509" i="12"/>
  <c r="A1508" i="12"/>
  <c r="B1508" i="12"/>
  <c r="C1508" i="12"/>
  <c r="A1507" i="12"/>
  <c r="B1507" i="12"/>
  <c r="C1507" i="12"/>
  <c r="A1506" i="12"/>
  <c r="B1506" i="12"/>
  <c r="C1506" i="12"/>
  <c r="A1505" i="12"/>
  <c r="B1505" i="12"/>
  <c r="C1505" i="12"/>
  <c r="A1504" i="12"/>
  <c r="B1504" i="12"/>
  <c r="C1504" i="12"/>
  <c r="A1503" i="12"/>
  <c r="B1503" i="12"/>
  <c r="C1503" i="12"/>
  <c r="A1502" i="12"/>
  <c r="B1502" i="12"/>
  <c r="C1502" i="12"/>
  <c r="A1501" i="12"/>
  <c r="B1501" i="12"/>
  <c r="C1501" i="12"/>
  <c r="A1500" i="12"/>
  <c r="B1500" i="12"/>
  <c r="C1500" i="12"/>
  <c r="A1499" i="12"/>
  <c r="B1499" i="12"/>
  <c r="C1499" i="12"/>
  <c r="A1498" i="12"/>
  <c r="B1498" i="12"/>
  <c r="C1498" i="12"/>
  <c r="A1497" i="12"/>
  <c r="B1497" i="12"/>
  <c r="C1497" i="12"/>
  <c r="A1496" i="12"/>
  <c r="B1496" i="12"/>
  <c r="C1496" i="12"/>
  <c r="A1495" i="12"/>
  <c r="B1495" i="12"/>
  <c r="C1495" i="12"/>
  <c r="A1494" i="12"/>
  <c r="B1494" i="12"/>
  <c r="C1494" i="12"/>
  <c r="A1493" i="12"/>
  <c r="B1493" i="12"/>
  <c r="C1493" i="12"/>
  <c r="A1492" i="12"/>
  <c r="B1492" i="12"/>
  <c r="C1492" i="12"/>
  <c r="A1491" i="12"/>
  <c r="B1491" i="12"/>
  <c r="C1491" i="12"/>
  <c r="A1490" i="12"/>
  <c r="B1490" i="12"/>
  <c r="C1490" i="12"/>
  <c r="A1489" i="12"/>
  <c r="B1489" i="12"/>
  <c r="C1489" i="12"/>
  <c r="A1488" i="12"/>
  <c r="B1488" i="12"/>
  <c r="C1488" i="12"/>
  <c r="A1487" i="12"/>
  <c r="B1487" i="12"/>
  <c r="C1487" i="12"/>
  <c r="A1486" i="12"/>
  <c r="B1486" i="12"/>
  <c r="C1486" i="12"/>
  <c r="A1485" i="12"/>
  <c r="B1485" i="12"/>
  <c r="C1485" i="12"/>
  <c r="A1484" i="12"/>
  <c r="B1484" i="12"/>
  <c r="C1484" i="12"/>
  <c r="A1483" i="12"/>
  <c r="B1483" i="12"/>
  <c r="C1483" i="12"/>
  <c r="A1482" i="12"/>
  <c r="B1482" i="12"/>
  <c r="C1482" i="12"/>
  <c r="A1481" i="12"/>
  <c r="B1481" i="12"/>
  <c r="C1481" i="12"/>
  <c r="A1480" i="12"/>
  <c r="B1480" i="12"/>
  <c r="C1480" i="12"/>
  <c r="A1479" i="12"/>
  <c r="B1479" i="12"/>
  <c r="C1479" i="12"/>
  <c r="A1478" i="12"/>
  <c r="B1478" i="12"/>
  <c r="C1478" i="12"/>
  <c r="A1477" i="12"/>
  <c r="B1477" i="12"/>
  <c r="C1477" i="12"/>
  <c r="A1476" i="12"/>
  <c r="B1476" i="12"/>
  <c r="C1476" i="12"/>
  <c r="A1475" i="12"/>
  <c r="B1475" i="12"/>
  <c r="C1475" i="12"/>
  <c r="A1474" i="12"/>
  <c r="B1474" i="12"/>
  <c r="C1474" i="12"/>
  <c r="A1473" i="12"/>
  <c r="B1473" i="12"/>
  <c r="C1473" i="12"/>
  <c r="A1472" i="12"/>
  <c r="B1472" i="12"/>
  <c r="C1472" i="12"/>
  <c r="A1471" i="12"/>
  <c r="B1471" i="12"/>
  <c r="C1471" i="12"/>
  <c r="A1470" i="12"/>
  <c r="B1470" i="12"/>
  <c r="C1470" i="12"/>
  <c r="A1469" i="12"/>
  <c r="B1469" i="12"/>
  <c r="C1469" i="12"/>
  <c r="A1468" i="12"/>
  <c r="B1468" i="12"/>
  <c r="C1468" i="12"/>
  <c r="A1467" i="12"/>
  <c r="B1467" i="12"/>
  <c r="C1467" i="12"/>
  <c r="A1466" i="12"/>
  <c r="B1466" i="12"/>
  <c r="C1466" i="12"/>
  <c r="A1465" i="12"/>
  <c r="B1465" i="12"/>
  <c r="C1465" i="12"/>
  <c r="A1464" i="12"/>
  <c r="B1464" i="12"/>
  <c r="C1464" i="12"/>
  <c r="A1463" i="12"/>
  <c r="B1463" i="12"/>
  <c r="C1463" i="12"/>
  <c r="A1462" i="12"/>
  <c r="B1462" i="12"/>
  <c r="C1462" i="12"/>
  <c r="A1461" i="12"/>
  <c r="B1461" i="12"/>
  <c r="C1461" i="12"/>
  <c r="A1460" i="12"/>
  <c r="B1460" i="12"/>
  <c r="C1460" i="12"/>
  <c r="A1459" i="12"/>
  <c r="B1459" i="12"/>
  <c r="C1459" i="12"/>
  <c r="A1458" i="12"/>
  <c r="B1458" i="12"/>
  <c r="C1458" i="12"/>
  <c r="A1457" i="12"/>
  <c r="B1457" i="12"/>
  <c r="C1457" i="12"/>
  <c r="A1456" i="12"/>
  <c r="B1456" i="12"/>
  <c r="C1456" i="12"/>
  <c r="A1455" i="12"/>
  <c r="B1455" i="12"/>
  <c r="C1455" i="12"/>
  <c r="A1454" i="12"/>
  <c r="B1454" i="12"/>
  <c r="C1454" i="12"/>
  <c r="A1453" i="12"/>
  <c r="B1453" i="12"/>
  <c r="C1453" i="12"/>
  <c r="A1452" i="12"/>
  <c r="B1452" i="12"/>
  <c r="C1452" i="12"/>
  <c r="A1451" i="12"/>
  <c r="B1451" i="12"/>
  <c r="C1451" i="12"/>
  <c r="A1450" i="12"/>
  <c r="B1450" i="12"/>
  <c r="C1450" i="12"/>
  <c r="A1449" i="12"/>
  <c r="B1449" i="12"/>
  <c r="C1449" i="12"/>
  <c r="A1448" i="12"/>
  <c r="B1448" i="12"/>
  <c r="C1448" i="12"/>
  <c r="A1447" i="12"/>
  <c r="B1447" i="12"/>
  <c r="C1447" i="12"/>
  <c r="A1446" i="12"/>
  <c r="B1446" i="12"/>
  <c r="C1446" i="12"/>
  <c r="A1445" i="12"/>
  <c r="B1445" i="12"/>
  <c r="C1445" i="12"/>
  <c r="A1444" i="12"/>
  <c r="B1444" i="12"/>
  <c r="C1444" i="12"/>
  <c r="A1443" i="12"/>
  <c r="B1443" i="12"/>
  <c r="C1443" i="12"/>
  <c r="A1442" i="12"/>
  <c r="B1442" i="12"/>
  <c r="C1442" i="12"/>
  <c r="A1441" i="12"/>
  <c r="B1441" i="12"/>
  <c r="C1441" i="12"/>
  <c r="A1440" i="12"/>
  <c r="B1440" i="12"/>
  <c r="C1440" i="12"/>
  <c r="A1439" i="12"/>
  <c r="B1439" i="12"/>
  <c r="C1439" i="12"/>
  <c r="A1438" i="12"/>
  <c r="B1438" i="12"/>
  <c r="C1438" i="12"/>
  <c r="A1437" i="12"/>
  <c r="B1437" i="12"/>
  <c r="C1437" i="12"/>
  <c r="A1436" i="12"/>
  <c r="B1436" i="12"/>
  <c r="C1436" i="12"/>
  <c r="A1435" i="12"/>
  <c r="B1435" i="12"/>
  <c r="C1435" i="12"/>
  <c r="A1434" i="12"/>
  <c r="B1434" i="12"/>
  <c r="C1434" i="12"/>
  <c r="A1433" i="12"/>
  <c r="B1433" i="12"/>
  <c r="C1433" i="12"/>
  <c r="A1432" i="12"/>
  <c r="B1432" i="12"/>
  <c r="C1432" i="12"/>
  <c r="A1431" i="12"/>
  <c r="B1431" i="12"/>
  <c r="C1431" i="12"/>
  <c r="A1430" i="12"/>
  <c r="B1430" i="12"/>
  <c r="C1430" i="12"/>
  <c r="A1429" i="12"/>
  <c r="B1429" i="12"/>
  <c r="C1429" i="12"/>
  <c r="A1428" i="12"/>
  <c r="B1428" i="12"/>
  <c r="C1428" i="12"/>
  <c r="A1427" i="12"/>
  <c r="B1427" i="12"/>
  <c r="C1427" i="12"/>
  <c r="A1426" i="12"/>
  <c r="B1426" i="12"/>
  <c r="C1426" i="12"/>
  <c r="A1425" i="12"/>
  <c r="B1425" i="12"/>
  <c r="C1425" i="12"/>
  <c r="A1424" i="12"/>
  <c r="B1424" i="12"/>
  <c r="C1424" i="12"/>
  <c r="A1423" i="12"/>
  <c r="B1423" i="12"/>
  <c r="C1423" i="12"/>
  <c r="A1422" i="12"/>
  <c r="B1422" i="12"/>
  <c r="C1422" i="12"/>
  <c r="A1421" i="12"/>
  <c r="B1421" i="12"/>
  <c r="C1421" i="12"/>
  <c r="A1420" i="12"/>
  <c r="B1420" i="12"/>
  <c r="C1420" i="12"/>
  <c r="A1419" i="12"/>
  <c r="B1419" i="12"/>
  <c r="C1419" i="12"/>
  <c r="A1418" i="12"/>
  <c r="B1418" i="12"/>
  <c r="C1418" i="12"/>
  <c r="A1417" i="12"/>
  <c r="B1417" i="12"/>
  <c r="C1417" i="12"/>
  <c r="A1416" i="12"/>
  <c r="B1416" i="12"/>
  <c r="C1416" i="12"/>
  <c r="A1415" i="12"/>
  <c r="B1415" i="12"/>
  <c r="C1415" i="12"/>
  <c r="A1414" i="12"/>
  <c r="B1414" i="12"/>
  <c r="C1414" i="12"/>
  <c r="A1413" i="12"/>
  <c r="B1413" i="12"/>
  <c r="C1413" i="12"/>
  <c r="A1412" i="12"/>
  <c r="B1412" i="12"/>
  <c r="C1412" i="12"/>
  <c r="A1411" i="12"/>
  <c r="B1411" i="12"/>
  <c r="C1411" i="12"/>
  <c r="A1410" i="12"/>
  <c r="B1410" i="12"/>
  <c r="C1410" i="12"/>
  <c r="A1409" i="12"/>
  <c r="B1409" i="12"/>
  <c r="C1409" i="12"/>
  <c r="A1408" i="12"/>
  <c r="B1408" i="12"/>
  <c r="C1408" i="12"/>
  <c r="A1407" i="12"/>
  <c r="B1407" i="12"/>
  <c r="C1407" i="12"/>
  <c r="A1406" i="12"/>
  <c r="B1406" i="12"/>
  <c r="C1406" i="12"/>
  <c r="A1405" i="12"/>
  <c r="B1405" i="12"/>
  <c r="C1405" i="12"/>
  <c r="A1404" i="12"/>
  <c r="B1404" i="12"/>
  <c r="C1404" i="12"/>
  <c r="A1403" i="12"/>
  <c r="B1403" i="12"/>
  <c r="C1403" i="12"/>
  <c r="A1402" i="12"/>
  <c r="B1402" i="12"/>
  <c r="C1402" i="12"/>
  <c r="A1401" i="12"/>
  <c r="B1401" i="12"/>
  <c r="C1401" i="12"/>
  <c r="A1400" i="12"/>
  <c r="B1400" i="12"/>
  <c r="C1400" i="12"/>
  <c r="A1399" i="12"/>
  <c r="B1399" i="12"/>
  <c r="C1399" i="12"/>
  <c r="A1398" i="12"/>
  <c r="B1398" i="12"/>
  <c r="C1398" i="12"/>
  <c r="A1397" i="12"/>
  <c r="B1397" i="12"/>
  <c r="C1397" i="12"/>
  <c r="A1396" i="12"/>
  <c r="B1396" i="12"/>
  <c r="C1396" i="12"/>
  <c r="A1395" i="12"/>
  <c r="B1395" i="12"/>
  <c r="C1395" i="12"/>
  <c r="A1394" i="12"/>
  <c r="B1394" i="12"/>
  <c r="C1394" i="12"/>
  <c r="A1393" i="12"/>
  <c r="B1393" i="12"/>
  <c r="C1393" i="12"/>
  <c r="A1392" i="12"/>
  <c r="B1392" i="12"/>
  <c r="C1392" i="12"/>
  <c r="A1391" i="12"/>
  <c r="B1391" i="12"/>
  <c r="C1391" i="12"/>
  <c r="A1390" i="12"/>
  <c r="B1390" i="12"/>
  <c r="C1390" i="12"/>
  <c r="A1389" i="12"/>
  <c r="B1389" i="12"/>
  <c r="C1389" i="12"/>
  <c r="A1388" i="12"/>
  <c r="B1388" i="12"/>
  <c r="C1388" i="12"/>
  <c r="A1387" i="12"/>
  <c r="B1387" i="12"/>
  <c r="C1387" i="12"/>
  <c r="A1386" i="12"/>
  <c r="B1386" i="12"/>
  <c r="C1386" i="12"/>
  <c r="A1385" i="12"/>
  <c r="B1385" i="12"/>
  <c r="C1385" i="12"/>
  <c r="A1384" i="12"/>
  <c r="B1384" i="12"/>
  <c r="C1384" i="12"/>
  <c r="A1383" i="12"/>
  <c r="B1383" i="12"/>
  <c r="C1383" i="12"/>
  <c r="A1382" i="12"/>
  <c r="B1382" i="12"/>
  <c r="C1382" i="12"/>
  <c r="A1381" i="12"/>
  <c r="B1381" i="12"/>
  <c r="C1381" i="12"/>
  <c r="A1380" i="12"/>
  <c r="B1380" i="12"/>
  <c r="C1380" i="12"/>
  <c r="A1379" i="12"/>
  <c r="B1379" i="12"/>
  <c r="C1379" i="12"/>
  <c r="A1378" i="12"/>
  <c r="B1378" i="12"/>
  <c r="C1378" i="12"/>
  <c r="A1377" i="12"/>
  <c r="B1377" i="12"/>
  <c r="C1377" i="12"/>
  <c r="A1376" i="12"/>
  <c r="B1376" i="12"/>
  <c r="C1376" i="12"/>
  <c r="A1375" i="12"/>
  <c r="B1375" i="12"/>
  <c r="C1375" i="12"/>
  <c r="A1374" i="12"/>
  <c r="B1374" i="12"/>
  <c r="C1374" i="12"/>
  <c r="A1373" i="12"/>
  <c r="B1373" i="12"/>
  <c r="C1373" i="12"/>
  <c r="A1372" i="12"/>
  <c r="B1372" i="12"/>
  <c r="C1372" i="12"/>
  <c r="A1371" i="12"/>
  <c r="B1371" i="12"/>
  <c r="C1371" i="12"/>
  <c r="A1370" i="12"/>
  <c r="B1370" i="12"/>
  <c r="C1370" i="12"/>
  <c r="A1369" i="12"/>
  <c r="B1369" i="12"/>
  <c r="C1369" i="12"/>
  <c r="A1368" i="12"/>
  <c r="B1368" i="12"/>
  <c r="C1368" i="12"/>
  <c r="A1367" i="12"/>
  <c r="B1367" i="12"/>
  <c r="C1367" i="12"/>
  <c r="A1366" i="12"/>
  <c r="B1366" i="12"/>
  <c r="C1366" i="12"/>
  <c r="A1365" i="12"/>
  <c r="B1365" i="12"/>
  <c r="C1365" i="12"/>
  <c r="A1364" i="12"/>
  <c r="B1364" i="12"/>
  <c r="C1364" i="12"/>
  <c r="A1363" i="12"/>
  <c r="B1363" i="12"/>
  <c r="C1363" i="12"/>
  <c r="A1362" i="12"/>
  <c r="B1362" i="12"/>
  <c r="C1362" i="12"/>
  <c r="A1361" i="12"/>
  <c r="B1361" i="12"/>
  <c r="C1361" i="12"/>
  <c r="A1360" i="12"/>
  <c r="B1360" i="12"/>
  <c r="C1360" i="12"/>
  <c r="A1359" i="12"/>
  <c r="B1359" i="12"/>
  <c r="C1359" i="12"/>
  <c r="A1358" i="12"/>
  <c r="B1358" i="12"/>
  <c r="C1358" i="12"/>
  <c r="A1357" i="12"/>
  <c r="B1357" i="12"/>
  <c r="C1357" i="12"/>
  <c r="A1356" i="12"/>
  <c r="B1356" i="12"/>
  <c r="C1356" i="12"/>
  <c r="A1355" i="12"/>
  <c r="B1355" i="12"/>
  <c r="C1355" i="12"/>
  <c r="A1354" i="12"/>
  <c r="B1354" i="12"/>
  <c r="C1354" i="12"/>
  <c r="A1353" i="12"/>
  <c r="B1353" i="12"/>
  <c r="C1353" i="12"/>
  <c r="A1352" i="12"/>
  <c r="B1352" i="12"/>
  <c r="C1352" i="12"/>
  <c r="A1351" i="12"/>
  <c r="B1351" i="12"/>
  <c r="C1351" i="12"/>
  <c r="A1350" i="12"/>
  <c r="B1350" i="12"/>
  <c r="C1350" i="12"/>
  <c r="A1349" i="12"/>
  <c r="B1349" i="12"/>
  <c r="C1349" i="12"/>
  <c r="A1348" i="12"/>
  <c r="B1348" i="12"/>
  <c r="C1348" i="12"/>
  <c r="A1347" i="12"/>
  <c r="B1347" i="12"/>
  <c r="C1347" i="12"/>
  <c r="A1346" i="12"/>
  <c r="B1346" i="12"/>
  <c r="C1346" i="12"/>
  <c r="A1345" i="12"/>
  <c r="B1345" i="12"/>
  <c r="C1345" i="12"/>
  <c r="A1344" i="12"/>
  <c r="B1344" i="12"/>
  <c r="C1344" i="12"/>
  <c r="A1343" i="12"/>
  <c r="B1343" i="12"/>
  <c r="C1343" i="12"/>
  <c r="A1342" i="12"/>
  <c r="B1342" i="12"/>
  <c r="C1342" i="12"/>
  <c r="A1341" i="12"/>
  <c r="B1341" i="12"/>
  <c r="C1341" i="12"/>
  <c r="A1340" i="12"/>
  <c r="B1340" i="12"/>
  <c r="C1340" i="12"/>
  <c r="A1339" i="12"/>
  <c r="B1339" i="12"/>
  <c r="C1339" i="12"/>
  <c r="A1338" i="12"/>
  <c r="B1338" i="12"/>
  <c r="C1338" i="12"/>
  <c r="A1337" i="12"/>
  <c r="B1337" i="12"/>
  <c r="C1337" i="12"/>
  <c r="A1336" i="12"/>
  <c r="B1336" i="12"/>
  <c r="C1336" i="12"/>
  <c r="A1335" i="12"/>
  <c r="B1335" i="12"/>
  <c r="C1335" i="12"/>
  <c r="A1334" i="12"/>
  <c r="B1334" i="12"/>
  <c r="C1334" i="12"/>
  <c r="A1333" i="12"/>
  <c r="B1333" i="12"/>
  <c r="C1333" i="12"/>
  <c r="A1332" i="12"/>
  <c r="B1332" i="12"/>
  <c r="C1332" i="12"/>
  <c r="A1331" i="12"/>
  <c r="B1331" i="12"/>
  <c r="C1331" i="12"/>
  <c r="A1330" i="12"/>
  <c r="B1330" i="12"/>
  <c r="C1330" i="12"/>
  <c r="A1329" i="12"/>
  <c r="B1329" i="12"/>
  <c r="C1329" i="12"/>
  <c r="A1328" i="12"/>
  <c r="B1328" i="12"/>
  <c r="C1328" i="12"/>
  <c r="A1327" i="12"/>
  <c r="B1327" i="12"/>
  <c r="C1327" i="12"/>
  <c r="A1326" i="12"/>
  <c r="B1326" i="12"/>
  <c r="C1326" i="12"/>
  <c r="A1325" i="12"/>
  <c r="B1325" i="12"/>
  <c r="C1325" i="12"/>
  <c r="A1324" i="12"/>
  <c r="B1324" i="12"/>
  <c r="C1324" i="12"/>
  <c r="A1323" i="12"/>
  <c r="B1323" i="12"/>
  <c r="C1323" i="12"/>
  <c r="A1322" i="12"/>
  <c r="B1322" i="12"/>
  <c r="C1322" i="12"/>
  <c r="A1321" i="12"/>
  <c r="B1321" i="12"/>
  <c r="C1321" i="12"/>
  <c r="A1320" i="12"/>
  <c r="B1320" i="12"/>
  <c r="C1320" i="12"/>
  <c r="A1319" i="12"/>
  <c r="B1319" i="12"/>
  <c r="C1319" i="12"/>
  <c r="A1318" i="12"/>
  <c r="B1318" i="12"/>
  <c r="C1318" i="12"/>
  <c r="A1317" i="12"/>
  <c r="B1317" i="12"/>
  <c r="C1317" i="12"/>
  <c r="A1316" i="12"/>
  <c r="B1316" i="12"/>
  <c r="C1316" i="12"/>
  <c r="A1315" i="12"/>
  <c r="B1315" i="12"/>
  <c r="C1315" i="12"/>
  <c r="A1314" i="12"/>
  <c r="B1314" i="12"/>
  <c r="C1314" i="12"/>
  <c r="A1313" i="12"/>
  <c r="B1313" i="12"/>
  <c r="C1313" i="12"/>
  <c r="A1312" i="12"/>
  <c r="B1312" i="12"/>
  <c r="C1312" i="12"/>
  <c r="A1311" i="12"/>
  <c r="B1311" i="12"/>
  <c r="C1311" i="12"/>
  <c r="A1310" i="12"/>
  <c r="B1310" i="12"/>
  <c r="C1310" i="12"/>
  <c r="A1309" i="12"/>
  <c r="B1309" i="12"/>
  <c r="C1309" i="12"/>
  <c r="A1308" i="12"/>
  <c r="B1308" i="12"/>
  <c r="C1308" i="12"/>
  <c r="A1307" i="12"/>
  <c r="B1307" i="12"/>
  <c r="C1307" i="12"/>
  <c r="A1306" i="12"/>
  <c r="B1306" i="12"/>
  <c r="C1306" i="12"/>
  <c r="A1305" i="12"/>
  <c r="B1305" i="12"/>
  <c r="C1305" i="12"/>
  <c r="A1304" i="12"/>
  <c r="B1304" i="12"/>
  <c r="C1304" i="12"/>
  <c r="A1303" i="12"/>
  <c r="B1303" i="12"/>
  <c r="C1303" i="12"/>
  <c r="A1302" i="12"/>
  <c r="B1302" i="12"/>
  <c r="C1302" i="12"/>
  <c r="A1301" i="12"/>
  <c r="B1301" i="12"/>
  <c r="C1301" i="12"/>
  <c r="A1300" i="12"/>
  <c r="B1300" i="12"/>
  <c r="C1300" i="12"/>
  <c r="A1299" i="12"/>
  <c r="B1299" i="12"/>
  <c r="C1299" i="12"/>
  <c r="A1298" i="12"/>
  <c r="B1298" i="12"/>
  <c r="C1298" i="12"/>
  <c r="A1297" i="12"/>
  <c r="B1297" i="12"/>
  <c r="C1297" i="12"/>
  <c r="A1296" i="12"/>
  <c r="B1296" i="12"/>
  <c r="C1296" i="12"/>
  <c r="A1295" i="12"/>
  <c r="B1295" i="12"/>
  <c r="C1295" i="12"/>
  <c r="A1294" i="12"/>
  <c r="B1294" i="12"/>
  <c r="C1294" i="12"/>
  <c r="A1293" i="12"/>
  <c r="B1293" i="12"/>
  <c r="C1293" i="12"/>
  <c r="A1292" i="12"/>
  <c r="B1292" i="12"/>
  <c r="C1292" i="12"/>
  <c r="A1291" i="12"/>
  <c r="B1291" i="12"/>
  <c r="C1291" i="12"/>
  <c r="A1290" i="12"/>
  <c r="B1290" i="12"/>
  <c r="C1290" i="12"/>
  <c r="A1289" i="12"/>
  <c r="B1289" i="12"/>
  <c r="C1289" i="12"/>
  <c r="A1288" i="12"/>
  <c r="B1288" i="12"/>
  <c r="C1288" i="12"/>
  <c r="A1287" i="12"/>
  <c r="B1287" i="12"/>
  <c r="C1287" i="12"/>
  <c r="A1286" i="12"/>
  <c r="B1286" i="12"/>
  <c r="C1286" i="12"/>
  <c r="A1285" i="12"/>
  <c r="B1285" i="12"/>
  <c r="C1285" i="12"/>
  <c r="A1284" i="12"/>
  <c r="B1284" i="12"/>
  <c r="C1284" i="12"/>
  <c r="A1283" i="12"/>
  <c r="B1283" i="12"/>
  <c r="C1283" i="12"/>
  <c r="A1282" i="12"/>
  <c r="B1282" i="12"/>
  <c r="C1282" i="12"/>
  <c r="A1281" i="12"/>
  <c r="B1281" i="12"/>
  <c r="C1281" i="12"/>
  <c r="A1280" i="12"/>
  <c r="B1280" i="12"/>
  <c r="C1280" i="12"/>
  <c r="A1279" i="12"/>
  <c r="B1279" i="12"/>
  <c r="C1279" i="12"/>
  <c r="A1278" i="12"/>
  <c r="B1278" i="12"/>
  <c r="C1278" i="12"/>
  <c r="A1277" i="12"/>
  <c r="B1277" i="12"/>
  <c r="C1277" i="12"/>
  <c r="A1276" i="12"/>
  <c r="B1276" i="12"/>
  <c r="C1276" i="12"/>
  <c r="A1275" i="12"/>
  <c r="B1275" i="12"/>
  <c r="C1275" i="12"/>
  <c r="A1274" i="12"/>
  <c r="B1274" i="12"/>
  <c r="C1274" i="12"/>
  <c r="A1273" i="12"/>
  <c r="B1273" i="12"/>
  <c r="C1273" i="12"/>
  <c r="A1272" i="12"/>
  <c r="B1272" i="12"/>
  <c r="C1272" i="12"/>
  <c r="A1271" i="12"/>
  <c r="B1271" i="12"/>
  <c r="C1271" i="12"/>
  <c r="A1270" i="12"/>
  <c r="B1270" i="12"/>
  <c r="C1270" i="12"/>
  <c r="A1269" i="12"/>
  <c r="B1269" i="12"/>
  <c r="C1269" i="12"/>
  <c r="A1268" i="12"/>
  <c r="B1268" i="12"/>
  <c r="C1268" i="12"/>
  <c r="A1267" i="12"/>
  <c r="B1267" i="12"/>
  <c r="C1267" i="12"/>
  <c r="A1266" i="12"/>
  <c r="B1266" i="12"/>
  <c r="C1266" i="12"/>
  <c r="A1265" i="12"/>
  <c r="B1265" i="12"/>
  <c r="C1265" i="12"/>
  <c r="A1264" i="12"/>
  <c r="B1264" i="12"/>
  <c r="C1264" i="12"/>
  <c r="A1263" i="12"/>
  <c r="B1263" i="12"/>
  <c r="C1263" i="12"/>
  <c r="A1262" i="12"/>
  <c r="B1262" i="12"/>
  <c r="C1262" i="12"/>
  <c r="A1261" i="12"/>
  <c r="B1261" i="12"/>
  <c r="C1261" i="12"/>
  <c r="A1260" i="12"/>
  <c r="B1260" i="12"/>
  <c r="C1260" i="12"/>
  <c r="A1259" i="12"/>
  <c r="B1259" i="12"/>
  <c r="C1259" i="12"/>
  <c r="A1258" i="12"/>
  <c r="B1258" i="12"/>
  <c r="C1258" i="12"/>
  <c r="A1257" i="12"/>
  <c r="B1257" i="12"/>
  <c r="C1257" i="12"/>
  <c r="A1256" i="12"/>
  <c r="B1256" i="12"/>
  <c r="C1256" i="12"/>
  <c r="A1255" i="12"/>
  <c r="B1255" i="12"/>
  <c r="C1255" i="12"/>
  <c r="A1254" i="12"/>
  <c r="B1254" i="12"/>
  <c r="C1254" i="12"/>
  <c r="A1253" i="12"/>
  <c r="B1253" i="12"/>
  <c r="C1253" i="12"/>
  <c r="A1252" i="12"/>
  <c r="B1252" i="12"/>
  <c r="C1252" i="12"/>
  <c r="A1251" i="12"/>
  <c r="B1251" i="12"/>
  <c r="C1251" i="12"/>
  <c r="A1250" i="12"/>
  <c r="B1250" i="12"/>
  <c r="C1250" i="12"/>
  <c r="A1249" i="12"/>
  <c r="B1249" i="12"/>
  <c r="C1249" i="12"/>
  <c r="A1248" i="12"/>
  <c r="B1248" i="12"/>
  <c r="C1248" i="12"/>
  <c r="A1247" i="12"/>
  <c r="B1247" i="12"/>
  <c r="C1247" i="12"/>
  <c r="A1246" i="12"/>
  <c r="B1246" i="12"/>
  <c r="C1246" i="12"/>
  <c r="A1245" i="12"/>
  <c r="B1245" i="12"/>
  <c r="C1245" i="12"/>
  <c r="A1244" i="12"/>
  <c r="B1244" i="12"/>
  <c r="C1244" i="12"/>
  <c r="A1243" i="12"/>
  <c r="B1243" i="12"/>
  <c r="C1243" i="12"/>
  <c r="A1242" i="12"/>
  <c r="B1242" i="12"/>
  <c r="C1242" i="12"/>
  <c r="A1241" i="12"/>
  <c r="B1241" i="12"/>
  <c r="C1241" i="12"/>
  <c r="A1240" i="12"/>
  <c r="B1240" i="12"/>
  <c r="C1240" i="12"/>
  <c r="A1239" i="12"/>
  <c r="B1239" i="12"/>
  <c r="C1239" i="12"/>
  <c r="A1238" i="12"/>
  <c r="B1238" i="12"/>
  <c r="C1238" i="12"/>
  <c r="A1237" i="12"/>
  <c r="B1237" i="12"/>
  <c r="C1237" i="12"/>
  <c r="A1236" i="12"/>
  <c r="B1236" i="12"/>
  <c r="C1236" i="12"/>
  <c r="A1235" i="12"/>
  <c r="B1235" i="12"/>
  <c r="C1235" i="12"/>
  <c r="A1234" i="12"/>
  <c r="B1234" i="12"/>
  <c r="C1234" i="12"/>
  <c r="A1233" i="12"/>
  <c r="B1233" i="12"/>
  <c r="C1233" i="12"/>
  <c r="A1232" i="12"/>
  <c r="B1232" i="12"/>
  <c r="C1232" i="12"/>
  <c r="A1231" i="12"/>
  <c r="B1231" i="12"/>
  <c r="C1231" i="12"/>
  <c r="A1230" i="12"/>
  <c r="B1230" i="12"/>
  <c r="C1230" i="12"/>
  <c r="A1229" i="12"/>
  <c r="B1229" i="12"/>
  <c r="C1229" i="12"/>
  <c r="A1228" i="12"/>
  <c r="B1228" i="12"/>
  <c r="C1228" i="12"/>
  <c r="A1227" i="12"/>
  <c r="B1227" i="12"/>
  <c r="C1227" i="12"/>
  <c r="A1226" i="12"/>
  <c r="B1226" i="12"/>
  <c r="C1226" i="12"/>
  <c r="A1225" i="12"/>
  <c r="B1225" i="12"/>
  <c r="C1225" i="12"/>
  <c r="A1224" i="12"/>
  <c r="B1224" i="12"/>
  <c r="C1224" i="12"/>
  <c r="A1223" i="12"/>
  <c r="B1223" i="12"/>
  <c r="C1223" i="12"/>
  <c r="A1222" i="12"/>
  <c r="B1222" i="12"/>
  <c r="C1222" i="12"/>
  <c r="A1221" i="12"/>
  <c r="B1221" i="12"/>
  <c r="C1221" i="12"/>
  <c r="A1220" i="12"/>
  <c r="B1220" i="12"/>
  <c r="C1220" i="12"/>
  <c r="A1219" i="12"/>
  <c r="B1219" i="12"/>
  <c r="C1219" i="12"/>
  <c r="A1218" i="12"/>
  <c r="B1218" i="12"/>
  <c r="C1218" i="12"/>
  <c r="A1217" i="12"/>
  <c r="B1217" i="12"/>
  <c r="C1217" i="12"/>
  <c r="A1216" i="12"/>
  <c r="B1216" i="12"/>
  <c r="C1216" i="12"/>
  <c r="A1215" i="12"/>
  <c r="B1215" i="12"/>
  <c r="C1215" i="12"/>
  <c r="A1214" i="12"/>
  <c r="B1214" i="12"/>
  <c r="C1214" i="12"/>
  <c r="A1213" i="12"/>
  <c r="B1213" i="12"/>
  <c r="C1213" i="12"/>
  <c r="A1212" i="12"/>
  <c r="B1212" i="12"/>
  <c r="C1212" i="12"/>
  <c r="A1211" i="12"/>
  <c r="B1211" i="12"/>
  <c r="C1211" i="12"/>
  <c r="A1210" i="12"/>
  <c r="B1210" i="12"/>
  <c r="C1210" i="12"/>
  <c r="A1209" i="12"/>
  <c r="B1209" i="12"/>
  <c r="C1209" i="12"/>
  <c r="A1208" i="12"/>
  <c r="B1208" i="12"/>
  <c r="C1208" i="12"/>
  <c r="A1207" i="12"/>
  <c r="B1207" i="12"/>
  <c r="C1207" i="12"/>
  <c r="A1206" i="12"/>
  <c r="B1206" i="12"/>
  <c r="C1206" i="12"/>
  <c r="A1205" i="12"/>
  <c r="B1205" i="12"/>
  <c r="C1205" i="12"/>
  <c r="A1204" i="12"/>
  <c r="B1204" i="12"/>
  <c r="C1204" i="12"/>
  <c r="A1203" i="12"/>
  <c r="B1203" i="12"/>
  <c r="C1203" i="12"/>
  <c r="A1202" i="12"/>
  <c r="B1202" i="12"/>
  <c r="C1202" i="12"/>
  <c r="A1201" i="12"/>
  <c r="B1201" i="12"/>
  <c r="C1201" i="12"/>
  <c r="A1200" i="12"/>
  <c r="B1200" i="12"/>
  <c r="C1200" i="12"/>
  <c r="A1199" i="12"/>
  <c r="B1199" i="12"/>
  <c r="C1199" i="12"/>
  <c r="A1198" i="12"/>
  <c r="B1198" i="12"/>
  <c r="C1198" i="12"/>
  <c r="A1197" i="12"/>
  <c r="B1197" i="12"/>
  <c r="C1197" i="12"/>
  <c r="A1196" i="12"/>
  <c r="B1196" i="12"/>
  <c r="C1196" i="12"/>
  <c r="A1195" i="12"/>
  <c r="B1195" i="12"/>
  <c r="C1195" i="12"/>
  <c r="A1194" i="12"/>
  <c r="B1194" i="12"/>
  <c r="C1194" i="12"/>
  <c r="A1193" i="12"/>
  <c r="B1193" i="12"/>
  <c r="C1193" i="12"/>
  <c r="A1192" i="12"/>
  <c r="B1192" i="12"/>
  <c r="C1192" i="12"/>
  <c r="A1191" i="12"/>
  <c r="B1191" i="12"/>
  <c r="C1191" i="12"/>
  <c r="A1190" i="12"/>
  <c r="B1190" i="12"/>
  <c r="C1190" i="12"/>
  <c r="A1189" i="12"/>
  <c r="B1189" i="12"/>
  <c r="C1189" i="12"/>
  <c r="A1188" i="12"/>
  <c r="B1188" i="12"/>
  <c r="C1188" i="12"/>
  <c r="A1187" i="12"/>
  <c r="B1187" i="12"/>
  <c r="C1187" i="12"/>
  <c r="A1186" i="12"/>
  <c r="B1186" i="12"/>
  <c r="C1186" i="12"/>
  <c r="A1185" i="12"/>
  <c r="B1185" i="12"/>
  <c r="C1185" i="12"/>
  <c r="A1184" i="12"/>
  <c r="B1184" i="12"/>
  <c r="C1184" i="12"/>
  <c r="A1183" i="12"/>
  <c r="B1183" i="12"/>
  <c r="C1183" i="12"/>
  <c r="A1182" i="12"/>
  <c r="B1182" i="12"/>
  <c r="C1182" i="12"/>
  <c r="A1181" i="12"/>
  <c r="B1181" i="12"/>
  <c r="C1181" i="12"/>
  <c r="A1180" i="12"/>
  <c r="B1180" i="12"/>
  <c r="C1180" i="12"/>
  <c r="A1179" i="12"/>
  <c r="B1179" i="12"/>
  <c r="C1179" i="12"/>
  <c r="A1178" i="12"/>
  <c r="B1178" i="12"/>
  <c r="C1178" i="12"/>
  <c r="A1177" i="12"/>
  <c r="B1177" i="12"/>
  <c r="C1177" i="12"/>
  <c r="A1176" i="12"/>
  <c r="B1176" i="12"/>
  <c r="C1176" i="12"/>
  <c r="A1175" i="12"/>
  <c r="B1175" i="12"/>
  <c r="C1175" i="12"/>
  <c r="A1174" i="12"/>
  <c r="B1174" i="12"/>
  <c r="C1174" i="12"/>
  <c r="A1173" i="12"/>
  <c r="B1173" i="12"/>
  <c r="C1173" i="12"/>
  <c r="A1172" i="12"/>
  <c r="B1172" i="12"/>
  <c r="C1172" i="12"/>
  <c r="A1171" i="12"/>
  <c r="B1171" i="12"/>
  <c r="C1171" i="12"/>
  <c r="A1170" i="12"/>
  <c r="B1170" i="12"/>
  <c r="C1170" i="12"/>
  <c r="A1169" i="12"/>
  <c r="B1169" i="12"/>
  <c r="C1169" i="12"/>
  <c r="A1168" i="12"/>
  <c r="B1168" i="12"/>
  <c r="C1168" i="12"/>
  <c r="A1167" i="12"/>
  <c r="B1167" i="12"/>
  <c r="C1167" i="12"/>
  <c r="A1166" i="12"/>
  <c r="B1166" i="12"/>
  <c r="C1166" i="12"/>
  <c r="A1165" i="12"/>
  <c r="B1165" i="12"/>
  <c r="C1165" i="12"/>
  <c r="A1164" i="12"/>
  <c r="B1164" i="12"/>
  <c r="C1164" i="12"/>
  <c r="A1163" i="12"/>
  <c r="B1163" i="12"/>
  <c r="C1163" i="12"/>
  <c r="A1162" i="12"/>
  <c r="B1162" i="12"/>
  <c r="C1162" i="12"/>
  <c r="A1161" i="12"/>
  <c r="B1161" i="12"/>
  <c r="C1161" i="12"/>
  <c r="A1160" i="12"/>
  <c r="B1160" i="12"/>
  <c r="C1160" i="12"/>
  <c r="A1159" i="12"/>
  <c r="B1159" i="12"/>
  <c r="C1159" i="12"/>
  <c r="A1158" i="12"/>
  <c r="B1158" i="12"/>
  <c r="C1158" i="12"/>
  <c r="A1157" i="12"/>
  <c r="B1157" i="12"/>
  <c r="C1157" i="12"/>
  <c r="A1156" i="12"/>
  <c r="B1156" i="12"/>
  <c r="C1156" i="12"/>
  <c r="A1155" i="12"/>
  <c r="B1155" i="12"/>
  <c r="C1155" i="12"/>
  <c r="A1154" i="12"/>
  <c r="B1154" i="12"/>
  <c r="C1154" i="12"/>
  <c r="A1153" i="12"/>
  <c r="B1153" i="12"/>
  <c r="C1153" i="12"/>
  <c r="A1152" i="12"/>
  <c r="B1152" i="12"/>
  <c r="C1152" i="12"/>
  <c r="A1151" i="12"/>
  <c r="B1151" i="12"/>
  <c r="C1151" i="12"/>
  <c r="A1150" i="12"/>
  <c r="B1150" i="12"/>
  <c r="C1150" i="12"/>
  <c r="A1149" i="12"/>
  <c r="B1149" i="12"/>
  <c r="C1149" i="12"/>
  <c r="A1148" i="12"/>
  <c r="B1148" i="12"/>
  <c r="C1148" i="12"/>
  <c r="A1147" i="12"/>
  <c r="B1147" i="12"/>
  <c r="C1147" i="12"/>
  <c r="A1146" i="12"/>
  <c r="B1146" i="12"/>
  <c r="C1146" i="12"/>
  <c r="A1145" i="12"/>
  <c r="B1145" i="12"/>
  <c r="C1145" i="12"/>
  <c r="A1144" i="12"/>
  <c r="B1144" i="12"/>
  <c r="C1144" i="12"/>
  <c r="A1143" i="12"/>
  <c r="B1143" i="12"/>
  <c r="C1143" i="12"/>
  <c r="A1142" i="12"/>
  <c r="B1142" i="12"/>
  <c r="C1142" i="12"/>
  <c r="A1141" i="12"/>
  <c r="B1141" i="12"/>
  <c r="C1141" i="12"/>
  <c r="A1140" i="12"/>
  <c r="B1140" i="12"/>
  <c r="C1140" i="12"/>
  <c r="A1139" i="12"/>
  <c r="B1139" i="12"/>
  <c r="C1139" i="12"/>
  <c r="A1138" i="12"/>
  <c r="B1138" i="12"/>
  <c r="C1138" i="12"/>
  <c r="A1137" i="12"/>
  <c r="B1137" i="12"/>
  <c r="C1137" i="12"/>
  <c r="A1136" i="12"/>
  <c r="B1136" i="12"/>
  <c r="C1136" i="12"/>
  <c r="A1135" i="12"/>
  <c r="B1135" i="12"/>
  <c r="C1135" i="12"/>
  <c r="A1134" i="12"/>
  <c r="B1134" i="12"/>
  <c r="C1134" i="12"/>
  <c r="A1133" i="12"/>
  <c r="B1133" i="12"/>
  <c r="C1133" i="12"/>
  <c r="A1132" i="12"/>
  <c r="B1132" i="12"/>
  <c r="C1132" i="12"/>
  <c r="A1131" i="12"/>
  <c r="B1131" i="12"/>
  <c r="C1131" i="12"/>
  <c r="A1130" i="12"/>
  <c r="B1130" i="12"/>
  <c r="C1130" i="12"/>
  <c r="A1129" i="12"/>
  <c r="B1129" i="12"/>
  <c r="C1129" i="12"/>
  <c r="A1128" i="12"/>
  <c r="B1128" i="12"/>
  <c r="C1128" i="12"/>
  <c r="A1127" i="12"/>
  <c r="B1127" i="12"/>
  <c r="C1127" i="12"/>
  <c r="A1126" i="12"/>
  <c r="B1126" i="12"/>
  <c r="C1126" i="12"/>
  <c r="A1125" i="12"/>
  <c r="B1125" i="12"/>
  <c r="C1125" i="12"/>
  <c r="A1124" i="12"/>
  <c r="B1124" i="12"/>
  <c r="C1124" i="12"/>
  <c r="A1123" i="12"/>
  <c r="B1123" i="12"/>
  <c r="C1123" i="12"/>
  <c r="A1122" i="12"/>
  <c r="B1122" i="12"/>
  <c r="C1122" i="12"/>
  <c r="A1121" i="12"/>
  <c r="B1121" i="12"/>
  <c r="C1121" i="12"/>
  <c r="A1120" i="12"/>
  <c r="B1120" i="12"/>
  <c r="C1120" i="12"/>
  <c r="A1119" i="12"/>
  <c r="B1119" i="12"/>
  <c r="C1119" i="12"/>
  <c r="A1118" i="12"/>
  <c r="B1118" i="12"/>
  <c r="C1118" i="12"/>
  <c r="A1117" i="12"/>
  <c r="B1117" i="12"/>
  <c r="C1117" i="12"/>
  <c r="A1116" i="12"/>
  <c r="B1116" i="12"/>
  <c r="C1116" i="12"/>
  <c r="A1115" i="12"/>
  <c r="B1115" i="12"/>
  <c r="C1115" i="12"/>
  <c r="A1114" i="12"/>
  <c r="B1114" i="12"/>
  <c r="C1114" i="12"/>
  <c r="A1113" i="12"/>
  <c r="B1113" i="12"/>
  <c r="C1113" i="12"/>
  <c r="A1112" i="12"/>
  <c r="B1112" i="12"/>
  <c r="C1112" i="12"/>
  <c r="A1111" i="12"/>
  <c r="B1111" i="12"/>
  <c r="C1111" i="12"/>
  <c r="A1110" i="12"/>
  <c r="B1110" i="12"/>
  <c r="C1110" i="12"/>
  <c r="A1109" i="12"/>
  <c r="B1109" i="12"/>
  <c r="C1109" i="12"/>
  <c r="A1108" i="12"/>
  <c r="B1108" i="12"/>
  <c r="C1108" i="12"/>
  <c r="A1107" i="12"/>
  <c r="B1107" i="12"/>
  <c r="C1107" i="12"/>
  <c r="A1106" i="12"/>
  <c r="B1106" i="12"/>
  <c r="C1106" i="12"/>
  <c r="A1105" i="12"/>
  <c r="B1105" i="12"/>
  <c r="C1105" i="12"/>
  <c r="A1104" i="12"/>
  <c r="B1104" i="12"/>
  <c r="C1104" i="12"/>
  <c r="A1103" i="12"/>
  <c r="B1103" i="12"/>
  <c r="C1103" i="12"/>
  <c r="A1102" i="12"/>
  <c r="B1102" i="12"/>
  <c r="C1102" i="12"/>
  <c r="A1101" i="12"/>
  <c r="B1101" i="12"/>
  <c r="C1101" i="12"/>
  <c r="A1100" i="12"/>
  <c r="B1100" i="12"/>
  <c r="C1100" i="12"/>
  <c r="A1099" i="12"/>
  <c r="B1099" i="12"/>
  <c r="C1099" i="12"/>
  <c r="A1098" i="12"/>
  <c r="B1098" i="12"/>
  <c r="C1098" i="12"/>
  <c r="A1097" i="12"/>
  <c r="B1097" i="12"/>
  <c r="C1097" i="12"/>
  <c r="A1096" i="12"/>
  <c r="B1096" i="12"/>
  <c r="C1096" i="12"/>
  <c r="A1095" i="12"/>
  <c r="B1095" i="12"/>
  <c r="C1095" i="12"/>
  <c r="A1094" i="12"/>
  <c r="B1094" i="12"/>
  <c r="C1094" i="12"/>
  <c r="A1093" i="12"/>
  <c r="B1093" i="12"/>
  <c r="C1093" i="12"/>
  <c r="A1092" i="12"/>
  <c r="B1092" i="12"/>
  <c r="C1092" i="12"/>
  <c r="A1091" i="12"/>
  <c r="B1091" i="12"/>
  <c r="C1091" i="12"/>
  <c r="A1090" i="12"/>
  <c r="B1090" i="12"/>
  <c r="C1090" i="12"/>
  <c r="A1089" i="12"/>
  <c r="B1089" i="12"/>
  <c r="C1089" i="12"/>
  <c r="A1088" i="12"/>
  <c r="B1088" i="12"/>
  <c r="C1088" i="12"/>
  <c r="A1087" i="12"/>
  <c r="B1087" i="12"/>
  <c r="C1087" i="12"/>
  <c r="A1086" i="12"/>
  <c r="B1086" i="12"/>
  <c r="C1086" i="12"/>
  <c r="A1085" i="12"/>
  <c r="B1085" i="12"/>
  <c r="C1085" i="12"/>
  <c r="A1084" i="12"/>
  <c r="B1084" i="12"/>
  <c r="C1084" i="12"/>
  <c r="A1083" i="12"/>
  <c r="B1083" i="12"/>
  <c r="C1083" i="12"/>
  <c r="A1082" i="12"/>
  <c r="B1082" i="12"/>
  <c r="C1082" i="12"/>
  <c r="A1081" i="12"/>
  <c r="B1081" i="12"/>
  <c r="C1081" i="12"/>
  <c r="A1080" i="12"/>
  <c r="B1080" i="12"/>
  <c r="C1080" i="12"/>
  <c r="A1079" i="12"/>
  <c r="B1079" i="12"/>
  <c r="C1079" i="12"/>
  <c r="A1078" i="12"/>
  <c r="B1078" i="12"/>
  <c r="C1078" i="12"/>
  <c r="A1077" i="12"/>
  <c r="B1077" i="12"/>
  <c r="C1077" i="12"/>
  <c r="A1076" i="12"/>
  <c r="B1076" i="12"/>
  <c r="C1076" i="12"/>
  <c r="A1075" i="12"/>
  <c r="B1075" i="12"/>
  <c r="C1075" i="12"/>
  <c r="A1074" i="12"/>
  <c r="B1074" i="12"/>
  <c r="C1074" i="12"/>
  <c r="A1073" i="12"/>
  <c r="B1073" i="12"/>
  <c r="C1073" i="12"/>
  <c r="A1072" i="12"/>
  <c r="B1072" i="12"/>
  <c r="C1072" i="12"/>
  <c r="A1071" i="12"/>
  <c r="B1071" i="12"/>
  <c r="C1071" i="12"/>
  <c r="A1070" i="12"/>
  <c r="B1070" i="12"/>
  <c r="C1070" i="12"/>
  <c r="A1069" i="12"/>
  <c r="B1069" i="12"/>
  <c r="C1069" i="12"/>
  <c r="A1068" i="12"/>
  <c r="B1068" i="12"/>
  <c r="C1068" i="12"/>
  <c r="A1067" i="12"/>
  <c r="B1067" i="12"/>
  <c r="C1067" i="12"/>
  <c r="A1066" i="12"/>
  <c r="B1066" i="12"/>
  <c r="C1066" i="12"/>
  <c r="A1065" i="12"/>
  <c r="B1065" i="12"/>
  <c r="C1065" i="12"/>
  <c r="A1064" i="12"/>
  <c r="B1064" i="12"/>
  <c r="C1064" i="12"/>
  <c r="A1063" i="12"/>
  <c r="B1063" i="12"/>
  <c r="C1063" i="12"/>
  <c r="A1062" i="12"/>
  <c r="B1062" i="12"/>
  <c r="C1062" i="12"/>
  <c r="A1061" i="12"/>
  <c r="B1061" i="12"/>
  <c r="C1061" i="12"/>
  <c r="A1060" i="12"/>
  <c r="B1060" i="12"/>
  <c r="C1060" i="12"/>
  <c r="A1059" i="12"/>
  <c r="B1059" i="12"/>
  <c r="C1059" i="12"/>
  <c r="A1058" i="12"/>
  <c r="B1058" i="12"/>
  <c r="C1058" i="12"/>
  <c r="A1057" i="12"/>
  <c r="B1057" i="12"/>
  <c r="C1057" i="12"/>
  <c r="A1056" i="12"/>
  <c r="B1056" i="12"/>
  <c r="C1056" i="12"/>
  <c r="A1055" i="12"/>
  <c r="B1055" i="12"/>
  <c r="C1055" i="12"/>
  <c r="A1054" i="12"/>
  <c r="B1054" i="12"/>
  <c r="C1054" i="12"/>
  <c r="A1053" i="12"/>
  <c r="B1053" i="12"/>
  <c r="C1053" i="12"/>
  <c r="A1052" i="12"/>
  <c r="B1052" i="12"/>
  <c r="C1052" i="12"/>
  <c r="A1051" i="12"/>
  <c r="B1051" i="12"/>
  <c r="C1051" i="12"/>
  <c r="A1050" i="12"/>
  <c r="B1050" i="12"/>
  <c r="C1050" i="12"/>
  <c r="A1049" i="12"/>
  <c r="B1049" i="12"/>
  <c r="C1049" i="12"/>
  <c r="A1048" i="12"/>
  <c r="B1048" i="12"/>
  <c r="C1048" i="12"/>
  <c r="A1047" i="12"/>
  <c r="B1047" i="12"/>
  <c r="C1047" i="12"/>
  <c r="A1046" i="12"/>
  <c r="B1046" i="12"/>
  <c r="C1046" i="12"/>
  <c r="A1045" i="12"/>
  <c r="B1045" i="12"/>
  <c r="C1045" i="12"/>
  <c r="A1044" i="12"/>
  <c r="B1044" i="12"/>
  <c r="C1044" i="12"/>
  <c r="A1043" i="12"/>
  <c r="B1043" i="12"/>
  <c r="C1043" i="12"/>
  <c r="A1042" i="12"/>
  <c r="B1042" i="12"/>
  <c r="C1042" i="12"/>
  <c r="A1041" i="12"/>
  <c r="B1041" i="12"/>
  <c r="C1041" i="12"/>
  <c r="A1040" i="12"/>
  <c r="B1040" i="12"/>
  <c r="C1040" i="12"/>
  <c r="A1039" i="12"/>
  <c r="B1039" i="12"/>
  <c r="C1039" i="12"/>
  <c r="A1038" i="12"/>
  <c r="B1038" i="12"/>
  <c r="C1038" i="12"/>
  <c r="A1037" i="12"/>
  <c r="B1037" i="12"/>
  <c r="C1037" i="12"/>
  <c r="A1036" i="12"/>
  <c r="B1036" i="12"/>
  <c r="C1036" i="12"/>
  <c r="A1035" i="12"/>
  <c r="B1035" i="12"/>
  <c r="C1035" i="12"/>
  <c r="A1034" i="12"/>
  <c r="B1034" i="12"/>
  <c r="C1034" i="12"/>
  <c r="A1033" i="12"/>
  <c r="B1033" i="12"/>
  <c r="C1033" i="12"/>
  <c r="A1032" i="12"/>
  <c r="B1032" i="12"/>
  <c r="C1032" i="12"/>
  <c r="A1031" i="12"/>
  <c r="B1031" i="12"/>
  <c r="C1031" i="12"/>
  <c r="A1030" i="12"/>
  <c r="B1030" i="12"/>
  <c r="C1030" i="12"/>
  <c r="A1029" i="12"/>
  <c r="B1029" i="12"/>
  <c r="C1029" i="12"/>
  <c r="A1028" i="12"/>
  <c r="B1028" i="12"/>
  <c r="C1028" i="12"/>
  <c r="A1027" i="12"/>
  <c r="B1027" i="12"/>
  <c r="C1027" i="12"/>
  <c r="A1026" i="12"/>
  <c r="B1026" i="12"/>
  <c r="C1026" i="12"/>
  <c r="A1025" i="12"/>
  <c r="B1025" i="12"/>
  <c r="C1025" i="12"/>
  <c r="A1024" i="12"/>
  <c r="B1024" i="12"/>
  <c r="C1024" i="12"/>
  <c r="A1023" i="12"/>
  <c r="B1023" i="12"/>
  <c r="C1023" i="12"/>
  <c r="A1022" i="12"/>
  <c r="B1022" i="12"/>
  <c r="C1022" i="12"/>
  <c r="A1021" i="12"/>
  <c r="B1021" i="12"/>
  <c r="C1021" i="12"/>
  <c r="A1020" i="12"/>
  <c r="B1020" i="12"/>
  <c r="C1020" i="12"/>
  <c r="A1019" i="12"/>
  <c r="B1019" i="12"/>
  <c r="C1019" i="12"/>
  <c r="A1018" i="12"/>
  <c r="B1018" i="12"/>
  <c r="C1018" i="12"/>
  <c r="A1017" i="12"/>
  <c r="B1017" i="12"/>
  <c r="C1017" i="12"/>
  <c r="A1016" i="12"/>
  <c r="B1016" i="12"/>
  <c r="C1016" i="12"/>
  <c r="A1015" i="12"/>
  <c r="B1015" i="12"/>
  <c r="C1015" i="12"/>
  <c r="A1014" i="12"/>
  <c r="B1014" i="12"/>
  <c r="C1014" i="12"/>
  <c r="A1013" i="12"/>
  <c r="B1013" i="12"/>
  <c r="C1013" i="12"/>
  <c r="A1012" i="12"/>
  <c r="B1012" i="12"/>
  <c r="C1012" i="12"/>
  <c r="A1011" i="12"/>
  <c r="B1011" i="12"/>
  <c r="C1011" i="12"/>
  <c r="A1010" i="12"/>
  <c r="B1010" i="12"/>
  <c r="C1010" i="12"/>
  <c r="A1009" i="12"/>
  <c r="B1009" i="12"/>
  <c r="C1009" i="12"/>
  <c r="A1008" i="12"/>
  <c r="B1008" i="12"/>
  <c r="C1008" i="12"/>
  <c r="A1007" i="12"/>
  <c r="B1007" i="12"/>
  <c r="C1007" i="12"/>
  <c r="A1006" i="12"/>
  <c r="B1006" i="12"/>
  <c r="C1006" i="12"/>
  <c r="A1005" i="12"/>
  <c r="B1005" i="12"/>
  <c r="C1005" i="12"/>
  <c r="A1004" i="12"/>
  <c r="B1004" i="12"/>
  <c r="C1004" i="12"/>
  <c r="A1003" i="12"/>
  <c r="B1003" i="12"/>
  <c r="C1003" i="12"/>
  <c r="A1002" i="12"/>
  <c r="B1002" i="12"/>
  <c r="C1002" i="12"/>
  <c r="A1001" i="12"/>
  <c r="B1001" i="12"/>
  <c r="C1001" i="12"/>
  <c r="A1000" i="12"/>
  <c r="B1000" i="12"/>
  <c r="C1000" i="12"/>
  <c r="A999" i="12"/>
  <c r="B999" i="12"/>
  <c r="C999" i="12"/>
  <c r="A998" i="12"/>
  <c r="B998" i="12"/>
  <c r="C998" i="12"/>
  <c r="A997" i="12"/>
  <c r="B997" i="12"/>
  <c r="C997" i="12"/>
  <c r="A996" i="12"/>
  <c r="B996" i="12"/>
  <c r="C996" i="12"/>
  <c r="A995" i="12"/>
  <c r="B995" i="12"/>
  <c r="C995" i="12"/>
  <c r="A994" i="12"/>
  <c r="B994" i="12"/>
  <c r="C994" i="12"/>
  <c r="A993" i="12"/>
  <c r="B993" i="12"/>
  <c r="C993" i="12"/>
  <c r="A992" i="12"/>
  <c r="B992" i="12"/>
  <c r="C992" i="12"/>
  <c r="A991" i="12"/>
  <c r="B991" i="12"/>
  <c r="C991" i="12"/>
  <c r="A990" i="12"/>
  <c r="B990" i="12"/>
  <c r="C990" i="12"/>
  <c r="A989" i="12"/>
  <c r="B989" i="12"/>
  <c r="C989" i="12"/>
  <c r="A988" i="12"/>
  <c r="B988" i="12"/>
  <c r="C988" i="12"/>
  <c r="A987" i="12"/>
  <c r="B987" i="12"/>
  <c r="C987" i="12"/>
  <c r="A986" i="12"/>
  <c r="B986" i="12"/>
  <c r="C986" i="12"/>
  <c r="A985" i="12"/>
  <c r="B985" i="12"/>
  <c r="C985" i="12"/>
  <c r="A984" i="12"/>
  <c r="B984" i="12"/>
  <c r="C984" i="12"/>
  <c r="A983" i="12"/>
  <c r="B983" i="12"/>
  <c r="C983" i="12"/>
  <c r="A982" i="12"/>
  <c r="B982" i="12"/>
  <c r="C982" i="12"/>
  <c r="A981" i="12"/>
  <c r="B981" i="12"/>
  <c r="C981" i="12"/>
  <c r="A980" i="12"/>
  <c r="B980" i="12"/>
  <c r="C980" i="12"/>
  <c r="A979" i="12"/>
  <c r="B979" i="12"/>
  <c r="C979" i="12"/>
  <c r="A978" i="12"/>
  <c r="B978" i="12"/>
  <c r="C978" i="12"/>
  <c r="A977" i="12"/>
  <c r="B977" i="12"/>
  <c r="C977" i="12"/>
  <c r="A976" i="12"/>
  <c r="B976" i="12"/>
  <c r="C976" i="12"/>
  <c r="A975" i="12"/>
  <c r="B975" i="12"/>
  <c r="C975" i="12"/>
  <c r="A974" i="12"/>
  <c r="B974" i="12"/>
  <c r="C974" i="12"/>
  <c r="A973" i="12"/>
  <c r="B973" i="12"/>
  <c r="C973" i="12"/>
  <c r="A972" i="12"/>
  <c r="B972" i="12"/>
  <c r="C972" i="12"/>
  <c r="A971" i="12"/>
  <c r="B971" i="12"/>
  <c r="C971" i="12"/>
  <c r="A970" i="12"/>
  <c r="B970" i="12"/>
  <c r="C970" i="12"/>
  <c r="A969" i="12"/>
  <c r="B969" i="12"/>
  <c r="C969" i="12"/>
  <c r="A968" i="12"/>
  <c r="B968" i="12"/>
  <c r="C968" i="12"/>
  <c r="A967" i="12"/>
  <c r="B967" i="12"/>
  <c r="C967" i="12"/>
  <c r="A966" i="12"/>
  <c r="B966" i="12"/>
  <c r="C966" i="12"/>
  <c r="A965" i="12"/>
  <c r="B965" i="12"/>
  <c r="C965" i="12"/>
  <c r="A964" i="12"/>
  <c r="B964" i="12"/>
  <c r="C964" i="12"/>
  <c r="A963" i="12"/>
  <c r="B963" i="12"/>
  <c r="C963" i="12"/>
  <c r="A962" i="12"/>
  <c r="B962" i="12"/>
  <c r="C962" i="12"/>
  <c r="A961" i="12"/>
  <c r="B961" i="12"/>
  <c r="C961" i="12"/>
  <c r="A960" i="12"/>
  <c r="B960" i="12"/>
  <c r="C960" i="12"/>
  <c r="A959" i="12"/>
  <c r="B959" i="12"/>
  <c r="C959" i="12"/>
  <c r="A958" i="12"/>
  <c r="B958" i="12"/>
  <c r="C958" i="12"/>
  <c r="A957" i="12"/>
  <c r="B957" i="12"/>
  <c r="C957" i="12"/>
  <c r="A956" i="12"/>
  <c r="B956" i="12"/>
  <c r="C956" i="12"/>
  <c r="A955" i="12"/>
  <c r="B955" i="12"/>
  <c r="C955" i="12"/>
  <c r="A954" i="12"/>
  <c r="B954" i="12"/>
  <c r="C954" i="12"/>
  <c r="A953" i="12"/>
  <c r="B953" i="12"/>
  <c r="C953" i="12"/>
  <c r="A952" i="12"/>
  <c r="B952" i="12"/>
  <c r="C952" i="12"/>
  <c r="A951" i="12"/>
  <c r="B951" i="12"/>
  <c r="C951" i="12"/>
  <c r="A950" i="12"/>
  <c r="B950" i="12"/>
  <c r="C950" i="12"/>
  <c r="A949" i="12"/>
  <c r="B949" i="12"/>
  <c r="C949" i="12"/>
  <c r="A948" i="12"/>
  <c r="B948" i="12"/>
  <c r="C948" i="12"/>
  <c r="A947" i="12"/>
  <c r="B947" i="12"/>
  <c r="C947" i="12"/>
  <c r="A946" i="12"/>
  <c r="B946" i="12"/>
  <c r="C946" i="12"/>
  <c r="A945" i="12"/>
  <c r="B945" i="12"/>
  <c r="C945" i="12"/>
  <c r="A944" i="12"/>
  <c r="B944" i="12"/>
  <c r="C944" i="12"/>
  <c r="A943" i="12"/>
  <c r="B943" i="12"/>
  <c r="C943" i="12"/>
  <c r="A942" i="12"/>
  <c r="B942" i="12"/>
  <c r="C942" i="12"/>
  <c r="A941" i="12"/>
  <c r="B941" i="12"/>
  <c r="C941" i="12"/>
  <c r="A940" i="12"/>
  <c r="B940" i="12"/>
  <c r="C940" i="12"/>
  <c r="A939" i="12"/>
  <c r="B939" i="12"/>
  <c r="C939" i="12"/>
  <c r="A938" i="12"/>
  <c r="B938" i="12"/>
  <c r="C938" i="12"/>
  <c r="A937" i="12"/>
  <c r="B937" i="12"/>
  <c r="C937" i="12"/>
  <c r="A936" i="12"/>
  <c r="B936" i="12"/>
  <c r="C936" i="12"/>
  <c r="A935" i="12"/>
  <c r="B935" i="12"/>
  <c r="C935" i="12"/>
  <c r="A934" i="12"/>
  <c r="B934" i="12"/>
  <c r="C934" i="12"/>
  <c r="A933" i="12"/>
  <c r="B933" i="12"/>
  <c r="C933" i="12"/>
  <c r="A932" i="12"/>
  <c r="B932" i="12"/>
  <c r="C932" i="12"/>
  <c r="A931" i="12"/>
  <c r="B931" i="12"/>
  <c r="C931" i="12"/>
  <c r="A930" i="12"/>
  <c r="B930" i="12"/>
  <c r="C930" i="12"/>
  <c r="A929" i="12"/>
  <c r="B929" i="12"/>
  <c r="C929" i="12"/>
  <c r="A928" i="12"/>
  <c r="B928" i="12"/>
  <c r="C928" i="12"/>
  <c r="A927" i="12"/>
  <c r="B927" i="12"/>
  <c r="C927" i="12"/>
  <c r="A926" i="12"/>
  <c r="B926" i="12"/>
  <c r="C926" i="12"/>
  <c r="A925" i="12"/>
  <c r="B925" i="12"/>
  <c r="C925" i="12"/>
  <c r="A924" i="12"/>
  <c r="B924" i="12"/>
  <c r="C924" i="12"/>
  <c r="A923" i="12"/>
  <c r="B923" i="12"/>
  <c r="C923" i="12"/>
  <c r="A922" i="12"/>
  <c r="B922" i="12"/>
  <c r="C922" i="12"/>
  <c r="A921" i="12"/>
  <c r="B921" i="12"/>
  <c r="C921" i="12"/>
  <c r="A920" i="12"/>
  <c r="B920" i="12"/>
  <c r="C920" i="12"/>
  <c r="A919" i="12"/>
  <c r="B919" i="12"/>
  <c r="C919" i="12"/>
  <c r="A918" i="12"/>
  <c r="B918" i="12"/>
  <c r="C918" i="12"/>
  <c r="A917" i="12"/>
  <c r="B917" i="12"/>
  <c r="C917" i="12"/>
  <c r="A916" i="12"/>
  <c r="B916" i="12"/>
  <c r="C916" i="12"/>
  <c r="A915" i="12"/>
  <c r="B915" i="12"/>
  <c r="C915" i="12"/>
  <c r="A914" i="12"/>
  <c r="B914" i="12"/>
  <c r="C914" i="12"/>
  <c r="A913" i="12"/>
  <c r="B913" i="12"/>
  <c r="C913" i="12"/>
  <c r="A912" i="12"/>
  <c r="B912" i="12"/>
  <c r="C912" i="12"/>
  <c r="A911" i="12"/>
  <c r="B911" i="12"/>
  <c r="C911" i="12"/>
  <c r="A910" i="12"/>
  <c r="B910" i="12"/>
  <c r="C910" i="12"/>
  <c r="A909" i="12"/>
  <c r="B909" i="12"/>
  <c r="C909" i="12"/>
  <c r="A908" i="12"/>
  <c r="B908" i="12"/>
  <c r="C908" i="12"/>
  <c r="A907" i="12"/>
  <c r="B907" i="12"/>
  <c r="C907" i="12"/>
  <c r="A906" i="12"/>
  <c r="B906" i="12"/>
  <c r="C906" i="12"/>
  <c r="A905" i="12"/>
  <c r="B905" i="12"/>
  <c r="C905" i="12"/>
  <c r="A904" i="12"/>
  <c r="B904" i="12"/>
  <c r="C904" i="12"/>
  <c r="A903" i="12"/>
  <c r="B903" i="12"/>
  <c r="C903" i="12"/>
  <c r="A902" i="12"/>
  <c r="B902" i="12"/>
  <c r="C902" i="12"/>
  <c r="A901" i="12"/>
  <c r="B901" i="12"/>
  <c r="C901" i="12"/>
  <c r="A900" i="12"/>
  <c r="B900" i="12"/>
  <c r="C900" i="12"/>
  <c r="A899" i="12"/>
  <c r="B899" i="12"/>
  <c r="C899" i="12"/>
  <c r="A898" i="12"/>
  <c r="B898" i="12"/>
  <c r="C898" i="12"/>
  <c r="A897" i="12"/>
  <c r="B897" i="12"/>
  <c r="C897" i="12"/>
  <c r="A896" i="12"/>
  <c r="B896" i="12"/>
  <c r="C896" i="12"/>
  <c r="A895" i="12"/>
  <c r="B895" i="12"/>
  <c r="C895" i="12"/>
  <c r="A894" i="12"/>
  <c r="B894" i="12"/>
  <c r="C894" i="12"/>
  <c r="A893" i="12"/>
  <c r="B893" i="12"/>
  <c r="C893" i="12"/>
  <c r="A892" i="12"/>
  <c r="B892" i="12"/>
  <c r="C892" i="12"/>
  <c r="A891" i="12"/>
  <c r="B891" i="12"/>
  <c r="C891" i="12"/>
  <c r="A890" i="12"/>
  <c r="B890" i="12"/>
  <c r="C890" i="12"/>
  <c r="A889" i="12"/>
  <c r="B889" i="12"/>
  <c r="C889" i="12"/>
  <c r="A888" i="12"/>
  <c r="B888" i="12"/>
  <c r="C888" i="12"/>
  <c r="A887" i="12"/>
  <c r="B887" i="12"/>
  <c r="C887" i="12"/>
  <c r="A886" i="12"/>
  <c r="B886" i="12"/>
  <c r="C886" i="12"/>
  <c r="A885" i="12"/>
  <c r="B885" i="12"/>
  <c r="C885" i="12"/>
  <c r="A884" i="12"/>
  <c r="B884" i="12"/>
  <c r="C884" i="12"/>
  <c r="A883" i="12"/>
  <c r="B883" i="12"/>
  <c r="C883" i="12"/>
  <c r="A882" i="12"/>
  <c r="B882" i="12"/>
  <c r="C882" i="12"/>
  <c r="A881" i="12"/>
  <c r="B881" i="12"/>
  <c r="C881" i="12"/>
  <c r="A880" i="12"/>
  <c r="B880" i="12"/>
  <c r="C880" i="12"/>
  <c r="A879" i="12"/>
  <c r="B879" i="12"/>
  <c r="C879" i="12"/>
  <c r="A878" i="12"/>
  <c r="B878" i="12"/>
  <c r="C878" i="12"/>
  <c r="A877" i="12"/>
  <c r="B877" i="12"/>
  <c r="C877" i="12"/>
  <c r="A876" i="12"/>
  <c r="B876" i="12"/>
  <c r="C876" i="12"/>
  <c r="A875" i="12"/>
  <c r="B875" i="12"/>
  <c r="C875" i="12"/>
  <c r="A874" i="12"/>
  <c r="B874" i="12"/>
  <c r="C874" i="12"/>
  <c r="A873" i="12"/>
  <c r="B873" i="12"/>
  <c r="C873" i="12"/>
  <c r="A872" i="12"/>
  <c r="B872" i="12"/>
  <c r="C872" i="12"/>
  <c r="A871" i="12"/>
  <c r="B871" i="12"/>
  <c r="C871" i="12"/>
  <c r="A870" i="12"/>
  <c r="B870" i="12"/>
  <c r="C870" i="12"/>
  <c r="A869" i="12"/>
  <c r="B869" i="12"/>
  <c r="C869" i="12"/>
  <c r="A868" i="12"/>
  <c r="B868" i="12"/>
  <c r="C868" i="12"/>
  <c r="A867" i="12"/>
  <c r="B867" i="12"/>
  <c r="C867" i="12"/>
  <c r="A866" i="12"/>
  <c r="B866" i="12"/>
  <c r="C866" i="12"/>
  <c r="A865" i="12"/>
  <c r="B865" i="12"/>
  <c r="C865" i="12"/>
  <c r="A864" i="12"/>
  <c r="B864" i="12"/>
  <c r="C864" i="12"/>
  <c r="A863" i="12"/>
  <c r="B863" i="12"/>
  <c r="C863" i="12"/>
  <c r="A862" i="12"/>
  <c r="B862" i="12"/>
  <c r="C862" i="12"/>
  <c r="A861" i="12"/>
  <c r="B861" i="12"/>
  <c r="C861" i="12"/>
  <c r="A860" i="12"/>
  <c r="B860" i="12"/>
  <c r="C860" i="12"/>
  <c r="A859" i="12"/>
  <c r="B859" i="12"/>
  <c r="C859" i="12"/>
  <c r="A858" i="12"/>
  <c r="B858" i="12"/>
  <c r="C858" i="12"/>
  <c r="A857" i="12"/>
  <c r="B857" i="12"/>
  <c r="C857" i="12"/>
  <c r="A856" i="12"/>
  <c r="B856" i="12"/>
  <c r="C856" i="12"/>
  <c r="A855" i="12"/>
  <c r="B855" i="12"/>
  <c r="C855" i="12"/>
  <c r="A854" i="12"/>
  <c r="B854" i="12"/>
  <c r="C854" i="12"/>
  <c r="A853" i="12"/>
  <c r="B853" i="12"/>
  <c r="C853" i="12"/>
  <c r="A852" i="12"/>
  <c r="B852" i="12"/>
  <c r="C852" i="12"/>
  <c r="A851" i="12"/>
  <c r="B851" i="12"/>
  <c r="C851" i="12"/>
  <c r="A850" i="12"/>
  <c r="B850" i="12"/>
  <c r="C850" i="12"/>
  <c r="A849" i="12"/>
  <c r="B849" i="12"/>
  <c r="C849" i="12"/>
  <c r="A848" i="12"/>
  <c r="B848" i="12"/>
  <c r="C848" i="12"/>
  <c r="A847" i="12"/>
  <c r="B847" i="12"/>
  <c r="C847" i="12"/>
  <c r="A846" i="12"/>
  <c r="B846" i="12"/>
  <c r="C846" i="12"/>
  <c r="A845" i="12"/>
  <c r="B845" i="12"/>
  <c r="C845" i="12"/>
  <c r="A844" i="12"/>
  <c r="B844" i="12"/>
  <c r="C844" i="12"/>
  <c r="A843" i="12"/>
  <c r="B843" i="12"/>
  <c r="C843" i="12"/>
  <c r="A842" i="12"/>
  <c r="B842" i="12"/>
  <c r="C842" i="12"/>
  <c r="A841" i="12"/>
  <c r="B841" i="12"/>
  <c r="C841" i="12"/>
  <c r="A840" i="12"/>
  <c r="B840" i="12"/>
  <c r="C840" i="12"/>
  <c r="A839" i="12"/>
  <c r="B839" i="12"/>
  <c r="C839" i="12"/>
  <c r="A838" i="12"/>
  <c r="B838" i="12"/>
  <c r="C838" i="12"/>
  <c r="A837" i="12"/>
  <c r="B837" i="12"/>
  <c r="C837" i="12"/>
  <c r="A836" i="12"/>
  <c r="B836" i="12"/>
  <c r="C836" i="12"/>
  <c r="A835" i="12"/>
  <c r="B835" i="12"/>
  <c r="C835" i="12"/>
  <c r="A834" i="12"/>
  <c r="B834" i="12"/>
  <c r="C834" i="12"/>
  <c r="A833" i="12"/>
  <c r="B833" i="12"/>
  <c r="C833" i="12"/>
  <c r="A832" i="12"/>
  <c r="B832" i="12"/>
  <c r="C832" i="12"/>
  <c r="A831" i="12"/>
  <c r="B831" i="12"/>
  <c r="C831" i="12"/>
  <c r="A830" i="12"/>
  <c r="B830" i="12"/>
  <c r="C830" i="12"/>
  <c r="A829" i="12"/>
  <c r="B829" i="12"/>
  <c r="C829" i="12"/>
  <c r="A828" i="12"/>
  <c r="B828" i="12"/>
  <c r="C828" i="12"/>
  <c r="A827" i="12"/>
  <c r="B827" i="12"/>
  <c r="C827" i="12"/>
  <c r="A826" i="12"/>
  <c r="B826" i="12"/>
  <c r="C826" i="12"/>
  <c r="A825" i="12"/>
  <c r="B825" i="12"/>
  <c r="C825" i="12"/>
  <c r="A824" i="12"/>
  <c r="B824" i="12"/>
  <c r="C824" i="12"/>
  <c r="A823" i="12"/>
  <c r="B823" i="12"/>
  <c r="C823" i="12"/>
  <c r="A822" i="12"/>
  <c r="B822" i="12"/>
  <c r="C822" i="12"/>
  <c r="A821" i="12"/>
  <c r="B821" i="12"/>
  <c r="C821" i="12"/>
  <c r="A820" i="12"/>
  <c r="B820" i="12"/>
  <c r="C820" i="12"/>
  <c r="A819" i="12"/>
  <c r="B819" i="12"/>
  <c r="C819" i="12"/>
  <c r="A818" i="12"/>
  <c r="B818" i="12"/>
  <c r="C818" i="12"/>
  <c r="A817" i="12"/>
  <c r="B817" i="12"/>
  <c r="C817" i="12"/>
  <c r="A816" i="12"/>
  <c r="B816" i="12"/>
  <c r="C816" i="12"/>
  <c r="A815" i="12"/>
  <c r="B815" i="12"/>
  <c r="C815" i="12"/>
  <c r="A814" i="12"/>
  <c r="B814" i="12"/>
  <c r="C814" i="12"/>
  <c r="A813" i="12"/>
  <c r="B813" i="12"/>
  <c r="C813" i="12"/>
  <c r="A812" i="12"/>
  <c r="B812" i="12"/>
  <c r="C812" i="12"/>
  <c r="A811" i="12"/>
  <c r="B811" i="12"/>
  <c r="C811" i="12"/>
  <c r="A810" i="12"/>
  <c r="B810" i="12"/>
  <c r="C810" i="12"/>
  <c r="A809" i="12"/>
  <c r="B809" i="12"/>
  <c r="C809" i="12"/>
  <c r="A808" i="12"/>
  <c r="B808" i="12"/>
  <c r="C808" i="12"/>
  <c r="A807" i="12"/>
  <c r="B807" i="12"/>
  <c r="C807" i="12"/>
  <c r="A806" i="12"/>
  <c r="B806" i="12"/>
  <c r="C806" i="12"/>
  <c r="A805" i="12"/>
  <c r="B805" i="12"/>
  <c r="C805" i="12"/>
  <c r="A804" i="12"/>
  <c r="B804" i="12"/>
  <c r="C804" i="12"/>
  <c r="A803" i="12"/>
  <c r="B803" i="12"/>
  <c r="C803" i="12"/>
  <c r="A802" i="12"/>
  <c r="B802" i="12"/>
  <c r="C802" i="12"/>
  <c r="A801" i="12"/>
  <c r="B801" i="12"/>
  <c r="C801" i="12"/>
  <c r="A800" i="12"/>
  <c r="B800" i="12"/>
  <c r="C800" i="12"/>
  <c r="A799" i="12"/>
  <c r="B799" i="12"/>
  <c r="C799" i="12"/>
  <c r="A798" i="12"/>
  <c r="B798" i="12"/>
  <c r="C798" i="12"/>
  <c r="A797" i="12"/>
  <c r="B797" i="12"/>
  <c r="C797" i="12"/>
  <c r="A796" i="12"/>
  <c r="B796" i="12"/>
  <c r="C796" i="12"/>
  <c r="A795" i="12"/>
  <c r="B795" i="12"/>
  <c r="C795" i="12"/>
  <c r="A794" i="12"/>
  <c r="B794" i="12"/>
  <c r="C794" i="12"/>
  <c r="A793" i="12"/>
  <c r="B793" i="12"/>
  <c r="C793" i="12"/>
  <c r="A792" i="12"/>
  <c r="B792" i="12"/>
  <c r="C792" i="12"/>
  <c r="A791" i="12"/>
  <c r="B791" i="12"/>
  <c r="C791" i="12"/>
  <c r="A790" i="12"/>
  <c r="B790" i="12"/>
  <c r="C790" i="12"/>
  <c r="A789" i="12"/>
  <c r="B789" i="12"/>
  <c r="C789" i="12"/>
  <c r="A788" i="12"/>
  <c r="B788" i="12"/>
  <c r="C788" i="12"/>
  <c r="A787" i="12"/>
  <c r="B787" i="12"/>
  <c r="C787" i="12"/>
  <c r="A786" i="12"/>
  <c r="B786" i="12"/>
  <c r="C786" i="12"/>
  <c r="A785" i="12"/>
  <c r="B785" i="12"/>
  <c r="C785" i="12"/>
  <c r="A784" i="12"/>
  <c r="B784" i="12"/>
  <c r="C784" i="12"/>
  <c r="A783" i="12"/>
  <c r="B783" i="12"/>
  <c r="C783" i="12"/>
  <c r="A782" i="12"/>
  <c r="B782" i="12"/>
  <c r="C782" i="12"/>
  <c r="A781" i="12"/>
  <c r="B781" i="12"/>
  <c r="C781" i="12"/>
  <c r="A780" i="12"/>
  <c r="B780" i="12"/>
  <c r="C780" i="12"/>
  <c r="A779" i="12"/>
  <c r="B779" i="12"/>
  <c r="C779" i="12"/>
  <c r="A778" i="12"/>
  <c r="B778" i="12"/>
  <c r="C778" i="12"/>
  <c r="A777" i="12"/>
  <c r="B777" i="12"/>
  <c r="C777" i="12"/>
  <c r="A776" i="12"/>
  <c r="B776" i="12"/>
  <c r="C776" i="12"/>
  <c r="A775" i="12"/>
  <c r="B775" i="12"/>
  <c r="C775" i="12"/>
  <c r="A774" i="12"/>
  <c r="B774" i="12"/>
  <c r="C774" i="12"/>
  <c r="A773" i="12"/>
  <c r="B773" i="12"/>
  <c r="C773" i="12"/>
  <c r="A772" i="12"/>
  <c r="B772" i="12"/>
  <c r="C772" i="12"/>
  <c r="A771" i="12"/>
  <c r="B771" i="12"/>
  <c r="C771" i="12"/>
  <c r="A770" i="12"/>
  <c r="B770" i="12"/>
  <c r="C770" i="12"/>
  <c r="A769" i="12"/>
  <c r="B769" i="12"/>
  <c r="C769" i="12"/>
  <c r="A768" i="12"/>
  <c r="B768" i="12"/>
  <c r="C768" i="12"/>
  <c r="A767" i="12"/>
  <c r="B767" i="12"/>
  <c r="C767" i="12"/>
  <c r="A766" i="12"/>
  <c r="B766" i="12"/>
  <c r="C766" i="12"/>
  <c r="A765" i="12"/>
  <c r="B765" i="12"/>
  <c r="C765" i="12"/>
  <c r="A764" i="12"/>
  <c r="B764" i="12"/>
  <c r="C764" i="12"/>
  <c r="A763" i="12"/>
  <c r="B763" i="12"/>
  <c r="C763" i="12"/>
  <c r="A762" i="12"/>
  <c r="B762" i="12"/>
  <c r="C762" i="12"/>
  <c r="A761" i="12"/>
  <c r="B761" i="12"/>
  <c r="C761" i="12"/>
  <c r="A760" i="12"/>
  <c r="B760" i="12"/>
  <c r="C760" i="12"/>
  <c r="A759" i="12"/>
  <c r="B759" i="12"/>
  <c r="C759" i="12"/>
  <c r="A758" i="12"/>
  <c r="B758" i="12"/>
  <c r="C758" i="12"/>
  <c r="A757" i="12"/>
  <c r="B757" i="12"/>
  <c r="C757" i="12"/>
  <c r="A756" i="12"/>
  <c r="B756" i="12"/>
  <c r="C756" i="12"/>
  <c r="A755" i="12"/>
  <c r="B755" i="12"/>
  <c r="C755" i="12"/>
  <c r="A754" i="12"/>
  <c r="B754" i="12"/>
  <c r="C754" i="12"/>
  <c r="A753" i="12"/>
  <c r="B753" i="12"/>
  <c r="C753" i="12"/>
  <c r="A752" i="12"/>
  <c r="B752" i="12"/>
  <c r="C752" i="12"/>
  <c r="A751" i="12"/>
  <c r="B751" i="12"/>
  <c r="C751" i="12"/>
  <c r="A750" i="12"/>
  <c r="B750" i="12"/>
  <c r="C750" i="12"/>
  <c r="A749" i="12"/>
  <c r="B749" i="12"/>
  <c r="C749" i="12"/>
  <c r="A748" i="12"/>
  <c r="B748" i="12"/>
  <c r="C748" i="12"/>
  <c r="A747" i="12"/>
  <c r="B747" i="12"/>
  <c r="C747" i="12"/>
  <c r="A746" i="12"/>
  <c r="B746" i="12"/>
  <c r="C746" i="12"/>
  <c r="A745" i="12"/>
  <c r="B745" i="12"/>
  <c r="C745" i="12"/>
  <c r="A744" i="12"/>
  <c r="B744" i="12"/>
  <c r="C744" i="12"/>
  <c r="A743" i="12"/>
  <c r="B743" i="12"/>
  <c r="C743" i="12"/>
  <c r="A742" i="12"/>
  <c r="B742" i="12"/>
  <c r="C742" i="12"/>
  <c r="A741" i="12"/>
  <c r="B741" i="12"/>
  <c r="C741" i="12"/>
  <c r="A740" i="12"/>
  <c r="B740" i="12"/>
  <c r="C740" i="12"/>
  <c r="A739" i="12"/>
  <c r="B739" i="12"/>
  <c r="C739" i="12"/>
  <c r="A738" i="12"/>
  <c r="B738" i="12"/>
  <c r="C738" i="12"/>
  <c r="A737" i="12"/>
  <c r="B737" i="12"/>
  <c r="C737" i="12"/>
  <c r="A736" i="12"/>
  <c r="B736" i="12"/>
  <c r="C736" i="12"/>
  <c r="A735" i="12"/>
  <c r="B735" i="12"/>
  <c r="C735" i="12"/>
  <c r="A734" i="12"/>
  <c r="B734" i="12"/>
  <c r="C734" i="12"/>
  <c r="A733" i="12"/>
  <c r="B733" i="12"/>
  <c r="C733" i="12"/>
  <c r="A732" i="12"/>
  <c r="B732" i="12"/>
  <c r="C732" i="12"/>
  <c r="A731" i="12"/>
  <c r="B731" i="12"/>
  <c r="C731" i="12"/>
  <c r="A730" i="12"/>
  <c r="B730" i="12"/>
  <c r="C730" i="12"/>
  <c r="A729" i="12"/>
  <c r="B729" i="12"/>
  <c r="C729" i="12"/>
  <c r="A728" i="12"/>
  <c r="B728" i="12"/>
  <c r="C728" i="12"/>
  <c r="A727" i="12"/>
  <c r="B727" i="12"/>
  <c r="C727" i="12"/>
  <c r="A726" i="12"/>
  <c r="B726" i="12"/>
  <c r="C726" i="12"/>
  <c r="A725" i="12"/>
  <c r="B725" i="12"/>
  <c r="C725" i="12"/>
  <c r="A724" i="12"/>
  <c r="B724" i="12"/>
  <c r="C724" i="12"/>
  <c r="A723" i="12"/>
  <c r="B723" i="12"/>
  <c r="C723" i="12"/>
  <c r="A722" i="12"/>
  <c r="B722" i="12"/>
  <c r="C722" i="12"/>
  <c r="A721" i="12"/>
  <c r="B721" i="12"/>
  <c r="C721" i="12"/>
  <c r="A720" i="12"/>
  <c r="B720" i="12"/>
  <c r="C720" i="12"/>
  <c r="A719" i="12"/>
  <c r="B719" i="12"/>
  <c r="C719" i="12"/>
  <c r="A718" i="12"/>
  <c r="B718" i="12"/>
  <c r="C718" i="12"/>
  <c r="A717" i="12"/>
  <c r="B717" i="12"/>
  <c r="C717" i="12"/>
  <c r="A716" i="12"/>
  <c r="B716" i="12"/>
  <c r="C716" i="12"/>
  <c r="A715" i="12"/>
  <c r="B715" i="12"/>
  <c r="C715" i="12"/>
  <c r="A714" i="12"/>
  <c r="B714" i="12"/>
  <c r="C714" i="12"/>
  <c r="A713" i="12"/>
  <c r="B713" i="12"/>
  <c r="C713" i="12"/>
  <c r="A712" i="12"/>
  <c r="B712" i="12"/>
  <c r="C712" i="12"/>
  <c r="A711" i="12"/>
  <c r="B711" i="12"/>
  <c r="C711" i="12"/>
  <c r="A710" i="12"/>
  <c r="B710" i="12"/>
  <c r="C710" i="12"/>
  <c r="A709" i="12"/>
  <c r="B709" i="12"/>
  <c r="C709" i="12"/>
  <c r="A708" i="12"/>
  <c r="B708" i="12"/>
  <c r="C708" i="12"/>
  <c r="A707" i="12"/>
  <c r="B707" i="12"/>
  <c r="C707" i="12"/>
  <c r="A706" i="12"/>
  <c r="B706" i="12"/>
  <c r="C706" i="12"/>
  <c r="A705" i="12"/>
  <c r="B705" i="12"/>
  <c r="C705" i="12"/>
  <c r="A704" i="12"/>
  <c r="B704" i="12"/>
  <c r="C704" i="12"/>
  <c r="A703" i="12"/>
  <c r="B703" i="12"/>
  <c r="C703" i="12"/>
  <c r="A702" i="12"/>
  <c r="B702" i="12"/>
  <c r="C702" i="12"/>
  <c r="A701" i="12"/>
  <c r="B701" i="12"/>
  <c r="C701" i="12"/>
  <c r="A700" i="12"/>
  <c r="B700" i="12"/>
  <c r="C700" i="12"/>
  <c r="A699" i="12"/>
  <c r="B699" i="12"/>
  <c r="C699" i="12"/>
  <c r="A698" i="12"/>
  <c r="B698" i="12"/>
  <c r="C698" i="12"/>
  <c r="A697" i="12"/>
  <c r="B697" i="12"/>
  <c r="C697" i="12"/>
  <c r="A696" i="12"/>
  <c r="B696" i="12"/>
  <c r="C696" i="12"/>
  <c r="A695" i="12"/>
  <c r="B695" i="12"/>
  <c r="C695" i="12"/>
  <c r="A694" i="12"/>
  <c r="B694" i="12"/>
  <c r="C694" i="12"/>
  <c r="A693" i="12"/>
  <c r="B693" i="12"/>
  <c r="C693" i="12"/>
  <c r="A692" i="12"/>
  <c r="B692" i="12"/>
  <c r="C692" i="12"/>
  <c r="A691" i="12"/>
  <c r="B691" i="12"/>
  <c r="C691" i="12"/>
  <c r="A690" i="12"/>
  <c r="B690" i="12"/>
  <c r="C690" i="12"/>
  <c r="A689" i="12"/>
  <c r="B689" i="12"/>
  <c r="C689" i="12"/>
  <c r="A688" i="12"/>
  <c r="B688" i="12"/>
  <c r="C688" i="12"/>
  <c r="A687" i="12"/>
  <c r="B687" i="12"/>
  <c r="C687" i="12"/>
  <c r="A686" i="12"/>
  <c r="B686" i="12"/>
  <c r="C686" i="12"/>
  <c r="A685" i="12"/>
  <c r="B685" i="12"/>
  <c r="C685" i="12"/>
  <c r="A684" i="12"/>
  <c r="B684" i="12"/>
  <c r="C684" i="12"/>
  <c r="A683" i="12"/>
  <c r="B683" i="12"/>
  <c r="C683" i="12"/>
  <c r="A682" i="12"/>
  <c r="B682" i="12"/>
  <c r="C682" i="12"/>
  <c r="A681" i="12"/>
  <c r="B681" i="12"/>
  <c r="C681" i="12"/>
  <c r="A680" i="12"/>
  <c r="B680" i="12"/>
  <c r="C680" i="12"/>
  <c r="A679" i="12"/>
  <c r="B679" i="12"/>
  <c r="C679" i="12"/>
  <c r="A678" i="12"/>
  <c r="B678" i="12"/>
  <c r="C678" i="12"/>
  <c r="A677" i="12"/>
  <c r="B677" i="12"/>
  <c r="C677" i="12"/>
  <c r="A676" i="12"/>
  <c r="B676" i="12"/>
  <c r="C676" i="12"/>
  <c r="A675" i="12"/>
  <c r="B675" i="12"/>
  <c r="C675" i="12"/>
  <c r="A674" i="12"/>
  <c r="B674" i="12"/>
  <c r="C674" i="12"/>
  <c r="A673" i="12"/>
  <c r="B673" i="12"/>
  <c r="C673" i="12"/>
  <c r="A672" i="12"/>
  <c r="B672" i="12"/>
  <c r="C672" i="12"/>
  <c r="A671" i="12"/>
  <c r="B671" i="12"/>
  <c r="C671" i="12"/>
  <c r="A670" i="12"/>
  <c r="B670" i="12"/>
  <c r="C670" i="12"/>
  <c r="A669" i="12"/>
  <c r="B669" i="12"/>
  <c r="C669" i="12"/>
  <c r="A668" i="12"/>
  <c r="B668" i="12"/>
  <c r="C668" i="12"/>
  <c r="A667" i="12"/>
  <c r="B667" i="12"/>
  <c r="C667" i="12"/>
  <c r="A666" i="12"/>
  <c r="B666" i="12"/>
  <c r="C666" i="12"/>
  <c r="A665" i="12"/>
  <c r="B665" i="12"/>
  <c r="C665" i="12"/>
  <c r="A664" i="12"/>
  <c r="B664" i="12"/>
  <c r="C664" i="12"/>
  <c r="A663" i="12"/>
  <c r="B663" i="12"/>
  <c r="C663" i="12"/>
  <c r="A662" i="12"/>
  <c r="B662" i="12"/>
  <c r="C662" i="12"/>
  <c r="A661" i="12"/>
  <c r="B661" i="12"/>
  <c r="C661" i="12"/>
  <c r="A660" i="12"/>
  <c r="B660" i="12"/>
  <c r="C660" i="12"/>
  <c r="A659" i="12"/>
  <c r="B659" i="12"/>
  <c r="C659" i="12"/>
  <c r="A658" i="12"/>
  <c r="B658" i="12"/>
  <c r="C658" i="12"/>
  <c r="A657" i="12"/>
  <c r="B657" i="12"/>
  <c r="C657" i="12"/>
  <c r="A656" i="12"/>
  <c r="B656" i="12"/>
  <c r="C656" i="12"/>
  <c r="A655" i="12"/>
  <c r="B655" i="12"/>
  <c r="C655" i="12"/>
  <c r="A654" i="12"/>
  <c r="B654" i="12"/>
  <c r="C654" i="12"/>
  <c r="A653" i="12"/>
  <c r="B653" i="12"/>
  <c r="C653" i="12"/>
  <c r="A652" i="12"/>
  <c r="B652" i="12"/>
  <c r="C652" i="12"/>
  <c r="A651" i="12"/>
  <c r="B651" i="12"/>
  <c r="C651" i="12"/>
  <c r="A650" i="12"/>
  <c r="B650" i="12"/>
  <c r="C650" i="12"/>
  <c r="A649" i="12"/>
  <c r="B649" i="12"/>
  <c r="C649" i="12"/>
  <c r="A648" i="12"/>
  <c r="B648" i="12"/>
  <c r="C648" i="12"/>
  <c r="A647" i="12"/>
  <c r="B647" i="12"/>
  <c r="C647" i="12"/>
  <c r="A646" i="12"/>
  <c r="B646" i="12"/>
  <c r="C646" i="12"/>
  <c r="A645" i="12"/>
  <c r="B645" i="12"/>
  <c r="C645" i="12"/>
  <c r="A644" i="12"/>
  <c r="B644" i="12"/>
  <c r="C644" i="12"/>
  <c r="A643" i="12"/>
  <c r="B643" i="12"/>
  <c r="C643" i="12"/>
  <c r="A642" i="12"/>
  <c r="B642" i="12"/>
  <c r="C642" i="12"/>
  <c r="A641" i="12"/>
  <c r="B641" i="12"/>
  <c r="C641" i="12"/>
  <c r="A640" i="12"/>
  <c r="B640" i="12"/>
  <c r="C640" i="12"/>
  <c r="A639" i="12"/>
  <c r="B639" i="12"/>
  <c r="C639" i="12"/>
  <c r="A638" i="12"/>
  <c r="B638" i="12"/>
  <c r="C638" i="12"/>
  <c r="A637" i="12"/>
  <c r="B637" i="12"/>
  <c r="C637" i="12"/>
  <c r="A636" i="12"/>
  <c r="B636" i="12"/>
  <c r="C636" i="12"/>
  <c r="A635" i="12"/>
  <c r="B635" i="12"/>
  <c r="C635" i="12"/>
  <c r="A634" i="12"/>
  <c r="B634" i="12"/>
  <c r="C634" i="12"/>
  <c r="A633" i="12"/>
  <c r="B633" i="12"/>
  <c r="C633" i="12"/>
  <c r="A632" i="12"/>
  <c r="B632" i="12"/>
  <c r="C632" i="12"/>
  <c r="A631" i="12"/>
  <c r="B631" i="12"/>
  <c r="C631" i="12"/>
  <c r="A630" i="12"/>
  <c r="B630" i="12"/>
  <c r="C630" i="12"/>
  <c r="A629" i="12"/>
  <c r="B629" i="12"/>
  <c r="C629" i="12"/>
  <c r="A628" i="12"/>
  <c r="B628" i="12"/>
  <c r="C628" i="12"/>
  <c r="A627" i="12"/>
  <c r="B627" i="12"/>
  <c r="C627" i="12"/>
  <c r="A626" i="12"/>
  <c r="B626" i="12"/>
  <c r="C626" i="12"/>
  <c r="A625" i="12"/>
  <c r="B625" i="12"/>
  <c r="C625" i="12"/>
  <c r="A624" i="12"/>
  <c r="B624" i="12"/>
  <c r="C624" i="12"/>
  <c r="A623" i="12"/>
  <c r="B623" i="12"/>
  <c r="C623" i="12"/>
  <c r="A622" i="12"/>
  <c r="B622" i="12"/>
  <c r="C622" i="12"/>
  <c r="A621" i="12"/>
  <c r="B621" i="12"/>
  <c r="C621" i="12"/>
  <c r="A620" i="12"/>
  <c r="B620" i="12"/>
  <c r="C620" i="12"/>
  <c r="A619" i="12"/>
  <c r="B619" i="12"/>
  <c r="C619" i="12"/>
  <c r="A618" i="12"/>
  <c r="B618" i="12"/>
  <c r="C618" i="12"/>
  <c r="A617" i="12"/>
  <c r="B617" i="12"/>
  <c r="C617" i="12"/>
  <c r="A616" i="12"/>
  <c r="B616" i="12"/>
  <c r="C616" i="12"/>
  <c r="A615" i="12"/>
  <c r="B615" i="12"/>
  <c r="C615" i="12"/>
  <c r="A614" i="12"/>
  <c r="B614" i="12"/>
  <c r="C614" i="12"/>
  <c r="A613" i="12"/>
  <c r="B613" i="12"/>
  <c r="C613" i="12"/>
  <c r="A612" i="12"/>
  <c r="B612" i="12"/>
  <c r="C612" i="12"/>
  <c r="A611" i="12"/>
  <c r="B611" i="12"/>
  <c r="C611" i="12"/>
  <c r="A610" i="12"/>
  <c r="B610" i="12"/>
  <c r="C610" i="12"/>
  <c r="A609" i="12"/>
  <c r="B609" i="12"/>
  <c r="C609" i="12"/>
  <c r="A608" i="12"/>
  <c r="B608" i="12"/>
  <c r="C608" i="12"/>
  <c r="A607" i="12"/>
  <c r="B607" i="12"/>
  <c r="C607" i="12"/>
  <c r="A606" i="12"/>
  <c r="B606" i="12"/>
  <c r="C606" i="12"/>
  <c r="A605" i="12"/>
  <c r="B605" i="12"/>
  <c r="C605" i="12"/>
  <c r="A604" i="12"/>
  <c r="B604" i="12"/>
  <c r="C604" i="12"/>
  <c r="A603" i="12"/>
  <c r="B603" i="12"/>
  <c r="C603" i="12"/>
  <c r="A602" i="12"/>
  <c r="B602" i="12"/>
  <c r="C602" i="12"/>
  <c r="A601" i="12"/>
  <c r="B601" i="12"/>
  <c r="C601" i="12"/>
  <c r="A600" i="12"/>
  <c r="B600" i="12"/>
  <c r="C600" i="12"/>
  <c r="A599" i="12"/>
  <c r="B599" i="12"/>
  <c r="C599" i="12"/>
  <c r="A598" i="12"/>
  <c r="B598" i="12"/>
  <c r="C598" i="12"/>
  <c r="A597" i="12"/>
  <c r="B597" i="12"/>
  <c r="C597" i="12"/>
  <c r="A596" i="12"/>
  <c r="B596" i="12"/>
  <c r="C596" i="12"/>
  <c r="A595" i="12"/>
  <c r="B595" i="12"/>
  <c r="C595" i="12"/>
  <c r="A594" i="12"/>
  <c r="B594" i="12"/>
  <c r="C594" i="12"/>
  <c r="A593" i="12"/>
  <c r="B593" i="12"/>
  <c r="C593" i="12"/>
  <c r="A592" i="12"/>
  <c r="B592" i="12"/>
  <c r="C592" i="12"/>
  <c r="A591" i="12"/>
  <c r="B591" i="12"/>
  <c r="C591" i="12"/>
  <c r="A590" i="12"/>
  <c r="B590" i="12"/>
  <c r="C590" i="12"/>
  <c r="A589" i="12"/>
  <c r="B589" i="12"/>
  <c r="C589" i="12"/>
  <c r="A588" i="12"/>
  <c r="B588" i="12"/>
  <c r="C588" i="12"/>
  <c r="A587" i="12"/>
  <c r="B587" i="12"/>
  <c r="C587" i="12"/>
  <c r="A586" i="12"/>
  <c r="B586" i="12"/>
  <c r="C586" i="12"/>
  <c r="A585" i="12"/>
  <c r="B585" i="12"/>
  <c r="C585" i="12"/>
  <c r="A584" i="12"/>
  <c r="B584" i="12"/>
  <c r="C584" i="12"/>
  <c r="A583" i="12"/>
  <c r="B583" i="12"/>
  <c r="C583" i="12"/>
  <c r="A582" i="12"/>
  <c r="B582" i="12"/>
  <c r="C582" i="12"/>
  <c r="A581" i="12"/>
  <c r="B581" i="12"/>
  <c r="C581" i="12"/>
  <c r="A580" i="12"/>
  <c r="B580" i="12"/>
  <c r="C580" i="12"/>
  <c r="A579" i="12"/>
  <c r="B579" i="12"/>
  <c r="C579" i="12"/>
  <c r="A578" i="12"/>
  <c r="B578" i="12"/>
  <c r="C578" i="12"/>
  <c r="A577" i="12"/>
  <c r="B577" i="12"/>
  <c r="C577" i="12"/>
  <c r="A576" i="12"/>
  <c r="B576" i="12"/>
  <c r="C576" i="12"/>
  <c r="A575" i="12"/>
  <c r="B575" i="12"/>
  <c r="C575" i="12"/>
  <c r="A574" i="12"/>
  <c r="B574" i="12"/>
  <c r="C574" i="12"/>
  <c r="A573" i="12"/>
  <c r="B573" i="12"/>
  <c r="C573" i="12"/>
  <c r="A572" i="12"/>
  <c r="B572" i="12"/>
  <c r="C572" i="12"/>
  <c r="A571" i="12"/>
  <c r="B571" i="12"/>
  <c r="C571" i="12"/>
  <c r="A570" i="12"/>
  <c r="B570" i="12"/>
  <c r="C570" i="12"/>
  <c r="A569" i="12"/>
  <c r="B569" i="12"/>
  <c r="C569" i="12"/>
  <c r="A568" i="12"/>
  <c r="B568" i="12"/>
  <c r="C568" i="12"/>
  <c r="A567" i="12"/>
  <c r="B567" i="12"/>
  <c r="C567" i="12"/>
  <c r="A566" i="12"/>
  <c r="B566" i="12"/>
  <c r="C566" i="12"/>
  <c r="A565" i="12"/>
  <c r="B565" i="12"/>
  <c r="C565" i="12"/>
  <c r="A564" i="12"/>
  <c r="B564" i="12"/>
  <c r="C564" i="12"/>
  <c r="A563" i="12"/>
  <c r="B563" i="12"/>
  <c r="C563" i="12"/>
  <c r="A562" i="12"/>
  <c r="B562" i="12"/>
  <c r="C562" i="12"/>
  <c r="A561" i="12"/>
  <c r="B561" i="12"/>
  <c r="C561" i="12"/>
  <c r="A560" i="12"/>
  <c r="B560" i="12"/>
  <c r="C560" i="12"/>
  <c r="A559" i="12"/>
  <c r="B559" i="12"/>
  <c r="C559" i="12"/>
  <c r="A558" i="12"/>
  <c r="B558" i="12"/>
  <c r="C558" i="12"/>
  <c r="A557" i="12"/>
  <c r="B557" i="12"/>
  <c r="C557" i="12"/>
  <c r="A556" i="12"/>
  <c r="B556" i="12"/>
  <c r="C556" i="12"/>
  <c r="A555" i="12"/>
  <c r="B555" i="12"/>
  <c r="C555" i="12"/>
  <c r="A554" i="12"/>
  <c r="B554" i="12"/>
  <c r="C554" i="12"/>
  <c r="A553" i="12"/>
  <c r="B553" i="12"/>
  <c r="C553" i="12"/>
  <c r="A552" i="12"/>
  <c r="B552" i="12"/>
  <c r="C552" i="12"/>
  <c r="A551" i="12"/>
  <c r="B551" i="12"/>
  <c r="C551" i="12"/>
  <c r="A550" i="12"/>
  <c r="B550" i="12"/>
  <c r="C550" i="12"/>
  <c r="A549" i="12"/>
  <c r="B549" i="12"/>
  <c r="C549" i="12"/>
  <c r="A548" i="12"/>
  <c r="B548" i="12"/>
  <c r="C548" i="12"/>
  <c r="A547" i="12"/>
  <c r="B547" i="12"/>
  <c r="C547" i="12"/>
  <c r="A546" i="12"/>
  <c r="B546" i="12"/>
  <c r="C546" i="12"/>
  <c r="A545" i="12"/>
  <c r="B545" i="12"/>
  <c r="C545" i="12"/>
  <c r="A544" i="12"/>
  <c r="B544" i="12"/>
  <c r="C544" i="12"/>
  <c r="A543" i="12"/>
  <c r="B543" i="12"/>
  <c r="C543" i="12"/>
  <c r="A542" i="12"/>
  <c r="B542" i="12"/>
  <c r="C542" i="12"/>
  <c r="A541" i="12"/>
  <c r="B541" i="12"/>
  <c r="C541" i="12"/>
  <c r="A540" i="12"/>
  <c r="B540" i="12"/>
  <c r="C540" i="12"/>
  <c r="A539" i="12"/>
  <c r="B539" i="12"/>
  <c r="C539" i="12"/>
  <c r="A538" i="12"/>
  <c r="B538" i="12"/>
  <c r="C538" i="12"/>
  <c r="A537" i="12"/>
  <c r="B537" i="12"/>
  <c r="C537" i="12"/>
  <c r="A536" i="12"/>
  <c r="B536" i="12"/>
  <c r="C536" i="12"/>
  <c r="A535" i="12"/>
  <c r="B535" i="12"/>
  <c r="C535" i="12"/>
  <c r="A534" i="12"/>
  <c r="B534" i="12"/>
  <c r="C534" i="12"/>
  <c r="A533" i="12"/>
  <c r="B533" i="12"/>
  <c r="C533" i="12"/>
  <c r="A532" i="12"/>
  <c r="B532" i="12"/>
  <c r="C532" i="12"/>
  <c r="A531" i="12"/>
  <c r="B531" i="12"/>
  <c r="C531" i="12"/>
  <c r="A530" i="12"/>
  <c r="B530" i="12"/>
  <c r="C530" i="12"/>
  <c r="A529" i="12"/>
  <c r="B529" i="12"/>
  <c r="C529" i="12"/>
  <c r="A528" i="12"/>
  <c r="B528" i="12"/>
  <c r="C528" i="12"/>
  <c r="A527" i="12"/>
  <c r="B527" i="12"/>
  <c r="C527" i="12"/>
  <c r="A526" i="12"/>
  <c r="B526" i="12"/>
  <c r="C526" i="12"/>
  <c r="A525" i="12"/>
  <c r="B525" i="12"/>
  <c r="C525" i="12"/>
  <c r="A524" i="12"/>
  <c r="B524" i="12"/>
  <c r="C524" i="12"/>
  <c r="A523" i="12"/>
  <c r="B523" i="12"/>
  <c r="C523" i="12"/>
  <c r="A522" i="12"/>
  <c r="B522" i="12"/>
  <c r="C522" i="12"/>
  <c r="A521" i="12"/>
  <c r="B521" i="12"/>
  <c r="C521" i="12"/>
  <c r="A520" i="12"/>
  <c r="B520" i="12"/>
  <c r="C520" i="12"/>
  <c r="A519" i="12"/>
  <c r="B519" i="12"/>
  <c r="C519" i="12"/>
  <c r="A518" i="12"/>
  <c r="B518" i="12"/>
  <c r="C518" i="12"/>
  <c r="A517" i="12"/>
  <c r="B517" i="12"/>
  <c r="C517" i="12"/>
  <c r="A516" i="12"/>
  <c r="B516" i="12"/>
  <c r="C516" i="12"/>
  <c r="A515" i="12"/>
  <c r="B515" i="12"/>
  <c r="C515" i="12"/>
  <c r="A514" i="12"/>
  <c r="B514" i="12"/>
  <c r="C514" i="12"/>
  <c r="A513" i="12"/>
  <c r="B513" i="12"/>
  <c r="C513" i="12"/>
  <c r="A512" i="12"/>
  <c r="B512" i="12"/>
  <c r="C512" i="12"/>
  <c r="A511" i="12"/>
  <c r="B511" i="12"/>
  <c r="C511" i="12"/>
  <c r="A510" i="12"/>
  <c r="B510" i="12"/>
  <c r="C510" i="12"/>
  <c r="A509" i="12"/>
  <c r="B509" i="12"/>
  <c r="C509" i="12"/>
  <c r="A508" i="12"/>
  <c r="B508" i="12"/>
  <c r="C508" i="12"/>
  <c r="A507" i="12"/>
  <c r="B507" i="12"/>
  <c r="C507" i="12"/>
  <c r="A506" i="12"/>
  <c r="B506" i="12"/>
  <c r="C506" i="12"/>
  <c r="A505" i="12"/>
  <c r="B505" i="12"/>
  <c r="C505" i="12"/>
  <c r="A504" i="12"/>
  <c r="B504" i="12"/>
  <c r="C504" i="12"/>
  <c r="A503" i="12"/>
  <c r="B503" i="12"/>
  <c r="C503" i="12"/>
  <c r="A502" i="12"/>
  <c r="B502" i="12"/>
  <c r="C502" i="12"/>
  <c r="A501" i="12"/>
  <c r="B501" i="12"/>
  <c r="C501" i="12"/>
  <c r="A500" i="12"/>
  <c r="B500" i="12"/>
  <c r="C500" i="12"/>
  <c r="A499" i="12"/>
  <c r="B499" i="12"/>
  <c r="C499" i="12"/>
  <c r="A498" i="12"/>
  <c r="B498" i="12"/>
  <c r="C498" i="12"/>
  <c r="A497" i="12"/>
  <c r="B497" i="12"/>
  <c r="C497" i="12"/>
  <c r="A496" i="12"/>
  <c r="B496" i="12"/>
  <c r="C496" i="12"/>
  <c r="A495" i="12"/>
  <c r="B495" i="12"/>
  <c r="C495" i="12"/>
  <c r="A494" i="12"/>
  <c r="B494" i="12"/>
  <c r="C494" i="12"/>
  <c r="A493" i="12"/>
  <c r="B493" i="12"/>
  <c r="C493" i="12"/>
  <c r="A492" i="12"/>
  <c r="B492" i="12"/>
  <c r="C492" i="12"/>
  <c r="A491" i="12"/>
  <c r="B491" i="12"/>
  <c r="C491" i="12"/>
  <c r="A490" i="12"/>
  <c r="B490" i="12"/>
  <c r="C490" i="12"/>
  <c r="A489" i="12"/>
  <c r="B489" i="12"/>
  <c r="C489" i="12"/>
  <c r="A488" i="12"/>
  <c r="B488" i="12"/>
  <c r="C488" i="12"/>
  <c r="A487" i="12"/>
  <c r="B487" i="12"/>
  <c r="C487" i="12"/>
  <c r="A486" i="12"/>
  <c r="B486" i="12"/>
  <c r="C486" i="12"/>
  <c r="A485" i="12"/>
  <c r="B485" i="12"/>
  <c r="C485" i="12"/>
  <c r="A484" i="12"/>
  <c r="B484" i="12"/>
  <c r="C484" i="12"/>
  <c r="A483" i="12"/>
  <c r="B483" i="12"/>
  <c r="C483" i="12"/>
  <c r="A482" i="12"/>
  <c r="B482" i="12"/>
  <c r="C482" i="12"/>
  <c r="A481" i="12"/>
  <c r="B481" i="12"/>
  <c r="C481" i="12"/>
  <c r="A480" i="12"/>
  <c r="B480" i="12"/>
  <c r="C480" i="12"/>
  <c r="A479" i="12"/>
  <c r="B479" i="12"/>
  <c r="C479" i="12"/>
  <c r="A478" i="12"/>
  <c r="B478" i="12"/>
  <c r="C478" i="12"/>
  <c r="A477" i="12"/>
  <c r="B477" i="12"/>
  <c r="C477" i="12"/>
  <c r="A476" i="12"/>
  <c r="B476" i="12"/>
  <c r="C476" i="12"/>
  <c r="A475" i="12"/>
  <c r="B475" i="12"/>
  <c r="C475" i="12"/>
  <c r="A474" i="12"/>
  <c r="B474" i="12"/>
  <c r="C474" i="12"/>
  <c r="A473" i="12"/>
  <c r="B473" i="12"/>
  <c r="C473" i="12"/>
  <c r="A472" i="12"/>
  <c r="B472" i="12"/>
  <c r="C472" i="12"/>
  <c r="A471" i="12"/>
  <c r="B471" i="12"/>
  <c r="C471" i="12"/>
  <c r="A470" i="12"/>
  <c r="B470" i="12"/>
  <c r="C470" i="12"/>
  <c r="A469" i="12"/>
  <c r="B469" i="12"/>
  <c r="C469" i="12"/>
  <c r="A468" i="12"/>
  <c r="B468" i="12"/>
  <c r="C468" i="12"/>
  <c r="A467" i="12"/>
  <c r="B467" i="12"/>
  <c r="C467" i="12"/>
  <c r="A466" i="12"/>
  <c r="B466" i="12"/>
  <c r="C466" i="12"/>
  <c r="A465" i="12"/>
  <c r="B465" i="12"/>
  <c r="C465" i="12"/>
  <c r="A464" i="12"/>
  <c r="B464" i="12"/>
  <c r="C464" i="12"/>
  <c r="A463" i="12"/>
  <c r="B463" i="12"/>
  <c r="C463" i="12"/>
  <c r="A462" i="12"/>
  <c r="B462" i="12"/>
  <c r="C462" i="12"/>
  <c r="A461" i="12"/>
  <c r="B461" i="12"/>
  <c r="C461" i="12"/>
  <c r="A460" i="12"/>
  <c r="B460" i="12"/>
  <c r="C460" i="12"/>
  <c r="A459" i="12"/>
  <c r="B459" i="12"/>
  <c r="C459" i="12"/>
  <c r="A458" i="12"/>
  <c r="B458" i="12"/>
  <c r="C458" i="12"/>
  <c r="A457" i="12"/>
  <c r="B457" i="12"/>
  <c r="C457" i="12"/>
  <c r="A456" i="12"/>
  <c r="B456" i="12"/>
  <c r="C456" i="12"/>
  <c r="A455" i="12"/>
  <c r="B455" i="12"/>
  <c r="C455" i="12"/>
  <c r="A454" i="12"/>
  <c r="B454" i="12"/>
  <c r="C454" i="12"/>
  <c r="A453" i="12"/>
  <c r="B453" i="12"/>
  <c r="C453" i="12"/>
  <c r="A452" i="12"/>
  <c r="B452" i="12"/>
  <c r="C452" i="12"/>
  <c r="A451" i="12"/>
  <c r="B451" i="12"/>
  <c r="C451" i="12"/>
  <c r="A450" i="12"/>
  <c r="B450" i="12"/>
  <c r="C450" i="12"/>
  <c r="A449" i="12"/>
  <c r="B449" i="12"/>
  <c r="C449" i="12"/>
  <c r="A448" i="12"/>
  <c r="B448" i="12"/>
  <c r="C448" i="12"/>
  <c r="A447" i="12"/>
  <c r="B447" i="12"/>
  <c r="C447" i="12"/>
  <c r="A446" i="12"/>
  <c r="B446" i="12"/>
  <c r="C446" i="12"/>
  <c r="A445" i="12"/>
  <c r="B445" i="12"/>
  <c r="C445" i="12"/>
  <c r="A444" i="12"/>
  <c r="B444" i="12"/>
  <c r="C444" i="12"/>
  <c r="A443" i="12"/>
  <c r="B443" i="12"/>
  <c r="C443" i="12"/>
  <c r="A442" i="12"/>
  <c r="B442" i="12"/>
  <c r="C442" i="12"/>
  <c r="A441" i="12"/>
  <c r="B441" i="12"/>
  <c r="C441" i="12"/>
  <c r="A440" i="12"/>
  <c r="B440" i="12"/>
  <c r="C440" i="12"/>
  <c r="A439" i="12"/>
  <c r="B439" i="12"/>
  <c r="C439" i="12"/>
  <c r="A438" i="12"/>
  <c r="B438" i="12"/>
  <c r="C438" i="12"/>
  <c r="A437" i="12"/>
  <c r="B437" i="12"/>
  <c r="C437" i="12"/>
  <c r="A436" i="12"/>
  <c r="B436" i="12"/>
  <c r="C436" i="12"/>
  <c r="A435" i="12"/>
  <c r="B435" i="12"/>
  <c r="C435" i="12"/>
  <c r="A434" i="12"/>
  <c r="B434" i="12"/>
  <c r="C434" i="12"/>
  <c r="A433" i="12"/>
  <c r="B433" i="12"/>
  <c r="C433" i="12"/>
  <c r="A432" i="12"/>
  <c r="B432" i="12"/>
  <c r="C432" i="12"/>
  <c r="A431" i="12"/>
  <c r="B431" i="12"/>
  <c r="C431" i="12"/>
  <c r="A430" i="12"/>
  <c r="B430" i="12"/>
  <c r="C430" i="12"/>
  <c r="A429" i="12"/>
  <c r="B429" i="12"/>
  <c r="C429" i="12"/>
  <c r="A428" i="12"/>
  <c r="B428" i="12"/>
  <c r="C428" i="12"/>
  <c r="A427" i="12"/>
  <c r="B427" i="12"/>
  <c r="C427" i="12"/>
  <c r="A426" i="12"/>
  <c r="B426" i="12"/>
  <c r="C426" i="12"/>
  <c r="A425" i="12"/>
  <c r="B425" i="12"/>
  <c r="C425" i="12"/>
  <c r="A424" i="12"/>
  <c r="B424" i="12"/>
  <c r="C424" i="12"/>
  <c r="A423" i="12"/>
  <c r="B423" i="12"/>
  <c r="C423" i="12"/>
  <c r="A422" i="12"/>
  <c r="B422" i="12"/>
  <c r="C422" i="12"/>
  <c r="A421" i="12"/>
  <c r="B421" i="12"/>
  <c r="C421" i="12"/>
  <c r="A420" i="12"/>
  <c r="B420" i="12"/>
  <c r="C420" i="12"/>
  <c r="A419" i="12"/>
  <c r="B419" i="12"/>
  <c r="C419" i="12"/>
  <c r="A418" i="12"/>
  <c r="B418" i="12"/>
  <c r="C418" i="12"/>
  <c r="A417" i="12"/>
  <c r="B417" i="12"/>
  <c r="C417" i="12"/>
  <c r="A416" i="12"/>
  <c r="B416" i="12"/>
  <c r="C416" i="12"/>
  <c r="A415" i="12"/>
  <c r="B415" i="12"/>
  <c r="C415" i="12"/>
  <c r="A414" i="12"/>
  <c r="B414" i="12"/>
  <c r="C414" i="12"/>
  <c r="A413" i="12"/>
  <c r="B413" i="12"/>
  <c r="C413" i="12"/>
  <c r="A412" i="12"/>
  <c r="B412" i="12"/>
  <c r="C412" i="12"/>
  <c r="A411" i="12"/>
  <c r="B411" i="12"/>
  <c r="C411" i="12"/>
  <c r="A410" i="12"/>
  <c r="B410" i="12"/>
  <c r="C410" i="12"/>
  <c r="A409" i="12"/>
  <c r="B409" i="12"/>
  <c r="C409" i="12"/>
  <c r="A408" i="12"/>
  <c r="B408" i="12"/>
  <c r="C408" i="12"/>
  <c r="A407" i="12"/>
  <c r="B407" i="12"/>
  <c r="C407" i="12"/>
  <c r="A406" i="12"/>
  <c r="B406" i="12"/>
  <c r="C406" i="12"/>
  <c r="A405" i="12"/>
  <c r="B405" i="12"/>
  <c r="C405" i="12"/>
  <c r="A404" i="12"/>
  <c r="B404" i="12"/>
  <c r="C404" i="12"/>
  <c r="A403" i="12"/>
  <c r="B403" i="12"/>
  <c r="C403" i="12"/>
  <c r="A402" i="12"/>
  <c r="B402" i="12"/>
  <c r="C402" i="12"/>
  <c r="A401" i="12"/>
  <c r="B401" i="12"/>
  <c r="C401" i="12"/>
  <c r="A400" i="12"/>
  <c r="B400" i="12"/>
  <c r="C400" i="12"/>
  <c r="A399" i="12"/>
  <c r="B399" i="12"/>
  <c r="C399" i="12"/>
  <c r="A398" i="12"/>
  <c r="B398" i="12"/>
  <c r="C398" i="12"/>
  <c r="A397" i="12"/>
  <c r="B397" i="12"/>
  <c r="C397" i="12"/>
  <c r="A396" i="12"/>
  <c r="B396" i="12"/>
  <c r="C396" i="12"/>
  <c r="A395" i="12"/>
  <c r="B395" i="12"/>
  <c r="C395" i="12"/>
  <c r="A394" i="12"/>
  <c r="B394" i="12"/>
  <c r="C394" i="12"/>
  <c r="A393" i="12"/>
  <c r="B393" i="12"/>
  <c r="C393" i="12"/>
  <c r="A392" i="12"/>
  <c r="B392" i="12"/>
  <c r="C392" i="12"/>
  <c r="A391" i="12"/>
  <c r="B391" i="12"/>
  <c r="C391" i="12"/>
  <c r="A390" i="12"/>
  <c r="B390" i="12"/>
  <c r="C390" i="12"/>
  <c r="A389" i="12"/>
  <c r="B389" i="12"/>
  <c r="C389" i="12"/>
  <c r="A388" i="12"/>
  <c r="B388" i="12"/>
  <c r="C388" i="12"/>
  <c r="A387" i="12"/>
  <c r="B387" i="12"/>
  <c r="C387" i="12"/>
  <c r="A386" i="12"/>
  <c r="B386" i="12"/>
  <c r="C386" i="12"/>
  <c r="A385" i="12"/>
  <c r="B385" i="12"/>
  <c r="C385" i="12"/>
  <c r="A384" i="12"/>
  <c r="B384" i="12"/>
  <c r="C384" i="12"/>
  <c r="A383" i="12"/>
  <c r="B383" i="12"/>
  <c r="C383" i="12"/>
  <c r="A382" i="12"/>
  <c r="B382" i="12"/>
  <c r="C382" i="12"/>
  <c r="A381" i="12"/>
  <c r="B381" i="12"/>
  <c r="C381" i="12"/>
  <c r="A380" i="12"/>
  <c r="B380" i="12"/>
  <c r="C380" i="12"/>
  <c r="A379" i="12"/>
  <c r="B379" i="12"/>
  <c r="C379" i="12"/>
  <c r="A378" i="12"/>
  <c r="B378" i="12"/>
  <c r="C378" i="12"/>
  <c r="A377" i="12"/>
  <c r="B377" i="12"/>
  <c r="C377" i="12"/>
  <c r="A376" i="12"/>
  <c r="B376" i="12"/>
  <c r="C376" i="12"/>
  <c r="A375" i="12"/>
  <c r="B375" i="12"/>
  <c r="C375" i="12"/>
  <c r="A374" i="12"/>
  <c r="B374" i="12"/>
  <c r="C374" i="12"/>
  <c r="A373" i="12"/>
  <c r="B373" i="12"/>
  <c r="C373" i="12"/>
  <c r="A372" i="12"/>
  <c r="B372" i="12"/>
  <c r="C372" i="12"/>
  <c r="A371" i="12"/>
  <c r="B371" i="12"/>
  <c r="C371" i="12"/>
  <c r="A370" i="12"/>
  <c r="B370" i="12"/>
  <c r="C370" i="12"/>
  <c r="A369" i="12"/>
  <c r="B369" i="12"/>
  <c r="C369" i="12"/>
  <c r="A368" i="12"/>
  <c r="B368" i="12"/>
  <c r="C368" i="12"/>
  <c r="A367" i="12"/>
  <c r="B367" i="12"/>
  <c r="C367" i="12"/>
  <c r="A366" i="12"/>
  <c r="B366" i="12"/>
  <c r="C366" i="12"/>
  <c r="A365" i="12"/>
  <c r="B365" i="12"/>
  <c r="C365" i="12"/>
  <c r="A364" i="12"/>
  <c r="B364" i="12"/>
  <c r="C364" i="12"/>
  <c r="A363" i="12"/>
  <c r="B363" i="12"/>
  <c r="C363" i="12"/>
  <c r="A362" i="12"/>
  <c r="B362" i="12"/>
  <c r="C362" i="12"/>
  <c r="A361" i="12"/>
  <c r="B361" i="12"/>
  <c r="C361" i="12"/>
  <c r="A360" i="12"/>
  <c r="B360" i="12"/>
  <c r="C360" i="12"/>
  <c r="A359" i="12"/>
  <c r="B359" i="12"/>
  <c r="C359" i="12"/>
  <c r="A358" i="12"/>
  <c r="B358" i="12"/>
  <c r="C358" i="12"/>
  <c r="A357" i="12"/>
  <c r="B357" i="12"/>
  <c r="C357" i="12"/>
  <c r="A356" i="12"/>
  <c r="B356" i="12"/>
  <c r="C356" i="12"/>
  <c r="A355" i="12"/>
  <c r="B355" i="12"/>
  <c r="C355" i="12"/>
  <c r="A354" i="12"/>
  <c r="B354" i="12"/>
  <c r="C354" i="12"/>
  <c r="A353" i="12"/>
  <c r="B353" i="12"/>
  <c r="C353" i="12"/>
  <c r="A352" i="12"/>
  <c r="B352" i="12"/>
  <c r="C352" i="12"/>
  <c r="A351" i="12"/>
  <c r="B351" i="12"/>
  <c r="C351" i="12"/>
  <c r="A350" i="12"/>
  <c r="B350" i="12"/>
  <c r="C350" i="12"/>
  <c r="A349" i="12"/>
  <c r="B349" i="12"/>
  <c r="C349" i="12"/>
  <c r="A348" i="12"/>
  <c r="B348" i="12"/>
  <c r="C348" i="12"/>
  <c r="A347" i="12"/>
  <c r="B347" i="12"/>
  <c r="C347" i="12"/>
  <c r="A346" i="12"/>
  <c r="B346" i="12"/>
  <c r="C346" i="12"/>
  <c r="A345" i="12"/>
  <c r="B345" i="12"/>
  <c r="C345" i="12"/>
  <c r="A344" i="12"/>
  <c r="B344" i="12"/>
  <c r="C344" i="12"/>
  <c r="A343" i="12"/>
  <c r="B343" i="12"/>
  <c r="C343" i="12"/>
  <c r="A342" i="12"/>
  <c r="B342" i="12"/>
  <c r="C342" i="12"/>
  <c r="A341" i="12"/>
  <c r="B341" i="12"/>
  <c r="C341" i="12"/>
  <c r="A340" i="12"/>
  <c r="B340" i="12"/>
  <c r="C340" i="12"/>
  <c r="A339" i="12"/>
  <c r="B339" i="12"/>
  <c r="C339" i="12"/>
  <c r="A338" i="12"/>
  <c r="B338" i="12"/>
  <c r="C338" i="12"/>
  <c r="A337" i="12"/>
  <c r="B337" i="12"/>
  <c r="C337" i="12"/>
  <c r="A336" i="12"/>
  <c r="B336" i="12"/>
  <c r="C336" i="12"/>
  <c r="A335" i="12"/>
  <c r="B335" i="12"/>
  <c r="C335" i="12"/>
  <c r="A334" i="12"/>
  <c r="B334" i="12"/>
  <c r="C334" i="12"/>
  <c r="A333" i="12"/>
  <c r="B333" i="12"/>
  <c r="C333" i="12"/>
  <c r="A332" i="12"/>
  <c r="B332" i="12"/>
  <c r="C332" i="12"/>
  <c r="A331" i="12"/>
  <c r="B331" i="12"/>
  <c r="C331" i="12"/>
  <c r="A330" i="12"/>
  <c r="B330" i="12"/>
  <c r="C330" i="12"/>
  <c r="A329" i="12"/>
  <c r="B329" i="12"/>
  <c r="C329" i="12"/>
  <c r="A328" i="12"/>
  <c r="B328" i="12"/>
  <c r="C328" i="12"/>
  <c r="A327" i="12"/>
  <c r="B327" i="12"/>
  <c r="C327" i="12"/>
  <c r="A326" i="12"/>
  <c r="B326" i="12"/>
  <c r="C326" i="12"/>
  <c r="A325" i="12"/>
  <c r="B325" i="12"/>
  <c r="C325" i="12"/>
  <c r="A324" i="12"/>
  <c r="B324" i="12"/>
  <c r="C324" i="12"/>
  <c r="A323" i="12"/>
  <c r="B323" i="12"/>
  <c r="C323" i="12"/>
  <c r="A322" i="12"/>
  <c r="B322" i="12"/>
  <c r="C322" i="12"/>
  <c r="A321" i="12"/>
  <c r="B321" i="12"/>
  <c r="C321" i="12"/>
  <c r="A320" i="12"/>
  <c r="B320" i="12"/>
  <c r="C320" i="12"/>
  <c r="A319" i="12"/>
  <c r="B319" i="12"/>
  <c r="C319" i="12"/>
  <c r="A318" i="12"/>
  <c r="B318" i="12"/>
  <c r="C318" i="12"/>
  <c r="A317" i="12"/>
  <c r="B317" i="12"/>
  <c r="C317" i="12"/>
  <c r="A316" i="12"/>
  <c r="B316" i="12"/>
  <c r="C316" i="12"/>
  <c r="A315" i="12"/>
  <c r="B315" i="12"/>
  <c r="C315" i="12"/>
  <c r="A314" i="12"/>
  <c r="B314" i="12"/>
  <c r="C314" i="12"/>
  <c r="A313" i="12"/>
  <c r="B313" i="12"/>
  <c r="C313" i="12"/>
  <c r="A312" i="12"/>
  <c r="B312" i="12"/>
  <c r="C312" i="12"/>
  <c r="A311" i="12"/>
  <c r="B311" i="12"/>
  <c r="C311" i="12"/>
  <c r="A310" i="12"/>
  <c r="B310" i="12"/>
  <c r="C310" i="12"/>
  <c r="A309" i="12"/>
  <c r="B309" i="12"/>
  <c r="C309" i="12"/>
  <c r="A308" i="12"/>
  <c r="B308" i="12"/>
  <c r="C308" i="12"/>
  <c r="A307" i="12"/>
  <c r="B307" i="12"/>
  <c r="C307" i="12"/>
  <c r="A306" i="12"/>
  <c r="B306" i="12"/>
  <c r="C306" i="12"/>
  <c r="A305" i="12"/>
  <c r="B305" i="12"/>
  <c r="C305" i="12"/>
  <c r="A304" i="12"/>
  <c r="B304" i="12"/>
  <c r="C304" i="12"/>
  <c r="A303" i="12"/>
  <c r="B303" i="12"/>
  <c r="C303" i="12"/>
  <c r="A302" i="12"/>
  <c r="B302" i="12"/>
  <c r="C302" i="12"/>
  <c r="A301" i="12"/>
  <c r="B301" i="12"/>
  <c r="C301" i="12"/>
  <c r="A300" i="12"/>
  <c r="B300" i="12"/>
  <c r="C300" i="12"/>
  <c r="A299" i="12"/>
  <c r="B299" i="12"/>
  <c r="C299" i="12"/>
  <c r="A298" i="12"/>
  <c r="B298" i="12"/>
  <c r="C298" i="12"/>
  <c r="A297" i="12"/>
  <c r="B297" i="12"/>
  <c r="C297" i="12"/>
  <c r="A296" i="12"/>
  <c r="B296" i="12"/>
  <c r="C296" i="12"/>
  <c r="A295" i="12"/>
  <c r="B295" i="12"/>
  <c r="C295" i="12"/>
  <c r="A294" i="12"/>
  <c r="B294" i="12"/>
  <c r="C294" i="12"/>
  <c r="A293" i="12"/>
  <c r="B293" i="12"/>
  <c r="C293" i="12"/>
  <c r="A292" i="12"/>
  <c r="B292" i="12"/>
  <c r="C292" i="12"/>
  <c r="A291" i="12"/>
  <c r="B291" i="12"/>
  <c r="C291" i="12"/>
  <c r="A290" i="12"/>
  <c r="B290" i="12"/>
  <c r="C290" i="12"/>
  <c r="A289" i="12"/>
  <c r="B289" i="12"/>
  <c r="C289" i="12"/>
  <c r="A288" i="12"/>
  <c r="B288" i="12"/>
  <c r="C288" i="12"/>
  <c r="A287" i="12"/>
  <c r="B287" i="12"/>
  <c r="C287" i="12"/>
  <c r="A286" i="12"/>
  <c r="B286" i="12"/>
  <c r="C286" i="12"/>
  <c r="A285" i="12"/>
  <c r="B285" i="12"/>
  <c r="C285" i="12"/>
  <c r="A284" i="12"/>
  <c r="B284" i="12"/>
  <c r="C284" i="12"/>
  <c r="A283" i="12"/>
  <c r="B283" i="12"/>
  <c r="C283" i="12"/>
  <c r="A282" i="12"/>
  <c r="B282" i="12"/>
  <c r="C282" i="12"/>
  <c r="A281" i="12"/>
  <c r="B281" i="12"/>
  <c r="C281" i="12"/>
  <c r="A280" i="12"/>
  <c r="B280" i="12"/>
  <c r="C280" i="12"/>
  <c r="A279" i="12"/>
  <c r="B279" i="12"/>
  <c r="C279" i="12"/>
  <c r="A278" i="12"/>
  <c r="B278" i="12"/>
  <c r="C278" i="12"/>
  <c r="A277" i="12"/>
  <c r="B277" i="12"/>
  <c r="C277" i="12"/>
  <c r="A276" i="12"/>
  <c r="B276" i="12"/>
  <c r="C276" i="12"/>
  <c r="A275" i="12"/>
  <c r="B275" i="12"/>
  <c r="C275" i="12"/>
  <c r="A274" i="12"/>
  <c r="B274" i="12"/>
  <c r="C274" i="12"/>
  <c r="A273" i="12"/>
  <c r="B273" i="12"/>
  <c r="C273" i="12"/>
  <c r="A272" i="12"/>
  <c r="B272" i="12"/>
  <c r="C272" i="12"/>
  <c r="A271" i="12"/>
  <c r="B271" i="12"/>
  <c r="C271" i="12"/>
  <c r="A270" i="12"/>
  <c r="B270" i="12"/>
  <c r="C270" i="12"/>
  <c r="A269" i="12"/>
  <c r="B269" i="12"/>
  <c r="C269" i="12"/>
  <c r="A268" i="12"/>
  <c r="B268" i="12"/>
  <c r="C268" i="12"/>
  <c r="A267" i="12"/>
  <c r="B267" i="12"/>
  <c r="C267" i="12"/>
  <c r="A266" i="12"/>
  <c r="B266" i="12"/>
  <c r="C266" i="12"/>
  <c r="A265" i="12"/>
  <c r="B265" i="12"/>
  <c r="C265" i="12"/>
  <c r="A264" i="12"/>
  <c r="B264" i="12"/>
  <c r="C264" i="12"/>
  <c r="A263" i="12"/>
  <c r="B263" i="12"/>
  <c r="C263" i="12"/>
  <c r="A262" i="12"/>
  <c r="B262" i="12"/>
  <c r="C262" i="12"/>
  <c r="A261" i="12"/>
  <c r="B261" i="12"/>
  <c r="C261" i="12"/>
  <c r="A260" i="12"/>
  <c r="B260" i="12"/>
  <c r="C260" i="12"/>
  <c r="A259" i="12"/>
  <c r="B259" i="12"/>
  <c r="C259" i="12"/>
  <c r="A258" i="12"/>
  <c r="B258" i="12"/>
  <c r="C258" i="12"/>
  <c r="A257" i="12"/>
  <c r="B257" i="12"/>
  <c r="C257" i="12"/>
  <c r="A256" i="12"/>
  <c r="B256" i="12"/>
  <c r="C256" i="12"/>
  <c r="A255" i="12"/>
  <c r="B255" i="12"/>
  <c r="C255" i="12"/>
  <c r="A254" i="12"/>
  <c r="B254" i="12"/>
  <c r="C254" i="12"/>
  <c r="A253" i="12"/>
  <c r="B253" i="12"/>
  <c r="C253" i="12"/>
  <c r="A252" i="12"/>
  <c r="B252" i="12"/>
  <c r="C252" i="12"/>
  <c r="A251" i="12"/>
  <c r="B251" i="12"/>
  <c r="C251" i="12"/>
  <c r="A250" i="12"/>
  <c r="B250" i="12"/>
  <c r="C250" i="12"/>
  <c r="A249" i="12"/>
  <c r="B249" i="12"/>
  <c r="C249" i="12"/>
  <c r="A248" i="12"/>
  <c r="B248" i="12"/>
  <c r="C248" i="12"/>
  <c r="A247" i="12"/>
  <c r="B247" i="12"/>
  <c r="C247" i="12"/>
  <c r="A246" i="12"/>
  <c r="B246" i="12"/>
  <c r="C246" i="12"/>
  <c r="A245" i="12"/>
  <c r="B245" i="12"/>
  <c r="C245" i="12"/>
  <c r="A244" i="12"/>
  <c r="B244" i="12"/>
  <c r="C244" i="12"/>
  <c r="A243" i="12"/>
  <c r="B243" i="12"/>
  <c r="C243" i="12"/>
  <c r="A242" i="12"/>
  <c r="B242" i="12"/>
  <c r="C242" i="12"/>
  <c r="A241" i="12"/>
  <c r="B241" i="12"/>
  <c r="C241" i="12"/>
  <c r="A240" i="12"/>
  <c r="B240" i="12"/>
  <c r="C240" i="12"/>
  <c r="A239" i="12"/>
  <c r="B239" i="12"/>
  <c r="C239" i="12"/>
  <c r="A238" i="12"/>
  <c r="B238" i="12"/>
  <c r="C238" i="12"/>
  <c r="A237" i="12"/>
  <c r="B237" i="12"/>
  <c r="C237" i="12"/>
  <c r="A236" i="12"/>
  <c r="B236" i="12"/>
  <c r="C236" i="12"/>
  <c r="A235" i="12"/>
  <c r="B235" i="12"/>
  <c r="C235" i="12"/>
  <c r="A234" i="12"/>
  <c r="B234" i="12"/>
  <c r="C234" i="12"/>
  <c r="A233" i="12"/>
  <c r="B233" i="12"/>
  <c r="C233" i="12"/>
  <c r="A232" i="12"/>
  <c r="B232" i="12"/>
  <c r="C232" i="12"/>
  <c r="A231" i="12"/>
  <c r="B231" i="12"/>
  <c r="C231" i="12"/>
  <c r="A230" i="12"/>
  <c r="B230" i="12"/>
  <c r="C230" i="12"/>
  <c r="A229" i="12"/>
  <c r="B229" i="12"/>
  <c r="C229" i="12"/>
  <c r="A228" i="12"/>
  <c r="B228" i="12"/>
  <c r="C228" i="12"/>
  <c r="A227" i="12"/>
  <c r="B227" i="12"/>
  <c r="C227" i="12"/>
  <c r="A226" i="12"/>
  <c r="B226" i="12"/>
  <c r="C226" i="12"/>
  <c r="A225" i="12"/>
  <c r="B225" i="12"/>
  <c r="C225" i="12"/>
  <c r="A224" i="12"/>
  <c r="B224" i="12"/>
  <c r="C224" i="12"/>
  <c r="A223" i="12"/>
  <c r="B223" i="12"/>
  <c r="C223" i="12"/>
  <c r="A222" i="12"/>
  <c r="B222" i="12"/>
  <c r="C222" i="12"/>
  <c r="A221" i="12"/>
  <c r="B221" i="12"/>
  <c r="C221" i="12"/>
  <c r="A220" i="12"/>
  <c r="B220" i="12"/>
  <c r="C220" i="12"/>
  <c r="A219" i="12"/>
  <c r="B219" i="12"/>
  <c r="C219" i="12"/>
  <c r="A218" i="12"/>
  <c r="B218" i="12"/>
  <c r="C218" i="12"/>
  <c r="A217" i="12"/>
  <c r="B217" i="12"/>
  <c r="C217" i="12"/>
  <c r="A216" i="12"/>
  <c r="B216" i="12"/>
  <c r="C216" i="12"/>
  <c r="A215" i="12"/>
  <c r="B215" i="12"/>
  <c r="C215" i="12"/>
  <c r="A214" i="12"/>
  <c r="B214" i="12"/>
  <c r="C214" i="12"/>
  <c r="A213" i="12"/>
  <c r="B213" i="12"/>
  <c r="C213" i="12"/>
  <c r="A212" i="12"/>
  <c r="B212" i="12"/>
  <c r="C212" i="12"/>
  <c r="A211" i="12"/>
  <c r="B211" i="12"/>
  <c r="C211" i="12"/>
  <c r="A210" i="12"/>
  <c r="B210" i="12"/>
  <c r="C210" i="12"/>
  <c r="A209" i="12"/>
  <c r="B209" i="12"/>
  <c r="C209" i="12"/>
  <c r="A208" i="12"/>
  <c r="B208" i="12"/>
  <c r="C208" i="12"/>
  <c r="A207" i="12"/>
  <c r="B207" i="12"/>
  <c r="C207" i="12"/>
  <c r="A206" i="12"/>
  <c r="B206" i="12"/>
  <c r="C206" i="12"/>
  <c r="A205" i="12"/>
  <c r="B205" i="12"/>
  <c r="C205" i="12"/>
  <c r="A204" i="12"/>
  <c r="B204" i="12"/>
  <c r="C204" i="12"/>
  <c r="A203" i="12"/>
  <c r="B203" i="12"/>
  <c r="C203" i="12"/>
  <c r="A202" i="12"/>
  <c r="B202" i="12"/>
  <c r="C202" i="12"/>
  <c r="A201" i="12"/>
  <c r="B201" i="12"/>
  <c r="C201" i="12"/>
  <c r="A200" i="12"/>
  <c r="B200" i="12"/>
  <c r="C200" i="12"/>
  <c r="A199" i="12"/>
  <c r="B199" i="12"/>
  <c r="C199" i="12"/>
  <c r="A198" i="12"/>
  <c r="B198" i="12"/>
  <c r="C198" i="12"/>
  <c r="A197" i="12"/>
  <c r="B197" i="12"/>
  <c r="C197" i="12"/>
  <c r="A196" i="12"/>
  <c r="B196" i="12"/>
  <c r="C196" i="12"/>
  <c r="A195" i="12"/>
  <c r="B195" i="12"/>
  <c r="C195" i="12"/>
  <c r="A194" i="12"/>
  <c r="B194" i="12"/>
  <c r="C194" i="12"/>
  <c r="A193" i="12"/>
  <c r="B193" i="12"/>
  <c r="C193" i="12"/>
  <c r="A192" i="12"/>
  <c r="B192" i="12"/>
  <c r="C192" i="12"/>
  <c r="A191" i="12"/>
  <c r="B191" i="12"/>
  <c r="C191" i="12"/>
  <c r="A190" i="12"/>
  <c r="B190" i="12"/>
  <c r="C190" i="12"/>
  <c r="A189" i="12"/>
  <c r="B189" i="12"/>
  <c r="C189" i="12"/>
  <c r="A188" i="12"/>
  <c r="B188" i="12"/>
  <c r="C188" i="12"/>
  <c r="A187" i="12"/>
  <c r="B187" i="12"/>
  <c r="C187" i="12"/>
  <c r="A186" i="12"/>
  <c r="B186" i="12"/>
  <c r="C186" i="12"/>
  <c r="A185" i="12"/>
  <c r="B185" i="12"/>
  <c r="C185" i="12"/>
  <c r="A184" i="12"/>
  <c r="B184" i="12"/>
  <c r="C184" i="12"/>
  <c r="A183" i="12"/>
  <c r="B183" i="12"/>
  <c r="C183" i="12"/>
  <c r="A182" i="12"/>
  <c r="B182" i="12"/>
  <c r="C182" i="12"/>
  <c r="A181" i="12"/>
  <c r="B181" i="12"/>
  <c r="C181" i="12"/>
  <c r="A180" i="12"/>
  <c r="B180" i="12"/>
  <c r="C180" i="12"/>
  <c r="A179" i="12"/>
  <c r="B179" i="12"/>
  <c r="C179" i="12"/>
  <c r="A178" i="12"/>
  <c r="B178" i="12"/>
  <c r="C178" i="12"/>
  <c r="A177" i="12"/>
  <c r="B177" i="12"/>
  <c r="C177" i="12"/>
  <c r="A176" i="12"/>
  <c r="B176" i="12"/>
  <c r="C176" i="12"/>
  <c r="A175" i="12"/>
  <c r="B175" i="12"/>
  <c r="C175" i="12"/>
  <c r="A174" i="12"/>
  <c r="B174" i="12"/>
  <c r="C174" i="12"/>
  <c r="A173" i="12"/>
  <c r="B173" i="12"/>
  <c r="C173" i="12"/>
  <c r="A172" i="12"/>
  <c r="B172" i="12"/>
  <c r="C172" i="12"/>
  <c r="A171" i="12"/>
  <c r="B171" i="12"/>
  <c r="C171" i="12"/>
  <c r="A170" i="12"/>
  <c r="B170" i="12"/>
  <c r="C170" i="12"/>
  <c r="A169" i="12"/>
  <c r="B169" i="12"/>
  <c r="C169" i="12"/>
  <c r="A168" i="12"/>
  <c r="B168" i="12"/>
  <c r="C168" i="12"/>
  <c r="A167" i="12"/>
  <c r="B167" i="12"/>
  <c r="C167" i="12"/>
  <c r="A166" i="12"/>
  <c r="B166" i="12"/>
  <c r="C166" i="12"/>
  <c r="A165" i="12"/>
  <c r="B165" i="12"/>
  <c r="C165" i="12"/>
  <c r="A164" i="12"/>
  <c r="B164" i="12"/>
  <c r="C164" i="12"/>
  <c r="A163" i="12"/>
  <c r="B163" i="12"/>
  <c r="C163" i="12"/>
  <c r="A162" i="12"/>
  <c r="B162" i="12"/>
  <c r="C162" i="12"/>
  <c r="A161" i="12"/>
  <c r="B161" i="12"/>
  <c r="C161" i="12"/>
  <c r="A160" i="12"/>
  <c r="B160" i="12"/>
  <c r="C160" i="12"/>
  <c r="A159" i="12"/>
  <c r="B159" i="12"/>
  <c r="C159" i="12"/>
  <c r="A158" i="12"/>
  <c r="B158" i="12"/>
  <c r="C158" i="12"/>
  <c r="A157" i="12"/>
  <c r="B157" i="12"/>
  <c r="C157" i="12"/>
  <c r="A156" i="12"/>
  <c r="B156" i="12"/>
  <c r="C156" i="12"/>
  <c r="A155" i="12"/>
  <c r="B155" i="12"/>
  <c r="C155" i="12"/>
  <c r="A154" i="12"/>
  <c r="B154" i="12"/>
  <c r="C154" i="12"/>
  <c r="A153" i="12"/>
  <c r="B153" i="12"/>
  <c r="C153" i="12"/>
  <c r="A152" i="12"/>
  <c r="B152" i="12"/>
  <c r="C152" i="12"/>
  <c r="A151" i="12"/>
  <c r="B151" i="12"/>
  <c r="C151" i="12"/>
  <c r="A150" i="12"/>
  <c r="B150" i="12"/>
  <c r="C150" i="12"/>
  <c r="A149" i="12"/>
  <c r="B149" i="12"/>
  <c r="C149" i="12"/>
  <c r="A148" i="12"/>
  <c r="B148" i="12"/>
  <c r="C148" i="12"/>
  <c r="A147" i="12"/>
  <c r="B147" i="12"/>
  <c r="C147" i="12"/>
  <c r="A146" i="12"/>
  <c r="B146" i="12"/>
  <c r="C146" i="12"/>
  <c r="A145" i="12"/>
  <c r="B145" i="12"/>
  <c r="C145" i="12"/>
  <c r="A144" i="12"/>
  <c r="B144" i="12"/>
  <c r="C144" i="12"/>
  <c r="A143" i="12"/>
  <c r="B143" i="12"/>
  <c r="C143" i="12"/>
  <c r="A142" i="12"/>
  <c r="B142" i="12"/>
  <c r="C142" i="12"/>
  <c r="A141" i="12"/>
  <c r="B141" i="12"/>
  <c r="C141" i="12"/>
  <c r="A140" i="12"/>
  <c r="B140" i="12"/>
  <c r="C140" i="12"/>
  <c r="A139" i="12"/>
  <c r="B139" i="12"/>
  <c r="C139" i="12"/>
  <c r="A138" i="12"/>
  <c r="B138" i="12"/>
  <c r="C138" i="12"/>
  <c r="A137" i="12"/>
  <c r="B137" i="12"/>
  <c r="C137" i="12"/>
  <c r="A136" i="12"/>
  <c r="B136" i="12"/>
  <c r="C136" i="12"/>
  <c r="A135" i="12"/>
  <c r="B135" i="12"/>
  <c r="C135" i="12"/>
  <c r="A134" i="12"/>
  <c r="B134" i="12"/>
  <c r="C134" i="12"/>
  <c r="A133" i="12"/>
  <c r="B133" i="12"/>
  <c r="C133" i="12"/>
  <c r="A132" i="12"/>
  <c r="B132" i="12"/>
  <c r="C132" i="12"/>
  <c r="A131" i="12"/>
  <c r="B131" i="12"/>
  <c r="C131" i="12"/>
  <c r="A130" i="12"/>
  <c r="B130" i="12"/>
  <c r="C130" i="12"/>
  <c r="A129" i="12"/>
  <c r="B129" i="12"/>
  <c r="C129" i="12"/>
  <c r="A128" i="12"/>
  <c r="B128" i="12"/>
  <c r="C128" i="12"/>
  <c r="A127" i="12"/>
  <c r="B127" i="12"/>
  <c r="C127" i="12"/>
  <c r="A126" i="12"/>
  <c r="B126" i="12"/>
  <c r="C126" i="12"/>
  <c r="A125" i="12"/>
  <c r="B125" i="12"/>
  <c r="C125" i="12"/>
  <c r="A124" i="12"/>
  <c r="B124" i="12"/>
  <c r="C124" i="12"/>
  <c r="A123" i="12"/>
  <c r="B123" i="12"/>
  <c r="C123" i="12"/>
  <c r="A122" i="12"/>
  <c r="B122" i="12"/>
  <c r="C122" i="12"/>
  <c r="A121" i="12"/>
  <c r="B121" i="12"/>
  <c r="C121" i="12"/>
  <c r="A120" i="12"/>
  <c r="B120" i="12"/>
  <c r="C120" i="12"/>
  <c r="A119" i="12"/>
  <c r="B119" i="12"/>
  <c r="C119" i="12"/>
  <c r="A118" i="12"/>
  <c r="B118" i="12"/>
  <c r="C118" i="12"/>
  <c r="A117" i="12"/>
  <c r="B117" i="12"/>
  <c r="C117" i="12"/>
  <c r="A116" i="12"/>
  <c r="B116" i="12"/>
  <c r="C116" i="12"/>
  <c r="A115" i="12"/>
  <c r="B115" i="12"/>
  <c r="C115" i="12"/>
  <c r="A114" i="12"/>
  <c r="B114" i="12"/>
  <c r="C114" i="12"/>
  <c r="A113" i="12"/>
  <c r="B113" i="12"/>
  <c r="C113" i="12"/>
  <c r="A112" i="12"/>
  <c r="B112" i="12"/>
  <c r="C112" i="12"/>
  <c r="A111" i="12"/>
  <c r="B111" i="12"/>
  <c r="C111" i="12"/>
  <c r="A110" i="12"/>
  <c r="B110" i="12"/>
  <c r="C110" i="12"/>
  <c r="A109" i="12"/>
  <c r="B109" i="12"/>
  <c r="C109" i="12"/>
  <c r="A108" i="12"/>
  <c r="B108" i="12"/>
  <c r="C108" i="12"/>
  <c r="A107" i="12"/>
  <c r="B107" i="12"/>
  <c r="C107" i="12"/>
  <c r="A106" i="12"/>
  <c r="B106" i="12"/>
  <c r="C106" i="12"/>
  <c r="A105" i="12"/>
  <c r="B105" i="12"/>
  <c r="C105" i="12"/>
  <c r="A104" i="12"/>
  <c r="B104" i="12"/>
  <c r="C104" i="12"/>
  <c r="A103" i="12"/>
  <c r="B103" i="12"/>
  <c r="C103" i="12"/>
  <c r="A102" i="12"/>
  <c r="B102" i="12"/>
  <c r="C102" i="12"/>
  <c r="A101" i="12"/>
  <c r="B101" i="12"/>
  <c r="C101" i="12"/>
  <c r="A100" i="12"/>
  <c r="B100" i="12"/>
  <c r="C100" i="12"/>
  <c r="A99" i="12"/>
  <c r="B99" i="12"/>
  <c r="C99" i="12"/>
  <c r="A98" i="12"/>
  <c r="B98" i="12"/>
  <c r="C98" i="12"/>
  <c r="A97" i="12"/>
  <c r="B97" i="12"/>
  <c r="C97" i="12"/>
  <c r="A96" i="12"/>
  <c r="B96" i="12"/>
  <c r="C96" i="12"/>
  <c r="A95" i="12"/>
  <c r="B95" i="12"/>
  <c r="C95" i="12"/>
  <c r="A94" i="12"/>
  <c r="B94" i="12"/>
  <c r="C94" i="12"/>
  <c r="A93" i="12"/>
  <c r="B93" i="12"/>
  <c r="C93" i="12"/>
  <c r="A92" i="12"/>
  <c r="B92" i="12"/>
  <c r="C92" i="12"/>
  <c r="A91" i="12"/>
  <c r="B91" i="12"/>
  <c r="C91" i="12"/>
  <c r="A90" i="12"/>
  <c r="B90" i="12"/>
  <c r="C90" i="12"/>
  <c r="A89" i="12"/>
  <c r="B89" i="12"/>
  <c r="C89" i="12"/>
  <c r="A88" i="12"/>
  <c r="B88" i="12"/>
  <c r="C88" i="12"/>
  <c r="A87" i="12"/>
  <c r="B87" i="12"/>
  <c r="C87" i="12"/>
  <c r="A86" i="12"/>
  <c r="B86" i="12"/>
  <c r="C86" i="12"/>
  <c r="A85" i="12"/>
  <c r="B85" i="12"/>
  <c r="C85" i="12"/>
  <c r="A84" i="12"/>
  <c r="B84" i="12"/>
  <c r="C84" i="12"/>
  <c r="A83" i="12"/>
  <c r="B83" i="12"/>
  <c r="C83" i="12"/>
  <c r="A82" i="12"/>
  <c r="B82" i="12"/>
  <c r="C82" i="12"/>
  <c r="A81" i="12"/>
  <c r="B81" i="12"/>
  <c r="C81" i="12"/>
  <c r="A80" i="12"/>
  <c r="B80" i="12"/>
  <c r="C80" i="12"/>
  <c r="A79" i="12"/>
  <c r="B79" i="12"/>
  <c r="C79" i="12"/>
  <c r="A78" i="12"/>
  <c r="B78" i="12"/>
  <c r="C78" i="12"/>
  <c r="A77" i="12"/>
  <c r="B77" i="12"/>
  <c r="C77" i="12"/>
  <c r="A76" i="12"/>
  <c r="B76" i="12"/>
  <c r="C76" i="12"/>
  <c r="A75" i="12"/>
  <c r="B75" i="12"/>
  <c r="C75" i="12"/>
  <c r="A74" i="12"/>
  <c r="B74" i="12"/>
  <c r="C74" i="12"/>
  <c r="A73" i="12"/>
  <c r="B73" i="12"/>
  <c r="C73" i="12"/>
  <c r="A72" i="12"/>
  <c r="B72" i="12"/>
  <c r="C72" i="12"/>
  <c r="A71" i="12"/>
  <c r="B71" i="12"/>
  <c r="C71" i="12"/>
  <c r="A70" i="12"/>
  <c r="B70" i="12"/>
  <c r="C70" i="12"/>
  <c r="A69" i="12"/>
  <c r="B69" i="12"/>
  <c r="C69" i="12"/>
  <c r="A68" i="12"/>
  <c r="B68" i="12"/>
  <c r="C68" i="12"/>
  <c r="A67" i="12"/>
  <c r="B67" i="12"/>
  <c r="C67" i="12"/>
  <c r="A66" i="12"/>
  <c r="B66" i="12"/>
  <c r="C66" i="12"/>
  <c r="A65" i="12"/>
  <c r="B65" i="12"/>
  <c r="C65" i="12"/>
  <c r="A64" i="12"/>
  <c r="B64" i="12"/>
  <c r="C64" i="12"/>
  <c r="A63" i="12"/>
  <c r="B63" i="12"/>
  <c r="C63" i="12"/>
  <c r="A62" i="12"/>
  <c r="B62" i="12"/>
  <c r="C62" i="12"/>
  <c r="A61" i="12"/>
  <c r="B61" i="12"/>
  <c r="C61" i="12"/>
  <c r="A60" i="12"/>
  <c r="B60" i="12"/>
  <c r="C60" i="12"/>
  <c r="A59" i="12"/>
  <c r="B59" i="12"/>
  <c r="C59" i="12"/>
  <c r="A58" i="12"/>
  <c r="B58" i="12"/>
  <c r="C58" i="12"/>
  <c r="A57" i="12"/>
  <c r="B57" i="12"/>
  <c r="C57" i="12"/>
  <c r="A56" i="12"/>
  <c r="B56" i="12"/>
  <c r="C56" i="12"/>
  <c r="A55" i="12"/>
  <c r="B55" i="12"/>
  <c r="C55" i="12"/>
  <c r="A54" i="12"/>
  <c r="B54" i="12"/>
  <c r="C54" i="12"/>
  <c r="A53" i="12"/>
  <c r="B53" i="12"/>
  <c r="C53" i="12"/>
  <c r="A52" i="12"/>
  <c r="B52" i="12"/>
  <c r="C52" i="12"/>
  <c r="A51" i="12"/>
  <c r="B51" i="12"/>
  <c r="C51" i="12"/>
  <c r="A50" i="12"/>
  <c r="B50" i="12"/>
  <c r="C50" i="12"/>
  <c r="A49" i="12"/>
  <c r="B49" i="12"/>
  <c r="C49" i="12"/>
  <c r="A48" i="12"/>
  <c r="B48" i="12"/>
  <c r="C48" i="12"/>
  <c r="A47" i="12"/>
  <c r="B47" i="12"/>
  <c r="C47" i="12"/>
  <c r="A46" i="12"/>
  <c r="B46" i="12"/>
  <c r="C46" i="12"/>
  <c r="A45" i="12"/>
  <c r="B45" i="12"/>
  <c r="C45" i="12"/>
  <c r="A44" i="12"/>
  <c r="B44" i="12"/>
  <c r="C44" i="12"/>
  <c r="A43" i="12"/>
  <c r="B43" i="12"/>
  <c r="C43" i="12"/>
  <c r="A42" i="12"/>
  <c r="B42" i="12"/>
  <c r="C42" i="12"/>
  <c r="A41" i="12"/>
  <c r="B41" i="12"/>
  <c r="C41" i="12"/>
  <c r="A40" i="12"/>
  <c r="B40" i="12"/>
  <c r="C40" i="12"/>
  <c r="A39" i="12"/>
  <c r="B39" i="12"/>
  <c r="C39" i="12"/>
  <c r="A38" i="12"/>
  <c r="B38" i="12"/>
  <c r="C38" i="12"/>
  <c r="A37" i="12"/>
  <c r="B37" i="12"/>
  <c r="C37" i="12"/>
  <c r="A36" i="12"/>
  <c r="B36" i="12"/>
  <c r="C36" i="12"/>
  <c r="A35" i="12"/>
  <c r="B35" i="12"/>
  <c r="C35" i="12"/>
  <c r="A34" i="12"/>
  <c r="B34" i="12"/>
  <c r="C34" i="12"/>
  <c r="A33" i="12"/>
  <c r="B33" i="12"/>
  <c r="C33" i="12"/>
  <c r="A32" i="12"/>
  <c r="B32" i="12"/>
  <c r="C32" i="12"/>
  <c r="A31" i="12"/>
  <c r="B31" i="12"/>
  <c r="C31" i="12"/>
  <c r="A30" i="12"/>
  <c r="B30" i="12"/>
  <c r="C30" i="12"/>
  <c r="A29" i="12"/>
  <c r="B29" i="12"/>
  <c r="C29" i="12"/>
  <c r="A28" i="12"/>
  <c r="B28" i="12"/>
  <c r="C28" i="12"/>
  <c r="A27" i="12"/>
  <c r="B27" i="12"/>
  <c r="C27" i="12"/>
  <c r="A26" i="12"/>
  <c r="B26" i="12"/>
  <c r="C26" i="12"/>
  <c r="A25" i="12"/>
  <c r="B25" i="12"/>
  <c r="C25" i="12"/>
  <c r="A24" i="12"/>
  <c r="B24" i="12"/>
  <c r="C24" i="12"/>
  <c r="A23" i="12"/>
  <c r="B23" i="12"/>
  <c r="C23" i="12"/>
  <c r="A22" i="12"/>
  <c r="B22" i="12"/>
  <c r="C22" i="12"/>
  <c r="A21" i="12"/>
  <c r="B21" i="12"/>
  <c r="C21" i="12"/>
  <c r="A20" i="12"/>
  <c r="B20" i="12"/>
  <c r="C20" i="12"/>
  <c r="A19" i="12"/>
  <c r="B19" i="12"/>
  <c r="C19" i="12"/>
  <c r="A18" i="12"/>
  <c r="B18" i="12"/>
  <c r="C18" i="12"/>
  <c r="A17" i="12"/>
  <c r="B17" i="12"/>
  <c r="C17" i="12"/>
  <c r="A16" i="12"/>
  <c r="B16" i="12"/>
  <c r="C16" i="12"/>
  <c r="A15" i="12"/>
  <c r="B15" i="12"/>
  <c r="C15" i="12"/>
  <c r="A14" i="12"/>
  <c r="B14" i="12"/>
  <c r="C14" i="12"/>
  <c r="A13" i="12"/>
  <c r="B13" i="12"/>
  <c r="C13" i="12"/>
  <c r="A12" i="12"/>
  <c r="B12" i="12"/>
  <c r="C12" i="12"/>
  <c r="A11" i="12"/>
  <c r="B11" i="12"/>
  <c r="C11" i="12"/>
  <c r="A10" i="12"/>
  <c r="B10" i="12"/>
  <c r="C10" i="12"/>
  <c r="A9" i="12"/>
  <c r="B9" i="12"/>
  <c r="C9" i="12"/>
  <c r="A8" i="12"/>
  <c r="B8" i="12"/>
  <c r="C8" i="12"/>
  <c r="A7" i="12"/>
  <c r="B7" i="12"/>
  <c r="C7" i="12"/>
  <c r="A6" i="12"/>
  <c r="B6" i="12"/>
  <c r="C6" i="12"/>
  <c r="A5" i="12"/>
  <c r="B5" i="12"/>
  <c r="C5" i="12"/>
  <c r="A4" i="12"/>
  <c r="B4" i="12"/>
  <c r="C4" i="12"/>
  <c r="A3" i="12"/>
  <c r="B3" i="12"/>
  <c r="C3" i="12"/>
  <c r="A2" i="12"/>
  <c r="B2" i="12"/>
  <c r="C2" i="12"/>
  <c r="A2612" i="11"/>
  <c r="B2612" i="11"/>
  <c r="C2612" i="11"/>
  <c r="A2611" i="11"/>
  <c r="B2611" i="11"/>
  <c r="C2611" i="11"/>
  <c r="A2610" i="11"/>
  <c r="B2610" i="11"/>
  <c r="C2610" i="11"/>
  <c r="A2609" i="11"/>
  <c r="B2609" i="11"/>
  <c r="C2609" i="11"/>
  <c r="A2608" i="11"/>
  <c r="B2608" i="11"/>
  <c r="C2608" i="11"/>
  <c r="A2607" i="11"/>
  <c r="B2607" i="11"/>
  <c r="C2607" i="11"/>
  <c r="A2606" i="11"/>
  <c r="B2606" i="11"/>
  <c r="C2606" i="11"/>
  <c r="A2605" i="11"/>
  <c r="B2605" i="11"/>
  <c r="C2605" i="11"/>
  <c r="A2604" i="11"/>
  <c r="B2604" i="11"/>
  <c r="C2604" i="11"/>
  <c r="A2603" i="11"/>
  <c r="B2603" i="11"/>
  <c r="C2603" i="11"/>
  <c r="A2602" i="11"/>
  <c r="B2602" i="11"/>
  <c r="C2602" i="11"/>
  <c r="A2601" i="11"/>
  <c r="B2601" i="11"/>
  <c r="C2601" i="11"/>
  <c r="A2600" i="11"/>
  <c r="B2600" i="11"/>
  <c r="C2600" i="11"/>
  <c r="A2599" i="11"/>
  <c r="B2599" i="11"/>
  <c r="C2599" i="11"/>
  <c r="A2598" i="11"/>
  <c r="B2598" i="11"/>
  <c r="C2598" i="11"/>
  <c r="A2597" i="11"/>
  <c r="B2597" i="11"/>
  <c r="C2597" i="11"/>
  <c r="A2596" i="11"/>
  <c r="B2596" i="11"/>
  <c r="C2596" i="11"/>
  <c r="A2595" i="11"/>
  <c r="B2595" i="11"/>
  <c r="C2595" i="11"/>
  <c r="A2594" i="11"/>
  <c r="B2594" i="11"/>
  <c r="C2594" i="11"/>
  <c r="A2593" i="11"/>
  <c r="B2593" i="11"/>
  <c r="C2593" i="11"/>
  <c r="A2592" i="11"/>
  <c r="B2592" i="11"/>
  <c r="C2592" i="11"/>
  <c r="A2591" i="11"/>
  <c r="B2591" i="11"/>
  <c r="C2591" i="11"/>
  <c r="A2590" i="11"/>
  <c r="B2590" i="11"/>
  <c r="C2590" i="11"/>
  <c r="A2589" i="11"/>
  <c r="B2589" i="11"/>
  <c r="C2589" i="11"/>
  <c r="A2588" i="11"/>
  <c r="B2588" i="11"/>
  <c r="C2588" i="11"/>
  <c r="A2587" i="11"/>
  <c r="B2587" i="11"/>
  <c r="C2587" i="11"/>
  <c r="A2586" i="11"/>
  <c r="B2586" i="11"/>
  <c r="C2586" i="11"/>
  <c r="A2585" i="11"/>
  <c r="B2585" i="11"/>
  <c r="C2585" i="11"/>
  <c r="A2584" i="11"/>
  <c r="B2584" i="11"/>
  <c r="C2584" i="11"/>
  <c r="A2583" i="11"/>
  <c r="B2583" i="11"/>
  <c r="C2583" i="11"/>
  <c r="A2582" i="11"/>
  <c r="B2582" i="11"/>
  <c r="C2582" i="11"/>
  <c r="A2581" i="11"/>
  <c r="B2581" i="11"/>
  <c r="C2581" i="11"/>
  <c r="A2580" i="11"/>
  <c r="B2580" i="11"/>
  <c r="C2580" i="11"/>
  <c r="A2579" i="11"/>
  <c r="B2579" i="11"/>
  <c r="C2579" i="11"/>
  <c r="A2578" i="11"/>
  <c r="B2578" i="11"/>
  <c r="C2578" i="11"/>
  <c r="A2577" i="11"/>
  <c r="B2577" i="11"/>
  <c r="C2577" i="11"/>
  <c r="A2576" i="11"/>
  <c r="B2576" i="11"/>
  <c r="C2576" i="11"/>
  <c r="A2575" i="11"/>
  <c r="B2575" i="11"/>
  <c r="C2575" i="11"/>
  <c r="A2574" i="11"/>
  <c r="B2574" i="11"/>
  <c r="C2574" i="11"/>
  <c r="A2573" i="11"/>
  <c r="B2573" i="11"/>
  <c r="C2573" i="11"/>
  <c r="A2572" i="11"/>
  <c r="B2572" i="11"/>
  <c r="C2572" i="11"/>
  <c r="A2571" i="11"/>
  <c r="B2571" i="11"/>
  <c r="C2571" i="11"/>
  <c r="A2570" i="11"/>
  <c r="B2570" i="11"/>
  <c r="C2570" i="11"/>
  <c r="A2569" i="11"/>
  <c r="B2569" i="11"/>
  <c r="C2569" i="11"/>
  <c r="A2568" i="11"/>
  <c r="B2568" i="11"/>
  <c r="C2568" i="11"/>
  <c r="A2567" i="11"/>
  <c r="B2567" i="11"/>
  <c r="C2567" i="11"/>
  <c r="A2566" i="11"/>
  <c r="B2566" i="11"/>
  <c r="C2566" i="11"/>
  <c r="A2565" i="11"/>
  <c r="B2565" i="11"/>
  <c r="C2565" i="11"/>
  <c r="A2564" i="11"/>
  <c r="B2564" i="11"/>
  <c r="C2564" i="11"/>
  <c r="A2563" i="11"/>
  <c r="B2563" i="11"/>
  <c r="C2563" i="11"/>
  <c r="A2562" i="11"/>
  <c r="B2562" i="11"/>
  <c r="C2562" i="11"/>
  <c r="A2561" i="11"/>
  <c r="B2561" i="11"/>
  <c r="C2561" i="11"/>
  <c r="A2560" i="11"/>
  <c r="B2560" i="11"/>
  <c r="C2560" i="11"/>
  <c r="A2559" i="11"/>
  <c r="B2559" i="11"/>
  <c r="C2559" i="11"/>
  <c r="A2558" i="11"/>
  <c r="B2558" i="11"/>
  <c r="C2558" i="11"/>
  <c r="A2557" i="11"/>
  <c r="B2557" i="11"/>
  <c r="C2557" i="11"/>
  <c r="A2556" i="11"/>
  <c r="B2556" i="11"/>
  <c r="C2556" i="11"/>
  <c r="A2555" i="11"/>
  <c r="B2555" i="11"/>
  <c r="C2555" i="11"/>
  <c r="A2554" i="11"/>
  <c r="B2554" i="11"/>
  <c r="C2554" i="11"/>
  <c r="A2553" i="11"/>
  <c r="B2553" i="11"/>
  <c r="C2553" i="11"/>
  <c r="A2552" i="11"/>
  <c r="B2552" i="11"/>
  <c r="C2552" i="11"/>
  <c r="A2551" i="11"/>
  <c r="B2551" i="11"/>
  <c r="C2551" i="11"/>
  <c r="A2550" i="11"/>
  <c r="B2550" i="11"/>
  <c r="C2550" i="11"/>
  <c r="A2549" i="11"/>
  <c r="B2549" i="11"/>
  <c r="C2549" i="11"/>
  <c r="A2548" i="11"/>
  <c r="B2548" i="11"/>
  <c r="C2548" i="11"/>
  <c r="A2547" i="11"/>
  <c r="B2547" i="11"/>
  <c r="C2547" i="11"/>
  <c r="A2546" i="11"/>
  <c r="B2546" i="11"/>
  <c r="C2546" i="11"/>
  <c r="A2545" i="11"/>
  <c r="B2545" i="11"/>
  <c r="C2545" i="11"/>
  <c r="A2544" i="11"/>
  <c r="B2544" i="11"/>
  <c r="C2544" i="11"/>
  <c r="A2543" i="11"/>
  <c r="B2543" i="11"/>
  <c r="C2543" i="11"/>
  <c r="A2542" i="11"/>
  <c r="B2542" i="11"/>
  <c r="C2542" i="11"/>
  <c r="A2541" i="11"/>
  <c r="B2541" i="11"/>
  <c r="C2541" i="11"/>
  <c r="A2540" i="11"/>
  <c r="B2540" i="11"/>
  <c r="C2540" i="11"/>
  <c r="A2539" i="11"/>
  <c r="B2539" i="11"/>
  <c r="C2539" i="11"/>
  <c r="A2538" i="11"/>
  <c r="B2538" i="11"/>
  <c r="C2538" i="11"/>
  <c r="A2537" i="11"/>
  <c r="B2537" i="11"/>
  <c r="C2537" i="11"/>
  <c r="A2536" i="11"/>
  <c r="B2536" i="11"/>
  <c r="C2536" i="11"/>
  <c r="A2535" i="11"/>
  <c r="B2535" i="11"/>
  <c r="C2535" i="11"/>
  <c r="A2534" i="11"/>
  <c r="B2534" i="11"/>
  <c r="C2534" i="11"/>
  <c r="A2533" i="11"/>
  <c r="B2533" i="11"/>
  <c r="C2533" i="11"/>
  <c r="A2532" i="11"/>
  <c r="B2532" i="11"/>
  <c r="C2532" i="11"/>
  <c r="A2531" i="11"/>
  <c r="B2531" i="11"/>
  <c r="C2531" i="11"/>
  <c r="A2530" i="11"/>
  <c r="B2530" i="11"/>
  <c r="C2530" i="11"/>
  <c r="A2529" i="11"/>
  <c r="B2529" i="11"/>
  <c r="C2529" i="11"/>
  <c r="A2528" i="11"/>
  <c r="B2528" i="11"/>
  <c r="C2528" i="11"/>
  <c r="A2527" i="11"/>
  <c r="B2527" i="11"/>
  <c r="C2527" i="11"/>
  <c r="A2526" i="11"/>
  <c r="B2526" i="11"/>
  <c r="C2526" i="11"/>
  <c r="A2525" i="11"/>
  <c r="B2525" i="11"/>
  <c r="C2525" i="11"/>
  <c r="A2524" i="11"/>
  <c r="B2524" i="11"/>
  <c r="C2524" i="11"/>
  <c r="A2523" i="11"/>
  <c r="B2523" i="11"/>
  <c r="C2523" i="11"/>
  <c r="A2522" i="11"/>
  <c r="B2522" i="11"/>
  <c r="C2522" i="11"/>
  <c r="A2521" i="11"/>
  <c r="B2521" i="11"/>
  <c r="C2521" i="11"/>
  <c r="A2520" i="11"/>
  <c r="B2520" i="11"/>
  <c r="C2520" i="11"/>
  <c r="A2519" i="11"/>
  <c r="B2519" i="11"/>
  <c r="C2519" i="11"/>
  <c r="A2518" i="11"/>
  <c r="B2518" i="11"/>
  <c r="C2518" i="11"/>
  <c r="A2517" i="11"/>
  <c r="B2517" i="11"/>
  <c r="C2517" i="11"/>
  <c r="A2516" i="11"/>
  <c r="B2516" i="11"/>
  <c r="C2516" i="11"/>
  <c r="A2515" i="11"/>
  <c r="B2515" i="11"/>
  <c r="C2515" i="11"/>
  <c r="A2514" i="11"/>
  <c r="B2514" i="11"/>
  <c r="C2514" i="11"/>
  <c r="A2513" i="11"/>
  <c r="B2513" i="11"/>
  <c r="C2513" i="11"/>
  <c r="A2512" i="11"/>
  <c r="B2512" i="11"/>
  <c r="C2512" i="11"/>
  <c r="A2511" i="11"/>
  <c r="B2511" i="11"/>
  <c r="C2511" i="11"/>
  <c r="A2510" i="11"/>
  <c r="B2510" i="11"/>
  <c r="C2510" i="11"/>
  <c r="A2509" i="11"/>
  <c r="B2509" i="11"/>
  <c r="C2509" i="11"/>
  <c r="A2508" i="11"/>
  <c r="B2508" i="11"/>
  <c r="C2508" i="11"/>
  <c r="A2507" i="11"/>
  <c r="B2507" i="11"/>
  <c r="C2507" i="11"/>
  <c r="A2506" i="11"/>
  <c r="B2506" i="11"/>
  <c r="C2506" i="11"/>
  <c r="A2505" i="11"/>
  <c r="B2505" i="11"/>
  <c r="C2505" i="11"/>
  <c r="A2504" i="11"/>
  <c r="B2504" i="11"/>
  <c r="C2504" i="11"/>
  <c r="A2503" i="11"/>
  <c r="B2503" i="11"/>
  <c r="C2503" i="11"/>
  <c r="A2502" i="11"/>
  <c r="B2502" i="11"/>
  <c r="C2502" i="11"/>
  <c r="A2501" i="11"/>
  <c r="B2501" i="11"/>
  <c r="C2501" i="11"/>
  <c r="A2500" i="11"/>
  <c r="B2500" i="11"/>
  <c r="C2500" i="11"/>
  <c r="A2499" i="11"/>
  <c r="B2499" i="11"/>
  <c r="C2499" i="11"/>
  <c r="A2498" i="11"/>
  <c r="B2498" i="11"/>
  <c r="C2498" i="11"/>
  <c r="A2497" i="11"/>
  <c r="B2497" i="11"/>
  <c r="C2497" i="11"/>
  <c r="A2496" i="11"/>
  <c r="B2496" i="11"/>
  <c r="C2496" i="11"/>
  <c r="A2495" i="11"/>
  <c r="B2495" i="11"/>
  <c r="C2495" i="11"/>
  <c r="A2494" i="11"/>
  <c r="B2494" i="11"/>
  <c r="C2494" i="11"/>
  <c r="A2493" i="11"/>
  <c r="B2493" i="11"/>
  <c r="C2493" i="11"/>
  <c r="A2492" i="11"/>
  <c r="B2492" i="11"/>
  <c r="C2492" i="11"/>
  <c r="A2491" i="11"/>
  <c r="B2491" i="11"/>
  <c r="C2491" i="11"/>
  <c r="A2490" i="11"/>
  <c r="B2490" i="11"/>
  <c r="C2490" i="11"/>
  <c r="A2489" i="11"/>
  <c r="B2489" i="11"/>
  <c r="C2489" i="11"/>
  <c r="A2488" i="11"/>
  <c r="B2488" i="11"/>
  <c r="C2488" i="11"/>
  <c r="A2487" i="11"/>
  <c r="B2487" i="11"/>
  <c r="C2487" i="11"/>
  <c r="A2486" i="11"/>
  <c r="B2486" i="11"/>
  <c r="C2486" i="11"/>
  <c r="A2485" i="11"/>
  <c r="B2485" i="11"/>
  <c r="C2485" i="11"/>
  <c r="A2484" i="11"/>
  <c r="B2484" i="11"/>
  <c r="C2484" i="11"/>
  <c r="A2483" i="11"/>
  <c r="B2483" i="11"/>
  <c r="C2483" i="11"/>
  <c r="A2482" i="11"/>
  <c r="B2482" i="11"/>
  <c r="C2482" i="11"/>
  <c r="A2481" i="11"/>
  <c r="B2481" i="11"/>
  <c r="C2481" i="11"/>
  <c r="A2480" i="11"/>
  <c r="B2480" i="11"/>
  <c r="C2480" i="11"/>
  <c r="A2479" i="11"/>
  <c r="B2479" i="11"/>
  <c r="C2479" i="11"/>
  <c r="A2478" i="11"/>
  <c r="B2478" i="11"/>
  <c r="C2478" i="11"/>
  <c r="A2477" i="11"/>
  <c r="B2477" i="11"/>
  <c r="C2477" i="11"/>
  <c r="A2476" i="11"/>
  <c r="B2476" i="11"/>
  <c r="C2476" i="11"/>
  <c r="A2475" i="11"/>
  <c r="B2475" i="11"/>
  <c r="C2475" i="11"/>
  <c r="A2474" i="11"/>
  <c r="B2474" i="11"/>
  <c r="C2474" i="11"/>
  <c r="A2473" i="11"/>
  <c r="B2473" i="11"/>
  <c r="C2473" i="11"/>
  <c r="A2472" i="11"/>
  <c r="B2472" i="11"/>
  <c r="C2472" i="11"/>
  <c r="A2471" i="11"/>
  <c r="B2471" i="11"/>
  <c r="C2471" i="11"/>
  <c r="A2470" i="11"/>
  <c r="B2470" i="11"/>
  <c r="C2470" i="11"/>
  <c r="A2469" i="11"/>
  <c r="B2469" i="11"/>
  <c r="C2469" i="11"/>
  <c r="A2468" i="11"/>
  <c r="B2468" i="11"/>
  <c r="C2468" i="11"/>
  <c r="A2467" i="11"/>
  <c r="B2467" i="11"/>
  <c r="C2467" i="11"/>
  <c r="A2466" i="11"/>
  <c r="B2466" i="11"/>
  <c r="C2466" i="11"/>
  <c r="A2465" i="11"/>
  <c r="B2465" i="11"/>
  <c r="C2465" i="11"/>
  <c r="A2464" i="11"/>
  <c r="B2464" i="11"/>
  <c r="C2464" i="11"/>
  <c r="A2463" i="11"/>
  <c r="B2463" i="11"/>
  <c r="C2463" i="11"/>
  <c r="A2462" i="11"/>
  <c r="B2462" i="11"/>
  <c r="C2462" i="11"/>
  <c r="A2461" i="11"/>
  <c r="B2461" i="11"/>
  <c r="C2461" i="11"/>
  <c r="A2460" i="11"/>
  <c r="B2460" i="11"/>
  <c r="C2460" i="11"/>
  <c r="A2459" i="11"/>
  <c r="B2459" i="11"/>
  <c r="C2459" i="11"/>
  <c r="A2458" i="11"/>
  <c r="B2458" i="11"/>
  <c r="C2458" i="11"/>
  <c r="A2457" i="11"/>
  <c r="B2457" i="11"/>
  <c r="C2457" i="11"/>
  <c r="A2456" i="11"/>
  <c r="B2456" i="11"/>
  <c r="C2456" i="11"/>
  <c r="A2455" i="11"/>
  <c r="B2455" i="11"/>
  <c r="C2455" i="11"/>
  <c r="A2454" i="11"/>
  <c r="B2454" i="11"/>
  <c r="C2454" i="11"/>
  <c r="A2453" i="11"/>
  <c r="B2453" i="11"/>
  <c r="C2453" i="11"/>
  <c r="A2452" i="11"/>
  <c r="B2452" i="11"/>
  <c r="C2452" i="11"/>
  <c r="A2451" i="11"/>
  <c r="B2451" i="11"/>
  <c r="C2451" i="11"/>
  <c r="A2450" i="11"/>
  <c r="B2450" i="11"/>
  <c r="C2450" i="11"/>
  <c r="A2449" i="11"/>
  <c r="B2449" i="11"/>
  <c r="C2449" i="11"/>
  <c r="A2448" i="11"/>
  <c r="B2448" i="11"/>
  <c r="C2448" i="11"/>
  <c r="A2447" i="11"/>
  <c r="B2447" i="11"/>
  <c r="C2447" i="11"/>
  <c r="A2446" i="11"/>
  <c r="B2446" i="11"/>
  <c r="C2446" i="11"/>
  <c r="A2445" i="11"/>
  <c r="B2445" i="11"/>
  <c r="C2445" i="11"/>
  <c r="A2444" i="11"/>
  <c r="B2444" i="11"/>
  <c r="C2444" i="11"/>
  <c r="A2443" i="11"/>
  <c r="B2443" i="11"/>
  <c r="C2443" i="11"/>
  <c r="A2442" i="11"/>
  <c r="B2442" i="11"/>
  <c r="C2442" i="11"/>
  <c r="A2441" i="11"/>
  <c r="B2441" i="11"/>
  <c r="C2441" i="11"/>
  <c r="A2440" i="11"/>
  <c r="B2440" i="11"/>
  <c r="C2440" i="11"/>
  <c r="A2439" i="11"/>
  <c r="B2439" i="11"/>
  <c r="C2439" i="11"/>
  <c r="A2438" i="11"/>
  <c r="B2438" i="11"/>
  <c r="C2438" i="11"/>
  <c r="A2437" i="11"/>
  <c r="B2437" i="11"/>
  <c r="C2437" i="11"/>
  <c r="A2436" i="11"/>
  <c r="B2436" i="11"/>
  <c r="C2436" i="11"/>
  <c r="A2435" i="11"/>
  <c r="B2435" i="11"/>
  <c r="C2435" i="11"/>
  <c r="A2434" i="11"/>
  <c r="B2434" i="11"/>
  <c r="C2434" i="11"/>
  <c r="A2433" i="11"/>
  <c r="B2433" i="11"/>
  <c r="C2433" i="11"/>
  <c r="A2432" i="11"/>
  <c r="B2432" i="11"/>
  <c r="C2432" i="11"/>
  <c r="A2431" i="11"/>
  <c r="B2431" i="11"/>
  <c r="C2431" i="11"/>
  <c r="A2430" i="11"/>
  <c r="B2430" i="11"/>
  <c r="C2430" i="11"/>
  <c r="A2429" i="11"/>
  <c r="B2429" i="11"/>
  <c r="C2429" i="11"/>
  <c r="A2428" i="11"/>
  <c r="B2428" i="11"/>
  <c r="C2428" i="11"/>
  <c r="A2427" i="11"/>
  <c r="B2427" i="11"/>
  <c r="C2427" i="11"/>
  <c r="A2426" i="11"/>
  <c r="B2426" i="11"/>
  <c r="C2426" i="11"/>
  <c r="A2425" i="11"/>
  <c r="B2425" i="11"/>
  <c r="C2425" i="11"/>
  <c r="A2424" i="11"/>
  <c r="B2424" i="11"/>
  <c r="C2424" i="11"/>
  <c r="A2423" i="11"/>
  <c r="B2423" i="11"/>
  <c r="C2423" i="11"/>
  <c r="A2422" i="11"/>
  <c r="B2422" i="11"/>
  <c r="C2422" i="11"/>
  <c r="A2421" i="11"/>
  <c r="B2421" i="11"/>
  <c r="C2421" i="11"/>
  <c r="A2420" i="11"/>
  <c r="B2420" i="11"/>
  <c r="C2420" i="11"/>
  <c r="A2419" i="11"/>
  <c r="B2419" i="11"/>
  <c r="C2419" i="11"/>
  <c r="A2418" i="11"/>
  <c r="B2418" i="11"/>
  <c r="C2418" i="11"/>
  <c r="A2417" i="11"/>
  <c r="B2417" i="11"/>
  <c r="C2417" i="11"/>
  <c r="A2416" i="11"/>
  <c r="B2416" i="11"/>
  <c r="C2416" i="11"/>
  <c r="A2415" i="11"/>
  <c r="B2415" i="11"/>
  <c r="C2415" i="11"/>
  <c r="A2414" i="11"/>
  <c r="B2414" i="11"/>
  <c r="C2414" i="11"/>
  <c r="A2413" i="11"/>
  <c r="B2413" i="11"/>
  <c r="C2413" i="11"/>
  <c r="A2412" i="11"/>
  <c r="B2412" i="11"/>
  <c r="C2412" i="11"/>
  <c r="A2411" i="11"/>
  <c r="B2411" i="11"/>
  <c r="C2411" i="11"/>
  <c r="A2410" i="11"/>
  <c r="B2410" i="11"/>
  <c r="C2410" i="11"/>
  <c r="A2409" i="11"/>
  <c r="B2409" i="11"/>
  <c r="C2409" i="11"/>
  <c r="A2408" i="11"/>
  <c r="B2408" i="11"/>
  <c r="C2408" i="11"/>
  <c r="A2407" i="11"/>
  <c r="B2407" i="11"/>
  <c r="C2407" i="11"/>
  <c r="A2406" i="11"/>
  <c r="B2406" i="11"/>
  <c r="C2406" i="11"/>
  <c r="A2405" i="11"/>
  <c r="B2405" i="11"/>
  <c r="C2405" i="11"/>
  <c r="A2404" i="11"/>
  <c r="B2404" i="11"/>
  <c r="C2404" i="11"/>
  <c r="A2403" i="11"/>
  <c r="B2403" i="11"/>
  <c r="C2403" i="11"/>
  <c r="A2402" i="11"/>
  <c r="B2402" i="11"/>
  <c r="C2402" i="11"/>
  <c r="A2401" i="11"/>
  <c r="B2401" i="11"/>
  <c r="C2401" i="11"/>
  <c r="A2400" i="11"/>
  <c r="B2400" i="11"/>
  <c r="C2400" i="11"/>
  <c r="A2399" i="11"/>
  <c r="B2399" i="11"/>
  <c r="C2399" i="11"/>
  <c r="A2398" i="11"/>
  <c r="B2398" i="11"/>
  <c r="C2398" i="11"/>
  <c r="A2397" i="11"/>
  <c r="B2397" i="11"/>
  <c r="C2397" i="11"/>
  <c r="A2396" i="11"/>
  <c r="B2396" i="11"/>
  <c r="C2396" i="11"/>
  <c r="A2395" i="11"/>
  <c r="B2395" i="11"/>
  <c r="C2395" i="11"/>
  <c r="A2394" i="11"/>
  <c r="B2394" i="11"/>
  <c r="C2394" i="11"/>
  <c r="A2393" i="11"/>
  <c r="B2393" i="11"/>
  <c r="C2393" i="11"/>
  <c r="A2392" i="11"/>
  <c r="B2392" i="11"/>
  <c r="C2392" i="11"/>
  <c r="A2391" i="11"/>
  <c r="B2391" i="11"/>
  <c r="C2391" i="11"/>
  <c r="A2390" i="11"/>
  <c r="B2390" i="11"/>
  <c r="C2390" i="11"/>
  <c r="A2389" i="11"/>
  <c r="B2389" i="11"/>
  <c r="C2389" i="11"/>
  <c r="A2388" i="11"/>
  <c r="B2388" i="11"/>
  <c r="C2388" i="11"/>
  <c r="A2387" i="11"/>
  <c r="B2387" i="11"/>
  <c r="C2387" i="11"/>
  <c r="A2386" i="11"/>
  <c r="B2386" i="11"/>
  <c r="C2386" i="11"/>
  <c r="A2385" i="11"/>
  <c r="B2385" i="11"/>
  <c r="C2385" i="11"/>
  <c r="A2384" i="11"/>
  <c r="B2384" i="11"/>
  <c r="C2384" i="11"/>
  <c r="A2383" i="11"/>
  <c r="B2383" i="11"/>
  <c r="C2383" i="11"/>
  <c r="A2382" i="11"/>
  <c r="B2382" i="11"/>
  <c r="C2382" i="11"/>
  <c r="A2381" i="11"/>
  <c r="B2381" i="11"/>
  <c r="C2381" i="11"/>
  <c r="A2380" i="11"/>
  <c r="B2380" i="11"/>
  <c r="C2380" i="11"/>
  <c r="A2379" i="11"/>
  <c r="B2379" i="11"/>
  <c r="C2379" i="11"/>
  <c r="A2378" i="11"/>
  <c r="B2378" i="11"/>
  <c r="C2378" i="11"/>
  <c r="A2377" i="11"/>
  <c r="B2377" i="11"/>
  <c r="C2377" i="11"/>
  <c r="A2376" i="11"/>
  <c r="B2376" i="11"/>
  <c r="C2376" i="11"/>
  <c r="A2375" i="11"/>
  <c r="B2375" i="11"/>
  <c r="C2375" i="11"/>
  <c r="A2374" i="11"/>
  <c r="B2374" i="11"/>
  <c r="C2374" i="11"/>
  <c r="A2373" i="11"/>
  <c r="B2373" i="11"/>
  <c r="C2373" i="11"/>
  <c r="A2372" i="11"/>
  <c r="B2372" i="11"/>
  <c r="C2372" i="11"/>
  <c r="A2371" i="11"/>
  <c r="B2371" i="11"/>
  <c r="C2371" i="11"/>
  <c r="A2370" i="11"/>
  <c r="B2370" i="11"/>
  <c r="C2370" i="11"/>
  <c r="A2369" i="11"/>
  <c r="B2369" i="11"/>
  <c r="C2369" i="11"/>
  <c r="A2368" i="11"/>
  <c r="B2368" i="11"/>
  <c r="C2368" i="11"/>
  <c r="A2367" i="11"/>
  <c r="B2367" i="11"/>
  <c r="C2367" i="11"/>
  <c r="A2366" i="11"/>
  <c r="B2366" i="11"/>
  <c r="C2366" i="11"/>
  <c r="A2365" i="11"/>
  <c r="B2365" i="11"/>
  <c r="C2365" i="11"/>
  <c r="A2364" i="11"/>
  <c r="B2364" i="11"/>
  <c r="C2364" i="11"/>
  <c r="A2363" i="11"/>
  <c r="B2363" i="11"/>
  <c r="C2363" i="11"/>
  <c r="A2362" i="11"/>
  <c r="B2362" i="11"/>
  <c r="C2362" i="11"/>
  <c r="A2361" i="11"/>
  <c r="B2361" i="11"/>
  <c r="C2361" i="11"/>
  <c r="A2360" i="11"/>
  <c r="B2360" i="11"/>
  <c r="C2360" i="11"/>
  <c r="A2359" i="11"/>
  <c r="B2359" i="11"/>
  <c r="C2359" i="11"/>
  <c r="A2358" i="11"/>
  <c r="B2358" i="11"/>
  <c r="C2358" i="11"/>
  <c r="A2357" i="11"/>
  <c r="B2357" i="11"/>
  <c r="C2357" i="11"/>
  <c r="A2356" i="11"/>
  <c r="B2356" i="11"/>
  <c r="C2356" i="11"/>
  <c r="A2355" i="11"/>
  <c r="B2355" i="11"/>
  <c r="C2355" i="11"/>
  <c r="A2354" i="11"/>
  <c r="B2354" i="11"/>
  <c r="C2354" i="11"/>
  <c r="A2353" i="11"/>
  <c r="B2353" i="11"/>
  <c r="C2353" i="11"/>
  <c r="A2352" i="11"/>
  <c r="B2352" i="11"/>
  <c r="C2352" i="11"/>
  <c r="A2351" i="11"/>
  <c r="B2351" i="11"/>
  <c r="C2351" i="11"/>
  <c r="A2350" i="11"/>
  <c r="B2350" i="11"/>
  <c r="C2350" i="11"/>
  <c r="A2349" i="11"/>
  <c r="B2349" i="11"/>
  <c r="C2349" i="11"/>
  <c r="A2348" i="11"/>
  <c r="B2348" i="11"/>
  <c r="C2348" i="11"/>
  <c r="A2347" i="11"/>
  <c r="B2347" i="11"/>
  <c r="C2347" i="11"/>
  <c r="A2346" i="11"/>
  <c r="B2346" i="11"/>
  <c r="C2346" i="11"/>
  <c r="A2345" i="11"/>
  <c r="B2345" i="11"/>
  <c r="C2345" i="11"/>
  <c r="A2344" i="11"/>
  <c r="B2344" i="11"/>
  <c r="C2344" i="11"/>
  <c r="A2343" i="11"/>
  <c r="B2343" i="11"/>
  <c r="C2343" i="11"/>
  <c r="A2342" i="11"/>
  <c r="B2342" i="11"/>
  <c r="C2342" i="11"/>
  <c r="A2341" i="11"/>
  <c r="B2341" i="11"/>
  <c r="C2341" i="11"/>
  <c r="A2340" i="11"/>
  <c r="B2340" i="11"/>
  <c r="C2340" i="11"/>
  <c r="A2339" i="11"/>
  <c r="B2339" i="11"/>
  <c r="C2339" i="11"/>
  <c r="A2338" i="11"/>
  <c r="B2338" i="11"/>
  <c r="C2338" i="11"/>
  <c r="A2337" i="11"/>
  <c r="B2337" i="11"/>
  <c r="C2337" i="11"/>
  <c r="A2336" i="11"/>
  <c r="B2336" i="11"/>
  <c r="C2336" i="11"/>
  <c r="A2335" i="11"/>
  <c r="B2335" i="11"/>
  <c r="C2335" i="11"/>
  <c r="A2334" i="11"/>
  <c r="B2334" i="11"/>
  <c r="C2334" i="11"/>
  <c r="A2333" i="11"/>
  <c r="B2333" i="11"/>
  <c r="C2333" i="11"/>
  <c r="A2332" i="11"/>
  <c r="B2332" i="11"/>
  <c r="C2332" i="11"/>
  <c r="A2331" i="11"/>
  <c r="B2331" i="11"/>
  <c r="C2331" i="11"/>
  <c r="A2330" i="11"/>
  <c r="B2330" i="11"/>
  <c r="C2330" i="11"/>
  <c r="A2329" i="11"/>
  <c r="B2329" i="11"/>
  <c r="C2329" i="11"/>
  <c r="A2328" i="11"/>
  <c r="B2328" i="11"/>
  <c r="C2328" i="11"/>
  <c r="A2327" i="11"/>
  <c r="B2327" i="11"/>
  <c r="C2327" i="11"/>
  <c r="A2326" i="11"/>
  <c r="B2326" i="11"/>
  <c r="C2326" i="11"/>
  <c r="A2325" i="11"/>
  <c r="B2325" i="11"/>
  <c r="C2325" i="11"/>
  <c r="A2324" i="11"/>
  <c r="B2324" i="11"/>
  <c r="C2324" i="11"/>
  <c r="A2323" i="11"/>
  <c r="B2323" i="11"/>
  <c r="C2323" i="11"/>
  <c r="A2322" i="11"/>
  <c r="B2322" i="11"/>
  <c r="C2322" i="11"/>
  <c r="A2321" i="11"/>
  <c r="B2321" i="11"/>
  <c r="C2321" i="11"/>
  <c r="A2320" i="11"/>
  <c r="B2320" i="11"/>
  <c r="C2320" i="11"/>
  <c r="A2319" i="11"/>
  <c r="B2319" i="11"/>
  <c r="C2319" i="11"/>
  <c r="A2318" i="11"/>
  <c r="B2318" i="11"/>
  <c r="C2318" i="11"/>
  <c r="A2317" i="11"/>
  <c r="B2317" i="11"/>
  <c r="C2317" i="11"/>
  <c r="A2316" i="11"/>
  <c r="B2316" i="11"/>
  <c r="C2316" i="11"/>
  <c r="A2315" i="11"/>
  <c r="B2315" i="11"/>
  <c r="C2315" i="11"/>
  <c r="A2314" i="11"/>
  <c r="B2314" i="11"/>
  <c r="C2314" i="11"/>
  <c r="A2313" i="11"/>
  <c r="B2313" i="11"/>
  <c r="C2313" i="11"/>
  <c r="A2312" i="11"/>
  <c r="B2312" i="11"/>
  <c r="C2312" i="11"/>
  <c r="A2311" i="11"/>
  <c r="B2311" i="11"/>
  <c r="C2311" i="11"/>
  <c r="A2310" i="11"/>
  <c r="B2310" i="11"/>
  <c r="C2310" i="11"/>
  <c r="A2309" i="11"/>
  <c r="B2309" i="11"/>
  <c r="C2309" i="11"/>
  <c r="A2308" i="11"/>
  <c r="B2308" i="11"/>
  <c r="C2308" i="11"/>
  <c r="A2307" i="11"/>
  <c r="B2307" i="11"/>
  <c r="C2307" i="11"/>
  <c r="A2306" i="11"/>
  <c r="B2306" i="11"/>
  <c r="C2306" i="11"/>
  <c r="A2305" i="11"/>
  <c r="B2305" i="11"/>
  <c r="C2305" i="11"/>
  <c r="A2304" i="11"/>
  <c r="B2304" i="11"/>
  <c r="C2304" i="11"/>
  <c r="A2303" i="11"/>
  <c r="B2303" i="11"/>
  <c r="C2303" i="11"/>
  <c r="A2302" i="11"/>
  <c r="B2302" i="11"/>
  <c r="C2302" i="11"/>
  <c r="A2301" i="11"/>
  <c r="B2301" i="11"/>
  <c r="C2301" i="11"/>
  <c r="A2300" i="11"/>
  <c r="B2300" i="11"/>
  <c r="C2300" i="11"/>
  <c r="A2299" i="11"/>
  <c r="B2299" i="11"/>
  <c r="C2299" i="11"/>
  <c r="A2298" i="11"/>
  <c r="B2298" i="11"/>
  <c r="C2298" i="11"/>
  <c r="A2297" i="11"/>
  <c r="B2297" i="11"/>
  <c r="C2297" i="11"/>
  <c r="A2296" i="11"/>
  <c r="B2296" i="11"/>
  <c r="C2296" i="11"/>
  <c r="A2295" i="11"/>
  <c r="B2295" i="11"/>
  <c r="C2295" i="11"/>
  <c r="A2294" i="11"/>
  <c r="B2294" i="11"/>
  <c r="C2294" i="11"/>
  <c r="A2293" i="11"/>
  <c r="B2293" i="11"/>
  <c r="C2293" i="11"/>
  <c r="A2292" i="11"/>
  <c r="B2292" i="11"/>
  <c r="C2292" i="11"/>
  <c r="A2291" i="11"/>
  <c r="B2291" i="11"/>
  <c r="C2291" i="11"/>
  <c r="A2290" i="11"/>
  <c r="B2290" i="11"/>
  <c r="C2290" i="11"/>
  <c r="A2289" i="11"/>
  <c r="B2289" i="11"/>
  <c r="C2289" i="11"/>
  <c r="A2288" i="11"/>
  <c r="B2288" i="11"/>
  <c r="C2288" i="11"/>
  <c r="A2287" i="11"/>
  <c r="B2287" i="11"/>
  <c r="C2287" i="11"/>
  <c r="A2286" i="11"/>
  <c r="B2286" i="11"/>
  <c r="C2286" i="11"/>
  <c r="A2285" i="11"/>
  <c r="B2285" i="11"/>
  <c r="C2285" i="11"/>
  <c r="A2284" i="11"/>
  <c r="B2284" i="11"/>
  <c r="C2284" i="11"/>
  <c r="A2283" i="11"/>
  <c r="B2283" i="11"/>
  <c r="C2283" i="11"/>
  <c r="A2282" i="11"/>
  <c r="B2282" i="11"/>
  <c r="C2282" i="11"/>
  <c r="A2281" i="11"/>
  <c r="B2281" i="11"/>
  <c r="C2281" i="11"/>
  <c r="A2280" i="11"/>
  <c r="B2280" i="11"/>
  <c r="C2280" i="11"/>
  <c r="A2279" i="11"/>
  <c r="B2279" i="11"/>
  <c r="C2279" i="11"/>
  <c r="A2278" i="11"/>
  <c r="B2278" i="11"/>
  <c r="C2278" i="11"/>
  <c r="A2277" i="11"/>
  <c r="B2277" i="11"/>
  <c r="C2277" i="11"/>
  <c r="A2276" i="11"/>
  <c r="B2276" i="11"/>
  <c r="C2276" i="11"/>
  <c r="A2275" i="11"/>
  <c r="B2275" i="11"/>
  <c r="C2275" i="11"/>
  <c r="A2274" i="11"/>
  <c r="B2274" i="11"/>
  <c r="C2274" i="11"/>
  <c r="A2273" i="11"/>
  <c r="B2273" i="11"/>
  <c r="C2273" i="11"/>
  <c r="A2272" i="11"/>
  <c r="B2272" i="11"/>
  <c r="C2272" i="11"/>
  <c r="A2271" i="11"/>
  <c r="B2271" i="11"/>
  <c r="C2271" i="11"/>
  <c r="A2270" i="11"/>
  <c r="B2270" i="11"/>
  <c r="C2270" i="11"/>
  <c r="A2269" i="11"/>
  <c r="B2269" i="11"/>
  <c r="C2269" i="11"/>
  <c r="A2268" i="11"/>
  <c r="B2268" i="11"/>
  <c r="C2268" i="11"/>
  <c r="A2267" i="11"/>
  <c r="B2267" i="11"/>
  <c r="C2267" i="11"/>
  <c r="A2266" i="11"/>
  <c r="B2266" i="11"/>
  <c r="C2266" i="11"/>
  <c r="A2265" i="11"/>
  <c r="B2265" i="11"/>
  <c r="C2265" i="11"/>
  <c r="A2264" i="11"/>
  <c r="B2264" i="11"/>
  <c r="C2264" i="11"/>
  <c r="A2263" i="11"/>
  <c r="B2263" i="11"/>
  <c r="C2263" i="11"/>
  <c r="A2262" i="11"/>
  <c r="B2262" i="11"/>
  <c r="C2262" i="11"/>
  <c r="A2261" i="11"/>
  <c r="B2261" i="11"/>
  <c r="C2261" i="11"/>
  <c r="A2260" i="11"/>
  <c r="B2260" i="11"/>
  <c r="C2260" i="11"/>
  <c r="A2259" i="11"/>
  <c r="B2259" i="11"/>
  <c r="C2259" i="11"/>
  <c r="A2258" i="11"/>
  <c r="B2258" i="11"/>
  <c r="C2258" i="11"/>
  <c r="A2257" i="11"/>
  <c r="B2257" i="11"/>
  <c r="C2257" i="11"/>
  <c r="A2256" i="11"/>
  <c r="B2256" i="11"/>
  <c r="C2256" i="11"/>
  <c r="A2255" i="11"/>
  <c r="B2255" i="11"/>
  <c r="C2255" i="11"/>
  <c r="A2254" i="11"/>
  <c r="B2254" i="11"/>
  <c r="C2254" i="11"/>
  <c r="A2253" i="11"/>
  <c r="B2253" i="11"/>
  <c r="C2253" i="11"/>
  <c r="A2252" i="11"/>
  <c r="B2252" i="11"/>
  <c r="C2252" i="11"/>
  <c r="A2251" i="11"/>
  <c r="B2251" i="11"/>
  <c r="C2251" i="11"/>
  <c r="A2250" i="11"/>
  <c r="B2250" i="11"/>
  <c r="C2250" i="11"/>
  <c r="A2249" i="11"/>
  <c r="B2249" i="11"/>
  <c r="C2249" i="11"/>
  <c r="A2248" i="11"/>
  <c r="B2248" i="11"/>
  <c r="C2248" i="11"/>
  <c r="A2247" i="11"/>
  <c r="B2247" i="11"/>
  <c r="C2247" i="11"/>
  <c r="A2246" i="11"/>
  <c r="B2246" i="11"/>
  <c r="C2246" i="11"/>
  <c r="A2245" i="11"/>
  <c r="B2245" i="11"/>
  <c r="C2245" i="11"/>
  <c r="A2244" i="11"/>
  <c r="B2244" i="11"/>
  <c r="C2244" i="11"/>
  <c r="A2243" i="11"/>
  <c r="B2243" i="11"/>
  <c r="C2243" i="11"/>
  <c r="A2242" i="11"/>
  <c r="B2242" i="11"/>
  <c r="C2242" i="11"/>
  <c r="A2241" i="11"/>
  <c r="B2241" i="11"/>
  <c r="C2241" i="11"/>
  <c r="A2240" i="11"/>
  <c r="B2240" i="11"/>
  <c r="C2240" i="11"/>
  <c r="A2239" i="11"/>
  <c r="B2239" i="11"/>
  <c r="C2239" i="11"/>
  <c r="A2238" i="11"/>
  <c r="B2238" i="11"/>
  <c r="C2238" i="11"/>
  <c r="A2237" i="11"/>
  <c r="B2237" i="11"/>
  <c r="C2237" i="11"/>
  <c r="A2236" i="11"/>
  <c r="B2236" i="11"/>
  <c r="C2236" i="11"/>
  <c r="A2235" i="11"/>
  <c r="B2235" i="11"/>
  <c r="C2235" i="11"/>
  <c r="A2234" i="11"/>
  <c r="B2234" i="11"/>
  <c r="C2234" i="11"/>
  <c r="A2233" i="11"/>
  <c r="B2233" i="11"/>
  <c r="C2233" i="11"/>
  <c r="A2232" i="11"/>
  <c r="B2232" i="11"/>
  <c r="C2232" i="11"/>
  <c r="A2231" i="11"/>
  <c r="B2231" i="11"/>
  <c r="C2231" i="11"/>
  <c r="A2230" i="11"/>
  <c r="B2230" i="11"/>
  <c r="C2230" i="11"/>
  <c r="A2229" i="11"/>
  <c r="B2229" i="11"/>
  <c r="C2229" i="11"/>
  <c r="A2228" i="11"/>
  <c r="B2228" i="11"/>
  <c r="C2228" i="11"/>
  <c r="A2227" i="11"/>
  <c r="B2227" i="11"/>
  <c r="C2227" i="11"/>
  <c r="A2226" i="11"/>
  <c r="B2226" i="11"/>
  <c r="C2226" i="11"/>
  <c r="A2225" i="11"/>
  <c r="B2225" i="11"/>
  <c r="C2225" i="11"/>
  <c r="A2224" i="11"/>
  <c r="B2224" i="11"/>
  <c r="C2224" i="11"/>
  <c r="A2223" i="11"/>
  <c r="B2223" i="11"/>
  <c r="C2223" i="11"/>
  <c r="A2222" i="11"/>
  <c r="B2222" i="11"/>
  <c r="C2222" i="11"/>
  <c r="A2221" i="11"/>
  <c r="B2221" i="11"/>
  <c r="C2221" i="11"/>
  <c r="A2220" i="11"/>
  <c r="B2220" i="11"/>
  <c r="C2220" i="11"/>
  <c r="A2219" i="11"/>
  <c r="B2219" i="11"/>
  <c r="C2219" i="11"/>
  <c r="A2218" i="11"/>
  <c r="B2218" i="11"/>
  <c r="C2218" i="11"/>
  <c r="A2217" i="11"/>
  <c r="B2217" i="11"/>
  <c r="C2217" i="11"/>
  <c r="A2216" i="11"/>
  <c r="B2216" i="11"/>
  <c r="C2216" i="11"/>
  <c r="A2215" i="11"/>
  <c r="B2215" i="11"/>
  <c r="C2215" i="11"/>
  <c r="A2214" i="11"/>
  <c r="B2214" i="11"/>
  <c r="C2214" i="11"/>
  <c r="A2213" i="11"/>
  <c r="B2213" i="11"/>
  <c r="C2213" i="11"/>
  <c r="A2212" i="11"/>
  <c r="B2212" i="11"/>
  <c r="C2212" i="11"/>
  <c r="A2211" i="11"/>
  <c r="B2211" i="11"/>
  <c r="C2211" i="11"/>
  <c r="A2210" i="11"/>
  <c r="B2210" i="11"/>
  <c r="C2210" i="11"/>
  <c r="A2209" i="11"/>
  <c r="B2209" i="11"/>
  <c r="C2209" i="11"/>
  <c r="A2208" i="11"/>
  <c r="B2208" i="11"/>
  <c r="C2208" i="11"/>
  <c r="A2207" i="11"/>
  <c r="B2207" i="11"/>
  <c r="C2207" i="11"/>
  <c r="A2206" i="11"/>
  <c r="B2206" i="11"/>
  <c r="C2206" i="11"/>
  <c r="A2205" i="11"/>
  <c r="B2205" i="11"/>
  <c r="C2205" i="11"/>
  <c r="A2204" i="11"/>
  <c r="B2204" i="11"/>
  <c r="C2204" i="11"/>
  <c r="A2203" i="11"/>
  <c r="B2203" i="11"/>
  <c r="C2203" i="11"/>
  <c r="A2202" i="11"/>
  <c r="B2202" i="11"/>
  <c r="C2202" i="11"/>
  <c r="A2201" i="11"/>
  <c r="B2201" i="11"/>
  <c r="C2201" i="11"/>
  <c r="A2200" i="11"/>
  <c r="B2200" i="11"/>
  <c r="C2200" i="11"/>
  <c r="A2199" i="11"/>
  <c r="B2199" i="11"/>
  <c r="C2199" i="11"/>
  <c r="A2198" i="11"/>
  <c r="B2198" i="11"/>
  <c r="C2198" i="11"/>
  <c r="A2197" i="11"/>
  <c r="B2197" i="11"/>
  <c r="C2197" i="11"/>
  <c r="A2196" i="11"/>
  <c r="B2196" i="11"/>
  <c r="C2196" i="11"/>
  <c r="A2195" i="11"/>
  <c r="B2195" i="11"/>
  <c r="C2195" i="11"/>
  <c r="A2194" i="11"/>
  <c r="B2194" i="11"/>
  <c r="C2194" i="11"/>
  <c r="A2193" i="11"/>
  <c r="B2193" i="11"/>
  <c r="C2193" i="11"/>
  <c r="A2192" i="11"/>
  <c r="B2192" i="11"/>
  <c r="C2192" i="11"/>
  <c r="A2191" i="11"/>
  <c r="B2191" i="11"/>
  <c r="C2191" i="11"/>
  <c r="A2190" i="11"/>
  <c r="B2190" i="11"/>
  <c r="C2190" i="11"/>
  <c r="A2189" i="11"/>
  <c r="B2189" i="11"/>
  <c r="C2189" i="11"/>
  <c r="A2188" i="11"/>
  <c r="B2188" i="11"/>
  <c r="C2188" i="11"/>
  <c r="A2187" i="11"/>
  <c r="B2187" i="11"/>
  <c r="C2187" i="11"/>
  <c r="A2186" i="11"/>
  <c r="B2186" i="11"/>
  <c r="C2186" i="11"/>
  <c r="A2185" i="11"/>
  <c r="B2185" i="11"/>
  <c r="C2185" i="11"/>
  <c r="A2184" i="11"/>
  <c r="B2184" i="11"/>
  <c r="C2184" i="11"/>
  <c r="A2183" i="11"/>
  <c r="B2183" i="11"/>
  <c r="C2183" i="11"/>
  <c r="A2182" i="11"/>
  <c r="B2182" i="11"/>
  <c r="C2182" i="11"/>
  <c r="A2181" i="11"/>
  <c r="B2181" i="11"/>
  <c r="C2181" i="11"/>
  <c r="A2180" i="11"/>
  <c r="B2180" i="11"/>
  <c r="C2180" i="11"/>
  <c r="A2179" i="11"/>
  <c r="B2179" i="11"/>
  <c r="C2179" i="11"/>
  <c r="A2178" i="11"/>
  <c r="B2178" i="11"/>
  <c r="C2178" i="11"/>
  <c r="A2177" i="11"/>
  <c r="B2177" i="11"/>
  <c r="C2177" i="11"/>
  <c r="A2176" i="11"/>
  <c r="B2176" i="11"/>
  <c r="C2176" i="11"/>
  <c r="A2175" i="11"/>
  <c r="B2175" i="11"/>
  <c r="C2175" i="11"/>
  <c r="A2174" i="11"/>
  <c r="B2174" i="11"/>
  <c r="C2174" i="11"/>
  <c r="A2173" i="11"/>
  <c r="B2173" i="11"/>
  <c r="C2173" i="11"/>
  <c r="A2172" i="11"/>
  <c r="B2172" i="11"/>
  <c r="C2172" i="11"/>
  <c r="A2171" i="11"/>
  <c r="B2171" i="11"/>
  <c r="C2171" i="11"/>
  <c r="A2170" i="11"/>
  <c r="B2170" i="11"/>
  <c r="C2170" i="11"/>
  <c r="A2169" i="11"/>
  <c r="B2169" i="11"/>
  <c r="C2169" i="11"/>
  <c r="A2168" i="11"/>
  <c r="B2168" i="11"/>
  <c r="C2168" i="11"/>
  <c r="A2167" i="11"/>
  <c r="B2167" i="11"/>
  <c r="C2167" i="11"/>
  <c r="A2166" i="11"/>
  <c r="B2166" i="11"/>
  <c r="C2166" i="11"/>
  <c r="A2165" i="11"/>
  <c r="B2165" i="11"/>
  <c r="C2165" i="11"/>
  <c r="A2164" i="11"/>
  <c r="B2164" i="11"/>
  <c r="C2164" i="11"/>
  <c r="A2163" i="11"/>
  <c r="B2163" i="11"/>
  <c r="C2163" i="11"/>
  <c r="A2162" i="11"/>
  <c r="B2162" i="11"/>
  <c r="C2162" i="11"/>
  <c r="A2161" i="11"/>
  <c r="B2161" i="11"/>
  <c r="C2161" i="11"/>
  <c r="A2160" i="11"/>
  <c r="B2160" i="11"/>
  <c r="C2160" i="11"/>
  <c r="A2159" i="11"/>
  <c r="B2159" i="11"/>
  <c r="C2159" i="11"/>
  <c r="A2158" i="11"/>
  <c r="B2158" i="11"/>
  <c r="C2158" i="11"/>
  <c r="A2157" i="11"/>
  <c r="B2157" i="11"/>
  <c r="C2157" i="11"/>
  <c r="A2156" i="11"/>
  <c r="B2156" i="11"/>
  <c r="C2156" i="11"/>
  <c r="A2155" i="11"/>
  <c r="B2155" i="11"/>
  <c r="C2155" i="11"/>
  <c r="A2154" i="11"/>
  <c r="B2154" i="11"/>
  <c r="C2154" i="11"/>
  <c r="A2153" i="11"/>
  <c r="B2153" i="11"/>
  <c r="C2153" i="11"/>
  <c r="A2152" i="11"/>
  <c r="B2152" i="11"/>
  <c r="C2152" i="11"/>
  <c r="A2151" i="11"/>
  <c r="B2151" i="11"/>
  <c r="C2151" i="11"/>
  <c r="A2150" i="11"/>
  <c r="B2150" i="11"/>
  <c r="C2150" i="11"/>
  <c r="A2149" i="11"/>
  <c r="B2149" i="11"/>
  <c r="C2149" i="11"/>
  <c r="A2148" i="11"/>
  <c r="B2148" i="11"/>
  <c r="C2148" i="11"/>
  <c r="A2147" i="11"/>
  <c r="B2147" i="11"/>
  <c r="C2147" i="11"/>
  <c r="A2146" i="11"/>
  <c r="B2146" i="11"/>
  <c r="C2146" i="11"/>
  <c r="A2145" i="11"/>
  <c r="B2145" i="11"/>
  <c r="C2145" i="11"/>
  <c r="A2144" i="11"/>
  <c r="B2144" i="11"/>
  <c r="C2144" i="11"/>
  <c r="A2143" i="11"/>
  <c r="B2143" i="11"/>
  <c r="C2143" i="11"/>
  <c r="A2142" i="11"/>
  <c r="B2142" i="11"/>
  <c r="C2142" i="11"/>
  <c r="A2141" i="11"/>
  <c r="B2141" i="11"/>
  <c r="C2141" i="11"/>
  <c r="A2140" i="11"/>
  <c r="B2140" i="11"/>
  <c r="C2140" i="11"/>
  <c r="A2139" i="11"/>
  <c r="B2139" i="11"/>
  <c r="C2139" i="11"/>
  <c r="A2138" i="11"/>
  <c r="B2138" i="11"/>
  <c r="C2138" i="11"/>
  <c r="A2137" i="11"/>
  <c r="B2137" i="11"/>
  <c r="C2137" i="11"/>
  <c r="A2136" i="11"/>
  <c r="B2136" i="11"/>
  <c r="C2136" i="11"/>
  <c r="A2135" i="11"/>
  <c r="B2135" i="11"/>
  <c r="C2135" i="11"/>
  <c r="A2134" i="11"/>
  <c r="B2134" i="11"/>
  <c r="C2134" i="11"/>
  <c r="A2133" i="11"/>
  <c r="B2133" i="11"/>
  <c r="C2133" i="11"/>
  <c r="A2132" i="11"/>
  <c r="B2132" i="11"/>
  <c r="C2132" i="11"/>
  <c r="A2131" i="11"/>
  <c r="B2131" i="11"/>
  <c r="C2131" i="11"/>
  <c r="A2130" i="11"/>
  <c r="B2130" i="11"/>
  <c r="C2130" i="11"/>
  <c r="A2129" i="11"/>
  <c r="B2129" i="11"/>
  <c r="C2129" i="11"/>
  <c r="A2128" i="11"/>
  <c r="B2128" i="11"/>
  <c r="C2128" i="11"/>
  <c r="A2127" i="11"/>
  <c r="B2127" i="11"/>
  <c r="C2127" i="11"/>
  <c r="A2126" i="11"/>
  <c r="B2126" i="11"/>
  <c r="C2126" i="11"/>
  <c r="A2125" i="11"/>
  <c r="B2125" i="11"/>
  <c r="C2125" i="11"/>
  <c r="A2124" i="11"/>
  <c r="B2124" i="11"/>
  <c r="C2124" i="11"/>
  <c r="A2123" i="11"/>
  <c r="B2123" i="11"/>
  <c r="C2123" i="11"/>
  <c r="A2122" i="11"/>
  <c r="B2122" i="11"/>
  <c r="C2122" i="11"/>
  <c r="A2121" i="11"/>
  <c r="B2121" i="11"/>
  <c r="C2121" i="11"/>
  <c r="A2120" i="11"/>
  <c r="B2120" i="11"/>
  <c r="C2120" i="11"/>
  <c r="A2119" i="11"/>
  <c r="B2119" i="11"/>
  <c r="C2119" i="11"/>
  <c r="A2118" i="11"/>
  <c r="B2118" i="11"/>
  <c r="C2118" i="11"/>
  <c r="A2117" i="11"/>
  <c r="B2117" i="11"/>
  <c r="C2117" i="11"/>
  <c r="A2116" i="11"/>
  <c r="B2116" i="11"/>
  <c r="C2116" i="11"/>
  <c r="A2115" i="11"/>
  <c r="B2115" i="11"/>
  <c r="C2115" i="11"/>
  <c r="A2114" i="11"/>
  <c r="B2114" i="11"/>
  <c r="C2114" i="11"/>
  <c r="A2113" i="11"/>
  <c r="B2113" i="11"/>
  <c r="C2113" i="11"/>
  <c r="A2112" i="11"/>
  <c r="B2112" i="11"/>
  <c r="C2112" i="11"/>
  <c r="A2111" i="11"/>
  <c r="B2111" i="11"/>
  <c r="C2111" i="11"/>
  <c r="A2110" i="11"/>
  <c r="B2110" i="11"/>
  <c r="C2110" i="11"/>
  <c r="A2109" i="11"/>
  <c r="B2109" i="11"/>
  <c r="C2109" i="11"/>
  <c r="A2108" i="11"/>
  <c r="B2108" i="11"/>
  <c r="C2108" i="11"/>
  <c r="A2107" i="11"/>
  <c r="B2107" i="11"/>
  <c r="C2107" i="11"/>
  <c r="A2106" i="11"/>
  <c r="B2106" i="11"/>
  <c r="C2106" i="11"/>
  <c r="A2105" i="11"/>
  <c r="B2105" i="11"/>
  <c r="C2105" i="11"/>
  <c r="A2104" i="11"/>
  <c r="B2104" i="11"/>
  <c r="C2104" i="11"/>
  <c r="A2103" i="11"/>
  <c r="B2103" i="11"/>
  <c r="C2103" i="11"/>
  <c r="A2102" i="11"/>
  <c r="B2102" i="11"/>
  <c r="C2102" i="11"/>
  <c r="A2101" i="11"/>
  <c r="B2101" i="11"/>
  <c r="C2101" i="11"/>
  <c r="A2100" i="11"/>
  <c r="B2100" i="11"/>
  <c r="C2100" i="11"/>
  <c r="A2099" i="11"/>
  <c r="B2099" i="11"/>
  <c r="C2099" i="11"/>
  <c r="A2098" i="11"/>
  <c r="B2098" i="11"/>
  <c r="C2098" i="11"/>
  <c r="A2097" i="11"/>
  <c r="B2097" i="11"/>
  <c r="C2097" i="11"/>
  <c r="A2096" i="11"/>
  <c r="B2096" i="11"/>
  <c r="C2096" i="11"/>
  <c r="A2095" i="11"/>
  <c r="B2095" i="11"/>
  <c r="C2095" i="11"/>
  <c r="A2094" i="11"/>
  <c r="B2094" i="11"/>
  <c r="C2094" i="11"/>
  <c r="A2093" i="11"/>
  <c r="B2093" i="11"/>
  <c r="C2093" i="11"/>
  <c r="A2092" i="11"/>
  <c r="B2092" i="11"/>
  <c r="C2092" i="11"/>
  <c r="A2091" i="11"/>
  <c r="B2091" i="11"/>
  <c r="C2091" i="11"/>
  <c r="A2090" i="11"/>
  <c r="B2090" i="11"/>
  <c r="C2090" i="11"/>
  <c r="A2089" i="11"/>
  <c r="B2089" i="11"/>
  <c r="C2089" i="11"/>
  <c r="A2088" i="11"/>
  <c r="B2088" i="11"/>
  <c r="C2088" i="11"/>
  <c r="A2087" i="11"/>
  <c r="B2087" i="11"/>
  <c r="C2087" i="11"/>
  <c r="A2086" i="11"/>
  <c r="B2086" i="11"/>
  <c r="C2086" i="11"/>
  <c r="A2085" i="11"/>
  <c r="B2085" i="11"/>
  <c r="C2085" i="11"/>
  <c r="A2084" i="11"/>
  <c r="B2084" i="11"/>
  <c r="C2084" i="11"/>
  <c r="A2083" i="11"/>
  <c r="B2083" i="11"/>
  <c r="C2083" i="11"/>
  <c r="A2082" i="11"/>
  <c r="B2082" i="11"/>
  <c r="C2082" i="11"/>
  <c r="A2081" i="11"/>
  <c r="B2081" i="11"/>
  <c r="C2081" i="11"/>
  <c r="A2080" i="11"/>
  <c r="B2080" i="11"/>
  <c r="C2080" i="11"/>
  <c r="A2079" i="11"/>
  <c r="B2079" i="11"/>
  <c r="C2079" i="11"/>
  <c r="A2078" i="11"/>
  <c r="B2078" i="11"/>
  <c r="C2078" i="11"/>
  <c r="A2077" i="11"/>
  <c r="B2077" i="11"/>
  <c r="C2077" i="11"/>
  <c r="A2076" i="11"/>
  <c r="B2076" i="11"/>
  <c r="C2076" i="11"/>
  <c r="A2075" i="11"/>
  <c r="B2075" i="11"/>
  <c r="C2075" i="11"/>
  <c r="A2074" i="11"/>
  <c r="B2074" i="11"/>
  <c r="C2074" i="11"/>
  <c r="A2073" i="11"/>
  <c r="B2073" i="11"/>
  <c r="C2073" i="11"/>
  <c r="A2072" i="11"/>
  <c r="B2072" i="11"/>
  <c r="C2072" i="11"/>
  <c r="A2071" i="11"/>
  <c r="B2071" i="11"/>
  <c r="C2071" i="11"/>
  <c r="A2070" i="11"/>
  <c r="B2070" i="11"/>
  <c r="C2070" i="11"/>
  <c r="A2069" i="11"/>
  <c r="B2069" i="11"/>
  <c r="C2069" i="11"/>
  <c r="A2068" i="11"/>
  <c r="B2068" i="11"/>
  <c r="C2068" i="11"/>
  <c r="A2067" i="11"/>
  <c r="B2067" i="11"/>
  <c r="C2067" i="11"/>
  <c r="A2066" i="11"/>
  <c r="B2066" i="11"/>
  <c r="C2066" i="11"/>
  <c r="A2065" i="11"/>
  <c r="B2065" i="11"/>
  <c r="C2065" i="11"/>
  <c r="A2064" i="11"/>
  <c r="B2064" i="11"/>
  <c r="C2064" i="11"/>
  <c r="A2063" i="11"/>
  <c r="B2063" i="11"/>
  <c r="C2063" i="11"/>
  <c r="A2062" i="11"/>
  <c r="B2062" i="11"/>
  <c r="C2062" i="11"/>
  <c r="A2061" i="11"/>
  <c r="B2061" i="11"/>
  <c r="C2061" i="11"/>
  <c r="A2060" i="11"/>
  <c r="B2060" i="11"/>
  <c r="C2060" i="11"/>
  <c r="A2059" i="11"/>
  <c r="B2059" i="11"/>
  <c r="C2059" i="11"/>
  <c r="A2058" i="11"/>
  <c r="B2058" i="11"/>
  <c r="C2058" i="11"/>
  <c r="A2057" i="11"/>
  <c r="B2057" i="11"/>
  <c r="C2057" i="11"/>
  <c r="A2056" i="11"/>
  <c r="B2056" i="11"/>
  <c r="C2056" i="11"/>
  <c r="A2055" i="11"/>
  <c r="B2055" i="11"/>
  <c r="C2055" i="11"/>
  <c r="A2054" i="11"/>
  <c r="B2054" i="11"/>
  <c r="C2054" i="11"/>
  <c r="A2053" i="11"/>
  <c r="B2053" i="11"/>
  <c r="C2053" i="11"/>
  <c r="A2052" i="11"/>
  <c r="B2052" i="11"/>
  <c r="C2052" i="11"/>
  <c r="A2051" i="11"/>
  <c r="B2051" i="11"/>
  <c r="C2051" i="11"/>
  <c r="A2050" i="11"/>
  <c r="B2050" i="11"/>
  <c r="C2050" i="11"/>
  <c r="A2049" i="11"/>
  <c r="B2049" i="11"/>
  <c r="C2049" i="11"/>
  <c r="A2048" i="11"/>
  <c r="B2048" i="11"/>
  <c r="C2048" i="11"/>
  <c r="A2047" i="11"/>
  <c r="B2047" i="11"/>
  <c r="C2047" i="11"/>
  <c r="A2046" i="11"/>
  <c r="B2046" i="11"/>
  <c r="C2046" i="11"/>
  <c r="A2045" i="11"/>
  <c r="B2045" i="11"/>
  <c r="C2045" i="11"/>
  <c r="A2044" i="11"/>
  <c r="B2044" i="11"/>
  <c r="C2044" i="11"/>
  <c r="A2043" i="11"/>
  <c r="B2043" i="11"/>
  <c r="C2043" i="11"/>
  <c r="A2042" i="11"/>
  <c r="B2042" i="11"/>
  <c r="C2042" i="11"/>
  <c r="A2041" i="11"/>
  <c r="B2041" i="11"/>
  <c r="C2041" i="11"/>
  <c r="A2040" i="11"/>
  <c r="B2040" i="11"/>
  <c r="C2040" i="11"/>
  <c r="A2039" i="11"/>
  <c r="B2039" i="11"/>
  <c r="C2039" i="11"/>
  <c r="A2038" i="11"/>
  <c r="B2038" i="11"/>
  <c r="C2038" i="11"/>
  <c r="A2037" i="11"/>
  <c r="B2037" i="11"/>
  <c r="C2037" i="11"/>
  <c r="A2036" i="11"/>
  <c r="B2036" i="11"/>
  <c r="C2036" i="11"/>
  <c r="A2035" i="11"/>
  <c r="B2035" i="11"/>
  <c r="C2035" i="11"/>
  <c r="A2034" i="11"/>
  <c r="B2034" i="11"/>
  <c r="C2034" i="11"/>
  <c r="A2033" i="11"/>
  <c r="B2033" i="11"/>
  <c r="C2033" i="11"/>
  <c r="A2032" i="11"/>
  <c r="B2032" i="11"/>
  <c r="C2032" i="11"/>
  <c r="A2031" i="11"/>
  <c r="B2031" i="11"/>
  <c r="C2031" i="11"/>
  <c r="A2030" i="11"/>
  <c r="B2030" i="11"/>
  <c r="C2030" i="11"/>
  <c r="A2029" i="11"/>
  <c r="B2029" i="11"/>
  <c r="C2029" i="11"/>
  <c r="A2028" i="11"/>
  <c r="B2028" i="11"/>
  <c r="C2028" i="11"/>
  <c r="A2027" i="11"/>
  <c r="B2027" i="11"/>
  <c r="C2027" i="11"/>
  <c r="A2026" i="11"/>
  <c r="B2026" i="11"/>
  <c r="C2026" i="11"/>
  <c r="A2025" i="11"/>
  <c r="B2025" i="11"/>
  <c r="C2025" i="11"/>
  <c r="A2024" i="11"/>
  <c r="B2024" i="11"/>
  <c r="C2024" i="11"/>
  <c r="A2023" i="11"/>
  <c r="B2023" i="11"/>
  <c r="C2023" i="11"/>
  <c r="A2022" i="11"/>
  <c r="B2022" i="11"/>
  <c r="C2022" i="11"/>
  <c r="A2021" i="11"/>
  <c r="B2021" i="11"/>
  <c r="C2021" i="11"/>
  <c r="A2020" i="11"/>
  <c r="B2020" i="11"/>
  <c r="C2020" i="11"/>
  <c r="A2019" i="11"/>
  <c r="B2019" i="11"/>
  <c r="C2019" i="11"/>
  <c r="A2018" i="11"/>
  <c r="B2018" i="11"/>
  <c r="C2018" i="11"/>
  <c r="A2017" i="11"/>
  <c r="B2017" i="11"/>
  <c r="C2017" i="11"/>
  <c r="A2016" i="11"/>
  <c r="B2016" i="11"/>
  <c r="C2016" i="11"/>
  <c r="A2015" i="11"/>
  <c r="B2015" i="11"/>
  <c r="C2015" i="11"/>
  <c r="A2014" i="11"/>
  <c r="B2014" i="11"/>
  <c r="C2014" i="11"/>
  <c r="A2013" i="11"/>
  <c r="B2013" i="11"/>
  <c r="C2013" i="11"/>
  <c r="A2012" i="11"/>
  <c r="B2012" i="11"/>
  <c r="C2012" i="11"/>
  <c r="A2011" i="11"/>
  <c r="B2011" i="11"/>
  <c r="C2011" i="11"/>
  <c r="A2010" i="11"/>
  <c r="B2010" i="11"/>
  <c r="C2010" i="11"/>
  <c r="A2009" i="11"/>
  <c r="B2009" i="11"/>
  <c r="C2009" i="11"/>
  <c r="A2008" i="11"/>
  <c r="B2008" i="11"/>
  <c r="C2008" i="11"/>
  <c r="A2007" i="11"/>
  <c r="B2007" i="11"/>
  <c r="C2007" i="11"/>
  <c r="A2006" i="11"/>
  <c r="B2006" i="11"/>
  <c r="C2006" i="11"/>
  <c r="A2005" i="11"/>
  <c r="B2005" i="11"/>
  <c r="C2005" i="11"/>
  <c r="A2004" i="11"/>
  <c r="B2004" i="11"/>
  <c r="C2004" i="11"/>
  <c r="A2003" i="11"/>
  <c r="B2003" i="11"/>
  <c r="C2003" i="11"/>
  <c r="A2002" i="11"/>
  <c r="B2002" i="11"/>
  <c r="C2002" i="11"/>
  <c r="A2001" i="11"/>
  <c r="B2001" i="11"/>
  <c r="C2001" i="11"/>
  <c r="A2000" i="11"/>
  <c r="B2000" i="11"/>
  <c r="C2000" i="11"/>
  <c r="A1999" i="11"/>
  <c r="B1999" i="11"/>
  <c r="C1999" i="11"/>
  <c r="A1998" i="11"/>
  <c r="B1998" i="11"/>
  <c r="C1998" i="11"/>
  <c r="A1997" i="11"/>
  <c r="B1997" i="11"/>
  <c r="C1997" i="11"/>
  <c r="A1996" i="11"/>
  <c r="B1996" i="11"/>
  <c r="C1996" i="11"/>
  <c r="A1995" i="11"/>
  <c r="B1995" i="11"/>
  <c r="C1995" i="11"/>
  <c r="A1994" i="11"/>
  <c r="B1994" i="11"/>
  <c r="C1994" i="11"/>
  <c r="A1993" i="11"/>
  <c r="B1993" i="11"/>
  <c r="C1993" i="11"/>
  <c r="A1992" i="11"/>
  <c r="B1992" i="11"/>
  <c r="C1992" i="11"/>
  <c r="A1991" i="11"/>
  <c r="B1991" i="11"/>
  <c r="C1991" i="11"/>
  <c r="A1990" i="11"/>
  <c r="B1990" i="11"/>
  <c r="C1990" i="11"/>
  <c r="A1989" i="11"/>
  <c r="B1989" i="11"/>
  <c r="C1989" i="11"/>
  <c r="A1988" i="11"/>
  <c r="B1988" i="11"/>
  <c r="C1988" i="11"/>
  <c r="A1987" i="11"/>
  <c r="B1987" i="11"/>
  <c r="C1987" i="11"/>
  <c r="A1986" i="11"/>
  <c r="B1986" i="11"/>
  <c r="C1986" i="11"/>
  <c r="A1985" i="11"/>
  <c r="B1985" i="11"/>
  <c r="C1985" i="11"/>
  <c r="A1984" i="11"/>
  <c r="B1984" i="11"/>
  <c r="C1984" i="11"/>
  <c r="A1983" i="11"/>
  <c r="B1983" i="11"/>
  <c r="C1983" i="11"/>
  <c r="A1982" i="11"/>
  <c r="B1982" i="11"/>
  <c r="C1982" i="11"/>
  <c r="A1981" i="11"/>
  <c r="B1981" i="11"/>
  <c r="C1981" i="11"/>
  <c r="A1980" i="11"/>
  <c r="B1980" i="11"/>
  <c r="C1980" i="11"/>
  <c r="A1979" i="11"/>
  <c r="B1979" i="11"/>
  <c r="C1979" i="11"/>
  <c r="A1978" i="11"/>
  <c r="B1978" i="11"/>
  <c r="C1978" i="11"/>
  <c r="A1977" i="11"/>
  <c r="B1977" i="11"/>
  <c r="C1977" i="11"/>
  <c r="A1976" i="11"/>
  <c r="B1976" i="11"/>
  <c r="C1976" i="11"/>
  <c r="A1975" i="11"/>
  <c r="B1975" i="11"/>
  <c r="C1975" i="11"/>
  <c r="A1974" i="11"/>
  <c r="B1974" i="11"/>
  <c r="C1974" i="11"/>
  <c r="A1973" i="11"/>
  <c r="B1973" i="11"/>
  <c r="C1973" i="11"/>
  <c r="A1972" i="11"/>
  <c r="B1972" i="11"/>
  <c r="C1972" i="11"/>
  <c r="A1971" i="11"/>
  <c r="B1971" i="11"/>
  <c r="C1971" i="11"/>
  <c r="A1970" i="11"/>
  <c r="B1970" i="11"/>
  <c r="C1970" i="11"/>
  <c r="A1969" i="11"/>
  <c r="B1969" i="11"/>
  <c r="C1969" i="11"/>
  <c r="A1968" i="11"/>
  <c r="B1968" i="11"/>
  <c r="C1968" i="11"/>
  <c r="A1967" i="11"/>
  <c r="B1967" i="11"/>
  <c r="C1967" i="11"/>
  <c r="A1966" i="11"/>
  <c r="B1966" i="11"/>
  <c r="C1966" i="11"/>
  <c r="A1965" i="11"/>
  <c r="B1965" i="11"/>
  <c r="C1965" i="11"/>
  <c r="A1964" i="11"/>
  <c r="B1964" i="11"/>
  <c r="C1964" i="11"/>
  <c r="A1963" i="11"/>
  <c r="B1963" i="11"/>
  <c r="C1963" i="11"/>
  <c r="A1962" i="11"/>
  <c r="B1962" i="11"/>
  <c r="C1962" i="11"/>
  <c r="A1961" i="11"/>
  <c r="B1961" i="11"/>
  <c r="C1961" i="11"/>
  <c r="A1960" i="11"/>
  <c r="B1960" i="11"/>
  <c r="C1960" i="11"/>
  <c r="A1959" i="11"/>
  <c r="B1959" i="11"/>
  <c r="C1959" i="11"/>
  <c r="A1958" i="11"/>
  <c r="B1958" i="11"/>
  <c r="C1958" i="11"/>
  <c r="A1957" i="11"/>
  <c r="B1957" i="11"/>
  <c r="C1957" i="11"/>
  <c r="A1956" i="11"/>
  <c r="B1956" i="11"/>
  <c r="C1956" i="11"/>
  <c r="A1955" i="11"/>
  <c r="B1955" i="11"/>
  <c r="C1955" i="11"/>
  <c r="A1954" i="11"/>
  <c r="B1954" i="11"/>
  <c r="C1954" i="11"/>
  <c r="A1953" i="11"/>
  <c r="B1953" i="11"/>
  <c r="C1953" i="11"/>
  <c r="A1952" i="11"/>
  <c r="B1952" i="11"/>
  <c r="C1952" i="11"/>
  <c r="A1951" i="11"/>
  <c r="B1951" i="11"/>
  <c r="C1951" i="11"/>
  <c r="A1950" i="11"/>
  <c r="B1950" i="11"/>
  <c r="C1950" i="11"/>
  <c r="A1949" i="11"/>
  <c r="B1949" i="11"/>
  <c r="C1949" i="11"/>
  <c r="A1948" i="11"/>
  <c r="B1948" i="11"/>
  <c r="C1948" i="11"/>
  <c r="A1947" i="11"/>
  <c r="B1947" i="11"/>
  <c r="C1947" i="11"/>
  <c r="A1946" i="11"/>
  <c r="B1946" i="11"/>
  <c r="C1946" i="11"/>
  <c r="A1945" i="11"/>
  <c r="B1945" i="11"/>
  <c r="C1945" i="11"/>
  <c r="A1944" i="11"/>
  <c r="B1944" i="11"/>
  <c r="C1944" i="11"/>
  <c r="A1943" i="11"/>
  <c r="B1943" i="11"/>
  <c r="C1943" i="11"/>
  <c r="A1942" i="11"/>
  <c r="B1942" i="11"/>
  <c r="C1942" i="11"/>
  <c r="A1941" i="11"/>
  <c r="B1941" i="11"/>
  <c r="C1941" i="11"/>
  <c r="A1940" i="11"/>
  <c r="B1940" i="11"/>
  <c r="C1940" i="11"/>
  <c r="A1939" i="11"/>
  <c r="B1939" i="11"/>
  <c r="C1939" i="11"/>
  <c r="A1938" i="11"/>
  <c r="B1938" i="11"/>
  <c r="C1938" i="11"/>
  <c r="A1937" i="11"/>
  <c r="B1937" i="11"/>
  <c r="C1937" i="11"/>
  <c r="A1936" i="11"/>
  <c r="B1936" i="11"/>
  <c r="C1936" i="11"/>
  <c r="A1935" i="11"/>
  <c r="B1935" i="11"/>
  <c r="C1935" i="11"/>
  <c r="A1934" i="11"/>
  <c r="B1934" i="11"/>
  <c r="C1934" i="11"/>
  <c r="A1933" i="11"/>
  <c r="B1933" i="11"/>
  <c r="C1933" i="11"/>
  <c r="A1932" i="11"/>
  <c r="B1932" i="11"/>
  <c r="C1932" i="11"/>
  <c r="A1931" i="11"/>
  <c r="B1931" i="11"/>
  <c r="C1931" i="11"/>
  <c r="A1930" i="11"/>
  <c r="B1930" i="11"/>
  <c r="C1930" i="11"/>
  <c r="A1929" i="11"/>
  <c r="B1929" i="11"/>
  <c r="C1929" i="11"/>
  <c r="A1928" i="11"/>
  <c r="B1928" i="11"/>
  <c r="C1928" i="11"/>
  <c r="A1927" i="11"/>
  <c r="B1927" i="11"/>
  <c r="C1927" i="11"/>
  <c r="A1926" i="11"/>
  <c r="B1926" i="11"/>
  <c r="C1926" i="11"/>
  <c r="A1925" i="11"/>
  <c r="B1925" i="11"/>
  <c r="C1925" i="11"/>
  <c r="A1924" i="11"/>
  <c r="B1924" i="11"/>
  <c r="C1924" i="11"/>
  <c r="A1923" i="11"/>
  <c r="B1923" i="11"/>
  <c r="C1923" i="11"/>
  <c r="A1922" i="11"/>
  <c r="B1922" i="11"/>
  <c r="C1922" i="11"/>
  <c r="A1921" i="11"/>
  <c r="B1921" i="11"/>
  <c r="C1921" i="11"/>
  <c r="A1920" i="11"/>
  <c r="B1920" i="11"/>
  <c r="C1920" i="11"/>
  <c r="A1919" i="11"/>
  <c r="B1919" i="11"/>
  <c r="C1919" i="11"/>
  <c r="A1918" i="11"/>
  <c r="B1918" i="11"/>
  <c r="C1918" i="11"/>
  <c r="A1917" i="11"/>
  <c r="B1917" i="11"/>
  <c r="C1917" i="11"/>
  <c r="A1916" i="11"/>
  <c r="B1916" i="11"/>
  <c r="C1916" i="11"/>
  <c r="A1915" i="11"/>
  <c r="B1915" i="11"/>
  <c r="C1915" i="11"/>
  <c r="A1914" i="11"/>
  <c r="B1914" i="11"/>
  <c r="C1914" i="11"/>
  <c r="A1913" i="11"/>
  <c r="B1913" i="11"/>
  <c r="C1913" i="11"/>
  <c r="A1912" i="11"/>
  <c r="B1912" i="11"/>
  <c r="C1912" i="11"/>
  <c r="A1911" i="11"/>
  <c r="B1911" i="11"/>
  <c r="C1911" i="11"/>
  <c r="A1910" i="11"/>
  <c r="B1910" i="11"/>
  <c r="C1910" i="11"/>
  <c r="A1909" i="11"/>
  <c r="B1909" i="11"/>
  <c r="C1909" i="11"/>
  <c r="A1908" i="11"/>
  <c r="B1908" i="11"/>
  <c r="C1908" i="11"/>
  <c r="A1907" i="11"/>
  <c r="B1907" i="11"/>
  <c r="C1907" i="11"/>
  <c r="A1906" i="11"/>
  <c r="B1906" i="11"/>
  <c r="C1906" i="11"/>
  <c r="A1905" i="11"/>
  <c r="B1905" i="11"/>
  <c r="C1905" i="11"/>
  <c r="A1904" i="11"/>
  <c r="B1904" i="11"/>
  <c r="C1904" i="11"/>
  <c r="A1903" i="11"/>
  <c r="B1903" i="11"/>
  <c r="C1903" i="11"/>
  <c r="A1902" i="11"/>
  <c r="B1902" i="11"/>
  <c r="C1902" i="11"/>
  <c r="A1901" i="11"/>
  <c r="B1901" i="11"/>
  <c r="C1901" i="11"/>
  <c r="A1900" i="11"/>
  <c r="B1900" i="11"/>
  <c r="C1900" i="11"/>
  <c r="A1899" i="11"/>
  <c r="B1899" i="11"/>
  <c r="C1899" i="11"/>
  <c r="A1898" i="11"/>
  <c r="B1898" i="11"/>
  <c r="C1898" i="11"/>
  <c r="A1897" i="11"/>
  <c r="B1897" i="11"/>
  <c r="C1897" i="11"/>
  <c r="A1896" i="11"/>
  <c r="B1896" i="11"/>
  <c r="C1896" i="11"/>
  <c r="A1895" i="11"/>
  <c r="B1895" i="11"/>
  <c r="C1895" i="11"/>
  <c r="A1894" i="11"/>
  <c r="B1894" i="11"/>
  <c r="C1894" i="11"/>
  <c r="A1893" i="11"/>
  <c r="B1893" i="11"/>
  <c r="C1893" i="11"/>
  <c r="A1892" i="11"/>
  <c r="B1892" i="11"/>
  <c r="C1892" i="11"/>
  <c r="A1891" i="11"/>
  <c r="B1891" i="11"/>
  <c r="C1891" i="11"/>
  <c r="A1890" i="11"/>
  <c r="B1890" i="11"/>
  <c r="C1890" i="11"/>
  <c r="A1889" i="11"/>
  <c r="B1889" i="11"/>
  <c r="C1889" i="11"/>
  <c r="A1888" i="11"/>
  <c r="B1888" i="11"/>
  <c r="C1888" i="11"/>
  <c r="A1887" i="11"/>
  <c r="B1887" i="11"/>
  <c r="C1887" i="11"/>
  <c r="A1886" i="11"/>
  <c r="B1886" i="11"/>
  <c r="C1886" i="11"/>
  <c r="A1885" i="11"/>
  <c r="B1885" i="11"/>
  <c r="C1885" i="11"/>
  <c r="A1884" i="11"/>
  <c r="B1884" i="11"/>
  <c r="C1884" i="11"/>
  <c r="A1883" i="11"/>
  <c r="B1883" i="11"/>
  <c r="C1883" i="11"/>
  <c r="A1882" i="11"/>
  <c r="B1882" i="11"/>
  <c r="C1882" i="11"/>
  <c r="A1881" i="11"/>
  <c r="B1881" i="11"/>
  <c r="C1881" i="11"/>
  <c r="A1880" i="11"/>
  <c r="B1880" i="11"/>
  <c r="C1880" i="11"/>
  <c r="A1879" i="11"/>
  <c r="B1879" i="11"/>
  <c r="C1879" i="11"/>
  <c r="A1878" i="11"/>
  <c r="B1878" i="11"/>
  <c r="C1878" i="11"/>
  <c r="A1877" i="11"/>
  <c r="B1877" i="11"/>
  <c r="C1877" i="11"/>
  <c r="A1876" i="11"/>
  <c r="B1876" i="11"/>
  <c r="C1876" i="11"/>
  <c r="A1875" i="11"/>
  <c r="B1875" i="11"/>
  <c r="C1875" i="11"/>
  <c r="A1874" i="11"/>
  <c r="B1874" i="11"/>
  <c r="C1874" i="11"/>
  <c r="A1873" i="11"/>
  <c r="B1873" i="11"/>
  <c r="C1873" i="11"/>
  <c r="A1872" i="11"/>
  <c r="B1872" i="11"/>
  <c r="C1872" i="11"/>
  <c r="A1871" i="11"/>
  <c r="B1871" i="11"/>
  <c r="C1871" i="11"/>
  <c r="A1870" i="11"/>
  <c r="B1870" i="11"/>
  <c r="C1870" i="11"/>
  <c r="A1869" i="11"/>
  <c r="B1869" i="11"/>
  <c r="C1869" i="11"/>
  <c r="A1868" i="11"/>
  <c r="B1868" i="11"/>
  <c r="C1868" i="11"/>
  <c r="A1867" i="11"/>
  <c r="B1867" i="11"/>
  <c r="C1867" i="11"/>
  <c r="A1866" i="11"/>
  <c r="B1866" i="11"/>
  <c r="C1866" i="11"/>
  <c r="A1865" i="11"/>
  <c r="B1865" i="11"/>
  <c r="C1865" i="11"/>
  <c r="A1864" i="11"/>
  <c r="B1864" i="11"/>
  <c r="C1864" i="11"/>
  <c r="A1863" i="11"/>
  <c r="B1863" i="11"/>
  <c r="C1863" i="11"/>
  <c r="A1862" i="11"/>
  <c r="B1862" i="11"/>
  <c r="C1862" i="11"/>
  <c r="A1861" i="11"/>
  <c r="B1861" i="11"/>
  <c r="C1861" i="11"/>
  <c r="A1860" i="11"/>
  <c r="B1860" i="11"/>
  <c r="C1860" i="11"/>
  <c r="A1859" i="11"/>
  <c r="B1859" i="11"/>
  <c r="C1859" i="11"/>
  <c r="A1858" i="11"/>
  <c r="B1858" i="11"/>
  <c r="C1858" i="11"/>
  <c r="A1857" i="11"/>
  <c r="B1857" i="11"/>
  <c r="C1857" i="11"/>
  <c r="A1856" i="11"/>
  <c r="B1856" i="11"/>
  <c r="C1856" i="11"/>
  <c r="A1855" i="11"/>
  <c r="B1855" i="11"/>
  <c r="C1855" i="11"/>
  <c r="A1854" i="11"/>
  <c r="B1854" i="11"/>
  <c r="C1854" i="11"/>
  <c r="A1853" i="11"/>
  <c r="B1853" i="11"/>
  <c r="C1853" i="11"/>
  <c r="A1852" i="11"/>
  <c r="B1852" i="11"/>
  <c r="C1852" i="11"/>
  <c r="A1851" i="11"/>
  <c r="B1851" i="11"/>
  <c r="C1851" i="11"/>
  <c r="A1850" i="11"/>
  <c r="B1850" i="11"/>
  <c r="C1850" i="11"/>
  <c r="A1849" i="11"/>
  <c r="B1849" i="11"/>
  <c r="C1849" i="11"/>
  <c r="A1848" i="11"/>
  <c r="B1848" i="11"/>
  <c r="C1848" i="11"/>
  <c r="A1847" i="11"/>
  <c r="B1847" i="11"/>
  <c r="C1847" i="11"/>
  <c r="A1846" i="11"/>
  <c r="B1846" i="11"/>
  <c r="C1846" i="11"/>
  <c r="A1845" i="11"/>
  <c r="B1845" i="11"/>
  <c r="C1845" i="11"/>
  <c r="A1844" i="11"/>
  <c r="B1844" i="11"/>
  <c r="C1844" i="11"/>
  <c r="A1843" i="11"/>
  <c r="B1843" i="11"/>
  <c r="C1843" i="11"/>
  <c r="A1842" i="11"/>
  <c r="B1842" i="11"/>
  <c r="C1842" i="11"/>
  <c r="A1841" i="11"/>
  <c r="B1841" i="11"/>
  <c r="C1841" i="11"/>
  <c r="A1840" i="11"/>
  <c r="B1840" i="11"/>
  <c r="C1840" i="11"/>
  <c r="A1839" i="11"/>
  <c r="B1839" i="11"/>
  <c r="C1839" i="11"/>
  <c r="A1838" i="11"/>
  <c r="B1838" i="11"/>
  <c r="C1838" i="11"/>
  <c r="A1837" i="11"/>
  <c r="B1837" i="11"/>
  <c r="C1837" i="11"/>
  <c r="A1836" i="11"/>
  <c r="B1836" i="11"/>
  <c r="C1836" i="11"/>
  <c r="A1835" i="11"/>
  <c r="B1835" i="11"/>
  <c r="C1835" i="11"/>
  <c r="A1834" i="11"/>
  <c r="B1834" i="11"/>
  <c r="C1834" i="11"/>
  <c r="A1833" i="11"/>
  <c r="B1833" i="11"/>
  <c r="C1833" i="11"/>
  <c r="A1832" i="11"/>
  <c r="B1832" i="11"/>
  <c r="C1832" i="11"/>
  <c r="A1831" i="11"/>
  <c r="B1831" i="11"/>
  <c r="C1831" i="11"/>
  <c r="A1830" i="11"/>
  <c r="B1830" i="11"/>
  <c r="C1830" i="11"/>
  <c r="A1829" i="11"/>
  <c r="B1829" i="11"/>
  <c r="C1829" i="11"/>
  <c r="A1828" i="11"/>
  <c r="B1828" i="11"/>
  <c r="C1828" i="11"/>
  <c r="A1827" i="11"/>
  <c r="B1827" i="11"/>
  <c r="C1827" i="11"/>
  <c r="A1826" i="11"/>
  <c r="B1826" i="11"/>
  <c r="C1826" i="11"/>
  <c r="A1825" i="11"/>
  <c r="B1825" i="11"/>
  <c r="C1825" i="11"/>
  <c r="A1824" i="11"/>
  <c r="B1824" i="11"/>
  <c r="C1824" i="11"/>
  <c r="A1823" i="11"/>
  <c r="B1823" i="11"/>
  <c r="C1823" i="11"/>
  <c r="A1822" i="11"/>
  <c r="B1822" i="11"/>
  <c r="C1822" i="11"/>
  <c r="A1821" i="11"/>
  <c r="B1821" i="11"/>
  <c r="C1821" i="11"/>
  <c r="A1820" i="11"/>
  <c r="B1820" i="11"/>
  <c r="C1820" i="11"/>
  <c r="A1819" i="11"/>
  <c r="B1819" i="11"/>
  <c r="C1819" i="11"/>
  <c r="A1818" i="11"/>
  <c r="B1818" i="11"/>
  <c r="C1818" i="11"/>
  <c r="A1817" i="11"/>
  <c r="B1817" i="11"/>
  <c r="C1817" i="11"/>
  <c r="A1816" i="11"/>
  <c r="B1816" i="11"/>
  <c r="C1816" i="11"/>
  <c r="A1815" i="11"/>
  <c r="B1815" i="11"/>
  <c r="C1815" i="11"/>
  <c r="A1814" i="11"/>
  <c r="B1814" i="11"/>
  <c r="C1814" i="11"/>
  <c r="A1813" i="11"/>
  <c r="B1813" i="11"/>
  <c r="C1813" i="11"/>
  <c r="A1812" i="11"/>
  <c r="B1812" i="11"/>
  <c r="C1812" i="11"/>
  <c r="A1811" i="11"/>
  <c r="B1811" i="11"/>
  <c r="C1811" i="11"/>
  <c r="A1810" i="11"/>
  <c r="B1810" i="11"/>
  <c r="C1810" i="11"/>
  <c r="A1809" i="11"/>
  <c r="B1809" i="11"/>
  <c r="C1809" i="11"/>
  <c r="A1808" i="11"/>
  <c r="B1808" i="11"/>
  <c r="C1808" i="11"/>
  <c r="A1807" i="11"/>
  <c r="B1807" i="11"/>
  <c r="C1807" i="11"/>
  <c r="A1806" i="11"/>
  <c r="B1806" i="11"/>
  <c r="C1806" i="11"/>
  <c r="A1805" i="11"/>
  <c r="B1805" i="11"/>
  <c r="C1805" i="11"/>
  <c r="A1804" i="11"/>
  <c r="B1804" i="11"/>
  <c r="C1804" i="11"/>
  <c r="A1803" i="11"/>
  <c r="B1803" i="11"/>
  <c r="C1803" i="11"/>
  <c r="A1802" i="11"/>
  <c r="B1802" i="11"/>
  <c r="C1802" i="11"/>
  <c r="A1801" i="11"/>
  <c r="B1801" i="11"/>
  <c r="C1801" i="11"/>
  <c r="A1800" i="11"/>
  <c r="B1800" i="11"/>
  <c r="C1800" i="11"/>
  <c r="A1799" i="11"/>
  <c r="B1799" i="11"/>
  <c r="C1799" i="11"/>
  <c r="A1798" i="11"/>
  <c r="B1798" i="11"/>
  <c r="C1798" i="11"/>
  <c r="A1797" i="11"/>
  <c r="B1797" i="11"/>
  <c r="C1797" i="11"/>
  <c r="A1796" i="11"/>
  <c r="B1796" i="11"/>
  <c r="C1796" i="11"/>
  <c r="A1795" i="11"/>
  <c r="B1795" i="11"/>
  <c r="C1795" i="11"/>
  <c r="A1794" i="11"/>
  <c r="B1794" i="11"/>
  <c r="C1794" i="11"/>
  <c r="A1793" i="11"/>
  <c r="B1793" i="11"/>
  <c r="C1793" i="11"/>
  <c r="A1792" i="11"/>
  <c r="B1792" i="11"/>
  <c r="C1792" i="11"/>
  <c r="A1791" i="11"/>
  <c r="B1791" i="11"/>
  <c r="C1791" i="11"/>
  <c r="A1790" i="11"/>
  <c r="B1790" i="11"/>
  <c r="C1790" i="11"/>
  <c r="A1789" i="11"/>
  <c r="B1789" i="11"/>
  <c r="C1789" i="11"/>
  <c r="A1788" i="11"/>
  <c r="B1788" i="11"/>
  <c r="C1788" i="11"/>
  <c r="A1787" i="11"/>
  <c r="B1787" i="11"/>
  <c r="C1787" i="11"/>
  <c r="A1786" i="11"/>
  <c r="B1786" i="11"/>
  <c r="C1786" i="11"/>
  <c r="A1785" i="11"/>
  <c r="B1785" i="11"/>
  <c r="C1785" i="11"/>
  <c r="A1784" i="11"/>
  <c r="B1784" i="11"/>
  <c r="C1784" i="11"/>
  <c r="A1783" i="11"/>
  <c r="B1783" i="11"/>
  <c r="C1783" i="11"/>
  <c r="A1782" i="11"/>
  <c r="B1782" i="11"/>
  <c r="C1782" i="11"/>
  <c r="A1781" i="11"/>
  <c r="B1781" i="11"/>
  <c r="C1781" i="11"/>
  <c r="A1780" i="11"/>
  <c r="B1780" i="11"/>
  <c r="C1780" i="11"/>
  <c r="A1779" i="11"/>
  <c r="B1779" i="11"/>
  <c r="C1779" i="11"/>
  <c r="A1778" i="11"/>
  <c r="B1778" i="11"/>
  <c r="C1778" i="11"/>
  <c r="A1777" i="11"/>
  <c r="B1777" i="11"/>
  <c r="C1777" i="11"/>
  <c r="A1776" i="11"/>
  <c r="B1776" i="11"/>
  <c r="C1776" i="11"/>
  <c r="A1775" i="11"/>
  <c r="B1775" i="11"/>
  <c r="C1775" i="11"/>
  <c r="A1774" i="11"/>
  <c r="B1774" i="11"/>
  <c r="C1774" i="11"/>
  <c r="A1773" i="11"/>
  <c r="B1773" i="11"/>
  <c r="C1773" i="11"/>
  <c r="A1772" i="11"/>
  <c r="B1772" i="11"/>
  <c r="C1772" i="11"/>
  <c r="A1771" i="11"/>
  <c r="B1771" i="11"/>
  <c r="C1771" i="11"/>
  <c r="A1770" i="11"/>
  <c r="B1770" i="11"/>
  <c r="C1770" i="11"/>
  <c r="A1769" i="11"/>
  <c r="B1769" i="11"/>
  <c r="C1769" i="11"/>
  <c r="A1768" i="11"/>
  <c r="B1768" i="11"/>
  <c r="C1768" i="11"/>
  <c r="A1767" i="11"/>
  <c r="B1767" i="11"/>
  <c r="C1767" i="11"/>
  <c r="A1766" i="11"/>
  <c r="B1766" i="11"/>
  <c r="C1766" i="11"/>
  <c r="A1765" i="11"/>
  <c r="B1765" i="11"/>
  <c r="C1765" i="11"/>
  <c r="A1764" i="11"/>
  <c r="B1764" i="11"/>
  <c r="C1764" i="11"/>
  <c r="A1763" i="11"/>
  <c r="B1763" i="11"/>
  <c r="C1763" i="11"/>
  <c r="A1762" i="11"/>
  <c r="B1762" i="11"/>
  <c r="C1762" i="11"/>
  <c r="A1761" i="11"/>
  <c r="B1761" i="11"/>
  <c r="C1761" i="11"/>
  <c r="A1760" i="11"/>
  <c r="B1760" i="11"/>
  <c r="C1760" i="11"/>
  <c r="A1759" i="11"/>
  <c r="B1759" i="11"/>
  <c r="C1759" i="11"/>
  <c r="A1758" i="11"/>
  <c r="B1758" i="11"/>
  <c r="C1758" i="11"/>
  <c r="A1757" i="11"/>
  <c r="B1757" i="11"/>
  <c r="C1757" i="11"/>
  <c r="A1756" i="11"/>
  <c r="B1756" i="11"/>
  <c r="C1756" i="11"/>
  <c r="A1755" i="11"/>
  <c r="B1755" i="11"/>
  <c r="C1755" i="11"/>
  <c r="A1754" i="11"/>
  <c r="B1754" i="11"/>
  <c r="C1754" i="11"/>
  <c r="A1753" i="11"/>
  <c r="B1753" i="11"/>
  <c r="C1753" i="11"/>
  <c r="A1752" i="11"/>
  <c r="B1752" i="11"/>
  <c r="C1752" i="11"/>
  <c r="A1751" i="11"/>
  <c r="B1751" i="11"/>
  <c r="C1751" i="11"/>
  <c r="A1750" i="11"/>
  <c r="B1750" i="11"/>
  <c r="C1750" i="11"/>
  <c r="A1749" i="11"/>
  <c r="B1749" i="11"/>
  <c r="C1749" i="11"/>
  <c r="A1748" i="11"/>
  <c r="B1748" i="11"/>
  <c r="C1748" i="11"/>
  <c r="A1747" i="11"/>
  <c r="B1747" i="11"/>
  <c r="C1747" i="11"/>
  <c r="A1746" i="11"/>
  <c r="B1746" i="11"/>
  <c r="C1746" i="11"/>
  <c r="A1745" i="11"/>
  <c r="B1745" i="11"/>
  <c r="C1745" i="11"/>
  <c r="A1744" i="11"/>
  <c r="B1744" i="11"/>
  <c r="C1744" i="11"/>
  <c r="A1743" i="11"/>
  <c r="B1743" i="11"/>
  <c r="C1743" i="11"/>
  <c r="A1742" i="11"/>
  <c r="B1742" i="11"/>
  <c r="C1742" i="11"/>
  <c r="A1741" i="11"/>
  <c r="B1741" i="11"/>
  <c r="C1741" i="11"/>
  <c r="A1740" i="11"/>
  <c r="B1740" i="11"/>
  <c r="C1740" i="11"/>
  <c r="A1739" i="11"/>
  <c r="B1739" i="11"/>
  <c r="C1739" i="11"/>
  <c r="A1738" i="11"/>
  <c r="B1738" i="11"/>
  <c r="C1738" i="11"/>
  <c r="A1737" i="11"/>
  <c r="B1737" i="11"/>
  <c r="C1737" i="11"/>
  <c r="A1736" i="11"/>
  <c r="B1736" i="11"/>
  <c r="C1736" i="11"/>
  <c r="A1735" i="11"/>
  <c r="B1735" i="11"/>
  <c r="C1735" i="11"/>
  <c r="A1734" i="11"/>
  <c r="B1734" i="11"/>
  <c r="C1734" i="11"/>
  <c r="A1733" i="11"/>
  <c r="B1733" i="11"/>
  <c r="C1733" i="11"/>
  <c r="A1732" i="11"/>
  <c r="B1732" i="11"/>
  <c r="C1732" i="11"/>
  <c r="A1731" i="11"/>
  <c r="B1731" i="11"/>
  <c r="C1731" i="11"/>
  <c r="A1730" i="11"/>
  <c r="B1730" i="11"/>
  <c r="C1730" i="11"/>
  <c r="A1729" i="11"/>
  <c r="B1729" i="11"/>
  <c r="C1729" i="11"/>
  <c r="A1728" i="11"/>
  <c r="B1728" i="11"/>
  <c r="C1728" i="11"/>
  <c r="A1727" i="11"/>
  <c r="B1727" i="11"/>
  <c r="C1727" i="11"/>
  <c r="A1726" i="11"/>
  <c r="B1726" i="11"/>
  <c r="C1726" i="11"/>
  <c r="A1725" i="11"/>
  <c r="B1725" i="11"/>
  <c r="C1725" i="11"/>
  <c r="A1724" i="11"/>
  <c r="B1724" i="11"/>
  <c r="C1724" i="11"/>
  <c r="A1723" i="11"/>
  <c r="B1723" i="11"/>
  <c r="C1723" i="11"/>
  <c r="A1722" i="11"/>
  <c r="B1722" i="11"/>
  <c r="C1722" i="11"/>
  <c r="A1721" i="11"/>
  <c r="B1721" i="11"/>
  <c r="C1721" i="11"/>
  <c r="A1720" i="11"/>
  <c r="B1720" i="11"/>
  <c r="C1720" i="11"/>
  <c r="A1719" i="11"/>
  <c r="B1719" i="11"/>
  <c r="C1719" i="11"/>
  <c r="A1718" i="11"/>
  <c r="B1718" i="11"/>
  <c r="C1718" i="11"/>
  <c r="A1717" i="11"/>
  <c r="B1717" i="11"/>
  <c r="C1717" i="11"/>
  <c r="A1716" i="11"/>
  <c r="B1716" i="11"/>
  <c r="C1716" i="11"/>
  <c r="A1715" i="11"/>
  <c r="B1715" i="11"/>
  <c r="C1715" i="11"/>
  <c r="A1714" i="11"/>
  <c r="B1714" i="11"/>
  <c r="C1714" i="11"/>
  <c r="A1713" i="11"/>
  <c r="B1713" i="11"/>
  <c r="C1713" i="11"/>
  <c r="A1712" i="11"/>
  <c r="B1712" i="11"/>
  <c r="C1712" i="11"/>
  <c r="A1711" i="11"/>
  <c r="B1711" i="11"/>
  <c r="C1711" i="11"/>
  <c r="A1710" i="11"/>
  <c r="B1710" i="11"/>
  <c r="C1710" i="11"/>
  <c r="A1709" i="11"/>
  <c r="B1709" i="11"/>
  <c r="C1709" i="11"/>
  <c r="A1708" i="11"/>
  <c r="B1708" i="11"/>
  <c r="C1708" i="11"/>
  <c r="A1707" i="11"/>
  <c r="B1707" i="11"/>
  <c r="C1707" i="11"/>
  <c r="A1706" i="11"/>
  <c r="B1706" i="11"/>
  <c r="C1706" i="11"/>
  <c r="A1705" i="11"/>
  <c r="B1705" i="11"/>
  <c r="C1705" i="11"/>
  <c r="A1704" i="11"/>
  <c r="B1704" i="11"/>
  <c r="C1704" i="11"/>
  <c r="A1703" i="11"/>
  <c r="B1703" i="11"/>
  <c r="C1703" i="11"/>
  <c r="A1702" i="11"/>
  <c r="B1702" i="11"/>
  <c r="C1702" i="11"/>
  <c r="A1701" i="11"/>
  <c r="B1701" i="11"/>
  <c r="C1701" i="11"/>
  <c r="A1700" i="11"/>
  <c r="B1700" i="11"/>
  <c r="C1700" i="11"/>
  <c r="A1699" i="11"/>
  <c r="B1699" i="11"/>
  <c r="C1699" i="11"/>
  <c r="A1698" i="11"/>
  <c r="B1698" i="11"/>
  <c r="C1698" i="11"/>
  <c r="A1697" i="11"/>
  <c r="B1697" i="11"/>
  <c r="C1697" i="11"/>
  <c r="A1696" i="11"/>
  <c r="B1696" i="11"/>
  <c r="C1696" i="11"/>
  <c r="A1695" i="11"/>
  <c r="B1695" i="11"/>
  <c r="C1695" i="11"/>
  <c r="A1694" i="11"/>
  <c r="B1694" i="11"/>
  <c r="C1694" i="11"/>
  <c r="A1693" i="11"/>
  <c r="B1693" i="11"/>
  <c r="C1693" i="11"/>
  <c r="A1692" i="11"/>
  <c r="B1692" i="11"/>
  <c r="C1692" i="11"/>
  <c r="A1691" i="11"/>
  <c r="B1691" i="11"/>
  <c r="C1691" i="11"/>
  <c r="A1690" i="11"/>
  <c r="B1690" i="11"/>
  <c r="C1690" i="11"/>
  <c r="A1689" i="11"/>
  <c r="B1689" i="11"/>
  <c r="C1689" i="11"/>
  <c r="A1688" i="11"/>
  <c r="B1688" i="11"/>
  <c r="C1688" i="11"/>
  <c r="A1687" i="11"/>
  <c r="B1687" i="11"/>
  <c r="C1687" i="11"/>
  <c r="A1686" i="11"/>
  <c r="B1686" i="11"/>
  <c r="C1686" i="11"/>
  <c r="A1685" i="11"/>
  <c r="B1685" i="11"/>
  <c r="C1685" i="11"/>
  <c r="A1684" i="11"/>
  <c r="B1684" i="11"/>
  <c r="C1684" i="11"/>
  <c r="A1683" i="11"/>
  <c r="B1683" i="11"/>
  <c r="C1683" i="11"/>
  <c r="A1682" i="11"/>
  <c r="B1682" i="11"/>
  <c r="C1682" i="11"/>
  <c r="A1681" i="11"/>
  <c r="B1681" i="11"/>
  <c r="C1681" i="11"/>
  <c r="A1680" i="11"/>
  <c r="B1680" i="11"/>
  <c r="C1680" i="11"/>
  <c r="A1679" i="11"/>
  <c r="B1679" i="11"/>
  <c r="C1679" i="11"/>
  <c r="A1678" i="11"/>
  <c r="B1678" i="11"/>
  <c r="C1678" i="11"/>
  <c r="A1677" i="11"/>
  <c r="B1677" i="11"/>
  <c r="C1677" i="11"/>
  <c r="A1676" i="11"/>
  <c r="B1676" i="11"/>
  <c r="C1676" i="11"/>
  <c r="A1675" i="11"/>
  <c r="B1675" i="11"/>
  <c r="C1675" i="11"/>
  <c r="A1674" i="11"/>
  <c r="B1674" i="11"/>
  <c r="C1674" i="11"/>
  <c r="A1673" i="11"/>
  <c r="B1673" i="11"/>
  <c r="C1673" i="11"/>
  <c r="A1672" i="11"/>
  <c r="B1672" i="11"/>
  <c r="C1672" i="11"/>
  <c r="A1671" i="11"/>
  <c r="B1671" i="11"/>
  <c r="C1671" i="11"/>
  <c r="A1670" i="11"/>
  <c r="B1670" i="11"/>
  <c r="C1670" i="11"/>
  <c r="A1669" i="11"/>
  <c r="B1669" i="11"/>
  <c r="C1669" i="11"/>
  <c r="A1668" i="11"/>
  <c r="B1668" i="11"/>
  <c r="C1668" i="11"/>
  <c r="A1667" i="11"/>
  <c r="B1667" i="11"/>
  <c r="C1667" i="11"/>
  <c r="A1666" i="11"/>
  <c r="B1666" i="11"/>
  <c r="C1666" i="11"/>
  <c r="A1665" i="11"/>
  <c r="B1665" i="11"/>
  <c r="C1665" i="11"/>
  <c r="A1664" i="11"/>
  <c r="B1664" i="11"/>
  <c r="C1664" i="11"/>
  <c r="A1663" i="11"/>
  <c r="B1663" i="11"/>
  <c r="C1663" i="11"/>
  <c r="A1662" i="11"/>
  <c r="B1662" i="11"/>
  <c r="C1662" i="11"/>
  <c r="A1661" i="11"/>
  <c r="B1661" i="11"/>
  <c r="C1661" i="11"/>
  <c r="A1660" i="11"/>
  <c r="B1660" i="11"/>
  <c r="C1660" i="11"/>
  <c r="A1659" i="11"/>
  <c r="B1659" i="11"/>
  <c r="C1659" i="11"/>
  <c r="A1658" i="11"/>
  <c r="B1658" i="11"/>
  <c r="C1658" i="11"/>
  <c r="A1657" i="11"/>
  <c r="B1657" i="11"/>
  <c r="C1657" i="11"/>
  <c r="A1656" i="11"/>
  <c r="B1656" i="11"/>
  <c r="C1656" i="11"/>
  <c r="A1655" i="11"/>
  <c r="B1655" i="11"/>
  <c r="C1655" i="11"/>
  <c r="A1654" i="11"/>
  <c r="B1654" i="11"/>
  <c r="C1654" i="11"/>
  <c r="A1653" i="11"/>
  <c r="B1653" i="11"/>
  <c r="C1653" i="11"/>
  <c r="A1652" i="11"/>
  <c r="B1652" i="11"/>
  <c r="C1652" i="11"/>
  <c r="A1651" i="11"/>
  <c r="B1651" i="11"/>
  <c r="C1651" i="11"/>
  <c r="A1650" i="11"/>
  <c r="B1650" i="11"/>
  <c r="C1650" i="11"/>
  <c r="A1649" i="11"/>
  <c r="B1649" i="11"/>
  <c r="C1649" i="11"/>
  <c r="A1648" i="11"/>
  <c r="B1648" i="11"/>
  <c r="C1648" i="11"/>
  <c r="A1647" i="11"/>
  <c r="B1647" i="11"/>
  <c r="C1647" i="11"/>
  <c r="A1646" i="11"/>
  <c r="B1646" i="11"/>
  <c r="C1646" i="11"/>
  <c r="A1645" i="11"/>
  <c r="B1645" i="11"/>
  <c r="C1645" i="11"/>
  <c r="A1644" i="11"/>
  <c r="B1644" i="11"/>
  <c r="C1644" i="11"/>
  <c r="A1643" i="11"/>
  <c r="B1643" i="11"/>
  <c r="C1643" i="11"/>
  <c r="A1642" i="11"/>
  <c r="B1642" i="11"/>
  <c r="C1642" i="11"/>
  <c r="A1641" i="11"/>
  <c r="B1641" i="11"/>
  <c r="C1641" i="11"/>
  <c r="A1640" i="11"/>
  <c r="B1640" i="11"/>
  <c r="C1640" i="11"/>
  <c r="A1639" i="11"/>
  <c r="B1639" i="11"/>
  <c r="C1639" i="11"/>
  <c r="A1638" i="11"/>
  <c r="B1638" i="11"/>
  <c r="C1638" i="11"/>
  <c r="A1637" i="11"/>
  <c r="B1637" i="11"/>
  <c r="C1637" i="11"/>
  <c r="A1636" i="11"/>
  <c r="B1636" i="11"/>
  <c r="C1636" i="11"/>
  <c r="A1635" i="11"/>
  <c r="B1635" i="11"/>
  <c r="C1635" i="11"/>
  <c r="A1634" i="11"/>
  <c r="B1634" i="11"/>
  <c r="C1634" i="11"/>
  <c r="A1633" i="11"/>
  <c r="B1633" i="11"/>
  <c r="C1633" i="11"/>
  <c r="A1632" i="11"/>
  <c r="B1632" i="11"/>
  <c r="C1632" i="11"/>
  <c r="A1631" i="11"/>
  <c r="B1631" i="11"/>
  <c r="C1631" i="11"/>
  <c r="A1630" i="11"/>
  <c r="B1630" i="11"/>
  <c r="C1630" i="11"/>
  <c r="A1629" i="11"/>
  <c r="B1629" i="11"/>
  <c r="C1629" i="11"/>
  <c r="A1628" i="11"/>
  <c r="B1628" i="11"/>
  <c r="C1628" i="11"/>
  <c r="A1627" i="11"/>
  <c r="B1627" i="11"/>
  <c r="C1627" i="11"/>
  <c r="A1626" i="11"/>
  <c r="B1626" i="11"/>
  <c r="C1626" i="11"/>
  <c r="A1625" i="11"/>
  <c r="B1625" i="11"/>
  <c r="C1625" i="11"/>
  <c r="A1624" i="11"/>
  <c r="B1624" i="11"/>
  <c r="C1624" i="11"/>
  <c r="A1623" i="11"/>
  <c r="B1623" i="11"/>
  <c r="C1623" i="11"/>
  <c r="A1622" i="11"/>
  <c r="B1622" i="11"/>
  <c r="C1622" i="11"/>
  <c r="A1621" i="11"/>
  <c r="B1621" i="11"/>
  <c r="C1621" i="11"/>
  <c r="A1620" i="11"/>
  <c r="B1620" i="11"/>
  <c r="C1620" i="11"/>
  <c r="A1619" i="11"/>
  <c r="B1619" i="11"/>
  <c r="C1619" i="11"/>
  <c r="A1618" i="11"/>
  <c r="B1618" i="11"/>
  <c r="C1618" i="11"/>
  <c r="A1617" i="11"/>
  <c r="B1617" i="11"/>
  <c r="C1617" i="11"/>
  <c r="A1616" i="11"/>
  <c r="B1616" i="11"/>
  <c r="C1616" i="11"/>
  <c r="A1615" i="11"/>
  <c r="B1615" i="11"/>
  <c r="C1615" i="11"/>
  <c r="A1614" i="11"/>
  <c r="B1614" i="11"/>
  <c r="C1614" i="11"/>
  <c r="A1613" i="11"/>
  <c r="B1613" i="11"/>
  <c r="C1613" i="11"/>
  <c r="A1612" i="11"/>
  <c r="B1612" i="11"/>
  <c r="C1612" i="11"/>
  <c r="A1611" i="11"/>
  <c r="B1611" i="11"/>
  <c r="C1611" i="11"/>
  <c r="A1610" i="11"/>
  <c r="B1610" i="11"/>
  <c r="C1610" i="11"/>
  <c r="A1609" i="11"/>
  <c r="B1609" i="11"/>
  <c r="C1609" i="11"/>
  <c r="A1608" i="11"/>
  <c r="B1608" i="11"/>
  <c r="C1608" i="11"/>
  <c r="A1607" i="11"/>
  <c r="B1607" i="11"/>
  <c r="C1607" i="11"/>
  <c r="A1606" i="11"/>
  <c r="B1606" i="11"/>
  <c r="C1606" i="11"/>
  <c r="A1605" i="11"/>
  <c r="B1605" i="11"/>
  <c r="C1605" i="11"/>
  <c r="A1604" i="11"/>
  <c r="B1604" i="11"/>
  <c r="C1604" i="11"/>
  <c r="A1603" i="11"/>
  <c r="B1603" i="11"/>
  <c r="C1603" i="11"/>
  <c r="A1602" i="11"/>
  <c r="B1602" i="11"/>
  <c r="C1602" i="11"/>
  <c r="A1601" i="11"/>
  <c r="B1601" i="11"/>
  <c r="C1601" i="11"/>
  <c r="A1600" i="11"/>
  <c r="B1600" i="11"/>
  <c r="C1600" i="11"/>
  <c r="A1599" i="11"/>
  <c r="B1599" i="11"/>
  <c r="C1599" i="11"/>
  <c r="A1598" i="11"/>
  <c r="B1598" i="11"/>
  <c r="C1598" i="11"/>
  <c r="A1597" i="11"/>
  <c r="B1597" i="11"/>
  <c r="C1597" i="11"/>
  <c r="A1596" i="11"/>
  <c r="B1596" i="11"/>
  <c r="C1596" i="11"/>
  <c r="A1595" i="11"/>
  <c r="B1595" i="11"/>
  <c r="C1595" i="11"/>
  <c r="A1594" i="11"/>
  <c r="B1594" i="11"/>
  <c r="C1594" i="11"/>
  <c r="A1593" i="11"/>
  <c r="B1593" i="11"/>
  <c r="C1593" i="11"/>
  <c r="A1592" i="11"/>
  <c r="B1592" i="11"/>
  <c r="C1592" i="11"/>
  <c r="A1591" i="11"/>
  <c r="B1591" i="11"/>
  <c r="C1591" i="11"/>
  <c r="A1590" i="11"/>
  <c r="B1590" i="11"/>
  <c r="C1590" i="11"/>
  <c r="A1589" i="11"/>
  <c r="B1589" i="11"/>
  <c r="C1589" i="11"/>
  <c r="A1588" i="11"/>
  <c r="B1588" i="11"/>
  <c r="C1588" i="11"/>
  <c r="A1587" i="11"/>
  <c r="B1587" i="11"/>
  <c r="C1587" i="11"/>
  <c r="A1586" i="11"/>
  <c r="B1586" i="11"/>
  <c r="C1586" i="11"/>
  <c r="A1585" i="11"/>
  <c r="B1585" i="11"/>
  <c r="C1585" i="11"/>
  <c r="A1584" i="11"/>
  <c r="B1584" i="11"/>
  <c r="C1584" i="11"/>
  <c r="A1583" i="11"/>
  <c r="B1583" i="11"/>
  <c r="C1583" i="11"/>
  <c r="A1582" i="11"/>
  <c r="B1582" i="11"/>
  <c r="C1582" i="11"/>
  <c r="A1581" i="11"/>
  <c r="B1581" i="11"/>
  <c r="C1581" i="11"/>
  <c r="A1580" i="11"/>
  <c r="B1580" i="11"/>
  <c r="C1580" i="11"/>
  <c r="A1579" i="11"/>
  <c r="B1579" i="11"/>
  <c r="C1579" i="11"/>
  <c r="A1578" i="11"/>
  <c r="B1578" i="11"/>
  <c r="C1578" i="11"/>
  <c r="A1577" i="11"/>
  <c r="B1577" i="11"/>
  <c r="C1577" i="11"/>
  <c r="A1576" i="11"/>
  <c r="B1576" i="11"/>
  <c r="C1576" i="11"/>
  <c r="A1575" i="11"/>
  <c r="B1575" i="11"/>
  <c r="C1575" i="11"/>
  <c r="A1574" i="11"/>
  <c r="B1574" i="11"/>
  <c r="C1574" i="11"/>
  <c r="A1573" i="11"/>
  <c r="B1573" i="11"/>
  <c r="C1573" i="11"/>
  <c r="A1572" i="11"/>
  <c r="B1572" i="11"/>
  <c r="C1572" i="11"/>
  <c r="A1571" i="11"/>
  <c r="B1571" i="11"/>
  <c r="C1571" i="11"/>
  <c r="A1570" i="11"/>
  <c r="B1570" i="11"/>
  <c r="C1570" i="11"/>
  <c r="A1569" i="11"/>
  <c r="B1569" i="11"/>
  <c r="C1569" i="11"/>
  <c r="A1568" i="11"/>
  <c r="B1568" i="11"/>
  <c r="C1568" i="11"/>
  <c r="A1567" i="11"/>
  <c r="B1567" i="11"/>
  <c r="C1567" i="11"/>
  <c r="A1566" i="11"/>
  <c r="B1566" i="11"/>
  <c r="C1566" i="11"/>
  <c r="A1565" i="11"/>
  <c r="B1565" i="11"/>
  <c r="C1565" i="11"/>
  <c r="A1564" i="11"/>
  <c r="B1564" i="11"/>
  <c r="C1564" i="11"/>
  <c r="A1563" i="11"/>
  <c r="B1563" i="11"/>
  <c r="C1563" i="11"/>
  <c r="A1562" i="11"/>
  <c r="B1562" i="11"/>
  <c r="C1562" i="11"/>
  <c r="A1561" i="11"/>
  <c r="B1561" i="11"/>
  <c r="C1561" i="11"/>
  <c r="A1560" i="11"/>
  <c r="B1560" i="11"/>
  <c r="C1560" i="11"/>
  <c r="A1559" i="11"/>
  <c r="B1559" i="11"/>
  <c r="C1559" i="11"/>
  <c r="A1558" i="11"/>
  <c r="B1558" i="11"/>
  <c r="C1558" i="11"/>
  <c r="A1557" i="11"/>
  <c r="B1557" i="11"/>
  <c r="C1557" i="11"/>
  <c r="A1556" i="11"/>
  <c r="B1556" i="11"/>
  <c r="C1556" i="11"/>
  <c r="A1555" i="11"/>
  <c r="B1555" i="11"/>
  <c r="C1555" i="11"/>
  <c r="A1554" i="11"/>
  <c r="B1554" i="11"/>
  <c r="C1554" i="11"/>
  <c r="A1553" i="11"/>
  <c r="B1553" i="11"/>
  <c r="C1553" i="11"/>
  <c r="A1552" i="11"/>
  <c r="B1552" i="11"/>
  <c r="C1552" i="11"/>
  <c r="A1551" i="11"/>
  <c r="B1551" i="11"/>
  <c r="C1551" i="11"/>
  <c r="A1550" i="11"/>
  <c r="B1550" i="11"/>
  <c r="C1550" i="11"/>
  <c r="A1549" i="11"/>
  <c r="B1549" i="11"/>
  <c r="C1549" i="11"/>
  <c r="A1548" i="11"/>
  <c r="B1548" i="11"/>
  <c r="C1548" i="11"/>
  <c r="A1547" i="11"/>
  <c r="B1547" i="11"/>
  <c r="C1547" i="11"/>
  <c r="A1546" i="11"/>
  <c r="B1546" i="11"/>
  <c r="C1546" i="11"/>
  <c r="A1545" i="11"/>
  <c r="B1545" i="11"/>
  <c r="C1545" i="11"/>
  <c r="A1544" i="11"/>
  <c r="B1544" i="11"/>
  <c r="C1544" i="11"/>
  <c r="A1543" i="11"/>
  <c r="B1543" i="11"/>
  <c r="C1543" i="11"/>
  <c r="A1542" i="11"/>
  <c r="B1542" i="11"/>
  <c r="C1542" i="11"/>
  <c r="A1541" i="11"/>
  <c r="B1541" i="11"/>
  <c r="C1541" i="11"/>
  <c r="A1540" i="11"/>
  <c r="B1540" i="11"/>
  <c r="C1540" i="11"/>
  <c r="A1539" i="11"/>
  <c r="B1539" i="11"/>
  <c r="C1539" i="11"/>
  <c r="A1538" i="11"/>
  <c r="B1538" i="11"/>
  <c r="C1538" i="11"/>
  <c r="A1537" i="11"/>
  <c r="B1537" i="11"/>
  <c r="C1537" i="11"/>
  <c r="A1536" i="11"/>
  <c r="B1536" i="11"/>
  <c r="C1536" i="11"/>
  <c r="A1535" i="11"/>
  <c r="B1535" i="11"/>
  <c r="C1535" i="11"/>
  <c r="A1534" i="11"/>
  <c r="B1534" i="11"/>
  <c r="C1534" i="11"/>
  <c r="A1533" i="11"/>
  <c r="B1533" i="11"/>
  <c r="C1533" i="11"/>
  <c r="A1532" i="11"/>
  <c r="B1532" i="11"/>
  <c r="C1532" i="11"/>
  <c r="A1531" i="11"/>
  <c r="B1531" i="11"/>
  <c r="C1531" i="11"/>
  <c r="A1530" i="11"/>
  <c r="B1530" i="11"/>
  <c r="C1530" i="11"/>
  <c r="A1529" i="11"/>
  <c r="B1529" i="11"/>
  <c r="C1529" i="11"/>
  <c r="A1528" i="11"/>
  <c r="B1528" i="11"/>
  <c r="C1528" i="11"/>
  <c r="A1527" i="11"/>
  <c r="B1527" i="11"/>
  <c r="C1527" i="11"/>
  <c r="A1526" i="11"/>
  <c r="B1526" i="11"/>
  <c r="C1526" i="11"/>
  <c r="A1525" i="11"/>
  <c r="B1525" i="11"/>
  <c r="C1525" i="11"/>
  <c r="A1524" i="11"/>
  <c r="B1524" i="11"/>
  <c r="C1524" i="11"/>
  <c r="A1523" i="11"/>
  <c r="B1523" i="11"/>
  <c r="C1523" i="11"/>
  <c r="A1522" i="11"/>
  <c r="B1522" i="11"/>
  <c r="C1522" i="11"/>
  <c r="A1521" i="11"/>
  <c r="B1521" i="11"/>
  <c r="C1521" i="11"/>
  <c r="A1520" i="11"/>
  <c r="B1520" i="11"/>
  <c r="C1520" i="11"/>
  <c r="A1519" i="11"/>
  <c r="B1519" i="11"/>
  <c r="C1519" i="11"/>
  <c r="A1518" i="11"/>
  <c r="B1518" i="11"/>
  <c r="C1518" i="11"/>
  <c r="A1517" i="11"/>
  <c r="B1517" i="11"/>
  <c r="C1517" i="11"/>
  <c r="A1516" i="11"/>
  <c r="B1516" i="11"/>
  <c r="C1516" i="11"/>
  <c r="A1515" i="11"/>
  <c r="B1515" i="11"/>
  <c r="C1515" i="11"/>
  <c r="A1514" i="11"/>
  <c r="B1514" i="11"/>
  <c r="C1514" i="11"/>
  <c r="A1513" i="11"/>
  <c r="B1513" i="11"/>
  <c r="C1513" i="11"/>
  <c r="A1512" i="11"/>
  <c r="B1512" i="11"/>
  <c r="C1512" i="11"/>
  <c r="A1511" i="11"/>
  <c r="B1511" i="11"/>
  <c r="C1511" i="11"/>
  <c r="A1510" i="11"/>
  <c r="B1510" i="11"/>
  <c r="C1510" i="11"/>
  <c r="A1509" i="11"/>
  <c r="B1509" i="11"/>
  <c r="C1509" i="11"/>
  <c r="A1508" i="11"/>
  <c r="B1508" i="11"/>
  <c r="C1508" i="11"/>
  <c r="A1507" i="11"/>
  <c r="B1507" i="11"/>
  <c r="C1507" i="11"/>
  <c r="A1506" i="11"/>
  <c r="B1506" i="11"/>
  <c r="C1506" i="11"/>
  <c r="A1505" i="11"/>
  <c r="B1505" i="11"/>
  <c r="C1505" i="11"/>
  <c r="A1504" i="11"/>
  <c r="B1504" i="11"/>
  <c r="C1504" i="11"/>
  <c r="A1503" i="11"/>
  <c r="B1503" i="11"/>
  <c r="C1503" i="11"/>
  <c r="A1502" i="11"/>
  <c r="B1502" i="11"/>
  <c r="C1502" i="11"/>
  <c r="A1501" i="11"/>
  <c r="B1501" i="11"/>
  <c r="C1501" i="11"/>
  <c r="A1500" i="11"/>
  <c r="B1500" i="11"/>
  <c r="C1500" i="11"/>
  <c r="A1499" i="11"/>
  <c r="B1499" i="11"/>
  <c r="C1499" i="11"/>
  <c r="A1498" i="11"/>
  <c r="B1498" i="11"/>
  <c r="C1498" i="11"/>
  <c r="A1497" i="11"/>
  <c r="B1497" i="11"/>
  <c r="C1497" i="11"/>
  <c r="A1496" i="11"/>
  <c r="B1496" i="11"/>
  <c r="C1496" i="11"/>
  <c r="A1495" i="11"/>
  <c r="B1495" i="11"/>
  <c r="C1495" i="11"/>
  <c r="A1494" i="11"/>
  <c r="B1494" i="11"/>
  <c r="C1494" i="11"/>
  <c r="A1493" i="11"/>
  <c r="B1493" i="11"/>
  <c r="C1493" i="11"/>
  <c r="A1492" i="11"/>
  <c r="B1492" i="11"/>
  <c r="C1492" i="11"/>
  <c r="A1491" i="11"/>
  <c r="B1491" i="11"/>
  <c r="C1491" i="11"/>
  <c r="A1490" i="11"/>
  <c r="B1490" i="11"/>
  <c r="C1490" i="11"/>
  <c r="A1489" i="11"/>
  <c r="B1489" i="11"/>
  <c r="C1489" i="11"/>
  <c r="A1488" i="11"/>
  <c r="B1488" i="11"/>
  <c r="C1488" i="11"/>
  <c r="A1487" i="11"/>
  <c r="B1487" i="11"/>
  <c r="C1487" i="11"/>
  <c r="A1486" i="11"/>
  <c r="B1486" i="11"/>
  <c r="C1486" i="11"/>
  <c r="A1485" i="11"/>
  <c r="B1485" i="11"/>
  <c r="C1485" i="11"/>
  <c r="A1484" i="11"/>
  <c r="B1484" i="11"/>
  <c r="C1484" i="11"/>
  <c r="A1483" i="11"/>
  <c r="B1483" i="11"/>
  <c r="C1483" i="11"/>
  <c r="A1482" i="11"/>
  <c r="B1482" i="11"/>
  <c r="C1482" i="11"/>
  <c r="A1481" i="11"/>
  <c r="B1481" i="11"/>
  <c r="C1481" i="11"/>
  <c r="A1480" i="11"/>
  <c r="B1480" i="11"/>
  <c r="C1480" i="11"/>
  <c r="A1479" i="11"/>
  <c r="B1479" i="11"/>
  <c r="C1479" i="11"/>
  <c r="A1478" i="11"/>
  <c r="B1478" i="11"/>
  <c r="C1478" i="11"/>
  <c r="A1477" i="11"/>
  <c r="B1477" i="11"/>
  <c r="C1477" i="11"/>
  <c r="A1476" i="11"/>
  <c r="B1476" i="11"/>
  <c r="C1476" i="11"/>
  <c r="A1475" i="11"/>
  <c r="B1475" i="11"/>
  <c r="C1475" i="11"/>
  <c r="A1474" i="11"/>
  <c r="B1474" i="11"/>
  <c r="C1474" i="11"/>
  <c r="A1473" i="11"/>
  <c r="B1473" i="11"/>
  <c r="C1473" i="11"/>
  <c r="A1472" i="11"/>
  <c r="B1472" i="11"/>
  <c r="C1472" i="11"/>
  <c r="A1471" i="11"/>
  <c r="B1471" i="11"/>
  <c r="C1471" i="11"/>
  <c r="A1470" i="11"/>
  <c r="B1470" i="11"/>
  <c r="C1470" i="11"/>
  <c r="A1469" i="11"/>
  <c r="B1469" i="11"/>
  <c r="C1469" i="11"/>
  <c r="A1468" i="11"/>
  <c r="B1468" i="11"/>
  <c r="C1468" i="11"/>
  <c r="A1467" i="11"/>
  <c r="B1467" i="11"/>
  <c r="C1467" i="11"/>
  <c r="A1466" i="11"/>
  <c r="B1466" i="11"/>
  <c r="C1466" i="11"/>
  <c r="A1465" i="11"/>
  <c r="B1465" i="11"/>
  <c r="C1465" i="11"/>
  <c r="A1464" i="11"/>
  <c r="B1464" i="11"/>
  <c r="C1464" i="11"/>
  <c r="A1463" i="11"/>
  <c r="B1463" i="11"/>
  <c r="C1463" i="11"/>
  <c r="A1462" i="11"/>
  <c r="B1462" i="11"/>
  <c r="C1462" i="11"/>
  <c r="A1461" i="11"/>
  <c r="B1461" i="11"/>
  <c r="C1461" i="11"/>
  <c r="A1460" i="11"/>
  <c r="B1460" i="11"/>
  <c r="C1460" i="11"/>
  <c r="A1459" i="11"/>
  <c r="B1459" i="11"/>
  <c r="C1459" i="11"/>
  <c r="A1458" i="11"/>
  <c r="B1458" i="11"/>
  <c r="C1458" i="11"/>
  <c r="A1457" i="11"/>
  <c r="B1457" i="11"/>
  <c r="C1457" i="11"/>
  <c r="A1456" i="11"/>
  <c r="B1456" i="11"/>
  <c r="C1456" i="11"/>
  <c r="A1455" i="11"/>
  <c r="B1455" i="11"/>
  <c r="C1455" i="11"/>
  <c r="A1454" i="11"/>
  <c r="B1454" i="11"/>
  <c r="C1454" i="11"/>
  <c r="A1453" i="11"/>
  <c r="B1453" i="11"/>
  <c r="C1453" i="11"/>
  <c r="A1452" i="11"/>
  <c r="B1452" i="11"/>
  <c r="C1452" i="11"/>
  <c r="A1451" i="11"/>
  <c r="B1451" i="11"/>
  <c r="C1451" i="11"/>
  <c r="A1450" i="11"/>
  <c r="B1450" i="11"/>
  <c r="C1450" i="11"/>
  <c r="A1449" i="11"/>
  <c r="B1449" i="11"/>
  <c r="C1449" i="11"/>
  <c r="A1448" i="11"/>
  <c r="B1448" i="11"/>
  <c r="C1448" i="11"/>
  <c r="A1447" i="11"/>
  <c r="B1447" i="11"/>
  <c r="C1447" i="11"/>
  <c r="A1446" i="11"/>
  <c r="B1446" i="11"/>
  <c r="C1446" i="11"/>
  <c r="A1445" i="11"/>
  <c r="B1445" i="11"/>
  <c r="C1445" i="11"/>
  <c r="A1444" i="11"/>
  <c r="B1444" i="11"/>
  <c r="C1444" i="11"/>
  <c r="A1443" i="11"/>
  <c r="B1443" i="11"/>
  <c r="C1443" i="11"/>
  <c r="A1442" i="11"/>
  <c r="B1442" i="11"/>
  <c r="C1442" i="11"/>
  <c r="A1441" i="11"/>
  <c r="B1441" i="11"/>
  <c r="C1441" i="11"/>
  <c r="A1440" i="11"/>
  <c r="B1440" i="11"/>
  <c r="C1440" i="11"/>
  <c r="A1439" i="11"/>
  <c r="B1439" i="11"/>
  <c r="C1439" i="11"/>
  <c r="A1438" i="11"/>
  <c r="B1438" i="11"/>
  <c r="C1438" i="11"/>
  <c r="A1437" i="11"/>
  <c r="B1437" i="11"/>
  <c r="C1437" i="11"/>
  <c r="A1436" i="11"/>
  <c r="B1436" i="11"/>
  <c r="C1436" i="11"/>
  <c r="A1435" i="11"/>
  <c r="B1435" i="11"/>
  <c r="C1435" i="11"/>
  <c r="A1434" i="11"/>
  <c r="B1434" i="11"/>
  <c r="C1434" i="11"/>
  <c r="A1433" i="11"/>
  <c r="B1433" i="11"/>
  <c r="C1433" i="11"/>
  <c r="A1432" i="11"/>
  <c r="B1432" i="11"/>
  <c r="C1432" i="11"/>
  <c r="A1431" i="11"/>
  <c r="B1431" i="11"/>
  <c r="C1431" i="11"/>
  <c r="A1430" i="11"/>
  <c r="B1430" i="11"/>
  <c r="C1430" i="11"/>
  <c r="A1429" i="11"/>
  <c r="B1429" i="11"/>
  <c r="C1429" i="11"/>
  <c r="A1428" i="11"/>
  <c r="B1428" i="11"/>
  <c r="C1428" i="11"/>
  <c r="A1427" i="11"/>
  <c r="B1427" i="11"/>
  <c r="C1427" i="11"/>
  <c r="A1426" i="11"/>
  <c r="B1426" i="11"/>
  <c r="C1426" i="11"/>
  <c r="A1425" i="11"/>
  <c r="B1425" i="11"/>
  <c r="C1425" i="11"/>
  <c r="A1424" i="11"/>
  <c r="B1424" i="11"/>
  <c r="C1424" i="11"/>
  <c r="A1423" i="11"/>
  <c r="B1423" i="11"/>
  <c r="C1423" i="11"/>
  <c r="A1422" i="11"/>
  <c r="B1422" i="11"/>
  <c r="C1422" i="11"/>
  <c r="A1421" i="11"/>
  <c r="B1421" i="11"/>
  <c r="C1421" i="11"/>
  <c r="A1420" i="11"/>
  <c r="B1420" i="11"/>
  <c r="C1420" i="11"/>
  <c r="A1419" i="11"/>
  <c r="B1419" i="11"/>
  <c r="C1419" i="11"/>
  <c r="A1418" i="11"/>
  <c r="B1418" i="11"/>
  <c r="C1418" i="11"/>
  <c r="A1417" i="11"/>
  <c r="B1417" i="11"/>
  <c r="C1417" i="11"/>
  <c r="A1416" i="11"/>
  <c r="B1416" i="11"/>
  <c r="C1416" i="11"/>
  <c r="A1415" i="11"/>
  <c r="B1415" i="11"/>
  <c r="C1415" i="11"/>
  <c r="A1414" i="11"/>
  <c r="B1414" i="11"/>
  <c r="C1414" i="11"/>
  <c r="A1413" i="11"/>
  <c r="B1413" i="11"/>
  <c r="C1413" i="11"/>
  <c r="A1412" i="11"/>
  <c r="B1412" i="11"/>
  <c r="C1412" i="11"/>
  <c r="A1411" i="11"/>
  <c r="B1411" i="11"/>
  <c r="C1411" i="11"/>
  <c r="A1410" i="11"/>
  <c r="B1410" i="11"/>
  <c r="C1410" i="11"/>
  <c r="A1409" i="11"/>
  <c r="B1409" i="11"/>
  <c r="C1409" i="11"/>
  <c r="A1408" i="11"/>
  <c r="B1408" i="11"/>
  <c r="C1408" i="11"/>
  <c r="A1407" i="11"/>
  <c r="B1407" i="11"/>
  <c r="C1407" i="11"/>
  <c r="A1406" i="11"/>
  <c r="B1406" i="11"/>
  <c r="C1406" i="11"/>
  <c r="A1405" i="11"/>
  <c r="B1405" i="11"/>
  <c r="C1405" i="11"/>
  <c r="A1404" i="11"/>
  <c r="B1404" i="11"/>
  <c r="C1404" i="11"/>
  <c r="A1403" i="11"/>
  <c r="B1403" i="11"/>
  <c r="C1403" i="11"/>
  <c r="A1402" i="11"/>
  <c r="B1402" i="11"/>
  <c r="C1402" i="11"/>
  <c r="A1401" i="11"/>
  <c r="B1401" i="11"/>
  <c r="C1401" i="11"/>
  <c r="A1400" i="11"/>
  <c r="B1400" i="11"/>
  <c r="C1400" i="11"/>
  <c r="A1399" i="11"/>
  <c r="B1399" i="11"/>
  <c r="C1399" i="11"/>
  <c r="A1398" i="11"/>
  <c r="B1398" i="11"/>
  <c r="C1398" i="11"/>
  <c r="A1397" i="11"/>
  <c r="B1397" i="11"/>
  <c r="C1397" i="11"/>
  <c r="A1396" i="11"/>
  <c r="B1396" i="11"/>
  <c r="C1396" i="11"/>
  <c r="A1395" i="11"/>
  <c r="B1395" i="11"/>
  <c r="C1395" i="11"/>
  <c r="A1394" i="11"/>
  <c r="B1394" i="11"/>
  <c r="C1394" i="11"/>
  <c r="A1393" i="11"/>
  <c r="B1393" i="11"/>
  <c r="C1393" i="11"/>
  <c r="A1392" i="11"/>
  <c r="B1392" i="11"/>
  <c r="C1392" i="11"/>
  <c r="A1391" i="11"/>
  <c r="B1391" i="11"/>
  <c r="C1391" i="11"/>
  <c r="A1390" i="11"/>
  <c r="B1390" i="11"/>
  <c r="C1390" i="11"/>
  <c r="A1389" i="11"/>
  <c r="B1389" i="11"/>
  <c r="C1389" i="11"/>
  <c r="A1388" i="11"/>
  <c r="B1388" i="11"/>
  <c r="C1388" i="11"/>
  <c r="A1387" i="11"/>
  <c r="B1387" i="11"/>
  <c r="C1387" i="11"/>
  <c r="A1386" i="11"/>
  <c r="B1386" i="11"/>
  <c r="C1386" i="11"/>
  <c r="A1385" i="11"/>
  <c r="B1385" i="11"/>
  <c r="C1385" i="11"/>
  <c r="A1384" i="11"/>
  <c r="B1384" i="11"/>
  <c r="C1384" i="11"/>
  <c r="A1383" i="11"/>
  <c r="B1383" i="11"/>
  <c r="C1383" i="11"/>
  <c r="A1382" i="11"/>
  <c r="B1382" i="11"/>
  <c r="C1382" i="11"/>
  <c r="A1381" i="11"/>
  <c r="B1381" i="11"/>
  <c r="C1381" i="11"/>
  <c r="A1380" i="11"/>
  <c r="B1380" i="11"/>
  <c r="C1380" i="11"/>
  <c r="A1379" i="11"/>
  <c r="B1379" i="11"/>
  <c r="C1379" i="11"/>
  <c r="A1378" i="11"/>
  <c r="B1378" i="11"/>
  <c r="C1378" i="11"/>
  <c r="A1377" i="11"/>
  <c r="B1377" i="11"/>
  <c r="C1377" i="11"/>
  <c r="A1376" i="11"/>
  <c r="B1376" i="11"/>
  <c r="C1376" i="11"/>
  <c r="A1375" i="11"/>
  <c r="B1375" i="11"/>
  <c r="C1375" i="11"/>
  <c r="A1374" i="11"/>
  <c r="B1374" i="11"/>
  <c r="C1374" i="11"/>
  <c r="A1373" i="11"/>
  <c r="B1373" i="11"/>
  <c r="C1373" i="11"/>
  <c r="A1372" i="11"/>
  <c r="B1372" i="11"/>
  <c r="C1372" i="11"/>
  <c r="A1371" i="11"/>
  <c r="B1371" i="11"/>
  <c r="C1371" i="11"/>
  <c r="A1370" i="11"/>
  <c r="B1370" i="11"/>
  <c r="C1370" i="11"/>
  <c r="A1369" i="11"/>
  <c r="B1369" i="11"/>
  <c r="C1369" i="11"/>
  <c r="A1368" i="11"/>
  <c r="B1368" i="11"/>
  <c r="C1368" i="11"/>
  <c r="A1367" i="11"/>
  <c r="B1367" i="11"/>
  <c r="C1367" i="11"/>
  <c r="A1366" i="11"/>
  <c r="B1366" i="11"/>
  <c r="C1366" i="11"/>
  <c r="A1365" i="11"/>
  <c r="B1365" i="11"/>
  <c r="C1365" i="11"/>
  <c r="A1364" i="11"/>
  <c r="B1364" i="11"/>
  <c r="C1364" i="11"/>
  <c r="A1363" i="11"/>
  <c r="B1363" i="11"/>
  <c r="C1363" i="11"/>
  <c r="A1362" i="11"/>
  <c r="B1362" i="11"/>
  <c r="C1362" i="11"/>
  <c r="A1361" i="11"/>
  <c r="B1361" i="11"/>
  <c r="C1361" i="11"/>
  <c r="A1360" i="11"/>
  <c r="B1360" i="11"/>
  <c r="C1360" i="11"/>
  <c r="A1359" i="11"/>
  <c r="B1359" i="11"/>
  <c r="C1359" i="11"/>
  <c r="A1358" i="11"/>
  <c r="B1358" i="11"/>
  <c r="C1358" i="11"/>
  <c r="A1357" i="11"/>
  <c r="B1357" i="11"/>
  <c r="C1357" i="11"/>
  <c r="A1356" i="11"/>
  <c r="B1356" i="11"/>
  <c r="C1356" i="11"/>
  <c r="A1355" i="11"/>
  <c r="B1355" i="11"/>
  <c r="C1355" i="11"/>
  <c r="A1354" i="11"/>
  <c r="B1354" i="11"/>
  <c r="C1354" i="11"/>
  <c r="A1353" i="11"/>
  <c r="B1353" i="11"/>
  <c r="C1353" i="11"/>
  <c r="A1352" i="11"/>
  <c r="B1352" i="11"/>
  <c r="C1352" i="11"/>
  <c r="A1351" i="11"/>
  <c r="B1351" i="11"/>
  <c r="C1351" i="11"/>
  <c r="A1350" i="11"/>
  <c r="B1350" i="11"/>
  <c r="C1350" i="11"/>
  <c r="A1349" i="11"/>
  <c r="B1349" i="11"/>
  <c r="C1349" i="11"/>
  <c r="A1348" i="11"/>
  <c r="B1348" i="11"/>
  <c r="C1348" i="11"/>
  <c r="A1347" i="11"/>
  <c r="B1347" i="11"/>
  <c r="C1347" i="11"/>
  <c r="A1346" i="11"/>
  <c r="B1346" i="11"/>
  <c r="C1346" i="11"/>
  <c r="A1345" i="11"/>
  <c r="B1345" i="11"/>
  <c r="C1345" i="11"/>
  <c r="A1344" i="11"/>
  <c r="B1344" i="11"/>
  <c r="C1344" i="11"/>
  <c r="A1343" i="11"/>
  <c r="B1343" i="11"/>
  <c r="C1343" i="11"/>
  <c r="A1342" i="11"/>
  <c r="B1342" i="11"/>
  <c r="C1342" i="11"/>
  <c r="A1341" i="11"/>
  <c r="B1341" i="11"/>
  <c r="C1341" i="11"/>
  <c r="A1340" i="11"/>
  <c r="B1340" i="11"/>
  <c r="C1340" i="11"/>
  <c r="A1339" i="11"/>
  <c r="B1339" i="11"/>
  <c r="C1339" i="11"/>
  <c r="A1338" i="11"/>
  <c r="B1338" i="11"/>
  <c r="C1338" i="11"/>
  <c r="A1337" i="11"/>
  <c r="B1337" i="11"/>
  <c r="C1337" i="11"/>
  <c r="A1336" i="11"/>
  <c r="B1336" i="11"/>
  <c r="C1336" i="11"/>
  <c r="A1335" i="11"/>
  <c r="B1335" i="11"/>
  <c r="C1335" i="11"/>
  <c r="A1334" i="11"/>
  <c r="B1334" i="11"/>
  <c r="C1334" i="11"/>
  <c r="A1333" i="11"/>
  <c r="B1333" i="11"/>
  <c r="C1333" i="11"/>
  <c r="A1332" i="11"/>
  <c r="B1332" i="11"/>
  <c r="C1332" i="11"/>
  <c r="A1331" i="11"/>
  <c r="B1331" i="11"/>
  <c r="C1331" i="11"/>
  <c r="A1330" i="11"/>
  <c r="B1330" i="11"/>
  <c r="C1330" i="11"/>
  <c r="A1329" i="11"/>
  <c r="B1329" i="11"/>
  <c r="C1329" i="11"/>
  <c r="A1328" i="11"/>
  <c r="B1328" i="11"/>
  <c r="C1328" i="11"/>
  <c r="A1327" i="11"/>
  <c r="B1327" i="11"/>
  <c r="C1327" i="11"/>
  <c r="A1326" i="11"/>
  <c r="B1326" i="11"/>
  <c r="C1326" i="11"/>
  <c r="A1325" i="11"/>
  <c r="B1325" i="11"/>
  <c r="C1325" i="11"/>
  <c r="A1324" i="11"/>
  <c r="B1324" i="11"/>
  <c r="C1324" i="11"/>
  <c r="A1323" i="11"/>
  <c r="B1323" i="11"/>
  <c r="C1323" i="11"/>
  <c r="A1322" i="11"/>
  <c r="B1322" i="11"/>
  <c r="C1322" i="11"/>
  <c r="A1321" i="11"/>
  <c r="B1321" i="11"/>
  <c r="C1321" i="11"/>
  <c r="A1320" i="11"/>
  <c r="B1320" i="11"/>
  <c r="C1320" i="11"/>
  <c r="A1319" i="11"/>
  <c r="B1319" i="11"/>
  <c r="C1319" i="11"/>
  <c r="A1318" i="11"/>
  <c r="B1318" i="11"/>
  <c r="C1318" i="11"/>
  <c r="A1317" i="11"/>
  <c r="B1317" i="11"/>
  <c r="C1317" i="11"/>
  <c r="A1316" i="11"/>
  <c r="B1316" i="11"/>
  <c r="C1316" i="11"/>
  <c r="A1315" i="11"/>
  <c r="B1315" i="11"/>
  <c r="C1315" i="11"/>
  <c r="A1314" i="11"/>
  <c r="B1314" i="11"/>
  <c r="C1314" i="11"/>
  <c r="A1313" i="11"/>
  <c r="B1313" i="11"/>
  <c r="C1313" i="11"/>
  <c r="A1312" i="11"/>
  <c r="B1312" i="11"/>
  <c r="C1312" i="11"/>
  <c r="A1311" i="11"/>
  <c r="B1311" i="11"/>
  <c r="C1311" i="11"/>
  <c r="A1310" i="11"/>
  <c r="B1310" i="11"/>
  <c r="C1310" i="11"/>
  <c r="A1309" i="11"/>
  <c r="B1309" i="11"/>
  <c r="C1309" i="11"/>
  <c r="A1308" i="11"/>
  <c r="B1308" i="11"/>
  <c r="C1308" i="11"/>
  <c r="A1307" i="11"/>
  <c r="B1307" i="11"/>
  <c r="C1307" i="11"/>
  <c r="A1306" i="11"/>
  <c r="B1306" i="11"/>
  <c r="C1306" i="11"/>
  <c r="A1305" i="11"/>
  <c r="B1305" i="11"/>
  <c r="C1305" i="11"/>
  <c r="A1304" i="11"/>
  <c r="B1304" i="11"/>
  <c r="C1304" i="11"/>
  <c r="A1303" i="11"/>
  <c r="B1303" i="11"/>
  <c r="C1303" i="11"/>
  <c r="A1302" i="11"/>
  <c r="B1302" i="11"/>
  <c r="C1302" i="11"/>
  <c r="A1301" i="11"/>
  <c r="B1301" i="11"/>
  <c r="C1301" i="11"/>
  <c r="A1300" i="11"/>
  <c r="B1300" i="11"/>
  <c r="C1300" i="11"/>
  <c r="A1299" i="11"/>
  <c r="B1299" i="11"/>
  <c r="C1299" i="11"/>
  <c r="A1298" i="11"/>
  <c r="B1298" i="11"/>
  <c r="C1298" i="11"/>
  <c r="A1297" i="11"/>
  <c r="B1297" i="11"/>
  <c r="C1297" i="11"/>
  <c r="A1296" i="11"/>
  <c r="B1296" i="11"/>
  <c r="C1296" i="11"/>
  <c r="A1295" i="11"/>
  <c r="B1295" i="11"/>
  <c r="C1295" i="11"/>
  <c r="A1294" i="11"/>
  <c r="B1294" i="11"/>
  <c r="C1294" i="11"/>
  <c r="A1293" i="11"/>
  <c r="B1293" i="11"/>
  <c r="C1293" i="11"/>
  <c r="A1292" i="11"/>
  <c r="B1292" i="11"/>
  <c r="C1292" i="11"/>
  <c r="A1291" i="11"/>
  <c r="B1291" i="11"/>
  <c r="C1291" i="11"/>
  <c r="A1290" i="11"/>
  <c r="B1290" i="11"/>
  <c r="C1290" i="11"/>
  <c r="A1289" i="11"/>
  <c r="B1289" i="11"/>
  <c r="C1289" i="11"/>
  <c r="A1288" i="11"/>
  <c r="B1288" i="11"/>
  <c r="C1288" i="11"/>
  <c r="A1287" i="11"/>
  <c r="B1287" i="11"/>
  <c r="C1287" i="11"/>
  <c r="A1286" i="11"/>
  <c r="B1286" i="11"/>
  <c r="C1286" i="11"/>
  <c r="A1285" i="11"/>
  <c r="B1285" i="11"/>
  <c r="C1285" i="11"/>
  <c r="A1284" i="11"/>
  <c r="B1284" i="11"/>
  <c r="C1284" i="11"/>
  <c r="A1283" i="11"/>
  <c r="B1283" i="11"/>
  <c r="C1283" i="11"/>
  <c r="A1282" i="11"/>
  <c r="B1282" i="11"/>
  <c r="C1282" i="11"/>
  <c r="A1281" i="11"/>
  <c r="B1281" i="11"/>
  <c r="C1281" i="11"/>
  <c r="A1280" i="11"/>
  <c r="B1280" i="11"/>
  <c r="C1280" i="11"/>
  <c r="A1279" i="11"/>
  <c r="B1279" i="11"/>
  <c r="C1279" i="11"/>
  <c r="A1278" i="11"/>
  <c r="B1278" i="11"/>
  <c r="C1278" i="11"/>
  <c r="A1277" i="11"/>
  <c r="B1277" i="11"/>
  <c r="C1277" i="11"/>
  <c r="A1276" i="11"/>
  <c r="B1276" i="11"/>
  <c r="C1276" i="11"/>
  <c r="A1275" i="11"/>
  <c r="B1275" i="11"/>
  <c r="C1275" i="11"/>
  <c r="A1274" i="11"/>
  <c r="B1274" i="11"/>
  <c r="C1274" i="11"/>
  <c r="A1273" i="11"/>
  <c r="B1273" i="11"/>
  <c r="C1273" i="11"/>
  <c r="A1272" i="11"/>
  <c r="B1272" i="11"/>
  <c r="C1272" i="11"/>
  <c r="A1271" i="11"/>
  <c r="B1271" i="11"/>
  <c r="C1271" i="11"/>
  <c r="A1270" i="11"/>
  <c r="B1270" i="11"/>
  <c r="C1270" i="11"/>
  <c r="A1269" i="11"/>
  <c r="B1269" i="11"/>
  <c r="C1269" i="11"/>
  <c r="A1268" i="11"/>
  <c r="B1268" i="11"/>
  <c r="C1268" i="11"/>
  <c r="A1267" i="11"/>
  <c r="B1267" i="11"/>
  <c r="C1267" i="11"/>
  <c r="A1266" i="11"/>
  <c r="B1266" i="11"/>
  <c r="C1266" i="11"/>
  <c r="A1265" i="11"/>
  <c r="B1265" i="11"/>
  <c r="C1265" i="11"/>
  <c r="A1264" i="11"/>
  <c r="B1264" i="11"/>
  <c r="C1264" i="11"/>
  <c r="A1263" i="11"/>
  <c r="B1263" i="11"/>
  <c r="C1263" i="11"/>
  <c r="A1262" i="11"/>
  <c r="B1262" i="11"/>
  <c r="C1262" i="11"/>
  <c r="A1261" i="11"/>
  <c r="B1261" i="11"/>
  <c r="C1261" i="11"/>
  <c r="A1260" i="11"/>
  <c r="B1260" i="11"/>
  <c r="C1260" i="11"/>
  <c r="A1259" i="11"/>
  <c r="B1259" i="11"/>
  <c r="C1259" i="11"/>
  <c r="A1258" i="11"/>
  <c r="B1258" i="11"/>
  <c r="C1258" i="11"/>
  <c r="A1257" i="11"/>
  <c r="B1257" i="11"/>
  <c r="C1257" i="11"/>
  <c r="A1256" i="11"/>
  <c r="B1256" i="11"/>
  <c r="C1256" i="11"/>
  <c r="A1255" i="11"/>
  <c r="B1255" i="11"/>
  <c r="C1255" i="11"/>
  <c r="A1254" i="11"/>
  <c r="B1254" i="11"/>
  <c r="C1254" i="11"/>
  <c r="A1253" i="11"/>
  <c r="B1253" i="11"/>
  <c r="C1253" i="11"/>
  <c r="A1252" i="11"/>
  <c r="B1252" i="11"/>
  <c r="C1252" i="11"/>
  <c r="A1251" i="11"/>
  <c r="B1251" i="11"/>
  <c r="C1251" i="11"/>
  <c r="A1250" i="11"/>
  <c r="B1250" i="11"/>
  <c r="C1250" i="11"/>
  <c r="A1249" i="11"/>
  <c r="B1249" i="11"/>
  <c r="C1249" i="11"/>
  <c r="A1248" i="11"/>
  <c r="B1248" i="11"/>
  <c r="C1248" i="11"/>
  <c r="A1247" i="11"/>
  <c r="B1247" i="11"/>
  <c r="C1247" i="11"/>
  <c r="A1246" i="11"/>
  <c r="B1246" i="11"/>
  <c r="C1246" i="11"/>
  <c r="A1245" i="11"/>
  <c r="B1245" i="11"/>
  <c r="C1245" i="11"/>
  <c r="A1244" i="11"/>
  <c r="B1244" i="11"/>
  <c r="C1244" i="11"/>
  <c r="A1243" i="11"/>
  <c r="B1243" i="11"/>
  <c r="C1243" i="11"/>
  <c r="A1242" i="11"/>
  <c r="B1242" i="11"/>
  <c r="C1242" i="11"/>
  <c r="A1241" i="11"/>
  <c r="B1241" i="11"/>
  <c r="C1241" i="11"/>
  <c r="A1240" i="11"/>
  <c r="B1240" i="11"/>
  <c r="C1240" i="11"/>
  <c r="A1239" i="11"/>
  <c r="B1239" i="11"/>
  <c r="C1239" i="11"/>
  <c r="A1238" i="11"/>
  <c r="B1238" i="11"/>
  <c r="C1238" i="11"/>
  <c r="A1237" i="11"/>
  <c r="B1237" i="11"/>
  <c r="C1237" i="11"/>
  <c r="A1236" i="11"/>
  <c r="B1236" i="11"/>
  <c r="C1236" i="11"/>
  <c r="A1235" i="11"/>
  <c r="B1235" i="11"/>
  <c r="C1235" i="11"/>
  <c r="A1234" i="11"/>
  <c r="B1234" i="11"/>
  <c r="C1234" i="11"/>
  <c r="A1233" i="11"/>
  <c r="B1233" i="11"/>
  <c r="C1233" i="11"/>
  <c r="A1232" i="11"/>
  <c r="B1232" i="11"/>
  <c r="C1232" i="11"/>
  <c r="A1231" i="11"/>
  <c r="B1231" i="11"/>
  <c r="C1231" i="11"/>
  <c r="A1230" i="11"/>
  <c r="B1230" i="11"/>
  <c r="C1230" i="11"/>
  <c r="A1229" i="11"/>
  <c r="B1229" i="11"/>
  <c r="C1229" i="11"/>
  <c r="A1228" i="11"/>
  <c r="B1228" i="11"/>
  <c r="C1228" i="11"/>
  <c r="A1227" i="11"/>
  <c r="B1227" i="11"/>
  <c r="C1227" i="11"/>
  <c r="A1226" i="11"/>
  <c r="B1226" i="11"/>
  <c r="C1226" i="11"/>
  <c r="A1225" i="11"/>
  <c r="B1225" i="11"/>
  <c r="C1225" i="11"/>
  <c r="A1224" i="11"/>
  <c r="B1224" i="11"/>
  <c r="C1224" i="11"/>
  <c r="A1223" i="11"/>
  <c r="B1223" i="11"/>
  <c r="C1223" i="11"/>
  <c r="A1222" i="11"/>
  <c r="B1222" i="11"/>
  <c r="C1222" i="11"/>
  <c r="A1221" i="11"/>
  <c r="B1221" i="11"/>
  <c r="C1221" i="11"/>
  <c r="A1220" i="11"/>
  <c r="B1220" i="11"/>
  <c r="C1220" i="11"/>
  <c r="A1219" i="11"/>
  <c r="B1219" i="11"/>
  <c r="C1219" i="11"/>
  <c r="A1218" i="11"/>
  <c r="B1218" i="11"/>
  <c r="C1218" i="11"/>
  <c r="A1217" i="11"/>
  <c r="B1217" i="11"/>
  <c r="C1217" i="11"/>
  <c r="A1216" i="11"/>
  <c r="B1216" i="11"/>
  <c r="C1216" i="11"/>
  <c r="A1215" i="11"/>
  <c r="B1215" i="11"/>
  <c r="C1215" i="11"/>
  <c r="A1214" i="11"/>
  <c r="B1214" i="11"/>
  <c r="C1214" i="11"/>
  <c r="A1213" i="11"/>
  <c r="B1213" i="11"/>
  <c r="C1213" i="11"/>
  <c r="A1212" i="11"/>
  <c r="B1212" i="11"/>
  <c r="C1212" i="11"/>
  <c r="A1211" i="11"/>
  <c r="B1211" i="11"/>
  <c r="C1211" i="11"/>
  <c r="A1210" i="11"/>
  <c r="B1210" i="11"/>
  <c r="C1210" i="11"/>
  <c r="A1209" i="11"/>
  <c r="B1209" i="11"/>
  <c r="C1209" i="11"/>
  <c r="A1208" i="11"/>
  <c r="B1208" i="11"/>
  <c r="C1208" i="11"/>
  <c r="A1207" i="11"/>
  <c r="B1207" i="11"/>
  <c r="C1207" i="11"/>
  <c r="A1206" i="11"/>
  <c r="B1206" i="11"/>
  <c r="C1206" i="11"/>
  <c r="A1205" i="11"/>
  <c r="B1205" i="11"/>
  <c r="C1205" i="11"/>
  <c r="A1204" i="11"/>
  <c r="B1204" i="11"/>
  <c r="C1204" i="11"/>
  <c r="A1203" i="11"/>
  <c r="B1203" i="11"/>
  <c r="C1203" i="11"/>
  <c r="A1202" i="11"/>
  <c r="B1202" i="11"/>
  <c r="C1202" i="11"/>
  <c r="A1201" i="11"/>
  <c r="B1201" i="11"/>
  <c r="C1201" i="11"/>
  <c r="A1200" i="11"/>
  <c r="B1200" i="11"/>
  <c r="C1200" i="11"/>
  <c r="A1199" i="11"/>
  <c r="B1199" i="11"/>
  <c r="C1199" i="11"/>
  <c r="A1198" i="11"/>
  <c r="B1198" i="11"/>
  <c r="C1198" i="11"/>
  <c r="A1197" i="11"/>
  <c r="B1197" i="11"/>
  <c r="C1197" i="11"/>
  <c r="A1196" i="11"/>
  <c r="B1196" i="11"/>
  <c r="C1196" i="11"/>
  <c r="A1195" i="11"/>
  <c r="B1195" i="11"/>
  <c r="C1195" i="11"/>
  <c r="A1194" i="11"/>
  <c r="B1194" i="11"/>
  <c r="C1194" i="11"/>
  <c r="A1193" i="11"/>
  <c r="B1193" i="11"/>
  <c r="C1193" i="11"/>
  <c r="A1192" i="11"/>
  <c r="B1192" i="11"/>
  <c r="C1192" i="11"/>
  <c r="A1191" i="11"/>
  <c r="B1191" i="11"/>
  <c r="C1191" i="11"/>
  <c r="A1190" i="11"/>
  <c r="B1190" i="11"/>
  <c r="C1190" i="11"/>
  <c r="A1189" i="11"/>
  <c r="B1189" i="11"/>
  <c r="C1189" i="11"/>
  <c r="A1188" i="11"/>
  <c r="B1188" i="11"/>
  <c r="C1188" i="11"/>
  <c r="A1187" i="11"/>
  <c r="B1187" i="11"/>
  <c r="C1187" i="11"/>
  <c r="A1186" i="11"/>
  <c r="B1186" i="11"/>
  <c r="C1186" i="11"/>
  <c r="A1185" i="11"/>
  <c r="B1185" i="11"/>
  <c r="C1185" i="11"/>
  <c r="A1184" i="11"/>
  <c r="B1184" i="11"/>
  <c r="C1184" i="11"/>
  <c r="A1183" i="11"/>
  <c r="B1183" i="11"/>
  <c r="C1183" i="11"/>
  <c r="A1182" i="11"/>
  <c r="B1182" i="11"/>
  <c r="C1182" i="11"/>
  <c r="A1181" i="11"/>
  <c r="B1181" i="11"/>
  <c r="C1181" i="11"/>
  <c r="A1180" i="11"/>
  <c r="B1180" i="11"/>
  <c r="C1180" i="11"/>
  <c r="A1179" i="11"/>
  <c r="B1179" i="11"/>
  <c r="C1179" i="11"/>
  <c r="A1178" i="11"/>
  <c r="B1178" i="11"/>
  <c r="C1178" i="11"/>
  <c r="A1177" i="11"/>
  <c r="B1177" i="11"/>
  <c r="C1177" i="11"/>
  <c r="A1176" i="11"/>
  <c r="B1176" i="11"/>
  <c r="C1176" i="11"/>
  <c r="A1175" i="11"/>
  <c r="B1175" i="11"/>
  <c r="C1175" i="11"/>
  <c r="A1174" i="11"/>
  <c r="B1174" i="11"/>
  <c r="C1174" i="11"/>
  <c r="A1173" i="11"/>
  <c r="B1173" i="11"/>
  <c r="C1173" i="11"/>
  <c r="A1172" i="11"/>
  <c r="B1172" i="11"/>
  <c r="C1172" i="11"/>
  <c r="A1171" i="11"/>
  <c r="B1171" i="11"/>
  <c r="C1171" i="11"/>
  <c r="A1170" i="11"/>
  <c r="B1170" i="11"/>
  <c r="C1170" i="11"/>
  <c r="A1169" i="11"/>
  <c r="B1169" i="11"/>
  <c r="C1169" i="11"/>
  <c r="A1168" i="11"/>
  <c r="B1168" i="11"/>
  <c r="C1168" i="11"/>
  <c r="A1167" i="11"/>
  <c r="B1167" i="11"/>
  <c r="C1167" i="11"/>
  <c r="A1166" i="11"/>
  <c r="B1166" i="11"/>
  <c r="C1166" i="11"/>
  <c r="A1165" i="11"/>
  <c r="B1165" i="11"/>
  <c r="C1165" i="11"/>
  <c r="A1164" i="11"/>
  <c r="B1164" i="11"/>
  <c r="C1164" i="11"/>
  <c r="A1163" i="11"/>
  <c r="B1163" i="11"/>
  <c r="C1163" i="11"/>
  <c r="A1162" i="11"/>
  <c r="B1162" i="11"/>
  <c r="C1162" i="11"/>
  <c r="A1161" i="11"/>
  <c r="B1161" i="11"/>
  <c r="C1161" i="11"/>
  <c r="A1160" i="11"/>
  <c r="B1160" i="11"/>
  <c r="C1160" i="11"/>
  <c r="A1159" i="11"/>
  <c r="B1159" i="11"/>
  <c r="C1159" i="11"/>
  <c r="A1158" i="11"/>
  <c r="B1158" i="11"/>
  <c r="C1158" i="11"/>
  <c r="A1157" i="11"/>
  <c r="B1157" i="11"/>
  <c r="C1157" i="11"/>
  <c r="A1156" i="11"/>
  <c r="B1156" i="11"/>
  <c r="C1156" i="11"/>
  <c r="A1155" i="11"/>
  <c r="B1155" i="11"/>
  <c r="C1155" i="11"/>
  <c r="A1154" i="11"/>
  <c r="B1154" i="11"/>
  <c r="C1154" i="11"/>
  <c r="A1153" i="11"/>
  <c r="B1153" i="11"/>
  <c r="C1153" i="11"/>
  <c r="A1152" i="11"/>
  <c r="B1152" i="11"/>
  <c r="C1152" i="11"/>
  <c r="A1151" i="11"/>
  <c r="B1151" i="11"/>
  <c r="C1151" i="11"/>
  <c r="A1150" i="11"/>
  <c r="B1150" i="11"/>
  <c r="C1150" i="11"/>
  <c r="A1149" i="11"/>
  <c r="B1149" i="11"/>
  <c r="C1149" i="11"/>
  <c r="A1148" i="11"/>
  <c r="B1148" i="11"/>
  <c r="C1148" i="11"/>
  <c r="A1147" i="11"/>
  <c r="B1147" i="11"/>
  <c r="C1147" i="11"/>
  <c r="A1146" i="11"/>
  <c r="B1146" i="11"/>
  <c r="C1146" i="11"/>
  <c r="A1145" i="11"/>
  <c r="B1145" i="11"/>
  <c r="C1145" i="11"/>
  <c r="A1144" i="11"/>
  <c r="B1144" i="11"/>
  <c r="C1144" i="11"/>
  <c r="A1143" i="11"/>
  <c r="B1143" i="11"/>
  <c r="C1143" i="11"/>
  <c r="A1142" i="11"/>
  <c r="B1142" i="11"/>
  <c r="C1142" i="11"/>
  <c r="A1141" i="11"/>
  <c r="B1141" i="11"/>
  <c r="C1141" i="11"/>
  <c r="A1140" i="11"/>
  <c r="B1140" i="11"/>
  <c r="C1140" i="11"/>
  <c r="A1139" i="11"/>
  <c r="B1139" i="11"/>
  <c r="C1139" i="11"/>
  <c r="A1138" i="11"/>
  <c r="B1138" i="11"/>
  <c r="C1138" i="11"/>
  <c r="A1137" i="11"/>
  <c r="B1137" i="11"/>
  <c r="C1137" i="11"/>
  <c r="A1136" i="11"/>
  <c r="B1136" i="11"/>
  <c r="C1136" i="11"/>
  <c r="A1135" i="11"/>
  <c r="B1135" i="11"/>
  <c r="C1135" i="11"/>
  <c r="A1134" i="11"/>
  <c r="B1134" i="11"/>
  <c r="C1134" i="11"/>
  <c r="A1133" i="11"/>
  <c r="B1133" i="11"/>
  <c r="C1133" i="11"/>
  <c r="A1132" i="11"/>
  <c r="B1132" i="11"/>
  <c r="C1132" i="11"/>
  <c r="A1131" i="11"/>
  <c r="B1131" i="11"/>
  <c r="C1131" i="11"/>
  <c r="A1130" i="11"/>
  <c r="B1130" i="11"/>
  <c r="C1130" i="11"/>
  <c r="A1129" i="11"/>
  <c r="B1129" i="11"/>
  <c r="C1129" i="11"/>
  <c r="A1128" i="11"/>
  <c r="B1128" i="11"/>
  <c r="C1128" i="11"/>
  <c r="A1127" i="11"/>
  <c r="B1127" i="11"/>
  <c r="C1127" i="11"/>
  <c r="A1126" i="11"/>
  <c r="B1126" i="11"/>
  <c r="C1126" i="11"/>
  <c r="A1125" i="11"/>
  <c r="B1125" i="11"/>
  <c r="C1125" i="11"/>
  <c r="A1124" i="11"/>
  <c r="B1124" i="11"/>
  <c r="C1124" i="11"/>
  <c r="A1123" i="11"/>
  <c r="B1123" i="11"/>
  <c r="C1123" i="11"/>
  <c r="A1122" i="11"/>
  <c r="B1122" i="11"/>
  <c r="C1122" i="11"/>
  <c r="A1121" i="11"/>
  <c r="B1121" i="11"/>
  <c r="C1121" i="11"/>
  <c r="A1120" i="11"/>
  <c r="B1120" i="11"/>
  <c r="C1120" i="11"/>
  <c r="A1119" i="11"/>
  <c r="B1119" i="11"/>
  <c r="C1119" i="11"/>
  <c r="A1118" i="11"/>
  <c r="B1118" i="11"/>
  <c r="C1118" i="11"/>
  <c r="A1117" i="11"/>
  <c r="B1117" i="11"/>
  <c r="C1117" i="11"/>
  <c r="A1116" i="11"/>
  <c r="B1116" i="11"/>
  <c r="C1116" i="11"/>
  <c r="A1115" i="11"/>
  <c r="B1115" i="11"/>
  <c r="C1115" i="11"/>
  <c r="A1114" i="11"/>
  <c r="B1114" i="11"/>
  <c r="C1114" i="11"/>
  <c r="A1113" i="11"/>
  <c r="B1113" i="11"/>
  <c r="C1113" i="11"/>
  <c r="A1112" i="11"/>
  <c r="B1112" i="11"/>
  <c r="C1112" i="11"/>
  <c r="A1111" i="11"/>
  <c r="B1111" i="11"/>
  <c r="C1111" i="11"/>
  <c r="A1110" i="11"/>
  <c r="B1110" i="11"/>
  <c r="C1110" i="11"/>
  <c r="A1109" i="11"/>
  <c r="B1109" i="11"/>
  <c r="C1109" i="11"/>
  <c r="A1108" i="11"/>
  <c r="B1108" i="11"/>
  <c r="C1108" i="11"/>
  <c r="A1107" i="11"/>
  <c r="B1107" i="11"/>
  <c r="C1107" i="11"/>
  <c r="A1106" i="11"/>
  <c r="B1106" i="11"/>
  <c r="C1106" i="11"/>
  <c r="A1105" i="11"/>
  <c r="B1105" i="11"/>
  <c r="C1105" i="11"/>
  <c r="A1104" i="11"/>
  <c r="B1104" i="11"/>
  <c r="C1104" i="11"/>
  <c r="A1103" i="11"/>
  <c r="B1103" i="11"/>
  <c r="C1103" i="11"/>
  <c r="A1102" i="11"/>
  <c r="B1102" i="11"/>
  <c r="C1102" i="11"/>
  <c r="A1101" i="11"/>
  <c r="B1101" i="11"/>
  <c r="C1101" i="11"/>
  <c r="A1100" i="11"/>
  <c r="B1100" i="11"/>
  <c r="C1100" i="11"/>
  <c r="A1099" i="11"/>
  <c r="B1099" i="11"/>
  <c r="C1099" i="11"/>
  <c r="A1098" i="11"/>
  <c r="B1098" i="11"/>
  <c r="C1098" i="11"/>
  <c r="A1097" i="11"/>
  <c r="B1097" i="11"/>
  <c r="C1097" i="11"/>
  <c r="A1096" i="11"/>
  <c r="B1096" i="11"/>
  <c r="C1096" i="11"/>
  <c r="A1095" i="11"/>
  <c r="B1095" i="11"/>
  <c r="C1095" i="11"/>
  <c r="A1094" i="11"/>
  <c r="B1094" i="11"/>
  <c r="C1094" i="11"/>
  <c r="A1093" i="11"/>
  <c r="B1093" i="11"/>
  <c r="C1093" i="11"/>
  <c r="A1092" i="11"/>
  <c r="B1092" i="11"/>
  <c r="C1092" i="11"/>
  <c r="A1091" i="11"/>
  <c r="B1091" i="11"/>
  <c r="C1091" i="11"/>
  <c r="A1090" i="11"/>
  <c r="B1090" i="11"/>
  <c r="C1090" i="11"/>
  <c r="A1089" i="11"/>
  <c r="B1089" i="11"/>
  <c r="C1089" i="11"/>
  <c r="A1088" i="11"/>
  <c r="B1088" i="11"/>
  <c r="C1088" i="11"/>
  <c r="A1087" i="11"/>
  <c r="B1087" i="11"/>
  <c r="C1087" i="11"/>
  <c r="A1086" i="11"/>
  <c r="B1086" i="11"/>
  <c r="C1086" i="11"/>
  <c r="A1085" i="11"/>
  <c r="B1085" i="11"/>
  <c r="C1085" i="11"/>
  <c r="A1084" i="11"/>
  <c r="B1084" i="11"/>
  <c r="C1084" i="11"/>
  <c r="A1083" i="11"/>
  <c r="B1083" i="11"/>
  <c r="C1083" i="11"/>
  <c r="A1082" i="11"/>
  <c r="B1082" i="11"/>
  <c r="C1082" i="11"/>
  <c r="A1081" i="11"/>
  <c r="B1081" i="11"/>
  <c r="C1081" i="11"/>
  <c r="A1080" i="11"/>
  <c r="B1080" i="11"/>
  <c r="C1080" i="11"/>
  <c r="A1079" i="11"/>
  <c r="B1079" i="11"/>
  <c r="C1079" i="11"/>
  <c r="A1078" i="11"/>
  <c r="B1078" i="11"/>
  <c r="C1078" i="11"/>
  <c r="A1077" i="11"/>
  <c r="B1077" i="11"/>
  <c r="C1077" i="11"/>
  <c r="A1076" i="11"/>
  <c r="B1076" i="11"/>
  <c r="C1076" i="11"/>
  <c r="A1075" i="11"/>
  <c r="B1075" i="11"/>
  <c r="C1075" i="11"/>
  <c r="A1074" i="11"/>
  <c r="B1074" i="11"/>
  <c r="C1074" i="11"/>
  <c r="A1073" i="11"/>
  <c r="B1073" i="11"/>
  <c r="C1073" i="11"/>
  <c r="A1072" i="11"/>
  <c r="B1072" i="11"/>
  <c r="C1072" i="11"/>
  <c r="A1071" i="11"/>
  <c r="B1071" i="11"/>
  <c r="C1071" i="11"/>
  <c r="A1070" i="11"/>
  <c r="B1070" i="11"/>
  <c r="C1070" i="11"/>
  <c r="A1069" i="11"/>
  <c r="B1069" i="11"/>
  <c r="C1069" i="11"/>
  <c r="A1068" i="11"/>
  <c r="B1068" i="11"/>
  <c r="C1068" i="11"/>
  <c r="A1067" i="11"/>
  <c r="B1067" i="11"/>
  <c r="C1067" i="11"/>
  <c r="A1066" i="11"/>
  <c r="B1066" i="11"/>
  <c r="C1066" i="11"/>
  <c r="A1065" i="11"/>
  <c r="B1065" i="11"/>
  <c r="C1065" i="11"/>
  <c r="A1064" i="11"/>
  <c r="B1064" i="11"/>
  <c r="C1064" i="11"/>
  <c r="A1063" i="11"/>
  <c r="B1063" i="11"/>
  <c r="C1063" i="11"/>
  <c r="A1062" i="11"/>
  <c r="B1062" i="11"/>
  <c r="C1062" i="11"/>
  <c r="A1061" i="11"/>
  <c r="B1061" i="11"/>
  <c r="C1061" i="11"/>
  <c r="A1060" i="11"/>
  <c r="B1060" i="11"/>
  <c r="C1060" i="11"/>
  <c r="A1059" i="11"/>
  <c r="B1059" i="11"/>
  <c r="C1059" i="11"/>
  <c r="A1058" i="11"/>
  <c r="B1058" i="11"/>
  <c r="C1058" i="11"/>
  <c r="A1057" i="11"/>
  <c r="B1057" i="11"/>
  <c r="C1057" i="11"/>
  <c r="A1056" i="11"/>
  <c r="B1056" i="11"/>
  <c r="C1056" i="11"/>
  <c r="A1055" i="11"/>
  <c r="B1055" i="11"/>
  <c r="C1055" i="11"/>
  <c r="A1054" i="11"/>
  <c r="B1054" i="11"/>
  <c r="C1054" i="11"/>
  <c r="A1053" i="11"/>
  <c r="B1053" i="11"/>
  <c r="C1053" i="11"/>
  <c r="A1052" i="11"/>
  <c r="B1052" i="11"/>
  <c r="C1052" i="11"/>
  <c r="A1051" i="11"/>
  <c r="B1051" i="11"/>
  <c r="C1051" i="11"/>
  <c r="A1050" i="11"/>
  <c r="B1050" i="11"/>
  <c r="C1050" i="11"/>
  <c r="A1049" i="11"/>
  <c r="B1049" i="11"/>
  <c r="C1049" i="11"/>
  <c r="A1048" i="11"/>
  <c r="B1048" i="11"/>
  <c r="C1048" i="11"/>
  <c r="A1047" i="11"/>
  <c r="B1047" i="11"/>
  <c r="C1047" i="11"/>
  <c r="A1046" i="11"/>
  <c r="B1046" i="11"/>
  <c r="C1046" i="11"/>
  <c r="A1045" i="11"/>
  <c r="B1045" i="11"/>
  <c r="C1045" i="11"/>
  <c r="A1044" i="11"/>
  <c r="B1044" i="11"/>
  <c r="C1044" i="11"/>
  <c r="A1043" i="11"/>
  <c r="B1043" i="11"/>
  <c r="C1043" i="11"/>
  <c r="A1042" i="11"/>
  <c r="B1042" i="11"/>
  <c r="C1042" i="11"/>
  <c r="A1041" i="11"/>
  <c r="B1041" i="11"/>
  <c r="C1041" i="11"/>
  <c r="A1040" i="11"/>
  <c r="B1040" i="11"/>
  <c r="C1040" i="11"/>
  <c r="A1039" i="11"/>
  <c r="B1039" i="11"/>
  <c r="C1039" i="11"/>
  <c r="A1038" i="11"/>
  <c r="B1038" i="11"/>
  <c r="C1038" i="11"/>
  <c r="A1037" i="11"/>
  <c r="B1037" i="11"/>
  <c r="C1037" i="11"/>
  <c r="A1036" i="11"/>
  <c r="B1036" i="11"/>
  <c r="C1036" i="11"/>
  <c r="A1035" i="11"/>
  <c r="B1035" i="11"/>
  <c r="C1035" i="11"/>
  <c r="A1034" i="11"/>
  <c r="B1034" i="11"/>
  <c r="C1034" i="11"/>
  <c r="A1033" i="11"/>
  <c r="B1033" i="11"/>
  <c r="C1033" i="11"/>
  <c r="A1032" i="11"/>
  <c r="B1032" i="11"/>
  <c r="C1032" i="11"/>
  <c r="A1031" i="11"/>
  <c r="B1031" i="11"/>
  <c r="C1031" i="11"/>
  <c r="A1030" i="11"/>
  <c r="B1030" i="11"/>
  <c r="C1030" i="11"/>
  <c r="A1029" i="11"/>
  <c r="B1029" i="11"/>
  <c r="C1029" i="11"/>
  <c r="A1028" i="11"/>
  <c r="B1028" i="11"/>
  <c r="C1028" i="11"/>
  <c r="A1027" i="11"/>
  <c r="B1027" i="11"/>
  <c r="C1027" i="11"/>
  <c r="A1026" i="11"/>
  <c r="B1026" i="11"/>
  <c r="C1026" i="11"/>
  <c r="A1025" i="11"/>
  <c r="B1025" i="11"/>
  <c r="C1025" i="11"/>
  <c r="A1024" i="11"/>
  <c r="B1024" i="11"/>
  <c r="C1024" i="11"/>
  <c r="A1023" i="11"/>
  <c r="B1023" i="11"/>
  <c r="C1023" i="11"/>
  <c r="A1022" i="11"/>
  <c r="B1022" i="11"/>
  <c r="C1022" i="11"/>
  <c r="A1021" i="11"/>
  <c r="B1021" i="11"/>
  <c r="C1021" i="11"/>
  <c r="A1020" i="11"/>
  <c r="B1020" i="11"/>
  <c r="C1020" i="11"/>
  <c r="A1019" i="11"/>
  <c r="B1019" i="11"/>
  <c r="C1019" i="11"/>
  <c r="A1018" i="11"/>
  <c r="B1018" i="11"/>
  <c r="C1018" i="11"/>
  <c r="A1017" i="11"/>
  <c r="B1017" i="11"/>
  <c r="C1017" i="11"/>
  <c r="A1016" i="11"/>
  <c r="B1016" i="11"/>
  <c r="C1016" i="11"/>
  <c r="A1015" i="11"/>
  <c r="B1015" i="11"/>
  <c r="C1015" i="11"/>
  <c r="A1014" i="11"/>
  <c r="B1014" i="11"/>
  <c r="C1014" i="11"/>
  <c r="A1013" i="11"/>
  <c r="B1013" i="11"/>
  <c r="C1013" i="11"/>
  <c r="A1012" i="11"/>
  <c r="B1012" i="11"/>
  <c r="C1012" i="11"/>
  <c r="A1011" i="11"/>
  <c r="B1011" i="11"/>
  <c r="C1011" i="11"/>
  <c r="A1010" i="11"/>
  <c r="B1010" i="11"/>
  <c r="C1010" i="11"/>
  <c r="A1009" i="11"/>
  <c r="B1009" i="11"/>
  <c r="C1009" i="11"/>
  <c r="A1008" i="11"/>
  <c r="B1008" i="11"/>
  <c r="C1008" i="11"/>
  <c r="A1007" i="11"/>
  <c r="B1007" i="11"/>
  <c r="C1007" i="11"/>
  <c r="A1006" i="11"/>
  <c r="B1006" i="11"/>
  <c r="C1006" i="11"/>
  <c r="A1005" i="11"/>
  <c r="B1005" i="11"/>
  <c r="C1005" i="11"/>
  <c r="A1004" i="11"/>
  <c r="B1004" i="11"/>
  <c r="C1004" i="11"/>
  <c r="A1003" i="11"/>
  <c r="B1003" i="11"/>
  <c r="C1003" i="11"/>
  <c r="A1002" i="11"/>
  <c r="B1002" i="11"/>
  <c r="C1002" i="11"/>
  <c r="A1001" i="11"/>
  <c r="B1001" i="11"/>
  <c r="C1001" i="11"/>
  <c r="A1000" i="11"/>
  <c r="B1000" i="11"/>
  <c r="C1000" i="11"/>
  <c r="A999" i="11"/>
  <c r="B999" i="11"/>
  <c r="C999" i="11"/>
  <c r="A998" i="11"/>
  <c r="B998" i="11"/>
  <c r="C998" i="11"/>
  <c r="A997" i="11"/>
  <c r="B997" i="11"/>
  <c r="C997" i="11"/>
  <c r="A996" i="11"/>
  <c r="B996" i="11"/>
  <c r="C996" i="11"/>
  <c r="A995" i="11"/>
  <c r="B995" i="11"/>
  <c r="C995" i="11"/>
  <c r="A994" i="11"/>
  <c r="B994" i="11"/>
  <c r="C994" i="11"/>
  <c r="A993" i="11"/>
  <c r="B993" i="11"/>
  <c r="C993" i="11"/>
  <c r="A992" i="11"/>
  <c r="B992" i="11"/>
  <c r="C992" i="11"/>
  <c r="A991" i="11"/>
  <c r="B991" i="11"/>
  <c r="C991" i="11"/>
  <c r="A990" i="11"/>
  <c r="B990" i="11"/>
  <c r="C990" i="11"/>
  <c r="A989" i="11"/>
  <c r="B989" i="11"/>
  <c r="C989" i="11"/>
  <c r="A988" i="11"/>
  <c r="B988" i="11"/>
  <c r="C988" i="11"/>
  <c r="A987" i="11"/>
  <c r="B987" i="11"/>
  <c r="C987" i="11"/>
  <c r="A986" i="11"/>
  <c r="B986" i="11"/>
  <c r="C986" i="11"/>
  <c r="A985" i="11"/>
  <c r="B985" i="11"/>
  <c r="C985" i="11"/>
  <c r="A984" i="11"/>
  <c r="B984" i="11"/>
  <c r="C984" i="11"/>
  <c r="A983" i="11"/>
  <c r="B983" i="11"/>
  <c r="C983" i="11"/>
  <c r="A982" i="11"/>
  <c r="B982" i="11"/>
  <c r="C982" i="11"/>
  <c r="A981" i="11"/>
  <c r="B981" i="11"/>
  <c r="C981" i="11"/>
  <c r="A980" i="11"/>
  <c r="B980" i="11"/>
  <c r="C980" i="11"/>
  <c r="A979" i="11"/>
  <c r="B979" i="11"/>
  <c r="C979" i="11"/>
  <c r="A978" i="11"/>
  <c r="B978" i="11"/>
  <c r="C978" i="11"/>
  <c r="A977" i="11"/>
  <c r="B977" i="11"/>
  <c r="C977" i="11"/>
  <c r="A976" i="11"/>
  <c r="B976" i="11"/>
  <c r="C976" i="11"/>
  <c r="A975" i="11"/>
  <c r="B975" i="11"/>
  <c r="C975" i="11"/>
  <c r="A974" i="11"/>
  <c r="B974" i="11"/>
  <c r="C974" i="11"/>
  <c r="A973" i="11"/>
  <c r="B973" i="11"/>
  <c r="C973" i="11"/>
  <c r="A972" i="11"/>
  <c r="B972" i="11"/>
  <c r="C972" i="11"/>
  <c r="A971" i="11"/>
  <c r="B971" i="11"/>
  <c r="C971" i="11"/>
  <c r="A970" i="11"/>
  <c r="B970" i="11"/>
  <c r="C970" i="11"/>
  <c r="A969" i="11"/>
  <c r="B969" i="11"/>
  <c r="C969" i="11"/>
  <c r="A968" i="11"/>
  <c r="B968" i="11"/>
  <c r="C968" i="11"/>
  <c r="A967" i="11"/>
  <c r="B967" i="11"/>
  <c r="C967" i="11"/>
  <c r="A966" i="11"/>
  <c r="B966" i="11"/>
  <c r="C966" i="11"/>
  <c r="A965" i="11"/>
  <c r="B965" i="11"/>
  <c r="C965" i="11"/>
  <c r="A964" i="11"/>
  <c r="B964" i="11"/>
  <c r="C964" i="11"/>
  <c r="A963" i="11"/>
  <c r="B963" i="11"/>
  <c r="C963" i="11"/>
  <c r="A962" i="11"/>
  <c r="B962" i="11"/>
  <c r="C962" i="11"/>
  <c r="A961" i="11"/>
  <c r="B961" i="11"/>
  <c r="C961" i="11"/>
  <c r="A960" i="11"/>
  <c r="B960" i="11"/>
  <c r="C960" i="11"/>
  <c r="A959" i="11"/>
  <c r="B959" i="11"/>
  <c r="C959" i="11"/>
  <c r="A958" i="11"/>
  <c r="B958" i="11"/>
  <c r="C958" i="11"/>
  <c r="A957" i="11"/>
  <c r="B957" i="11"/>
  <c r="C957" i="11"/>
  <c r="A956" i="11"/>
  <c r="B956" i="11"/>
  <c r="C956" i="11"/>
  <c r="A955" i="11"/>
  <c r="B955" i="11"/>
  <c r="C955" i="11"/>
  <c r="A954" i="11"/>
  <c r="B954" i="11"/>
  <c r="C954" i="11"/>
  <c r="A953" i="11"/>
  <c r="B953" i="11"/>
  <c r="C953" i="11"/>
  <c r="A952" i="11"/>
  <c r="B952" i="11"/>
  <c r="C952" i="11"/>
  <c r="A951" i="11"/>
  <c r="B951" i="11"/>
  <c r="C951" i="11"/>
  <c r="A950" i="11"/>
  <c r="B950" i="11"/>
  <c r="C950" i="11"/>
  <c r="A949" i="11"/>
  <c r="B949" i="11"/>
  <c r="C949" i="11"/>
  <c r="A948" i="11"/>
  <c r="B948" i="11"/>
  <c r="C948" i="11"/>
  <c r="A947" i="11"/>
  <c r="B947" i="11"/>
  <c r="C947" i="11"/>
  <c r="A946" i="11"/>
  <c r="B946" i="11"/>
  <c r="C946" i="11"/>
  <c r="A945" i="11"/>
  <c r="B945" i="11"/>
  <c r="C945" i="11"/>
  <c r="A944" i="11"/>
  <c r="B944" i="11"/>
  <c r="C944" i="11"/>
  <c r="A943" i="11"/>
  <c r="B943" i="11"/>
  <c r="C943" i="11"/>
  <c r="A942" i="11"/>
  <c r="B942" i="11"/>
  <c r="C942" i="11"/>
  <c r="A941" i="11"/>
  <c r="B941" i="11"/>
  <c r="C941" i="11"/>
  <c r="A940" i="11"/>
  <c r="B940" i="11"/>
  <c r="C940" i="11"/>
  <c r="A939" i="11"/>
  <c r="B939" i="11"/>
  <c r="C939" i="11"/>
  <c r="A938" i="11"/>
  <c r="B938" i="11"/>
  <c r="C938" i="11"/>
  <c r="A937" i="11"/>
  <c r="B937" i="11"/>
  <c r="C937" i="11"/>
  <c r="A936" i="11"/>
  <c r="B936" i="11"/>
  <c r="C936" i="11"/>
  <c r="A935" i="11"/>
  <c r="B935" i="11"/>
  <c r="C935" i="11"/>
  <c r="A934" i="11"/>
  <c r="B934" i="11"/>
  <c r="C934" i="11"/>
  <c r="A933" i="11"/>
  <c r="B933" i="11"/>
  <c r="C933" i="11"/>
  <c r="A932" i="11"/>
  <c r="B932" i="11"/>
  <c r="C932" i="11"/>
  <c r="A931" i="11"/>
  <c r="B931" i="11"/>
  <c r="C931" i="11"/>
  <c r="A930" i="11"/>
  <c r="B930" i="11"/>
  <c r="C930" i="11"/>
  <c r="A929" i="11"/>
  <c r="B929" i="11"/>
  <c r="C929" i="11"/>
  <c r="A928" i="11"/>
  <c r="B928" i="11"/>
  <c r="C928" i="11"/>
  <c r="A927" i="11"/>
  <c r="B927" i="11"/>
  <c r="C927" i="11"/>
  <c r="A926" i="11"/>
  <c r="B926" i="11"/>
  <c r="C926" i="11"/>
  <c r="A925" i="11"/>
  <c r="B925" i="11"/>
  <c r="C925" i="11"/>
  <c r="A924" i="11"/>
  <c r="B924" i="11"/>
  <c r="C924" i="11"/>
  <c r="A923" i="11"/>
  <c r="B923" i="11"/>
  <c r="C923" i="11"/>
  <c r="A922" i="11"/>
  <c r="B922" i="11"/>
  <c r="C922" i="11"/>
  <c r="A921" i="11"/>
  <c r="B921" i="11"/>
  <c r="C921" i="11"/>
  <c r="A920" i="11"/>
  <c r="B920" i="11"/>
  <c r="C920" i="11"/>
  <c r="A919" i="11"/>
  <c r="B919" i="11"/>
  <c r="C919" i="11"/>
  <c r="A918" i="11"/>
  <c r="B918" i="11"/>
  <c r="C918" i="11"/>
  <c r="A917" i="11"/>
  <c r="B917" i="11"/>
  <c r="C917" i="11"/>
  <c r="A916" i="11"/>
  <c r="B916" i="11"/>
  <c r="C916" i="11"/>
  <c r="A915" i="11"/>
  <c r="B915" i="11"/>
  <c r="C915" i="11"/>
  <c r="A914" i="11"/>
  <c r="B914" i="11"/>
  <c r="C914" i="11"/>
  <c r="A913" i="11"/>
  <c r="B913" i="11"/>
  <c r="C913" i="11"/>
  <c r="A912" i="11"/>
  <c r="B912" i="11"/>
  <c r="C912" i="11"/>
  <c r="A911" i="11"/>
  <c r="B911" i="11"/>
  <c r="C911" i="11"/>
  <c r="A910" i="11"/>
  <c r="B910" i="11"/>
  <c r="C910" i="11"/>
  <c r="A909" i="11"/>
  <c r="B909" i="11"/>
  <c r="C909" i="11"/>
  <c r="A908" i="11"/>
  <c r="B908" i="11"/>
  <c r="C908" i="11"/>
  <c r="A907" i="11"/>
  <c r="B907" i="11"/>
  <c r="C907" i="11"/>
  <c r="A906" i="11"/>
  <c r="B906" i="11"/>
  <c r="C906" i="11"/>
  <c r="A905" i="11"/>
  <c r="B905" i="11"/>
  <c r="C905" i="11"/>
  <c r="A904" i="11"/>
  <c r="B904" i="11"/>
  <c r="C904" i="11"/>
  <c r="A903" i="11"/>
  <c r="B903" i="11"/>
  <c r="C903" i="11"/>
  <c r="A902" i="11"/>
  <c r="B902" i="11"/>
  <c r="C902" i="11"/>
  <c r="A901" i="11"/>
  <c r="B901" i="11"/>
  <c r="C901" i="11"/>
  <c r="A900" i="11"/>
  <c r="B900" i="11"/>
  <c r="C900" i="11"/>
  <c r="A899" i="11"/>
  <c r="B899" i="11"/>
  <c r="C899" i="11"/>
  <c r="A898" i="11"/>
  <c r="B898" i="11"/>
  <c r="C898" i="11"/>
  <c r="A897" i="11"/>
  <c r="B897" i="11"/>
  <c r="C897" i="11"/>
  <c r="A896" i="11"/>
  <c r="B896" i="11"/>
  <c r="C896" i="11"/>
  <c r="A895" i="11"/>
  <c r="B895" i="11"/>
  <c r="C895" i="11"/>
  <c r="A894" i="11"/>
  <c r="B894" i="11"/>
  <c r="C894" i="11"/>
  <c r="A893" i="11"/>
  <c r="B893" i="11"/>
  <c r="C893" i="11"/>
  <c r="A892" i="11"/>
  <c r="B892" i="11"/>
  <c r="C892" i="11"/>
  <c r="A891" i="11"/>
  <c r="B891" i="11"/>
  <c r="C891" i="11"/>
  <c r="A890" i="11"/>
  <c r="B890" i="11"/>
  <c r="C890" i="11"/>
  <c r="A889" i="11"/>
  <c r="B889" i="11"/>
  <c r="C889" i="11"/>
  <c r="A888" i="11"/>
  <c r="B888" i="11"/>
  <c r="C888" i="11"/>
  <c r="A887" i="11"/>
  <c r="B887" i="11"/>
  <c r="C887" i="11"/>
  <c r="A886" i="11"/>
  <c r="B886" i="11"/>
  <c r="C886" i="11"/>
  <c r="A885" i="11"/>
  <c r="B885" i="11"/>
  <c r="C885" i="11"/>
  <c r="A884" i="11"/>
  <c r="B884" i="11"/>
  <c r="C884" i="11"/>
  <c r="A883" i="11"/>
  <c r="B883" i="11"/>
  <c r="C883" i="11"/>
  <c r="A882" i="11"/>
  <c r="B882" i="11"/>
  <c r="C882" i="11"/>
  <c r="A881" i="11"/>
  <c r="B881" i="11"/>
  <c r="C881" i="11"/>
  <c r="A880" i="11"/>
  <c r="B880" i="11"/>
  <c r="C880" i="11"/>
  <c r="A879" i="11"/>
  <c r="B879" i="11"/>
  <c r="C879" i="11"/>
  <c r="A878" i="11"/>
  <c r="B878" i="11"/>
  <c r="C878" i="11"/>
  <c r="A877" i="11"/>
  <c r="B877" i="11"/>
  <c r="C877" i="11"/>
  <c r="A876" i="11"/>
  <c r="B876" i="11"/>
  <c r="C876" i="11"/>
  <c r="A875" i="11"/>
  <c r="B875" i="11"/>
  <c r="C875" i="11"/>
  <c r="A874" i="11"/>
  <c r="B874" i="11"/>
  <c r="C874" i="11"/>
  <c r="A873" i="11"/>
  <c r="B873" i="11"/>
  <c r="C873" i="11"/>
  <c r="A872" i="11"/>
  <c r="B872" i="11"/>
  <c r="C872" i="11"/>
  <c r="A871" i="11"/>
  <c r="B871" i="11"/>
  <c r="C871" i="11"/>
  <c r="A870" i="11"/>
  <c r="B870" i="11"/>
  <c r="C870" i="11"/>
  <c r="A869" i="11"/>
  <c r="B869" i="11"/>
  <c r="C869" i="11"/>
  <c r="A868" i="11"/>
  <c r="B868" i="11"/>
  <c r="C868" i="11"/>
  <c r="A867" i="11"/>
  <c r="B867" i="11"/>
  <c r="C867" i="11"/>
  <c r="A866" i="11"/>
  <c r="B866" i="11"/>
  <c r="C866" i="11"/>
  <c r="A865" i="11"/>
  <c r="B865" i="11"/>
  <c r="C865" i="11"/>
  <c r="A864" i="11"/>
  <c r="B864" i="11"/>
  <c r="C864" i="11"/>
  <c r="A863" i="11"/>
  <c r="B863" i="11"/>
  <c r="C863" i="11"/>
  <c r="A862" i="11"/>
  <c r="B862" i="11"/>
  <c r="C862" i="11"/>
  <c r="A861" i="11"/>
  <c r="B861" i="11"/>
  <c r="C861" i="11"/>
  <c r="A860" i="11"/>
  <c r="B860" i="11"/>
  <c r="C860" i="11"/>
  <c r="A859" i="11"/>
  <c r="B859" i="11"/>
  <c r="C859" i="11"/>
  <c r="A858" i="11"/>
  <c r="B858" i="11"/>
  <c r="C858" i="11"/>
  <c r="A857" i="11"/>
  <c r="B857" i="11"/>
  <c r="C857" i="11"/>
  <c r="A856" i="11"/>
  <c r="B856" i="11"/>
  <c r="C856" i="11"/>
  <c r="A855" i="11"/>
  <c r="B855" i="11"/>
  <c r="C855" i="11"/>
  <c r="A854" i="11"/>
  <c r="B854" i="11"/>
  <c r="C854" i="11"/>
  <c r="A853" i="11"/>
  <c r="B853" i="11"/>
  <c r="C853" i="11"/>
  <c r="A852" i="11"/>
  <c r="B852" i="11"/>
  <c r="C852" i="11"/>
  <c r="A851" i="11"/>
  <c r="B851" i="11"/>
  <c r="C851" i="11"/>
  <c r="A850" i="11"/>
  <c r="B850" i="11"/>
  <c r="C850" i="11"/>
  <c r="A849" i="11"/>
  <c r="B849" i="11"/>
  <c r="C849" i="11"/>
  <c r="A848" i="11"/>
  <c r="B848" i="11"/>
  <c r="C848" i="11"/>
  <c r="A847" i="11"/>
  <c r="B847" i="11"/>
  <c r="C847" i="11"/>
  <c r="A846" i="11"/>
  <c r="B846" i="11"/>
  <c r="C846" i="11"/>
  <c r="A845" i="11"/>
  <c r="B845" i="11"/>
  <c r="C845" i="11"/>
  <c r="A844" i="11"/>
  <c r="B844" i="11"/>
  <c r="C844" i="11"/>
  <c r="A843" i="11"/>
  <c r="B843" i="11"/>
  <c r="C843" i="11"/>
  <c r="A842" i="11"/>
  <c r="B842" i="11"/>
  <c r="C842" i="11"/>
  <c r="A841" i="11"/>
  <c r="B841" i="11"/>
  <c r="C841" i="11"/>
  <c r="A840" i="11"/>
  <c r="B840" i="11"/>
  <c r="C840" i="11"/>
  <c r="A839" i="11"/>
  <c r="B839" i="11"/>
  <c r="C839" i="11"/>
  <c r="A838" i="11"/>
  <c r="B838" i="11"/>
  <c r="C838" i="11"/>
  <c r="A837" i="11"/>
  <c r="B837" i="11"/>
  <c r="C837" i="11"/>
  <c r="A836" i="11"/>
  <c r="B836" i="11"/>
  <c r="C836" i="11"/>
  <c r="A835" i="11"/>
  <c r="B835" i="11"/>
  <c r="C835" i="11"/>
  <c r="A834" i="11"/>
  <c r="B834" i="11"/>
  <c r="C834" i="11"/>
  <c r="A833" i="11"/>
  <c r="B833" i="11"/>
  <c r="C833" i="11"/>
  <c r="A832" i="11"/>
  <c r="B832" i="11"/>
  <c r="C832" i="11"/>
  <c r="A831" i="11"/>
  <c r="B831" i="11"/>
  <c r="C831" i="11"/>
  <c r="A830" i="11"/>
  <c r="B830" i="11"/>
  <c r="C830" i="11"/>
  <c r="A829" i="11"/>
  <c r="B829" i="11"/>
  <c r="C829" i="11"/>
  <c r="A828" i="11"/>
  <c r="B828" i="11"/>
  <c r="C828" i="11"/>
  <c r="A827" i="11"/>
  <c r="B827" i="11"/>
  <c r="C827" i="11"/>
  <c r="A826" i="11"/>
  <c r="B826" i="11"/>
  <c r="C826" i="11"/>
  <c r="A825" i="11"/>
  <c r="B825" i="11"/>
  <c r="C825" i="11"/>
  <c r="A824" i="11"/>
  <c r="B824" i="11"/>
  <c r="C824" i="11"/>
  <c r="A823" i="11"/>
  <c r="B823" i="11"/>
  <c r="C823" i="11"/>
  <c r="A822" i="11"/>
  <c r="B822" i="11"/>
  <c r="C822" i="11"/>
  <c r="A821" i="11"/>
  <c r="B821" i="11"/>
  <c r="C821" i="11"/>
  <c r="A820" i="11"/>
  <c r="B820" i="11"/>
  <c r="C820" i="11"/>
  <c r="A819" i="11"/>
  <c r="B819" i="11"/>
  <c r="C819" i="11"/>
  <c r="A818" i="11"/>
  <c r="B818" i="11"/>
  <c r="C818" i="11"/>
  <c r="A817" i="11"/>
  <c r="B817" i="11"/>
  <c r="C817" i="11"/>
  <c r="A816" i="11"/>
  <c r="B816" i="11"/>
  <c r="C816" i="11"/>
  <c r="A815" i="11"/>
  <c r="B815" i="11"/>
  <c r="C815" i="11"/>
  <c r="A814" i="11"/>
  <c r="B814" i="11"/>
  <c r="C814" i="11"/>
  <c r="A813" i="11"/>
  <c r="B813" i="11"/>
  <c r="C813" i="11"/>
  <c r="A812" i="11"/>
  <c r="B812" i="11"/>
  <c r="C812" i="11"/>
  <c r="A811" i="11"/>
  <c r="B811" i="11"/>
  <c r="C811" i="11"/>
  <c r="A810" i="11"/>
  <c r="B810" i="11"/>
  <c r="C810" i="11"/>
  <c r="A809" i="11"/>
  <c r="B809" i="11"/>
  <c r="C809" i="11"/>
  <c r="A808" i="11"/>
  <c r="B808" i="11"/>
  <c r="C808" i="11"/>
  <c r="A807" i="11"/>
  <c r="B807" i="11"/>
  <c r="C807" i="11"/>
  <c r="A806" i="11"/>
  <c r="B806" i="11"/>
  <c r="C806" i="11"/>
  <c r="A805" i="11"/>
  <c r="B805" i="11"/>
  <c r="C805" i="11"/>
  <c r="A804" i="11"/>
  <c r="B804" i="11"/>
  <c r="C804" i="11"/>
  <c r="A803" i="11"/>
  <c r="B803" i="11"/>
  <c r="C803" i="11"/>
  <c r="A802" i="11"/>
  <c r="B802" i="11"/>
  <c r="C802" i="11"/>
  <c r="A801" i="11"/>
  <c r="B801" i="11"/>
  <c r="C801" i="11"/>
  <c r="A800" i="11"/>
  <c r="B800" i="11"/>
  <c r="C800" i="11"/>
  <c r="A799" i="11"/>
  <c r="B799" i="11"/>
  <c r="C799" i="11"/>
  <c r="A798" i="11"/>
  <c r="B798" i="11"/>
  <c r="C798" i="11"/>
  <c r="A797" i="11"/>
  <c r="B797" i="11"/>
  <c r="C797" i="11"/>
  <c r="A796" i="11"/>
  <c r="B796" i="11"/>
  <c r="C796" i="11"/>
  <c r="A795" i="11"/>
  <c r="B795" i="11"/>
  <c r="C795" i="11"/>
  <c r="A794" i="11"/>
  <c r="B794" i="11"/>
  <c r="C794" i="11"/>
  <c r="A793" i="11"/>
  <c r="B793" i="11"/>
  <c r="C793" i="11"/>
  <c r="A792" i="11"/>
  <c r="B792" i="11"/>
  <c r="C792" i="11"/>
  <c r="A791" i="11"/>
  <c r="B791" i="11"/>
  <c r="C791" i="11"/>
  <c r="A790" i="11"/>
  <c r="B790" i="11"/>
  <c r="C790" i="11"/>
  <c r="A789" i="11"/>
  <c r="B789" i="11"/>
  <c r="C789" i="11"/>
  <c r="A788" i="11"/>
  <c r="B788" i="11"/>
  <c r="C788" i="11"/>
  <c r="A787" i="11"/>
  <c r="B787" i="11"/>
  <c r="C787" i="11"/>
  <c r="A786" i="11"/>
  <c r="B786" i="11"/>
  <c r="C786" i="11"/>
  <c r="A785" i="11"/>
  <c r="B785" i="11"/>
  <c r="C785" i="11"/>
  <c r="A784" i="11"/>
  <c r="B784" i="11"/>
  <c r="C784" i="11"/>
  <c r="A783" i="11"/>
  <c r="B783" i="11"/>
  <c r="C783" i="11"/>
  <c r="A782" i="11"/>
  <c r="B782" i="11"/>
  <c r="C782" i="11"/>
  <c r="A781" i="11"/>
  <c r="B781" i="11"/>
  <c r="C781" i="11"/>
  <c r="A780" i="11"/>
  <c r="B780" i="11"/>
  <c r="C780" i="11"/>
  <c r="A779" i="11"/>
  <c r="B779" i="11"/>
  <c r="C779" i="11"/>
  <c r="A778" i="11"/>
  <c r="B778" i="11"/>
  <c r="C778" i="11"/>
  <c r="A777" i="11"/>
  <c r="B777" i="11"/>
  <c r="C777" i="11"/>
  <c r="A776" i="11"/>
  <c r="B776" i="11"/>
  <c r="C776" i="11"/>
  <c r="A775" i="11"/>
  <c r="B775" i="11"/>
  <c r="C775" i="11"/>
  <c r="A774" i="11"/>
  <c r="B774" i="11"/>
  <c r="C774" i="11"/>
  <c r="A773" i="11"/>
  <c r="B773" i="11"/>
  <c r="C773" i="11"/>
  <c r="A772" i="11"/>
  <c r="B772" i="11"/>
  <c r="C772" i="11"/>
  <c r="A771" i="11"/>
  <c r="B771" i="11"/>
  <c r="C771" i="11"/>
  <c r="A770" i="11"/>
  <c r="B770" i="11"/>
  <c r="C770" i="11"/>
  <c r="A769" i="11"/>
  <c r="B769" i="11"/>
  <c r="C769" i="11"/>
  <c r="A768" i="11"/>
  <c r="B768" i="11"/>
  <c r="C768" i="11"/>
  <c r="A767" i="11"/>
  <c r="B767" i="11"/>
  <c r="C767" i="11"/>
  <c r="A766" i="11"/>
  <c r="B766" i="11"/>
  <c r="C766" i="11"/>
  <c r="A765" i="11"/>
  <c r="B765" i="11"/>
  <c r="C765" i="11"/>
  <c r="A764" i="11"/>
  <c r="B764" i="11"/>
  <c r="C764" i="11"/>
  <c r="A763" i="11"/>
  <c r="B763" i="11"/>
  <c r="C763" i="11"/>
  <c r="A762" i="11"/>
  <c r="B762" i="11"/>
  <c r="C762" i="11"/>
  <c r="A761" i="11"/>
  <c r="B761" i="11"/>
  <c r="C761" i="11"/>
  <c r="A760" i="11"/>
  <c r="B760" i="11"/>
  <c r="C760" i="11"/>
  <c r="A759" i="11"/>
  <c r="B759" i="11"/>
  <c r="C759" i="11"/>
  <c r="A758" i="11"/>
  <c r="B758" i="11"/>
  <c r="C758" i="11"/>
  <c r="A757" i="11"/>
  <c r="B757" i="11"/>
  <c r="C757" i="11"/>
  <c r="A756" i="11"/>
  <c r="B756" i="11"/>
  <c r="C756" i="11"/>
  <c r="A755" i="11"/>
  <c r="B755" i="11"/>
  <c r="C755" i="11"/>
  <c r="A754" i="11"/>
  <c r="B754" i="11"/>
  <c r="C754" i="11"/>
  <c r="A753" i="11"/>
  <c r="B753" i="11"/>
  <c r="C753" i="11"/>
  <c r="A752" i="11"/>
  <c r="B752" i="11"/>
  <c r="C752" i="11"/>
  <c r="A751" i="11"/>
  <c r="B751" i="11"/>
  <c r="C751" i="11"/>
  <c r="A750" i="11"/>
  <c r="B750" i="11"/>
  <c r="C750" i="11"/>
  <c r="A749" i="11"/>
  <c r="B749" i="11"/>
  <c r="C749" i="11"/>
  <c r="A748" i="11"/>
  <c r="B748" i="11"/>
  <c r="C748" i="11"/>
  <c r="A747" i="11"/>
  <c r="B747" i="11"/>
  <c r="C747" i="11"/>
  <c r="A746" i="11"/>
  <c r="B746" i="11"/>
  <c r="C746" i="11"/>
  <c r="A745" i="11"/>
  <c r="B745" i="11"/>
  <c r="C745" i="11"/>
  <c r="A744" i="11"/>
  <c r="B744" i="11"/>
  <c r="C744" i="11"/>
  <c r="A743" i="11"/>
  <c r="B743" i="11"/>
  <c r="C743" i="11"/>
  <c r="A742" i="11"/>
  <c r="B742" i="11"/>
  <c r="C742" i="11"/>
  <c r="A741" i="11"/>
  <c r="B741" i="11"/>
  <c r="C741" i="11"/>
  <c r="A740" i="11"/>
  <c r="B740" i="11"/>
  <c r="C740" i="11"/>
  <c r="A739" i="11"/>
  <c r="B739" i="11"/>
  <c r="C739" i="11"/>
  <c r="A738" i="11"/>
  <c r="B738" i="11"/>
  <c r="C738" i="11"/>
  <c r="A737" i="11"/>
  <c r="B737" i="11"/>
  <c r="C737" i="11"/>
  <c r="A736" i="11"/>
  <c r="B736" i="11"/>
  <c r="C736" i="11"/>
  <c r="A735" i="11"/>
  <c r="B735" i="11"/>
  <c r="C735" i="11"/>
  <c r="A734" i="11"/>
  <c r="B734" i="11"/>
  <c r="C734" i="11"/>
  <c r="A733" i="11"/>
  <c r="B733" i="11"/>
  <c r="C733" i="11"/>
  <c r="A732" i="11"/>
  <c r="B732" i="11"/>
  <c r="C732" i="11"/>
  <c r="A731" i="11"/>
  <c r="B731" i="11"/>
  <c r="C731" i="11"/>
  <c r="A730" i="11"/>
  <c r="B730" i="11"/>
  <c r="C730" i="11"/>
  <c r="A729" i="11"/>
  <c r="B729" i="11"/>
  <c r="C729" i="11"/>
  <c r="A728" i="11"/>
  <c r="B728" i="11"/>
  <c r="C728" i="11"/>
  <c r="A727" i="11"/>
  <c r="B727" i="11"/>
  <c r="C727" i="11"/>
  <c r="A726" i="11"/>
  <c r="B726" i="11"/>
  <c r="C726" i="11"/>
  <c r="A725" i="11"/>
  <c r="B725" i="11"/>
  <c r="C725" i="11"/>
  <c r="A724" i="11"/>
  <c r="B724" i="11"/>
  <c r="C724" i="11"/>
  <c r="A723" i="11"/>
  <c r="B723" i="11"/>
  <c r="C723" i="11"/>
  <c r="A722" i="11"/>
  <c r="B722" i="11"/>
  <c r="C722" i="11"/>
  <c r="A721" i="11"/>
  <c r="B721" i="11"/>
  <c r="C721" i="11"/>
  <c r="A720" i="11"/>
  <c r="B720" i="11"/>
  <c r="C720" i="11"/>
  <c r="A719" i="11"/>
  <c r="B719" i="11"/>
  <c r="C719" i="11"/>
  <c r="A718" i="11"/>
  <c r="B718" i="11"/>
  <c r="C718" i="11"/>
  <c r="A717" i="11"/>
  <c r="B717" i="11"/>
  <c r="C717" i="11"/>
  <c r="A716" i="11"/>
  <c r="B716" i="11"/>
  <c r="C716" i="11"/>
  <c r="A715" i="11"/>
  <c r="B715" i="11"/>
  <c r="C715" i="11"/>
  <c r="A714" i="11"/>
  <c r="B714" i="11"/>
  <c r="C714" i="11"/>
  <c r="A713" i="11"/>
  <c r="B713" i="11"/>
  <c r="C713" i="11"/>
  <c r="A712" i="11"/>
  <c r="B712" i="11"/>
  <c r="C712" i="11"/>
  <c r="A711" i="11"/>
  <c r="B711" i="11"/>
  <c r="C711" i="11"/>
  <c r="A710" i="11"/>
  <c r="B710" i="11"/>
  <c r="C710" i="11"/>
  <c r="A709" i="11"/>
  <c r="B709" i="11"/>
  <c r="C709" i="11"/>
  <c r="A708" i="11"/>
  <c r="B708" i="11"/>
  <c r="C708" i="11"/>
  <c r="A707" i="11"/>
  <c r="B707" i="11"/>
  <c r="C707" i="11"/>
  <c r="A706" i="11"/>
  <c r="B706" i="11"/>
  <c r="C706" i="11"/>
  <c r="A705" i="11"/>
  <c r="B705" i="11"/>
  <c r="C705" i="11"/>
  <c r="A704" i="11"/>
  <c r="B704" i="11"/>
  <c r="C704" i="11"/>
  <c r="A703" i="11"/>
  <c r="B703" i="11"/>
  <c r="C703" i="11"/>
  <c r="A702" i="11"/>
  <c r="B702" i="11"/>
  <c r="C702" i="11"/>
  <c r="A701" i="11"/>
  <c r="B701" i="11"/>
  <c r="C701" i="11"/>
  <c r="A700" i="11"/>
  <c r="B700" i="11"/>
  <c r="C700" i="11"/>
  <c r="A699" i="11"/>
  <c r="B699" i="11"/>
  <c r="C699" i="11"/>
  <c r="A698" i="11"/>
  <c r="B698" i="11"/>
  <c r="C698" i="11"/>
  <c r="A697" i="11"/>
  <c r="B697" i="11"/>
  <c r="C697" i="11"/>
  <c r="A696" i="11"/>
  <c r="B696" i="11"/>
  <c r="C696" i="11"/>
  <c r="A695" i="11"/>
  <c r="B695" i="11"/>
  <c r="C695" i="11"/>
  <c r="A694" i="11"/>
  <c r="B694" i="11"/>
  <c r="C694" i="11"/>
  <c r="A693" i="11"/>
  <c r="B693" i="11"/>
  <c r="C693" i="11"/>
  <c r="A692" i="11"/>
  <c r="B692" i="11"/>
  <c r="C692" i="11"/>
  <c r="A691" i="11"/>
  <c r="B691" i="11"/>
  <c r="C691" i="11"/>
  <c r="A690" i="11"/>
  <c r="B690" i="11"/>
  <c r="C690" i="11"/>
  <c r="A689" i="11"/>
  <c r="B689" i="11"/>
  <c r="C689" i="11"/>
  <c r="A688" i="11"/>
  <c r="B688" i="11"/>
  <c r="C688" i="11"/>
  <c r="A687" i="11"/>
  <c r="B687" i="11"/>
  <c r="C687" i="11"/>
  <c r="A686" i="11"/>
  <c r="B686" i="11"/>
  <c r="C686" i="11"/>
  <c r="A685" i="11"/>
  <c r="B685" i="11"/>
  <c r="C685" i="11"/>
  <c r="A684" i="11"/>
  <c r="B684" i="11"/>
  <c r="C684" i="11"/>
  <c r="A683" i="11"/>
  <c r="B683" i="11"/>
  <c r="C683" i="11"/>
  <c r="A682" i="11"/>
  <c r="B682" i="11"/>
  <c r="C682" i="11"/>
  <c r="A681" i="11"/>
  <c r="B681" i="11"/>
  <c r="C681" i="11"/>
  <c r="A680" i="11"/>
  <c r="B680" i="11"/>
  <c r="C680" i="11"/>
  <c r="A679" i="11"/>
  <c r="B679" i="11"/>
  <c r="C679" i="11"/>
  <c r="A678" i="11"/>
  <c r="B678" i="11"/>
  <c r="C678" i="11"/>
  <c r="A677" i="11"/>
  <c r="B677" i="11"/>
  <c r="C677" i="11"/>
  <c r="A676" i="11"/>
  <c r="B676" i="11"/>
  <c r="C676" i="11"/>
  <c r="A675" i="11"/>
  <c r="B675" i="11"/>
  <c r="C675" i="11"/>
  <c r="A674" i="11"/>
  <c r="B674" i="11"/>
  <c r="C674" i="11"/>
  <c r="A673" i="11"/>
  <c r="B673" i="11"/>
  <c r="C673" i="11"/>
  <c r="A672" i="11"/>
  <c r="B672" i="11"/>
  <c r="C672" i="11"/>
  <c r="A671" i="11"/>
  <c r="B671" i="11"/>
  <c r="C671" i="11"/>
  <c r="A670" i="11"/>
  <c r="B670" i="11"/>
  <c r="C670" i="11"/>
  <c r="A669" i="11"/>
  <c r="B669" i="11"/>
  <c r="C669" i="11"/>
  <c r="A668" i="11"/>
  <c r="B668" i="11"/>
  <c r="C668" i="11"/>
  <c r="A667" i="11"/>
  <c r="B667" i="11"/>
  <c r="C667" i="11"/>
  <c r="A666" i="11"/>
  <c r="B666" i="11"/>
  <c r="C666" i="11"/>
  <c r="A665" i="11"/>
  <c r="B665" i="11"/>
  <c r="C665" i="11"/>
  <c r="A664" i="11"/>
  <c r="B664" i="11"/>
  <c r="C664" i="11"/>
  <c r="A663" i="11"/>
  <c r="B663" i="11"/>
  <c r="C663" i="11"/>
  <c r="A662" i="11"/>
  <c r="B662" i="11"/>
  <c r="C662" i="11"/>
  <c r="A661" i="11"/>
  <c r="B661" i="11"/>
  <c r="C661" i="11"/>
  <c r="A660" i="11"/>
  <c r="B660" i="11"/>
  <c r="C660" i="11"/>
  <c r="A659" i="11"/>
  <c r="B659" i="11"/>
  <c r="C659" i="11"/>
  <c r="A658" i="11"/>
  <c r="B658" i="11"/>
  <c r="C658" i="11"/>
  <c r="A657" i="11"/>
  <c r="B657" i="11"/>
  <c r="C657" i="11"/>
  <c r="A656" i="11"/>
  <c r="B656" i="11"/>
  <c r="C656" i="11"/>
  <c r="A655" i="11"/>
  <c r="B655" i="11"/>
  <c r="C655" i="11"/>
  <c r="A654" i="11"/>
  <c r="B654" i="11"/>
  <c r="C654" i="11"/>
  <c r="A653" i="11"/>
  <c r="B653" i="11"/>
  <c r="C653" i="11"/>
  <c r="A652" i="11"/>
  <c r="B652" i="11"/>
  <c r="C652" i="11"/>
  <c r="A651" i="11"/>
  <c r="B651" i="11"/>
  <c r="C651" i="11"/>
  <c r="A650" i="11"/>
  <c r="B650" i="11"/>
  <c r="C650" i="11"/>
  <c r="A649" i="11"/>
  <c r="B649" i="11"/>
  <c r="C649" i="11"/>
  <c r="A648" i="11"/>
  <c r="B648" i="11"/>
  <c r="C648" i="11"/>
  <c r="A647" i="11"/>
  <c r="B647" i="11"/>
  <c r="C647" i="11"/>
  <c r="A646" i="11"/>
  <c r="B646" i="11"/>
  <c r="C646" i="11"/>
  <c r="A645" i="11"/>
  <c r="B645" i="11"/>
  <c r="C645" i="11"/>
  <c r="A644" i="11"/>
  <c r="B644" i="11"/>
  <c r="C644" i="11"/>
  <c r="A643" i="11"/>
  <c r="B643" i="11"/>
  <c r="C643" i="11"/>
  <c r="A642" i="11"/>
  <c r="B642" i="11"/>
  <c r="C642" i="11"/>
  <c r="A641" i="11"/>
  <c r="B641" i="11"/>
  <c r="C641" i="11"/>
  <c r="A640" i="11"/>
  <c r="B640" i="11"/>
  <c r="C640" i="11"/>
  <c r="A639" i="11"/>
  <c r="B639" i="11"/>
  <c r="C639" i="11"/>
  <c r="A638" i="11"/>
  <c r="B638" i="11"/>
  <c r="C638" i="11"/>
  <c r="A637" i="11"/>
  <c r="B637" i="11"/>
  <c r="C637" i="11"/>
  <c r="A636" i="11"/>
  <c r="B636" i="11"/>
  <c r="C636" i="11"/>
  <c r="A635" i="11"/>
  <c r="B635" i="11"/>
  <c r="C635" i="11"/>
  <c r="A634" i="11"/>
  <c r="B634" i="11"/>
  <c r="C634" i="11"/>
  <c r="A633" i="11"/>
  <c r="B633" i="11"/>
  <c r="C633" i="11"/>
  <c r="A632" i="11"/>
  <c r="B632" i="11"/>
  <c r="C632" i="11"/>
  <c r="A631" i="11"/>
  <c r="B631" i="11"/>
  <c r="C631" i="11"/>
  <c r="A630" i="11"/>
  <c r="B630" i="11"/>
  <c r="C630" i="11"/>
  <c r="A629" i="11"/>
  <c r="B629" i="11"/>
  <c r="C629" i="11"/>
  <c r="A628" i="11"/>
  <c r="B628" i="11"/>
  <c r="C628" i="11"/>
  <c r="A627" i="11"/>
  <c r="B627" i="11"/>
  <c r="C627" i="11"/>
  <c r="A626" i="11"/>
  <c r="B626" i="11"/>
  <c r="C626" i="11"/>
  <c r="A625" i="11"/>
  <c r="B625" i="11"/>
  <c r="C625" i="11"/>
  <c r="A624" i="11"/>
  <c r="B624" i="11"/>
  <c r="C624" i="11"/>
  <c r="A623" i="11"/>
  <c r="B623" i="11"/>
  <c r="C623" i="11"/>
  <c r="A622" i="11"/>
  <c r="B622" i="11"/>
  <c r="C622" i="11"/>
  <c r="A621" i="11"/>
  <c r="B621" i="11"/>
  <c r="C621" i="11"/>
  <c r="A620" i="11"/>
  <c r="B620" i="11"/>
  <c r="C620" i="11"/>
  <c r="A619" i="11"/>
  <c r="B619" i="11"/>
  <c r="C619" i="11"/>
  <c r="A618" i="11"/>
  <c r="B618" i="11"/>
  <c r="C618" i="11"/>
  <c r="A617" i="11"/>
  <c r="B617" i="11"/>
  <c r="C617" i="11"/>
  <c r="A616" i="11"/>
  <c r="B616" i="11"/>
  <c r="C616" i="11"/>
  <c r="A615" i="11"/>
  <c r="B615" i="11"/>
  <c r="C615" i="11"/>
  <c r="A614" i="11"/>
  <c r="B614" i="11"/>
  <c r="C614" i="11"/>
  <c r="A613" i="11"/>
  <c r="B613" i="11"/>
  <c r="C613" i="11"/>
  <c r="A612" i="11"/>
  <c r="B612" i="11"/>
  <c r="C612" i="11"/>
  <c r="A611" i="11"/>
  <c r="B611" i="11"/>
  <c r="C611" i="11"/>
  <c r="A610" i="11"/>
  <c r="B610" i="11"/>
  <c r="C610" i="11"/>
  <c r="A609" i="11"/>
  <c r="B609" i="11"/>
  <c r="C609" i="11"/>
  <c r="A608" i="11"/>
  <c r="B608" i="11"/>
  <c r="C608" i="11"/>
  <c r="A607" i="11"/>
  <c r="B607" i="11"/>
  <c r="C607" i="11"/>
  <c r="A606" i="11"/>
  <c r="B606" i="11"/>
  <c r="C606" i="11"/>
  <c r="A605" i="11"/>
  <c r="B605" i="11"/>
  <c r="C605" i="11"/>
  <c r="A604" i="11"/>
  <c r="B604" i="11"/>
  <c r="C604" i="11"/>
  <c r="A603" i="11"/>
  <c r="B603" i="11"/>
  <c r="C603" i="11"/>
  <c r="A602" i="11"/>
  <c r="B602" i="11"/>
  <c r="C602" i="11"/>
  <c r="A601" i="11"/>
  <c r="B601" i="11"/>
  <c r="C601" i="11"/>
  <c r="A600" i="11"/>
  <c r="B600" i="11"/>
  <c r="C600" i="11"/>
  <c r="A599" i="11"/>
  <c r="B599" i="11"/>
  <c r="C599" i="11"/>
  <c r="A598" i="11"/>
  <c r="B598" i="11"/>
  <c r="C598" i="11"/>
  <c r="A597" i="11"/>
  <c r="B597" i="11"/>
  <c r="C597" i="11"/>
  <c r="A596" i="11"/>
  <c r="B596" i="11"/>
  <c r="C596" i="11"/>
  <c r="A595" i="11"/>
  <c r="B595" i="11"/>
  <c r="C595" i="11"/>
  <c r="A594" i="11"/>
  <c r="B594" i="11"/>
  <c r="C594" i="11"/>
  <c r="A593" i="11"/>
  <c r="B593" i="11"/>
  <c r="C593" i="11"/>
  <c r="A592" i="11"/>
  <c r="B592" i="11"/>
  <c r="C592" i="11"/>
  <c r="A591" i="11"/>
  <c r="B591" i="11"/>
  <c r="C591" i="11"/>
  <c r="A590" i="11"/>
  <c r="B590" i="11"/>
  <c r="C590" i="11"/>
  <c r="A589" i="11"/>
  <c r="B589" i="11"/>
  <c r="C589" i="11"/>
  <c r="A588" i="11"/>
  <c r="B588" i="11"/>
  <c r="C588" i="11"/>
  <c r="A587" i="11"/>
  <c r="B587" i="11"/>
  <c r="C587" i="11"/>
  <c r="A586" i="11"/>
  <c r="B586" i="11"/>
  <c r="C586" i="11"/>
  <c r="A585" i="11"/>
  <c r="B585" i="11"/>
  <c r="C585" i="11"/>
  <c r="A584" i="11"/>
  <c r="B584" i="11"/>
  <c r="C584" i="11"/>
  <c r="A583" i="11"/>
  <c r="B583" i="11"/>
  <c r="C583" i="11"/>
  <c r="A582" i="11"/>
  <c r="B582" i="11"/>
  <c r="C582" i="11"/>
  <c r="A581" i="11"/>
  <c r="B581" i="11"/>
  <c r="C581" i="11"/>
  <c r="A580" i="11"/>
  <c r="B580" i="11"/>
  <c r="C580" i="11"/>
  <c r="A579" i="11"/>
  <c r="B579" i="11"/>
  <c r="C579" i="11"/>
  <c r="A578" i="11"/>
  <c r="B578" i="11"/>
  <c r="C578" i="11"/>
  <c r="A577" i="11"/>
  <c r="B577" i="11"/>
  <c r="C577" i="11"/>
  <c r="A576" i="11"/>
  <c r="B576" i="11"/>
  <c r="C576" i="11"/>
  <c r="A575" i="11"/>
  <c r="B575" i="11"/>
  <c r="C575" i="11"/>
  <c r="A574" i="11"/>
  <c r="B574" i="11"/>
  <c r="C574" i="11"/>
  <c r="A573" i="11"/>
  <c r="B573" i="11"/>
  <c r="C573" i="11"/>
  <c r="A572" i="11"/>
  <c r="B572" i="11"/>
  <c r="C572" i="11"/>
  <c r="A571" i="11"/>
  <c r="B571" i="11"/>
  <c r="C571" i="11"/>
  <c r="A570" i="11"/>
  <c r="B570" i="11"/>
  <c r="C570" i="11"/>
  <c r="A569" i="11"/>
  <c r="B569" i="11"/>
  <c r="C569" i="11"/>
  <c r="A568" i="11"/>
  <c r="B568" i="11"/>
  <c r="C568" i="11"/>
  <c r="A567" i="11"/>
  <c r="B567" i="11"/>
  <c r="C567" i="11"/>
  <c r="A566" i="11"/>
  <c r="B566" i="11"/>
  <c r="C566" i="11"/>
  <c r="A565" i="11"/>
  <c r="B565" i="11"/>
  <c r="C565" i="11"/>
  <c r="A564" i="11"/>
  <c r="B564" i="11"/>
  <c r="C564" i="11"/>
  <c r="A563" i="11"/>
  <c r="B563" i="11"/>
  <c r="C563" i="11"/>
  <c r="A562" i="11"/>
  <c r="B562" i="11"/>
  <c r="C562" i="11"/>
  <c r="A561" i="11"/>
  <c r="B561" i="11"/>
  <c r="C561" i="11"/>
  <c r="A560" i="11"/>
  <c r="B560" i="11"/>
  <c r="C560" i="11"/>
  <c r="A559" i="11"/>
  <c r="B559" i="11"/>
  <c r="C559" i="11"/>
  <c r="A558" i="11"/>
  <c r="B558" i="11"/>
  <c r="C558" i="11"/>
  <c r="A557" i="11"/>
  <c r="B557" i="11"/>
  <c r="C557" i="11"/>
  <c r="A556" i="11"/>
  <c r="B556" i="11"/>
  <c r="C556" i="11"/>
  <c r="A555" i="11"/>
  <c r="B555" i="11"/>
  <c r="C555" i="11"/>
  <c r="A554" i="11"/>
  <c r="B554" i="11"/>
  <c r="C554" i="11"/>
  <c r="A553" i="11"/>
  <c r="B553" i="11"/>
  <c r="C553" i="11"/>
  <c r="A552" i="11"/>
  <c r="B552" i="11"/>
  <c r="C552" i="11"/>
  <c r="A551" i="11"/>
  <c r="B551" i="11"/>
  <c r="C551" i="11"/>
  <c r="A550" i="11"/>
  <c r="B550" i="11"/>
  <c r="C550" i="11"/>
  <c r="A549" i="11"/>
  <c r="B549" i="11"/>
  <c r="C549" i="11"/>
  <c r="A548" i="11"/>
  <c r="B548" i="11"/>
  <c r="C548" i="11"/>
  <c r="A547" i="11"/>
  <c r="B547" i="11"/>
  <c r="C547" i="11"/>
  <c r="A546" i="11"/>
  <c r="B546" i="11"/>
  <c r="C546" i="11"/>
  <c r="A545" i="11"/>
  <c r="B545" i="11"/>
  <c r="C545" i="11"/>
  <c r="A544" i="11"/>
  <c r="B544" i="11"/>
  <c r="C544" i="11"/>
  <c r="A543" i="11"/>
  <c r="B543" i="11"/>
  <c r="C543" i="11"/>
  <c r="A542" i="11"/>
  <c r="B542" i="11"/>
  <c r="C542" i="11"/>
  <c r="A541" i="11"/>
  <c r="B541" i="11"/>
  <c r="C541" i="11"/>
  <c r="A540" i="11"/>
  <c r="B540" i="11"/>
  <c r="C540" i="11"/>
  <c r="A539" i="11"/>
  <c r="B539" i="11"/>
  <c r="C539" i="11"/>
  <c r="A538" i="11"/>
  <c r="B538" i="11"/>
  <c r="C538" i="11"/>
  <c r="A537" i="11"/>
  <c r="B537" i="11"/>
  <c r="C537" i="11"/>
  <c r="A536" i="11"/>
  <c r="B536" i="11"/>
  <c r="C536" i="11"/>
  <c r="A535" i="11"/>
  <c r="B535" i="11"/>
  <c r="C535" i="11"/>
  <c r="A534" i="11"/>
  <c r="B534" i="11"/>
  <c r="C534" i="11"/>
  <c r="A533" i="11"/>
  <c r="B533" i="11"/>
  <c r="C533" i="11"/>
  <c r="A532" i="11"/>
  <c r="B532" i="11"/>
  <c r="C532" i="11"/>
  <c r="A531" i="11"/>
  <c r="B531" i="11"/>
  <c r="C531" i="11"/>
  <c r="A530" i="11"/>
  <c r="B530" i="11"/>
  <c r="C530" i="11"/>
  <c r="A529" i="11"/>
  <c r="B529" i="11"/>
  <c r="C529" i="11"/>
  <c r="A528" i="11"/>
  <c r="B528" i="11"/>
  <c r="C528" i="11"/>
  <c r="A527" i="11"/>
  <c r="B527" i="11"/>
  <c r="C527" i="11"/>
  <c r="A526" i="11"/>
  <c r="B526" i="11"/>
  <c r="C526" i="11"/>
  <c r="A525" i="11"/>
  <c r="B525" i="11"/>
  <c r="C525" i="11"/>
  <c r="A524" i="11"/>
  <c r="B524" i="11"/>
  <c r="C524" i="11"/>
  <c r="A523" i="11"/>
  <c r="B523" i="11"/>
  <c r="C523" i="11"/>
  <c r="A522" i="11"/>
  <c r="B522" i="11"/>
  <c r="C522" i="11"/>
  <c r="A521" i="11"/>
  <c r="B521" i="11"/>
  <c r="C521" i="11"/>
  <c r="A520" i="11"/>
  <c r="B520" i="11"/>
  <c r="C520" i="11"/>
  <c r="A519" i="11"/>
  <c r="B519" i="11"/>
  <c r="C519" i="11"/>
  <c r="A518" i="11"/>
  <c r="B518" i="11"/>
  <c r="C518" i="11"/>
  <c r="A517" i="11"/>
  <c r="B517" i="11"/>
  <c r="C517" i="11"/>
  <c r="A516" i="11"/>
  <c r="B516" i="11"/>
  <c r="C516" i="11"/>
  <c r="A515" i="11"/>
  <c r="B515" i="11"/>
  <c r="C515" i="11"/>
  <c r="A514" i="11"/>
  <c r="B514" i="11"/>
  <c r="C514" i="11"/>
  <c r="A513" i="11"/>
  <c r="B513" i="11"/>
  <c r="C513" i="11"/>
  <c r="A512" i="11"/>
  <c r="B512" i="11"/>
  <c r="C512" i="11"/>
  <c r="A511" i="11"/>
  <c r="B511" i="11"/>
  <c r="C511" i="11"/>
  <c r="A510" i="11"/>
  <c r="B510" i="11"/>
  <c r="C510" i="11"/>
  <c r="A509" i="11"/>
  <c r="B509" i="11"/>
  <c r="C509" i="11"/>
  <c r="A508" i="11"/>
  <c r="B508" i="11"/>
  <c r="C508" i="11"/>
  <c r="A507" i="11"/>
  <c r="B507" i="11"/>
  <c r="C507" i="11"/>
  <c r="A506" i="11"/>
  <c r="B506" i="11"/>
  <c r="C506" i="11"/>
  <c r="A505" i="11"/>
  <c r="B505" i="11"/>
  <c r="C505" i="11"/>
  <c r="A504" i="11"/>
  <c r="B504" i="11"/>
  <c r="C504" i="11"/>
  <c r="A503" i="11"/>
  <c r="B503" i="11"/>
  <c r="C503" i="11"/>
  <c r="A502" i="11"/>
  <c r="B502" i="11"/>
  <c r="C502" i="11"/>
  <c r="A501" i="11"/>
  <c r="B501" i="11"/>
  <c r="C501" i="11"/>
  <c r="A500" i="11"/>
  <c r="B500" i="11"/>
  <c r="C500" i="11"/>
  <c r="A499" i="11"/>
  <c r="B499" i="11"/>
  <c r="C499" i="11"/>
  <c r="A498" i="11"/>
  <c r="B498" i="11"/>
  <c r="C498" i="11"/>
  <c r="A497" i="11"/>
  <c r="B497" i="11"/>
  <c r="C497" i="11"/>
  <c r="A496" i="11"/>
  <c r="B496" i="11"/>
  <c r="C496" i="11"/>
  <c r="A495" i="11"/>
  <c r="B495" i="11"/>
  <c r="C495" i="11"/>
  <c r="A494" i="11"/>
  <c r="B494" i="11"/>
  <c r="C494" i="11"/>
  <c r="A493" i="11"/>
  <c r="B493" i="11"/>
  <c r="C493" i="11"/>
  <c r="A492" i="11"/>
  <c r="B492" i="11"/>
  <c r="C492" i="11"/>
  <c r="A491" i="11"/>
  <c r="B491" i="11"/>
  <c r="C491" i="11"/>
  <c r="A490" i="11"/>
  <c r="B490" i="11"/>
  <c r="C490" i="11"/>
  <c r="A489" i="11"/>
  <c r="B489" i="11"/>
  <c r="C489" i="11"/>
  <c r="A488" i="11"/>
  <c r="B488" i="11"/>
  <c r="C488" i="11"/>
  <c r="A487" i="11"/>
  <c r="B487" i="11"/>
  <c r="C487" i="11"/>
  <c r="A486" i="11"/>
  <c r="B486" i="11"/>
  <c r="C486" i="11"/>
  <c r="A485" i="11"/>
  <c r="B485" i="11"/>
  <c r="C485" i="11"/>
  <c r="A484" i="11"/>
  <c r="B484" i="11"/>
  <c r="C484" i="11"/>
  <c r="A483" i="11"/>
  <c r="B483" i="11"/>
  <c r="C483" i="11"/>
  <c r="A482" i="11"/>
  <c r="B482" i="11"/>
  <c r="C482" i="11"/>
  <c r="A481" i="11"/>
  <c r="B481" i="11"/>
  <c r="C481" i="11"/>
  <c r="A480" i="11"/>
  <c r="B480" i="11"/>
  <c r="C480" i="11"/>
  <c r="A479" i="11"/>
  <c r="B479" i="11"/>
  <c r="C479" i="11"/>
  <c r="A478" i="11"/>
  <c r="B478" i="11"/>
  <c r="C478" i="11"/>
  <c r="A477" i="11"/>
  <c r="B477" i="11"/>
  <c r="C477" i="11"/>
  <c r="A476" i="11"/>
  <c r="B476" i="11"/>
  <c r="C476" i="11"/>
  <c r="A475" i="11"/>
  <c r="B475" i="11"/>
  <c r="C475" i="11"/>
  <c r="A474" i="11"/>
  <c r="B474" i="11"/>
  <c r="C474" i="11"/>
  <c r="A473" i="11"/>
  <c r="B473" i="11"/>
  <c r="C473" i="11"/>
  <c r="A472" i="11"/>
  <c r="B472" i="11"/>
  <c r="C472" i="11"/>
  <c r="A471" i="11"/>
  <c r="B471" i="11"/>
  <c r="C471" i="11"/>
  <c r="A470" i="11"/>
  <c r="B470" i="11"/>
  <c r="C470" i="11"/>
  <c r="A469" i="11"/>
  <c r="B469" i="11"/>
  <c r="C469" i="11"/>
  <c r="A468" i="11"/>
  <c r="B468" i="11"/>
  <c r="C468" i="11"/>
  <c r="A467" i="11"/>
  <c r="B467" i="11"/>
  <c r="C467" i="11"/>
  <c r="A466" i="11"/>
  <c r="B466" i="11"/>
  <c r="C466" i="11"/>
  <c r="A465" i="11"/>
  <c r="B465" i="11"/>
  <c r="C465" i="11"/>
  <c r="A464" i="11"/>
  <c r="B464" i="11"/>
  <c r="C464" i="11"/>
  <c r="A463" i="11"/>
  <c r="B463" i="11"/>
  <c r="C463" i="11"/>
  <c r="A462" i="11"/>
  <c r="B462" i="11"/>
  <c r="C462" i="11"/>
  <c r="A461" i="11"/>
  <c r="B461" i="11"/>
  <c r="C461" i="11"/>
  <c r="A460" i="11"/>
  <c r="B460" i="11"/>
  <c r="C460" i="11"/>
  <c r="A459" i="11"/>
  <c r="B459" i="11"/>
  <c r="C459" i="11"/>
  <c r="A458" i="11"/>
  <c r="B458" i="11"/>
  <c r="C458" i="11"/>
  <c r="A457" i="11"/>
  <c r="B457" i="11"/>
  <c r="C457" i="11"/>
  <c r="A456" i="11"/>
  <c r="B456" i="11"/>
  <c r="C456" i="11"/>
  <c r="A455" i="11"/>
  <c r="B455" i="11"/>
  <c r="C455" i="11"/>
  <c r="A454" i="11"/>
  <c r="B454" i="11"/>
  <c r="C454" i="11"/>
  <c r="A453" i="11"/>
  <c r="B453" i="11"/>
  <c r="C453" i="11"/>
  <c r="A452" i="11"/>
  <c r="B452" i="11"/>
  <c r="C452" i="11"/>
  <c r="A451" i="11"/>
  <c r="B451" i="11"/>
  <c r="C451" i="11"/>
  <c r="A450" i="11"/>
  <c r="B450" i="11"/>
  <c r="C450" i="11"/>
  <c r="A449" i="11"/>
  <c r="B449" i="11"/>
  <c r="C449" i="11"/>
  <c r="A448" i="11"/>
  <c r="B448" i="11"/>
  <c r="C448" i="11"/>
  <c r="A447" i="11"/>
  <c r="B447" i="11"/>
  <c r="C447" i="11"/>
  <c r="A446" i="11"/>
  <c r="B446" i="11"/>
  <c r="C446" i="11"/>
  <c r="A445" i="11"/>
  <c r="B445" i="11"/>
  <c r="C445" i="11"/>
  <c r="A444" i="11"/>
  <c r="B444" i="11"/>
  <c r="C444" i="11"/>
  <c r="A443" i="11"/>
  <c r="B443" i="11"/>
  <c r="C443" i="11"/>
  <c r="A442" i="11"/>
  <c r="B442" i="11"/>
  <c r="C442" i="11"/>
  <c r="A441" i="11"/>
  <c r="B441" i="11"/>
  <c r="C441" i="11"/>
  <c r="A440" i="11"/>
  <c r="B440" i="11"/>
  <c r="C440" i="11"/>
  <c r="A439" i="11"/>
  <c r="B439" i="11"/>
  <c r="C439" i="11"/>
  <c r="A438" i="11"/>
  <c r="B438" i="11"/>
  <c r="C438" i="11"/>
  <c r="A437" i="11"/>
  <c r="B437" i="11"/>
  <c r="C437" i="11"/>
  <c r="A436" i="11"/>
  <c r="B436" i="11"/>
  <c r="C436" i="11"/>
  <c r="A435" i="11"/>
  <c r="B435" i="11"/>
  <c r="C435" i="11"/>
  <c r="A434" i="11"/>
  <c r="B434" i="11"/>
  <c r="C434" i="11"/>
  <c r="A433" i="11"/>
  <c r="B433" i="11"/>
  <c r="C433" i="11"/>
  <c r="A432" i="11"/>
  <c r="B432" i="11"/>
  <c r="C432" i="11"/>
  <c r="A431" i="11"/>
  <c r="B431" i="11"/>
  <c r="C431" i="11"/>
  <c r="A430" i="11"/>
  <c r="B430" i="11"/>
  <c r="C430" i="11"/>
  <c r="A429" i="11"/>
  <c r="B429" i="11"/>
  <c r="C429" i="11"/>
  <c r="A428" i="11"/>
  <c r="B428" i="11"/>
  <c r="C428" i="11"/>
  <c r="A427" i="11"/>
  <c r="B427" i="11"/>
  <c r="C427" i="11"/>
  <c r="A426" i="11"/>
  <c r="B426" i="11"/>
  <c r="C426" i="11"/>
  <c r="A425" i="11"/>
  <c r="B425" i="11"/>
  <c r="C425" i="11"/>
  <c r="A424" i="11"/>
  <c r="B424" i="11"/>
  <c r="C424" i="11"/>
  <c r="A423" i="11"/>
  <c r="B423" i="11"/>
  <c r="C423" i="11"/>
  <c r="A422" i="11"/>
  <c r="B422" i="11"/>
  <c r="C422" i="11"/>
  <c r="A421" i="11"/>
  <c r="B421" i="11"/>
  <c r="C421" i="11"/>
  <c r="A420" i="11"/>
  <c r="B420" i="11"/>
  <c r="C420" i="11"/>
  <c r="A419" i="11"/>
  <c r="B419" i="11"/>
  <c r="C419" i="11"/>
  <c r="A418" i="11"/>
  <c r="B418" i="11"/>
  <c r="C418" i="11"/>
  <c r="A417" i="11"/>
  <c r="B417" i="11"/>
  <c r="C417" i="11"/>
  <c r="A416" i="11"/>
  <c r="B416" i="11"/>
  <c r="C416" i="11"/>
  <c r="A415" i="11"/>
  <c r="B415" i="11"/>
  <c r="C415" i="11"/>
  <c r="A414" i="11"/>
  <c r="B414" i="11"/>
  <c r="C414" i="11"/>
  <c r="A413" i="11"/>
  <c r="B413" i="11"/>
  <c r="C413" i="11"/>
  <c r="A412" i="11"/>
  <c r="B412" i="11"/>
  <c r="C412" i="11"/>
  <c r="A411" i="11"/>
  <c r="B411" i="11"/>
  <c r="C411" i="11"/>
  <c r="A410" i="11"/>
  <c r="B410" i="11"/>
  <c r="C410" i="11"/>
  <c r="A409" i="11"/>
  <c r="B409" i="11"/>
  <c r="C409" i="11"/>
  <c r="A408" i="11"/>
  <c r="B408" i="11"/>
  <c r="C408" i="11"/>
  <c r="A407" i="11"/>
  <c r="B407" i="11"/>
  <c r="C407" i="11"/>
  <c r="A406" i="11"/>
  <c r="B406" i="11"/>
  <c r="C406" i="11"/>
  <c r="A405" i="11"/>
  <c r="B405" i="11"/>
  <c r="C405" i="11"/>
  <c r="A404" i="11"/>
  <c r="B404" i="11"/>
  <c r="C404" i="11"/>
  <c r="A403" i="11"/>
  <c r="B403" i="11"/>
  <c r="C403" i="11"/>
  <c r="A402" i="11"/>
  <c r="B402" i="11"/>
  <c r="C402" i="11"/>
  <c r="A401" i="11"/>
  <c r="B401" i="11"/>
  <c r="C401" i="11"/>
  <c r="A400" i="11"/>
  <c r="B400" i="11"/>
  <c r="C400" i="11"/>
  <c r="A399" i="11"/>
  <c r="B399" i="11"/>
  <c r="C399" i="11"/>
  <c r="A398" i="11"/>
  <c r="B398" i="11"/>
  <c r="C398" i="11"/>
  <c r="A397" i="11"/>
  <c r="B397" i="11"/>
  <c r="C397" i="11"/>
  <c r="A396" i="11"/>
  <c r="B396" i="11"/>
  <c r="C396" i="11"/>
  <c r="A395" i="11"/>
  <c r="B395" i="11"/>
  <c r="C395" i="11"/>
  <c r="A394" i="11"/>
  <c r="B394" i="11"/>
  <c r="C394" i="11"/>
  <c r="A393" i="11"/>
  <c r="B393" i="11"/>
  <c r="C393" i="11"/>
  <c r="A392" i="11"/>
  <c r="B392" i="11"/>
  <c r="C392" i="11"/>
  <c r="A391" i="11"/>
  <c r="B391" i="11"/>
  <c r="C391" i="11"/>
  <c r="A390" i="11"/>
  <c r="B390" i="11"/>
  <c r="C390" i="11"/>
  <c r="A389" i="11"/>
  <c r="B389" i="11"/>
  <c r="C389" i="11"/>
  <c r="A388" i="11"/>
  <c r="B388" i="11"/>
  <c r="C388" i="11"/>
  <c r="A387" i="11"/>
  <c r="B387" i="11"/>
  <c r="C387" i="11"/>
  <c r="A386" i="11"/>
  <c r="B386" i="11"/>
  <c r="C386" i="11"/>
  <c r="A385" i="11"/>
  <c r="B385" i="11"/>
  <c r="C385" i="11"/>
  <c r="A384" i="11"/>
  <c r="B384" i="11"/>
  <c r="C384" i="11"/>
  <c r="A383" i="11"/>
  <c r="B383" i="11"/>
  <c r="C383" i="11"/>
  <c r="A382" i="11"/>
  <c r="B382" i="11"/>
  <c r="C382" i="11"/>
  <c r="A381" i="11"/>
  <c r="B381" i="11"/>
  <c r="C381" i="11"/>
  <c r="A380" i="11"/>
  <c r="B380" i="11"/>
  <c r="C380" i="11"/>
  <c r="A379" i="11"/>
  <c r="B379" i="11"/>
  <c r="C379" i="11"/>
  <c r="A378" i="11"/>
  <c r="B378" i="11"/>
  <c r="C378" i="11"/>
  <c r="A377" i="11"/>
  <c r="B377" i="11"/>
  <c r="C377" i="11"/>
  <c r="A376" i="11"/>
  <c r="B376" i="11"/>
  <c r="C376" i="11"/>
  <c r="A375" i="11"/>
  <c r="B375" i="11"/>
  <c r="C375" i="11"/>
  <c r="A374" i="11"/>
  <c r="B374" i="11"/>
  <c r="C374" i="11"/>
  <c r="A373" i="11"/>
  <c r="B373" i="11"/>
  <c r="C373" i="11"/>
  <c r="A372" i="11"/>
  <c r="B372" i="11"/>
  <c r="C372" i="11"/>
  <c r="A371" i="11"/>
  <c r="B371" i="11"/>
  <c r="C371" i="11"/>
  <c r="A370" i="11"/>
  <c r="B370" i="11"/>
  <c r="C370" i="11"/>
  <c r="A369" i="11"/>
  <c r="B369" i="11"/>
  <c r="C369" i="11"/>
  <c r="A368" i="11"/>
  <c r="B368" i="11"/>
  <c r="C368" i="11"/>
  <c r="A367" i="11"/>
  <c r="B367" i="11"/>
  <c r="C367" i="11"/>
  <c r="A366" i="11"/>
  <c r="B366" i="11"/>
  <c r="C366" i="11"/>
  <c r="A365" i="11"/>
  <c r="B365" i="11"/>
  <c r="C365" i="11"/>
  <c r="A364" i="11"/>
  <c r="B364" i="11"/>
  <c r="C364" i="11"/>
  <c r="A363" i="11"/>
  <c r="B363" i="11"/>
  <c r="C363" i="11"/>
  <c r="A362" i="11"/>
  <c r="B362" i="11"/>
  <c r="C362" i="11"/>
  <c r="A361" i="11"/>
  <c r="B361" i="11"/>
  <c r="C361" i="11"/>
  <c r="A360" i="11"/>
  <c r="B360" i="11"/>
  <c r="C360" i="11"/>
  <c r="A359" i="11"/>
  <c r="B359" i="11"/>
  <c r="C359" i="11"/>
  <c r="A358" i="11"/>
  <c r="B358" i="11"/>
  <c r="C358" i="11"/>
  <c r="A357" i="11"/>
  <c r="B357" i="11"/>
  <c r="C357" i="11"/>
  <c r="A356" i="11"/>
  <c r="B356" i="11"/>
  <c r="C356" i="11"/>
  <c r="A355" i="11"/>
  <c r="B355" i="11"/>
  <c r="C355" i="11"/>
  <c r="A354" i="11"/>
  <c r="B354" i="11"/>
  <c r="C354" i="11"/>
  <c r="A353" i="11"/>
  <c r="B353" i="11"/>
  <c r="C353" i="11"/>
  <c r="A352" i="11"/>
  <c r="B352" i="11"/>
  <c r="C352" i="11"/>
  <c r="A351" i="11"/>
  <c r="B351" i="11"/>
  <c r="C351" i="11"/>
  <c r="A350" i="11"/>
  <c r="B350" i="11"/>
  <c r="C350" i="11"/>
  <c r="A349" i="11"/>
  <c r="B349" i="11"/>
  <c r="C349" i="11"/>
  <c r="A348" i="11"/>
  <c r="B348" i="11"/>
  <c r="C348" i="11"/>
  <c r="A347" i="11"/>
  <c r="B347" i="11"/>
  <c r="C347" i="11"/>
  <c r="A346" i="11"/>
  <c r="B346" i="11"/>
  <c r="C346" i="11"/>
  <c r="A345" i="11"/>
  <c r="B345" i="11"/>
  <c r="C345" i="11"/>
  <c r="A344" i="11"/>
  <c r="B344" i="11"/>
  <c r="C344" i="11"/>
  <c r="A343" i="11"/>
  <c r="B343" i="11"/>
  <c r="C343" i="11"/>
  <c r="A342" i="11"/>
  <c r="B342" i="11"/>
  <c r="C342" i="11"/>
  <c r="A341" i="11"/>
  <c r="B341" i="11"/>
  <c r="C341" i="11"/>
  <c r="A340" i="11"/>
  <c r="B340" i="11"/>
  <c r="C340" i="11"/>
  <c r="A339" i="11"/>
  <c r="B339" i="11"/>
  <c r="C339" i="11"/>
  <c r="A338" i="11"/>
  <c r="B338" i="11"/>
  <c r="C338" i="11"/>
  <c r="A337" i="11"/>
  <c r="B337" i="11"/>
  <c r="C337" i="11"/>
  <c r="A336" i="11"/>
  <c r="B336" i="11"/>
  <c r="C336" i="11"/>
  <c r="A335" i="11"/>
  <c r="B335" i="11"/>
  <c r="C335" i="11"/>
  <c r="A334" i="11"/>
  <c r="B334" i="11"/>
  <c r="C334" i="11"/>
  <c r="A333" i="11"/>
  <c r="B333" i="11"/>
  <c r="C333" i="11"/>
  <c r="A332" i="11"/>
  <c r="B332" i="11"/>
  <c r="C332" i="11"/>
  <c r="A331" i="11"/>
  <c r="B331" i="11"/>
  <c r="C331" i="11"/>
  <c r="A330" i="11"/>
  <c r="B330" i="11"/>
  <c r="C330" i="11"/>
  <c r="A329" i="11"/>
  <c r="B329" i="11"/>
  <c r="C329" i="11"/>
  <c r="A328" i="11"/>
  <c r="B328" i="11"/>
  <c r="C328" i="11"/>
  <c r="A327" i="11"/>
  <c r="B327" i="11"/>
  <c r="C327" i="11"/>
  <c r="A326" i="11"/>
  <c r="B326" i="11"/>
  <c r="C326" i="11"/>
  <c r="A325" i="11"/>
  <c r="B325" i="11"/>
  <c r="C325" i="11"/>
  <c r="A324" i="11"/>
  <c r="B324" i="11"/>
  <c r="C324" i="11"/>
  <c r="A323" i="11"/>
  <c r="B323" i="11"/>
  <c r="C323" i="11"/>
  <c r="A322" i="11"/>
  <c r="B322" i="11"/>
  <c r="C322" i="11"/>
  <c r="A321" i="11"/>
  <c r="B321" i="11"/>
  <c r="C321" i="11"/>
  <c r="A320" i="11"/>
  <c r="B320" i="11"/>
  <c r="C320" i="11"/>
  <c r="A319" i="11"/>
  <c r="B319" i="11"/>
  <c r="C319" i="11"/>
  <c r="A318" i="11"/>
  <c r="B318" i="11"/>
  <c r="C318" i="11"/>
  <c r="A317" i="11"/>
  <c r="B317" i="11"/>
  <c r="C317" i="11"/>
  <c r="A316" i="11"/>
  <c r="B316" i="11"/>
  <c r="C316" i="11"/>
  <c r="A315" i="11"/>
  <c r="B315" i="11"/>
  <c r="C315" i="11"/>
  <c r="A314" i="11"/>
  <c r="B314" i="11"/>
  <c r="C314" i="11"/>
  <c r="A313" i="11"/>
  <c r="B313" i="11"/>
  <c r="C313" i="11"/>
  <c r="A312" i="11"/>
  <c r="B312" i="11"/>
  <c r="C312" i="11"/>
  <c r="A311" i="11"/>
  <c r="B311" i="11"/>
  <c r="C311" i="11"/>
  <c r="A310" i="11"/>
  <c r="B310" i="11"/>
  <c r="C310" i="11"/>
  <c r="A309" i="11"/>
  <c r="B309" i="11"/>
  <c r="C309" i="11"/>
  <c r="A308" i="11"/>
  <c r="B308" i="11"/>
  <c r="C308" i="11"/>
  <c r="A307" i="11"/>
  <c r="B307" i="11"/>
  <c r="C307" i="11"/>
  <c r="A306" i="11"/>
  <c r="B306" i="11"/>
  <c r="C306" i="11"/>
  <c r="A305" i="11"/>
  <c r="B305" i="11"/>
  <c r="C305" i="11"/>
  <c r="A304" i="11"/>
  <c r="B304" i="11"/>
  <c r="C304" i="11"/>
  <c r="A303" i="11"/>
  <c r="B303" i="11"/>
  <c r="C303" i="11"/>
  <c r="A302" i="11"/>
  <c r="B302" i="11"/>
  <c r="C302" i="11"/>
  <c r="A301" i="11"/>
  <c r="B301" i="11"/>
  <c r="C301" i="11"/>
  <c r="A300" i="11"/>
  <c r="B300" i="11"/>
  <c r="C300" i="11"/>
  <c r="A299" i="11"/>
  <c r="B299" i="11"/>
  <c r="C299" i="11"/>
  <c r="A298" i="11"/>
  <c r="B298" i="11"/>
  <c r="C298" i="11"/>
  <c r="A297" i="11"/>
  <c r="B297" i="11"/>
  <c r="C297" i="11"/>
  <c r="A296" i="11"/>
  <c r="B296" i="11"/>
  <c r="C296" i="11"/>
  <c r="A295" i="11"/>
  <c r="B295" i="11"/>
  <c r="C295" i="11"/>
  <c r="A294" i="11"/>
  <c r="B294" i="11"/>
  <c r="C294" i="11"/>
  <c r="A293" i="11"/>
  <c r="B293" i="11"/>
  <c r="C293" i="11"/>
  <c r="A292" i="11"/>
  <c r="B292" i="11"/>
  <c r="C292" i="11"/>
  <c r="A291" i="11"/>
  <c r="B291" i="11"/>
  <c r="C291" i="11"/>
  <c r="A290" i="11"/>
  <c r="B290" i="11"/>
  <c r="C290" i="11"/>
  <c r="A289" i="11"/>
  <c r="B289" i="11"/>
  <c r="C289" i="11"/>
  <c r="A288" i="11"/>
  <c r="B288" i="11"/>
  <c r="C288" i="11"/>
  <c r="A287" i="11"/>
  <c r="B287" i="11"/>
  <c r="C287" i="11"/>
  <c r="A286" i="11"/>
  <c r="B286" i="11"/>
  <c r="C286" i="11"/>
  <c r="A285" i="11"/>
  <c r="B285" i="11"/>
  <c r="C285" i="11"/>
  <c r="A284" i="11"/>
  <c r="B284" i="11"/>
  <c r="C284" i="11"/>
  <c r="A283" i="11"/>
  <c r="B283" i="11"/>
  <c r="C283" i="11"/>
  <c r="A282" i="11"/>
  <c r="B282" i="11"/>
  <c r="C282" i="11"/>
  <c r="A281" i="11"/>
  <c r="B281" i="11"/>
  <c r="C281" i="11"/>
  <c r="A280" i="11"/>
  <c r="B280" i="11"/>
  <c r="C280" i="11"/>
  <c r="A279" i="11"/>
  <c r="B279" i="11"/>
  <c r="C279" i="11"/>
  <c r="A278" i="11"/>
  <c r="B278" i="11"/>
  <c r="C278" i="11"/>
  <c r="A277" i="11"/>
  <c r="B277" i="11"/>
  <c r="C277" i="11"/>
  <c r="A276" i="11"/>
  <c r="B276" i="11"/>
  <c r="C276" i="11"/>
  <c r="A275" i="11"/>
  <c r="B275" i="11"/>
  <c r="C275" i="11"/>
  <c r="A274" i="11"/>
  <c r="B274" i="11"/>
  <c r="C274" i="11"/>
  <c r="A273" i="11"/>
  <c r="B273" i="11"/>
  <c r="C273" i="11"/>
  <c r="A272" i="11"/>
  <c r="B272" i="11"/>
  <c r="C272" i="11"/>
  <c r="A271" i="11"/>
  <c r="B271" i="11"/>
  <c r="C271" i="11"/>
  <c r="A270" i="11"/>
  <c r="B270" i="11"/>
  <c r="C270" i="11"/>
  <c r="A269" i="11"/>
  <c r="B269" i="11"/>
  <c r="C269" i="11"/>
  <c r="A268" i="11"/>
  <c r="B268" i="11"/>
  <c r="C268" i="11"/>
  <c r="A267" i="11"/>
  <c r="B267" i="11"/>
  <c r="C267" i="11"/>
  <c r="A266" i="11"/>
  <c r="B266" i="11"/>
  <c r="C266" i="11"/>
  <c r="A265" i="11"/>
  <c r="B265" i="11"/>
  <c r="C265" i="11"/>
  <c r="A264" i="11"/>
  <c r="B264" i="11"/>
  <c r="C264" i="11"/>
  <c r="A263" i="11"/>
  <c r="B263" i="11"/>
  <c r="C263" i="11"/>
  <c r="A262" i="11"/>
  <c r="B262" i="11"/>
  <c r="C262" i="11"/>
  <c r="A261" i="11"/>
  <c r="B261" i="11"/>
  <c r="C261" i="11"/>
  <c r="A260" i="11"/>
  <c r="B260" i="11"/>
  <c r="C260" i="11"/>
  <c r="A259" i="11"/>
  <c r="B259" i="11"/>
  <c r="C259" i="11"/>
  <c r="A258" i="11"/>
  <c r="B258" i="11"/>
  <c r="C258" i="11"/>
  <c r="A257" i="11"/>
  <c r="B257" i="11"/>
  <c r="C257" i="11"/>
  <c r="A256" i="11"/>
  <c r="B256" i="11"/>
  <c r="C256" i="11"/>
  <c r="A255" i="11"/>
  <c r="B255" i="11"/>
  <c r="C255" i="11"/>
  <c r="A254" i="11"/>
  <c r="B254" i="11"/>
  <c r="C254" i="11"/>
  <c r="A253" i="11"/>
  <c r="B253" i="11"/>
  <c r="C253" i="11"/>
  <c r="A252" i="11"/>
  <c r="B252" i="11"/>
  <c r="C252" i="11"/>
  <c r="A251" i="11"/>
  <c r="B251" i="11"/>
  <c r="C251" i="11"/>
  <c r="A250" i="11"/>
  <c r="B250" i="11"/>
  <c r="C250" i="11"/>
  <c r="A249" i="11"/>
  <c r="B249" i="11"/>
  <c r="C249" i="11"/>
  <c r="A248" i="11"/>
  <c r="B248" i="11"/>
  <c r="C248" i="11"/>
  <c r="A247" i="11"/>
  <c r="B247" i="11"/>
  <c r="C247" i="11"/>
  <c r="A246" i="11"/>
  <c r="B246" i="11"/>
  <c r="C246" i="11"/>
  <c r="A245" i="11"/>
  <c r="B245" i="11"/>
  <c r="C245" i="11"/>
  <c r="A244" i="11"/>
  <c r="B244" i="11"/>
  <c r="C244" i="11"/>
  <c r="A243" i="11"/>
  <c r="B243" i="11"/>
  <c r="C243" i="11"/>
  <c r="A242" i="11"/>
  <c r="B242" i="11"/>
  <c r="C242" i="11"/>
  <c r="A241" i="11"/>
  <c r="B241" i="11"/>
  <c r="C241" i="11"/>
  <c r="A240" i="11"/>
  <c r="B240" i="11"/>
  <c r="C240" i="11"/>
  <c r="A239" i="11"/>
  <c r="B239" i="11"/>
  <c r="C239" i="11"/>
  <c r="A238" i="11"/>
  <c r="B238" i="11"/>
  <c r="C238" i="11"/>
  <c r="A237" i="11"/>
  <c r="B237" i="11"/>
  <c r="C237" i="11"/>
  <c r="A236" i="11"/>
  <c r="B236" i="11"/>
  <c r="C236" i="11"/>
  <c r="A235" i="11"/>
  <c r="B235" i="11"/>
  <c r="C235" i="11"/>
  <c r="A234" i="11"/>
  <c r="B234" i="11"/>
  <c r="C234" i="11"/>
  <c r="A233" i="11"/>
  <c r="B233" i="11"/>
  <c r="C233" i="11"/>
  <c r="A232" i="11"/>
  <c r="B232" i="11"/>
  <c r="C232" i="11"/>
  <c r="A231" i="11"/>
  <c r="B231" i="11"/>
  <c r="C231" i="11"/>
  <c r="A230" i="11"/>
  <c r="B230" i="11"/>
  <c r="C230" i="11"/>
  <c r="A229" i="11"/>
  <c r="B229" i="11"/>
  <c r="C229" i="11"/>
  <c r="A228" i="11"/>
  <c r="B228" i="11"/>
  <c r="C228" i="11"/>
  <c r="A227" i="11"/>
  <c r="B227" i="11"/>
  <c r="C227" i="11"/>
  <c r="A226" i="11"/>
  <c r="B226" i="11"/>
  <c r="C226" i="11"/>
  <c r="A225" i="11"/>
  <c r="B225" i="11"/>
  <c r="C225" i="11"/>
  <c r="A224" i="11"/>
  <c r="B224" i="11"/>
  <c r="C224" i="11"/>
  <c r="A223" i="11"/>
  <c r="B223" i="11"/>
  <c r="C223" i="11"/>
  <c r="A222" i="11"/>
  <c r="B222" i="11"/>
  <c r="C222" i="11"/>
  <c r="A221" i="11"/>
  <c r="B221" i="11"/>
  <c r="C221" i="11"/>
  <c r="A220" i="11"/>
  <c r="B220" i="11"/>
  <c r="C220" i="11"/>
  <c r="A219" i="11"/>
  <c r="B219" i="11"/>
  <c r="C219" i="11"/>
  <c r="A218" i="11"/>
  <c r="B218" i="11"/>
  <c r="C218" i="11"/>
  <c r="A217" i="11"/>
  <c r="B217" i="11"/>
  <c r="C217" i="11"/>
  <c r="A216" i="11"/>
  <c r="B216" i="11"/>
  <c r="C216" i="11"/>
  <c r="A215" i="11"/>
  <c r="B215" i="11"/>
  <c r="C215" i="11"/>
  <c r="A214" i="11"/>
  <c r="B214" i="11"/>
  <c r="C214" i="11"/>
  <c r="A213" i="11"/>
  <c r="B213" i="11"/>
  <c r="C213" i="11"/>
  <c r="A212" i="11"/>
  <c r="B212" i="11"/>
  <c r="C212" i="11"/>
  <c r="A211" i="11"/>
  <c r="B211" i="11"/>
  <c r="C211" i="11"/>
  <c r="A210" i="11"/>
  <c r="B210" i="11"/>
  <c r="C210" i="11"/>
  <c r="A209" i="11"/>
  <c r="B209" i="11"/>
  <c r="C209" i="11"/>
  <c r="A208" i="11"/>
  <c r="B208" i="11"/>
  <c r="C208" i="11"/>
  <c r="A207" i="11"/>
  <c r="B207" i="11"/>
  <c r="C207" i="11"/>
  <c r="A206" i="11"/>
  <c r="B206" i="11"/>
  <c r="C206" i="11"/>
  <c r="A205" i="11"/>
  <c r="B205" i="11"/>
  <c r="C205" i="11"/>
  <c r="A204" i="11"/>
  <c r="B204" i="11"/>
  <c r="C204" i="11"/>
  <c r="A203" i="11"/>
  <c r="B203" i="11"/>
  <c r="C203" i="11"/>
  <c r="A202" i="11"/>
  <c r="B202" i="11"/>
  <c r="C202" i="11"/>
  <c r="A201" i="11"/>
  <c r="B201" i="11"/>
  <c r="C201" i="11"/>
  <c r="A200" i="11"/>
  <c r="B200" i="11"/>
  <c r="C200" i="11"/>
  <c r="A199" i="11"/>
  <c r="B199" i="11"/>
  <c r="C199" i="11"/>
  <c r="A198" i="11"/>
  <c r="B198" i="11"/>
  <c r="C198" i="11"/>
  <c r="A197" i="11"/>
  <c r="B197" i="11"/>
  <c r="C197" i="11"/>
  <c r="A196" i="11"/>
  <c r="B196" i="11"/>
  <c r="C196" i="11"/>
  <c r="A195" i="11"/>
  <c r="B195" i="11"/>
  <c r="C195" i="11"/>
  <c r="A194" i="11"/>
  <c r="B194" i="11"/>
  <c r="C194" i="11"/>
  <c r="A193" i="11"/>
  <c r="B193" i="11"/>
  <c r="C193" i="11"/>
  <c r="A192" i="11"/>
  <c r="B192" i="11"/>
  <c r="C192" i="11"/>
  <c r="A191" i="11"/>
  <c r="B191" i="11"/>
  <c r="C191" i="11"/>
  <c r="A190" i="11"/>
  <c r="B190" i="11"/>
  <c r="C190" i="11"/>
  <c r="A189" i="11"/>
  <c r="B189" i="11"/>
  <c r="C189" i="11"/>
  <c r="A188" i="11"/>
  <c r="B188" i="11"/>
  <c r="C188" i="11"/>
  <c r="A187" i="11"/>
  <c r="B187" i="11"/>
  <c r="C187" i="11"/>
  <c r="A186" i="11"/>
  <c r="B186" i="11"/>
  <c r="C186" i="11"/>
  <c r="A185" i="11"/>
  <c r="B185" i="11"/>
  <c r="C185" i="11"/>
  <c r="A184" i="11"/>
  <c r="B184" i="11"/>
  <c r="C184" i="11"/>
  <c r="A183" i="11"/>
  <c r="B183" i="11"/>
  <c r="C183" i="11"/>
  <c r="A182" i="11"/>
  <c r="B182" i="11"/>
  <c r="C182" i="11"/>
  <c r="A181" i="11"/>
  <c r="B181" i="11"/>
  <c r="C181" i="11"/>
  <c r="A180" i="11"/>
  <c r="B180" i="11"/>
  <c r="C180" i="11"/>
  <c r="A179" i="11"/>
  <c r="B179" i="11"/>
  <c r="C179" i="11"/>
  <c r="A178" i="11"/>
  <c r="B178" i="11"/>
  <c r="C178" i="11"/>
  <c r="A177" i="11"/>
  <c r="B177" i="11"/>
  <c r="C177" i="11"/>
  <c r="A176" i="11"/>
  <c r="B176" i="11"/>
  <c r="C176" i="11"/>
  <c r="A175" i="11"/>
  <c r="B175" i="11"/>
  <c r="C175" i="11"/>
  <c r="A174" i="11"/>
  <c r="B174" i="11"/>
  <c r="C174" i="11"/>
  <c r="A173" i="11"/>
  <c r="B173" i="11"/>
  <c r="C173" i="11"/>
  <c r="A172" i="11"/>
  <c r="B172" i="11"/>
  <c r="C172" i="11"/>
  <c r="A171" i="11"/>
  <c r="B171" i="11"/>
  <c r="C171" i="11"/>
  <c r="A170" i="11"/>
  <c r="B170" i="11"/>
  <c r="C170" i="11"/>
  <c r="A169" i="11"/>
  <c r="B169" i="11"/>
  <c r="C169" i="11"/>
  <c r="A168" i="11"/>
  <c r="B168" i="11"/>
  <c r="C168" i="11"/>
  <c r="A167" i="11"/>
  <c r="B167" i="11"/>
  <c r="C167" i="11"/>
  <c r="A166" i="11"/>
  <c r="B166" i="11"/>
  <c r="C166" i="11"/>
  <c r="A165" i="11"/>
  <c r="B165" i="11"/>
  <c r="C165" i="11"/>
  <c r="A164" i="11"/>
  <c r="B164" i="11"/>
  <c r="C164" i="11"/>
  <c r="A163" i="11"/>
  <c r="B163" i="11"/>
  <c r="C163" i="11"/>
  <c r="A162" i="11"/>
  <c r="B162" i="11"/>
  <c r="C162" i="11"/>
  <c r="A161" i="11"/>
  <c r="B161" i="11"/>
  <c r="C161" i="11"/>
  <c r="A160" i="11"/>
  <c r="B160" i="11"/>
  <c r="C160" i="11"/>
  <c r="A159" i="11"/>
  <c r="B159" i="11"/>
  <c r="C159" i="11"/>
  <c r="A158" i="11"/>
  <c r="B158" i="11"/>
  <c r="C158" i="11"/>
  <c r="A157" i="11"/>
  <c r="B157" i="11"/>
  <c r="C157" i="11"/>
  <c r="A156" i="11"/>
  <c r="B156" i="11"/>
  <c r="C156" i="11"/>
  <c r="A155" i="11"/>
  <c r="B155" i="11"/>
  <c r="C155" i="11"/>
  <c r="A154" i="11"/>
  <c r="B154" i="11"/>
  <c r="C154" i="11"/>
  <c r="A153" i="11"/>
  <c r="B153" i="11"/>
  <c r="C153" i="11"/>
  <c r="A152" i="11"/>
  <c r="B152" i="11"/>
  <c r="C152" i="11"/>
  <c r="A151" i="11"/>
  <c r="B151" i="11"/>
  <c r="C151" i="11"/>
  <c r="A150" i="11"/>
  <c r="B150" i="11"/>
  <c r="C150" i="11"/>
  <c r="A149" i="11"/>
  <c r="B149" i="11"/>
  <c r="C149" i="11"/>
  <c r="A148" i="11"/>
  <c r="B148" i="11"/>
  <c r="C148" i="11"/>
  <c r="A147" i="11"/>
  <c r="B147" i="11"/>
  <c r="C147" i="11"/>
  <c r="A146" i="11"/>
  <c r="B146" i="11"/>
  <c r="C146" i="11"/>
  <c r="A145" i="11"/>
  <c r="B145" i="11"/>
  <c r="C145" i="11"/>
  <c r="A144" i="11"/>
  <c r="B144" i="11"/>
  <c r="C144" i="11"/>
  <c r="A143" i="11"/>
  <c r="B143" i="11"/>
  <c r="C143" i="11"/>
  <c r="A142" i="11"/>
  <c r="B142" i="11"/>
  <c r="C142" i="11"/>
  <c r="A141" i="11"/>
  <c r="B141" i="11"/>
  <c r="C141" i="11"/>
  <c r="A140" i="11"/>
  <c r="B140" i="11"/>
  <c r="C140" i="11"/>
  <c r="A139" i="11"/>
  <c r="B139" i="11"/>
  <c r="C139" i="11"/>
  <c r="A138" i="11"/>
  <c r="B138" i="11"/>
  <c r="C138" i="11"/>
  <c r="A137" i="11"/>
  <c r="B137" i="11"/>
  <c r="C137" i="11"/>
  <c r="A136" i="11"/>
  <c r="B136" i="11"/>
  <c r="C136" i="11"/>
  <c r="A135" i="11"/>
  <c r="B135" i="11"/>
  <c r="C135" i="11"/>
  <c r="A134" i="11"/>
  <c r="B134" i="11"/>
  <c r="C134" i="11"/>
  <c r="A133" i="11"/>
  <c r="B133" i="11"/>
  <c r="C133" i="11"/>
  <c r="A132" i="11"/>
  <c r="B132" i="11"/>
  <c r="C132" i="11"/>
  <c r="A131" i="11"/>
  <c r="B131" i="11"/>
  <c r="C131" i="11"/>
  <c r="A130" i="11"/>
  <c r="B130" i="11"/>
  <c r="C130" i="11"/>
  <c r="A129" i="11"/>
  <c r="B129" i="11"/>
  <c r="C129" i="11"/>
  <c r="A128" i="11"/>
  <c r="B128" i="11"/>
  <c r="C128" i="11"/>
  <c r="A127" i="11"/>
  <c r="B127" i="11"/>
  <c r="C127" i="11"/>
  <c r="A126" i="11"/>
  <c r="B126" i="11"/>
  <c r="C126" i="11"/>
  <c r="A125" i="11"/>
  <c r="B125" i="11"/>
  <c r="C125" i="11"/>
  <c r="A124" i="11"/>
  <c r="B124" i="11"/>
  <c r="C124" i="11"/>
  <c r="A123" i="11"/>
  <c r="B123" i="11"/>
  <c r="C123" i="11"/>
  <c r="A122" i="11"/>
  <c r="B122" i="11"/>
  <c r="C122" i="11"/>
  <c r="A121" i="11"/>
  <c r="B121" i="11"/>
  <c r="C121" i="11"/>
  <c r="A120" i="11"/>
  <c r="B120" i="11"/>
  <c r="C120" i="11"/>
  <c r="A119" i="11"/>
  <c r="B119" i="11"/>
  <c r="C119" i="11"/>
  <c r="A118" i="11"/>
  <c r="B118" i="11"/>
  <c r="C118" i="11"/>
  <c r="A117" i="11"/>
  <c r="B117" i="11"/>
  <c r="C117" i="11"/>
  <c r="A116" i="11"/>
  <c r="B116" i="11"/>
  <c r="C116" i="11"/>
  <c r="A115" i="11"/>
  <c r="B115" i="11"/>
  <c r="C115" i="11"/>
  <c r="A114" i="11"/>
  <c r="B114" i="11"/>
  <c r="C114" i="11"/>
  <c r="A113" i="11"/>
  <c r="B113" i="11"/>
  <c r="C113" i="11"/>
  <c r="A112" i="11"/>
  <c r="B112" i="11"/>
  <c r="C112" i="11"/>
  <c r="A111" i="11"/>
  <c r="B111" i="11"/>
  <c r="C111" i="11"/>
  <c r="A110" i="11"/>
  <c r="B110" i="11"/>
  <c r="C110" i="11"/>
  <c r="A109" i="11"/>
  <c r="B109" i="11"/>
  <c r="C109" i="11"/>
  <c r="A108" i="11"/>
  <c r="B108" i="11"/>
  <c r="C108" i="11"/>
  <c r="A107" i="11"/>
  <c r="B107" i="11"/>
  <c r="C107" i="11"/>
  <c r="A106" i="11"/>
  <c r="B106" i="11"/>
  <c r="C106" i="11"/>
  <c r="A105" i="11"/>
  <c r="B105" i="11"/>
  <c r="C105" i="11"/>
  <c r="A104" i="11"/>
  <c r="B104" i="11"/>
  <c r="C104" i="11"/>
  <c r="A103" i="11"/>
  <c r="B103" i="11"/>
  <c r="C103" i="11"/>
  <c r="A102" i="11"/>
  <c r="B102" i="11"/>
  <c r="C102" i="11"/>
  <c r="A101" i="11"/>
  <c r="B101" i="11"/>
  <c r="C101" i="11"/>
  <c r="A100" i="11"/>
  <c r="B100" i="11"/>
  <c r="C100" i="11"/>
  <c r="A99" i="11"/>
  <c r="B99" i="11"/>
  <c r="C99" i="11"/>
  <c r="A98" i="11"/>
  <c r="B98" i="11"/>
  <c r="C98" i="11"/>
  <c r="A97" i="11"/>
  <c r="B97" i="11"/>
  <c r="C97" i="11"/>
  <c r="A96" i="11"/>
  <c r="B96" i="11"/>
  <c r="C96" i="11"/>
  <c r="A95" i="11"/>
  <c r="B95" i="11"/>
  <c r="C95" i="11"/>
  <c r="A94" i="11"/>
  <c r="B94" i="11"/>
  <c r="C94" i="11"/>
  <c r="A93" i="11"/>
  <c r="B93" i="11"/>
  <c r="C93" i="11"/>
  <c r="A92" i="11"/>
  <c r="B92" i="11"/>
  <c r="C92" i="11"/>
  <c r="A91" i="11"/>
  <c r="B91" i="11"/>
  <c r="C91" i="11"/>
  <c r="A90" i="11"/>
  <c r="B90" i="11"/>
  <c r="C90" i="11"/>
  <c r="A89" i="11"/>
  <c r="B89" i="11"/>
  <c r="C89" i="11"/>
  <c r="A88" i="11"/>
  <c r="B88" i="11"/>
  <c r="C88" i="11"/>
  <c r="A87" i="11"/>
  <c r="B87" i="11"/>
  <c r="C87" i="11"/>
  <c r="A86" i="11"/>
  <c r="B86" i="11"/>
  <c r="C86" i="11"/>
  <c r="A85" i="11"/>
  <c r="B85" i="11"/>
  <c r="C85" i="11"/>
  <c r="A84" i="11"/>
  <c r="B84" i="11"/>
  <c r="C84" i="11"/>
  <c r="A83" i="11"/>
  <c r="B83" i="11"/>
  <c r="C83" i="11"/>
  <c r="A82" i="11"/>
  <c r="B82" i="11"/>
  <c r="C82" i="11"/>
  <c r="A81" i="11"/>
  <c r="B81" i="11"/>
  <c r="C81" i="11"/>
  <c r="A80" i="11"/>
  <c r="B80" i="11"/>
  <c r="C80" i="11"/>
  <c r="A79" i="11"/>
  <c r="B79" i="11"/>
  <c r="C79" i="11"/>
  <c r="A78" i="11"/>
  <c r="B78" i="11"/>
  <c r="C78" i="11"/>
  <c r="A77" i="11"/>
  <c r="B77" i="11"/>
  <c r="C77" i="11"/>
  <c r="A76" i="11"/>
  <c r="B76" i="11"/>
  <c r="C76" i="11"/>
  <c r="A75" i="11"/>
  <c r="B75" i="11"/>
  <c r="C75" i="11"/>
  <c r="A74" i="11"/>
  <c r="B74" i="11"/>
  <c r="C74" i="11"/>
  <c r="A73" i="11"/>
  <c r="B73" i="11"/>
  <c r="C73" i="11"/>
  <c r="A72" i="11"/>
  <c r="B72" i="11"/>
  <c r="C72" i="11"/>
  <c r="A71" i="11"/>
  <c r="B71" i="11"/>
  <c r="C71" i="11"/>
  <c r="A70" i="11"/>
  <c r="B70" i="11"/>
  <c r="C70" i="11"/>
  <c r="A69" i="11"/>
  <c r="B69" i="11"/>
  <c r="C69" i="11"/>
  <c r="A68" i="11"/>
  <c r="B68" i="11"/>
  <c r="C68" i="11"/>
  <c r="A67" i="11"/>
  <c r="B67" i="11"/>
  <c r="C67" i="11"/>
  <c r="A66" i="11"/>
  <c r="B66" i="11"/>
  <c r="C66" i="11"/>
  <c r="A65" i="11"/>
  <c r="B65" i="11"/>
  <c r="C65" i="11"/>
  <c r="A64" i="11"/>
  <c r="B64" i="11"/>
  <c r="C64" i="11"/>
  <c r="A63" i="11"/>
  <c r="B63" i="11"/>
  <c r="C63" i="11"/>
  <c r="A62" i="11"/>
  <c r="B62" i="11"/>
  <c r="C62" i="11"/>
  <c r="A61" i="11"/>
  <c r="B61" i="11"/>
  <c r="C61" i="11"/>
  <c r="A60" i="11"/>
  <c r="B60" i="11"/>
  <c r="C60" i="11"/>
  <c r="A59" i="11"/>
  <c r="B59" i="11"/>
  <c r="C59" i="11"/>
  <c r="A58" i="11"/>
  <c r="B58" i="11"/>
  <c r="C58" i="11"/>
  <c r="A57" i="11"/>
  <c r="B57" i="11"/>
  <c r="C57" i="11"/>
  <c r="A56" i="11"/>
  <c r="B56" i="11"/>
  <c r="C56" i="11"/>
  <c r="A55" i="11"/>
  <c r="B55" i="11"/>
  <c r="C55" i="11"/>
  <c r="A54" i="11"/>
  <c r="B54" i="11"/>
  <c r="C54" i="11"/>
  <c r="A53" i="11"/>
  <c r="B53" i="11"/>
  <c r="C53" i="11"/>
  <c r="A52" i="11"/>
  <c r="B52" i="11"/>
  <c r="C52" i="11"/>
  <c r="A51" i="11"/>
  <c r="B51" i="11"/>
  <c r="C51" i="11"/>
  <c r="A50" i="11"/>
  <c r="B50" i="11"/>
  <c r="C50" i="11"/>
  <c r="A49" i="11"/>
  <c r="B49" i="11"/>
  <c r="C49" i="11"/>
  <c r="A48" i="11"/>
  <c r="B48" i="11"/>
  <c r="C48" i="11"/>
  <c r="A47" i="11"/>
  <c r="B47" i="11"/>
  <c r="C47" i="11"/>
  <c r="A46" i="11"/>
  <c r="B46" i="11"/>
  <c r="C46" i="11"/>
  <c r="A45" i="11"/>
  <c r="B45" i="11"/>
  <c r="C45" i="11"/>
  <c r="A44" i="11"/>
  <c r="B44" i="11"/>
  <c r="C44" i="11"/>
  <c r="A43" i="11"/>
  <c r="B43" i="11"/>
  <c r="C43" i="11"/>
  <c r="A42" i="11"/>
  <c r="B42" i="11"/>
  <c r="C42" i="11"/>
  <c r="A41" i="11"/>
  <c r="B41" i="11"/>
  <c r="C41" i="11"/>
  <c r="A40" i="11"/>
  <c r="B40" i="11"/>
  <c r="C40" i="11"/>
  <c r="A39" i="11"/>
  <c r="B39" i="11"/>
  <c r="C39" i="11"/>
  <c r="A38" i="11"/>
  <c r="B38" i="11"/>
  <c r="C38" i="11"/>
  <c r="A37" i="11"/>
  <c r="B37" i="11"/>
  <c r="C37" i="11"/>
  <c r="A36" i="11"/>
  <c r="B36" i="11"/>
  <c r="C36" i="11"/>
  <c r="A35" i="11"/>
  <c r="B35" i="11"/>
  <c r="C35" i="11"/>
  <c r="A34" i="11"/>
  <c r="B34" i="11"/>
  <c r="C34" i="11"/>
  <c r="A33" i="11"/>
  <c r="B33" i="11"/>
  <c r="C33" i="11"/>
  <c r="A32" i="11"/>
  <c r="B32" i="11"/>
  <c r="C32" i="11"/>
  <c r="A31" i="11"/>
  <c r="B31" i="11"/>
  <c r="C31" i="11"/>
  <c r="A30" i="11"/>
  <c r="B30" i="11"/>
  <c r="C30" i="11"/>
  <c r="A29" i="11"/>
  <c r="B29" i="11"/>
  <c r="C29" i="11"/>
  <c r="A28" i="11"/>
  <c r="B28" i="11"/>
  <c r="C28" i="11"/>
  <c r="A27" i="11"/>
  <c r="B27" i="11"/>
  <c r="C27" i="11"/>
  <c r="A26" i="11"/>
  <c r="B26" i="11"/>
  <c r="C26" i="11"/>
  <c r="A25" i="11"/>
  <c r="B25" i="11"/>
  <c r="C25" i="11"/>
  <c r="A24" i="11"/>
  <c r="B24" i="11"/>
  <c r="C24" i="11"/>
  <c r="A23" i="11"/>
  <c r="B23" i="11"/>
  <c r="C23" i="11"/>
  <c r="A22" i="11"/>
  <c r="B22" i="11"/>
  <c r="C22" i="11"/>
  <c r="A21" i="11"/>
  <c r="B21" i="11"/>
  <c r="C21" i="11"/>
  <c r="A20" i="11"/>
  <c r="B20" i="11"/>
  <c r="C20" i="11"/>
  <c r="A19" i="11"/>
  <c r="B19" i="11"/>
  <c r="C19" i="11"/>
  <c r="A18" i="11"/>
  <c r="B18" i="11"/>
  <c r="C18" i="11"/>
  <c r="A17" i="11"/>
  <c r="B17" i="11"/>
  <c r="C17" i="11"/>
  <c r="A16" i="11"/>
  <c r="B16" i="11"/>
  <c r="C16" i="11"/>
  <c r="A15" i="11"/>
  <c r="B15" i="11"/>
  <c r="C15" i="11"/>
  <c r="A14" i="11"/>
  <c r="B14" i="11"/>
  <c r="C14" i="11"/>
  <c r="A13" i="11"/>
  <c r="B13" i="11"/>
  <c r="C13" i="11"/>
  <c r="A12" i="11"/>
  <c r="B12" i="11"/>
  <c r="C12" i="11"/>
  <c r="A11" i="11"/>
  <c r="B11" i="11"/>
  <c r="C11" i="11"/>
  <c r="A10" i="11"/>
  <c r="B10" i="11"/>
  <c r="C10" i="11"/>
  <c r="A9" i="11"/>
  <c r="B9" i="11"/>
  <c r="C9" i="11"/>
  <c r="A8" i="11"/>
  <c r="B8" i="11"/>
  <c r="C8" i="11"/>
  <c r="A7" i="11"/>
  <c r="B7" i="11"/>
  <c r="C7" i="11"/>
  <c r="A6" i="11"/>
  <c r="B6" i="11"/>
  <c r="C6" i="11"/>
  <c r="A5" i="11"/>
  <c r="B5" i="11"/>
  <c r="C5" i="11"/>
  <c r="A4" i="11"/>
  <c r="B4" i="11"/>
  <c r="C4" i="11"/>
  <c r="A3" i="11"/>
  <c r="B3" i="11"/>
  <c r="C3" i="11"/>
  <c r="A2" i="11"/>
  <c r="B2" i="11"/>
  <c r="C2" i="11"/>
  <c r="A2612" i="10"/>
  <c r="B2612" i="10"/>
  <c r="C2612" i="10"/>
  <c r="A2611" i="10"/>
  <c r="B2611" i="10"/>
  <c r="C2611" i="10"/>
  <c r="A2610" i="10"/>
  <c r="B2610" i="10"/>
  <c r="C2610" i="10"/>
  <c r="A2609" i="10"/>
  <c r="B2609" i="10"/>
  <c r="C2609" i="10"/>
  <c r="A2608" i="10"/>
  <c r="B2608" i="10"/>
  <c r="C2608" i="10"/>
  <c r="A2607" i="10"/>
  <c r="B2607" i="10"/>
  <c r="C2607" i="10"/>
  <c r="A2606" i="10"/>
  <c r="B2606" i="10"/>
  <c r="C2606" i="10"/>
  <c r="A2605" i="10"/>
  <c r="B2605" i="10"/>
  <c r="C2605" i="10"/>
  <c r="A2604" i="10"/>
  <c r="B2604" i="10"/>
  <c r="C2604" i="10"/>
  <c r="A2603" i="10"/>
  <c r="B2603" i="10"/>
  <c r="C2603" i="10"/>
  <c r="A2602" i="10"/>
  <c r="B2602" i="10"/>
  <c r="C2602" i="10"/>
  <c r="A2601" i="10"/>
  <c r="B2601" i="10"/>
  <c r="C2601" i="10"/>
  <c r="A2600" i="10"/>
  <c r="B2600" i="10"/>
  <c r="C2600" i="10"/>
  <c r="A2599" i="10"/>
  <c r="B2599" i="10"/>
  <c r="C2599" i="10"/>
  <c r="A2598" i="10"/>
  <c r="B2598" i="10"/>
  <c r="C2598" i="10"/>
  <c r="A2597" i="10"/>
  <c r="B2597" i="10"/>
  <c r="C2597" i="10"/>
  <c r="A2596" i="10"/>
  <c r="B2596" i="10"/>
  <c r="C2596" i="10"/>
  <c r="A2595" i="10"/>
  <c r="B2595" i="10"/>
  <c r="C2595" i="10"/>
  <c r="A2594" i="10"/>
  <c r="B2594" i="10"/>
  <c r="C2594" i="10"/>
  <c r="A2593" i="10"/>
  <c r="B2593" i="10"/>
  <c r="C2593" i="10"/>
  <c r="A2592" i="10"/>
  <c r="B2592" i="10"/>
  <c r="C2592" i="10"/>
  <c r="A2591" i="10"/>
  <c r="B2591" i="10"/>
  <c r="C2591" i="10"/>
  <c r="A2590" i="10"/>
  <c r="B2590" i="10"/>
  <c r="C2590" i="10"/>
  <c r="A2589" i="10"/>
  <c r="B2589" i="10"/>
  <c r="C2589" i="10"/>
  <c r="A2588" i="10"/>
  <c r="B2588" i="10"/>
  <c r="C2588" i="10"/>
  <c r="A2587" i="10"/>
  <c r="B2587" i="10"/>
  <c r="C2587" i="10"/>
  <c r="A2586" i="10"/>
  <c r="B2586" i="10"/>
  <c r="C2586" i="10"/>
  <c r="A2585" i="10"/>
  <c r="B2585" i="10"/>
  <c r="C2585" i="10"/>
  <c r="A2584" i="10"/>
  <c r="B2584" i="10"/>
  <c r="C2584" i="10"/>
  <c r="A2583" i="10"/>
  <c r="B2583" i="10"/>
  <c r="C2583" i="10"/>
  <c r="A2582" i="10"/>
  <c r="B2582" i="10"/>
  <c r="C2582" i="10"/>
  <c r="A2581" i="10"/>
  <c r="B2581" i="10"/>
  <c r="C2581" i="10"/>
  <c r="A2580" i="10"/>
  <c r="B2580" i="10"/>
  <c r="C2580" i="10"/>
  <c r="A2579" i="10"/>
  <c r="B2579" i="10"/>
  <c r="C2579" i="10"/>
  <c r="A2578" i="10"/>
  <c r="B2578" i="10"/>
  <c r="C2578" i="10"/>
  <c r="A2577" i="10"/>
  <c r="B2577" i="10"/>
  <c r="C2577" i="10"/>
  <c r="A2576" i="10"/>
  <c r="B2576" i="10"/>
  <c r="C2576" i="10"/>
  <c r="A2575" i="10"/>
  <c r="B2575" i="10"/>
  <c r="C2575" i="10"/>
  <c r="A2574" i="10"/>
  <c r="B2574" i="10"/>
  <c r="C2574" i="10"/>
  <c r="A2573" i="10"/>
  <c r="B2573" i="10"/>
  <c r="C2573" i="10"/>
  <c r="A2572" i="10"/>
  <c r="B2572" i="10"/>
  <c r="C2572" i="10"/>
  <c r="A2571" i="10"/>
  <c r="B2571" i="10"/>
  <c r="C2571" i="10"/>
  <c r="A2570" i="10"/>
  <c r="B2570" i="10"/>
  <c r="C2570" i="10"/>
  <c r="A2569" i="10"/>
  <c r="B2569" i="10"/>
  <c r="C2569" i="10"/>
  <c r="A2568" i="10"/>
  <c r="B2568" i="10"/>
  <c r="C2568" i="10"/>
  <c r="A2567" i="10"/>
  <c r="B2567" i="10"/>
  <c r="C2567" i="10"/>
  <c r="A2566" i="10"/>
  <c r="B2566" i="10"/>
  <c r="C2566" i="10"/>
  <c r="A2565" i="10"/>
  <c r="B2565" i="10"/>
  <c r="C2565" i="10"/>
  <c r="A2564" i="10"/>
  <c r="B2564" i="10"/>
  <c r="C2564" i="10"/>
  <c r="A2563" i="10"/>
  <c r="B2563" i="10"/>
  <c r="C2563" i="10"/>
  <c r="A2562" i="10"/>
  <c r="B2562" i="10"/>
  <c r="C2562" i="10"/>
  <c r="A2561" i="10"/>
  <c r="B2561" i="10"/>
  <c r="C2561" i="10"/>
  <c r="A2560" i="10"/>
  <c r="B2560" i="10"/>
  <c r="C2560" i="10"/>
  <c r="A2559" i="10"/>
  <c r="B2559" i="10"/>
  <c r="C2559" i="10"/>
  <c r="A2558" i="10"/>
  <c r="B2558" i="10"/>
  <c r="C2558" i="10"/>
  <c r="A2557" i="10"/>
  <c r="B2557" i="10"/>
  <c r="C2557" i="10"/>
  <c r="A2556" i="10"/>
  <c r="B2556" i="10"/>
  <c r="C2556" i="10"/>
  <c r="A2555" i="10"/>
  <c r="B2555" i="10"/>
  <c r="C2555" i="10"/>
  <c r="A2554" i="10"/>
  <c r="B2554" i="10"/>
  <c r="C2554" i="10"/>
  <c r="A2553" i="10"/>
  <c r="B2553" i="10"/>
  <c r="C2553" i="10"/>
  <c r="A2552" i="10"/>
  <c r="B2552" i="10"/>
  <c r="C2552" i="10"/>
  <c r="A2551" i="10"/>
  <c r="B2551" i="10"/>
  <c r="C2551" i="10"/>
  <c r="A2550" i="10"/>
  <c r="B2550" i="10"/>
  <c r="C2550" i="10"/>
  <c r="A2549" i="10"/>
  <c r="B2549" i="10"/>
  <c r="C2549" i="10"/>
  <c r="A2548" i="10"/>
  <c r="B2548" i="10"/>
  <c r="C2548" i="10"/>
  <c r="A2547" i="10"/>
  <c r="B2547" i="10"/>
  <c r="C2547" i="10"/>
  <c r="A2546" i="10"/>
  <c r="B2546" i="10"/>
  <c r="C2546" i="10"/>
  <c r="A2545" i="10"/>
  <c r="B2545" i="10"/>
  <c r="C2545" i="10"/>
  <c r="A2544" i="10"/>
  <c r="B2544" i="10"/>
  <c r="C2544" i="10"/>
  <c r="A2543" i="10"/>
  <c r="B2543" i="10"/>
  <c r="C2543" i="10"/>
  <c r="A2542" i="10"/>
  <c r="B2542" i="10"/>
  <c r="C2542" i="10"/>
  <c r="A2541" i="10"/>
  <c r="B2541" i="10"/>
  <c r="C2541" i="10"/>
  <c r="A2540" i="10"/>
  <c r="B2540" i="10"/>
  <c r="C2540" i="10"/>
  <c r="A2539" i="10"/>
  <c r="B2539" i="10"/>
  <c r="C2539" i="10"/>
  <c r="A2538" i="10"/>
  <c r="B2538" i="10"/>
  <c r="C2538" i="10"/>
  <c r="A2537" i="10"/>
  <c r="B2537" i="10"/>
  <c r="C2537" i="10"/>
  <c r="A2536" i="10"/>
  <c r="B2536" i="10"/>
  <c r="C2536" i="10"/>
  <c r="A2535" i="10"/>
  <c r="B2535" i="10"/>
  <c r="C2535" i="10"/>
  <c r="A2534" i="10"/>
  <c r="B2534" i="10"/>
  <c r="C2534" i="10"/>
  <c r="A2533" i="10"/>
  <c r="B2533" i="10"/>
  <c r="C2533" i="10"/>
  <c r="A2532" i="10"/>
  <c r="B2532" i="10"/>
  <c r="C2532" i="10"/>
  <c r="A2531" i="10"/>
  <c r="B2531" i="10"/>
  <c r="C2531" i="10"/>
  <c r="A2530" i="10"/>
  <c r="B2530" i="10"/>
  <c r="C2530" i="10"/>
  <c r="A2529" i="10"/>
  <c r="B2529" i="10"/>
  <c r="C2529" i="10"/>
  <c r="A2528" i="10"/>
  <c r="B2528" i="10"/>
  <c r="C2528" i="10"/>
  <c r="A2527" i="10"/>
  <c r="B2527" i="10"/>
  <c r="C2527" i="10"/>
  <c r="A2526" i="10"/>
  <c r="B2526" i="10"/>
  <c r="C2526" i="10"/>
  <c r="A2525" i="10"/>
  <c r="B2525" i="10"/>
  <c r="C2525" i="10"/>
  <c r="A2524" i="10"/>
  <c r="B2524" i="10"/>
  <c r="C2524" i="10"/>
  <c r="A2523" i="10"/>
  <c r="B2523" i="10"/>
  <c r="C2523" i="10"/>
  <c r="A2522" i="10"/>
  <c r="B2522" i="10"/>
  <c r="C2522" i="10"/>
  <c r="A2521" i="10"/>
  <c r="B2521" i="10"/>
  <c r="C2521" i="10"/>
  <c r="A2520" i="10"/>
  <c r="B2520" i="10"/>
  <c r="C2520" i="10"/>
  <c r="A2519" i="10"/>
  <c r="B2519" i="10"/>
  <c r="C2519" i="10"/>
  <c r="A2518" i="10"/>
  <c r="B2518" i="10"/>
  <c r="C2518" i="10"/>
  <c r="A2517" i="10"/>
  <c r="B2517" i="10"/>
  <c r="C2517" i="10"/>
  <c r="A2516" i="10"/>
  <c r="B2516" i="10"/>
  <c r="C2516" i="10"/>
  <c r="A2515" i="10"/>
  <c r="B2515" i="10"/>
  <c r="C2515" i="10"/>
  <c r="A2514" i="10"/>
  <c r="B2514" i="10"/>
  <c r="C2514" i="10"/>
  <c r="A2513" i="10"/>
  <c r="B2513" i="10"/>
  <c r="C2513" i="10"/>
  <c r="A2512" i="10"/>
  <c r="B2512" i="10"/>
  <c r="C2512" i="10"/>
  <c r="A2511" i="10"/>
  <c r="B2511" i="10"/>
  <c r="C2511" i="10"/>
  <c r="A2510" i="10"/>
  <c r="B2510" i="10"/>
  <c r="C2510" i="10"/>
  <c r="A2509" i="10"/>
  <c r="B2509" i="10"/>
  <c r="C2509" i="10"/>
  <c r="A2508" i="10"/>
  <c r="B2508" i="10"/>
  <c r="C2508" i="10"/>
  <c r="A2507" i="10"/>
  <c r="B2507" i="10"/>
  <c r="C2507" i="10"/>
  <c r="A2506" i="10"/>
  <c r="B2506" i="10"/>
  <c r="C2506" i="10"/>
  <c r="A2505" i="10"/>
  <c r="B2505" i="10"/>
  <c r="C2505" i="10"/>
  <c r="A2504" i="10"/>
  <c r="B2504" i="10"/>
  <c r="C2504" i="10"/>
  <c r="A2503" i="10"/>
  <c r="B2503" i="10"/>
  <c r="C2503" i="10"/>
  <c r="A2502" i="10"/>
  <c r="B2502" i="10"/>
  <c r="C2502" i="10"/>
  <c r="A2501" i="10"/>
  <c r="B2501" i="10"/>
  <c r="C2501" i="10"/>
  <c r="A2500" i="10"/>
  <c r="B2500" i="10"/>
  <c r="C2500" i="10"/>
  <c r="A2499" i="10"/>
  <c r="B2499" i="10"/>
  <c r="C2499" i="10"/>
  <c r="A2498" i="10"/>
  <c r="B2498" i="10"/>
  <c r="C2498" i="10"/>
  <c r="A2497" i="10"/>
  <c r="B2497" i="10"/>
  <c r="C2497" i="10"/>
  <c r="A2496" i="10"/>
  <c r="B2496" i="10"/>
  <c r="C2496" i="10"/>
  <c r="A2495" i="10"/>
  <c r="B2495" i="10"/>
  <c r="C2495" i="10"/>
  <c r="A2494" i="10"/>
  <c r="B2494" i="10"/>
  <c r="C2494" i="10"/>
  <c r="A2493" i="10"/>
  <c r="B2493" i="10"/>
  <c r="C2493" i="10"/>
  <c r="A2492" i="10"/>
  <c r="B2492" i="10"/>
  <c r="C2492" i="10"/>
  <c r="A2491" i="10"/>
  <c r="B2491" i="10"/>
  <c r="C2491" i="10"/>
  <c r="A2490" i="10"/>
  <c r="B2490" i="10"/>
  <c r="C2490" i="10"/>
  <c r="A2489" i="10"/>
  <c r="B2489" i="10"/>
  <c r="C2489" i="10"/>
  <c r="A2488" i="10"/>
  <c r="B2488" i="10"/>
  <c r="C2488" i="10"/>
  <c r="A2487" i="10"/>
  <c r="B2487" i="10"/>
  <c r="C2487" i="10"/>
  <c r="A2486" i="10"/>
  <c r="B2486" i="10"/>
  <c r="C2486" i="10"/>
  <c r="A2485" i="10"/>
  <c r="B2485" i="10"/>
  <c r="C2485" i="10"/>
  <c r="A2484" i="10"/>
  <c r="B2484" i="10"/>
  <c r="C2484" i="10"/>
  <c r="A2483" i="10"/>
  <c r="B2483" i="10"/>
  <c r="C2483" i="10"/>
  <c r="A2482" i="10"/>
  <c r="B2482" i="10"/>
  <c r="C2482" i="10"/>
  <c r="A2481" i="10"/>
  <c r="B2481" i="10"/>
  <c r="C2481" i="10"/>
  <c r="A2480" i="10"/>
  <c r="B2480" i="10"/>
  <c r="C2480" i="10"/>
  <c r="A2479" i="10"/>
  <c r="B2479" i="10"/>
  <c r="C2479" i="10"/>
  <c r="A2478" i="10"/>
  <c r="B2478" i="10"/>
  <c r="C2478" i="10"/>
  <c r="A2477" i="10"/>
  <c r="B2477" i="10"/>
  <c r="C2477" i="10"/>
  <c r="A2476" i="10"/>
  <c r="B2476" i="10"/>
  <c r="C2476" i="10"/>
  <c r="A2475" i="10"/>
  <c r="B2475" i="10"/>
  <c r="C2475" i="10"/>
  <c r="A2474" i="10"/>
  <c r="B2474" i="10"/>
  <c r="C2474" i="10"/>
  <c r="A2473" i="10"/>
  <c r="B2473" i="10"/>
  <c r="C2473" i="10"/>
  <c r="A2472" i="10"/>
  <c r="B2472" i="10"/>
  <c r="C2472" i="10"/>
  <c r="A2471" i="10"/>
  <c r="B2471" i="10"/>
  <c r="C2471" i="10"/>
  <c r="A2470" i="10"/>
  <c r="B2470" i="10"/>
  <c r="C2470" i="10"/>
  <c r="A2469" i="10"/>
  <c r="B2469" i="10"/>
  <c r="C2469" i="10"/>
  <c r="A2468" i="10"/>
  <c r="B2468" i="10"/>
  <c r="C2468" i="10"/>
  <c r="A2467" i="10"/>
  <c r="B2467" i="10"/>
  <c r="C2467" i="10"/>
  <c r="A2466" i="10"/>
  <c r="B2466" i="10"/>
  <c r="C2466" i="10"/>
  <c r="A2465" i="10"/>
  <c r="B2465" i="10"/>
  <c r="C2465" i="10"/>
  <c r="A2464" i="10"/>
  <c r="B2464" i="10"/>
  <c r="C2464" i="10"/>
  <c r="A2463" i="10"/>
  <c r="B2463" i="10"/>
  <c r="C2463" i="10"/>
  <c r="A2462" i="10"/>
  <c r="B2462" i="10"/>
  <c r="C2462" i="10"/>
  <c r="A2461" i="10"/>
  <c r="B2461" i="10"/>
  <c r="C2461" i="10"/>
  <c r="A2460" i="10"/>
  <c r="B2460" i="10"/>
  <c r="C2460" i="10"/>
  <c r="A2459" i="10"/>
  <c r="B2459" i="10"/>
  <c r="C2459" i="10"/>
  <c r="A2458" i="10"/>
  <c r="B2458" i="10"/>
  <c r="C2458" i="10"/>
  <c r="A2457" i="10"/>
  <c r="B2457" i="10"/>
  <c r="C2457" i="10"/>
  <c r="A2456" i="10"/>
  <c r="B2456" i="10"/>
  <c r="C2456" i="10"/>
  <c r="A2455" i="10"/>
  <c r="B2455" i="10"/>
  <c r="C2455" i="10"/>
  <c r="A2454" i="10"/>
  <c r="B2454" i="10"/>
  <c r="C2454" i="10"/>
  <c r="A2453" i="10"/>
  <c r="B2453" i="10"/>
  <c r="C2453" i="10"/>
  <c r="A2452" i="10"/>
  <c r="B2452" i="10"/>
  <c r="C2452" i="10"/>
  <c r="A2451" i="10"/>
  <c r="B2451" i="10"/>
  <c r="C2451" i="10"/>
  <c r="A2450" i="10"/>
  <c r="B2450" i="10"/>
  <c r="C2450" i="10"/>
  <c r="A2449" i="10"/>
  <c r="B2449" i="10"/>
  <c r="C2449" i="10"/>
  <c r="A2448" i="10"/>
  <c r="B2448" i="10"/>
  <c r="C2448" i="10"/>
  <c r="A2447" i="10"/>
  <c r="B2447" i="10"/>
  <c r="C2447" i="10"/>
  <c r="A2446" i="10"/>
  <c r="B2446" i="10"/>
  <c r="C2446" i="10"/>
  <c r="A2445" i="10"/>
  <c r="B2445" i="10"/>
  <c r="C2445" i="10"/>
  <c r="A2444" i="10"/>
  <c r="B2444" i="10"/>
  <c r="C2444" i="10"/>
  <c r="A2443" i="10"/>
  <c r="B2443" i="10"/>
  <c r="C2443" i="10"/>
  <c r="A2442" i="10"/>
  <c r="B2442" i="10"/>
  <c r="C2442" i="10"/>
  <c r="A2441" i="10"/>
  <c r="B2441" i="10"/>
  <c r="C2441" i="10"/>
  <c r="A2440" i="10"/>
  <c r="B2440" i="10"/>
  <c r="C2440" i="10"/>
  <c r="A2439" i="10"/>
  <c r="B2439" i="10"/>
  <c r="C2439" i="10"/>
  <c r="A2438" i="10"/>
  <c r="B2438" i="10"/>
  <c r="C2438" i="10"/>
  <c r="A2437" i="10"/>
  <c r="B2437" i="10"/>
  <c r="C2437" i="10"/>
  <c r="A2436" i="10"/>
  <c r="B2436" i="10"/>
  <c r="C2436" i="10"/>
  <c r="A2435" i="10"/>
  <c r="B2435" i="10"/>
  <c r="C2435" i="10"/>
  <c r="A2434" i="10"/>
  <c r="B2434" i="10"/>
  <c r="C2434" i="10"/>
  <c r="A2433" i="10"/>
  <c r="B2433" i="10"/>
  <c r="C2433" i="10"/>
  <c r="A2432" i="10"/>
  <c r="B2432" i="10"/>
  <c r="C2432" i="10"/>
  <c r="A2431" i="10"/>
  <c r="B2431" i="10"/>
  <c r="C2431" i="10"/>
  <c r="A2430" i="10"/>
  <c r="B2430" i="10"/>
  <c r="C2430" i="10"/>
  <c r="A2429" i="10"/>
  <c r="B2429" i="10"/>
  <c r="C2429" i="10"/>
  <c r="A2428" i="10"/>
  <c r="B2428" i="10"/>
  <c r="C2428" i="10"/>
  <c r="A2427" i="10"/>
  <c r="B2427" i="10"/>
  <c r="C2427" i="10"/>
  <c r="A2426" i="10"/>
  <c r="B2426" i="10"/>
  <c r="C2426" i="10"/>
  <c r="A2425" i="10"/>
  <c r="B2425" i="10"/>
  <c r="C2425" i="10"/>
  <c r="A2424" i="10"/>
  <c r="B2424" i="10"/>
  <c r="C2424" i="10"/>
  <c r="A2423" i="10"/>
  <c r="B2423" i="10"/>
  <c r="C2423" i="10"/>
  <c r="A2422" i="10"/>
  <c r="B2422" i="10"/>
  <c r="C2422" i="10"/>
  <c r="A2421" i="10"/>
  <c r="B2421" i="10"/>
  <c r="C2421" i="10"/>
  <c r="A2420" i="10"/>
  <c r="B2420" i="10"/>
  <c r="C2420" i="10"/>
  <c r="A2419" i="10"/>
  <c r="B2419" i="10"/>
  <c r="C2419" i="10"/>
  <c r="A2418" i="10"/>
  <c r="B2418" i="10"/>
  <c r="C2418" i="10"/>
  <c r="A2417" i="10"/>
  <c r="B2417" i="10"/>
  <c r="C2417" i="10"/>
  <c r="A2416" i="10"/>
  <c r="B2416" i="10"/>
  <c r="C2416" i="10"/>
  <c r="A2415" i="10"/>
  <c r="B2415" i="10"/>
  <c r="C2415" i="10"/>
  <c r="A2414" i="10"/>
  <c r="B2414" i="10"/>
  <c r="C2414" i="10"/>
  <c r="A2413" i="10"/>
  <c r="B2413" i="10"/>
  <c r="C2413" i="10"/>
  <c r="A2412" i="10"/>
  <c r="B2412" i="10"/>
  <c r="C2412" i="10"/>
  <c r="A2411" i="10"/>
  <c r="B2411" i="10"/>
  <c r="C2411" i="10"/>
  <c r="A2410" i="10"/>
  <c r="B2410" i="10"/>
  <c r="C2410" i="10"/>
  <c r="A2409" i="10"/>
  <c r="B2409" i="10"/>
  <c r="C2409" i="10"/>
  <c r="A2408" i="10"/>
  <c r="B2408" i="10"/>
  <c r="C2408" i="10"/>
  <c r="A2407" i="10"/>
  <c r="B2407" i="10"/>
  <c r="C2407" i="10"/>
  <c r="A2406" i="10"/>
  <c r="B2406" i="10"/>
  <c r="C2406" i="10"/>
  <c r="A2405" i="10"/>
  <c r="B2405" i="10"/>
  <c r="C2405" i="10"/>
  <c r="A2404" i="10"/>
  <c r="B2404" i="10"/>
  <c r="C2404" i="10"/>
  <c r="A2403" i="10"/>
  <c r="B2403" i="10"/>
  <c r="C2403" i="10"/>
  <c r="A2402" i="10"/>
  <c r="B2402" i="10"/>
  <c r="C2402" i="10"/>
  <c r="A2401" i="10"/>
  <c r="B2401" i="10"/>
  <c r="C2401" i="10"/>
  <c r="A2400" i="10"/>
  <c r="B2400" i="10"/>
  <c r="C2400" i="10"/>
  <c r="A2399" i="10"/>
  <c r="B2399" i="10"/>
  <c r="C2399" i="10"/>
  <c r="A2398" i="10"/>
  <c r="B2398" i="10"/>
  <c r="C2398" i="10"/>
  <c r="A2397" i="10"/>
  <c r="B2397" i="10"/>
  <c r="C2397" i="10"/>
  <c r="A2396" i="10"/>
  <c r="B2396" i="10"/>
  <c r="C2396" i="10"/>
  <c r="A2395" i="10"/>
  <c r="B2395" i="10"/>
  <c r="C2395" i="10"/>
  <c r="A2394" i="10"/>
  <c r="B2394" i="10"/>
  <c r="C2394" i="10"/>
  <c r="A2393" i="10"/>
  <c r="B2393" i="10"/>
  <c r="C2393" i="10"/>
  <c r="A2392" i="10"/>
  <c r="B2392" i="10"/>
  <c r="C2392" i="10"/>
  <c r="A2391" i="10"/>
  <c r="B2391" i="10"/>
  <c r="C2391" i="10"/>
  <c r="A2390" i="10"/>
  <c r="B2390" i="10"/>
  <c r="C2390" i="10"/>
  <c r="A2389" i="10"/>
  <c r="B2389" i="10"/>
  <c r="C2389" i="10"/>
  <c r="A2388" i="10"/>
  <c r="B2388" i="10"/>
  <c r="C2388" i="10"/>
  <c r="A2387" i="10"/>
  <c r="B2387" i="10"/>
  <c r="C2387" i="10"/>
  <c r="A2386" i="10"/>
  <c r="B2386" i="10"/>
  <c r="C2386" i="10"/>
  <c r="A2385" i="10"/>
  <c r="B2385" i="10"/>
  <c r="C2385" i="10"/>
  <c r="A2384" i="10"/>
  <c r="B2384" i="10"/>
  <c r="C2384" i="10"/>
  <c r="A2383" i="10"/>
  <c r="B2383" i="10"/>
  <c r="C2383" i="10"/>
  <c r="A2382" i="10"/>
  <c r="B2382" i="10"/>
  <c r="C2382" i="10"/>
  <c r="A2381" i="10"/>
  <c r="B2381" i="10"/>
  <c r="C2381" i="10"/>
  <c r="A2380" i="10"/>
  <c r="B2380" i="10"/>
  <c r="C2380" i="10"/>
  <c r="A2379" i="10"/>
  <c r="B2379" i="10"/>
  <c r="C2379" i="10"/>
  <c r="A2378" i="10"/>
  <c r="B2378" i="10"/>
  <c r="C2378" i="10"/>
  <c r="A2377" i="10"/>
  <c r="B2377" i="10"/>
  <c r="C2377" i="10"/>
  <c r="A2376" i="10"/>
  <c r="B2376" i="10"/>
  <c r="C2376" i="10"/>
  <c r="A2375" i="10"/>
  <c r="B2375" i="10"/>
  <c r="C2375" i="10"/>
  <c r="A2374" i="10"/>
  <c r="B2374" i="10"/>
  <c r="C2374" i="10"/>
  <c r="A2373" i="10"/>
  <c r="B2373" i="10"/>
  <c r="C2373" i="10"/>
  <c r="A2372" i="10"/>
  <c r="B2372" i="10"/>
  <c r="C2372" i="10"/>
  <c r="A2371" i="10"/>
  <c r="B2371" i="10"/>
  <c r="C2371" i="10"/>
  <c r="A2370" i="10"/>
  <c r="B2370" i="10"/>
  <c r="C2370" i="10"/>
  <c r="A2369" i="10"/>
  <c r="B2369" i="10"/>
  <c r="C2369" i="10"/>
  <c r="A2368" i="10"/>
  <c r="B2368" i="10"/>
  <c r="C2368" i="10"/>
  <c r="A2367" i="10"/>
  <c r="B2367" i="10"/>
  <c r="C2367" i="10"/>
  <c r="A2366" i="10"/>
  <c r="B2366" i="10"/>
  <c r="C2366" i="10"/>
  <c r="A2365" i="10"/>
  <c r="B2365" i="10"/>
  <c r="C2365" i="10"/>
  <c r="A2364" i="10"/>
  <c r="B2364" i="10"/>
  <c r="C2364" i="10"/>
  <c r="A2363" i="10"/>
  <c r="B2363" i="10"/>
  <c r="C2363" i="10"/>
  <c r="A2362" i="10"/>
  <c r="B2362" i="10"/>
  <c r="C2362" i="10"/>
  <c r="A2361" i="10"/>
  <c r="B2361" i="10"/>
  <c r="C2361" i="10"/>
  <c r="A2360" i="10"/>
  <c r="B2360" i="10"/>
  <c r="C2360" i="10"/>
  <c r="A2359" i="10"/>
  <c r="B2359" i="10"/>
  <c r="C2359" i="10"/>
  <c r="A2358" i="10"/>
  <c r="B2358" i="10"/>
  <c r="C2358" i="10"/>
  <c r="A2357" i="10"/>
  <c r="B2357" i="10"/>
  <c r="C2357" i="10"/>
  <c r="A2356" i="10"/>
  <c r="B2356" i="10"/>
  <c r="C2356" i="10"/>
  <c r="A2355" i="10"/>
  <c r="B2355" i="10"/>
  <c r="C2355" i="10"/>
  <c r="A2354" i="10"/>
  <c r="B2354" i="10"/>
  <c r="C2354" i="10"/>
  <c r="A2353" i="10"/>
  <c r="B2353" i="10"/>
  <c r="C2353" i="10"/>
  <c r="A2352" i="10"/>
  <c r="B2352" i="10"/>
  <c r="C2352" i="10"/>
  <c r="A2351" i="10"/>
  <c r="B2351" i="10"/>
  <c r="C2351" i="10"/>
  <c r="A2350" i="10"/>
  <c r="B2350" i="10"/>
  <c r="C2350" i="10"/>
  <c r="A2349" i="10"/>
  <c r="B2349" i="10"/>
  <c r="C2349" i="10"/>
  <c r="A2348" i="10"/>
  <c r="B2348" i="10"/>
  <c r="C2348" i="10"/>
  <c r="A2347" i="10"/>
  <c r="B2347" i="10"/>
  <c r="C2347" i="10"/>
  <c r="A2346" i="10"/>
  <c r="B2346" i="10"/>
  <c r="C2346" i="10"/>
  <c r="A2345" i="10"/>
  <c r="B2345" i="10"/>
  <c r="C2345" i="10"/>
  <c r="A2344" i="10"/>
  <c r="B2344" i="10"/>
  <c r="C2344" i="10"/>
  <c r="A2343" i="10"/>
  <c r="B2343" i="10"/>
  <c r="C2343" i="10"/>
  <c r="A2342" i="10"/>
  <c r="B2342" i="10"/>
  <c r="C2342" i="10"/>
  <c r="A2341" i="10"/>
  <c r="B2341" i="10"/>
  <c r="C2341" i="10"/>
  <c r="A2340" i="10"/>
  <c r="B2340" i="10"/>
  <c r="C2340" i="10"/>
  <c r="A2339" i="10"/>
  <c r="B2339" i="10"/>
  <c r="C2339" i="10"/>
  <c r="A2338" i="10"/>
  <c r="B2338" i="10"/>
  <c r="C2338" i="10"/>
  <c r="A2337" i="10"/>
  <c r="B2337" i="10"/>
  <c r="C2337" i="10"/>
  <c r="A2336" i="10"/>
  <c r="B2336" i="10"/>
  <c r="C2336" i="10"/>
  <c r="A2335" i="10"/>
  <c r="B2335" i="10"/>
  <c r="C2335" i="10"/>
  <c r="A2334" i="10"/>
  <c r="B2334" i="10"/>
  <c r="C2334" i="10"/>
  <c r="A2333" i="10"/>
  <c r="B2333" i="10"/>
  <c r="C2333" i="10"/>
  <c r="A2332" i="10"/>
  <c r="B2332" i="10"/>
  <c r="C2332" i="10"/>
  <c r="A2331" i="10"/>
  <c r="B2331" i="10"/>
  <c r="C2331" i="10"/>
  <c r="A2330" i="10"/>
  <c r="B2330" i="10"/>
  <c r="C2330" i="10"/>
  <c r="A2329" i="10"/>
  <c r="B2329" i="10"/>
  <c r="C2329" i="10"/>
  <c r="A2328" i="10"/>
  <c r="B2328" i="10"/>
  <c r="C2328" i="10"/>
  <c r="A2327" i="10"/>
  <c r="B2327" i="10"/>
  <c r="C2327" i="10"/>
  <c r="A2326" i="10"/>
  <c r="B2326" i="10"/>
  <c r="C2326" i="10"/>
  <c r="A2325" i="10"/>
  <c r="B2325" i="10"/>
  <c r="C2325" i="10"/>
  <c r="A2324" i="10"/>
  <c r="B2324" i="10"/>
  <c r="C2324" i="10"/>
  <c r="A2323" i="10"/>
  <c r="B2323" i="10"/>
  <c r="C2323" i="10"/>
  <c r="A2322" i="10"/>
  <c r="B2322" i="10"/>
  <c r="C2322" i="10"/>
  <c r="A2321" i="10"/>
  <c r="B2321" i="10"/>
  <c r="C2321" i="10"/>
  <c r="A2320" i="10"/>
  <c r="B2320" i="10"/>
  <c r="C2320" i="10"/>
  <c r="A2319" i="10"/>
  <c r="B2319" i="10"/>
  <c r="C2319" i="10"/>
  <c r="A2318" i="10"/>
  <c r="B2318" i="10"/>
  <c r="C2318" i="10"/>
  <c r="A2317" i="10"/>
  <c r="B2317" i="10"/>
  <c r="C2317" i="10"/>
  <c r="A2316" i="10"/>
  <c r="B2316" i="10"/>
  <c r="C2316" i="10"/>
  <c r="A2315" i="10"/>
  <c r="B2315" i="10"/>
  <c r="C2315" i="10"/>
  <c r="A2314" i="10"/>
  <c r="B2314" i="10"/>
  <c r="C2314" i="10"/>
  <c r="A2313" i="10"/>
  <c r="B2313" i="10"/>
  <c r="C2313" i="10"/>
  <c r="A2312" i="10"/>
  <c r="B2312" i="10"/>
  <c r="C2312" i="10"/>
  <c r="A2311" i="10"/>
  <c r="B2311" i="10"/>
  <c r="C2311" i="10"/>
  <c r="A2310" i="10"/>
  <c r="B2310" i="10"/>
  <c r="C2310" i="10"/>
  <c r="A2309" i="10"/>
  <c r="B2309" i="10"/>
  <c r="C2309" i="10"/>
  <c r="A2308" i="10"/>
  <c r="B2308" i="10"/>
  <c r="C2308" i="10"/>
  <c r="A2307" i="10"/>
  <c r="B2307" i="10"/>
  <c r="C2307" i="10"/>
  <c r="A2306" i="10"/>
  <c r="B2306" i="10"/>
  <c r="C2306" i="10"/>
  <c r="A2305" i="10"/>
  <c r="B2305" i="10"/>
  <c r="C2305" i="10"/>
  <c r="A2304" i="10"/>
  <c r="B2304" i="10"/>
  <c r="C2304" i="10"/>
  <c r="A2303" i="10"/>
  <c r="B2303" i="10"/>
  <c r="C2303" i="10"/>
  <c r="A2302" i="10"/>
  <c r="B2302" i="10"/>
  <c r="C2302" i="10"/>
  <c r="A2301" i="10"/>
  <c r="B2301" i="10"/>
  <c r="C2301" i="10"/>
  <c r="A2300" i="10"/>
  <c r="B2300" i="10"/>
  <c r="C2300" i="10"/>
  <c r="A2299" i="10"/>
  <c r="B2299" i="10"/>
  <c r="C2299" i="10"/>
  <c r="A2298" i="10"/>
  <c r="B2298" i="10"/>
  <c r="C2298" i="10"/>
  <c r="A2297" i="10"/>
  <c r="B2297" i="10"/>
  <c r="C2297" i="10"/>
  <c r="A2296" i="10"/>
  <c r="B2296" i="10"/>
  <c r="C2296" i="10"/>
  <c r="A2295" i="10"/>
  <c r="B2295" i="10"/>
  <c r="C2295" i="10"/>
  <c r="A2294" i="10"/>
  <c r="B2294" i="10"/>
  <c r="C2294" i="10"/>
  <c r="A2293" i="10"/>
  <c r="B2293" i="10"/>
  <c r="C2293" i="10"/>
  <c r="A2292" i="10"/>
  <c r="B2292" i="10"/>
  <c r="C2292" i="10"/>
  <c r="A2291" i="10"/>
  <c r="B2291" i="10"/>
  <c r="C2291" i="10"/>
  <c r="A2290" i="10"/>
  <c r="B2290" i="10"/>
  <c r="C2290" i="10"/>
  <c r="A2289" i="10"/>
  <c r="B2289" i="10"/>
  <c r="C2289" i="10"/>
  <c r="A2288" i="10"/>
  <c r="B2288" i="10"/>
  <c r="C2288" i="10"/>
  <c r="A2287" i="10"/>
  <c r="B2287" i="10"/>
  <c r="C2287" i="10"/>
  <c r="A2286" i="10"/>
  <c r="B2286" i="10"/>
  <c r="C2286" i="10"/>
  <c r="A2285" i="10"/>
  <c r="B2285" i="10"/>
  <c r="C2285" i="10"/>
  <c r="A2284" i="10"/>
  <c r="B2284" i="10"/>
  <c r="C2284" i="10"/>
  <c r="A2283" i="10"/>
  <c r="B2283" i="10"/>
  <c r="C2283" i="10"/>
  <c r="A2282" i="10"/>
  <c r="B2282" i="10"/>
  <c r="C2282" i="10"/>
  <c r="A2281" i="10"/>
  <c r="B2281" i="10"/>
  <c r="C2281" i="10"/>
  <c r="A2280" i="10"/>
  <c r="B2280" i="10"/>
  <c r="C2280" i="10"/>
  <c r="A2279" i="10"/>
  <c r="B2279" i="10"/>
  <c r="C2279" i="10"/>
  <c r="A2278" i="10"/>
  <c r="B2278" i="10"/>
  <c r="C2278" i="10"/>
  <c r="A2277" i="10"/>
  <c r="B2277" i="10"/>
  <c r="C2277" i="10"/>
  <c r="A2276" i="10"/>
  <c r="B2276" i="10"/>
  <c r="C2276" i="10"/>
  <c r="A2275" i="10"/>
  <c r="B2275" i="10"/>
  <c r="C2275" i="10"/>
  <c r="A2274" i="10"/>
  <c r="B2274" i="10"/>
  <c r="C2274" i="10"/>
  <c r="A2273" i="10"/>
  <c r="B2273" i="10"/>
  <c r="C2273" i="10"/>
  <c r="A2272" i="10"/>
  <c r="B2272" i="10"/>
  <c r="C2272" i="10"/>
  <c r="A2271" i="10"/>
  <c r="B2271" i="10"/>
  <c r="C2271" i="10"/>
  <c r="A2270" i="10"/>
  <c r="B2270" i="10"/>
  <c r="C2270" i="10"/>
  <c r="A2269" i="10"/>
  <c r="B2269" i="10"/>
  <c r="C2269" i="10"/>
  <c r="A2268" i="10"/>
  <c r="B2268" i="10"/>
  <c r="C2268" i="10"/>
  <c r="A2267" i="10"/>
  <c r="B2267" i="10"/>
  <c r="C2267" i="10"/>
  <c r="A2266" i="10"/>
  <c r="B2266" i="10"/>
  <c r="C2266" i="10"/>
  <c r="A2265" i="10"/>
  <c r="B2265" i="10"/>
  <c r="C2265" i="10"/>
  <c r="A2264" i="10"/>
  <c r="B2264" i="10"/>
  <c r="C2264" i="10"/>
  <c r="A2263" i="10"/>
  <c r="B2263" i="10"/>
  <c r="C2263" i="10"/>
  <c r="A2262" i="10"/>
  <c r="B2262" i="10"/>
  <c r="C2262" i="10"/>
  <c r="A2261" i="10"/>
  <c r="B2261" i="10"/>
  <c r="C2261" i="10"/>
  <c r="A2260" i="10"/>
  <c r="B2260" i="10"/>
  <c r="C2260" i="10"/>
  <c r="A2259" i="10"/>
  <c r="B2259" i="10"/>
  <c r="C2259" i="10"/>
  <c r="A2258" i="10"/>
  <c r="B2258" i="10"/>
  <c r="C2258" i="10"/>
  <c r="A2257" i="10"/>
  <c r="B2257" i="10"/>
  <c r="C2257" i="10"/>
  <c r="A2256" i="10"/>
  <c r="B2256" i="10"/>
  <c r="C2256" i="10"/>
  <c r="A2255" i="10"/>
  <c r="B2255" i="10"/>
  <c r="C2255" i="10"/>
  <c r="A2254" i="10"/>
  <c r="B2254" i="10"/>
  <c r="C2254" i="10"/>
  <c r="A2253" i="10"/>
  <c r="B2253" i="10"/>
  <c r="C2253" i="10"/>
  <c r="A2252" i="10"/>
  <c r="B2252" i="10"/>
  <c r="C2252" i="10"/>
  <c r="A2251" i="10"/>
  <c r="B2251" i="10"/>
  <c r="C2251" i="10"/>
  <c r="A2250" i="10"/>
  <c r="B2250" i="10"/>
  <c r="C2250" i="10"/>
  <c r="A2249" i="10"/>
  <c r="B2249" i="10"/>
  <c r="C2249" i="10"/>
  <c r="A2248" i="10"/>
  <c r="B2248" i="10"/>
  <c r="C2248" i="10"/>
  <c r="A2247" i="10"/>
  <c r="B2247" i="10"/>
  <c r="C2247" i="10"/>
  <c r="A2246" i="10"/>
  <c r="B2246" i="10"/>
  <c r="C2246" i="10"/>
  <c r="A2245" i="10"/>
  <c r="B2245" i="10"/>
  <c r="C2245" i="10"/>
  <c r="A2244" i="10"/>
  <c r="B2244" i="10"/>
  <c r="C2244" i="10"/>
  <c r="A2243" i="10"/>
  <c r="B2243" i="10"/>
  <c r="C2243" i="10"/>
  <c r="A2242" i="10"/>
  <c r="B2242" i="10"/>
  <c r="C2242" i="10"/>
  <c r="A2241" i="10"/>
  <c r="B2241" i="10"/>
  <c r="C2241" i="10"/>
  <c r="A2240" i="10"/>
  <c r="B2240" i="10"/>
  <c r="C2240" i="10"/>
  <c r="A2239" i="10"/>
  <c r="B2239" i="10"/>
  <c r="C2239" i="10"/>
  <c r="A2238" i="10"/>
  <c r="B2238" i="10"/>
  <c r="C2238" i="10"/>
  <c r="A2237" i="10"/>
  <c r="B2237" i="10"/>
  <c r="C2237" i="10"/>
  <c r="A2236" i="10"/>
  <c r="B2236" i="10"/>
  <c r="C2236" i="10"/>
  <c r="A2235" i="10"/>
  <c r="B2235" i="10"/>
  <c r="C2235" i="10"/>
  <c r="A2234" i="10"/>
  <c r="B2234" i="10"/>
  <c r="C2234" i="10"/>
  <c r="A2233" i="10"/>
  <c r="B2233" i="10"/>
  <c r="C2233" i="10"/>
  <c r="A2232" i="10"/>
  <c r="B2232" i="10"/>
  <c r="C2232" i="10"/>
  <c r="A2231" i="10"/>
  <c r="B2231" i="10"/>
  <c r="C2231" i="10"/>
  <c r="A2230" i="10"/>
  <c r="B2230" i="10"/>
  <c r="C2230" i="10"/>
  <c r="A2229" i="10"/>
  <c r="B2229" i="10"/>
  <c r="C2229" i="10"/>
  <c r="A2228" i="10"/>
  <c r="B2228" i="10"/>
  <c r="C2228" i="10"/>
  <c r="A2227" i="10"/>
  <c r="B2227" i="10"/>
  <c r="C2227" i="10"/>
  <c r="A2226" i="10"/>
  <c r="B2226" i="10"/>
  <c r="C2226" i="10"/>
  <c r="A2225" i="10"/>
  <c r="B2225" i="10"/>
  <c r="C2225" i="10"/>
  <c r="A2224" i="10"/>
  <c r="B2224" i="10"/>
  <c r="C2224" i="10"/>
  <c r="A2223" i="10"/>
  <c r="B2223" i="10"/>
  <c r="C2223" i="10"/>
  <c r="A2222" i="10"/>
  <c r="B2222" i="10"/>
  <c r="C2222" i="10"/>
  <c r="A2221" i="10"/>
  <c r="B2221" i="10"/>
  <c r="C2221" i="10"/>
  <c r="A2220" i="10"/>
  <c r="B2220" i="10"/>
  <c r="C2220" i="10"/>
  <c r="A2219" i="10"/>
  <c r="B2219" i="10"/>
  <c r="C2219" i="10"/>
  <c r="A2218" i="10"/>
  <c r="B2218" i="10"/>
  <c r="C2218" i="10"/>
  <c r="A2217" i="10"/>
  <c r="B2217" i="10"/>
  <c r="C2217" i="10"/>
  <c r="A2216" i="10"/>
  <c r="B2216" i="10"/>
  <c r="C2216" i="10"/>
  <c r="A2215" i="10"/>
  <c r="B2215" i="10"/>
  <c r="C2215" i="10"/>
  <c r="A2214" i="10"/>
  <c r="B2214" i="10"/>
  <c r="C2214" i="10"/>
  <c r="A2213" i="10"/>
  <c r="B2213" i="10"/>
  <c r="C2213" i="10"/>
  <c r="A2212" i="10"/>
  <c r="B2212" i="10"/>
  <c r="C2212" i="10"/>
  <c r="A2211" i="10"/>
  <c r="B2211" i="10"/>
  <c r="C2211" i="10"/>
  <c r="A2210" i="10"/>
  <c r="B2210" i="10"/>
  <c r="C2210" i="10"/>
  <c r="A2209" i="10"/>
  <c r="B2209" i="10"/>
  <c r="C2209" i="10"/>
  <c r="A2208" i="10"/>
  <c r="B2208" i="10"/>
  <c r="C2208" i="10"/>
  <c r="A2207" i="10"/>
  <c r="B2207" i="10"/>
  <c r="C2207" i="10"/>
  <c r="A2206" i="10"/>
  <c r="B2206" i="10"/>
  <c r="C2206" i="10"/>
  <c r="A2205" i="10"/>
  <c r="B2205" i="10"/>
  <c r="C2205" i="10"/>
  <c r="A2204" i="10"/>
  <c r="B2204" i="10"/>
  <c r="C2204" i="10"/>
  <c r="A2203" i="10"/>
  <c r="B2203" i="10"/>
  <c r="C2203" i="10"/>
  <c r="A2202" i="10"/>
  <c r="B2202" i="10"/>
  <c r="C2202" i="10"/>
  <c r="A2201" i="10"/>
  <c r="B2201" i="10"/>
  <c r="C2201" i="10"/>
  <c r="A2200" i="10"/>
  <c r="B2200" i="10"/>
  <c r="C2200" i="10"/>
  <c r="A2199" i="10"/>
  <c r="B2199" i="10"/>
  <c r="C2199" i="10"/>
  <c r="A2198" i="10"/>
  <c r="B2198" i="10"/>
  <c r="C2198" i="10"/>
  <c r="A2197" i="10"/>
  <c r="B2197" i="10"/>
  <c r="C2197" i="10"/>
  <c r="A2196" i="10"/>
  <c r="B2196" i="10"/>
  <c r="C2196" i="10"/>
  <c r="A2195" i="10"/>
  <c r="B2195" i="10"/>
  <c r="C2195" i="10"/>
  <c r="A2194" i="10"/>
  <c r="B2194" i="10"/>
  <c r="C2194" i="10"/>
  <c r="A2193" i="10"/>
  <c r="B2193" i="10"/>
  <c r="C2193" i="10"/>
  <c r="A2192" i="10"/>
  <c r="B2192" i="10"/>
  <c r="C2192" i="10"/>
  <c r="A2191" i="10"/>
  <c r="B2191" i="10"/>
  <c r="C2191" i="10"/>
  <c r="A2190" i="10"/>
  <c r="B2190" i="10"/>
  <c r="C2190" i="10"/>
  <c r="A2189" i="10"/>
  <c r="B2189" i="10"/>
  <c r="C2189" i="10"/>
  <c r="A2188" i="10"/>
  <c r="B2188" i="10"/>
  <c r="C2188" i="10"/>
  <c r="A2187" i="10"/>
  <c r="B2187" i="10"/>
  <c r="C2187" i="10"/>
  <c r="A2186" i="10"/>
  <c r="B2186" i="10"/>
  <c r="C2186" i="10"/>
  <c r="A2185" i="10"/>
  <c r="B2185" i="10"/>
  <c r="C2185" i="10"/>
  <c r="A2184" i="10"/>
  <c r="B2184" i="10"/>
  <c r="C2184" i="10"/>
  <c r="A2183" i="10"/>
  <c r="B2183" i="10"/>
  <c r="C2183" i="10"/>
  <c r="A2182" i="10"/>
  <c r="B2182" i="10"/>
  <c r="C2182" i="10"/>
  <c r="A2181" i="10"/>
  <c r="B2181" i="10"/>
  <c r="C2181" i="10"/>
  <c r="A2180" i="10"/>
  <c r="B2180" i="10"/>
  <c r="C2180" i="10"/>
  <c r="A2179" i="10"/>
  <c r="B2179" i="10"/>
  <c r="C2179" i="10"/>
  <c r="A2178" i="10"/>
  <c r="B2178" i="10"/>
  <c r="C2178" i="10"/>
  <c r="A2177" i="10"/>
  <c r="B2177" i="10"/>
  <c r="C2177" i="10"/>
  <c r="A2176" i="10"/>
  <c r="B2176" i="10"/>
  <c r="C2176" i="10"/>
  <c r="A2175" i="10"/>
  <c r="B2175" i="10"/>
  <c r="C2175" i="10"/>
  <c r="A2174" i="10"/>
  <c r="B2174" i="10"/>
  <c r="C2174" i="10"/>
  <c r="A2173" i="10"/>
  <c r="B2173" i="10"/>
  <c r="C2173" i="10"/>
  <c r="A2172" i="10"/>
  <c r="B2172" i="10"/>
  <c r="C2172" i="10"/>
  <c r="A2171" i="10"/>
  <c r="B2171" i="10"/>
  <c r="C2171" i="10"/>
  <c r="A2170" i="10"/>
  <c r="B2170" i="10"/>
  <c r="C2170" i="10"/>
  <c r="A2169" i="10"/>
  <c r="B2169" i="10"/>
  <c r="C2169" i="10"/>
  <c r="A2168" i="10"/>
  <c r="B2168" i="10"/>
  <c r="C2168" i="10"/>
  <c r="A2167" i="10"/>
  <c r="B2167" i="10"/>
  <c r="C2167" i="10"/>
  <c r="A2166" i="10"/>
  <c r="B2166" i="10"/>
  <c r="C2166" i="10"/>
  <c r="A2165" i="10"/>
  <c r="B2165" i="10"/>
  <c r="C2165" i="10"/>
  <c r="A2164" i="10"/>
  <c r="B2164" i="10"/>
  <c r="C2164" i="10"/>
  <c r="A2163" i="10"/>
  <c r="B2163" i="10"/>
  <c r="C2163" i="10"/>
  <c r="A2162" i="10"/>
  <c r="B2162" i="10"/>
  <c r="C2162" i="10"/>
  <c r="A2161" i="10"/>
  <c r="B2161" i="10"/>
  <c r="C2161" i="10"/>
  <c r="A2160" i="10"/>
  <c r="B2160" i="10"/>
  <c r="C2160" i="10"/>
  <c r="A2159" i="10"/>
  <c r="B2159" i="10"/>
  <c r="C2159" i="10"/>
  <c r="A2158" i="10"/>
  <c r="B2158" i="10"/>
  <c r="C2158" i="10"/>
  <c r="A2157" i="10"/>
  <c r="B2157" i="10"/>
  <c r="C2157" i="10"/>
  <c r="A2156" i="10"/>
  <c r="B2156" i="10"/>
  <c r="C2156" i="10"/>
  <c r="A2155" i="10"/>
  <c r="B2155" i="10"/>
  <c r="C2155" i="10"/>
  <c r="A2154" i="10"/>
  <c r="B2154" i="10"/>
  <c r="C2154" i="10"/>
  <c r="A2153" i="10"/>
  <c r="B2153" i="10"/>
  <c r="C2153" i="10"/>
  <c r="A2152" i="10"/>
  <c r="B2152" i="10"/>
  <c r="C2152" i="10"/>
  <c r="A2151" i="10"/>
  <c r="B2151" i="10"/>
  <c r="C2151" i="10"/>
  <c r="A2150" i="10"/>
  <c r="B2150" i="10"/>
  <c r="C2150" i="10"/>
  <c r="A2149" i="10"/>
  <c r="B2149" i="10"/>
  <c r="C2149" i="10"/>
  <c r="A2148" i="10"/>
  <c r="B2148" i="10"/>
  <c r="C2148" i="10"/>
  <c r="A2147" i="10"/>
  <c r="B2147" i="10"/>
  <c r="C2147" i="10"/>
  <c r="A2146" i="10"/>
  <c r="B2146" i="10"/>
  <c r="C2146" i="10"/>
  <c r="A2145" i="10"/>
  <c r="B2145" i="10"/>
  <c r="C2145" i="10"/>
  <c r="A2144" i="10"/>
  <c r="B2144" i="10"/>
  <c r="C2144" i="10"/>
  <c r="A2143" i="10"/>
  <c r="B2143" i="10"/>
  <c r="C2143" i="10"/>
  <c r="A2142" i="10"/>
  <c r="B2142" i="10"/>
  <c r="C2142" i="10"/>
  <c r="A2141" i="10"/>
  <c r="B2141" i="10"/>
  <c r="C2141" i="10"/>
  <c r="A2140" i="10"/>
  <c r="B2140" i="10"/>
  <c r="C2140" i="10"/>
  <c r="A2139" i="10"/>
  <c r="B2139" i="10"/>
  <c r="C2139" i="10"/>
  <c r="A2138" i="10"/>
  <c r="B2138" i="10"/>
  <c r="C2138" i="10"/>
  <c r="A2137" i="10"/>
  <c r="B2137" i="10"/>
  <c r="C2137" i="10"/>
  <c r="A2136" i="10"/>
  <c r="B2136" i="10"/>
  <c r="C2136" i="10"/>
  <c r="A2135" i="10"/>
  <c r="B2135" i="10"/>
  <c r="C2135" i="10"/>
  <c r="A2134" i="10"/>
  <c r="B2134" i="10"/>
  <c r="C2134" i="10"/>
  <c r="A2133" i="10"/>
  <c r="B2133" i="10"/>
  <c r="C2133" i="10"/>
  <c r="A2132" i="10"/>
  <c r="B2132" i="10"/>
  <c r="C2132" i="10"/>
  <c r="A2131" i="10"/>
  <c r="B2131" i="10"/>
  <c r="C2131" i="10"/>
  <c r="A2130" i="10"/>
  <c r="B2130" i="10"/>
  <c r="C2130" i="10"/>
  <c r="A2129" i="10"/>
  <c r="B2129" i="10"/>
  <c r="C2129" i="10"/>
  <c r="A2128" i="10"/>
  <c r="B2128" i="10"/>
  <c r="C2128" i="10"/>
  <c r="A2127" i="10"/>
  <c r="B2127" i="10"/>
  <c r="C2127" i="10"/>
  <c r="A2126" i="10"/>
  <c r="B2126" i="10"/>
  <c r="C2126" i="10"/>
  <c r="A2125" i="10"/>
  <c r="B2125" i="10"/>
  <c r="C2125" i="10"/>
  <c r="A2124" i="10"/>
  <c r="B2124" i="10"/>
  <c r="C2124" i="10"/>
  <c r="A2123" i="10"/>
  <c r="B2123" i="10"/>
  <c r="C2123" i="10"/>
  <c r="A2122" i="10"/>
  <c r="B2122" i="10"/>
  <c r="C2122" i="10"/>
  <c r="A2121" i="10"/>
  <c r="B2121" i="10"/>
  <c r="C2121" i="10"/>
  <c r="A2120" i="10"/>
  <c r="B2120" i="10"/>
  <c r="C2120" i="10"/>
  <c r="A2119" i="10"/>
  <c r="B2119" i="10"/>
  <c r="C2119" i="10"/>
  <c r="A2118" i="10"/>
  <c r="B2118" i="10"/>
  <c r="C2118" i="10"/>
  <c r="A2117" i="10"/>
  <c r="B2117" i="10"/>
  <c r="C2117" i="10"/>
  <c r="A2116" i="10"/>
  <c r="B2116" i="10"/>
  <c r="C2116" i="10"/>
  <c r="A2115" i="10"/>
  <c r="B2115" i="10"/>
  <c r="C2115" i="10"/>
  <c r="A2114" i="10"/>
  <c r="B2114" i="10"/>
  <c r="C2114" i="10"/>
  <c r="A2113" i="10"/>
  <c r="B2113" i="10"/>
  <c r="C2113" i="10"/>
  <c r="A2112" i="10"/>
  <c r="B2112" i="10"/>
  <c r="C2112" i="10"/>
  <c r="A2111" i="10"/>
  <c r="B2111" i="10"/>
  <c r="C2111" i="10"/>
  <c r="A2110" i="10"/>
  <c r="B2110" i="10"/>
  <c r="C2110" i="10"/>
  <c r="A2109" i="10"/>
  <c r="B2109" i="10"/>
  <c r="C2109" i="10"/>
  <c r="A2108" i="10"/>
  <c r="B2108" i="10"/>
  <c r="C2108" i="10"/>
  <c r="A2107" i="10"/>
  <c r="B2107" i="10"/>
  <c r="C2107" i="10"/>
  <c r="A2106" i="10"/>
  <c r="B2106" i="10"/>
  <c r="C2106" i="10"/>
  <c r="A2105" i="10"/>
  <c r="B2105" i="10"/>
  <c r="C2105" i="10"/>
  <c r="A2104" i="10"/>
  <c r="B2104" i="10"/>
  <c r="C2104" i="10"/>
  <c r="A2103" i="10"/>
  <c r="B2103" i="10"/>
  <c r="C2103" i="10"/>
  <c r="A2102" i="10"/>
  <c r="B2102" i="10"/>
  <c r="C2102" i="10"/>
  <c r="A2101" i="10"/>
  <c r="B2101" i="10"/>
  <c r="C2101" i="10"/>
  <c r="A2100" i="10"/>
  <c r="B2100" i="10"/>
  <c r="C2100" i="10"/>
  <c r="A2099" i="10"/>
  <c r="B2099" i="10"/>
  <c r="C2099" i="10"/>
  <c r="A2098" i="10"/>
  <c r="B2098" i="10"/>
  <c r="C2098" i="10"/>
  <c r="A2097" i="10"/>
  <c r="B2097" i="10"/>
  <c r="C2097" i="10"/>
  <c r="A2096" i="10"/>
  <c r="B2096" i="10"/>
  <c r="C2096" i="10"/>
  <c r="A2095" i="10"/>
  <c r="B2095" i="10"/>
  <c r="C2095" i="10"/>
  <c r="A2094" i="10"/>
  <c r="B2094" i="10"/>
  <c r="C2094" i="10"/>
  <c r="A2093" i="10"/>
  <c r="B2093" i="10"/>
  <c r="C2093" i="10"/>
  <c r="A2092" i="10"/>
  <c r="B2092" i="10"/>
  <c r="C2092" i="10"/>
  <c r="A2091" i="10"/>
  <c r="B2091" i="10"/>
  <c r="C2091" i="10"/>
  <c r="A2090" i="10"/>
  <c r="B2090" i="10"/>
  <c r="C2090" i="10"/>
  <c r="A2089" i="10"/>
  <c r="B2089" i="10"/>
  <c r="C2089" i="10"/>
  <c r="A2088" i="10"/>
  <c r="B2088" i="10"/>
  <c r="C2088" i="10"/>
  <c r="A2087" i="10"/>
  <c r="B2087" i="10"/>
  <c r="C2087" i="10"/>
  <c r="A2086" i="10"/>
  <c r="B2086" i="10"/>
  <c r="C2086" i="10"/>
  <c r="A2085" i="10"/>
  <c r="B2085" i="10"/>
  <c r="C2085" i="10"/>
  <c r="A2084" i="10"/>
  <c r="B2084" i="10"/>
  <c r="C2084" i="10"/>
  <c r="A2083" i="10"/>
  <c r="B2083" i="10"/>
  <c r="C2083" i="10"/>
  <c r="A2082" i="10"/>
  <c r="B2082" i="10"/>
  <c r="C2082" i="10"/>
  <c r="A2081" i="10"/>
  <c r="B2081" i="10"/>
  <c r="C2081" i="10"/>
  <c r="A2080" i="10"/>
  <c r="B2080" i="10"/>
  <c r="C2080" i="10"/>
  <c r="A2079" i="10"/>
  <c r="B2079" i="10"/>
  <c r="C2079" i="10"/>
  <c r="A2078" i="10"/>
  <c r="B2078" i="10"/>
  <c r="C2078" i="10"/>
  <c r="A2077" i="10"/>
  <c r="B2077" i="10"/>
  <c r="C2077" i="10"/>
  <c r="A2076" i="10"/>
  <c r="B2076" i="10"/>
  <c r="C2076" i="10"/>
  <c r="A2075" i="10"/>
  <c r="B2075" i="10"/>
  <c r="C2075" i="10"/>
  <c r="A2074" i="10"/>
  <c r="B2074" i="10"/>
  <c r="C2074" i="10"/>
  <c r="A2073" i="10"/>
  <c r="B2073" i="10"/>
  <c r="C2073" i="10"/>
  <c r="A2072" i="10"/>
  <c r="B2072" i="10"/>
  <c r="C2072" i="10"/>
  <c r="A2071" i="10"/>
  <c r="B2071" i="10"/>
  <c r="C2071" i="10"/>
  <c r="A2070" i="10"/>
  <c r="B2070" i="10"/>
  <c r="C2070" i="10"/>
  <c r="A2069" i="10"/>
  <c r="B2069" i="10"/>
  <c r="C2069" i="10"/>
  <c r="A2068" i="10"/>
  <c r="B2068" i="10"/>
  <c r="C2068" i="10"/>
  <c r="A2067" i="10"/>
  <c r="B2067" i="10"/>
  <c r="C2067" i="10"/>
  <c r="A2066" i="10"/>
  <c r="B2066" i="10"/>
  <c r="C2066" i="10"/>
  <c r="A2065" i="10"/>
  <c r="B2065" i="10"/>
  <c r="C2065" i="10"/>
  <c r="A2064" i="10"/>
  <c r="B2064" i="10"/>
  <c r="C2064" i="10"/>
  <c r="A2063" i="10"/>
  <c r="B2063" i="10"/>
  <c r="C2063" i="10"/>
  <c r="A2062" i="10"/>
  <c r="B2062" i="10"/>
  <c r="C2062" i="10"/>
  <c r="A2061" i="10"/>
  <c r="B2061" i="10"/>
  <c r="C2061" i="10"/>
  <c r="A2060" i="10"/>
  <c r="B2060" i="10"/>
  <c r="C2060" i="10"/>
  <c r="A2059" i="10"/>
  <c r="B2059" i="10"/>
  <c r="C2059" i="10"/>
  <c r="A2058" i="10"/>
  <c r="B2058" i="10"/>
  <c r="C2058" i="10"/>
  <c r="A2057" i="10"/>
  <c r="B2057" i="10"/>
  <c r="C2057" i="10"/>
  <c r="A2056" i="10"/>
  <c r="B2056" i="10"/>
  <c r="C2056" i="10"/>
  <c r="A2055" i="10"/>
  <c r="B2055" i="10"/>
  <c r="C2055" i="10"/>
  <c r="A2054" i="10"/>
  <c r="B2054" i="10"/>
  <c r="C2054" i="10"/>
  <c r="A2053" i="10"/>
  <c r="B2053" i="10"/>
  <c r="C2053" i="10"/>
  <c r="A2052" i="10"/>
  <c r="B2052" i="10"/>
  <c r="C2052" i="10"/>
  <c r="A2051" i="10"/>
  <c r="B2051" i="10"/>
  <c r="C2051" i="10"/>
  <c r="A2050" i="10"/>
  <c r="B2050" i="10"/>
  <c r="C2050" i="10"/>
  <c r="A2049" i="10"/>
  <c r="B2049" i="10"/>
  <c r="C2049" i="10"/>
  <c r="A2048" i="10"/>
  <c r="B2048" i="10"/>
  <c r="C2048" i="10"/>
  <c r="A2047" i="10"/>
  <c r="B2047" i="10"/>
  <c r="C2047" i="10"/>
  <c r="A2046" i="10"/>
  <c r="B2046" i="10"/>
  <c r="C2046" i="10"/>
  <c r="A2045" i="10"/>
  <c r="B2045" i="10"/>
  <c r="C2045" i="10"/>
  <c r="A2044" i="10"/>
  <c r="B2044" i="10"/>
  <c r="C2044" i="10"/>
  <c r="A2043" i="10"/>
  <c r="B2043" i="10"/>
  <c r="C2043" i="10"/>
  <c r="A2042" i="10"/>
  <c r="B2042" i="10"/>
  <c r="C2042" i="10"/>
  <c r="A2041" i="10"/>
  <c r="B2041" i="10"/>
  <c r="C2041" i="10"/>
  <c r="A2040" i="10"/>
  <c r="B2040" i="10"/>
  <c r="C2040" i="10"/>
  <c r="A2039" i="10"/>
  <c r="B2039" i="10"/>
  <c r="C2039" i="10"/>
  <c r="A2038" i="10"/>
  <c r="B2038" i="10"/>
  <c r="C2038" i="10"/>
  <c r="A2037" i="10"/>
  <c r="B2037" i="10"/>
  <c r="C2037" i="10"/>
  <c r="A2036" i="10"/>
  <c r="B2036" i="10"/>
  <c r="C2036" i="10"/>
  <c r="A2035" i="10"/>
  <c r="B2035" i="10"/>
  <c r="C2035" i="10"/>
  <c r="A2034" i="10"/>
  <c r="B2034" i="10"/>
  <c r="C2034" i="10"/>
  <c r="A2033" i="10"/>
  <c r="B2033" i="10"/>
  <c r="C2033" i="10"/>
  <c r="A2032" i="10"/>
  <c r="B2032" i="10"/>
  <c r="C2032" i="10"/>
  <c r="A2031" i="10"/>
  <c r="B2031" i="10"/>
  <c r="C2031" i="10"/>
  <c r="A2030" i="10"/>
  <c r="B2030" i="10"/>
  <c r="C2030" i="10"/>
  <c r="A2029" i="10"/>
  <c r="B2029" i="10"/>
  <c r="C2029" i="10"/>
  <c r="A2028" i="10"/>
  <c r="B2028" i="10"/>
  <c r="C2028" i="10"/>
  <c r="A2027" i="10"/>
  <c r="B2027" i="10"/>
  <c r="C2027" i="10"/>
  <c r="A2026" i="10"/>
  <c r="B2026" i="10"/>
  <c r="C2026" i="10"/>
  <c r="A2025" i="10"/>
  <c r="B2025" i="10"/>
  <c r="C2025" i="10"/>
  <c r="A2024" i="10"/>
  <c r="B2024" i="10"/>
  <c r="C2024" i="10"/>
  <c r="A2023" i="10"/>
  <c r="B2023" i="10"/>
  <c r="C2023" i="10"/>
  <c r="A2022" i="10"/>
  <c r="B2022" i="10"/>
  <c r="C2022" i="10"/>
  <c r="A2021" i="10"/>
  <c r="B2021" i="10"/>
  <c r="C2021" i="10"/>
  <c r="A2020" i="10"/>
  <c r="B2020" i="10"/>
  <c r="C2020" i="10"/>
  <c r="A2019" i="10"/>
  <c r="B2019" i="10"/>
  <c r="C2019" i="10"/>
  <c r="A2018" i="10"/>
  <c r="B2018" i="10"/>
  <c r="C2018" i="10"/>
  <c r="A2017" i="10"/>
  <c r="B2017" i="10"/>
  <c r="C2017" i="10"/>
  <c r="A2016" i="10"/>
  <c r="B2016" i="10"/>
  <c r="C2016" i="10"/>
  <c r="A2015" i="10"/>
  <c r="B2015" i="10"/>
  <c r="C2015" i="10"/>
  <c r="A2014" i="10"/>
  <c r="B2014" i="10"/>
  <c r="C2014" i="10"/>
  <c r="A2013" i="10"/>
  <c r="B2013" i="10"/>
  <c r="C2013" i="10"/>
  <c r="A2012" i="10"/>
  <c r="B2012" i="10"/>
  <c r="C2012" i="10"/>
  <c r="A2011" i="10"/>
  <c r="B2011" i="10"/>
  <c r="C2011" i="10"/>
  <c r="A2010" i="10"/>
  <c r="B2010" i="10"/>
  <c r="C2010" i="10"/>
  <c r="A2009" i="10"/>
  <c r="B2009" i="10"/>
  <c r="C2009" i="10"/>
  <c r="A2008" i="10"/>
  <c r="B2008" i="10"/>
  <c r="C2008" i="10"/>
  <c r="A2007" i="10"/>
  <c r="B2007" i="10"/>
  <c r="C2007" i="10"/>
  <c r="A2006" i="10"/>
  <c r="B2006" i="10"/>
  <c r="C2006" i="10"/>
  <c r="A2005" i="10"/>
  <c r="B2005" i="10"/>
  <c r="C2005" i="10"/>
  <c r="A2004" i="10"/>
  <c r="B2004" i="10"/>
  <c r="C2004" i="10"/>
  <c r="A2003" i="10"/>
  <c r="B2003" i="10"/>
  <c r="C2003" i="10"/>
  <c r="A2002" i="10"/>
  <c r="B2002" i="10"/>
  <c r="C2002" i="10"/>
  <c r="A2001" i="10"/>
  <c r="B2001" i="10"/>
  <c r="C2001" i="10"/>
  <c r="A2000" i="10"/>
  <c r="B2000" i="10"/>
  <c r="C2000" i="10"/>
  <c r="A1999" i="10"/>
  <c r="B1999" i="10"/>
  <c r="C1999" i="10"/>
  <c r="A1998" i="10"/>
  <c r="B1998" i="10"/>
  <c r="C1998" i="10"/>
  <c r="A1997" i="10"/>
  <c r="B1997" i="10"/>
  <c r="C1997" i="10"/>
  <c r="A1996" i="10"/>
  <c r="B1996" i="10"/>
  <c r="C1996" i="10"/>
  <c r="A1995" i="10"/>
  <c r="B1995" i="10"/>
  <c r="C1995" i="10"/>
  <c r="A1994" i="10"/>
  <c r="B1994" i="10"/>
  <c r="C1994" i="10"/>
  <c r="A1993" i="10"/>
  <c r="B1993" i="10"/>
  <c r="C1993" i="10"/>
  <c r="A1992" i="10"/>
  <c r="B1992" i="10"/>
  <c r="C1992" i="10"/>
  <c r="A1991" i="10"/>
  <c r="B1991" i="10"/>
  <c r="C1991" i="10"/>
  <c r="A1990" i="10"/>
  <c r="B1990" i="10"/>
  <c r="C1990" i="10"/>
  <c r="A1989" i="10"/>
  <c r="B1989" i="10"/>
  <c r="C1989" i="10"/>
  <c r="A1988" i="10"/>
  <c r="B1988" i="10"/>
  <c r="C1988" i="10"/>
  <c r="A1987" i="10"/>
  <c r="B1987" i="10"/>
  <c r="C1987" i="10"/>
  <c r="A1986" i="10"/>
  <c r="B1986" i="10"/>
  <c r="C1986" i="10"/>
  <c r="A1985" i="10"/>
  <c r="B1985" i="10"/>
  <c r="C1985" i="10"/>
  <c r="A1984" i="10"/>
  <c r="B1984" i="10"/>
  <c r="C1984" i="10"/>
  <c r="A1983" i="10"/>
  <c r="B1983" i="10"/>
  <c r="C1983" i="10"/>
  <c r="A1982" i="10"/>
  <c r="B1982" i="10"/>
  <c r="C1982" i="10"/>
  <c r="A1981" i="10"/>
  <c r="B1981" i="10"/>
  <c r="C1981" i="10"/>
  <c r="A1980" i="10"/>
  <c r="B1980" i="10"/>
  <c r="C1980" i="10"/>
  <c r="A1979" i="10"/>
  <c r="B1979" i="10"/>
  <c r="C1979" i="10"/>
  <c r="A1978" i="10"/>
  <c r="B1978" i="10"/>
  <c r="C1978" i="10"/>
  <c r="A1977" i="10"/>
  <c r="B1977" i="10"/>
  <c r="C1977" i="10"/>
  <c r="A1976" i="10"/>
  <c r="B1976" i="10"/>
  <c r="C1976" i="10"/>
  <c r="A1975" i="10"/>
  <c r="B1975" i="10"/>
  <c r="C1975" i="10"/>
  <c r="A1974" i="10"/>
  <c r="B1974" i="10"/>
  <c r="C1974" i="10"/>
  <c r="A1973" i="10"/>
  <c r="B1973" i="10"/>
  <c r="C1973" i="10"/>
  <c r="A1972" i="10"/>
  <c r="B1972" i="10"/>
  <c r="C1972" i="10"/>
  <c r="A1971" i="10"/>
  <c r="B1971" i="10"/>
  <c r="C1971" i="10"/>
  <c r="A1970" i="10"/>
  <c r="B1970" i="10"/>
  <c r="C1970" i="10"/>
  <c r="A1969" i="10"/>
  <c r="B1969" i="10"/>
  <c r="C1969" i="10"/>
  <c r="A1968" i="10"/>
  <c r="B1968" i="10"/>
  <c r="C1968" i="10"/>
  <c r="A1967" i="10"/>
  <c r="B1967" i="10"/>
  <c r="C1967" i="10"/>
  <c r="A1966" i="10"/>
  <c r="B1966" i="10"/>
  <c r="C1966" i="10"/>
  <c r="A1965" i="10"/>
  <c r="B1965" i="10"/>
  <c r="C1965" i="10"/>
  <c r="A1964" i="10"/>
  <c r="B1964" i="10"/>
  <c r="C1964" i="10"/>
  <c r="A1963" i="10"/>
  <c r="B1963" i="10"/>
  <c r="C1963" i="10"/>
  <c r="A1962" i="10"/>
  <c r="B1962" i="10"/>
  <c r="C1962" i="10"/>
  <c r="A1961" i="10"/>
  <c r="B1961" i="10"/>
  <c r="C1961" i="10"/>
  <c r="A1960" i="10"/>
  <c r="B1960" i="10"/>
  <c r="C1960" i="10"/>
  <c r="A1959" i="10"/>
  <c r="B1959" i="10"/>
  <c r="C1959" i="10"/>
  <c r="A1958" i="10"/>
  <c r="B1958" i="10"/>
  <c r="C1958" i="10"/>
  <c r="A1957" i="10"/>
  <c r="B1957" i="10"/>
  <c r="C1957" i="10"/>
  <c r="A1956" i="10"/>
  <c r="B1956" i="10"/>
  <c r="C1956" i="10"/>
  <c r="A1955" i="10"/>
  <c r="B1955" i="10"/>
  <c r="C1955" i="10"/>
  <c r="A1954" i="10"/>
  <c r="B1954" i="10"/>
  <c r="C1954" i="10"/>
  <c r="A1953" i="10"/>
  <c r="B1953" i="10"/>
  <c r="C1953" i="10"/>
  <c r="A1952" i="10"/>
  <c r="B1952" i="10"/>
  <c r="C1952" i="10"/>
  <c r="A1951" i="10"/>
  <c r="B1951" i="10"/>
  <c r="C1951" i="10"/>
  <c r="A1950" i="10"/>
  <c r="B1950" i="10"/>
  <c r="C1950" i="10"/>
  <c r="A1949" i="10"/>
  <c r="B1949" i="10"/>
  <c r="C1949" i="10"/>
  <c r="A1948" i="10"/>
  <c r="B1948" i="10"/>
  <c r="C1948" i="10"/>
  <c r="A1947" i="10"/>
  <c r="B1947" i="10"/>
  <c r="C1947" i="10"/>
  <c r="A1946" i="10"/>
  <c r="B1946" i="10"/>
  <c r="C1946" i="10"/>
  <c r="A1945" i="10"/>
  <c r="B1945" i="10"/>
  <c r="C1945" i="10"/>
  <c r="A1944" i="10"/>
  <c r="B1944" i="10"/>
  <c r="C1944" i="10"/>
  <c r="A1943" i="10"/>
  <c r="B1943" i="10"/>
  <c r="C1943" i="10"/>
  <c r="A1942" i="10"/>
  <c r="B1942" i="10"/>
  <c r="C1942" i="10"/>
  <c r="A1941" i="10"/>
  <c r="B1941" i="10"/>
  <c r="C1941" i="10"/>
  <c r="A1940" i="10"/>
  <c r="B1940" i="10"/>
  <c r="C1940" i="10"/>
  <c r="A1939" i="10"/>
  <c r="B1939" i="10"/>
  <c r="C1939" i="10"/>
  <c r="A1938" i="10"/>
  <c r="B1938" i="10"/>
  <c r="C1938" i="10"/>
  <c r="A1937" i="10"/>
  <c r="B1937" i="10"/>
  <c r="C1937" i="10"/>
  <c r="A1936" i="10"/>
  <c r="B1936" i="10"/>
  <c r="C1936" i="10"/>
  <c r="A1935" i="10"/>
  <c r="B1935" i="10"/>
  <c r="C1935" i="10"/>
  <c r="A1934" i="10"/>
  <c r="B1934" i="10"/>
  <c r="C1934" i="10"/>
  <c r="A1933" i="10"/>
  <c r="B1933" i="10"/>
  <c r="C1933" i="10"/>
  <c r="A1932" i="10"/>
  <c r="B1932" i="10"/>
  <c r="C1932" i="10"/>
  <c r="A1931" i="10"/>
  <c r="B1931" i="10"/>
  <c r="C1931" i="10"/>
  <c r="A1930" i="10"/>
  <c r="B1930" i="10"/>
  <c r="C1930" i="10"/>
  <c r="A1929" i="10"/>
  <c r="B1929" i="10"/>
  <c r="C1929" i="10"/>
  <c r="A1928" i="10"/>
  <c r="B1928" i="10"/>
  <c r="C1928" i="10"/>
  <c r="A1927" i="10"/>
  <c r="B1927" i="10"/>
  <c r="C1927" i="10"/>
  <c r="A1926" i="10"/>
  <c r="B1926" i="10"/>
  <c r="C1926" i="10"/>
  <c r="A1925" i="10"/>
  <c r="B1925" i="10"/>
  <c r="C1925" i="10"/>
  <c r="A1924" i="10"/>
  <c r="B1924" i="10"/>
  <c r="C1924" i="10"/>
  <c r="A1923" i="10"/>
  <c r="B1923" i="10"/>
  <c r="C1923" i="10"/>
  <c r="A1922" i="10"/>
  <c r="B1922" i="10"/>
  <c r="C1922" i="10"/>
  <c r="A1921" i="10"/>
  <c r="B1921" i="10"/>
  <c r="C1921" i="10"/>
  <c r="A1920" i="10"/>
  <c r="B1920" i="10"/>
  <c r="C1920" i="10"/>
  <c r="A1919" i="10"/>
  <c r="B1919" i="10"/>
  <c r="C1919" i="10"/>
  <c r="A1918" i="10"/>
  <c r="B1918" i="10"/>
  <c r="C1918" i="10"/>
  <c r="A1917" i="10"/>
  <c r="B1917" i="10"/>
  <c r="C1917" i="10"/>
  <c r="A1916" i="10"/>
  <c r="B1916" i="10"/>
  <c r="C1916" i="10"/>
  <c r="A1915" i="10"/>
  <c r="B1915" i="10"/>
  <c r="C1915" i="10"/>
  <c r="A1914" i="10"/>
  <c r="B1914" i="10"/>
  <c r="C1914" i="10"/>
  <c r="A1913" i="10"/>
  <c r="B1913" i="10"/>
  <c r="C1913" i="10"/>
  <c r="A1912" i="10"/>
  <c r="B1912" i="10"/>
  <c r="C1912" i="10"/>
  <c r="A1911" i="10"/>
  <c r="B1911" i="10"/>
  <c r="C1911" i="10"/>
  <c r="A1910" i="10"/>
  <c r="B1910" i="10"/>
  <c r="C1910" i="10"/>
  <c r="A1909" i="10"/>
  <c r="B1909" i="10"/>
  <c r="C1909" i="10"/>
  <c r="A1908" i="10"/>
  <c r="B1908" i="10"/>
  <c r="C1908" i="10"/>
  <c r="A1907" i="10"/>
  <c r="B1907" i="10"/>
  <c r="C1907" i="10"/>
  <c r="A1906" i="10"/>
  <c r="B1906" i="10"/>
  <c r="C1906" i="10"/>
  <c r="A1905" i="10"/>
  <c r="B1905" i="10"/>
  <c r="C1905" i="10"/>
  <c r="A1904" i="10"/>
  <c r="B1904" i="10"/>
  <c r="C1904" i="10"/>
  <c r="A1903" i="10"/>
  <c r="B1903" i="10"/>
  <c r="C1903" i="10"/>
  <c r="A1902" i="10"/>
  <c r="B1902" i="10"/>
  <c r="C1902" i="10"/>
  <c r="A1901" i="10"/>
  <c r="B1901" i="10"/>
  <c r="C1901" i="10"/>
  <c r="A1900" i="10"/>
  <c r="B1900" i="10"/>
  <c r="C1900" i="10"/>
  <c r="A1899" i="10"/>
  <c r="B1899" i="10"/>
  <c r="C1899" i="10"/>
  <c r="A1898" i="10"/>
  <c r="B1898" i="10"/>
  <c r="C1898" i="10"/>
  <c r="A1897" i="10"/>
  <c r="B1897" i="10"/>
  <c r="C1897" i="10"/>
  <c r="A1896" i="10"/>
  <c r="B1896" i="10"/>
  <c r="C1896" i="10"/>
  <c r="A1895" i="10"/>
  <c r="B1895" i="10"/>
  <c r="C1895" i="10"/>
  <c r="A1894" i="10"/>
  <c r="B1894" i="10"/>
  <c r="C1894" i="10"/>
  <c r="A1893" i="10"/>
  <c r="B1893" i="10"/>
  <c r="C1893" i="10"/>
  <c r="A1892" i="10"/>
  <c r="B1892" i="10"/>
  <c r="C1892" i="10"/>
  <c r="A1891" i="10"/>
  <c r="B1891" i="10"/>
  <c r="C1891" i="10"/>
  <c r="A1890" i="10"/>
  <c r="B1890" i="10"/>
  <c r="C1890" i="10"/>
  <c r="A1889" i="10"/>
  <c r="B1889" i="10"/>
  <c r="C1889" i="10"/>
  <c r="A1888" i="10"/>
  <c r="B1888" i="10"/>
  <c r="C1888" i="10"/>
  <c r="A1887" i="10"/>
  <c r="B1887" i="10"/>
  <c r="C1887" i="10"/>
  <c r="A1886" i="10"/>
  <c r="B1886" i="10"/>
  <c r="C1886" i="10"/>
  <c r="A1885" i="10"/>
  <c r="B1885" i="10"/>
  <c r="C1885" i="10"/>
  <c r="A1884" i="10"/>
  <c r="B1884" i="10"/>
  <c r="C1884" i="10"/>
  <c r="A1883" i="10"/>
  <c r="B1883" i="10"/>
  <c r="C1883" i="10"/>
  <c r="A1882" i="10"/>
  <c r="B1882" i="10"/>
  <c r="C1882" i="10"/>
  <c r="A1881" i="10"/>
  <c r="B1881" i="10"/>
  <c r="C1881" i="10"/>
  <c r="A1880" i="10"/>
  <c r="B1880" i="10"/>
  <c r="C1880" i="10"/>
  <c r="A1879" i="10"/>
  <c r="B1879" i="10"/>
  <c r="C1879" i="10"/>
  <c r="A1878" i="10"/>
  <c r="B1878" i="10"/>
  <c r="C1878" i="10"/>
  <c r="A1877" i="10"/>
  <c r="B1877" i="10"/>
  <c r="C1877" i="10"/>
  <c r="A1876" i="10"/>
  <c r="B1876" i="10"/>
  <c r="C1876" i="10"/>
  <c r="A1875" i="10"/>
  <c r="B1875" i="10"/>
  <c r="C1875" i="10"/>
  <c r="A1874" i="10"/>
  <c r="B1874" i="10"/>
  <c r="C1874" i="10"/>
  <c r="A1873" i="10"/>
  <c r="B1873" i="10"/>
  <c r="C1873" i="10"/>
  <c r="A1872" i="10"/>
  <c r="B1872" i="10"/>
  <c r="C1872" i="10"/>
  <c r="A1871" i="10"/>
  <c r="B1871" i="10"/>
  <c r="C1871" i="10"/>
  <c r="A1870" i="10"/>
  <c r="B1870" i="10"/>
  <c r="C1870" i="10"/>
  <c r="A1869" i="10"/>
  <c r="B1869" i="10"/>
  <c r="C1869" i="10"/>
  <c r="A1868" i="10"/>
  <c r="B1868" i="10"/>
  <c r="C1868" i="10"/>
  <c r="A1867" i="10"/>
  <c r="B1867" i="10"/>
  <c r="C1867" i="10"/>
  <c r="A1866" i="10"/>
  <c r="B1866" i="10"/>
  <c r="C1866" i="10"/>
  <c r="A1865" i="10"/>
  <c r="B1865" i="10"/>
  <c r="C1865" i="10"/>
  <c r="A1864" i="10"/>
  <c r="B1864" i="10"/>
  <c r="C1864" i="10"/>
  <c r="A1863" i="10"/>
  <c r="B1863" i="10"/>
  <c r="C1863" i="10"/>
  <c r="A1862" i="10"/>
  <c r="B1862" i="10"/>
  <c r="C1862" i="10"/>
  <c r="A1861" i="10"/>
  <c r="B1861" i="10"/>
  <c r="C1861" i="10"/>
  <c r="A1860" i="10"/>
  <c r="B1860" i="10"/>
  <c r="C1860" i="10"/>
  <c r="A1859" i="10"/>
  <c r="B1859" i="10"/>
  <c r="C1859" i="10"/>
  <c r="A1858" i="10"/>
  <c r="B1858" i="10"/>
  <c r="C1858" i="10"/>
  <c r="A1857" i="10"/>
  <c r="B1857" i="10"/>
  <c r="C1857" i="10"/>
  <c r="A1856" i="10"/>
  <c r="B1856" i="10"/>
  <c r="C1856" i="10"/>
  <c r="A1855" i="10"/>
  <c r="B1855" i="10"/>
  <c r="C1855" i="10"/>
  <c r="A1854" i="10"/>
  <c r="B1854" i="10"/>
  <c r="C1854" i="10"/>
  <c r="A1853" i="10"/>
  <c r="B1853" i="10"/>
  <c r="C1853" i="10"/>
  <c r="A1852" i="10"/>
  <c r="B1852" i="10"/>
  <c r="C1852" i="10"/>
  <c r="A1851" i="10"/>
  <c r="B1851" i="10"/>
  <c r="C1851" i="10"/>
  <c r="A1850" i="10"/>
  <c r="B1850" i="10"/>
  <c r="C1850" i="10"/>
  <c r="A1849" i="10"/>
  <c r="B1849" i="10"/>
  <c r="C1849" i="10"/>
  <c r="A1848" i="10"/>
  <c r="B1848" i="10"/>
  <c r="C1848" i="10"/>
  <c r="A1847" i="10"/>
  <c r="B1847" i="10"/>
  <c r="C1847" i="10"/>
  <c r="A1846" i="10"/>
  <c r="B1846" i="10"/>
  <c r="C1846" i="10"/>
  <c r="A1845" i="10"/>
  <c r="B1845" i="10"/>
  <c r="C1845" i="10"/>
  <c r="A1844" i="10"/>
  <c r="B1844" i="10"/>
  <c r="C1844" i="10"/>
  <c r="A1843" i="10"/>
  <c r="B1843" i="10"/>
  <c r="C1843" i="10"/>
  <c r="A1842" i="10"/>
  <c r="B1842" i="10"/>
  <c r="C1842" i="10"/>
  <c r="A1841" i="10"/>
  <c r="B1841" i="10"/>
  <c r="C1841" i="10"/>
  <c r="A1840" i="10"/>
  <c r="B1840" i="10"/>
  <c r="C1840" i="10"/>
  <c r="A1839" i="10"/>
  <c r="B1839" i="10"/>
  <c r="C1839" i="10"/>
  <c r="A1838" i="10"/>
  <c r="B1838" i="10"/>
  <c r="C1838" i="10"/>
  <c r="A1837" i="10"/>
  <c r="B1837" i="10"/>
  <c r="C1837" i="10"/>
  <c r="A1836" i="10"/>
  <c r="B1836" i="10"/>
  <c r="C1836" i="10"/>
  <c r="A1835" i="10"/>
  <c r="B1835" i="10"/>
  <c r="C1835" i="10"/>
  <c r="A1834" i="10"/>
  <c r="B1834" i="10"/>
  <c r="C1834" i="10"/>
  <c r="A1833" i="10"/>
  <c r="B1833" i="10"/>
  <c r="C1833" i="10"/>
  <c r="A1832" i="10"/>
  <c r="B1832" i="10"/>
  <c r="C1832" i="10"/>
  <c r="A1831" i="10"/>
  <c r="B1831" i="10"/>
  <c r="C1831" i="10"/>
  <c r="A1830" i="10"/>
  <c r="B1830" i="10"/>
  <c r="C1830" i="10"/>
  <c r="A1829" i="10"/>
  <c r="B1829" i="10"/>
  <c r="C1829" i="10"/>
  <c r="A1828" i="10"/>
  <c r="B1828" i="10"/>
  <c r="C1828" i="10"/>
  <c r="A1827" i="10"/>
  <c r="B1827" i="10"/>
  <c r="C1827" i="10"/>
  <c r="A1826" i="10"/>
  <c r="B1826" i="10"/>
  <c r="C1826" i="10"/>
  <c r="A1825" i="10"/>
  <c r="B1825" i="10"/>
  <c r="C1825" i="10"/>
  <c r="A1824" i="10"/>
  <c r="B1824" i="10"/>
  <c r="C1824" i="10"/>
  <c r="A1823" i="10"/>
  <c r="B1823" i="10"/>
  <c r="C1823" i="10"/>
  <c r="A1822" i="10"/>
  <c r="B1822" i="10"/>
  <c r="C1822" i="10"/>
  <c r="A1821" i="10"/>
  <c r="B1821" i="10"/>
  <c r="C1821" i="10"/>
  <c r="A1820" i="10"/>
  <c r="B1820" i="10"/>
  <c r="C1820" i="10"/>
  <c r="A1819" i="10"/>
  <c r="B1819" i="10"/>
  <c r="C1819" i="10"/>
  <c r="A1818" i="10"/>
  <c r="B1818" i="10"/>
  <c r="C1818" i="10"/>
  <c r="A1817" i="10"/>
  <c r="B1817" i="10"/>
  <c r="C1817" i="10"/>
  <c r="A1816" i="10"/>
  <c r="B1816" i="10"/>
  <c r="C1816" i="10"/>
  <c r="A1815" i="10"/>
  <c r="B1815" i="10"/>
  <c r="C1815" i="10"/>
  <c r="A1814" i="10"/>
  <c r="B1814" i="10"/>
  <c r="C1814" i="10"/>
  <c r="A1813" i="10"/>
  <c r="B1813" i="10"/>
  <c r="C1813" i="10"/>
  <c r="A1812" i="10"/>
  <c r="B1812" i="10"/>
  <c r="C1812" i="10"/>
  <c r="A1811" i="10"/>
  <c r="B1811" i="10"/>
  <c r="C1811" i="10"/>
  <c r="A1810" i="10"/>
  <c r="B1810" i="10"/>
  <c r="C1810" i="10"/>
  <c r="A1809" i="10"/>
  <c r="B1809" i="10"/>
  <c r="C1809" i="10"/>
  <c r="A1808" i="10"/>
  <c r="B1808" i="10"/>
  <c r="C1808" i="10"/>
  <c r="A1807" i="10"/>
  <c r="B1807" i="10"/>
  <c r="C1807" i="10"/>
  <c r="A1806" i="10"/>
  <c r="B1806" i="10"/>
  <c r="C1806" i="10"/>
  <c r="A1805" i="10"/>
  <c r="B1805" i="10"/>
  <c r="C1805" i="10"/>
  <c r="A1804" i="10"/>
  <c r="B1804" i="10"/>
  <c r="C1804" i="10"/>
  <c r="A1803" i="10"/>
  <c r="B1803" i="10"/>
  <c r="C1803" i="10"/>
  <c r="A1802" i="10"/>
  <c r="B1802" i="10"/>
  <c r="C1802" i="10"/>
  <c r="A1801" i="10"/>
  <c r="B1801" i="10"/>
  <c r="C1801" i="10"/>
  <c r="A1800" i="10"/>
  <c r="B1800" i="10"/>
  <c r="C1800" i="10"/>
  <c r="A1799" i="10"/>
  <c r="B1799" i="10"/>
  <c r="C1799" i="10"/>
  <c r="A1798" i="10"/>
  <c r="B1798" i="10"/>
  <c r="C1798" i="10"/>
  <c r="A1797" i="10"/>
  <c r="B1797" i="10"/>
  <c r="C1797" i="10"/>
  <c r="A1796" i="10"/>
  <c r="B1796" i="10"/>
  <c r="C1796" i="10"/>
  <c r="A1795" i="10"/>
  <c r="B1795" i="10"/>
  <c r="C1795" i="10"/>
  <c r="A1794" i="10"/>
  <c r="B1794" i="10"/>
  <c r="C1794" i="10"/>
  <c r="A1793" i="10"/>
  <c r="B1793" i="10"/>
  <c r="C1793" i="10"/>
  <c r="A1792" i="10"/>
  <c r="B1792" i="10"/>
  <c r="C1792" i="10"/>
  <c r="A1791" i="10"/>
  <c r="B1791" i="10"/>
  <c r="C1791" i="10"/>
  <c r="A1790" i="10"/>
  <c r="B1790" i="10"/>
  <c r="C1790" i="10"/>
  <c r="A1789" i="10"/>
  <c r="B1789" i="10"/>
  <c r="C1789" i="10"/>
  <c r="A1788" i="10"/>
  <c r="B1788" i="10"/>
  <c r="C1788" i="10"/>
  <c r="A1787" i="10"/>
  <c r="B1787" i="10"/>
  <c r="C1787" i="10"/>
  <c r="A1786" i="10"/>
  <c r="B1786" i="10"/>
  <c r="C1786" i="10"/>
  <c r="A1785" i="10"/>
  <c r="B1785" i="10"/>
  <c r="C1785" i="10"/>
  <c r="A1784" i="10"/>
  <c r="B1784" i="10"/>
  <c r="C1784" i="10"/>
  <c r="A1783" i="10"/>
  <c r="B1783" i="10"/>
  <c r="C1783" i="10"/>
  <c r="A1782" i="10"/>
  <c r="B1782" i="10"/>
  <c r="C1782" i="10"/>
  <c r="A1781" i="10"/>
  <c r="B1781" i="10"/>
  <c r="C1781" i="10"/>
  <c r="A1780" i="10"/>
  <c r="B1780" i="10"/>
  <c r="C1780" i="10"/>
  <c r="A1779" i="10"/>
  <c r="B1779" i="10"/>
  <c r="C1779" i="10"/>
  <c r="A1778" i="10"/>
  <c r="B1778" i="10"/>
  <c r="C1778" i="10"/>
  <c r="A1777" i="10"/>
  <c r="B1777" i="10"/>
  <c r="C1777" i="10"/>
  <c r="A1776" i="10"/>
  <c r="B1776" i="10"/>
  <c r="C1776" i="10"/>
  <c r="A1775" i="10"/>
  <c r="B1775" i="10"/>
  <c r="C1775" i="10"/>
  <c r="A1774" i="10"/>
  <c r="B1774" i="10"/>
  <c r="C1774" i="10"/>
  <c r="A1773" i="10"/>
  <c r="B1773" i="10"/>
  <c r="C1773" i="10"/>
  <c r="A1772" i="10"/>
  <c r="B1772" i="10"/>
  <c r="C1772" i="10"/>
  <c r="A1771" i="10"/>
  <c r="B1771" i="10"/>
  <c r="C1771" i="10"/>
  <c r="A1770" i="10"/>
  <c r="B1770" i="10"/>
  <c r="C1770" i="10"/>
  <c r="A1769" i="10"/>
  <c r="B1769" i="10"/>
  <c r="C1769" i="10"/>
  <c r="A1768" i="10"/>
  <c r="B1768" i="10"/>
  <c r="C1768" i="10"/>
  <c r="A1767" i="10"/>
  <c r="B1767" i="10"/>
  <c r="C1767" i="10"/>
  <c r="A1766" i="10"/>
  <c r="B1766" i="10"/>
  <c r="C1766" i="10"/>
  <c r="A1765" i="10"/>
  <c r="B1765" i="10"/>
  <c r="C1765" i="10"/>
  <c r="A1764" i="10"/>
  <c r="B1764" i="10"/>
  <c r="C1764" i="10"/>
  <c r="A1763" i="10"/>
  <c r="B1763" i="10"/>
  <c r="C1763" i="10"/>
  <c r="A1762" i="10"/>
  <c r="B1762" i="10"/>
  <c r="C1762" i="10"/>
  <c r="A1761" i="10"/>
  <c r="B1761" i="10"/>
  <c r="C1761" i="10"/>
  <c r="A1760" i="10"/>
  <c r="B1760" i="10"/>
  <c r="C1760" i="10"/>
  <c r="A1759" i="10"/>
  <c r="B1759" i="10"/>
  <c r="C1759" i="10"/>
  <c r="A1758" i="10"/>
  <c r="B1758" i="10"/>
  <c r="C1758" i="10"/>
  <c r="A1757" i="10"/>
  <c r="B1757" i="10"/>
  <c r="C1757" i="10"/>
  <c r="A1756" i="10"/>
  <c r="B1756" i="10"/>
  <c r="C1756" i="10"/>
  <c r="A1755" i="10"/>
  <c r="B1755" i="10"/>
  <c r="C1755" i="10"/>
  <c r="A1754" i="10"/>
  <c r="B1754" i="10"/>
  <c r="C1754" i="10"/>
  <c r="A1753" i="10"/>
  <c r="B1753" i="10"/>
  <c r="C1753" i="10"/>
  <c r="A1752" i="10"/>
  <c r="B1752" i="10"/>
  <c r="C1752" i="10"/>
  <c r="A1751" i="10"/>
  <c r="B1751" i="10"/>
  <c r="C1751" i="10"/>
  <c r="A1750" i="10"/>
  <c r="B1750" i="10"/>
  <c r="C1750" i="10"/>
  <c r="A1749" i="10"/>
  <c r="B1749" i="10"/>
  <c r="C1749" i="10"/>
  <c r="A1748" i="10"/>
  <c r="B1748" i="10"/>
  <c r="C1748" i="10"/>
  <c r="A1747" i="10"/>
  <c r="B1747" i="10"/>
  <c r="C1747" i="10"/>
  <c r="A1746" i="10"/>
  <c r="B1746" i="10"/>
  <c r="C1746" i="10"/>
  <c r="A1745" i="10"/>
  <c r="B1745" i="10"/>
  <c r="C1745" i="10"/>
  <c r="A1744" i="10"/>
  <c r="B1744" i="10"/>
  <c r="C1744" i="10"/>
  <c r="A1743" i="10"/>
  <c r="B1743" i="10"/>
  <c r="C1743" i="10"/>
  <c r="A1742" i="10"/>
  <c r="B1742" i="10"/>
  <c r="C1742" i="10"/>
  <c r="A1741" i="10"/>
  <c r="B1741" i="10"/>
  <c r="C1741" i="10"/>
  <c r="A1740" i="10"/>
  <c r="B1740" i="10"/>
  <c r="C1740" i="10"/>
  <c r="A1739" i="10"/>
  <c r="B1739" i="10"/>
  <c r="C1739" i="10"/>
  <c r="A1738" i="10"/>
  <c r="B1738" i="10"/>
  <c r="C1738" i="10"/>
  <c r="A1737" i="10"/>
  <c r="B1737" i="10"/>
  <c r="C1737" i="10"/>
  <c r="A1736" i="10"/>
  <c r="B1736" i="10"/>
  <c r="C1736" i="10"/>
  <c r="A1735" i="10"/>
  <c r="B1735" i="10"/>
  <c r="C1735" i="10"/>
  <c r="A1734" i="10"/>
  <c r="B1734" i="10"/>
  <c r="C1734" i="10"/>
  <c r="A1733" i="10"/>
  <c r="B1733" i="10"/>
  <c r="C1733" i="10"/>
  <c r="A1732" i="10"/>
  <c r="B1732" i="10"/>
  <c r="C1732" i="10"/>
  <c r="A1731" i="10"/>
  <c r="B1731" i="10"/>
  <c r="C1731" i="10"/>
  <c r="A1730" i="10"/>
  <c r="B1730" i="10"/>
  <c r="C1730" i="10"/>
  <c r="A1729" i="10"/>
  <c r="B1729" i="10"/>
  <c r="C1729" i="10"/>
  <c r="A1728" i="10"/>
  <c r="B1728" i="10"/>
  <c r="C1728" i="10"/>
  <c r="A1727" i="10"/>
  <c r="B1727" i="10"/>
  <c r="C1727" i="10"/>
  <c r="A1726" i="10"/>
  <c r="B1726" i="10"/>
  <c r="C1726" i="10"/>
  <c r="A1725" i="10"/>
  <c r="B1725" i="10"/>
  <c r="C1725" i="10"/>
  <c r="A1724" i="10"/>
  <c r="B1724" i="10"/>
  <c r="C1724" i="10"/>
  <c r="A1723" i="10"/>
  <c r="B1723" i="10"/>
  <c r="C1723" i="10"/>
  <c r="A1722" i="10"/>
  <c r="B1722" i="10"/>
  <c r="C1722" i="10"/>
  <c r="A1721" i="10"/>
  <c r="B1721" i="10"/>
  <c r="C1721" i="10"/>
  <c r="A1720" i="10"/>
  <c r="B1720" i="10"/>
  <c r="C1720" i="10"/>
  <c r="A1719" i="10"/>
  <c r="B1719" i="10"/>
  <c r="C1719" i="10"/>
  <c r="A1718" i="10"/>
  <c r="B1718" i="10"/>
  <c r="C1718" i="10"/>
  <c r="A1717" i="10"/>
  <c r="B1717" i="10"/>
  <c r="C1717" i="10"/>
  <c r="A1716" i="10"/>
  <c r="B1716" i="10"/>
  <c r="C1716" i="10"/>
  <c r="A1715" i="10"/>
  <c r="B1715" i="10"/>
  <c r="C1715" i="10"/>
  <c r="A1714" i="10"/>
  <c r="B1714" i="10"/>
  <c r="C1714" i="10"/>
  <c r="A1713" i="10"/>
  <c r="B1713" i="10"/>
  <c r="C1713" i="10"/>
  <c r="A1712" i="10"/>
  <c r="B1712" i="10"/>
  <c r="C1712" i="10"/>
  <c r="A1711" i="10"/>
  <c r="B1711" i="10"/>
  <c r="C1711" i="10"/>
  <c r="A1710" i="10"/>
  <c r="B1710" i="10"/>
  <c r="C1710" i="10"/>
  <c r="A1709" i="10"/>
  <c r="B1709" i="10"/>
  <c r="C1709" i="10"/>
  <c r="A1708" i="10"/>
  <c r="B1708" i="10"/>
  <c r="C1708" i="10"/>
  <c r="A1707" i="10"/>
  <c r="B1707" i="10"/>
  <c r="C1707" i="10"/>
  <c r="A1706" i="10"/>
  <c r="B1706" i="10"/>
  <c r="C1706" i="10"/>
  <c r="A1705" i="10"/>
  <c r="B1705" i="10"/>
  <c r="C1705" i="10"/>
  <c r="A1704" i="10"/>
  <c r="B1704" i="10"/>
  <c r="C1704" i="10"/>
  <c r="A1703" i="10"/>
  <c r="B1703" i="10"/>
  <c r="C1703" i="10"/>
  <c r="A1702" i="10"/>
  <c r="B1702" i="10"/>
  <c r="C1702" i="10"/>
  <c r="A1701" i="10"/>
  <c r="B1701" i="10"/>
  <c r="C1701" i="10"/>
  <c r="A1700" i="10"/>
  <c r="B1700" i="10"/>
  <c r="C1700" i="10"/>
  <c r="A1699" i="10"/>
  <c r="B1699" i="10"/>
  <c r="C1699" i="10"/>
  <c r="A1698" i="10"/>
  <c r="B1698" i="10"/>
  <c r="C1698" i="10"/>
  <c r="A1697" i="10"/>
  <c r="B1697" i="10"/>
  <c r="C1697" i="10"/>
  <c r="A1696" i="10"/>
  <c r="B1696" i="10"/>
  <c r="C1696" i="10"/>
  <c r="A1695" i="10"/>
  <c r="B1695" i="10"/>
  <c r="C1695" i="10"/>
  <c r="A1694" i="10"/>
  <c r="B1694" i="10"/>
  <c r="C1694" i="10"/>
  <c r="A1693" i="10"/>
  <c r="B1693" i="10"/>
  <c r="C1693" i="10"/>
  <c r="A1692" i="10"/>
  <c r="B1692" i="10"/>
  <c r="C1692" i="10"/>
  <c r="A1691" i="10"/>
  <c r="B1691" i="10"/>
  <c r="C1691" i="10"/>
  <c r="A1690" i="10"/>
  <c r="B1690" i="10"/>
  <c r="C1690" i="10"/>
  <c r="A1689" i="10"/>
  <c r="B1689" i="10"/>
  <c r="C1689" i="10"/>
  <c r="A1688" i="10"/>
  <c r="B1688" i="10"/>
  <c r="C1688" i="10"/>
  <c r="A1687" i="10"/>
  <c r="B1687" i="10"/>
  <c r="C1687" i="10"/>
  <c r="A1686" i="10"/>
  <c r="B1686" i="10"/>
  <c r="C1686" i="10"/>
  <c r="A1685" i="10"/>
  <c r="B1685" i="10"/>
  <c r="C1685" i="10"/>
  <c r="A1684" i="10"/>
  <c r="B1684" i="10"/>
  <c r="C1684" i="10"/>
  <c r="A1683" i="10"/>
  <c r="B1683" i="10"/>
  <c r="C1683" i="10"/>
  <c r="A1682" i="10"/>
  <c r="B1682" i="10"/>
  <c r="C1682" i="10"/>
  <c r="A1681" i="10"/>
  <c r="B1681" i="10"/>
  <c r="C1681" i="10"/>
  <c r="A1680" i="10"/>
  <c r="B1680" i="10"/>
  <c r="C1680" i="10"/>
  <c r="A1679" i="10"/>
  <c r="B1679" i="10"/>
  <c r="C1679" i="10"/>
  <c r="A1678" i="10"/>
  <c r="B1678" i="10"/>
  <c r="C1678" i="10"/>
  <c r="A1677" i="10"/>
  <c r="B1677" i="10"/>
  <c r="C1677" i="10"/>
  <c r="A1676" i="10"/>
  <c r="B1676" i="10"/>
  <c r="C1676" i="10"/>
  <c r="A1675" i="10"/>
  <c r="B1675" i="10"/>
  <c r="C1675" i="10"/>
  <c r="A1674" i="10"/>
  <c r="B1674" i="10"/>
  <c r="C1674" i="10"/>
  <c r="A1673" i="10"/>
  <c r="B1673" i="10"/>
  <c r="C1673" i="10"/>
  <c r="A1672" i="10"/>
  <c r="B1672" i="10"/>
  <c r="C1672" i="10"/>
  <c r="A1671" i="10"/>
  <c r="B1671" i="10"/>
  <c r="C1671" i="10"/>
  <c r="A1670" i="10"/>
  <c r="B1670" i="10"/>
  <c r="C1670" i="10"/>
  <c r="A1669" i="10"/>
  <c r="B1669" i="10"/>
  <c r="C1669" i="10"/>
  <c r="A1668" i="10"/>
  <c r="B1668" i="10"/>
  <c r="C1668" i="10"/>
  <c r="A1667" i="10"/>
  <c r="B1667" i="10"/>
  <c r="C1667" i="10"/>
  <c r="A1666" i="10"/>
  <c r="B1666" i="10"/>
  <c r="C1666" i="10"/>
  <c r="A1665" i="10"/>
  <c r="B1665" i="10"/>
  <c r="C1665" i="10"/>
  <c r="A1664" i="10"/>
  <c r="B1664" i="10"/>
  <c r="C1664" i="10"/>
  <c r="A1663" i="10"/>
  <c r="B1663" i="10"/>
  <c r="C1663" i="10"/>
  <c r="A1662" i="10"/>
  <c r="B1662" i="10"/>
  <c r="C1662" i="10"/>
  <c r="A1661" i="10"/>
  <c r="B1661" i="10"/>
  <c r="C1661" i="10"/>
  <c r="A1660" i="10"/>
  <c r="B1660" i="10"/>
  <c r="C1660" i="10"/>
  <c r="A1659" i="10"/>
  <c r="B1659" i="10"/>
  <c r="C1659" i="10"/>
  <c r="A1658" i="10"/>
  <c r="B1658" i="10"/>
  <c r="C1658" i="10"/>
  <c r="A1657" i="10"/>
  <c r="B1657" i="10"/>
  <c r="C1657" i="10"/>
  <c r="A1656" i="10"/>
  <c r="B1656" i="10"/>
  <c r="C1656" i="10"/>
  <c r="A1655" i="10"/>
  <c r="B1655" i="10"/>
  <c r="C1655" i="10"/>
  <c r="A1654" i="10"/>
  <c r="B1654" i="10"/>
  <c r="C1654" i="10"/>
  <c r="A1653" i="10"/>
  <c r="B1653" i="10"/>
  <c r="C1653" i="10"/>
  <c r="A1652" i="10"/>
  <c r="B1652" i="10"/>
  <c r="C1652" i="10"/>
  <c r="A1651" i="10"/>
  <c r="B1651" i="10"/>
  <c r="C1651" i="10"/>
  <c r="A1650" i="10"/>
  <c r="B1650" i="10"/>
  <c r="C1650" i="10"/>
  <c r="A1649" i="10"/>
  <c r="B1649" i="10"/>
  <c r="C1649" i="10"/>
  <c r="A1648" i="10"/>
  <c r="B1648" i="10"/>
  <c r="C1648" i="10"/>
  <c r="A1647" i="10"/>
  <c r="B1647" i="10"/>
  <c r="C1647" i="10"/>
  <c r="A1646" i="10"/>
  <c r="B1646" i="10"/>
  <c r="C1646" i="10"/>
  <c r="A1645" i="10"/>
  <c r="B1645" i="10"/>
  <c r="C1645" i="10"/>
  <c r="A1644" i="10"/>
  <c r="B1644" i="10"/>
  <c r="C1644" i="10"/>
  <c r="A1643" i="10"/>
  <c r="B1643" i="10"/>
  <c r="C1643" i="10"/>
  <c r="A1642" i="10"/>
  <c r="B1642" i="10"/>
  <c r="C1642" i="10"/>
  <c r="A1641" i="10"/>
  <c r="B1641" i="10"/>
  <c r="C1641" i="10"/>
  <c r="A1640" i="10"/>
  <c r="B1640" i="10"/>
  <c r="C1640" i="10"/>
  <c r="A1639" i="10"/>
  <c r="B1639" i="10"/>
  <c r="C1639" i="10"/>
  <c r="A1638" i="10"/>
  <c r="B1638" i="10"/>
  <c r="C1638" i="10"/>
  <c r="A1637" i="10"/>
  <c r="B1637" i="10"/>
  <c r="C1637" i="10"/>
  <c r="A1636" i="10"/>
  <c r="B1636" i="10"/>
  <c r="C1636" i="10"/>
  <c r="A1635" i="10"/>
  <c r="B1635" i="10"/>
  <c r="C1635" i="10"/>
  <c r="A1634" i="10"/>
  <c r="B1634" i="10"/>
  <c r="C1634" i="10"/>
  <c r="A1633" i="10"/>
  <c r="B1633" i="10"/>
  <c r="C1633" i="10"/>
  <c r="A1632" i="10"/>
  <c r="B1632" i="10"/>
  <c r="C1632" i="10"/>
  <c r="A1631" i="10"/>
  <c r="B1631" i="10"/>
  <c r="C1631" i="10"/>
  <c r="A1630" i="10"/>
  <c r="B1630" i="10"/>
  <c r="C1630" i="10"/>
  <c r="A1629" i="10"/>
  <c r="B1629" i="10"/>
  <c r="C1629" i="10"/>
  <c r="A1628" i="10"/>
  <c r="B1628" i="10"/>
  <c r="C1628" i="10"/>
  <c r="A1627" i="10"/>
  <c r="B1627" i="10"/>
  <c r="C1627" i="10"/>
  <c r="A1626" i="10"/>
  <c r="B1626" i="10"/>
  <c r="C1626" i="10"/>
  <c r="A1625" i="10"/>
  <c r="B1625" i="10"/>
  <c r="C1625" i="10"/>
  <c r="A1624" i="10"/>
  <c r="B1624" i="10"/>
  <c r="C1624" i="10"/>
  <c r="A1623" i="10"/>
  <c r="B1623" i="10"/>
  <c r="C1623" i="10"/>
  <c r="A1622" i="10"/>
  <c r="B1622" i="10"/>
  <c r="C1622" i="10"/>
  <c r="A1621" i="10"/>
  <c r="B1621" i="10"/>
  <c r="C1621" i="10"/>
  <c r="A1620" i="10"/>
  <c r="B1620" i="10"/>
  <c r="C1620" i="10"/>
  <c r="A1619" i="10"/>
  <c r="B1619" i="10"/>
  <c r="C1619" i="10"/>
  <c r="A1618" i="10"/>
  <c r="B1618" i="10"/>
  <c r="C1618" i="10"/>
  <c r="A1617" i="10"/>
  <c r="B1617" i="10"/>
  <c r="C1617" i="10"/>
  <c r="A1616" i="10"/>
  <c r="B1616" i="10"/>
  <c r="C1616" i="10"/>
  <c r="A1615" i="10"/>
  <c r="B1615" i="10"/>
  <c r="C1615" i="10"/>
  <c r="A1614" i="10"/>
  <c r="B1614" i="10"/>
  <c r="C1614" i="10"/>
  <c r="A1613" i="10"/>
  <c r="B1613" i="10"/>
  <c r="C1613" i="10"/>
  <c r="A1612" i="10"/>
  <c r="B1612" i="10"/>
  <c r="C1612" i="10"/>
  <c r="A1611" i="10"/>
  <c r="B1611" i="10"/>
  <c r="C1611" i="10"/>
  <c r="A1610" i="10"/>
  <c r="B1610" i="10"/>
  <c r="C1610" i="10"/>
  <c r="A1609" i="10"/>
  <c r="B1609" i="10"/>
  <c r="C1609" i="10"/>
  <c r="A1608" i="10"/>
  <c r="B1608" i="10"/>
  <c r="C1608" i="10"/>
  <c r="A1607" i="10"/>
  <c r="B1607" i="10"/>
  <c r="C1607" i="10"/>
  <c r="A1606" i="10"/>
  <c r="B1606" i="10"/>
  <c r="C1606" i="10"/>
  <c r="A1605" i="10"/>
  <c r="B1605" i="10"/>
  <c r="C1605" i="10"/>
  <c r="A1604" i="10"/>
  <c r="B1604" i="10"/>
  <c r="C1604" i="10"/>
  <c r="A1603" i="10"/>
  <c r="B1603" i="10"/>
  <c r="C1603" i="10"/>
  <c r="A1602" i="10"/>
  <c r="B1602" i="10"/>
  <c r="C1602" i="10"/>
  <c r="A1601" i="10"/>
  <c r="B1601" i="10"/>
  <c r="C1601" i="10"/>
  <c r="A1600" i="10"/>
  <c r="B1600" i="10"/>
  <c r="C1600" i="10"/>
  <c r="A1599" i="10"/>
  <c r="B1599" i="10"/>
  <c r="C1599" i="10"/>
  <c r="A1598" i="10"/>
  <c r="B1598" i="10"/>
  <c r="C1598" i="10"/>
  <c r="A1597" i="10"/>
  <c r="B1597" i="10"/>
  <c r="C1597" i="10"/>
  <c r="A1596" i="10"/>
  <c r="B1596" i="10"/>
  <c r="C1596" i="10"/>
  <c r="A1595" i="10"/>
  <c r="B1595" i="10"/>
  <c r="C1595" i="10"/>
  <c r="A1594" i="10"/>
  <c r="B1594" i="10"/>
  <c r="C1594" i="10"/>
  <c r="A1593" i="10"/>
  <c r="B1593" i="10"/>
  <c r="C1593" i="10"/>
  <c r="A1592" i="10"/>
  <c r="B1592" i="10"/>
  <c r="C1592" i="10"/>
  <c r="A1591" i="10"/>
  <c r="B1591" i="10"/>
  <c r="C1591" i="10"/>
  <c r="A1590" i="10"/>
  <c r="B1590" i="10"/>
  <c r="C1590" i="10"/>
  <c r="A1589" i="10"/>
  <c r="B1589" i="10"/>
  <c r="C1589" i="10"/>
  <c r="A1588" i="10"/>
  <c r="B1588" i="10"/>
  <c r="C1588" i="10"/>
  <c r="A1587" i="10"/>
  <c r="B1587" i="10"/>
  <c r="C1587" i="10"/>
  <c r="A1586" i="10"/>
  <c r="B1586" i="10"/>
  <c r="C1586" i="10"/>
  <c r="A1585" i="10"/>
  <c r="B1585" i="10"/>
  <c r="C1585" i="10"/>
  <c r="A1584" i="10"/>
  <c r="B1584" i="10"/>
  <c r="C1584" i="10"/>
  <c r="A1583" i="10"/>
  <c r="B1583" i="10"/>
  <c r="C1583" i="10"/>
  <c r="A1582" i="10"/>
  <c r="B1582" i="10"/>
  <c r="C1582" i="10"/>
  <c r="A1581" i="10"/>
  <c r="B1581" i="10"/>
  <c r="C1581" i="10"/>
  <c r="A1580" i="10"/>
  <c r="B1580" i="10"/>
  <c r="C1580" i="10"/>
  <c r="A1579" i="10"/>
  <c r="B1579" i="10"/>
  <c r="C1579" i="10"/>
  <c r="A1578" i="10"/>
  <c r="B1578" i="10"/>
  <c r="C1578" i="10"/>
  <c r="A1577" i="10"/>
  <c r="B1577" i="10"/>
  <c r="C1577" i="10"/>
  <c r="A1576" i="10"/>
  <c r="B1576" i="10"/>
  <c r="C1576" i="10"/>
  <c r="A1575" i="10"/>
  <c r="B1575" i="10"/>
  <c r="C1575" i="10"/>
  <c r="A1574" i="10"/>
  <c r="B1574" i="10"/>
  <c r="C1574" i="10"/>
  <c r="A1573" i="10"/>
  <c r="B1573" i="10"/>
  <c r="C1573" i="10"/>
  <c r="A1572" i="10"/>
  <c r="B1572" i="10"/>
  <c r="C1572" i="10"/>
  <c r="A1571" i="10"/>
  <c r="B1571" i="10"/>
  <c r="C1571" i="10"/>
  <c r="A1570" i="10"/>
  <c r="B1570" i="10"/>
  <c r="C1570" i="10"/>
  <c r="A1569" i="10"/>
  <c r="B1569" i="10"/>
  <c r="C1569" i="10"/>
  <c r="A1568" i="10"/>
  <c r="B1568" i="10"/>
  <c r="C1568" i="10"/>
  <c r="A1567" i="10"/>
  <c r="B1567" i="10"/>
  <c r="C1567" i="10"/>
  <c r="A1566" i="10"/>
  <c r="B1566" i="10"/>
  <c r="C1566" i="10"/>
  <c r="A1565" i="10"/>
  <c r="B1565" i="10"/>
  <c r="C1565" i="10"/>
  <c r="A1564" i="10"/>
  <c r="B1564" i="10"/>
  <c r="C1564" i="10"/>
  <c r="A1563" i="10"/>
  <c r="B1563" i="10"/>
  <c r="C1563" i="10"/>
  <c r="A1562" i="10"/>
  <c r="B1562" i="10"/>
  <c r="C1562" i="10"/>
  <c r="A1561" i="10"/>
  <c r="B1561" i="10"/>
  <c r="C1561" i="10"/>
  <c r="A1560" i="10"/>
  <c r="B1560" i="10"/>
  <c r="C1560" i="10"/>
  <c r="A1559" i="10"/>
  <c r="B1559" i="10"/>
  <c r="C1559" i="10"/>
  <c r="A1558" i="10"/>
  <c r="B1558" i="10"/>
  <c r="C1558" i="10"/>
  <c r="A1557" i="10"/>
  <c r="B1557" i="10"/>
  <c r="C1557" i="10"/>
  <c r="A1556" i="10"/>
  <c r="B1556" i="10"/>
  <c r="C1556" i="10"/>
  <c r="A1555" i="10"/>
  <c r="B1555" i="10"/>
  <c r="C1555" i="10"/>
  <c r="A1554" i="10"/>
  <c r="B1554" i="10"/>
  <c r="C1554" i="10"/>
  <c r="A1553" i="10"/>
  <c r="B1553" i="10"/>
  <c r="C1553" i="10"/>
  <c r="A1552" i="10"/>
  <c r="B1552" i="10"/>
  <c r="C1552" i="10"/>
  <c r="A1551" i="10"/>
  <c r="B1551" i="10"/>
  <c r="C1551" i="10"/>
  <c r="A1550" i="10"/>
  <c r="B1550" i="10"/>
  <c r="C1550" i="10"/>
  <c r="A1549" i="10"/>
  <c r="B1549" i="10"/>
  <c r="C1549" i="10"/>
  <c r="A1548" i="10"/>
  <c r="B1548" i="10"/>
  <c r="C1548" i="10"/>
  <c r="A1547" i="10"/>
  <c r="B1547" i="10"/>
  <c r="C1547" i="10"/>
  <c r="A1546" i="10"/>
  <c r="B1546" i="10"/>
  <c r="C1546" i="10"/>
  <c r="A1545" i="10"/>
  <c r="B1545" i="10"/>
  <c r="C1545" i="10"/>
  <c r="A1544" i="10"/>
  <c r="B1544" i="10"/>
  <c r="C1544" i="10"/>
  <c r="A1543" i="10"/>
  <c r="B1543" i="10"/>
  <c r="C1543" i="10"/>
  <c r="A1542" i="10"/>
  <c r="B1542" i="10"/>
  <c r="C1542" i="10"/>
  <c r="A1541" i="10"/>
  <c r="B1541" i="10"/>
  <c r="C1541" i="10"/>
  <c r="A1540" i="10"/>
  <c r="B1540" i="10"/>
  <c r="C1540" i="10"/>
  <c r="A1539" i="10"/>
  <c r="B1539" i="10"/>
  <c r="C1539" i="10"/>
  <c r="A1538" i="10"/>
  <c r="B1538" i="10"/>
  <c r="C1538" i="10"/>
  <c r="A1537" i="10"/>
  <c r="B1537" i="10"/>
  <c r="C1537" i="10"/>
  <c r="A1536" i="10"/>
  <c r="B1536" i="10"/>
  <c r="C1536" i="10"/>
  <c r="A1535" i="10"/>
  <c r="B1535" i="10"/>
  <c r="C1535" i="10"/>
  <c r="A1534" i="10"/>
  <c r="B1534" i="10"/>
  <c r="C1534" i="10"/>
  <c r="A1533" i="10"/>
  <c r="B1533" i="10"/>
  <c r="C1533" i="10"/>
  <c r="A1532" i="10"/>
  <c r="B1532" i="10"/>
  <c r="C1532" i="10"/>
  <c r="A1531" i="10"/>
  <c r="B1531" i="10"/>
  <c r="C1531" i="10"/>
  <c r="A1530" i="10"/>
  <c r="B1530" i="10"/>
  <c r="C1530" i="10"/>
  <c r="A1529" i="10"/>
  <c r="B1529" i="10"/>
  <c r="C1529" i="10"/>
  <c r="A1528" i="10"/>
  <c r="B1528" i="10"/>
  <c r="C1528" i="10"/>
  <c r="A1527" i="10"/>
  <c r="B1527" i="10"/>
  <c r="C1527" i="10"/>
  <c r="A1526" i="10"/>
  <c r="B1526" i="10"/>
  <c r="C1526" i="10"/>
  <c r="A1525" i="10"/>
  <c r="B1525" i="10"/>
  <c r="C1525" i="10"/>
  <c r="A1524" i="10"/>
  <c r="B1524" i="10"/>
  <c r="C1524" i="10"/>
  <c r="A1523" i="10"/>
  <c r="B1523" i="10"/>
  <c r="C1523" i="10"/>
  <c r="A1522" i="10"/>
  <c r="B1522" i="10"/>
  <c r="C1522" i="10"/>
  <c r="A1521" i="10"/>
  <c r="B1521" i="10"/>
  <c r="C1521" i="10"/>
  <c r="A1520" i="10"/>
  <c r="B1520" i="10"/>
  <c r="C1520" i="10"/>
  <c r="A1519" i="10"/>
  <c r="B1519" i="10"/>
  <c r="C1519" i="10"/>
  <c r="A1518" i="10"/>
  <c r="B1518" i="10"/>
  <c r="C1518" i="10"/>
  <c r="A1517" i="10"/>
  <c r="B1517" i="10"/>
  <c r="C1517" i="10"/>
  <c r="A1516" i="10"/>
  <c r="B1516" i="10"/>
  <c r="C1516" i="10"/>
  <c r="A1515" i="10"/>
  <c r="B1515" i="10"/>
  <c r="C1515" i="10"/>
  <c r="A1514" i="10"/>
  <c r="B1514" i="10"/>
  <c r="C1514" i="10"/>
  <c r="A1513" i="10"/>
  <c r="B1513" i="10"/>
  <c r="C1513" i="10"/>
  <c r="A1512" i="10"/>
  <c r="B1512" i="10"/>
  <c r="C1512" i="10"/>
  <c r="A1511" i="10"/>
  <c r="B1511" i="10"/>
  <c r="C1511" i="10"/>
  <c r="A1510" i="10"/>
  <c r="B1510" i="10"/>
  <c r="C1510" i="10"/>
  <c r="A1509" i="10"/>
  <c r="B1509" i="10"/>
  <c r="C1509" i="10"/>
  <c r="A1508" i="10"/>
  <c r="B1508" i="10"/>
  <c r="C1508" i="10"/>
  <c r="A1507" i="10"/>
  <c r="B1507" i="10"/>
  <c r="C1507" i="10"/>
  <c r="A1506" i="10"/>
  <c r="B1506" i="10"/>
  <c r="C1506" i="10"/>
  <c r="A1505" i="10"/>
  <c r="B1505" i="10"/>
  <c r="C1505" i="10"/>
  <c r="A1504" i="10"/>
  <c r="B1504" i="10"/>
  <c r="C1504" i="10"/>
  <c r="A1503" i="10"/>
  <c r="B1503" i="10"/>
  <c r="C1503" i="10"/>
  <c r="A1502" i="10"/>
  <c r="B1502" i="10"/>
  <c r="C1502" i="10"/>
  <c r="A1501" i="10"/>
  <c r="B1501" i="10"/>
  <c r="C1501" i="10"/>
  <c r="A1500" i="10"/>
  <c r="B1500" i="10"/>
  <c r="C1500" i="10"/>
  <c r="A1499" i="10"/>
  <c r="B1499" i="10"/>
  <c r="C1499" i="10"/>
  <c r="A1498" i="10"/>
  <c r="B1498" i="10"/>
  <c r="C1498" i="10"/>
  <c r="A1497" i="10"/>
  <c r="B1497" i="10"/>
  <c r="C1497" i="10"/>
  <c r="A1496" i="10"/>
  <c r="B1496" i="10"/>
  <c r="C1496" i="10"/>
  <c r="A1495" i="10"/>
  <c r="B1495" i="10"/>
  <c r="C1495" i="10"/>
  <c r="A1494" i="10"/>
  <c r="B1494" i="10"/>
  <c r="C1494" i="10"/>
  <c r="A1493" i="10"/>
  <c r="B1493" i="10"/>
  <c r="C1493" i="10"/>
  <c r="A1492" i="10"/>
  <c r="B1492" i="10"/>
  <c r="C1492" i="10"/>
  <c r="A1491" i="10"/>
  <c r="B1491" i="10"/>
  <c r="C1491" i="10"/>
  <c r="A1490" i="10"/>
  <c r="B1490" i="10"/>
  <c r="C1490" i="10"/>
  <c r="A1489" i="10"/>
  <c r="B1489" i="10"/>
  <c r="C1489" i="10"/>
  <c r="A1488" i="10"/>
  <c r="B1488" i="10"/>
  <c r="C1488" i="10"/>
  <c r="A1487" i="10"/>
  <c r="B1487" i="10"/>
  <c r="C1487" i="10"/>
  <c r="A1486" i="10"/>
  <c r="B1486" i="10"/>
  <c r="C1486" i="10"/>
  <c r="A1485" i="10"/>
  <c r="B1485" i="10"/>
  <c r="C1485" i="10"/>
  <c r="A1484" i="10"/>
  <c r="B1484" i="10"/>
  <c r="C1484" i="10"/>
  <c r="A1483" i="10"/>
  <c r="B1483" i="10"/>
  <c r="C1483" i="10"/>
  <c r="A1482" i="10"/>
  <c r="B1482" i="10"/>
  <c r="C1482" i="10"/>
  <c r="A1481" i="10"/>
  <c r="B1481" i="10"/>
  <c r="C1481" i="10"/>
  <c r="A1480" i="10"/>
  <c r="B1480" i="10"/>
  <c r="C1480" i="10"/>
  <c r="A1479" i="10"/>
  <c r="B1479" i="10"/>
  <c r="C1479" i="10"/>
  <c r="A1478" i="10"/>
  <c r="B1478" i="10"/>
  <c r="C1478" i="10"/>
  <c r="A1477" i="10"/>
  <c r="B1477" i="10"/>
  <c r="C1477" i="10"/>
  <c r="A1476" i="10"/>
  <c r="B1476" i="10"/>
  <c r="C1476" i="10"/>
  <c r="A1475" i="10"/>
  <c r="B1475" i="10"/>
  <c r="C1475" i="10"/>
  <c r="A1474" i="10"/>
  <c r="B1474" i="10"/>
  <c r="C1474" i="10"/>
  <c r="A1473" i="10"/>
  <c r="B1473" i="10"/>
  <c r="C1473" i="10"/>
  <c r="A1472" i="10"/>
  <c r="B1472" i="10"/>
  <c r="C1472" i="10"/>
  <c r="A1471" i="10"/>
  <c r="B1471" i="10"/>
  <c r="C1471" i="10"/>
  <c r="A1470" i="10"/>
  <c r="B1470" i="10"/>
  <c r="C1470" i="10"/>
  <c r="A1469" i="10"/>
  <c r="B1469" i="10"/>
  <c r="C1469" i="10"/>
  <c r="A1468" i="10"/>
  <c r="B1468" i="10"/>
  <c r="C1468" i="10"/>
  <c r="A1467" i="10"/>
  <c r="B1467" i="10"/>
  <c r="C1467" i="10"/>
  <c r="A1466" i="10"/>
  <c r="B1466" i="10"/>
  <c r="C1466" i="10"/>
  <c r="A1465" i="10"/>
  <c r="B1465" i="10"/>
  <c r="C1465" i="10"/>
  <c r="A1464" i="10"/>
  <c r="B1464" i="10"/>
  <c r="C1464" i="10"/>
  <c r="A1463" i="10"/>
  <c r="B1463" i="10"/>
  <c r="C1463" i="10"/>
  <c r="A1462" i="10"/>
  <c r="B1462" i="10"/>
  <c r="C1462" i="10"/>
  <c r="A1461" i="10"/>
  <c r="B1461" i="10"/>
  <c r="C1461" i="10"/>
  <c r="A1460" i="10"/>
  <c r="B1460" i="10"/>
  <c r="C1460" i="10"/>
  <c r="A1459" i="10"/>
  <c r="B1459" i="10"/>
  <c r="C1459" i="10"/>
  <c r="A1458" i="10"/>
  <c r="B1458" i="10"/>
  <c r="C1458" i="10"/>
  <c r="A1457" i="10"/>
  <c r="B1457" i="10"/>
  <c r="C1457" i="10"/>
  <c r="A1456" i="10"/>
  <c r="B1456" i="10"/>
  <c r="C1456" i="10"/>
  <c r="A1455" i="10"/>
  <c r="B1455" i="10"/>
  <c r="C1455" i="10"/>
  <c r="A1454" i="10"/>
  <c r="B1454" i="10"/>
  <c r="C1454" i="10"/>
  <c r="A1453" i="10"/>
  <c r="B1453" i="10"/>
  <c r="C1453" i="10"/>
  <c r="A1452" i="10"/>
  <c r="B1452" i="10"/>
  <c r="C1452" i="10"/>
  <c r="A1451" i="10"/>
  <c r="B1451" i="10"/>
  <c r="C1451" i="10"/>
  <c r="A1450" i="10"/>
  <c r="B1450" i="10"/>
  <c r="C1450" i="10"/>
  <c r="A1449" i="10"/>
  <c r="B1449" i="10"/>
  <c r="C1449" i="10"/>
  <c r="A1448" i="10"/>
  <c r="B1448" i="10"/>
  <c r="C1448" i="10"/>
  <c r="A1447" i="10"/>
  <c r="B1447" i="10"/>
  <c r="C1447" i="10"/>
  <c r="A1446" i="10"/>
  <c r="B1446" i="10"/>
  <c r="C1446" i="10"/>
  <c r="A1445" i="10"/>
  <c r="B1445" i="10"/>
  <c r="C1445" i="10"/>
  <c r="A1444" i="10"/>
  <c r="B1444" i="10"/>
  <c r="C1444" i="10"/>
  <c r="A1443" i="10"/>
  <c r="B1443" i="10"/>
  <c r="C1443" i="10"/>
  <c r="A1442" i="10"/>
  <c r="B1442" i="10"/>
  <c r="C1442" i="10"/>
  <c r="A1441" i="10"/>
  <c r="B1441" i="10"/>
  <c r="C1441" i="10"/>
  <c r="A1440" i="10"/>
  <c r="B1440" i="10"/>
  <c r="C1440" i="10"/>
  <c r="A1439" i="10"/>
  <c r="B1439" i="10"/>
  <c r="C1439" i="10"/>
  <c r="A1438" i="10"/>
  <c r="B1438" i="10"/>
  <c r="C1438" i="10"/>
  <c r="A1437" i="10"/>
  <c r="B1437" i="10"/>
  <c r="C1437" i="10"/>
  <c r="A1436" i="10"/>
  <c r="B1436" i="10"/>
  <c r="C1436" i="10"/>
  <c r="A1435" i="10"/>
  <c r="B1435" i="10"/>
  <c r="C1435" i="10"/>
  <c r="A1434" i="10"/>
  <c r="B1434" i="10"/>
  <c r="C1434" i="10"/>
  <c r="A1433" i="10"/>
  <c r="B1433" i="10"/>
  <c r="C1433" i="10"/>
  <c r="A1432" i="10"/>
  <c r="B1432" i="10"/>
  <c r="C1432" i="10"/>
  <c r="A1431" i="10"/>
  <c r="B1431" i="10"/>
  <c r="C1431" i="10"/>
  <c r="A1430" i="10"/>
  <c r="B1430" i="10"/>
  <c r="C1430" i="10"/>
  <c r="A1429" i="10"/>
  <c r="B1429" i="10"/>
  <c r="C1429" i="10"/>
  <c r="A1428" i="10"/>
  <c r="B1428" i="10"/>
  <c r="C1428" i="10"/>
  <c r="A1427" i="10"/>
  <c r="B1427" i="10"/>
  <c r="C1427" i="10"/>
  <c r="A1426" i="10"/>
  <c r="B1426" i="10"/>
  <c r="C1426" i="10"/>
  <c r="A1425" i="10"/>
  <c r="B1425" i="10"/>
  <c r="C1425" i="10"/>
  <c r="A1424" i="10"/>
  <c r="B1424" i="10"/>
  <c r="C1424" i="10"/>
  <c r="A1423" i="10"/>
  <c r="B1423" i="10"/>
  <c r="C1423" i="10"/>
  <c r="A1422" i="10"/>
  <c r="B1422" i="10"/>
  <c r="C1422" i="10"/>
  <c r="A1421" i="10"/>
  <c r="B1421" i="10"/>
  <c r="C1421" i="10"/>
  <c r="A1420" i="10"/>
  <c r="B1420" i="10"/>
  <c r="C1420" i="10"/>
  <c r="A1419" i="10"/>
  <c r="B1419" i="10"/>
  <c r="C1419" i="10"/>
  <c r="A1418" i="10"/>
  <c r="B1418" i="10"/>
  <c r="C1418" i="10"/>
  <c r="A1417" i="10"/>
  <c r="B1417" i="10"/>
  <c r="C1417" i="10"/>
  <c r="A1416" i="10"/>
  <c r="B1416" i="10"/>
  <c r="C1416" i="10"/>
  <c r="A1415" i="10"/>
  <c r="B1415" i="10"/>
  <c r="C1415" i="10"/>
  <c r="A1414" i="10"/>
  <c r="B1414" i="10"/>
  <c r="C1414" i="10"/>
  <c r="A1413" i="10"/>
  <c r="B1413" i="10"/>
  <c r="C1413" i="10"/>
  <c r="A1412" i="10"/>
  <c r="B1412" i="10"/>
  <c r="C1412" i="10"/>
  <c r="A1411" i="10"/>
  <c r="B1411" i="10"/>
  <c r="C1411" i="10"/>
  <c r="A1410" i="10"/>
  <c r="B1410" i="10"/>
  <c r="C1410" i="10"/>
  <c r="A1409" i="10"/>
  <c r="B1409" i="10"/>
  <c r="C1409" i="10"/>
  <c r="A1408" i="10"/>
  <c r="B1408" i="10"/>
  <c r="C1408" i="10"/>
  <c r="A1407" i="10"/>
  <c r="B1407" i="10"/>
  <c r="C1407" i="10"/>
  <c r="A1406" i="10"/>
  <c r="B1406" i="10"/>
  <c r="C1406" i="10"/>
  <c r="A1405" i="10"/>
  <c r="B1405" i="10"/>
  <c r="C1405" i="10"/>
  <c r="A1404" i="10"/>
  <c r="B1404" i="10"/>
  <c r="C1404" i="10"/>
  <c r="A1403" i="10"/>
  <c r="B1403" i="10"/>
  <c r="C1403" i="10"/>
  <c r="A1402" i="10"/>
  <c r="B1402" i="10"/>
  <c r="C1402" i="10"/>
  <c r="A1401" i="10"/>
  <c r="B1401" i="10"/>
  <c r="C1401" i="10"/>
  <c r="A1400" i="10"/>
  <c r="B1400" i="10"/>
  <c r="C1400" i="10"/>
  <c r="A1399" i="10"/>
  <c r="B1399" i="10"/>
  <c r="C1399" i="10"/>
  <c r="A1398" i="10"/>
  <c r="B1398" i="10"/>
  <c r="C1398" i="10"/>
  <c r="A1397" i="10"/>
  <c r="B1397" i="10"/>
  <c r="C1397" i="10"/>
  <c r="A1396" i="10"/>
  <c r="B1396" i="10"/>
  <c r="C1396" i="10"/>
  <c r="A1395" i="10"/>
  <c r="B1395" i="10"/>
  <c r="C1395" i="10"/>
  <c r="A1394" i="10"/>
  <c r="B1394" i="10"/>
  <c r="C1394" i="10"/>
  <c r="A1393" i="10"/>
  <c r="B1393" i="10"/>
  <c r="C1393" i="10"/>
  <c r="A1392" i="10"/>
  <c r="B1392" i="10"/>
  <c r="C1392" i="10"/>
  <c r="A1391" i="10"/>
  <c r="B1391" i="10"/>
  <c r="C1391" i="10"/>
  <c r="A1390" i="10"/>
  <c r="B1390" i="10"/>
  <c r="C1390" i="10"/>
  <c r="A1389" i="10"/>
  <c r="B1389" i="10"/>
  <c r="C1389" i="10"/>
  <c r="A1388" i="10"/>
  <c r="B1388" i="10"/>
  <c r="C1388" i="10"/>
  <c r="A1387" i="10"/>
  <c r="B1387" i="10"/>
  <c r="C1387" i="10"/>
  <c r="A1386" i="10"/>
  <c r="B1386" i="10"/>
  <c r="C1386" i="10"/>
  <c r="A1385" i="10"/>
  <c r="B1385" i="10"/>
  <c r="C1385" i="10"/>
  <c r="A1384" i="10"/>
  <c r="B1384" i="10"/>
  <c r="C1384" i="10"/>
  <c r="A1383" i="10"/>
  <c r="B1383" i="10"/>
  <c r="C1383" i="10"/>
  <c r="A1382" i="10"/>
  <c r="B1382" i="10"/>
  <c r="C1382" i="10"/>
  <c r="A1381" i="10"/>
  <c r="B1381" i="10"/>
  <c r="C1381" i="10"/>
  <c r="A1380" i="10"/>
  <c r="B1380" i="10"/>
  <c r="C1380" i="10"/>
  <c r="A1379" i="10"/>
  <c r="B1379" i="10"/>
  <c r="C1379" i="10"/>
  <c r="A1378" i="10"/>
  <c r="B1378" i="10"/>
  <c r="C1378" i="10"/>
  <c r="A1377" i="10"/>
  <c r="B1377" i="10"/>
  <c r="C1377" i="10"/>
  <c r="A1376" i="10"/>
  <c r="B1376" i="10"/>
  <c r="C1376" i="10"/>
  <c r="A1375" i="10"/>
  <c r="B1375" i="10"/>
  <c r="C1375" i="10"/>
  <c r="A1374" i="10"/>
  <c r="B1374" i="10"/>
  <c r="C1374" i="10"/>
  <c r="A1373" i="10"/>
  <c r="B1373" i="10"/>
  <c r="C1373" i="10"/>
  <c r="A1372" i="10"/>
  <c r="B1372" i="10"/>
  <c r="C1372" i="10"/>
  <c r="A1371" i="10"/>
  <c r="B1371" i="10"/>
  <c r="C1371" i="10"/>
  <c r="A1370" i="10"/>
  <c r="B1370" i="10"/>
  <c r="C1370" i="10"/>
  <c r="A1369" i="10"/>
  <c r="B1369" i="10"/>
  <c r="C1369" i="10"/>
  <c r="A1368" i="10"/>
  <c r="B1368" i="10"/>
  <c r="C1368" i="10"/>
  <c r="A1367" i="10"/>
  <c r="B1367" i="10"/>
  <c r="C1367" i="10"/>
  <c r="A1366" i="10"/>
  <c r="B1366" i="10"/>
  <c r="C1366" i="10"/>
  <c r="A1365" i="10"/>
  <c r="B1365" i="10"/>
  <c r="C1365" i="10"/>
  <c r="A1364" i="10"/>
  <c r="B1364" i="10"/>
  <c r="C1364" i="10"/>
  <c r="A1363" i="10"/>
  <c r="B1363" i="10"/>
  <c r="C1363" i="10"/>
  <c r="A1362" i="10"/>
  <c r="B1362" i="10"/>
  <c r="C1362" i="10"/>
  <c r="A1361" i="10"/>
  <c r="B1361" i="10"/>
  <c r="C1361" i="10"/>
  <c r="A1360" i="10"/>
  <c r="B1360" i="10"/>
  <c r="C1360" i="10"/>
  <c r="A1359" i="10"/>
  <c r="B1359" i="10"/>
  <c r="C1359" i="10"/>
  <c r="A1358" i="10"/>
  <c r="B1358" i="10"/>
  <c r="C1358" i="10"/>
  <c r="A1357" i="10"/>
  <c r="B1357" i="10"/>
  <c r="C1357" i="10"/>
  <c r="A1356" i="10"/>
  <c r="B1356" i="10"/>
  <c r="C1356" i="10"/>
  <c r="A1355" i="10"/>
  <c r="B1355" i="10"/>
  <c r="C1355" i="10"/>
  <c r="A1354" i="10"/>
  <c r="B1354" i="10"/>
  <c r="C1354" i="10"/>
  <c r="A1353" i="10"/>
  <c r="B1353" i="10"/>
  <c r="C1353" i="10"/>
  <c r="A1352" i="10"/>
  <c r="B1352" i="10"/>
  <c r="C1352" i="10"/>
  <c r="A1351" i="10"/>
  <c r="B1351" i="10"/>
  <c r="C1351" i="10"/>
  <c r="A1350" i="10"/>
  <c r="B1350" i="10"/>
  <c r="C1350" i="10"/>
  <c r="A1349" i="10"/>
  <c r="B1349" i="10"/>
  <c r="C1349" i="10"/>
  <c r="A1348" i="10"/>
  <c r="B1348" i="10"/>
  <c r="C1348" i="10"/>
  <c r="A1347" i="10"/>
  <c r="B1347" i="10"/>
  <c r="C1347" i="10"/>
  <c r="A1346" i="10"/>
  <c r="B1346" i="10"/>
  <c r="C1346" i="10"/>
  <c r="A1345" i="10"/>
  <c r="B1345" i="10"/>
  <c r="C1345" i="10"/>
  <c r="A1344" i="10"/>
  <c r="B1344" i="10"/>
  <c r="C1344" i="10"/>
  <c r="A1343" i="10"/>
  <c r="B1343" i="10"/>
  <c r="C1343" i="10"/>
  <c r="A1342" i="10"/>
  <c r="B1342" i="10"/>
  <c r="C1342" i="10"/>
  <c r="A1341" i="10"/>
  <c r="B1341" i="10"/>
  <c r="C1341" i="10"/>
  <c r="A1340" i="10"/>
  <c r="B1340" i="10"/>
  <c r="C1340" i="10"/>
  <c r="A1339" i="10"/>
  <c r="B1339" i="10"/>
  <c r="C1339" i="10"/>
  <c r="A1338" i="10"/>
  <c r="B1338" i="10"/>
  <c r="C1338" i="10"/>
  <c r="A1337" i="10"/>
  <c r="B1337" i="10"/>
  <c r="C1337" i="10"/>
  <c r="A1336" i="10"/>
  <c r="B1336" i="10"/>
  <c r="C1336" i="10"/>
  <c r="A1335" i="10"/>
  <c r="B1335" i="10"/>
  <c r="C1335" i="10"/>
  <c r="A1334" i="10"/>
  <c r="B1334" i="10"/>
  <c r="C1334" i="10"/>
  <c r="A1333" i="10"/>
  <c r="B1333" i="10"/>
  <c r="C1333" i="10"/>
  <c r="A1332" i="10"/>
  <c r="B1332" i="10"/>
  <c r="C1332" i="10"/>
  <c r="A1331" i="10"/>
  <c r="B1331" i="10"/>
  <c r="C1331" i="10"/>
  <c r="A1330" i="10"/>
  <c r="B1330" i="10"/>
  <c r="C1330" i="10"/>
  <c r="A1329" i="10"/>
  <c r="B1329" i="10"/>
  <c r="C1329" i="10"/>
  <c r="A1328" i="10"/>
  <c r="B1328" i="10"/>
  <c r="C1328" i="10"/>
  <c r="A1327" i="10"/>
  <c r="B1327" i="10"/>
  <c r="C1327" i="10"/>
  <c r="A1326" i="10"/>
  <c r="B1326" i="10"/>
  <c r="C1326" i="10"/>
  <c r="A1325" i="10"/>
  <c r="B1325" i="10"/>
  <c r="C1325" i="10"/>
  <c r="A1324" i="10"/>
  <c r="B1324" i="10"/>
  <c r="C1324" i="10"/>
  <c r="A1323" i="10"/>
  <c r="B1323" i="10"/>
  <c r="C1323" i="10"/>
  <c r="A1322" i="10"/>
  <c r="B1322" i="10"/>
  <c r="C1322" i="10"/>
  <c r="A1321" i="10"/>
  <c r="B1321" i="10"/>
  <c r="C1321" i="10"/>
  <c r="A1320" i="10"/>
  <c r="B1320" i="10"/>
  <c r="C1320" i="10"/>
  <c r="A1319" i="10"/>
  <c r="B1319" i="10"/>
  <c r="C1319" i="10"/>
  <c r="A1318" i="10"/>
  <c r="B1318" i="10"/>
  <c r="C1318" i="10"/>
  <c r="A1317" i="10"/>
  <c r="B1317" i="10"/>
  <c r="C1317" i="10"/>
  <c r="A1316" i="10"/>
  <c r="B1316" i="10"/>
  <c r="C1316" i="10"/>
  <c r="A1315" i="10"/>
  <c r="B1315" i="10"/>
  <c r="C1315" i="10"/>
  <c r="A1314" i="10"/>
  <c r="B1314" i="10"/>
  <c r="C1314" i="10"/>
  <c r="A1313" i="10"/>
  <c r="B1313" i="10"/>
  <c r="C1313" i="10"/>
  <c r="A1312" i="10"/>
  <c r="B1312" i="10"/>
  <c r="C1312" i="10"/>
  <c r="A1311" i="10"/>
  <c r="B1311" i="10"/>
  <c r="C1311" i="10"/>
  <c r="A1310" i="10"/>
  <c r="B1310" i="10"/>
  <c r="C1310" i="10"/>
  <c r="A1309" i="10"/>
  <c r="B1309" i="10"/>
  <c r="C1309" i="10"/>
  <c r="A1308" i="10"/>
  <c r="B1308" i="10"/>
  <c r="C1308" i="10"/>
  <c r="A1307" i="10"/>
  <c r="B1307" i="10"/>
  <c r="C1307" i="10"/>
  <c r="A1306" i="10"/>
  <c r="B1306" i="10"/>
  <c r="C1306" i="10"/>
  <c r="A1305" i="10"/>
  <c r="B1305" i="10"/>
  <c r="C1305" i="10"/>
  <c r="A1304" i="10"/>
  <c r="B1304" i="10"/>
  <c r="C1304" i="10"/>
  <c r="A1303" i="10"/>
  <c r="B1303" i="10"/>
  <c r="C1303" i="10"/>
  <c r="A1302" i="10"/>
  <c r="B1302" i="10"/>
  <c r="C1302" i="10"/>
  <c r="A1301" i="10"/>
  <c r="B1301" i="10"/>
  <c r="C1301" i="10"/>
  <c r="A1300" i="10"/>
  <c r="B1300" i="10"/>
  <c r="C1300" i="10"/>
  <c r="A1299" i="10"/>
  <c r="B1299" i="10"/>
  <c r="C1299" i="10"/>
  <c r="A1298" i="10"/>
  <c r="B1298" i="10"/>
  <c r="C1298" i="10"/>
  <c r="A1297" i="10"/>
  <c r="B1297" i="10"/>
  <c r="C1297" i="10"/>
  <c r="A1296" i="10"/>
  <c r="B1296" i="10"/>
  <c r="C1296" i="10"/>
  <c r="A1295" i="10"/>
  <c r="B1295" i="10"/>
  <c r="C1295" i="10"/>
  <c r="A1294" i="10"/>
  <c r="B1294" i="10"/>
  <c r="C1294" i="10"/>
  <c r="A1293" i="10"/>
  <c r="B1293" i="10"/>
  <c r="C1293" i="10"/>
  <c r="A1292" i="10"/>
  <c r="B1292" i="10"/>
  <c r="C1292" i="10"/>
  <c r="A1291" i="10"/>
  <c r="B1291" i="10"/>
  <c r="C1291" i="10"/>
  <c r="A1290" i="10"/>
  <c r="B1290" i="10"/>
  <c r="C1290" i="10"/>
  <c r="A1289" i="10"/>
  <c r="B1289" i="10"/>
  <c r="C1289" i="10"/>
  <c r="A1288" i="10"/>
  <c r="B1288" i="10"/>
  <c r="C1288" i="10"/>
  <c r="A1287" i="10"/>
  <c r="B1287" i="10"/>
  <c r="C1287" i="10"/>
  <c r="A1286" i="10"/>
  <c r="B1286" i="10"/>
  <c r="C1286" i="10"/>
  <c r="A1285" i="10"/>
  <c r="B1285" i="10"/>
  <c r="C1285" i="10"/>
  <c r="A1284" i="10"/>
  <c r="B1284" i="10"/>
  <c r="C1284" i="10"/>
  <c r="A1283" i="10"/>
  <c r="B1283" i="10"/>
  <c r="C1283" i="10"/>
  <c r="A1282" i="10"/>
  <c r="B1282" i="10"/>
  <c r="C1282" i="10"/>
  <c r="A1281" i="10"/>
  <c r="B1281" i="10"/>
  <c r="C1281" i="10"/>
  <c r="A1280" i="10"/>
  <c r="B1280" i="10"/>
  <c r="C1280" i="10"/>
  <c r="A1279" i="10"/>
  <c r="B1279" i="10"/>
  <c r="C1279" i="10"/>
  <c r="A1278" i="10"/>
  <c r="B1278" i="10"/>
  <c r="C1278" i="10"/>
  <c r="A1277" i="10"/>
  <c r="B1277" i="10"/>
  <c r="C1277" i="10"/>
  <c r="A1276" i="10"/>
  <c r="B1276" i="10"/>
  <c r="C1276" i="10"/>
  <c r="A1275" i="10"/>
  <c r="B1275" i="10"/>
  <c r="C1275" i="10"/>
  <c r="A1274" i="10"/>
  <c r="B1274" i="10"/>
  <c r="C1274" i="10"/>
  <c r="A1273" i="10"/>
  <c r="B1273" i="10"/>
  <c r="C1273" i="10"/>
  <c r="A1272" i="10"/>
  <c r="B1272" i="10"/>
  <c r="C1272" i="10"/>
  <c r="A1271" i="10"/>
  <c r="B1271" i="10"/>
  <c r="C1271" i="10"/>
  <c r="A1270" i="10"/>
  <c r="B1270" i="10"/>
  <c r="C1270" i="10"/>
  <c r="A1269" i="10"/>
  <c r="B1269" i="10"/>
  <c r="C1269" i="10"/>
  <c r="A1268" i="10"/>
  <c r="B1268" i="10"/>
  <c r="C1268" i="10"/>
  <c r="A1267" i="10"/>
  <c r="B1267" i="10"/>
  <c r="C1267" i="10"/>
  <c r="A1266" i="10"/>
  <c r="B1266" i="10"/>
  <c r="C1266" i="10"/>
  <c r="A1265" i="10"/>
  <c r="B1265" i="10"/>
  <c r="C1265" i="10"/>
  <c r="A1264" i="10"/>
  <c r="B1264" i="10"/>
  <c r="C1264" i="10"/>
  <c r="A1263" i="10"/>
  <c r="B1263" i="10"/>
  <c r="C1263" i="10"/>
  <c r="A1262" i="10"/>
  <c r="B1262" i="10"/>
  <c r="C1262" i="10"/>
  <c r="A1261" i="10"/>
  <c r="B1261" i="10"/>
  <c r="C1261" i="10"/>
  <c r="A1260" i="10"/>
  <c r="B1260" i="10"/>
  <c r="C1260" i="10"/>
  <c r="A1259" i="10"/>
  <c r="B1259" i="10"/>
  <c r="C1259" i="10"/>
  <c r="A1258" i="10"/>
  <c r="B1258" i="10"/>
  <c r="C1258" i="10"/>
  <c r="A1257" i="10"/>
  <c r="B1257" i="10"/>
  <c r="C1257" i="10"/>
  <c r="A1256" i="10"/>
  <c r="B1256" i="10"/>
  <c r="C1256" i="10"/>
  <c r="A1255" i="10"/>
  <c r="B1255" i="10"/>
  <c r="C1255" i="10"/>
  <c r="A1254" i="10"/>
  <c r="B1254" i="10"/>
  <c r="C1254" i="10"/>
  <c r="A1253" i="10"/>
  <c r="B1253" i="10"/>
  <c r="C1253" i="10"/>
  <c r="A1252" i="10"/>
  <c r="B1252" i="10"/>
  <c r="C1252" i="10"/>
  <c r="A1251" i="10"/>
  <c r="B1251" i="10"/>
  <c r="C1251" i="10"/>
  <c r="A1250" i="10"/>
  <c r="B1250" i="10"/>
  <c r="C1250" i="10"/>
  <c r="A1249" i="10"/>
  <c r="B1249" i="10"/>
  <c r="C1249" i="10"/>
  <c r="A1248" i="10"/>
  <c r="B1248" i="10"/>
  <c r="C1248" i="10"/>
  <c r="A1247" i="10"/>
  <c r="B1247" i="10"/>
  <c r="C1247" i="10"/>
  <c r="A1246" i="10"/>
  <c r="B1246" i="10"/>
  <c r="C1246" i="10"/>
  <c r="A1245" i="10"/>
  <c r="B1245" i="10"/>
  <c r="C1245" i="10"/>
  <c r="A1244" i="10"/>
  <c r="B1244" i="10"/>
  <c r="C1244" i="10"/>
  <c r="A1243" i="10"/>
  <c r="B1243" i="10"/>
  <c r="C1243" i="10"/>
  <c r="A1242" i="10"/>
  <c r="B1242" i="10"/>
  <c r="C1242" i="10"/>
  <c r="A1241" i="10"/>
  <c r="B1241" i="10"/>
  <c r="C1241" i="10"/>
  <c r="A1240" i="10"/>
  <c r="B1240" i="10"/>
  <c r="C1240" i="10"/>
  <c r="A1239" i="10"/>
  <c r="B1239" i="10"/>
  <c r="C1239" i="10"/>
  <c r="A1238" i="10"/>
  <c r="B1238" i="10"/>
  <c r="C1238" i="10"/>
  <c r="A1237" i="10"/>
  <c r="B1237" i="10"/>
  <c r="C1237" i="10"/>
  <c r="A1236" i="10"/>
  <c r="B1236" i="10"/>
  <c r="C1236" i="10"/>
  <c r="A1235" i="10"/>
  <c r="B1235" i="10"/>
  <c r="C1235" i="10"/>
  <c r="A1234" i="10"/>
  <c r="B1234" i="10"/>
  <c r="C1234" i="10"/>
  <c r="A1233" i="10"/>
  <c r="B1233" i="10"/>
  <c r="C1233" i="10"/>
  <c r="A1232" i="10"/>
  <c r="B1232" i="10"/>
  <c r="C1232" i="10"/>
  <c r="A1231" i="10"/>
  <c r="B1231" i="10"/>
  <c r="C1231" i="10"/>
  <c r="A1230" i="10"/>
  <c r="B1230" i="10"/>
  <c r="C1230" i="10"/>
  <c r="A1229" i="10"/>
  <c r="B1229" i="10"/>
  <c r="C1229" i="10"/>
  <c r="A1228" i="10"/>
  <c r="B1228" i="10"/>
  <c r="C1228" i="10"/>
  <c r="A1227" i="10"/>
  <c r="B1227" i="10"/>
  <c r="C1227" i="10"/>
  <c r="A1226" i="10"/>
  <c r="B1226" i="10"/>
  <c r="C1226" i="10"/>
  <c r="A1225" i="10"/>
  <c r="B1225" i="10"/>
  <c r="C1225" i="10"/>
  <c r="A1224" i="10"/>
  <c r="B1224" i="10"/>
  <c r="C1224" i="10"/>
  <c r="A1223" i="10"/>
  <c r="B1223" i="10"/>
  <c r="C1223" i="10"/>
  <c r="A1222" i="10"/>
  <c r="B1222" i="10"/>
  <c r="C1222" i="10"/>
  <c r="A1221" i="10"/>
  <c r="B1221" i="10"/>
  <c r="C1221" i="10"/>
  <c r="A1220" i="10"/>
  <c r="B1220" i="10"/>
  <c r="C1220" i="10"/>
  <c r="A1219" i="10"/>
  <c r="B1219" i="10"/>
  <c r="C1219" i="10"/>
  <c r="A1218" i="10"/>
  <c r="B1218" i="10"/>
  <c r="C1218" i="10"/>
  <c r="A1217" i="10"/>
  <c r="B1217" i="10"/>
  <c r="C1217" i="10"/>
  <c r="A1216" i="10"/>
  <c r="B1216" i="10"/>
  <c r="C1216" i="10"/>
  <c r="A1215" i="10"/>
  <c r="B1215" i="10"/>
  <c r="C1215" i="10"/>
  <c r="A1214" i="10"/>
  <c r="B1214" i="10"/>
  <c r="C1214" i="10"/>
  <c r="A1213" i="10"/>
  <c r="B1213" i="10"/>
  <c r="C1213" i="10"/>
  <c r="A1212" i="10"/>
  <c r="B1212" i="10"/>
  <c r="C1212" i="10"/>
  <c r="A1211" i="10"/>
  <c r="B1211" i="10"/>
  <c r="C1211" i="10"/>
  <c r="A1210" i="10"/>
  <c r="B1210" i="10"/>
  <c r="C1210" i="10"/>
  <c r="A1209" i="10"/>
  <c r="B1209" i="10"/>
  <c r="C1209" i="10"/>
  <c r="A1208" i="10"/>
  <c r="B1208" i="10"/>
  <c r="C1208" i="10"/>
  <c r="A1207" i="10"/>
  <c r="B1207" i="10"/>
  <c r="C1207" i="10"/>
  <c r="A1206" i="10"/>
  <c r="B1206" i="10"/>
  <c r="C1206" i="10"/>
  <c r="A1205" i="10"/>
  <c r="B1205" i="10"/>
  <c r="C1205" i="10"/>
  <c r="A1204" i="10"/>
  <c r="B1204" i="10"/>
  <c r="C1204" i="10"/>
  <c r="A1203" i="10"/>
  <c r="B1203" i="10"/>
  <c r="C1203" i="10"/>
  <c r="A1202" i="10"/>
  <c r="B1202" i="10"/>
  <c r="C1202" i="10"/>
  <c r="A1201" i="10"/>
  <c r="B1201" i="10"/>
  <c r="C1201" i="10"/>
  <c r="A1200" i="10"/>
  <c r="B1200" i="10"/>
  <c r="C1200" i="10"/>
  <c r="A1199" i="10"/>
  <c r="B1199" i="10"/>
  <c r="C1199" i="10"/>
  <c r="A1198" i="10"/>
  <c r="B1198" i="10"/>
  <c r="C1198" i="10"/>
  <c r="A1197" i="10"/>
  <c r="B1197" i="10"/>
  <c r="C1197" i="10"/>
  <c r="A1196" i="10"/>
  <c r="B1196" i="10"/>
  <c r="C1196" i="10"/>
  <c r="A1195" i="10"/>
  <c r="B1195" i="10"/>
  <c r="C1195" i="10"/>
  <c r="A1194" i="10"/>
  <c r="B1194" i="10"/>
  <c r="C1194" i="10"/>
  <c r="A1193" i="10"/>
  <c r="B1193" i="10"/>
  <c r="C1193" i="10"/>
  <c r="A1192" i="10"/>
  <c r="B1192" i="10"/>
  <c r="C1192" i="10"/>
  <c r="A1191" i="10"/>
  <c r="B1191" i="10"/>
  <c r="C1191" i="10"/>
  <c r="A1190" i="10"/>
  <c r="B1190" i="10"/>
  <c r="C1190" i="10"/>
  <c r="A1189" i="10"/>
  <c r="B1189" i="10"/>
  <c r="C1189" i="10"/>
  <c r="A1188" i="10"/>
  <c r="B1188" i="10"/>
  <c r="C1188" i="10"/>
  <c r="A1187" i="10"/>
  <c r="B1187" i="10"/>
  <c r="C1187" i="10"/>
  <c r="A1186" i="10"/>
  <c r="B1186" i="10"/>
  <c r="C1186" i="10"/>
  <c r="A1185" i="10"/>
  <c r="B1185" i="10"/>
  <c r="C1185" i="10"/>
  <c r="A1184" i="10"/>
  <c r="B1184" i="10"/>
  <c r="C1184" i="10"/>
  <c r="A1183" i="10"/>
  <c r="B1183" i="10"/>
  <c r="C1183" i="10"/>
  <c r="A1182" i="10"/>
  <c r="B1182" i="10"/>
  <c r="C1182" i="10"/>
  <c r="A1181" i="10"/>
  <c r="B1181" i="10"/>
  <c r="C1181" i="10"/>
  <c r="A1180" i="10"/>
  <c r="B1180" i="10"/>
  <c r="C1180" i="10"/>
  <c r="A1179" i="10"/>
  <c r="B1179" i="10"/>
  <c r="C1179" i="10"/>
  <c r="A1178" i="10"/>
  <c r="B1178" i="10"/>
  <c r="C1178" i="10"/>
  <c r="A1177" i="10"/>
  <c r="B1177" i="10"/>
  <c r="C1177" i="10"/>
  <c r="A1176" i="10"/>
  <c r="B1176" i="10"/>
  <c r="C1176" i="10"/>
  <c r="A1175" i="10"/>
  <c r="B1175" i="10"/>
  <c r="C1175" i="10"/>
  <c r="A1174" i="10"/>
  <c r="B1174" i="10"/>
  <c r="C1174" i="10"/>
  <c r="A1173" i="10"/>
  <c r="B1173" i="10"/>
  <c r="C1173" i="10"/>
  <c r="A1172" i="10"/>
  <c r="B1172" i="10"/>
  <c r="C1172" i="10"/>
  <c r="A1171" i="10"/>
  <c r="B1171" i="10"/>
  <c r="C1171" i="10"/>
  <c r="A1170" i="10"/>
  <c r="B1170" i="10"/>
  <c r="C1170" i="10"/>
  <c r="A1169" i="10"/>
  <c r="B1169" i="10"/>
  <c r="C1169" i="10"/>
  <c r="A1168" i="10"/>
  <c r="B1168" i="10"/>
  <c r="C1168" i="10"/>
  <c r="A1167" i="10"/>
  <c r="B1167" i="10"/>
  <c r="C1167" i="10"/>
  <c r="A1166" i="10"/>
  <c r="B1166" i="10"/>
  <c r="C1166" i="10"/>
  <c r="A1165" i="10"/>
  <c r="B1165" i="10"/>
  <c r="C1165" i="10"/>
  <c r="A1164" i="10"/>
  <c r="B1164" i="10"/>
  <c r="C1164" i="10"/>
  <c r="A1163" i="10"/>
  <c r="B1163" i="10"/>
  <c r="C1163" i="10"/>
  <c r="A1162" i="10"/>
  <c r="B1162" i="10"/>
  <c r="C1162" i="10"/>
  <c r="A1161" i="10"/>
  <c r="B1161" i="10"/>
  <c r="C1161" i="10"/>
  <c r="A1160" i="10"/>
  <c r="B1160" i="10"/>
  <c r="C1160" i="10"/>
  <c r="A1159" i="10"/>
  <c r="B1159" i="10"/>
  <c r="C1159" i="10"/>
  <c r="A1158" i="10"/>
  <c r="B1158" i="10"/>
  <c r="C1158" i="10"/>
  <c r="A1157" i="10"/>
  <c r="B1157" i="10"/>
  <c r="C1157" i="10"/>
  <c r="A1156" i="10"/>
  <c r="B1156" i="10"/>
  <c r="C1156" i="10"/>
  <c r="A1155" i="10"/>
  <c r="B1155" i="10"/>
  <c r="C1155" i="10"/>
  <c r="A1154" i="10"/>
  <c r="B1154" i="10"/>
  <c r="C1154" i="10"/>
  <c r="A1153" i="10"/>
  <c r="B1153" i="10"/>
  <c r="C1153" i="10"/>
  <c r="A1152" i="10"/>
  <c r="B1152" i="10"/>
  <c r="C1152" i="10"/>
  <c r="A1151" i="10"/>
  <c r="B1151" i="10"/>
  <c r="C1151" i="10"/>
  <c r="A1150" i="10"/>
  <c r="B1150" i="10"/>
  <c r="C1150" i="10"/>
  <c r="A1149" i="10"/>
  <c r="B1149" i="10"/>
  <c r="C1149" i="10"/>
  <c r="A1148" i="10"/>
  <c r="B1148" i="10"/>
  <c r="C1148" i="10"/>
  <c r="A1147" i="10"/>
  <c r="B1147" i="10"/>
  <c r="C1147" i="10"/>
  <c r="A1146" i="10"/>
  <c r="B1146" i="10"/>
  <c r="C1146" i="10"/>
  <c r="A1145" i="10"/>
  <c r="B1145" i="10"/>
  <c r="C1145" i="10"/>
  <c r="A1144" i="10"/>
  <c r="B1144" i="10"/>
  <c r="C1144" i="10"/>
  <c r="A1143" i="10"/>
  <c r="B1143" i="10"/>
  <c r="C1143" i="10"/>
  <c r="A1142" i="10"/>
  <c r="B1142" i="10"/>
  <c r="C1142" i="10"/>
  <c r="A1141" i="10"/>
  <c r="B1141" i="10"/>
  <c r="C1141" i="10"/>
  <c r="A1140" i="10"/>
  <c r="B1140" i="10"/>
  <c r="C1140" i="10"/>
  <c r="A1139" i="10"/>
  <c r="B1139" i="10"/>
  <c r="C1139" i="10"/>
  <c r="A1138" i="10"/>
  <c r="B1138" i="10"/>
  <c r="C1138" i="10"/>
  <c r="A1137" i="10"/>
  <c r="B1137" i="10"/>
  <c r="C1137" i="10"/>
  <c r="A1136" i="10"/>
  <c r="B1136" i="10"/>
  <c r="C1136" i="10"/>
  <c r="A1135" i="10"/>
  <c r="B1135" i="10"/>
  <c r="C1135" i="10"/>
  <c r="A1134" i="10"/>
  <c r="B1134" i="10"/>
  <c r="C1134" i="10"/>
  <c r="A1133" i="10"/>
  <c r="B1133" i="10"/>
  <c r="C1133" i="10"/>
  <c r="A1132" i="10"/>
  <c r="B1132" i="10"/>
  <c r="C1132" i="10"/>
  <c r="A1131" i="10"/>
  <c r="B1131" i="10"/>
  <c r="C1131" i="10"/>
  <c r="A1130" i="10"/>
  <c r="B1130" i="10"/>
  <c r="C1130" i="10"/>
  <c r="A1129" i="10"/>
  <c r="B1129" i="10"/>
  <c r="C1129" i="10"/>
  <c r="A1128" i="10"/>
  <c r="B1128" i="10"/>
  <c r="C1128" i="10"/>
  <c r="A1127" i="10"/>
  <c r="B1127" i="10"/>
  <c r="C1127" i="10"/>
  <c r="A1126" i="10"/>
  <c r="B1126" i="10"/>
  <c r="C1126" i="10"/>
  <c r="A1125" i="10"/>
  <c r="B1125" i="10"/>
  <c r="C1125" i="10"/>
  <c r="A1124" i="10"/>
  <c r="B1124" i="10"/>
  <c r="C1124" i="10"/>
  <c r="A1123" i="10"/>
  <c r="B1123" i="10"/>
  <c r="C1123" i="10"/>
  <c r="A1122" i="10"/>
  <c r="B1122" i="10"/>
  <c r="C1122" i="10"/>
  <c r="A1121" i="10"/>
  <c r="B1121" i="10"/>
  <c r="C1121" i="10"/>
  <c r="A1120" i="10"/>
  <c r="B1120" i="10"/>
  <c r="C1120" i="10"/>
  <c r="A1119" i="10"/>
  <c r="B1119" i="10"/>
  <c r="C1119" i="10"/>
  <c r="A1118" i="10"/>
  <c r="B1118" i="10"/>
  <c r="C1118" i="10"/>
  <c r="A1117" i="10"/>
  <c r="B1117" i="10"/>
  <c r="C1117" i="10"/>
  <c r="A1116" i="10"/>
  <c r="B1116" i="10"/>
  <c r="C1116" i="10"/>
  <c r="A1115" i="10"/>
  <c r="B1115" i="10"/>
  <c r="C1115" i="10"/>
  <c r="A1114" i="10"/>
  <c r="B1114" i="10"/>
  <c r="C1114" i="10"/>
  <c r="A1113" i="10"/>
  <c r="B1113" i="10"/>
  <c r="C1113" i="10"/>
  <c r="A1112" i="10"/>
  <c r="B1112" i="10"/>
  <c r="C1112" i="10"/>
  <c r="A1111" i="10"/>
  <c r="B1111" i="10"/>
  <c r="C1111" i="10"/>
  <c r="A1110" i="10"/>
  <c r="B1110" i="10"/>
  <c r="C1110" i="10"/>
  <c r="A1109" i="10"/>
  <c r="B1109" i="10"/>
  <c r="C1109" i="10"/>
  <c r="A1108" i="10"/>
  <c r="B1108" i="10"/>
  <c r="C1108" i="10"/>
  <c r="A1107" i="10"/>
  <c r="B1107" i="10"/>
  <c r="C1107" i="10"/>
  <c r="A1106" i="10"/>
  <c r="B1106" i="10"/>
  <c r="C1106" i="10"/>
  <c r="A1105" i="10"/>
  <c r="B1105" i="10"/>
  <c r="C1105" i="10"/>
  <c r="A1104" i="10"/>
  <c r="B1104" i="10"/>
  <c r="C1104" i="10"/>
  <c r="A1103" i="10"/>
  <c r="B1103" i="10"/>
  <c r="C1103" i="10"/>
  <c r="A1102" i="10"/>
  <c r="B1102" i="10"/>
  <c r="C1102" i="10"/>
  <c r="A1101" i="10"/>
  <c r="B1101" i="10"/>
  <c r="C1101" i="10"/>
  <c r="A1100" i="10"/>
  <c r="B1100" i="10"/>
  <c r="C1100" i="10"/>
  <c r="A1099" i="10"/>
  <c r="B1099" i="10"/>
  <c r="C1099" i="10"/>
  <c r="A1098" i="10"/>
  <c r="B1098" i="10"/>
  <c r="C1098" i="10"/>
  <c r="A1097" i="10"/>
  <c r="B1097" i="10"/>
  <c r="C1097" i="10"/>
  <c r="A1096" i="10"/>
  <c r="B1096" i="10"/>
  <c r="C1096" i="10"/>
  <c r="A1095" i="10"/>
  <c r="B1095" i="10"/>
  <c r="C1095" i="10"/>
  <c r="A1094" i="10"/>
  <c r="B1094" i="10"/>
  <c r="C1094" i="10"/>
  <c r="A1093" i="10"/>
  <c r="B1093" i="10"/>
  <c r="C1093" i="10"/>
  <c r="A1092" i="10"/>
  <c r="B1092" i="10"/>
  <c r="C1092" i="10"/>
  <c r="A1091" i="10"/>
  <c r="B1091" i="10"/>
  <c r="C1091" i="10"/>
  <c r="A1090" i="10"/>
  <c r="B1090" i="10"/>
  <c r="C1090" i="10"/>
  <c r="A1089" i="10"/>
  <c r="B1089" i="10"/>
  <c r="C1089" i="10"/>
  <c r="A1088" i="10"/>
  <c r="B1088" i="10"/>
  <c r="C1088" i="10"/>
  <c r="A1087" i="10"/>
  <c r="B1087" i="10"/>
  <c r="C1087" i="10"/>
  <c r="A1086" i="10"/>
  <c r="B1086" i="10"/>
  <c r="C1086" i="10"/>
  <c r="A1085" i="10"/>
  <c r="B1085" i="10"/>
  <c r="C1085" i="10"/>
  <c r="A1084" i="10"/>
  <c r="B1084" i="10"/>
  <c r="C1084" i="10"/>
  <c r="A1083" i="10"/>
  <c r="B1083" i="10"/>
  <c r="C1083" i="10"/>
  <c r="A1082" i="10"/>
  <c r="B1082" i="10"/>
  <c r="C1082" i="10"/>
  <c r="A1081" i="10"/>
  <c r="B1081" i="10"/>
  <c r="C1081" i="10"/>
  <c r="A1080" i="10"/>
  <c r="B1080" i="10"/>
  <c r="C1080" i="10"/>
  <c r="A1079" i="10"/>
  <c r="B1079" i="10"/>
  <c r="C1079" i="10"/>
  <c r="A1078" i="10"/>
  <c r="B1078" i="10"/>
  <c r="C1078" i="10"/>
  <c r="A1077" i="10"/>
  <c r="B1077" i="10"/>
  <c r="C1077" i="10"/>
  <c r="A1076" i="10"/>
  <c r="B1076" i="10"/>
  <c r="C1076" i="10"/>
  <c r="A1075" i="10"/>
  <c r="B1075" i="10"/>
  <c r="C1075" i="10"/>
  <c r="A1074" i="10"/>
  <c r="B1074" i="10"/>
  <c r="C1074" i="10"/>
  <c r="A1073" i="10"/>
  <c r="B1073" i="10"/>
  <c r="C1073" i="10"/>
  <c r="A1072" i="10"/>
  <c r="B1072" i="10"/>
  <c r="C1072" i="10"/>
  <c r="A1071" i="10"/>
  <c r="B1071" i="10"/>
  <c r="C1071" i="10"/>
  <c r="A1070" i="10"/>
  <c r="B1070" i="10"/>
  <c r="C1070" i="10"/>
  <c r="A1069" i="10"/>
  <c r="B1069" i="10"/>
  <c r="C1069" i="10"/>
  <c r="A1068" i="10"/>
  <c r="B1068" i="10"/>
  <c r="C1068" i="10"/>
  <c r="A1067" i="10"/>
  <c r="B1067" i="10"/>
  <c r="C1067" i="10"/>
  <c r="A1066" i="10"/>
  <c r="B1066" i="10"/>
  <c r="C1066" i="10"/>
  <c r="A1065" i="10"/>
  <c r="B1065" i="10"/>
  <c r="C1065" i="10"/>
  <c r="A1064" i="10"/>
  <c r="B1064" i="10"/>
  <c r="C1064" i="10"/>
  <c r="A1063" i="10"/>
  <c r="B1063" i="10"/>
  <c r="C1063" i="10"/>
  <c r="A1062" i="10"/>
  <c r="B1062" i="10"/>
  <c r="C1062" i="10"/>
  <c r="A1061" i="10"/>
  <c r="B1061" i="10"/>
  <c r="C1061" i="10"/>
  <c r="A1060" i="10"/>
  <c r="B1060" i="10"/>
  <c r="C1060" i="10"/>
  <c r="A1059" i="10"/>
  <c r="B1059" i="10"/>
  <c r="C1059" i="10"/>
  <c r="A1058" i="10"/>
  <c r="B1058" i="10"/>
  <c r="C1058" i="10"/>
  <c r="A1057" i="10"/>
  <c r="B1057" i="10"/>
  <c r="C1057" i="10"/>
  <c r="A1056" i="10"/>
  <c r="B1056" i="10"/>
  <c r="C1056" i="10"/>
  <c r="A1055" i="10"/>
  <c r="B1055" i="10"/>
  <c r="C1055" i="10"/>
  <c r="A1054" i="10"/>
  <c r="B1054" i="10"/>
  <c r="C1054" i="10"/>
  <c r="A1053" i="10"/>
  <c r="B1053" i="10"/>
  <c r="C1053" i="10"/>
  <c r="A1052" i="10"/>
  <c r="B1052" i="10"/>
  <c r="C1052" i="10"/>
  <c r="A1051" i="10"/>
  <c r="B1051" i="10"/>
  <c r="C1051" i="10"/>
  <c r="A1050" i="10"/>
  <c r="B1050" i="10"/>
  <c r="C1050" i="10"/>
  <c r="A1049" i="10"/>
  <c r="B1049" i="10"/>
  <c r="C1049" i="10"/>
  <c r="A1048" i="10"/>
  <c r="B1048" i="10"/>
  <c r="C1048" i="10"/>
  <c r="A1047" i="10"/>
  <c r="B1047" i="10"/>
  <c r="C1047" i="10"/>
  <c r="A1046" i="10"/>
  <c r="B1046" i="10"/>
  <c r="C1046" i="10"/>
  <c r="A1045" i="10"/>
  <c r="B1045" i="10"/>
  <c r="C1045" i="10"/>
  <c r="A1044" i="10"/>
  <c r="B1044" i="10"/>
  <c r="C1044" i="10"/>
  <c r="A1043" i="10"/>
  <c r="B1043" i="10"/>
  <c r="C1043" i="10"/>
  <c r="A1042" i="10"/>
  <c r="B1042" i="10"/>
  <c r="C1042" i="10"/>
  <c r="A1041" i="10"/>
  <c r="B1041" i="10"/>
  <c r="C1041" i="10"/>
  <c r="A1040" i="10"/>
  <c r="B1040" i="10"/>
  <c r="C1040" i="10"/>
  <c r="A1039" i="10"/>
  <c r="B1039" i="10"/>
  <c r="C1039" i="10"/>
  <c r="A1038" i="10"/>
  <c r="B1038" i="10"/>
  <c r="C1038" i="10"/>
  <c r="A1037" i="10"/>
  <c r="B1037" i="10"/>
  <c r="C1037" i="10"/>
  <c r="A1036" i="10"/>
  <c r="B1036" i="10"/>
  <c r="C1036" i="10"/>
  <c r="A1035" i="10"/>
  <c r="B1035" i="10"/>
  <c r="C1035" i="10"/>
  <c r="A1034" i="10"/>
  <c r="B1034" i="10"/>
  <c r="C1034" i="10"/>
  <c r="A1033" i="10"/>
  <c r="B1033" i="10"/>
  <c r="C1033" i="10"/>
  <c r="A1032" i="10"/>
  <c r="B1032" i="10"/>
  <c r="C1032" i="10"/>
  <c r="A1031" i="10"/>
  <c r="B1031" i="10"/>
  <c r="C1031" i="10"/>
  <c r="A1030" i="10"/>
  <c r="B1030" i="10"/>
  <c r="C1030" i="10"/>
  <c r="A1029" i="10"/>
  <c r="B1029" i="10"/>
  <c r="C1029" i="10"/>
  <c r="A1028" i="10"/>
  <c r="B1028" i="10"/>
  <c r="C1028" i="10"/>
  <c r="A1027" i="10"/>
  <c r="B1027" i="10"/>
  <c r="C1027" i="10"/>
  <c r="A1026" i="10"/>
  <c r="B1026" i="10"/>
  <c r="C1026" i="10"/>
  <c r="A1025" i="10"/>
  <c r="B1025" i="10"/>
  <c r="C1025" i="10"/>
  <c r="A1024" i="10"/>
  <c r="B1024" i="10"/>
  <c r="C1024" i="10"/>
  <c r="A1023" i="10"/>
  <c r="B1023" i="10"/>
  <c r="C1023" i="10"/>
  <c r="A1022" i="10"/>
  <c r="B1022" i="10"/>
  <c r="C1022" i="10"/>
  <c r="A1021" i="10"/>
  <c r="B1021" i="10"/>
  <c r="C1021" i="10"/>
  <c r="A1020" i="10"/>
  <c r="B1020" i="10"/>
  <c r="C1020" i="10"/>
  <c r="A1019" i="10"/>
  <c r="B1019" i="10"/>
  <c r="C1019" i="10"/>
  <c r="A1018" i="10"/>
  <c r="B1018" i="10"/>
  <c r="C1018" i="10"/>
  <c r="A1017" i="10"/>
  <c r="B1017" i="10"/>
  <c r="C1017" i="10"/>
  <c r="A1016" i="10"/>
  <c r="B1016" i="10"/>
  <c r="C1016" i="10"/>
  <c r="A1015" i="10"/>
  <c r="B1015" i="10"/>
  <c r="C1015" i="10"/>
  <c r="A1014" i="10"/>
  <c r="B1014" i="10"/>
  <c r="C1014" i="10"/>
  <c r="A1013" i="10"/>
  <c r="B1013" i="10"/>
  <c r="C1013" i="10"/>
  <c r="A1012" i="10"/>
  <c r="B1012" i="10"/>
  <c r="C1012" i="10"/>
  <c r="A1011" i="10"/>
  <c r="B1011" i="10"/>
  <c r="C1011" i="10"/>
  <c r="A1010" i="10"/>
  <c r="B1010" i="10"/>
  <c r="C1010" i="10"/>
  <c r="A1009" i="10"/>
  <c r="B1009" i="10"/>
  <c r="C1009" i="10"/>
  <c r="A1008" i="10"/>
  <c r="B1008" i="10"/>
  <c r="C1008" i="10"/>
  <c r="A1007" i="10"/>
  <c r="B1007" i="10"/>
  <c r="C1007" i="10"/>
  <c r="A1006" i="10"/>
  <c r="B1006" i="10"/>
  <c r="C1006" i="10"/>
  <c r="A1005" i="10"/>
  <c r="B1005" i="10"/>
  <c r="C1005" i="10"/>
  <c r="A1004" i="10"/>
  <c r="B1004" i="10"/>
  <c r="C1004" i="10"/>
  <c r="A1003" i="10"/>
  <c r="B1003" i="10"/>
  <c r="C1003" i="10"/>
  <c r="A1002" i="10"/>
  <c r="B1002" i="10"/>
  <c r="C1002" i="10"/>
  <c r="A1001" i="10"/>
  <c r="B1001" i="10"/>
  <c r="C1001" i="10"/>
  <c r="A1000" i="10"/>
  <c r="B1000" i="10"/>
  <c r="C1000" i="10"/>
  <c r="A999" i="10"/>
  <c r="B999" i="10"/>
  <c r="C999" i="10"/>
  <c r="A998" i="10"/>
  <c r="B998" i="10"/>
  <c r="C998" i="10"/>
  <c r="A997" i="10"/>
  <c r="B997" i="10"/>
  <c r="C997" i="10"/>
  <c r="A996" i="10"/>
  <c r="B996" i="10"/>
  <c r="C996" i="10"/>
  <c r="A995" i="10"/>
  <c r="B995" i="10"/>
  <c r="C995" i="10"/>
  <c r="A994" i="10"/>
  <c r="B994" i="10"/>
  <c r="C994" i="10"/>
  <c r="A993" i="10"/>
  <c r="B993" i="10"/>
  <c r="C993" i="10"/>
  <c r="A992" i="10"/>
  <c r="B992" i="10"/>
  <c r="C992" i="10"/>
  <c r="A991" i="10"/>
  <c r="B991" i="10"/>
  <c r="C991" i="10"/>
  <c r="A990" i="10"/>
  <c r="B990" i="10"/>
  <c r="C990" i="10"/>
  <c r="A989" i="10"/>
  <c r="B989" i="10"/>
  <c r="C989" i="10"/>
  <c r="A988" i="10"/>
  <c r="B988" i="10"/>
  <c r="C988" i="10"/>
  <c r="A987" i="10"/>
  <c r="B987" i="10"/>
  <c r="C987" i="10"/>
  <c r="A986" i="10"/>
  <c r="B986" i="10"/>
  <c r="C986" i="10"/>
  <c r="A985" i="10"/>
  <c r="B985" i="10"/>
  <c r="C985" i="10"/>
  <c r="A984" i="10"/>
  <c r="B984" i="10"/>
  <c r="C984" i="10"/>
  <c r="A983" i="10"/>
  <c r="B983" i="10"/>
  <c r="C983" i="10"/>
  <c r="A982" i="10"/>
  <c r="B982" i="10"/>
  <c r="C982" i="10"/>
  <c r="A981" i="10"/>
  <c r="B981" i="10"/>
  <c r="C981" i="10"/>
  <c r="A980" i="10"/>
  <c r="B980" i="10"/>
  <c r="C980" i="10"/>
  <c r="A979" i="10"/>
  <c r="B979" i="10"/>
  <c r="C979" i="10"/>
  <c r="A978" i="10"/>
  <c r="B978" i="10"/>
  <c r="C978" i="10"/>
  <c r="A977" i="10"/>
  <c r="B977" i="10"/>
  <c r="C977" i="10"/>
  <c r="A976" i="10"/>
  <c r="B976" i="10"/>
  <c r="C976" i="10"/>
  <c r="A975" i="10"/>
  <c r="B975" i="10"/>
  <c r="C975" i="10"/>
  <c r="A974" i="10"/>
  <c r="B974" i="10"/>
  <c r="C974" i="10"/>
  <c r="A973" i="10"/>
  <c r="B973" i="10"/>
  <c r="C973" i="10"/>
  <c r="A972" i="10"/>
  <c r="B972" i="10"/>
  <c r="C972" i="10"/>
  <c r="A971" i="10"/>
  <c r="B971" i="10"/>
  <c r="C971" i="10"/>
  <c r="A970" i="10"/>
  <c r="B970" i="10"/>
  <c r="C970" i="10"/>
  <c r="A969" i="10"/>
  <c r="B969" i="10"/>
  <c r="C969" i="10"/>
  <c r="A968" i="10"/>
  <c r="B968" i="10"/>
  <c r="C968" i="10"/>
  <c r="A967" i="10"/>
  <c r="B967" i="10"/>
  <c r="C967" i="10"/>
  <c r="A966" i="10"/>
  <c r="B966" i="10"/>
  <c r="C966" i="10"/>
  <c r="A965" i="10"/>
  <c r="B965" i="10"/>
  <c r="C965" i="10"/>
  <c r="A964" i="10"/>
  <c r="B964" i="10"/>
  <c r="C964" i="10"/>
  <c r="A963" i="10"/>
  <c r="B963" i="10"/>
  <c r="C963" i="10"/>
  <c r="A962" i="10"/>
  <c r="B962" i="10"/>
  <c r="C962" i="10"/>
  <c r="A961" i="10"/>
  <c r="B961" i="10"/>
  <c r="C961" i="10"/>
  <c r="A960" i="10"/>
  <c r="B960" i="10"/>
  <c r="C960" i="10"/>
  <c r="A959" i="10"/>
  <c r="B959" i="10"/>
  <c r="C959" i="10"/>
  <c r="A958" i="10"/>
  <c r="B958" i="10"/>
  <c r="C958" i="10"/>
  <c r="A957" i="10"/>
  <c r="B957" i="10"/>
  <c r="C957" i="10"/>
  <c r="A956" i="10"/>
  <c r="B956" i="10"/>
  <c r="C956" i="10"/>
  <c r="A955" i="10"/>
  <c r="B955" i="10"/>
  <c r="C955" i="10"/>
  <c r="A954" i="10"/>
  <c r="B954" i="10"/>
  <c r="C954" i="10"/>
  <c r="A953" i="10"/>
  <c r="B953" i="10"/>
  <c r="C953" i="10"/>
  <c r="A952" i="10"/>
  <c r="B952" i="10"/>
  <c r="C952" i="10"/>
  <c r="A951" i="10"/>
  <c r="B951" i="10"/>
  <c r="C951" i="10"/>
  <c r="A950" i="10"/>
  <c r="B950" i="10"/>
  <c r="C950" i="10"/>
  <c r="A949" i="10"/>
  <c r="B949" i="10"/>
  <c r="C949" i="10"/>
  <c r="A948" i="10"/>
  <c r="B948" i="10"/>
  <c r="C948" i="10"/>
  <c r="A947" i="10"/>
  <c r="B947" i="10"/>
  <c r="C947" i="10"/>
  <c r="A946" i="10"/>
  <c r="B946" i="10"/>
  <c r="C946" i="10"/>
  <c r="A945" i="10"/>
  <c r="B945" i="10"/>
  <c r="C945" i="10"/>
  <c r="A944" i="10"/>
  <c r="B944" i="10"/>
  <c r="C944" i="10"/>
  <c r="A943" i="10"/>
  <c r="B943" i="10"/>
  <c r="C943" i="10"/>
  <c r="A942" i="10"/>
  <c r="B942" i="10"/>
  <c r="C942" i="10"/>
  <c r="A941" i="10"/>
  <c r="B941" i="10"/>
  <c r="C941" i="10"/>
  <c r="A940" i="10"/>
  <c r="B940" i="10"/>
  <c r="C940" i="10"/>
  <c r="A939" i="10"/>
  <c r="B939" i="10"/>
  <c r="C939" i="10"/>
  <c r="A938" i="10"/>
  <c r="B938" i="10"/>
  <c r="C938" i="10"/>
  <c r="A937" i="10"/>
  <c r="B937" i="10"/>
  <c r="C937" i="10"/>
  <c r="A936" i="10"/>
  <c r="B936" i="10"/>
  <c r="C936" i="10"/>
  <c r="A935" i="10"/>
  <c r="B935" i="10"/>
  <c r="C935" i="10"/>
  <c r="A934" i="10"/>
  <c r="B934" i="10"/>
  <c r="C934" i="10"/>
  <c r="A933" i="10"/>
  <c r="B933" i="10"/>
  <c r="C933" i="10"/>
  <c r="A932" i="10"/>
  <c r="B932" i="10"/>
  <c r="C932" i="10"/>
  <c r="A931" i="10"/>
  <c r="B931" i="10"/>
  <c r="C931" i="10"/>
  <c r="A930" i="10"/>
  <c r="B930" i="10"/>
  <c r="C930" i="10"/>
  <c r="A929" i="10"/>
  <c r="B929" i="10"/>
  <c r="C929" i="10"/>
  <c r="A928" i="10"/>
  <c r="B928" i="10"/>
  <c r="C928" i="10"/>
  <c r="A927" i="10"/>
  <c r="B927" i="10"/>
  <c r="C927" i="10"/>
  <c r="A926" i="10"/>
  <c r="B926" i="10"/>
  <c r="C926" i="10"/>
  <c r="A925" i="10"/>
  <c r="B925" i="10"/>
  <c r="C925" i="10"/>
  <c r="A924" i="10"/>
  <c r="B924" i="10"/>
  <c r="C924" i="10"/>
  <c r="A923" i="10"/>
  <c r="B923" i="10"/>
  <c r="C923" i="10"/>
  <c r="A922" i="10"/>
  <c r="B922" i="10"/>
  <c r="C922" i="10"/>
  <c r="A921" i="10"/>
  <c r="B921" i="10"/>
  <c r="C921" i="10"/>
  <c r="A920" i="10"/>
  <c r="B920" i="10"/>
  <c r="C920" i="10"/>
  <c r="A919" i="10"/>
  <c r="B919" i="10"/>
  <c r="C919" i="10"/>
  <c r="A918" i="10"/>
  <c r="B918" i="10"/>
  <c r="C918" i="10"/>
  <c r="A917" i="10"/>
  <c r="B917" i="10"/>
  <c r="C917" i="10"/>
  <c r="A916" i="10"/>
  <c r="B916" i="10"/>
  <c r="C916" i="10"/>
  <c r="A915" i="10"/>
  <c r="B915" i="10"/>
  <c r="C915" i="10"/>
  <c r="A914" i="10"/>
  <c r="B914" i="10"/>
  <c r="C914" i="10"/>
  <c r="A913" i="10"/>
  <c r="B913" i="10"/>
  <c r="C913" i="10"/>
  <c r="A912" i="10"/>
  <c r="B912" i="10"/>
  <c r="C912" i="10"/>
  <c r="A911" i="10"/>
  <c r="B911" i="10"/>
  <c r="C911" i="10"/>
  <c r="A910" i="10"/>
  <c r="B910" i="10"/>
  <c r="C910" i="10"/>
  <c r="A909" i="10"/>
  <c r="B909" i="10"/>
  <c r="C909" i="10"/>
  <c r="A908" i="10"/>
  <c r="B908" i="10"/>
  <c r="C908" i="10"/>
  <c r="A907" i="10"/>
  <c r="B907" i="10"/>
  <c r="C907" i="10"/>
  <c r="A906" i="10"/>
  <c r="B906" i="10"/>
  <c r="C906" i="10"/>
  <c r="A905" i="10"/>
  <c r="B905" i="10"/>
  <c r="C905" i="10"/>
  <c r="A904" i="10"/>
  <c r="B904" i="10"/>
  <c r="C904" i="10"/>
  <c r="A903" i="10"/>
  <c r="B903" i="10"/>
  <c r="C903" i="10"/>
  <c r="A902" i="10"/>
  <c r="B902" i="10"/>
  <c r="C902" i="10"/>
  <c r="A901" i="10"/>
  <c r="B901" i="10"/>
  <c r="C901" i="10"/>
  <c r="A900" i="10"/>
  <c r="B900" i="10"/>
  <c r="C900" i="10"/>
  <c r="A899" i="10"/>
  <c r="B899" i="10"/>
  <c r="C899" i="10"/>
  <c r="A898" i="10"/>
  <c r="B898" i="10"/>
  <c r="C898" i="10"/>
  <c r="A897" i="10"/>
  <c r="B897" i="10"/>
  <c r="C897" i="10"/>
  <c r="A896" i="10"/>
  <c r="B896" i="10"/>
  <c r="C896" i="10"/>
  <c r="A895" i="10"/>
  <c r="B895" i="10"/>
  <c r="C895" i="10"/>
  <c r="A894" i="10"/>
  <c r="B894" i="10"/>
  <c r="C894" i="10"/>
  <c r="A893" i="10"/>
  <c r="B893" i="10"/>
  <c r="C893" i="10"/>
  <c r="A892" i="10"/>
  <c r="B892" i="10"/>
  <c r="C892" i="10"/>
  <c r="A891" i="10"/>
  <c r="B891" i="10"/>
  <c r="C891" i="10"/>
  <c r="A890" i="10"/>
  <c r="B890" i="10"/>
  <c r="C890" i="10"/>
  <c r="A889" i="10"/>
  <c r="B889" i="10"/>
  <c r="C889" i="10"/>
  <c r="A888" i="10"/>
  <c r="B888" i="10"/>
  <c r="C888" i="10"/>
  <c r="A887" i="10"/>
  <c r="B887" i="10"/>
  <c r="C887" i="10"/>
  <c r="A886" i="10"/>
  <c r="B886" i="10"/>
  <c r="C886" i="10"/>
  <c r="A885" i="10"/>
  <c r="B885" i="10"/>
  <c r="C885" i="10"/>
  <c r="A884" i="10"/>
  <c r="B884" i="10"/>
  <c r="C884" i="10"/>
  <c r="A883" i="10"/>
  <c r="B883" i="10"/>
  <c r="C883" i="10"/>
  <c r="A882" i="10"/>
  <c r="B882" i="10"/>
  <c r="C882" i="10"/>
  <c r="A881" i="10"/>
  <c r="B881" i="10"/>
  <c r="C881" i="10"/>
  <c r="A880" i="10"/>
  <c r="B880" i="10"/>
  <c r="C880" i="10"/>
  <c r="A879" i="10"/>
  <c r="B879" i="10"/>
  <c r="C879" i="10"/>
  <c r="A878" i="10"/>
  <c r="B878" i="10"/>
  <c r="C878" i="10"/>
  <c r="A877" i="10"/>
  <c r="B877" i="10"/>
  <c r="C877" i="10"/>
  <c r="A876" i="10"/>
  <c r="B876" i="10"/>
  <c r="C876" i="10"/>
  <c r="A875" i="10"/>
  <c r="B875" i="10"/>
  <c r="C875" i="10"/>
  <c r="A874" i="10"/>
  <c r="B874" i="10"/>
  <c r="C874" i="10"/>
  <c r="A873" i="10"/>
  <c r="B873" i="10"/>
  <c r="C873" i="10"/>
  <c r="A872" i="10"/>
  <c r="B872" i="10"/>
  <c r="C872" i="10"/>
  <c r="A871" i="10"/>
  <c r="B871" i="10"/>
  <c r="C871" i="10"/>
  <c r="A870" i="10"/>
  <c r="B870" i="10"/>
  <c r="C870" i="10"/>
  <c r="A869" i="10"/>
  <c r="B869" i="10"/>
  <c r="C869" i="10"/>
  <c r="A868" i="10"/>
  <c r="B868" i="10"/>
  <c r="C868" i="10"/>
  <c r="A867" i="10"/>
  <c r="B867" i="10"/>
  <c r="C867" i="10"/>
  <c r="A866" i="10"/>
  <c r="B866" i="10"/>
  <c r="C866" i="10"/>
  <c r="A865" i="10"/>
  <c r="B865" i="10"/>
  <c r="C865" i="10"/>
  <c r="A864" i="10"/>
  <c r="B864" i="10"/>
  <c r="C864" i="10"/>
  <c r="A863" i="10"/>
  <c r="B863" i="10"/>
  <c r="C863" i="10"/>
  <c r="A862" i="10"/>
  <c r="B862" i="10"/>
  <c r="C862" i="10"/>
  <c r="A861" i="10"/>
  <c r="B861" i="10"/>
  <c r="C861" i="10"/>
  <c r="A860" i="10"/>
  <c r="B860" i="10"/>
  <c r="C860" i="10"/>
  <c r="A859" i="10"/>
  <c r="B859" i="10"/>
  <c r="C859" i="10"/>
  <c r="A858" i="10"/>
  <c r="B858" i="10"/>
  <c r="C858" i="10"/>
  <c r="A857" i="10"/>
  <c r="B857" i="10"/>
  <c r="C857" i="10"/>
  <c r="A856" i="10"/>
  <c r="B856" i="10"/>
  <c r="C856" i="10"/>
  <c r="A855" i="10"/>
  <c r="B855" i="10"/>
  <c r="C855" i="10"/>
  <c r="A854" i="10"/>
  <c r="B854" i="10"/>
  <c r="C854" i="10"/>
  <c r="A853" i="10"/>
  <c r="B853" i="10"/>
  <c r="C853" i="10"/>
  <c r="A852" i="10"/>
  <c r="B852" i="10"/>
  <c r="C852" i="10"/>
  <c r="A851" i="10"/>
  <c r="B851" i="10"/>
  <c r="C851" i="10"/>
  <c r="A850" i="10"/>
  <c r="B850" i="10"/>
  <c r="C850" i="10"/>
  <c r="A849" i="10"/>
  <c r="B849" i="10"/>
  <c r="C849" i="10"/>
  <c r="A848" i="10"/>
  <c r="B848" i="10"/>
  <c r="C848" i="10"/>
  <c r="A847" i="10"/>
  <c r="B847" i="10"/>
  <c r="C847" i="10"/>
  <c r="A846" i="10"/>
  <c r="B846" i="10"/>
  <c r="C846" i="10"/>
  <c r="A845" i="10"/>
  <c r="B845" i="10"/>
  <c r="C845" i="10"/>
  <c r="A844" i="10"/>
  <c r="B844" i="10"/>
  <c r="C844" i="10"/>
  <c r="A843" i="10"/>
  <c r="B843" i="10"/>
  <c r="C843" i="10"/>
  <c r="A842" i="10"/>
  <c r="B842" i="10"/>
  <c r="C842" i="10"/>
  <c r="A841" i="10"/>
  <c r="B841" i="10"/>
  <c r="C841" i="10"/>
  <c r="A840" i="10"/>
  <c r="B840" i="10"/>
  <c r="C840" i="10"/>
  <c r="A839" i="10"/>
  <c r="B839" i="10"/>
  <c r="C839" i="10"/>
  <c r="A838" i="10"/>
  <c r="B838" i="10"/>
  <c r="C838" i="10"/>
  <c r="A837" i="10"/>
  <c r="B837" i="10"/>
  <c r="C837" i="10"/>
  <c r="A836" i="10"/>
  <c r="B836" i="10"/>
  <c r="C836" i="10"/>
  <c r="A835" i="10"/>
  <c r="B835" i="10"/>
  <c r="C835" i="10"/>
  <c r="A834" i="10"/>
  <c r="B834" i="10"/>
  <c r="C834" i="10"/>
  <c r="A833" i="10"/>
  <c r="B833" i="10"/>
  <c r="C833" i="10"/>
  <c r="A832" i="10"/>
  <c r="B832" i="10"/>
  <c r="C832" i="10"/>
  <c r="A831" i="10"/>
  <c r="B831" i="10"/>
  <c r="C831" i="10"/>
  <c r="A830" i="10"/>
  <c r="B830" i="10"/>
  <c r="C830" i="10"/>
  <c r="A829" i="10"/>
  <c r="B829" i="10"/>
  <c r="C829" i="10"/>
  <c r="A828" i="10"/>
  <c r="B828" i="10"/>
  <c r="C828" i="10"/>
  <c r="A827" i="10"/>
  <c r="B827" i="10"/>
  <c r="C827" i="10"/>
  <c r="A826" i="10"/>
  <c r="B826" i="10"/>
  <c r="C826" i="10"/>
  <c r="A825" i="10"/>
  <c r="B825" i="10"/>
  <c r="C825" i="10"/>
  <c r="A824" i="10"/>
  <c r="B824" i="10"/>
  <c r="C824" i="10"/>
  <c r="A823" i="10"/>
  <c r="B823" i="10"/>
  <c r="C823" i="10"/>
  <c r="A822" i="10"/>
  <c r="B822" i="10"/>
  <c r="C822" i="10"/>
  <c r="A821" i="10"/>
  <c r="B821" i="10"/>
  <c r="C821" i="10"/>
  <c r="A820" i="10"/>
  <c r="B820" i="10"/>
  <c r="C820" i="10"/>
  <c r="A819" i="10"/>
  <c r="B819" i="10"/>
  <c r="C819" i="10"/>
  <c r="A818" i="10"/>
  <c r="B818" i="10"/>
  <c r="C818" i="10"/>
  <c r="A817" i="10"/>
  <c r="B817" i="10"/>
  <c r="C817" i="10"/>
  <c r="A816" i="10"/>
  <c r="B816" i="10"/>
  <c r="C816" i="10"/>
  <c r="A815" i="10"/>
  <c r="B815" i="10"/>
  <c r="C815" i="10"/>
  <c r="A814" i="10"/>
  <c r="B814" i="10"/>
  <c r="C814" i="10"/>
  <c r="A813" i="10"/>
  <c r="B813" i="10"/>
  <c r="C813" i="10"/>
  <c r="A812" i="10"/>
  <c r="B812" i="10"/>
  <c r="C812" i="10"/>
  <c r="A811" i="10"/>
  <c r="B811" i="10"/>
  <c r="C811" i="10"/>
  <c r="A810" i="10"/>
  <c r="B810" i="10"/>
  <c r="C810" i="10"/>
  <c r="A809" i="10"/>
  <c r="B809" i="10"/>
  <c r="C809" i="10"/>
  <c r="A808" i="10"/>
  <c r="B808" i="10"/>
  <c r="C808" i="10"/>
  <c r="A807" i="10"/>
  <c r="B807" i="10"/>
  <c r="C807" i="10"/>
  <c r="A806" i="10"/>
  <c r="B806" i="10"/>
  <c r="C806" i="10"/>
  <c r="A805" i="10"/>
  <c r="B805" i="10"/>
  <c r="C805" i="10"/>
  <c r="A804" i="10"/>
  <c r="B804" i="10"/>
  <c r="C804" i="10"/>
  <c r="A803" i="10"/>
  <c r="B803" i="10"/>
  <c r="C803" i="10"/>
  <c r="A802" i="10"/>
  <c r="B802" i="10"/>
  <c r="C802" i="10"/>
  <c r="A801" i="10"/>
  <c r="B801" i="10"/>
  <c r="C801" i="10"/>
  <c r="A800" i="10"/>
  <c r="B800" i="10"/>
  <c r="C800" i="10"/>
  <c r="A799" i="10"/>
  <c r="B799" i="10"/>
  <c r="C799" i="10"/>
  <c r="A798" i="10"/>
  <c r="B798" i="10"/>
  <c r="C798" i="10"/>
  <c r="A797" i="10"/>
  <c r="B797" i="10"/>
  <c r="C797" i="10"/>
  <c r="A796" i="10"/>
  <c r="B796" i="10"/>
  <c r="C796" i="10"/>
  <c r="A795" i="10"/>
  <c r="B795" i="10"/>
  <c r="C795" i="10"/>
  <c r="A794" i="10"/>
  <c r="B794" i="10"/>
  <c r="C794" i="10"/>
  <c r="A793" i="10"/>
  <c r="B793" i="10"/>
  <c r="C793" i="10"/>
  <c r="A792" i="10"/>
  <c r="B792" i="10"/>
  <c r="C792" i="10"/>
  <c r="A791" i="10"/>
  <c r="B791" i="10"/>
  <c r="C791" i="10"/>
  <c r="A790" i="10"/>
  <c r="B790" i="10"/>
  <c r="C790" i="10"/>
  <c r="A789" i="10"/>
  <c r="B789" i="10"/>
  <c r="C789" i="10"/>
  <c r="A788" i="10"/>
  <c r="B788" i="10"/>
  <c r="C788" i="10"/>
  <c r="A787" i="10"/>
  <c r="B787" i="10"/>
  <c r="C787" i="10"/>
  <c r="A786" i="10"/>
  <c r="B786" i="10"/>
  <c r="C786" i="10"/>
  <c r="A785" i="10"/>
  <c r="B785" i="10"/>
  <c r="C785" i="10"/>
  <c r="A784" i="10"/>
  <c r="B784" i="10"/>
  <c r="C784" i="10"/>
  <c r="A783" i="10"/>
  <c r="B783" i="10"/>
  <c r="C783" i="10"/>
  <c r="A782" i="10"/>
  <c r="B782" i="10"/>
  <c r="C782" i="10"/>
  <c r="A781" i="10"/>
  <c r="B781" i="10"/>
  <c r="C781" i="10"/>
  <c r="A780" i="10"/>
  <c r="B780" i="10"/>
  <c r="C780" i="10"/>
  <c r="A779" i="10"/>
  <c r="B779" i="10"/>
  <c r="C779" i="10"/>
  <c r="A778" i="10"/>
  <c r="B778" i="10"/>
  <c r="C778" i="10"/>
  <c r="A777" i="10"/>
  <c r="B777" i="10"/>
  <c r="C777" i="10"/>
  <c r="A776" i="10"/>
  <c r="B776" i="10"/>
  <c r="C776" i="10"/>
  <c r="A775" i="10"/>
  <c r="B775" i="10"/>
  <c r="C775" i="10"/>
  <c r="A774" i="10"/>
  <c r="B774" i="10"/>
  <c r="C774" i="10"/>
  <c r="A773" i="10"/>
  <c r="B773" i="10"/>
  <c r="C773" i="10"/>
  <c r="A772" i="10"/>
  <c r="B772" i="10"/>
  <c r="C772" i="10"/>
  <c r="A771" i="10"/>
  <c r="B771" i="10"/>
  <c r="C771" i="10"/>
  <c r="A770" i="10"/>
  <c r="B770" i="10"/>
  <c r="C770" i="10"/>
  <c r="A769" i="10"/>
  <c r="B769" i="10"/>
  <c r="C769" i="10"/>
  <c r="A768" i="10"/>
  <c r="B768" i="10"/>
  <c r="C768" i="10"/>
  <c r="A767" i="10"/>
  <c r="B767" i="10"/>
  <c r="C767" i="10"/>
  <c r="A766" i="10"/>
  <c r="B766" i="10"/>
  <c r="C766" i="10"/>
  <c r="A765" i="10"/>
  <c r="B765" i="10"/>
  <c r="C765" i="10"/>
  <c r="A764" i="10"/>
  <c r="B764" i="10"/>
  <c r="C764" i="10"/>
  <c r="A763" i="10"/>
  <c r="B763" i="10"/>
  <c r="C763" i="10"/>
  <c r="A762" i="10"/>
  <c r="B762" i="10"/>
  <c r="C762" i="10"/>
  <c r="A761" i="10"/>
  <c r="B761" i="10"/>
  <c r="C761" i="10"/>
  <c r="A760" i="10"/>
  <c r="B760" i="10"/>
  <c r="C760" i="10"/>
  <c r="A759" i="10"/>
  <c r="B759" i="10"/>
  <c r="C759" i="10"/>
  <c r="A758" i="10"/>
  <c r="B758" i="10"/>
  <c r="C758" i="10"/>
  <c r="A757" i="10"/>
  <c r="B757" i="10"/>
  <c r="C757" i="10"/>
  <c r="A756" i="10"/>
  <c r="B756" i="10"/>
  <c r="C756" i="10"/>
  <c r="A755" i="10"/>
  <c r="B755" i="10"/>
  <c r="C755" i="10"/>
  <c r="A754" i="10"/>
  <c r="B754" i="10"/>
  <c r="C754" i="10"/>
  <c r="A753" i="10"/>
  <c r="B753" i="10"/>
  <c r="C753" i="10"/>
  <c r="A752" i="10"/>
  <c r="B752" i="10"/>
  <c r="C752" i="10"/>
  <c r="A751" i="10"/>
  <c r="B751" i="10"/>
  <c r="C751" i="10"/>
  <c r="A750" i="10"/>
  <c r="B750" i="10"/>
  <c r="C750" i="10"/>
  <c r="A749" i="10"/>
  <c r="B749" i="10"/>
  <c r="C749" i="10"/>
  <c r="A748" i="10"/>
  <c r="B748" i="10"/>
  <c r="C748" i="10"/>
  <c r="A747" i="10"/>
  <c r="B747" i="10"/>
  <c r="C747" i="10"/>
  <c r="A746" i="10"/>
  <c r="B746" i="10"/>
  <c r="C746" i="10"/>
  <c r="A745" i="10"/>
  <c r="B745" i="10"/>
  <c r="C745" i="10"/>
  <c r="A744" i="10"/>
  <c r="B744" i="10"/>
  <c r="C744" i="10"/>
  <c r="A743" i="10"/>
  <c r="B743" i="10"/>
  <c r="C743" i="10"/>
  <c r="A742" i="10"/>
  <c r="B742" i="10"/>
  <c r="C742" i="10"/>
  <c r="A741" i="10"/>
  <c r="B741" i="10"/>
  <c r="C741" i="10"/>
  <c r="A740" i="10"/>
  <c r="B740" i="10"/>
  <c r="C740" i="10"/>
  <c r="A739" i="10"/>
  <c r="B739" i="10"/>
  <c r="C739" i="10"/>
  <c r="A738" i="10"/>
  <c r="B738" i="10"/>
  <c r="C738" i="10"/>
  <c r="A737" i="10"/>
  <c r="B737" i="10"/>
  <c r="C737" i="10"/>
  <c r="A736" i="10"/>
  <c r="B736" i="10"/>
  <c r="C736" i="10"/>
  <c r="A735" i="10"/>
  <c r="B735" i="10"/>
  <c r="C735" i="10"/>
  <c r="A734" i="10"/>
  <c r="B734" i="10"/>
  <c r="C734" i="10"/>
  <c r="A733" i="10"/>
  <c r="B733" i="10"/>
  <c r="C733" i="10"/>
  <c r="A732" i="10"/>
  <c r="B732" i="10"/>
  <c r="C732" i="10"/>
  <c r="A731" i="10"/>
  <c r="B731" i="10"/>
  <c r="C731" i="10"/>
  <c r="A730" i="10"/>
  <c r="B730" i="10"/>
  <c r="C730" i="10"/>
  <c r="A729" i="10"/>
  <c r="B729" i="10"/>
  <c r="C729" i="10"/>
  <c r="A728" i="10"/>
  <c r="B728" i="10"/>
  <c r="C728" i="10"/>
  <c r="A727" i="10"/>
  <c r="B727" i="10"/>
  <c r="C727" i="10"/>
  <c r="A726" i="10"/>
  <c r="B726" i="10"/>
  <c r="C726" i="10"/>
  <c r="A725" i="10"/>
  <c r="B725" i="10"/>
  <c r="C725" i="10"/>
  <c r="A724" i="10"/>
  <c r="B724" i="10"/>
  <c r="C724" i="10"/>
  <c r="A723" i="10"/>
  <c r="B723" i="10"/>
  <c r="C723" i="10"/>
  <c r="A722" i="10"/>
  <c r="B722" i="10"/>
  <c r="C722" i="10"/>
  <c r="A721" i="10"/>
  <c r="B721" i="10"/>
  <c r="C721" i="10"/>
  <c r="A720" i="10"/>
  <c r="B720" i="10"/>
  <c r="C720" i="10"/>
  <c r="A719" i="10"/>
  <c r="B719" i="10"/>
  <c r="C719" i="10"/>
  <c r="A718" i="10"/>
  <c r="B718" i="10"/>
  <c r="C718" i="10"/>
  <c r="A717" i="10"/>
  <c r="B717" i="10"/>
  <c r="C717" i="10"/>
  <c r="A716" i="10"/>
  <c r="B716" i="10"/>
  <c r="C716" i="10"/>
  <c r="A715" i="10"/>
  <c r="B715" i="10"/>
  <c r="C715" i="10"/>
  <c r="A714" i="10"/>
  <c r="B714" i="10"/>
  <c r="C714" i="10"/>
  <c r="A713" i="10"/>
  <c r="B713" i="10"/>
  <c r="C713" i="10"/>
  <c r="A712" i="10"/>
  <c r="B712" i="10"/>
  <c r="C712" i="10"/>
  <c r="A711" i="10"/>
  <c r="B711" i="10"/>
  <c r="C711" i="10"/>
  <c r="A710" i="10"/>
  <c r="B710" i="10"/>
  <c r="C710" i="10"/>
  <c r="A709" i="10"/>
  <c r="B709" i="10"/>
  <c r="C709" i="10"/>
  <c r="A708" i="10"/>
  <c r="B708" i="10"/>
  <c r="C708" i="10"/>
  <c r="A707" i="10"/>
  <c r="B707" i="10"/>
  <c r="C707" i="10"/>
  <c r="A706" i="10"/>
  <c r="B706" i="10"/>
  <c r="C706" i="10"/>
  <c r="A705" i="10"/>
  <c r="B705" i="10"/>
  <c r="C705" i="10"/>
  <c r="A704" i="10"/>
  <c r="B704" i="10"/>
  <c r="C704" i="10"/>
  <c r="A703" i="10"/>
  <c r="B703" i="10"/>
  <c r="C703" i="10"/>
  <c r="A702" i="10"/>
  <c r="B702" i="10"/>
  <c r="C702" i="10"/>
  <c r="A701" i="10"/>
  <c r="B701" i="10"/>
  <c r="C701" i="10"/>
  <c r="A700" i="10"/>
  <c r="B700" i="10"/>
  <c r="C700" i="10"/>
  <c r="A699" i="10"/>
  <c r="B699" i="10"/>
  <c r="C699" i="10"/>
  <c r="A698" i="10"/>
  <c r="B698" i="10"/>
  <c r="C698" i="10"/>
  <c r="A697" i="10"/>
  <c r="B697" i="10"/>
  <c r="C697" i="10"/>
  <c r="A696" i="10"/>
  <c r="B696" i="10"/>
  <c r="C696" i="10"/>
  <c r="A695" i="10"/>
  <c r="B695" i="10"/>
  <c r="C695" i="10"/>
  <c r="A694" i="10"/>
  <c r="B694" i="10"/>
  <c r="C694" i="10"/>
  <c r="A693" i="10"/>
  <c r="B693" i="10"/>
  <c r="C693" i="10"/>
  <c r="A692" i="10"/>
  <c r="B692" i="10"/>
  <c r="C692" i="10"/>
  <c r="A691" i="10"/>
  <c r="B691" i="10"/>
  <c r="C691" i="10"/>
  <c r="A690" i="10"/>
  <c r="B690" i="10"/>
  <c r="C690" i="10"/>
  <c r="A689" i="10"/>
  <c r="B689" i="10"/>
  <c r="C689" i="10"/>
  <c r="A688" i="10"/>
  <c r="B688" i="10"/>
  <c r="C688" i="10"/>
  <c r="A687" i="10"/>
  <c r="B687" i="10"/>
  <c r="C687" i="10"/>
  <c r="A686" i="10"/>
  <c r="B686" i="10"/>
  <c r="C686" i="10"/>
  <c r="A685" i="10"/>
  <c r="B685" i="10"/>
  <c r="C685" i="10"/>
  <c r="A684" i="10"/>
  <c r="B684" i="10"/>
  <c r="C684" i="10"/>
  <c r="A683" i="10"/>
  <c r="B683" i="10"/>
  <c r="C683" i="10"/>
  <c r="A682" i="10"/>
  <c r="B682" i="10"/>
  <c r="C682" i="10"/>
  <c r="A681" i="10"/>
  <c r="B681" i="10"/>
  <c r="C681" i="10"/>
  <c r="A680" i="10"/>
  <c r="B680" i="10"/>
  <c r="C680" i="10"/>
  <c r="A679" i="10"/>
  <c r="B679" i="10"/>
  <c r="C679" i="10"/>
  <c r="A678" i="10"/>
  <c r="B678" i="10"/>
  <c r="C678" i="10"/>
  <c r="A677" i="10"/>
  <c r="B677" i="10"/>
  <c r="C677" i="10"/>
  <c r="A676" i="10"/>
  <c r="B676" i="10"/>
  <c r="C676" i="10"/>
  <c r="A675" i="10"/>
  <c r="B675" i="10"/>
  <c r="C675" i="10"/>
  <c r="A674" i="10"/>
  <c r="B674" i="10"/>
  <c r="C674" i="10"/>
  <c r="A673" i="10"/>
  <c r="B673" i="10"/>
  <c r="C673" i="10"/>
  <c r="A672" i="10"/>
  <c r="B672" i="10"/>
  <c r="C672" i="10"/>
  <c r="A671" i="10"/>
  <c r="B671" i="10"/>
  <c r="C671" i="10"/>
  <c r="A670" i="10"/>
  <c r="B670" i="10"/>
  <c r="C670" i="10"/>
  <c r="A669" i="10"/>
  <c r="B669" i="10"/>
  <c r="C669" i="10"/>
  <c r="A668" i="10"/>
  <c r="B668" i="10"/>
  <c r="C668" i="10"/>
  <c r="A667" i="10"/>
  <c r="B667" i="10"/>
  <c r="C667" i="10"/>
  <c r="A666" i="10"/>
  <c r="B666" i="10"/>
  <c r="C666" i="10"/>
  <c r="A665" i="10"/>
  <c r="B665" i="10"/>
  <c r="C665" i="10"/>
  <c r="A664" i="10"/>
  <c r="B664" i="10"/>
  <c r="C664" i="10"/>
  <c r="A663" i="10"/>
  <c r="B663" i="10"/>
  <c r="C663" i="10"/>
  <c r="A662" i="10"/>
  <c r="B662" i="10"/>
  <c r="C662" i="10"/>
  <c r="A661" i="10"/>
  <c r="B661" i="10"/>
  <c r="C661" i="10"/>
  <c r="A660" i="10"/>
  <c r="B660" i="10"/>
  <c r="C660" i="10"/>
  <c r="A659" i="10"/>
  <c r="B659" i="10"/>
  <c r="C659" i="10"/>
  <c r="A658" i="10"/>
  <c r="B658" i="10"/>
  <c r="C658" i="10"/>
  <c r="A657" i="10"/>
  <c r="B657" i="10"/>
  <c r="C657" i="10"/>
  <c r="A656" i="10"/>
  <c r="B656" i="10"/>
  <c r="C656" i="10"/>
  <c r="A655" i="10"/>
  <c r="B655" i="10"/>
  <c r="C655" i="10"/>
  <c r="A654" i="10"/>
  <c r="B654" i="10"/>
  <c r="C654" i="10"/>
  <c r="A653" i="10"/>
  <c r="B653" i="10"/>
  <c r="C653" i="10"/>
  <c r="A652" i="10"/>
  <c r="B652" i="10"/>
  <c r="C652" i="10"/>
  <c r="A651" i="10"/>
  <c r="B651" i="10"/>
  <c r="C651" i="10"/>
  <c r="A650" i="10"/>
  <c r="B650" i="10"/>
  <c r="C650" i="10"/>
  <c r="A649" i="10"/>
  <c r="B649" i="10"/>
  <c r="C649" i="10"/>
  <c r="A648" i="10"/>
  <c r="B648" i="10"/>
  <c r="C648" i="10"/>
  <c r="A647" i="10"/>
  <c r="B647" i="10"/>
  <c r="C647" i="10"/>
  <c r="A646" i="10"/>
  <c r="B646" i="10"/>
  <c r="C646" i="10"/>
  <c r="A645" i="10"/>
  <c r="B645" i="10"/>
  <c r="C645" i="10"/>
  <c r="A644" i="10"/>
  <c r="B644" i="10"/>
  <c r="C644" i="10"/>
  <c r="A643" i="10"/>
  <c r="B643" i="10"/>
  <c r="C643" i="10"/>
  <c r="A642" i="10"/>
  <c r="B642" i="10"/>
  <c r="C642" i="10"/>
  <c r="A641" i="10"/>
  <c r="B641" i="10"/>
  <c r="C641" i="10"/>
  <c r="A640" i="10"/>
  <c r="B640" i="10"/>
  <c r="C640" i="10"/>
  <c r="A639" i="10"/>
  <c r="B639" i="10"/>
  <c r="C639" i="10"/>
  <c r="A638" i="10"/>
  <c r="B638" i="10"/>
  <c r="C638" i="10"/>
  <c r="A637" i="10"/>
  <c r="B637" i="10"/>
  <c r="C637" i="10"/>
  <c r="A636" i="10"/>
  <c r="B636" i="10"/>
  <c r="C636" i="10"/>
  <c r="A635" i="10"/>
  <c r="B635" i="10"/>
  <c r="C635" i="10"/>
  <c r="A634" i="10"/>
  <c r="B634" i="10"/>
  <c r="C634" i="10"/>
  <c r="A633" i="10"/>
  <c r="B633" i="10"/>
  <c r="C633" i="10"/>
  <c r="A632" i="10"/>
  <c r="B632" i="10"/>
  <c r="C632" i="10"/>
  <c r="A631" i="10"/>
  <c r="B631" i="10"/>
  <c r="C631" i="10"/>
  <c r="A630" i="10"/>
  <c r="B630" i="10"/>
  <c r="C630" i="10"/>
  <c r="A629" i="10"/>
  <c r="B629" i="10"/>
  <c r="C629" i="10"/>
  <c r="A628" i="10"/>
  <c r="B628" i="10"/>
  <c r="C628" i="10"/>
  <c r="A627" i="10"/>
  <c r="B627" i="10"/>
  <c r="C627" i="10"/>
  <c r="A626" i="10"/>
  <c r="B626" i="10"/>
  <c r="C626" i="10"/>
  <c r="A625" i="10"/>
  <c r="B625" i="10"/>
  <c r="C625" i="10"/>
  <c r="A624" i="10"/>
  <c r="B624" i="10"/>
  <c r="C624" i="10"/>
  <c r="A623" i="10"/>
  <c r="B623" i="10"/>
  <c r="C623" i="10"/>
  <c r="A622" i="10"/>
  <c r="B622" i="10"/>
  <c r="C622" i="10"/>
  <c r="A621" i="10"/>
  <c r="B621" i="10"/>
  <c r="C621" i="10"/>
  <c r="A620" i="10"/>
  <c r="B620" i="10"/>
  <c r="C620" i="10"/>
  <c r="A619" i="10"/>
  <c r="B619" i="10"/>
  <c r="C619" i="10"/>
  <c r="A618" i="10"/>
  <c r="B618" i="10"/>
  <c r="C618" i="10"/>
  <c r="A617" i="10"/>
  <c r="B617" i="10"/>
  <c r="C617" i="10"/>
  <c r="A616" i="10"/>
  <c r="B616" i="10"/>
  <c r="C616" i="10"/>
  <c r="A615" i="10"/>
  <c r="B615" i="10"/>
  <c r="C615" i="10"/>
  <c r="A614" i="10"/>
  <c r="B614" i="10"/>
  <c r="C614" i="10"/>
  <c r="A613" i="10"/>
  <c r="B613" i="10"/>
  <c r="C613" i="10"/>
  <c r="A612" i="10"/>
  <c r="B612" i="10"/>
  <c r="C612" i="10"/>
  <c r="A611" i="10"/>
  <c r="B611" i="10"/>
  <c r="C611" i="10"/>
  <c r="A610" i="10"/>
  <c r="B610" i="10"/>
  <c r="C610" i="10"/>
  <c r="A609" i="10"/>
  <c r="B609" i="10"/>
  <c r="C609" i="10"/>
  <c r="A608" i="10"/>
  <c r="B608" i="10"/>
  <c r="C608" i="10"/>
  <c r="A607" i="10"/>
  <c r="B607" i="10"/>
  <c r="C607" i="10"/>
  <c r="A606" i="10"/>
  <c r="B606" i="10"/>
  <c r="C606" i="10"/>
  <c r="A605" i="10"/>
  <c r="B605" i="10"/>
  <c r="C605" i="10"/>
  <c r="A604" i="10"/>
  <c r="B604" i="10"/>
  <c r="C604" i="10"/>
  <c r="A603" i="10"/>
  <c r="B603" i="10"/>
  <c r="C603" i="10"/>
  <c r="A602" i="10"/>
  <c r="B602" i="10"/>
  <c r="C602" i="10"/>
  <c r="A601" i="10"/>
  <c r="B601" i="10"/>
  <c r="C601" i="10"/>
  <c r="A600" i="10"/>
  <c r="B600" i="10"/>
  <c r="C600" i="10"/>
  <c r="A599" i="10"/>
  <c r="B599" i="10"/>
  <c r="C599" i="10"/>
  <c r="A598" i="10"/>
  <c r="B598" i="10"/>
  <c r="C598" i="10"/>
  <c r="A597" i="10"/>
  <c r="B597" i="10"/>
  <c r="C597" i="10"/>
  <c r="A596" i="10"/>
  <c r="B596" i="10"/>
  <c r="C596" i="10"/>
  <c r="A595" i="10"/>
  <c r="B595" i="10"/>
  <c r="C595" i="10"/>
  <c r="A594" i="10"/>
  <c r="B594" i="10"/>
  <c r="C594" i="10"/>
  <c r="A593" i="10"/>
  <c r="B593" i="10"/>
  <c r="C593" i="10"/>
  <c r="A592" i="10"/>
  <c r="B592" i="10"/>
  <c r="C592" i="10"/>
  <c r="A591" i="10"/>
  <c r="B591" i="10"/>
  <c r="C591" i="10"/>
  <c r="A590" i="10"/>
  <c r="B590" i="10"/>
  <c r="C590" i="10"/>
  <c r="A589" i="10"/>
  <c r="B589" i="10"/>
  <c r="C589" i="10"/>
  <c r="A588" i="10"/>
  <c r="B588" i="10"/>
  <c r="C588" i="10"/>
  <c r="A587" i="10"/>
  <c r="B587" i="10"/>
  <c r="C587" i="10"/>
  <c r="A586" i="10"/>
  <c r="B586" i="10"/>
  <c r="C586" i="10"/>
  <c r="A585" i="10"/>
  <c r="B585" i="10"/>
  <c r="C585" i="10"/>
  <c r="A584" i="10"/>
  <c r="B584" i="10"/>
  <c r="C584" i="10"/>
  <c r="A583" i="10"/>
  <c r="B583" i="10"/>
  <c r="C583" i="10"/>
  <c r="A582" i="10"/>
  <c r="B582" i="10"/>
  <c r="C582" i="10"/>
  <c r="A581" i="10"/>
  <c r="B581" i="10"/>
  <c r="C581" i="10"/>
  <c r="A580" i="10"/>
  <c r="B580" i="10"/>
  <c r="C580" i="10"/>
  <c r="A579" i="10"/>
  <c r="B579" i="10"/>
  <c r="C579" i="10"/>
  <c r="A578" i="10"/>
  <c r="B578" i="10"/>
  <c r="C578" i="10"/>
  <c r="A577" i="10"/>
  <c r="B577" i="10"/>
  <c r="C577" i="10"/>
  <c r="A576" i="10"/>
  <c r="B576" i="10"/>
  <c r="C576" i="10"/>
  <c r="A575" i="10"/>
  <c r="B575" i="10"/>
  <c r="C575" i="10"/>
  <c r="A574" i="10"/>
  <c r="B574" i="10"/>
  <c r="C574" i="10"/>
  <c r="A573" i="10"/>
  <c r="B573" i="10"/>
  <c r="C573" i="10"/>
  <c r="A572" i="10"/>
  <c r="B572" i="10"/>
  <c r="C572" i="10"/>
  <c r="A571" i="10"/>
  <c r="B571" i="10"/>
  <c r="C571" i="10"/>
  <c r="A570" i="10"/>
  <c r="B570" i="10"/>
  <c r="C570" i="10"/>
  <c r="A569" i="10"/>
  <c r="B569" i="10"/>
  <c r="C569" i="10"/>
  <c r="A568" i="10"/>
  <c r="B568" i="10"/>
  <c r="C568" i="10"/>
  <c r="A567" i="10"/>
  <c r="B567" i="10"/>
  <c r="C567" i="10"/>
  <c r="A566" i="10"/>
  <c r="B566" i="10"/>
  <c r="C566" i="10"/>
  <c r="A565" i="10"/>
  <c r="B565" i="10"/>
  <c r="C565" i="10"/>
  <c r="A564" i="10"/>
  <c r="B564" i="10"/>
  <c r="C564" i="10"/>
  <c r="A563" i="10"/>
  <c r="B563" i="10"/>
  <c r="C563" i="10"/>
  <c r="A562" i="10"/>
  <c r="B562" i="10"/>
  <c r="C562" i="10"/>
  <c r="A561" i="10"/>
  <c r="B561" i="10"/>
  <c r="C561" i="10"/>
  <c r="A560" i="10"/>
  <c r="B560" i="10"/>
  <c r="C560" i="10"/>
  <c r="A559" i="10"/>
  <c r="B559" i="10"/>
  <c r="C559" i="10"/>
  <c r="A558" i="10"/>
  <c r="B558" i="10"/>
  <c r="C558" i="10"/>
  <c r="A557" i="10"/>
  <c r="B557" i="10"/>
  <c r="C557" i="10"/>
  <c r="A556" i="10"/>
  <c r="B556" i="10"/>
  <c r="C556" i="10"/>
  <c r="A555" i="10"/>
  <c r="B555" i="10"/>
  <c r="C555" i="10"/>
  <c r="A554" i="10"/>
  <c r="B554" i="10"/>
  <c r="C554" i="10"/>
  <c r="A553" i="10"/>
  <c r="B553" i="10"/>
  <c r="C553" i="10"/>
  <c r="A552" i="10"/>
  <c r="B552" i="10"/>
  <c r="C552" i="10"/>
  <c r="A551" i="10"/>
  <c r="B551" i="10"/>
  <c r="C551" i="10"/>
  <c r="A550" i="10"/>
  <c r="B550" i="10"/>
  <c r="C550" i="10"/>
  <c r="A549" i="10"/>
  <c r="B549" i="10"/>
  <c r="C549" i="10"/>
  <c r="A548" i="10"/>
  <c r="B548" i="10"/>
  <c r="C548" i="10"/>
  <c r="A547" i="10"/>
  <c r="B547" i="10"/>
  <c r="C547" i="10"/>
  <c r="A546" i="10"/>
  <c r="B546" i="10"/>
  <c r="C546" i="10"/>
  <c r="A545" i="10"/>
  <c r="B545" i="10"/>
  <c r="C545" i="10"/>
  <c r="A544" i="10"/>
  <c r="B544" i="10"/>
  <c r="C544" i="10"/>
  <c r="A543" i="10"/>
  <c r="B543" i="10"/>
  <c r="C543" i="10"/>
  <c r="A542" i="10"/>
  <c r="B542" i="10"/>
  <c r="C542" i="10"/>
  <c r="A541" i="10"/>
  <c r="B541" i="10"/>
  <c r="C541" i="10"/>
  <c r="A540" i="10"/>
  <c r="B540" i="10"/>
  <c r="C540" i="10"/>
  <c r="A539" i="10"/>
  <c r="B539" i="10"/>
  <c r="C539" i="10"/>
  <c r="A538" i="10"/>
  <c r="B538" i="10"/>
  <c r="C538" i="10"/>
  <c r="A537" i="10"/>
  <c r="B537" i="10"/>
  <c r="C537" i="10"/>
  <c r="A536" i="10"/>
  <c r="B536" i="10"/>
  <c r="C536" i="10"/>
  <c r="A535" i="10"/>
  <c r="B535" i="10"/>
  <c r="C535" i="10"/>
  <c r="A534" i="10"/>
  <c r="B534" i="10"/>
  <c r="C534" i="10"/>
  <c r="A533" i="10"/>
  <c r="B533" i="10"/>
  <c r="C533" i="10"/>
  <c r="A532" i="10"/>
  <c r="B532" i="10"/>
  <c r="C532" i="10"/>
  <c r="A531" i="10"/>
  <c r="B531" i="10"/>
  <c r="C531" i="10"/>
  <c r="A530" i="10"/>
  <c r="B530" i="10"/>
  <c r="C530" i="10"/>
  <c r="A529" i="10"/>
  <c r="B529" i="10"/>
  <c r="C529" i="10"/>
  <c r="A528" i="10"/>
  <c r="B528" i="10"/>
  <c r="C528" i="10"/>
  <c r="A527" i="10"/>
  <c r="B527" i="10"/>
  <c r="C527" i="10"/>
  <c r="A526" i="10"/>
  <c r="B526" i="10"/>
  <c r="C526" i="10"/>
  <c r="A525" i="10"/>
  <c r="B525" i="10"/>
  <c r="C525" i="10"/>
  <c r="A524" i="10"/>
  <c r="B524" i="10"/>
  <c r="C524" i="10"/>
  <c r="A523" i="10"/>
  <c r="B523" i="10"/>
  <c r="C523" i="10"/>
  <c r="A522" i="10"/>
  <c r="B522" i="10"/>
  <c r="C522" i="10"/>
  <c r="A521" i="10"/>
  <c r="B521" i="10"/>
  <c r="C521" i="10"/>
  <c r="A520" i="10"/>
  <c r="B520" i="10"/>
  <c r="C520" i="10"/>
  <c r="A519" i="10"/>
  <c r="B519" i="10"/>
  <c r="C519" i="10"/>
  <c r="A518" i="10"/>
  <c r="B518" i="10"/>
  <c r="C518" i="10"/>
  <c r="A517" i="10"/>
  <c r="B517" i="10"/>
  <c r="C517" i="10"/>
  <c r="A516" i="10"/>
  <c r="B516" i="10"/>
  <c r="C516" i="10"/>
  <c r="A515" i="10"/>
  <c r="B515" i="10"/>
  <c r="C515" i="10"/>
  <c r="A514" i="10"/>
  <c r="B514" i="10"/>
  <c r="C514" i="10"/>
  <c r="A513" i="10"/>
  <c r="B513" i="10"/>
  <c r="C513" i="10"/>
  <c r="A512" i="10"/>
  <c r="B512" i="10"/>
  <c r="C512" i="10"/>
  <c r="A511" i="10"/>
  <c r="B511" i="10"/>
  <c r="C511" i="10"/>
  <c r="A510" i="10"/>
  <c r="B510" i="10"/>
  <c r="C510" i="10"/>
  <c r="A509" i="10"/>
  <c r="B509" i="10"/>
  <c r="C509" i="10"/>
  <c r="A508" i="10"/>
  <c r="B508" i="10"/>
  <c r="C508" i="10"/>
  <c r="A507" i="10"/>
  <c r="B507" i="10"/>
  <c r="C507" i="10"/>
  <c r="A506" i="10"/>
  <c r="B506" i="10"/>
  <c r="C506" i="10"/>
  <c r="A505" i="10"/>
  <c r="B505" i="10"/>
  <c r="C505" i="10"/>
  <c r="A504" i="10"/>
  <c r="B504" i="10"/>
  <c r="C504" i="10"/>
  <c r="A503" i="10"/>
  <c r="B503" i="10"/>
  <c r="C503" i="10"/>
  <c r="A502" i="10"/>
  <c r="B502" i="10"/>
  <c r="C502" i="10"/>
  <c r="A501" i="10"/>
  <c r="B501" i="10"/>
  <c r="C501" i="10"/>
  <c r="A500" i="10"/>
  <c r="B500" i="10"/>
  <c r="C500" i="10"/>
  <c r="A499" i="10"/>
  <c r="B499" i="10"/>
  <c r="C499" i="10"/>
  <c r="A498" i="10"/>
  <c r="B498" i="10"/>
  <c r="C498" i="10"/>
  <c r="A497" i="10"/>
  <c r="B497" i="10"/>
  <c r="C497" i="10"/>
  <c r="A496" i="10"/>
  <c r="B496" i="10"/>
  <c r="C496" i="10"/>
  <c r="A495" i="10"/>
  <c r="B495" i="10"/>
  <c r="C495" i="10"/>
  <c r="A494" i="10"/>
  <c r="B494" i="10"/>
  <c r="C494" i="10"/>
  <c r="A493" i="10"/>
  <c r="B493" i="10"/>
  <c r="C493" i="10"/>
  <c r="A492" i="10"/>
  <c r="B492" i="10"/>
  <c r="C492" i="10"/>
  <c r="A491" i="10"/>
  <c r="B491" i="10"/>
  <c r="C491" i="10"/>
  <c r="A490" i="10"/>
  <c r="B490" i="10"/>
  <c r="C490" i="10"/>
  <c r="A489" i="10"/>
  <c r="B489" i="10"/>
  <c r="C489" i="10"/>
  <c r="A488" i="10"/>
  <c r="B488" i="10"/>
  <c r="C488" i="10"/>
  <c r="A487" i="10"/>
  <c r="B487" i="10"/>
  <c r="C487" i="10"/>
  <c r="A486" i="10"/>
  <c r="B486" i="10"/>
  <c r="C486" i="10"/>
  <c r="A485" i="10"/>
  <c r="B485" i="10"/>
  <c r="C485" i="10"/>
  <c r="A484" i="10"/>
  <c r="B484" i="10"/>
  <c r="C484" i="10"/>
  <c r="A483" i="10"/>
  <c r="B483" i="10"/>
  <c r="C483" i="10"/>
  <c r="A482" i="10"/>
  <c r="B482" i="10"/>
  <c r="C482" i="10"/>
  <c r="A481" i="10"/>
  <c r="B481" i="10"/>
  <c r="C481" i="10"/>
  <c r="A480" i="10"/>
  <c r="B480" i="10"/>
  <c r="C480" i="10"/>
  <c r="A479" i="10"/>
  <c r="B479" i="10"/>
  <c r="C479" i="10"/>
  <c r="A478" i="10"/>
  <c r="B478" i="10"/>
  <c r="C478" i="10"/>
  <c r="A477" i="10"/>
  <c r="B477" i="10"/>
  <c r="C477" i="10"/>
  <c r="A476" i="10"/>
  <c r="B476" i="10"/>
  <c r="C476" i="10"/>
  <c r="A475" i="10"/>
  <c r="B475" i="10"/>
  <c r="C475" i="10"/>
  <c r="A474" i="10"/>
  <c r="B474" i="10"/>
  <c r="C474" i="10"/>
  <c r="A473" i="10"/>
  <c r="B473" i="10"/>
  <c r="C473" i="10"/>
  <c r="A472" i="10"/>
  <c r="B472" i="10"/>
  <c r="C472" i="10"/>
  <c r="A471" i="10"/>
  <c r="B471" i="10"/>
  <c r="C471" i="10"/>
  <c r="A470" i="10"/>
  <c r="B470" i="10"/>
  <c r="C470" i="10"/>
  <c r="A469" i="10"/>
  <c r="B469" i="10"/>
  <c r="C469" i="10"/>
  <c r="A468" i="10"/>
  <c r="B468" i="10"/>
  <c r="C468" i="10"/>
  <c r="A467" i="10"/>
  <c r="B467" i="10"/>
  <c r="C467" i="10"/>
  <c r="A466" i="10"/>
  <c r="B466" i="10"/>
  <c r="C466" i="10"/>
  <c r="A465" i="10"/>
  <c r="B465" i="10"/>
  <c r="C465" i="10"/>
  <c r="A464" i="10"/>
  <c r="B464" i="10"/>
  <c r="C464" i="10"/>
  <c r="A463" i="10"/>
  <c r="B463" i="10"/>
  <c r="C463" i="10"/>
  <c r="A462" i="10"/>
  <c r="B462" i="10"/>
  <c r="C462" i="10"/>
  <c r="A461" i="10"/>
  <c r="B461" i="10"/>
  <c r="C461" i="10"/>
  <c r="A460" i="10"/>
  <c r="B460" i="10"/>
  <c r="C460" i="10"/>
  <c r="A459" i="10"/>
  <c r="B459" i="10"/>
  <c r="C459" i="10"/>
  <c r="A458" i="10"/>
  <c r="B458" i="10"/>
  <c r="C458" i="10"/>
  <c r="A457" i="10"/>
  <c r="B457" i="10"/>
  <c r="C457" i="10"/>
  <c r="A456" i="10"/>
  <c r="B456" i="10"/>
  <c r="C456" i="10"/>
  <c r="A455" i="10"/>
  <c r="B455" i="10"/>
  <c r="C455" i="10"/>
  <c r="A454" i="10"/>
  <c r="B454" i="10"/>
  <c r="C454" i="10"/>
  <c r="A453" i="10"/>
  <c r="B453" i="10"/>
  <c r="C453" i="10"/>
  <c r="A452" i="10"/>
  <c r="B452" i="10"/>
  <c r="C452" i="10"/>
  <c r="A451" i="10"/>
  <c r="B451" i="10"/>
  <c r="C451" i="10"/>
  <c r="A450" i="10"/>
  <c r="B450" i="10"/>
  <c r="C450" i="10"/>
  <c r="A449" i="10"/>
  <c r="B449" i="10"/>
  <c r="C449" i="10"/>
  <c r="A448" i="10"/>
  <c r="B448" i="10"/>
  <c r="C448" i="10"/>
  <c r="A447" i="10"/>
  <c r="B447" i="10"/>
  <c r="C447" i="10"/>
  <c r="A446" i="10"/>
  <c r="B446" i="10"/>
  <c r="C446" i="10"/>
  <c r="A445" i="10"/>
  <c r="B445" i="10"/>
  <c r="C445" i="10"/>
  <c r="A444" i="10"/>
  <c r="B444" i="10"/>
  <c r="C444" i="10"/>
  <c r="A443" i="10"/>
  <c r="B443" i="10"/>
  <c r="C443" i="10"/>
  <c r="A442" i="10"/>
  <c r="B442" i="10"/>
  <c r="C442" i="10"/>
  <c r="A441" i="10"/>
  <c r="B441" i="10"/>
  <c r="C441" i="10"/>
  <c r="A440" i="10"/>
  <c r="B440" i="10"/>
  <c r="C440" i="10"/>
  <c r="A439" i="10"/>
  <c r="B439" i="10"/>
  <c r="C439" i="10"/>
  <c r="A438" i="10"/>
  <c r="B438" i="10"/>
  <c r="C438" i="10"/>
  <c r="A437" i="10"/>
  <c r="B437" i="10"/>
  <c r="C437" i="10"/>
  <c r="A436" i="10"/>
  <c r="B436" i="10"/>
  <c r="C436" i="10"/>
  <c r="A435" i="10"/>
  <c r="B435" i="10"/>
  <c r="C435" i="10"/>
  <c r="A434" i="10"/>
  <c r="B434" i="10"/>
  <c r="C434" i="10"/>
  <c r="A433" i="10"/>
  <c r="B433" i="10"/>
  <c r="C433" i="10"/>
  <c r="A432" i="10"/>
  <c r="B432" i="10"/>
  <c r="C432" i="10"/>
  <c r="A431" i="10"/>
  <c r="B431" i="10"/>
  <c r="C431" i="10"/>
  <c r="A430" i="10"/>
  <c r="B430" i="10"/>
  <c r="C430" i="10"/>
  <c r="A429" i="10"/>
  <c r="B429" i="10"/>
  <c r="C429" i="10"/>
  <c r="A428" i="10"/>
  <c r="B428" i="10"/>
  <c r="C428" i="10"/>
  <c r="A427" i="10"/>
  <c r="B427" i="10"/>
  <c r="C427" i="10"/>
  <c r="A426" i="10"/>
  <c r="B426" i="10"/>
  <c r="C426" i="10"/>
  <c r="A425" i="10"/>
  <c r="B425" i="10"/>
  <c r="C425" i="10"/>
  <c r="A424" i="10"/>
  <c r="B424" i="10"/>
  <c r="C424" i="10"/>
  <c r="A423" i="10"/>
  <c r="B423" i="10"/>
  <c r="C423" i="10"/>
  <c r="A422" i="10"/>
  <c r="B422" i="10"/>
  <c r="C422" i="10"/>
  <c r="A421" i="10"/>
  <c r="B421" i="10"/>
  <c r="C421" i="10"/>
  <c r="A420" i="10"/>
  <c r="B420" i="10"/>
  <c r="C420" i="10"/>
  <c r="A419" i="10"/>
  <c r="B419" i="10"/>
  <c r="C419" i="10"/>
  <c r="A418" i="10"/>
  <c r="B418" i="10"/>
  <c r="C418" i="10"/>
  <c r="A417" i="10"/>
  <c r="B417" i="10"/>
  <c r="C417" i="10"/>
  <c r="A416" i="10"/>
  <c r="B416" i="10"/>
  <c r="C416" i="10"/>
  <c r="A415" i="10"/>
  <c r="B415" i="10"/>
  <c r="C415" i="10"/>
  <c r="A414" i="10"/>
  <c r="B414" i="10"/>
  <c r="C414" i="10"/>
  <c r="A413" i="10"/>
  <c r="B413" i="10"/>
  <c r="C413" i="10"/>
  <c r="A412" i="10"/>
  <c r="B412" i="10"/>
  <c r="C412" i="10"/>
  <c r="A411" i="10"/>
  <c r="B411" i="10"/>
  <c r="C411" i="10"/>
  <c r="A410" i="10"/>
  <c r="B410" i="10"/>
  <c r="C410" i="10"/>
  <c r="A409" i="10"/>
  <c r="B409" i="10"/>
  <c r="C409" i="10"/>
  <c r="A408" i="10"/>
  <c r="B408" i="10"/>
  <c r="C408" i="10"/>
  <c r="A407" i="10"/>
  <c r="B407" i="10"/>
  <c r="C407" i="10"/>
  <c r="A406" i="10"/>
  <c r="B406" i="10"/>
  <c r="C406" i="10"/>
  <c r="A405" i="10"/>
  <c r="B405" i="10"/>
  <c r="C405" i="10"/>
  <c r="A404" i="10"/>
  <c r="B404" i="10"/>
  <c r="C404" i="10"/>
  <c r="A403" i="10"/>
  <c r="B403" i="10"/>
  <c r="C403" i="10"/>
  <c r="A402" i="10"/>
  <c r="B402" i="10"/>
  <c r="C402" i="10"/>
  <c r="A401" i="10"/>
  <c r="B401" i="10"/>
  <c r="C401" i="10"/>
  <c r="A400" i="10"/>
  <c r="B400" i="10"/>
  <c r="C400" i="10"/>
  <c r="A399" i="10"/>
  <c r="B399" i="10"/>
  <c r="C399" i="10"/>
  <c r="A398" i="10"/>
  <c r="B398" i="10"/>
  <c r="C398" i="10"/>
  <c r="A397" i="10"/>
  <c r="B397" i="10"/>
  <c r="C397" i="10"/>
  <c r="A396" i="10"/>
  <c r="B396" i="10"/>
  <c r="C396" i="10"/>
  <c r="A395" i="10"/>
  <c r="B395" i="10"/>
  <c r="C395" i="10"/>
  <c r="A394" i="10"/>
  <c r="B394" i="10"/>
  <c r="C394" i="10"/>
  <c r="A393" i="10"/>
  <c r="B393" i="10"/>
  <c r="C393" i="10"/>
  <c r="A392" i="10"/>
  <c r="B392" i="10"/>
  <c r="C392" i="10"/>
  <c r="A391" i="10"/>
  <c r="B391" i="10"/>
  <c r="C391" i="10"/>
  <c r="A390" i="10"/>
  <c r="B390" i="10"/>
  <c r="C390" i="10"/>
  <c r="A389" i="10"/>
  <c r="B389" i="10"/>
  <c r="C389" i="10"/>
  <c r="A388" i="10"/>
  <c r="B388" i="10"/>
  <c r="C388" i="10"/>
  <c r="A387" i="10"/>
  <c r="B387" i="10"/>
  <c r="C387" i="10"/>
  <c r="A386" i="10"/>
  <c r="B386" i="10"/>
  <c r="C386" i="10"/>
  <c r="A385" i="10"/>
  <c r="B385" i="10"/>
  <c r="C385" i="10"/>
  <c r="A384" i="10"/>
  <c r="B384" i="10"/>
  <c r="C384" i="10"/>
  <c r="A383" i="10"/>
  <c r="B383" i="10"/>
  <c r="C383" i="10"/>
  <c r="A382" i="10"/>
  <c r="B382" i="10"/>
  <c r="C382" i="10"/>
  <c r="A381" i="10"/>
  <c r="B381" i="10"/>
  <c r="C381" i="10"/>
  <c r="A380" i="10"/>
  <c r="B380" i="10"/>
  <c r="C380" i="10"/>
  <c r="A379" i="10"/>
  <c r="B379" i="10"/>
  <c r="C379" i="10"/>
  <c r="A378" i="10"/>
  <c r="B378" i="10"/>
  <c r="C378" i="10"/>
  <c r="A377" i="10"/>
  <c r="B377" i="10"/>
  <c r="C377" i="10"/>
  <c r="A376" i="10"/>
  <c r="B376" i="10"/>
  <c r="C376" i="10"/>
  <c r="A375" i="10"/>
  <c r="B375" i="10"/>
  <c r="C375" i="10"/>
  <c r="A374" i="10"/>
  <c r="B374" i="10"/>
  <c r="C374" i="10"/>
  <c r="A373" i="10"/>
  <c r="B373" i="10"/>
  <c r="C373" i="10"/>
  <c r="A372" i="10"/>
  <c r="B372" i="10"/>
  <c r="C372" i="10"/>
  <c r="A371" i="10"/>
  <c r="B371" i="10"/>
  <c r="C371" i="10"/>
  <c r="A370" i="10"/>
  <c r="B370" i="10"/>
  <c r="C370" i="10"/>
  <c r="A369" i="10"/>
  <c r="B369" i="10"/>
  <c r="C369" i="10"/>
  <c r="A368" i="10"/>
  <c r="B368" i="10"/>
  <c r="C368" i="10"/>
  <c r="A367" i="10"/>
  <c r="B367" i="10"/>
  <c r="C367" i="10"/>
  <c r="A366" i="10"/>
  <c r="B366" i="10"/>
  <c r="C366" i="10"/>
  <c r="A365" i="10"/>
  <c r="B365" i="10"/>
  <c r="C365" i="10"/>
  <c r="A364" i="10"/>
  <c r="B364" i="10"/>
  <c r="C364" i="10"/>
  <c r="A363" i="10"/>
  <c r="B363" i="10"/>
  <c r="C363" i="10"/>
  <c r="A362" i="10"/>
  <c r="B362" i="10"/>
  <c r="C362" i="10"/>
  <c r="A361" i="10"/>
  <c r="B361" i="10"/>
  <c r="C361" i="10"/>
  <c r="A360" i="10"/>
  <c r="B360" i="10"/>
  <c r="C360" i="10"/>
  <c r="A359" i="10"/>
  <c r="B359" i="10"/>
  <c r="C359" i="10"/>
  <c r="A358" i="10"/>
  <c r="B358" i="10"/>
  <c r="C358" i="10"/>
  <c r="A357" i="10"/>
  <c r="B357" i="10"/>
  <c r="C357" i="10"/>
  <c r="A356" i="10"/>
  <c r="B356" i="10"/>
  <c r="C356" i="10"/>
  <c r="A355" i="10"/>
  <c r="B355" i="10"/>
  <c r="C355" i="10"/>
  <c r="A354" i="10"/>
  <c r="B354" i="10"/>
  <c r="C354" i="10"/>
  <c r="A353" i="10"/>
  <c r="B353" i="10"/>
  <c r="C353" i="10"/>
  <c r="A352" i="10"/>
  <c r="B352" i="10"/>
  <c r="C352" i="10"/>
  <c r="A351" i="10"/>
  <c r="B351" i="10"/>
  <c r="C351" i="10"/>
  <c r="A350" i="10"/>
  <c r="B350" i="10"/>
  <c r="C350" i="10"/>
  <c r="A349" i="10"/>
  <c r="B349" i="10"/>
  <c r="C349" i="10"/>
  <c r="A348" i="10"/>
  <c r="B348" i="10"/>
  <c r="C348" i="10"/>
  <c r="A347" i="10"/>
  <c r="B347" i="10"/>
  <c r="C347" i="10"/>
  <c r="A346" i="10"/>
  <c r="B346" i="10"/>
  <c r="C346" i="10"/>
  <c r="A345" i="10"/>
  <c r="B345" i="10"/>
  <c r="C345" i="10"/>
  <c r="A344" i="10"/>
  <c r="B344" i="10"/>
  <c r="C344" i="10"/>
  <c r="A343" i="10"/>
  <c r="B343" i="10"/>
  <c r="C343" i="10"/>
  <c r="A342" i="10"/>
  <c r="B342" i="10"/>
  <c r="C342" i="10"/>
  <c r="A341" i="10"/>
  <c r="B341" i="10"/>
  <c r="C341" i="10"/>
  <c r="A340" i="10"/>
  <c r="B340" i="10"/>
  <c r="C340" i="10"/>
  <c r="A339" i="10"/>
  <c r="B339" i="10"/>
  <c r="C339" i="10"/>
  <c r="A338" i="10"/>
  <c r="B338" i="10"/>
  <c r="C338" i="10"/>
  <c r="A337" i="10"/>
  <c r="B337" i="10"/>
  <c r="C337" i="10"/>
  <c r="A336" i="10"/>
  <c r="B336" i="10"/>
  <c r="C336" i="10"/>
  <c r="A335" i="10"/>
  <c r="B335" i="10"/>
  <c r="C335" i="10"/>
  <c r="A334" i="10"/>
  <c r="B334" i="10"/>
  <c r="C334" i="10"/>
  <c r="A333" i="10"/>
  <c r="B333" i="10"/>
  <c r="C333" i="10"/>
  <c r="A332" i="10"/>
  <c r="B332" i="10"/>
  <c r="C332" i="10"/>
  <c r="A331" i="10"/>
  <c r="B331" i="10"/>
  <c r="C331" i="10"/>
  <c r="A330" i="10"/>
  <c r="B330" i="10"/>
  <c r="C330" i="10"/>
  <c r="A329" i="10"/>
  <c r="B329" i="10"/>
  <c r="C329" i="10"/>
  <c r="A328" i="10"/>
  <c r="B328" i="10"/>
  <c r="C328" i="10"/>
  <c r="A327" i="10"/>
  <c r="B327" i="10"/>
  <c r="C327" i="10"/>
  <c r="A326" i="10"/>
  <c r="B326" i="10"/>
  <c r="C326" i="10"/>
  <c r="A325" i="10"/>
  <c r="B325" i="10"/>
  <c r="C325" i="10"/>
  <c r="A324" i="10"/>
  <c r="B324" i="10"/>
  <c r="C324" i="10"/>
  <c r="A323" i="10"/>
  <c r="B323" i="10"/>
  <c r="C323" i="10"/>
  <c r="A322" i="10"/>
  <c r="B322" i="10"/>
  <c r="C322" i="10"/>
  <c r="A321" i="10"/>
  <c r="B321" i="10"/>
  <c r="C321" i="10"/>
  <c r="A320" i="10"/>
  <c r="B320" i="10"/>
  <c r="C320" i="10"/>
  <c r="A319" i="10"/>
  <c r="B319" i="10"/>
  <c r="C319" i="10"/>
  <c r="A318" i="10"/>
  <c r="B318" i="10"/>
  <c r="C318" i="10"/>
  <c r="A317" i="10"/>
  <c r="B317" i="10"/>
  <c r="C317" i="10"/>
  <c r="A316" i="10"/>
  <c r="B316" i="10"/>
  <c r="C316" i="10"/>
  <c r="A315" i="10"/>
  <c r="B315" i="10"/>
  <c r="C315" i="10"/>
  <c r="A314" i="10"/>
  <c r="B314" i="10"/>
  <c r="C314" i="10"/>
  <c r="A313" i="10"/>
  <c r="B313" i="10"/>
  <c r="C313" i="10"/>
  <c r="A312" i="10"/>
  <c r="B312" i="10"/>
  <c r="C312" i="10"/>
  <c r="A311" i="10"/>
  <c r="B311" i="10"/>
  <c r="C311" i="10"/>
  <c r="A310" i="10"/>
  <c r="B310" i="10"/>
  <c r="C310" i="10"/>
  <c r="A309" i="10"/>
  <c r="B309" i="10"/>
  <c r="C309" i="10"/>
  <c r="A308" i="10"/>
  <c r="B308" i="10"/>
  <c r="C308" i="10"/>
  <c r="A307" i="10"/>
  <c r="B307" i="10"/>
  <c r="C307" i="10"/>
  <c r="A306" i="10"/>
  <c r="B306" i="10"/>
  <c r="C306" i="10"/>
  <c r="A305" i="10"/>
  <c r="B305" i="10"/>
  <c r="C305" i="10"/>
  <c r="A304" i="10"/>
  <c r="B304" i="10"/>
  <c r="C304" i="10"/>
  <c r="A303" i="10"/>
  <c r="B303" i="10"/>
  <c r="C303" i="10"/>
  <c r="A302" i="10"/>
  <c r="B302" i="10"/>
  <c r="C302" i="10"/>
  <c r="A301" i="10"/>
  <c r="B301" i="10"/>
  <c r="C301" i="10"/>
  <c r="A300" i="10"/>
  <c r="B300" i="10"/>
  <c r="C300" i="10"/>
  <c r="A299" i="10"/>
  <c r="B299" i="10"/>
  <c r="C299" i="10"/>
  <c r="A298" i="10"/>
  <c r="B298" i="10"/>
  <c r="C298" i="10"/>
  <c r="A297" i="10"/>
  <c r="B297" i="10"/>
  <c r="C297" i="10"/>
  <c r="A296" i="10"/>
  <c r="B296" i="10"/>
  <c r="C296" i="10"/>
  <c r="A295" i="10"/>
  <c r="B295" i="10"/>
  <c r="C295" i="10"/>
  <c r="A294" i="10"/>
  <c r="B294" i="10"/>
  <c r="C294" i="10"/>
  <c r="A293" i="10"/>
  <c r="B293" i="10"/>
  <c r="C293" i="10"/>
  <c r="A292" i="10"/>
  <c r="B292" i="10"/>
  <c r="C292" i="10"/>
  <c r="A291" i="10"/>
  <c r="B291" i="10"/>
  <c r="C291" i="10"/>
  <c r="A290" i="10"/>
  <c r="B290" i="10"/>
  <c r="C290" i="10"/>
  <c r="A289" i="10"/>
  <c r="B289" i="10"/>
  <c r="C289" i="10"/>
  <c r="A288" i="10"/>
  <c r="B288" i="10"/>
  <c r="C288" i="10"/>
  <c r="A287" i="10"/>
  <c r="B287" i="10"/>
  <c r="C287" i="10"/>
  <c r="A286" i="10"/>
  <c r="B286" i="10"/>
  <c r="C286" i="10"/>
  <c r="A285" i="10"/>
  <c r="B285" i="10"/>
  <c r="C285" i="10"/>
  <c r="A284" i="10"/>
  <c r="B284" i="10"/>
  <c r="C284" i="10"/>
  <c r="A283" i="10"/>
  <c r="B283" i="10"/>
  <c r="C283" i="10"/>
  <c r="A282" i="10"/>
  <c r="B282" i="10"/>
  <c r="C282" i="10"/>
  <c r="A281" i="10"/>
  <c r="B281" i="10"/>
  <c r="C281" i="10"/>
  <c r="A280" i="10"/>
  <c r="B280" i="10"/>
  <c r="C280" i="10"/>
  <c r="A279" i="10"/>
  <c r="B279" i="10"/>
  <c r="C279" i="10"/>
  <c r="A278" i="10"/>
  <c r="B278" i="10"/>
  <c r="C278" i="10"/>
  <c r="A277" i="10"/>
  <c r="B277" i="10"/>
  <c r="C277" i="10"/>
  <c r="A276" i="10"/>
  <c r="B276" i="10"/>
  <c r="C276" i="10"/>
  <c r="A275" i="10"/>
  <c r="B275" i="10"/>
  <c r="C275" i="10"/>
  <c r="A274" i="10"/>
  <c r="B274" i="10"/>
  <c r="C274" i="10"/>
  <c r="A273" i="10"/>
  <c r="B273" i="10"/>
  <c r="C273" i="10"/>
  <c r="A272" i="10"/>
  <c r="B272" i="10"/>
  <c r="C272" i="10"/>
  <c r="A271" i="10"/>
  <c r="B271" i="10"/>
  <c r="C271" i="10"/>
  <c r="A270" i="10"/>
  <c r="B270" i="10"/>
  <c r="C270" i="10"/>
  <c r="A269" i="10"/>
  <c r="B269" i="10"/>
  <c r="C269" i="10"/>
  <c r="A268" i="10"/>
  <c r="B268" i="10"/>
  <c r="C268" i="10"/>
  <c r="A267" i="10"/>
  <c r="B267" i="10"/>
  <c r="C267" i="10"/>
  <c r="A266" i="10"/>
  <c r="B266" i="10"/>
  <c r="C266" i="10"/>
  <c r="A265" i="10"/>
  <c r="B265" i="10"/>
  <c r="C265" i="10"/>
  <c r="A264" i="10"/>
  <c r="B264" i="10"/>
  <c r="C264" i="10"/>
  <c r="A263" i="10"/>
  <c r="B263" i="10"/>
  <c r="C263" i="10"/>
  <c r="A262" i="10"/>
  <c r="B262" i="10"/>
  <c r="C262" i="10"/>
  <c r="A261" i="10"/>
  <c r="B261" i="10"/>
  <c r="C261" i="10"/>
  <c r="A260" i="10"/>
  <c r="B260" i="10"/>
  <c r="C260" i="10"/>
  <c r="A259" i="10"/>
  <c r="B259" i="10"/>
  <c r="C259" i="10"/>
  <c r="A258" i="10"/>
  <c r="B258" i="10"/>
  <c r="C258" i="10"/>
  <c r="A257" i="10"/>
  <c r="B257" i="10"/>
  <c r="C257" i="10"/>
  <c r="A256" i="10"/>
  <c r="B256" i="10"/>
  <c r="C256" i="10"/>
  <c r="A255" i="10"/>
  <c r="B255" i="10"/>
  <c r="C255" i="10"/>
  <c r="A254" i="10"/>
  <c r="B254" i="10"/>
  <c r="C254" i="10"/>
  <c r="A253" i="10"/>
  <c r="B253" i="10"/>
  <c r="C253" i="10"/>
  <c r="A252" i="10"/>
  <c r="B252" i="10"/>
  <c r="C252" i="10"/>
  <c r="A251" i="10"/>
  <c r="B251" i="10"/>
  <c r="C251" i="10"/>
  <c r="A250" i="10"/>
  <c r="B250" i="10"/>
  <c r="C250" i="10"/>
  <c r="A249" i="10"/>
  <c r="B249" i="10"/>
  <c r="C249" i="10"/>
  <c r="A248" i="10"/>
  <c r="B248" i="10"/>
  <c r="C248" i="10"/>
  <c r="A247" i="10"/>
  <c r="B247" i="10"/>
  <c r="C247" i="10"/>
  <c r="A246" i="10"/>
  <c r="B246" i="10"/>
  <c r="C246" i="10"/>
  <c r="A245" i="10"/>
  <c r="B245" i="10"/>
  <c r="C245" i="10"/>
  <c r="A244" i="10"/>
  <c r="B244" i="10"/>
  <c r="C244" i="10"/>
  <c r="A243" i="10"/>
  <c r="B243" i="10"/>
  <c r="C243" i="10"/>
  <c r="A242" i="10"/>
  <c r="B242" i="10"/>
  <c r="C242" i="10"/>
  <c r="A241" i="10"/>
  <c r="B241" i="10"/>
  <c r="C241" i="10"/>
  <c r="A240" i="10"/>
  <c r="B240" i="10"/>
  <c r="C240" i="10"/>
  <c r="A239" i="10"/>
  <c r="B239" i="10"/>
  <c r="C239" i="10"/>
  <c r="A238" i="10"/>
  <c r="B238" i="10"/>
  <c r="C238" i="10"/>
  <c r="A237" i="10"/>
  <c r="B237" i="10"/>
  <c r="C237" i="10"/>
  <c r="A236" i="10"/>
  <c r="B236" i="10"/>
  <c r="C236" i="10"/>
  <c r="A235" i="10"/>
  <c r="B235" i="10"/>
  <c r="C235" i="10"/>
  <c r="A234" i="10"/>
  <c r="B234" i="10"/>
  <c r="C234" i="10"/>
  <c r="A233" i="10"/>
  <c r="B233" i="10"/>
  <c r="C233" i="10"/>
  <c r="A232" i="10"/>
  <c r="B232" i="10"/>
  <c r="C232" i="10"/>
  <c r="A231" i="10"/>
  <c r="B231" i="10"/>
  <c r="C231" i="10"/>
  <c r="A230" i="10"/>
  <c r="B230" i="10"/>
  <c r="C230" i="10"/>
  <c r="A229" i="10"/>
  <c r="B229" i="10"/>
  <c r="C229" i="10"/>
  <c r="A228" i="10"/>
  <c r="B228" i="10"/>
  <c r="C228" i="10"/>
  <c r="A227" i="10"/>
  <c r="B227" i="10"/>
  <c r="C227" i="10"/>
  <c r="A226" i="10"/>
  <c r="B226" i="10"/>
  <c r="C226" i="10"/>
  <c r="A225" i="10"/>
  <c r="B225" i="10"/>
  <c r="C225" i="10"/>
  <c r="A224" i="10"/>
  <c r="B224" i="10"/>
  <c r="C224" i="10"/>
  <c r="A223" i="10"/>
  <c r="B223" i="10"/>
  <c r="C223" i="10"/>
  <c r="A222" i="10"/>
  <c r="B222" i="10"/>
  <c r="C222" i="10"/>
  <c r="A221" i="10"/>
  <c r="B221" i="10"/>
  <c r="C221" i="10"/>
  <c r="A220" i="10"/>
  <c r="B220" i="10"/>
  <c r="C220" i="10"/>
  <c r="A219" i="10"/>
  <c r="B219" i="10"/>
  <c r="C219" i="10"/>
  <c r="A218" i="10"/>
  <c r="B218" i="10"/>
  <c r="C218" i="10"/>
  <c r="A217" i="10"/>
  <c r="B217" i="10"/>
  <c r="C217" i="10"/>
  <c r="A216" i="10"/>
  <c r="B216" i="10"/>
  <c r="C216" i="10"/>
  <c r="A215" i="10"/>
  <c r="B215" i="10"/>
  <c r="C215" i="10"/>
  <c r="A214" i="10"/>
  <c r="B214" i="10"/>
  <c r="C214" i="10"/>
  <c r="A213" i="10"/>
  <c r="B213" i="10"/>
  <c r="C213" i="10"/>
  <c r="A212" i="10"/>
  <c r="B212" i="10"/>
  <c r="C212" i="10"/>
  <c r="A211" i="10"/>
  <c r="B211" i="10"/>
  <c r="C211" i="10"/>
  <c r="A210" i="10"/>
  <c r="B210" i="10"/>
  <c r="C210" i="10"/>
  <c r="A209" i="10"/>
  <c r="B209" i="10"/>
  <c r="C209" i="10"/>
  <c r="A208" i="10"/>
  <c r="B208" i="10"/>
  <c r="C208" i="10"/>
  <c r="A207" i="10"/>
  <c r="B207" i="10"/>
  <c r="C207" i="10"/>
  <c r="A206" i="10"/>
  <c r="B206" i="10"/>
  <c r="C206" i="10"/>
  <c r="A205" i="10"/>
  <c r="B205" i="10"/>
  <c r="C205" i="10"/>
  <c r="A204" i="10"/>
  <c r="B204" i="10"/>
  <c r="C204" i="10"/>
  <c r="A203" i="10"/>
  <c r="B203" i="10"/>
  <c r="C203" i="10"/>
  <c r="A202" i="10"/>
  <c r="B202" i="10"/>
  <c r="C202" i="10"/>
  <c r="A201" i="10"/>
  <c r="B201" i="10"/>
  <c r="C201" i="10"/>
  <c r="A200" i="10"/>
  <c r="B200" i="10"/>
  <c r="C200" i="10"/>
  <c r="A199" i="10"/>
  <c r="B199" i="10"/>
  <c r="C199" i="10"/>
  <c r="A198" i="10"/>
  <c r="B198" i="10"/>
  <c r="C198" i="10"/>
  <c r="A197" i="10"/>
  <c r="B197" i="10"/>
  <c r="C197" i="10"/>
  <c r="A196" i="10"/>
  <c r="B196" i="10"/>
  <c r="C196" i="10"/>
  <c r="A195" i="10"/>
  <c r="B195" i="10"/>
  <c r="C195" i="10"/>
  <c r="A194" i="10"/>
  <c r="B194" i="10"/>
  <c r="C194" i="10"/>
  <c r="A193" i="10"/>
  <c r="B193" i="10"/>
  <c r="C193" i="10"/>
  <c r="A192" i="10"/>
  <c r="B192" i="10"/>
  <c r="C192" i="10"/>
  <c r="A191" i="10"/>
  <c r="B191" i="10"/>
  <c r="C191" i="10"/>
  <c r="A190" i="10"/>
  <c r="B190" i="10"/>
  <c r="C190" i="10"/>
  <c r="A189" i="10"/>
  <c r="B189" i="10"/>
  <c r="C189" i="10"/>
  <c r="A188" i="10"/>
  <c r="B188" i="10"/>
  <c r="C188" i="10"/>
  <c r="A187" i="10"/>
  <c r="B187" i="10"/>
  <c r="C187" i="10"/>
  <c r="A186" i="10"/>
  <c r="B186" i="10"/>
  <c r="C186" i="10"/>
  <c r="A185" i="10"/>
  <c r="B185" i="10"/>
  <c r="C185" i="10"/>
  <c r="A184" i="10"/>
  <c r="B184" i="10"/>
  <c r="C184" i="10"/>
  <c r="A183" i="10"/>
  <c r="B183" i="10"/>
  <c r="C183" i="10"/>
  <c r="A182" i="10"/>
  <c r="B182" i="10"/>
  <c r="C182" i="10"/>
  <c r="A181" i="10"/>
  <c r="B181" i="10"/>
  <c r="C181" i="10"/>
  <c r="A180" i="10"/>
  <c r="B180" i="10"/>
  <c r="C180" i="10"/>
  <c r="A179" i="10"/>
  <c r="B179" i="10"/>
  <c r="C179" i="10"/>
  <c r="A178" i="10"/>
  <c r="B178" i="10"/>
  <c r="C178" i="10"/>
  <c r="A177" i="10"/>
  <c r="B177" i="10"/>
  <c r="C177" i="10"/>
  <c r="A176" i="10"/>
  <c r="B176" i="10"/>
  <c r="C176" i="10"/>
  <c r="A175" i="10"/>
  <c r="B175" i="10"/>
  <c r="C175" i="10"/>
  <c r="A174" i="10"/>
  <c r="B174" i="10"/>
  <c r="C174" i="10"/>
  <c r="A173" i="10"/>
  <c r="B173" i="10"/>
  <c r="C173" i="10"/>
  <c r="A172" i="10"/>
  <c r="B172" i="10"/>
  <c r="C172" i="10"/>
  <c r="A171" i="10"/>
  <c r="B171" i="10"/>
  <c r="C171" i="10"/>
  <c r="A170" i="10"/>
  <c r="B170" i="10"/>
  <c r="C170" i="10"/>
  <c r="A169" i="10"/>
  <c r="B169" i="10"/>
  <c r="C169" i="10"/>
  <c r="A168" i="10"/>
  <c r="B168" i="10"/>
  <c r="C168" i="10"/>
  <c r="A167" i="10"/>
  <c r="B167" i="10"/>
  <c r="C167" i="10"/>
  <c r="A166" i="10"/>
  <c r="B166" i="10"/>
  <c r="C166" i="10"/>
  <c r="A165" i="10"/>
  <c r="B165" i="10"/>
  <c r="C165" i="10"/>
  <c r="A164" i="10"/>
  <c r="B164" i="10"/>
  <c r="C164" i="10"/>
  <c r="A163" i="10"/>
  <c r="B163" i="10"/>
  <c r="C163" i="10"/>
  <c r="A162" i="10"/>
  <c r="B162" i="10"/>
  <c r="C162" i="10"/>
  <c r="A161" i="10"/>
  <c r="B161" i="10"/>
  <c r="C161" i="10"/>
  <c r="A160" i="10"/>
  <c r="B160" i="10"/>
  <c r="C160" i="10"/>
  <c r="A159" i="10"/>
  <c r="B159" i="10"/>
  <c r="C159" i="10"/>
  <c r="A158" i="10"/>
  <c r="B158" i="10"/>
  <c r="C158" i="10"/>
  <c r="A157" i="10"/>
  <c r="B157" i="10"/>
  <c r="C157" i="10"/>
  <c r="A156" i="10"/>
  <c r="B156" i="10"/>
  <c r="C156" i="10"/>
  <c r="A155" i="10"/>
  <c r="B155" i="10"/>
  <c r="C155" i="10"/>
  <c r="A154" i="10"/>
  <c r="B154" i="10"/>
  <c r="C154" i="10"/>
  <c r="A153" i="10"/>
  <c r="B153" i="10"/>
  <c r="C153" i="10"/>
  <c r="A152" i="10"/>
  <c r="B152" i="10"/>
  <c r="C152" i="10"/>
  <c r="A151" i="10"/>
  <c r="B151" i="10"/>
  <c r="C151" i="10"/>
  <c r="A150" i="10"/>
  <c r="B150" i="10"/>
  <c r="C150" i="10"/>
  <c r="A149" i="10"/>
  <c r="B149" i="10"/>
  <c r="C149" i="10"/>
  <c r="A148" i="10"/>
  <c r="B148" i="10"/>
  <c r="C148" i="10"/>
  <c r="A147" i="10"/>
  <c r="B147" i="10"/>
  <c r="C147" i="10"/>
  <c r="A146" i="10"/>
  <c r="B146" i="10"/>
  <c r="C146" i="10"/>
  <c r="A145" i="10"/>
  <c r="B145" i="10"/>
  <c r="C145" i="10"/>
  <c r="A144" i="10"/>
  <c r="B144" i="10"/>
  <c r="C144" i="10"/>
  <c r="A143" i="10"/>
  <c r="B143" i="10"/>
  <c r="C143" i="10"/>
  <c r="A142" i="10"/>
  <c r="B142" i="10"/>
  <c r="C142" i="10"/>
  <c r="A141" i="10"/>
  <c r="B141" i="10"/>
  <c r="C141" i="10"/>
  <c r="A140" i="10"/>
  <c r="B140" i="10"/>
  <c r="C140" i="10"/>
  <c r="A139" i="10"/>
  <c r="B139" i="10"/>
  <c r="C139" i="10"/>
  <c r="A138" i="10"/>
  <c r="B138" i="10"/>
  <c r="C138" i="10"/>
  <c r="A137" i="10"/>
  <c r="B137" i="10"/>
  <c r="C137" i="10"/>
  <c r="A136" i="10"/>
  <c r="B136" i="10"/>
  <c r="C136" i="10"/>
  <c r="A135" i="10"/>
  <c r="B135" i="10"/>
  <c r="C135" i="10"/>
  <c r="A134" i="10"/>
  <c r="B134" i="10"/>
  <c r="C134" i="10"/>
  <c r="A133" i="10"/>
  <c r="B133" i="10"/>
  <c r="A132" i="10"/>
  <c r="B132" i="10"/>
  <c r="C132" i="10"/>
  <c r="A131" i="10"/>
  <c r="B131" i="10"/>
  <c r="C131" i="10"/>
  <c r="A130" i="10"/>
  <c r="B130" i="10"/>
  <c r="C130" i="10"/>
  <c r="A129" i="10"/>
  <c r="B129" i="10"/>
  <c r="C129" i="10"/>
  <c r="A128" i="10"/>
  <c r="B128" i="10"/>
  <c r="C128" i="10"/>
  <c r="A127" i="10"/>
  <c r="B127" i="10"/>
  <c r="A126" i="10"/>
  <c r="B126" i="10"/>
  <c r="C126" i="10"/>
  <c r="A125" i="10"/>
  <c r="B125" i="10"/>
  <c r="C125" i="10"/>
  <c r="A124" i="10"/>
  <c r="B124" i="10"/>
  <c r="C124" i="10"/>
  <c r="A123" i="10"/>
  <c r="B123" i="10"/>
  <c r="C123" i="10"/>
  <c r="A122" i="10"/>
  <c r="B122" i="10"/>
  <c r="C122" i="10"/>
  <c r="A121" i="10"/>
  <c r="B121" i="10"/>
  <c r="C121" i="10"/>
  <c r="A120" i="10"/>
  <c r="B120" i="10"/>
  <c r="C120" i="10"/>
  <c r="A119" i="10"/>
  <c r="B119" i="10"/>
  <c r="C119" i="10"/>
  <c r="A118" i="10"/>
  <c r="B118" i="10"/>
  <c r="C118" i="10"/>
  <c r="A117" i="10"/>
  <c r="B117" i="10"/>
  <c r="C117" i="10"/>
  <c r="A116" i="10"/>
  <c r="B116" i="10"/>
  <c r="C116" i="10"/>
  <c r="A115" i="10"/>
  <c r="B115" i="10"/>
  <c r="C115" i="10"/>
  <c r="A114" i="10"/>
  <c r="B114" i="10"/>
  <c r="C114" i="10"/>
  <c r="A113" i="10"/>
  <c r="B113" i="10"/>
  <c r="C113" i="10"/>
  <c r="A112" i="10"/>
  <c r="B112" i="10"/>
  <c r="C112" i="10"/>
  <c r="A111" i="10"/>
  <c r="B111" i="10"/>
  <c r="C111" i="10"/>
  <c r="A110" i="10"/>
  <c r="B110" i="10"/>
  <c r="C110" i="10"/>
  <c r="A109" i="10"/>
  <c r="B109" i="10"/>
  <c r="C109" i="10"/>
  <c r="A108" i="10"/>
  <c r="B108" i="10"/>
  <c r="C108" i="10"/>
  <c r="A107" i="10"/>
  <c r="B107" i="10"/>
  <c r="C107" i="10"/>
  <c r="A106" i="10"/>
  <c r="B106" i="10"/>
  <c r="C106" i="10"/>
  <c r="A105" i="10"/>
  <c r="B105" i="10"/>
  <c r="C105" i="10"/>
  <c r="A104" i="10"/>
  <c r="B104" i="10"/>
  <c r="C104" i="10"/>
  <c r="A103" i="10"/>
  <c r="B103" i="10"/>
  <c r="C103" i="10"/>
  <c r="A102" i="10"/>
  <c r="B102" i="10"/>
  <c r="C102" i="10"/>
  <c r="A101" i="10"/>
  <c r="B101" i="10"/>
  <c r="C101" i="10"/>
  <c r="A100" i="10"/>
  <c r="B100" i="10"/>
  <c r="C100" i="10"/>
  <c r="A99" i="10"/>
  <c r="B99" i="10"/>
  <c r="C99" i="10"/>
  <c r="A98" i="10"/>
  <c r="B98" i="10"/>
  <c r="C98" i="10"/>
  <c r="A97" i="10"/>
  <c r="B97" i="10"/>
  <c r="C97" i="10"/>
  <c r="A96" i="10"/>
  <c r="B96" i="10"/>
  <c r="C96" i="10"/>
  <c r="A95" i="10"/>
  <c r="B95" i="10"/>
  <c r="C95" i="10"/>
  <c r="A94" i="10"/>
  <c r="B94" i="10"/>
  <c r="C94" i="10"/>
  <c r="A93" i="10"/>
  <c r="B93" i="10"/>
  <c r="C93" i="10"/>
  <c r="A92" i="10"/>
  <c r="B92" i="10"/>
  <c r="C92" i="10"/>
  <c r="A91" i="10"/>
  <c r="B91" i="10"/>
  <c r="C91" i="10"/>
  <c r="A90" i="10"/>
  <c r="B90" i="10"/>
  <c r="C90" i="10"/>
  <c r="A89" i="10"/>
  <c r="B89" i="10"/>
  <c r="C89" i="10"/>
  <c r="A88" i="10"/>
  <c r="B88" i="10"/>
  <c r="C88" i="10"/>
  <c r="A87" i="10"/>
  <c r="B87" i="10"/>
  <c r="C87" i="10"/>
  <c r="A86" i="10"/>
  <c r="B86" i="10"/>
  <c r="C86" i="10"/>
  <c r="A85" i="10"/>
  <c r="B85" i="10"/>
  <c r="C85" i="10"/>
  <c r="A84" i="10"/>
  <c r="B84" i="10"/>
  <c r="C84" i="10"/>
  <c r="A83" i="10"/>
  <c r="B83" i="10"/>
  <c r="C83" i="10"/>
  <c r="A82" i="10"/>
  <c r="B82" i="10"/>
  <c r="C82" i="10"/>
  <c r="A81" i="10"/>
  <c r="B81" i="10"/>
  <c r="C81" i="10"/>
  <c r="A80" i="10"/>
  <c r="B80" i="10"/>
  <c r="C80" i="10"/>
  <c r="A79" i="10"/>
  <c r="B79" i="10"/>
  <c r="C79" i="10"/>
  <c r="A78" i="10"/>
  <c r="B78" i="10"/>
  <c r="C78" i="10"/>
  <c r="A77" i="10"/>
  <c r="B77" i="10"/>
  <c r="C77" i="10"/>
  <c r="A76" i="10"/>
  <c r="B76" i="10"/>
  <c r="C76" i="10"/>
  <c r="A75" i="10"/>
  <c r="B75" i="10"/>
  <c r="C75" i="10"/>
  <c r="A74" i="10"/>
  <c r="B74" i="10"/>
  <c r="C74" i="10"/>
  <c r="A73" i="10"/>
  <c r="B73" i="10"/>
  <c r="C73" i="10"/>
  <c r="A72" i="10"/>
  <c r="B72" i="10"/>
  <c r="C72" i="10"/>
  <c r="A71" i="10"/>
  <c r="B71" i="10"/>
  <c r="C71" i="10"/>
  <c r="A70" i="10"/>
  <c r="B70" i="10"/>
  <c r="C70" i="10"/>
  <c r="A69" i="10"/>
  <c r="B69" i="10"/>
  <c r="C69" i="10"/>
  <c r="A68" i="10"/>
  <c r="B68" i="10"/>
  <c r="C68" i="10"/>
  <c r="A67" i="10"/>
  <c r="B67" i="10"/>
  <c r="C67" i="10"/>
  <c r="A66" i="10"/>
  <c r="B66" i="10"/>
  <c r="C66" i="10"/>
  <c r="A65" i="10"/>
  <c r="B65" i="10"/>
  <c r="C65" i="10"/>
  <c r="A64" i="10"/>
  <c r="B64" i="10"/>
  <c r="C64" i="10"/>
  <c r="A63" i="10"/>
  <c r="B63" i="10"/>
  <c r="C63" i="10"/>
  <c r="A62" i="10"/>
  <c r="B62" i="10"/>
  <c r="C62" i="10"/>
  <c r="A61" i="10"/>
  <c r="B61" i="10"/>
  <c r="C61" i="10"/>
  <c r="A60" i="10"/>
  <c r="B60" i="10"/>
  <c r="C60" i="10"/>
  <c r="A59" i="10"/>
  <c r="B59" i="10"/>
  <c r="C59" i="10"/>
  <c r="A58" i="10"/>
  <c r="B58" i="10"/>
  <c r="C58" i="10"/>
  <c r="A57" i="10"/>
  <c r="B57" i="10"/>
  <c r="C57" i="10"/>
  <c r="A56" i="10"/>
  <c r="B56" i="10"/>
  <c r="C56" i="10"/>
  <c r="A55" i="10"/>
  <c r="B55" i="10"/>
  <c r="C55" i="10"/>
  <c r="A54" i="10"/>
  <c r="B54" i="10"/>
  <c r="C54" i="10"/>
  <c r="A53" i="10"/>
  <c r="B53" i="10"/>
  <c r="C53" i="10"/>
  <c r="A52" i="10"/>
  <c r="B52" i="10"/>
  <c r="C52" i="10"/>
  <c r="A51" i="10"/>
  <c r="B51" i="10"/>
  <c r="C51" i="10"/>
  <c r="A50" i="10"/>
  <c r="B50" i="10"/>
  <c r="C50" i="10"/>
  <c r="A49" i="10"/>
  <c r="B49" i="10"/>
  <c r="C49" i="10"/>
  <c r="A48" i="10"/>
  <c r="B48" i="10"/>
  <c r="C48" i="10"/>
  <c r="A47" i="10"/>
  <c r="B47" i="10"/>
  <c r="C47" i="10"/>
  <c r="A46" i="10"/>
  <c r="B46" i="10"/>
  <c r="C46" i="10"/>
  <c r="A45" i="10"/>
  <c r="B45" i="10"/>
  <c r="C45" i="10"/>
  <c r="A44" i="10"/>
  <c r="B44" i="10"/>
  <c r="C44" i="10"/>
  <c r="A43" i="10"/>
  <c r="B43" i="10"/>
  <c r="C43" i="10"/>
  <c r="A42" i="10"/>
  <c r="B42" i="10"/>
  <c r="C42" i="10"/>
  <c r="A41" i="10"/>
  <c r="B41" i="10"/>
  <c r="C41" i="10"/>
  <c r="A40" i="10"/>
  <c r="B40" i="10"/>
  <c r="C40" i="10"/>
  <c r="A39" i="10"/>
  <c r="B39" i="10"/>
  <c r="C39" i="10"/>
  <c r="A38" i="10"/>
  <c r="B38" i="10"/>
  <c r="C38" i="10"/>
  <c r="A37" i="10"/>
  <c r="B37" i="10"/>
  <c r="C37" i="10"/>
  <c r="A36" i="10"/>
  <c r="B36" i="10"/>
  <c r="C36" i="10"/>
  <c r="A35" i="10"/>
  <c r="B35" i="10"/>
  <c r="C35" i="10"/>
  <c r="A34" i="10"/>
  <c r="B34" i="10"/>
  <c r="C34" i="10"/>
  <c r="A33" i="10"/>
  <c r="B33" i="10"/>
  <c r="C33" i="10"/>
  <c r="A32" i="10"/>
  <c r="B32" i="10"/>
  <c r="C32" i="10"/>
  <c r="A31" i="10"/>
  <c r="B31" i="10"/>
  <c r="C31" i="10"/>
  <c r="A30" i="10"/>
  <c r="B30" i="10"/>
  <c r="C30" i="10"/>
  <c r="A29" i="10"/>
  <c r="B29" i="10"/>
  <c r="C29" i="10"/>
  <c r="A28" i="10"/>
  <c r="B28" i="10"/>
  <c r="C28" i="10"/>
  <c r="A27" i="10"/>
  <c r="B27" i="10"/>
  <c r="C27" i="10"/>
  <c r="A26" i="10"/>
  <c r="B26" i="10"/>
  <c r="C26" i="10"/>
  <c r="A25" i="10"/>
  <c r="B25" i="10"/>
  <c r="C25" i="10"/>
  <c r="A24" i="10"/>
  <c r="B24" i="10"/>
  <c r="C24" i="10"/>
  <c r="A23" i="10"/>
  <c r="B23" i="10"/>
  <c r="C23" i="10"/>
  <c r="A22" i="10"/>
  <c r="B22" i="10"/>
  <c r="C22" i="10"/>
  <c r="A21" i="10"/>
  <c r="B21" i="10"/>
  <c r="C21" i="10"/>
  <c r="A20" i="10"/>
  <c r="B20" i="10"/>
  <c r="C20" i="10"/>
  <c r="A19" i="10"/>
  <c r="B19" i="10"/>
  <c r="C19" i="10"/>
  <c r="A18" i="10"/>
  <c r="B18" i="10"/>
  <c r="C18" i="10"/>
  <c r="A17" i="10"/>
  <c r="B17" i="10"/>
  <c r="C17" i="10"/>
  <c r="A16" i="10"/>
  <c r="B16" i="10"/>
  <c r="C16" i="10"/>
  <c r="A15" i="10"/>
  <c r="B15" i="10"/>
  <c r="C15" i="10"/>
  <c r="A14" i="10"/>
  <c r="B14" i="10"/>
  <c r="C14" i="10"/>
  <c r="A13" i="10"/>
  <c r="B13" i="10"/>
  <c r="C13" i="10"/>
  <c r="A12" i="10"/>
  <c r="B12" i="10"/>
  <c r="C12" i="10"/>
  <c r="A11" i="10"/>
  <c r="B11" i="10"/>
  <c r="C11" i="10"/>
  <c r="A10" i="10"/>
  <c r="B10" i="10"/>
  <c r="C10" i="10"/>
  <c r="A9" i="10"/>
  <c r="B9" i="10"/>
  <c r="C9" i="10"/>
  <c r="A8" i="10"/>
  <c r="B8" i="10"/>
  <c r="C8" i="10"/>
  <c r="A7" i="10"/>
  <c r="B7" i="10"/>
  <c r="C7" i="10"/>
  <c r="A6" i="10"/>
  <c r="B6" i="10"/>
  <c r="C6" i="10"/>
  <c r="A5" i="10"/>
  <c r="B5" i="10"/>
  <c r="C5" i="10"/>
  <c r="A4" i="10"/>
  <c r="B4" i="10"/>
  <c r="C4" i="10"/>
  <c r="A3" i="10"/>
  <c r="B3" i="10"/>
  <c r="C3" i="10"/>
  <c r="A2" i="10"/>
  <c r="B2" i="10"/>
  <c r="C2" i="10"/>
  <c r="A2612" i="9"/>
  <c r="B2612" i="9"/>
  <c r="C2612" i="9"/>
  <c r="A2611" i="9"/>
  <c r="B2611" i="9"/>
  <c r="C2611" i="9"/>
  <c r="A2610" i="9"/>
  <c r="B2610" i="9"/>
  <c r="C2610" i="9"/>
  <c r="A2609" i="9"/>
  <c r="B2609" i="9"/>
  <c r="C2609" i="9"/>
  <c r="A2608" i="9"/>
  <c r="B2608" i="9"/>
  <c r="C2608" i="9"/>
  <c r="A2607" i="9"/>
  <c r="B2607" i="9"/>
  <c r="C2607" i="9"/>
  <c r="A2606" i="9"/>
  <c r="B2606" i="9"/>
  <c r="C2606" i="9"/>
  <c r="A2605" i="9"/>
  <c r="B2605" i="9"/>
  <c r="C2605" i="9"/>
  <c r="A2604" i="9"/>
  <c r="B2604" i="9"/>
  <c r="C2604" i="9"/>
  <c r="A2603" i="9"/>
  <c r="B2603" i="9"/>
  <c r="C2603" i="9"/>
  <c r="A2602" i="9"/>
  <c r="B2602" i="9"/>
  <c r="C2602" i="9"/>
  <c r="A2601" i="9"/>
  <c r="B2601" i="9"/>
  <c r="C2601" i="9"/>
  <c r="A2600" i="9"/>
  <c r="B2600" i="9"/>
  <c r="C2600" i="9"/>
  <c r="A2599" i="9"/>
  <c r="B2599" i="9"/>
  <c r="C2599" i="9"/>
  <c r="A2598" i="9"/>
  <c r="B2598" i="9"/>
  <c r="C2598" i="9"/>
  <c r="A2597" i="9"/>
  <c r="B2597" i="9"/>
  <c r="C2597" i="9"/>
  <c r="A2596" i="9"/>
  <c r="B2596" i="9"/>
  <c r="C2596" i="9"/>
  <c r="A2595" i="9"/>
  <c r="B2595" i="9"/>
  <c r="C2595" i="9"/>
  <c r="A2594" i="9"/>
  <c r="B2594" i="9"/>
  <c r="C2594" i="9"/>
  <c r="A2593" i="9"/>
  <c r="B2593" i="9"/>
  <c r="C2593" i="9"/>
  <c r="A2592" i="9"/>
  <c r="B2592" i="9"/>
  <c r="C2592" i="9"/>
  <c r="A2591" i="9"/>
  <c r="B2591" i="9"/>
  <c r="C2591" i="9"/>
  <c r="A2590" i="9"/>
  <c r="B2590" i="9"/>
  <c r="C2590" i="9"/>
  <c r="A2589" i="9"/>
  <c r="B2589" i="9"/>
  <c r="C2589" i="9"/>
  <c r="A2588" i="9"/>
  <c r="B2588" i="9"/>
  <c r="C2588" i="9"/>
  <c r="A2587" i="9"/>
  <c r="B2587" i="9"/>
  <c r="C2587" i="9"/>
  <c r="A2586" i="9"/>
  <c r="B2586" i="9"/>
  <c r="C2586" i="9"/>
  <c r="A2585" i="9"/>
  <c r="B2585" i="9"/>
  <c r="C2585" i="9"/>
  <c r="A2584" i="9"/>
  <c r="B2584" i="9"/>
  <c r="C2584" i="9"/>
  <c r="A2583" i="9"/>
  <c r="B2583" i="9"/>
  <c r="C2583" i="9"/>
  <c r="A2582" i="9"/>
  <c r="B2582" i="9"/>
  <c r="C2582" i="9"/>
  <c r="A2581" i="9"/>
  <c r="B2581" i="9"/>
  <c r="C2581" i="9"/>
  <c r="A2580" i="9"/>
  <c r="B2580" i="9"/>
  <c r="C2580" i="9"/>
  <c r="A2579" i="9"/>
  <c r="B2579" i="9"/>
  <c r="C2579" i="9"/>
  <c r="A2578" i="9"/>
  <c r="B2578" i="9"/>
  <c r="C2578" i="9"/>
  <c r="A2577" i="9"/>
  <c r="B2577" i="9"/>
  <c r="C2577" i="9"/>
  <c r="A2576" i="9"/>
  <c r="B2576" i="9"/>
  <c r="C2576" i="9"/>
  <c r="A2575" i="9"/>
  <c r="B2575" i="9"/>
  <c r="C2575" i="9"/>
  <c r="A2574" i="9"/>
  <c r="B2574" i="9"/>
  <c r="C2574" i="9"/>
  <c r="A2573" i="9"/>
  <c r="B2573" i="9"/>
  <c r="C2573" i="9"/>
  <c r="A2572" i="9"/>
  <c r="B2572" i="9"/>
  <c r="C2572" i="9"/>
  <c r="A2571" i="9"/>
  <c r="B2571" i="9"/>
  <c r="C2571" i="9"/>
  <c r="A2570" i="9"/>
  <c r="B2570" i="9"/>
  <c r="C2570" i="9"/>
  <c r="A2569" i="9"/>
  <c r="B2569" i="9"/>
  <c r="C2569" i="9"/>
  <c r="A2568" i="9"/>
  <c r="B2568" i="9"/>
  <c r="C2568" i="9"/>
  <c r="A2567" i="9"/>
  <c r="B2567" i="9"/>
  <c r="C2567" i="9"/>
  <c r="A2566" i="9"/>
  <c r="B2566" i="9"/>
  <c r="C2566" i="9"/>
  <c r="A2565" i="9"/>
  <c r="B2565" i="9"/>
  <c r="C2565" i="9"/>
  <c r="A2564" i="9"/>
  <c r="B2564" i="9"/>
  <c r="C2564" i="9"/>
  <c r="A2563" i="9"/>
  <c r="B2563" i="9"/>
  <c r="C2563" i="9"/>
  <c r="A2562" i="9"/>
  <c r="B2562" i="9"/>
  <c r="C2562" i="9"/>
  <c r="A2561" i="9"/>
  <c r="B2561" i="9"/>
  <c r="C2561" i="9"/>
  <c r="A2560" i="9"/>
  <c r="B2560" i="9"/>
  <c r="C2560" i="9"/>
  <c r="A2559" i="9"/>
  <c r="B2559" i="9"/>
  <c r="C2559" i="9"/>
  <c r="A2558" i="9"/>
  <c r="B2558" i="9"/>
  <c r="C2558" i="9"/>
  <c r="A2557" i="9"/>
  <c r="B2557" i="9"/>
  <c r="C2557" i="9"/>
  <c r="A2556" i="9"/>
  <c r="B2556" i="9"/>
  <c r="C2556" i="9"/>
  <c r="A2555" i="9"/>
  <c r="B2555" i="9"/>
  <c r="C2555" i="9"/>
  <c r="A2554" i="9"/>
  <c r="B2554" i="9"/>
  <c r="C2554" i="9"/>
  <c r="A2553" i="9"/>
  <c r="B2553" i="9"/>
  <c r="C2553" i="9"/>
  <c r="A2552" i="9"/>
  <c r="B2552" i="9"/>
  <c r="C2552" i="9"/>
  <c r="A2551" i="9"/>
  <c r="B2551" i="9"/>
  <c r="C2551" i="9"/>
  <c r="A2550" i="9"/>
  <c r="B2550" i="9"/>
  <c r="C2550" i="9"/>
  <c r="A2549" i="9"/>
  <c r="B2549" i="9"/>
  <c r="C2549" i="9"/>
  <c r="A2548" i="9"/>
  <c r="B2548" i="9"/>
  <c r="C2548" i="9"/>
  <c r="A2547" i="9"/>
  <c r="B2547" i="9"/>
  <c r="C2547" i="9"/>
  <c r="A2546" i="9"/>
  <c r="B2546" i="9"/>
  <c r="C2546" i="9"/>
  <c r="A2545" i="9"/>
  <c r="B2545" i="9"/>
  <c r="C2545" i="9"/>
  <c r="A2544" i="9"/>
  <c r="B2544" i="9"/>
  <c r="C2544" i="9"/>
  <c r="A2543" i="9"/>
  <c r="B2543" i="9"/>
  <c r="C2543" i="9"/>
  <c r="A2542" i="9"/>
  <c r="B2542" i="9"/>
  <c r="C2542" i="9"/>
  <c r="A2541" i="9"/>
  <c r="B2541" i="9"/>
  <c r="C2541" i="9"/>
  <c r="A2540" i="9"/>
  <c r="B2540" i="9"/>
  <c r="C2540" i="9"/>
  <c r="A2539" i="9"/>
  <c r="B2539" i="9"/>
  <c r="C2539" i="9"/>
  <c r="A2538" i="9"/>
  <c r="B2538" i="9"/>
  <c r="C2538" i="9"/>
  <c r="A2537" i="9"/>
  <c r="B2537" i="9"/>
  <c r="C2537" i="9"/>
  <c r="A2536" i="9"/>
  <c r="B2536" i="9"/>
  <c r="C2536" i="9"/>
  <c r="A2535" i="9"/>
  <c r="B2535" i="9"/>
  <c r="C2535" i="9"/>
  <c r="A2534" i="9"/>
  <c r="B2534" i="9"/>
  <c r="C2534" i="9"/>
  <c r="A2533" i="9"/>
  <c r="B2533" i="9"/>
  <c r="C2533" i="9"/>
  <c r="A2532" i="9"/>
  <c r="B2532" i="9"/>
  <c r="C2532" i="9"/>
  <c r="A2531" i="9"/>
  <c r="B2531" i="9"/>
  <c r="C2531" i="9"/>
  <c r="A2530" i="9"/>
  <c r="B2530" i="9"/>
  <c r="C2530" i="9"/>
  <c r="A2529" i="9"/>
  <c r="B2529" i="9"/>
  <c r="C2529" i="9"/>
  <c r="A2528" i="9"/>
  <c r="B2528" i="9"/>
  <c r="C2528" i="9"/>
  <c r="A2527" i="9"/>
  <c r="B2527" i="9"/>
  <c r="C2527" i="9"/>
  <c r="A2526" i="9"/>
  <c r="B2526" i="9"/>
  <c r="C2526" i="9"/>
  <c r="A2525" i="9"/>
  <c r="B2525" i="9"/>
  <c r="C2525" i="9"/>
  <c r="A2524" i="9"/>
  <c r="B2524" i="9"/>
  <c r="C2524" i="9"/>
  <c r="A2523" i="9"/>
  <c r="B2523" i="9"/>
  <c r="C2523" i="9"/>
  <c r="A2522" i="9"/>
  <c r="B2522" i="9"/>
  <c r="C2522" i="9"/>
  <c r="A2521" i="9"/>
  <c r="B2521" i="9"/>
  <c r="C2521" i="9"/>
  <c r="A2520" i="9"/>
  <c r="B2520" i="9"/>
  <c r="C2520" i="9"/>
  <c r="A2519" i="9"/>
  <c r="B2519" i="9"/>
  <c r="C2519" i="9"/>
  <c r="A2518" i="9"/>
  <c r="B2518" i="9"/>
  <c r="C2518" i="9"/>
  <c r="A2517" i="9"/>
  <c r="B2517" i="9"/>
  <c r="C2517" i="9"/>
  <c r="A2516" i="9"/>
  <c r="B2516" i="9"/>
  <c r="C2516" i="9"/>
  <c r="A2515" i="9"/>
  <c r="B2515" i="9"/>
  <c r="C2515" i="9"/>
  <c r="A2514" i="9"/>
  <c r="B2514" i="9"/>
  <c r="C2514" i="9"/>
  <c r="A2513" i="9"/>
  <c r="B2513" i="9"/>
  <c r="C2513" i="9"/>
  <c r="A2512" i="9"/>
  <c r="B2512" i="9"/>
  <c r="C2512" i="9"/>
  <c r="A2511" i="9"/>
  <c r="B2511" i="9"/>
  <c r="C2511" i="9"/>
  <c r="A2510" i="9"/>
  <c r="B2510" i="9"/>
  <c r="C2510" i="9"/>
  <c r="A2509" i="9"/>
  <c r="B2509" i="9"/>
  <c r="C2509" i="9"/>
  <c r="A2508" i="9"/>
  <c r="B2508" i="9"/>
  <c r="C2508" i="9"/>
  <c r="A2507" i="9"/>
  <c r="B2507" i="9"/>
  <c r="C2507" i="9"/>
  <c r="A2506" i="9"/>
  <c r="B2506" i="9"/>
  <c r="C2506" i="9"/>
  <c r="A2505" i="9"/>
  <c r="B2505" i="9"/>
  <c r="C2505" i="9"/>
  <c r="A2504" i="9"/>
  <c r="B2504" i="9"/>
  <c r="C2504" i="9"/>
  <c r="A2503" i="9"/>
  <c r="B2503" i="9"/>
  <c r="C2503" i="9"/>
  <c r="A2502" i="9"/>
  <c r="B2502" i="9"/>
  <c r="C2502" i="9"/>
  <c r="A2501" i="9"/>
  <c r="B2501" i="9"/>
  <c r="C2501" i="9"/>
  <c r="A2500" i="9"/>
  <c r="B2500" i="9"/>
  <c r="C2500" i="9"/>
  <c r="A2499" i="9"/>
  <c r="B2499" i="9"/>
  <c r="C2499" i="9"/>
  <c r="A2498" i="9"/>
  <c r="B2498" i="9"/>
  <c r="C2498" i="9"/>
  <c r="A2497" i="9"/>
  <c r="B2497" i="9"/>
  <c r="C2497" i="9"/>
  <c r="A2496" i="9"/>
  <c r="B2496" i="9"/>
  <c r="C2496" i="9"/>
  <c r="A2495" i="9"/>
  <c r="B2495" i="9"/>
  <c r="C2495" i="9"/>
  <c r="A2494" i="9"/>
  <c r="B2494" i="9"/>
  <c r="C2494" i="9"/>
  <c r="A2493" i="9"/>
  <c r="B2493" i="9"/>
  <c r="C2493" i="9"/>
  <c r="A2492" i="9"/>
  <c r="B2492" i="9"/>
  <c r="C2492" i="9"/>
  <c r="A2491" i="9"/>
  <c r="B2491" i="9"/>
  <c r="C2491" i="9"/>
  <c r="A2490" i="9"/>
  <c r="B2490" i="9"/>
  <c r="C2490" i="9"/>
  <c r="A2489" i="9"/>
  <c r="B2489" i="9"/>
  <c r="C2489" i="9"/>
  <c r="A2488" i="9"/>
  <c r="B2488" i="9"/>
  <c r="C2488" i="9"/>
  <c r="A2487" i="9"/>
  <c r="B2487" i="9"/>
  <c r="C2487" i="9"/>
  <c r="A2486" i="9"/>
  <c r="B2486" i="9"/>
  <c r="C2486" i="9"/>
  <c r="A2485" i="9"/>
  <c r="B2485" i="9"/>
  <c r="C2485" i="9"/>
  <c r="A2484" i="9"/>
  <c r="B2484" i="9"/>
  <c r="C2484" i="9"/>
  <c r="A2483" i="9"/>
  <c r="B2483" i="9"/>
  <c r="C2483" i="9"/>
  <c r="A2482" i="9"/>
  <c r="B2482" i="9"/>
  <c r="C2482" i="9"/>
  <c r="A2481" i="9"/>
  <c r="B2481" i="9"/>
  <c r="C2481" i="9"/>
  <c r="A2480" i="9"/>
  <c r="B2480" i="9"/>
  <c r="C2480" i="9"/>
  <c r="A2479" i="9"/>
  <c r="B2479" i="9"/>
  <c r="C2479" i="9"/>
  <c r="A2478" i="9"/>
  <c r="B2478" i="9"/>
  <c r="C2478" i="9"/>
  <c r="A2477" i="9"/>
  <c r="B2477" i="9"/>
  <c r="C2477" i="9"/>
  <c r="A2476" i="9"/>
  <c r="B2476" i="9"/>
  <c r="C2476" i="9"/>
  <c r="A2475" i="9"/>
  <c r="B2475" i="9"/>
  <c r="C2475" i="9"/>
  <c r="A2474" i="9"/>
  <c r="B2474" i="9"/>
  <c r="C2474" i="9"/>
  <c r="A2473" i="9"/>
  <c r="B2473" i="9"/>
  <c r="C2473" i="9"/>
  <c r="A2472" i="9"/>
  <c r="B2472" i="9"/>
  <c r="C2472" i="9"/>
  <c r="A2471" i="9"/>
  <c r="B2471" i="9"/>
  <c r="C2471" i="9"/>
  <c r="A2470" i="9"/>
  <c r="B2470" i="9"/>
  <c r="C2470" i="9"/>
  <c r="A2469" i="9"/>
  <c r="B2469" i="9"/>
  <c r="C2469" i="9"/>
  <c r="A2468" i="9"/>
  <c r="B2468" i="9"/>
  <c r="C2468" i="9"/>
  <c r="A2467" i="9"/>
  <c r="B2467" i="9"/>
  <c r="C2467" i="9"/>
  <c r="A2466" i="9"/>
  <c r="B2466" i="9"/>
  <c r="C2466" i="9"/>
  <c r="A2465" i="9"/>
  <c r="B2465" i="9"/>
  <c r="C2465" i="9"/>
  <c r="A2464" i="9"/>
  <c r="B2464" i="9"/>
  <c r="C2464" i="9"/>
  <c r="A2463" i="9"/>
  <c r="B2463" i="9"/>
  <c r="C2463" i="9"/>
  <c r="A2462" i="9"/>
  <c r="B2462" i="9"/>
  <c r="C2462" i="9"/>
  <c r="A2461" i="9"/>
  <c r="B2461" i="9"/>
  <c r="C2461" i="9"/>
  <c r="A2460" i="9"/>
  <c r="B2460" i="9"/>
  <c r="C2460" i="9"/>
  <c r="A2459" i="9"/>
  <c r="B2459" i="9"/>
  <c r="C2459" i="9"/>
  <c r="A2458" i="9"/>
  <c r="B2458" i="9"/>
  <c r="C2458" i="9"/>
  <c r="A2457" i="9"/>
  <c r="B2457" i="9"/>
  <c r="C2457" i="9"/>
  <c r="A2456" i="9"/>
  <c r="B2456" i="9"/>
  <c r="C2456" i="9"/>
  <c r="A2455" i="9"/>
  <c r="B2455" i="9"/>
  <c r="C2455" i="9"/>
  <c r="A2454" i="9"/>
  <c r="B2454" i="9"/>
  <c r="C2454" i="9"/>
  <c r="A2453" i="9"/>
  <c r="B2453" i="9"/>
  <c r="C2453" i="9"/>
  <c r="A2452" i="9"/>
  <c r="B2452" i="9"/>
  <c r="C2452" i="9"/>
  <c r="A2451" i="9"/>
  <c r="B2451" i="9"/>
  <c r="C2451" i="9"/>
  <c r="A2450" i="9"/>
  <c r="B2450" i="9"/>
  <c r="C2450" i="9"/>
  <c r="A2449" i="9"/>
  <c r="B2449" i="9"/>
  <c r="C2449" i="9"/>
  <c r="A2448" i="9"/>
  <c r="B2448" i="9"/>
  <c r="C2448" i="9"/>
  <c r="A2447" i="9"/>
  <c r="B2447" i="9"/>
  <c r="C2447" i="9"/>
  <c r="A2446" i="9"/>
  <c r="B2446" i="9"/>
  <c r="C2446" i="9"/>
  <c r="A2445" i="9"/>
  <c r="B2445" i="9"/>
  <c r="C2445" i="9"/>
  <c r="A2444" i="9"/>
  <c r="B2444" i="9"/>
  <c r="C2444" i="9"/>
  <c r="A2443" i="9"/>
  <c r="B2443" i="9"/>
  <c r="C2443" i="9"/>
  <c r="A2442" i="9"/>
  <c r="B2442" i="9"/>
  <c r="C2442" i="9"/>
  <c r="A2441" i="9"/>
  <c r="B2441" i="9"/>
  <c r="C2441" i="9"/>
  <c r="A2440" i="9"/>
  <c r="B2440" i="9"/>
  <c r="C2440" i="9"/>
  <c r="A2439" i="9"/>
  <c r="B2439" i="9"/>
  <c r="C2439" i="9"/>
  <c r="A2438" i="9"/>
  <c r="B2438" i="9"/>
  <c r="C2438" i="9"/>
  <c r="A2437" i="9"/>
  <c r="B2437" i="9"/>
  <c r="C2437" i="9"/>
  <c r="A2436" i="9"/>
  <c r="B2436" i="9"/>
  <c r="C2436" i="9"/>
  <c r="A2435" i="9"/>
  <c r="B2435" i="9"/>
  <c r="C2435" i="9"/>
  <c r="A2434" i="9"/>
  <c r="B2434" i="9"/>
  <c r="C2434" i="9"/>
  <c r="A2433" i="9"/>
  <c r="B2433" i="9"/>
  <c r="C2433" i="9"/>
  <c r="A2432" i="9"/>
  <c r="B2432" i="9"/>
  <c r="C2432" i="9"/>
  <c r="A2431" i="9"/>
  <c r="B2431" i="9"/>
  <c r="C2431" i="9"/>
  <c r="A2430" i="9"/>
  <c r="B2430" i="9"/>
  <c r="C2430" i="9"/>
  <c r="A2429" i="9"/>
  <c r="B2429" i="9"/>
  <c r="C2429" i="9"/>
  <c r="A2428" i="9"/>
  <c r="B2428" i="9"/>
  <c r="C2428" i="9"/>
  <c r="A2427" i="9"/>
  <c r="B2427" i="9"/>
  <c r="C2427" i="9"/>
  <c r="A2426" i="9"/>
  <c r="B2426" i="9"/>
  <c r="C2426" i="9"/>
  <c r="A2425" i="9"/>
  <c r="B2425" i="9"/>
  <c r="C2425" i="9"/>
  <c r="A2424" i="9"/>
  <c r="B2424" i="9"/>
  <c r="C2424" i="9"/>
  <c r="A2423" i="9"/>
  <c r="B2423" i="9"/>
  <c r="C2423" i="9"/>
  <c r="A2422" i="9"/>
  <c r="B2422" i="9"/>
  <c r="C2422" i="9"/>
  <c r="A2421" i="9"/>
  <c r="B2421" i="9"/>
  <c r="C2421" i="9"/>
  <c r="A2420" i="9"/>
  <c r="B2420" i="9"/>
  <c r="C2420" i="9"/>
  <c r="A2419" i="9"/>
  <c r="B2419" i="9"/>
  <c r="C2419" i="9"/>
  <c r="A2418" i="9"/>
  <c r="B2418" i="9"/>
  <c r="C2418" i="9"/>
  <c r="A2417" i="9"/>
  <c r="B2417" i="9"/>
  <c r="C2417" i="9"/>
  <c r="A2416" i="9"/>
  <c r="B2416" i="9"/>
  <c r="C2416" i="9"/>
  <c r="A2415" i="9"/>
  <c r="B2415" i="9"/>
  <c r="C2415" i="9"/>
  <c r="A2414" i="9"/>
  <c r="B2414" i="9"/>
  <c r="C2414" i="9"/>
  <c r="A2413" i="9"/>
  <c r="B2413" i="9"/>
  <c r="C2413" i="9"/>
  <c r="A2412" i="9"/>
  <c r="B2412" i="9"/>
  <c r="C2412" i="9"/>
  <c r="A2411" i="9"/>
  <c r="B2411" i="9"/>
  <c r="C2411" i="9"/>
  <c r="A2410" i="9"/>
  <c r="B2410" i="9"/>
  <c r="C2410" i="9"/>
  <c r="A2409" i="9"/>
  <c r="B2409" i="9"/>
  <c r="C2409" i="9"/>
  <c r="A2408" i="9"/>
  <c r="B2408" i="9"/>
  <c r="C2408" i="9"/>
  <c r="A2407" i="9"/>
  <c r="B2407" i="9"/>
  <c r="C2407" i="9"/>
  <c r="A2406" i="9"/>
  <c r="B2406" i="9"/>
  <c r="C2406" i="9"/>
  <c r="A2405" i="9"/>
  <c r="B2405" i="9"/>
  <c r="C2405" i="9"/>
  <c r="A2404" i="9"/>
  <c r="B2404" i="9"/>
  <c r="C2404" i="9"/>
  <c r="A2403" i="9"/>
  <c r="B2403" i="9"/>
  <c r="C2403" i="9"/>
  <c r="A2402" i="9"/>
  <c r="B2402" i="9"/>
  <c r="C2402" i="9"/>
  <c r="A2401" i="9"/>
  <c r="B2401" i="9"/>
  <c r="C2401" i="9"/>
  <c r="A2400" i="9"/>
  <c r="B2400" i="9"/>
  <c r="C2400" i="9"/>
  <c r="A2399" i="9"/>
  <c r="B2399" i="9"/>
  <c r="C2399" i="9"/>
  <c r="A2398" i="9"/>
  <c r="B2398" i="9"/>
  <c r="C2398" i="9"/>
  <c r="A2397" i="9"/>
  <c r="B2397" i="9"/>
  <c r="C2397" i="9"/>
  <c r="A2396" i="9"/>
  <c r="B2396" i="9"/>
  <c r="C2396" i="9"/>
  <c r="A2395" i="9"/>
  <c r="B2395" i="9"/>
  <c r="C2395" i="9"/>
  <c r="A2394" i="9"/>
  <c r="B2394" i="9"/>
  <c r="C2394" i="9"/>
  <c r="A2393" i="9"/>
  <c r="B2393" i="9"/>
  <c r="C2393" i="9"/>
  <c r="A2392" i="9"/>
  <c r="B2392" i="9"/>
  <c r="C2392" i="9"/>
  <c r="A2391" i="9"/>
  <c r="B2391" i="9"/>
  <c r="C2391" i="9"/>
  <c r="A2390" i="9"/>
  <c r="B2390" i="9"/>
  <c r="C2390" i="9"/>
  <c r="A2389" i="9"/>
  <c r="B2389" i="9"/>
  <c r="C2389" i="9"/>
  <c r="A2388" i="9"/>
  <c r="B2388" i="9"/>
  <c r="C2388" i="9"/>
  <c r="A2387" i="9"/>
  <c r="B2387" i="9"/>
  <c r="C2387" i="9"/>
  <c r="A2386" i="9"/>
  <c r="B2386" i="9"/>
  <c r="C2386" i="9"/>
  <c r="A2385" i="9"/>
  <c r="B2385" i="9"/>
  <c r="C2385" i="9"/>
  <c r="A2384" i="9"/>
  <c r="B2384" i="9"/>
  <c r="C2384" i="9"/>
  <c r="A2383" i="9"/>
  <c r="B2383" i="9"/>
  <c r="C2383" i="9"/>
  <c r="A2382" i="9"/>
  <c r="B2382" i="9"/>
  <c r="C2382" i="9"/>
  <c r="A2381" i="9"/>
  <c r="B2381" i="9"/>
  <c r="C2381" i="9"/>
  <c r="A2380" i="9"/>
  <c r="B2380" i="9"/>
  <c r="C2380" i="9"/>
  <c r="A2379" i="9"/>
  <c r="B2379" i="9"/>
  <c r="C2379" i="9"/>
  <c r="A2378" i="9"/>
  <c r="B2378" i="9"/>
  <c r="C2378" i="9"/>
  <c r="A2377" i="9"/>
  <c r="B2377" i="9"/>
  <c r="C2377" i="9"/>
  <c r="A2376" i="9"/>
  <c r="B2376" i="9"/>
  <c r="C2376" i="9"/>
  <c r="A2375" i="9"/>
  <c r="B2375" i="9"/>
  <c r="C2375" i="9"/>
  <c r="A2374" i="9"/>
  <c r="B2374" i="9"/>
  <c r="C2374" i="9"/>
  <c r="A2373" i="9"/>
  <c r="B2373" i="9"/>
  <c r="C2373" i="9"/>
  <c r="A2372" i="9"/>
  <c r="B2372" i="9"/>
  <c r="C2372" i="9"/>
  <c r="A2371" i="9"/>
  <c r="B2371" i="9"/>
  <c r="C2371" i="9"/>
  <c r="A2370" i="9"/>
  <c r="B2370" i="9"/>
  <c r="C2370" i="9"/>
  <c r="A2369" i="9"/>
  <c r="B2369" i="9"/>
  <c r="C2369" i="9"/>
  <c r="A2368" i="9"/>
  <c r="B2368" i="9"/>
  <c r="C2368" i="9"/>
  <c r="A2367" i="9"/>
  <c r="B2367" i="9"/>
  <c r="C2367" i="9"/>
  <c r="A2366" i="9"/>
  <c r="B2366" i="9"/>
  <c r="C2366" i="9"/>
  <c r="A2365" i="9"/>
  <c r="B2365" i="9"/>
  <c r="C2365" i="9"/>
  <c r="A2364" i="9"/>
  <c r="B2364" i="9"/>
  <c r="C2364" i="9"/>
  <c r="A2363" i="9"/>
  <c r="B2363" i="9"/>
  <c r="C2363" i="9"/>
  <c r="A2362" i="9"/>
  <c r="B2362" i="9"/>
  <c r="C2362" i="9"/>
  <c r="A2361" i="9"/>
  <c r="B2361" i="9"/>
  <c r="C2361" i="9"/>
  <c r="A2360" i="9"/>
  <c r="B2360" i="9"/>
  <c r="C2360" i="9"/>
  <c r="A2359" i="9"/>
  <c r="B2359" i="9"/>
  <c r="C2359" i="9"/>
  <c r="A2358" i="9"/>
  <c r="B2358" i="9"/>
  <c r="C2358" i="9"/>
  <c r="A2357" i="9"/>
  <c r="B2357" i="9"/>
  <c r="C2357" i="9"/>
  <c r="A2356" i="9"/>
  <c r="B2356" i="9"/>
  <c r="C2356" i="9"/>
  <c r="A2355" i="9"/>
  <c r="B2355" i="9"/>
  <c r="C2355" i="9"/>
  <c r="A2354" i="9"/>
  <c r="B2354" i="9"/>
  <c r="C2354" i="9"/>
  <c r="A2353" i="9"/>
  <c r="B2353" i="9"/>
  <c r="C2353" i="9"/>
  <c r="A2352" i="9"/>
  <c r="B2352" i="9"/>
  <c r="C2352" i="9"/>
  <c r="A2351" i="9"/>
  <c r="B2351" i="9"/>
  <c r="C2351" i="9"/>
  <c r="A2350" i="9"/>
  <c r="B2350" i="9"/>
  <c r="C2350" i="9"/>
  <c r="A2349" i="9"/>
  <c r="B2349" i="9"/>
  <c r="C2349" i="9"/>
  <c r="A2348" i="9"/>
  <c r="B2348" i="9"/>
  <c r="C2348" i="9"/>
  <c r="A2347" i="9"/>
  <c r="B2347" i="9"/>
  <c r="C2347" i="9"/>
  <c r="A2346" i="9"/>
  <c r="B2346" i="9"/>
  <c r="C2346" i="9"/>
  <c r="A2345" i="9"/>
  <c r="B2345" i="9"/>
  <c r="C2345" i="9"/>
  <c r="A2344" i="9"/>
  <c r="B2344" i="9"/>
  <c r="C2344" i="9"/>
  <c r="A2343" i="9"/>
  <c r="B2343" i="9"/>
  <c r="C2343" i="9"/>
  <c r="A2342" i="9"/>
  <c r="B2342" i="9"/>
  <c r="C2342" i="9"/>
  <c r="A2341" i="9"/>
  <c r="B2341" i="9"/>
  <c r="C2341" i="9"/>
  <c r="A2340" i="9"/>
  <c r="B2340" i="9"/>
  <c r="C2340" i="9"/>
  <c r="A2339" i="9"/>
  <c r="B2339" i="9"/>
  <c r="C2339" i="9"/>
  <c r="A2338" i="9"/>
  <c r="B2338" i="9"/>
  <c r="C2338" i="9"/>
  <c r="A2337" i="9"/>
  <c r="B2337" i="9"/>
  <c r="C2337" i="9"/>
  <c r="A2336" i="9"/>
  <c r="B2336" i="9"/>
  <c r="C2336" i="9"/>
  <c r="A2335" i="9"/>
  <c r="B2335" i="9"/>
  <c r="C2335" i="9"/>
  <c r="A2334" i="9"/>
  <c r="B2334" i="9"/>
  <c r="C2334" i="9"/>
  <c r="A2333" i="9"/>
  <c r="B2333" i="9"/>
  <c r="C2333" i="9"/>
  <c r="A2332" i="9"/>
  <c r="B2332" i="9"/>
  <c r="C2332" i="9"/>
  <c r="A2331" i="9"/>
  <c r="B2331" i="9"/>
  <c r="C2331" i="9"/>
  <c r="A2330" i="9"/>
  <c r="B2330" i="9"/>
  <c r="C2330" i="9"/>
  <c r="A2329" i="9"/>
  <c r="B2329" i="9"/>
  <c r="C2329" i="9"/>
  <c r="A2328" i="9"/>
  <c r="B2328" i="9"/>
  <c r="C2328" i="9"/>
  <c r="A2327" i="9"/>
  <c r="B2327" i="9"/>
  <c r="C2327" i="9"/>
  <c r="A2326" i="9"/>
  <c r="B2326" i="9"/>
  <c r="C2326" i="9"/>
  <c r="A2325" i="9"/>
  <c r="B2325" i="9"/>
  <c r="C2325" i="9"/>
  <c r="A2324" i="9"/>
  <c r="B2324" i="9"/>
  <c r="C2324" i="9"/>
  <c r="A2323" i="9"/>
  <c r="B2323" i="9"/>
  <c r="C2323" i="9"/>
  <c r="A2322" i="9"/>
  <c r="B2322" i="9"/>
  <c r="C2322" i="9"/>
  <c r="A2321" i="9"/>
  <c r="B2321" i="9"/>
  <c r="C2321" i="9"/>
  <c r="A2320" i="9"/>
  <c r="B2320" i="9"/>
  <c r="C2320" i="9"/>
  <c r="A2319" i="9"/>
  <c r="B2319" i="9"/>
  <c r="C2319" i="9"/>
  <c r="A2318" i="9"/>
  <c r="B2318" i="9"/>
  <c r="C2318" i="9"/>
  <c r="A2317" i="9"/>
  <c r="B2317" i="9"/>
  <c r="C2317" i="9"/>
  <c r="A2316" i="9"/>
  <c r="B2316" i="9"/>
  <c r="C2316" i="9"/>
  <c r="A2315" i="9"/>
  <c r="B2315" i="9"/>
  <c r="C2315" i="9"/>
  <c r="A2314" i="9"/>
  <c r="B2314" i="9"/>
  <c r="C2314" i="9"/>
  <c r="A2313" i="9"/>
  <c r="B2313" i="9"/>
  <c r="C2313" i="9"/>
  <c r="A2312" i="9"/>
  <c r="B2312" i="9"/>
  <c r="C2312" i="9"/>
  <c r="A2311" i="9"/>
  <c r="B2311" i="9"/>
  <c r="C2311" i="9"/>
  <c r="A2310" i="9"/>
  <c r="B2310" i="9"/>
  <c r="C2310" i="9"/>
  <c r="A2309" i="9"/>
  <c r="B2309" i="9"/>
  <c r="C2309" i="9"/>
  <c r="A2308" i="9"/>
  <c r="B2308" i="9"/>
  <c r="C2308" i="9"/>
  <c r="A2307" i="9"/>
  <c r="B2307" i="9"/>
  <c r="C2307" i="9"/>
  <c r="A2306" i="9"/>
  <c r="B2306" i="9"/>
  <c r="C2306" i="9"/>
  <c r="A2305" i="9"/>
  <c r="B2305" i="9"/>
  <c r="C2305" i="9"/>
  <c r="A2304" i="9"/>
  <c r="B2304" i="9"/>
  <c r="C2304" i="9"/>
  <c r="A2303" i="9"/>
  <c r="B2303" i="9"/>
  <c r="C2303" i="9"/>
  <c r="A2302" i="9"/>
  <c r="B2302" i="9"/>
  <c r="C2302" i="9"/>
  <c r="A2301" i="9"/>
  <c r="B2301" i="9"/>
  <c r="C2301" i="9"/>
  <c r="A2300" i="9"/>
  <c r="B2300" i="9"/>
  <c r="C2300" i="9"/>
  <c r="A2299" i="9"/>
  <c r="B2299" i="9"/>
  <c r="C2299" i="9"/>
  <c r="A2298" i="9"/>
  <c r="B2298" i="9"/>
  <c r="C2298" i="9"/>
  <c r="A2297" i="9"/>
  <c r="B2297" i="9"/>
  <c r="C2297" i="9"/>
  <c r="A2296" i="9"/>
  <c r="B2296" i="9"/>
  <c r="C2296" i="9"/>
  <c r="A2295" i="9"/>
  <c r="B2295" i="9"/>
  <c r="C2295" i="9"/>
  <c r="A2294" i="9"/>
  <c r="B2294" i="9"/>
  <c r="C2294" i="9"/>
  <c r="A2293" i="9"/>
  <c r="B2293" i="9"/>
  <c r="C2293" i="9"/>
  <c r="A2292" i="9"/>
  <c r="B2292" i="9"/>
  <c r="C2292" i="9"/>
  <c r="A2291" i="9"/>
  <c r="B2291" i="9"/>
  <c r="C2291" i="9"/>
  <c r="A2290" i="9"/>
  <c r="B2290" i="9"/>
  <c r="C2290" i="9"/>
  <c r="A2289" i="9"/>
  <c r="B2289" i="9"/>
  <c r="C2289" i="9"/>
  <c r="A2288" i="9"/>
  <c r="B2288" i="9"/>
  <c r="C2288" i="9"/>
  <c r="A2287" i="9"/>
  <c r="B2287" i="9"/>
  <c r="C2287" i="9"/>
  <c r="A2286" i="9"/>
  <c r="B2286" i="9"/>
  <c r="C2286" i="9"/>
  <c r="A2285" i="9"/>
  <c r="B2285" i="9"/>
  <c r="C2285" i="9"/>
  <c r="A2284" i="9"/>
  <c r="B2284" i="9"/>
  <c r="C2284" i="9"/>
  <c r="A2283" i="9"/>
  <c r="B2283" i="9"/>
  <c r="C2283" i="9"/>
  <c r="A2282" i="9"/>
  <c r="B2282" i="9"/>
  <c r="C2282" i="9"/>
  <c r="A2281" i="9"/>
  <c r="B2281" i="9"/>
  <c r="C2281" i="9"/>
  <c r="A2280" i="9"/>
  <c r="B2280" i="9"/>
  <c r="C2280" i="9"/>
  <c r="A2279" i="9"/>
  <c r="B2279" i="9"/>
  <c r="C2279" i="9"/>
  <c r="A2278" i="9"/>
  <c r="B2278" i="9"/>
  <c r="C2278" i="9"/>
  <c r="A2277" i="9"/>
  <c r="B2277" i="9"/>
  <c r="C2277" i="9"/>
  <c r="A2276" i="9"/>
  <c r="B2276" i="9"/>
  <c r="C2276" i="9"/>
  <c r="A2275" i="9"/>
  <c r="B2275" i="9"/>
  <c r="C2275" i="9"/>
  <c r="A2274" i="9"/>
  <c r="B2274" i="9"/>
  <c r="C2274" i="9"/>
  <c r="A2273" i="9"/>
  <c r="B2273" i="9"/>
  <c r="C2273" i="9"/>
  <c r="A2272" i="9"/>
  <c r="B2272" i="9"/>
  <c r="C2272" i="9"/>
  <c r="A2271" i="9"/>
  <c r="B2271" i="9"/>
  <c r="C2271" i="9"/>
  <c r="A2270" i="9"/>
  <c r="B2270" i="9"/>
  <c r="C2270" i="9"/>
  <c r="A2269" i="9"/>
  <c r="B2269" i="9"/>
  <c r="C2269" i="9"/>
  <c r="A2268" i="9"/>
  <c r="B2268" i="9"/>
  <c r="C2268" i="9"/>
  <c r="A2267" i="9"/>
  <c r="B2267" i="9"/>
  <c r="C2267" i="9"/>
  <c r="A2266" i="9"/>
  <c r="B2266" i="9"/>
  <c r="C2266" i="9"/>
  <c r="A2265" i="9"/>
  <c r="B2265" i="9"/>
  <c r="C2265" i="9"/>
  <c r="A2264" i="9"/>
  <c r="B2264" i="9"/>
  <c r="C2264" i="9"/>
  <c r="A2263" i="9"/>
  <c r="B2263" i="9"/>
  <c r="C2263" i="9"/>
  <c r="A2262" i="9"/>
  <c r="B2262" i="9"/>
  <c r="C2262" i="9"/>
  <c r="A2261" i="9"/>
  <c r="B2261" i="9"/>
  <c r="C2261" i="9"/>
  <c r="A2260" i="9"/>
  <c r="B2260" i="9"/>
  <c r="C2260" i="9"/>
  <c r="A2259" i="9"/>
  <c r="B2259" i="9"/>
  <c r="C2259" i="9"/>
  <c r="A2258" i="9"/>
  <c r="B2258" i="9"/>
  <c r="C2258" i="9"/>
  <c r="A2257" i="9"/>
  <c r="B2257" i="9"/>
  <c r="C2257" i="9"/>
  <c r="A2256" i="9"/>
  <c r="B2256" i="9"/>
  <c r="C2256" i="9"/>
  <c r="A2255" i="9"/>
  <c r="B2255" i="9"/>
  <c r="C2255" i="9"/>
  <c r="A2254" i="9"/>
  <c r="B2254" i="9"/>
  <c r="C2254" i="9"/>
  <c r="A2253" i="9"/>
  <c r="B2253" i="9"/>
  <c r="C2253" i="9"/>
  <c r="A2252" i="9"/>
  <c r="B2252" i="9"/>
  <c r="C2252" i="9"/>
  <c r="A2251" i="9"/>
  <c r="B2251" i="9"/>
  <c r="C2251" i="9"/>
  <c r="A2250" i="9"/>
  <c r="B2250" i="9"/>
  <c r="C2250" i="9"/>
  <c r="A2249" i="9"/>
  <c r="B2249" i="9"/>
  <c r="C2249" i="9"/>
  <c r="A2248" i="9"/>
  <c r="B2248" i="9"/>
  <c r="C2248" i="9"/>
  <c r="A2247" i="9"/>
  <c r="B2247" i="9"/>
  <c r="C2247" i="9"/>
  <c r="A2246" i="9"/>
  <c r="B2246" i="9"/>
  <c r="C2246" i="9"/>
  <c r="A2245" i="9"/>
  <c r="B2245" i="9"/>
  <c r="C2245" i="9"/>
  <c r="A2244" i="9"/>
  <c r="B2244" i="9"/>
  <c r="C2244" i="9"/>
  <c r="A2243" i="9"/>
  <c r="B2243" i="9"/>
  <c r="C2243" i="9"/>
  <c r="A2242" i="9"/>
  <c r="B2242" i="9"/>
  <c r="C2242" i="9"/>
  <c r="A2241" i="9"/>
  <c r="B2241" i="9"/>
  <c r="C2241" i="9"/>
  <c r="A2240" i="9"/>
  <c r="B2240" i="9"/>
  <c r="C2240" i="9"/>
  <c r="A2239" i="9"/>
  <c r="B2239" i="9"/>
  <c r="C2239" i="9"/>
  <c r="A2238" i="9"/>
  <c r="B2238" i="9"/>
  <c r="C2238" i="9"/>
  <c r="A2237" i="9"/>
  <c r="B2237" i="9"/>
  <c r="C2237" i="9"/>
  <c r="A2236" i="9"/>
  <c r="B2236" i="9"/>
  <c r="C2236" i="9"/>
  <c r="A2235" i="9"/>
  <c r="B2235" i="9"/>
  <c r="C2235" i="9"/>
  <c r="A2234" i="9"/>
  <c r="B2234" i="9"/>
  <c r="C2234" i="9"/>
  <c r="A2233" i="9"/>
  <c r="B2233" i="9"/>
  <c r="C2233" i="9"/>
  <c r="A2232" i="9"/>
  <c r="B2232" i="9"/>
  <c r="C2232" i="9"/>
  <c r="A2231" i="9"/>
  <c r="B2231" i="9"/>
  <c r="C2231" i="9"/>
  <c r="A2230" i="9"/>
  <c r="B2230" i="9"/>
  <c r="C2230" i="9"/>
  <c r="A2229" i="9"/>
  <c r="B2229" i="9"/>
  <c r="C2229" i="9"/>
  <c r="A2228" i="9"/>
  <c r="B2228" i="9"/>
  <c r="C2228" i="9"/>
  <c r="A2227" i="9"/>
  <c r="B2227" i="9"/>
  <c r="C2227" i="9"/>
  <c r="A2226" i="9"/>
  <c r="B2226" i="9"/>
  <c r="C2226" i="9"/>
  <c r="A2225" i="9"/>
  <c r="B2225" i="9"/>
  <c r="C2225" i="9"/>
  <c r="A2224" i="9"/>
  <c r="B2224" i="9"/>
  <c r="C2224" i="9"/>
  <c r="A2223" i="9"/>
  <c r="B2223" i="9"/>
  <c r="C2223" i="9"/>
  <c r="A2222" i="9"/>
  <c r="B2222" i="9"/>
  <c r="C2222" i="9"/>
  <c r="A2221" i="9"/>
  <c r="B2221" i="9"/>
  <c r="C2221" i="9"/>
  <c r="A2220" i="9"/>
  <c r="B2220" i="9"/>
  <c r="C2220" i="9"/>
  <c r="A2219" i="9"/>
  <c r="B2219" i="9"/>
  <c r="C2219" i="9"/>
  <c r="A2218" i="9"/>
  <c r="B2218" i="9"/>
  <c r="C2218" i="9"/>
  <c r="A2217" i="9"/>
  <c r="B2217" i="9"/>
  <c r="C2217" i="9"/>
  <c r="A2216" i="9"/>
  <c r="B2216" i="9"/>
  <c r="C2216" i="9"/>
  <c r="A2215" i="9"/>
  <c r="B2215" i="9"/>
  <c r="C2215" i="9"/>
  <c r="A2214" i="9"/>
  <c r="B2214" i="9"/>
  <c r="C2214" i="9"/>
  <c r="A2213" i="9"/>
  <c r="B2213" i="9"/>
  <c r="C2213" i="9"/>
  <c r="A2212" i="9"/>
  <c r="B2212" i="9"/>
  <c r="C2212" i="9"/>
  <c r="A2211" i="9"/>
  <c r="B2211" i="9"/>
  <c r="C2211" i="9"/>
  <c r="A2210" i="9"/>
  <c r="B2210" i="9"/>
  <c r="C2210" i="9"/>
  <c r="A2209" i="9"/>
  <c r="B2209" i="9"/>
  <c r="C2209" i="9"/>
  <c r="A2208" i="9"/>
  <c r="B2208" i="9"/>
  <c r="C2208" i="9"/>
  <c r="A2207" i="9"/>
  <c r="B2207" i="9"/>
  <c r="C2207" i="9"/>
  <c r="A2206" i="9"/>
  <c r="B2206" i="9"/>
  <c r="C2206" i="9"/>
  <c r="A2205" i="9"/>
  <c r="B2205" i="9"/>
  <c r="C2205" i="9"/>
  <c r="A2204" i="9"/>
  <c r="B2204" i="9"/>
  <c r="C2204" i="9"/>
  <c r="A2203" i="9"/>
  <c r="B2203" i="9"/>
  <c r="C2203" i="9"/>
  <c r="A2202" i="9"/>
  <c r="B2202" i="9"/>
  <c r="C2202" i="9"/>
  <c r="A2201" i="9"/>
  <c r="B2201" i="9"/>
  <c r="C2201" i="9"/>
  <c r="A2200" i="9"/>
  <c r="B2200" i="9"/>
  <c r="C2200" i="9"/>
  <c r="A2199" i="9"/>
  <c r="B2199" i="9"/>
  <c r="C2199" i="9"/>
  <c r="A2198" i="9"/>
  <c r="B2198" i="9"/>
  <c r="C2198" i="9"/>
  <c r="A2197" i="9"/>
  <c r="B2197" i="9"/>
  <c r="C2197" i="9"/>
  <c r="A2196" i="9"/>
  <c r="B2196" i="9"/>
  <c r="C2196" i="9"/>
  <c r="A2195" i="9"/>
  <c r="B2195" i="9"/>
  <c r="C2195" i="9"/>
  <c r="A2194" i="9"/>
  <c r="B2194" i="9"/>
  <c r="C2194" i="9"/>
  <c r="A2193" i="9"/>
  <c r="B2193" i="9"/>
  <c r="C2193" i="9"/>
  <c r="A2192" i="9"/>
  <c r="B2192" i="9"/>
  <c r="C2192" i="9"/>
  <c r="A2191" i="9"/>
  <c r="B2191" i="9"/>
  <c r="C2191" i="9"/>
  <c r="A2190" i="9"/>
  <c r="B2190" i="9"/>
  <c r="C2190" i="9"/>
  <c r="A2189" i="9"/>
  <c r="B2189" i="9"/>
  <c r="C2189" i="9"/>
  <c r="A2188" i="9"/>
  <c r="B2188" i="9"/>
  <c r="C2188" i="9"/>
  <c r="A2187" i="9"/>
  <c r="B2187" i="9"/>
  <c r="C2187" i="9"/>
  <c r="A2186" i="9"/>
  <c r="B2186" i="9"/>
  <c r="C2186" i="9"/>
  <c r="A2185" i="9"/>
  <c r="B2185" i="9"/>
  <c r="C2185" i="9"/>
  <c r="A2184" i="9"/>
  <c r="B2184" i="9"/>
  <c r="C2184" i="9"/>
  <c r="A2183" i="9"/>
  <c r="B2183" i="9"/>
  <c r="C2183" i="9"/>
  <c r="A2182" i="9"/>
  <c r="B2182" i="9"/>
  <c r="C2182" i="9"/>
  <c r="A2181" i="9"/>
  <c r="B2181" i="9"/>
  <c r="C2181" i="9"/>
  <c r="A2180" i="9"/>
  <c r="B2180" i="9"/>
  <c r="C2180" i="9"/>
  <c r="A2179" i="9"/>
  <c r="B2179" i="9"/>
  <c r="C2179" i="9"/>
  <c r="A2178" i="9"/>
  <c r="B2178" i="9"/>
  <c r="C2178" i="9"/>
  <c r="A2177" i="9"/>
  <c r="B2177" i="9"/>
  <c r="C2177" i="9"/>
  <c r="A2176" i="9"/>
  <c r="B2176" i="9"/>
  <c r="C2176" i="9"/>
  <c r="A2175" i="9"/>
  <c r="B2175" i="9"/>
  <c r="C2175" i="9"/>
  <c r="A2174" i="9"/>
  <c r="B2174" i="9"/>
  <c r="C2174" i="9"/>
  <c r="A2173" i="9"/>
  <c r="B2173" i="9"/>
  <c r="C2173" i="9"/>
  <c r="A2172" i="9"/>
  <c r="B2172" i="9"/>
  <c r="C2172" i="9"/>
  <c r="A2171" i="9"/>
  <c r="B2171" i="9"/>
  <c r="C2171" i="9"/>
  <c r="A2170" i="9"/>
  <c r="B2170" i="9"/>
  <c r="C2170" i="9"/>
  <c r="A2169" i="9"/>
  <c r="B2169" i="9"/>
  <c r="C2169" i="9"/>
  <c r="A2168" i="9"/>
  <c r="B2168" i="9"/>
  <c r="C2168" i="9"/>
  <c r="A2167" i="9"/>
  <c r="B2167" i="9"/>
  <c r="C2167" i="9"/>
  <c r="A2166" i="9"/>
  <c r="B2166" i="9"/>
  <c r="C2166" i="9"/>
  <c r="A2165" i="9"/>
  <c r="B2165" i="9"/>
  <c r="C2165" i="9"/>
  <c r="A2164" i="9"/>
  <c r="B2164" i="9"/>
  <c r="C2164" i="9"/>
  <c r="A2163" i="9"/>
  <c r="B2163" i="9"/>
  <c r="C2163" i="9"/>
  <c r="A2162" i="9"/>
  <c r="B2162" i="9"/>
  <c r="C2162" i="9"/>
  <c r="A2161" i="9"/>
  <c r="B2161" i="9"/>
  <c r="C2161" i="9"/>
  <c r="A2160" i="9"/>
  <c r="B2160" i="9"/>
  <c r="C2160" i="9"/>
  <c r="A2159" i="9"/>
  <c r="B2159" i="9"/>
  <c r="C2159" i="9"/>
  <c r="A2158" i="9"/>
  <c r="B2158" i="9"/>
  <c r="C2158" i="9"/>
  <c r="A2157" i="9"/>
  <c r="B2157" i="9"/>
  <c r="C2157" i="9"/>
  <c r="A2156" i="9"/>
  <c r="B2156" i="9"/>
  <c r="C2156" i="9"/>
  <c r="A2155" i="9"/>
  <c r="B2155" i="9"/>
  <c r="C2155" i="9"/>
  <c r="A2154" i="9"/>
  <c r="B2154" i="9"/>
  <c r="C2154" i="9"/>
  <c r="A2153" i="9"/>
  <c r="B2153" i="9"/>
  <c r="C2153" i="9"/>
  <c r="A2152" i="9"/>
  <c r="B2152" i="9"/>
  <c r="C2152" i="9"/>
  <c r="A2151" i="9"/>
  <c r="B2151" i="9"/>
  <c r="C2151" i="9"/>
  <c r="A2150" i="9"/>
  <c r="B2150" i="9"/>
  <c r="C2150" i="9"/>
  <c r="A2149" i="9"/>
  <c r="B2149" i="9"/>
  <c r="C2149" i="9"/>
  <c r="A2148" i="9"/>
  <c r="B2148" i="9"/>
  <c r="C2148" i="9"/>
  <c r="A2147" i="9"/>
  <c r="B2147" i="9"/>
  <c r="C2147" i="9"/>
  <c r="A2146" i="9"/>
  <c r="B2146" i="9"/>
  <c r="C2146" i="9"/>
  <c r="A2145" i="9"/>
  <c r="B2145" i="9"/>
  <c r="C2145" i="9"/>
  <c r="A2144" i="9"/>
  <c r="B2144" i="9"/>
  <c r="C2144" i="9"/>
  <c r="A2143" i="9"/>
  <c r="B2143" i="9"/>
  <c r="C2143" i="9"/>
  <c r="A2142" i="9"/>
  <c r="B2142" i="9"/>
  <c r="C2142" i="9"/>
  <c r="A2141" i="9"/>
  <c r="B2141" i="9"/>
  <c r="C2141" i="9"/>
  <c r="A2140" i="9"/>
  <c r="B2140" i="9"/>
  <c r="C2140" i="9"/>
  <c r="A2139" i="9"/>
  <c r="B2139" i="9"/>
  <c r="C2139" i="9"/>
  <c r="A2138" i="9"/>
  <c r="B2138" i="9"/>
  <c r="C2138" i="9"/>
  <c r="A2137" i="9"/>
  <c r="B2137" i="9"/>
  <c r="C2137" i="9"/>
  <c r="A2136" i="9"/>
  <c r="B2136" i="9"/>
  <c r="C2136" i="9"/>
  <c r="A2135" i="9"/>
  <c r="B2135" i="9"/>
  <c r="C2135" i="9"/>
  <c r="A2134" i="9"/>
  <c r="B2134" i="9"/>
  <c r="C2134" i="9"/>
  <c r="A2133" i="9"/>
  <c r="B2133" i="9"/>
  <c r="C2133" i="9"/>
  <c r="A2132" i="9"/>
  <c r="B2132" i="9"/>
  <c r="C2132" i="9"/>
  <c r="A2131" i="9"/>
  <c r="B2131" i="9"/>
  <c r="C2131" i="9"/>
  <c r="A2130" i="9"/>
  <c r="B2130" i="9"/>
  <c r="C2130" i="9"/>
  <c r="A2129" i="9"/>
  <c r="B2129" i="9"/>
  <c r="C2129" i="9"/>
  <c r="A2128" i="9"/>
  <c r="B2128" i="9"/>
  <c r="C2128" i="9"/>
  <c r="A2127" i="9"/>
  <c r="B2127" i="9"/>
  <c r="C2127" i="9"/>
  <c r="A2126" i="9"/>
  <c r="B2126" i="9"/>
  <c r="C2126" i="9"/>
  <c r="A2125" i="9"/>
  <c r="B2125" i="9"/>
  <c r="C2125" i="9"/>
  <c r="A2124" i="9"/>
  <c r="B2124" i="9"/>
  <c r="C2124" i="9"/>
  <c r="A2123" i="9"/>
  <c r="B2123" i="9"/>
  <c r="C2123" i="9"/>
  <c r="A2122" i="9"/>
  <c r="B2122" i="9"/>
  <c r="C2122" i="9"/>
  <c r="A2121" i="9"/>
  <c r="B2121" i="9"/>
  <c r="C2121" i="9"/>
  <c r="A2120" i="9"/>
  <c r="B2120" i="9"/>
  <c r="C2120" i="9"/>
  <c r="A2119" i="9"/>
  <c r="B2119" i="9"/>
  <c r="C2119" i="9"/>
  <c r="A2118" i="9"/>
  <c r="B2118" i="9"/>
  <c r="C2118" i="9"/>
  <c r="A2117" i="9"/>
  <c r="B2117" i="9"/>
  <c r="C2117" i="9"/>
  <c r="A2116" i="9"/>
  <c r="B2116" i="9"/>
  <c r="C2116" i="9"/>
  <c r="A2115" i="9"/>
  <c r="B2115" i="9"/>
  <c r="C2115" i="9"/>
  <c r="A2114" i="9"/>
  <c r="B2114" i="9"/>
  <c r="C2114" i="9"/>
  <c r="A2113" i="9"/>
  <c r="B2113" i="9"/>
  <c r="C2113" i="9"/>
  <c r="A2112" i="9"/>
  <c r="B2112" i="9"/>
  <c r="C2112" i="9"/>
  <c r="A2111" i="9"/>
  <c r="B2111" i="9"/>
  <c r="C2111" i="9"/>
  <c r="A2110" i="9"/>
  <c r="B2110" i="9"/>
  <c r="C2110" i="9"/>
  <c r="A2109" i="9"/>
  <c r="B2109" i="9"/>
  <c r="C2109" i="9"/>
  <c r="A2108" i="9"/>
  <c r="B2108" i="9"/>
  <c r="C2108" i="9"/>
  <c r="A2107" i="9"/>
  <c r="B2107" i="9"/>
  <c r="C2107" i="9"/>
  <c r="A2106" i="9"/>
  <c r="B2106" i="9"/>
  <c r="C2106" i="9"/>
  <c r="A2105" i="9"/>
  <c r="B2105" i="9"/>
  <c r="C2105" i="9"/>
  <c r="A2104" i="9"/>
  <c r="B2104" i="9"/>
  <c r="C2104" i="9"/>
  <c r="A2103" i="9"/>
  <c r="B2103" i="9"/>
  <c r="C2103" i="9"/>
  <c r="A2102" i="9"/>
  <c r="B2102" i="9"/>
  <c r="C2102" i="9"/>
  <c r="A2101" i="9"/>
  <c r="B2101" i="9"/>
  <c r="C2101" i="9"/>
  <c r="A2100" i="9"/>
  <c r="B2100" i="9"/>
  <c r="C2100" i="9"/>
  <c r="A2099" i="9"/>
  <c r="B2099" i="9"/>
  <c r="C2099" i="9"/>
  <c r="A2098" i="9"/>
  <c r="B2098" i="9"/>
  <c r="C2098" i="9"/>
  <c r="A2097" i="9"/>
  <c r="B2097" i="9"/>
  <c r="C2097" i="9"/>
  <c r="A2096" i="9"/>
  <c r="B2096" i="9"/>
  <c r="C2096" i="9"/>
  <c r="A2095" i="9"/>
  <c r="B2095" i="9"/>
  <c r="C2095" i="9"/>
  <c r="A2094" i="9"/>
  <c r="B2094" i="9"/>
  <c r="C2094" i="9"/>
  <c r="A2093" i="9"/>
  <c r="B2093" i="9"/>
  <c r="C2093" i="9"/>
  <c r="A2092" i="9"/>
  <c r="B2092" i="9"/>
  <c r="C2092" i="9"/>
  <c r="A2091" i="9"/>
  <c r="B2091" i="9"/>
  <c r="C2091" i="9"/>
  <c r="A2090" i="9"/>
  <c r="B2090" i="9"/>
  <c r="C2090" i="9"/>
  <c r="A2089" i="9"/>
  <c r="B2089" i="9"/>
  <c r="C2089" i="9"/>
  <c r="A2088" i="9"/>
  <c r="B2088" i="9"/>
  <c r="C2088" i="9"/>
  <c r="A2087" i="9"/>
  <c r="B2087" i="9"/>
  <c r="C2087" i="9"/>
  <c r="A2086" i="9"/>
  <c r="B2086" i="9"/>
  <c r="C2086" i="9"/>
  <c r="A2085" i="9"/>
  <c r="B2085" i="9"/>
  <c r="C2085" i="9"/>
  <c r="A2084" i="9"/>
  <c r="B2084" i="9"/>
  <c r="C2084" i="9"/>
  <c r="A2083" i="9"/>
  <c r="B2083" i="9"/>
  <c r="C2083" i="9"/>
  <c r="A2082" i="9"/>
  <c r="B2082" i="9"/>
  <c r="C2082" i="9"/>
  <c r="A2081" i="9"/>
  <c r="B2081" i="9"/>
  <c r="C2081" i="9"/>
  <c r="A2080" i="9"/>
  <c r="B2080" i="9"/>
  <c r="C2080" i="9"/>
  <c r="A2079" i="9"/>
  <c r="B2079" i="9"/>
  <c r="C2079" i="9"/>
  <c r="A2078" i="9"/>
  <c r="B2078" i="9"/>
  <c r="C2078" i="9"/>
  <c r="A2077" i="9"/>
  <c r="B2077" i="9"/>
  <c r="C2077" i="9"/>
  <c r="A2076" i="9"/>
  <c r="B2076" i="9"/>
  <c r="C2076" i="9"/>
  <c r="A2075" i="9"/>
  <c r="B2075" i="9"/>
  <c r="C2075" i="9"/>
  <c r="A2074" i="9"/>
  <c r="B2074" i="9"/>
  <c r="C2074" i="9"/>
  <c r="A2073" i="9"/>
  <c r="B2073" i="9"/>
  <c r="C2073" i="9"/>
  <c r="A2072" i="9"/>
  <c r="B2072" i="9"/>
  <c r="C2072" i="9"/>
  <c r="A2071" i="9"/>
  <c r="B2071" i="9"/>
  <c r="C2071" i="9"/>
  <c r="A2070" i="9"/>
  <c r="B2070" i="9"/>
  <c r="C2070" i="9"/>
  <c r="A2069" i="9"/>
  <c r="B2069" i="9"/>
  <c r="C2069" i="9"/>
  <c r="A2068" i="9"/>
  <c r="B2068" i="9"/>
  <c r="C2068" i="9"/>
  <c r="A2067" i="9"/>
  <c r="B2067" i="9"/>
  <c r="C2067" i="9"/>
  <c r="A2066" i="9"/>
  <c r="B2066" i="9"/>
  <c r="C2066" i="9"/>
  <c r="A2065" i="9"/>
  <c r="B2065" i="9"/>
  <c r="C2065" i="9"/>
  <c r="A2064" i="9"/>
  <c r="B2064" i="9"/>
  <c r="C2064" i="9"/>
  <c r="A2063" i="9"/>
  <c r="B2063" i="9"/>
  <c r="C2063" i="9"/>
  <c r="A2062" i="9"/>
  <c r="B2062" i="9"/>
  <c r="C2062" i="9"/>
  <c r="A2061" i="9"/>
  <c r="B2061" i="9"/>
  <c r="C2061" i="9"/>
  <c r="A2060" i="9"/>
  <c r="B2060" i="9"/>
  <c r="C2060" i="9"/>
  <c r="A2059" i="9"/>
  <c r="B2059" i="9"/>
  <c r="C2059" i="9"/>
  <c r="A2058" i="9"/>
  <c r="B2058" i="9"/>
  <c r="C2058" i="9"/>
  <c r="A2057" i="9"/>
  <c r="B2057" i="9"/>
  <c r="C2057" i="9"/>
  <c r="A2056" i="9"/>
  <c r="B2056" i="9"/>
  <c r="C2056" i="9"/>
  <c r="A2055" i="9"/>
  <c r="B2055" i="9"/>
  <c r="C2055" i="9"/>
  <c r="A2054" i="9"/>
  <c r="B2054" i="9"/>
  <c r="C2054" i="9"/>
  <c r="A2053" i="9"/>
  <c r="B2053" i="9"/>
  <c r="C2053" i="9"/>
  <c r="A2052" i="9"/>
  <c r="B2052" i="9"/>
  <c r="C2052" i="9"/>
  <c r="A2051" i="9"/>
  <c r="B2051" i="9"/>
  <c r="C2051" i="9"/>
  <c r="A2050" i="9"/>
  <c r="B2050" i="9"/>
  <c r="C2050" i="9"/>
  <c r="A2049" i="9"/>
  <c r="B2049" i="9"/>
  <c r="C2049" i="9"/>
  <c r="A2048" i="9"/>
  <c r="B2048" i="9"/>
  <c r="C2048" i="9"/>
  <c r="A2047" i="9"/>
  <c r="B2047" i="9"/>
  <c r="C2047" i="9"/>
  <c r="A2046" i="9"/>
  <c r="B2046" i="9"/>
  <c r="C2046" i="9"/>
  <c r="A2045" i="9"/>
  <c r="B2045" i="9"/>
  <c r="C2045" i="9"/>
  <c r="A2044" i="9"/>
  <c r="B2044" i="9"/>
  <c r="C2044" i="9"/>
  <c r="A2043" i="9"/>
  <c r="B2043" i="9"/>
  <c r="C2043" i="9"/>
  <c r="A2042" i="9"/>
  <c r="B2042" i="9"/>
  <c r="C2042" i="9"/>
  <c r="A2041" i="9"/>
  <c r="B2041" i="9"/>
  <c r="C2041" i="9"/>
  <c r="A2040" i="9"/>
  <c r="B2040" i="9"/>
  <c r="C2040" i="9"/>
  <c r="A2039" i="9"/>
  <c r="B2039" i="9"/>
  <c r="C2039" i="9"/>
  <c r="A2038" i="9"/>
  <c r="B2038" i="9"/>
  <c r="C2038" i="9"/>
  <c r="A2037" i="9"/>
  <c r="B2037" i="9"/>
  <c r="C2037" i="9"/>
  <c r="A2036" i="9"/>
  <c r="B2036" i="9"/>
  <c r="C2036" i="9"/>
  <c r="A2035" i="9"/>
  <c r="B2035" i="9"/>
  <c r="C2035" i="9"/>
  <c r="A2034" i="9"/>
  <c r="B2034" i="9"/>
  <c r="C2034" i="9"/>
  <c r="A2033" i="9"/>
  <c r="B2033" i="9"/>
  <c r="C2033" i="9"/>
  <c r="A2032" i="9"/>
  <c r="B2032" i="9"/>
  <c r="C2032" i="9"/>
  <c r="A2031" i="9"/>
  <c r="B2031" i="9"/>
  <c r="C2031" i="9"/>
  <c r="A2030" i="9"/>
  <c r="B2030" i="9"/>
  <c r="C2030" i="9"/>
  <c r="A2029" i="9"/>
  <c r="B2029" i="9"/>
  <c r="C2029" i="9"/>
  <c r="A2028" i="9"/>
  <c r="B2028" i="9"/>
  <c r="C2028" i="9"/>
  <c r="A2027" i="9"/>
  <c r="B2027" i="9"/>
  <c r="C2027" i="9"/>
  <c r="A2026" i="9"/>
  <c r="B2026" i="9"/>
  <c r="C2026" i="9"/>
  <c r="A2025" i="9"/>
  <c r="B2025" i="9"/>
  <c r="C2025" i="9"/>
  <c r="A2024" i="9"/>
  <c r="B2024" i="9"/>
  <c r="C2024" i="9"/>
  <c r="A2023" i="9"/>
  <c r="B2023" i="9"/>
  <c r="C2023" i="9"/>
  <c r="A2022" i="9"/>
  <c r="B2022" i="9"/>
  <c r="C2022" i="9"/>
  <c r="A2021" i="9"/>
  <c r="B2021" i="9"/>
  <c r="C2021" i="9"/>
  <c r="A2020" i="9"/>
  <c r="B2020" i="9"/>
  <c r="C2020" i="9"/>
  <c r="A2019" i="9"/>
  <c r="B2019" i="9"/>
  <c r="C2019" i="9"/>
  <c r="A2018" i="9"/>
  <c r="B2018" i="9"/>
  <c r="C2018" i="9"/>
  <c r="A2017" i="9"/>
  <c r="B2017" i="9"/>
  <c r="C2017" i="9"/>
  <c r="A2016" i="9"/>
  <c r="B2016" i="9"/>
  <c r="C2016" i="9"/>
  <c r="A2015" i="9"/>
  <c r="B2015" i="9"/>
  <c r="C2015" i="9"/>
  <c r="A2014" i="9"/>
  <c r="B2014" i="9"/>
  <c r="C2014" i="9"/>
  <c r="A2013" i="9"/>
  <c r="B2013" i="9"/>
  <c r="C2013" i="9"/>
  <c r="A2012" i="9"/>
  <c r="B2012" i="9"/>
  <c r="C2012" i="9"/>
  <c r="A2011" i="9"/>
  <c r="B2011" i="9"/>
  <c r="C2011" i="9"/>
  <c r="A2010" i="9"/>
  <c r="B2010" i="9"/>
  <c r="C2010" i="9"/>
  <c r="A2009" i="9"/>
  <c r="B2009" i="9"/>
  <c r="C2009" i="9"/>
  <c r="A2008" i="9"/>
  <c r="B2008" i="9"/>
  <c r="C2008" i="9"/>
  <c r="A2007" i="9"/>
  <c r="B2007" i="9"/>
  <c r="C2007" i="9"/>
  <c r="A2006" i="9"/>
  <c r="B2006" i="9"/>
  <c r="C2006" i="9"/>
  <c r="A2005" i="9"/>
  <c r="B2005" i="9"/>
  <c r="C2005" i="9"/>
  <c r="A2004" i="9"/>
  <c r="B2004" i="9"/>
  <c r="C2004" i="9"/>
  <c r="A2003" i="9"/>
  <c r="B2003" i="9"/>
  <c r="C2003" i="9"/>
  <c r="A2002" i="9"/>
  <c r="B2002" i="9"/>
  <c r="C2002" i="9"/>
  <c r="A2001" i="9"/>
  <c r="B2001" i="9"/>
  <c r="C2001" i="9"/>
  <c r="A2000" i="9"/>
  <c r="B2000" i="9"/>
  <c r="C2000" i="9"/>
  <c r="A1999" i="9"/>
  <c r="B1999" i="9"/>
  <c r="C1999" i="9"/>
  <c r="A1998" i="9"/>
  <c r="B1998" i="9"/>
  <c r="C1998" i="9"/>
  <c r="A1997" i="9"/>
  <c r="B1997" i="9"/>
  <c r="C1997" i="9"/>
  <c r="A1996" i="9"/>
  <c r="B1996" i="9"/>
  <c r="C1996" i="9"/>
  <c r="A1995" i="9"/>
  <c r="B1995" i="9"/>
  <c r="C1995" i="9"/>
  <c r="A1994" i="9"/>
  <c r="B1994" i="9"/>
  <c r="C1994" i="9"/>
  <c r="A1993" i="9"/>
  <c r="B1993" i="9"/>
  <c r="C1993" i="9"/>
  <c r="A1992" i="9"/>
  <c r="B1992" i="9"/>
  <c r="C1992" i="9"/>
  <c r="A1991" i="9"/>
  <c r="B1991" i="9"/>
  <c r="C1991" i="9"/>
  <c r="A1990" i="9"/>
  <c r="B1990" i="9"/>
  <c r="C1990" i="9"/>
  <c r="A1989" i="9"/>
  <c r="B1989" i="9"/>
  <c r="C1989" i="9"/>
  <c r="A1988" i="9"/>
  <c r="B1988" i="9"/>
  <c r="C1988" i="9"/>
  <c r="A1987" i="9"/>
  <c r="B1987" i="9"/>
  <c r="C1987" i="9"/>
  <c r="A1986" i="9"/>
  <c r="B1986" i="9"/>
  <c r="C1986" i="9"/>
  <c r="A1985" i="9"/>
  <c r="B1985" i="9"/>
  <c r="C1985" i="9"/>
  <c r="A1984" i="9"/>
  <c r="B1984" i="9"/>
  <c r="C1984" i="9"/>
  <c r="A1983" i="9"/>
  <c r="B1983" i="9"/>
  <c r="C1983" i="9"/>
  <c r="A1982" i="9"/>
  <c r="B1982" i="9"/>
  <c r="C1982" i="9"/>
  <c r="A1981" i="9"/>
  <c r="B1981" i="9"/>
  <c r="C1981" i="9"/>
  <c r="A1980" i="9"/>
  <c r="B1980" i="9"/>
  <c r="C1980" i="9"/>
  <c r="A1979" i="9"/>
  <c r="B1979" i="9"/>
  <c r="C1979" i="9"/>
  <c r="A1978" i="9"/>
  <c r="B1978" i="9"/>
  <c r="C1978" i="9"/>
  <c r="A1977" i="9"/>
  <c r="B1977" i="9"/>
  <c r="C1977" i="9"/>
  <c r="A1976" i="9"/>
  <c r="B1976" i="9"/>
  <c r="C1976" i="9"/>
  <c r="A1975" i="9"/>
  <c r="B1975" i="9"/>
  <c r="C1975" i="9"/>
  <c r="A1974" i="9"/>
  <c r="B1974" i="9"/>
  <c r="C1974" i="9"/>
  <c r="A1973" i="9"/>
  <c r="B1973" i="9"/>
  <c r="C1973" i="9"/>
  <c r="A1972" i="9"/>
  <c r="B1972" i="9"/>
  <c r="C1972" i="9"/>
  <c r="A1971" i="9"/>
  <c r="B1971" i="9"/>
  <c r="C1971" i="9"/>
  <c r="A1970" i="9"/>
  <c r="B1970" i="9"/>
  <c r="C1970" i="9"/>
  <c r="A1969" i="9"/>
  <c r="B1969" i="9"/>
  <c r="C1969" i="9"/>
  <c r="A1968" i="9"/>
  <c r="B1968" i="9"/>
  <c r="C1968" i="9"/>
  <c r="A1967" i="9"/>
  <c r="B1967" i="9"/>
  <c r="C1967" i="9"/>
  <c r="A1966" i="9"/>
  <c r="B1966" i="9"/>
  <c r="C1966" i="9"/>
  <c r="A1965" i="9"/>
  <c r="B1965" i="9"/>
  <c r="C1965" i="9"/>
  <c r="A1964" i="9"/>
  <c r="B1964" i="9"/>
  <c r="C1964" i="9"/>
  <c r="A1963" i="9"/>
  <c r="B1963" i="9"/>
  <c r="C1963" i="9"/>
  <c r="A1962" i="9"/>
  <c r="B1962" i="9"/>
  <c r="C1962" i="9"/>
  <c r="A1961" i="9"/>
  <c r="B1961" i="9"/>
  <c r="C1961" i="9"/>
  <c r="A1960" i="9"/>
  <c r="B1960" i="9"/>
  <c r="C1960" i="9"/>
  <c r="A1959" i="9"/>
  <c r="B1959" i="9"/>
  <c r="C1959" i="9"/>
  <c r="A1958" i="9"/>
  <c r="B1958" i="9"/>
  <c r="C1958" i="9"/>
  <c r="A1957" i="9"/>
  <c r="B1957" i="9"/>
  <c r="C1957" i="9"/>
  <c r="A1956" i="9"/>
  <c r="B1956" i="9"/>
  <c r="C1956" i="9"/>
  <c r="A1955" i="9"/>
  <c r="B1955" i="9"/>
  <c r="C1955" i="9"/>
  <c r="A1954" i="9"/>
  <c r="B1954" i="9"/>
  <c r="C1954" i="9"/>
  <c r="A1953" i="9"/>
  <c r="B1953" i="9"/>
  <c r="C1953" i="9"/>
  <c r="A1952" i="9"/>
  <c r="B1952" i="9"/>
  <c r="C1952" i="9"/>
  <c r="A1951" i="9"/>
  <c r="B1951" i="9"/>
  <c r="C1951" i="9"/>
  <c r="A1950" i="9"/>
  <c r="B1950" i="9"/>
  <c r="C1950" i="9"/>
  <c r="A1949" i="9"/>
  <c r="B1949" i="9"/>
  <c r="C1949" i="9"/>
  <c r="A1948" i="9"/>
  <c r="B1948" i="9"/>
  <c r="C1948" i="9"/>
  <c r="A1947" i="9"/>
  <c r="B1947" i="9"/>
  <c r="C1947" i="9"/>
  <c r="A1946" i="9"/>
  <c r="B1946" i="9"/>
  <c r="C1946" i="9"/>
  <c r="A1945" i="9"/>
  <c r="B1945" i="9"/>
  <c r="C1945" i="9"/>
  <c r="A1944" i="9"/>
  <c r="B1944" i="9"/>
  <c r="C1944" i="9"/>
  <c r="A1943" i="9"/>
  <c r="B1943" i="9"/>
  <c r="C1943" i="9"/>
  <c r="A1942" i="9"/>
  <c r="B1942" i="9"/>
  <c r="C1942" i="9"/>
  <c r="A1941" i="9"/>
  <c r="B1941" i="9"/>
  <c r="C1941" i="9"/>
  <c r="A1940" i="9"/>
  <c r="B1940" i="9"/>
  <c r="C1940" i="9"/>
  <c r="A1939" i="9"/>
  <c r="B1939" i="9"/>
  <c r="C1939" i="9"/>
  <c r="A1938" i="9"/>
  <c r="B1938" i="9"/>
  <c r="C1938" i="9"/>
  <c r="A1937" i="9"/>
  <c r="B1937" i="9"/>
  <c r="C1937" i="9"/>
  <c r="A1936" i="9"/>
  <c r="B1936" i="9"/>
  <c r="C1936" i="9"/>
  <c r="A1935" i="9"/>
  <c r="B1935" i="9"/>
  <c r="C1935" i="9"/>
  <c r="A1934" i="9"/>
  <c r="B1934" i="9"/>
  <c r="C1934" i="9"/>
  <c r="A1933" i="9"/>
  <c r="B1933" i="9"/>
  <c r="C1933" i="9"/>
  <c r="A1932" i="9"/>
  <c r="B1932" i="9"/>
  <c r="C1932" i="9"/>
  <c r="A1931" i="9"/>
  <c r="B1931" i="9"/>
  <c r="C1931" i="9"/>
  <c r="A1930" i="9"/>
  <c r="B1930" i="9"/>
  <c r="C1930" i="9"/>
  <c r="A1929" i="9"/>
  <c r="B1929" i="9"/>
  <c r="C1929" i="9"/>
  <c r="A1928" i="9"/>
  <c r="B1928" i="9"/>
  <c r="C1928" i="9"/>
  <c r="A1927" i="9"/>
  <c r="B1927" i="9"/>
  <c r="C1927" i="9"/>
  <c r="A1926" i="9"/>
  <c r="B1926" i="9"/>
  <c r="C1926" i="9"/>
  <c r="A1925" i="9"/>
  <c r="B1925" i="9"/>
  <c r="C1925" i="9"/>
  <c r="A1924" i="9"/>
  <c r="B1924" i="9"/>
  <c r="C1924" i="9"/>
  <c r="A1923" i="9"/>
  <c r="B1923" i="9"/>
  <c r="C1923" i="9"/>
  <c r="A1922" i="9"/>
  <c r="B1922" i="9"/>
  <c r="C1922" i="9"/>
  <c r="A1921" i="9"/>
  <c r="B1921" i="9"/>
  <c r="C1921" i="9"/>
  <c r="A1920" i="9"/>
  <c r="B1920" i="9"/>
  <c r="C1920" i="9"/>
  <c r="A1919" i="9"/>
  <c r="B1919" i="9"/>
  <c r="C1919" i="9"/>
  <c r="A1918" i="9"/>
  <c r="B1918" i="9"/>
  <c r="C1918" i="9"/>
  <c r="A1917" i="9"/>
  <c r="B1917" i="9"/>
  <c r="C1917" i="9"/>
  <c r="A1916" i="9"/>
  <c r="B1916" i="9"/>
  <c r="C1916" i="9"/>
  <c r="A1915" i="9"/>
  <c r="B1915" i="9"/>
  <c r="C1915" i="9"/>
  <c r="A1914" i="9"/>
  <c r="B1914" i="9"/>
  <c r="C1914" i="9"/>
  <c r="A1913" i="9"/>
  <c r="B1913" i="9"/>
  <c r="C1913" i="9"/>
  <c r="A1912" i="9"/>
  <c r="B1912" i="9"/>
  <c r="C1912" i="9"/>
  <c r="A1911" i="9"/>
  <c r="B1911" i="9"/>
  <c r="C1911" i="9"/>
  <c r="A1910" i="9"/>
  <c r="B1910" i="9"/>
  <c r="C1910" i="9"/>
  <c r="A1909" i="9"/>
  <c r="B1909" i="9"/>
  <c r="C1909" i="9"/>
  <c r="A1908" i="9"/>
  <c r="B1908" i="9"/>
  <c r="C1908" i="9"/>
  <c r="A1907" i="9"/>
  <c r="B1907" i="9"/>
  <c r="C1907" i="9"/>
  <c r="A1906" i="9"/>
  <c r="B1906" i="9"/>
  <c r="C1906" i="9"/>
  <c r="A1905" i="9"/>
  <c r="B1905" i="9"/>
  <c r="C1905" i="9"/>
  <c r="A1904" i="9"/>
  <c r="B1904" i="9"/>
  <c r="C1904" i="9"/>
  <c r="A1903" i="9"/>
  <c r="B1903" i="9"/>
  <c r="C1903" i="9"/>
  <c r="A1902" i="9"/>
  <c r="B1902" i="9"/>
  <c r="C1902" i="9"/>
  <c r="A1901" i="9"/>
  <c r="B1901" i="9"/>
  <c r="C1901" i="9"/>
  <c r="A1900" i="9"/>
  <c r="B1900" i="9"/>
  <c r="C1900" i="9"/>
  <c r="A1899" i="9"/>
  <c r="B1899" i="9"/>
  <c r="C1899" i="9"/>
  <c r="A1898" i="9"/>
  <c r="B1898" i="9"/>
  <c r="C1898" i="9"/>
  <c r="A1897" i="9"/>
  <c r="B1897" i="9"/>
  <c r="C1897" i="9"/>
  <c r="A1896" i="9"/>
  <c r="B1896" i="9"/>
  <c r="C1896" i="9"/>
  <c r="A1895" i="9"/>
  <c r="B1895" i="9"/>
  <c r="C1895" i="9"/>
  <c r="A1894" i="9"/>
  <c r="B1894" i="9"/>
  <c r="C1894" i="9"/>
  <c r="A1893" i="9"/>
  <c r="B1893" i="9"/>
  <c r="C1893" i="9"/>
  <c r="A1892" i="9"/>
  <c r="B1892" i="9"/>
  <c r="C1892" i="9"/>
  <c r="A1891" i="9"/>
  <c r="B1891" i="9"/>
  <c r="C1891" i="9"/>
  <c r="A1890" i="9"/>
  <c r="B1890" i="9"/>
  <c r="C1890" i="9"/>
  <c r="A1889" i="9"/>
  <c r="B1889" i="9"/>
  <c r="C1889" i="9"/>
  <c r="A1888" i="9"/>
  <c r="B1888" i="9"/>
  <c r="C1888" i="9"/>
  <c r="A1887" i="9"/>
  <c r="B1887" i="9"/>
  <c r="C1887" i="9"/>
  <c r="A1886" i="9"/>
  <c r="B1886" i="9"/>
  <c r="C1886" i="9"/>
  <c r="A1885" i="9"/>
  <c r="B1885" i="9"/>
  <c r="C1885" i="9"/>
  <c r="A1884" i="9"/>
  <c r="B1884" i="9"/>
  <c r="C1884" i="9"/>
  <c r="A1883" i="9"/>
  <c r="B1883" i="9"/>
  <c r="C1883" i="9"/>
  <c r="A1882" i="9"/>
  <c r="B1882" i="9"/>
  <c r="C1882" i="9"/>
  <c r="A1881" i="9"/>
  <c r="B1881" i="9"/>
  <c r="C1881" i="9"/>
  <c r="A1880" i="9"/>
  <c r="B1880" i="9"/>
  <c r="C1880" i="9"/>
  <c r="A1879" i="9"/>
  <c r="B1879" i="9"/>
  <c r="C1879" i="9"/>
  <c r="A1878" i="9"/>
  <c r="B1878" i="9"/>
  <c r="C1878" i="9"/>
  <c r="A1877" i="9"/>
  <c r="B1877" i="9"/>
  <c r="C1877" i="9"/>
  <c r="A1876" i="9"/>
  <c r="B1876" i="9"/>
  <c r="C1876" i="9"/>
  <c r="A1875" i="9"/>
  <c r="B1875" i="9"/>
  <c r="C1875" i="9"/>
  <c r="A1874" i="9"/>
  <c r="B1874" i="9"/>
  <c r="C1874" i="9"/>
  <c r="A1873" i="9"/>
  <c r="B1873" i="9"/>
  <c r="C1873" i="9"/>
  <c r="A1872" i="9"/>
  <c r="B1872" i="9"/>
  <c r="C1872" i="9"/>
  <c r="A1871" i="9"/>
  <c r="B1871" i="9"/>
  <c r="C1871" i="9"/>
  <c r="A1870" i="9"/>
  <c r="B1870" i="9"/>
  <c r="C1870" i="9"/>
  <c r="A1869" i="9"/>
  <c r="B1869" i="9"/>
  <c r="C1869" i="9"/>
  <c r="A1868" i="9"/>
  <c r="B1868" i="9"/>
  <c r="C1868" i="9"/>
  <c r="A1867" i="9"/>
  <c r="B1867" i="9"/>
  <c r="C1867" i="9"/>
  <c r="A1866" i="9"/>
  <c r="B1866" i="9"/>
  <c r="C1866" i="9"/>
  <c r="A1865" i="9"/>
  <c r="B1865" i="9"/>
  <c r="C1865" i="9"/>
  <c r="A1864" i="9"/>
  <c r="B1864" i="9"/>
  <c r="C1864" i="9"/>
  <c r="A1863" i="9"/>
  <c r="B1863" i="9"/>
  <c r="C1863" i="9"/>
  <c r="A1862" i="9"/>
  <c r="B1862" i="9"/>
  <c r="C1862" i="9"/>
  <c r="A1861" i="9"/>
  <c r="B1861" i="9"/>
  <c r="C1861" i="9"/>
  <c r="A1860" i="9"/>
  <c r="B1860" i="9"/>
  <c r="C1860" i="9"/>
  <c r="A1859" i="9"/>
  <c r="B1859" i="9"/>
  <c r="C1859" i="9"/>
  <c r="A1858" i="9"/>
  <c r="B1858" i="9"/>
  <c r="C1858" i="9"/>
  <c r="A1857" i="9"/>
  <c r="B1857" i="9"/>
  <c r="C1857" i="9"/>
  <c r="A1856" i="9"/>
  <c r="B1856" i="9"/>
  <c r="C1856" i="9"/>
  <c r="A1855" i="9"/>
  <c r="B1855" i="9"/>
  <c r="C1855" i="9"/>
  <c r="A1854" i="9"/>
  <c r="B1854" i="9"/>
  <c r="C1854" i="9"/>
  <c r="A1853" i="9"/>
  <c r="B1853" i="9"/>
  <c r="C1853" i="9"/>
  <c r="A1852" i="9"/>
  <c r="B1852" i="9"/>
  <c r="C1852" i="9"/>
  <c r="A1851" i="9"/>
  <c r="B1851" i="9"/>
  <c r="C1851" i="9"/>
  <c r="A1850" i="9"/>
  <c r="B1850" i="9"/>
  <c r="C1850" i="9"/>
  <c r="A1849" i="9"/>
  <c r="B1849" i="9"/>
  <c r="C1849" i="9"/>
  <c r="A1848" i="9"/>
  <c r="B1848" i="9"/>
  <c r="C1848" i="9"/>
  <c r="A1847" i="9"/>
  <c r="B1847" i="9"/>
  <c r="C1847" i="9"/>
  <c r="A1846" i="9"/>
  <c r="B1846" i="9"/>
  <c r="C1846" i="9"/>
  <c r="A1845" i="9"/>
  <c r="B1845" i="9"/>
  <c r="C1845" i="9"/>
  <c r="A1844" i="9"/>
  <c r="B1844" i="9"/>
  <c r="C1844" i="9"/>
  <c r="A1843" i="9"/>
  <c r="B1843" i="9"/>
  <c r="C1843" i="9"/>
  <c r="A1842" i="9"/>
  <c r="B1842" i="9"/>
  <c r="C1842" i="9"/>
  <c r="A1841" i="9"/>
  <c r="B1841" i="9"/>
  <c r="C1841" i="9"/>
  <c r="A1840" i="9"/>
  <c r="B1840" i="9"/>
  <c r="C1840" i="9"/>
  <c r="A1839" i="9"/>
  <c r="B1839" i="9"/>
  <c r="C1839" i="9"/>
  <c r="A1838" i="9"/>
  <c r="B1838" i="9"/>
  <c r="C1838" i="9"/>
  <c r="A1837" i="9"/>
  <c r="B1837" i="9"/>
  <c r="C1837" i="9"/>
  <c r="A1836" i="9"/>
  <c r="B1836" i="9"/>
  <c r="C1836" i="9"/>
  <c r="A1835" i="9"/>
  <c r="B1835" i="9"/>
  <c r="C1835" i="9"/>
  <c r="A1834" i="9"/>
  <c r="B1834" i="9"/>
  <c r="C1834" i="9"/>
  <c r="A1833" i="9"/>
  <c r="B1833" i="9"/>
  <c r="C1833" i="9"/>
  <c r="A1832" i="9"/>
  <c r="B1832" i="9"/>
  <c r="C1832" i="9"/>
  <c r="A1831" i="9"/>
  <c r="B1831" i="9"/>
  <c r="C1831" i="9"/>
  <c r="A1830" i="9"/>
  <c r="B1830" i="9"/>
  <c r="C1830" i="9"/>
  <c r="A1829" i="9"/>
  <c r="B1829" i="9"/>
  <c r="C1829" i="9"/>
  <c r="A1828" i="9"/>
  <c r="B1828" i="9"/>
  <c r="C1828" i="9"/>
  <c r="A1827" i="9"/>
  <c r="B1827" i="9"/>
  <c r="C1827" i="9"/>
  <c r="A1826" i="9"/>
  <c r="B1826" i="9"/>
  <c r="C1826" i="9"/>
  <c r="A1825" i="9"/>
  <c r="B1825" i="9"/>
  <c r="C1825" i="9"/>
  <c r="A1824" i="9"/>
  <c r="B1824" i="9"/>
  <c r="C1824" i="9"/>
  <c r="A1823" i="9"/>
  <c r="B1823" i="9"/>
  <c r="C1823" i="9"/>
  <c r="A1822" i="9"/>
  <c r="B1822" i="9"/>
  <c r="C1822" i="9"/>
  <c r="A1821" i="9"/>
  <c r="B1821" i="9"/>
  <c r="C1821" i="9"/>
  <c r="A1820" i="9"/>
  <c r="B1820" i="9"/>
  <c r="C1820" i="9"/>
  <c r="A1819" i="9"/>
  <c r="B1819" i="9"/>
  <c r="C1819" i="9"/>
  <c r="A1818" i="9"/>
  <c r="B1818" i="9"/>
  <c r="C1818" i="9"/>
  <c r="A1817" i="9"/>
  <c r="B1817" i="9"/>
  <c r="C1817" i="9"/>
  <c r="A1816" i="9"/>
  <c r="B1816" i="9"/>
  <c r="C1816" i="9"/>
  <c r="A1815" i="9"/>
  <c r="B1815" i="9"/>
  <c r="C1815" i="9"/>
  <c r="A1814" i="9"/>
  <c r="B1814" i="9"/>
  <c r="C1814" i="9"/>
  <c r="A1813" i="9"/>
  <c r="B1813" i="9"/>
  <c r="C1813" i="9"/>
  <c r="A1812" i="9"/>
  <c r="B1812" i="9"/>
  <c r="C1812" i="9"/>
  <c r="A1811" i="9"/>
  <c r="B1811" i="9"/>
  <c r="C1811" i="9"/>
  <c r="A1810" i="9"/>
  <c r="B1810" i="9"/>
  <c r="C1810" i="9"/>
  <c r="A1809" i="9"/>
  <c r="B1809" i="9"/>
  <c r="C1809" i="9"/>
  <c r="A1808" i="9"/>
  <c r="B1808" i="9"/>
  <c r="C1808" i="9"/>
  <c r="A1807" i="9"/>
  <c r="B1807" i="9"/>
  <c r="C1807" i="9"/>
  <c r="A1806" i="9"/>
  <c r="B1806" i="9"/>
  <c r="C1806" i="9"/>
  <c r="A1805" i="9"/>
  <c r="B1805" i="9"/>
  <c r="C1805" i="9"/>
  <c r="A1804" i="9"/>
  <c r="B1804" i="9"/>
  <c r="C1804" i="9"/>
  <c r="A1803" i="9"/>
  <c r="B1803" i="9"/>
  <c r="C1803" i="9"/>
  <c r="A1802" i="9"/>
  <c r="B1802" i="9"/>
  <c r="C1802" i="9"/>
  <c r="A1801" i="9"/>
  <c r="B1801" i="9"/>
  <c r="C1801" i="9"/>
  <c r="A1800" i="9"/>
  <c r="B1800" i="9"/>
  <c r="C1800" i="9"/>
  <c r="A1799" i="9"/>
  <c r="B1799" i="9"/>
  <c r="C1799" i="9"/>
  <c r="A1798" i="9"/>
  <c r="B1798" i="9"/>
  <c r="C1798" i="9"/>
  <c r="A1797" i="9"/>
  <c r="B1797" i="9"/>
  <c r="C1797" i="9"/>
  <c r="A1796" i="9"/>
  <c r="B1796" i="9"/>
  <c r="C1796" i="9"/>
  <c r="A1795" i="9"/>
  <c r="B1795" i="9"/>
  <c r="C1795" i="9"/>
  <c r="A1794" i="9"/>
  <c r="B1794" i="9"/>
  <c r="C1794" i="9"/>
  <c r="A1793" i="9"/>
  <c r="B1793" i="9"/>
  <c r="C1793" i="9"/>
  <c r="A1792" i="9"/>
  <c r="B1792" i="9"/>
  <c r="C1792" i="9"/>
  <c r="A1791" i="9"/>
  <c r="B1791" i="9"/>
  <c r="C1791" i="9"/>
  <c r="A1790" i="9"/>
  <c r="B1790" i="9"/>
  <c r="C1790" i="9"/>
  <c r="A1789" i="9"/>
  <c r="B1789" i="9"/>
  <c r="C1789" i="9"/>
  <c r="A1788" i="9"/>
  <c r="B1788" i="9"/>
  <c r="C1788" i="9"/>
  <c r="A1787" i="9"/>
  <c r="B1787" i="9"/>
  <c r="C1787" i="9"/>
  <c r="A1786" i="9"/>
  <c r="B1786" i="9"/>
  <c r="C1786" i="9"/>
  <c r="A1785" i="9"/>
  <c r="B1785" i="9"/>
  <c r="C1785" i="9"/>
  <c r="A1784" i="9"/>
  <c r="B1784" i="9"/>
  <c r="C1784" i="9"/>
  <c r="A1783" i="9"/>
  <c r="B1783" i="9"/>
  <c r="C1783" i="9"/>
  <c r="A1782" i="9"/>
  <c r="B1782" i="9"/>
  <c r="C1782" i="9"/>
  <c r="A1781" i="9"/>
  <c r="B1781" i="9"/>
  <c r="C1781" i="9"/>
  <c r="A1780" i="9"/>
  <c r="B1780" i="9"/>
  <c r="C1780" i="9"/>
  <c r="A1779" i="9"/>
  <c r="B1779" i="9"/>
  <c r="C1779" i="9"/>
  <c r="A1778" i="9"/>
  <c r="B1778" i="9"/>
  <c r="C1778" i="9"/>
  <c r="A1777" i="9"/>
  <c r="B1777" i="9"/>
  <c r="C1777" i="9"/>
  <c r="A1776" i="9"/>
  <c r="B1776" i="9"/>
  <c r="C1776" i="9"/>
  <c r="A1775" i="9"/>
  <c r="B1775" i="9"/>
  <c r="C1775" i="9"/>
  <c r="A1774" i="9"/>
  <c r="B1774" i="9"/>
  <c r="C1774" i="9"/>
  <c r="A1773" i="9"/>
  <c r="B1773" i="9"/>
  <c r="C1773" i="9"/>
  <c r="A1772" i="9"/>
  <c r="B1772" i="9"/>
  <c r="C1772" i="9"/>
  <c r="A1771" i="9"/>
  <c r="B1771" i="9"/>
  <c r="C1771" i="9"/>
  <c r="A1770" i="9"/>
  <c r="B1770" i="9"/>
  <c r="C1770" i="9"/>
  <c r="A1769" i="9"/>
  <c r="B1769" i="9"/>
  <c r="C1769" i="9"/>
  <c r="A1768" i="9"/>
  <c r="B1768" i="9"/>
  <c r="C1768" i="9"/>
  <c r="A1767" i="9"/>
  <c r="B1767" i="9"/>
  <c r="C1767" i="9"/>
  <c r="A1766" i="9"/>
  <c r="B1766" i="9"/>
  <c r="C1766" i="9"/>
  <c r="A1765" i="9"/>
  <c r="B1765" i="9"/>
  <c r="C1765" i="9"/>
  <c r="A1764" i="9"/>
  <c r="B1764" i="9"/>
  <c r="C1764" i="9"/>
  <c r="A1763" i="9"/>
  <c r="B1763" i="9"/>
  <c r="C1763" i="9"/>
  <c r="A1762" i="9"/>
  <c r="B1762" i="9"/>
  <c r="C1762" i="9"/>
  <c r="A1761" i="9"/>
  <c r="B1761" i="9"/>
  <c r="C1761" i="9"/>
  <c r="A1760" i="9"/>
  <c r="B1760" i="9"/>
  <c r="C1760" i="9"/>
  <c r="A1759" i="9"/>
  <c r="B1759" i="9"/>
  <c r="C1759" i="9"/>
  <c r="A1758" i="9"/>
  <c r="B1758" i="9"/>
  <c r="C1758" i="9"/>
  <c r="A1757" i="9"/>
  <c r="B1757" i="9"/>
  <c r="C1757" i="9"/>
  <c r="A1756" i="9"/>
  <c r="B1756" i="9"/>
  <c r="C1756" i="9"/>
  <c r="A1755" i="9"/>
  <c r="B1755" i="9"/>
  <c r="C1755" i="9"/>
  <c r="A1754" i="9"/>
  <c r="B1754" i="9"/>
  <c r="C1754" i="9"/>
  <c r="A1753" i="9"/>
  <c r="B1753" i="9"/>
  <c r="C1753" i="9"/>
  <c r="A1752" i="9"/>
  <c r="B1752" i="9"/>
  <c r="C1752" i="9"/>
  <c r="A1751" i="9"/>
  <c r="B1751" i="9"/>
  <c r="C1751" i="9"/>
  <c r="A1750" i="9"/>
  <c r="B1750" i="9"/>
  <c r="C1750" i="9"/>
  <c r="A1749" i="9"/>
  <c r="B1749" i="9"/>
  <c r="C1749" i="9"/>
  <c r="A1748" i="9"/>
  <c r="B1748" i="9"/>
  <c r="C1748" i="9"/>
  <c r="A1747" i="9"/>
  <c r="B1747" i="9"/>
  <c r="C1747" i="9"/>
  <c r="A1746" i="9"/>
  <c r="B1746" i="9"/>
  <c r="C1746" i="9"/>
  <c r="A1745" i="9"/>
  <c r="B1745" i="9"/>
  <c r="C1745" i="9"/>
  <c r="A1744" i="9"/>
  <c r="B1744" i="9"/>
  <c r="C1744" i="9"/>
  <c r="A1743" i="9"/>
  <c r="B1743" i="9"/>
  <c r="C1743" i="9"/>
  <c r="A1742" i="9"/>
  <c r="B1742" i="9"/>
  <c r="C1742" i="9"/>
  <c r="A1741" i="9"/>
  <c r="B1741" i="9"/>
  <c r="C1741" i="9"/>
  <c r="A1740" i="9"/>
  <c r="B1740" i="9"/>
  <c r="C1740" i="9"/>
  <c r="A1739" i="9"/>
  <c r="B1739" i="9"/>
  <c r="C1739" i="9"/>
  <c r="A1738" i="9"/>
  <c r="B1738" i="9"/>
  <c r="C1738" i="9"/>
  <c r="A1737" i="9"/>
  <c r="B1737" i="9"/>
  <c r="C1737" i="9"/>
  <c r="A1736" i="9"/>
  <c r="B1736" i="9"/>
  <c r="C1736" i="9"/>
  <c r="A1735" i="9"/>
  <c r="B1735" i="9"/>
  <c r="C1735" i="9"/>
  <c r="A1734" i="9"/>
  <c r="B1734" i="9"/>
  <c r="C1734" i="9"/>
  <c r="A1733" i="9"/>
  <c r="B1733" i="9"/>
  <c r="C1733" i="9"/>
  <c r="A1732" i="9"/>
  <c r="B1732" i="9"/>
  <c r="C1732" i="9"/>
  <c r="A1731" i="9"/>
  <c r="B1731" i="9"/>
  <c r="C1731" i="9"/>
  <c r="A1730" i="9"/>
  <c r="B1730" i="9"/>
  <c r="C1730" i="9"/>
  <c r="A1729" i="9"/>
  <c r="B1729" i="9"/>
  <c r="C1729" i="9"/>
  <c r="A1728" i="9"/>
  <c r="B1728" i="9"/>
  <c r="C1728" i="9"/>
  <c r="A1727" i="9"/>
  <c r="B1727" i="9"/>
  <c r="C1727" i="9"/>
  <c r="A1726" i="9"/>
  <c r="B1726" i="9"/>
  <c r="C1726" i="9"/>
  <c r="A1725" i="9"/>
  <c r="B1725" i="9"/>
  <c r="C1725" i="9"/>
  <c r="A1724" i="9"/>
  <c r="B1724" i="9"/>
  <c r="C1724" i="9"/>
  <c r="A1723" i="9"/>
  <c r="B1723" i="9"/>
  <c r="C1723" i="9"/>
  <c r="A1722" i="9"/>
  <c r="B1722" i="9"/>
  <c r="C1722" i="9"/>
  <c r="A1721" i="9"/>
  <c r="B1721" i="9"/>
  <c r="C1721" i="9"/>
  <c r="A1720" i="9"/>
  <c r="B1720" i="9"/>
  <c r="C1720" i="9"/>
  <c r="A1719" i="9"/>
  <c r="B1719" i="9"/>
  <c r="C1719" i="9"/>
  <c r="A1718" i="9"/>
  <c r="B1718" i="9"/>
  <c r="C1718" i="9"/>
  <c r="A1717" i="9"/>
  <c r="B1717" i="9"/>
  <c r="C1717" i="9"/>
  <c r="A1716" i="9"/>
  <c r="B1716" i="9"/>
  <c r="C1716" i="9"/>
  <c r="A1715" i="9"/>
  <c r="B1715" i="9"/>
  <c r="C1715" i="9"/>
  <c r="A1714" i="9"/>
  <c r="B1714" i="9"/>
  <c r="C1714" i="9"/>
  <c r="A1712" i="9"/>
  <c r="B1712" i="9"/>
  <c r="C1712" i="9"/>
  <c r="A1711" i="9"/>
  <c r="B1711" i="9"/>
  <c r="C1711" i="9"/>
  <c r="A1710" i="9"/>
  <c r="B1710" i="9"/>
  <c r="C1710" i="9"/>
  <c r="A1709" i="9"/>
  <c r="B1709" i="9"/>
  <c r="C1709" i="9"/>
  <c r="A1708" i="9"/>
  <c r="B1708" i="9"/>
  <c r="C1708" i="9"/>
  <c r="A1707" i="9"/>
  <c r="B1707" i="9"/>
  <c r="C1707" i="9"/>
  <c r="A1706" i="9"/>
  <c r="B1706" i="9"/>
  <c r="C1706" i="9"/>
  <c r="A1705" i="9"/>
  <c r="B1705" i="9"/>
  <c r="C1705" i="9"/>
  <c r="A1704" i="9"/>
  <c r="B1704" i="9"/>
  <c r="C1704" i="9"/>
  <c r="A1703" i="9"/>
  <c r="B1703" i="9"/>
  <c r="C1703" i="9"/>
  <c r="A1702" i="9"/>
  <c r="B1702" i="9"/>
  <c r="C1702" i="9"/>
  <c r="A1701" i="9"/>
  <c r="B1701" i="9"/>
  <c r="C1701" i="9"/>
  <c r="A1700" i="9"/>
  <c r="B1700" i="9"/>
  <c r="C1700" i="9"/>
  <c r="A1699" i="9"/>
  <c r="B1699" i="9"/>
  <c r="C1699" i="9"/>
  <c r="A1698" i="9"/>
  <c r="B1698" i="9"/>
  <c r="C1698" i="9"/>
  <c r="A1697" i="9"/>
  <c r="B1697" i="9"/>
  <c r="C1697" i="9"/>
  <c r="A1696" i="9"/>
  <c r="B1696" i="9"/>
  <c r="C1696" i="9"/>
  <c r="A1695" i="9"/>
  <c r="B1695" i="9"/>
  <c r="C1695" i="9"/>
  <c r="A1694" i="9"/>
  <c r="B1694" i="9"/>
  <c r="C1694" i="9"/>
  <c r="A1693" i="9"/>
  <c r="B1693" i="9"/>
  <c r="C1693" i="9"/>
  <c r="A1692" i="9"/>
  <c r="B1692" i="9"/>
  <c r="C1692" i="9"/>
  <c r="A1691" i="9"/>
  <c r="B1691" i="9"/>
  <c r="C1691" i="9"/>
  <c r="A1690" i="9"/>
  <c r="B1690" i="9"/>
  <c r="C1690" i="9"/>
  <c r="A1689" i="9"/>
  <c r="B1689" i="9"/>
  <c r="C1689" i="9"/>
  <c r="A1688" i="9"/>
  <c r="B1688" i="9"/>
  <c r="C1688" i="9"/>
  <c r="A1687" i="9"/>
  <c r="B1687" i="9"/>
  <c r="C1687" i="9"/>
  <c r="A1686" i="9"/>
  <c r="B1686" i="9"/>
  <c r="C1686" i="9"/>
  <c r="A1685" i="9"/>
  <c r="B1685" i="9"/>
  <c r="C1685" i="9"/>
  <c r="A1684" i="9"/>
  <c r="B1684" i="9"/>
  <c r="C1684" i="9"/>
  <c r="A1683" i="9"/>
  <c r="B1683" i="9"/>
  <c r="C1683" i="9"/>
  <c r="A1682" i="9"/>
  <c r="B1682" i="9"/>
  <c r="C1682" i="9"/>
  <c r="A1681" i="9"/>
  <c r="B1681" i="9"/>
  <c r="C1681" i="9"/>
  <c r="A1680" i="9"/>
  <c r="B1680" i="9"/>
  <c r="C1680" i="9"/>
  <c r="A1679" i="9"/>
  <c r="B1679" i="9"/>
  <c r="C1679" i="9"/>
  <c r="A1678" i="9"/>
  <c r="B1678" i="9"/>
  <c r="C1678" i="9"/>
  <c r="A1677" i="9"/>
  <c r="B1677" i="9"/>
  <c r="C1677" i="9"/>
  <c r="A1676" i="9"/>
  <c r="B1676" i="9"/>
  <c r="C1676" i="9"/>
  <c r="A1675" i="9"/>
  <c r="B1675" i="9"/>
  <c r="C1675" i="9"/>
  <c r="A1674" i="9"/>
  <c r="B1674" i="9"/>
  <c r="C1674" i="9"/>
  <c r="A1673" i="9"/>
  <c r="B1673" i="9"/>
  <c r="C1673" i="9"/>
  <c r="A1672" i="9"/>
  <c r="B1672" i="9"/>
  <c r="C1672" i="9"/>
  <c r="A1671" i="9"/>
  <c r="B1671" i="9"/>
  <c r="C1671" i="9"/>
  <c r="A1670" i="9"/>
  <c r="B1670" i="9"/>
  <c r="C1670" i="9"/>
  <c r="A1669" i="9"/>
  <c r="B1669" i="9"/>
  <c r="C1669" i="9"/>
  <c r="A1668" i="9"/>
  <c r="B1668" i="9"/>
  <c r="C1668" i="9"/>
  <c r="A1667" i="9"/>
  <c r="B1667" i="9"/>
  <c r="C1667" i="9"/>
  <c r="A1666" i="9"/>
  <c r="B1666" i="9"/>
  <c r="C1666" i="9"/>
  <c r="A1665" i="9"/>
  <c r="B1665" i="9"/>
  <c r="C1665" i="9"/>
  <c r="A1664" i="9"/>
  <c r="B1664" i="9"/>
  <c r="C1664" i="9"/>
  <c r="A1663" i="9"/>
  <c r="B1663" i="9"/>
  <c r="C1663" i="9"/>
  <c r="A1662" i="9"/>
  <c r="B1662" i="9"/>
  <c r="C1662" i="9"/>
  <c r="A1661" i="9"/>
  <c r="B1661" i="9"/>
  <c r="C1661" i="9"/>
  <c r="A1660" i="9"/>
  <c r="B1660" i="9"/>
  <c r="C1660" i="9"/>
  <c r="A1659" i="9"/>
  <c r="B1659" i="9"/>
  <c r="C1659" i="9"/>
  <c r="A1658" i="9"/>
  <c r="B1658" i="9"/>
  <c r="C1658" i="9"/>
  <c r="A1657" i="9"/>
  <c r="B1657" i="9"/>
  <c r="C1657" i="9"/>
  <c r="A1656" i="9"/>
  <c r="B1656" i="9"/>
  <c r="C1656" i="9"/>
  <c r="A1655" i="9"/>
  <c r="B1655" i="9"/>
  <c r="C1655" i="9"/>
  <c r="A1654" i="9"/>
  <c r="B1654" i="9"/>
  <c r="C1654" i="9"/>
  <c r="A1653" i="9"/>
  <c r="B1653" i="9"/>
  <c r="C1653" i="9"/>
  <c r="A1652" i="9"/>
  <c r="B1652" i="9"/>
  <c r="C1652" i="9"/>
  <c r="A1651" i="9"/>
  <c r="B1651" i="9"/>
  <c r="C1651" i="9"/>
  <c r="A1650" i="9"/>
  <c r="B1650" i="9"/>
  <c r="C1650" i="9"/>
  <c r="A1649" i="9"/>
  <c r="B1649" i="9"/>
  <c r="C1649" i="9"/>
  <c r="A1648" i="9"/>
  <c r="B1648" i="9"/>
  <c r="C1648" i="9"/>
  <c r="A1647" i="9"/>
  <c r="B1647" i="9"/>
  <c r="C1647" i="9"/>
  <c r="A1646" i="9"/>
  <c r="B1646" i="9"/>
  <c r="C1646" i="9"/>
  <c r="A1645" i="9"/>
  <c r="B1645" i="9"/>
  <c r="C1645" i="9"/>
  <c r="A1644" i="9"/>
  <c r="B1644" i="9"/>
  <c r="C1644" i="9"/>
  <c r="A1643" i="9"/>
  <c r="B1643" i="9"/>
  <c r="C1643" i="9"/>
  <c r="A1642" i="9"/>
  <c r="B1642" i="9"/>
  <c r="C1642" i="9"/>
  <c r="A1641" i="9"/>
  <c r="B1641" i="9"/>
  <c r="C1641" i="9"/>
  <c r="A1640" i="9"/>
  <c r="B1640" i="9"/>
  <c r="C1640" i="9"/>
  <c r="A1639" i="9"/>
  <c r="B1639" i="9"/>
  <c r="C1639" i="9"/>
  <c r="A1638" i="9"/>
  <c r="B1638" i="9"/>
  <c r="C1638" i="9"/>
  <c r="A1637" i="9"/>
  <c r="B1637" i="9"/>
  <c r="C1637" i="9"/>
  <c r="A1636" i="9"/>
  <c r="B1636" i="9"/>
  <c r="C1636" i="9"/>
  <c r="A1635" i="9"/>
  <c r="B1635" i="9"/>
  <c r="C1635" i="9"/>
  <c r="A1634" i="9"/>
  <c r="B1634" i="9"/>
  <c r="C1634" i="9"/>
  <c r="A1633" i="9"/>
  <c r="B1633" i="9"/>
  <c r="C1633" i="9"/>
  <c r="A1632" i="9"/>
  <c r="B1632" i="9"/>
  <c r="C1632" i="9"/>
  <c r="A1631" i="9"/>
  <c r="B1631" i="9"/>
  <c r="C1631" i="9"/>
  <c r="A1630" i="9"/>
  <c r="B1630" i="9"/>
  <c r="C1630" i="9"/>
  <c r="A1629" i="9"/>
  <c r="B1629" i="9"/>
  <c r="C1629" i="9"/>
  <c r="A1628" i="9"/>
  <c r="B1628" i="9"/>
  <c r="C1628" i="9"/>
  <c r="A1627" i="9"/>
  <c r="B1627" i="9"/>
  <c r="C1627" i="9"/>
  <c r="A1626" i="9"/>
  <c r="B1626" i="9"/>
  <c r="C1626" i="9"/>
  <c r="A1625" i="9"/>
  <c r="B1625" i="9"/>
  <c r="C1625" i="9"/>
  <c r="A1624" i="9"/>
  <c r="B1624" i="9"/>
  <c r="C1624" i="9"/>
  <c r="A1623" i="9"/>
  <c r="B1623" i="9"/>
  <c r="C1623" i="9"/>
  <c r="A1622" i="9"/>
  <c r="B1622" i="9"/>
  <c r="C1622" i="9"/>
  <c r="A1621" i="9"/>
  <c r="B1621" i="9"/>
  <c r="C1621" i="9"/>
  <c r="A1620" i="9"/>
  <c r="B1620" i="9"/>
  <c r="C1620" i="9"/>
  <c r="A1619" i="9"/>
  <c r="B1619" i="9"/>
  <c r="C1619" i="9"/>
  <c r="A1618" i="9"/>
  <c r="B1618" i="9"/>
  <c r="C1618" i="9"/>
  <c r="A1617" i="9"/>
  <c r="B1617" i="9"/>
  <c r="C1617" i="9"/>
  <c r="A1616" i="9"/>
  <c r="B1616" i="9"/>
  <c r="C1616" i="9"/>
  <c r="A1615" i="9"/>
  <c r="B1615" i="9"/>
  <c r="C1615" i="9"/>
  <c r="A1614" i="9"/>
  <c r="B1614" i="9"/>
  <c r="C1614" i="9"/>
  <c r="A1613" i="9"/>
  <c r="B1613" i="9"/>
  <c r="C1613" i="9"/>
  <c r="A1612" i="9"/>
  <c r="B1612" i="9"/>
  <c r="C1612" i="9"/>
  <c r="A1611" i="9"/>
  <c r="B1611" i="9"/>
  <c r="C1611" i="9"/>
  <c r="A1610" i="9"/>
  <c r="B1610" i="9"/>
  <c r="C1610" i="9"/>
  <c r="A1609" i="9"/>
  <c r="B1609" i="9"/>
  <c r="C1609" i="9"/>
  <c r="A1608" i="9"/>
  <c r="B1608" i="9"/>
  <c r="C1608" i="9"/>
  <c r="A1607" i="9"/>
  <c r="B1607" i="9"/>
  <c r="C1607" i="9"/>
  <c r="A1606" i="9"/>
  <c r="B1606" i="9"/>
  <c r="C1606" i="9"/>
  <c r="A1605" i="9"/>
  <c r="B1605" i="9"/>
  <c r="C1605" i="9"/>
  <c r="A1604" i="9"/>
  <c r="B1604" i="9"/>
  <c r="C1604" i="9"/>
  <c r="A1603" i="9"/>
  <c r="B1603" i="9"/>
  <c r="C1603" i="9"/>
  <c r="A1602" i="9"/>
  <c r="B1602" i="9"/>
  <c r="C1602" i="9"/>
  <c r="A1601" i="9"/>
  <c r="B1601" i="9"/>
  <c r="C1601" i="9"/>
  <c r="A1600" i="9"/>
  <c r="B1600" i="9"/>
  <c r="C1600" i="9"/>
  <c r="A1599" i="9"/>
  <c r="B1599" i="9"/>
  <c r="C1599" i="9"/>
  <c r="A1598" i="9"/>
  <c r="B1598" i="9"/>
  <c r="C1598" i="9"/>
  <c r="A1597" i="9"/>
  <c r="B1597" i="9"/>
  <c r="C1597" i="9"/>
  <c r="A1596" i="9"/>
  <c r="B1596" i="9"/>
  <c r="C1596" i="9"/>
  <c r="A1595" i="9"/>
  <c r="B1595" i="9"/>
  <c r="C1595" i="9"/>
  <c r="A1594" i="9"/>
  <c r="B1594" i="9"/>
  <c r="C1594" i="9"/>
  <c r="A1593" i="9"/>
  <c r="B1593" i="9"/>
  <c r="C1593" i="9"/>
  <c r="A1592" i="9"/>
  <c r="B1592" i="9"/>
  <c r="C1592" i="9"/>
  <c r="A1591" i="9"/>
  <c r="B1591" i="9"/>
  <c r="C1591" i="9"/>
  <c r="A1590" i="9"/>
  <c r="B1590" i="9"/>
  <c r="C1590" i="9"/>
  <c r="A1589" i="9"/>
  <c r="B1589" i="9"/>
  <c r="C1589" i="9"/>
  <c r="A1588" i="9"/>
  <c r="B1588" i="9"/>
  <c r="C1588" i="9"/>
  <c r="A1587" i="9"/>
  <c r="B1587" i="9"/>
  <c r="C1587" i="9"/>
  <c r="A1586" i="9"/>
  <c r="B1586" i="9"/>
  <c r="C1586" i="9"/>
  <c r="A1585" i="9"/>
  <c r="B1585" i="9"/>
  <c r="C1585" i="9"/>
  <c r="A1584" i="9"/>
  <c r="B1584" i="9"/>
  <c r="C1584" i="9"/>
  <c r="A1583" i="9"/>
  <c r="B1583" i="9"/>
  <c r="C1583" i="9"/>
  <c r="A1582" i="9"/>
  <c r="B1582" i="9"/>
  <c r="C1582" i="9"/>
  <c r="A1581" i="9"/>
  <c r="B1581" i="9"/>
  <c r="C1581" i="9"/>
  <c r="A1580" i="9"/>
  <c r="B1580" i="9"/>
  <c r="C1580" i="9"/>
  <c r="A1579" i="9"/>
  <c r="B1579" i="9"/>
  <c r="C1579" i="9"/>
  <c r="A1578" i="9"/>
  <c r="B1578" i="9"/>
  <c r="C1578" i="9"/>
  <c r="A1577" i="9"/>
  <c r="B1577" i="9"/>
  <c r="C1577" i="9"/>
  <c r="A1576" i="9"/>
  <c r="B1576" i="9"/>
  <c r="C1576" i="9"/>
  <c r="A1575" i="9"/>
  <c r="B1575" i="9"/>
  <c r="C1575" i="9"/>
  <c r="A1574" i="9"/>
  <c r="B1574" i="9"/>
  <c r="C1574" i="9"/>
  <c r="A1573" i="9"/>
  <c r="B1573" i="9"/>
  <c r="C1573" i="9"/>
  <c r="A1572" i="9"/>
  <c r="B1572" i="9"/>
  <c r="C1572" i="9"/>
  <c r="A1571" i="9"/>
  <c r="B1571" i="9"/>
  <c r="C1571" i="9"/>
  <c r="A1570" i="9"/>
  <c r="B1570" i="9"/>
  <c r="C1570" i="9"/>
  <c r="A1569" i="9"/>
  <c r="B1569" i="9"/>
  <c r="C1569" i="9"/>
  <c r="A1568" i="9"/>
  <c r="B1568" i="9"/>
  <c r="C1568" i="9"/>
  <c r="A1567" i="9"/>
  <c r="B1567" i="9"/>
  <c r="C1567" i="9"/>
  <c r="A1566" i="9"/>
  <c r="B1566" i="9"/>
  <c r="C1566" i="9"/>
  <c r="A1565" i="9"/>
  <c r="B1565" i="9"/>
  <c r="C1565" i="9"/>
  <c r="A1564" i="9"/>
  <c r="B1564" i="9"/>
  <c r="C1564" i="9"/>
  <c r="A1563" i="9"/>
  <c r="B1563" i="9"/>
  <c r="C1563" i="9"/>
  <c r="A1562" i="9"/>
  <c r="B1562" i="9"/>
  <c r="C1562" i="9"/>
  <c r="A1561" i="9"/>
  <c r="B1561" i="9"/>
  <c r="C1561" i="9"/>
  <c r="A1560" i="9"/>
  <c r="B1560" i="9"/>
  <c r="C1560" i="9"/>
  <c r="A1559" i="9"/>
  <c r="B1559" i="9"/>
  <c r="C1559" i="9"/>
  <c r="A1558" i="9"/>
  <c r="B1558" i="9"/>
  <c r="C1558" i="9"/>
  <c r="A1557" i="9"/>
  <c r="B1557" i="9"/>
  <c r="C1557" i="9"/>
  <c r="A1556" i="9"/>
  <c r="B1556" i="9"/>
  <c r="C1556" i="9"/>
  <c r="A1555" i="9"/>
  <c r="B1555" i="9"/>
  <c r="C1555" i="9"/>
  <c r="A1554" i="9"/>
  <c r="B1554" i="9"/>
  <c r="C1554" i="9"/>
  <c r="A1553" i="9"/>
  <c r="B1553" i="9"/>
  <c r="C1553" i="9"/>
  <c r="A1552" i="9"/>
  <c r="B1552" i="9"/>
  <c r="C1552" i="9"/>
  <c r="A1551" i="9"/>
  <c r="B1551" i="9"/>
  <c r="C1551" i="9"/>
  <c r="A1550" i="9"/>
  <c r="B1550" i="9"/>
  <c r="C1550" i="9"/>
  <c r="A1549" i="9"/>
  <c r="B1549" i="9"/>
  <c r="C1549" i="9"/>
  <c r="A1548" i="9"/>
  <c r="B1548" i="9"/>
  <c r="C1548" i="9"/>
  <c r="A1547" i="9"/>
  <c r="B1547" i="9"/>
  <c r="C1547" i="9"/>
  <c r="A1546" i="9"/>
  <c r="B1546" i="9"/>
  <c r="C1546" i="9"/>
  <c r="A1545" i="9"/>
  <c r="B1545" i="9"/>
  <c r="C1545" i="9"/>
  <c r="A1544" i="9"/>
  <c r="B1544" i="9"/>
  <c r="C1544" i="9"/>
  <c r="A1543" i="9"/>
  <c r="B1543" i="9"/>
  <c r="C1543" i="9"/>
  <c r="A1542" i="9"/>
  <c r="B1542" i="9"/>
  <c r="C1542" i="9"/>
  <c r="A1541" i="9"/>
  <c r="B1541" i="9"/>
  <c r="C1541" i="9"/>
  <c r="A1540" i="9"/>
  <c r="B1540" i="9"/>
  <c r="C1540" i="9"/>
  <c r="A1539" i="9"/>
  <c r="B1539" i="9"/>
  <c r="C1539" i="9"/>
  <c r="A1538" i="9"/>
  <c r="B1538" i="9"/>
  <c r="C1538" i="9"/>
  <c r="A1537" i="9"/>
  <c r="B1537" i="9"/>
  <c r="C1537" i="9"/>
  <c r="A1536" i="9"/>
  <c r="B1536" i="9"/>
  <c r="C1536" i="9"/>
  <c r="A1535" i="9"/>
  <c r="B1535" i="9"/>
  <c r="C1535" i="9"/>
  <c r="A1534" i="9"/>
  <c r="B1534" i="9"/>
  <c r="C1534" i="9"/>
  <c r="A1533" i="9"/>
  <c r="B1533" i="9"/>
  <c r="C1533" i="9"/>
  <c r="A1532" i="9"/>
  <c r="B1532" i="9"/>
  <c r="C1532" i="9"/>
  <c r="A1531" i="9"/>
  <c r="B1531" i="9"/>
  <c r="C1531" i="9"/>
  <c r="A1530" i="9"/>
  <c r="B1530" i="9"/>
  <c r="C1530" i="9"/>
  <c r="A1529" i="9"/>
  <c r="B1529" i="9"/>
  <c r="C1529" i="9"/>
  <c r="A1528" i="9"/>
  <c r="B1528" i="9"/>
  <c r="C1528" i="9"/>
  <c r="A1527" i="9"/>
  <c r="B1527" i="9"/>
  <c r="C1527" i="9"/>
  <c r="A1526" i="9"/>
  <c r="B1526" i="9"/>
  <c r="C1526" i="9"/>
  <c r="A1525" i="9"/>
  <c r="B1525" i="9"/>
  <c r="C1525" i="9"/>
  <c r="A1524" i="9"/>
  <c r="B1524" i="9"/>
  <c r="C1524" i="9"/>
  <c r="A1523" i="9"/>
  <c r="B1523" i="9"/>
  <c r="C1523" i="9"/>
  <c r="A1522" i="9"/>
  <c r="B1522" i="9"/>
  <c r="C1522" i="9"/>
  <c r="A1521" i="9"/>
  <c r="B1521" i="9"/>
  <c r="C1521" i="9"/>
  <c r="A1520" i="9"/>
  <c r="B1520" i="9"/>
  <c r="C1520" i="9"/>
  <c r="A1519" i="9"/>
  <c r="B1519" i="9"/>
  <c r="C1519" i="9"/>
  <c r="A1518" i="9"/>
  <c r="B1518" i="9"/>
  <c r="C1518" i="9"/>
  <c r="A1517" i="9"/>
  <c r="B1517" i="9"/>
  <c r="C1517" i="9"/>
  <c r="A1516" i="9"/>
  <c r="B1516" i="9"/>
  <c r="C1516" i="9"/>
  <c r="A1515" i="9"/>
  <c r="B1515" i="9"/>
  <c r="C1515" i="9"/>
  <c r="A1514" i="9"/>
  <c r="B1514" i="9"/>
  <c r="C1514" i="9"/>
  <c r="A1513" i="9"/>
  <c r="B1513" i="9"/>
  <c r="C1513" i="9"/>
  <c r="A1512" i="9"/>
  <c r="B1512" i="9"/>
  <c r="C1512" i="9"/>
  <c r="A1511" i="9"/>
  <c r="B1511" i="9"/>
  <c r="C1511" i="9"/>
  <c r="A1510" i="9"/>
  <c r="B1510" i="9"/>
  <c r="C1510" i="9"/>
  <c r="A1509" i="9"/>
  <c r="B1509" i="9"/>
  <c r="C1509" i="9"/>
  <c r="A1508" i="9"/>
  <c r="B1508" i="9"/>
  <c r="C1508" i="9"/>
  <c r="A1507" i="9"/>
  <c r="B1507" i="9"/>
  <c r="C1507" i="9"/>
  <c r="A1506" i="9"/>
  <c r="B1506" i="9"/>
  <c r="C1506" i="9"/>
  <c r="A1505" i="9"/>
  <c r="B1505" i="9"/>
  <c r="C1505" i="9"/>
  <c r="A1504" i="9"/>
  <c r="B1504" i="9"/>
  <c r="C1504" i="9"/>
  <c r="A1503" i="9"/>
  <c r="B1503" i="9"/>
  <c r="C1503" i="9"/>
  <c r="A1502" i="9"/>
  <c r="B1502" i="9"/>
  <c r="C1502" i="9"/>
  <c r="A1501" i="9"/>
  <c r="B1501" i="9"/>
  <c r="C1501" i="9"/>
  <c r="A1500" i="9"/>
  <c r="B1500" i="9"/>
  <c r="C1500" i="9"/>
  <c r="A1499" i="9"/>
  <c r="B1499" i="9"/>
  <c r="C1499" i="9"/>
  <c r="A1498" i="9"/>
  <c r="B1498" i="9"/>
  <c r="C1498" i="9"/>
  <c r="A1497" i="9"/>
  <c r="B1497" i="9"/>
  <c r="C1497" i="9"/>
  <c r="A1496" i="9"/>
  <c r="B1496" i="9"/>
  <c r="C1496" i="9"/>
  <c r="A1495" i="9"/>
  <c r="B1495" i="9"/>
  <c r="C1495" i="9"/>
  <c r="A1494" i="9"/>
  <c r="B1494" i="9"/>
  <c r="C1494" i="9"/>
  <c r="A1493" i="9"/>
  <c r="B1493" i="9"/>
  <c r="C1493" i="9"/>
  <c r="A1492" i="9"/>
  <c r="B1492" i="9"/>
  <c r="C1492" i="9"/>
  <c r="A1491" i="9"/>
  <c r="B1491" i="9"/>
  <c r="C1491" i="9"/>
  <c r="A1490" i="9"/>
  <c r="B1490" i="9"/>
  <c r="C1490" i="9"/>
  <c r="A1489" i="9"/>
  <c r="B1489" i="9"/>
  <c r="C1489" i="9"/>
  <c r="A1488" i="9"/>
  <c r="B1488" i="9"/>
  <c r="C1488" i="9"/>
  <c r="A1487" i="9"/>
  <c r="B1487" i="9"/>
  <c r="C1487" i="9"/>
  <c r="A1486" i="9"/>
  <c r="B1486" i="9"/>
  <c r="C1486" i="9"/>
  <c r="A1485" i="9"/>
  <c r="B1485" i="9"/>
  <c r="C1485" i="9"/>
  <c r="A1484" i="9"/>
  <c r="B1484" i="9"/>
  <c r="C1484" i="9"/>
  <c r="A1483" i="9"/>
  <c r="B1483" i="9"/>
  <c r="C1483" i="9"/>
  <c r="A1482" i="9"/>
  <c r="B1482" i="9"/>
  <c r="C1482" i="9"/>
  <c r="A1481" i="9"/>
  <c r="B1481" i="9"/>
  <c r="C1481" i="9"/>
  <c r="A1480" i="9"/>
  <c r="B1480" i="9"/>
  <c r="C1480" i="9"/>
  <c r="A1479" i="9"/>
  <c r="B1479" i="9"/>
  <c r="C1479" i="9"/>
  <c r="A1478" i="9"/>
  <c r="B1478" i="9"/>
  <c r="C1478" i="9"/>
  <c r="A1477" i="9"/>
  <c r="B1477" i="9"/>
  <c r="C1477" i="9"/>
  <c r="A1476" i="9"/>
  <c r="B1476" i="9"/>
  <c r="C1476" i="9"/>
  <c r="A1475" i="9"/>
  <c r="B1475" i="9"/>
  <c r="C1475" i="9"/>
  <c r="A1474" i="9"/>
  <c r="B1474" i="9"/>
  <c r="C1474" i="9"/>
  <c r="A1473" i="9"/>
  <c r="B1473" i="9"/>
  <c r="C1473" i="9"/>
  <c r="A1472" i="9"/>
  <c r="B1472" i="9"/>
  <c r="C1472" i="9"/>
  <c r="A1471" i="9"/>
  <c r="B1471" i="9"/>
  <c r="C1471" i="9"/>
  <c r="A1470" i="9"/>
  <c r="B1470" i="9"/>
  <c r="C1470" i="9"/>
  <c r="A1469" i="9"/>
  <c r="B1469" i="9"/>
  <c r="C1469" i="9"/>
  <c r="A1468" i="9"/>
  <c r="B1468" i="9"/>
  <c r="C1468" i="9"/>
  <c r="A1467" i="9"/>
  <c r="B1467" i="9"/>
  <c r="C1467" i="9"/>
  <c r="A1466" i="9"/>
  <c r="B1466" i="9"/>
  <c r="C1466" i="9"/>
  <c r="A1465" i="9"/>
  <c r="B1465" i="9"/>
  <c r="C1465" i="9"/>
  <c r="A1464" i="9"/>
  <c r="B1464" i="9"/>
  <c r="C1464" i="9"/>
  <c r="A1463" i="9"/>
  <c r="B1463" i="9"/>
  <c r="C1463" i="9"/>
  <c r="A1462" i="9"/>
  <c r="B1462" i="9"/>
  <c r="C1462" i="9"/>
  <c r="A1461" i="9"/>
  <c r="B1461" i="9"/>
  <c r="C1461" i="9"/>
  <c r="A1460" i="9"/>
  <c r="B1460" i="9"/>
  <c r="C1460" i="9"/>
  <c r="A1459" i="9"/>
  <c r="B1459" i="9"/>
  <c r="C1459" i="9"/>
  <c r="A1458" i="9"/>
  <c r="B1458" i="9"/>
  <c r="C1458" i="9"/>
  <c r="A1457" i="9"/>
  <c r="B1457" i="9"/>
  <c r="C1457" i="9"/>
  <c r="A1456" i="9"/>
  <c r="B1456" i="9"/>
  <c r="C1456" i="9"/>
  <c r="A1455" i="9"/>
  <c r="B1455" i="9"/>
  <c r="C1455" i="9"/>
  <c r="A1454" i="9"/>
  <c r="B1454" i="9"/>
  <c r="C1454" i="9"/>
  <c r="A1453" i="9"/>
  <c r="B1453" i="9"/>
  <c r="C1453" i="9"/>
  <c r="A1452" i="9"/>
  <c r="B1452" i="9"/>
  <c r="C1452" i="9"/>
  <c r="A1451" i="9"/>
  <c r="B1451" i="9"/>
  <c r="C1451" i="9"/>
  <c r="A1450" i="9"/>
  <c r="B1450" i="9"/>
  <c r="C1450" i="9"/>
  <c r="A1449" i="9"/>
  <c r="B1449" i="9"/>
  <c r="C1449" i="9"/>
  <c r="A1448" i="9"/>
  <c r="B1448" i="9"/>
  <c r="C1448" i="9"/>
  <c r="A1447" i="9"/>
  <c r="B1447" i="9"/>
  <c r="C1447" i="9"/>
  <c r="A1446" i="9"/>
  <c r="B1446" i="9"/>
  <c r="C1446" i="9"/>
  <c r="A1445" i="9"/>
  <c r="B1445" i="9"/>
  <c r="C1445" i="9"/>
  <c r="A1444" i="9"/>
  <c r="B1444" i="9"/>
  <c r="C1444" i="9"/>
  <c r="A1443" i="9"/>
  <c r="B1443" i="9"/>
  <c r="C1443" i="9"/>
  <c r="A1442" i="9"/>
  <c r="B1442" i="9"/>
  <c r="C1442" i="9"/>
  <c r="A1441" i="9"/>
  <c r="B1441" i="9"/>
  <c r="C1441" i="9"/>
  <c r="A1440" i="9"/>
  <c r="B1440" i="9"/>
  <c r="C1440" i="9"/>
  <c r="A1439" i="9"/>
  <c r="B1439" i="9"/>
  <c r="C1439" i="9"/>
  <c r="A1438" i="9"/>
  <c r="B1438" i="9"/>
  <c r="C1438" i="9"/>
  <c r="A1437" i="9"/>
  <c r="B1437" i="9"/>
  <c r="C1437" i="9"/>
  <c r="A1436" i="9"/>
  <c r="B1436" i="9"/>
  <c r="C1436" i="9"/>
  <c r="A1435" i="9"/>
  <c r="B1435" i="9"/>
  <c r="C1435" i="9"/>
  <c r="A1434" i="9"/>
  <c r="B1434" i="9"/>
  <c r="C1434" i="9"/>
  <c r="A1433" i="9"/>
  <c r="B1433" i="9"/>
  <c r="C1433" i="9"/>
  <c r="A1432" i="9"/>
  <c r="B1432" i="9"/>
  <c r="C1432" i="9"/>
  <c r="A1431" i="9"/>
  <c r="B1431" i="9"/>
  <c r="C1431" i="9"/>
  <c r="A1430" i="9"/>
  <c r="B1430" i="9"/>
  <c r="C1430" i="9"/>
  <c r="A1429" i="9"/>
  <c r="B1429" i="9"/>
  <c r="C1429" i="9"/>
  <c r="A1428" i="9"/>
  <c r="B1428" i="9"/>
  <c r="C1428" i="9"/>
  <c r="A1427" i="9"/>
  <c r="B1427" i="9"/>
  <c r="C1427" i="9"/>
  <c r="A1426" i="9"/>
  <c r="B1426" i="9"/>
  <c r="C1426" i="9"/>
  <c r="A1425" i="9"/>
  <c r="B1425" i="9"/>
  <c r="C1425" i="9"/>
  <c r="A1424" i="9"/>
  <c r="B1424" i="9"/>
  <c r="C1424" i="9"/>
  <c r="A1423" i="9"/>
  <c r="B1423" i="9"/>
  <c r="C1423" i="9"/>
  <c r="A1422" i="9"/>
  <c r="B1422" i="9"/>
  <c r="C1422" i="9"/>
  <c r="A1421" i="9"/>
  <c r="B1421" i="9"/>
  <c r="C1421" i="9"/>
  <c r="A1420" i="9"/>
  <c r="B1420" i="9"/>
  <c r="C1420" i="9"/>
  <c r="A1419" i="9"/>
  <c r="B1419" i="9"/>
  <c r="C1419" i="9"/>
  <c r="A1418" i="9"/>
  <c r="B1418" i="9"/>
  <c r="C1418" i="9"/>
  <c r="A1417" i="9"/>
  <c r="B1417" i="9"/>
  <c r="C1417" i="9"/>
  <c r="A1416" i="9"/>
  <c r="B1416" i="9"/>
  <c r="C1416" i="9"/>
  <c r="A1415" i="9"/>
  <c r="B1415" i="9"/>
  <c r="C1415" i="9"/>
  <c r="A1414" i="9"/>
  <c r="B1414" i="9"/>
  <c r="C1414" i="9"/>
  <c r="A1413" i="9"/>
  <c r="B1413" i="9"/>
  <c r="C1413" i="9"/>
  <c r="A1412" i="9"/>
  <c r="B1412" i="9"/>
  <c r="C1412" i="9"/>
  <c r="A1411" i="9"/>
  <c r="B1411" i="9"/>
  <c r="C1411" i="9"/>
  <c r="A1410" i="9"/>
  <c r="B1410" i="9"/>
  <c r="C1410" i="9"/>
  <c r="A1409" i="9"/>
  <c r="B1409" i="9"/>
  <c r="C1409" i="9"/>
  <c r="A1408" i="9"/>
  <c r="B1408" i="9"/>
  <c r="C1408" i="9"/>
  <c r="A1407" i="9"/>
  <c r="B1407" i="9"/>
  <c r="C1407" i="9"/>
  <c r="A1406" i="9"/>
  <c r="B1406" i="9"/>
  <c r="C1406" i="9"/>
  <c r="A1405" i="9"/>
  <c r="B1405" i="9"/>
  <c r="C1405" i="9"/>
  <c r="A1404" i="9"/>
  <c r="B1404" i="9"/>
  <c r="C1404" i="9"/>
  <c r="A1403" i="9"/>
  <c r="B1403" i="9"/>
  <c r="C1403" i="9"/>
  <c r="A1402" i="9"/>
  <c r="B1402" i="9"/>
  <c r="C1402" i="9"/>
  <c r="A1401" i="9"/>
  <c r="B1401" i="9"/>
  <c r="C1401" i="9"/>
  <c r="A1400" i="9"/>
  <c r="B1400" i="9"/>
  <c r="C1400" i="9"/>
  <c r="A1399" i="9"/>
  <c r="B1399" i="9"/>
  <c r="C1399" i="9"/>
  <c r="A1398" i="9"/>
  <c r="B1398" i="9"/>
  <c r="C1398" i="9"/>
  <c r="A1397" i="9"/>
  <c r="B1397" i="9"/>
  <c r="C1397" i="9"/>
  <c r="A1396" i="9"/>
  <c r="B1396" i="9"/>
  <c r="C1396" i="9"/>
  <c r="A1395" i="9"/>
  <c r="B1395" i="9"/>
  <c r="C1395" i="9"/>
  <c r="A1394" i="9"/>
  <c r="B1394" i="9"/>
  <c r="C1394" i="9"/>
  <c r="A1393" i="9"/>
  <c r="B1393" i="9"/>
  <c r="C1393" i="9"/>
  <c r="A1392" i="9"/>
  <c r="B1392" i="9"/>
  <c r="C1392" i="9"/>
  <c r="A1391" i="9"/>
  <c r="B1391" i="9"/>
  <c r="C1391" i="9"/>
  <c r="A1390" i="9"/>
  <c r="B1390" i="9"/>
  <c r="C1390" i="9"/>
  <c r="A1389" i="9"/>
  <c r="B1389" i="9"/>
  <c r="C1389" i="9"/>
  <c r="A1388" i="9"/>
  <c r="B1388" i="9"/>
  <c r="C1388" i="9"/>
  <c r="A1387" i="9"/>
  <c r="B1387" i="9"/>
  <c r="C1387" i="9"/>
  <c r="A1386" i="9"/>
  <c r="B1386" i="9"/>
  <c r="C1386" i="9"/>
  <c r="A1385" i="9"/>
  <c r="B1385" i="9"/>
  <c r="C1385" i="9"/>
  <c r="A1384" i="9"/>
  <c r="B1384" i="9"/>
  <c r="C1384" i="9"/>
  <c r="A1383" i="9"/>
  <c r="B1383" i="9"/>
  <c r="C1383" i="9"/>
  <c r="A1382" i="9"/>
  <c r="B1382" i="9"/>
  <c r="C1382" i="9"/>
  <c r="A1381" i="9"/>
  <c r="B1381" i="9"/>
  <c r="C1381" i="9"/>
  <c r="A1380" i="9"/>
  <c r="B1380" i="9"/>
  <c r="C1380" i="9"/>
  <c r="A1379" i="9"/>
  <c r="B1379" i="9"/>
  <c r="C1379" i="9"/>
  <c r="A1378" i="9"/>
  <c r="B1378" i="9"/>
  <c r="C1378" i="9"/>
  <c r="A1377" i="9"/>
  <c r="B1377" i="9"/>
  <c r="C1377" i="9"/>
  <c r="A1376" i="9"/>
  <c r="B1376" i="9"/>
  <c r="C1376" i="9"/>
  <c r="A1375" i="9"/>
  <c r="B1375" i="9"/>
  <c r="C1375" i="9"/>
  <c r="A1374" i="9"/>
  <c r="B1374" i="9"/>
  <c r="C1374" i="9"/>
  <c r="A1373" i="9"/>
  <c r="B1373" i="9"/>
  <c r="C1373" i="9"/>
  <c r="A1372" i="9"/>
  <c r="B1372" i="9"/>
  <c r="C1372" i="9"/>
  <c r="A1371" i="9"/>
  <c r="B1371" i="9"/>
  <c r="C1371" i="9"/>
  <c r="A1370" i="9"/>
  <c r="B1370" i="9"/>
  <c r="C1370" i="9"/>
  <c r="A1369" i="9"/>
  <c r="B1369" i="9"/>
  <c r="C1369" i="9"/>
  <c r="A1368" i="9"/>
  <c r="B1368" i="9"/>
  <c r="C1368" i="9"/>
  <c r="A1367" i="9"/>
  <c r="B1367" i="9"/>
  <c r="C1367" i="9"/>
  <c r="A1366" i="9"/>
  <c r="B1366" i="9"/>
  <c r="C1366" i="9"/>
  <c r="A1365" i="9"/>
  <c r="B1365" i="9"/>
  <c r="C1365" i="9"/>
  <c r="A1364" i="9"/>
  <c r="B1364" i="9"/>
  <c r="C1364" i="9"/>
  <c r="A1363" i="9"/>
  <c r="B1363" i="9"/>
  <c r="C1363" i="9"/>
  <c r="A1362" i="9"/>
  <c r="B1362" i="9"/>
  <c r="C1362" i="9"/>
  <c r="A1361" i="9"/>
  <c r="B1361" i="9"/>
  <c r="C1361" i="9"/>
  <c r="A1360" i="9"/>
  <c r="B1360" i="9"/>
  <c r="C1360" i="9"/>
  <c r="A1359" i="9"/>
  <c r="B1359" i="9"/>
  <c r="C1359" i="9"/>
  <c r="A1358" i="9"/>
  <c r="B1358" i="9"/>
  <c r="C1358" i="9"/>
  <c r="A1357" i="9"/>
  <c r="B1357" i="9"/>
  <c r="C1357" i="9"/>
  <c r="A1356" i="9"/>
  <c r="B1356" i="9"/>
  <c r="C1356" i="9"/>
  <c r="A1355" i="9"/>
  <c r="B1355" i="9"/>
  <c r="C1355" i="9"/>
  <c r="A1354" i="9"/>
  <c r="B1354" i="9"/>
  <c r="C1354" i="9"/>
  <c r="A1353" i="9"/>
  <c r="B1353" i="9"/>
  <c r="C1353" i="9"/>
  <c r="A1352" i="9"/>
  <c r="B1352" i="9"/>
  <c r="C1352" i="9"/>
  <c r="A1351" i="9"/>
  <c r="B1351" i="9"/>
  <c r="C1351" i="9"/>
  <c r="A1350" i="9"/>
  <c r="B1350" i="9"/>
  <c r="C1350" i="9"/>
  <c r="A1349" i="9"/>
  <c r="B1349" i="9"/>
  <c r="C1349" i="9"/>
  <c r="A1348" i="9"/>
  <c r="B1348" i="9"/>
  <c r="C1348" i="9"/>
  <c r="A1347" i="9"/>
  <c r="B1347" i="9"/>
  <c r="C1347" i="9"/>
  <c r="A1346" i="9"/>
  <c r="B1346" i="9"/>
  <c r="C1346" i="9"/>
  <c r="A1345" i="9"/>
  <c r="B1345" i="9"/>
  <c r="C1345" i="9"/>
  <c r="A1344" i="9"/>
  <c r="B1344" i="9"/>
  <c r="C1344" i="9"/>
  <c r="A1343" i="9"/>
  <c r="B1343" i="9"/>
  <c r="C1343" i="9"/>
  <c r="A1342" i="9"/>
  <c r="B1342" i="9"/>
  <c r="C1342" i="9"/>
  <c r="A1341" i="9"/>
  <c r="B1341" i="9"/>
  <c r="C1341" i="9"/>
  <c r="A1340" i="9"/>
  <c r="B1340" i="9"/>
  <c r="C1340" i="9"/>
  <c r="A1339" i="9"/>
  <c r="B1339" i="9"/>
  <c r="C1339" i="9"/>
  <c r="A1338" i="9"/>
  <c r="B1338" i="9"/>
  <c r="C1338" i="9"/>
  <c r="A1337" i="9"/>
  <c r="B1337" i="9"/>
  <c r="C1337" i="9"/>
  <c r="A1336" i="9"/>
  <c r="B1336" i="9"/>
  <c r="C1336" i="9"/>
  <c r="A1335" i="9"/>
  <c r="B1335" i="9"/>
  <c r="C1335" i="9"/>
  <c r="A1334" i="9"/>
  <c r="B1334" i="9"/>
  <c r="C1334" i="9"/>
  <c r="A1333" i="9"/>
  <c r="B1333" i="9"/>
  <c r="C1333" i="9"/>
  <c r="A1332" i="9"/>
  <c r="B1332" i="9"/>
  <c r="C1332" i="9"/>
  <c r="A1331" i="9"/>
  <c r="B1331" i="9"/>
  <c r="C1331" i="9"/>
  <c r="A1330" i="9"/>
  <c r="B1330" i="9"/>
  <c r="C1330" i="9"/>
  <c r="A1329" i="9"/>
  <c r="B1329" i="9"/>
  <c r="C1329" i="9"/>
  <c r="A1328" i="9"/>
  <c r="B1328" i="9"/>
  <c r="C1328" i="9"/>
  <c r="A1327" i="9"/>
  <c r="B1327" i="9"/>
  <c r="C1327" i="9"/>
  <c r="A1326" i="9"/>
  <c r="B1326" i="9"/>
  <c r="C1326" i="9"/>
  <c r="A1325" i="9"/>
  <c r="B1325" i="9"/>
  <c r="C1325" i="9"/>
  <c r="A1324" i="9"/>
  <c r="B1324" i="9"/>
  <c r="C1324" i="9"/>
  <c r="A1323" i="9"/>
  <c r="B1323" i="9"/>
  <c r="C1323" i="9"/>
  <c r="A1322" i="9"/>
  <c r="B1322" i="9"/>
  <c r="C1322" i="9"/>
  <c r="A1321" i="9"/>
  <c r="B1321" i="9"/>
  <c r="C1321" i="9"/>
  <c r="A1320" i="9"/>
  <c r="B1320" i="9"/>
  <c r="C1320" i="9"/>
  <c r="A1319" i="9"/>
  <c r="B1319" i="9"/>
  <c r="C1319" i="9"/>
  <c r="A1318" i="9"/>
  <c r="B1318" i="9"/>
  <c r="C1318" i="9"/>
  <c r="A1317" i="9"/>
  <c r="B1317" i="9"/>
  <c r="C1317" i="9"/>
  <c r="A1316" i="9"/>
  <c r="B1316" i="9"/>
  <c r="C1316" i="9"/>
  <c r="A1315" i="9"/>
  <c r="B1315" i="9"/>
  <c r="C1315" i="9"/>
  <c r="A1314" i="9"/>
  <c r="B1314" i="9"/>
  <c r="C1314" i="9"/>
  <c r="A1313" i="9"/>
  <c r="B1313" i="9"/>
  <c r="C1313" i="9"/>
  <c r="A1312" i="9"/>
  <c r="B1312" i="9"/>
  <c r="C1312" i="9"/>
  <c r="A1311" i="9"/>
  <c r="B1311" i="9"/>
  <c r="C1311" i="9"/>
  <c r="A1310" i="9"/>
  <c r="B1310" i="9"/>
  <c r="C1310" i="9"/>
  <c r="A1309" i="9"/>
  <c r="B1309" i="9"/>
  <c r="C1309" i="9"/>
  <c r="A1308" i="9"/>
  <c r="B1308" i="9"/>
  <c r="C1308" i="9"/>
  <c r="A1307" i="9"/>
  <c r="B1307" i="9"/>
  <c r="C1307" i="9"/>
  <c r="A1306" i="9"/>
  <c r="B1306" i="9"/>
  <c r="C1306" i="9"/>
  <c r="A1305" i="9"/>
  <c r="B1305" i="9"/>
  <c r="C1305" i="9"/>
  <c r="A1304" i="9"/>
  <c r="B1304" i="9"/>
  <c r="C1304" i="9"/>
  <c r="A1303" i="9"/>
  <c r="B1303" i="9"/>
  <c r="C1303" i="9"/>
  <c r="A1302" i="9"/>
  <c r="B1302" i="9"/>
  <c r="C1302" i="9"/>
  <c r="A1301" i="9"/>
  <c r="B1301" i="9"/>
  <c r="C1301" i="9"/>
  <c r="A1300" i="9"/>
  <c r="B1300" i="9"/>
  <c r="C1300" i="9"/>
  <c r="A1299" i="9"/>
  <c r="B1299" i="9"/>
  <c r="C1299" i="9"/>
  <c r="A1298" i="9"/>
  <c r="B1298" i="9"/>
  <c r="C1298" i="9"/>
  <c r="A1297" i="9"/>
  <c r="B1297" i="9"/>
  <c r="C1297" i="9"/>
  <c r="A1296" i="9"/>
  <c r="B1296" i="9"/>
  <c r="C1296" i="9"/>
  <c r="A1295" i="9"/>
  <c r="B1295" i="9"/>
  <c r="C1295" i="9"/>
  <c r="A1294" i="9"/>
  <c r="B1294" i="9"/>
  <c r="C1294" i="9"/>
  <c r="A1293" i="9"/>
  <c r="B1293" i="9"/>
  <c r="C1293" i="9"/>
  <c r="A1292" i="9"/>
  <c r="B1292" i="9"/>
  <c r="C1292" i="9"/>
  <c r="A1291" i="9"/>
  <c r="B1291" i="9"/>
  <c r="C1291" i="9"/>
  <c r="A1290" i="9"/>
  <c r="B1290" i="9"/>
  <c r="C1290" i="9"/>
  <c r="A1289" i="9"/>
  <c r="B1289" i="9"/>
  <c r="C1289" i="9"/>
  <c r="A1288" i="9"/>
  <c r="B1288" i="9"/>
  <c r="C1288" i="9"/>
  <c r="A1287" i="9"/>
  <c r="B1287" i="9"/>
  <c r="C1287" i="9"/>
  <c r="A1286" i="9"/>
  <c r="B1286" i="9"/>
  <c r="C1286" i="9"/>
  <c r="A1285" i="9"/>
  <c r="B1285" i="9"/>
  <c r="C1285" i="9"/>
  <c r="A1284" i="9"/>
  <c r="B1284" i="9"/>
  <c r="C1284" i="9"/>
  <c r="A1283" i="9"/>
  <c r="B1283" i="9"/>
  <c r="C1283" i="9"/>
  <c r="A1282" i="9"/>
  <c r="B1282" i="9"/>
  <c r="C1282" i="9"/>
  <c r="A1281" i="9"/>
  <c r="B1281" i="9"/>
  <c r="C1281" i="9"/>
  <c r="A1280" i="9"/>
  <c r="B1280" i="9"/>
  <c r="C1280" i="9"/>
  <c r="A1279" i="9"/>
  <c r="B1279" i="9"/>
  <c r="C1279" i="9"/>
  <c r="A1278" i="9"/>
  <c r="B1278" i="9"/>
  <c r="C1278" i="9"/>
  <c r="A1277" i="9"/>
  <c r="B1277" i="9"/>
  <c r="C1277" i="9"/>
  <c r="A1276" i="9"/>
  <c r="B1276" i="9"/>
  <c r="C1276" i="9"/>
  <c r="A1275" i="9"/>
  <c r="B1275" i="9"/>
  <c r="C1275" i="9"/>
  <c r="A1274" i="9"/>
  <c r="B1274" i="9"/>
  <c r="C1274" i="9"/>
  <c r="A1273" i="9"/>
  <c r="B1273" i="9"/>
  <c r="C1273" i="9"/>
  <c r="A1272" i="9"/>
  <c r="B1272" i="9"/>
  <c r="C1272" i="9"/>
  <c r="A1271" i="9"/>
  <c r="B1271" i="9"/>
  <c r="C1271" i="9"/>
  <c r="A1270" i="9"/>
  <c r="B1270" i="9"/>
  <c r="C1270" i="9"/>
  <c r="A1269" i="9"/>
  <c r="B1269" i="9"/>
  <c r="C1269" i="9"/>
  <c r="A1268" i="9"/>
  <c r="B1268" i="9"/>
  <c r="C1268" i="9"/>
  <c r="A1267" i="9"/>
  <c r="B1267" i="9"/>
  <c r="C1267" i="9"/>
  <c r="A1266" i="9"/>
  <c r="B1266" i="9"/>
  <c r="C1266" i="9"/>
  <c r="A1265" i="9"/>
  <c r="B1265" i="9"/>
  <c r="C1265" i="9"/>
  <c r="A1264" i="9"/>
  <c r="B1264" i="9"/>
  <c r="C1264" i="9"/>
  <c r="A1263" i="9"/>
  <c r="B1263" i="9"/>
  <c r="C1263" i="9"/>
  <c r="A1262" i="9"/>
  <c r="B1262" i="9"/>
  <c r="C1262" i="9"/>
  <c r="A1261" i="9"/>
  <c r="B1261" i="9"/>
  <c r="C1261" i="9"/>
  <c r="A1260" i="9"/>
  <c r="B1260" i="9"/>
  <c r="C1260" i="9"/>
  <c r="A1259" i="9"/>
  <c r="B1259" i="9"/>
  <c r="C1259" i="9"/>
  <c r="A1258" i="9"/>
  <c r="B1258" i="9"/>
  <c r="C1258" i="9"/>
  <c r="A1257" i="9"/>
  <c r="B1257" i="9"/>
  <c r="C1257" i="9"/>
  <c r="A1256" i="9"/>
  <c r="B1256" i="9"/>
  <c r="C1256" i="9"/>
  <c r="A1255" i="9"/>
  <c r="B1255" i="9"/>
  <c r="C1255" i="9"/>
  <c r="A1254" i="9"/>
  <c r="B1254" i="9"/>
  <c r="C1254" i="9"/>
  <c r="A1253" i="9"/>
  <c r="B1253" i="9"/>
  <c r="C1253" i="9"/>
  <c r="A1252" i="9"/>
  <c r="B1252" i="9"/>
  <c r="C1252" i="9"/>
  <c r="A1251" i="9"/>
  <c r="B1251" i="9"/>
  <c r="C1251" i="9"/>
  <c r="A1250" i="9"/>
  <c r="B1250" i="9"/>
  <c r="C1250" i="9"/>
  <c r="A1249" i="9"/>
  <c r="B1249" i="9"/>
  <c r="C1249" i="9"/>
  <c r="A1248" i="9"/>
  <c r="B1248" i="9"/>
  <c r="C1248" i="9"/>
  <c r="A1247" i="9"/>
  <c r="B1247" i="9"/>
  <c r="C1247" i="9"/>
  <c r="A1246" i="9"/>
  <c r="B1246" i="9"/>
  <c r="C1246" i="9"/>
  <c r="A1245" i="9"/>
  <c r="B1245" i="9"/>
  <c r="C1245" i="9"/>
  <c r="A1244" i="9"/>
  <c r="B1244" i="9"/>
  <c r="C1244" i="9"/>
  <c r="A1243" i="9"/>
  <c r="B1243" i="9"/>
  <c r="C1243" i="9"/>
  <c r="A1242" i="9"/>
  <c r="B1242" i="9"/>
  <c r="C1242" i="9"/>
  <c r="A1241" i="9"/>
  <c r="B1241" i="9"/>
  <c r="C1241" i="9"/>
  <c r="A1240" i="9"/>
  <c r="B1240" i="9"/>
  <c r="C1240" i="9"/>
  <c r="A1239" i="9"/>
  <c r="B1239" i="9"/>
  <c r="C1239" i="9"/>
  <c r="A1238" i="9"/>
  <c r="B1238" i="9"/>
  <c r="C1238" i="9"/>
  <c r="A1237" i="9"/>
  <c r="B1237" i="9"/>
  <c r="C1237" i="9"/>
  <c r="A1236" i="9"/>
  <c r="B1236" i="9"/>
  <c r="C1236" i="9"/>
  <c r="A1235" i="9"/>
  <c r="B1235" i="9"/>
  <c r="C1235" i="9"/>
  <c r="A1234" i="9"/>
  <c r="B1234" i="9"/>
  <c r="C1234" i="9"/>
  <c r="A1233" i="9"/>
  <c r="B1233" i="9"/>
  <c r="C1233" i="9"/>
  <c r="A1232" i="9"/>
  <c r="B1232" i="9"/>
  <c r="C1232" i="9"/>
  <c r="A1231" i="9"/>
  <c r="B1231" i="9"/>
  <c r="C1231" i="9"/>
  <c r="A1230" i="9"/>
  <c r="B1230" i="9"/>
  <c r="C1230" i="9"/>
  <c r="A1229" i="9"/>
  <c r="B1229" i="9"/>
  <c r="C1229" i="9"/>
  <c r="A1228" i="9"/>
  <c r="B1228" i="9"/>
  <c r="C1228" i="9"/>
  <c r="A1227" i="9"/>
  <c r="B1227" i="9"/>
  <c r="C1227" i="9"/>
  <c r="A1226" i="9"/>
  <c r="B1226" i="9"/>
  <c r="C1226" i="9"/>
  <c r="A1225" i="9"/>
  <c r="B1225" i="9"/>
  <c r="C1225" i="9"/>
  <c r="A1224" i="9"/>
  <c r="B1224" i="9"/>
  <c r="C1224" i="9"/>
  <c r="A1223" i="9"/>
  <c r="B1223" i="9"/>
  <c r="C1223" i="9"/>
  <c r="A1222" i="9"/>
  <c r="B1222" i="9"/>
  <c r="C1222" i="9"/>
  <c r="A1221" i="9"/>
  <c r="B1221" i="9"/>
  <c r="C1221" i="9"/>
  <c r="A1220" i="9"/>
  <c r="B1220" i="9"/>
  <c r="C1220" i="9"/>
  <c r="A1219" i="9"/>
  <c r="B1219" i="9"/>
  <c r="C1219" i="9"/>
  <c r="A1218" i="9"/>
  <c r="B1218" i="9"/>
  <c r="C1218" i="9"/>
  <c r="A1217" i="9"/>
  <c r="B1217" i="9"/>
  <c r="C1217" i="9"/>
  <c r="A1216" i="9"/>
  <c r="B1216" i="9"/>
  <c r="C1216" i="9"/>
  <c r="A1215" i="9"/>
  <c r="B1215" i="9"/>
  <c r="C1215" i="9"/>
  <c r="A1214" i="9"/>
  <c r="B1214" i="9"/>
  <c r="C1214" i="9"/>
  <c r="A1213" i="9"/>
  <c r="B1213" i="9"/>
  <c r="C1213" i="9"/>
  <c r="A1212" i="9"/>
  <c r="B1212" i="9"/>
  <c r="C1212" i="9"/>
  <c r="A1211" i="9"/>
  <c r="B1211" i="9"/>
  <c r="C1211" i="9"/>
  <c r="A1210" i="9"/>
  <c r="B1210" i="9"/>
  <c r="C1210" i="9"/>
  <c r="A1209" i="9"/>
  <c r="B1209" i="9"/>
  <c r="C1209" i="9"/>
  <c r="A1208" i="9"/>
  <c r="B1208" i="9"/>
  <c r="C1208" i="9"/>
  <c r="A1207" i="9"/>
  <c r="B1207" i="9"/>
  <c r="C1207" i="9"/>
  <c r="A1206" i="9"/>
  <c r="B1206" i="9"/>
  <c r="C1206" i="9"/>
  <c r="A1205" i="9"/>
  <c r="B1205" i="9"/>
  <c r="C1205" i="9"/>
  <c r="A1204" i="9"/>
  <c r="B1204" i="9"/>
  <c r="C1204" i="9"/>
  <c r="A1203" i="9"/>
  <c r="B1203" i="9"/>
  <c r="C1203" i="9"/>
  <c r="A1202" i="9"/>
  <c r="B1202" i="9"/>
  <c r="C1202" i="9"/>
  <c r="A1201" i="9"/>
  <c r="B1201" i="9"/>
  <c r="C1201" i="9"/>
  <c r="A1200" i="9"/>
  <c r="B1200" i="9"/>
  <c r="C1200" i="9"/>
  <c r="A1199" i="9"/>
  <c r="B1199" i="9"/>
  <c r="C1199" i="9"/>
  <c r="A1197" i="9"/>
  <c r="B1197" i="9"/>
  <c r="C1197" i="9"/>
  <c r="A1196" i="9"/>
  <c r="B1196" i="9"/>
  <c r="C1196" i="9"/>
  <c r="A1195" i="9"/>
  <c r="B1195" i="9"/>
  <c r="C1195" i="9"/>
  <c r="A1194" i="9"/>
  <c r="B1194" i="9"/>
  <c r="C1194" i="9"/>
  <c r="A1193" i="9"/>
  <c r="B1193" i="9"/>
  <c r="C1193" i="9"/>
  <c r="A1192" i="9"/>
  <c r="B1192" i="9"/>
  <c r="C1192" i="9"/>
  <c r="A1191" i="9"/>
  <c r="B1191" i="9"/>
  <c r="C1191" i="9"/>
  <c r="A1190" i="9"/>
  <c r="B1190" i="9"/>
  <c r="C1190" i="9"/>
  <c r="A1189" i="9"/>
  <c r="B1189" i="9"/>
  <c r="C1189" i="9"/>
  <c r="A1188" i="9"/>
  <c r="B1188" i="9"/>
  <c r="C1188" i="9"/>
  <c r="A1187" i="9"/>
  <c r="B1187" i="9"/>
  <c r="C1187" i="9"/>
  <c r="A1186" i="9"/>
  <c r="B1186" i="9"/>
  <c r="C1186" i="9"/>
  <c r="A1185" i="9"/>
  <c r="B1185" i="9"/>
  <c r="C1185" i="9"/>
  <c r="A1184" i="9"/>
  <c r="B1184" i="9"/>
  <c r="C1184" i="9"/>
  <c r="A1183" i="9"/>
  <c r="B1183" i="9"/>
  <c r="C1183" i="9"/>
  <c r="A1182" i="9"/>
  <c r="B1182" i="9"/>
  <c r="C1182" i="9"/>
  <c r="A1181" i="9"/>
  <c r="B1181" i="9"/>
  <c r="C1181" i="9"/>
  <c r="A1180" i="9"/>
  <c r="B1180" i="9"/>
  <c r="C1180" i="9"/>
  <c r="A1179" i="9"/>
  <c r="B1179" i="9"/>
  <c r="C1179" i="9"/>
  <c r="A1178" i="9"/>
  <c r="B1178" i="9"/>
  <c r="C1178" i="9"/>
  <c r="A1177" i="9"/>
  <c r="B1177" i="9"/>
  <c r="C1177" i="9"/>
  <c r="A1176" i="9"/>
  <c r="B1176" i="9"/>
  <c r="C1176" i="9"/>
  <c r="A1175" i="9"/>
  <c r="B1175" i="9"/>
  <c r="C1175" i="9"/>
  <c r="A1174" i="9"/>
  <c r="B1174" i="9"/>
  <c r="C1174" i="9"/>
  <c r="A1173" i="9"/>
  <c r="B1173" i="9"/>
  <c r="C1173" i="9"/>
  <c r="A1172" i="9"/>
  <c r="B1172" i="9"/>
  <c r="C1172" i="9"/>
  <c r="A1171" i="9"/>
  <c r="B1171" i="9"/>
  <c r="C1171" i="9"/>
  <c r="A1170" i="9"/>
  <c r="B1170" i="9"/>
  <c r="C1170" i="9"/>
  <c r="A1169" i="9"/>
  <c r="B1169" i="9"/>
  <c r="C1169" i="9"/>
  <c r="A1168" i="9"/>
  <c r="B1168" i="9"/>
  <c r="C1168" i="9"/>
  <c r="A1167" i="9"/>
  <c r="B1167" i="9"/>
  <c r="C1167" i="9"/>
  <c r="A1166" i="9"/>
  <c r="B1166" i="9"/>
  <c r="C1166" i="9"/>
  <c r="A1165" i="9"/>
  <c r="B1165" i="9"/>
  <c r="C1165" i="9"/>
  <c r="A1164" i="9"/>
  <c r="B1164" i="9"/>
  <c r="C1164" i="9"/>
  <c r="A1163" i="9"/>
  <c r="B1163" i="9"/>
  <c r="C1163" i="9"/>
  <c r="A1162" i="9"/>
  <c r="B1162" i="9"/>
  <c r="C1162" i="9"/>
  <c r="A1161" i="9"/>
  <c r="B1161" i="9"/>
  <c r="C1161" i="9"/>
  <c r="A1160" i="9"/>
  <c r="B1160" i="9"/>
  <c r="C1160" i="9"/>
  <c r="A1159" i="9"/>
  <c r="B1159" i="9"/>
  <c r="C1159" i="9"/>
  <c r="A1158" i="9"/>
  <c r="B1158" i="9"/>
  <c r="C1158" i="9"/>
  <c r="A1157" i="9"/>
  <c r="B1157" i="9"/>
  <c r="C1157" i="9"/>
  <c r="A1156" i="9"/>
  <c r="B1156" i="9"/>
  <c r="C1156" i="9"/>
  <c r="A1155" i="9"/>
  <c r="B1155" i="9"/>
  <c r="C1155" i="9"/>
  <c r="A1154" i="9"/>
  <c r="B1154" i="9"/>
  <c r="C1154" i="9"/>
  <c r="A1153" i="9"/>
  <c r="B1153" i="9"/>
  <c r="C1153" i="9"/>
  <c r="A1152" i="9"/>
  <c r="B1152" i="9"/>
  <c r="C1152" i="9"/>
  <c r="A1151" i="9"/>
  <c r="B1151" i="9"/>
  <c r="C1151" i="9"/>
  <c r="A1150" i="9"/>
  <c r="B1150" i="9"/>
  <c r="C1150" i="9"/>
  <c r="A1149" i="9"/>
  <c r="B1149" i="9"/>
  <c r="C1149" i="9"/>
  <c r="A1148" i="9"/>
  <c r="B1148" i="9"/>
  <c r="C1148" i="9"/>
  <c r="A1147" i="9"/>
  <c r="B1147" i="9"/>
  <c r="C1147" i="9"/>
  <c r="A1146" i="9"/>
  <c r="B1146" i="9"/>
  <c r="C1146" i="9"/>
  <c r="A1145" i="9"/>
  <c r="B1145" i="9"/>
  <c r="C1145" i="9"/>
  <c r="A1144" i="9"/>
  <c r="B1144" i="9"/>
  <c r="C1144" i="9"/>
  <c r="A1143" i="9"/>
  <c r="B1143" i="9"/>
  <c r="C1143" i="9"/>
  <c r="A1142" i="9"/>
  <c r="B1142" i="9"/>
  <c r="C1142" i="9"/>
  <c r="A1141" i="9"/>
  <c r="B1141" i="9"/>
  <c r="C1141" i="9"/>
  <c r="A1140" i="9"/>
  <c r="B1140" i="9"/>
  <c r="C1140" i="9"/>
  <c r="A1139" i="9"/>
  <c r="B1139" i="9"/>
  <c r="C1139" i="9"/>
  <c r="A1138" i="9"/>
  <c r="B1138" i="9"/>
  <c r="C1138" i="9"/>
  <c r="A1137" i="9"/>
  <c r="B1137" i="9"/>
  <c r="C1137" i="9"/>
  <c r="A1136" i="9"/>
  <c r="B1136" i="9"/>
  <c r="C1136" i="9"/>
  <c r="A1135" i="9"/>
  <c r="B1135" i="9"/>
  <c r="C1135" i="9"/>
  <c r="A1134" i="9"/>
  <c r="B1134" i="9"/>
  <c r="C1134" i="9"/>
  <c r="A1133" i="9"/>
  <c r="B1133" i="9"/>
  <c r="C1133" i="9"/>
  <c r="A1132" i="9"/>
  <c r="B1132" i="9"/>
  <c r="C1132" i="9"/>
  <c r="A1131" i="9"/>
  <c r="B1131" i="9"/>
  <c r="C1131" i="9"/>
  <c r="A1130" i="9"/>
  <c r="B1130" i="9"/>
  <c r="C1130" i="9"/>
  <c r="A1129" i="9"/>
  <c r="B1129" i="9"/>
  <c r="C1129" i="9"/>
  <c r="A1128" i="9"/>
  <c r="B1128" i="9"/>
  <c r="C1128" i="9"/>
  <c r="A1127" i="9"/>
  <c r="B1127" i="9"/>
  <c r="C1127" i="9"/>
  <c r="A1126" i="9"/>
  <c r="B1126" i="9"/>
  <c r="C1126" i="9"/>
  <c r="A1125" i="9"/>
  <c r="B1125" i="9"/>
  <c r="C1125" i="9"/>
  <c r="A1124" i="9"/>
  <c r="B1124" i="9"/>
  <c r="C1124" i="9"/>
  <c r="A1123" i="9"/>
  <c r="B1123" i="9"/>
  <c r="C1123" i="9"/>
  <c r="A1122" i="9"/>
  <c r="B1122" i="9"/>
  <c r="C1122" i="9"/>
  <c r="A1121" i="9"/>
  <c r="B1121" i="9"/>
  <c r="C1121" i="9"/>
  <c r="A1120" i="9"/>
  <c r="B1120" i="9"/>
  <c r="C1120" i="9"/>
  <c r="A1119" i="9"/>
  <c r="B1119" i="9"/>
  <c r="C1119" i="9"/>
  <c r="A1118" i="9"/>
  <c r="B1118" i="9"/>
  <c r="C1118" i="9"/>
  <c r="A1117" i="9"/>
  <c r="B1117" i="9"/>
  <c r="C1117" i="9"/>
  <c r="A1116" i="9"/>
  <c r="B1116" i="9"/>
  <c r="C1116" i="9"/>
  <c r="A1115" i="9"/>
  <c r="B1115" i="9"/>
  <c r="C1115" i="9"/>
  <c r="A1114" i="9"/>
  <c r="B1114" i="9"/>
  <c r="C1114" i="9"/>
  <c r="A1113" i="9"/>
  <c r="B1113" i="9"/>
  <c r="C1113" i="9"/>
  <c r="A1112" i="9"/>
  <c r="B1112" i="9"/>
  <c r="C1112" i="9"/>
  <c r="A1111" i="9"/>
  <c r="B1111" i="9"/>
  <c r="C1111" i="9"/>
  <c r="A1110" i="9"/>
  <c r="B1110" i="9"/>
  <c r="C1110" i="9"/>
  <c r="A1109" i="9"/>
  <c r="B1109" i="9"/>
  <c r="C1109" i="9"/>
  <c r="A1108" i="9"/>
  <c r="B1108" i="9"/>
  <c r="C1108" i="9"/>
  <c r="A1107" i="9"/>
  <c r="B1107" i="9"/>
  <c r="C1107" i="9"/>
  <c r="A1106" i="9"/>
  <c r="B1106" i="9"/>
  <c r="C1106" i="9"/>
  <c r="A1105" i="9"/>
  <c r="B1105" i="9"/>
  <c r="C1105" i="9"/>
  <c r="A1104" i="9"/>
  <c r="B1104" i="9"/>
  <c r="C1104" i="9"/>
  <c r="A1103" i="9"/>
  <c r="B1103" i="9"/>
  <c r="C1103" i="9"/>
  <c r="A1102" i="9"/>
  <c r="B1102" i="9"/>
  <c r="C1102" i="9"/>
  <c r="A1101" i="9"/>
  <c r="B1101" i="9"/>
  <c r="C1101" i="9"/>
  <c r="A1100" i="9"/>
  <c r="B1100" i="9"/>
  <c r="C1100" i="9"/>
  <c r="A1099" i="9"/>
  <c r="B1099" i="9"/>
  <c r="C1099" i="9"/>
  <c r="A1098" i="9"/>
  <c r="B1098" i="9"/>
  <c r="C1098" i="9"/>
  <c r="A1097" i="9"/>
  <c r="B1097" i="9"/>
  <c r="C1097" i="9"/>
  <c r="A1096" i="9"/>
  <c r="B1096" i="9"/>
  <c r="C1096" i="9"/>
  <c r="A1095" i="9"/>
  <c r="B1095" i="9"/>
  <c r="C1095" i="9"/>
  <c r="A1094" i="9"/>
  <c r="B1094" i="9"/>
  <c r="C1094" i="9"/>
  <c r="A1093" i="9"/>
  <c r="B1093" i="9"/>
  <c r="C1093" i="9"/>
  <c r="A1092" i="9"/>
  <c r="B1092" i="9"/>
  <c r="C1092" i="9"/>
  <c r="A1091" i="9"/>
  <c r="B1091" i="9"/>
  <c r="C1091" i="9"/>
  <c r="A1090" i="9"/>
  <c r="B1090" i="9"/>
  <c r="C1090" i="9"/>
  <c r="A1089" i="9"/>
  <c r="B1089" i="9"/>
  <c r="C1089" i="9"/>
  <c r="A1088" i="9"/>
  <c r="B1088" i="9"/>
  <c r="C1088" i="9"/>
  <c r="A1087" i="9"/>
  <c r="B1087" i="9"/>
  <c r="C1087" i="9"/>
  <c r="A1086" i="9"/>
  <c r="B1086" i="9"/>
  <c r="C1086" i="9"/>
  <c r="A1085" i="9"/>
  <c r="B1085" i="9"/>
  <c r="C1085" i="9"/>
  <c r="A1084" i="9"/>
  <c r="B1084" i="9"/>
  <c r="C1084" i="9"/>
  <c r="A1083" i="9"/>
  <c r="B1083" i="9"/>
  <c r="C1083" i="9"/>
  <c r="A1082" i="9"/>
  <c r="B1082" i="9"/>
  <c r="C1082" i="9"/>
  <c r="A1081" i="9"/>
  <c r="B1081" i="9"/>
  <c r="C1081" i="9"/>
  <c r="A1080" i="9"/>
  <c r="B1080" i="9"/>
  <c r="C1080" i="9"/>
  <c r="A1079" i="9"/>
  <c r="B1079" i="9"/>
  <c r="C1079" i="9"/>
  <c r="A1078" i="9"/>
  <c r="B1078" i="9"/>
  <c r="C1078" i="9"/>
  <c r="A1077" i="9"/>
  <c r="B1077" i="9"/>
  <c r="C1077" i="9"/>
  <c r="A1076" i="9"/>
  <c r="B1076" i="9"/>
  <c r="C1076" i="9"/>
  <c r="A1075" i="9"/>
  <c r="B1075" i="9"/>
  <c r="C1075" i="9"/>
  <c r="A1074" i="9"/>
  <c r="B1074" i="9"/>
  <c r="C1074" i="9"/>
  <c r="A1073" i="9"/>
  <c r="B1073" i="9"/>
  <c r="C1073" i="9"/>
  <c r="A1072" i="9"/>
  <c r="B1072" i="9"/>
  <c r="C1072" i="9"/>
  <c r="A1071" i="9"/>
  <c r="B1071" i="9"/>
  <c r="C1071" i="9"/>
  <c r="A1070" i="9"/>
  <c r="B1070" i="9"/>
  <c r="C1070" i="9"/>
  <c r="A1069" i="9"/>
  <c r="B1069" i="9"/>
  <c r="C1069" i="9"/>
  <c r="A1068" i="9"/>
  <c r="B1068" i="9"/>
  <c r="C1068" i="9"/>
  <c r="A1067" i="9"/>
  <c r="B1067" i="9"/>
  <c r="C1067" i="9"/>
  <c r="A1066" i="9"/>
  <c r="B1066" i="9"/>
  <c r="C1066" i="9"/>
  <c r="A1065" i="9"/>
  <c r="B1065" i="9"/>
  <c r="C1065" i="9"/>
  <c r="A1064" i="9"/>
  <c r="B1064" i="9"/>
  <c r="C1064" i="9"/>
  <c r="A1063" i="9"/>
  <c r="B1063" i="9"/>
  <c r="C1063" i="9"/>
  <c r="A1062" i="9"/>
  <c r="B1062" i="9"/>
  <c r="C1062" i="9"/>
  <c r="A1061" i="9"/>
  <c r="B1061" i="9"/>
  <c r="C1061" i="9"/>
  <c r="A1060" i="9"/>
  <c r="B1060" i="9"/>
  <c r="C1060" i="9"/>
  <c r="A1059" i="9"/>
  <c r="B1059" i="9"/>
  <c r="C1059" i="9"/>
  <c r="A1058" i="9"/>
  <c r="B1058" i="9"/>
  <c r="C1058" i="9"/>
  <c r="A1057" i="9"/>
  <c r="B1057" i="9"/>
  <c r="C1057" i="9"/>
  <c r="A1056" i="9"/>
  <c r="B1056" i="9"/>
  <c r="C1056" i="9"/>
  <c r="A1055" i="9"/>
  <c r="B1055" i="9"/>
  <c r="C1055" i="9"/>
  <c r="A1054" i="9"/>
  <c r="B1054" i="9"/>
  <c r="C1054" i="9"/>
  <c r="A1053" i="9"/>
  <c r="B1053" i="9"/>
  <c r="C1053" i="9"/>
  <c r="A1052" i="9"/>
  <c r="B1052" i="9"/>
  <c r="C1052" i="9"/>
  <c r="A1051" i="9"/>
  <c r="B1051" i="9"/>
  <c r="C1051" i="9"/>
  <c r="A1050" i="9"/>
  <c r="B1050" i="9"/>
  <c r="C1050" i="9"/>
  <c r="A1049" i="9"/>
  <c r="B1049" i="9"/>
  <c r="C1049" i="9"/>
  <c r="A1048" i="9"/>
  <c r="B1048" i="9"/>
  <c r="C1048" i="9"/>
  <c r="A1047" i="9"/>
  <c r="B1047" i="9"/>
  <c r="C1047" i="9"/>
  <c r="A1046" i="9"/>
  <c r="B1046" i="9"/>
  <c r="C1046" i="9"/>
  <c r="A1045" i="9"/>
  <c r="B1045" i="9"/>
  <c r="C1045" i="9"/>
  <c r="A1044" i="9"/>
  <c r="B1044" i="9"/>
  <c r="C1044" i="9"/>
  <c r="A1043" i="9"/>
  <c r="B1043" i="9"/>
  <c r="C1043" i="9"/>
  <c r="A1042" i="9"/>
  <c r="B1042" i="9"/>
  <c r="C1042" i="9"/>
  <c r="A1041" i="9"/>
  <c r="B1041" i="9"/>
  <c r="C1041" i="9"/>
  <c r="A1040" i="9"/>
  <c r="B1040" i="9"/>
  <c r="C1040" i="9"/>
  <c r="A1039" i="9"/>
  <c r="B1039" i="9"/>
  <c r="C1039" i="9"/>
  <c r="A1038" i="9"/>
  <c r="B1038" i="9"/>
  <c r="C1038" i="9"/>
  <c r="A1037" i="9"/>
  <c r="B1037" i="9"/>
  <c r="C1037" i="9"/>
  <c r="A1036" i="9"/>
  <c r="B1036" i="9"/>
  <c r="C1036" i="9"/>
  <c r="A1035" i="9"/>
  <c r="B1035" i="9"/>
  <c r="C1035" i="9"/>
  <c r="A1034" i="9"/>
  <c r="B1034" i="9"/>
  <c r="C1034" i="9"/>
  <c r="A1033" i="9"/>
  <c r="B1033" i="9"/>
  <c r="C1033" i="9"/>
  <c r="A1032" i="9"/>
  <c r="B1032" i="9"/>
  <c r="C1032" i="9"/>
  <c r="A1031" i="9"/>
  <c r="B1031" i="9"/>
  <c r="C1031" i="9"/>
  <c r="A1030" i="9"/>
  <c r="B1030" i="9"/>
  <c r="C1030" i="9"/>
  <c r="A1029" i="9"/>
  <c r="B1029" i="9"/>
  <c r="C1029" i="9"/>
  <c r="A1028" i="9"/>
  <c r="B1028" i="9"/>
  <c r="C1028" i="9"/>
  <c r="A1027" i="9"/>
  <c r="B1027" i="9"/>
  <c r="C1027" i="9"/>
  <c r="A1026" i="9"/>
  <c r="B1026" i="9"/>
  <c r="C1026" i="9"/>
  <c r="A1025" i="9"/>
  <c r="B1025" i="9"/>
  <c r="C1025" i="9"/>
  <c r="A1024" i="9"/>
  <c r="B1024" i="9"/>
  <c r="C1024" i="9"/>
  <c r="A1023" i="9"/>
  <c r="B1023" i="9"/>
  <c r="C1023" i="9"/>
  <c r="A1022" i="9"/>
  <c r="B1022" i="9"/>
  <c r="C1022" i="9"/>
  <c r="A1021" i="9"/>
  <c r="B1021" i="9"/>
  <c r="C1021" i="9"/>
  <c r="A1020" i="9"/>
  <c r="B1020" i="9"/>
  <c r="C1020" i="9"/>
  <c r="A1019" i="9"/>
  <c r="B1019" i="9"/>
  <c r="C1019" i="9"/>
  <c r="A1018" i="9"/>
  <c r="B1018" i="9"/>
  <c r="C1018" i="9"/>
  <c r="A1017" i="9"/>
  <c r="B1017" i="9"/>
  <c r="C1017" i="9"/>
  <c r="A1016" i="9"/>
  <c r="B1016" i="9"/>
  <c r="C1016" i="9"/>
  <c r="A1015" i="9"/>
  <c r="B1015" i="9"/>
  <c r="C1015" i="9"/>
  <c r="A1014" i="9"/>
  <c r="B1014" i="9"/>
  <c r="C1014" i="9"/>
  <c r="A1013" i="9"/>
  <c r="B1013" i="9"/>
  <c r="C1013" i="9"/>
  <c r="A1012" i="9"/>
  <c r="B1012" i="9"/>
  <c r="C1012" i="9"/>
  <c r="A1011" i="9"/>
  <c r="B1011" i="9"/>
  <c r="C1011" i="9"/>
  <c r="A1010" i="9"/>
  <c r="B1010" i="9"/>
  <c r="C1010" i="9"/>
  <c r="A1009" i="9"/>
  <c r="B1009" i="9"/>
  <c r="C1009" i="9"/>
  <c r="A1008" i="9"/>
  <c r="B1008" i="9"/>
  <c r="C1008" i="9"/>
  <c r="A1007" i="9"/>
  <c r="B1007" i="9"/>
  <c r="C1007" i="9"/>
  <c r="A1006" i="9"/>
  <c r="B1006" i="9"/>
  <c r="C1006" i="9"/>
  <c r="A1005" i="9"/>
  <c r="B1005" i="9"/>
  <c r="C1005" i="9"/>
  <c r="A1004" i="9"/>
  <c r="B1004" i="9"/>
  <c r="C1004" i="9"/>
  <c r="A1003" i="9"/>
  <c r="B1003" i="9"/>
  <c r="C1003" i="9"/>
  <c r="A1002" i="9"/>
  <c r="B1002" i="9"/>
  <c r="C1002" i="9"/>
  <c r="A1001" i="9"/>
  <c r="B1001" i="9"/>
  <c r="C1001" i="9"/>
  <c r="A1000" i="9"/>
  <c r="B1000" i="9"/>
  <c r="C1000" i="9"/>
  <c r="A999" i="9"/>
  <c r="B999" i="9"/>
  <c r="C999" i="9"/>
  <c r="A998" i="9"/>
  <c r="B998" i="9"/>
  <c r="C998" i="9"/>
  <c r="A997" i="9"/>
  <c r="B997" i="9"/>
  <c r="C997" i="9"/>
  <c r="A996" i="9"/>
  <c r="B996" i="9"/>
  <c r="C996" i="9"/>
  <c r="A995" i="9"/>
  <c r="B995" i="9"/>
  <c r="C995" i="9"/>
  <c r="A994" i="9"/>
  <c r="B994" i="9"/>
  <c r="C994" i="9"/>
  <c r="A993" i="9"/>
  <c r="B993" i="9"/>
  <c r="C993" i="9"/>
  <c r="A992" i="9"/>
  <c r="B992" i="9"/>
  <c r="C992" i="9"/>
  <c r="A991" i="9"/>
  <c r="B991" i="9"/>
  <c r="C991" i="9"/>
  <c r="A990" i="9"/>
  <c r="B990" i="9"/>
  <c r="C990" i="9"/>
  <c r="A989" i="9"/>
  <c r="B989" i="9"/>
  <c r="C989" i="9"/>
  <c r="A988" i="9"/>
  <c r="B988" i="9"/>
  <c r="C988" i="9"/>
  <c r="A987" i="9"/>
  <c r="B987" i="9"/>
  <c r="C987" i="9"/>
  <c r="A986" i="9"/>
  <c r="B986" i="9"/>
  <c r="C986" i="9"/>
  <c r="A985" i="9"/>
  <c r="B985" i="9"/>
  <c r="C985" i="9"/>
  <c r="A984" i="9"/>
  <c r="B984" i="9"/>
  <c r="C984" i="9"/>
  <c r="A983" i="9"/>
  <c r="B983" i="9"/>
  <c r="C983" i="9"/>
  <c r="A982" i="9"/>
  <c r="B982" i="9"/>
  <c r="C982" i="9"/>
  <c r="A981" i="9"/>
  <c r="B981" i="9"/>
  <c r="C981" i="9"/>
  <c r="A980" i="9"/>
  <c r="B980" i="9"/>
  <c r="C980" i="9"/>
  <c r="A979" i="9"/>
  <c r="B979" i="9"/>
  <c r="C979" i="9"/>
  <c r="A978" i="9"/>
  <c r="B978" i="9"/>
  <c r="C978" i="9"/>
  <c r="A977" i="9"/>
  <c r="B977" i="9"/>
  <c r="C977" i="9"/>
  <c r="A976" i="9"/>
  <c r="B976" i="9"/>
  <c r="C976" i="9"/>
  <c r="A975" i="9"/>
  <c r="B975" i="9"/>
  <c r="C975" i="9"/>
  <c r="A974" i="9"/>
  <c r="B974" i="9"/>
  <c r="C974" i="9"/>
  <c r="A973" i="9"/>
  <c r="B973" i="9"/>
  <c r="C973" i="9"/>
  <c r="A972" i="9"/>
  <c r="B972" i="9"/>
  <c r="C972" i="9"/>
  <c r="A971" i="9"/>
  <c r="B971" i="9"/>
  <c r="C971" i="9"/>
  <c r="A970" i="9"/>
  <c r="B970" i="9"/>
  <c r="C970" i="9"/>
  <c r="A969" i="9"/>
  <c r="B969" i="9"/>
  <c r="C969" i="9"/>
  <c r="A968" i="9"/>
  <c r="B968" i="9"/>
  <c r="C968" i="9"/>
  <c r="A967" i="9"/>
  <c r="B967" i="9"/>
  <c r="C967" i="9"/>
  <c r="A966" i="9"/>
  <c r="B966" i="9"/>
  <c r="C966" i="9"/>
  <c r="A965" i="9"/>
  <c r="B965" i="9"/>
  <c r="C965" i="9"/>
  <c r="A964" i="9"/>
  <c r="B964" i="9"/>
  <c r="C964" i="9"/>
  <c r="A963" i="9"/>
  <c r="B963" i="9"/>
  <c r="C963" i="9"/>
  <c r="A962" i="9"/>
  <c r="B962" i="9"/>
  <c r="C962" i="9"/>
  <c r="A961" i="9"/>
  <c r="B961" i="9"/>
  <c r="C961" i="9"/>
  <c r="A960" i="9"/>
  <c r="B960" i="9"/>
  <c r="C960" i="9"/>
  <c r="A959" i="9"/>
  <c r="B959" i="9"/>
  <c r="C959" i="9"/>
  <c r="A958" i="9"/>
  <c r="B958" i="9"/>
  <c r="C958" i="9"/>
  <c r="A957" i="9"/>
  <c r="B957" i="9"/>
  <c r="C957" i="9"/>
  <c r="A956" i="9"/>
  <c r="B956" i="9"/>
  <c r="C956" i="9"/>
  <c r="A955" i="9"/>
  <c r="B955" i="9"/>
  <c r="C955" i="9"/>
  <c r="A954" i="9"/>
  <c r="B954" i="9"/>
  <c r="C954" i="9"/>
  <c r="A953" i="9"/>
  <c r="B953" i="9"/>
  <c r="C953" i="9"/>
  <c r="A952" i="9"/>
  <c r="B952" i="9"/>
  <c r="C952" i="9"/>
  <c r="A951" i="9"/>
  <c r="B951" i="9"/>
  <c r="C951" i="9"/>
  <c r="A950" i="9"/>
  <c r="B950" i="9"/>
  <c r="C950" i="9"/>
  <c r="A949" i="9"/>
  <c r="B949" i="9"/>
  <c r="C949" i="9"/>
  <c r="A948" i="9"/>
  <c r="B948" i="9"/>
  <c r="C948" i="9"/>
  <c r="A947" i="9"/>
  <c r="B947" i="9"/>
  <c r="C947" i="9"/>
  <c r="A946" i="9"/>
  <c r="B946" i="9"/>
  <c r="C946" i="9"/>
  <c r="A945" i="9"/>
  <c r="B945" i="9"/>
  <c r="C945" i="9"/>
  <c r="A944" i="9"/>
  <c r="B944" i="9"/>
  <c r="C944" i="9"/>
  <c r="A943" i="9"/>
  <c r="B943" i="9"/>
  <c r="C943" i="9"/>
  <c r="A942" i="9"/>
  <c r="B942" i="9"/>
  <c r="C942" i="9"/>
  <c r="A941" i="9"/>
  <c r="B941" i="9"/>
  <c r="C941" i="9"/>
  <c r="A940" i="9"/>
  <c r="B940" i="9"/>
  <c r="C940" i="9"/>
  <c r="A939" i="9"/>
  <c r="B939" i="9"/>
  <c r="C939" i="9"/>
  <c r="A938" i="9"/>
  <c r="B938" i="9"/>
  <c r="C938" i="9"/>
  <c r="A937" i="9"/>
  <c r="B937" i="9"/>
  <c r="C937" i="9"/>
  <c r="A936" i="9"/>
  <c r="B936" i="9"/>
  <c r="C936" i="9"/>
  <c r="A935" i="9"/>
  <c r="B935" i="9"/>
  <c r="C935" i="9"/>
  <c r="A934" i="9"/>
  <c r="B934" i="9"/>
  <c r="C934" i="9"/>
  <c r="A933" i="9"/>
  <c r="B933" i="9"/>
  <c r="C933" i="9"/>
  <c r="A932" i="9"/>
  <c r="B932" i="9"/>
  <c r="C932" i="9"/>
  <c r="A931" i="9"/>
  <c r="B931" i="9"/>
  <c r="C931" i="9"/>
  <c r="A930" i="9"/>
  <c r="B930" i="9"/>
  <c r="C930" i="9"/>
  <c r="A929" i="9"/>
  <c r="B929" i="9"/>
  <c r="C929" i="9"/>
  <c r="A928" i="9"/>
  <c r="B928" i="9"/>
  <c r="C928" i="9"/>
  <c r="A927" i="9"/>
  <c r="B927" i="9"/>
  <c r="C927" i="9"/>
  <c r="A926" i="9"/>
  <c r="B926" i="9"/>
  <c r="C926" i="9"/>
  <c r="A925" i="9"/>
  <c r="B925" i="9"/>
  <c r="C925" i="9"/>
  <c r="A924" i="9"/>
  <c r="B924" i="9"/>
  <c r="C924" i="9"/>
  <c r="A923" i="9"/>
  <c r="B923" i="9"/>
  <c r="C923" i="9"/>
  <c r="A922" i="9"/>
  <c r="B922" i="9"/>
  <c r="C922" i="9"/>
  <c r="A921" i="9"/>
  <c r="B921" i="9"/>
  <c r="C921" i="9"/>
  <c r="A920" i="9"/>
  <c r="B920" i="9"/>
  <c r="C920" i="9"/>
  <c r="A919" i="9"/>
  <c r="B919" i="9"/>
  <c r="C919" i="9"/>
  <c r="A918" i="9"/>
  <c r="B918" i="9"/>
  <c r="C918" i="9"/>
  <c r="A917" i="9"/>
  <c r="B917" i="9"/>
  <c r="C917" i="9"/>
  <c r="A916" i="9"/>
  <c r="B916" i="9"/>
  <c r="C916" i="9"/>
  <c r="A915" i="9"/>
  <c r="B915" i="9"/>
  <c r="C915" i="9"/>
  <c r="A914" i="9"/>
  <c r="B914" i="9"/>
  <c r="C914" i="9"/>
  <c r="A913" i="9"/>
  <c r="B913" i="9"/>
  <c r="C913" i="9"/>
  <c r="A912" i="9"/>
  <c r="B912" i="9"/>
  <c r="C912" i="9"/>
  <c r="A911" i="9"/>
  <c r="B911" i="9"/>
  <c r="C911" i="9"/>
  <c r="A910" i="9"/>
  <c r="B910" i="9"/>
  <c r="C910" i="9"/>
  <c r="A909" i="9"/>
  <c r="B909" i="9"/>
  <c r="C909" i="9"/>
  <c r="A908" i="9"/>
  <c r="B908" i="9"/>
  <c r="C908" i="9"/>
  <c r="A907" i="9"/>
  <c r="B907" i="9"/>
  <c r="C907" i="9"/>
  <c r="A906" i="9"/>
  <c r="B906" i="9"/>
  <c r="C906" i="9"/>
  <c r="A905" i="9"/>
  <c r="B905" i="9"/>
  <c r="C905" i="9"/>
  <c r="A904" i="9"/>
  <c r="B904" i="9"/>
  <c r="C904" i="9"/>
  <c r="A903" i="9"/>
  <c r="B903" i="9"/>
  <c r="C903" i="9"/>
  <c r="A902" i="9"/>
  <c r="B902" i="9"/>
  <c r="C902" i="9"/>
  <c r="A901" i="9"/>
  <c r="B901" i="9"/>
  <c r="C901" i="9"/>
  <c r="A900" i="9"/>
  <c r="B900" i="9"/>
  <c r="C900" i="9"/>
  <c r="A899" i="9"/>
  <c r="B899" i="9"/>
  <c r="C899" i="9"/>
  <c r="A898" i="9"/>
  <c r="B898" i="9"/>
  <c r="C898" i="9"/>
  <c r="A897" i="9"/>
  <c r="B897" i="9"/>
  <c r="C897" i="9"/>
  <c r="A896" i="9"/>
  <c r="B896" i="9"/>
  <c r="C896" i="9"/>
  <c r="A895" i="9"/>
  <c r="B895" i="9"/>
  <c r="C895" i="9"/>
  <c r="A894" i="9"/>
  <c r="B894" i="9"/>
  <c r="C894" i="9"/>
  <c r="A893" i="9"/>
  <c r="B893" i="9"/>
  <c r="C893" i="9"/>
  <c r="A892" i="9"/>
  <c r="B892" i="9"/>
  <c r="C892" i="9"/>
  <c r="A891" i="9"/>
  <c r="B891" i="9"/>
  <c r="C891" i="9"/>
  <c r="A890" i="9"/>
  <c r="B890" i="9"/>
  <c r="C890" i="9"/>
  <c r="A889" i="9"/>
  <c r="B889" i="9"/>
  <c r="C889" i="9"/>
  <c r="A888" i="9"/>
  <c r="B888" i="9"/>
  <c r="C888" i="9"/>
  <c r="A887" i="9"/>
  <c r="B887" i="9"/>
  <c r="C887" i="9"/>
  <c r="A886" i="9"/>
  <c r="B886" i="9"/>
  <c r="C886" i="9"/>
  <c r="A885" i="9"/>
  <c r="B885" i="9"/>
  <c r="C885" i="9"/>
  <c r="A884" i="9"/>
  <c r="B884" i="9"/>
  <c r="C884" i="9"/>
  <c r="A883" i="9"/>
  <c r="B883" i="9"/>
  <c r="C883" i="9"/>
  <c r="A882" i="9"/>
  <c r="B882" i="9"/>
  <c r="C882" i="9"/>
  <c r="A881" i="9"/>
  <c r="B881" i="9"/>
  <c r="C881" i="9"/>
  <c r="A880" i="9"/>
  <c r="B880" i="9"/>
  <c r="C880" i="9"/>
  <c r="A879" i="9"/>
  <c r="B879" i="9"/>
  <c r="C879" i="9"/>
  <c r="A878" i="9"/>
  <c r="B878" i="9"/>
  <c r="C878" i="9"/>
  <c r="A877" i="9"/>
  <c r="B877" i="9"/>
  <c r="C877" i="9"/>
  <c r="A876" i="9"/>
  <c r="B876" i="9"/>
  <c r="C876" i="9"/>
  <c r="A875" i="9"/>
  <c r="B875" i="9"/>
  <c r="C875" i="9"/>
  <c r="A874" i="9"/>
  <c r="B874" i="9"/>
  <c r="C874" i="9"/>
  <c r="A873" i="9"/>
  <c r="B873" i="9"/>
  <c r="C873" i="9"/>
  <c r="A872" i="9"/>
  <c r="B872" i="9"/>
  <c r="C872" i="9"/>
  <c r="A871" i="9"/>
  <c r="B871" i="9"/>
  <c r="C871" i="9"/>
  <c r="A870" i="9"/>
  <c r="B870" i="9"/>
  <c r="C870" i="9"/>
  <c r="A869" i="9"/>
  <c r="B869" i="9"/>
  <c r="C869" i="9"/>
  <c r="A868" i="9"/>
  <c r="B868" i="9"/>
  <c r="C868" i="9"/>
  <c r="A867" i="9"/>
  <c r="B867" i="9"/>
  <c r="C867" i="9"/>
  <c r="A866" i="9"/>
  <c r="B866" i="9"/>
  <c r="C866" i="9"/>
  <c r="A865" i="9"/>
  <c r="B865" i="9"/>
  <c r="C865" i="9"/>
  <c r="A864" i="9"/>
  <c r="B864" i="9"/>
  <c r="C864" i="9"/>
  <c r="A863" i="9"/>
  <c r="B863" i="9"/>
  <c r="C863" i="9"/>
  <c r="A862" i="9"/>
  <c r="B862" i="9"/>
  <c r="C862" i="9"/>
  <c r="A861" i="9"/>
  <c r="B861" i="9"/>
  <c r="C861" i="9"/>
  <c r="A860" i="9"/>
  <c r="B860" i="9"/>
  <c r="C860" i="9"/>
  <c r="A859" i="9"/>
  <c r="B859" i="9"/>
  <c r="C859" i="9"/>
  <c r="A858" i="9"/>
  <c r="B858" i="9"/>
  <c r="C858" i="9"/>
  <c r="A857" i="9"/>
  <c r="B857" i="9"/>
  <c r="C857" i="9"/>
  <c r="A856" i="9"/>
  <c r="B856" i="9"/>
  <c r="C856" i="9"/>
  <c r="A855" i="9"/>
  <c r="B855" i="9"/>
  <c r="C855" i="9"/>
  <c r="A854" i="9"/>
  <c r="B854" i="9"/>
  <c r="C854" i="9"/>
  <c r="A853" i="9"/>
  <c r="B853" i="9"/>
  <c r="C853" i="9"/>
  <c r="A852" i="9"/>
  <c r="B852" i="9"/>
  <c r="C852" i="9"/>
  <c r="A851" i="9"/>
  <c r="B851" i="9"/>
  <c r="C851" i="9"/>
  <c r="A850" i="9"/>
  <c r="B850" i="9"/>
  <c r="C850" i="9"/>
  <c r="A849" i="9"/>
  <c r="B849" i="9"/>
  <c r="C849" i="9"/>
  <c r="A848" i="9"/>
  <c r="B848" i="9"/>
  <c r="C848" i="9"/>
  <c r="A847" i="9"/>
  <c r="B847" i="9"/>
  <c r="C847" i="9"/>
  <c r="A846" i="9"/>
  <c r="B846" i="9"/>
  <c r="C846" i="9"/>
  <c r="A845" i="9"/>
  <c r="B845" i="9"/>
  <c r="C845" i="9"/>
  <c r="A844" i="9"/>
  <c r="B844" i="9"/>
  <c r="C844" i="9"/>
  <c r="A843" i="9"/>
  <c r="B843" i="9"/>
  <c r="C843" i="9"/>
  <c r="A842" i="9"/>
  <c r="B842" i="9"/>
  <c r="C842" i="9"/>
  <c r="A841" i="9"/>
  <c r="B841" i="9"/>
  <c r="C841" i="9"/>
  <c r="A840" i="9"/>
  <c r="B840" i="9"/>
  <c r="C840" i="9"/>
  <c r="A839" i="9"/>
  <c r="B839" i="9"/>
  <c r="C839" i="9"/>
  <c r="A838" i="9"/>
  <c r="B838" i="9"/>
  <c r="C838" i="9"/>
  <c r="A837" i="9"/>
  <c r="B837" i="9"/>
  <c r="C837" i="9"/>
  <c r="A836" i="9"/>
  <c r="B836" i="9"/>
  <c r="C836" i="9"/>
  <c r="A835" i="9"/>
  <c r="B835" i="9"/>
  <c r="C835" i="9"/>
  <c r="A834" i="9"/>
  <c r="B834" i="9"/>
  <c r="C834" i="9"/>
  <c r="A833" i="9"/>
  <c r="B833" i="9"/>
  <c r="C833" i="9"/>
  <c r="A832" i="9"/>
  <c r="B832" i="9"/>
  <c r="C832" i="9"/>
  <c r="A831" i="9"/>
  <c r="B831" i="9"/>
  <c r="C831" i="9"/>
  <c r="A830" i="9"/>
  <c r="B830" i="9"/>
  <c r="C830" i="9"/>
  <c r="A829" i="9"/>
  <c r="B829" i="9"/>
  <c r="C829" i="9"/>
  <c r="A828" i="9"/>
  <c r="B828" i="9"/>
  <c r="C828" i="9"/>
  <c r="A827" i="9"/>
  <c r="B827" i="9"/>
  <c r="C827" i="9"/>
  <c r="A826" i="9"/>
  <c r="B826" i="9"/>
  <c r="C826" i="9"/>
  <c r="A825" i="9"/>
  <c r="B825" i="9"/>
  <c r="C825" i="9"/>
  <c r="A824" i="9"/>
  <c r="B824" i="9"/>
  <c r="C824" i="9"/>
  <c r="A823" i="9"/>
  <c r="B823" i="9"/>
  <c r="C823" i="9"/>
  <c r="A822" i="9"/>
  <c r="B822" i="9"/>
  <c r="C822" i="9"/>
  <c r="A821" i="9"/>
  <c r="B821" i="9"/>
  <c r="C821" i="9"/>
  <c r="A820" i="9"/>
  <c r="B820" i="9"/>
  <c r="C820" i="9"/>
  <c r="A819" i="9"/>
  <c r="B819" i="9"/>
  <c r="C819" i="9"/>
  <c r="A818" i="9"/>
  <c r="B818" i="9"/>
  <c r="C818" i="9"/>
  <c r="A817" i="9"/>
  <c r="B817" i="9"/>
  <c r="C817" i="9"/>
  <c r="A816" i="9"/>
  <c r="B816" i="9"/>
  <c r="C816" i="9"/>
  <c r="A815" i="9"/>
  <c r="B815" i="9"/>
  <c r="C815" i="9"/>
  <c r="A814" i="9"/>
  <c r="B814" i="9"/>
  <c r="C814" i="9"/>
  <c r="A813" i="9"/>
  <c r="B813" i="9"/>
  <c r="C813" i="9"/>
  <c r="A812" i="9"/>
  <c r="B812" i="9"/>
  <c r="C812" i="9"/>
  <c r="A811" i="9"/>
  <c r="B811" i="9"/>
  <c r="C811" i="9"/>
  <c r="A810" i="9"/>
  <c r="B810" i="9"/>
  <c r="C810" i="9"/>
  <c r="A809" i="9"/>
  <c r="B809" i="9"/>
  <c r="C809" i="9"/>
  <c r="A808" i="9"/>
  <c r="B808" i="9"/>
  <c r="C808" i="9"/>
  <c r="A807" i="9"/>
  <c r="B807" i="9"/>
  <c r="C807" i="9"/>
  <c r="A806" i="9"/>
  <c r="B806" i="9"/>
  <c r="C806" i="9"/>
  <c r="A805" i="9"/>
  <c r="B805" i="9"/>
  <c r="C805" i="9"/>
  <c r="A804" i="9"/>
  <c r="B804" i="9"/>
  <c r="C804" i="9"/>
  <c r="A803" i="9"/>
  <c r="B803" i="9"/>
  <c r="C803" i="9"/>
  <c r="A802" i="9"/>
  <c r="B802" i="9"/>
  <c r="C802" i="9"/>
  <c r="A801" i="9"/>
  <c r="B801" i="9"/>
  <c r="C801" i="9"/>
  <c r="A800" i="9"/>
  <c r="B800" i="9"/>
  <c r="C800" i="9"/>
  <c r="A799" i="9"/>
  <c r="B799" i="9"/>
  <c r="C799" i="9"/>
  <c r="A798" i="9"/>
  <c r="B798" i="9"/>
  <c r="C798" i="9"/>
  <c r="A797" i="9"/>
  <c r="B797" i="9"/>
  <c r="C797" i="9"/>
  <c r="A796" i="9"/>
  <c r="B796" i="9"/>
  <c r="C796" i="9"/>
  <c r="A795" i="9"/>
  <c r="B795" i="9"/>
  <c r="C795" i="9"/>
  <c r="A794" i="9"/>
  <c r="B794" i="9"/>
  <c r="C794" i="9"/>
  <c r="A793" i="9"/>
  <c r="B793" i="9"/>
  <c r="C793" i="9"/>
  <c r="A792" i="9"/>
  <c r="B792" i="9"/>
  <c r="C792" i="9"/>
  <c r="A791" i="9"/>
  <c r="B791" i="9"/>
  <c r="C791" i="9"/>
  <c r="A790" i="9"/>
  <c r="B790" i="9"/>
  <c r="C790" i="9"/>
  <c r="A789" i="9"/>
  <c r="B789" i="9"/>
  <c r="C789" i="9"/>
  <c r="A788" i="9"/>
  <c r="B788" i="9"/>
  <c r="C788" i="9"/>
  <c r="A787" i="9"/>
  <c r="B787" i="9"/>
  <c r="C787" i="9"/>
  <c r="A786" i="9"/>
  <c r="B786" i="9"/>
  <c r="C786" i="9"/>
  <c r="A785" i="9"/>
  <c r="B785" i="9"/>
  <c r="C785" i="9"/>
  <c r="A784" i="9"/>
  <c r="B784" i="9"/>
  <c r="C784" i="9"/>
  <c r="A783" i="9"/>
  <c r="B783" i="9"/>
  <c r="C783" i="9"/>
  <c r="A782" i="9"/>
  <c r="B782" i="9"/>
  <c r="C782" i="9"/>
  <c r="A781" i="9"/>
  <c r="B781" i="9"/>
  <c r="C781" i="9"/>
  <c r="A780" i="9"/>
  <c r="B780" i="9"/>
  <c r="C780" i="9"/>
  <c r="A779" i="9"/>
  <c r="B779" i="9"/>
  <c r="C779" i="9"/>
  <c r="A778" i="9"/>
  <c r="B778" i="9"/>
  <c r="C778" i="9"/>
  <c r="A777" i="9"/>
  <c r="B777" i="9"/>
  <c r="C777" i="9"/>
  <c r="A776" i="9"/>
  <c r="B776" i="9"/>
  <c r="C776" i="9"/>
  <c r="A775" i="9"/>
  <c r="B775" i="9"/>
  <c r="C775" i="9"/>
  <c r="A774" i="9"/>
  <c r="B774" i="9"/>
  <c r="C774" i="9"/>
  <c r="A773" i="9"/>
  <c r="B773" i="9"/>
  <c r="C773" i="9"/>
  <c r="A772" i="9"/>
  <c r="B772" i="9"/>
  <c r="C772" i="9"/>
  <c r="A771" i="9"/>
  <c r="B771" i="9"/>
  <c r="C771" i="9"/>
  <c r="A770" i="9"/>
  <c r="B770" i="9"/>
  <c r="C770" i="9"/>
  <c r="A769" i="9"/>
  <c r="B769" i="9"/>
  <c r="C769" i="9"/>
  <c r="A768" i="9"/>
  <c r="B768" i="9"/>
  <c r="C768" i="9"/>
  <c r="A767" i="9"/>
  <c r="B767" i="9"/>
  <c r="C767" i="9"/>
  <c r="A766" i="9"/>
  <c r="B766" i="9"/>
  <c r="C766" i="9"/>
  <c r="A765" i="9"/>
  <c r="B765" i="9"/>
  <c r="C765" i="9"/>
  <c r="A764" i="9"/>
  <c r="B764" i="9"/>
  <c r="C764" i="9"/>
  <c r="A763" i="9"/>
  <c r="B763" i="9"/>
  <c r="C763" i="9"/>
  <c r="A762" i="9"/>
  <c r="B762" i="9"/>
  <c r="C762" i="9"/>
  <c r="A761" i="9"/>
  <c r="B761" i="9"/>
  <c r="C761" i="9"/>
  <c r="A760" i="9"/>
  <c r="B760" i="9"/>
  <c r="C760" i="9"/>
  <c r="A759" i="9"/>
  <c r="B759" i="9"/>
  <c r="C759" i="9"/>
  <c r="A758" i="9"/>
  <c r="B758" i="9"/>
  <c r="C758" i="9"/>
  <c r="A757" i="9"/>
  <c r="B757" i="9"/>
  <c r="C757" i="9"/>
  <c r="A756" i="9"/>
  <c r="B756" i="9"/>
  <c r="C756" i="9"/>
  <c r="A755" i="9"/>
  <c r="B755" i="9"/>
  <c r="C755" i="9"/>
  <c r="A754" i="9"/>
  <c r="B754" i="9"/>
  <c r="C754" i="9"/>
  <c r="A753" i="9"/>
  <c r="B753" i="9"/>
  <c r="C753" i="9"/>
  <c r="A752" i="9"/>
  <c r="B752" i="9"/>
  <c r="C752" i="9"/>
  <c r="A751" i="9"/>
  <c r="B751" i="9"/>
  <c r="C751" i="9"/>
  <c r="A750" i="9"/>
  <c r="B750" i="9"/>
  <c r="C750" i="9"/>
  <c r="A749" i="9"/>
  <c r="B749" i="9"/>
  <c r="C749" i="9"/>
  <c r="A748" i="9"/>
  <c r="B748" i="9"/>
  <c r="C748" i="9"/>
  <c r="A747" i="9"/>
  <c r="B747" i="9"/>
  <c r="C747" i="9"/>
  <c r="A746" i="9"/>
  <c r="B746" i="9"/>
  <c r="C746" i="9"/>
  <c r="A745" i="9"/>
  <c r="B745" i="9"/>
  <c r="C745" i="9"/>
  <c r="A744" i="9"/>
  <c r="B744" i="9"/>
  <c r="C744" i="9"/>
  <c r="A743" i="9"/>
  <c r="B743" i="9"/>
  <c r="C743" i="9"/>
  <c r="A742" i="9"/>
  <c r="B742" i="9"/>
  <c r="C742" i="9"/>
  <c r="A741" i="9"/>
  <c r="B741" i="9"/>
  <c r="C741" i="9"/>
  <c r="A740" i="9"/>
  <c r="B740" i="9"/>
  <c r="C740" i="9"/>
  <c r="A739" i="9"/>
  <c r="B739" i="9"/>
  <c r="C739" i="9"/>
  <c r="A738" i="9"/>
  <c r="B738" i="9"/>
  <c r="C738" i="9"/>
  <c r="A737" i="9"/>
  <c r="B737" i="9"/>
  <c r="C737" i="9"/>
  <c r="A736" i="9"/>
  <c r="B736" i="9"/>
  <c r="C736" i="9"/>
  <c r="A735" i="9"/>
  <c r="B735" i="9"/>
  <c r="C735" i="9"/>
  <c r="A734" i="9"/>
  <c r="B734" i="9"/>
  <c r="C734" i="9"/>
  <c r="A733" i="9"/>
  <c r="B733" i="9"/>
  <c r="C733" i="9"/>
  <c r="A732" i="9"/>
  <c r="B732" i="9"/>
  <c r="C732" i="9"/>
  <c r="A731" i="9"/>
  <c r="B731" i="9"/>
  <c r="C731" i="9"/>
  <c r="A730" i="9"/>
  <c r="B730" i="9"/>
  <c r="C730" i="9"/>
  <c r="A729" i="9"/>
  <c r="B729" i="9"/>
  <c r="C729" i="9"/>
  <c r="A728" i="9"/>
  <c r="B728" i="9"/>
  <c r="C728" i="9"/>
  <c r="A727" i="9"/>
  <c r="B727" i="9"/>
  <c r="C727" i="9"/>
  <c r="A726" i="9"/>
  <c r="B726" i="9"/>
  <c r="C726" i="9"/>
  <c r="A725" i="9"/>
  <c r="B725" i="9"/>
  <c r="C725" i="9"/>
  <c r="A724" i="9"/>
  <c r="B724" i="9"/>
  <c r="C724" i="9"/>
  <c r="A723" i="9"/>
  <c r="B723" i="9"/>
  <c r="C723" i="9"/>
  <c r="A722" i="9"/>
  <c r="B722" i="9"/>
  <c r="C722" i="9"/>
  <c r="A721" i="9"/>
  <c r="B721" i="9"/>
  <c r="C721" i="9"/>
  <c r="A720" i="9"/>
  <c r="B720" i="9"/>
  <c r="C720" i="9"/>
  <c r="A719" i="9"/>
  <c r="B719" i="9"/>
  <c r="C719" i="9"/>
  <c r="A718" i="9"/>
  <c r="B718" i="9"/>
  <c r="C718" i="9"/>
  <c r="A717" i="9"/>
  <c r="B717" i="9"/>
  <c r="C717" i="9"/>
  <c r="A716" i="9"/>
  <c r="B716" i="9"/>
  <c r="C716" i="9"/>
  <c r="A715" i="9"/>
  <c r="B715" i="9"/>
  <c r="C715" i="9"/>
  <c r="A714" i="9"/>
  <c r="B714" i="9"/>
  <c r="C714" i="9"/>
  <c r="A713" i="9"/>
  <c r="B713" i="9"/>
  <c r="C713" i="9"/>
  <c r="A712" i="9"/>
  <c r="B712" i="9"/>
  <c r="C712" i="9"/>
  <c r="A711" i="9"/>
  <c r="B711" i="9"/>
  <c r="C711" i="9"/>
  <c r="A710" i="9"/>
  <c r="B710" i="9"/>
  <c r="C710" i="9"/>
  <c r="A709" i="9"/>
  <c r="B709" i="9"/>
  <c r="C709" i="9"/>
  <c r="A708" i="9"/>
  <c r="B708" i="9"/>
  <c r="C708" i="9"/>
  <c r="A707" i="9"/>
  <c r="B707" i="9"/>
  <c r="C707" i="9"/>
  <c r="A706" i="9"/>
  <c r="B706" i="9"/>
  <c r="C706" i="9"/>
  <c r="A705" i="9"/>
  <c r="B705" i="9"/>
  <c r="C705" i="9"/>
  <c r="A704" i="9"/>
  <c r="B704" i="9"/>
  <c r="C704" i="9"/>
  <c r="A703" i="9"/>
  <c r="B703" i="9"/>
  <c r="C703" i="9"/>
  <c r="A702" i="9"/>
  <c r="B702" i="9"/>
  <c r="C702" i="9"/>
  <c r="A701" i="9"/>
  <c r="B701" i="9"/>
  <c r="C701" i="9"/>
  <c r="A700" i="9"/>
  <c r="B700" i="9"/>
  <c r="C700" i="9"/>
  <c r="A699" i="9"/>
  <c r="B699" i="9"/>
  <c r="C699" i="9"/>
  <c r="A698" i="9"/>
  <c r="B698" i="9"/>
  <c r="C698" i="9"/>
  <c r="A697" i="9"/>
  <c r="B697" i="9"/>
  <c r="C697" i="9"/>
  <c r="A696" i="9"/>
  <c r="B696" i="9"/>
  <c r="C696" i="9"/>
  <c r="A695" i="9"/>
  <c r="B695" i="9"/>
  <c r="C695" i="9"/>
  <c r="A694" i="9"/>
  <c r="B694" i="9"/>
  <c r="C694" i="9"/>
  <c r="A693" i="9"/>
  <c r="B693" i="9"/>
  <c r="C693" i="9"/>
  <c r="A692" i="9"/>
  <c r="B692" i="9"/>
  <c r="C692" i="9"/>
  <c r="A691" i="9"/>
  <c r="B691" i="9"/>
  <c r="C691" i="9"/>
  <c r="A690" i="9"/>
  <c r="B690" i="9"/>
  <c r="C690" i="9"/>
  <c r="A689" i="9"/>
  <c r="B689" i="9"/>
  <c r="C689" i="9"/>
  <c r="A688" i="9"/>
  <c r="B688" i="9"/>
  <c r="C688" i="9"/>
  <c r="A687" i="9"/>
  <c r="B687" i="9"/>
  <c r="C687" i="9"/>
  <c r="A686" i="9"/>
  <c r="B686" i="9"/>
  <c r="C686" i="9"/>
  <c r="A685" i="9"/>
  <c r="B685" i="9"/>
  <c r="C685" i="9"/>
  <c r="A684" i="9"/>
  <c r="B684" i="9"/>
  <c r="C684" i="9"/>
  <c r="A683" i="9"/>
  <c r="B683" i="9"/>
  <c r="C683" i="9"/>
  <c r="A682" i="9"/>
  <c r="B682" i="9"/>
  <c r="C682" i="9"/>
  <c r="A681" i="9"/>
  <c r="B681" i="9"/>
  <c r="C681" i="9"/>
  <c r="A680" i="9"/>
  <c r="B680" i="9"/>
  <c r="C680" i="9"/>
  <c r="A679" i="9"/>
  <c r="B679" i="9"/>
  <c r="C679" i="9"/>
  <c r="A678" i="9"/>
  <c r="B678" i="9"/>
  <c r="C678" i="9"/>
  <c r="A677" i="9"/>
  <c r="B677" i="9"/>
  <c r="C677" i="9"/>
  <c r="A676" i="9"/>
  <c r="B676" i="9"/>
  <c r="C676" i="9"/>
  <c r="A675" i="9"/>
  <c r="B675" i="9"/>
  <c r="C675" i="9"/>
  <c r="A674" i="9"/>
  <c r="B674" i="9"/>
  <c r="C674" i="9"/>
  <c r="A673" i="9"/>
  <c r="B673" i="9"/>
  <c r="C673" i="9"/>
  <c r="A672" i="9"/>
  <c r="B672" i="9"/>
  <c r="C672" i="9"/>
  <c r="A671" i="9"/>
  <c r="B671" i="9"/>
  <c r="C671" i="9"/>
  <c r="A670" i="9"/>
  <c r="B670" i="9"/>
  <c r="C670" i="9"/>
  <c r="A669" i="9"/>
  <c r="B669" i="9"/>
  <c r="C669" i="9"/>
  <c r="A668" i="9"/>
  <c r="B668" i="9"/>
  <c r="C668" i="9"/>
  <c r="A667" i="9"/>
  <c r="B667" i="9"/>
  <c r="C667" i="9"/>
  <c r="A666" i="9"/>
  <c r="B666" i="9"/>
  <c r="C666" i="9"/>
  <c r="A665" i="9"/>
  <c r="B665" i="9"/>
  <c r="C665" i="9"/>
  <c r="A664" i="9"/>
  <c r="B664" i="9"/>
  <c r="C664" i="9"/>
  <c r="A663" i="9"/>
  <c r="B663" i="9"/>
  <c r="C663" i="9"/>
  <c r="A662" i="9"/>
  <c r="B662" i="9"/>
  <c r="C662" i="9"/>
  <c r="A661" i="9"/>
  <c r="B661" i="9"/>
  <c r="C661" i="9"/>
  <c r="A660" i="9"/>
  <c r="B660" i="9"/>
  <c r="C660" i="9"/>
  <c r="A659" i="9"/>
  <c r="B659" i="9"/>
  <c r="C659" i="9"/>
  <c r="A658" i="9"/>
  <c r="B658" i="9"/>
  <c r="C658" i="9"/>
  <c r="A657" i="9"/>
  <c r="B657" i="9"/>
  <c r="C657" i="9"/>
  <c r="A656" i="9"/>
  <c r="B656" i="9"/>
  <c r="C656" i="9"/>
  <c r="A655" i="9"/>
  <c r="B655" i="9"/>
  <c r="C655" i="9"/>
  <c r="A654" i="9"/>
  <c r="B654" i="9"/>
  <c r="C654" i="9"/>
  <c r="A653" i="9"/>
  <c r="B653" i="9"/>
  <c r="C653" i="9"/>
  <c r="A652" i="9"/>
  <c r="B652" i="9"/>
  <c r="C652" i="9"/>
  <c r="A651" i="9"/>
  <c r="B651" i="9"/>
  <c r="C651" i="9"/>
  <c r="A650" i="9"/>
  <c r="B650" i="9"/>
  <c r="C650" i="9"/>
  <c r="A649" i="9"/>
  <c r="B649" i="9"/>
  <c r="C649" i="9"/>
  <c r="A648" i="9"/>
  <c r="B648" i="9"/>
  <c r="C648" i="9"/>
  <c r="A647" i="9"/>
  <c r="B647" i="9"/>
  <c r="C647" i="9"/>
  <c r="A646" i="9"/>
  <c r="B646" i="9"/>
  <c r="C646" i="9"/>
  <c r="A645" i="9"/>
  <c r="B645" i="9"/>
  <c r="C645" i="9"/>
  <c r="A644" i="9"/>
  <c r="B644" i="9"/>
  <c r="C644" i="9"/>
  <c r="A643" i="9"/>
  <c r="B643" i="9"/>
  <c r="C643" i="9"/>
  <c r="A642" i="9"/>
  <c r="B642" i="9"/>
  <c r="C642" i="9"/>
  <c r="A641" i="9"/>
  <c r="B641" i="9"/>
  <c r="C641" i="9"/>
  <c r="A640" i="9"/>
  <c r="B640" i="9"/>
  <c r="C640" i="9"/>
  <c r="A639" i="9"/>
  <c r="B639" i="9"/>
  <c r="C639" i="9"/>
  <c r="A638" i="9"/>
  <c r="B638" i="9"/>
  <c r="C638" i="9"/>
  <c r="A637" i="9"/>
  <c r="B637" i="9"/>
  <c r="C637" i="9"/>
  <c r="A636" i="9"/>
  <c r="B636" i="9"/>
  <c r="C636" i="9"/>
  <c r="A635" i="9"/>
  <c r="B635" i="9"/>
  <c r="C635" i="9"/>
  <c r="A634" i="9"/>
  <c r="B634" i="9"/>
  <c r="C634" i="9"/>
  <c r="A633" i="9"/>
  <c r="B633" i="9"/>
  <c r="C633" i="9"/>
  <c r="A632" i="9"/>
  <c r="B632" i="9"/>
  <c r="C632" i="9"/>
  <c r="A631" i="9"/>
  <c r="B631" i="9"/>
  <c r="C631" i="9"/>
  <c r="A630" i="9"/>
  <c r="B630" i="9"/>
  <c r="C630" i="9"/>
  <c r="A629" i="9"/>
  <c r="B629" i="9"/>
  <c r="C629" i="9"/>
  <c r="A628" i="9"/>
  <c r="B628" i="9"/>
  <c r="C628" i="9"/>
  <c r="A627" i="9"/>
  <c r="B627" i="9"/>
  <c r="C627" i="9"/>
  <c r="A626" i="9"/>
  <c r="B626" i="9"/>
  <c r="C626" i="9"/>
  <c r="A625" i="9"/>
  <c r="B625" i="9"/>
  <c r="C625" i="9"/>
  <c r="A624" i="9"/>
  <c r="B624" i="9"/>
  <c r="C624" i="9"/>
  <c r="A623" i="9"/>
  <c r="B623" i="9"/>
  <c r="C623" i="9"/>
  <c r="A622" i="9"/>
  <c r="B622" i="9"/>
  <c r="C622" i="9"/>
  <c r="A621" i="9"/>
  <c r="B621" i="9"/>
  <c r="C621" i="9"/>
  <c r="A620" i="9"/>
  <c r="B620" i="9"/>
  <c r="C620" i="9"/>
  <c r="A619" i="9"/>
  <c r="B619" i="9"/>
  <c r="C619" i="9"/>
  <c r="A618" i="9"/>
  <c r="B618" i="9"/>
  <c r="C618" i="9"/>
  <c r="A617" i="9"/>
  <c r="B617" i="9"/>
  <c r="C617" i="9"/>
  <c r="A616" i="9"/>
  <c r="B616" i="9"/>
  <c r="C616" i="9"/>
  <c r="A615" i="9"/>
  <c r="B615" i="9"/>
  <c r="C615" i="9"/>
  <c r="A614" i="9"/>
  <c r="B614" i="9"/>
  <c r="C614" i="9"/>
  <c r="A613" i="9"/>
  <c r="B613" i="9"/>
  <c r="C613" i="9"/>
  <c r="A612" i="9"/>
  <c r="B612" i="9"/>
  <c r="C612" i="9"/>
  <c r="A611" i="9"/>
  <c r="B611" i="9"/>
  <c r="C611" i="9"/>
  <c r="A610" i="9"/>
  <c r="B610" i="9"/>
  <c r="C610" i="9"/>
  <c r="A609" i="9"/>
  <c r="B609" i="9"/>
  <c r="C609" i="9"/>
  <c r="A608" i="9"/>
  <c r="B608" i="9"/>
  <c r="C608" i="9"/>
  <c r="A607" i="9"/>
  <c r="B607" i="9"/>
  <c r="C607" i="9"/>
  <c r="A606" i="9"/>
  <c r="B606" i="9"/>
  <c r="C606" i="9"/>
  <c r="A605" i="9"/>
  <c r="B605" i="9"/>
  <c r="C605" i="9"/>
  <c r="A604" i="9"/>
  <c r="B604" i="9"/>
  <c r="C604" i="9"/>
  <c r="A603" i="9"/>
  <c r="B603" i="9"/>
  <c r="C603" i="9"/>
  <c r="A602" i="9"/>
  <c r="B602" i="9"/>
  <c r="C602" i="9"/>
  <c r="A601" i="9"/>
  <c r="B601" i="9"/>
  <c r="C601" i="9"/>
  <c r="A600" i="9"/>
  <c r="B600" i="9"/>
  <c r="C600" i="9"/>
  <c r="A599" i="9"/>
  <c r="B599" i="9"/>
  <c r="C599" i="9"/>
  <c r="A598" i="9"/>
  <c r="B598" i="9"/>
  <c r="C598" i="9"/>
  <c r="A597" i="9"/>
  <c r="B597" i="9"/>
  <c r="C597" i="9"/>
  <c r="A596" i="9"/>
  <c r="B596" i="9"/>
  <c r="C596" i="9"/>
  <c r="A595" i="9"/>
  <c r="B595" i="9"/>
  <c r="C595" i="9"/>
  <c r="A594" i="9"/>
  <c r="B594" i="9"/>
  <c r="C594" i="9"/>
  <c r="A593" i="9"/>
  <c r="B593" i="9"/>
  <c r="C593" i="9"/>
  <c r="A592" i="9"/>
  <c r="B592" i="9"/>
  <c r="C592" i="9"/>
  <c r="A591" i="9"/>
  <c r="B591" i="9"/>
  <c r="C591" i="9"/>
  <c r="A590" i="9"/>
  <c r="B590" i="9"/>
  <c r="C590" i="9"/>
  <c r="A589" i="9"/>
  <c r="B589" i="9"/>
  <c r="C589" i="9"/>
  <c r="A588" i="9"/>
  <c r="B588" i="9"/>
  <c r="C588" i="9"/>
  <c r="A587" i="9"/>
  <c r="B587" i="9"/>
  <c r="C587" i="9"/>
  <c r="A586" i="9"/>
  <c r="B586" i="9"/>
  <c r="C586" i="9"/>
  <c r="A585" i="9"/>
  <c r="B585" i="9"/>
  <c r="C585" i="9"/>
  <c r="A584" i="9"/>
  <c r="B584" i="9"/>
  <c r="C584" i="9"/>
  <c r="A583" i="9"/>
  <c r="B583" i="9"/>
  <c r="C583" i="9"/>
  <c r="A582" i="9"/>
  <c r="B582" i="9"/>
  <c r="C582" i="9"/>
  <c r="A581" i="9"/>
  <c r="B581" i="9"/>
  <c r="C581" i="9"/>
  <c r="A580" i="9"/>
  <c r="B580" i="9"/>
  <c r="C580" i="9"/>
  <c r="A579" i="9"/>
  <c r="B579" i="9"/>
  <c r="C579" i="9"/>
  <c r="A578" i="9"/>
  <c r="B578" i="9"/>
  <c r="C578" i="9"/>
  <c r="A577" i="9"/>
  <c r="B577" i="9"/>
  <c r="C577" i="9"/>
  <c r="A576" i="9"/>
  <c r="B576" i="9"/>
  <c r="C576" i="9"/>
  <c r="A575" i="9"/>
  <c r="B575" i="9"/>
  <c r="C575" i="9"/>
  <c r="A574" i="9"/>
  <c r="B574" i="9"/>
  <c r="C574" i="9"/>
  <c r="A573" i="9"/>
  <c r="B573" i="9"/>
  <c r="C573" i="9"/>
  <c r="A572" i="9"/>
  <c r="B572" i="9"/>
  <c r="C572" i="9"/>
  <c r="A571" i="9"/>
  <c r="B571" i="9"/>
  <c r="C571" i="9"/>
  <c r="A570" i="9"/>
  <c r="B570" i="9"/>
  <c r="C570" i="9"/>
  <c r="A569" i="9"/>
  <c r="B569" i="9"/>
  <c r="C569" i="9"/>
  <c r="A568" i="9"/>
  <c r="B568" i="9"/>
  <c r="C568" i="9"/>
  <c r="A567" i="9"/>
  <c r="B567" i="9"/>
  <c r="C567" i="9"/>
  <c r="A566" i="9"/>
  <c r="B566" i="9"/>
  <c r="C566" i="9"/>
  <c r="A565" i="9"/>
  <c r="B565" i="9"/>
  <c r="C565" i="9"/>
  <c r="A564" i="9"/>
  <c r="B564" i="9"/>
  <c r="C564" i="9"/>
  <c r="A563" i="9"/>
  <c r="B563" i="9"/>
  <c r="C563" i="9"/>
  <c r="A562" i="9"/>
  <c r="B562" i="9"/>
  <c r="C562" i="9"/>
  <c r="A561" i="9"/>
  <c r="B561" i="9"/>
  <c r="C561" i="9"/>
  <c r="A560" i="9"/>
  <c r="B560" i="9"/>
  <c r="C560" i="9"/>
  <c r="A559" i="9"/>
  <c r="B559" i="9"/>
  <c r="C559" i="9"/>
  <c r="A558" i="9"/>
  <c r="B558" i="9"/>
  <c r="C558" i="9"/>
  <c r="A557" i="9"/>
  <c r="B557" i="9"/>
  <c r="C557" i="9"/>
  <c r="A556" i="9"/>
  <c r="B556" i="9"/>
  <c r="C556" i="9"/>
  <c r="A555" i="9"/>
  <c r="B555" i="9"/>
  <c r="C555" i="9"/>
  <c r="A554" i="9"/>
  <c r="B554" i="9"/>
  <c r="C554" i="9"/>
  <c r="A553" i="9"/>
  <c r="B553" i="9"/>
  <c r="C553" i="9"/>
  <c r="A552" i="9"/>
  <c r="B552" i="9"/>
  <c r="C552" i="9"/>
  <c r="A551" i="9"/>
  <c r="B551" i="9"/>
  <c r="C551" i="9"/>
  <c r="A550" i="9"/>
  <c r="B550" i="9"/>
  <c r="C550" i="9"/>
  <c r="A549" i="9"/>
  <c r="B549" i="9"/>
  <c r="C549" i="9"/>
  <c r="A548" i="9"/>
  <c r="B548" i="9"/>
  <c r="C548" i="9"/>
  <c r="A547" i="9"/>
  <c r="B547" i="9"/>
  <c r="C547" i="9"/>
  <c r="A546" i="9"/>
  <c r="B546" i="9"/>
  <c r="C546" i="9"/>
  <c r="A545" i="9"/>
  <c r="B545" i="9"/>
  <c r="C545" i="9"/>
  <c r="A544" i="9"/>
  <c r="B544" i="9"/>
  <c r="C544" i="9"/>
  <c r="A543" i="9"/>
  <c r="B543" i="9"/>
  <c r="C543" i="9"/>
  <c r="A542" i="9"/>
  <c r="B542" i="9"/>
  <c r="C542" i="9"/>
  <c r="A541" i="9"/>
  <c r="B541" i="9"/>
  <c r="C541" i="9"/>
  <c r="A540" i="9"/>
  <c r="B540" i="9"/>
  <c r="C540" i="9"/>
  <c r="A539" i="9"/>
  <c r="B539" i="9"/>
  <c r="C539" i="9"/>
  <c r="A538" i="9"/>
  <c r="B538" i="9"/>
  <c r="C538" i="9"/>
  <c r="A537" i="9"/>
  <c r="B537" i="9"/>
  <c r="C537" i="9"/>
  <c r="A536" i="9"/>
  <c r="B536" i="9"/>
  <c r="C536" i="9"/>
  <c r="A535" i="9"/>
  <c r="B535" i="9"/>
  <c r="C535" i="9"/>
  <c r="A534" i="9"/>
  <c r="B534" i="9"/>
  <c r="C534" i="9"/>
  <c r="A533" i="9"/>
  <c r="B533" i="9"/>
  <c r="C533" i="9"/>
  <c r="A532" i="9"/>
  <c r="B532" i="9"/>
  <c r="C532" i="9"/>
  <c r="A531" i="9"/>
  <c r="B531" i="9"/>
  <c r="C531" i="9"/>
  <c r="A530" i="9"/>
  <c r="B530" i="9"/>
  <c r="C530" i="9"/>
  <c r="A529" i="9"/>
  <c r="B529" i="9"/>
  <c r="C529" i="9"/>
  <c r="A528" i="9"/>
  <c r="B528" i="9"/>
  <c r="C528" i="9"/>
  <c r="A527" i="9"/>
  <c r="B527" i="9"/>
  <c r="C527" i="9"/>
  <c r="A526" i="9"/>
  <c r="B526" i="9"/>
  <c r="C526" i="9"/>
  <c r="A525" i="9"/>
  <c r="B525" i="9"/>
  <c r="C525" i="9"/>
  <c r="A524" i="9"/>
  <c r="B524" i="9"/>
  <c r="C524" i="9"/>
  <c r="A523" i="9"/>
  <c r="B523" i="9"/>
  <c r="C523" i="9"/>
  <c r="A522" i="9"/>
  <c r="B522" i="9"/>
  <c r="C522" i="9"/>
  <c r="A521" i="9"/>
  <c r="B521" i="9"/>
  <c r="C521" i="9"/>
  <c r="A520" i="9"/>
  <c r="B520" i="9"/>
  <c r="C520" i="9"/>
  <c r="A519" i="9"/>
  <c r="B519" i="9"/>
  <c r="C519" i="9"/>
  <c r="A518" i="9"/>
  <c r="B518" i="9"/>
  <c r="C518" i="9"/>
  <c r="A517" i="9"/>
  <c r="B517" i="9"/>
  <c r="C517" i="9"/>
  <c r="A516" i="9"/>
  <c r="B516" i="9"/>
  <c r="C516" i="9"/>
  <c r="A515" i="9"/>
  <c r="B515" i="9"/>
  <c r="C515" i="9"/>
  <c r="A514" i="9"/>
  <c r="B514" i="9"/>
  <c r="C514" i="9"/>
  <c r="A513" i="9"/>
  <c r="B513" i="9"/>
  <c r="C513" i="9"/>
  <c r="A512" i="9"/>
  <c r="B512" i="9"/>
  <c r="C512" i="9"/>
  <c r="A511" i="9"/>
  <c r="B511" i="9"/>
  <c r="C511" i="9"/>
  <c r="A510" i="9"/>
  <c r="B510" i="9"/>
  <c r="C510" i="9"/>
  <c r="A509" i="9"/>
  <c r="B509" i="9"/>
  <c r="C509" i="9"/>
  <c r="A508" i="9"/>
  <c r="B508" i="9"/>
  <c r="C508" i="9"/>
  <c r="A507" i="9"/>
  <c r="B507" i="9"/>
  <c r="C507" i="9"/>
  <c r="A506" i="9"/>
  <c r="B506" i="9"/>
  <c r="C506" i="9"/>
  <c r="A505" i="9"/>
  <c r="B505" i="9"/>
  <c r="C505" i="9"/>
  <c r="A504" i="9"/>
  <c r="B504" i="9"/>
  <c r="C504" i="9"/>
  <c r="A503" i="9"/>
  <c r="B503" i="9"/>
  <c r="C503" i="9"/>
  <c r="A502" i="9"/>
  <c r="B502" i="9"/>
  <c r="C502" i="9"/>
  <c r="A501" i="9"/>
  <c r="B501" i="9"/>
  <c r="C501" i="9"/>
  <c r="A500" i="9"/>
  <c r="B500" i="9"/>
  <c r="C500" i="9"/>
  <c r="A499" i="9"/>
  <c r="B499" i="9"/>
  <c r="C499" i="9"/>
  <c r="A498" i="9"/>
  <c r="B498" i="9"/>
  <c r="C498" i="9"/>
  <c r="A497" i="9"/>
  <c r="B497" i="9"/>
  <c r="C497" i="9"/>
  <c r="A496" i="9"/>
  <c r="B496" i="9"/>
  <c r="C496" i="9"/>
  <c r="A495" i="9"/>
  <c r="B495" i="9"/>
  <c r="C495" i="9"/>
  <c r="A494" i="9"/>
  <c r="B494" i="9"/>
  <c r="C494" i="9"/>
  <c r="A493" i="9"/>
  <c r="B493" i="9"/>
  <c r="C493" i="9"/>
  <c r="A492" i="9"/>
  <c r="B492" i="9"/>
  <c r="C492" i="9"/>
  <c r="A491" i="9"/>
  <c r="B491" i="9"/>
  <c r="C491" i="9"/>
  <c r="A490" i="9"/>
  <c r="B490" i="9"/>
  <c r="C490" i="9"/>
  <c r="A489" i="9"/>
  <c r="B489" i="9"/>
  <c r="C489" i="9"/>
  <c r="A488" i="9"/>
  <c r="B488" i="9"/>
  <c r="C488" i="9"/>
  <c r="A487" i="9"/>
  <c r="B487" i="9"/>
  <c r="C487" i="9"/>
  <c r="A486" i="9"/>
  <c r="B486" i="9"/>
  <c r="C486" i="9"/>
  <c r="A485" i="9"/>
  <c r="B485" i="9"/>
  <c r="C485" i="9"/>
  <c r="A484" i="9"/>
  <c r="B484" i="9"/>
  <c r="C484" i="9"/>
  <c r="A483" i="9"/>
  <c r="B483" i="9"/>
  <c r="C483" i="9"/>
  <c r="A482" i="9"/>
  <c r="B482" i="9"/>
  <c r="C482" i="9"/>
  <c r="A481" i="9"/>
  <c r="B481" i="9"/>
  <c r="C481" i="9"/>
  <c r="A480" i="9"/>
  <c r="B480" i="9"/>
  <c r="C480" i="9"/>
  <c r="A479" i="9"/>
  <c r="B479" i="9"/>
  <c r="C479" i="9"/>
  <c r="A478" i="9"/>
  <c r="B478" i="9"/>
  <c r="C478" i="9"/>
  <c r="A477" i="9"/>
  <c r="B477" i="9"/>
  <c r="C477" i="9"/>
  <c r="A476" i="9"/>
  <c r="B476" i="9"/>
  <c r="C476" i="9"/>
  <c r="A475" i="9"/>
  <c r="B475" i="9"/>
  <c r="C475" i="9"/>
  <c r="A474" i="9"/>
  <c r="B474" i="9"/>
  <c r="C474" i="9"/>
  <c r="A473" i="9"/>
  <c r="B473" i="9"/>
  <c r="C473" i="9"/>
  <c r="A472" i="9"/>
  <c r="B472" i="9"/>
  <c r="C472" i="9"/>
  <c r="A471" i="9"/>
  <c r="B471" i="9"/>
  <c r="C471" i="9"/>
  <c r="A470" i="9"/>
  <c r="B470" i="9"/>
  <c r="C470" i="9"/>
  <c r="A469" i="9"/>
  <c r="B469" i="9"/>
  <c r="C469" i="9"/>
  <c r="A468" i="9"/>
  <c r="B468" i="9"/>
  <c r="C468" i="9"/>
  <c r="A467" i="9"/>
  <c r="B467" i="9"/>
  <c r="C467" i="9"/>
  <c r="A466" i="9"/>
  <c r="B466" i="9"/>
  <c r="C466" i="9"/>
  <c r="A465" i="9"/>
  <c r="B465" i="9"/>
  <c r="C465" i="9"/>
  <c r="A464" i="9"/>
  <c r="B464" i="9"/>
  <c r="C464" i="9"/>
  <c r="A463" i="9"/>
  <c r="B463" i="9"/>
  <c r="C463" i="9"/>
  <c r="A462" i="9"/>
  <c r="B462" i="9"/>
  <c r="C462" i="9"/>
  <c r="A461" i="9"/>
  <c r="B461" i="9"/>
  <c r="C461" i="9"/>
  <c r="A460" i="9"/>
  <c r="B460" i="9"/>
  <c r="C460" i="9"/>
  <c r="A459" i="9"/>
  <c r="B459" i="9"/>
  <c r="C459" i="9"/>
  <c r="A458" i="9"/>
  <c r="B458" i="9"/>
  <c r="C458" i="9"/>
  <c r="A457" i="9"/>
  <c r="B457" i="9"/>
  <c r="C457" i="9"/>
  <c r="A456" i="9"/>
  <c r="B456" i="9"/>
  <c r="C456" i="9"/>
  <c r="A455" i="9"/>
  <c r="B455" i="9"/>
  <c r="C455" i="9"/>
  <c r="A454" i="9"/>
  <c r="B454" i="9"/>
  <c r="C454" i="9"/>
  <c r="A453" i="9"/>
  <c r="B453" i="9"/>
  <c r="C453" i="9"/>
  <c r="A452" i="9"/>
  <c r="B452" i="9"/>
  <c r="C452" i="9"/>
  <c r="A451" i="9"/>
  <c r="B451" i="9"/>
  <c r="C451" i="9"/>
  <c r="A450" i="9"/>
  <c r="B450" i="9"/>
  <c r="C450" i="9"/>
  <c r="A449" i="9"/>
  <c r="B449" i="9"/>
  <c r="C449" i="9"/>
  <c r="A448" i="9"/>
  <c r="B448" i="9"/>
  <c r="C448" i="9"/>
  <c r="A447" i="9"/>
  <c r="B447" i="9"/>
  <c r="C447" i="9"/>
  <c r="A446" i="9"/>
  <c r="B446" i="9"/>
  <c r="C446" i="9"/>
  <c r="A445" i="9"/>
  <c r="B445" i="9"/>
  <c r="C445" i="9"/>
  <c r="A444" i="9"/>
  <c r="B444" i="9"/>
  <c r="C444" i="9"/>
  <c r="A443" i="9"/>
  <c r="B443" i="9"/>
  <c r="C443" i="9"/>
  <c r="A442" i="9"/>
  <c r="B442" i="9"/>
  <c r="C442" i="9"/>
  <c r="A441" i="9"/>
  <c r="B441" i="9"/>
  <c r="C441" i="9"/>
  <c r="A440" i="9"/>
  <c r="B440" i="9"/>
  <c r="C440" i="9"/>
  <c r="A439" i="9"/>
  <c r="B439" i="9"/>
  <c r="C439" i="9"/>
  <c r="A438" i="9"/>
  <c r="B438" i="9"/>
  <c r="C438" i="9"/>
  <c r="A437" i="9"/>
  <c r="B437" i="9"/>
  <c r="C437" i="9"/>
  <c r="A436" i="9"/>
  <c r="B436" i="9"/>
  <c r="C436" i="9"/>
  <c r="A435" i="9"/>
  <c r="B435" i="9"/>
  <c r="C435" i="9"/>
  <c r="A434" i="9"/>
  <c r="B434" i="9"/>
  <c r="C434" i="9"/>
  <c r="A433" i="9"/>
  <c r="B433" i="9"/>
  <c r="C433" i="9"/>
  <c r="A432" i="9"/>
  <c r="B432" i="9"/>
  <c r="C432" i="9"/>
  <c r="A431" i="9"/>
  <c r="B431" i="9"/>
  <c r="C431" i="9"/>
  <c r="A430" i="9"/>
  <c r="B430" i="9"/>
  <c r="C430" i="9"/>
  <c r="A429" i="9"/>
  <c r="B429" i="9"/>
  <c r="C429" i="9"/>
  <c r="A428" i="9"/>
  <c r="B428" i="9"/>
  <c r="C428" i="9"/>
  <c r="A427" i="9"/>
  <c r="B427" i="9"/>
  <c r="C427" i="9"/>
  <c r="A426" i="9"/>
  <c r="B426" i="9"/>
  <c r="C426" i="9"/>
  <c r="A425" i="9"/>
  <c r="B425" i="9"/>
  <c r="C425" i="9"/>
  <c r="A424" i="9"/>
  <c r="B424" i="9"/>
  <c r="C424" i="9"/>
  <c r="A423" i="9"/>
  <c r="B423" i="9"/>
  <c r="C423" i="9"/>
  <c r="A422" i="9"/>
  <c r="B422" i="9"/>
  <c r="C422" i="9"/>
  <c r="A421" i="9"/>
  <c r="B421" i="9"/>
  <c r="C421" i="9"/>
  <c r="A420" i="9"/>
  <c r="B420" i="9"/>
  <c r="C420" i="9"/>
  <c r="A419" i="9"/>
  <c r="B419" i="9"/>
  <c r="C419" i="9"/>
  <c r="A418" i="9"/>
  <c r="B418" i="9"/>
  <c r="C418" i="9"/>
  <c r="A417" i="9"/>
  <c r="B417" i="9"/>
  <c r="C417" i="9"/>
  <c r="A416" i="9"/>
  <c r="B416" i="9"/>
  <c r="C416" i="9"/>
  <c r="A415" i="9"/>
  <c r="B415" i="9"/>
  <c r="C415" i="9"/>
  <c r="A414" i="9"/>
  <c r="B414" i="9"/>
  <c r="C414" i="9"/>
  <c r="A413" i="9"/>
  <c r="B413" i="9"/>
  <c r="C413" i="9"/>
  <c r="A412" i="9"/>
  <c r="B412" i="9"/>
  <c r="C412" i="9"/>
  <c r="A411" i="9"/>
  <c r="B411" i="9"/>
  <c r="C411" i="9"/>
  <c r="A410" i="9"/>
  <c r="B410" i="9"/>
  <c r="C410" i="9"/>
  <c r="A409" i="9"/>
  <c r="B409" i="9"/>
  <c r="C409" i="9"/>
  <c r="A408" i="9"/>
  <c r="B408" i="9"/>
  <c r="C408" i="9"/>
  <c r="A407" i="9"/>
  <c r="B407" i="9"/>
  <c r="C407" i="9"/>
  <c r="A406" i="9"/>
  <c r="B406" i="9"/>
  <c r="C406" i="9"/>
  <c r="A405" i="9"/>
  <c r="B405" i="9"/>
  <c r="C405" i="9"/>
  <c r="A404" i="9"/>
  <c r="B404" i="9"/>
  <c r="C404" i="9"/>
  <c r="A403" i="9"/>
  <c r="B403" i="9"/>
  <c r="C403" i="9"/>
  <c r="A402" i="9"/>
  <c r="B402" i="9"/>
  <c r="C402" i="9"/>
  <c r="A401" i="9"/>
  <c r="B401" i="9"/>
  <c r="C401" i="9"/>
  <c r="A400" i="9"/>
  <c r="B400" i="9"/>
  <c r="C400" i="9"/>
  <c r="A399" i="9"/>
  <c r="B399" i="9"/>
  <c r="C399" i="9"/>
  <c r="A398" i="9"/>
  <c r="B398" i="9"/>
  <c r="C398" i="9"/>
  <c r="A397" i="9"/>
  <c r="B397" i="9"/>
  <c r="C397" i="9"/>
  <c r="A396" i="9"/>
  <c r="B396" i="9"/>
  <c r="C396" i="9"/>
  <c r="A395" i="9"/>
  <c r="B395" i="9"/>
  <c r="C395" i="9"/>
  <c r="A394" i="9"/>
  <c r="B394" i="9"/>
  <c r="C394" i="9"/>
  <c r="A393" i="9"/>
  <c r="B393" i="9"/>
  <c r="C393" i="9"/>
  <c r="A392" i="9"/>
  <c r="B392" i="9"/>
  <c r="C392" i="9"/>
  <c r="A391" i="9"/>
  <c r="B391" i="9"/>
  <c r="C391" i="9"/>
  <c r="A390" i="9"/>
  <c r="B390" i="9"/>
  <c r="C390" i="9"/>
  <c r="A389" i="9"/>
  <c r="B389" i="9"/>
  <c r="C389" i="9"/>
  <c r="A388" i="9"/>
  <c r="B388" i="9"/>
  <c r="C388" i="9"/>
  <c r="A387" i="9"/>
  <c r="B387" i="9"/>
  <c r="C387" i="9"/>
  <c r="A386" i="9"/>
  <c r="B386" i="9"/>
  <c r="C386" i="9"/>
  <c r="A385" i="9"/>
  <c r="B385" i="9"/>
  <c r="C385" i="9"/>
  <c r="A384" i="9"/>
  <c r="B384" i="9"/>
  <c r="C384" i="9"/>
  <c r="A383" i="9"/>
  <c r="B383" i="9"/>
  <c r="C383" i="9"/>
  <c r="A382" i="9"/>
  <c r="B382" i="9"/>
  <c r="C382" i="9"/>
  <c r="A381" i="9"/>
  <c r="B381" i="9"/>
  <c r="C381" i="9"/>
  <c r="A380" i="9"/>
  <c r="B380" i="9"/>
  <c r="C380" i="9"/>
  <c r="A379" i="9"/>
  <c r="B379" i="9"/>
  <c r="C379" i="9"/>
  <c r="A378" i="9"/>
  <c r="B378" i="9"/>
  <c r="C378" i="9"/>
  <c r="A377" i="9"/>
  <c r="B377" i="9"/>
  <c r="C377" i="9"/>
  <c r="A376" i="9"/>
  <c r="B376" i="9"/>
  <c r="C376" i="9"/>
  <c r="A375" i="9"/>
  <c r="B375" i="9"/>
  <c r="C375" i="9"/>
  <c r="A374" i="9"/>
  <c r="B374" i="9"/>
  <c r="C374" i="9"/>
  <c r="A373" i="9"/>
  <c r="B373" i="9"/>
  <c r="C373" i="9"/>
  <c r="A372" i="9"/>
  <c r="B372" i="9"/>
  <c r="C372" i="9"/>
  <c r="A371" i="9"/>
  <c r="B371" i="9"/>
  <c r="C371" i="9"/>
  <c r="A370" i="9"/>
  <c r="B370" i="9"/>
  <c r="C370" i="9"/>
  <c r="A369" i="9"/>
  <c r="B369" i="9"/>
  <c r="C369" i="9"/>
  <c r="A368" i="9"/>
  <c r="B368" i="9"/>
  <c r="C368" i="9"/>
  <c r="A367" i="9"/>
  <c r="B367" i="9"/>
  <c r="C367" i="9"/>
  <c r="A366" i="9"/>
  <c r="B366" i="9"/>
  <c r="C366" i="9"/>
  <c r="A365" i="9"/>
  <c r="B365" i="9"/>
  <c r="C365" i="9"/>
  <c r="A364" i="9"/>
  <c r="B364" i="9"/>
  <c r="C364" i="9"/>
  <c r="A363" i="9"/>
  <c r="B363" i="9"/>
  <c r="C363" i="9"/>
  <c r="A362" i="9"/>
  <c r="B362" i="9"/>
  <c r="C362" i="9"/>
  <c r="A361" i="9"/>
  <c r="B361" i="9"/>
  <c r="C361" i="9"/>
  <c r="A360" i="9"/>
  <c r="B360" i="9"/>
  <c r="C360" i="9"/>
  <c r="A359" i="9"/>
  <c r="B359" i="9"/>
  <c r="C359" i="9"/>
  <c r="A358" i="9"/>
  <c r="B358" i="9"/>
  <c r="C358" i="9"/>
  <c r="A357" i="9"/>
  <c r="B357" i="9"/>
  <c r="C357" i="9"/>
  <c r="A356" i="9"/>
  <c r="B356" i="9"/>
  <c r="C356" i="9"/>
  <c r="A355" i="9"/>
  <c r="B355" i="9"/>
  <c r="C355" i="9"/>
  <c r="A354" i="9"/>
  <c r="B354" i="9"/>
  <c r="C354" i="9"/>
  <c r="A353" i="9"/>
  <c r="B353" i="9"/>
  <c r="C353" i="9"/>
  <c r="A352" i="9"/>
  <c r="B352" i="9"/>
  <c r="C352" i="9"/>
  <c r="A351" i="9"/>
  <c r="B351" i="9"/>
  <c r="C351" i="9"/>
  <c r="A350" i="9"/>
  <c r="B350" i="9"/>
  <c r="C350" i="9"/>
  <c r="A349" i="9"/>
  <c r="B349" i="9"/>
  <c r="C349" i="9"/>
  <c r="A348" i="9"/>
  <c r="B348" i="9"/>
  <c r="C348" i="9"/>
  <c r="A347" i="9"/>
  <c r="B347" i="9"/>
  <c r="C347" i="9"/>
  <c r="A346" i="9"/>
  <c r="B346" i="9"/>
  <c r="C346" i="9"/>
  <c r="A345" i="9"/>
  <c r="B345" i="9"/>
  <c r="C345" i="9"/>
  <c r="A344" i="9"/>
  <c r="B344" i="9"/>
  <c r="C344" i="9"/>
  <c r="A343" i="9"/>
  <c r="B343" i="9"/>
  <c r="C343" i="9"/>
  <c r="A342" i="9"/>
  <c r="B342" i="9"/>
  <c r="C342" i="9"/>
  <c r="A341" i="9"/>
  <c r="B341" i="9"/>
  <c r="C341" i="9"/>
  <c r="A340" i="9"/>
  <c r="B340" i="9"/>
  <c r="C340" i="9"/>
  <c r="A339" i="9"/>
  <c r="B339" i="9"/>
  <c r="C339" i="9"/>
  <c r="A338" i="9"/>
  <c r="B338" i="9"/>
  <c r="C338" i="9"/>
  <c r="A337" i="9"/>
  <c r="B337" i="9"/>
  <c r="C337" i="9"/>
  <c r="A336" i="9"/>
  <c r="B336" i="9"/>
  <c r="C336" i="9"/>
  <c r="A335" i="9"/>
  <c r="B335" i="9"/>
  <c r="C335" i="9"/>
  <c r="A334" i="9"/>
  <c r="B334" i="9"/>
  <c r="C334" i="9"/>
  <c r="A333" i="9"/>
  <c r="B333" i="9"/>
  <c r="C333" i="9"/>
  <c r="A332" i="9"/>
  <c r="B332" i="9"/>
  <c r="C332" i="9"/>
  <c r="A331" i="9"/>
  <c r="B331" i="9"/>
  <c r="C331" i="9"/>
  <c r="A330" i="9"/>
  <c r="B330" i="9"/>
  <c r="C330" i="9"/>
  <c r="A329" i="9"/>
  <c r="B329" i="9"/>
  <c r="C329" i="9"/>
  <c r="A328" i="9"/>
  <c r="B328" i="9"/>
  <c r="C328" i="9"/>
  <c r="A327" i="9"/>
  <c r="B327" i="9"/>
  <c r="C327" i="9"/>
  <c r="A326" i="9"/>
  <c r="B326" i="9"/>
  <c r="C326" i="9"/>
  <c r="A325" i="9"/>
  <c r="B325" i="9"/>
  <c r="C325" i="9"/>
  <c r="A324" i="9"/>
  <c r="B324" i="9"/>
  <c r="C324" i="9"/>
  <c r="A323" i="9"/>
  <c r="B323" i="9"/>
  <c r="C323" i="9"/>
  <c r="A322" i="9"/>
  <c r="B322" i="9"/>
  <c r="C322" i="9"/>
  <c r="A321" i="9"/>
  <c r="B321" i="9"/>
  <c r="C321" i="9"/>
  <c r="A320" i="9"/>
  <c r="B320" i="9"/>
  <c r="C320" i="9"/>
  <c r="A319" i="9"/>
  <c r="B319" i="9"/>
  <c r="C319" i="9"/>
  <c r="A318" i="9"/>
  <c r="B318" i="9"/>
  <c r="C318" i="9"/>
  <c r="A317" i="9"/>
  <c r="B317" i="9"/>
  <c r="C317" i="9"/>
  <c r="A316" i="9"/>
  <c r="B316" i="9"/>
  <c r="C316" i="9"/>
  <c r="A315" i="9"/>
  <c r="B315" i="9"/>
  <c r="C315" i="9"/>
  <c r="A314" i="9"/>
  <c r="B314" i="9"/>
  <c r="C314" i="9"/>
  <c r="A313" i="9"/>
  <c r="B313" i="9"/>
  <c r="C313" i="9"/>
  <c r="A312" i="9"/>
  <c r="B312" i="9"/>
  <c r="C312" i="9"/>
  <c r="A311" i="9"/>
  <c r="B311" i="9"/>
  <c r="C311" i="9"/>
  <c r="A310" i="9"/>
  <c r="B310" i="9"/>
  <c r="C310" i="9"/>
  <c r="A309" i="9"/>
  <c r="B309" i="9"/>
  <c r="C309" i="9"/>
  <c r="A308" i="9"/>
  <c r="B308" i="9"/>
  <c r="C308" i="9"/>
  <c r="A307" i="9"/>
  <c r="B307" i="9"/>
  <c r="C307" i="9"/>
  <c r="A306" i="9"/>
  <c r="B306" i="9"/>
  <c r="C306" i="9"/>
  <c r="A305" i="9"/>
  <c r="B305" i="9"/>
  <c r="C305" i="9"/>
  <c r="A304" i="9"/>
  <c r="B304" i="9"/>
  <c r="C304" i="9"/>
  <c r="A303" i="9"/>
  <c r="B303" i="9"/>
  <c r="C303" i="9"/>
  <c r="A302" i="9"/>
  <c r="B302" i="9"/>
  <c r="C302" i="9"/>
  <c r="A301" i="9"/>
  <c r="B301" i="9"/>
  <c r="C301" i="9"/>
  <c r="A300" i="9"/>
  <c r="B300" i="9"/>
  <c r="C300" i="9"/>
  <c r="A299" i="9"/>
  <c r="B299" i="9"/>
  <c r="C299" i="9"/>
  <c r="A298" i="9"/>
  <c r="B298" i="9"/>
  <c r="C298" i="9"/>
  <c r="A297" i="9"/>
  <c r="B297" i="9"/>
  <c r="C297" i="9"/>
  <c r="A296" i="9"/>
  <c r="B296" i="9"/>
  <c r="C296" i="9"/>
  <c r="A295" i="9"/>
  <c r="B295" i="9"/>
  <c r="C295" i="9"/>
  <c r="A294" i="9"/>
  <c r="B294" i="9"/>
  <c r="C294" i="9"/>
  <c r="A293" i="9"/>
  <c r="B293" i="9"/>
  <c r="C293" i="9"/>
  <c r="A292" i="9"/>
  <c r="B292" i="9"/>
  <c r="C292" i="9"/>
  <c r="A291" i="9"/>
  <c r="B291" i="9"/>
  <c r="C291" i="9"/>
  <c r="A290" i="9"/>
  <c r="B290" i="9"/>
  <c r="C290" i="9"/>
  <c r="A289" i="9"/>
  <c r="B289" i="9"/>
  <c r="C289" i="9"/>
  <c r="A288" i="9"/>
  <c r="B288" i="9"/>
  <c r="C288" i="9"/>
  <c r="A287" i="9"/>
  <c r="B287" i="9"/>
  <c r="C287" i="9"/>
  <c r="A286" i="9"/>
  <c r="B286" i="9"/>
  <c r="C286" i="9"/>
  <c r="A285" i="9"/>
  <c r="B285" i="9"/>
  <c r="C285" i="9"/>
  <c r="A284" i="9"/>
  <c r="B284" i="9"/>
  <c r="C284" i="9"/>
  <c r="A283" i="9"/>
  <c r="B283" i="9"/>
  <c r="C283" i="9"/>
  <c r="A282" i="9"/>
  <c r="B282" i="9"/>
  <c r="C282" i="9"/>
  <c r="A281" i="9"/>
  <c r="B281" i="9"/>
  <c r="C281" i="9"/>
  <c r="A280" i="9"/>
  <c r="B280" i="9"/>
  <c r="C280" i="9"/>
  <c r="A279" i="9"/>
  <c r="B279" i="9"/>
  <c r="C279" i="9"/>
  <c r="A278" i="9"/>
  <c r="B278" i="9"/>
  <c r="C278" i="9"/>
  <c r="A277" i="9"/>
  <c r="B277" i="9"/>
  <c r="C277" i="9"/>
  <c r="A276" i="9"/>
  <c r="B276" i="9"/>
  <c r="C276" i="9"/>
  <c r="A275" i="9"/>
  <c r="B275" i="9"/>
  <c r="C275" i="9"/>
  <c r="A274" i="9"/>
  <c r="B274" i="9"/>
  <c r="C274" i="9"/>
  <c r="A273" i="9"/>
  <c r="B273" i="9"/>
  <c r="C273" i="9"/>
  <c r="A272" i="9"/>
  <c r="B272" i="9"/>
  <c r="C272" i="9"/>
  <c r="A271" i="9"/>
  <c r="B271" i="9"/>
  <c r="C271" i="9"/>
  <c r="A270" i="9"/>
  <c r="B270" i="9"/>
  <c r="C270" i="9"/>
  <c r="A269" i="9"/>
  <c r="B269" i="9"/>
  <c r="C269" i="9"/>
  <c r="A268" i="9"/>
  <c r="B268" i="9"/>
  <c r="C268" i="9"/>
  <c r="A267" i="9"/>
  <c r="B267" i="9"/>
  <c r="C267" i="9"/>
  <c r="A266" i="9"/>
  <c r="B266" i="9"/>
  <c r="C266" i="9"/>
  <c r="A265" i="9"/>
  <c r="B265" i="9"/>
  <c r="C265" i="9"/>
  <c r="A264" i="9"/>
  <c r="B264" i="9"/>
  <c r="C264" i="9"/>
  <c r="A263" i="9"/>
  <c r="B263" i="9"/>
  <c r="C263" i="9"/>
  <c r="A262" i="9"/>
  <c r="B262" i="9"/>
  <c r="C262" i="9"/>
  <c r="A261" i="9"/>
  <c r="B261" i="9"/>
  <c r="C261" i="9"/>
  <c r="A260" i="9"/>
  <c r="B260" i="9"/>
  <c r="C260" i="9"/>
  <c r="A259" i="9"/>
  <c r="B259" i="9"/>
  <c r="C259" i="9"/>
  <c r="A258" i="9"/>
  <c r="B258" i="9"/>
  <c r="C258" i="9"/>
  <c r="A257" i="9"/>
  <c r="B257" i="9"/>
  <c r="C257" i="9"/>
  <c r="A256" i="9"/>
  <c r="B256" i="9"/>
  <c r="C256" i="9"/>
  <c r="A255" i="9"/>
  <c r="B255" i="9"/>
  <c r="C255" i="9"/>
  <c r="A254" i="9"/>
  <c r="B254" i="9"/>
  <c r="C254" i="9"/>
  <c r="A253" i="9"/>
  <c r="B253" i="9"/>
  <c r="C253" i="9"/>
  <c r="A252" i="9"/>
  <c r="B252" i="9"/>
  <c r="C252" i="9"/>
  <c r="A251" i="9"/>
  <c r="B251" i="9"/>
  <c r="C251" i="9"/>
  <c r="A250" i="9"/>
  <c r="B250" i="9"/>
  <c r="C250" i="9"/>
  <c r="A249" i="9"/>
  <c r="B249" i="9"/>
  <c r="C249" i="9"/>
  <c r="A248" i="9"/>
  <c r="B248" i="9"/>
  <c r="C248" i="9"/>
  <c r="A247" i="9"/>
  <c r="B247" i="9"/>
  <c r="C247" i="9"/>
  <c r="A246" i="9"/>
  <c r="B246" i="9"/>
  <c r="C246" i="9"/>
  <c r="A245" i="9"/>
  <c r="B245" i="9"/>
  <c r="C245" i="9"/>
  <c r="A244" i="9"/>
  <c r="B244" i="9"/>
  <c r="C244" i="9"/>
  <c r="A243" i="9"/>
  <c r="B243" i="9"/>
  <c r="C243" i="9"/>
  <c r="A242" i="9"/>
  <c r="B242" i="9"/>
  <c r="C242" i="9"/>
  <c r="A241" i="9"/>
  <c r="B241" i="9"/>
  <c r="C241" i="9"/>
  <c r="A240" i="9"/>
  <c r="B240" i="9"/>
  <c r="C240" i="9"/>
  <c r="A239" i="9"/>
  <c r="B239" i="9"/>
  <c r="C239" i="9"/>
  <c r="A238" i="9"/>
  <c r="B238" i="9"/>
  <c r="C238" i="9"/>
  <c r="A237" i="9"/>
  <c r="B237" i="9"/>
  <c r="C237" i="9"/>
  <c r="A236" i="9"/>
  <c r="B236" i="9"/>
  <c r="C236" i="9"/>
  <c r="A235" i="9"/>
  <c r="B235" i="9"/>
  <c r="C235" i="9"/>
  <c r="A234" i="9"/>
  <c r="B234" i="9"/>
  <c r="C234" i="9"/>
  <c r="A233" i="9"/>
  <c r="B233" i="9"/>
  <c r="C233" i="9"/>
  <c r="A232" i="9"/>
  <c r="B232" i="9"/>
  <c r="C232" i="9"/>
  <c r="A231" i="9"/>
  <c r="B231" i="9"/>
  <c r="C231" i="9"/>
  <c r="A230" i="9"/>
  <c r="B230" i="9"/>
  <c r="C230" i="9"/>
  <c r="A229" i="9"/>
  <c r="B229" i="9"/>
  <c r="C229" i="9"/>
  <c r="A228" i="9"/>
  <c r="B228" i="9"/>
  <c r="C228" i="9"/>
  <c r="A227" i="9"/>
  <c r="B227" i="9"/>
  <c r="C227" i="9"/>
  <c r="A226" i="9"/>
  <c r="B226" i="9"/>
  <c r="C226" i="9"/>
  <c r="A225" i="9"/>
  <c r="B225" i="9"/>
  <c r="C225" i="9"/>
  <c r="A224" i="9"/>
  <c r="B224" i="9"/>
  <c r="C224" i="9"/>
  <c r="A223" i="9"/>
  <c r="B223" i="9"/>
  <c r="C223" i="9"/>
  <c r="A222" i="9"/>
  <c r="B222" i="9"/>
  <c r="C222" i="9"/>
  <c r="A221" i="9"/>
  <c r="B221" i="9"/>
  <c r="C221" i="9"/>
  <c r="A220" i="9"/>
  <c r="B220" i="9"/>
  <c r="C220" i="9"/>
  <c r="A219" i="9"/>
  <c r="B219" i="9"/>
  <c r="C219" i="9"/>
  <c r="A218" i="9"/>
  <c r="B218" i="9"/>
  <c r="C218" i="9"/>
  <c r="A217" i="9"/>
  <c r="B217" i="9"/>
  <c r="C217" i="9"/>
  <c r="A216" i="9"/>
  <c r="B216" i="9"/>
  <c r="C216" i="9"/>
  <c r="A215" i="9"/>
  <c r="B215" i="9"/>
  <c r="C215" i="9"/>
  <c r="A214" i="9"/>
  <c r="B214" i="9"/>
  <c r="C214" i="9"/>
  <c r="A213" i="9"/>
  <c r="B213" i="9"/>
  <c r="C213" i="9"/>
  <c r="A212" i="9"/>
  <c r="B212" i="9"/>
  <c r="C212" i="9"/>
  <c r="A211" i="9"/>
  <c r="B211" i="9"/>
  <c r="C211" i="9"/>
  <c r="A210" i="9"/>
  <c r="B210" i="9"/>
  <c r="C210" i="9"/>
  <c r="A209" i="9"/>
  <c r="B209" i="9"/>
  <c r="C209" i="9"/>
  <c r="A208" i="9"/>
  <c r="B208" i="9"/>
  <c r="C208" i="9"/>
  <c r="A207" i="9"/>
  <c r="B207" i="9"/>
  <c r="C207" i="9"/>
  <c r="A206" i="9"/>
  <c r="B206" i="9"/>
  <c r="C206" i="9"/>
  <c r="A205" i="9"/>
  <c r="B205" i="9"/>
  <c r="C205" i="9"/>
  <c r="A204" i="9"/>
  <c r="B204" i="9"/>
  <c r="C204" i="9"/>
  <c r="A203" i="9"/>
  <c r="B203" i="9"/>
  <c r="C203" i="9"/>
  <c r="A202" i="9"/>
  <c r="B202" i="9"/>
  <c r="C202" i="9"/>
  <c r="A201" i="9"/>
  <c r="B201" i="9"/>
  <c r="C201" i="9"/>
  <c r="A200" i="9"/>
  <c r="B200" i="9"/>
  <c r="C200" i="9"/>
  <c r="A199" i="9"/>
  <c r="B199" i="9"/>
  <c r="C199" i="9"/>
  <c r="A198" i="9"/>
  <c r="B198" i="9"/>
  <c r="C198" i="9"/>
  <c r="A197" i="9"/>
  <c r="B197" i="9"/>
  <c r="C197" i="9"/>
  <c r="A196" i="9"/>
  <c r="B196" i="9"/>
  <c r="C196" i="9"/>
  <c r="A195" i="9"/>
  <c r="B195" i="9"/>
  <c r="C195" i="9"/>
  <c r="A194" i="9"/>
  <c r="B194" i="9"/>
  <c r="C194" i="9"/>
  <c r="A193" i="9"/>
  <c r="B193" i="9"/>
  <c r="C193" i="9"/>
  <c r="A192" i="9"/>
  <c r="B192" i="9"/>
  <c r="C192" i="9"/>
  <c r="A191" i="9"/>
  <c r="B191" i="9"/>
  <c r="C191" i="9"/>
  <c r="A190" i="9"/>
  <c r="B190" i="9"/>
  <c r="C190" i="9"/>
  <c r="A189" i="9"/>
  <c r="B189" i="9"/>
  <c r="C189" i="9"/>
  <c r="A188" i="9"/>
  <c r="B188" i="9"/>
  <c r="C188" i="9"/>
  <c r="A187" i="9"/>
  <c r="B187" i="9"/>
  <c r="C187" i="9"/>
  <c r="A186" i="9"/>
  <c r="B186" i="9"/>
  <c r="C186" i="9"/>
  <c r="A185" i="9"/>
  <c r="B185" i="9"/>
  <c r="C185" i="9"/>
  <c r="A184" i="9"/>
  <c r="B184" i="9"/>
  <c r="C184" i="9"/>
  <c r="A183" i="9"/>
  <c r="B183" i="9"/>
  <c r="C183" i="9"/>
  <c r="A182" i="9"/>
  <c r="B182" i="9"/>
  <c r="C182" i="9"/>
  <c r="A181" i="9"/>
  <c r="B181" i="9"/>
  <c r="C181" i="9"/>
  <c r="A180" i="9"/>
  <c r="B180" i="9"/>
  <c r="C180" i="9"/>
  <c r="A179" i="9"/>
  <c r="B179" i="9"/>
  <c r="C179" i="9"/>
  <c r="A178" i="9"/>
  <c r="B178" i="9"/>
  <c r="C178" i="9"/>
  <c r="A177" i="9"/>
  <c r="B177" i="9"/>
  <c r="C177" i="9"/>
  <c r="A176" i="9"/>
  <c r="B176" i="9"/>
  <c r="C176" i="9"/>
  <c r="A175" i="9"/>
  <c r="B175" i="9"/>
  <c r="C175" i="9"/>
  <c r="A174" i="9"/>
  <c r="B174" i="9"/>
  <c r="C174" i="9"/>
  <c r="A173" i="9"/>
  <c r="B173" i="9"/>
  <c r="C173" i="9"/>
  <c r="A172" i="9"/>
  <c r="B172" i="9"/>
  <c r="C172" i="9"/>
  <c r="A171" i="9"/>
  <c r="B171" i="9"/>
  <c r="C171" i="9"/>
  <c r="A170" i="9"/>
  <c r="B170" i="9"/>
  <c r="C170" i="9"/>
  <c r="A169" i="9"/>
  <c r="B169" i="9"/>
  <c r="C169" i="9"/>
  <c r="A168" i="9"/>
  <c r="B168" i="9"/>
  <c r="C168" i="9"/>
  <c r="A167" i="9"/>
  <c r="B167" i="9"/>
  <c r="C167" i="9"/>
  <c r="A166" i="9"/>
  <c r="B166" i="9"/>
  <c r="C166" i="9"/>
  <c r="A165" i="9"/>
  <c r="B165" i="9"/>
  <c r="C165" i="9"/>
  <c r="A164" i="9"/>
  <c r="B164" i="9"/>
  <c r="C164" i="9"/>
  <c r="A163" i="9"/>
  <c r="B163" i="9"/>
  <c r="C163" i="9"/>
  <c r="A162" i="9"/>
  <c r="B162" i="9"/>
  <c r="C162" i="9"/>
  <c r="A161" i="9"/>
  <c r="B161" i="9"/>
  <c r="C161" i="9"/>
  <c r="A160" i="9"/>
  <c r="B160" i="9"/>
  <c r="C160" i="9"/>
  <c r="A159" i="9"/>
  <c r="B159" i="9"/>
  <c r="C159" i="9"/>
  <c r="A158" i="9"/>
  <c r="B158" i="9"/>
  <c r="C158" i="9"/>
  <c r="A157" i="9"/>
  <c r="B157" i="9"/>
  <c r="C157" i="9"/>
  <c r="A156" i="9"/>
  <c r="B156" i="9"/>
  <c r="C156" i="9"/>
  <c r="A155" i="9"/>
  <c r="B155" i="9"/>
  <c r="C155" i="9"/>
  <c r="A154" i="9"/>
  <c r="B154" i="9"/>
  <c r="C154" i="9"/>
  <c r="A153" i="9"/>
  <c r="B153" i="9"/>
  <c r="C153" i="9"/>
  <c r="A152" i="9"/>
  <c r="B152" i="9"/>
  <c r="C152" i="9"/>
  <c r="A151" i="9"/>
  <c r="B151" i="9"/>
  <c r="C151" i="9"/>
  <c r="A150" i="9"/>
  <c r="B150" i="9"/>
  <c r="C150" i="9"/>
  <c r="A149" i="9"/>
  <c r="B149" i="9"/>
  <c r="C149" i="9"/>
  <c r="A148" i="9"/>
  <c r="B148" i="9"/>
  <c r="C148" i="9"/>
  <c r="A147" i="9"/>
  <c r="B147" i="9"/>
  <c r="C147" i="9"/>
  <c r="A146" i="9"/>
  <c r="B146" i="9"/>
  <c r="C146" i="9"/>
  <c r="A145" i="9"/>
  <c r="B145" i="9"/>
  <c r="C145" i="9"/>
  <c r="A144" i="9"/>
  <c r="B144" i="9"/>
  <c r="C144" i="9"/>
  <c r="A143" i="9"/>
  <c r="B143" i="9"/>
  <c r="C143" i="9"/>
  <c r="A142" i="9"/>
  <c r="B142" i="9"/>
  <c r="C142" i="9"/>
  <c r="A141" i="9"/>
  <c r="B141" i="9"/>
  <c r="C141" i="9"/>
  <c r="A140" i="9"/>
  <c r="B140" i="9"/>
  <c r="C140" i="9"/>
  <c r="A139" i="9"/>
  <c r="B139" i="9"/>
  <c r="C139" i="9"/>
  <c r="A138" i="9"/>
  <c r="B138" i="9"/>
  <c r="C138" i="9"/>
  <c r="A137" i="9"/>
  <c r="B137" i="9"/>
  <c r="C137" i="9"/>
  <c r="A136" i="9"/>
  <c r="B136" i="9"/>
  <c r="C136" i="9"/>
  <c r="A135" i="9"/>
  <c r="B135" i="9"/>
  <c r="C135" i="9"/>
  <c r="A134" i="9"/>
  <c r="B134" i="9"/>
  <c r="C134" i="9"/>
  <c r="A133" i="9"/>
  <c r="B133" i="9"/>
  <c r="C133" i="9"/>
  <c r="A132" i="9"/>
  <c r="B132" i="9"/>
  <c r="C132" i="9"/>
  <c r="A131" i="9"/>
  <c r="B131" i="9"/>
  <c r="C131" i="9"/>
  <c r="A130" i="9"/>
  <c r="B130" i="9"/>
  <c r="C130" i="9"/>
  <c r="A129" i="9"/>
  <c r="B129" i="9"/>
  <c r="C129" i="9"/>
  <c r="A128" i="9"/>
  <c r="B128" i="9"/>
  <c r="C128" i="9"/>
  <c r="A127" i="9"/>
  <c r="B127" i="9"/>
  <c r="C127" i="9"/>
  <c r="A126" i="9"/>
  <c r="B126" i="9"/>
  <c r="C126" i="9"/>
  <c r="A125" i="9"/>
  <c r="B125" i="9"/>
  <c r="C125" i="9"/>
  <c r="A124" i="9"/>
  <c r="B124" i="9"/>
  <c r="C124" i="9"/>
  <c r="A123" i="9"/>
  <c r="B123" i="9"/>
  <c r="C123" i="9"/>
  <c r="A122" i="9"/>
  <c r="B122" i="9"/>
  <c r="C122" i="9"/>
  <c r="A121" i="9"/>
  <c r="B121" i="9"/>
  <c r="C121" i="9"/>
  <c r="A120" i="9"/>
  <c r="B120" i="9"/>
  <c r="C120" i="9"/>
  <c r="A119" i="9"/>
  <c r="B119" i="9"/>
  <c r="C119" i="9"/>
  <c r="A118" i="9"/>
  <c r="B118" i="9"/>
  <c r="C118" i="9"/>
  <c r="A117" i="9"/>
  <c r="B117" i="9"/>
  <c r="C117" i="9"/>
  <c r="A116" i="9"/>
  <c r="B116" i="9"/>
  <c r="C116" i="9"/>
  <c r="A115" i="9"/>
  <c r="B115" i="9"/>
  <c r="C115" i="9"/>
  <c r="A114" i="9"/>
  <c r="B114" i="9"/>
  <c r="C114" i="9"/>
  <c r="A113" i="9"/>
  <c r="B113" i="9"/>
  <c r="C113" i="9"/>
  <c r="A112" i="9"/>
  <c r="B112" i="9"/>
  <c r="C112" i="9"/>
  <c r="A111" i="9"/>
  <c r="B111" i="9"/>
  <c r="C111" i="9"/>
  <c r="A110" i="9"/>
  <c r="B110" i="9"/>
  <c r="C110" i="9"/>
  <c r="A109" i="9"/>
  <c r="B109" i="9"/>
  <c r="C109" i="9"/>
  <c r="A108" i="9"/>
  <c r="B108" i="9"/>
  <c r="C108" i="9"/>
  <c r="A107" i="9"/>
  <c r="B107" i="9"/>
  <c r="C107" i="9"/>
  <c r="A106" i="9"/>
  <c r="B106" i="9"/>
  <c r="C106" i="9"/>
  <c r="A105" i="9"/>
  <c r="B105" i="9"/>
  <c r="C105" i="9"/>
  <c r="A104" i="9"/>
  <c r="B104" i="9"/>
  <c r="C104" i="9"/>
  <c r="A103" i="9"/>
  <c r="B103" i="9"/>
  <c r="C103" i="9"/>
  <c r="A102" i="9"/>
  <c r="B102" i="9"/>
  <c r="C102" i="9"/>
  <c r="A101" i="9"/>
  <c r="B101" i="9"/>
  <c r="C101" i="9"/>
  <c r="A100" i="9"/>
  <c r="B100" i="9"/>
  <c r="C100" i="9"/>
  <c r="A99" i="9"/>
  <c r="B99" i="9"/>
  <c r="C99" i="9"/>
  <c r="A98" i="9"/>
  <c r="B98" i="9"/>
  <c r="C98" i="9"/>
  <c r="A97" i="9"/>
  <c r="B97" i="9"/>
  <c r="C97" i="9"/>
  <c r="A96" i="9"/>
  <c r="B96" i="9"/>
  <c r="C96" i="9"/>
  <c r="A95" i="9"/>
  <c r="B95" i="9"/>
  <c r="C95" i="9"/>
  <c r="A94" i="9"/>
  <c r="B94" i="9"/>
  <c r="C94" i="9"/>
  <c r="A93" i="9"/>
  <c r="B93" i="9"/>
  <c r="C93" i="9"/>
  <c r="A92" i="9"/>
  <c r="B92" i="9"/>
  <c r="C92" i="9"/>
  <c r="A91" i="9"/>
  <c r="B91" i="9"/>
  <c r="C91" i="9"/>
  <c r="A90" i="9"/>
  <c r="B90" i="9"/>
  <c r="C90" i="9"/>
  <c r="A89" i="9"/>
  <c r="B89" i="9"/>
  <c r="C89" i="9"/>
  <c r="A88" i="9"/>
  <c r="B88" i="9"/>
  <c r="C88" i="9"/>
  <c r="A87" i="9"/>
  <c r="B87" i="9"/>
  <c r="C87" i="9"/>
  <c r="A86" i="9"/>
  <c r="B86" i="9"/>
  <c r="C86" i="9"/>
  <c r="A85" i="9"/>
  <c r="B85" i="9"/>
  <c r="C85" i="9"/>
  <c r="A84" i="9"/>
  <c r="B84" i="9"/>
  <c r="C84" i="9"/>
  <c r="A83" i="9"/>
  <c r="B83" i="9"/>
  <c r="C83" i="9"/>
  <c r="A82" i="9"/>
  <c r="B82" i="9"/>
  <c r="C82" i="9"/>
  <c r="A81" i="9"/>
  <c r="B81" i="9"/>
  <c r="C81" i="9"/>
  <c r="A80" i="9"/>
  <c r="B80" i="9"/>
  <c r="C80" i="9"/>
  <c r="A79" i="9"/>
  <c r="B79" i="9"/>
  <c r="C79" i="9"/>
  <c r="A78" i="9"/>
  <c r="B78" i="9"/>
  <c r="C78" i="9"/>
  <c r="A77" i="9"/>
  <c r="B77" i="9"/>
  <c r="C77" i="9"/>
  <c r="A76" i="9"/>
  <c r="B76" i="9"/>
  <c r="C76" i="9"/>
  <c r="A75" i="9"/>
  <c r="B75" i="9"/>
  <c r="C75" i="9"/>
  <c r="A74" i="9"/>
  <c r="B74" i="9"/>
  <c r="C74" i="9"/>
  <c r="A73" i="9"/>
  <c r="B73" i="9"/>
  <c r="C73" i="9"/>
  <c r="A72" i="9"/>
  <c r="B72" i="9"/>
  <c r="C72" i="9"/>
  <c r="A71" i="9"/>
  <c r="B71" i="9"/>
  <c r="C71" i="9"/>
  <c r="A70" i="9"/>
  <c r="B70" i="9"/>
  <c r="C70" i="9"/>
  <c r="A69" i="9"/>
  <c r="B69" i="9"/>
  <c r="C69" i="9"/>
  <c r="A68" i="9"/>
  <c r="B68" i="9"/>
  <c r="C68" i="9"/>
  <c r="A67" i="9"/>
  <c r="B67" i="9"/>
  <c r="C67" i="9"/>
  <c r="A66" i="9"/>
  <c r="B66" i="9"/>
  <c r="C66" i="9"/>
  <c r="A65" i="9"/>
  <c r="B65" i="9"/>
  <c r="C65" i="9"/>
  <c r="A64" i="9"/>
  <c r="B64" i="9"/>
  <c r="C64" i="9"/>
  <c r="A63" i="9"/>
  <c r="B63" i="9"/>
  <c r="C63" i="9"/>
  <c r="A62" i="9"/>
  <c r="B62" i="9"/>
  <c r="C62" i="9"/>
  <c r="A61" i="9"/>
  <c r="B61" i="9"/>
  <c r="C61" i="9"/>
  <c r="A60" i="9"/>
  <c r="B60" i="9"/>
  <c r="C60" i="9"/>
  <c r="A59" i="9"/>
  <c r="B59" i="9"/>
  <c r="C59" i="9"/>
  <c r="A58" i="9"/>
  <c r="B58" i="9"/>
  <c r="C58" i="9"/>
  <c r="A57" i="9"/>
  <c r="B57" i="9"/>
  <c r="C57" i="9"/>
  <c r="A56" i="9"/>
  <c r="B56" i="9"/>
  <c r="C56" i="9"/>
  <c r="A55" i="9"/>
  <c r="B55" i="9"/>
  <c r="C55" i="9"/>
  <c r="A54" i="9"/>
  <c r="B54" i="9"/>
  <c r="C54" i="9"/>
  <c r="A53" i="9"/>
  <c r="B53" i="9"/>
  <c r="C53" i="9"/>
  <c r="A52" i="9"/>
  <c r="B52" i="9"/>
  <c r="C52" i="9"/>
  <c r="A51" i="9"/>
  <c r="B51" i="9"/>
  <c r="C51" i="9"/>
  <c r="A50" i="9"/>
  <c r="B50" i="9"/>
  <c r="C50" i="9"/>
  <c r="A49" i="9"/>
  <c r="B49" i="9"/>
  <c r="C49" i="9"/>
  <c r="A48" i="9"/>
  <c r="B48" i="9"/>
  <c r="C48" i="9"/>
  <c r="A47" i="9"/>
  <c r="B47" i="9"/>
  <c r="C47" i="9"/>
  <c r="A46" i="9"/>
  <c r="B46" i="9"/>
  <c r="C46" i="9"/>
  <c r="A45" i="9"/>
  <c r="B45" i="9"/>
  <c r="C45" i="9"/>
  <c r="A44" i="9"/>
  <c r="B44" i="9"/>
  <c r="C44" i="9"/>
  <c r="A43" i="9"/>
  <c r="B43" i="9"/>
  <c r="C43" i="9"/>
  <c r="A42" i="9"/>
  <c r="B42" i="9"/>
  <c r="C42" i="9"/>
  <c r="A41" i="9"/>
  <c r="B41" i="9"/>
  <c r="C41" i="9"/>
  <c r="A40" i="9"/>
  <c r="B40" i="9"/>
  <c r="C40" i="9"/>
  <c r="A39" i="9"/>
  <c r="B39" i="9"/>
  <c r="C39" i="9"/>
  <c r="A38" i="9"/>
  <c r="B38" i="9"/>
  <c r="C38" i="9"/>
  <c r="A37" i="9"/>
  <c r="B37" i="9"/>
  <c r="C37" i="9"/>
  <c r="A36" i="9"/>
  <c r="B36" i="9"/>
  <c r="C36" i="9"/>
  <c r="A35" i="9"/>
  <c r="B35" i="9"/>
  <c r="C35" i="9"/>
  <c r="A34" i="9"/>
  <c r="B34" i="9"/>
  <c r="C34" i="9"/>
  <c r="A33" i="9"/>
  <c r="B33" i="9"/>
  <c r="C33" i="9"/>
  <c r="A32" i="9"/>
  <c r="B32" i="9"/>
  <c r="C32" i="9"/>
  <c r="A31" i="9"/>
  <c r="B31" i="9"/>
  <c r="C31" i="9"/>
  <c r="A30" i="9"/>
  <c r="B30" i="9"/>
  <c r="C30" i="9"/>
  <c r="A29" i="9"/>
  <c r="B29" i="9"/>
  <c r="C29" i="9"/>
  <c r="A28" i="9"/>
  <c r="B28" i="9"/>
  <c r="C28" i="9"/>
  <c r="A27" i="9"/>
  <c r="B27" i="9"/>
  <c r="C27" i="9"/>
  <c r="A26" i="9"/>
  <c r="B26" i="9"/>
  <c r="C26" i="9"/>
  <c r="A25" i="9"/>
  <c r="B25" i="9"/>
  <c r="C25" i="9"/>
  <c r="A24" i="9"/>
  <c r="B24" i="9"/>
  <c r="C24" i="9"/>
  <c r="A23" i="9"/>
  <c r="B23" i="9"/>
  <c r="C23" i="9"/>
  <c r="A22" i="9"/>
  <c r="B22" i="9"/>
  <c r="C22" i="9"/>
  <c r="A21" i="9"/>
  <c r="B21" i="9"/>
  <c r="C21" i="9"/>
  <c r="A20" i="9"/>
  <c r="B20" i="9"/>
  <c r="C20" i="9"/>
  <c r="A19" i="9"/>
  <c r="B19" i="9"/>
  <c r="C19" i="9"/>
  <c r="A18" i="9"/>
  <c r="B18" i="9"/>
  <c r="C18" i="9"/>
  <c r="A17" i="9"/>
  <c r="B17" i="9"/>
  <c r="C17" i="9"/>
  <c r="A16" i="9"/>
  <c r="B16" i="9"/>
  <c r="C16" i="9"/>
  <c r="A15" i="9"/>
  <c r="B15" i="9"/>
  <c r="C15" i="9"/>
  <c r="A14" i="9"/>
  <c r="B14" i="9"/>
  <c r="C14" i="9"/>
  <c r="A13" i="9"/>
  <c r="B13" i="9"/>
  <c r="C13" i="9"/>
  <c r="A12" i="9"/>
  <c r="B12" i="9"/>
  <c r="C12" i="9"/>
  <c r="A11" i="9"/>
  <c r="B11" i="9"/>
  <c r="C11" i="9"/>
  <c r="A10" i="9"/>
  <c r="B10" i="9"/>
  <c r="C10" i="9"/>
  <c r="A9" i="9"/>
  <c r="B9" i="9"/>
  <c r="C9" i="9"/>
  <c r="A8" i="9"/>
  <c r="B8" i="9"/>
  <c r="C8" i="9"/>
  <c r="A7" i="9"/>
  <c r="B7" i="9"/>
  <c r="C7" i="9"/>
  <c r="A6" i="9"/>
  <c r="B6" i="9"/>
  <c r="C6" i="9"/>
  <c r="A5" i="9"/>
  <c r="B5" i="9"/>
  <c r="C5" i="9"/>
  <c r="A4" i="9"/>
  <c r="B4" i="9"/>
  <c r="C4" i="9"/>
  <c r="A3" i="9"/>
  <c r="B3" i="9"/>
  <c r="C3" i="9"/>
  <c r="A2" i="9"/>
  <c r="B2" i="9"/>
  <c r="C2" i="9"/>
  <c r="A2612" i="8"/>
  <c r="B2612" i="8"/>
  <c r="C2612" i="8"/>
  <c r="A2611" i="8"/>
  <c r="B2611" i="8"/>
  <c r="C2611" i="8"/>
  <c r="A2610" i="8"/>
  <c r="B2610" i="8"/>
  <c r="C2610" i="8"/>
  <c r="A2609" i="8"/>
  <c r="B2609" i="8"/>
  <c r="C2609" i="8"/>
  <c r="A2608" i="8"/>
  <c r="B2608" i="8"/>
  <c r="C2608" i="8"/>
  <c r="A2607" i="8"/>
  <c r="B2607" i="8"/>
  <c r="C2607" i="8"/>
  <c r="A2606" i="8"/>
  <c r="B2606" i="8"/>
  <c r="C2606" i="8"/>
  <c r="A2605" i="8"/>
  <c r="B2605" i="8"/>
  <c r="C2605" i="8"/>
  <c r="A2604" i="8"/>
  <c r="B2604" i="8"/>
  <c r="C2604" i="8"/>
  <c r="A2603" i="8"/>
  <c r="B2603" i="8"/>
  <c r="C2603" i="8"/>
  <c r="A2602" i="8"/>
  <c r="B2602" i="8"/>
  <c r="C2602" i="8"/>
  <c r="A2601" i="8"/>
  <c r="B2601" i="8"/>
  <c r="C2601" i="8"/>
  <c r="A2600" i="8"/>
  <c r="B2600" i="8"/>
  <c r="C2600" i="8"/>
  <c r="A2599" i="8"/>
  <c r="B2599" i="8"/>
  <c r="C2599" i="8"/>
  <c r="A2598" i="8"/>
  <c r="B2598" i="8"/>
  <c r="C2598" i="8"/>
  <c r="A2597" i="8"/>
  <c r="B2597" i="8"/>
  <c r="C2597" i="8"/>
  <c r="A2596" i="8"/>
  <c r="B2596" i="8"/>
  <c r="C2596" i="8"/>
  <c r="A2595" i="8"/>
  <c r="B2595" i="8"/>
  <c r="C2595" i="8"/>
  <c r="A2594" i="8"/>
  <c r="B2594" i="8"/>
  <c r="C2594" i="8"/>
  <c r="A2593" i="8"/>
  <c r="B2593" i="8"/>
  <c r="C2593" i="8"/>
  <c r="A2592" i="8"/>
  <c r="B2592" i="8"/>
  <c r="C2592" i="8"/>
  <c r="A2591" i="8"/>
  <c r="B2591" i="8"/>
  <c r="C2591" i="8"/>
  <c r="A2590" i="8"/>
  <c r="B2590" i="8"/>
  <c r="C2590" i="8"/>
  <c r="A2589" i="8"/>
  <c r="B2589" i="8"/>
  <c r="C2589" i="8"/>
  <c r="A2588" i="8"/>
  <c r="B2588" i="8"/>
  <c r="C2588" i="8"/>
  <c r="A2587" i="8"/>
  <c r="B2587" i="8"/>
  <c r="C2587" i="8"/>
  <c r="A2586" i="8"/>
  <c r="B2586" i="8"/>
  <c r="C2586" i="8"/>
  <c r="A2585" i="8"/>
  <c r="B2585" i="8"/>
  <c r="C2585" i="8"/>
  <c r="A2584" i="8"/>
  <c r="B2584" i="8"/>
  <c r="C2584" i="8"/>
  <c r="A2583" i="8"/>
  <c r="B2583" i="8"/>
  <c r="C2583" i="8"/>
  <c r="A2582" i="8"/>
  <c r="B2582" i="8"/>
  <c r="C2582" i="8"/>
  <c r="A2581" i="8"/>
  <c r="B2581" i="8"/>
  <c r="C2581" i="8"/>
  <c r="A2580" i="8"/>
  <c r="B2580" i="8"/>
  <c r="C2580" i="8"/>
  <c r="A2579" i="8"/>
  <c r="B2579" i="8"/>
  <c r="C2579" i="8"/>
  <c r="A2578" i="8"/>
  <c r="B2578" i="8"/>
  <c r="C2578" i="8"/>
  <c r="A2577" i="8"/>
  <c r="B2577" i="8"/>
  <c r="C2577" i="8"/>
  <c r="A2576" i="8"/>
  <c r="B2576" i="8"/>
  <c r="C2576" i="8"/>
  <c r="A2575" i="8"/>
  <c r="B2575" i="8"/>
  <c r="C2575" i="8"/>
  <c r="A2574" i="8"/>
  <c r="B2574" i="8"/>
  <c r="C2574" i="8"/>
  <c r="A2573" i="8"/>
  <c r="B2573" i="8"/>
  <c r="C2573" i="8"/>
  <c r="A2572" i="8"/>
  <c r="B2572" i="8"/>
  <c r="C2572" i="8"/>
  <c r="A2571" i="8"/>
  <c r="B2571" i="8"/>
  <c r="C2571" i="8"/>
  <c r="A2570" i="8"/>
  <c r="B2570" i="8"/>
  <c r="C2570" i="8"/>
  <c r="A2569" i="8"/>
  <c r="B2569" i="8"/>
  <c r="C2569" i="8"/>
  <c r="A2568" i="8"/>
  <c r="B2568" i="8"/>
  <c r="C2568" i="8"/>
  <c r="A2567" i="8"/>
  <c r="B2567" i="8"/>
  <c r="C2567" i="8"/>
  <c r="A2566" i="8"/>
  <c r="B2566" i="8"/>
  <c r="C2566" i="8"/>
  <c r="A2565" i="8"/>
  <c r="B2565" i="8"/>
  <c r="C2565" i="8"/>
  <c r="A2564" i="8"/>
  <c r="B2564" i="8"/>
  <c r="C2564" i="8"/>
  <c r="A2563" i="8"/>
  <c r="B2563" i="8"/>
  <c r="C2563" i="8"/>
  <c r="A2562" i="8"/>
  <c r="B2562" i="8"/>
  <c r="C2562" i="8"/>
  <c r="A2561" i="8"/>
  <c r="B2561" i="8"/>
  <c r="C2561" i="8"/>
  <c r="A2560" i="8"/>
  <c r="B2560" i="8"/>
  <c r="C2560" i="8"/>
  <c r="A2559" i="8"/>
  <c r="B2559" i="8"/>
  <c r="C2559" i="8"/>
  <c r="A2558" i="8"/>
  <c r="B2558" i="8"/>
  <c r="C2558" i="8"/>
  <c r="A2557" i="8"/>
  <c r="B2557" i="8"/>
  <c r="C2557" i="8"/>
  <c r="A2556" i="8"/>
  <c r="B2556" i="8"/>
  <c r="C2556" i="8"/>
  <c r="A2555" i="8"/>
  <c r="B2555" i="8"/>
  <c r="C2555" i="8"/>
  <c r="A2554" i="8"/>
  <c r="B2554" i="8"/>
  <c r="C2554" i="8"/>
  <c r="A2553" i="8"/>
  <c r="B2553" i="8"/>
  <c r="C2553" i="8"/>
  <c r="A2552" i="8"/>
  <c r="B2552" i="8"/>
  <c r="C2552" i="8"/>
  <c r="A2551" i="8"/>
  <c r="B2551" i="8"/>
  <c r="C2551" i="8"/>
  <c r="A2550" i="8"/>
  <c r="B2550" i="8"/>
  <c r="C2550" i="8"/>
  <c r="A2549" i="8"/>
  <c r="B2549" i="8"/>
  <c r="C2549" i="8"/>
  <c r="A2548" i="8"/>
  <c r="B2548" i="8"/>
  <c r="C2548" i="8"/>
  <c r="A2547" i="8"/>
  <c r="B2547" i="8"/>
  <c r="C2547" i="8"/>
  <c r="A2546" i="8"/>
  <c r="B2546" i="8"/>
  <c r="C2546" i="8"/>
  <c r="A2545" i="8"/>
  <c r="B2545" i="8"/>
  <c r="C2545" i="8"/>
  <c r="A2544" i="8"/>
  <c r="B2544" i="8"/>
  <c r="C2544" i="8"/>
  <c r="A2543" i="8"/>
  <c r="B2543" i="8"/>
  <c r="C2543" i="8"/>
  <c r="A2542" i="8"/>
  <c r="B2542" i="8"/>
  <c r="C2542" i="8"/>
  <c r="A2541" i="8"/>
  <c r="B2541" i="8"/>
  <c r="C2541" i="8"/>
  <c r="A2540" i="8"/>
  <c r="B2540" i="8"/>
  <c r="C2540" i="8"/>
  <c r="A2539" i="8"/>
  <c r="B2539" i="8"/>
  <c r="C2539" i="8"/>
  <c r="A2538" i="8"/>
  <c r="B2538" i="8"/>
  <c r="C2538" i="8"/>
  <c r="A2537" i="8"/>
  <c r="B2537" i="8"/>
  <c r="C2537" i="8"/>
  <c r="A2536" i="8"/>
  <c r="B2536" i="8"/>
  <c r="C2536" i="8"/>
  <c r="A2535" i="8"/>
  <c r="B2535" i="8"/>
  <c r="C2535" i="8"/>
  <c r="A2534" i="8"/>
  <c r="B2534" i="8"/>
  <c r="C2534" i="8"/>
  <c r="A2533" i="8"/>
  <c r="B2533" i="8"/>
  <c r="C2533" i="8"/>
  <c r="A2532" i="8"/>
  <c r="B2532" i="8"/>
  <c r="C2532" i="8"/>
  <c r="A2531" i="8"/>
  <c r="B2531" i="8"/>
  <c r="C2531" i="8"/>
  <c r="A2530" i="8"/>
  <c r="B2530" i="8"/>
  <c r="C2530" i="8"/>
  <c r="A2529" i="8"/>
  <c r="B2529" i="8"/>
  <c r="C2529" i="8"/>
  <c r="A2528" i="8"/>
  <c r="B2528" i="8"/>
  <c r="C2528" i="8"/>
  <c r="A2527" i="8"/>
  <c r="B2527" i="8"/>
  <c r="C2527" i="8"/>
  <c r="A2526" i="8"/>
  <c r="B2526" i="8"/>
  <c r="C2526" i="8"/>
  <c r="A2525" i="8"/>
  <c r="B2525" i="8"/>
  <c r="C2525" i="8"/>
  <c r="A2524" i="8"/>
  <c r="B2524" i="8"/>
  <c r="C2524" i="8"/>
  <c r="A2523" i="8"/>
  <c r="B2523" i="8"/>
  <c r="C2523" i="8"/>
  <c r="A2522" i="8"/>
  <c r="B2522" i="8"/>
  <c r="C2522" i="8"/>
  <c r="A2521" i="8"/>
  <c r="B2521" i="8"/>
  <c r="C2521" i="8"/>
  <c r="A2520" i="8"/>
  <c r="B2520" i="8"/>
  <c r="C2520" i="8"/>
  <c r="A2519" i="8"/>
  <c r="B2519" i="8"/>
  <c r="C2519" i="8"/>
  <c r="A2518" i="8"/>
  <c r="B2518" i="8"/>
  <c r="C2518" i="8"/>
  <c r="A2517" i="8"/>
  <c r="B2517" i="8"/>
  <c r="C2517" i="8"/>
  <c r="A2516" i="8"/>
  <c r="B2516" i="8"/>
  <c r="C2516" i="8"/>
  <c r="A2515" i="8"/>
  <c r="B2515" i="8"/>
  <c r="C2515" i="8"/>
  <c r="A2514" i="8"/>
  <c r="B2514" i="8"/>
  <c r="C2514" i="8"/>
  <c r="A2513" i="8"/>
  <c r="B2513" i="8"/>
  <c r="C2513" i="8"/>
  <c r="A2512" i="8"/>
  <c r="B2512" i="8"/>
  <c r="C2512" i="8"/>
  <c r="A2511" i="8"/>
  <c r="B2511" i="8"/>
  <c r="C2511" i="8"/>
  <c r="A2510" i="8"/>
  <c r="B2510" i="8"/>
  <c r="C2510" i="8"/>
  <c r="A2509" i="8"/>
  <c r="B2509" i="8"/>
  <c r="C2509" i="8"/>
  <c r="A2508" i="8"/>
  <c r="B2508" i="8"/>
  <c r="C2508" i="8"/>
  <c r="A2507" i="8"/>
  <c r="B2507" i="8"/>
  <c r="C2507" i="8"/>
  <c r="A2506" i="8"/>
  <c r="B2506" i="8"/>
  <c r="C2506" i="8"/>
  <c r="A2505" i="8"/>
  <c r="B2505" i="8"/>
  <c r="C2505" i="8"/>
  <c r="A2504" i="8"/>
  <c r="B2504" i="8"/>
  <c r="C2504" i="8"/>
  <c r="A2503" i="8"/>
  <c r="B2503" i="8"/>
  <c r="C2503" i="8"/>
  <c r="A2502" i="8"/>
  <c r="B2502" i="8"/>
  <c r="C2502" i="8"/>
  <c r="A2501" i="8"/>
  <c r="B2501" i="8"/>
  <c r="C2501" i="8"/>
  <c r="A2500" i="8"/>
  <c r="B2500" i="8"/>
  <c r="C2500" i="8"/>
  <c r="A2499" i="8"/>
  <c r="B2499" i="8"/>
  <c r="C2499" i="8"/>
  <c r="A2498" i="8"/>
  <c r="B2498" i="8"/>
  <c r="C2498" i="8"/>
  <c r="A2497" i="8"/>
  <c r="B2497" i="8"/>
  <c r="C2497" i="8"/>
  <c r="A2496" i="8"/>
  <c r="B2496" i="8"/>
  <c r="C2496" i="8"/>
  <c r="A2495" i="8"/>
  <c r="B2495" i="8"/>
  <c r="C2495" i="8"/>
  <c r="A2494" i="8"/>
  <c r="B2494" i="8"/>
  <c r="C2494" i="8"/>
  <c r="A2493" i="8"/>
  <c r="B2493" i="8"/>
  <c r="C2493" i="8"/>
  <c r="A2492" i="8"/>
  <c r="B2492" i="8"/>
  <c r="C2492" i="8"/>
  <c r="A2491" i="8"/>
  <c r="B2491" i="8"/>
  <c r="C2491" i="8"/>
  <c r="A2490" i="8"/>
  <c r="B2490" i="8"/>
  <c r="C2490" i="8"/>
  <c r="A2489" i="8"/>
  <c r="B2489" i="8"/>
  <c r="C2489" i="8"/>
  <c r="A2488" i="8"/>
  <c r="B2488" i="8"/>
  <c r="C2488" i="8"/>
  <c r="A2487" i="8"/>
  <c r="B2487" i="8"/>
  <c r="C2487" i="8"/>
  <c r="A2486" i="8"/>
  <c r="B2486" i="8"/>
  <c r="C2486" i="8"/>
  <c r="A2485" i="8"/>
  <c r="B2485" i="8"/>
  <c r="C2485" i="8"/>
  <c r="A2484" i="8"/>
  <c r="B2484" i="8"/>
  <c r="C2484" i="8"/>
  <c r="A2483" i="8"/>
  <c r="B2483" i="8"/>
  <c r="C2483" i="8"/>
  <c r="A2482" i="8"/>
  <c r="B2482" i="8"/>
  <c r="C2482" i="8"/>
  <c r="A2481" i="8"/>
  <c r="B2481" i="8"/>
  <c r="C2481" i="8"/>
  <c r="A2480" i="8"/>
  <c r="B2480" i="8"/>
  <c r="C2480" i="8"/>
  <c r="A2479" i="8"/>
  <c r="B2479" i="8"/>
  <c r="C2479" i="8"/>
  <c r="A2478" i="8"/>
  <c r="B2478" i="8"/>
  <c r="C2478" i="8"/>
  <c r="A2477" i="8"/>
  <c r="B2477" i="8"/>
  <c r="C2477" i="8"/>
  <c r="A2476" i="8"/>
  <c r="B2476" i="8"/>
  <c r="C2476" i="8"/>
  <c r="A2475" i="8"/>
  <c r="B2475" i="8"/>
  <c r="C2475" i="8"/>
  <c r="A2474" i="8"/>
  <c r="B2474" i="8"/>
  <c r="C2474" i="8"/>
  <c r="A2473" i="8"/>
  <c r="B2473" i="8"/>
  <c r="C2473" i="8"/>
  <c r="A2472" i="8"/>
  <c r="B2472" i="8"/>
  <c r="C2472" i="8"/>
  <c r="A2471" i="8"/>
  <c r="B2471" i="8"/>
  <c r="C2471" i="8"/>
  <c r="A2470" i="8"/>
  <c r="B2470" i="8"/>
  <c r="C2470" i="8"/>
  <c r="A2469" i="8"/>
  <c r="B2469" i="8"/>
  <c r="C2469" i="8"/>
  <c r="A2468" i="8"/>
  <c r="B2468" i="8"/>
  <c r="C2468" i="8"/>
  <c r="A2467" i="8"/>
  <c r="B2467" i="8"/>
  <c r="C2467" i="8"/>
  <c r="A2466" i="8"/>
  <c r="B2466" i="8"/>
  <c r="C2466" i="8"/>
  <c r="A2465" i="8"/>
  <c r="B2465" i="8"/>
  <c r="C2465" i="8"/>
  <c r="A2464" i="8"/>
  <c r="B2464" i="8"/>
  <c r="C2464" i="8"/>
  <c r="A2463" i="8"/>
  <c r="B2463" i="8"/>
  <c r="C2463" i="8"/>
  <c r="A2462" i="8"/>
  <c r="B2462" i="8"/>
  <c r="C2462" i="8"/>
  <c r="A2461" i="8"/>
  <c r="B2461" i="8"/>
  <c r="C2461" i="8"/>
  <c r="A2460" i="8"/>
  <c r="B2460" i="8"/>
  <c r="C2460" i="8"/>
  <c r="A2459" i="8"/>
  <c r="B2459" i="8"/>
  <c r="C2459" i="8"/>
  <c r="A2458" i="8"/>
  <c r="B2458" i="8"/>
  <c r="C2458" i="8"/>
  <c r="A2457" i="8"/>
  <c r="B2457" i="8"/>
  <c r="C2457" i="8"/>
  <c r="A2456" i="8"/>
  <c r="B2456" i="8"/>
  <c r="C2456" i="8"/>
  <c r="A2455" i="8"/>
  <c r="B2455" i="8"/>
  <c r="C2455" i="8"/>
  <c r="A2454" i="8"/>
  <c r="B2454" i="8"/>
  <c r="C2454" i="8"/>
  <c r="A2453" i="8"/>
  <c r="B2453" i="8"/>
  <c r="C2453" i="8"/>
  <c r="A2452" i="8"/>
  <c r="B2452" i="8"/>
  <c r="C2452" i="8"/>
  <c r="A2451" i="8"/>
  <c r="B2451" i="8"/>
  <c r="C2451" i="8"/>
  <c r="A2450" i="8"/>
  <c r="B2450" i="8"/>
  <c r="C2450" i="8"/>
  <c r="A2449" i="8"/>
  <c r="B2449" i="8"/>
  <c r="C2449" i="8"/>
  <c r="A2448" i="8"/>
  <c r="B2448" i="8"/>
  <c r="C2448" i="8"/>
  <c r="A2447" i="8"/>
  <c r="B2447" i="8"/>
  <c r="C2447" i="8"/>
  <c r="A2446" i="8"/>
  <c r="B2446" i="8"/>
  <c r="C2446" i="8"/>
  <c r="A2445" i="8"/>
  <c r="B2445" i="8"/>
  <c r="C2445" i="8"/>
  <c r="A2444" i="8"/>
  <c r="B2444" i="8"/>
  <c r="C2444" i="8"/>
  <c r="A2443" i="8"/>
  <c r="B2443" i="8"/>
  <c r="C2443" i="8"/>
  <c r="A2442" i="8"/>
  <c r="B2442" i="8"/>
  <c r="C2442" i="8"/>
  <c r="A2441" i="8"/>
  <c r="B2441" i="8"/>
  <c r="C2441" i="8"/>
  <c r="A2440" i="8"/>
  <c r="B2440" i="8"/>
  <c r="C2440" i="8"/>
  <c r="A2439" i="8"/>
  <c r="B2439" i="8"/>
  <c r="C2439" i="8"/>
  <c r="A2438" i="8"/>
  <c r="B2438" i="8"/>
  <c r="C2438" i="8"/>
  <c r="A2437" i="8"/>
  <c r="B2437" i="8"/>
  <c r="C2437" i="8"/>
  <c r="A2436" i="8"/>
  <c r="B2436" i="8"/>
  <c r="C2436" i="8"/>
  <c r="A2435" i="8"/>
  <c r="B2435" i="8"/>
  <c r="C2435" i="8"/>
  <c r="A2434" i="8"/>
  <c r="B2434" i="8"/>
  <c r="C2434" i="8"/>
  <c r="A2433" i="8"/>
  <c r="B2433" i="8"/>
  <c r="C2433" i="8"/>
  <c r="A2432" i="8"/>
  <c r="B2432" i="8"/>
  <c r="C2432" i="8"/>
  <c r="A2431" i="8"/>
  <c r="B2431" i="8"/>
  <c r="C2431" i="8"/>
  <c r="A2430" i="8"/>
  <c r="B2430" i="8"/>
  <c r="C2430" i="8"/>
  <c r="A2429" i="8"/>
  <c r="B2429" i="8"/>
  <c r="C2429" i="8"/>
  <c r="A2428" i="8"/>
  <c r="B2428" i="8"/>
  <c r="C2428" i="8"/>
  <c r="A2427" i="8"/>
  <c r="B2427" i="8"/>
  <c r="C2427" i="8"/>
  <c r="A2426" i="8"/>
  <c r="B2426" i="8"/>
  <c r="C2426" i="8"/>
  <c r="A2425" i="8"/>
  <c r="B2425" i="8"/>
  <c r="C2425" i="8"/>
  <c r="A2424" i="8"/>
  <c r="B2424" i="8"/>
  <c r="C2424" i="8"/>
  <c r="A2423" i="8"/>
  <c r="B2423" i="8"/>
  <c r="C2423" i="8"/>
  <c r="A2422" i="8"/>
  <c r="B2422" i="8"/>
  <c r="C2422" i="8"/>
  <c r="A2421" i="8"/>
  <c r="B2421" i="8"/>
  <c r="C2421" i="8"/>
  <c r="A2420" i="8"/>
  <c r="B2420" i="8"/>
  <c r="C2420" i="8"/>
  <c r="A2419" i="8"/>
  <c r="B2419" i="8"/>
  <c r="C2419" i="8"/>
  <c r="A2418" i="8"/>
  <c r="B2418" i="8"/>
  <c r="C2418" i="8"/>
  <c r="A2417" i="8"/>
  <c r="B2417" i="8"/>
  <c r="C2417" i="8"/>
  <c r="A2416" i="8"/>
  <c r="B2416" i="8"/>
  <c r="C2416" i="8"/>
  <c r="A2415" i="8"/>
  <c r="B2415" i="8"/>
  <c r="C2415" i="8"/>
  <c r="A2414" i="8"/>
  <c r="B2414" i="8"/>
  <c r="C2414" i="8"/>
  <c r="A2413" i="8"/>
  <c r="B2413" i="8"/>
  <c r="C2413" i="8"/>
  <c r="A2412" i="8"/>
  <c r="B2412" i="8"/>
  <c r="C2412" i="8"/>
  <c r="A2411" i="8"/>
  <c r="B2411" i="8"/>
  <c r="C2411" i="8"/>
  <c r="A2410" i="8"/>
  <c r="B2410" i="8"/>
  <c r="C2410" i="8"/>
  <c r="A2409" i="8"/>
  <c r="B2409" i="8"/>
  <c r="C2409" i="8"/>
  <c r="A2408" i="8"/>
  <c r="B2408" i="8"/>
  <c r="C2408" i="8"/>
  <c r="A2407" i="8"/>
  <c r="B2407" i="8"/>
  <c r="C2407" i="8"/>
  <c r="A2406" i="8"/>
  <c r="B2406" i="8"/>
  <c r="C2406" i="8"/>
  <c r="A2405" i="8"/>
  <c r="B2405" i="8"/>
  <c r="C2405" i="8"/>
  <c r="A2404" i="8"/>
  <c r="B2404" i="8"/>
  <c r="C2404" i="8"/>
  <c r="A2403" i="8"/>
  <c r="B2403" i="8"/>
  <c r="C2403" i="8"/>
  <c r="A2402" i="8"/>
  <c r="B2402" i="8"/>
  <c r="C2402" i="8"/>
  <c r="A2401" i="8"/>
  <c r="B2401" i="8"/>
  <c r="C2401" i="8"/>
  <c r="A2400" i="8"/>
  <c r="B2400" i="8"/>
  <c r="C2400" i="8"/>
  <c r="A2399" i="8"/>
  <c r="B2399" i="8"/>
  <c r="C2399" i="8"/>
  <c r="A2398" i="8"/>
  <c r="B2398" i="8"/>
  <c r="C2398" i="8"/>
  <c r="A2397" i="8"/>
  <c r="B2397" i="8"/>
  <c r="C2397" i="8"/>
  <c r="A2396" i="8"/>
  <c r="B2396" i="8"/>
  <c r="C2396" i="8"/>
  <c r="A2395" i="8"/>
  <c r="B2395" i="8"/>
  <c r="C2395" i="8"/>
  <c r="A2394" i="8"/>
  <c r="B2394" i="8"/>
  <c r="C2394" i="8"/>
  <c r="A2393" i="8"/>
  <c r="B2393" i="8"/>
  <c r="C2393" i="8"/>
  <c r="A2392" i="8"/>
  <c r="B2392" i="8"/>
  <c r="C2392" i="8"/>
  <c r="A2391" i="8"/>
  <c r="B2391" i="8"/>
  <c r="C2391" i="8"/>
  <c r="A2390" i="8"/>
  <c r="B2390" i="8"/>
  <c r="C2390" i="8"/>
  <c r="A2389" i="8"/>
  <c r="B2389" i="8"/>
  <c r="C2389" i="8"/>
  <c r="A2388" i="8"/>
  <c r="B2388" i="8"/>
  <c r="C2388" i="8"/>
  <c r="A2387" i="8"/>
  <c r="B2387" i="8"/>
  <c r="C2387" i="8"/>
  <c r="A2386" i="8"/>
  <c r="B2386" i="8"/>
  <c r="C2386" i="8"/>
  <c r="A2385" i="8"/>
  <c r="B2385" i="8"/>
  <c r="C2385" i="8"/>
  <c r="A2384" i="8"/>
  <c r="B2384" i="8"/>
  <c r="C2384" i="8"/>
  <c r="A2383" i="8"/>
  <c r="B2383" i="8"/>
  <c r="C2383" i="8"/>
  <c r="A2382" i="8"/>
  <c r="B2382" i="8"/>
  <c r="C2382" i="8"/>
  <c r="A2381" i="8"/>
  <c r="B2381" i="8"/>
  <c r="C2381" i="8"/>
  <c r="A2380" i="8"/>
  <c r="B2380" i="8"/>
  <c r="C2380" i="8"/>
  <c r="A2379" i="8"/>
  <c r="B2379" i="8"/>
  <c r="C2379" i="8"/>
  <c r="A2378" i="8"/>
  <c r="B2378" i="8"/>
  <c r="C2378" i="8"/>
  <c r="A2377" i="8"/>
  <c r="B2377" i="8"/>
  <c r="C2377" i="8"/>
  <c r="A2376" i="8"/>
  <c r="B2376" i="8"/>
  <c r="C2376" i="8"/>
  <c r="A2375" i="8"/>
  <c r="B2375" i="8"/>
  <c r="C2375" i="8"/>
  <c r="A2374" i="8"/>
  <c r="B2374" i="8"/>
  <c r="C2374" i="8"/>
  <c r="A2373" i="8"/>
  <c r="B2373" i="8"/>
  <c r="C2373" i="8"/>
  <c r="A2372" i="8"/>
  <c r="B2372" i="8"/>
  <c r="C2372" i="8"/>
  <c r="A2371" i="8"/>
  <c r="B2371" i="8"/>
  <c r="C2371" i="8"/>
  <c r="A2370" i="8"/>
  <c r="B2370" i="8"/>
  <c r="C2370" i="8"/>
  <c r="A2369" i="8"/>
  <c r="B2369" i="8"/>
  <c r="C2369" i="8"/>
  <c r="A2368" i="8"/>
  <c r="B2368" i="8"/>
  <c r="C2368" i="8"/>
  <c r="A2367" i="8"/>
  <c r="B2367" i="8"/>
  <c r="C2367" i="8"/>
  <c r="A2366" i="8"/>
  <c r="B2366" i="8"/>
  <c r="C2366" i="8"/>
  <c r="A2365" i="8"/>
  <c r="B2365" i="8"/>
  <c r="C2365" i="8"/>
  <c r="A2364" i="8"/>
  <c r="B2364" i="8"/>
  <c r="C2364" i="8"/>
  <c r="A2363" i="8"/>
  <c r="B2363" i="8"/>
  <c r="C2363" i="8"/>
  <c r="A2362" i="8"/>
  <c r="B2362" i="8"/>
  <c r="C2362" i="8"/>
  <c r="A2361" i="8"/>
  <c r="B2361" i="8"/>
  <c r="C2361" i="8"/>
  <c r="A2360" i="8"/>
  <c r="B2360" i="8"/>
  <c r="C2360" i="8"/>
  <c r="A2359" i="8"/>
  <c r="B2359" i="8"/>
  <c r="C2359" i="8"/>
  <c r="A2358" i="8"/>
  <c r="B2358" i="8"/>
  <c r="C2358" i="8"/>
  <c r="A2357" i="8"/>
  <c r="B2357" i="8"/>
  <c r="C2357" i="8"/>
  <c r="A2356" i="8"/>
  <c r="B2356" i="8"/>
  <c r="C2356" i="8"/>
  <c r="A2355" i="8"/>
  <c r="B2355" i="8"/>
  <c r="C2355" i="8"/>
  <c r="A2354" i="8"/>
  <c r="B2354" i="8"/>
  <c r="C2354" i="8"/>
  <c r="A2353" i="8"/>
  <c r="B2353" i="8"/>
  <c r="C2353" i="8"/>
  <c r="A2352" i="8"/>
  <c r="B2352" i="8"/>
  <c r="C2352" i="8"/>
  <c r="A2351" i="8"/>
  <c r="B2351" i="8"/>
  <c r="C2351" i="8"/>
  <c r="A2350" i="8"/>
  <c r="B2350" i="8"/>
  <c r="C2350" i="8"/>
  <c r="A2349" i="8"/>
  <c r="B2349" i="8"/>
  <c r="C2349" i="8"/>
  <c r="A2348" i="8"/>
  <c r="B2348" i="8"/>
  <c r="C2348" i="8"/>
  <c r="A2347" i="8"/>
  <c r="B2347" i="8"/>
  <c r="C2347" i="8"/>
  <c r="A2346" i="8"/>
  <c r="B2346" i="8"/>
  <c r="C2346" i="8"/>
  <c r="A2345" i="8"/>
  <c r="B2345" i="8"/>
  <c r="C2345" i="8"/>
  <c r="A2344" i="8"/>
  <c r="B2344" i="8"/>
  <c r="C2344" i="8"/>
  <c r="A2343" i="8"/>
  <c r="B2343" i="8"/>
  <c r="C2343" i="8"/>
  <c r="A2342" i="8"/>
  <c r="B2342" i="8"/>
  <c r="C2342" i="8"/>
  <c r="A2341" i="8"/>
  <c r="B2341" i="8"/>
  <c r="C2341" i="8"/>
  <c r="A2340" i="8"/>
  <c r="B2340" i="8"/>
  <c r="C2340" i="8"/>
  <c r="A2339" i="8"/>
  <c r="B2339" i="8"/>
  <c r="C2339" i="8"/>
  <c r="A2338" i="8"/>
  <c r="B2338" i="8"/>
  <c r="C2338" i="8"/>
  <c r="A2337" i="8"/>
  <c r="B2337" i="8"/>
  <c r="C2337" i="8"/>
  <c r="A2336" i="8"/>
  <c r="B2336" i="8"/>
  <c r="C2336" i="8"/>
  <c r="A2335" i="8"/>
  <c r="B2335" i="8"/>
  <c r="C2335" i="8"/>
  <c r="A2334" i="8"/>
  <c r="B2334" i="8"/>
  <c r="C2334" i="8"/>
  <c r="A2333" i="8"/>
  <c r="B2333" i="8"/>
  <c r="C2333" i="8"/>
  <c r="A2332" i="8"/>
  <c r="B2332" i="8"/>
  <c r="C2332" i="8"/>
  <c r="A2331" i="8"/>
  <c r="B2331" i="8"/>
  <c r="C2331" i="8"/>
  <c r="A2330" i="8"/>
  <c r="B2330" i="8"/>
  <c r="C2330" i="8"/>
  <c r="A2329" i="8"/>
  <c r="B2329" i="8"/>
  <c r="C2329" i="8"/>
  <c r="A2328" i="8"/>
  <c r="B2328" i="8"/>
  <c r="C2328" i="8"/>
  <c r="A2327" i="8"/>
  <c r="B2327" i="8"/>
  <c r="C2327" i="8"/>
  <c r="A2326" i="8"/>
  <c r="B2326" i="8"/>
  <c r="C2326" i="8"/>
  <c r="A2325" i="8"/>
  <c r="B2325" i="8"/>
  <c r="C2325" i="8"/>
  <c r="A2324" i="8"/>
  <c r="B2324" i="8"/>
  <c r="C2324" i="8"/>
  <c r="A2323" i="8"/>
  <c r="B2323" i="8"/>
  <c r="C2323" i="8"/>
  <c r="A2322" i="8"/>
  <c r="B2322" i="8"/>
  <c r="C2322" i="8"/>
  <c r="A2321" i="8"/>
  <c r="B2321" i="8"/>
  <c r="C2321" i="8"/>
  <c r="A2320" i="8"/>
  <c r="B2320" i="8"/>
  <c r="C2320" i="8"/>
  <c r="A2319" i="8"/>
  <c r="B2319" i="8"/>
  <c r="C2319" i="8"/>
  <c r="A2318" i="8"/>
  <c r="B2318" i="8"/>
  <c r="C2318" i="8"/>
  <c r="A2317" i="8"/>
  <c r="B2317" i="8"/>
  <c r="C2317" i="8"/>
  <c r="A2316" i="8"/>
  <c r="B2316" i="8"/>
  <c r="C2316" i="8"/>
  <c r="A2315" i="8"/>
  <c r="B2315" i="8"/>
  <c r="C2315" i="8"/>
  <c r="A2314" i="8"/>
  <c r="B2314" i="8"/>
  <c r="C2314" i="8"/>
  <c r="A2313" i="8"/>
  <c r="B2313" i="8"/>
  <c r="C2313" i="8"/>
  <c r="A2312" i="8"/>
  <c r="B2312" i="8"/>
  <c r="C2312" i="8"/>
  <c r="A2311" i="8"/>
  <c r="B2311" i="8"/>
  <c r="C2311" i="8"/>
  <c r="A2310" i="8"/>
  <c r="B2310" i="8"/>
  <c r="C2310" i="8"/>
  <c r="A2309" i="8"/>
  <c r="B2309" i="8"/>
  <c r="C2309" i="8"/>
  <c r="A2308" i="8"/>
  <c r="B2308" i="8"/>
  <c r="C2308" i="8"/>
  <c r="A2307" i="8"/>
  <c r="B2307" i="8"/>
  <c r="C2307" i="8"/>
  <c r="A2306" i="8"/>
  <c r="B2306" i="8"/>
  <c r="C2306" i="8"/>
  <c r="A2305" i="8"/>
  <c r="B2305" i="8"/>
  <c r="C2305" i="8"/>
  <c r="A2304" i="8"/>
  <c r="B2304" i="8"/>
  <c r="C2304" i="8"/>
  <c r="A2303" i="8"/>
  <c r="B2303" i="8"/>
  <c r="C2303" i="8"/>
  <c r="A2302" i="8"/>
  <c r="B2302" i="8"/>
  <c r="C2302" i="8"/>
  <c r="A2301" i="8"/>
  <c r="B2301" i="8"/>
  <c r="C2301" i="8"/>
  <c r="A2300" i="8"/>
  <c r="B2300" i="8"/>
  <c r="C2300" i="8"/>
  <c r="A2299" i="8"/>
  <c r="B2299" i="8"/>
  <c r="C2299" i="8"/>
  <c r="A2298" i="8"/>
  <c r="B2298" i="8"/>
  <c r="C2298" i="8"/>
  <c r="A2297" i="8"/>
  <c r="B2297" i="8"/>
  <c r="C2297" i="8"/>
  <c r="A2296" i="8"/>
  <c r="B2296" i="8"/>
  <c r="C2296" i="8"/>
  <c r="A2295" i="8"/>
  <c r="B2295" i="8"/>
  <c r="C2295" i="8"/>
  <c r="A2294" i="8"/>
  <c r="B2294" i="8"/>
  <c r="C2294" i="8"/>
  <c r="A2293" i="8"/>
  <c r="B2293" i="8"/>
  <c r="C2293" i="8"/>
  <c r="A2292" i="8"/>
  <c r="B2292" i="8"/>
  <c r="C2292" i="8"/>
  <c r="A2291" i="8"/>
  <c r="B2291" i="8"/>
  <c r="C2291" i="8"/>
  <c r="A2290" i="8"/>
  <c r="B2290" i="8"/>
  <c r="C2290" i="8"/>
  <c r="A2289" i="8"/>
  <c r="B2289" i="8"/>
  <c r="C2289" i="8"/>
  <c r="A2288" i="8"/>
  <c r="B2288" i="8"/>
  <c r="C2288" i="8"/>
  <c r="A2287" i="8"/>
  <c r="B2287" i="8"/>
  <c r="C2287" i="8"/>
  <c r="A2286" i="8"/>
  <c r="B2286" i="8"/>
  <c r="C2286" i="8"/>
  <c r="A2285" i="8"/>
  <c r="B2285" i="8"/>
  <c r="C2285" i="8"/>
  <c r="A2284" i="8"/>
  <c r="B2284" i="8"/>
  <c r="C2284" i="8"/>
  <c r="A2283" i="8"/>
  <c r="B2283" i="8"/>
  <c r="C2283" i="8"/>
  <c r="A2282" i="8"/>
  <c r="B2282" i="8"/>
  <c r="C2282" i="8"/>
  <c r="A2281" i="8"/>
  <c r="B2281" i="8"/>
  <c r="C2281" i="8"/>
  <c r="A2280" i="8"/>
  <c r="B2280" i="8"/>
  <c r="C2280" i="8"/>
  <c r="A2279" i="8"/>
  <c r="B2279" i="8"/>
  <c r="C2279" i="8"/>
  <c r="A2278" i="8"/>
  <c r="B2278" i="8"/>
  <c r="C2278" i="8"/>
  <c r="A2277" i="8"/>
  <c r="B2277" i="8"/>
  <c r="C2277" i="8"/>
  <c r="A2276" i="8"/>
  <c r="B2276" i="8"/>
  <c r="C2276" i="8"/>
  <c r="A2275" i="8"/>
  <c r="B2275" i="8"/>
  <c r="C2275" i="8"/>
  <c r="A2274" i="8"/>
  <c r="B2274" i="8"/>
  <c r="C2274" i="8"/>
  <c r="A2273" i="8"/>
  <c r="B2273" i="8"/>
  <c r="C2273" i="8"/>
  <c r="A2272" i="8"/>
  <c r="B2272" i="8"/>
  <c r="C2272" i="8"/>
  <c r="A2271" i="8"/>
  <c r="B2271" i="8"/>
  <c r="C2271" i="8"/>
  <c r="A2270" i="8"/>
  <c r="B2270" i="8"/>
  <c r="C2270" i="8"/>
  <c r="A2269" i="8"/>
  <c r="B2269" i="8"/>
  <c r="C2269" i="8"/>
  <c r="A2268" i="8"/>
  <c r="B2268" i="8"/>
  <c r="C2268" i="8"/>
  <c r="A2267" i="8"/>
  <c r="B2267" i="8"/>
  <c r="C2267" i="8"/>
  <c r="A2266" i="8"/>
  <c r="B2266" i="8"/>
  <c r="C2266" i="8"/>
  <c r="A2265" i="8"/>
  <c r="B2265" i="8"/>
  <c r="C2265" i="8"/>
  <c r="A2264" i="8"/>
  <c r="B2264" i="8"/>
  <c r="C2264" i="8"/>
  <c r="A2263" i="8"/>
  <c r="B2263" i="8"/>
  <c r="C2263" i="8"/>
  <c r="A2262" i="8"/>
  <c r="B2262" i="8"/>
  <c r="C2262" i="8"/>
  <c r="A2261" i="8"/>
  <c r="B2261" i="8"/>
  <c r="C2261" i="8"/>
  <c r="A2260" i="8"/>
  <c r="B2260" i="8"/>
  <c r="C2260" i="8"/>
  <c r="A2259" i="8"/>
  <c r="B2259" i="8"/>
  <c r="C2259" i="8"/>
  <c r="A2258" i="8"/>
  <c r="B2258" i="8"/>
  <c r="C2258" i="8"/>
  <c r="A2257" i="8"/>
  <c r="B2257" i="8"/>
  <c r="C2257" i="8"/>
  <c r="A2256" i="8"/>
  <c r="B2256" i="8"/>
  <c r="C2256" i="8"/>
  <c r="A2255" i="8"/>
  <c r="B2255" i="8"/>
  <c r="C2255" i="8"/>
  <c r="A2254" i="8"/>
  <c r="B2254" i="8"/>
  <c r="C2254" i="8"/>
  <c r="A2253" i="8"/>
  <c r="B2253" i="8"/>
  <c r="C2253" i="8"/>
  <c r="A2252" i="8"/>
  <c r="B2252" i="8"/>
  <c r="C2252" i="8"/>
  <c r="A2251" i="8"/>
  <c r="B2251" i="8"/>
  <c r="C2251" i="8"/>
  <c r="A2250" i="8"/>
  <c r="B2250" i="8"/>
  <c r="C2250" i="8"/>
  <c r="A2249" i="8"/>
  <c r="B2249" i="8"/>
  <c r="C2249" i="8"/>
  <c r="A2248" i="8"/>
  <c r="B2248" i="8"/>
  <c r="C2248" i="8"/>
  <c r="A2247" i="8"/>
  <c r="B2247" i="8"/>
  <c r="C2247" i="8"/>
  <c r="A2246" i="8"/>
  <c r="B2246" i="8"/>
  <c r="C2246" i="8"/>
  <c r="A2245" i="8"/>
  <c r="B2245" i="8"/>
  <c r="C2245" i="8"/>
  <c r="A2244" i="8"/>
  <c r="B2244" i="8"/>
  <c r="C2244" i="8"/>
  <c r="A2243" i="8"/>
  <c r="B2243" i="8"/>
  <c r="C2243" i="8"/>
  <c r="A2242" i="8"/>
  <c r="B2242" i="8"/>
  <c r="C2242" i="8"/>
  <c r="A2241" i="8"/>
  <c r="B2241" i="8"/>
  <c r="C2241" i="8"/>
  <c r="A2240" i="8"/>
  <c r="B2240" i="8"/>
  <c r="C2240" i="8"/>
  <c r="A2239" i="8"/>
  <c r="B2239" i="8"/>
  <c r="C2239" i="8"/>
  <c r="A2238" i="8"/>
  <c r="B2238" i="8"/>
  <c r="C2238" i="8"/>
  <c r="A2237" i="8"/>
  <c r="B2237" i="8"/>
  <c r="C2237" i="8"/>
  <c r="A2236" i="8"/>
  <c r="B2236" i="8"/>
  <c r="C2236" i="8"/>
  <c r="A2235" i="8"/>
  <c r="B2235" i="8"/>
  <c r="C2235" i="8"/>
  <c r="A2234" i="8"/>
  <c r="B2234" i="8"/>
  <c r="C2234" i="8"/>
  <c r="A2233" i="8"/>
  <c r="B2233" i="8"/>
  <c r="C2233" i="8"/>
  <c r="A2232" i="8"/>
  <c r="B2232" i="8"/>
  <c r="C2232" i="8"/>
  <c r="A2231" i="8"/>
  <c r="B2231" i="8"/>
  <c r="C2231" i="8"/>
  <c r="A2230" i="8"/>
  <c r="B2230" i="8"/>
  <c r="C2230" i="8"/>
  <c r="A2229" i="8"/>
  <c r="B2229" i="8"/>
  <c r="C2229" i="8"/>
  <c r="A2228" i="8"/>
  <c r="B2228" i="8"/>
  <c r="C2228" i="8"/>
  <c r="A2227" i="8"/>
  <c r="B2227" i="8"/>
  <c r="C2227" i="8"/>
  <c r="A2226" i="8"/>
  <c r="B2226" i="8"/>
  <c r="C2226" i="8"/>
  <c r="A2225" i="8"/>
  <c r="B2225" i="8"/>
  <c r="C2225" i="8"/>
  <c r="A2224" i="8"/>
  <c r="B2224" i="8"/>
  <c r="C2224" i="8"/>
  <c r="A2223" i="8"/>
  <c r="B2223" i="8"/>
  <c r="C2223" i="8"/>
  <c r="A2222" i="8"/>
  <c r="B2222" i="8"/>
  <c r="C2222" i="8"/>
  <c r="A2221" i="8"/>
  <c r="B2221" i="8"/>
  <c r="C2221" i="8"/>
  <c r="A2220" i="8"/>
  <c r="B2220" i="8"/>
  <c r="C2220" i="8"/>
  <c r="A2219" i="8"/>
  <c r="B2219" i="8"/>
  <c r="C2219" i="8"/>
  <c r="A2218" i="8"/>
  <c r="B2218" i="8"/>
  <c r="C2218" i="8"/>
  <c r="A2217" i="8"/>
  <c r="B2217" i="8"/>
  <c r="C2217" i="8"/>
  <c r="A2216" i="8"/>
  <c r="B2216" i="8"/>
  <c r="C2216" i="8"/>
  <c r="A2215" i="8"/>
  <c r="B2215" i="8"/>
  <c r="C2215" i="8"/>
  <c r="A2214" i="8"/>
  <c r="B2214" i="8"/>
  <c r="C2214" i="8"/>
  <c r="A2213" i="8"/>
  <c r="B2213" i="8"/>
  <c r="C2213" i="8"/>
  <c r="A2212" i="8"/>
  <c r="B2212" i="8"/>
  <c r="C2212" i="8"/>
  <c r="A2211" i="8"/>
  <c r="B2211" i="8"/>
  <c r="C2211" i="8"/>
  <c r="A2210" i="8"/>
  <c r="B2210" i="8"/>
  <c r="C2210" i="8"/>
  <c r="A2209" i="8"/>
  <c r="B2209" i="8"/>
  <c r="C2209" i="8"/>
  <c r="A2208" i="8"/>
  <c r="B2208" i="8"/>
  <c r="C2208" i="8"/>
  <c r="A2207" i="8"/>
  <c r="B2207" i="8"/>
  <c r="C2207" i="8"/>
  <c r="A2206" i="8"/>
  <c r="B2206" i="8"/>
  <c r="C2206" i="8"/>
  <c r="A2205" i="8"/>
  <c r="B2205" i="8"/>
  <c r="C2205" i="8"/>
  <c r="A2204" i="8"/>
  <c r="B2204" i="8"/>
  <c r="C2204" i="8"/>
  <c r="A2203" i="8"/>
  <c r="B2203" i="8"/>
  <c r="C2203" i="8"/>
  <c r="A2202" i="8"/>
  <c r="B2202" i="8"/>
  <c r="C2202" i="8"/>
  <c r="A2201" i="8"/>
  <c r="B2201" i="8"/>
  <c r="C2201" i="8"/>
  <c r="A2200" i="8"/>
  <c r="B2200" i="8"/>
  <c r="C2200" i="8"/>
  <c r="A2199" i="8"/>
  <c r="B2199" i="8"/>
  <c r="C2199" i="8"/>
  <c r="A2198" i="8"/>
  <c r="B2198" i="8"/>
  <c r="C2198" i="8"/>
  <c r="A2197" i="8"/>
  <c r="B2197" i="8"/>
  <c r="C2197" i="8"/>
  <c r="A2196" i="8"/>
  <c r="B2196" i="8"/>
  <c r="C2196" i="8"/>
  <c r="A2195" i="8"/>
  <c r="B2195" i="8"/>
  <c r="C2195" i="8"/>
  <c r="A2194" i="8"/>
  <c r="B2194" i="8"/>
  <c r="C2194" i="8"/>
  <c r="A2193" i="8"/>
  <c r="B2193" i="8"/>
  <c r="C2193" i="8"/>
  <c r="A2192" i="8"/>
  <c r="B2192" i="8"/>
  <c r="C2192" i="8"/>
  <c r="A2191" i="8"/>
  <c r="B2191" i="8"/>
  <c r="C2191" i="8"/>
  <c r="A2190" i="8"/>
  <c r="B2190" i="8"/>
  <c r="C2190" i="8"/>
  <c r="A2189" i="8"/>
  <c r="B2189" i="8"/>
  <c r="C2189" i="8"/>
  <c r="A2188" i="8"/>
  <c r="B2188" i="8"/>
  <c r="C2188" i="8"/>
  <c r="A2187" i="8"/>
  <c r="B2187" i="8"/>
  <c r="C2187" i="8"/>
  <c r="A2186" i="8"/>
  <c r="B2186" i="8"/>
  <c r="C2186" i="8"/>
  <c r="A2185" i="8"/>
  <c r="B2185" i="8"/>
  <c r="C2185" i="8"/>
  <c r="A2184" i="8"/>
  <c r="B2184" i="8"/>
  <c r="C2184" i="8"/>
  <c r="A2183" i="8"/>
  <c r="B2183" i="8"/>
  <c r="C2183" i="8"/>
  <c r="A2182" i="8"/>
  <c r="B2182" i="8"/>
  <c r="C2182" i="8"/>
  <c r="A2181" i="8"/>
  <c r="B2181" i="8"/>
  <c r="C2181" i="8"/>
  <c r="A2180" i="8"/>
  <c r="B2180" i="8"/>
  <c r="C2180" i="8"/>
  <c r="A2179" i="8"/>
  <c r="B2179" i="8"/>
  <c r="C2179" i="8"/>
  <c r="A2178" i="8"/>
  <c r="B2178" i="8"/>
  <c r="C2178" i="8"/>
  <c r="A2177" i="8"/>
  <c r="B2177" i="8"/>
  <c r="C2177" i="8"/>
  <c r="A2176" i="8"/>
  <c r="B2176" i="8"/>
  <c r="C2176" i="8"/>
  <c r="A2175" i="8"/>
  <c r="B2175" i="8"/>
  <c r="C2175" i="8"/>
  <c r="A2174" i="8"/>
  <c r="B2174" i="8"/>
  <c r="C2174" i="8"/>
  <c r="A2173" i="8"/>
  <c r="B2173" i="8"/>
  <c r="C2173" i="8"/>
  <c r="A2172" i="8"/>
  <c r="B2172" i="8"/>
  <c r="C2172" i="8"/>
  <c r="A2171" i="8"/>
  <c r="B2171" i="8"/>
  <c r="C2171" i="8"/>
  <c r="A2170" i="8"/>
  <c r="B2170" i="8"/>
  <c r="C2170" i="8"/>
  <c r="A2169" i="8"/>
  <c r="B2169" i="8"/>
  <c r="C2169" i="8"/>
  <c r="A2168" i="8"/>
  <c r="B2168" i="8"/>
  <c r="C2168" i="8"/>
  <c r="A2167" i="8"/>
  <c r="B2167" i="8"/>
  <c r="C2167" i="8"/>
  <c r="A2166" i="8"/>
  <c r="B2166" i="8"/>
  <c r="C2166" i="8"/>
  <c r="A2165" i="8"/>
  <c r="B2165" i="8"/>
  <c r="C2165" i="8"/>
  <c r="A2164" i="8"/>
  <c r="B2164" i="8"/>
  <c r="C2164" i="8"/>
  <c r="A2163" i="8"/>
  <c r="B2163" i="8"/>
  <c r="C2163" i="8"/>
  <c r="A2162" i="8"/>
  <c r="B2162" i="8"/>
  <c r="C2162" i="8"/>
  <c r="A2161" i="8"/>
  <c r="B2161" i="8"/>
  <c r="C2161" i="8"/>
  <c r="A2160" i="8"/>
  <c r="B2160" i="8"/>
  <c r="C2160" i="8"/>
  <c r="A2159" i="8"/>
  <c r="B2159" i="8"/>
  <c r="C2159" i="8"/>
  <c r="A2158" i="8"/>
  <c r="B2158" i="8"/>
  <c r="C2158" i="8"/>
  <c r="A2157" i="8"/>
  <c r="B2157" i="8"/>
  <c r="C2157" i="8"/>
  <c r="A2156" i="8"/>
  <c r="B2156" i="8"/>
  <c r="C2156" i="8"/>
  <c r="A2155" i="8"/>
  <c r="B2155" i="8"/>
  <c r="C2155" i="8"/>
  <c r="A2154" i="8"/>
  <c r="B2154" i="8"/>
  <c r="C2154" i="8"/>
  <c r="A2153" i="8"/>
  <c r="B2153" i="8"/>
  <c r="C2153" i="8"/>
  <c r="A2152" i="8"/>
  <c r="B2152" i="8"/>
  <c r="C2152" i="8"/>
  <c r="A2151" i="8"/>
  <c r="B2151" i="8"/>
  <c r="C2151" i="8"/>
  <c r="A2150" i="8"/>
  <c r="B2150" i="8"/>
  <c r="C2150" i="8"/>
  <c r="A2149" i="8"/>
  <c r="B2149" i="8"/>
  <c r="C2149" i="8"/>
  <c r="A2148" i="8"/>
  <c r="B2148" i="8"/>
  <c r="C2148" i="8"/>
  <c r="A2147" i="8"/>
  <c r="B2147" i="8"/>
  <c r="C2147" i="8"/>
  <c r="A2146" i="8"/>
  <c r="B2146" i="8"/>
  <c r="C2146" i="8"/>
  <c r="A2145" i="8"/>
  <c r="B2145" i="8"/>
  <c r="C2145" i="8"/>
  <c r="A2144" i="8"/>
  <c r="B2144" i="8"/>
  <c r="C2144" i="8"/>
  <c r="A2143" i="8"/>
  <c r="B2143" i="8"/>
  <c r="C2143" i="8"/>
  <c r="A2142" i="8"/>
  <c r="B2142" i="8"/>
  <c r="C2142" i="8"/>
  <c r="A2141" i="8"/>
  <c r="B2141" i="8"/>
  <c r="C2141" i="8"/>
  <c r="A2140" i="8"/>
  <c r="B2140" i="8"/>
  <c r="C2140" i="8"/>
  <c r="A2139" i="8"/>
  <c r="B2139" i="8"/>
  <c r="C2139" i="8"/>
  <c r="A2138" i="8"/>
  <c r="B2138" i="8"/>
  <c r="C2138" i="8"/>
  <c r="A2137" i="8"/>
  <c r="B2137" i="8"/>
  <c r="C2137" i="8"/>
  <c r="A2136" i="8"/>
  <c r="B2136" i="8"/>
  <c r="C2136" i="8"/>
  <c r="A2135" i="8"/>
  <c r="B2135" i="8"/>
  <c r="C2135" i="8"/>
  <c r="A2134" i="8"/>
  <c r="B2134" i="8"/>
  <c r="C2134" i="8"/>
  <c r="A2133" i="8"/>
  <c r="B2133" i="8"/>
  <c r="C2133" i="8"/>
  <c r="A2132" i="8"/>
  <c r="B2132" i="8"/>
  <c r="C2132" i="8"/>
  <c r="A2131" i="8"/>
  <c r="B2131" i="8"/>
  <c r="C2131" i="8"/>
  <c r="A2130" i="8"/>
  <c r="B2130" i="8"/>
  <c r="C2130" i="8"/>
  <c r="A2129" i="8"/>
  <c r="B2129" i="8"/>
  <c r="C2129" i="8"/>
  <c r="A2128" i="8"/>
  <c r="B2128" i="8"/>
  <c r="C2128" i="8"/>
  <c r="A2127" i="8"/>
  <c r="B2127" i="8"/>
  <c r="C2127" i="8"/>
  <c r="A2126" i="8"/>
  <c r="B2126" i="8"/>
  <c r="C2126" i="8"/>
  <c r="A2125" i="8"/>
  <c r="B2125" i="8"/>
  <c r="C2125" i="8"/>
  <c r="A2124" i="8"/>
  <c r="B2124" i="8"/>
  <c r="C2124" i="8"/>
  <c r="A2123" i="8"/>
  <c r="B2123" i="8"/>
  <c r="C2123" i="8"/>
  <c r="A2122" i="8"/>
  <c r="B2122" i="8"/>
  <c r="C2122" i="8"/>
  <c r="A2121" i="8"/>
  <c r="B2121" i="8"/>
  <c r="C2121" i="8"/>
  <c r="A2120" i="8"/>
  <c r="B2120" i="8"/>
  <c r="C2120" i="8"/>
  <c r="A2119" i="8"/>
  <c r="B2119" i="8"/>
  <c r="C2119" i="8"/>
  <c r="A2118" i="8"/>
  <c r="B2118" i="8"/>
  <c r="C2118" i="8"/>
  <c r="A2117" i="8"/>
  <c r="B2117" i="8"/>
  <c r="C2117" i="8"/>
  <c r="A2116" i="8"/>
  <c r="B2116" i="8"/>
  <c r="C2116" i="8"/>
  <c r="A2115" i="8"/>
  <c r="B2115" i="8"/>
  <c r="C2115" i="8"/>
  <c r="A2114" i="8"/>
  <c r="B2114" i="8"/>
  <c r="C2114" i="8"/>
  <c r="A2113" i="8"/>
  <c r="B2113" i="8"/>
  <c r="C2113" i="8"/>
  <c r="A2112" i="8"/>
  <c r="B2112" i="8"/>
  <c r="C2112" i="8"/>
  <c r="A2111" i="8"/>
  <c r="B2111" i="8"/>
  <c r="C2111" i="8"/>
  <c r="A2110" i="8"/>
  <c r="B2110" i="8"/>
  <c r="C2110" i="8"/>
  <c r="A2109" i="8"/>
  <c r="B2109" i="8"/>
  <c r="C2109" i="8"/>
  <c r="A2108" i="8"/>
  <c r="B2108" i="8"/>
  <c r="C2108" i="8"/>
  <c r="A2107" i="8"/>
  <c r="B2107" i="8"/>
  <c r="C2107" i="8"/>
  <c r="A2106" i="8"/>
  <c r="B2106" i="8"/>
  <c r="C2106" i="8"/>
  <c r="A2105" i="8"/>
  <c r="B2105" i="8"/>
  <c r="C2105" i="8"/>
  <c r="A2104" i="8"/>
  <c r="B2104" i="8"/>
  <c r="C2104" i="8"/>
  <c r="A2103" i="8"/>
  <c r="B2103" i="8"/>
  <c r="C2103" i="8"/>
  <c r="A2102" i="8"/>
  <c r="B2102" i="8"/>
  <c r="C2102" i="8"/>
  <c r="A2101" i="8"/>
  <c r="B2101" i="8"/>
  <c r="C2101" i="8"/>
  <c r="A2100" i="8"/>
  <c r="B2100" i="8"/>
  <c r="C2100" i="8"/>
  <c r="A2099" i="8"/>
  <c r="B2099" i="8"/>
  <c r="C2099" i="8"/>
  <c r="A2098" i="8"/>
  <c r="B2098" i="8"/>
  <c r="C2098" i="8"/>
  <c r="A2097" i="8"/>
  <c r="B2097" i="8"/>
  <c r="C2097" i="8"/>
  <c r="A2096" i="8"/>
  <c r="B2096" i="8"/>
  <c r="C2096" i="8"/>
  <c r="A2095" i="8"/>
  <c r="B2095" i="8"/>
  <c r="C2095" i="8"/>
  <c r="A2094" i="8"/>
  <c r="B2094" i="8"/>
  <c r="C2094" i="8"/>
  <c r="A2093" i="8"/>
  <c r="B2093" i="8"/>
  <c r="C2093" i="8"/>
  <c r="A2092" i="8"/>
  <c r="B2092" i="8"/>
  <c r="C2092" i="8"/>
  <c r="A2091" i="8"/>
  <c r="B2091" i="8"/>
  <c r="C2091" i="8"/>
  <c r="A2090" i="8"/>
  <c r="B2090" i="8"/>
  <c r="C2090" i="8"/>
  <c r="A2089" i="8"/>
  <c r="B2089" i="8"/>
  <c r="C2089" i="8"/>
  <c r="A2088" i="8"/>
  <c r="B2088" i="8"/>
  <c r="C2088" i="8"/>
  <c r="A2087" i="8"/>
  <c r="B2087" i="8"/>
  <c r="C2087" i="8"/>
  <c r="A2086" i="8"/>
  <c r="B2086" i="8"/>
  <c r="C2086" i="8"/>
  <c r="A2085" i="8"/>
  <c r="B2085" i="8"/>
  <c r="C2085" i="8"/>
  <c r="A2084" i="8"/>
  <c r="B2084" i="8"/>
  <c r="C2084" i="8"/>
  <c r="A2083" i="8"/>
  <c r="B2083" i="8"/>
  <c r="C2083" i="8"/>
  <c r="A2082" i="8"/>
  <c r="B2082" i="8"/>
  <c r="C2082" i="8"/>
  <c r="A2081" i="8"/>
  <c r="B2081" i="8"/>
  <c r="C2081" i="8"/>
  <c r="A2080" i="8"/>
  <c r="B2080" i="8"/>
  <c r="C2080" i="8"/>
  <c r="A2079" i="8"/>
  <c r="B2079" i="8"/>
  <c r="C2079" i="8"/>
  <c r="A2078" i="8"/>
  <c r="B2078" i="8"/>
  <c r="C2078" i="8"/>
  <c r="A2077" i="8"/>
  <c r="B2077" i="8"/>
  <c r="C2077" i="8"/>
  <c r="A2076" i="8"/>
  <c r="B2076" i="8"/>
  <c r="C2076" i="8"/>
  <c r="A2075" i="8"/>
  <c r="B2075" i="8"/>
  <c r="C2075" i="8"/>
  <c r="A2074" i="8"/>
  <c r="B2074" i="8"/>
  <c r="C2074" i="8"/>
  <c r="A2073" i="8"/>
  <c r="B2073" i="8"/>
  <c r="C2073" i="8"/>
  <c r="A2072" i="8"/>
  <c r="B2072" i="8"/>
  <c r="C2072" i="8"/>
  <c r="A2071" i="8"/>
  <c r="B2071" i="8"/>
  <c r="C2071" i="8"/>
  <c r="A2070" i="8"/>
  <c r="B2070" i="8"/>
  <c r="C2070" i="8"/>
  <c r="A2069" i="8"/>
  <c r="B2069" i="8"/>
  <c r="C2069" i="8"/>
  <c r="A2068" i="8"/>
  <c r="B2068" i="8"/>
  <c r="C2068" i="8"/>
  <c r="A2067" i="8"/>
  <c r="B2067" i="8"/>
  <c r="C2067" i="8"/>
  <c r="A2066" i="8"/>
  <c r="B2066" i="8"/>
  <c r="C2066" i="8"/>
  <c r="A2065" i="8"/>
  <c r="B2065" i="8"/>
  <c r="C2065" i="8"/>
  <c r="A2064" i="8"/>
  <c r="B2064" i="8"/>
  <c r="C2064" i="8"/>
  <c r="A2063" i="8"/>
  <c r="B2063" i="8"/>
  <c r="C2063" i="8"/>
  <c r="A2062" i="8"/>
  <c r="B2062" i="8"/>
  <c r="C2062" i="8"/>
  <c r="A2061" i="8"/>
  <c r="B2061" i="8"/>
  <c r="C2061" i="8"/>
  <c r="A2060" i="8"/>
  <c r="B2060" i="8"/>
  <c r="C2060" i="8"/>
  <c r="A2059" i="8"/>
  <c r="B2059" i="8"/>
  <c r="C2059" i="8"/>
  <c r="A2058" i="8"/>
  <c r="B2058" i="8"/>
  <c r="C2058" i="8"/>
  <c r="A2057" i="8"/>
  <c r="B2057" i="8"/>
  <c r="C2057" i="8"/>
  <c r="A2056" i="8"/>
  <c r="B2056" i="8"/>
  <c r="C2056" i="8"/>
  <c r="A2055" i="8"/>
  <c r="B2055" i="8"/>
  <c r="C2055" i="8"/>
  <c r="A2054" i="8"/>
  <c r="B2054" i="8"/>
  <c r="C2054" i="8"/>
  <c r="A2053" i="8"/>
  <c r="B2053" i="8"/>
  <c r="C2053" i="8"/>
  <c r="A2052" i="8"/>
  <c r="B2052" i="8"/>
  <c r="C2052" i="8"/>
  <c r="A2051" i="8"/>
  <c r="B2051" i="8"/>
  <c r="C2051" i="8"/>
  <c r="A2050" i="8"/>
  <c r="B2050" i="8"/>
  <c r="C2050" i="8"/>
  <c r="A2049" i="8"/>
  <c r="B2049" i="8"/>
  <c r="C2049" i="8"/>
  <c r="A2048" i="8"/>
  <c r="B2048" i="8"/>
  <c r="C2048" i="8"/>
  <c r="A2047" i="8"/>
  <c r="B2047" i="8"/>
  <c r="C2047" i="8"/>
  <c r="A2046" i="8"/>
  <c r="B2046" i="8"/>
  <c r="C2046" i="8"/>
  <c r="A2045" i="8"/>
  <c r="B2045" i="8"/>
  <c r="C2045" i="8"/>
  <c r="A2044" i="8"/>
  <c r="B2044" i="8"/>
  <c r="C2044" i="8"/>
  <c r="A2043" i="8"/>
  <c r="B2043" i="8"/>
  <c r="C2043" i="8"/>
  <c r="A2042" i="8"/>
  <c r="B2042" i="8"/>
  <c r="C2042" i="8"/>
  <c r="A2041" i="8"/>
  <c r="B2041" i="8"/>
  <c r="C2041" i="8"/>
  <c r="A2040" i="8"/>
  <c r="B2040" i="8"/>
  <c r="C2040" i="8"/>
  <c r="A2039" i="8"/>
  <c r="B2039" i="8"/>
  <c r="C2039" i="8"/>
  <c r="A2038" i="8"/>
  <c r="B2038" i="8"/>
  <c r="C2038" i="8"/>
  <c r="A2037" i="8"/>
  <c r="B2037" i="8"/>
  <c r="C2037" i="8"/>
  <c r="A2036" i="8"/>
  <c r="B2036" i="8"/>
  <c r="C2036" i="8"/>
  <c r="A2035" i="8"/>
  <c r="B2035" i="8"/>
  <c r="C2035" i="8"/>
  <c r="A2034" i="8"/>
  <c r="B2034" i="8"/>
  <c r="C2034" i="8"/>
  <c r="A2033" i="8"/>
  <c r="B2033" i="8"/>
  <c r="C2033" i="8"/>
  <c r="A2032" i="8"/>
  <c r="B2032" i="8"/>
  <c r="C2032" i="8"/>
  <c r="A2031" i="8"/>
  <c r="B2031" i="8"/>
  <c r="C2031" i="8"/>
  <c r="A2030" i="8"/>
  <c r="B2030" i="8"/>
  <c r="C2030" i="8"/>
  <c r="A2029" i="8"/>
  <c r="B2029" i="8"/>
  <c r="C2029" i="8"/>
  <c r="A2028" i="8"/>
  <c r="B2028" i="8"/>
  <c r="C2028" i="8"/>
  <c r="A2027" i="8"/>
  <c r="B2027" i="8"/>
  <c r="C2027" i="8"/>
  <c r="A2026" i="8"/>
  <c r="B2026" i="8"/>
  <c r="C2026" i="8"/>
  <c r="A2025" i="8"/>
  <c r="B2025" i="8"/>
  <c r="C2025" i="8"/>
  <c r="A2024" i="8"/>
  <c r="B2024" i="8"/>
  <c r="C2024" i="8"/>
  <c r="A2023" i="8"/>
  <c r="B2023" i="8"/>
  <c r="C2023" i="8"/>
  <c r="A2022" i="8"/>
  <c r="B2022" i="8"/>
  <c r="C2022" i="8"/>
  <c r="A2021" i="8"/>
  <c r="B2021" i="8"/>
  <c r="C2021" i="8"/>
  <c r="A2020" i="8"/>
  <c r="B2020" i="8"/>
  <c r="C2020" i="8"/>
  <c r="A2019" i="8"/>
  <c r="B2019" i="8"/>
  <c r="C2019" i="8"/>
  <c r="A2018" i="8"/>
  <c r="B2018" i="8"/>
  <c r="C2018" i="8"/>
  <c r="A2017" i="8"/>
  <c r="B2017" i="8"/>
  <c r="C2017" i="8"/>
  <c r="A2016" i="8"/>
  <c r="B2016" i="8"/>
  <c r="C2016" i="8"/>
  <c r="A2015" i="8"/>
  <c r="B2015" i="8"/>
  <c r="C2015" i="8"/>
  <c r="A2014" i="8"/>
  <c r="B2014" i="8"/>
  <c r="C2014" i="8"/>
  <c r="A2013" i="8"/>
  <c r="B2013" i="8"/>
  <c r="C2013" i="8"/>
  <c r="A2012" i="8"/>
  <c r="B2012" i="8"/>
  <c r="C2012" i="8"/>
  <c r="A2011" i="8"/>
  <c r="B2011" i="8"/>
  <c r="C2011" i="8"/>
  <c r="A2010" i="8"/>
  <c r="B2010" i="8"/>
  <c r="C2010" i="8"/>
  <c r="A2009" i="8"/>
  <c r="B2009" i="8"/>
  <c r="C2009" i="8"/>
  <c r="A2008" i="8"/>
  <c r="B2008" i="8"/>
  <c r="C2008" i="8"/>
  <c r="A2007" i="8"/>
  <c r="B2007" i="8"/>
  <c r="C2007" i="8"/>
  <c r="A2006" i="8"/>
  <c r="B2006" i="8"/>
  <c r="C2006" i="8"/>
  <c r="A2005" i="8"/>
  <c r="B2005" i="8"/>
  <c r="C2005" i="8"/>
  <c r="A2004" i="8"/>
  <c r="B2004" i="8"/>
  <c r="C2004" i="8"/>
  <c r="A2003" i="8"/>
  <c r="B2003" i="8"/>
  <c r="C2003" i="8"/>
  <c r="A2002" i="8"/>
  <c r="B2002" i="8"/>
  <c r="C2002" i="8"/>
  <c r="A2001" i="8"/>
  <c r="B2001" i="8"/>
  <c r="C2001" i="8"/>
  <c r="A2000" i="8"/>
  <c r="B2000" i="8"/>
  <c r="C2000" i="8"/>
  <c r="A1999" i="8"/>
  <c r="B1999" i="8"/>
  <c r="C1999" i="8"/>
  <c r="A1998" i="8"/>
  <c r="B1998" i="8"/>
  <c r="C1998" i="8"/>
  <c r="A1997" i="8"/>
  <c r="B1997" i="8"/>
  <c r="C1997" i="8"/>
  <c r="A1996" i="8"/>
  <c r="B1996" i="8"/>
  <c r="C1996" i="8"/>
  <c r="A1995" i="8"/>
  <c r="B1995" i="8"/>
  <c r="C1995" i="8"/>
  <c r="A1994" i="8"/>
  <c r="B1994" i="8"/>
  <c r="C1994" i="8"/>
  <c r="A1993" i="8"/>
  <c r="B1993" i="8"/>
  <c r="C1993" i="8"/>
  <c r="A1992" i="8"/>
  <c r="B1992" i="8"/>
  <c r="C1992" i="8"/>
  <c r="A1991" i="8"/>
  <c r="B1991" i="8"/>
  <c r="C1991" i="8"/>
  <c r="A1990" i="8"/>
  <c r="B1990" i="8"/>
  <c r="C1990" i="8"/>
  <c r="A1989" i="8"/>
  <c r="B1989" i="8"/>
  <c r="C1989" i="8"/>
  <c r="A1988" i="8"/>
  <c r="B1988" i="8"/>
  <c r="C1988" i="8"/>
  <c r="A1987" i="8"/>
  <c r="B1987" i="8"/>
  <c r="C1987" i="8"/>
  <c r="A1986" i="8"/>
  <c r="B1986" i="8"/>
  <c r="C1986" i="8"/>
  <c r="A1985" i="8"/>
  <c r="B1985" i="8"/>
  <c r="C1985" i="8"/>
  <c r="A1984" i="8"/>
  <c r="B1984" i="8"/>
  <c r="C1984" i="8"/>
  <c r="A1983" i="8"/>
  <c r="B1983" i="8"/>
  <c r="C1983" i="8"/>
  <c r="A1982" i="8"/>
  <c r="B1982" i="8"/>
  <c r="C1982" i="8"/>
  <c r="A1981" i="8"/>
  <c r="B1981" i="8"/>
  <c r="C1981" i="8"/>
  <c r="A1980" i="8"/>
  <c r="B1980" i="8"/>
  <c r="C1980" i="8"/>
  <c r="A1979" i="8"/>
  <c r="B1979" i="8"/>
  <c r="C1979" i="8"/>
  <c r="A1978" i="8"/>
  <c r="B1978" i="8"/>
  <c r="C1978" i="8"/>
  <c r="A1977" i="8"/>
  <c r="B1977" i="8"/>
  <c r="C1977" i="8"/>
  <c r="A1976" i="8"/>
  <c r="B1976" i="8"/>
  <c r="C1976" i="8"/>
  <c r="A1975" i="8"/>
  <c r="B1975" i="8"/>
  <c r="C1975" i="8"/>
  <c r="A1974" i="8"/>
  <c r="B1974" i="8"/>
  <c r="C1974" i="8"/>
  <c r="A1973" i="8"/>
  <c r="B1973" i="8"/>
  <c r="C1973" i="8"/>
  <c r="A1972" i="8"/>
  <c r="B1972" i="8"/>
  <c r="C1972" i="8"/>
  <c r="A1971" i="8"/>
  <c r="B1971" i="8"/>
  <c r="C1971" i="8"/>
  <c r="A1970" i="8"/>
  <c r="B1970" i="8"/>
  <c r="C1970" i="8"/>
  <c r="A1969" i="8"/>
  <c r="B1969" i="8"/>
  <c r="C1969" i="8"/>
  <c r="A1968" i="8"/>
  <c r="B1968" i="8"/>
  <c r="C1968" i="8"/>
  <c r="A1967" i="8"/>
  <c r="B1967" i="8"/>
  <c r="C1967" i="8"/>
  <c r="A1966" i="8"/>
  <c r="B1966" i="8"/>
  <c r="C1966" i="8"/>
  <c r="A1965" i="8"/>
  <c r="B1965" i="8"/>
  <c r="C1965" i="8"/>
  <c r="A1964" i="8"/>
  <c r="B1964" i="8"/>
  <c r="C1964" i="8"/>
  <c r="A1963" i="8"/>
  <c r="B1963" i="8"/>
  <c r="C1963" i="8"/>
  <c r="A1962" i="8"/>
  <c r="B1962" i="8"/>
  <c r="C1962" i="8"/>
  <c r="A1961" i="8"/>
  <c r="B1961" i="8"/>
  <c r="C1961" i="8"/>
  <c r="A1960" i="8"/>
  <c r="B1960" i="8"/>
  <c r="C1960" i="8"/>
  <c r="A1959" i="8"/>
  <c r="B1959" i="8"/>
  <c r="C1959" i="8"/>
  <c r="A1958" i="8"/>
  <c r="B1958" i="8"/>
  <c r="C1958" i="8"/>
  <c r="A1957" i="8"/>
  <c r="B1957" i="8"/>
  <c r="C1957" i="8"/>
  <c r="A1956" i="8"/>
  <c r="B1956" i="8"/>
  <c r="C1956" i="8"/>
  <c r="A1955" i="8"/>
  <c r="B1955" i="8"/>
  <c r="C1955" i="8"/>
  <c r="A1954" i="8"/>
  <c r="B1954" i="8"/>
  <c r="C1954" i="8"/>
  <c r="A1953" i="8"/>
  <c r="B1953" i="8"/>
  <c r="C1953" i="8"/>
  <c r="A1952" i="8"/>
  <c r="B1952" i="8"/>
  <c r="C1952" i="8"/>
  <c r="A1951" i="8"/>
  <c r="B1951" i="8"/>
  <c r="C1951" i="8"/>
  <c r="A1950" i="8"/>
  <c r="B1950" i="8"/>
  <c r="C1950" i="8"/>
  <c r="A1949" i="8"/>
  <c r="B1949" i="8"/>
  <c r="C1949" i="8"/>
  <c r="A1948" i="8"/>
  <c r="B1948" i="8"/>
  <c r="C1948" i="8"/>
  <c r="A1947" i="8"/>
  <c r="B1947" i="8"/>
  <c r="C1947" i="8"/>
  <c r="A1946" i="8"/>
  <c r="B1946" i="8"/>
  <c r="C1946" i="8"/>
  <c r="A1945" i="8"/>
  <c r="B1945" i="8"/>
  <c r="C1945" i="8"/>
  <c r="A1944" i="8"/>
  <c r="B1944" i="8"/>
  <c r="C1944" i="8"/>
  <c r="A1943" i="8"/>
  <c r="B1943" i="8"/>
  <c r="C1943" i="8"/>
  <c r="A1942" i="8"/>
  <c r="B1942" i="8"/>
  <c r="C1942" i="8"/>
  <c r="A1941" i="8"/>
  <c r="B1941" i="8"/>
  <c r="C1941" i="8"/>
  <c r="A1940" i="8"/>
  <c r="B1940" i="8"/>
  <c r="C1940" i="8"/>
  <c r="A1939" i="8"/>
  <c r="B1939" i="8"/>
  <c r="C1939" i="8"/>
  <c r="A1938" i="8"/>
  <c r="B1938" i="8"/>
  <c r="C1938" i="8"/>
  <c r="A1937" i="8"/>
  <c r="B1937" i="8"/>
  <c r="C1937" i="8"/>
  <c r="A1936" i="8"/>
  <c r="B1936" i="8"/>
  <c r="C1936" i="8"/>
  <c r="A1935" i="8"/>
  <c r="B1935" i="8"/>
  <c r="C1935" i="8"/>
  <c r="A1934" i="8"/>
  <c r="B1934" i="8"/>
  <c r="C1934" i="8"/>
  <c r="A1933" i="8"/>
  <c r="B1933" i="8"/>
  <c r="C1933" i="8"/>
  <c r="A1932" i="8"/>
  <c r="B1932" i="8"/>
  <c r="C1932" i="8"/>
  <c r="A1931" i="8"/>
  <c r="B1931" i="8"/>
  <c r="C1931" i="8"/>
  <c r="A1930" i="8"/>
  <c r="B1930" i="8"/>
  <c r="C1930" i="8"/>
  <c r="A1929" i="8"/>
  <c r="B1929" i="8"/>
  <c r="C1929" i="8"/>
  <c r="A1928" i="8"/>
  <c r="B1928" i="8"/>
  <c r="C1928" i="8"/>
  <c r="A1927" i="8"/>
  <c r="B1927" i="8"/>
  <c r="C1927" i="8"/>
  <c r="A1926" i="8"/>
  <c r="B1926" i="8"/>
  <c r="C1926" i="8"/>
  <c r="A1925" i="8"/>
  <c r="B1925" i="8"/>
  <c r="C1925" i="8"/>
  <c r="A1924" i="8"/>
  <c r="B1924" i="8"/>
  <c r="C1924" i="8"/>
  <c r="A1923" i="8"/>
  <c r="B1923" i="8"/>
  <c r="C1923" i="8"/>
  <c r="A1922" i="8"/>
  <c r="B1922" i="8"/>
  <c r="C1922" i="8"/>
  <c r="A1921" i="8"/>
  <c r="B1921" i="8"/>
  <c r="C1921" i="8"/>
  <c r="A1920" i="8"/>
  <c r="B1920" i="8"/>
  <c r="C1920" i="8"/>
  <c r="A1919" i="8"/>
  <c r="B1919" i="8"/>
  <c r="C1919" i="8"/>
  <c r="A1918" i="8"/>
  <c r="B1918" i="8"/>
  <c r="C1918" i="8"/>
  <c r="A1917" i="8"/>
  <c r="B1917" i="8"/>
  <c r="C1917" i="8"/>
  <c r="A1916" i="8"/>
  <c r="B1916" i="8"/>
  <c r="C1916" i="8"/>
  <c r="A1915" i="8"/>
  <c r="B1915" i="8"/>
  <c r="C1915" i="8"/>
  <c r="A1914" i="8"/>
  <c r="B1914" i="8"/>
  <c r="C1914" i="8"/>
  <c r="A1913" i="8"/>
  <c r="B1913" i="8"/>
  <c r="C1913" i="8"/>
  <c r="A1912" i="8"/>
  <c r="B1912" i="8"/>
  <c r="C1912" i="8"/>
  <c r="A1911" i="8"/>
  <c r="B1911" i="8"/>
  <c r="C1911" i="8"/>
  <c r="A1910" i="8"/>
  <c r="B1910" i="8"/>
  <c r="C1910" i="8"/>
  <c r="A1909" i="8"/>
  <c r="B1909" i="8"/>
  <c r="C1909" i="8"/>
  <c r="A1908" i="8"/>
  <c r="B1908" i="8"/>
  <c r="C1908" i="8"/>
  <c r="A1907" i="8"/>
  <c r="B1907" i="8"/>
  <c r="C1907" i="8"/>
  <c r="A1906" i="8"/>
  <c r="B1906" i="8"/>
  <c r="C1906" i="8"/>
  <c r="A1905" i="8"/>
  <c r="B1905" i="8"/>
  <c r="C1905" i="8"/>
  <c r="A1904" i="8"/>
  <c r="B1904" i="8"/>
  <c r="C1904" i="8"/>
  <c r="A1903" i="8"/>
  <c r="B1903" i="8"/>
  <c r="C1903" i="8"/>
  <c r="A1902" i="8"/>
  <c r="B1902" i="8"/>
  <c r="C1902" i="8"/>
  <c r="A1901" i="8"/>
  <c r="B1901" i="8"/>
  <c r="C1901" i="8"/>
  <c r="A1900" i="8"/>
  <c r="B1900" i="8"/>
  <c r="C1900" i="8"/>
  <c r="A1899" i="8"/>
  <c r="B1899" i="8"/>
  <c r="C1899" i="8"/>
  <c r="A1898" i="8"/>
  <c r="B1898" i="8"/>
  <c r="C1898" i="8"/>
  <c r="A1897" i="8"/>
  <c r="B1897" i="8"/>
  <c r="C1897" i="8"/>
  <c r="A1896" i="8"/>
  <c r="B1896" i="8"/>
  <c r="C1896" i="8"/>
  <c r="A1895" i="8"/>
  <c r="B1895" i="8"/>
  <c r="C1895" i="8"/>
  <c r="A1894" i="8"/>
  <c r="B1894" i="8"/>
  <c r="C1894" i="8"/>
  <c r="A1893" i="8"/>
  <c r="B1893" i="8"/>
  <c r="C1893" i="8"/>
  <c r="A1892" i="8"/>
  <c r="B1892" i="8"/>
  <c r="C1892" i="8"/>
  <c r="A1891" i="8"/>
  <c r="B1891" i="8"/>
  <c r="C1891" i="8"/>
  <c r="A1890" i="8"/>
  <c r="B1890" i="8"/>
  <c r="C1890" i="8"/>
  <c r="A1889" i="8"/>
  <c r="B1889" i="8"/>
  <c r="C1889" i="8"/>
  <c r="A1888" i="8"/>
  <c r="B1888" i="8"/>
  <c r="C1888" i="8"/>
  <c r="A1887" i="8"/>
  <c r="B1887" i="8"/>
  <c r="C1887" i="8"/>
  <c r="A1886" i="8"/>
  <c r="B1886" i="8"/>
  <c r="C1886" i="8"/>
  <c r="A1885" i="8"/>
  <c r="B1885" i="8"/>
  <c r="C1885" i="8"/>
  <c r="A1884" i="8"/>
  <c r="B1884" i="8"/>
  <c r="C1884" i="8"/>
  <c r="A1883" i="8"/>
  <c r="B1883" i="8"/>
  <c r="C1883" i="8"/>
  <c r="A1882" i="8"/>
  <c r="B1882" i="8"/>
  <c r="C1882" i="8"/>
  <c r="A1881" i="8"/>
  <c r="B1881" i="8"/>
  <c r="C1881" i="8"/>
  <c r="A1880" i="8"/>
  <c r="B1880" i="8"/>
  <c r="C1880" i="8"/>
  <c r="A1879" i="8"/>
  <c r="B1879" i="8"/>
  <c r="C1879" i="8"/>
  <c r="A1878" i="8"/>
  <c r="B1878" i="8"/>
  <c r="C1878" i="8"/>
  <c r="A1877" i="8"/>
  <c r="B1877" i="8"/>
  <c r="C1877" i="8"/>
  <c r="A1876" i="8"/>
  <c r="B1876" i="8"/>
  <c r="C1876" i="8"/>
  <c r="A1875" i="8"/>
  <c r="B1875" i="8"/>
  <c r="C1875" i="8"/>
  <c r="A1874" i="8"/>
  <c r="B1874" i="8"/>
  <c r="C1874" i="8"/>
  <c r="A1873" i="8"/>
  <c r="B1873" i="8"/>
  <c r="C1873" i="8"/>
  <c r="A1872" i="8"/>
  <c r="B1872" i="8"/>
  <c r="C1872" i="8"/>
  <c r="A1871" i="8"/>
  <c r="B1871" i="8"/>
  <c r="C1871" i="8"/>
  <c r="A1870" i="8"/>
  <c r="B1870" i="8"/>
  <c r="C1870" i="8"/>
  <c r="A1869" i="8"/>
  <c r="B1869" i="8"/>
  <c r="C1869" i="8"/>
  <c r="A1868" i="8"/>
  <c r="B1868" i="8"/>
  <c r="C1868" i="8"/>
  <c r="A1867" i="8"/>
  <c r="B1867" i="8"/>
  <c r="C1867" i="8"/>
  <c r="A1866" i="8"/>
  <c r="B1866" i="8"/>
  <c r="C1866" i="8"/>
  <c r="A1865" i="8"/>
  <c r="B1865" i="8"/>
  <c r="C1865" i="8"/>
  <c r="A1864" i="8"/>
  <c r="B1864" i="8"/>
  <c r="C1864" i="8"/>
  <c r="A1863" i="8"/>
  <c r="B1863" i="8"/>
  <c r="C1863" i="8"/>
  <c r="A1862" i="8"/>
  <c r="B1862" i="8"/>
  <c r="C1862" i="8"/>
  <c r="A1861" i="8"/>
  <c r="B1861" i="8"/>
  <c r="C1861" i="8"/>
  <c r="A1860" i="8"/>
  <c r="B1860" i="8"/>
  <c r="C1860" i="8"/>
  <c r="A1859" i="8"/>
  <c r="B1859" i="8"/>
  <c r="C1859" i="8"/>
  <c r="A1858" i="8"/>
  <c r="B1858" i="8"/>
  <c r="C1858" i="8"/>
  <c r="A1857" i="8"/>
  <c r="B1857" i="8"/>
  <c r="C1857" i="8"/>
  <c r="A1856" i="8"/>
  <c r="B1856" i="8"/>
  <c r="C1856" i="8"/>
  <c r="A1855" i="8"/>
  <c r="B1855" i="8"/>
  <c r="C1855" i="8"/>
  <c r="A1854" i="8"/>
  <c r="B1854" i="8"/>
  <c r="C1854" i="8"/>
  <c r="A1853" i="8"/>
  <c r="B1853" i="8"/>
  <c r="C1853" i="8"/>
  <c r="A1852" i="8"/>
  <c r="B1852" i="8"/>
  <c r="C1852" i="8"/>
  <c r="A1851" i="8"/>
  <c r="B1851" i="8"/>
  <c r="C1851" i="8"/>
  <c r="A1850" i="8"/>
  <c r="B1850" i="8"/>
  <c r="C1850" i="8"/>
  <c r="A1849" i="8"/>
  <c r="B1849" i="8"/>
  <c r="C1849" i="8"/>
  <c r="A1848" i="8"/>
  <c r="B1848" i="8"/>
  <c r="C1848" i="8"/>
  <c r="A1847" i="8"/>
  <c r="B1847" i="8"/>
  <c r="C1847" i="8"/>
  <c r="A1846" i="8"/>
  <c r="B1846" i="8"/>
  <c r="C1846" i="8"/>
  <c r="A1845" i="8"/>
  <c r="B1845" i="8"/>
  <c r="C1845" i="8"/>
  <c r="A1844" i="8"/>
  <c r="B1844" i="8"/>
  <c r="C1844" i="8"/>
  <c r="A1843" i="8"/>
  <c r="B1843" i="8"/>
  <c r="C1843" i="8"/>
  <c r="A1842" i="8"/>
  <c r="B1842" i="8"/>
  <c r="C1842" i="8"/>
  <c r="A1841" i="8"/>
  <c r="B1841" i="8"/>
  <c r="C1841" i="8"/>
  <c r="A1840" i="8"/>
  <c r="B1840" i="8"/>
  <c r="C1840" i="8"/>
  <c r="A1839" i="8"/>
  <c r="B1839" i="8"/>
  <c r="C1839" i="8"/>
  <c r="A1838" i="8"/>
  <c r="B1838" i="8"/>
  <c r="C1838" i="8"/>
  <c r="A1837" i="8"/>
  <c r="B1837" i="8"/>
  <c r="C1837" i="8"/>
  <c r="A1836" i="8"/>
  <c r="B1836" i="8"/>
  <c r="C1836" i="8"/>
  <c r="A1835" i="8"/>
  <c r="B1835" i="8"/>
  <c r="C1835" i="8"/>
  <c r="A1834" i="8"/>
  <c r="B1834" i="8"/>
  <c r="C1834" i="8"/>
  <c r="A1833" i="8"/>
  <c r="B1833" i="8"/>
  <c r="C1833" i="8"/>
  <c r="A1832" i="8"/>
  <c r="B1832" i="8"/>
  <c r="C1832" i="8"/>
  <c r="A1831" i="8"/>
  <c r="B1831" i="8"/>
  <c r="C1831" i="8"/>
  <c r="A1830" i="8"/>
  <c r="B1830" i="8"/>
  <c r="C1830" i="8"/>
  <c r="A1829" i="8"/>
  <c r="B1829" i="8"/>
  <c r="C1829" i="8"/>
  <c r="A1828" i="8"/>
  <c r="B1828" i="8"/>
  <c r="C1828" i="8"/>
  <c r="A1827" i="8"/>
  <c r="B1827" i="8"/>
  <c r="C1827" i="8"/>
  <c r="A1826" i="8"/>
  <c r="B1826" i="8"/>
  <c r="C1826" i="8"/>
  <c r="A1825" i="8"/>
  <c r="B1825" i="8"/>
  <c r="C1825" i="8"/>
  <c r="A1824" i="8"/>
  <c r="B1824" i="8"/>
  <c r="C1824" i="8"/>
  <c r="A1823" i="8"/>
  <c r="B1823" i="8"/>
  <c r="C1823" i="8"/>
  <c r="A1822" i="8"/>
  <c r="B1822" i="8"/>
  <c r="C1822" i="8"/>
  <c r="A1821" i="8"/>
  <c r="B1821" i="8"/>
  <c r="C1821" i="8"/>
  <c r="A1820" i="8"/>
  <c r="B1820" i="8"/>
  <c r="C1820" i="8"/>
  <c r="A1819" i="8"/>
  <c r="B1819" i="8"/>
  <c r="C1819" i="8"/>
  <c r="A1818" i="8"/>
  <c r="B1818" i="8"/>
  <c r="C1818" i="8"/>
  <c r="A1817" i="8"/>
  <c r="B1817" i="8"/>
  <c r="C1817" i="8"/>
  <c r="A1816" i="8"/>
  <c r="B1816" i="8"/>
  <c r="C1816" i="8"/>
  <c r="A1815" i="8"/>
  <c r="B1815" i="8"/>
  <c r="C1815" i="8"/>
  <c r="A1814" i="8"/>
  <c r="B1814" i="8"/>
  <c r="C1814" i="8"/>
  <c r="A1813" i="8"/>
  <c r="B1813" i="8"/>
  <c r="C1813" i="8"/>
  <c r="A1812" i="8"/>
  <c r="B1812" i="8"/>
  <c r="C1812" i="8"/>
  <c r="A1811" i="8"/>
  <c r="B1811" i="8"/>
  <c r="C1811" i="8"/>
  <c r="A1810" i="8"/>
  <c r="B1810" i="8"/>
  <c r="C1810" i="8"/>
  <c r="A1809" i="8"/>
  <c r="B1809" i="8"/>
  <c r="C1809" i="8"/>
  <c r="A1808" i="8"/>
  <c r="B1808" i="8"/>
  <c r="C1808" i="8"/>
  <c r="A1807" i="8"/>
  <c r="B1807" i="8"/>
  <c r="C1807" i="8"/>
  <c r="A1806" i="8"/>
  <c r="B1806" i="8"/>
  <c r="C1806" i="8"/>
  <c r="A1805" i="8"/>
  <c r="B1805" i="8"/>
  <c r="C1805" i="8"/>
  <c r="A1804" i="8"/>
  <c r="B1804" i="8"/>
  <c r="C1804" i="8"/>
  <c r="A1803" i="8"/>
  <c r="B1803" i="8"/>
  <c r="C1803" i="8"/>
  <c r="A1802" i="8"/>
  <c r="B1802" i="8"/>
  <c r="C1802" i="8"/>
  <c r="A1801" i="8"/>
  <c r="B1801" i="8"/>
  <c r="C1801" i="8"/>
  <c r="A1800" i="8"/>
  <c r="B1800" i="8"/>
  <c r="C1800" i="8"/>
  <c r="A1799" i="8"/>
  <c r="B1799" i="8"/>
  <c r="C1799" i="8"/>
  <c r="A1798" i="8"/>
  <c r="B1798" i="8"/>
  <c r="C1798" i="8"/>
  <c r="A1797" i="8"/>
  <c r="B1797" i="8"/>
  <c r="C1797" i="8"/>
  <c r="A1796" i="8"/>
  <c r="B1796" i="8"/>
  <c r="C1796" i="8"/>
  <c r="A1795" i="8"/>
  <c r="B1795" i="8"/>
  <c r="C1795" i="8"/>
  <c r="A1794" i="8"/>
  <c r="B1794" i="8"/>
  <c r="C1794" i="8"/>
  <c r="A1793" i="8"/>
  <c r="B1793" i="8"/>
  <c r="C1793" i="8"/>
  <c r="A1792" i="8"/>
  <c r="B1792" i="8"/>
  <c r="C1792" i="8"/>
  <c r="A1791" i="8"/>
  <c r="B1791" i="8"/>
  <c r="C1791" i="8"/>
  <c r="A1790" i="8"/>
  <c r="B1790" i="8"/>
  <c r="C1790" i="8"/>
  <c r="A1789" i="8"/>
  <c r="B1789" i="8"/>
  <c r="C1789" i="8"/>
  <c r="A1788" i="8"/>
  <c r="B1788" i="8"/>
  <c r="C1788" i="8"/>
  <c r="A1787" i="8"/>
  <c r="B1787" i="8"/>
  <c r="C1787" i="8"/>
  <c r="A1786" i="8"/>
  <c r="B1786" i="8"/>
  <c r="C1786" i="8"/>
  <c r="A1785" i="8"/>
  <c r="B1785" i="8"/>
  <c r="C1785" i="8"/>
  <c r="A1784" i="8"/>
  <c r="B1784" i="8"/>
  <c r="C1784" i="8"/>
  <c r="A1783" i="8"/>
  <c r="B1783" i="8"/>
  <c r="C1783" i="8"/>
  <c r="A1782" i="8"/>
  <c r="B1782" i="8"/>
  <c r="C1782" i="8"/>
  <c r="A1781" i="8"/>
  <c r="B1781" i="8"/>
  <c r="C1781" i="8"/>
  <c r="A1780" i="8"/>
  <c r="B1780" i="8"/>
  <c r="C1780" i="8"/>
  <c r="A1779" i="8"/>
  <c r="B1779" i="8"/>
  <c r="C1779" i="8"/>
  <c r="A1778" i="8"/>
  <c r="B1778" i="8"/>
  <c r="C1778" i="8"/>
  <c r="A1777" i="8"/>
  <c r="B1777" i="8"/>
  <c r="C1777" i="8"/>
  <c r="A1776" i="8"/>
  <c r="B1776" i="8"/>
  <c r="C1776" i="8"/>
  <c r="A1775" i="8"/>
  <c r="B1775" i="8"/>
  <c r="C1775" i="8"/>
  <c r="A1774" i="8"/>
  <c r="B1774" i="8"/>
  <c r="C1774" i="8"/>
  <c r="A1773" i="8"/>
  <c r="B1773" i="8"/>
  <c r="C1773" i="8"/>
  <c r="A1772" i="8"/>
  <c r="B1772" i="8"/>
  <c r="C1772" i="8"/>
  <c r="A1771" i="8"/>
  <c r="B1771" i="8"/>
  <c r="C1771" i="8"/>
  <c r="A1770" i="8"/>
  <c r="B1770" i="8"/>
  <c r="C1770" i="8"/>
  <c r="A1769" i="8"/>
  <c r="B1769" i="8"/>
  <c r="C1769" i="8"/>
  <c r="A1768" i="8"/>
  <c r="B1768" i="8"/>
  <c r="C1768" i="8"/>
  <c r="A1767" i="8"/>
  <c r="B1767" i="8"/>
  <c r="C1767" i="8"/>
  <c r="A1766" i="8"/>
  <c r="B1766" i="8"/>
  <c r="C1766" i="8"/>
  <c r="A1765" i="8"/>
  <c r="B1765" i="8"/>
  <c r="C1765" i="8"/>
  <c r="A1764" i="8"/>
  <c r="B1764" i="8"/>
  <c r="C1764" i="8"/>
  <c r="A1763" i="8"/>
  <c r="B1763" i="8"/>
  <c r="C1763" i="8"/>
  <c r="A1762" i="8"/>
  <c r="B1762" i="8"/>
  <c r="C1762" i="8"/>
  <c r="A1761" i="8"/>
  <c r="B1761" i="8"/>
  <c r="C1761" i="8"/>
  <c r="A1760" i="8"/>
  <c r="B1760" i="8"/>
  <c r="C1760" i="8"/>
  <c r="A1759" i="8"/>
  <c r="B1759" i="8"/>
  <c r="C1759" i="8"/>
  <c r="A1758" i="8"/>
  <c r="B1758" i="8"/>
  <c r="C1758" i="8"/>
  <c r="A1757" i="8"/>
  <c r="B1757" i="8"/>
  <c r="C1757" i="8"/>
  <c r="A1756" i="8"/>
  <c r="B1756" i="8"/>
  <c r="C1756" i="8"/>
  <c r="A1755" i="8"/>
  <c r="B1755" i="8"/>
  <c r="C1755" i="8"/>
  <c r="A1754" i="8"/>
  <c r="B1754" i="8"/>
  <c r="C1754" i="8"/>
  <c r="A1753" i="8"/>
  <c r="B1753" i="8"/>
  <c r="C1753" i="8"/>
  <c r="A1752" i="8"/>
  <c r="B1752" i="8"/>
  <c r="C1752" i="8"/>
  <c r="A1751" i="8"/>
  <c r="B1751" i="8"/>
  <c r="C1751" i="8"/>
  <c r="A1750" i="8"/>
  <c r="B1750" i="8"/>
  <c r="C1750" i="8"/>
  <c r="A1749" i="8"/>
  <c r="B1749" i="8"/>
  <c r="C1749" i="8"/>
  <c r="A1748" i="8"/>
  <c r="B1748" i="8"/>
  <c r="C1748" i="8"/>
  <c r="A1747" i="8"/>
  <c r="B1747" i="8"/>
  <c r="C1747" i="8"/>
  <c r="A1746" i="8"/>
  <c r="B1746" i="8"/>
  <c r="C1746" i="8"/>
  <c r="A1745" i="8"/>
  <c r="B1745" i="8"/>
  <c r="C1745" i="8"/>
  <c r="A1744" i="8"/>
  <c r="B1744" i="8"/>
  <c r="C1744" i="8"/>
  <c r="A1743" i="8"/>
  <c r="B1743" i="8"/>
  <c r="C1743" i="8"/>
  <c r="A1742" i="8"/>
  <c r="B1742" i="8"/>
  <c r="C1742" i="8"/>
  <c r="A1741" i="8"/>
  <c r="B1741" i="8"/>
  <c r="C1741" i="8"/>
  <c r="A1740" i="8"/>
  <c r="B1740" i="8"/>
  <c r="C1740" i="8"/>
  <c r="A1739" i="8"/>
  <c r="B1739" i="8"/>
  <c r="C1739" i="8"/>
  <c r="A1738" i="8"/>
  <c r="B1738" i="8"/>
  <c r="C1738" i="8"/>
  <c r="A1737" i="8"/>
  <c r="B1737" i="8"/>
  <c r="C1737" i="8"/>
  <c r="A1736" i="8"/>
  <c r="B1736" i="8"/>
  <c r="C1736" i="8"/>
  <c r="A1735" i="8"/>
  <c r="B1735" i="8"/>
  <c r="C1735" i="8"/>
  <c r="A1734" i="8"/>
  <c r="B1734" i="8"/>
  <c r="C1734" i="8"/>
  <c r="A1733" i="8"/>
  <c r="B1733" i="8"/>
  <c r="C1733" i="8"/>
  <c r="A1732" i="8"/>
  <c r="B1732" i="8"/>
  <c r="C1732" i="8"/>
  <c r="A1731" i="8"/>
  <c r="B1731" i="8"/>
  <c r="C1731" i="8"/>
  <c r="A1730" i="8"/>
  <c r="B1730" i="8"/>
  <c r="C1730" i="8"/>
  <c r="A1729" i="8"/>
  <c r="B1729" i="8"/>
  <c r="C1729" i="8"/>
  <c r="A1728" i="8"/>
  <c r="B1728" i="8"/>
  <c r="C1728" i="8"/>
  <c r="A1727" i="8"/>
  <c r="B1727" i="8"/>
  <c r="C1727" i="8"/>
  <c r="A1726" i="8"/>
  <c r="B1726" i="8"/>
  <c r="C1726" i="8"/>
  <c r="A1725" i="8"/>
  <c r="B1725" i="8"/>
  <c r="C1725" i="8"/>
  <c r="A1724" i="8"/>
  <c r="B1724" i="8"/>
  <c r="C1724" i="8"/>
  <c r="A1723" i="8"/>
  <c r="B1723" i="8"/>
  <c r="C1723" i="8"/>
  <c r="A1722" i="8"/>
  <c r="B1722" i="8"/>
  <c r="C1722" i="8"/>
  <c r="A1721" i="8"/>
  <c r="B1721" i="8"/>
  <c r="C1721" i="8"/>
  <c r="A1720" i="8"/>
  <c r="B1720" i="8"/>
  <c r="C1720" i="8"/>
  <c r="A1719" i="8"/>
  <c r="B1719" i="8"/>
  <c r="C1719" i="8"/>
  <c r="A1718" i="8"/>
  <c r="B1718" i="8"/>
  <c r="C1718" i="8"/>
  <c r="A1717" i="8"/>
  <c r="B1717" i="8"/>
  <c r="C1717" i="8"/>
  <c r="A1716" i="8"/>
  <c r="B1716" i="8"/>
  <c r="C1716" i="8"/>
  <c r="A1715" i="8"/>
  <c r="B1715" i="8"/>
  <c r="C1715" i="8"/>
  <c r="A1714" i="8"/>
  <c r="B1714" i="8"/>
  <c r="C1714" i="8"/>
  <c r="A1713" i="8"/>
  <c r="B1713" i="8"/>
  <c r="C1713" i="8"/>
  <c r="A1712" i="8"/>
  <c r="B1712" i="8"/>
  <c r="C1712" i="8"/>
  <c r="A1711" i="8"/>
  <c r="B1711" i="8"/>
  <c r="C1711" i="8"/>
  <c r="A1710" i="8"/>
  <c r="B1710" i="8"/>
  <c r="C1710" i="8"/>
  <c r="A1709" i="8"/>
  <c r="B1709" i="8"/>
  <c r="C1709" i="8"/>
  <c r="A1708" i="8"/>
  <c r="B1708" i="8"/>
  <c r="C1708" i="8"/>
  <c r="A1707" i="8"/>
  <c r="B1707" i="8"/>
  <c r="C1707" i="8"/>
  <c r="A1706" i="8"/>
  <c r="B1706" i="8"/>
  <c r="C1706" i="8"/>
  <c r="A1705" i="8"/>
  <c r="B1705" i="8"/>
  <c r="C1705" i="8"/>
  <c r="A1704" i="8"/>
  <c r="B1704" i="8"/>
  <c r="C1704" i="8"/>
  <c r="A1703" i="8"/>
  <c r="B1703" i="8"/>
  <c r="C1703" i="8"/>
  <c r="A1702" i="8"/>
  <c r="B1702" i="8"/>
  <c r="C1702" i="8"/>
  <c r="A1701" i="8"/>
  <c r="B1701" i="8"/>
  <c r="C1701" i="8"/>
  <c r="A1700" i="8"/>
  <c r="B1700" i="8"/>
  <c r="C1700" i="8"/>
  <c r="A1699" i="8"/>
  <c r="B1699" i="8"/>
  <c r="C1699" i="8"/>
  <c r="A1698" i="8"/>
  <c r="B1698" i="8"/>
  <c r="C1698" i="8"/>
  <c r="A1697" i="8"/>
  <c r="B1697" i="8"/>
  <c r="C1697" i="8"/>
  <c r="A1696" i="8"/>
  <c r="B1696" i="8"/>
  <c r="C1696" i="8"/>
  <c r="A1695" i="8"/>
  <c r="B1695" i="8"/>
  <c r="C1695" i="8"/>
  <c r="A1694" i="8"/>
  <c r="B1694" i="8"/>
  <c r="C1694" i="8"/>
  <c r="A1693" i="8"/>
  <c r="B1693" i="8"/>
  <c r="C1693" i="8"/>
  <c r="A1692" i="8"/>
  <c r="B1692" i="8"/>
  <c r="C1692" i="8"/>
  <c r="A1691" i="8"/>
  <c r="B1691" i="8"/>
  <c r="C1691" i="8"/>
  <c r="A1690" i="8"/>
  <c r="B1690" i="8"/>
  <c r="C1690" i="8"/>
  <c r="A1689" i="8"/>
  <c r="B1689" i="8"/>
  <c r="C1689" i="8"/>
  <c r="A1688" i="8"/>
  <c r="B1688" i="8"/>
  <c r="C1688" i="8"/>
  <c r="A1687" i="8"/>
  <c r="B1687" i="8"/>
  <c r="C1687" i="8"/>
  <c r="A1686" i="8"/>
  <c r="B1686" i="8"/>
  <c r="C1686" i="8"/>
  <c r="A1685" i="8"/>
  <c r="B1685" i="8"/>
  <c r="C1685" i="8"/>
  <c r="A1684" i="8"/>
  <c r="B1684" i="8"/>
  <c r="C1684" i="8"/>
  <c r="A1683" i="8"/>
  <c r="B1683" i="8"/>
  <c r="C1683" i="8"/>
  <c r="A1682" i="8"/>
  <c r="B1682" i="8"/>
  <c r="C1682" i="8"/>
  <c r="A1681" i="8"/>
  <c r="B1681" i="8"/>
  <c r="C1681" i="8"/>
  <c r="A1680" i="8"/>
  <c r="B1680" i="8"/>
  <c r="C1680" i="8"/>
  <c r="A1679" i="8"/>
  <c r="B1679" i="8"/>
  <c r="C1679" i="8"/>
  <c r="A1678" i="8"/>
  <c r="B1678" i="8"/>
  <c r="C1678" i="8"/>
  <c r="A1677" i="8"/>
  <c r="B1677" i="8"/>
  <c r="C1677" i="8"/>
  <c r="A1676" i="8"/>
  <c r="B1676" i="8"/>
  <c r="C1676" i="8"/>
  <c r="A1675" i="8"/>
  <c r="B1675" i="8"/>
  <c r="C1675" i="8"/>
  <c r="A1674" i="8"/>
  <c r="B1674" i="8"/>
  <c r="C1674" i="8"/>
  <c r="A1673" i="8"/>
  <c r="B1673" i="8"/>
  <c r="C1673" i="8"/>
  <c r="A1672" i="8"/>
  <c r="B1672" i="8"/>
  <c r="C1672" i="8"/>
  <c r="A1671" i="8"/>
  <c r="B1671" i="8"/>
  <c r="C1671" i="8"/>
  <c r="A1670" i="8"/>
  <c r="B1670" i="8"/>
  <c r="C1670" i="8"/>
  <c r="A1669" i="8"/>
  <c r="B1669" i="8"/>
  <c r="C1669" i="8"/>
  <c r="A1668" i="8"/>
  <c r="B1668" i="8"/>
  <c r="C1668" i="8"/>
  <c r="A1667" i="8"/>
  <c r="B1667" i="8"/>
  <c r="C1667" i="8"/>
  <c r="A1666" i="8"/>
  <c r="B1666" i="8"/>
  <c r="C1666" i="8"/>
  <c r="A1665" i="8"/>
  <c r="B1665" i="8"/>
  <c r="C1665" i="8"/>
  <c r="A1664" i="8"/>
  <c r="B1664" i="8"/>
  <c r="C1664" i="8"/>
  <c r="A1663" i="8"/>
  <c r="B1663" i="8"/>
  <c r="C1663" i="8"/>
  <c r="A1662" i="8"/>
  <c r="B1662" i="8"/>
  <c r="C1662" i="8"/>
  <c r="A1661" i="8"/>
  <c r="B1661" i="8"/>
  <c r="C1661" i="8"/>
  <c r="A1660" i="8"/>
  <c r="B1660" i="8"/>
  <c r="C1660" i="8"/>
  <c r="A1659" i="8"/>
  <c r="B1659" i="8"/>
  <c r="C1659" i="8"/>
  <c r="A1658" i="8"/>
  <c r="B1658" i="8"/>
  <c r="C1658" i="8"/>
  <c r="A1657" i="8"/>
  <c r="B1657" i="8"/>
  <c r="C1657" i="8"/>
  <c r="A1656" i="8"/>
  <c r="B1656" i="8"/>
  <c r="C1656" i="8"/>
  <c r="A1655" i="8"/>
  <c r="B1655" i="8"/>
  <c r="C1655" i="8"/>
  <c r="A1654" i="8"/>
  <c r="B1654" i="8"/>
  <c r="C1654" i="8"/>
  <c r="A1653" i="8"/>
  <c r="B1653" i="8"/>
  <c r="C1653" i="8"/>
  <c r="A1652" i="8"/>
  <c r="B1652" i="8"/>
  <c r="C1652" i="8"/>
  <c r="A1651" i="8"/>
  <c r="B1651" i="8"/>
  <c r="C1651" i="8"/>
  <c r="A1650" i="8"/>
  <c r="B1650" i="8"/>
  <c r="C1650" i="8"/>
  <c r="A1649" i="8"/>
  <c r="B1649" i="8"/>
  <c r="C1649" i="8"/>
  <c r="A1648" i="8"/>
  <c r="B1648" i="8"/>
  <c r="C1648" i="8"/>
  <c r="A1647" i="8"/>
  <c r="B1647" i="8"/>
  <c r="C1647" i="8"/>
  <c r="A1646" i="8"/>
  <c r="B1646" i="8"/>
  <c r="C1646" i="8"/>
  <c r="A1645" i="8"/>
  <c r="B1645" i="8"/>
  <c r="C1645" i="8"/>
  <c r="A1644" i="8"/>
  <c r="B1644" i="8"/>
  <c r="C1644" i="8"/>
  <c r="A1643" i="8"/>
  <c r="B1643" i="8"/>
  <c r="C1643" i="8"/>
  <c r="A1642" i="8"/>
  <c r="B1642" i="8"/>
  <c r="C1642" i="8"/>
  <c r="A1641" i="8"/>
  <c r="B1641" i="8"/>
  <c r="C1641" i="8"/>
  <c r="A1640" i="8"/>
  <c r="B1640" i="8"/>
  <c r="C1640" i="8"/>
  <c r="A1639" i="8"/>
  <c r="B1639" i="8"/>
  <c r="C1639" i="8"/>
  <c r="A1638" i="8"/>
  <c r="B1638" i="8"/>
  <c r="C1638" i="8"/>
  <c r="A1637" i="8"/>
  <c r="B1637" i="8"/>
  <c r="C1637" i="8"/>
  <c r="A1636" i="8"/>
  <c r="B1636" i="8"/>
  <c r="C1636" i="8"/>
  <c r="A1635" i="8"/>
  <c r="B1635" i="8"/>
  <c r="C1635" i="8"/>
  <c r="A1634" i="8"/>
  <c r="B1634" i="8"/>
  <c r="C1634" i="8"/>
  <c r="A1633" i="8"/>
  <c r="B1633" i="8"/>
  <c r="C1633" i="8"/>
  <c r="A1632" i="8"/>
  <c r="B1632" i="8"/>
  <c r="C1632" i="8"/>
  <c r="A1631" i="8"/>
  <c r="B1631" i="8"/>
  <c r="C1631" i="8"/>
  <c r="A1630" i="8"/>
  <c r="B1630" i="8"/>
  <c r="C1630" i="8"/>
  <c r="A1629" i="8"/>
  <c r="B1629" i="8"/>
  <c r="C1629" i="8"/>
  <c r="A1628" i="8"/>
  <c r="B1628" i="8"/>
  <c r="C1628" i="8"/>
  <c r="A1627" i="8"/>
  <c r="B1627" i="8"/>
  <c r="C1627" i="8"/>
  <c r="A1626" i="8"/>
  <c r="B1626" i="8"/>
  <c r="C1626" i="8"/>
  <c r="A1625" i="8"/>
  <c r="B1625" i="8"/>
  <c r="C1625" i="8"/>
  <c r="A1624" i="8"/>
  <c r="B1624" i="8"/>
  <c r="C1624" i="8"/>
  <c r="A1623" i="8"/>
  <c r="B1623" i="8"/>
  <c r="C1623" i="8"/>
  <c r="A1622" i="8"/>
  <c r="B1622" i="8"/>
  <c r="C1622" i="8"/>
  <c r="A1621" i="8"/>
  <c r="B1621" i="8"/>
  <c r="C1621" i="8"/>
  <c r="A1620" i="8"/>
  <c r="B1620" i="8"/>
  <c r="C1620" i="8"/>
  <c r="A1619" i="8"/>
  <c r="B1619" i="8"/>
  <c r="C1619" i="8"/>
  <c r="A1618" i="8"/>
  <c r="B1618" i="8"/>
  <c r="C1618" i="8"/>
  <c r="A1617" i="8"/>
  <c r="B1617" i="8"/>
  <c r="C1617" i="8"/>
  <c r="A1616" i="8"/>
  <c r="B1616" i="8"/>
  <c r="C1616" i="8"/>
  <c r="A1615" i="8"/>
  <c r="B1615" i="8"/>
  <c r="C1615" i="8"/>
  <c r="A1614" i="8"/>
  <c r="B1614" i="8"/>
  <c r="C1614" i="8"/>
  <c r="A1613" i="8"/>
  <c r="B1613" i="8"/>
  <c r="C1613" i="8"/>
  <c r="A1612" i="8"/>
  <c r="B1612" i="8"/>
  <c r="C1612" i="8"/>
  <c r="A1611" i="8"/>
  <c r="B1611" i="8"/>
  <c r="C1611" i="8"/>
  <c r="A1610" i="8"/>
  <c r="B1610" i="8"/>
  <c r="C1610" i="8"/>
  <c r="A1609" i="8"/>
  <c r="B1609" i="8"/>
  <c r="C1609" i="8"/>
  <c r="A1608" i="8"/>
  <c r="B1608" i="8"/>
  <c r="C1608" i="8"/>
  <c r="A1607" i="8"/>
  <c r="B1607" i="8"/>
  <c r="C1607" i="8"/>
  <c r="A1606" i="8"/>
  <c r="B1606" i="8"/>
  <c r="C1606" i="8"/>
  <c r="A1605" i="8"/>
  <c r="B1605" i="8"/>
  <c r="C1605" i="8"/>
  <c r="A1604" i="8"/>
  <c r="B1604" i="8"/>
  <c r="C1604" i="8"/>
  <c r="A1603" i="8"/>
  <c r="B1603" i="8"/>
  <c r="C1603" i="8"/>
  <c r="A1602" i="8"/>
  <c r="B1602" i="8"/>
  <c r="C1602" i="8"/>
  <c r="A1601" i="8"/>
  <c r="B1601" i="8"/>
  <c r="C1601" i="8"/>
  <c r="A1600" i="8"/>
  <c r="B1600" i="8"/>
  <c r="C1600" i="8"/>
  <c r="A1599" i="8"/>
  <c r="B1599" i="8"/>
  <c r="C1599" i="8"/>
  <c r="A1598" i="8"/>
  <c r="B1598" i="8"/>
  <c r="C1598" i="8"/>
  <c r="A1597" i="8"/>
  <c r="B1597" i="8"/>
  <c r="C1597" i="8"/>
  <c r="A1596" i="8"/>
  <c r="B1596" i="8"/>
  <c r="C1596" i="8"/>
  <c r="A1595" i="8"/>
  <c r="B1595" i="8"/>
  <c r="C1595" i="8"/>
  <c r="A1594" i="8"/>
  <c r="B1594" i="8"/>
  <c r="C1594" i="8"/>
  <c r="A1593" i="8"/>
  <c r="B1593" i="8"/>
  <c r="C1593" i="8"/>
  <c r="A1592" i="8"/>
  <c r="B1592" i="8"/>
  <c r="C1592" i="8"/>
  <c r="A1591" i="8"/>
  <c r="B1591" i="8"/>
  <c r="C1591" i="8"/>
  <c r="A1590" i="8"/>
  <c r="B1590" i="8"/>
  <c r="C1590" i="8"/>
  <c r="A1589" i="8"/>
  <c r="B1589" i="8"/>
  <c r="C1589" i="8"/>
  <c r="A1588" i="8"/>
  <c r="B1588" i="8"/>
  <c r="C1588" i="8"/>
  <c r="A1587" i="8"/>
  <c r="B1587" i="8"/>
  <c r="C1587" i="8"/>
  <c r="A1586" i="8"/>
  <c r="B1586" i="8"/>
  <c r="C1586" i="8"/>
  <c r="A1585" i="8"/>
  <c r="B1585" i="8"/>
  <c r="C1585" i="8"/>
  <c r="A1584" i="8"/>
  <c r="B1584" i="8"/>
  <c r="C1584" i="8"/>
  <c r="A1583" i="8"/>
  <c r="B1583" i="8"/>
  <c r="C1583" i="8"/>
  <c r="A1582" i="8"/>
  <c r="B1582" i="8"/>
  <c r="C1582" i="8"/>
  <c r="A1581" i="8"/>
  <c r="B1581" i="8"/>
  <c r="C1581" i="8"/>
  <c r="A1580" i="8"/>
  <c r="B1580" i="8"/>
  <c r="C1580" i="8"/>
  <c r="A1579" i="8"/>
  <c r="B1579" i="8"/>
  <c r="C1579" i="8"/>
  <c r="A1578" i="8"/>
  <c r="B1578" i="8"/>
  <c r="C1578" i="8"/>
  <c r="A1577" i="8"/>
  <c r="B1577" i="8"/>
  <c r="C1577" i="8"/>
  <c r="A1576" i="8"/>
  <c r="B1576" i="8"/>
  <c r="C1576" i="8"/>
  <c r="A1575" i="8"/>
  <c r="B1575" i="8"/>
  <c r="C1575" i="8"/>
  <c r="A1574" i="8"/>
  <c r="B1574" i="8"/>
  <c r="C1574" i="8"/>
  <c r="A1573" i="8"/>
  <c r="B1573" i="8"/>
  <c r="C1573" i="8"/>
  <c r="A1572" i="8"/>
  <c r="B1572" i="8"/>
  <c r="C1572" i="8"/>
  <c r="A1571" i="8"/>
  <c r="B1571" i="8"/>
  <c r="C1571" i="8"/>
  <c r="A1570" i="8"/>
  <c r="B1570" i="8"/>
  <c r="C1570" i="8"/>
  <c r="A1569" i="8"/>
  <c r="B1569" i="8"/>
  <c r="C1569" i="8"/>
  <c r="A1568" i="8"/>
  <c r="B1568" i="8"/>
  <c r="C1568" i="8"/>
  <c r="A1567" i="8"/>
  <c r="B1567" i="8"/>
  <c r="C1567" i="8"/>
  <c r="A1566" i="8"/>
  <c r="B1566" i="8"/>
  <c r="C1566" i="8"/>
  <c r="A1565" i="8"/>
  <c r="B1565" i="8"/>
  <c r="C1565" i="8"/>
  <c r="A1564" i="8"/>
  <c r="B1564" i="8"/>
  <c r="C1564" i="8"/>
  <c r="A1563" i="8"/>
  <c r="B1563" i="8"/>
  <c r="C1563" i="8"/>
  <c r="A1562" i="8"/>
  <c r="B1562" i="8"/>
  <c r="C1562" i="8"/>
  <c r="A1561" i="8"/>
  <c r="B1561" i="8"/>
  <c r="C1561" i="8"/>
  <c r="A1560" i="8"/>
  <c r="B1560" i="8"/>
  <c r="C1560" i="8"/>
  <c r="A1559" i="8"/>
  <c r="B1559" i="8"/>
  <c r="C1559" i="8"/>
  <c r="A1558" i="8"/>
  <c r="B1558" i="8"/>
  <c r="C1558" i="8"/>
  <c r="A1557" i="8"/>
  <c r="B1557" i="8"/>
  <c r="C1557" i="8"/>
  <c r="A1556" i="8"/>
  <c r="B1556" i="8"/>
  <c r="C1556" i="8"/>
  <c r="A1555" i="8"/>
  <c r="B1555" i="8"/>
  <c r="C1555" i="8"/>
  <c r="A1554" i="8"/>
  <c r="B1554" i="8"/>
  <c r="C1554" i="8"/>
  <c r="A1553" i="8"/>
  <c r="B1553" i="8"/>
  <c r="C1553" i="8"/>
  <c r="A1552" i="8"/>
  <c r="B1552" i="8"/>
  <c r="C1552" i="8"/>
  <c r="A1551" i="8"/>
  <c r="B1551" i="8"/>
  <c r="C1551" i="8"/>
  <c r="A1550" i="8"/>
  <c r="B1550" i="8"/>
  <c r="C1550" i="8"/>
  <c r="A1549" i="8"/>
  <c r="B1549" i="8"/>
  <c r="C1549" i="8"/>
  <c r="A1548" i="8"/>
  <c r="B1548" i="8"/>
  <c r="C1548" i="8"/>
  <c r="A1547" i="8"/>
  <c r="B1547" i="8"/>
  <c r="C1547" i="8"/>
  <c r="A1546" i="8"/>
  <c r="B1546" i="8"/>
  <c r="C1546" i="8"/>
  <c r="A1545" i="8"/>
  <c r="B1545" i="8"/>
  <c r="C1545" i="8"/>
  <c r="A1544" i="8"/>
  <c r="B1544" i="8"/>
  <c r="C1544" i="8"/>
  <c r="A1543" i="8"/>
  <c r="B1543" i="8"/>
  <c r="C1543" i="8"/>
  <c r="A1542" i="8"/>
  <c r="B1542" i="8"/>
  <c r="C1542" i="8"/>
  <c r="A1541" i="8"/>
  <c r="B1541" i="8"/>
  <c r="C1541" i="8"/>
  <c r="A1540" i="8"/>
  <c r="B1540" i="8"/>
  <c r="C1540" i="8"/>
  <c r="A1539" i="8"/>
  <c r="B1539" i="8"/>
  <c r="C1539" i="8"/>
  <c r="A1538" i="8"/>
  <c r="B1538" i="8"/>
  <c r="C1538" i="8"/>
  <c r="A1537" i="8"/>
  <c r="B1537" i="8"/>
  <c r="C1537" i="8"/>
  <c r="A1536" i="8"/>
  <c r="B1536" i="8"/>
  <c r="C1536" i="8"/>
  <c r="A1535" i="8"/>
  <c r="B1535" i="8"/>
  <c r="C1535" i="8"/>
  <c r="A1534" i="8"/>
  <c r="B1534" i="8"/>
  <c r="C1534" i="8"/>
  <c r="A1533" i="8"/>
  <c r="B1533" i="8"/>
  <c r="C1533" i="8"/>
  <c r="A1532" i="8"/>
  <c r="B1532" i="8"/>
  <c r="C1532" i="8"/>
  <c r="A1531" i="8"/>
  <c r="B1531" i="8"/>
  <c r="C1531" i="8"/>
  <c r="A1530" i="8"/>
  <c r="B1530" i="8"/>
  <c r="C1530" i="8"/>
  <c r="A1529" i="8"/>
  <c r="B1529" i="8"/>
  <c r="C1529" i="8"/>
  <c r="A1528" i="8"/>
  <c r="B1528" i="8"/>
  <c r="C1528" i="8"/>
  <c r="A1527" i="8"/>
  <c r="B1527" i="8"/>
  <c r="C1527" i="8"/>
  <c r="A1526" i="8"/>
  <c r="B1526" i="8"/>
  <c r="C1526" i="8"/>
  <c r="A1525" i="8"/>
  <c r="B1525" i="8"/>
  <c r="C1525" i="8"/>
  <c r="A1524" i="8"/>
  <c r="B1524" i="8"/>
  <c r="C1524" i="8"/>
  <c r="A1523" i="8"/>
  <c r="B1523" i="8"/>
  <c r="C1523" i="8"/>
  <c r="A1522" i="8"/>
  <c r="B1522" i="8"/>
  <c r="C1522" i="8"/>
  <c r="A1521" i="8"/>
  <c r="B1521" i="8"/>
  <c r="C1521" i="8"/>
  <c r="A1520" i="8"/>
  <c r="B1520" i="8"/>
  <c r="C1520" i="8"/>
  <c r="A1519" i="8"/>
  <c r="B1519" i="8"/>
  <c r="C1519" i="8"/>
  <c r="A1518" i="8"/>
  <c r="B1518" i="8"/>
  <c r="C1518" i="8"/>
  <c r="A1517" i="8"/>
  <c r="B1517" i="8"/>
  <c r="C1517" i="8"/>
  <c r="A1516" i="8"/>
  <c r="B1516" i="8"/>
  <c r="C1516" i="8"/>
  <c r="A1515" i="8"/>
  <c r="B1515" i="8"/>
  <c r="C1515" i="8"/>
  <c r="A1514" i="8"/>
  <c r="B1514" i="8"/>
  <c r="C1514" i="8"/>
  <c r="A1513" i="8"/>
  <c r="B1513" i="8"/>
  <c r="C1513" i="8"/>
  <c r="A1512" i="8"/>
  <c r="B1512" i="8"/>
  <c r="C1512" i="8"/>
  <c r="A1511" i="8"/>
  <c r="B1511" i="8"/>
  <c r="C1511" i="8"/>
  <c r="A1510" i="8"/>
  <c r="B1510" i="8"/>
  <c r="C1510" i="8"/>
  <c r="A1509" i="8"/>
  <c r="B1509" i="8"/>
  <c r="C1509" i="8"/>
  <c r="A1508" i="8"/>
  <c r="B1508" i="8"/>
  <c r="C1508" i="8"/>
  <c r="A1507" i="8"/>
  <c r="B1507" i="8"/>
  <c r="C1507" i="8"/>
  <c r="A1506" i="8"/>
  <c r="B1506" i="8"/>
  <c r="C1506" i="8"/>
  <c r="A1505" i="8"/>
  <c r="B1505" i="8"/>
  <c r="C1505" i="8"/>
  <c r="A1504" i="8"/>
  <c r="B1504" i="8"/>
  <c r="C1504" i="8"/>
  <c r="A1503" i="8"/>
  <c r="B1503" i="8"/>
  <c r="C1503" i="8"/>
  <c r="A1502" i="8"/>
  <c r="B1502" i="8"/>
  <c r="C1502" i="8"/>
  <c r="A1501" i="8"/>
  <c r="B1501" i="8"/>
  <c r="C1501" i="8"/>
  <c r="A1500" i="8"/>
  <c r="B1500" i="8"/>
  <c r="C1500" i="8"/>
  <c r="A1499" i="8"/>
  <c r="B1499" i="8"/>
  <c r="C1499" i="8"/>
  <c r="A1498" i="8"/>
  <c r="B1498" i="8"/>
  <c r="C1498" i="8"/>
  <c r="A1497" i="8"/>
  <c r="B1497" i="8"/>
  <c r="C1497" i="8"/>
  <c r="A1496" i="8"/>
  <c r="B1496" i="8"/>
  <c r="C1496" i="8"/>
  <c r="A1495" i="8"/>
  <c r="B1495" i="8"/>
  <c r="C1495" i="8"/>
  <c r="A1494" i="8"/>
  <c r="B1494" i="8"/>
  <c r="C1494" i="8"/>
  <c r="A1493" i="8"/>
  <c r="B1493" i="8"/>
  <c r="C1493" i="8"/>
  <c r="A1492" i="8"/>
  <c r="B1492" i="8"/>
  <c r="C1492" i="8"/>
  <c r="A1491" i="8"/>
  <c r="B1491" i="8"/>
  <c r="C1491" i="8"/>
  <c r="A1490" i="8"/>
  <c r="B1490" i="8"/>
  <c r="C1490" i="8"/>
  <c r="A1489" i="8"/>
  <c r="B1489" i="8"/>
  <c r="C1489" i="8"/>
  <c r="A1488" i="8"/>
  <c r="B1488" i="8"/>
  <c r="C1488" i="8"/>
  <c r="A1487" i="8"/>
  <c r="B1487" i="8"/>
  <c r="C1487" i="8"/>
  <c r="A1486" i="8"/>
  <c r="B1486" i="8"/>
  <c r="C1486" i="8"/>
  <c r="A1485" i="8"/>
  <c r="B1485" i="8"/>
  <c r="C1485" i="8"/>
  <c r="A1484" i="8"/>
  <c r="B1484" i="8"/>
  <c r="C1484" i="8"/>
  <c r="A1483" i="8"/>
  <c r="B1483" i="8"/>
  <c r="C1483" i="8"/>
  <c r="A1482" i="8"/>
  <c r="B1482" i="8"/>
  <c r="C1482" i="8"/>
  <c r="A1481" i="8"/>
  <c r="B1481" i="8"/>
  <c r="C1481" i="8"/>
  <c r="A1480" i="8"/>
  <c r="B1480" i="8"/>
  <c r="C1480" i="8"/>
  <c r="A1479" i="8"/>
  <c r="B1479" i="8"/>
  <c r="C1479" i="8"/>
  <c r="A1478" i="8"/>
  <c r="B1478" i="8"/>
  <c r="C1478" i="8"/>
  <c r="A1477" i="8"/>
  <c r="B1477" i="8"/>
  <c r="C1477" i="8"/>
  <c r="A1476" i="8"/>
  <c r="B1476" i="8"/>
  <c r="C1476" i="8"/>
  <c r="A1475" i="8"/>
  <c r="B1475" i="8"/>
  <c r="C1475" i="8"/>
  <c r="A1474" i="8"/>
  <c r="B1474" i="8"/>
  <c r="C1474" i="8"/>
  <c r="A1473" i="8"/>
  <c r="B1473" i="8"/>
  <c r="C1473" i="8"/>
  <c r="A1472" i="8"/>
  <c r="B1472" i="8"/>
  <c r="C1472" i="8"/>
  <c r="A1471" i="8"/>
  <c r="B1471" i="8"/>
  <c r="C1471" i="8"/>
  <c r="A1470" i="8"/>
  <c r="B1470" i="8"/>
  <c r="C1470" i="8"/>
  <c r="A1469" i="8"/>
  <c r="B1469" i="8"/>
  <c r="C1469" i="8"/>
  <c r="A1468" i="8"/>
  <c r="B1468" i="8"/>
  <c r="C1468" i="8"/>
  <c r="A1467" i="8"/>
  <c r="B1467" i="8"/>
  <c r="C1467" i="8"/>
  <c r="A1466" i="8"/>
  <c r="B1466" i="8"/>
  <c r="C1466" i="8"/>
  <c r="A1465" i="8"/>
  <c r="B1465" i="8"/>
  <c r="C1465" i="8"/>
  <c r="A1464" i="8"/>
  <c r="B1464" i="8"/>
  <c r="C1464" i="8"/>
  <c r="A1463" i="8"/>
  <c r="B1463" i="8"/>
  <c r="C1463" i="8"/>
  <c r="A1462" i="8"/>
  <c r="B1462" i="8"/>
  <c r="C1462" i="8"/>
  <c r="A1461" i="8"/>
  <c r="B1461" i="8"/>
  <c r="C1461" i="8"/>
  <c r="A1460" i="8"/>
  <c r="B1460" i="8"/>
  <c r="C1460" i="8"/>
  <c r="A1459" i="8"/>
  <c r="B1459" i="8"/>
  <c r="C1459" i="8"/>
  <c r="A1458" i="8"/>
  <c r="B1458" i="8"/>
  <c r="C1458" i="8"/>
  <c r="A1457" i="8"/>
  <c r="B1457" i="8"/>
  <c r="C1457" i="8"/>
  <c r="A1456" i="8"/>
  <c r="B1456" i="8"/>
  <c r="C1456" i="8"/>
  <c r="A1455" i="8"/>
  <c r="B1455" i="8"/>
  <c r="C1455" i="8"/>
  <c r="A1454" i="8"/>
  <c r="B1454" i="8"/>
  <c r="C1454" i="8"/>
  <c r="A1453" i="8"/>
  <c r="B1453" i="8"/>
  <c r="C1453" i="8"/>
  <c r="A1452" i="8"/>
  <c r="B1452" i="8"/>
  <c r="C1452" i="8"/>
  <c r="A1451" i="8"/>
  <c r="B1451" i="8"/>
  <c r="C1451" i="8"/>
  <c r="A1450" i="8"/>
  <c r="B1450" i="8"/>
  <c r="C1450" i="8"/>
  <c r="A1449" i="8"/>
  <c r="B1449" i="8"/>
  <c r="C1449" i="8"/>
  <c r="A1448" i="8"/>
  <c r="B1448" i="8"/>
  <c r="C1448" i="8"/>
  <c r="A1447" i="8"/>
  <c r="B1447" i="8"/>
  <c r="C1447" i="8"/>
  <c r="A1446" i="8"/>
  <c r="B1446" i="8"/>
  <c r="C1446" i="8"/>
  <c r="A1445" i="8"/>
  <c r="B1445" i="8"/>
  <c r="C1445" i="8"/>
  <c r="A1444" i="8"/>
  <c r="B1444" i="8"/>
  <c r="C1444" i="8"/>
  <c r="A1443" i="8"/>
  <c r="B1443" i="8"/>
  <c r="C1443" i="8"/>
  <c r="A1442" i="8"/>
  <c r="B1442" i="8"/>
  <c r="C1442" i="8"/>
  <c r="A1441" i="8"/>
  <c r="B1441" i="8"/>
  <c r="C1441" i="8"/>
  <c r="A1440" i="8"/>
  <c r="B1440" i="8"/>
  <c r="C1440" i="8"/>
  <c r="A1439" i="8"/>
  <c r="B1439" i="8"/>
  <c r="C1439" i="8"/>
  <c r="A1438" i="8"/>
  <c r="B1438" i="8"/>
  <c r="C1438" i="8"/>
  <c r="A1437" i="8"/>
  <c r="B1437" i="8"/>
  <c r="C1437" i="8"/>
  <c r="A1436" i="8"/>
  <c r="B1436" i="8"/>
  <c r="C1436" i="8"/>
  <c r="A1435" i="8"/>
  <c r="B1435" i="8"/>
  <c r="C1435" i="8"/>
  <c r="A1434" i="8"/>
  <c r="B1434" i="8"/>
  <c r="C1434" i="8"/>
  <c r="A1433" i="8"/>
  <c r="B1433" i="8"/>
  <c r="C1433" i="8"/>
  <c r="A1432" i="8"/>
  <c r="B1432" i="8"/>
  <c r="C1432" i="8"/>
  <c r="A1431" i="8"/>
  <c r="B1431" i="8"/>
  <c r="C1431" i="8"/>
  <c r="A1430" i="8"/>
  <c r="B1430" i="8"/>
  <c r="C1430" i="8"/>
  <c r="A1429" i="8"/>
  <c r="B1429" i="8"/>
  <c r="C1429" i="8"/>
  <c r="A1428" i="8"/>
  <c r="B1428" i="8"/>
  <c r="C1428" i="8"/>
  <c r="A1427" i="8"/>
  <c r="B1427" i="8"/>
  <c r="C1427" i="8"/>
  <c r="A1426" i="8"/>
  <c r="B1426" i="8"/>
  <c r="C1426" i="8"/>
  <c r="A1425" i="8"/>
  <c r="B1425" i="8"/>
  <c r="C1425" i="8"/>
  <c r="A1424" i="8"/>
  <c r="B1424" i="8"/>
  <c r="C1424" i="8"/>
  <c r="A1423" i="8"/>
  <c r="B1423" i="8"/>
  <c r="C1423" i="8"/>
  <c r="A1422" i="8"/>
  <c r="B1422" i="8"/>
  <c r="C1422" i="8"/>
  <c r="A1421" i="8"/>
  <c r="B1421" i="8"/>
  <c r="C1421" i="8"/>
  <c r="A1420" i="8"/>
  <c r="B1420" i="8"/>
  <c r="C1420" i="8"/>
  <c r="A1419" i="8"/>
  <c r="B1419" i="8"/>
  <c r="C1419" i="8"/>
  <c r="A1418" i="8"/>
  <c r="B1418" i="8"/>
  <c r="C1418" i="8"/>
  <c r="A1417" i="8"/>
  <c r="B1417" i="8"/>
  <c r="C1417" i="8"/>
  <c r="A1416" i="8"/>
  <c r="B1416" i="8"/>
  <c r="C1416" i="8"/>
  <c r="A1415" i="8"/>
  <c r="B1415" i="8"/>
  <c r="C1415" i="8"/>
  <c r="A1414" i="8"/>
  <c r="B1414" i="8"/>
  <c r="C1414" i="8"/>
  <c r="A1413" i="8"/>
  <c r="B1413" i="8"/>
  <c r="C1413" i="8"/>
  <c r="A1412" i="8"/>
  <c r="B1412" i="8"/>
  <c r="C1412" i="8"/>
  <c r="A1411" i="8"/>
  <c r="B1411" i="8"/>
  <c r="C1411" i="8"/>
  <c r="A1410" i="8"/>
  <c r="B1410" i="8"/>
  <c r="C1410" i="8"/>
  <c r="A1409" i="8"/>
  <c r="B1409" i="8"/>
  <c r="C1409" i="8"/>
  <c r="A1408" i="8"/>
  <c r="B1408" i="8"/>
  <c r="C1408" i="8"/>
  <c r="A1407" i="8"/>
  <c r="B1407" i="8"/>
  <c r="C1407" i="8"/>
  <c r="A1406" i="8"/>
  <c r="B1406" i="8"/>
  <c r="C1406" i="8"/>
  <c r="A1405" i="8"/>
  <c r="B1405" i="8"/>
  <c r="C1405" i="8"/>
  <c r="A1404" i="8"/>
  <c r="B1404" i="8"/>
  <c r="C1404" i="8"/>
  <c r="A1403" i="8"/>
  <c r="B1403" i="8"/>
  <c r="C1403" i="8"/>
  <c r="A1402" i="8"/>
  <c r="B1402" i="8"/>
  <c r="C1402" i="8"/>
  <c r="A1401" i="8"/>
  <c r="B1401" i="8"/>
  <c r="C1401" i="8"/>
  <c r="A1400" i="8"/>
  <c r="B1400" i="8"/>
  <c r="C1400" i="8"/>
  <c r="A1399" i="8"/>
  <c r="B1399" i="8"/>
  <c r="C1399" i="8"/>
  <c r="A1398" i="8"/>
  <c r="B1398" i="8"/>
  <c r="C1398" i="8"/>
  <c r="A1397" i="8"/>
  <c r="B1397" i="8"/>
  <c r="C1397" i="8"/>
  <c r="A1396" i="8"/>
  <c r="B1396" i="8"/>
  <c r="C1396" i="8"/>
  <c r="A1395" i="8"/>
  <c r="B1395" i="8"/>
  <c r="C1395" i="8"/>
  <c r="A1394" i="8"/>
  <c r="B1394" i="8"/>
  <c r="C1394" i="8"/>
  <c r="A1393" i="8"/>
  <c r="B1393" i="8"/>
  <c r="C1393" i="8"/>
  <c r="A1392" i="8"/>
  <c r="B1392" i="8"/>
  <c r="C1392" i="8"/>
  <c r="A1391" i="8"/>
  <c r="B1391" i="8"/>
  <c r="C1391" i="8"/>
  <c r="A1390" i="8"/>
  <c r="B1390" i="8"/>
  <c r="C1390" i="8"/>
  <c r="A1389" i="8"/>
  <c r="B1389" i="8"/>
  <c r="C1389" i="8"/>
  <c r="A1388" i="8"/>
  <c r="B1388" i="8"/>
  <c r="C1388" i="8"/>
  <c r="A1387" i="8"/>
  <c r="B1387" i="8"/>
  <c r="C1387" i="8"/>
  <c r="A1386" i="8"/>
  <c r="B1386" i="8"/>
  <c r="C1386" i="8"/>
  <c r="A1385" i="8"/>
  <c r="B1385" i="8"/>
  <c r="C1385" i="8"/>
  <c r="A1384" i="8"/>
  <c r="B1384" i="8"/>
  <c r="C1384" i="8"/>
  <c r="A1383" i="8"/>
  <c r="B1383" i="8"/>
  <c r="C1383" i="8"/>
  <c r="A1382" i="8"/>
  <c r="B1382" i="8"/>
  <c r="C1382" i="8"/>
  <c r="A1381" i="8"/>
  <c r="B1381" i="8"/>
  <c r="C1381" i="8"/>
  <c r="A1380" i="8"/>
  <c r="B1380" i="8"/>
  <c r="C1380" i="8"/>
  <c r="A1379" i="8"/>
  <c r="B1379" i="8"/>
  <c r="C1379" i="8"/>
  <c r="A1378" i="8"/>
  <c r="B1378" i="8"/>
  <c r="C1378" i="8"/>
  <c r="A1377" i="8"/>
  <c r="B1377" i="8"/>
  <c r="C1377" i="8"/>
  <c r="A1376" i="8"/>
  <c r="B1376" i="8"/>
  <c r="C1376" i="8"/>
  <c r="A1375" i="8"/>
  <c r="B1375" i="8"/>
  <c r="C1375" i="8"/>
  <c r="A1374" i="8"/>
  <c r="B1374" i="8"/>
  <c r="C1374" i="8"/>
  <c r="A1373" i="8"/>
  <c r="B1373" i="8"/>
  <c r="C1373" i="8"/>
  <c r="A1372" i="8"/>
  <c r="B1372" i="8"/>
  <c r="C1372" i="8"/>
  <c r="A1371" i="8"/>
  <c r="B1371" i="8"/>
  <c r="C1371" i="8"/>
  <c r="A1370" i="8"/>
  <c r="B1370" i="8"/>
  <c r="C1370" i="8"/>
  <c r="A1369" i="8"/>
  <c r="B1369" i="8"/>
  <c r="C1369" i="8"/>
  <c r="A1368" i="8"/>
  <c r="B1368" i="8"/>
  <c r="C1368" i="8"/>
  <c r="A1367" i="8"/>
  <c r="B1367" i="8"/>
  <c r="C1367" i="8"/>
  <c r="A1366" i="8"/>
  <c r="B1366" i="8"/>
  <c r="C1366" i="8"/>
  <c r="A1365" i="8"/>
  <c r="B1365" i="8"/>
  <c r="C1365" i="8"/>
  <c r="A1364" i="8"/>
  <c r="B1364" i="8"/>
  <c r="C1364" i="8"/>
  <c r="A1363" i="8"/>
  <c r="B1363" i="8"/>
  <c r="C1363" i="8"/>
  <c r="A1362" i="8"/>
  <c r="B1362" i="8"/>
  <c r="C1362" i="8"/>
  <c r="A1361" i="8"/>
  <c r="B1361" i="8"/>
  <c r="C1361" i="8"/>
  <c r="A1360" i="8"/>
  <c r="B1360" i="8"/>
  <c r="C1360" i="8"/>
  <c r="A1359" i="8"/>
  <c r="B1359" i="8"/>
  <c r="C1359" i="8"/>
  <c r="A1358" i="8"/>
  <c r="B1358" i="8"/>
  <c r="C1358" i="8"/>
  <c r="A1357" i="8"/>
  <c r="B1357" i="8"/>
  <c r="C1357" i="8"/>
  <c r="A1356" i="8"/>
  <c r="B1356" i="8"/>
  <c r="C1356" i="8"/>
  <c r="A1355" i="8"/>
  <c r="B1355" i="8"/>
  <c r="C1355" i="8"/>
  <c r="A1354" i="8"/>
  <c r="B1354" i="8"/>
  <c r="C1354" i="8"/>
  <c r="A1353" i="8"/>
  <c r="B1353" i="8"/>
  <c r="C1353" i="8"/>
  <c r="A1352" i="8"/>
  <c r="B1352" i="8"/>
  <c r="C1352" i="8"/>
  <c r="A1351" i="8"/>
  <c r="B1351" i="8"/>
  <c r="C1351" i="8"/>
  <c r="A1350" i="8"/>
  <c r="B1350" i="8"/>
  <c r="C1350" i="8"/>
  <c r="A1349" i="8"/>
  <c r="B1349" i="8"/>
  <c r="C1349" i="8"/>
  <c r="A1348" i="8"/>
  <c r="B1348" i="8"/>
  <c r="C1348" i="8"/>
  <c r="A1347" i="8"/>
  <c r="B1347" i="8"/>
  <c r="C1347" i="8"/>
  <c r="A1346" i="8"/>
  <c r="B1346" i="8"/>
  <c r="C1346" i="8"/>
  <c r="A1345" i="8"/>
  <c r="B1345" i="8"/>
  <c r="C1345" i="8"/>
  <c r="A1344" i="8"/>
  <c r="B1344" i="8"/>
  <c r="C1344" i="8"/>
  <c r="A1343" i="8"/>
  <c r="B1343" i="8"/>
  <c r="C1343" i="8"/>
  <c r="A1342" i="8"/>
  <c r="B1342" i="8"/>
  <c r="C1342" i="8"/>
  <c r="A1341" i="8"/>
  <c r="B1341" i="8"/>
  <c r="C1341" i="8"/>
  <c r="A1340" i="8"/>
  <c r="B1340" i="8"/>
  <c r="C1340" i="8"/>
  <c r="A1339" i="8"/>
  <c r="B1339" i="8"/>
  <c r="C1339" i="8"/>
  <c r="A1338" i="8"/>
  <c r="B1338" i="8"/>
  <c r="C1338" i="8"/>
  <c r="A1337" i="8"/>
  <c r="B1337" i="8"/>
  <c r="C1337" i="8"/>
  <c r="A1336" i="8"/>
  <c r="B1336" i="8"/>
  <c r="C1336" i="8"/>
  <c r="A1335" i="8"/>
  <c r="B1335" i="8"/>
  <c r="C1335" i="8"/>
  <c r="A1334" i="8"/>
  <c r="B1334" i="8"/>
  <c r="C1334" i="8"/>
  <c r="A1333" i="8"/>
  <c r="B1333" i="8"/>
  <c r="C1333" i="8"/>
  <c r="A1332" i="8"/>
  <c r="B1332" i="8"/>
  <c r="C1332" i="8"/>
  <c r="A1331" i="8"/>
  <c r="B1331" i="8"/>
  <c r="C1331" i="8"/>
  <c r="A1330" i="8"/>
  <c r="B1330" i="8"/>
  <c r="C1330" i="8"/>
  <c r="A1329" i="8"/>
  <c r="B1329" i="8"/>
  <c r="C1329" i="8"/>
  <c r="A1328" i="8"/>
  <c r="B1328" i="8"/>
  <c r="C1328" i="8"/>
  <c r="A1327" i="8"/>
  <c r="B1327" i="8"/>
  <c r="C1327" i="8"/>
  <c r="A1326" i="8"/>
  <c r="B1326" i="8"/>
  <c r="C1326" i="8"/>
  <c r="A1325" i="8"/>
  <c r="B1325" i="8"/>
  <c r="C1325" i="8"/>
  <c r="A1324" i="8"/>
  <c r="B1324" i="8"/>
  <c r="C1324" i="8"/>
  <c r="A1323" i="8"/>
  <c r="B1323" i="8"/>
  <c r="C1323" i="8"/>
  <c r="A1322" i="8"/>
  <c r="B1322" i="8"/>
  <c r="C1322" i="8"/>
  <c r="A1321" i="8"/>
  <c r="B1321" i="8"/>
  <c r="C1321" i="8"/>
  <c r="A1320" i="8"/>
  <c r="B1320" i="8"/>
  <c r="C1320" i="8"/>
  <c r="A1319" i="8"/>
  <c r="B1319" i="8"/>
  <c r="C1319" i="8"/>
  <c r="A1318" i="8"/>
  <c r="B1318" i="8"/>
  <c r="C1318" i="8"/>
  <c r="A1317" i="8"/>
  <c r="B1317" i="8"/>
  <c r="C1317" i="8"/>
  <c r="A1316" i="8"/>
  <c r="B1316" i="8"/>
  <c r="C1316" i="8"/>
  <c r="A1315" i="8"/>
  <c r="B1315" i="8"/>
  <c r="C1315" i="8"/>
  <c r="A1314" i="8"/>
  <c r="B1314" i="8"/>
  <c r="C1314" i="8"/>
  <c r="A1313" i="8"/>
  <c r="B1313" i="8"/>
  <c r="C1313" i="8"/>
  <c r="A1312" i="8"/>
  <c r="B1312" i="8"/>
  <c r="C1312" i="8"/>
  <c r="A1311" i="8"/>
  <c r="B1311" i="8"/>
  <c r="C1311" i="8"/>
  <c r="A1310" i="8"/>
  <c r="B1310" i="8"/>
  <c r="C1310" i="8"/>
  <c r="A1309" i="8"/>
  <c r="B1309" i="8"/>
  <c r="C1309" i="8"/>
  <c r="A1308" i="8"/>
  <c r="B1308" i="8"/>
  <c r="C1308" i="8"/>
  <c r="A1307" i="8"/>
  <c r="B1307" i="8"/>
  <c r="C1307" i="8"/>
  <c r="A1306" i="8"/>
  <c r="B1306" i="8"/>
  <c r="C1306" i="8"/>
  <c r="A1305" i="8"/>
  <c r="B1305" i="8"/>
  <c r="C1305" i="8"/>
  <c r="A1304" i="8"/>
  <c r="B1304" i="8"/>
  <c r="C1304" i="8"/>
  <c r="A1303" i="8"/>
  <c r="B1303" i="8"/>
  <c r="C1303" i="8"/>
  <c r="A1302" i="8"/>
  <c r="B1302" i="8"/>
  <c r="C1302" i="8"/>
  <c r="A1301" i="8"/>
  <c r="B1301" i="8"/>
  <c r="C1301" i="8"/>
  <c r="A1300" i="8"/>
  <c r="B1300" i="8"/>
  <c r="C1300" i="8"/>
  <c r="A1299" i="8"/>
  <c r="B1299" i="8"/>
  <c r="C1299" i="8"/>
  <c r="A1298" i="8"/>
  <c r="B1298" i="8"/>
  <c r="C1298" i="8"/>
  <c r="A1297" i="8"/>
  <c r="B1297" i="8"/>
  <c r="C1297" i="8"/>
  <c r="A1296" i="8"/>
  <c r="B1296" i="8"/>
  <c r="C1296" i="8"/>
  <c r="A1295" i="8"/>
  <c r="B1295" i="8"/>
  <c r="C1295" i="8"/>
  <c r="A1294" i="8"/>
  <c r="B1294" i="8"/>
  <c r="C1294" i="8"/>
  <c r="A1293" i="8"/>
  <c r="B1293" i="8"/>
  <c r="C1293" i="8"/>
  <c r="A1292" i="8"/>
  <c r="B1292" i="8"/>
  <c r="C1292" i="8"/>
  <c r="A1291" i="8"/>
  <c r="B1291" i="8"/>
  <c r="C1291" i="8"/>
  <c r="A1290" i="8"/>
  <c r="B1290" i="8"/>
  <c r="C1290" i="8"/>
  <c r="A1289" i="8"/>
  <c r="B1289" i="8"/>
  <c r="C1289" i="8"/>
  <c r="A1288" i="8"/>
  <c r="B1288" i="8"/>
  <c r="C1288" i="8"/>
  <c r="A1287" i="8"/>
  <c r="B1287" i="8"/>
  <c r="C1287" i="8"/>
  <c r="A1286" i="8"/>
  <c r="B1286" i="8"/>
  <c r="C1286" i="8"/>
  <c r="A1285" i="8"/>
  <c r="B1285" i="8"/>
  <c r="C1285" i="8"/>
  <c r="A1284" i="8"/>
  <c r="B1284" i="8"/>
  <c r="C1284" i="8"/>
  <c r="A1283" i="8"/>
  <c r="B1283" i="8"/>
  <c r="C1283" i="8"/>
  <c r="A1282" i="8"/>
  <c r="B1282" i="8"/>
  <c r="C1282" i="8"/>
  <c r="A1281" i="8"/>
  <c r="B1281" i="8"/>
  <c r="C1281" i="8"/>
  <c r="A1280" i="8"/>
  <c r="B1280" i="8"/>
  <c r="C1280" i="8"/>
  <c r="A1279" i="8"/>
  <c r="B1279" i="8"/>
  <c r="C1279" i="8"/>
  <c r="A1278" i="8"/>
  <c r="B1278" i="8"/>
  <c r="C1278" i="8"/>
  <c r="A1277" i="8"/>
  <c r="B1277" i="8"/>
  <c r="C1277" i="8"/>
  <c r="A1276" i="8"/>
  <c r="B1276" i="8"/>
  <c r="C1276" i="8"/>
  <c r="A1275" i="8"/>
  <c r="B1275" i="8"/>
  <c r="C1275" i="8"/>
  <c r="A1274" i="8"/>
  <c r="B1274" i="8"/>
  <c r="C1274" i="8"/>
  <c r="A1273" i="8"/>
  <c r="B1273" i="8"/>
  <c r="C1273" i="8"/>
  <c r="A1272" i="8"/>
  <c r="B1272" i="8"/>
  <c r="C1272" i="8"/>
  <c r="A1271" i="8"/>
  <c r="B1271" i="8"/>
  <c r="C1271" i="8"/>
  <c r="A1270" i="8"/>
  <c r="B1270" i="8"/>
  <c r="C1270" i="8"/>
  <c r="A1269" i="8"/>
  <c r="B1269" i="8"/>
  <c r="C1269" i="8"/>
  <c r="A1268" i="8"/>
  <c r="B1268" i="8"/>
  <c r="C1268" i="8"/>
  <c r="A1267" i="8"/>
  <c r="B1267" i="8"/>
  <c r="C1267" i="8"/>
  <c r="A1266" i="8"/>
  <c r="B1266" i="8"/>
  <c r="C1266" i="8"/>
  <c r="A1265" i="8"/>
  <c r="B1265" i="8"/>
  <c r="C1265" i="8"/>
  <c r="A1264" i="8"/>
  <c r="B1264" i="8"/>
  <c r="C1264" i="8"/>
  <c r="A1263" i="8"/>
  <c r="B1263" i="8"/>
  <c r="C1263" i="8"/>
  <c r="A1262" i="8"/>
  <c r="B1262" i="8"/>
  <c r="C1262" i="8"/>
  <c r="A1261" i="8"/>
  <c r="B1261" i="8"/>
  <c r="C1261" i="8"/>
  <c r="A1260" i="8"/>
  <c r="B1260" i="8"/>
  <c r="C1260" i="8"/>
  <c r="A1259" i="8"/>
  <c r="B1259" i="8"/>
  <c r="C1259" i="8"/>
  <c r="A1258" i="8"/>
  <c r="B1258" i="8"/>
  <c r="C1258" i="8"/>
  <c r="A1257" i="8"/>
  <c r="B1257" i="8"/>
  <c r="C1257" i="8"/>
  <c r="A1256" i="8"/>
  <c r="B1256" i="8"/>
  <c r="C1256" i="8"/>
  <c r="A1255" i="8"/>
  <c r="B1255" i="8"/>
  <c r="C1255" i="8"/>
  <c r="A1254" i="8"/>
  <c r="B1254" i="8"/>
  <c r="C1254" i="8"/>
  <c r="A1253" i="8"/>
  <c r="B1253" i="8"/>
  <c r="C1253" i="8"/>
  <c r="A1252" i="8"/>
  <c r="B1252" i="8"/>
  <c r="C1252" i="8"/>
  <c r="A1251" i="8"/>
  <c r="B1251" i="8"/>
  <c r="C1251" i="8"/>
  <c r="A1250" i="8"/>
  <c r="B1250" i="8"/>
  <c r="C1250" i="8"/>
  <c r="A1249" i="8"/>
  <c r="B1249" i="8"/>
  <c r="C1249" i="8"/>
  <c r="A1248" i="8"/>
  <c r="B1248" i="8"/>
  <c r="C1248" i="8"/>
  <c r="A1247" i="8"/>
  <c r="B1247" i="8"/>
  <c r="C1247" i="8"/>
  <c r="A1246" i="8"/>
  <c r="B1246" i="8"/>
  <c r="C1246" i="8"/>
  <c r="A1245" i="8"/>
  <c r="B1245" i="8"/>
  <c r="C1245" i="8"/>
  <c r="A1244" i="8"/>
  <c r="B1244" i="8"/>
  <c r="C1244" i="8"/>
  <c r="A1243" i="8"/>
  <c r="B1243" i="8"/>
  <c r="C1243" i="8"/>
  <c r="A1242" i="8"/>
  <c r="B1242" i="8"/>
  <c r="C1242" i="8"/>
  <c r="A1241" i="8"/>
  <c r="B1241" i="8"/>
  <c r="C1241" i="8"/>
  <c r="A1240" i="8"/>
  <c r="B1240" i="8"/>
  <c r="C1240" i="8"/>
  <c r="A1239" i="8"/>
  <c r="B1239" i="8"/>
  <c r="C1239" i="8"/>
  <c r="A1238" i="8"/>
  <c r="B1238" i="8"/>
  <c r="C1238" i="8"/>
  <c r="A1237" i="8"/>
  <c r="B1237" i="8"/>
  <c r="C1237" i="8"/>
  <c r="A1236" i="8"/>
  <c r="B1236" i="8"/>
  <c r="C1236" i="8"/>
  <c r="A1235" i="8"/>
  <c r="B1235" i="8"/>
  <c r="C1235" i="8"/>
  <c r="A1234" i="8"/>
  <c r="B1234" i="8"/>
  <c r="C1234" i="8"/>
  <c r="A1233" i="8"/>
  <c r="B1233" i="8"/>
  <c r="C1233" i="8"/>
  <c r="A1232" i="8"/>
  <c r="B1232" i="8"/>
  <c r="C1232" i="8"/>
  <c r="A1231" i="8"/>
  <c r="B1231" i="8"/>
  <c r="C1231" i="8"/>
  <c r="A1230" i="8"/>
  <c r="B1230" i="8"/>
  <c r="C1230" i="8"/>
  <c r="A1229" i="8"/>
  <c r="B1229" i="8"/>
  <c r="C1229" i="8"/>
  <c r="A1228" i="8"/>
  <c r="B1228" i="8"/>
  <c r="C1228" i="8"/>
  <c r="A1227" i="8"/>
  <c r="B1227" i="8"/>
  <c r="C1227" i="8"/>
  <c r="A1226" i="8"/>
  <c r="B1226" i="8"/>
  <c r="C1226" i="8"/>
  <c r="A1225" i="8"/>
  <c r="B1225" i="8"/>
  <c r="C1225" i="8"/>
  <c r="A1224" i="8"/>
  <c r="B1224" i="8"/>
  <c r="C1224" i="8"/>
  <c r="A1223" i="8"/>
  <c r="B1223" i="8"/>
  <c r="C1223" i="8"/>
  <c r="A1222" i="8"/>
  <c r="B1222" i="8"/>
  <c r="C1222" i="8"/>
  <c r="A1221" i="8"/>
  <c r="B1221" i="8"/>
  <c r="C1221" i="8"/>
  <c r="A1220" i="8"/>
  <c r="B1220" i="8"/>
  <c r="C1220" i="8"/>
  <c r="A1219" i="8"/>
  <c r="B1219" i="8"/>
  <c r="C1219" i="8"/>
  <c r="A1218" i="8"/>
  <c r="B1218" i="8"/>
  <c r="C1218" i="8"/>
  <c r="A1217" i="8"/>
  <c r="B1217" i="8"/>
  <c r="C1217" i="8"/>
  <c r="A1216" i="8"/>
  <c r="B1216" i="8"/>
  <c r="C1216" i="8"/>
  <c r="A1215" i="8"/>
  <c r="B1215" i="8"/>
  <c r="C1215" i="8"/>
  <c r="A1214" i="8"/>
  <c r="B1214" i="8"/>
  <c r="C1214" i="8"/>
  <c r="A1213" i="8"/>
  <c r="B1213" i="8"/>
  <c r="C1213" i="8"/>
  <c r="A1212" i="8"/>
  <c r="B1212" i="8"/>
  <c r="C1212" i="8"/>
  <c r="A1211" i="8"/>
  <c r="B1211" i="8"/>
  <c r="C1211" i="8"/>
  <c r="A1210" i="8"/>
  <c r="B1210" i="8"/>
  <c r="C1210" i="8"/>
  <c r="A1209" i="8"/>
  <c r="B1209" i="8"/>
  <c r="C1209" i="8"/>
  <c r="A1208" i="8"/>
  <c r="B1208" i="8"/>
  <c r="C1208" i="8"/>
  <c r="A1207" i="8"/>
  <c r="B1207" i="8"/>
  <c r="C1207" i="8"/>
  <c r="A1206" i="8"/>
  <c r="B1206" i="8"/>
  <c r="C1206" i="8"/>
  <c r="A1205" i="8"/>
  <c r="B1205" i="8"/>
  <c r="C1205" i="8"/>
  <c r="A1204" i="8"/>
  <c r="B1204" i="8"/>
  <c r="C1204" i="8"/>
  <c r="A1203" i="8"/>
  <c r="B1203" i="8"/>
  <c r="C1203" i="8"/>
  <c r="A1202" i="8"/>
  <c r="B1202" i="8"/>
  <c r="C1202" i="8"/>
  <c r="A1201" i="8"/>
  <c r="B1201" i="8"/>
  <c r="C1201" i="8"/>
  <c r="A1200" i="8"/>
  <c r="B1200" i="8"/>
  <c r="C1200" i="8"/>
  <c r="A1199" i="8"/>
  <c r="B1199" i="8"/>
  <c r="C1199" i="8"/>
  <c r="A1198" i="8"/>
  <c r="B1198" i="8"/>
  <c r="C1198" i="8"/>
  <c r="A1197" i="8"/>
  <c r="B1197" i="8"/>
  <c r="C1197" i="8"/>
  <c r="A1196" i="8"/>
  <c r="B1196" i="8"/>
  <c r="C1196" i="8"/>
  <c r="A1195" i="8"/>
  <c r="B1195" i="8"/>
  <c r="C1195" i="8"/>
  <c r="A1194" i="8"/>
  <c r="B1194" i="8"/>
  <c r="C1194" i="8"/>
  <c r="A1193" i="8"/>
  <c r="B1193" i="8"/>
  <c r="C1193" i="8"/>
  <c r="A1192" i="8"/>
  <c r="B1192" i="8"/>
  <c r="C1192" i="8"/>
  <c r="A1191" i="8"/>
  <c r="B1191" i="8"/>
  <c r="C1191" i="8"/>
  <c r="A1190" i="8"/>
  <c r="B1190" i="8"/>
  <c r="C1190" i="8"/>
  <c r="A1189" i="8"/>
  <c r="B1189" i="8"/>
  <c r="C1189" i="8"/>
  <c r="A1188" i="8"/>
  <c r="B1188" i="8"/>
  <c r="C1188" i="8"/>
  <c r="A1187" i="8"/>
  <c r="B1187" i="8"/>
  <c r="C1187" i="8"/>
  <c r="A1186" i="8"/>
  <c r="B1186" i="8"/>
  <c r="C1186" i="8"/>
  <c r="A1185" i="8"/>
  <c r="B1185" i="8"/>
  <c r="C1185" i="8"/>
  <c r="A1184" i="8"/>
  <c r="B1184" i="8"/>
  <c r="C1184" i="8"/>
  <c r="A1183" i="8"/>
  <c r="B1183" i="8"/>
  <c r="C1183" i="8"/>
  <c r="A1182" i="8"/>
  <c r="B1182" i="8"/>
  <c r="C1182" i="8"/>
  <c r="A1181" i="8"/>
  <c r="B1181" i="8"/>
  <c r="C1181" i="8"/>
  <c r="A1180" i="8"/>
  <c r="B1180" i="8"/>
  <c r="C1180" i="8"/>
  <c r="A1179" i="8"/>
  <c r="B1179" i="8"/>
  <c r="C1179" i="8"/>
  <c r="A1178" i="8"/>
  <c r="B1178" i="8"/>
  <c r="C1178" i="8"/>
  <c r="A1177" i="8"/>
  <c r="B1177" i="8"/>
  <c r="C1177" i="8"/>
  <c r="A1176" i="8"/>
  <c r="B1176" i="8"/>
  <c r="C1176" i="8"/>
  <c r="A1175" i="8"/>
  <c r="B1175" i="8"/>
  <c r="C1175" i="8"/>
  <c r="A1174" i="8"/>
  <c r="B1174" i="8"/>
  <c r="C1174" i="8"/>
  <c r="A1173" i="8"/>
  <c r="B1173" i="8"/>
  <c r="C1173" i="8"/>
  <c r="A1172" i="8"/>
  <c r="B1172" i="8"/>
  <c r="C1172" i="8"/>
  <c r="A1171" i="8"/>
  <c r="B1171" i="8"/>
  <c r="C1171" i="8"/>
  <c r="A1170" i="8"/>
  <c r="B1170" i="8"/>
  <c r="C1170" i="8"/>
  <c r="A1169" i="8"/>
  <c r="B1169" i="8"/>
  <c r="C1169" i="8"/>
  <c r="A1168" i="8"/>
  <c r="B1168" i="8"/>
  <c r="C1168" i="8"/>
  <c r="A1167" i="8"/>
  <c r="B1167" i="8"/>
  <c r="C1167" i="8"/>
  <c r="A1166" i="8"/>
  <c r="B1166" i="8"/>
  <c r="C1166" i="8"/>
  <c r="A1165" i="8"/>
  <c r="B1165" i="8"/>
  <c r="C1165" i="8"/>
  <c r="A1164" i="8"/>
  <c r="B1164" i="8"/>
  <c r="C1164" i="8"/>
  <c r="A1163" i="8"/>
  <c r="B1163" i="8"/>
  <c r="C1163" i="8"/>
  <c r="A1162" i="8"/>
  <c r="B1162" i="8"/>
  <c r="C1162" i="8"/>
  <c r="A1161" i="8"/>
  <c r="B1161" i="8"/>
  <c r="C1161" i="8"/>
  <c r="A1160" i="8"/>
  <c r="B1160" i="8"/>
  <c r="C1160" i="8"/>
  <c r="A1159" i="8"/>
  <c r="B1159" i="8"/>
  <c r="C1159" i="8"/>
  <c r="A1158" i="8"/>
  <c r="B1158" i="8"/>
  <c r="C1158" i="8"/>
  <c r="A1157" i="8"/>
  <c r="B1157" i="8"/>
  <c r="C1157" i="8"/>
  <c r="A1156" i="8"/>
  <c r="B1156" i="8"/>
  <c r="C1156" i="8"/>
  <c r="A1155" i="8"/>
  <c r="B1155" i="8"/>
  <c r="C1155" i="8"/>
  <c r="A1154" i="8"/>
  <c r="B1154" i="8"/>
  <c r="C1154" i="8"/>
  <c r="A1153" i="8"/>
  <c r="B1153" i="8"/>
  <c r="C1153" i="8"/>
  <c r="A1152" i="8"/>
  <c r="B1152" i="8"/>
  <c r="C1152" i="8"/>
  <c r="A1151" i="8"/>
  <c r="B1151" i="8"/>
  <c r="C1151" i="8"/>
  <c r="A1150" i="8"/>
  <c r="B1150" i="8"/>
  <c r="C1150" i="8"/>
  <c r="A1149" i="8"/>
  <c r="B1149" i="8"/>
  <c r="C1149" i="8"/>
  <c r="A1148" i="8"/>
  <c r="B1148" i="8"/>
  <c r="C1148" i="8"/>
  <c r="A1147" i="8"/>
  <c r="B1147" i="8"/>
  <c r="C1147" i="8"/>
  <c r="A1146" i="8"/>
  <c r="B1146" i="8"/>
  <c r="C1146" i="8"/>
  <c r="A1145" i="8"/>
  <c r="B1145" i="8"/>
  <c r="C1145" i="8"/>
  <c r="A1144" i="8"/>
  <c r="B1144" i="8"/>
  <c r="C1144" i="8"/>
  <c r="A1143" i="8"/>
  <c r="B1143" i="8"/>
  <c r="C1143" i="8"/>
  <c r="A1142" i="8"/>
  <c r="B1142" i="8"/>
  <c r="C1142" i="8"/>
  <c r="A1141" i="8"/>
  <c r="B1141" i="8"/>
  <c r="C1141" i="8"/>
  <c r="A1140" i="8"/>
  <c r="B1140" i="8"/>
  <c r="C1140" i="8"/>
  <c r="A1139" i="8"/>
  <c r="B1139" i="8"/>
  <c r="C1139" i="8"/>
  <c r="A1138" i="8"/>
  <c r="B1138" i="8"/>
  <c r="C1138" i="8"/>
  <c r="A1137" i="8"/>
  <c r="B1137" i="8"/>
  <c r="C1137" i="8"/>
  <c r="A1136" i="8"/>
  <c r="B1136" i="8"/>
  <c r="C1136" i="8"/>
  <c r="A1135" i="8"/>
  <c r="B1135" i="8"/>
  <c r="C1135" i="8"/>
  <c r="A1134" i="8"/>
  <c r="B1134" i="8"/>
  <c r="C1134" i="8"/>
  <c r="A1133" i="8"/>
  <c r="B1133" i="8"/>
  <c r="C1133" i="8"/>
  <c r="A1132" i="8"/>
  <c r="B1132" i="8"/>
  <c r="C1132" i="8"/>
  <c r="A1131" i="8"/>
  <c r="B1131" i="8"/>
  <c r="C1131" i="8"/>
  <c r="A1130" i="8"/>
  <c r="B1130" i="8"/>
  <c r="C1130" i="8"/>
  <c r="A1129" i="8"/>
  <c r="B1129" i="8"/>
  <c r="C1129" i="8"/>
  <c r="A1128" i="8"/>
  <c r="B1128" i="8"/>
  <c r="C1128" i="8"/>
  <c r="A1127" i="8"/>
  <c r="B1127" i="8"/>
  <c r="C1127" i="8"/>
  <c r="A1126" i="8"/>
  <c r="B1126" i="8"/>
  <c r="C1126" i="8"/>
  <c r="A1125" i="8"/>
  <c r="B1125" i="8"/>
  <c r="C1125" i="8"/>
  <c r="A1124" i="8"/>
  <c r="B1124" i="8"/>
  <c r="C1124" i="8"/>
  <c r="A1123" i="8"/>
  <c r="B1123" i="8"/>
  <c r="C1123" i="8"/>
  <c r="A1122" i="8"/>
  <c r="B1122" i="8"/>
  <c r="C1122" i="8"/>
  <c r="A1121" i="8"/>
  <c r="B1121" i="8"/>
  <c r="C1121" i="8"/>
  <c r="A1120" i="8"/>
  <c r="B1120" i="8"/>
  <c r="C1120" i="8"/>
  <c r="A1119" i="8"/>
  <c r="B1119" i="8"/>
  <c r="C1119" i="8"/>
  <c r="A1118" i="8"/>
  <c r="B1118" i="8"/>
  <c r="C1118" i="8"/>
  <c r="A1117" i="8"/>
  <c r="B1117" i="8"/>
  <c r="C1117" i="8"/>
  <c r="A1116" i="8"/>
  <c r="B1116" i="8"/>
  <c r="C1116" i="8"/>
  <c r="A1115" i="8"/>
  <c r="B1115" i="8"/>
  <c r="C1115" i="8"/>
  <c r="A1114" i="8"/>
  <c r="B1114" i="8"/>
  <c r="C1114" i="8"/>
  <c r="A1113" i="8"/>
  <c r="B1113" i="8"/>
  <c r="C1113" i="8"/>
  <c r="A1112" i="8"/>
  <c r="B1112" i="8"/>
  <c r="C1112" i="8"/>
  <c r="A1111" i="8"/>
  <c r="B1111" i="8"/>
  <c r="C1111" i="8"/>
  <c r="A1110" i="8"/>
  <c r="B1110" i="8"/>
  <c r="C1110" i="8"/>
  <c r="A1109" i="8"/>
  <c r="B1109" i="8"/>
  <c r="C1109" i="8"/>
  <c r="A1108" i="8"/>
  <c r="B1108" i="8"/>
  <c r="C1108" i="8"/>
  <c r="A1107" i="8"/>
  <c r="B1107" i="8"/>
  <c r="C1107" i="8"/>
  <c r="A1106" i="8"/>
  <c r="B1106" i="8"/>
  <c r="C1106" i="8"/>
  <c r="A1105" i="8"/>
  <c r="B1105" i="8"/>
  <c r="C1105" i="8"/>
  <c r="A1104" i="8"/>
  <c r="B1104" i="8"/>
  <c r="C1104" i="8"/>
  <c r="A1103" i="8"/>
  <c r="B1103" i="8"/>
  <c r="C1103" i="8"/>
  <c r="A1102" i="8"/>
  <c r="B1102" i="8"/>
  <c r="C1102" i="8"/>
  <c r="A1101" i="8"/>
  <c r="B1101" i="8"/>
  <c r="C1101" i="8"/>
  <c r="A1100" i="8"/>
  <c r="B1100" i="8"/>
  <c r="C1100" i="8"/>
  <c r="A1099" i="8"/>
  <c r="B1099" i="8"/>
  <c r="C1099" i="8"/>
  <c r="A1098" i="8"/>
  <c r="B1098" i="8"/>
  <c r="C1098" i="8"/>
  <c r="A1097" i="8"/>
  <c r="B1097" i="8"/>
  <c r="C1097" i="8"/>
  <c r="A1096" i="8"/>
  <c r="B1096" i="8"/>
  <c r="C1096" i="8"/>
  <c r="A1095" i="8"/>
  <c r="B1095" i="8"/>
  <c r="C1095" i="8"/>
  <c r="A1094" i="8"/>
  <c r="B1094" i="8"/>
  <c r="C1094" i="8"/>
  <c r="A1093" i="8"/>
  <c r="B1093" i="8"/>
  <c r="C1093" i="8"/>
  <c r="A1092" i="8"/>
  <c r="B1092" i="8"/>
  <c r="C1092" i="8"/>
  <c r="A1091" i="8"/>
  <c r="B1091" i="8"/>
  <c r="C1091" i="8"/>
  <c r="A1090" i="8"/>
  <c r="B1090" i="8"/>
  <c r="C1090" i="8"/>
  <c r="A1089" i="8"/>
  <c r="B1089" i="8"/>
  <c r="C1089" i="8"/>
  <c r="A1088" i="8"/>
  <c r="B1088" i="8"/>
  <c r="C1088" i="8"/>
  <c r="A1087" i="8"/>
  <c r="B1087" i="8"/>
  <c r="C1087" i="8"/>
  <c r="A1086" i="8"/>
  <c r="B1086" i="8"/>
  <c r="C1086" i="8"/>
  <c r="A1085" i="8"/>
  <c r="B1085" i="8"/>
  <c r="C1085" i="8"/>
  <c r="A1084" i="8"/>
  <c r="B1084" i="8"/>
  <c r="C1084" i="8"/>
  <c r="A1083" i="8"/>
  <c r="B1083" i="8"/>
  <c r="C1083" i="8"/>
  <c r="A1082" i="8"/>
  <c r="B1082" i="8"/>
  <c r="C1082" i="8"/>
  <c r="A1081" i="8"/>
  <c r="B1081" i="8"/>
  <c r="C1081" i="8"/>
  <c r="A1080" i="8"/>
  <c r="B1080" i="8"/>
  <c r="C1080" i="8"/>
  <c r="A1079" i="8"/>
  <c r="B1079" i="8"/>
  <c r="C1079" i="8"/>
  <c r="A1078" i="8"/>
  <c r="B1078" i="8"/>
  <c r="C1078" i="8"/>
  <c r="A1077" i="8"/>
  <c r="B1077" i="8"/>
  <c r="C1077" i="8"/>
  <c r="A1076" i="8"/>
  <c r="B1076" i="8"/>
  <c r="C1076" i="8"/>
  <c r="A1075" i="8"/>
  <c r="B1075" i="8"/>
  <c r="C1075" i="8"/>
  <c r="A1074" i="8"/>
  <c r="B1074" i="8"/>
  <c r="C1074" i="8"/>
  <c r="A1073" i="8"/>
  <c r="B1073" i="8"/>
  <c r="C1073" i="8"/>
  <c r="A1072" i="8"/>
  <c r="B1072" i="8"/>
  <c r="C1072" i="8"/>
  <c r="A1071" i="8"/>
  <c r="B1071" i="8"/>
  <c r="C1071" i="8"/>
  <c r="A1070" i="8"/>
  <c r="B1070" i="8"/>
  <c r="C1070" i="8"/>
  <c r="A1069" i="8"/>
  <c r="B1069" i="8"/>
  <c r="C1069" i="8"/>
  <c r="A1068" i="8"/>
  <c r="B1068" i="8"/>
  <c r="C1068" i="8"/>
  <c r="A1067" i="8"/>
  <c r="B1067" i="8"/>
  <c r="C1067" i="8"/>
  <c r="A1066" i="8"/>
  <c r="B1066" i="8"/>
  <c r="C1066" i="8"/>
  <c r="A1065" i="8"/>
  <c r="B1065" i="8"/>
  <c r="C1065" i="8"/>
  <c r="A1064" i="8"/>
  <c r="B1064" i="8"/>
  <c r="C1064" i="8"/>
  <c r="A1063" i="8"/>
  <c r="B1063" i="8"/>
  <c r="C1063" i="8"/>
  <c r="A1062" i="8"/>
  <c r="B1062" i="8"/>
  <c r="C1062" i="8"/>
  <c r="A1061" i="8"/>
  <c r="B1061" i="8"/>
  <c r="C1061" i="8"/>
  <c r="A1060" i="8"/>
  <c r="B1060" i="8"/>
  <c r="C1060" i="8"/>
  <c r="A1059" i="8"/>
  <c r="B1059" i="8"/>
  <c r="C1059" i="8"/>
  <c r="A1058" i="8"/>
  <c r="B1058" i="8"/>
  <c r="C1058" i="8"/>
  <c r="A1057" i="8"/>
  <c r="B1057" i="8"/>
  <c r="C1057" i="8"/>
  <c r="A1056" i="8"/>
  <c r="B1056" i="8"/>
  <c r="C1056" i="8"/>
  <c r="A1055" i="8"/>
  <c r="B1055" i="8"/>
  <c r="C1055" i="8"/>
  <c r="A1054" i="8"/>
  <c r="B1054" i="8"/>
  <c r="C1054" i="8"/>
  <c r="A1053" i="8"/>
  <c r="B1053" i="8"/>
  <c r="C1053" i="8"/>
  <c r="A1052" i="8"/>
  <c r="B1052" i="8"/>
  <c r="C1052" i="8"/>
  <c r="A1051" i="8"/>
  <c r="B1051" i="8"/>
  <c r="C1051" i="8"/>
  <c r="A1050" i="8"/>
  <c r="B1050" i="8"/>
  <c r="C1050" i="8"/>
  <c r="A1049" i="8"/>
  <c r="B1049" i="8"/>
  <c r="C1049" i="8"/>
  <c r="A1048" i="8"/>
  <c r="B1048" i="8"/>
  <c r="C1048" i="8"/>
  <c r="A1047" i="8"/>
  <c r="B1047" i="8"/>
  <c r="C1047" i="8"/>
  <c r="A1046" i="8"/>
  <c r="B1046" i="8"/>
  <c r="C1046" i="8"/>
  <c r="A1045" i="8"/>
  <c r="B1045" i="8"/>
  <c r="C1045" i="8"/>
  <c r="A1044" i="8"/>
  <c r="B1044" i="8"/>
  <c r="C1044" i="8"/>
  <c r="A1043" i="8"/>
  <c r="B1043" i="8"/>
  <c r="C1043" i="8"/>
  <c r="A1042" i="8"/>
  <c r="B1042" i="8"/>
  <c r="C1042" i="8"/>
  <c r="A1041" i="8"/>
  <c r="B1041" i="8"/>
  <c r="C1041" i="8"/>
  <c r="A1040" i="8"/>
  <c r="B1040" i="8"/>
  <c r="C1040" i="8"/>
  <c r="A1039" i="8"/>
  <c r="B1039" i="8"/>
  <c r="C1039" i="8"/>
  <c r="A1038" i="8"/>
  <c r="B1038" i="8"/>
  <c r="C1038" i="8"/>
  <c r="A1037" i="8"/>
  <c r="B1037" i="8"/>
  <c r="C1037" i="8"/>
  <c r="A1036" i="8"/>
  <c r="B1036" i="8"/>
  <c r="C1036" i="8"/>
  <c r="A1035" i="8"/>
  <c r="B1035" i="8"/>
  <c r="C1035" i="8"/>
  <c r="A1034" i="8"/>
  <c r="B1034" i="8"/>
  <c r="C1034" i="8"/>
  <c r="A1033" i="8"/>
  <c r="B1033" i="8"/>
  <c r="C1033" i="8"/>
  <c r="A1032" i="8"/>
  <c r="B1032" i="8"/>
  <c r="C1032" i="8"/>
  <c r="A1031" i="8"/>
  <c r="B1031" i="8"/>
  <c r="C1031" i="8"/>
  <c r="A1030" i="8"/>
  <c r="B1030" i="8"/>
  <c r="C1030" i="8"/>
  <c r="A1029" i="8"/>
  <c r="B1029" i="8"/>
  <c r="C1029" i="8"/>
  <c r="A1028" i="8"/>
  <c r="B1028" i="8"/>
  <c r="C1028" i="8"/>
  <c r="A1027" i="8"/>
  <c r="B1027" i="8"/>
  <c r="C1027" i="8"/>
  <c r="A1026" i="8"/>
  <c r="B1026" i="8"/>
  <c r="C1026" i="8"/>
  <c r="A1025" i="8"/>
  <c r="B1025" i="8"/>
  <c r="C1025" i="8"/>
  <c r="A1024" i="8"/>
  <c r="B1024" i="8"/>
  <c r="C1024" i="8"/>
  <c r="A1023" i="8"/>
  <c r="B1023" i="8"/>
  <c r="C1023" i="8"/>
  <c r="A1022" i="8"/>
  <c r="B1022" i="8"/>
  <c r="C1022" i="8"/>
  <c r="A1021" i="8"/>
  <c r="B1021" i="8"/>
  <c r="C1021" i="8"/>
  <c r="A1020" i="8"/>
  <c r="B1020" i="8"/>
  <c r="C1020" i="8"/>
  <c r="A1019" i="8"/>
  <c r="B1019" i="8"/>
  <c r="C1019" i="8"/>
  <c r="A1018" i="8"/>
  <c r="B1018" i="8"/>
  <c r="C1018" i="8"/>
  <c r="A1017" i="8"/>
  <c r="B1017" i="8"/>
  <c r="C1017" i="8"/>
  <c r="A1016" i="8"/>
  <c r="B1016" i="8"/>
  <c r="C1016" i="8"/>
  <c r="A1015" i="8"/>
  <c r="B1015" i="8"/>
  <c r="C1015" i="8"/>
  <c r="A1014" i="8"/>
  <c r="B1014" i="8"/>
  <c r="C1014" i="8"/>
  <c r="A1013" i="8"/>
  <c r="B1013" i="8"/>
  <c r="C1013" i="8"/>
  <c r="A1012" i="8"/>
  <c r="B1012" i="8"/>
  <c r="C1012" i="8"/>
  <c r="A1011" i="8"/>
  <c r="B1011" i="8"/>
  <c r="C1011" i="8"/>
  <c r="A1010" i="8"/>
  <c r="B1010" i="8"/>
  <c r="C1010" i="8"/>
  <c r="A1009" i="8"/>
  <c r="B1009" i="8"/>
  <c r="C1009" i="8"/>
  <c r="A1008" i="8"/>
  <c r="B1008" i="8"/>
  <c r="C1008" i="8"/>
  <c r="A1007" i="8"/>
  <c r="B1007" i="8"/>
  <c r="C1007" i="8"/>
  <c r="A1006" i="8"/>
  <c r="B1006" i="8"/>
  <c r="C1006" i="8"/>
  <c r="A1005" i="8"/>
  <c r="B1005" i="8"/>
  <c r="C1005" i="8"/>
  <c r="A1004" i="8"/>
  <c r="B1004" i="8"/>
  <c r="C1004" i="8"/>
  <c r="A1003" i="8"/>
  <c r="B1003" i="8"/>
  <c r="C1003" i="8"/>
  <c r="A1002" i="8"/>
  <c r="B1002" i="8"/>
  <c r="C1002" i="8"/>
  <c r="A1001" i="8"/>
  <c r="B1001" i="8"/>
  <c r="C1001" i="8"/>
  <c r="A1000" i="8"/>
  <c r="B1000" i="8"/>
  <c r="C1000" i="8"/>
  <c r="A999" i="8"/>
  <c r="B999" i="8"/>
  <c r="C999" i="8"/>
  <c r="A998" i="8"/>
  <c r="B998" i="8"/>
  <c r="C998" i="8"/>
  <c r="A997" i="8"/>
  <c r="B997" i="8"/>
  <c r="C997" i="8"/>
  <c r="A996" i="8"/>
  <c r="B996" i="8"/>
  <c r="C996" i="8"/>
  <c r="A995" i="8"/>
  <c r="B995" i="8"/>
  <c r="C995" i="8"/>
  <c r="A994" i="8"/>
  <c r="B994" i="8"/>
  <c r="C994" i="8"/>
  <c r="A993" i="8"/>
  <c r="B993" i="8"/>
  <c r="C993" i="8"/>
  <c r="A992" i="8"/>
  <c r="B992" i="8"/>
  <c r="C992" i="8"/>
  <c r="A991" i="8"/>
  <c r="B991" i="8"/>
  <c r="C991" i="8"/>
  <c r="A990" i="8"/>
  <c r="B990" i="8"/>
  <c r="C990" i="8"/>
  <c r="A989" i="8"/>
  <c r="B989" i="8"/>
  <c r="C989" i="8"/>
  <c r="A988" i="8"/>
  <c r="B988" i="8"/>
  <c r="C988" i="8"/>
  <c r="A987" i="8"/>
  <c r="B987" i="8"/>
  <c r="C987" i="8"/>
  <c r="A986" i="8"/>
  <c r="B986" i="8"/>
  <c r="C986" i="8"/>
  <c r="A985" i="8"/>
  <c r="B985" i="8"/>
  <c r="C985" i="8"/>
  <c r="A984" i="8"/>
  <c r="B984" i="8"/>
  <c r="C984" i="8"/>
  <c r="A983" i="8"/>
  <c r="B983" i="8"/>
  <c r="C983" i="8"/>
  <c r="A982" i="8"/>
  <c r="B982" i="8"/>
  <c r="C982" i="8"/>
  <c r="A981" i="8"/>
  <c r="B981" i="8"/>
  <c r="C981" i="8"/>
  <c r="A980" i="8"/>
  <c r="B980" i="8"/>
  <c r="C980" i="8"/>
  <c r="A979" i="8"/>
  <c r="B979" i="8"/>
  <c r="C979" i="8"/>
  <c r="A978" i="8"/>
  <c r="B978" i="8"/>
  <c r="C978" i="8"/>
  <c r="A977" i="8"/>
  <c r="B977" i="8"/>
  <c r="C977" i="8"/>
  <c r="A976" i="8"/>
  <c r="B976" i="8"/>
  <c r="C976" i="8"/>
  <c r="A975" i="8"/>
  <c r="B975" i="8"/>
  <c r="C975" i="8"/>
  <c r="A974" i="8"/>
  <c r="B974" i="8"/>
  <c r="C974" i="8"/>
  <c r="A973" i="8"/>
  <c r="B973" i="8"/>
  <c r="C973" i="8"/>
  <c r="A972" i="8"/>
  <c r="B972" i="8"/>
  <c r="C972" i="8"/>
  <c r="A971" i="8"/>
  <c r="B971" i="8"/>
  <c r="C971" i="8"/>
  <c r="A970" i="8"/>
  <c r="B970" i="8"/>
  <c r="C970" i="8"/>
  <c r="A969" i="8"/>
  <c r="B969" i="8"/>
  <c r="C969" i="8"/>
  <c r="A968" i="8"/>
  <c r="B968" i="8"/>
  <c r="C968" i="8"/>
  <c r="A967" i="8"/>
  <c r="B967" i="8"/>
  <c r="C967" i="8"/>
  <c r="A966" i="8"/>
  <c r="B966" i="8"/>
  <c r="C966" i="8"/>
  <c r="A965" i="8"/>
  <c r="B965" i="8"/>
  <c r="C965" i="8"/>
  <c r="A964" i="8"/>
  <c r="B964" i="8"/>
  <c r="C964" i="8"/>
  <c r="A963" i="8"/>
  <c r="B963" i="8"/>
  <c r="C963" i="8"/>
  <c r="A962" i="8"/>
  <c r="B962" i="8"/>
  <c r="C962" i="8"/>
  <c r="A961" i="8"/>
  <c r="B961" i="8"/>
  <c r="C961" i="8"/>
  <c r="A960" i="8"/>
  <c r="B960" i="8"/>
  <c r="C960" i="8"/>
  <c r="A959" i="8"/>
  <c r="B959" i="8"/>
  <c r="C959" i="8"/>
  <c r="A958" i="8"/>
  <c r="B958" i="8"/>
  <c r="C958" i="8"/>
  <c r="A957" i="8"/>
  <c r="B957" i="8"/>
  <c r="C957" i="8"/>
  <c r="A956" i="8"/>
  <c r="B956" i="8"/>
  <c r="C956" i="8"/>
  <c r="A955" i="8"/>
  <c r="B955" i="8"/>
  <c r="C955" i="8"/>
  <c r="A954" i="8"/>
  <c r="B954" i="8"/>
  <c r="C954" i="8"/>
  <c r="A953" i="8"/>
  <c r="B953" i="8"/>
  <c r="C953" i="8"/>
  <c r="A952" i="8"/>
  <c r="B952" i="8"/>
  <c r="C952" i="8"/>
  <c r="A951" i="8"/>
  <c r="B951" i="8"/>
  <c r="C951" i="8"/>
  <c r="A950" i="8"/>
  <c r="B950" i="8"/>
  <c r="C950" i="8"/>
  <c r="A949" i="8"/>
  <c r="B949" i="8"/>
  <c r="C949" i="8"/>
  <c r="A948" i="8"/>
  <c r="B948" i="8"/>
  <c r="C948" i="8"/>
  <c r="A947" i="8"/>
  <c r="B947" i="8"/>
  <c r="C947" i="8"/>
  <c r="A946" i="8"/>
  <c r="B946" i="8"/>
  <c r="C946" i="8"/>
  <c r="A945" i="8"/>
  <c r="B945" i="8"/>
  <c r="C945" i="8"/>
  <c r="A944" i="8"/>
  <c r="B944" i="8"/>
  <c r="C944" i="8"/>
  <c r="A943" i="8"/>
  <c r="B943" i="8"/>
  <c r="C943" i="8"/>
  <c r="A942" i="8"/>
  <c r="B942" i="8"/>
  <c r="C942" i="8"/>
  <c r="A941" i="8"/>
  <c r="B941" i="8"/>
  <c r="C941" i="8"/>
  <c r="A940" i="8"/>
  <c r="B940" i="8"/>
  <c r="C940" i="8"/>
  <c r="A939" i="8"/>
  <c r="B939" i="8"/>
  <c r="C939" i="8"/>
  <c r="A938" i="8"/>
  <c r="B938" i="8"/>
  <c r="C938" i="8"/>
  <c r="A937" i="8"/>
  <c r="B937" i="8"/>
  <c r="C937" i="8"/>
  <c r="A936" i="8"/>
  <c r="B936" i="8"/>
  <c r="C936" i="8"/>
  <c r="A935" i="8"/>
  <c r="B935" i="8"/>
  <c r="C935" i="8"/>
  <c r="A934" i="8"/>
  <c r="B934" i="8"/>
  <c r="C934" i="8"/>
  <c r="A933" i="8"/>
  <c r="B933" i="8"/>
  <c r="C933" i="8"/>
  <c r="A932" i="8"/>
  <c r="B932" i="8"/>
  <c r="C932" i="8"/>
  <c r="A931" i="8"/>
  <c r="B931" i="8"/>
  <c r="C931" i="8"/>
  <c r="A930" i="8"/>
  <c r="B930" i="8"/>
  <c r="C930" i="8"/>
  <c r="A929" i="8"/>
  <c r="B929" i="8"/>
  <c r="C929" i="8"/>
  <c r="A928" i="8"/>
  <c r="B928" i="8"/>
  <c r="C928" i="8"/>
  <c r="A927" i="8"/>
  <c r="B927" i="8"/>
  <c r="C927" i="8"/>
  <c r="A926" i="8"/>
  <c r="B926" i="8"/>
  <c r="C926" i="8"/>
  <c r="A925" i="8"/>
  <c r="B925" i="8"/>
  <c r="C925" i="8"/>
  <c r="A924" i="8"/>
  <c r="B924" i="8"/>
  <c r="C924" i="8"/>
  <c r="A923" i="8"/>
  <c r="B923" i="8"/>
  <c r="C923" i="8"/>
  <c r="A922" i="8"/>
  <c r="B922" i="8"/>
  <c r="C922" i="8"/>
  <c r="A921" i="8"/>
  <c r="B921" i="8"/>
  <c r="C921" i="8"/>
  <c r="A920" i="8"/>
  <c r="B920" i="8"/>
  <c r="C920" i="8"/>
  <c r="A919" i="8"/>
  <c r="B919" i="8"/>
  <c r="C919" i="8"/>
  <c r="A918" i="8"/>
  <c r="B918" i="8"/>
  <c r="C918" i="8"/>
  <c r="A917" i="8"/>
  <c r="B917" i="8"/>
  <c r="C917" i="8"/>
  <c r="A916" i="8"/>
  <c r="B916" i="8"/>
  <c r="C916" i="8"/>
  <c r="A915" i="8"/>
  <c r="B915" i="8"/>
  <c r="C915" i="8"/>
  <c r="A914" i="8"/>
  <c r="B914" i="8"/>
  <c r="C914" i="8"/>
  <c r="A913" i="8"/>
  <c r="B913" i="8"/>
  <c r="C913" i="8"/>
  <c r="A912" i="8"/>
  <c r="B912" i="8"/>
  <c r="C912" i="8"/>
  <c r="A911" i="8"/>
  <c r="B911" i="8"/>
  <c r="C911" i="8"/>
  <c r="A910" i="8"/>
  <c r="B910" i="8"/>
  <c r="C910" i="8"/>
  <c r="A909" i="8"/>
  <c r="B909" i="8"/>
  <c r="C909" i="8"/>
  <c r="A908" i="8"/>
  <c r="B908" i="8"/>
  <c r="C908" i="8"/>
  <c r="A907" i="8"/>
  <c r="B907" i="8"/>
  <c r="C907" i="8"/>
  <c r="A906" i="8"/>
  <c r="B906" i="8"/>
  <c r="C906" i="8"/>
  <c r="A905" i="8"/>
  <c r="B905" i="8"/>
  <c r="C905" i="8"/>
  <c r="A904" i="8"/>
  <c r="B904" i="8"/>
  <c r="C904" i="8"/>
  <c r="A903" i="8"/>
  <c r="B903" i="8"/>
  <c r="C903" i="8"/>
  <c r="A902" i="8"/>
  <c r="B902" i="8"/>
  <c r="C902" i="8"/>
  <c r="A901" i="8"/>
  <c r="B901" i="8"/>
  <c r="C901" i="8"/>
  <c r="A900" i="8"/>
  <c r="B900" i="8"/>
  <c r="C900" i="8"/>
  <c r="A899" i="8"/>
  <c r="B899" i="8"/>
  <c r="C899" i="8"/>
  <c r="A898" i="8"/>
  <c r="B898" i="8"/>
  <c r="C898" i="8"/>
  <c r="A897" i="8"/>
  <c r="B897" i="8"/>
  <c r="C897" i="8"/>
  <c r="A896" i="8"/>
  <c r="B896" i="8"/>
  <c r="C896" i="8"/>
  <c r="A895" i="8"/>
  <c r="B895" i="8"/>
  <c r="C895" i="8"/>
  <c r="A894" i="8"/>
  <c r="B894" i="8"/>
  <c r="C894" i="8"/>
  <c r="A893" i="8"/>
  <c r="B893" i="8"/>
  <c r="C893" i="8"/>
  <c r="A892" i="8"/>
  <c r="B892" i="8"/>
  <c r="C892" i="8"/>
  <c r="A891" i="8"/>
  <c r="B891" i="8"/>
  <c r="C891" i="8"/>
  <c r="A890" i="8"/>
  <c r="B890" i="8"/>
  <c r="C890" i="8"/>
  <c r="A889" i="8"/>
  <c r="B889" i="8"/>
  <c r="C889" i="8"/>
  <c r="A888" i="8"/>
  <c r="B888" i="8"/>
  <c r="C888" i="8"/>
  <c r="A887" i="8"/>
  <c r="B887" i="8"/>
  <c r="C887" i="8"/>
  <c r="A886" i="8"/>
  <c r="B886" i="8"/>
  <c r="C886" i="8"/>
  <c r="A885" i="8"/>
  <c r="B885" i="8"/>
  <c r="C885" i="8"/>
  <c r="A884" i="8"/>
  <c r="B884" i="8"/>
  <c r="C884" i="8"/>
  <c r="A883" i="8"/>
  <c r="B883" i="8"/>
  <c r="C883" i="8"/>
  <c r="A882" i="8"/>
  <c r="B882" i="8"/>
  <c r="C882" i="8"/>
  <c r="A881" i="8"/>
  <c r="B881" i="8"/>
  <c r="C881" i="8"/>
  <c r="A880" i="8"/>
  <c r="B880" i="8"/>
  <c r="C880" i="8"/>
  <c r="A879" i="8"/>
  <c r="B879" i="8"/>
  <c r="C879" i="8"/>
  <c r="A878" i="8"/>
  <c r="B878" i="8"/>
  <c r="C878" i="8"/>
  <c r="A877" i="8"/>
  <c r="B877" i="8"/>
  <c r="C877" i="8"/>
  <c r="A876" i="8"/>
  <c r="B876" i="8"/>
  <c r="C876" i="8"/>
  <c r="A875" i="8"/>
  <c r="B875" i="8"/>
  <c r="C875" i="8"/>
  <c r="A874" i="8"/>
  <c r="B874" i="8"/>
  <c r="C874" i="8"/>
  <c r="A873" i="8"/>
  <c r="B873" i="8"/>
  <c r="C873" i="8"/>
  <c r="A872" i="8"/>
  <c r="B872" i="8"/>
  <c r="C872" i="8"/>
  <c r="A871" i="8"/>
  <c r="B871" i="8"/>
  <c r="C871" i="8"/>
  <c r="A870" i="8"/>
  <c r="B870" i="8"/>
  <c r="C870" i="8"/>
  <c r="A869" i="8"/>
  <c r="B869" i="8"/>
  <c r="C869" i="8"/>
  <c r="A868" i="8"/>
  <c r="B868" i="8"/>
  <c r="C868" i="8"/>
  <c r="A867" i="8"/>
  <c r="B867" i="8"/>
  <c r="C867" i="8"/>
  <c r="A866" i="8"/>
  <c r="B866" i="8"/>
  <c r="C866" i="8"/>
  <c r="A865" i="8"/>
  <c r="B865" i="8"/>
  <c r="C865" i="8"/>
  <c r="A864" i="8"/>
  <c r="B864" i="8"/>
  <c r="C864" i="8"/>
  <c r="A863" i="8"/>
  <c r="B863" i="8"/>
  <c r="C863" i="8"/>
  <c r="A862" i="8"/>
  <c r="B862" i="8"/>
  <c r="C862" i="8"/>
  <c r="A861" i="8"/>
  <c r="B861" i="8"/>
  <c r="C861" i="8"/>
  <c r="A860" i="8"/>
  <c r="B860" i="8"/>
  <c r="C860" i="8"/>
  <c r="A859" i="8"/>
  <c r="B859" i="8"/>
  <c r="C859" i="8"/>
  <c r="A858" i="8"/>
  <c r="B858" i="8"/>
  <c r="C858" i="8"/>
  <c r="A857" i="8"/>
  <c r="B857" i="8"/>
  <c r="C857" i="8"/>
  <c r="A856" i="8"/>
  <c r="B856" i="8"/>
  <c r="C856" i="8"/>
  <c r="A855" i="8"/>
  <c r="B855" i="8"/>
  <c r="C855" i="8"/>
  <c r="A854" i="8"/>
  <c r="B854" i="8"/>
  <c r="C854" i="8"/>
  <c r="A853" i="8"/>
  <c r="B853" i="8"/>
  <c r="C853" i="8"/>
  <c r="A852" i="8"/>
  <c r="B852" i="8"/>
  <c r="C852" i="8"/>
  <c r="A851" i="8"/>
  <c r="B851" i="8"/>
  <c r="C851" i="8"/>
  <c r="A850" i="8"/>
  <c r="B850" i="8"/>
  <c r="C850" i="8"/>
  <c r="A849" i="8"/>
  <c r="B849" i="8"/>
  <c r="C849" i="8"/>
  <c r="A848" i="8"/>
  <c r="B848" i="8"/>
  <c r="C848" i="8"/>
  <c r="A847" i="8"/>
  <c r="B847" i="8"/>
  <c r="C847" i="8"/>
  <c r="A846" i="8"/>
  <c r="B846" i="8"/>
  <c r="C846" i="8"/>
  <c r="A845" i="8"/>
  <c r="B845" i="8"/>
  <c r="C845" i="8"/>
  <c r="A844" i="8"/>
  <c r="B844" i="8"/>
  <c r="C844" i="8"/>
  <c r="A843" i="8"/>
  <c r="B843" i="8"/>
  <c r="C843" i="8"/>
  <c r="A842" i="8"/>
  <c r="B842" i="8"/>
  <c r="C842" i="8"/>
  <c r="A841" i="8"/>
  <c r="B841" i="8"/>
  <c r="C841" i="8"/>
  <c r="A840" i="8"/>
  <c r="B840" i="8"/>
  <c r="C840" i="8"/>
  <c r="A839" i="8"/>
  <c r="B839" i="8"/>
  <c r="C839" i="8"/>
  <c r="A838" i="8"/>
  <c r="B838" i="8"/>
  <c r="C838" i="8"/>
  <c r="A837" i="8"/>
  <c r="B837" i="8"/>
  <c r="C837" i="8"/>
  <c r="A836" i="8"/>
  <c r="B836" i="8"/>
  <c r="C836" i="8"/>
  <c r="A835" i="8"/>
  <c r="B835" i="8"/>
  <c r="C835" i="8"/>
  <c r="A834" i="8"/>
  <c r="B834" i="8"/>
  <c r="C834" i="8"/>
  <c r="A833" i="8"/>
  <c r="B833" i="8"/>
  <c r="C833" i="8"/>
  <c r="A832" i="8"/>
  <c r="B832" i="8"/>
  <c r="C832" i="8"/>
  <c r="A831" i="8"/>
  <c r="B831" i="8"/>
  <c r="C831" i="8"/>
  <c r="A830" i="8"/>
  <c r="B830" i="8"/>
  <c r="C830" i="8"/>
  <c r="A829" i="8"/>
  <c r="B829" i="8"/>
  <c r="C829" i="8"/>
  <c r="A828" i="8"/>
  <c r="B828" i="8"/>
  <c r="C828" i="8"/>
  <c r="A827" i="8"/>
  <c r="B827" i="8"/>
  <c r="C827" i="8"/>
  <c r="A826" i="8"/>
  <c r="B826" i="8"/>
  <c r="C826" i="8"/>
  <c r="A825" i="8"/>
  <c r="B825" i="8"/>
  <c r="C825" i="8"/>
  <c r="A824" i="8"/>
  <c r="B824" i="8"/>
  <c r="C824" i="8"/>
  <c r="A823" i="8"/>
  <c r="B823" i="8"/>
  <c r="C823" i="8"/>
  <c r="A822" i="8"/>
  <c r="B822" i="8"/>
  <c r="C822" i="8"/>
  <c r="A821" i="8"/>
  <c r="B821" i="8"/>
  <c r="C821" i="8"/>
  <c r="A820" i="8"/>
  <c r="B820" i="8"/>
  <c r="C820" i="8"/>
  <c r="A819" i="8"/>
  <c r="B819" i="8"/>
  <c r="C819" i="8"/>
  <c r="A818" i="8"/>
  <c r="B818" i="8"/>
  <c r="C818" i="8"/>
  <c r="A817" i="8"/>
  <c r="B817" i="8"/>
  <c r="C817" i="8"/>
  <c r="A816" i="8"/>
  <c r="B816" i="8"/>
  <c r="C816" i="8"/>
  <c r="A815" i="8"/>
  <c r="B815" i="8"/>
  <c r="C815" i="8"/>
  <c r="A814" i="8"/>
  <c r="B814" i="8"/>
  <c r="C814" i="8"/>
  <c r="A813" i="8"/>
  <c r="B813" i="8"/>
  <c r="C813" i="8"/>
  <c r="A812" i="8"/>
  <c r="B812" i="8"/>
  <c r="C812" i="8"/>
  <c r="A811" i="8"/>
  <c r="B811" i="8"/>
  <c r="C811" i="8"/>
  <c r="A810" i="8"/>
  <c r="B810" i="8"/>
  <c r="C810" i="8"/>
  <c r="A809" i="8"/>
  <c r="B809" i="8"/>
  <c r="C809" i="8"/>
  <c r="A808" i="8"/>
  <c r="B808" i="8"/>
  <c r="C808" i="8"/>
  <c r="A807" i="8"/>
  <c r="B807" i="8"/>
  <c r="C807" i="8"/>
  <c r="A806" i="8"/>
  <c r="B806" i="8"/>
  <c r="C806" i="8"/>
  <c r="A805" i="8"/>
  <c r="B805" i="8"/>
  <c r="C805" i="8"/>
  <c r="A804" i="8"/>
  <c r="B804" i="8"/>
  <c r="C804" i="8"/>
  <c r="A803" i="8"/>
  <c r="B803" i="8"/>
  <c r="C803" i="8"/>
  <c r="A802" i="8"/>
  <c r="B802" i="8"/>
  <c r="C802" i="8"/>
  <c r="A801" i="8"/>
  <c r="B801" i="8"/>
  <c r="C801" i="8"/>
  <c r="A800" i="8"/>
  <c r="B800" i="8"/>
  <c r="C800" i="8"/>
  <c r="A799" i="8"/>
  <c r="B799" i="8"/>
  <c r="C799" i="8"/>
  <c r="A798" i="8"/>
  <c r="B798" i="8"/>
  <c r="C798" i="8"/>
  <c r="A797" i="8"/>
  <c r="B797" i="8"/>
  <c r="C797" i="8"/>
  <c r="A796" i="8"/>
  <c r="B796" i="8"/>
  <c r="C796" i="8"/>
  <c r="A795" i="8"/>
  <c r="B795" i="8"/>
  <c r="C795" i="8"/>
  <c r="A794" i="8"/>
  <c r="B794" i="8"/>
  <c r="C794" i="8"/>
  <c r="A793" i="8"/>
  <c r="B793" i="8"/>
  <c r="C793" i="8"/>
  <c r="A792" i="8"/>
  <c r="B792" i="8"/>
  <c r="C792" i="8"/>
  <c r="A791" i="8"/>
  <c r="B791" i="8"/>
  <c r="C791" i="8"/>
  <c r="A790" i="8"/>
  <c r="B790" i="8"/>
  <c r="C790" i="8"/>
  <c r="A789" i="8"/>
  <c r="B789" i="8"/>
  <c r="C789" i="8"/>
  <c r="A788" i="8"/>
  <c r="B788" i="8"/>
  <c r="C788" i="8"/>
  <c r="A787" i="8"/>
  <c r="B787" i="8"/>
  <c r="C787" i="8"/>
  <c r="A786" i="8"/>
  <c r="B786" i="8"/>
  <c r="C786" i="8"/>
  <c r="A785" i="8"/>
  <c r="B785" i="8"/>
  <c r="C785" i="8"/>
  <c r="A784" i="8"/>
  <c r="B784" i="8"/>
  <c r="C784" i="8"/>
  <c r="A783" i="8"/>
  <c r="B783" i="8"/>
  <c r="C783" i="8"/>
  <c r="A782" i="8"/>
  <c r="B782" i="8"/>
  <c r="C782" i="8"/>
  <c r="A781" i="8"/>
  <c r="B781" i="8"/>
  <c r="C781" i="8"/>
  <c r="A780" i="8"/>
  <c r="B780" i="8"/>
  <c r="C780" i="8"/>
  <c r="A779" i="8"/>
  <c r="B779" i="8"/>
  <c r="C779" i="8"/>
  <c r="A778" i="8"/>
  <c r="B778" i="8"/>
  <c r="C778" i="8"/>
  <c r="A777" i="8"/>
  <c r="B777" i="8"/>
  <c r="C777" i="8"/>
  <c r="A776" i="8"/>
  <c r="B776" i="8"/>
  <c r="C776" i="8"/>
  <c r="A775" i="8"/>
  <c r="B775" i="8"/>
  <c r="C775" i="8"/>
  <c r="A774" i="8"/>
  <c r="B774" i="8"/>
  <c r="C774" i="8"/>
  <c r="A773" i="8"/>
  <c r="B773" i="8"/>
  <c r="C773" i="8"/>
  <c r="A772" i="8"/>
  <c r="B772" i="8"/>
  <c r="C772" i="8"/>
  <c r="A771" i="8"/>
  <c r="B771" i="8"/>
  <c r="C771" i="8"/>
  <c r="A770" i="8"/>
  <c r="B770" i="8"/>
  <c r="C770" i="8"/>
  <c r="A769" i="8"/>
  <c r="B769" i="8"/>
  <c r="C769" i="8"/>
  <c r="A768" i="8"/>
  <c r="B768" i="8"/>
  <c r="C768" i="8"/>
  <c r="A767" i="8"/>
  <c r="B767" i="8"/>
  <c r="C767" i="8"/>
  <c r="A766" i="8"/>
  <c r="B766" i="8"/>
  <c r="C766" i="8"/>
  <c r="A765" i="8"/>
  <c r="B765" i="8"/>
  <c r="C765" i="8"/>
  <c r="A764" i="8"/>
  <c r="B764" i="8"/>
  <c r="C764" i="8"/>
  <c r="A763" i="8"/>
  <c r="B763" i="8"/>
  <c r="C763" i="8"/>
  <c r="A762" i="8"/>
  <c r="B762" i="8"/>
  <c r="C762" i="8"/>
  <c r="A761" i="8"/>
  <c r="B761" i="8"/>
  <c r="C761" i="8"/>
  <c r="A760" i="8"/>
  <c r="B760" i="8"/>
  <c r="C760" i="8"/>
  <c r="A759" i="8"/>
  <c r="B759" i="8"/>
  <c r="C759" i="8"/>
  <c r="A758" i="8"/>
  <c r="B758" i="8"/>
  <c r="C758" i="8"/>
  <c r="A757" i="8"/>
  <c r="B757" i="8"/>
  <c r="C757" i="8"/>
  <c r="A756" i="8"/>
  <c r="B756" i="8"/>
  <c r="C756" i="8"/>
  <c r="A755" i="8"/>
  <c r="B755" i="8"/>
  <c r="C755" i="8"/>
  <c r="A754" i="8"/>
  <c r="B754" i="8"/>
  <c r="C754" i="8"/>
  <c r="A753" i="8"/>
  <c r="B753" i="8"/>
  <c r="C753" i="8"/>
  <c r="A752" i="8"/>
  <c r="B752" i="8"/>
  <c r="C752" i="8"/>
  <c r="A751" i="8"/>
  <c r="B751" i="8"/>
  <c r="C751" i="8"/>
  <c r="A750" i="8"/>
  <c r="B750" i="8"/>
  <c r="C750" i="8"/>
  <c r="A749" i="8"/>
  <c r="B749" i="8"/>
  <c r="C749" i="8"/>
  <c r="A748" i="8"/>
  <c r="B748" i="8"/>
  <c r="C748" i="8"/>
  <c r="A747" i="8"/>
  <c r="B747" i="8"/>
  <c r="C747" i="8"/>
  <c r="A746" i="8"/>
  <c r="B746" i="8"/>
  <c r="C746" i="8"/>
  <c r="A745" i="8"/>
  <c r="B745" i="8"/>
  <c r="C745" i="8"/>
  <c r="A744" i="8"/>
  <c r="B744" i="8"/>
  <c r="C744" i="8"/>
  <c r="A743" i="8"/>
  <c r="B743" i="8"/>
  <c r="C743" i="8"/>
  <c r="A742" i="8"/>
  <c r="B742" i="8"/>
  <c r="C742" i="8"/>
  <c r="A741" i="8"/>
  <c r="B741" i="8"/>
  <c r="C741" i="8"/>
  <c r="A740" i="8"/>
  <c r="B740" i="8"/>
  <c r="C740" i="8"/>
  <c r="A739" i="8"/>
  <c r="B739" i="8"/>
  <c r="C739" i="8"/>
  <c r="A738" i="8"/>
  <c r="B738" i="8"/>
  <c r="C738" i="8"/>
  <c r="A737" i="8"/>
  <c r="B737" i="8"/>
  <c r="C737" i="8"/>
  <c r="A736" i="8"/>
  <c r="B736" i="8"/>
  <c r="C736" i="8"/>
  <c r="A735" i="8"/>
  <c r="B735" i="8"/>
  <c r="C735" i="8"/>
  <c r="A734" i="8"/>
  <c r="B734" i="8"/>
  <c r="C734" i="8"/>
  <c r="A733" i="8"/>
  <c r="B733" i="8"/>
  <c r="C733" i="8"/>
  <c r="A732" i="8"/>
  <c r="B732" i="8"/>
  <c r="C732" i="8"/>
  <c r="A731" i="8"/>
  <c r="B731" i="8"/>
  <c r="C731" i="8"/>
  <c r="A730" i="8"/>
  <c r="B730" i="8"/>
  <c r="C730" i="8"/>
  <c r="A729" i="8"/>
  <c r="B729" i="8"/>
  <c r="C729" i="8"/>
  <c r="A728" i="8"/>
  <c r="B728" i="8"/>
  <c r="C728" i="8"/>
  <c r="A727" i="8"/>
  <c r="B727" i="8"/>
  <c r="C727" i="8"/>
  <c r="A726" i="8"/>
  <c r="B726" i="8"/>
  <c r="C726" i="8"/>
  <c r="A725" i="8"/>
  <c r="B725" i="8"/>
  <c r="C725" i="8"/>
  <c r="A724" i="8"/>
  <c r="B724" i="8"/>
  <c r="C724" i="8"/>
  <c r="A723" i="8"/>
  <c r="B723" i="8"/>
  <c r="C723" i="8"/>
  <c r="A722" i="8"/>
  <c r="B722" i="8"/>
  <c r="C722" i="8"/>
  <c r="A721" i="8"/>
  <c r="B721" i="8"/>
  <c r="C721" i="8"/>
  <c r="A720" i="8"/>
  <c r="B720" i="8"/>
  <c r="C720" i="8"/>
  <c r="A719" i="8"/>
  <c r="B719" i="8"/>
  <c r="C719" i="8"/>
  <c r="A718" i="8"/>
  <c r="B718" i="8"/>
  <c r="C718" i="8"/>
  <c r="A717" i="8"/>
  <c r="B717" i="8"/>
  <c r="C717" i="8"/>
  <c r="A716" i="8"/>
  <c r="B716" i="8"/>
  <c r="C716" i="8"/>
  <c r="A715" i="8"/>
  <c r="B715" i="8"/>
  <c r="C715" i="8"/>
  <c r="A714" i="8"/>
  <c r="B714" i="8"/>
  <c r="C714" i="8"/>
  <c r="A713" i="8"/>
  <c r="B713" i="8"/>
  <c r="C713" i="8"/>
  <c r="A712" i="8"/>
  <c r="B712" i="8"/>
  <c r="C712" i="8"/>
  <c r="A711" i="8"/>
  <c r="B711" i="8"/>
  <c r="C711" i="8"/>
  <c r="A710" i="8"/>
  <c r="B710" i="8"/>
  <c r="C710" i="8"/>
  <c r="A709" i="8"/>
  <c r="B709" i="8"/>
  <c r="C709" i="8"/>
  <c r="A708" i="8"/>
  <c r="B708" i="8"/>
  <c r="C708" i="8"/>
  <c r="A707" i="8"/>
  <c r="B707" i="8"/>
  <c r="C707" i="8"/>
  <c r="A706" i="8"/>
  <c r="B706" i="8"/>
  <c r="C706" i="8"/>
  <c r="A705" i="8"/>
  <c r="B705" i="8"/>
  <c r="C705" i="8"/>
  <c r="A704" i="8"/>
  <c r="B704" i="8"/>
  <c r="C704" i="8"/>
  <c r="A703" i="8"/>
  <c r="B703" i="8"/>
  <c r="C703" i="8"/>
  <c r="A702" i="8"/>
  <c r="B702" i="8"/>
  <c r="C702" i="8"/>
  <c r="A701" i="8"/>
  <c r="B701" i="8"/>
  <c r="C701" i="8"/>
  <c r="A700" i="8"/>
  <c r="B700" i="8"/>
  <c r="C700" i="8"/>
  <c r="A699" i="8"/>
  <c r="B699" i="8"/>
  <c r="C699" i="8"/>
  <c r="A698" i="8"/>
  <c r="B698" i="8"/>
  <c r="C698" i="8"/>
  <c r="A697" i="8"/>
  <c r="B697" i="8"/>
  <c r="C697" i="8"/>
  <c r="A696" i="8"/>
  <c r="B696" i="8"/>
  <c r="C696" i="8"/>
  <c r="A695" i="8"/>
  <c r="B695" i="8"/>
  <c r="C695" i="8"/>
  <c r="A694" i="8"/>
  <c r="B694" i="8"/>
  <c r="C694" i="8"/>
  <c r="A693" i="8"/>
  <c r="B693" i="8"/>
  <c r="C693" i="8"/>
  <c r="A692" i="8"/>
  <c r="B692" i="8"/>
  <c r="C692" i="8"/>
  <c r="A691" i="8"/>
  <c r="B691" i="8"/>
  <c r="C691" i="8"/>
  <c r="A690" i="8"/>
  <c r="B690" i="8"/>
  <c r="C690" i="8"/>
  <c r="A689" i="8"/>
  <c r="B689" i="8"/>
  <c r="C689" i="8"/>
  <c r="A688" i="8"/>
  <c r="B688" i="8"/>
  <c r="C688" i="8"/>
  <c r="A687" i="8"/>
  <c r="B687" i="8"/>
  <c r="C687" i="8"/>
  <c r="A686" i="8"/>
  <c r="B686" i="8"/>
  <c r="C686" i="8"/>
  <c r="A685" i="8"/>
  <c r="B685" i="8"/>
  <c r="C685" i="8"/>
  <c r="A684" i="8"/>
  <c r="B684" i="8"/>
  <c r="C684" i="8"/>
  <c r="A683" i="8"/>
  <c r="B683" i="8"/>
  <c r="C683" i="8"/>
  <c r="A682" i="8"/>
  <c r="B682" i="8"/>
  <c r="C682" i="8"/>
  <c r="A681" i="8"/>
  <c r="B681" i="8"/>
  <c r="C681" i="8"/>
  <c r="A680" i="8"/>
  <c r="B680" i="8"/>
  <c r="C680" i="8"/>
  <c r="A679" i="8"/>
  <c r="B679" i="8"/>
  <c r="C679" i="8"/>
  <c r="A678" i="8"/>
  <c r="B678" i="8"/>
  <c r="C678" i="8"/>
  <c r="A677" i="8"/>
  <c r="B677" i="8"/>
  <c r="C677" i="8"/>
  <c r="A676" i="8"/>
  <c r="B676" i="8"/>
  <c r="C676" i="8"/>
  <c r="A675" i="8"/>
  <c r="B675" i="8"/>
  <c r="C675" i="8"/>
  <c r="A674" i="8"/>
  <c r="B674" i="8"/>
  <c r="C674" i="8"/>
  <c r="A673" i="8"/>
  <c r="B673" i="8"/>
  <c r="C673" i="8"/>
  <c r="A672" i="8"/>
  <c r="B672" i="8"/>
  <c r="C672" i="8"/>
  <c r="A671" i="8"/>
  <c r="B671" i="8"/>
  <c r="C671" i="8"/>
  <c r="A670" i="8"/>
  <c r="B670" i="8"/>
  <c r="C670" i="8"/>
  <c r="A669" i="8"/>
  <c r="B669" i="8"/>
  <c r="C669" i="8"/>
  <c r="A668" i="8"/>
  <c r="B668" i="8"/>
  <c r="C668" i="8"/>
  <c r="A667" i="8"/>
  <c r="B667" i="8"/>
  <c r="C667" i="8"/>
  <c r="A666" i="8"/>
  <c r="B666" i="8"/>
  <c r="C666" i="8"/>
  <c r="A665" i="8"/>
  <c r="B665" i="8"/>
  <c r="C665" i="8"/>
  <c r="A664" i="8"/>
  <c r="B664" i="8"/>
  <c r="C664" i="8"/>
  <c r="A663" i="8"/>
  <c r="B663" i="8"/>
  <c r="C663" i="8"/>
  <c r="A662" i="8"/>
  <c r="B662" i="8"/>
  <c r="C662" i="8"/>
  <c r="A661" i="8"/>
  <c r="B661" i="8"/>
  <c r="C661" i="8"/>
  <c r="A660" i="8"/>
  <c r="B660" i="8"/>
  <c r="C660" i="8"/>
  <c r="A659" i="8"/>
  <c r="B659" i="8"/>
  <c r="C659" i="8"/>
  <c r="A658" i="8"/>
  <c r="B658" i="8"/>
  <c r="C658" i="8"/>
  <c r="A657" i="8"/>
  <c r="B657" i="8"/>
  <c r="C657" i="8"/>
  <c r="A656" i="8"/>
  <c r="B656" i="8"/>
  <c r="C656" i="8"/>
  <c r="A655" i="8"/>
  <c r="B655" i="8"/>
  <c r="C655" i="8"/>
  <c r="A654" i="8"/>
  <c r="B654" i="8"/>
  <c r="C654" i="8"/>
  <c r="A653" i="8"/>
  <c r="B653" i="8"/>
  <c r="C653" i="8"/>
  <c r="A652" i="8"/>
  <c r="B652" i="8"/>
  <c r="C652" i="8"/>
  <c r="A651" i="8"/>
  <c r="B651" i="8"/>
  <c r="C651" i="8"/>
  <c r="A650" i="8"/>
  <c r="B650" i="8"/>
  <c r="C650" i="8"/>
  <c r="A649" i="8"/>
  <c r="B649" i="8"/>
  <c r="C649" i="8"/>
  <c r="A648" i="8"/>
  <c r="B648" i="8"/>
  <c r="C648" i="8"/>
  <c r="A647" i="8"/>
  <c r="B647" i="8"/>
  <c r="C647" i="8"/>
  <c r="A646" i="8"/>
  <c r="B646" i="8"/>
  <c r="C646" i="8"/>
  <c r="A645" i="8"/>
  <c r="B645" i="8"/>
  <c r="C645" i="8"/>
  <c r="A644" i="8"/>
  <c r="B644" i="8"/>
  <c r="C644" i="8"/>
  <c r="A643" i="8"/>
  <c r="B643" i="8"/>
  <c r="C643" i="8"/>
  <c r="A642" i="8"/>
  <c r="B642" i="8"/>
  <c r="C642" i="8"/>
  <c r="A641" i="8"/>
  <c r="B641" i="8"/>
  <c r="C641" i="8"/>
  <c r="A640" i="8"/>
  <c r="B640" i="8"/>
  <c r="C640" i="8"/>
  <c r="A639" i="8"/>
  <c r="B639" i="8"/>
  <c r="C639" i="8"/>
  <c r="A638" i="8"/>
  <c r="B638" i="8"/>
  <c r="C638" i="8"/>
  <c r="A637" i="8"/>
  <c r="B637" i="8"/>
  <c r="C637" i="8"/>
  <c r="A636" i="8"/>
  <c r="B636" i="8"/>
  <c r="C636" i="8"/>
  <c r="A635" i="8"/>
  <c r="B635" i="8"/>
  <c r="C635" i="8"/>
  <c r="A634" i="8"/>
  <c r="B634" i="8"/>
  <c r="C634" i="8"/>
  <c r="A633" i="8"/>
  <c r="B633" i="8"/>
  <c r="C633" i="8"/>
  <c r="A632" i="8"/>
  <c r="B632" i="8"/>
  <c r="C632" i="8"/>
  <c r="A631" i="8"/>
  <c r="B631" i="8"/>
  <c r="C631" i="8"/>
  <c r="A630" i="8"/>
  <c r="B630" i="8"/>
  <c r="C630" i="8"/>
  <c r="A629" i="8"/>
  <c r="B629" i="8"/>
  <c r="C629" i="8"/>
  <c r="A628" i="8"/>
  <c r="B628" i="8"/>
  <c r="C628" i="8"/>
  <c r="A627" i="8"/>
  <c r="B627" i="8"/>
  <c r="C627" i="8"/>
  <c r="A626" i="8"/>
  <c r="B626" i="8"/>
  <c r="C626" i="8"/>
  <c r="A625" i="8"/>
  <c r="B625" i="8"/>
  <c r="C625" i="8"/>
  <c r="A624" i="8"/>
  <c r="B624" i="8"/>
  <c r="C624" i="8"/>
  <c r="A623" i="8"/>
  <c r="B623" i="8"/>
  <c r="C623" i="8"/>
  <c r="A622" i="8"/>
  <c r="B622" i="8"/>
  <c r="C622" i="8"/>
  <c r="A621" i="8"/>
  <c r="B621" i="8"/>
  <c r="C621" i="8"/>
  <c r="A620" i="8"/>
  <c r="B620" i="8"/>
  <c r="C620" i="8"/>
  <c r="A619" i="8"/>
  <c r="B619" i="8"/>
  <c r="C619" i="8"/>
  <c r="A618" i="8"/>
  <c r="B618" i="8"/>
  <c r="C618" i="8"/>
  <c r="A617" i="8"/>
  <c r="B617" i="8"/>
  <c r="C617" i="8"/>
  <c r="A616" i="8"/>
  <c r="B616" i="8"/>
  <c r="C616" i="8"/>
  <c r="A615" i="8"/>
  <c r="B615" i="8"/>
  <c r="C615" i="8"/>
  <c r="A614" i="8"/>
  <c r="B614" i="8"/>
  <c r="C614" i="8"/>
  <c r="A613" i="8"/>
  <c r="B613" i="8"/>
  <c r="C613" i="8"/>
  <c r="A612" i="8"/>
  <c r="B612" i="8"/>
  <c r="C612" i="8"/>
  <c r="A611" i="8"/>
  <c r="B611" i="8"/>
  <c r="C611" i="8"/>
  <c r="A610" i="8"/>
  <c r="B610" i="8"/>
  <c r="C610" i="8"/>
  <c r="A609" i="8"/>
  <c r="B609" i="8"/>
  <c r="C609" i="8"/>
  <c r="A608" i="8"/>
  <c r="B608" i="8"/>
  <c r="C608" i="8"/>
  <c r="A607" i="8"/>
  <c r="B607" i="8"/>
  <c r="C607" i="8"/>
  <c r="A606" i="8"/>
  <c r="B606" i="8"/>
  <c r="C606" i="8"/>
  <c r="A605" i="8"/>
  <c r="B605" i="8"/>
  <c r="C605" i="8"/>
  <c r="A604" i="8"/>
  <c r="B604" i="8"/>
  <c r="C604" i="8"/>
  <c r="A603" i="8"/>
  <c r="B603" i="8"/>
  <c r="C603" i="8"/>
  <c r="A602" i="8"/>
  <c r="B602" i="8"/>
  <c r="C602" i="8"/>
  <c r="A601" i="8"/>
  <c r="B601" i="8"/>
  <c r="C601" i="8"/>
  <c r="A600" i="8"/>
  <c r="B600" i="8"/>
  <c r="C600" i="8"/>
  <c r="A599" i="8"/>
  <c r="B599" i="8"/>
  <c r="C599" i="8"/>
  <c r="A598" i="8"/>
  <c r="B598" i="8"/>
  <c r="C598" i="8"/>
  <c r="A597" i="8"/>
  <c r="B597" i="8"/>
  <c r="C597" i="8"/>
  <c r="A596" i="8"/>
  <c r="B596" i="8"/>
  <c r="C596" i="8"/>
  <c r="A595" i="8"/>
  <c r="B595" i="8"/>
  <c r="C595" i="8"/>
  <c r="A594" i="8"/>
  <c r="B594" i="8"/>
  <c r="C594" i="8"/>
  <c r="A593" i="8"/>
  <c r="B593" i="8"/>
  <c r="C593" i="8"/>
  <c r="A592" i="8"/>
  <c r="B592" i="8"/>
  <c r="C592" i="8"/>
  <c r="A591" i="8"/>
  <c r="B591" i="8"/>
  <c r="C591" i="8"/>
  <c r="A590" i="8"/>
  <c r="B590" i="8"/>
  <c r="C590" i="8"/>
  <c r="A589" i="8"/>
  <c r="B589" i="8"/>
  <c r="C589" i="8"/>
  <c r="A588" i="8"/>
  <c r="B588" i="8"/>
  <c r="C588" i="8"/>
  <c r="A587" i="8"/>
  <c r="B587" i="8"/>
  <c r="C587" i="8"/>
  <c r="A586" i="8"/>
  <c r="B586" i="8"/>
  <c r="C586" i="8"/>
  <c r="A585" i="8"/>
  <c r="B585" i="8"/>
  <c r="C585" i="8"/>
  <c r="A584" i="8"/>
  <c r="B584" i="8"/>
  <c r="C584" i="8"/>
  <c r="A583" i="8"/>
  <c r="B583" i="8"/>
  <c r="C583" i="8"/>
  <c r="A582" i="8"/>
  <c r="B582" i="8"/>
  <c r="C582" i="8"/>
  <c r="A581" i="8"/>
  <c r="B581" i="8"/>
  <c r="C581" i="8"/>
  <c r="A580" i="8"/>
  <c r="B580" i="8"/>
  <c r="C580" i="8"/>
  <c r="A579" i="8"/>
  <c r="B579" i="8"/>
  <c r="C579" i="8"/>
  <c r="A578" i="8"/>
  <c r="B578" i="8"/>
  <c r="C578" i="8"/>
  <c r="A577" i="8"/>
  <c r="B577" i="8"/>
  <c r="C577" i="8"/>
  <c r="A576" i="8"/>
  <c r="B576" i="8"/>
  <c r="C576" i="8"/>
  <c r="A575" i="8"/>
  <c r="B575" i="8"/>
  <c r="C575" i="8"/>
  <c r="A574" i="8"/>
  <c r="B574" i="8"/>
  <c r="C574" i="8"/>
  <c r="A573" i="8"/>
  <c r="B573" i="8"/>
  <c r="C573" i="8"/>
  <c r="A572" i="8"/>
  <c r="B572" i="8"/>
  <c r="C572" i="8"/>
  <c r="A571" i="8"/>
  <c r="B571" i="8"/>
  <c r="C571" i="8"/>
  <c r="A570" i="8"/>
  <c r="B570" i="8"/>
  <c r="C570" i="8"/>
  <c r="A569" i="8"/>
  <c r="B569" i="8"/>
  <c r="C569" i="8"/>
  <c r="A568" i="8"/>
  <c r="B568" i="8"/>
  <c r="C568" i="8"/>
  <c r="A567" i="8"/>
  <c r="B567" i="8"/>
  <c r="C567" i="8"/>
  <c r="A566" i="8"/>
  <c r="B566" i="8"/>
  <c r="C566" i="8"/>
  <c r="A565" i="8"/>
  <c r="B565" i="8"/>
  <c r="C565" i="8"/>
  <c r="A564" i="8"/>
  <c r="B564" i="8"/>
  <c r="C564" i="8"/>
  <c r="A563" i="8"/>
  <c r="B563" i="8"/>
  <c r="C563" i="8"/>
  <c r="A562" i="8"/>
  <c r="B562" i="8"/>
  <c r="C562" i="8"/>
  <c r="A561" i="8"/>
  <c r="B561" i="8"/>
  <c r="C561" i="8"/>
  <c r="A560" i="8"/>
  <c r="B560" i="8"/>
  <c r="C560" i="8"/>
  <c r="A559" i="8"/>
  <c r="B559" i="8"/>
  <c r="C559" i="8"/>
  <c r="A558" i="8"/>
  <c r="B558" i="8"/>
  <c r="C558" i="8"/>
  <c r="A557" i="8"/>
  <c r="B557" i="8"/>
  <c r="C557" i="8"/>
  <c r="A556" i="8"/>
  <c r="B556" i="8"/>
  <c r="C556" i="8"/>
  <c r="A555" i="8"/>
  <c r="B555" i="8"/>
  <c r="C555" i="8"/>
  <c r="A554" i="8"/>
  <c r="B554" i="8"/>
  <c r="C554" i="8"/>
  <c r="A553" i="8"/>
  <c r="B553" i="8"/>
  <c r="C553" i="8"/>
  <c r="A552" i="8"/>
  <c r="B552" i="8"/>
  <c r="C552" i="8"/>
  <c r="A551" i="8"/>
  <c r="B551" i="8"/>
  <c r="C551" i="8"/>
  <c r="A550" i="8"/>
  <c r="B550" i="8"/>
  <c r="C550" i="8"/>
  <c r="A549" i="8"/>
  <c r="B549" i="8"/>
  <c r="C549" i="8"/>
  <c r="A548" i="8"/>
  <c r="B548" i="8"/>
  <c r="C548" i="8"/>
  <c r="A547" i="8"/>
  <c r="B547" i="8"/>
  <c r="C547" i="8"/>
  <c r="A546" i="8"/>
  <c r="B546" i="8"/>
  <c r="C546" i="8"/>
  <c r="A545" i="8"/>
  <c r="B545" i="8"/>
  <c r="C545" i="8"/>
  <c r="A544" i="8"/>
  <c r="B544" i="8"/>
  <c r="C544" i="8"/>
  <c r="A543" i="8"/>
  <c r="B543" i="8"/>
  <c r="C543" i="8"/>
  <c r="A542" i="8"/>
  <c r="B542" i="8"/>
  <c r="C542" i="8"/>
  <c r="A541" i="8"/>
  <c r="B541" i="8"/>
  <c r="C541" i="8"/>
  <c r="A540" i="8"/>
  <c r="B540" i="8"/>
  <c r="C540" i="8"/>
  <c r="A539" i="8"/>
  <c r="B539" i="8"/>
  <c r="C539" i="8"/>
  <c r="A538" i="8"/>
  <c r="B538" i="8"/>
  <c r="C538" i="8"/>
  <c r="A537" i="8"/>
  <c r="B537" i="8"/>
  <c r="C537" i="8"/>
  <c r="A536" i="8"/>
  <c r="B536" i="8"/>
  <c r="C536" i="8"/>
  <c r="A535" i="8"/>
  <c r="B535" i="8"/>
  <c r="C535" i="8"/>
  <c r="A534" i="8"/>
  <c r="B534" i="8"/>
  <c r="C534" i="8"/>
  <c r="A533" i="8"/>
  <c r="B533" i="8"/>
  <c r="C533" i="8"/>
  <c r="A532" i="8"/>
  <c r="B532" i="8"/>
  <c r="C532" i="8"/>
  <c r="A531" i="8"/>
  <c r="B531" i="8"/>
  <c r="C531" i="8"/>
  <c r="A530" i="8"/>
  <c r="B530" i="8"/>
  <c r="C530" i="8"/>
  <c r="A529" i="8"/>
  <c r="B529" i="8"/>
  <c r="C529" i="8"/>
  <c r="A528" i="8"/>
  <c r="B528" i="8"/>
  <c r="C528" i="8"/>
  <c r="A527" i="8"/>
  <c r="B527" i="8"/>
  <c r="C527" i="8"/>
  <c r="A526" i="8"/>
  <c r="B526" i="8"/>
  <c r="C526" i="8"/>
  <c r="A525" i="8"/>
  <c r="B525" i="8"/>
  <c r="C525" i="8"/>
  <c r="A524" i="8"/>
  <c r="B524" i="8"/>
  <c r="C524" i="8"/>
  <c r="A523" i="8"/>
  <c r="B523" i="8"/>
  <c r="C523" i="8"/>
  <c r="A522" i="8"/>
  <c r="B522" i="8"/>
  <c r="C522" i="8"/>
  <c r="A521" i="8"/>
  <c r="B521" i="8"/>
  <c r="C521" i="8"/>
  <c r="A520" i="8"/>
  <c r="B520" i="8"/>
  <c r="C520" i="8"/>
  <c r="A519" i="8"/>
  <c r="B519" i="8"/>
  <c r="C519" i="8"/>
  <c r="A518" i="8"/>
  <c r="B518" i="8"/>
  <c r="C518" i="8"/>
  <c r="A517" i="8"/>
  <c r="B517" i="8"/>
  <c r="C517" i="8"/>
  <c r="A516" i="8"/>
  <c r="B516" i="8"/>
  <c r="C516" i="8"/>
  <c r="A515" i="8"/>
  <c r="B515" i="8"/>
  <c r="C515" i="8"/>
  <c r="A514" i="8"/>
  <c r="B514" i="8"/>
  <c r="C514" i="8"/>
  <c r="A513" i="8"/>
  <c r="B513" i="8"/>
  <c r="C513" i="8"/>
  <c r="A512" i="8"/>
  <c r="B512" i="8"/>
  <c r="C512" i="8"/>
  <c r="A511" i="8"/>
  <c r="B511" i="8"/>
  <c r="C511" i="8"/>
  <c r="A510" i="8"/>
  <c r="B510" i="8"/>
  <c r="C510" i="8"/>
  <c r="A509" i="8"/>
  <c r="B509" i="8"/>
  <c r="C509" i="8"/>
  <c r="A508" i="8"/>
  <c r="B508" i="8"/>
  <c r="C508" i="8"/>
  <c r="A507" i="8"/>
  <c r="B507" i="8"/>
  <c r="C507" i="8"/>
  <c r="A506" i="8"/>
  <c r="B506" i="8"/>
  <c r="C506" i="8"/>
  <c r="A505" i="8"/>
  <c r="B505" i="8"/>
  <c r="C505" i="8"/>
  <c r="A504" i="8"/>
  <c r="B504" i="8"/>
  <c r="C504" i="8"/>
  <c r="A503" i="8"/>
  <c r="B503" i="8"/>
  <c r="C503" i="8"/>
  <c r="A502" i="8"/>
  <c r="B502" i="8"/>
  <c r="C502" i="8"/>
  <c r="A501" i="8"/>
  <c r="B501" i="8"/>
  <c r="C501" i="8"/>
  <c r="A500" i="8"/>
  <c r="B500" i="8"/>
  <c r="C500" i="8"/>
  <c r="A499" i="8"/>
  <c r="B499" i="8"/>
  <c r="C499" i="8"/>
  <c r="A498" i="8"/>
  <c r="B498" i="8"/>
  <c r="C498" i="8"/>
  <c r="A497" i="8"/>
  <c r="B497" i="8"/>
  <c r="C497" i="8"/>
  <c r="A496" i="8"/>
  <c r="B496" i="8"/>
  <c r="C496" i="8"/>
  <c r="A495" i="8"/>
  <c r="B495" i="8"/>
  <c r="C495" i="8"/>
  <c r="A494" i="8"/>
  <c r="B494" i="8"/>
  <c r="C494" i="8"/>
  <c r="A493" i="8"/>
  <c r="B493" i="8"/>
  <c r="C493" i="8"/>
  <c r="A492" i="8"/>
  <c r="B492" i="8"/>
  <c r="C492" i="8"/>
  <c r="A491" i="8"/>
  <c r="B491" i="8"/>
  <c r="C491" i="8"/>
  <c r="A490" i="8"/>
  <c r="B490" i="8"/>
  <c r="C490" i="8"/>
  <c r="A489" i="8"/>
  <c r="B489" i="8"/>
  <c r="C489" i="8"/>
  <c r="A488" i="8"/>
  <c r="B488" i="8"/>
  <c r="C488" i="8"/>
  <c r="A487" i="8"/>
  <c r="B487" i="8"/>
  <c r="C487" i="8"/>
  <c r="A486" i="8"/>
  <c r="B486" i="8"/>
  <c r="C486" i="8"/>
  <c r="A485" i="8"/>
  <c r="B485" i="8"/>
  <c r="C485" i="8"/>
  <c r="A484" i="8"/>
  <c r="B484" i="8"/>
  <c r="C484" i="8"/>
  <c r="A483" i="8"/>
  <c r="B483" i="8"/>
  <c r="C483" i="8"/>
  <c r="A482" i="8"/>
  <c r="B482" i="8"/>
  <c r="C482" i="8"/>
  <c r="A481" i="8"/>
  <c r="B481" i="8"/>
  <c r="C481" i="8"/>
  <c r="A480" i="8"/>
  <c r="B480" i="8"/>
  <c r="C480" i="8"/>
  <c r="A479" i="8"/>
  <c r="B479" i="8"/>
  <c r="C479" i="8"/>
  <c r="A478" i="8"/>
  <c r="B478" i="8"/>
  <c r="C478" i="8"/>
  <c r="A477" i="8"/>
  <c r="B477" i="8"/>
  <c r="C477" i="8"/>
  <c r="A476" i="8"/>
  <c r="B476" i="8"/>
  <c r="C476" i="8"/>
  <c r="A475" i="8"/>
  <c r="B475" i="8"/>
  <c r="C475" i="8"/>
  <c r="A474" i="8"/>
  <c r="B474" i="8"/>
  <c r="C474" i="8"/>
  <c r="A473" i="8"/>
  <c r="B473" i="8"/>
  <c r="C473" i="8"/>
  <c r="A472" i="8"/>
  <c r="B472" i="8"/>
  <c r="C472" i="8"/>
  <c r="A471" i="8"/>
  <c r="B471" i="8"/>
  <c r="C471" i="8"/>
  <c r="A470" i="8"/>
  <c r="B470" i="8"/>
  <c r="C470" i="8"/>
  <c r="A469" i="8"/>
  <c r="B469" i="8"/>
  <c r="C469" i="8"/>
  <c r="A468" i="8"/>
  <c r="B468" i="8"/>
  <c r="C468" i="8"/>
  <c r="A467" i="8"/>
  <c r="B467" i="8"/>
  <c r="C467" i="8"/>
  <c r="A466" i="8"/>
  <c r="B466" i="8"/>
  <c r="C466" i="8"/>
  <c r="A465" i="8"/>
  <c r="B465" i="8"/>
  <c r="C465" i="8"/>
  <c r="A464" i="8"/>
  <c r="B464" i="8"/>
  <c r="C464" i="8"/>
  <c r="A463" i="8"/>
  <c r="B463" i="8"/>
  <c r="C463" i="8"/>
  <c r="A462" i="8"/>
  <c r="B462" i="8"/>
  <c r="C462" i="8"/>
  <c r="A461" i="8"/>
  <c r="B461" i="8"/>
  <c r="C461" i="8"/>
  <c r="A460" i="8"/>
  <c r="B460" i="8"/>
  <c r="C460" i="8"/>
  <c r="A459" i="8"/>
  <c r="B459" i="8"/>
  <c r="C459" i="8"/>
  <c r="A458" i="8"/>
  <c r="B458" i="8"/>
  <c r="C458" i="8"/>
  <c r="A457" i="8"/>
  <c r="B457" i="8"/>
  <c r="C457" i="8"/>
  <c r="A456" i="8"/>
  <c r="B456" i="8"/>
  <c r="C456" i="8"/>
  <c r="A455" i="8"/>
  <c r="B455" i="8"/>
  <c r="C455" i="8"/>
  <c r="A454" i="8"/>
  <c r="B454" i="8"/>
  <c r="C454" i="8"/>
  <c r="A453" i="8"/>
  <c r="B453" i="8"/>
  <c r="C453" i="8"/>
  <c r="A452" i="8"/>
  <c r="B452" i="8"/>
  <c r="C452" i="8"/>
  <c r="A451" i="8"/>
  <c r="B451" i="8"/>
  <c r="C451" i="8"/>
  <c r="A450" i="8"/>
  <c r="B450" i="8"/>
  <c r="C450" i="8"/>
  <c r="A449" i="8"/>
  <c r="B449" i="8"/>
  <c r="C449" i="8"/>
  <c r="A448" i="8"/>
  <c r="B448" i="8"/>
  <c r="C448" i="8"/>
  <c r="A447" i="8"/>
  <c r="B447" i="8"/>
  <c r="C447" i="8"/>
  <c r="A446" i="8"/>
  <c r="B446" i="8"/>
  <c r="C446" i="8"/>
  <c r="A445" i="8"/>
  <c r="B445" i="8"/>
  <c r="C445" i="8"/>
  <c r="A444" i="8"/>
  <c r="B444" i="8"/>
  <c r="C444" i="8"/>
  <c r="A443" i="8"/>
  <c r="B443" i="8"/>
  <c r="C443" i="8"/>
  <c r="A442" i="8"/>
  <c r="B442" i="8"/>
  <c r="C442" i="8"/>
  <c r="A441" i="8"/>
  <c r="B441" i="8"/>
  <c r="C441" i="8"/>
  <c r="A440" i="8"/>
  <c r="B440" i="8"/>
  <c r="C440" i="8"/>
  <c r="A439" i="8"/>
  <c r="B439" i="8"/>
  <c r="C439" i="8"/>
  <c r="A438" i="8"/>
  <c r="B438" i="8"/>
  <c r="C438" i="8"/>
  <c r="A437" i="8"/>
  <c r="B437" i="8"/>
  <c r="C437" i="8"/>
  <c r="A436" i="8"/>
  <c r="B436" i="8"/>
  <c r="C436" i="8"/>
  <c r="A435" i="8"/>
  <c r="B435" i="8"/>
  <c r="C435" i="8"/>
  <c r="A434" i="8"/>
  <c r="B434" i="8"/>
  <c r="C434" i="8"/>
  <c r="A433" i="8"/>
  <c r="B433" i="8"/>
  <c r="C433" i="8"/>
  <c r="A432" i="8"/>
  <c r="B432" i="8"/>
  <c r="C432" i="8"/>
  <c r="A431" i="8"/>
  <c r="B431" i="8"/>
  <c r="C431" i="8"/>
  <c r="A430" i="8"/>
  <c r="B430" i="8"/>
  <c r="C430" i="8"/>
  <c r="A429" i="8"/>
  <c r="B429" i="8"/>
  <c r="C429" i="8"/>
  <c r="A428" i="8"/>
  <c r="B428" i="8"/>
  <c r="C428" i="8"/>
  <c r="A427" i="8"/>
  <c r="B427" i="8"/>
  <c r="C427" i="8"/>
  <c r="A426" i="8"/>
  <c r="B426" i="8"/>
  <c r="C426" i="8"/>
  <c r="A425" i="8"/>
  <c r="B425" i="8"/>
  <c r="C425" i="8"/>
  <c r="A424" i="8"/>
  <c r="B424" i="8"/>
  <c r="C424" i="8"/>
  <c r="A423" i="8"/>
  <c r="B423" i="8"/>
  <c r="C423" i="8"/>
  <c r="A422" i="8"/>
  <c r="B422" i="8"/>
  <c r="C422" i="8"/>
  <c r="A421" i="8"/>
  <c r="B421" i="8"/>
  <c r="C421" i="8"/>
  <c r="A420" i="8"/>
  <c r="B420" i="8"/>
  <c r="C420" i="8"/>
  <c r="A419" i="8"/>
  <c r="B419" i="8"/>
  <c r="C419" i="8"/>
  <c r="A418" i="8"/>
  <c r="B418" i="8"/>
  <c r="C418" i="8"/>
  <c r="A417" i="8"/>
  <c r="B417" i="8"/>
  <c r="C417" i="8"/>
  <c r="A416" i="8"/>
  <c r="B416" i="8"/>
  <c r="C416" i="8"/>
  <c r="A415" i="8"/>
  <c r="B415" i="8"/>
  <c r="C415" i="8"/>
  <c r="A414" i="8"/>
  <c r="B414" i="8"/>
  <c r="C414" i="8"/>
  <c r="A413" i="8"/>
  <c r="B413" i="8"/>
  <c r="C413" i="8"/>
  <c r="A412" i="8"/>
  <c r="B412" i="8"/>
  <c r="C412" i="8"/>
  <c r="A411" i="8"/>
  <c r="B411" i="8"/>
  <c r="C411" i="8"/>
  <c r="A410" i="8"/>
  <c r="B410" i="8"/>
  <c r="C410" i="8"/>
  <c r="A409" i="8"/>
  <c r="B409" i="8"/>
  <c r="C409" i="8"/>
  <c r="A408" i="8"/>
  <c r="B408" i="8"/>
  <c r="C408" i="8"/>
  <c r="A407" i="8"/>
  <c r="B407" i="8"/>
  <c r="C407" i="8"/>
  <c r="A406" i="8"/>
  <c r="B406" i="8"/>
  <c r="C406" i="8"/>
  <c r="A405" i="8"/>
  <c r="B405" i="8"/>
  <c r="C405" i="8"/>
  <c r="A404" i="8"/>
  <c r="B404" i="8"/>
  <c r="C404" i="8"/>
  <c r="A403" i="8"/>
  <c r="B403" i="8"/>
  <c r="C403" i="8"/>
  <c r="A402" i="8"/>
  <c r="B402" i="8"/>
  <c r="C402" i="8"/>
  <c r="A401" i="8"/>
  <c r="B401" i="8"/>
  <c r="C401" i="8"/>
  <c r="A400" i="8"/>
  <c r="B400" i="8"/>
  <c r="C400" i="8"/>
  <c r="A399" i="8"/>
  <c r="B399" i="8"/>
  <c r="C399" i="8"/>
  <c r="A398" i="8"/>
  <c r="B398" i="8"/>
  <c r="C398" i="8"/>
  <c r="A397" i="8"/>
  <c r="B397" i="8"/>
  <c r="C397" i="8"/>
  <c r="A396" i="8"/>
  <c r="B396" i="8"/>
  <c r="C396" i="8"/>
  <c r="A395" i="8"/>
  <c r="B395" i="8"/>
  <c r="C395" i="8"/>
  <c r="A394" i="8"/>
  <c r="B394" i="8"/>
  <c r="C394" i="8"/>
  <c r="A393" i="8"/>
  <c r="B393" i="8"/>
  <c r="C393" i="8"/>
  <c r="A392" i="8"/>
  <c r="B392" i="8"/>
  <c r="C392" i="8"/>
  <c r="A391" i="8"/>
  <c r="B391" i="8"/>
  <c r="C391" i="8"/>
  <c r="A390" i="8"/>
  <c r="B390" i="8"/>
  <c r="C390" i="8"/>
  <c r="A389" i="8"/>
  <c r="B389" i="8"/>
  <c r="C389" i="8"/>
  <c r="A388" i="8"/>
  <c r="B388" i="8"/>
  <c r="C388" i="8"/>
  <c r="A387" i="8"/>
  <c r="B387" i="8"/>
  <c r="C387" i="8"/>
  <c r="A386" i="8"/>
  <c r="B386" i="8"/>
  <c r="C386" i="8"/>
  <c r="A385" i="8"/>
  <c r="B385" i="8"/>
  <c r="C385" i="8"/>
  <c r="A384" i="8"/>
  <c r="B384" i="8"/>
  <c r="C384" i="8"/>
  <c r="A383" i="8"/>
  <c r="B383" i="8"/>
  <c r="C383" i="8"/>
  <c r="A382" i="8"/>
  <c r="B382" i="8"/>
  <c r="C382" i="8"/>
  <c r="A381" i="8"/>
  <c r="B381" i="8"/>
  <c r="C381" i="8"/>
  <c r="A380" i="8"/>
  <c r="B380" i="8"/>
  <c r="C380" i="8"/>
  <c r="A379" i="8"/>
  <c r="B379" i="8"/>
  <c r="C379" i="8"/>
  <c r="A378" i="8"/>
  <c r="B378" i="8"/>
  <c r="C378" i="8"/>
  <c r="A377" i="8"/>
  <c r="B377" i="8"/>
  <c r="C377" i="8"/>
  <c r="A376" i="8"/>
  <c r="B376" i="8"/>
  <c r="C376" i="8"/>
  <c r="A375" i="8"/>
  <c r="B375" i="8"/>
  <c r="C375" i="8"/>
  <c r="A374" i="8"/>
  <c r="B374" i="8"/>
  <c r="C374" i="8"/>
  <c r="A373" i="8"/>
  <c r="B373" i="8"/>
  <c r="C373" i="8"/>
  <c r="A372" i="8"/>
  <c r="B372" i="8"/>
  <c r="C372" i="8"/>
  <c r="A371" i="8"/>
  <c r="B371" i="8"/>
  <c r="C371" i="8"/>
  <c r="A370" i="8"/>
  <c r="B370" i="8"/>
  <c r="C370" i="8"/>
  <c r="A369" i="8"/>
  <c r="B369" i="8"/>
  <c r="C369" i="8"/>
  <c r="A368" i="8"/>
  <c r="B368" i="8"/>
  <c r="C368" i="8"/>
  <c r="A367" i="8"/>
  <c r="B367" i="8"/>
  <c r="C367" i="8"/>
  <c r="A366" i="8"/>
  <c r="B366" i="8"/>
  <c r="C366" i="8"/>
  <c r="A365" i="8"/>
  <c r="B365" i="8"/>
  <c r="C365" i="8"/>
  <c r="A364" i="8"/>
  <c r="B364" i="8"/>
  <c r="C364" i="8"/>
  <c r="A363" i="8"/>
  <c r="B363" i="8"/>
  <c r="C363" i="8"/>
  <c r="A362" i="8"/>
  <c r="B362" i="8"/>
  <c r="C362" i="8"/>
  <c r="A361" i="8"/>
  <c r="B361" i="8"/>
  <c r="C361" i="8"/>
  <c r="A360" i="8"/>
  <c r="B360" i="8"/>
  <c r="C360" i="8"/>
  <c r="A359" i="8"/>
  <c r="B359" i="8"/>
  <c r="C359" i="8"/>
  <c r="A358" i="8"/>
  <c r="B358" i="8"/>
  <c r="C358" i="8"/>
  <c r="A357" i="8"/>
  <c r="B357" i="8"/>
  <c r="C357" i="8"/>
  <c r="A356" i="8"/>
  <c r="B356" i="8"/>
  <c r="C356" i="8"/>
  <c r="A355" i="8"/>
  <c r="B355" i="8"/>
  <c r="C355" i="8"/>
  <c r="A354" i="8"/>
  <c r="B354" i="8"/>
  <c r="C354" i="8"/>
  <c r="A353" i="8"/>
  <c r="B353" i="8"/>
  <c r="C353" i="8"/>
  <c r="A352" i="8"/>
  <c r="B352" i="8"/>
  <c r="C352" i="8"/>
  <c r="A351" i="8"/>
  <c r="B351" i="8"/>
  <c r="C351" i="8"/>
  <c r="A350" i="8"/>
  <c r="B350" i="8"/>
  <c r="C350" i="8"/>
  <c r="A349" i="8"/>
  <c r="B349" i="8"/>
  <c r="C349" i="8"/>
  <c r="A348" i="8"/>
  <c r="B348" i="8"/>
  <c r="C348" i="8"/>
  <c r="A347" i="8"/>
  <c r="B347" i="8"/>
  <c r="C347" i="8"/>
  <c r="A346" i="8"/>
  <c r="B346" i="8"/>
  <c r="C346" i="8"/>
  <c r="A345" i="8"/>
  <c r="B345" i="8"/>
  <c r="C345" i="8"/>
  <c r="A344" i="8"/>
  <c r="B344" i="8"/>
  <c r="C344" i="8"/>
  <c r="A343" i="8"/>
  <c r="B343" i="8"/>
  <c r="C343" i="8"/>
  <c r="A342" i="8"/>
  <c r="B342" i="8"/>
  <c r="C342" i="8"/>
  <c r="A341" i="8"/>
  <c r="B341" i="8"/>
  <c r="C341" i="8"/>
  <c r="A340" i="8"/>
  <c r="B340" i="8"/>
  <c r="C340" i="8"/>
  <c r="A339" i="8"/>
  <c r="B339" i="8"/>
  <c r="C339" i="8"/>
  <c r="A338" i="8"/>
  <c r="B338" i="8"/>
  <c r="C338" i="8"/>
  <c r="A337" i="8"/>
  <c r="B337" i="8"/>
  <c r="C337" i="8"/>
  <c r="A336" i="8"/>
  <c r="B336" i="8"/>
  <c r="C336" i="8"/>
  <c r="A335" i="8"/>
  <c r="B335" i="8"/>
  <c r="C335" i="8"/>
  <c r="A334" i="8"/>
  <c r="B334" i="8"/>
  <c r="C334" i="8"/>
  <c r="A333" i="8"/>
  <c r="B333" i="8"/>
  <c r="C333" i="8"/>
  <c r="A332" i="8"/>
  <c r="B332" i="8"/>
  <c r="C332" i="8"/>
  <c r="A331" i="8"/>
  <c r="B331" i="8"/>
  <c r="C331" i="8"/>
  <c r="A330" i="8"/>
  <c r="B330" i="8"/>
  <c r="C330" i="8"/>
  <c r="A329" i="8"/>
  <c r="B329" i="8"/>
  <c r="C329" i="8"/>
  <c r="A328" i="8"/>
  <c r="B328" i="8"/>
  <c r="C328" i="8"/>
  <c r="A327" i="8"/>
  <c r="B327" i="8"/>
  <c r="C327" i="8"/>
  <c r="A326" i="8"/>
  <c r="B326" i="8"/>
  <c r="C326" i="8"/>
  <c r="A325" i="8"/>
  <c r="B325" i="8"/>
  <c r="C325" i="8"/>
  <c r="A324" i="8"/>
  <c r="B324" i="8"/>
  <c r="C324" i="8"/>
  <c r="A323" i="8"/>
  <c r="B323" i="8"/>
  <c r="C323" i="8"/>
  <c r="A322" i="8"/>
  <c r="B322" i="8"/>
  <c r="C322" i="8"/>
  <c r="A321" i="8"/>
  <c r="B321" i="8"/>
  <c r="C321" i="8"/>
  <c r="A320" i="8"/>
  <c r="B320" i="8"/>
  <c r="C320" i="8"/>
  <c r="A319" i="8"/>
  <c r="B319" i="8"/>
  <c r="C319" i="8"/>
  <c r="A318" i="8"/>
  <c r="B318" i="8"/>
  <c r="C318" i="8"/>
  <c r="A317" i="8"/>
  <c r="B317" i="8"/>
  <c r="C317" i="8"/>
  <c r="A316" i="8"/>
  <c r="B316" i="8"/>
  <c r="C316" i="8"/>
  <c r="A315" i="8"/>
  <c r="B315" i="8"/>
  <c r="C315" i="8"/>
  <c r="A314" i="8"/>
  <c r="B314" i="8"/>
  <c r="C314" i="8"/>
  <c r="A313" i="8"/>
  <c r="B313" i="8"/>
  <c r="C313" i="8"/>
  <c r="A312" i="8"/>
  <c r="B312" i="8"/>
  <c r="C312" i="8"/>
  <c r="A311" i="8"/>
  <c r="B311" i="8"/>
  <c r="C311" i="8"/>
  <c r="A310" i="8"/>
  <c r="B310" i="8"/>
  <c r="C310" i="8"/>
  <c r="A309" i="8"/>
  <c r="B309" i="8"/>
  <c r="C309" i="8"/>
  <c r="A308" i="8"/>
  <c r="B308" i="8"/>
  <c r="C308" i="8"/>
  <c r="A307" i="8"/>
  <c r="B307" i="8"/>
  <c r="C307" i="8"/>
  <c r="A306" i="8"/>
  <c r="B306" i="8"/>
  <c r="C306" i="8"/>
  <c r="A305" i="8"/>
  <c r="B305" i="8"/>
  <c r="C305" i="8"/>
  <c r="A304" i="8"/>
  <c r="B304" i="8"/>
  <c r="C304" i="8"/>
  <c r="A303" i="8"/>
  <c r="B303" i="8"/>
  <c r="C303" i="8"/>
  <c r="A302" i="8"/>
  <c r="B302" i="8"/>
  <c r="C302" i="8"/>
  <c r="A301" i="8"/>
  <c r="B301" i="8"/>
  <c r="C301" i="8"/>
  <c r="A300" i="8"/>
  <c r="B300" i="8"/>
  <c r="C300" i="8"/>
  <c r="A299" i="8"/>
  <c r="B299" i="8"/>
  <c r="C299" i="8"/>
  <c r="A298" i="8"/>
  <c r="B298" i="8"/>
  <c r="C298" i="8"/>
  <c r="A297" i="8"/>
  <c r="B297" i="8"/>
  <c r="C297" i="8"/>
  <c r="A296" i="8"/>
  <c r="B296" i="8"/>
  <c r="C296" i="8"/>
  <c r="A295" i="8"/>
  <c r="B295" i="8"/>
  <c r="C295" i="8"/>
  <c r="A294" i="8"/>
  <c r="B294" i="8"/>
  <c r="C294" i="8"/>
  <c r="A293" i="8"/>
  <c r="B293" i="8"/>
  <c r="C293" i="8"/>
  <c r="A292" i="8"/>
  <c r="B292" i="8"/>
  <c r="C292" i="8"/>
  <c r="A291" i="8"/>
  <c r="B291" i="8"/>
  <c r="C291" i="8"/>
  <c r="A290" i="8"/>
  <c r="B290" i="8"/>
  <c r="C290" i="8"/>
  <c r="A289" i="8"/>
  <c r="B289" i="8"/>
  <c r="C289" i="8"/>
  <c r="A288" i="8"/>
  <c r="B288" i="8"/>
  <c r="C288" i="8"/>
  <c r="A287" i="8"/>
  <c r="B287" i="8"/>
  <c r="C287" i="8"/>
  <c r="A286" i="8"/>
  <c r="B286" i="8"/>
  <c r="C286" i="8"/>
  <c r="A285" i="8"/>
  <c r="B285" i="8"/>
  <c r="C285" i="8"/>
  <c r="A284" i="8"/>
  <c r="B284" i="8"/>
  <c r="C284" i="8"/>
  <c r="A283" i="8"/>
  <c r="B283" i="8"/>
  <c r="C283" i="8"/>
  <c r="A282" i="8"/>
  <c r="B282" i="8"/>
  <c r="C282" i="8"/>
  <c r="A281" i="8"/>
  <c r="B281" i="8"/>
  <c r="C281" i="8"/>
  <c r="A280" i="8"/>
  <c r="B280" i="8"/>
  <c r="C280" i="8"/>
  <c r="A279" i="8"/>
  <c r="B279" i="8"/>
  <c r="C279" i="8"/>
  <c r="A278" i="8"/>
  <c r="B278" i="8"/>
  <c r="C278" i="8"/>
  <c r="A277" i="8"/>
  <c r="B277" i="8"/>
  <c r="C277" i="8"/>
  <c r="A276" i="8"/>
  <c r="B276" i="8"/>
  <c r="C276" i="8"/>
  <c r="A275" i="8"/>
  <c r="B275" i="8"/>
  <c r="C275" i="8"/>
  <c r="A274" i="8"/>
  <c r="B274" i="8"/>
  <c r="C274" i="8"/>
  <c r="A273" i="8"/>
  <c r="B273" i="8"/>
  <c r="C273" i="8"/>
  <c r="A272" i="8"/>
  <c r="B272" i="8"/>
  <c r="C272" i="8"/>
  <c r="A271" i="8"/>
  <c r="B271" i="8"/>
  <c r="C271" i="8"/>
  <c r="A270" i="8"/>
  <c r="B270" i="8"/>
  <c r="C270" i="8"/>
  <c r="A269" i="8"/>
  <c r="B269" i="8"/>
  <c r="C269" i="8"/>
  <c r="A268" i="8"/>
  <c r="B268" i="8"/>
  <c r="C268" i="8"/>
  <c r="A267" i="8"/>
  <c r="B267" i="8"/>
  <c r="C267" i="8"/>
  <c r="A266" i="8"/>
  <c r="B266" i="8"/>
  <c r="C266" i="8"/>
  <c r="A265" i="8"/>
  <c r="B265" i="8"/>
  <c r="C265" i="8"/>
  <c r="A264" i="8"/>
  <c r="B264" i="8"/>
  <c r="C264" i="8"/>
  <c r="A263" i="8"/>
  <c r="B263" i="8"/>
  <c r="C263" i="8"/>
  <c r="A262" i="8"/>
  <c r="B262" i="8"/>
  <c r="C262" i="8"/>
  <c r="A261" i="8"/>
  <c r="B261" i="8"/>
  <c r="C261" i="8"/>
  <c r="A260" i="8"/>
  <c r="B260" i="8"/>
  <c r="C260" i="8"/>
  <c r="A259" i="8"/>
  <c r="B259" i="8"/>
  <c r="C259" i="8"/>
  <c r="A258" i="8"/>
  <c r="B258" i="8"/>
  <c r="C258" i="8"/>
  <c r="A257" i="8"/>
  <c r="B257" i="8"/>
  <c r="C257" i="8"/>
  <c r="A256" i="8"/>
  <c r="B256" i="8"/>
  <c r="C256" i="8"/>
  <c r="A255" i="8"/>
  <c r="B255" i="8"/>
  <c r="C255" i="8"/>
  <c r="A254" i="8"/>
  <c r="B254" i="8"/>
  <c r="C254" i="8"/>
  <c r="A253" i="8"/>
  <c r="B253" i="8"/>
  <c r="C253" i="8"/>
  <c r="A252" i="8"/>
  <c r="B252" i="8"/>
  <c r="C252" i="8"/>
  <c r="A251" i="8"/>
  <c r="B251" i="8"/>
  <c r="C251" i="8"/>
  <c r="A250" i="8"/>
  <c r="B250" i="8"/>
  <c r="C250" i="8"/>
  <c r="A249" i="8"/>
  <c r="B249" i="8"/>
  <c r="C249" i="8"/>
  <c r="A248" i="8"/>
  <c r="B248" i="8"/>
  <c r="C248" i="8"/>
  <c r="A247" i="8"/>
  <c r="B247" i="8"/>
  <c r="C247" i="8"/>
  <c r="A246" i="8"/>
  <c r="B246" i="8"/>
  <c r="C246" i="8"/>
  <c r="A245" i="8"/>
  <c r="B245" i="8"/>
  <c r="C245" i="8"/>
  <c r="A244" i="8"/>
  <c r="B244" i="8"/>
  <c r="C244" i="8"/>
  <c r="A243" i="8"/>
  <c r="B243" i="8"/>
  <c r="C243" i="8"/>
  <c r="A242" i="8"/>
  <c r="B242" i="8"/>
  <c r="C242" i="8"/>
  <c r="A241" i="8"/>
  <c r="B241" i="8"/>
  <c r="C241" i="8"/>
  <c r="A240" i="8"/>
  <c r="B240" i="8"/>
  <c r="C240" i="8"/>
  <c r="A239" i="8"/>
  <c r="B239" i="8"/>
  <c r="C239" i="8"/>
  <c r="A238" i="8"/>
  <c r="B238" i="8"/>
  <c r="C238" i="8"/>
  <c r="A237" i="8"/>
  <c r="B237" i="8"/>
  <c r="C237" i="8"/>
  <c r="A236" i="8"/>
  <c r="B236" i="8"/>
  <c r="C236" i="8"/>
  <c r="A235" i="8"/>
  <c r="B235" i="8"/>
  <c r="C235" i="8"/>
  <c r="A234" i="8"/>
  <c r="B234" i="8"/>
  <c r="C234" i="8"/>
  <c r="A233" i="8"/>
  <c r="B233" i="8"/>
  <c r="C233" i="8"/>
  <c r="A232" i="8"/>
  <c r="B232" i="8"/>
  <c r="C232" i="8"/>
  <c r="A231" i="8"/>
  <c r="B231" i="8"/>
  <c r="C231" i="8"/>
  <c r="A230" i="8"/>
  <c r="B230" i="8"/>
  <c r="C230" i="8"/>
  <c r="A229" i="8"/>
  <c r="B229" i="8"/>
  <c r="C229" i="8"/>
  <c r="A228" i="8"/>
  <c r="B228" i="8"/>
  <c r="C228" i="8"/>
  <c r="A227" i="8"/>
  <c r="B227" i="8"/>
  <c r="C227" i="8"/>
  <c r="A226" i="8"/>
  <c r="B226" i="8"/>
  <c r="C226" i="8"/>
  <c r="A225" i="8"/>
  <c r="B225" i="8"/>
  <c r="C225" i="8"/>
  <c r="A224" i="8"/>
  <c r="B224" i="8"/>
  <c r="C224" i="8"/>
  <c r="A223" i="8"/>
  <c r="B223" i="8"/>
  <c r="C223" i="8"/>
  <c r="A222" i="8"/>
  <c r="B222" i="8"/>
  <c r="C222" i="8"/>
  <c r="A221" i="8"/>
  <c r="B221" i="8"/>
  <c r="C221" i="8"/>
  <c r="A220" i="8"/>
  <c r="B220" i="8"/>
  <c r="C220" i="8"/>
  <c r="A219" i="8"/>
  <c r="B219" i="8"/>
  <c r="C219" i="8"/>
  <c r="A218" i="8"/>
  <c r="B218" i="8"/>
  <c r="C218" i="8"/>
  <c r="A217" i="8"/>
  <c r="B217" i="8"/>
  <c r="C217" i="8"/>
  <c r="A216" i="8"/>
  <c r="B216" i="8"/>
  <c r="C216" i="8"/>
  <c r="A215" i="8"/>
  <c r="B215" i="8"/>
  <c r="C215" i="8"/>
  <c r="A214" i="8"/>
  <c r="B214" i="8"/>
  <c r="C214" i="8"/>
  <c r="A213" i="8"/>
  <c r="B213" i="8"/>
  <c r="C213" i="8"/>
  <c r="A212" i="8"/>
  <c r="B212" i="8"/>
  <c r="C212" i="8"/>
  <c r="A211" i="8"/>
  <c r="B211" i="8"/>
  <c r="C211" i="8"/>
  <c r="A210" i="8"/>
  <c r="B210" i="8"/>
  <c r="C210" i="8"/>
  <c r="A209" i="8"/>
  <c r="B209" i="8"/>
  <c r="C209" i="8"/>
  <c r="A208" i="8"/>
  <c r="B208" i="8"/>
  <c r="C208" i="8"/>
  <c r="A207" i="8"/>
  <c r="B207" i="8"/>
  <c r="C207" i="8"/>
  <c r="A206" i="8"/>
  <c r="B206" i="8"/>
  <c r="C206" i="8"/>
  <c r="A205" i="8"/>
  <c r="B205" i="8"/>
  <c r="C205" i="8"/>
  <c r="A204" i="8"/>
  <c r="B204" i="8"/>
  <c r="C204" i="8"/>
  <c r="A203" i="8"/>
  <c r="B203" i="8"/>
  <c r="C203" i="8"/>
  <c r="A202" i="8"/>
  <c r="B202" i="8"/>
  <c r="C202" i="8"/>
  <c r="A201" i="8"/>
  <c r="B201" i="8"/>
  <c r="C201" i="8"/>
  <c r="A200" i="8"/>
  <c r="B200" i="8"/>
  <c r="C200" i="8"/>
  <c r="A199" i="8"/>
  <c r="B199" i="8"/>
  <c r="C199" i="8"/>
  <c r="A198" i="8"/>
  <c r="B198" i="8"/>
  <c r="C198" i="8"/>
  <c r="A197" i="8"/>
  <c r="B197" i="8"/>
  <c r="C197" i="8"/>
  <c r="A196" i="8"/>
  <c r="B196" i="8"/>
  <c r="C196" i="8"/>
  <c r="A195" i="8"/>
  <c r="B195" i="8"/>
  <c r="C195" i="8"/>
  <c r="A194" i="8"/>
  <c r="B194" i="8"/>
  <c r="C194" i="8"/>
  <c r="A193" i="8"/>
  <c r="B193" i="8"/>
  <c r="C193" i="8"/>
  <c r="A192" i="8"/>
  <c r="B192" i="8"/>
  <c r="C192" i="8"/>
  <c r="A191" i="8"/>
  <c r="B191" i="8"/>
  <c r="C191" i="8"/>
  <c r="A190" i="8"/>
  <c r="B190" i="8"/>
  <c r="C190" i="8"/>
  <c r="A189" i="8"/>
  <c r="B189" i="8"/>
  <c r="C189" i="8"/>
  <c r="A188" i="8"/>
  <c r="B188" i="8"/>
  <c r="C188" i="8"/>
  <c r="A187" i="8"/>
  <c r="B187" i="8"/>
  <c r="C187" i="8"/>
  <c r="A186" i="8"/>
  <c r="B186" i="8"/>
  <c r="C186" i="8"/>
  <c r="A185" i="8"/>
  <c r="B185" i="8"/>
  <c r="C185" i="8"/>
  <c r="A184" i="8"/>
  <c r="B184" i="8"/>
  <c r="C184" i="8"/>
  <c r="A183" i="8"/>
  <c r="B183" i="8"/>
  <c r="C183" i="8"/>
  <c r="A182" i="8"/>
  <c r="B182" i="8"/>
  <c r="C182" i="8"/>
  <c r="A181" i="8"/>
  <c r="B181" i="8"/>
  <c r="C181" i="8"/>
  <c r="A180" i="8"/>
  <c r="B180" i="8"/>
  <c r="C180" i="8"/>
  <c r="A179" i="8"/>
  <c r="B179" i="8"/>
  <c r="C179" i="8"/>
  <c r="A178" i="8"/>
  <c r="B178" i="8"/>
  <c r="C178" i="8"/>
  <c r="A177" i="8"/>
  <c r="B177" i="8"/>
  <c r="C177" i="8"/>
  <c r="A176" i="8"/>
  <c r="B176" i="8"/>
  <c r="C176" i="8"/>
  <c r="A175" i="8"/>
  <c r="B175" i="8"/>
  <c r="C175" i="8"/>
  <c r="A174" i="8"/>
  <c r="B174" i="8"/>
  <c r="C174" i="8"/>
  <c r="A173" i="8"/>
  <c r="B173" i="8"/>
  <c r="C173" i="8"/>
  <c r="A172" i="8"/>
  <c r="B172" i="8"/>
  <c r="C172" i="8"/>
  <c r="A171" i="8"/>
  <c r="B171" i="8"/>
  <c r="C171" i="8"/>
  <c r="A170" i="8"/>
  <c r="B170" i="8"/>
  <c r="C170" i="8"/>
  <c r="A169" i="8"/>
  <c r="B169" i="8"/>
  <c r="C169" i="8"/>
  <c r="A168" i="8"/>
  <c r="B168" i="8"/>
  <c r="C168" i="8"/>
  <c r="A167" i="8"/>
  <c r="B167" i="8"/>
  <c r="C167" i="8"/>
  <c r="A166" i="8"/>
  <c r="B166" i="8"/>
  <c r="C166" i="8"/>
  <c r="A165" i="8"/>
  <c r="B165" i="8"/>
  <c r="C165" i="8"/>
  <c r="A164" i="8"/>
  <c r="B164" i="8"/>
  <c r="C164" i="8"/>
  <c r="A163" i="8"/>
  <c r="B163" i="8"/>
  <c r="C163" i="8"/>
  <c r="A162" i="8"/>
  <c r="B162" i="8"/>
  <c r="C162" i="8"/>
  <c r="A161" i="8"/>
  <c r="B161" i="8"/>
  <c r="C161" i="8"/>
  <c r="A160" i="8"/>
  <c r="B160" i="8"/>
  <c r="C160" i="8"/>
  <c r="A159" i="8"/>
  <c r="B159" i="8"/>
  <c r="C159" i="8"/>
  <c r="A158" i="8"/>
  <c r="B158" i="8"/>
  <c r="C158" i="8"/>
  <c r="A157" i="8"/>
  <c r="B157" i="8"/>
  <c r="C157" i="8"/>
  <c r="A156" i="8"/>
  <c r="B156" i="8"/>
  <c r="C156" i="8"/>
  <c r="A155" i="8"/>
  <c r="B155" i="8"/>
  <c r="C155" i="8"/>
  <c r="A154" i="8"/>
  <c r="B154" i="8"/>
  <c r="C154" i="8"/>
  <c r="A153" i="8"/>
  <c r="B153" i="8"/>
  <c r="C153" i="8"/>
  <c r="A152" i="8"/>
  <c r="B152" i="8"/>
  <c r="C152" i="8"/>
  <c r="A151" i="8"/>
  <c r="B151" i="8"/>
  <c r="C151" i="8"/>
  <c r="A150" i="8"/>
  <c r="B150" i="8"/>
  <c r="C150" i="8"/>
  <c r="A149" i="8"/>
  <c r="B149" i="8"/>
  <c r="C149" i="8"/>
  <c r="A148" i="8"/>
  <c r="B148" i="8"/>
  <c r="C148" i="8"/>
  <c r="A147" i="8"/>
  <c r="B147" i="8"/>
  <c r="C147" i="8"/>
  <c r="A146" i="8"/>
  <c r="B146" i="8"/>
  <c r="C146" i="8"/>
  <c r="A145" i="8"/>
  <c r="B145" i="8"/>
  <c r="C145" i="8"/>
  <c r="A144" i="8"/>
  <c r="B144" i="8"/>
  <c r="C144" i="8"/>
  <c r="A143" i="8"/>
  <c r="B143" i="8"/>
  <c r="C143" i="8"/>
  <c r="A142" i="8"/>
  <c r="B142" i="8"/>
  <c r="C142" i="8"/>
  <c r="A141" i="8"/>
  <c r="B141" i="8"/>
  <c r="C141" i="8"/>
  <c r="A140" i="8"/>
  <c r="B140" i="8"/>
  <c r="C140" i="8"/>
  <c r="A139" i="8"/>
  <c r="B139" i="8"/>
  <c r="C139" i="8"/>
  <c r="A138" i="8"/>
  <c r="B138" i="8"/>
  <c r="C138" i="8"/>
  <c r="A137" i="8"/>
  <c r="B137" i="8"/>
  <c r="C137" i="8"/>
  <c r="A136" i="8"/>
  <c r="B136" i="8"/>
  <c r="C136" i="8"/>
  <c r="A135" i="8"/>
  <c r="B135" i="8"/>
  <c r="C135" i="8"/>
  <c r="A134" i="8"/>
  <c r="B134" i="8"/>
  <c r="C134" i="8"/>
  <c r="A133" i="8"/>
  <c r="B133" i="8"/>
  <c r="C133" i="8"/>
  <c r="A132" i="8"/>
  <c r="B132" i="8"/>
  <c r="C132" i="8"/>
  <c r="A131" i="8"/>
  <c r="B131" i="8"/>
  <c r="C131" i="8"/>
  <c r="A130" i="8"/>
  <c r="B130" i="8"/>
  <c r="C130" i="8"/>
  <c r="A129" i="8"/>
  <c r="B129" i="8"/>
  <c r="C129" i="8"/>
  <c r="A128" i="8"/>
  <c r="B128" i="8"/>
  <c r="C128" i="8"/>
  <c r="A127" i="8"/>
  <c r="B127" i="8"/>
  <c r="C127" i="8"/>
  <c r="A126" i="8"/>
  <c r="B126" i="8"/>
  <c r="C126" i="8"/>
  <c r="A125" i="8"/>
  <c r="B125" i="8"/>
  <c r="C125" i="8"/>
  <c r="A124" i="8"/>
  <c r="B124" i="8"/>
  <c r="C124" i="8"/>
  <c r="A123" i="8"/>
  <c r="B123" i="8"/>
  <c r="C123" i="8"/>
  <c r="A122" i="8"/>
  <c r="B122" i="8"/>
  <c r="C122" i="8"/>
  <c r="A121" i="8"/>
  <c r="B121" i="8"/>
  <c r="C121" i="8"/>
  <c r="A120" i="8"/>
  <c r="B120" i="8"/>
  <c r="C120" i="8"/>
  <c r="A119" i="8"/>
  <c r="B119" i="8"/>
  <c r="C119" i="8"/>
  <c r="A118" i="8"/>
  <c r="B118" i="8"/>
  <c r="C118" i="8"/>
  <c r="A117" i="8"/>
  <c r="B117" i="8"/>
  <c r="C117" i="8"/>
  <c r="A116" i="8"/>
  <c r="B116" i="8"/>
  <c r="C116" i="8"/>
  <c r="A115" i="8"/>
  <c r="B115" i="8"/>
  <c r="C115" i="8"/>
  <c r="A114" i="8"/>
  <c r="B114" i="8"/>
  <c r="C114" i="8"/>
  <c r="A113" i="8"/>
  <c r="B113" i="8"/>
  <c r="C113" i="8"/>
  <c r="A112" i="8"/>
  <c r="B112" i="8"/>
  <c r="C112" i="8"/>
  <c r="A111" i="8"/>
  <c r="B111" i="8"/>
  <c r="C111" i="8"/>
  <c r="A110" i="8"/>
  <c r="B110" i="8"/>
  <c r="C110" i="8"/>
  <c r="A109" i="8"/>
  <c r="B109" i="8"/>
  <c r="C109" i="8"/>
  <c r="A108" i="8"/>
  <c r="B108" i="8"/>
  <c r="C108" i="8"/>
  <c r="A107" i="8"/>
  <c r="B107" i="8"/>
  <c r="C107" i="8"/>
  <c r="A106" i="8"/>
  <c r="B106" i="8"/>
  <c r="C106" i="8"/>
  <c r="A105" i="8"/>
  <c r="B105" i="8"/>
  <c r="C105" i="8"/>
  <c r="A104" i="8"/>
  <c r="B104" i="8"/>
  <c r="C104" i="8"/>
  <c r="A103" i="8"/>
  <c r="B103" i="8"/>
  <c r="C103" i="8"/>
  <c r="A102" i="8"/>
  <c r="B102" i="8"/>
  <c r="C102" i="8"/>
  <c r="A101" i="8"/>
  <c r="B101" i="8"/>
  <c r="C101" i="8"/>
  <c r="A100" i="8"/>
  <c r="B100" i="8"/>
  <c r="C100" i="8"/>
  <c r="A99" i="8"/>
  <c r="B99" i="8"/>
  <c r="C99" i="8"/>
  <c r="A98" i="8"/>
  <c r="B98" i="8"/>
  <c r="C98" i="8"/>
  <c r="A97" i="8"/>
  <c r="B97" i="8"/>
  <c r="C97" i="8"/>
  <c r="A96" i="8"/>
  <c r="B96" i="8"/>
  <c r="C96" i="8"/>
  <c r="A95" i="8"/>
  <c r="B95" i="8"/>
  <c r="C95" i="8"/>
  <c r="A94" i="8"/>
  <c r="B94" i="8"/>
  <c r="C94" i="8"/>
  <c r="A93" i="8"/>
  <c r="B93" i="8"/>
  <c r="C93" i="8"/>
  <c r="A92" i="8"/>
  <c r="B92" i="8"/>
  <c r="C92" i="8"/>
  <c r="A91" i="8"/>
  <c r="B91" i="8"/>
  <c r="C91" i="8"/>
  <c r="A90" i="8"/>
  <c r="B90" i="8"/>
  <c r="C90" i="8"/>
  <c r="A89" i="8"/>
  <c r="B89" i="8"/>
  <c r="C89" i="8"/>
  <c r="A88" i="8"/>
  <c r="B88" i="8"/>
  <c r="C88" i="8"/>
  <c r="A87" i="8"/>
  <c r="B87" i="8"/>
  <c r="C87" i="8"/>
  <c r="A86" i="8"/>
  <c r="B86" i="8"/>
  <c r="C86" i="8"/>
  <c r="A85" i="8"/>
  <c r="B85" i="8"/>
  <c r="C85" i="8"/>
  <c r="A84" i="8"/>
  <c r="B84" i="8"/>
  <c r="C84" i="8"/>
  <c r="A83" i="8"/>
  <c r="B83" i="8"/>
  <c r="C83" i="8"/>
  <c r="A82" i="8"/>
  <c r="B82" i="8"/>
  <c r="C82" i="8"/>
  <c r="A81" i="8"/>
  <c r="B81" i="8"/>
  <c r="C81" i="8"/>
  <c r="A80" i="8"/>
  <c r="B80" i="8"/>
  <c r="C80" i="8"/>
  <c r="A79" i="8"/>
  <c r="B79" i="8"/>
  <c r="C79" i="8"/>
  <c r="A78" i="8"/>
  <c r="B78" i="8"/>
  <c r="C78" i="8"/>
  <c r="A77" i="8"/>
  <c r="B77" i="8"/>
  <c r="C77" i="8"/>
  <c r="A76" i="8"/>
  <c r="B76" i="8"/>
  <c r="C76" i="8"/>
  <c r="A75" i="8"/>
  <c r="B75" i="8"/>
  <c r="C75" i="8"/>
  <c r="A74" i="8"/>
  <c r="B74" i="8"/>
  <c r="C74" i="8"/>
  <c r="A73" i="8"/>
  <c r="B73" i="8"/>
  <c r="C73" i="8"/>
  <c r="A72" i="8"/>
  <c r="B72" i="8"/>
  <c r="C72" i="8"/>
  <c r="A71" i="8"/>
  <c r="B71" i="8"/>
  <c r="C71" i="8"/>
  <c r="A70" i="8"/>
  <c r="B70" i="8"/>
  <c r="C70" i="8"/>
  <c r="A69" i="8"/>
  <c r="B69" i="8"/>
  <c r="C69" i="8"/>
  <c r="A68" i="8"/>
  <c r="B68" i="8"/>
  <c r="C68" i="8"/>
  <c r="A67" i="8"/>
  <c r="B67" i="8"/>
  <c r="C67" i="8"/>
  <c r="A66" i="8"/>
  <c r="B66" i="8"/>
  <c r="C66" i="8"/>
  <c r="A65" i="8"/>
  <c r="B65" i="8"/>
  <c r="C65" i="8"/>
  <c r="A64" i="8"/>
  <c r="B64" i="8"/>
  <c r="C64" i="8"/>
  <c r="A63" i="8"/>
  <c r="B63" i="8"/>
  <c r="C63" i="8"/>
  <c r="A62" i="8"/>
  <c r="B62" i="8"/>
  <c r="C62" i="8"/>
  <c r="A61" i="8"/>
  <c r="B61" i="8"/>
  <c r="C61" i="8"/>
  <c r="A60" i="8"/>
  <c r="B60" i="8"/>
  <c r="C60" i="8"/>
  <c r="A59" i="8"/>
  <c r="B59" i="8"/>
  <c r="C59" i="8"/>
  <c r="A58" i="8"/>
  <c r="B58" i="8"/>
  <c r="C58" i="8"/>
  <c r="A57" i="8"/>
  <c r="B57" i="8"/>
  <c r="C57" i="8"/>
  <c r="A56" i="8"/>
  <c r="B56" i="8"/>
  <c r="C56" i="8"/>
  <c r="A55" i="8"/>
  <c r="B55" i="8"/>
  <c r="C55" i="8"/>
  <c r="A54" i="8"/>
  <c r="B54" i="8"/>
  <c r="C54" i="8"/>
  <c r="A53" i="8"/>
  <c r="B53" i="8"/>
  <c r="C53" i="8"/>
  <c r="A52" i="8"/>
  <c r="B52" i="8"/>
  <c r="C52" i="8"/>
  <c r="A51" i="8"/>
  <c r="B51" i="8"/>
  <c r="C51" i="8"/>
  <c r="A50" i="8"/>
  <c r="B50" i="8"/>
  <c r="C50" i="8"/>
  <c r="A49" i="8"/>
  <c r="B49" i="8"/>
  <c r="C49" i="8"/>
  <c r="A48" i="8"/>
  <c r="B48" i="8"/>
  <c r="C48" i="8"/>
  <c r="A47" i="8"/>
  <c r="B47" i="8"/>
  <c r="C47" i="8"/>
  <c r="A46" i="8"/>
  <c r="B46" i="8"/>
  <c r="C46" i="8"/>
  <c r="A45" i="8"/>
  <c r="B45" i="8"/>
  <c r="C45" i="8"/>
  <c r="A44" i="8"/>
  <c r="B44" i="8"/>
  <c r="C44" i="8"/>
  <c r="A43" i="8"/>
  <c r="B43" i="8"/>
  <c r="C43" i="8"/>
  <c r="A42" i="8"/>
  <c r="B42" i="8"/>
  <c r="C42" i="8"/>
  <c r="A41" i="8"/>
  <c r="B41" i="8"/>
  <c r="C41" i="8"/>
  <c r="A40" i="8"/>
  <c r="B40" i="8"/>
  <c r="C40" i="8"/>
  <c r="A39" i="8"/>
  <c r="B39" i="8"/>
  <c r="C39" i="8"/>
  <c r="A38" i="8"/>
  <c r="B38" i="8"/>
  <c r="C38" i="8"/>
  <c r="A37" i="8"/>
  <c r="B37" i="8"/>
  <c r="C37" i="8"/>
  <c r="A36" i="8"/>
  <c r="B36" i="8"/>
  <c r="C36" i="8"/>
  <c r="A35" i="8"/>
  <c r="B35" i="8"/>
  <c r="C35" i="8"/>
  <c r="A34" i="8"/>
  <c r="B34" i="8"/>
  <c r="C34" i="8"/>
  <c r="A33" i="8"/>
  <c r="B33" i="8"/>
  <c r="C33" i="8"/>
  <c r="A32" i="8"/>
  <c r="B32" i="8"/>
  <c r="C32" i="8"/>
  <c r="A31" i="8"/>
  <c r="B31" i="8"/>
  <c r="C31" i="8"/>
  <c r="A30" i="8"/>
  <c r="B30" i="8"/>
  <c r="C30" i="8"/>
  <c r="A29" i="8"/>
  <c r="B29" i="8"/>
  <c r="C29" i="8"/>
  <c r="A28" i="8"/>
  <c r="B28" i="8"/>
  <c r="C28" i="8"/>
  <c r="A27" i="8"/>
  <c r="B27" i="8"/>
  <c r="C27" i="8"/>
  <c r="A26" i="8"/>
  <c r="B26" i="8"/>
  <c r="C26" i="8"/>
  <c r="A25" i="8"/>
  <c r="B25" i="8"/>
  <c r="C25" i="8"/>
  <c r="A24" i="8"/>
  <c r="B24" i="8"/>
  <c r="C24" i="8"/>
  <c r="A23" i="8"/>
  <c r="B23" i="8"/>
  <c r="C23" i="8"/>
  <c r="A22" i="8"/>
  <c r="B22" i="8"/>
  <c r="C22" i="8"/>
  <c r="A21" i="8"/>
  <c r="B21" i="8"/>
  <c r="C21" i="8"/>
  <c r="A20" i="8"/>
  <c r="B20" i="8"/>
  <c r="C20" i="8"/>
  <c r="A19" i="8"/>
  <c r="B19" i="8"/>
  <c r="C19" i="8"/>
  <c r="A18" i="8"/>
  <c r="B18" i="8"/>
  <c r="C18" i="8"/>
  <c r="A17" i="8"/>
  <c r="B17" i="8"/>
  <c r="C17" i="8"/>
  <c r="A16" i="8"/>
  <c r="B16" i="8"/>
  <c r="C16" i="8"/>
  <c r="A15" i="8"/>
  <c r="B15" i="8"/>
  <c r="C15" i="8"/>
  <c r="A14" i="8"/>
  <c r="B14" i="8"/>
  <c r="C14" i="8"/>
  <c r="A13" i="8"/>
  <c r="B13" i="8"/>
  <c r="C13" i="8"/>
  <c r="A12" i="8"/>
  <c r="B12" i="8"/>
  <c r="C12" i="8"/>
  <c r="A11" i="8"/>
  <c r="B11" i="8"/>
  <c r="C11" i="8"/>
  <c r="A10" i="8"/>
  <c r="B10" i="8"/>
  <c r="C10" i="8"/>
  <c r="A9" i="8"/>
  <c r="B9" i="8"/>
  <c r="C9" i="8"/>
  <c r="A8" i="8"/>
  <c r="B8" i="8"/>
  <c r="C8" i="8"/>
  <c r="A7" i="8"/>
  <c r="B7" i="8"/>
  <c r="C7" i="8"/>
  <c r="A6" i="8"/>
  <c r="B6" i="8"/>
  <c r="C6" i="8"/>
  <c r="A5" i="8"/>
  <c r="B5" i="8"/>
  <c r="C5" i="8"/>
  <c r="A4" i="8"/>
  <c r="B4" i="8"/>
  <c r="C4" i="8"/>
  <c r="A3" i="8"/>
  <c r="B3" i="8"/>
  <c r="C3" i="8"/>
  <c r="A2" i="8"/>
  <c r="B2" i="8"/>
  <c r="C2" i="8"/>
  <c r="A2612" i="7"/>
  <c r="B2612" i="7"/>
  <c r="C2612" i="7"/>
  <c r="A2611" i="7"/>
  <c r="B2611" i="7"/>
  <c r="C2611" i="7"/>
  <c r="A2610" i="7"/>
  <c r="B2610" i="7"/>
  <c r="C2610" i="7"/>
  <c r="A2609" i="7"/>
  <c r="B2609" i="7"/>
  <c r="C2609" i="7"/>
  <c r="A2608" i="7"/>
  <c r="B2608" i="7"/>
  <c r="C2608" i="7"/>
  <c r="A2607" i="7"/>
  <c r="B2607" i="7"/>
  <c r="C2607" i="7"/>
  <c r="A2606" i="7"/>
  <c r="B2606" i="7"/>
  <c r="C2606" i="7"/>
  <c r="A2605" i="7"/>
  <c r="B2605" i="7"/>
  <c r="C2605" i="7"/>
  <c r="A2604" i="7"/>
  <c r="B2604" i="7"/>
  <c r="C2604" i="7"/>
  <c r="A2603" i="7"/>
  <c r="B2603" i="7"/>
  <c r="C2603" i="7"/>
  <c r="A2602" i="7"/>
  <c r="B2602" i="7"/>
  <c r="C2602" i="7"/>
  <c r="A2601" i="7"/>
  <c r="B2601" i="7"/>
  <c r="C2601" i="7"/>
  <c r="A2600" i="7"/>
  <c r="B2600" i="7"/>
  <c r="C2600" i="7"/>
  <c r="A2599" i="7"/>
  <c r="B2599" i="7"/>
  <c r="C2599" i="7"/>
  <c r="A2598" i="7"/>
  <c r="B2598" i="7"/>
  <c r="C2598" i="7"/>
  <c r="A2597" i="7"/>
  <c r="B2597" i="7"/>
  <c r="C2597" i="7"/>
  <c r="A2596" i="7"/>
  <c r="B2596" i="7"/>
  <c r="C2596" i="7"/>
  <c r="A2595" i="7"/>
  <c r="B2595" i="7"/>
  <c r="C2595" i="7"/>
  <c r="A2594" i="7"/>
  <c r="B2594" i="7"/>
  <c r="C2594" i="7"/>
  <c r="A2593" i="7"/>
  <c r="B2593" i="7"/>
  <c r="C2593" i="7"/>
  <c r="A2592" i="7"/>
  <c r="B2592" i="7"/>
  <c r="C2592" i="7"/>
  <c r="A2591" i="7"/>
  <c r="B2591" i="7"/>
  <c r="C2591" i="7"/>
  <c r="A2590" i="7"/>
  <c r="B2590" i="7"/>
  <c r="C2590" i="7"/>
  <c r="A2589" i="7"/>
  <c r="B2589" i="7"/>
  <c r="C2589" i="7"/>
  <c r="A2588" i="7"/>
  <c r="B2588" i="7"/>
  <c r="C2588" i="7"/>
  <c r="A2587" i="7"/>
  <c r="B2587" i="7"/>
  <c r="C2587" i="7"/>
  <c r="A2586" i="7"/>
  <c r="B2586" i="7"/>
  <c r="C2586" i="7"/>
  <c r="A2585" i="7"/>
  <c r="B2585" i="7"/>
  <c r="C2585" i="7"/>
  <c r="A2584" i="7"/>
  <c r="B2584" i="7"/>
  <c r="C2584" i="7"/>
  <c r="A2583" i="7"/>
  <c r="B2583" i="7"/>
  <c r="C2583" i="7"/>
  <c r="A2582" i="7"/>
  <c r="B2582" i="7"/>
  <c r="C2582" i="7"/>
  <c r="A2581" i="7"/>
  <c r="B2581" i="7"/>
  <c r="C2581" i="7"/>
  <c r="A2580" i="7"/>
  <c r="B2580" i="7"/>
  <c r="C2580" i="7"/>
  <c r="A2579" i="7"/>
  <c r="B2579" i="7"/>
  <c r="C2579" i="7"/>
  <c r="A2578" i="7"/>
  <c r="B2578" i="7"/>
  <c r="C2578" i="7"/>
  <c r="A2577" i="7"/>
  <c r="B2577" i="7"/>
  <c r="C2577" i="7"/>
  <c r="A2576" i="7"/>
  <c r="B2576" i="7"/>
  <c r="C2576" i="7"/>
  <c r="A2575" i="7"/>
  <c r="B2575" i="7"/>
  <c r="C2575" i="7"/>
  <c r="A2574" i="7"/>
  <c r="B2574" i="7"/>
  <c r="C2574" i="7"/>
  <c r="A2573" i="7"/>
  <c r="B2573" i="7"/>
  <c r="C2573" i="7"/>
  <c r="A2572" i="7"/>
  <c r="B2572" i="7"/>
  <c r="C2572" i="7"/>
  <c r="A2571" i="7"/>
  <c r="B2571" i="7"/>
  <c r="C2571" i="7"/>
  <c r="A2570" i="7"/>
  <c r="B2570" i="7"/>
  <c r="C2570" i="7"/>
  <c r="A2569" i="7"/>
  <c r="B2569" i="7"/>
  <c r="C2569" i="7"/>
  <c r="A2568" i="7"/>
  <c r="B2568" i="7"/>
  <c r="C2568" i="7"/>
  <c r="A2567" i="7"/>
  <c r="B2567" i="7"/>
  <c r="C2567" i="7"/>
  <c r="A2566" i="7"/>
  <c r="B2566" i="7"/>
  <c r="C2566" i="7"/>
  <c r="A2565" i="7"/>
  <c r="B2565" i="7"/>
  <c r="C2565" i="7"/>
  <c r="A2564" i="7"/>
  <c r="B2564" i="7"/>
  <c r="C2564" i="7"/>
  <c r="A2563" i="7"/>
  <c r="B2563" i="7"/>
  <c r="C2563" i="7"/>
  <c r="A2562" i="7"/>
  <c r="B2562" i="7"/>
  <c r="C2562" i="7"/>
  <c r="A2561" i="7"/>
  <c r="B2561" i="7"/>
  <c r="C2561" i="7"/>
  <c r="A2560" i="7"/>
  <c r="B2560" i="7"/>
  <c r="C2560" i="7"/>
  <c r="A2559" i="7"/>
  <c r="B2559" i="7"/>
  <c r="C2559" i="7"/>
  <c r="A2558" i="7"/>
  <c r="B2558" i="7"/>
  <c r="C2558" i="7"/>
  <c r="A2557" i="7"/>
  <c r="B2557" i="7"/>
  <c r="C2557" i="7"/>
  <c r="A2556" i="7"/>
  <c r="B2556" i="7"/>
  <c r="C2556" i="7"/>
  <c r="A2555" i="7"/>
  <c r="B2555" i="7"/>
  <c r="C2555" i="7"/>
  <c r="A2554" i="7"/>
  <c r="B2554" i="7"/>
  <c r="C2554" i="7"/>
  <c r="A2553" i="7"/>
  <c r="B2553" i="7"/>
  <c r="C2553" i="7"/>
  <c r="A2552" i="7"/>
  <c r="B2552" i="7"/>
  <c r="C2552" i="7"/>
  <c r="A2551" i="7"/>
  <c r="B2551" i="7"/>
  <c r="C2551" i="7"/>
  <c r="A2550" i="7"/>
  <c r="B2550" i="7"/>
  <c r="C2550" i="7"/>
  <c r="A2549" i="7"/>
  <c r="B2549" i="7"/>
  <c r="C2549" i="7"/>
  <c r="A2548" i="7"/>
  <c r="B2548" i="7"/>
  <c r="C2548" i="7"/>
  <c r="A2547" i="7"/>
  <c r="B2547" i="7"/>
  <c r="C2547" i="7"/>
  <c r="A2546" i="7"/>
  <c r="B2546" i="7"/>
  <c r="C2546" i="7"/>
  <c r="A2545" i="7"/>
  <c r="B2545" i="7"/>
  <c r="C2545" i="7"/>
  <c r="A2544" i="7"/>
  <c r="B2544" i="7"/>
  <c r="C2544" i="7"/>
  <c r="A2543" i="7"/>
  <c r="B2543" i="7"/>
  <c r="C2543" i="7"/>
  <c r="A2542" i="7"/>
  <c r="B2542" i="7"/>
  <c r="C2542" i="7"/>
  <c r="A2541" i="7"/>
  <c r="B2541" i="7"/>
  <c r="C2541" i="7"/>
  <c r="A2540" i="7"/>
  <c r="B2540" i="7"/>
  <c r="C2540" i="7"/>
  <c r="A2539" i="7"/>
  <c r="B2539" i="7"/>
  <c r="C2539" i="7"/>
  <c r="A2538" i="7"/>
  <c r="B2538" i="7"/>
  <c r="C2538" i="7"/>
  <c r="A2537" i="7"/>
  <c r="B2537" i="7"/>
  <c r="C2537" i="7"/>
  <c r="A2536" i="7"/>
  <c r="B2536" i="7"/>
  <c r="C2536" i="7"/>
  <c r="A2535" i="7"/>
  <c r="B2535" i="7"/>
  <c r="C2535" i="7"/>
  <c r="A2534" i="7"/>
  <c r="B2534" i="7"/>
  <c r="C2534" i="7"/>
  <c r="A2533" i="7"/>
  <c r="B2533" i="7"/>
  <c r="C2533" i="7"/>
  <c r="A2532" i="7"/>
  <c r="B2532" i="7"/>
  <c r="C2532" i="7"/>
  <c r="A2531" i="7"/>
  <c r="B2531" i="7"/>
  <c r="C2531" i="7"/>
  <c r="A2530" i="7"/>
  <c r="B2530" i="7"/>
  <c r="C2530" i="7"/>
  <c r="A2529" i="7"/>
  <c r="B2529" i="7"/>
  <c r="C2529" i="7"/>
  <c r="A2528" i="7"/>
  <c r="B2528" i="7"/>
  <c r="C2528" i="7"/>
  <c r="A2527" i="7"/>
  <c r="B2527" i="7"/>
  <c r="C2527" i="7"/>
  <c r="A2526" i="7"/>
  <c r="B2526" i="7"/>
  <c r="C2526" i="7"/>
  <c r="A2525" i="7"/>
  <c r="B2525" i="7"/>
  <c r="C2525" i="7"/>
  <c r="A2524" i="7"/>
  <c r="B2524" i="7"/>
  <c r="C2524" i="7"/>
  <c r="A2523" i="7"/>
  <c r="B2523" i="7"/>
  <c r="C2523" i="7"/>
  <c r="A2522" i="7"/>
  <c r="B2522" i="7"/>
  <c r="C2522" i="7"/>
  <c r="A2521" i="7"/>
  <c r="B2521" i="7"/>
  <c r="C2521" i="7"/>
  <c r="A2520" i="7"/>
  <c r="B2520" i="7"/>
  <c r="C2520" i="7"/>
  <c r="A2519" i="7"/>
  <c r="B2519" i="7"/>
  <c r="C2519" i="7"/>
  <c r="A2518" i="7"/>
  <c r="B2518" i="7"/>
  <c r="C2518" i="7"/>
  <c r="A2517" i="7"/>
  <c r="B2517" i="7"/>
  <c r="C2517" i="7"/>
  <c r="A2516" i="7"/>
  <c r="B2516" i="7"/>
  <c r="C2516" i="7"/>
  <c r="A2515" i="7"/>
  <c r="B2515" i="7"/>
  <c r="C2515" i="7"/>
  <c r="A2514" i="7"/>
  <c r="B2514" i="7"/>
  <c r="C2514" i="7"/>
  <c r="A2513" i="7"/>
  <c r="B2513" i="7"/>
  <c r="C2513" i="7"/>
  <c r="A2512" i="7"/>
  <c r="B2512" i="7"/>
  <c r="C2512" i="7"/>
  <c r="A2511" i="7"/>
  <c r="B2511" i="7"/>
  <c r="C2511" i="7"/>
  <c r="A2510" i="7"/>
  <c r="B2510" i="7"/>
  <c r="C2510" i="7"/>
  <c r="A2509" i="7"/>
  <c r="B2509" i="7"/>
  <c r="C2509" i="7"/>
  <c r="A2508" i="7"/>
  <c r="B2508" i="7"/>
  <c r="C2508" i="7"/>
  <c r="A2507" i="7"/>
  <c r="B2507" i="7"/>
  <c r="C2507" i="7"/>
  <c r="A2506" i="7"/>
  <c r="B2506" i="7"/>
  <c r="C2506" i="7"/>
  <c r="A2505" i="7"/>
  <c r="B2505" i="7"/>
  <c r="C2505" i="7"/>
  <c r="A2504" i="7"/>
  <c r="B2504" i="7"/>
  <c r="C2504" i="7"/>
  <c r="A2503" i="7"/>
  <c r="B2503" i="7"/>
  <c r="C2503" i="7"/>
  <c r="A2502" i="7"/>
  <c r="B2502" i="7"/>
  <c r="C2502" i="7"/>
  <c r="A2501" i="7"/>
  <c r="B2501" i="7"/>
  <c r="C2501" i="7"/>
  <c r="A2500" i="7"/>
  <c r="B2500" i="7"/>
  <c r="C2500" i="7"/>
  <c r="A2499" i="7"/>
  <c r="B2499" i="7"/>
  <c r="C2499" i="7"/>
  <c r="A2498" i="7"/>
  <c r="B2498" i="7"/>
  <c r="C2498" i="7"/>
  <c r="A2497" i="7"/>
  <c r="B2497" i="7"/>
  <c r="C2497" i="7"/>
  <c r="A2496" i="7"/>
  <c r="B2496" i="7"/>
  <c r="C2496" i="7"/>
  <c r="A2495" i="7"/>
  <c r="B2495" i="7"/>
  <c r="C2495" i="7"/>
  <c r="A2494" i="7"/>
  <c r="B2494" i="7"/>
  <c r="C2494" i="7"/>
  <c r="A2493" i="7"/>
  <c r="B2493" i="7"/>
  <c r="C2493" i="7"/>
  <c r="A2492" i="7"/>
  <c r="B2492" i="7"/>
  <c r="C2492" i="7"/>
  <c r="A2491" i="7"/>
  <c r="B2491" i="7"/>
  <c r="C2491" i="7"/>
  <c r="A2490" i="7"/>
  <c r="B2490" i="7"/>
  <c r="C2490" i="7"/>
  <c r="A2489" i="7"/>
  <c r="B2489" i="7"/>
  <c r="C2489" i="7"/>
  <c r="A2488" i="7"/>
  <c r="B2488" i="7"/>
  <c r="C2488" i="7"/>
  <c r="A2487" i="7"/>
  <c r="B2487" i="7"/>
  <c r="C2487" i="7"/>
  <c r="A2486" i="7"/>
  <c r="B2486" i="7"/>
  <c r="C2486" i="7"/>
  <c r="A2485" i="7"/>
  <c r="B2485" i="7"/>
  <c r="C2485" i="7"/>
  <c r="A2484" i="7"/>
  <c r="B2484" i="7"/>
  <c r="C2484" i="7"/>
  <c r="A2483" i="7"/>
  <c r="B2483" i="7"/>
  <c r="C2483" i="7"/>
  <c r="A2482" i="7"/>
  <c r="B2482" i="7"/>
  <c r="C2482" i="7"/>
  <c r="A2481" i="7"/>
  <c r="B2481" i="7"/>
  <c r="C2481" i="7"/>
  <c r="A2480" i="7"/>
  <c r="B2480" i="7"/>
  <c r="C2480" i="7"/>
  <c r="A2479" i="7"/>
  <c r="B2479" i="7"/>
  <c r="C2479" i="7"/>
  <c r="A2478" i="7"/>
  <c r="B2478" i="7"/>
  <c r="C2478" i="7"/>
  <c r="A2477" i="7"/>
  <c r="B2477" i="7"/>
  <c r="C2477" i="7"/>
  <c r="A2476" i="7"/>
  <c r="B2476" i="7"/>
  <c r="C2476" i="7"/>
  <c r="A2475" i="7"/>
  <c r="B2475" i="7"/>
  <c r="C2475" i="7"/>
  <c r="A2474" i="7"/>
  <c r="B2474" i="7"/>
  <c r="C2474" i="7"/>
  <c r="A2473" i="7"/>
  <c r="B2473" i="7"/>
  <c r="C2473" i="7"/>
  <c r="A2472" i="7"/>
  <c r="B2472" i="7"/>
  <c r="C2472" i="7"/>
  <c r="A2471" i="7"/>
  <c r="B2471" i="7"/>
  <c r="C2471" i="7"/>
  <c r="A2470" i="7"/>
  <c r="B2470" i="7"/>
  <c r="C2470" i="7"/>
  <c r="A2469" i="7"/>
  <c r="B2469" i="7"/>
  <c r="C2469" i="7"/>
  <c r="A2468" i="7"/>
  <c r="B2468" i="7"/>
  <c r="C2468" i="7"/>
  <c r="A2467" i="7"/>
  <c r="B2467" i="7"/>
  <c r="C2467" i="7"/>
  <c r="A2466" i="7"/>
  <c r="B2466" i="7"/>
  <c r="C2466" i="7"/>
  <c r="A2465" i="7"/>
  <c r="B2465" i="7"/>
  <c r="C2465" i="7"/>
  <c r="A2464" i="7"/>
  <c r="B2464" i="7"/>
  <c r="C2464" i="7"/>
  <c r="A2463" i="7"/>
  <c r="B2463" i="7"/>
  <c r="C2463" i="7"/>
  <c r="A2462" i="7"/>
  <c r="B2462" i="7"/>
  <c r="C2462" i="7"/>
  <c r="A2461" i="7"/>
  <c r="B2461" i="7"/>
  <c r="C2461" i="7"/>
  <c r="A2460" i="7"/>
  <c r="B2460" i="7"/>
  <c r="C2460" i="7"/>
  <c r="A2459" i="7"/>
  <c r="B2459" i="7"/>
  <c r="C2459" i="7"/>
  <c r="A2458" i="7"/>
  <c r="B2458" i="7"/>
  <c r="C2458" i="7"/>
  <c r="A2457" i="7"/>
  <c r="B2457" i="7"/>
  <c r="C2457" i="7"/>
  <c r="A2456" i="7"/>
  <c r="B2456" i="7"/>
  <c r="C2456" i="7"/>
  <c r="A2455" i="7"/>
  <c r="B2455" i="7"/>
  <c r="C2455" i="7"/>
  <c r="A2454" i="7"/>
  <c r="B2454" i="7"/>
  <c r="C2454" i="7"/>
  <c r="A2453" i="7"/>
  <c r="B2453" i="7"/>
  <c r="C2453" i="7"/>
  <c r="A2452" i="7"/>
  <c r="B2452" i="7"/>
  <c r="C2452" i="7"/>
  <c r="A2451" i="7"/>
  <c r="B2451" i="7"/>
  <c r="C2451" i="7"/>
  <c r="A2450" i="7"/>
  <c r="B2450" i="7"/>
  <c r="C2450" i="7"/>
  <c r="A2449" i="7"/>
  <c r="B2449" i="7"/>
  <c r="C2449" i="7"/>
  <c r="A2448" i="7"/>
  <c r="B2448" i="7"/>
  <c r="C2448" i="7"/>
  <c r="A2447" i="7"/>
  <c r="B2447" i="7"/>
  <c r="C2447" i="7"/>
  <c r="A2446" i="7"/>
  <c r="B2446" i="7"/>
  <c r="C2446" i="7"/>
  <c r="A2445" i="7"/>
  <c r="B2445" i="7"/>
  <c r="C2445" i="7"/>
  <c r="A2444" i="7"/>
  <c r="B2444" i="7"/>
  <c r="C2444" i="7"/>
  <c r="A2443" i="7"/>
  <c r="B2443" i="7"/>
  <c r="C2443" i="7"/>
  <c r="A2442" i="7"/>
  <c r="B2442" i="7"/>
  <c r="C2442" i="7"/>
  <c r="A2441" i="7"/>
  <c r="B2441" i="7"/>
  <c r="C2441" i="7"/>
  <c r="A2440" i="7"/>
  <c r="B2440" i="7"/>
  <c r="C2440" i="7"/>
  <c r="A2439" i="7"/>
  <c r="B2439" i="7"/>
  <c r="C2439" i="7"/>
  <c r="A2438" i="7"/>
  <c r="B2438" i="7"/>
  <c r="C2438" i="7"/>
  <c r="A2437" i="7"/>
  <c r="B2437" i="7"/>
  <c r="C2437" i="7"/>
  <c r="A2436" i="7"/>
  <c r="B2436" i="7"/>
  <c r="C2436" i="7"/>
  <c r="A2435" i="7"/>
  <c r="B2435" i="7"/>
  <c r="C2435" i="7"/>
  <c r="A2434" i="7"/>
  <c r="B2434" i="7"/>
  <c r="C2434" i="7"/>
  <c r="A2433" i="7"/>
  <c r="B2433" i="7"/>
  <c r="C2433" i="7"/>
  <c r="A2432" i="7"/>
  <c r="B2432" i="7"/>
  <c r="C2432" i="7"/>
  <c r="A2431" i="7"/>
  <c r="B2431" i="7"/>
  <c r="C2431" i="7"/>
  <c r="A2430" i="7"/>
  <c r="B2430" i="7"/>
  <c r="C2430" i="7"/>
  <c r="A2429" i="7"/>
  <c r="B2429" i="7"/>
  <c r="C2429" i="7"/>
  <c r="A2428" i="7"/>
  <c r="B2428" i="7"/>
  <c r="C2428" i="7"/>
  <c r="A2427" i="7"/>
  <c r="B2427" i="7"/>
  <c r="C2427" i="7"/>
  <c r="A2426" i="7"/>
  <c r="B2426" i="7"/>
  <c r="C2426" i="7"/>
  <c r="A2425" i="7"/>
  <c r="B2425" i="7"/>
  <c r="C2425" i="7"/>
  <c r="A2424" i="7"/>
  <c r="B2424" i="7"/>
  <c r="C2424" i="7"/>
  <c r="A2423" i="7"/>
  <c r="B2423" i="7"/>
  <c r="C2423" i="7"/>
  <c r="A2422" i="7"/>
  <c r="B2422" i="7"/>
  <c r="C2422" i="7"/>
  <c r="A2421" i="7"/>
  <c r="B2421" i="7"/>
  <c r="C2421" i="7"/>
  <c r="A2420" i="7"/>
  <c r="B2420" i="7"/>
  <c r="C2420" i="7"/>
  <c r="A2419" i="7"/>
  <c r="B2419" i="7"/>
  <c r="C2419" i="7"/>
  <c r="A2418" i="7"/>
  <c r="B2418" i="7"/>
  <c r="C2418" i="7"/>
  <c r="A2417" i="7"/>
  <c r="B2417" i="7"/>
  <c r="C2417" i="7"/>
  <c r="A2416" i="7"/>
  <c r="B2416" i="7"/>
  <c r="C2416" i="7"/>
  <c r="A2415" i="7"/>
  <c r="B2415" i="7"/>
  <c r="C2415" i="7"/>
  <c r="A2414" i="7"/>
  <c r="B2414" i="7"/>
  <c r="C2414" i="7"/>
  <c r="A2413" i="7"/>
  <c r="B2413" i="7"/>
  <c r="C2413" i="7"/>
  <c r="A2412" i="7"/>
  <c r="B2412" i="7"/>
  <c r="C2412" i="7"/>
  <c r="A2411" i="7"/>
  <c r="B2411" i="7"/>
  <c r="C2411" i="7"/>
  <c r="A2410" i="7"/>
  <c r="B2410" i="7"/>
  <c r="C2410" i="7"/>
  <c r="A2409" i="7"/>
  <c r="B2409" i="7"/>
  <c r="C2409" i="7"/>
  <c r="A2408" i="7"/>
  <c r="B2408" i="7"/>
  <c r="C2408" i="7"/>
  <c r="A2407" i="7"/>
  <c r="B2407" i="7"/>
  <c r="C2407" i="7"/>
  <c r="A2406" i="7"/>
  <c r="B2406" i="7"/>
  <c r="C2406" i="7"/>
  <c r="A2405" i="7"/>
  <c r="B2405" i="7"/>
  <c r="C2405" i="7"/>
  <c r="A2404" i="7"/>
  <c r="B2404" i="7"/>
  <c r="C2404" i="7"/>
  <c r="A2403" i="7"/>
  <c r="B2403" i="7"/>
  <c r="C2403" i="7"/>
  <c r="A2402" i="7"/>
  <c r="B2402" i="7"/>
  <c r="C2402" i="7"/>
  <c r="A2401" i="7"/>
  <c r="B2401" i="7"/>
  <c r="C2401" i="7"/>
  <c r="A2400" i="7"/>
  <c r="B2400" i="7"/>
  <c r="C2400" i="7"/>
  <c r="A2399" i="7"/>
  <c r="B2399" i="7"/>
  <c r="C2399" i="7"/>
  <c r="A2398" i="7"/>
  <c r="B2398" i="7"/>
  <c r="C2398" i="7"/>
  <c r="A2397" i="7"/>
  <c r="B2397" i="7"/>
  <c r="C2397" i="7"/>
  <c r="A2396" i="7"/>
  <c r="B2396" i="7"/>
  <c r="C2396" i="7"/>
  <c r="A2395" i="7"/>
  <c r="B2395" i="7"/>
  <c r="C2395" i="7"/>
  <c r="A2394" i="7"/>
  <c r="B2394" i="7"/>
  <c r="C2394" i="7"/>
  <c r="A2393" i="7"/>
  <c r="B2393" i="7"/>
  <c r="C2393" i="7"/>
  <c r="A2392" i="7"/>
  <c r="B2392" i="7"/>
  <c r="C2392" i="7"/>
  <c r="A2391" i="7"/>
  <c r="B2391" i="7"/>
  <c r="C2391" i="7"/>
  <c r="A2390" i="7"/>
  <c r="B2390" i="7"/>
  <c r="C2390" i="7"/>
  <c r="A2389" i="7"/>
  <c r="B2389" i="7"/>
  <c r="C2389" i="7"/>
  <c r="A2388" i="7"/>
  <c r="B2388" i="7"/>
  <c r="C2388" i="7"/>
  <c r="A2387" i="7"/>
  <c r="B2387" i="7"/>
  <c r="C2387" i="7"/>
  <c r="A2386" i="7"/>
  <c r="B2386" i="7"/>
  <c r="C2386" i="7"/>
  <c r="A2385" i="7"/>
  <c r="B2385" i="7"/>
  <c r="C2385" i="7"/>
  <c r="A2384" i="7"/>
  <c r="B2384" i="7"/>
  <c r="C2384" i="7"/>
  <c r="A2383" i="7"/>
  <c r="B2383" i="7"/>
  <c r="C2383" i="7"/>
  <c r="A2382" i="7"/>
  <c r="B2382" i="7"/>
  <c r="C2382" i="7"/>
  <c r="A2381" i="7"/>
  <c r="B2381" i="7"/>
  <c r="C2381" i="7"/>
  <c r="A2380" i="7"/>
  <c r="B2380" i="7"/>
  <c r="C2380" i="7"/>
  <c r="A2379" i="7"/>
  <c r="B2379" i="7"/>
  <c r="C2379" i="7"/>
  <c r="A2378" i="7"/>
  <c r="B2378" i="7"/>
  <c r="C2378" i="7"/>
  <c r="A2377" i="7"/>
  <c r="B2377" i="7"/>
  <c r="C2377" i="7"/>
  <c r="A2376" i="7"/>
  <c r="B2376" i="7"/>
  <c r="C2376" i="7"/>
  <c r="A2375" i="7"/>
  <c r="B2375" i="7"/>
  <c r="C2375" i="7"/>
  <c r="A2374" i="7"/>
  <c r="B2374" i="7"/>
  <c r="C2374" i="7"/>
  <c r="A2373" i="7"/>
  <c r="B2373" i="7"/>
  <c r="C2373" i="7"/>
  <c r="A2372" i="7"/>
  <c r="B2372" i="7"/>
  <c r="C2372" i="7"/>
  <c r="A2371" i="7"/>
  <c r="B2371" i="7"/>
  <c r="C2371" i="7"/>
  <c r="A2370" i="7"/>
  <c r="B2370" i="7"/>
  <c r="C2370" i="7"/>
  <c r="A2369" i="7"/>
  <c r="B2369" i="7"/>
  <c r="C2369" i="7"/>
  <c r="A2368" i="7"/>
  <c r="B2368" i="7"/>
  <c r="C2368" i="7"/>
  <c r="A2367" i="7"/>
  <c r="B2367" i="7"/>
  <c r="C2367" i="7"/>
  <c r="A2366" i="7"/>
  <c r="B2366" i="7"/>
  <c r="C2366" i="7"/>
  <c r="A2365" i="7"/>
  <c r="B2365" i="7"/>
  <c r="C2365" i="7"/>
  <c r="A2364" i="7"/>
  <c r="B2364" i="7"/>
  <c r="C2364" i="7"/>
  <c r="A2363" i="7"/>
  <c r="B2363" i="7"/>
  <c r="C2363" i="7"/>
  <c r="A2362" i="7"/>
  <c r="B2362" i="7"/>
  <c r="C2362" i="7"/>
  <c r="A2361" i="7"/>
  <c r="B2361" i="7"/>
  <c r="C2361" i="7"/>
  <c r="A2360" i="7"/>
  <c r="B2360" i="7"/>
  <c r="C2360" i="7"/>
  <c r="A2359" i="7"/>
  <c r="B2359" i="7"/>
  <c r="C2359" i="7"/>
  <c r="A2358" i="7"/>
  <c r="B2358" i="7"/>
  <c r="C2358" i="7"/>
  <c r="A2357" i="7"/>
  <c r="B2357" i="7"/>
  <c r="C2357" i="7"/>
  <c r="A2356" i="7"/>
  <c r="B2356" i="7"/>
  <c r="C2356" i="7"/>
  <c r="A2355" i="7"/>
  <c r="B2355" i="7"/>
  <c r="C2355" i="7"/>
  <c r="A2354" i="7"/>
  <c r="B2354" i="7"/>
  <c r="C2354" i="7"/>
  <c r="A2353" i="7"/>
  <c r="B2353" i="7"/>
  <c r="C2353" i="7"/>
  <c r="A2352" i="7"/>
  <c r="B2352" i="7"/>
  <c r="C2352" i="7"/>
  <c r="A2351" i="7"/>
  <c r="B2351" i="7"/>
  <c r="C2351" i="7"/>
  <c r="A2350" i="7"/>
  <c r="B2350" i="7"/>
  <c r="C2350" i="7"/>
  <c r="A2349" i="7"/>
  <c r="B2349" i="7"/>
  <c r="C2349" i="7"/>
  <c r="A2348" i="7"/>
  <c r="B2348" i="7"/>
  <c r="C2348" i="7"/>
  <c r="A2347" i="7"/>
  <c r="B2347" i="7"/>
  <c r="C2347" i="7"/>
  <c r="A2346" i="7"/>
  <c r="B2346" i="7"/>
  <c r="C2346" i="7"/>
  <c r="A2345" i="7"/>
  <c r="B2345" i="7"/>
  <c r="C2345" i="7"/>
  <c r="A2344" i="7"/>
  <c r="B2344" i="7"/>
  <c r="C2344" i="7"/>
  <c r="A2343" i="7"/>
  <c r="B2343" i="7"/>
  <c r="C2343" i="7"/>
  <c r="A2342" i="7"/>
  <c r="B2342" i="7"/>
  <c r="C2342" i="7"/>
  <c r="A2341" i="7"/>
  <c r="B2341" i="7"/>
  <c r="C2341" i="7"/>
  <c r="A2340" i="7"/>
  <c r="B2340" i="7"/>
  <c r="C2340" i="7"/>
  <c r="A2339" i="7"/>
  <c r="B2339" i="7"/>
  <c r="C2339" i="7"/>
  <c r="A2338" i="7"/>
  <c r="B2338" i="7"/>
  <c r="C2338" i="7"/>
  <c r="A2337" i="7"/>
  <c r="B2337" i="7"/>
  <c r="C2337" i="7"/>
  <c r="A2336" i="7"/>
  <c r="B2336" i="7"/>
  <c r="C2336" i="7"/>
  <c r="A2335" i="7"/>
  <c r="B2335" i="7"/>
  <c r="C2335" i="7"/>
  <c r="A2334" i="7"/>
  <c r="B2334" i="7"/>
  <c r="C2334" i="7"/>
  <c r="A2333" i="7"/>
  <c r="B2333" i="7"/>
  <c r="C2333" i="7"/>
  <c r="A2332" i="7"/>
  <c r="B2332" i="7"/>
  <c r="C2332" i="7"/>
  <c r="A2331" i="7"/>
  <c r="B2331" i="7"/>
  <c r="C2331" i="7"/>
  <c r="A2330" i="7"/>
  <c r="B2330" i="7"/>
  <c r="C2330" i="7"/>
  <c r="A2329" i="7"/>
  <c r="B2329" i="7"/>
  <c r="C2329" i="7"/>
  <c r="A2328" i="7"/>
  <c r="B2328" i="7"/>
  <c r="C2328" i="7"/>
  <c r="A2327" i="7"/>
  <c r="B2327" i="7"/>
  <c r="C2327" i="7"/>
  <c r="A2326" i="7"/>
  <c r="B2326" i="7"/>
  <c r="C2326" i="7"/>
  <c r="A2325" i="7"/>
  <c r="B2325" i="7"/>
  <c r="C2325" i="7"/>
  <c r="A2324" i="7"/>
  <c r="B2324" i="7"/>
  <c r="C2324" i="7"/>
  <c r="A2323" i="7"/>
  <c r="B2323" i="7"/>
  <c r="C2323" i="7"/>
  <c r="A2322" i="7"/>
  <c r="B2322" i="7"/>
  <c r="C2322" i="7"/>
  <c r="A2321" i="7"/>
  <c r="B2321" i="7"/>
  <c r="C2321" i="7"/>
  <c r="A2320" i="7"/>
  <c r="B2320" i="7"/>
  <c r="C2320" i="7"/>
  <c r="A2319" i="7"/>
  <c r="B2319" i="7"/>
  <c r="C2319" i="7"/>
  <c r="A2318" i="7"/>
  <c r="B2318" i="7"/>
  <c r="C2318" i="7"/>
  <c r="A2317" i="7"/>
  <c r="B2317" i="7"/>
  <c r="C2317" i="7"/>
  <c r="A2316" i="7"/>
  <c r="B2316" i="7"/>
  <c r="C2316" i="7"/>
  <c r="A2315" i="7"/>
  <c r="B2315" i="7"/>
  <c r="C2315" i="7"/>
  <c r="A2314" i="7"/>
  <c r="B2314" i="7"/>
  <c r="C2314" i="7"/>
  <c r="A2313" i="7"/>
  <c r="B2313" i="7"/>
  <c r="C2313" i="7"/>
  <c r="A2312" i="7"/>
  <c r="B2312" i="7"/>
  <c r="C2312" i="7"/>
  <c r="A2311" i="7"/>
  <c r="B2311" i="7"/>
  <c r="C2311" i="7"/>
  <c r="A2310" i="7"/>
  <c r="B2310" i="7"/>
  <c r="C2310" i="7"/>
  <c r="A2309" i="7"/>
  <c r="B2309" i="7"/>
  <c r="C2309" i="7"/>
  <c r="A2308" i="7"/>
  <c r="B2308" i="7"/>
  <c r="C2308" i="7"/>
  <c r="A2307" i="7"/>
  <c r="B2307" i="7"/>
  <c r="C2307" i="7"/>
  <c r="A2306" i="7"/>
  <c r="B2306" i="7"/>
  <c r="C2306" i="7"/>
  <c r="A2305" i="7"/>
  <c r="B2305" i="7"/>
  <c r="C2305" i="7"/>
  <c r="A2304" i="7"/>
  <c r="B2304" i="7"/>
  <c r="C2304" i="7"/>
  <c r="A2303" i="7"/>
  <c r="B2303" i="7"/>
  <c r="C2303" i="7"/>
  <c r="A2302" i="7"/>
  <c r="B2302" i="7"/>
  <c r="C2302" i="7"/>
  <c r="A2301" i="7"/>
  <c r="B2301" i="7"/>
  <c r="C2301" i="7"/>
  <c r="A2300" i="7"/>
  <c r="B2300" i="7"/>
  <c r="C2300" i="7"/>
  <c r="A2299" i="7"/>
  <c r="B2299" i="7"/>
  <c r="C2299" i="7"/>
  <c r="A2298" i="7"/>
  <c r="B2298" i="7"/>
  <c r="C2298" i="7"/>
  <c r="A2297" i="7"/>
  <c r="B2297" i="7"/>
  <c r="C2297" i="7"/>
  <c r="A2296" i="7"/>
  <c r="B2296" i="7"/>
  <c r="C2296" i="7"/>
  <c r="A2295" i="7"/>
  <c r="B2295" i="7"/>
  <c r="C2295" i="7"/>
  <c r="A2294" i="7"/>
  <c r="B2294" i="7"/>
  <c r="C2294" i="7"/>
  <c r="A2293" i="7"/>
  <c r="B2293" i="7"/>
  <c r="C2293" i="7"/>
  <c r="A2292" i="7"/>
  <c r="B2292" i="7"/>
  <c r="C2292" i="7"/>
  <c r="A2291" i="7"/>
  <c r="B2291" i="7"/>
  <c r="C2291" i="7"/>
  <c r="A2290" i="7"/>
  <c r="B2290" i="7"/>
  <c r="C2290" i="7"/>
  <c r="A2289" i="7"/>
  <c r="B2289" i="7"/>
  <c r="C2289" i="7"/>
  <c r="A2288" i="7"/>
  <c r="B2288" i="7"/>
  <c r="C2288" i="7"/>
  <c r="A2287" i="7"/>
  <c r="B2287" i="7"/>
  <c r="C2287" i="7"/>
  <c r="A2286" i="7"/>
  <c r="B2286" i="7"/>
  <c r="C2286" i="7"/>
  <c r="A2285" i="7"/>
  <c r="B2285" i="7"/>
  <c r="C2285" i="7"/>
  <c r="A2284" i="7"/>
  <c r="B2284" i="7"/>
  <c r="C2284" i="7"/>
  <c r="A2283" i="7"/>
  <c r="B2283" i="7"/>
  <c r="C2283" i="7"/>
  <c r="A2282" i="7"/>
  <c r="B2282" i="7"/>
  <c r="C2282" i="7"/>
  <c r="A2281" i="7"/>
  <c r="B2281" i="7"/>
  <c r="C2281" i="7"/>
  <c r="A2280" i="7"/>
  <c r="B2280" i="7"/>
  <c r="C2280" i="7"/>
  <c r="A2279" i="7"/>
  <c r="B2279" i="7"/>
  <c r="C2279" i="7"/>
  <c r="A2278" i="7"/>
  <c r="B2278" i="7"/>
  <c r="C2278" i="7"/>
  <c r="A2277" i="7"/>
  <c r="B2277" i="7"/>
  <c r="C2277" i="7"/>
  <c r="A2276" i="7"/>
  <c r="B2276" i="7"/>
  <c r="C2276" i="7"/>
  <c r="A2275" i="7"/>
  <c r="B2275" i="7"/>
  <c r="C2275" i="7"/>
  <c r="A2274" i="7"/>
  <c r="B2274" i="7"/>
  <c r="C2274" i="7"/>
  <c r="A2273" i="7"/>
  <c r="B2273" i="7"/>
  <c r="C2273" i="7"/>
  <c r="A2272" i="7"/>
  <c r="B2272" i="7"/>
  <c r="C2272" i="7"/>
  <c r="A2271" i="7"/>
  <c r="B2271" i="7"/>
  <c r="C2271" i="7"/>
  <c r="A2270" i="7"/>
  <c r="B2270" i="7"/>
  <c r="C2270" i="7"/>
  <c r="A2269" i="7"/>
  <c r="B2269" i="7"/>
  <c r="C2269" i="7"/>
  <c r="A2268" i="7"/>
  <c r="B2268" i="7"/>
  <c r="C2268" i="7"/>
  <c r="A2267" i="7"/>
  <c r="B2267" i="7"/>
  <c r="C2267" i="7"/>
  <c r="A2266" i="7"/>
  <c r="B2266" i="7"/>
  <c r="C2266" i="7"/>
  <c r="A2265" i="7"/>
  <c r="B2265" i="7"/>
  <c r="C2265" i="7"/>
  <c r="A2264" i="7"/>
  <c r="B2264" i="7"/>
  <c r="C2264" i="7"/>
  <c r="A2263" i="7"/>
  <c r="B2263" i="7"/>
  <c r="C2263" i="7"/>
  <c r="A2262" i="7"/>
  <c r="B2262" i="7"/>
  <c r="C2262" i="7"/>
  <c r="A2261" i="7"/>
  <c r="B2261" i="7"/>
  <c r="C2261" i="7"/>
  <c r="A2260" i="7"/>
  <c r="B2260" i="7"/>
  <c r="C2260" i="7"/>
  <c r="A2259" i="7"/>
  <c r="B2259" i="7"/>
  <c r="C2259" i="7"/>
  <c r="A2258" i="7"/>
  <c r="B2258" i="7"/>
  <c r="C2258" i="7"/>
  <c r="A2257" i="7"/>
  <c r="B2257" i="7"/>
  <c r="C2257" i="7"/>
  <c r="A2256" i="7"/>
  <c r="B2256" i="7"/>
  <c r="C2256" i="7"/>
  <c r="A2255" i="7"/>
  <c r="B2255" i="7"/>
  <c r="C2255" i="7"/>
  <c r="A2254" i="7"/>
  <c r="B2254" i="7"/>
  <c r="C2254" i="7"/>
  <c r="A2253" i="7"/>
  <c r="B2253" i="7"/>
  <c r="C2253" i="7"/>
  <c r="A2252" i="7"/>
  <c r="B2252" i="7"/>
  <c r="C2252" i="7"/>
  <c r="A2251" i="7"/>
  <c r="B2251" i="7"/>
  <c r="C2251" i="7"/>
  <c r="A2250" i="7"/>
  <c r="B2250" i="7"/>
  <c r="C2250" i="7"/>
  <c r="A2249" i="7"/>
  <c r="B2249" i="7"/>
  <c r="C2249" i="7"/>
  <c r="A2248" i="7"/>
  <c r="B2248" i="7"/>
  <c r="C2248" i="7"/>
  <c r="A2247" i="7"/>
  <c r="B2247" i="7"/>
  <c r="C2247" i="7"/>
  <c r="A2246" i="7"/>
  <c r="B2246" i="7"/>
  <c r="C2246" i="7"/>
  <c r="A2245" i="7"/>
  <c r="B2245" i="7"/>
  <c r="C2245" i="7"/>
  <c r="A2244" i="7"/>
  <c r="B2244" i="7"/>
  <c r="C2244" i="7"/>
  <c r="A2243" i="7"/>
  <c r="B2243" i="7"/>
  <c r="C2243" i="7"/>
  <c r="A2242" i="7"/>
  <c r="B2242" i="7"/>
  <c r="C2242" i="7"/>
  <c r="A2241" i="7"/>
  <c r="B2241" i="7"/>
  <c r="C2241" i="7"/>
  <c r="A2240" i="7"/>
  <c r="B2240" i="7"/>
  <c r="C2240" i="7"/>
  <c r="A2239" i="7"/>
  <c r="B2239" i="7"/>
  <c r="C2239" i="7"/>
  <c r="A2238" i="7"/>
  <c r="B2238" i="7"/>
  <c r="C2238" i="7"/>
  <c r="A2237" i="7"/>
  <c r="B2237" i="7"/>
  <c r="C2237" i="7"/>
  <c r="A2236" i="7"/>
  <c r="B2236" i="7"/>
  <c r="C2236" i="7"/>
  <c r="A2235" i="7"/>
  <c r="B2235" i="7"/>
  <c r="C2235" i="7"/>
  <c r="A2234" i="7"/>
  <c r="B2234" i="7"/>
  <c r="C2234" i="7"/>
  <c r="A2233" i="7"/>
  <c r="B2233" i="7"/>
  <c r="C2233" i="7"/>
  <c r="A2232" i="7"/>
  <c r="B2232" i="7"/>
  <c r="C2232" i="7"/>
  <c r="A2231" i="7"/>
  <c r="B2231" i="7"/>
  <c r="C2231" i="7"/>
  <c r="A2230" i="7"/>
  <c r="B2230" i="7"/>
  <c r="C2230" i="7"/>
  <c r="A2229" i="7"/>
  <c r="B2229" i="7"/>
  <c r="C2229" i="7"/>
  <c r="A2228" i="7"/>
  <c r="B2228" i="7"/>
  <c r="C2228" i="7"/>
  <c r="A2227" i="7"/>
  <c r="B2227" i="7"/>
  <c r="C2227" i="7"/>
  <c r="A2226" i="7"/>
  <c r="B2226" i="7"/>
  <c r="C2226" i="7"/>
  <c r="A2225" i="7"/>
  <c r="B2225" i="7"/>
  <c r="C2225" i="7"/>
  <c r="A2224" i="7"/>
  <c r="B2224" i="7"/>
  <c r="C2224" i="7"/>
  <c r="A2223" i="7"/>
  <c r="B2223" i="7"/>
  <c r="C2223" i="7"/>
  <c r="A2222" i="7"/>
  <c r="B2222" i="7"/>
  <c r="C2222" i="7"/>
  <c r="A2221" i="7"/>
  <c r="B2221" i="7"/>
  <c r="C2221" i="7"/>
  <c r="A2220" i="7"/>
  <c r="B2220" i="7"/>
  <c r="C2220" i="7"/>
  <c r="A2219" i="7"/>
  <c r="B2219" i="7"/>
  <c r="C2219" i="7"/>
  <c r="A2218" i="7"/>
  <c r="B2218" i="7"/>
  <c r="C2218" i="7"/>
  <c r="A2217" i="7"/>
  <c r="B2217" i="7"/>
  <c r="C2217" i="7"/>
  <c r="A2216" i="7"/>
  <c r="B2216" i="7"/>
  <c r="C2216" i="7"/>
  <c r="A2215" i="7"/>
  <c r="B2215" i="7"/>
  <c r="C2215" i="7"/>
  <c r="A2214" i="7"/>
  <c r="B2214" i="7"/>
  <c r="C2214" i="7"/>
  <c r="A2213" i="7"/>
  <c r="B2213" i="7"/>
  <c r="C2213" i="7"/>
  <c r="A2212" i="7"/>
  <c r="B2212" i="7"/>
  <c r="C2212" i="7"/>
  <c r="A2211" i="7"/>
  <c r="B2211" i="7"/>
  <c r="C2211" i="7"/>
  <c r="A2210" i="7"/>
  <c r="B2210" i="7"/>
  <c r="C2210" i="7"/>
  <c r="A2209" i="7"/>
  <c r="B2209" i="7"/>
  <c r="C2209" i="7"/>
  <c r="A2208" i="7"/>
  <c r="B2208" i="7"/>
  <c r="C2208" i="7"/>
  <c r="A2207" i="7"/>
  <c r="B2207" i="7"/>
  <c r="C2207" i="7"/>
  <c r="A2206" i="7"/>
  <c r="B2206" i="7"/>
  <c r="C2206" i="7"/>
  <c r="A2205" i="7"/>
  <c r="B2205" i="7"/>
  <c r="C2205" i="7"/>
  <c r="A2204" i="7"/>
  <c r="B2204" i="7"/>
  <c r="C2204" i="7"/>
  <c r="A2203" i="7"/>
  <c r="B2203" i="7"/>
  <c r="C2203" i="7"/>
  <c r="A2202" i="7"/>
  <c r="B2202" i="7"/>
  <c r="C2202" i="7"/>
  <c r="A2201" i="7"/>
  <c r="B2201" i="7"/>
  <c r="C2201" i="7"/>
  <c r="A2200" i="7"/>
  <c r="B2200" i="7"/>
  <c r="C2200" i="7"/>
  <c r="A2199" i="7"/>
  <c r="B2199" i="7"/>
  <c r="C2199" i="7"/>
  <c r="A2198" i="7"/>
  <c r="B2198" i="7"/>
  <c r="C2198" i="7"/>
  <c r="A2197" i="7"/>
  <c r="B2197" i="7"/>
  <c r="C2197" i="7"/>
  <c r="A2196" i="7"/>
  <c r="B2196" i="7"/>
  <c r="C2196" i="7"/>
  <c r="A2195" i="7"/>
  <c r="B2195" i="7"/>
  <c r="C2195" i="7"/>
  <c r="A2194" i="7"/>
  <c r="B2194" i="7"/>
  <c r="C2194" i="7"/>
  <c r="A2193" i="7"/>
  <c r="B2193" i="7"/>
  <c r="C2193" i="7"/>
  <c r="A2192" i="7"/>
  <c r="B2192" i="7"/>
  <c r="C2192" i="7"/>
  <c r="A2191" i="7"/>
  <c r="B2191" i="7"/>
  <c r="C2191" i="7"/>
  <c r="A2190" i="7"/>
  <c r="B2190" i="7"/>
  <c r="C2190" i="7"/>
  <c r="A2189" i="7"/>
  <c r="B2189" i="7"/>
  <c r="C2189" i="7"/>
  <c r="A2188" i="7"/>
  <c r="B2188" i="7"/>
  <c r="C2188" i="7"/>
  <c r="A2187" i="7"/>
  <c r="B2187" i="7"/>
  <c r="C2187" i="7"/>
  <c r="A2186" i="7"/>
  <c r="B2186" i="7"/>
  <c r="C2186" i="7"/>
  <c r="A2185" i="7"/>
  <c r="B2185" i="7"/>
  <c r="C2185" i="7"/>
  <c r="A2184" i="7"/>
  <c r="B2184" i="7"/>
  <c r="C2184" i="7"/>
  <c r="A2183" i="7"/>
  <c r="B2183" i="7"/>
  <c r="C2183" i="7"/>
  <c r="A2182" i="7"/>
  <c r="B2182" i="7"/>
  <c r="C2182" i="7"/>
  <c r="A2181" i="7"/>
  <c r="B2181" i="7"/>
  <c r="C2181" i="7"/>
  <c r="A2180" i="7"/>
  <c r="B2180" i="7"/>
  <c r="C2180" i="7"/>
  <c r="A2179" i="7"/>
  <c r="B2179" i="7"/>
  <c r="C2179" i="7"/>
  <c r="A2178" i="7"/>
  <c r="B2178" i="7"/>
  <c r="C2178" i="7"/>
  <c r="A2177" i="7"/>
  <c r="B2177" i="7"/>
  <c r="C2177" i="7"/>
  <c r="A2176" i="7"/>
  <c r="B2176" i="7"/>
  <c r="C2176" i="7"/>
  <c r="A2175" i="7"/>
  <c r="B2175" i="7"/>
  <c r="C2175" i="7"/>
  <c r="A2174" i="7"/>
  <c r="B2174" i="7"/>
  <c r="C2174" i="7"/>
  <c r="A2173" i="7"/>
  <c r="B2173" i="7"/>
  <c r="C2173" i="7"/>
  <c r="A2172" i="7"/>
  <c r="B2172" i="7"/>
  <c r="C2172" i="7"/>
  <c r="A2171" i="7"/>
  <c r="B2171" i="7"/>
  <c r="C2171" i="7"/>
  <c r="A2170" i="7"/>
  <c r="B2170" i="7"/>
  <c r="C2170" i="7"/>
  <c r="A2169" i="7"/>
  <c r="B2169" i="7"/>
  <c r="C2169" i="7"/>
  <c r="A2168" i="7"/>
  <c r="B2168" i="7"/>
  <c r="C2168" i="7"/>
  <c r="A2167" i="7"/>
  <c r="B2167" i="7"/>
  <c r="C2167" i="7"/>
  <c r="A2166" i="7"/>
  <c r="B2166" i="7"/>
  <c r="C2166" i="7"/>
  <c r="A2165" i="7"/>
  <c r="B2165" i="7"/>
  <c r="C2165" i="7"/>
  <c r="A2164" i="7"/>
  <c r="B2164" i="7"/>
  <c r="C2164" i="7"/>
  <c r="A2163" i="7"/>
  <c r="B2163" i="7"/>
  <c r="C2163" i="7"/>
  <c r="A2162" i="7"/>
  <c r="B2162" i="7"/>
  <c r="C2162" i="7"/>
  <c r="A2161" i="7"/>
  <c r="B2161" i="7"/>
  <c r="C2161" i="7"/>
  <c r="A2160" i="7"/>
  <c r="B2160" i="7"/>
  <c r="C2160" i="7"/>
  <c r="A2159" i="7"/>
  <c r="B2159" i="7"/>
  <c r="C2159" i="7"/>
  <c r="A2158" i="7"/>
  <c r="B2158" i="7"/>
  <c r="C2158" i="7"/>
  <c r="A2157" i="7"/>
  <c r="B2157" i="7"/>
  <c r="C2157" i="7"/>
  <c r="A2156" i="7"/>
  <c r="B2156" i="7"/>
  <c r="C2156" i="7"/>
  <c r="A2155" i="7"/>
  <c r="B2155" i="7"/>
  <c r="C2155" i="7"/>
  <c r="A2154" i="7"/>
  <c r="B2154" i="7"/>
  <c r="C2154" i="7"/>
  <c r="A2153" i="7"/>
  <c r="B2153" i="7"/>
  <c r="C2153" i="7"/>
  <c r="A2152" i="7"/>
  <c r="B2152" i="7"/>
  <c r="C2152" i="7"/>
  <c r="A2151" i="7"/>
  <c r="B2151" i="7"/>
  <c r="C2151" i="7"/>
  <c r="A2150" i="7"/>
  <c r="B2150" i="7"/>
  <c r="C2150" i="7"/>
  <c r="A2149" i="7"/>
  <c r="B2149" i="7"/>
  <c r="C2149" i="7"/>
  <c r="A2148" i="7"/>
  <c r="B2148" i="7"/>
  <c r="C2148" i="7"/>
  <c r="A2147" i="7"/>
  <c r="B2147" i="7"/>
  <c r="C2147" i="7"/>
  <c r="A2146" i="7"/>
  <c r="B2146" i="7"/>
  <c r="C2146" i="7"/>
  <c r="A2145" i="7"/>
  <c r="B2145" i="7"/>
  <c r="C2145" i="7"/>
  <c r="A2144" i="7"/>
  <c r="B2144" i="7"/>
  <c r="C2144" i="7"/>
  <c r="A2143" i="7"/>
  <c r="B2143" i="7"/>
  <c r="C2143" i="7"/>
  <c r="A2142" i="7"/>
  <c r="B2142" i="7"/>
  <c r="C2142" i="7"/>
  <c r="A2141" i="7"/>
  <c r="B2141" i="7"/>
  <c r="C2141" i="7"/>
  <c r="A2140" i="7"/>
  <c r="B2140" i="7"/>
  <c r="C2140" i="7"/>
  <c r="A2139" i="7"/>
  <c r="B2139" i="7"/>
  <c r="C2139" i="7"/>
  <c r="A2138" i="7"/>
  <c r="B2138" i="7"/>
  <c r="C2138" i="7"/>
  <c r="A2137" i="7"/>
  <c r="B2137" i="7"/>
  <c r="C2137" i="7"/>
  <c r="A2136" i="7"/>
  <c r="B2136" i="7"/>
  <c r="C2136" i="7"/>
  <c r="A2135" i="7"/>
  <c r="B2135" i="7"/>
  <c r="C2135" i="7"/>
  <c r="A2134" i="7"/>
  <c r="B2134" i="7"/>
  <c r="C2134" i="7"/>
  <c r="A2133" i="7"/>
  <c r="B2133" i="7"/>
  <c r="C2133" i="7"/>
  <c r="A2132" i="7"/>
  <c r="B2132" i="7"/>
  <c r="C2132" i="7"/>
  <c r="A2131" i="7"/>
  <c r="B2131" i="7"/>
  <c r="C2131" i="7"/>
  <c r="A2130" i="7"/>
  <c r="B2130" i="7"/>
  <c r="C2130" i="7"/>
  <c r="A2129" i="7"/>
  <c r="B2129" i="7"/>
  <c r="C2129" i="7"/>
  <c r="A2128" i="7"/>
  <c r="B2128" i="7"/>
  <c r="C2128" i="7"/>
  <c r="A2127" i="7"/>
  <c r="B2127" i="7"/>
  <c r="C2127" i="7"/>
  <c r="A2126" i="7"/>
  <c r="B2126" i="7"/>
  <c r="C2126" i="7"/>
  <c r="A2125" i="7"/>
  <c r="B2125" i="7"/>
  <c r="C2125" i="7"/>
  <c r="A2124" i="7"/>
  <c r="B2124" i="7"/>
  <c r="C2124" i="7"/>
  <c r="A2123" i="7"/>
  <c r="B2123" i="7"/>
  <c r="C2123" i="7"/>
  <c r="A2122" i="7"/>
  <c r="B2122" i="7"/>
  <c r="C2122" i="7"/>
  <c r="A2121" i="7"/>
  <c r="B2121" i="7"/>
  <c r="C2121" i="7"/>
  <c r="A2120" i="7"/>
  <c r="B2120" i="7"/>
  <c r="C2120" i="7"/>
  <c r="A2119" i="7"/>
  <c r="B2119" i="7"/>
  <c r="C2119" i="7"/>
  <c r="A2118" i="7"/>
  <c r="B2118" i="7"/>
  <c r="C2118" i="7"/>
  <c r="A2117" i="7"/>
  <c r="B2117" i="7"/>
  <c r="C2117" i="7"/>
  <c r="A2116" i="7"/>
  <c r="B2116" i="7"/>
  <c r="C2116" i="7"/>
  <c r="A2115" i="7"/>
  <c r="B2115" i="7"/>
  <c r="C2115" i="7"/>
  <c r="A2114" i="7"/>
  <c r="B2114" i="7"/>
  <c r="C2114" i="7"/>
  <c r="A2113" i="7"/>
  <c r="B2113" i="7"/>
  <c r="C2113" i="7"/>
  <c r="A2112" i="7"/>
  <c r="B2112" i="7"/>
  <c r="C2112" i="7"/>
  <c r="A2111" i="7"/>
  <c r="B2111" i="7"/>
  <c r="C2111" i="7"/>
  <c r="A2110" i="7"/>
  <c r="B2110" i="7"/>
  <c r="C2110" i="7"/>
  <c r="A2109" i="7"/>
  <c r="B2109" i="7"/>
  <c r="C2109" i="7"/>
  <c r="A2108" i="7"/>
  <c r="B2108" i="7"/>
  <c r="C2108" i="7"/>
  <c r="A2107" i="7"/>
  <c r="B2107" i="7"/>
  <c r="C2107" i="7"/>
  <c r="A2106" i="7"/>
  <c r="B2106" i="7"/>
  <c r="C2106" i="7"/>
  <c r="A2105" i="7"/>
  <c r="B2105" i="7"/>
  <c r="C2105" i="7"/>
  <c r="A2104" i="7"/>
  <c r="B2104" i="7"/>
  <c r="C2104" i="7"/>
  <c r="A2103" i="7"/>
  <c r="B2103" i="7"/>
  <c r="C2103" i="7"/>
  <c r="A2102" i="7"/>
  <c r="B2102" i="7"/>
  <c r="C2102" i="7"/>
  <c r="A2101" i="7"/>
  <c r="B2101" i="7"/>
  <c r="C2101" i="7"/>
  <c r="A2100" i="7"/>
  <c r="B2100" i="7"/>
  <c r="C2100" i="7"/>
  <c r="A2099" i="7"/>
  <c r="B2099" i="7"/>
  <c r="C2099" i="7"/>
  <c r="A2098" i="7"/>
  <c r="B2098" i="7"/>
  <c r="C2098" i="7"/>
  <c r="A2097" i="7"/>
  <c r="B2097" i="7"/>
  <c r="C2097" i="7"/>
  <c r="A2096" i="7"/>
  <c r="B2096" i="7"/>
  <c r="C2096" i="7"/>
  <c r="A2095" i="7"/>
  <c r="B2095" i="7"/>
  <c r="C2095" i="7"/>
  <c r="A2094" i="7"/>
  <c r="B2094" i="7"/>
  <c r="C2094" i="7"/>
  <c r="A2093" i="7"/>
  <c r="B2093" i="7"/>
  <c r="C2093" i="7"/>
  <c r="A2092" i="7"/>
  <c r="B2092" i="7"/>
  <c r="C2092" i="7"/>
  <c r="A2091" i="7"/>
  <c r="B2091" i="7"/>
  <c r="C2091" i="7"/>
  <c r="A2090" i="7"/>
  <c r="B2090" i="7"/>
  <c r="C2090" i="7"/>
  <c r="A2089" i="7"/>
  <c r="B2089" i="7"/>
  <c r="C2089" i="7"/>
  <c r="A2088" i="7"/>
  <c r="B2088" i="7"/>
  <c r="C2088" i="7"/>
  <c r="A2087" i="7"/>
  <c r="B2087" i="7"/>
  <c r="C2087" i="7"/>
  <c r="A2086" i="7"/>
  <c r="B2086" i="7"/>
  <c r="C2086" i="7"/>
  <c r="A2085" i="7"/>
  <c r="B2085" i="7"/>
  <c r="C2085" i="7"/>
  <c r="A2084" i="7"/>
  <c r="B2084" i="7"/>
  <c r="C2084" i="7"/>
  <c r="A2083" i="7"/>
  <c r="B2083" i="7"/>
  <c r="C2083" i="7"/>
  <c r="A2082" i="7"/>
  <c r="B2082" i="7"/>
  <c r="C2082" i="7"/>
  <c r="A2081" i="7"/>
  <c r="B2081" i="7"/>
  <c r="C2081" i="7"/>
  <c r="A2080" i="7"/>
  <c r="B2080" i="7"/>
  <c r="C2080" i="7"/>
  <c r="A2079" i="7"/>
  <c r="B2079" i="7"/>
  <c r="C2079" i="7"/>
  <c r="A2078" i="7"/>
  <c r="B2078" i="7"/>
  <c r="C2078" i="7"/>
  <c r="A2077" i="7"/>
  <c r="B2077" i="7"/>
  <c r="C2077" i="7"/>
  <c r="A2076" i="7"/>
  <c r="B2076" i="7"/>
  <c r="C2076" i="7"/>
  <c r="A2075" i="7"/>
  <c r="B2075" i="7"/>
  <c r="C2075" i="7"/>
  <c r="A2074" i="7"/>
  <c r="B2074" i="7"/>
  <c r="C2074" i="7"/>
  <c r="A2073" i="7"/>
  <c r="B2073" i="7"/>
  <c r="C2073" i="7"/>
  <c r="A2072" i="7"/>
  <c r="B2072" i="7"/>
  <c r="C2072" i="7"/>
  <c r="A2071" i="7"/>
  <c r="B2071" i="7"/>
  <c r="C2071" i="7"/>
  <c r="A2070" i="7"/>
  <c r="B2070" i="7"/>
  <c r="C2070" i="7"/>
  <c r="A2069" i="7"/>
  <c r="B2069" i="7"/>
  <c r="C2069" i="7"/>
  <c r="A2068" i="7"/>
  <c r="B2068" i="7"/>
  <c r="C2068" i="7"/>
  <c r="A2067" i="7"/>
  <c r="B2067" i="7"/>
  <c r="C2067" i="7"/>
  <c r="A2066" i="7"/>
  <c r="B2066" i="7"/>
  <c r="C2066" i="7"/>
  <c r="A2065" i="7"/>
  <c r="B2065" i="7"/>
  <c r="C2065" i="7"/>
  <c r="A2064" i="7"/>
  <c r="B2064" i="7"/>
  <c r="C2064" i="7"/>
  <c r="A2063" i="7"/>
  <c r="B2063" i="7"/>
  <c r="C2063" i="7"/>
  <c r="A2062" i="7"/>
  <c r="B2062" i="7"/>
  <c r="C2062" i="7"/>
  <c r="A2061" i="7"/>
  <c r="B2061" i="7"/>
  <c r="C2061" i="7"/>
  <c r="A2060" i="7"/>
  <c r="B2060" i="7"/>
  <c r="C2060" i="7"/>
  <c r="A2059" i="7"/>
  <c r="B2059" i="7"/>
  <c r="C2059" i="7"/>
  <c r="A2058" i="7"/>
  <c r="B2058" i="7"/>
  <c r="C2058" i="7"/>
  <c r="A2057" i="7"/>
  <c r="B2057" i="7"/>
  <c r="C2057" i="7"/>
  <c r="A2056" i="7"/>
  <c r="B2056" i="7"/>
  <c r="C2056" i="7"/>
  <c r="A2055" i="7"/>
  <c r="B2055" i="7"/>
  <c r="C2055" i="7"/>
  <c r="A2054" i="7"/>
  <c r="B2054" i="7"/>
  <c r="C2054" i="7"/>
  <c r="A2053" i="7"/>
  <c r="B2053" i="7"/>
  <c r="C2053" i="7"/>
  <c r="A2052" i="7"/>
  <c r="B2052" i="7"/>
  <c r="C2052" i="7"/>
  <c r="A2051" i="7"/>
  <c r="B2051" i="7"/>
  <c r="C2051" i="7"/>
  <c r="A2050" i="7"/>
  <c r="B2050" i="7"/>
  <c r="C2050" i="7"/>
  <c r="A2049" i="7"/>
  <c r="B2049" i="7"/>
  <c r="C2049" i="7"/>
  <c r="A2048" i="7"/>
  <c r="B2048" i="7"/>
  <c r="C2048" i="7"/>
  <c r="A2047" i="7"/>
  <c r="B2047" i="7"/>
  <c r="C2047" i="7"/>
  <c r="A2046" i="7"/>
  <c r="B2046" i="7"/>
  <c r="C2046" i="7"/>
  <c r="A2045" i="7"/>
  <c r="B2045" i="7"/>
  <c r="C2045" i="7"/>
  <c r="A2044" i="7"/>
  <c r="B2044" i="7"/>
  <c r="C2044" i="7"/>
  <c r="A2043" i="7"/>
  <c r="B2043" i="7"/>
  <c r="C2043" i="7"/>
  <c r="A2042" i="7"/>
  <c r="B2042" i="7"/>
  <c r="C2042" i="7"/>
  <c r="A2041" i="7"/>
  <c r="B2041" i="7"/>
  <c r="C2041" i="7"/>
  <c r="A2040" i="7"/>
  <c r="B2040" i="7"/>
  <c r="C2040" i="7"/>
  <c r="A2039" i="7"/>
  <c r="B2039" i="7"/>
  <c r="C2039" i="7"/>
  <c r="A2038" i="7"/>
  <c r="B2038" i="7"/>
  <c r="C2038" i="7"/>
  <c r="A2037" i="7"/>
  <c r="B2037" i="7"/>
  <c r="C2037" i="7"/>
  <c r="A2036" i="7"/>
  <c r="B2036" i="7"/>
  <c r="C2036" i="7"/>
  <c r="A2035" i="7"/>
  <c r="B2035" i="7"/>
  <c r="C2035" i="7"/>
  <c r="A2034" i="7"/>
  <c r="B2034" i="7"/>
  <c r="C2034" i="7"/>
  <c r="A2033" i="7"/>
  <c r="B2033" i="7"/>
  <c r="C2033" i="7"/>
  <c r="A2032" i="7"/>
  <c r="B2032" i="7"/>
  <c r="C2032" i="7"/>
  <c r="A2031" i="7"/>
  <c r="B2031" i="7"/>
  <c r="C2031" i="7"/>
  <c r="A2030" i="7"/>
  <c r="B2030" i="7"/>
  <c r="C2030" i="7"/>
  <c r="A2029" i="7"/>
  <c r="B2029" i="7"/>
  <c r="C2029" i="7"/>
  <c r="A2028" i="7"/>
  <c r="B2028" i="7"/>
  <c r="C2028" i="7"/>
  <c r="A2027" i="7"/>
  <c r="B2027" i="7"/>
  <c r="C2027" i="7"/>
  <c r="A2026" i="7"/>
  <c r="B2026" i="7"/>
  <c r="C2026" i="7"/>
  <c r="A2025" i="7"/>
  <c r="B2025" i="7"/>
  <c r="C2025" i="7"/>
  <c r="A2024" i="7"/>
  <c r="B2024" i="7"/>
  <c r="C2024" i="7"/>
  <c r="A2023" i="7"/>
  <c r="B2023" i="7"/>
  <c r="C2023" i="7"/>
  <c r="A2022" i="7"/>
  <c r="B2022" i="7"/>
  <c r="C2022" i="7"/>
  <c r="A2021" i="7"/>
  <c r="B2021" i="7"/>
  <c r="C2021" i="7"/>
  <c r="A2020" i="7"/>
  <c r="B2020" i="7"/>
  <c r="C2020" i="7"/>
  <c r="A2019" i="7"/>
  <c r="B2019" i="7"/>
  <c r="C2019" i="7"/>
  <c r="A2018" i="7"/>
  <c r="B2018" i="7"/>
  <c r="C2018" i="7"/>
  <c r="A2017" i="7"/>
  <c r="B2017" i="7"/>
  <c r="C2017" i="7"/>
  <c r="A2016" i="7"/>
  <c r="B2016" i="7"/>
  <c r="C2016" i="7"/>
  <c r="A2015" i="7"/>
  <c r="B2015" i="7"/>
  <c r="C2015" i="7"/>
  <c r="A2014" i="7"/>
  <c r="B2014" i="7"/>
  <c r="C2014" i="7"/>
  <c r="A2013" i="7"/>
  <c r="B2013" i="7"/>
  <c r="C2013" i="7"/>
  <c r="A2012" i="7"/>
  <c r="B2012" i="7"/>
  <c r="C2012" i="7"/>
  <c r="A2011" i="7"/>
  <c r="B2011" i="7"/>
  <c r="C2011" i="7"/>
  <c r="A2010" i="7"/>
  <c r="B2010" i="7"/>
  <c r="C2010" i="7"/>
  <c r="A2009" i="7"/>
  <c r="B2009" i="7"/>
  <c r="C2009" i="7"/>
  <c r="A2008" i="7"/>
  <c r="B2008" i="7"/>
  <c r="C2008" i="7"/>
  <c r="A2007" i="7"/>
  <c r="B2007" i="7"/>
  <c r="C2007" i="7"/>
  <c r="A2006" i="7"/>
  <c r="B2006" i="7"/>
  <c r="C2006" i="7"/>
  <c r="A2005" i="7"/>
  <c r="B2005" i="7"/>
  <c r="C2005" i="7"/>
  <c r="A2004" i="7"/>
  <c r="B2004" i="7"/>
  <c r="C2004" i="7"/>
  <c r="A2003" i="7"/>
  <c r="B2003" i="7"/>
  <c r="C2003" i="7"/>
  <c r="A2002" i="7"/>
  <c r="B2002" i="7"/>
  <c r="C2002" i="7"/>
  <c r="A2001" i="7"/>
  <c r="B2001" i="7"/>
  <c r="C2001" i="7"/>
  <c r="A2000" i="7"/>
  <c r="B2000" i="7"/>
  <c r="C2000" i="7"/>
  <c r="A1999" i="7"/>
  <c r="B1999" i="7"/>
  <c r="C1999" i="7"/>
  <c r="A1998" i="7"/>
  <c r="B1998" i="7"/>
  <c r="C1998" i="7"/>
  <c r="A1997" i="7"/>
  <c r="B1997" i="7"/>
  <c r="C1997" i="7"/>
  <c r="A1996" i="7"/>
  <c r="B1996" i="7"/>
  <c r="C1996" i="7"/>
  <c r="A1995" i="7"/>
  <c r="B1995" i="7"/>
  <c r="C1995" i="7"/>
  <c r="A1994" i="7"/>
  <c r="B1994" i="7"/>
  <c r="C1994" i="7"/>
  <c r="A1993" i="7"/>
  <c r="B1993" i="7"/>
  <c r="C1993" i="7"/>
  <c r="A1992" i="7"/>
  <c r="B1992" i="7"/>
  <c r="C1992" i="7"/>
  <c r="A1991" i="7"/>
  <c r="B1991" i="7"/>
  <c r="C1991" i="7"/>
  <c r="A1990" i="7"/>
  <c r="B1990" i="7"/>
  <c r="C1990" i="7"/>
  <c r="A1989" i="7"/>
  <c r="B1989" i="7"/>
  <c r="C1989" i="7"/>
  <c r="A1988" i="7"/>
  <c r="B1988" i="7"/>
  <c r="C1988" i="7"/>
  <c r="A1987" i="7"/>
  <c r="B1987" i="7"/>
  <c r="C1987" i="7"/>
  <c r="A1986" i="7"/>
  <c r="B1986" i="7"/>
  <c r="C1986" i="7"/>
  <c r="A1985" i="7"/>
  <c r="B1985" i="7"/>
  <c r="C1985" i="7"/>
  <c r="A1984" i="7"/>
  <c r="B1984" i="7"/>
  <c r="C1984" i="7"/>
  <c r="A1983" i="7"/>
  <c r="B1983" i="7"/>
  <c r="C1983" i="7"/>
  <c r="A1982" i="7"/>
  <c r="B1982" i="7"/>
  <c r="C1982" i="7"/>
  <c r="A1981" i="7"/>
  <c r="B1981" i="7"/>
  <c r="C1981" i="7"/>
  <c r="A1980" i="7"/>
  <c r="B1980" i="7"/>
  <c r="C1980" i="7"/>
  <c r="A1979" i="7"/>
  <c r="B1979" i="7"/>
  <c r="C1979" i="7"/>
  <c r="A1978" i="7"/>
  <c r="B1978" i="7"/>
  <c r="C1978" i="7"/>
  <c r="A1977" i="7"/>
  <c r="B1977" i="7"/>
  <c r="C1977" i="7"/>
  <c r="A1976" i="7"/>
  <c r="B1976" i="7"/>
  <c r="C1976" i="7"/>
  <c r="A1975" i="7"/>
  <c r="B1975" i="7"/>
  <c r="C1975" i="7"/>
  <c r="A1974" i="7"/>
  <c r="B1974" i="7"/>
  <c r="C1974" i="7"/>
  <c r="A1973" i="7"/>
  <c r="B1973" i="7"/>
  <c r="C1973" i="7"/>
  <c r="A1972" i="7"/>
  <c r="B1972" i="7"/>
  <c r="C1972" i="7"/>
  <c r="A1971" i="7"/>
  <c r="B1971" i="7"/>
  <c r="C1971" i="7"/>
  <c r="A1970" i="7"/>
  <c r="B1970" i="7"/>
  <c r="C1970" i="7"/>
  <c r="A1969" i="7"/>
  <c r="B1969" i="7"/>
  <c r="C1969" i="7"/>
  <c r="A1968" i="7"/>
  <c r="B1968" i="7"/>
  <c r="C1968" i="7"/>
  <c r="A1967" i="7"/>
  <c r="B1967" i="7"/>
  <c r="C1967" i="7"/>
  <c r="A1966" i="7"/>
  <c r="B1966" i="7"/>
  <c r="C1966" i="7"/>
  <c r="A1965" i="7"/>
  <c r="B1965" i="7"/>
  <c r="C1965" i="7"/>
  <c r="A1964" i="7"/>
  <c r="B1964" i="7"/>
  <c r="C1964" i="7"/>
  <c r="A1963" i="7"/>
  <c r="B1963" i="7"/>
  <c r="C1963" i="7"/>
  <c r="A1962" i="7"/>
  <c r="B1962" i="7"/>
  <c r="C1962" i="7"/>
  <c r="A1961" i="7"/>
  <c r="B1961" i="7"/>
  <c r="C1961" i="7"/>
  <c r="A1960" i="7"/>
  <c r="B1960" i="7"/>
  <c r="C1960" i="7"/>
  <c r="A1959" i="7"/>
  <c r="B1959" i="7"/>
  <c r="C1959" i="7"/>
  <c r="A1958" i="7"/>
  <c r="B1958" i="7"/>
  <c r="C1958" i="7"/>
  <c r="A1957" i="7"/>
  <c r="B1957" i="7"/>
  <c r="C1957" i="7"/>
  <c r="A1956" i="7"/>
  <c r="B1956" i="7"/>
  <c r="C1956" i="7"/>
  <c r="A1955" i="7"/>
  <c r="B1955" i="7"/>
  <c r="C1955" i="7"/>
  <c r="A1954" i="7"/>
  <c r="B1954" i="7"/>
  <c r="C1954" i="7"/>
  <c r="A1953" i="7"/>
  <c r="B1953" i="7"/>
  <c r="C1953" i="7"/>
  <c r="A1952" i="7"/>
  <c r="B1952" i="7"/>
  <c r="C1952" i="7"/>
  <c r="A1951" i="7"/>
  <c r="B1951" i="7"/>
  <c r="C1951" i="7"/>
  <c r="A1950" i="7"/>
  <c r="B1950" i="7"/>
  <c r="C1950" i="7"/>
  <c r="A1949" i="7"/>
  <c r="B1949" i="7"/>
  <c r="C1949" i="7"/>
  <c r="A1948" i="7"/>
  <c r="B1948" i="7"/>
  <c r="C1948" i="7"/>
  <c r="A1947" i="7"/>
  <c r="B1947" i="7"/>
  <c r="C1947" i="7"/>
  <c r="A1946" i="7"/>
  <c r="B1946" i="7"/>
  <c r="C1946" i="7"/>
  <c r="A1945" i="7"/>
  <c r="B1945" i="7"/>
  <c r="C1945" i="7"/>
  <c r="A1944" i="7"/>
  <c r="B1944" i="7"/>
  <c r="C1944" i="7"/>
  <c r="A1943" i="7"/>
  <c r="B1943" i="7"/>
  <c r="C1943" i="7"/>
  <c r="A1942" i="7"/>
  <c r="B1942" i="7"/>
  <c r="C1942" i="7"/>
  <c r="A1941" i="7"/>
  <c r="B1941" i="7"/>
  <c r="C1941" i="7"/>
  <c r="A1940" i="7"/>
  <c r="B1940" i="7"/>
  <c r="C1940" i="7"/>
  <c r="A1939" i="7"/>
  <c r="B1939" i="7"/>
  <c r="C1939" i="7"/>
  <c r="A1938" i="7"/>
  <c r="B1938" i="7"/>
  <c r="C1938" i="7"/>
  <c r="A1937" i="7"/>
  <c r="B1937" i="7"/>
  <c r="C1937" i="7"/>
  <c r="A1936" i="7"/>
  <c r="B1936" i="7"/>
  <c r="C1936" i="7"/>
  <c r="A1935" i="7"/>
  <c r="B1935" i="7"/>
  <c r="C1935" i="7"/>
  <c r="A1934" i="7"/>
  <c r="B1934" i="7"/>
  <c r="C1934" i="7"/>
  <c r="A1933" i="7"/>
  <c r="B1933" i="7"/>
  <c r="C1933" i="7"/>
  <c r="A1932" i="7"/>
  <c r="B1932" i="7"/>
  <c r="C1932" i="7"/>
  <c r="A1931" i="7"/>
  <c r="B1931" i="7"/>
  <c r="C1931" i="7"/>
  <c r="A1930" i="7"/>
  <c r="B1930" i="7"/>
  <c r="C1930" i="7"/>
  <c r="A1929" i="7"/>
  <c r="B1929" i="7"/>
  <c r="C1929" i="7"/>
  <c r="A1928" i="7"/>
  <c r="B1928" i="7"/>
  <c r="C1928" i="7"/>
  <c r="A1927" i="7"/>
  <c r="B1927" i="7"/>
  <c r="C1927" i="7"/>
  <c r="A1926" i="7"/>
  <c r="B1926" i="7"/>
  <c r="C1926" i="7"/>
  <c r="A1925" i="7"/>
  <c r="B1925" i="7"/>
  <c r="C1925" i="7"/>
  <c r="A1924" i="7"/>
  <c r="B1924" i="7"/>
  <c r="C1924" i="7"/>
  <c r="A1923" i="7"/>
  <c r="B1923" i="7"/>
  <c r="C1923" i="7"/>
  <c r="A1922" i="7"/>
  <c r="B1922" i="7"/>
  <c r="C1922" i="7"/>
  <c r="A1921" i="7"/>
  <c r="B1921" i="7"/>
  <c r="C1921" i="7"/>
  <c r="A1920" i="7"/>
  <c r="B1920" i="7"/>
  <c r="C1920" i="7"/>
  <c r="A1919" i="7"/>
  <c r="B1919" i="7"/>
  <c r="C1919" i="7"/>
  <c r="A1918" i="7"/>
  <c r="B1918" i="7"/>
  <c r="C1918" i="7"/>
  <c r="A1917" i="7"/>
  <c r="B1917" i="7"/>
  <c r="C1917" i="7"/>
  <c r="A1916" i="7"/>
  <c r="B1916" i="7"/>
  <c r="C1916" i="7"/>
  <c r="A1915" i="7"/>
  <c r="B1915" i="7"/>
  <c r="C1915" i="7"/>
  <c r="A1914" i="7"/>
  <c r="B1914" i="7"/>
  <c r="C1914" i="7"/>
  <c r="A1913" i="7"/>
  <c r="B1913" i="7"/>
  <c r="C1913" i="7"/>
  <c r="A1912" i="7"/>
  <c r="B1912" i="7"/>
  <c r="C1912" i="7"/>
  <c r="A1911" i="7"/>
  <c r="B1911" i="7"/>
  <c r="C1911" i="7"/>
  <c r="A1910" i="7"/>
  <c r="B1910" i="7"/>
  <c r="C1910" i="7"/>
  <c r="A1909" i="7"/>
  <c r="B1909" i="7"/>
  <c r="C1909" i="7"/>
  <c r="A1908" i="7"/>
  <c r="B1908" i="7"/>
  <c r="C1908" i="7"/>
  <c r="A1907" i="7"/>
  <c r="B1907" i="7"/>
  <c r="C1907" i="7"/>
  <c r="A1906" i="7"/>
  <c r="B1906" i="7"/>
  <c r="C1906" i="7"/>
  <c r="A1905" i="7"/>
  <c r="B1905" i="7"/>
  <c r="C1905" i="7"/>
  <c r="A1904" i="7"/>
  <c r="B1904" i="7"/>
  <c r="C1904" i="7"/>
  <c r="A1903" i="7"/>
  <c r="B1903" i="7"/>
  <c r="C1903" i="7"/>
  <c r="A1902" i="7"/>
  <c r="B1902" i="7"/>
  <c r="C1902" i="7"/>
  <c r="A1901" i="7"/>
  <c r="B1901" i="7"/>
  <c r="C1901" i="7"/>
  <c r="A1900" i="7"/>
  <c r="B1900" i="7"/>
  <c r="C1900" i="7"/>
  <c r="A1899" i="7"/>
  <c r="B1899" i="7"/>
  <c r="C1899" i="7"/>
  <c r="A1898" i="7"/>
  <c r="B1898" i="7"/>
  <c r="C1898" i="7"/>
  <c r="A1897" i="7"/>
  <c r="B1897" i="7"/>
  <c r="C1897" i="7"/>
  <c r="A1896" i="7"/>
  <c r="B1896" i="7"/>
  <c r="C1896" i="7"/>
  <c r="A1895" i="7"/>
  <c r="B1895" i="7"/>
  <c r="C1895" i="7"/>
  <c r="A1894" i="7"/>
  <c r="B1894" i="7"/>
  <c r="C1894" i="7"/>
  <c r="A1893" i="7"/>
  <c r="B1893" i="7"/>
  <c r="C1893" i="7"/>
  <c r="A1892" i="7"/>
  <c r="B1892" i="7"/>
  <c r="C1892" i="7"/>
  <c r="A1891" i="7"/>
  <c r="B1891" i="7"/>
  <c r="C1891" i="7"/>
  <c r="A1890" i="7"/>
  <c r="B1890" i="7"/>
  <c r="C1890" i="7"/>
  <c r="A1889" i="7"/>
  <c r="B1889" i="7"/>
  <c r="C1889" i="7"/>
  <c r="A1888" i="7"/>
  <c r="B1888" i="7"/>
  <c r="C1888" i="7"/>
  <c r="A1887" i="7"/>
  <c r="B1887" i="7"/>
  <c r="C1887" i="7"/>
  <c r="A1886" i="7"/>
  <c r="B1886" i="7"/>
  <c r="C1886" i="7"/>
  <c r="A1885" i="7"/>
  <c r="B1885" i="7"/>
  <c r="C1885" i="7"/>
  <c r="A1884" i="7"/>
  <c r="B1884" i="7"/>
  <c r="C1884" i="7"/>
  <c r="A1883" i="7"/>
  <c r="B1883" i="7"/>
  <c r="C1883" i="7"/>
  <c r="A1882" i="7"/>
  <c r="B1882" i="7"/>
  <c r="C1882" i="7"/>
  <c r="A1881" i="7"/>
  <c r="B1881" i="7"/>
  <c r="C1881" i="7"/>
  <c r="A1880" i="7"/>
  <c r="B1880" i="7"/>
  <c r="C1880" i="7"/>
  <c r="A1879" i="7"/>
  <c r="B1879" i="7"/>
  <c r="C1879" i="7"/>
  <c r="A1878" i="7"/>
  <c r="B1878" i="7"/>
  <c r="C1878" i="7"/>
  <c r="A1877" i="7"/>
  <c r="B1877" i="7"/>
  <c r="C1877" i="7"/>
  <c r="A1876" i="7"/>
  <c r="B1876" i="7"/>
  <c r="C1876" i="7"/>
  <c r="A1875" i="7"/>
  <c r="B1875" i="7"/>
  <c r="C1875" i="7"/>
  <c r="A1874" i="7"/>
  <c r="B1874" i="7"/>
  <c r="C1874" i="7"/>
  <c r="A1873" i="7"/>
  <c r="B1873" i="7"/>
  <c r="C1873" i="7"/>
  <c r="A1872" i="7"/>
  <c r="B1872" i="7"/>
  <c r="C1872" i="7"/>
  <c r="A1871" i="7"/>
  <c r="B1871" i="7"/>
  <c r="C1871" i="7"/>
  <c r="A1870" i="7"/>
  <c r="B1870" i="7"/>
  <c r="C1870" i="7"/>
  <c r="A1869" i="7"/>
  <c r="B1869" i="7"/>
  <c r="C1869" i="7"/>
  <c r="A1868" i="7"/>
  <c r="B1868" i="7"/>
  <c r="C1868" i="7"/>
  <c r="A1867" i="7"/>
  <c r="B1867" i="7"/>
  <c r="C1867" i="7"/>
  <c r="A1866" i="7"/>
  <c r="B1866" i="7"/>
  <c r="C1866" i="7"/>
  <c r="A1865" i="7"/>
  <c r="B1865" i="7"/>
  <c r="C1865" i="7"/>
  <c r="A1864" i="7"/>
  <c r="B1864" i="7"/>
  <c r="C1864" i="7"/>
  <c r="A1863" i="7"/>
  <c r="B1863" i="7"/>
  <c r="C1863" i="7"/>
  <c r="A1862" i="7"/>
  <c r="B1862" i="7"/>
  <c r="C1862" i="7"/>
  <c r="A1861" i="7"/>
  <c r="B1861" i="7"/>
  <c r="C1861" i="7"/>
  <c r="A1860" i="7"/>
  <c r="B1860" i="7"/>
  <c r="C1860" i="7"/>
  <c r="A1859" i="7"/>
  <c r="B1859" i="7"/>
  <c r="C1859" i="7"/>
  <c r="A1858" i="7"/>
  <c r="B1858" i="7"/>
  <c r="C1858" i="7"/>
  <c r="A1857" i="7"/>
  <c r="B1857" i="7"/>
  <c r="C1857" i="7"/>
  <c r="A1856" i="7"/>
  <c r="B1856" i="7"/>
  <c r="C1856" i="7"/>
  <c r="A1855" i="7"/>
  <c r="B1855" i="7"/>
  <c r="C1855" i="7"/>
  <c r="A1854" i="7"/>
  <c r="B1854" i="7"/>
  <c r="C1854" i="7"/>
  <c r="A1853" i="7"/>
  <c r="B1853" i="7"/>
  <c r="C1853" i="7"/>
  <c r="A1852" i="7"/>
  <c r="B1852" i="7"/>
  <c r="C1852" i="7"/>
  <c r="A1851" i="7"/>
  <c r="B1851" i="7"/>
  <c r="C1851" i="7"/>
  <c r="A1850" i="7"/>
  <c r="B1850" i="7"/>
  <c r="C1850" i="7"/>
  <c r="A1849" i="7"/>
  <c r="B1849" i="7"/>
  <c r="C1849" i="7"/>
  <c r="A1848" i="7"/>
  <c r="B1848" i="7"/>
  <c r="C1848" i="7"/>
  <c r="A1847" i="7"/>
  <c r="B1847" i="7"/>
  <c r="C1847" i="7"/>
  <c r="A1846" i="7"/>
  <c r="B1846" i="7"/>
  <c r="C1846" i="7"/>
  <c r="A1845" i="7"/>
  <c r="B1845" i="7"/>
  <c r="C1845" i="7"/>
  <c r="A1844" i="7"/>
  <c r="B1844" i="7"/>
  <c r="C1844" i="7"/>
  <c r="A1843" i="7"/>
  <c r="B1843" i="7"/>
  <c r="C1843" i="7"/>
  <c r="A1842" i="7"/>
  <c r="B1842" i="7"/>
  <c r="C1842" i="7"/>
  <c r="A1841" i="7"/>
  <c r="B1841" i="7"/>
  <c r="C1841" i="7"/>
  <c r="A1840" i="7"/>
  <c r="B1840" i="7"/>
  <c r="C1840" i="7"/>
  <c r="A1839" i="7"/>
  <c r="B1839" i="7"/>
  <c r="C1839" i="7"/>
  <c r="A1838" i="7"/>
  <c r="B1838" i="7"/>
  <c r="C1838" i="7"/>
  <c r="A1837" i="7"/>
  <c r="B1837" i="7"/>
  <c r="C1837" i="7"/>
  <c r="A1836" i="7"/>
  <c r="B1836" i="7"/>
  <c r="C1836" i="7"/>
  <c r="A1835" i="7"/>
  <c r="B1835" i="7"/>
  <c r="C1835" i="7"/>
  <c r="A1834" i="7"/>
  <c r="B1834" i="7"/>
  <c r="C1834" i="7"/>
  <c r="A1833" i="7"/>
  <c r="B1833" i="7"/>
  <c r="C1833" i="7"/>
  <c r="A1832" i="7"/>
  <c r="B1832" i="7"/>
  <c r="C1832" i="7"/>
  <c r="A1831" i="7"/>
  <c r="B1831" i="7"/>
  <c r="C1831" i="7"/>
  <c r="A1830" i="7"/>
  <c r="B1830" i="7"/>
  <c r="C1830" i="7"/>
  <c r="A1829" i="7"/>
  <c r="B1829" i="7"/>
  <c r="C1829" i="7"/>
  <c r="A1828" i="7"/>
  <c r="B1828" i="7"/>
  <c r="C1828" i="7"/>
  <c r="A1827" i="7"/>
  <c r="B1827" i="7"/>
  <c r="C1827" i="7"/>
  <c r="A1826" i="7"/>
  <c r="B1826" i="7"/>
  <c r="C1826" i="7"/>
  <c r="A1825" i="7"/>
  <c r="B1825" i="7"/>
  <c r="C1825" i="7"/>
  <c r="A1824" i="7"/>
  <c r="B1824" i="7"/>
  <c r="C1824" i="7"/>
  <c r="A1823" i="7"/>
  <c r="B1823" i="7"/>
  <c r="C1823" i="7"/>
  <c r="A1822" i="7"/>
  <c r="B1822" i="7"/>
  <c r="C1822" i="7"/>
  <c r="A1821" i="7"/>
  <c r="B1821" i="7"/>
  <c r="C1821" i="7"/>
  <c r="A1820" i="7"/>
  <c r="B1820" i="7"/>
  <c r="C1820" i="7"/>
  <c r="A1819" i="7"/>
  <c r="B1819" i="7"/>
  <c r="C1819" i="7"/>
  <c r="A1818" i="7"/>
  <c r="B1818" i="7"/>
  <c r="C1818" i="7"/>
  <c r="A1817" i="7"/>
  <c r="B1817" i="7"/>
  <c r="C1817" i="7"/>
  <c r="A1816" i="7"/>
  <c r="B1816" i="7"/>
  <c r="C1816" i="7"/>
  <c r="A1815" i="7"/>
  <c r="B1815" i="7"/>
  <c r="C1815" i="7"/>
  <c r="A1814" i="7"/>
  <c r="B1814" i="7"/>
  <c r="C1814" i="7"/>
  <c r="A1813" i="7"/>
  <c r="B1813" i="7"/>
  <c r="C1813" i="7"/>
  <c r="A1812" i="7"/>
  <c r="B1812" i="7"/>
  <c r="C1812" i="7"/>
  <c r="A1811" i="7"/>
  <c r="B1811" i="7"/>
  <c r="C1811" i="7"/>
  <c r="A1810" i="7"/>
  <c r="B1810" i="7"/>
  <c r="C1810" i="7"/>
  <c r="A1809" i="7"/>
  <c r="B1809" i="7"/>
  <c r="C1809" i="7"/>
  <c r="A1808" i="7"/>
  <c r="B1808" i="7"/>
  <c r="C1808" i="7"/>
  <c r="A1807" i="7"/>
  <c r="B1807" i="7"/>
  <c r="C1807" i="7"/>
  <c r="A1806" i="7"/>
  <c r="B1806" i="7"/>
  <c r="C1806" i="7"/>
  <c r="A1805" i="7"/>
  <c r="B1805" i="7"/>
  <c r="C1805" i="7"/>
  <c r="A1804" i="7"/>
  <c r="B1804" i="7"/>
  <c r="C1804" i="7"/>
  <c r="A1803" i="7"/>
  <c r="B1803" i="7"/>
  <c r="C1803" i="7"/>
  <c r="A1802" i="7"/>
  <c r="B1802" i="7"/>
  <c r="C1802" i="7"/>
  <c r="A1801" i="7"/>
  <c r="B1801" i="7"/>
  <c r="C1801" i="7"/>
  <c r="A1800" i="7"/>
  <c r="B1800" i="7"/>
  <c r="C1800" i="7"/>
  <c r="A1799" i="7"/>
  <c r="B1799" i="7"/>
  <c r="C1799" i="7"/>
  <c r="A1798" i="7"/>
  <c r="B1798" i="7"/>
  <c r="C1798" i="7"/>
  <c r="A1797" i="7"/>
  <c r="B1797" i="7"/>
  <c r="C1797" i="7"/>
  <c r="A1796" i="7"/>
  <c r="B1796" i="7"/>
  <c r="C1796" i="7"/>
  <c r="A1795" i="7"/>
  <c r="B1795" i="7"/>
  <c r="C1795" i="7"/>
  <c r="A1794" i="7"/>
  <c r="B1794" i="7"/>
  <c r="C1794" i="7"/>
  <c r="A1793" i="7"/>
  <c r="B1793" i="7"/>
  <c r="C1793" i="7"/>
  <c r="A1792" i="7"/>
  <c r="B1792" i="7"/>
  <c r="C1792" i="7"/>
  <c r="A1791" i="7"/>
  <c r="B1791" i="7"/>
  <c r="C1791" i="7"/>
  <c r="A1790" i="7"/>
  <c r="B1790" i="7"/>
  <c r="C1790" i="7"/>
  <c r="A1789" i="7"/>
  <c r="B1789" i="7"/>
  <c r="C1789" i="7"/>
  <c r="A1788" i="7"/>
  <c r="B1788" i="7"/>
  <c r="C1788" i="7"/>
  <c r="A1787" i="7"/>
  <c r="B1787" i="7"/>
  <c r="C1787" i="7"/>
  <c r="A1786" i="7"/>
  <c r="B1786" i="7"/>
  <c r="C1786" i="7"/>
  <c r="A1785" i="7"/>
  <c r="B1785" i="7"/>
  <c r="C1785" i="7"/>
  <c r="A1784" i="7"/>
  <c r="B1784" i="7"/>
  <c r="C1784" i="7"/>
  <c r="A1783" i="7"/>
  <c r="B1783" i="7"/>
  <c r="C1783" i="7"/>
  <c r="A1782" i="7"/>
  <c r="B1782" i="7"/>
  <c r="C1782" i="7"/>
  <c r="A1781" i="7"/>
  <c r="B1781" i="7"/>
  <c r="C1781" i="7"/>
  <c r="A1780" i="7"/>
  <c r="B1780" i="7"/>
  <c r="C1780" i="7"/>
  <c r="A1779" i="7"/>
  <c r="B1779" i="7"/>
  <c r="C1779" i="7"/>
  <c r="A1778" i="7"/>
  <c r="B1778" i="7"/>
  <c r="C1778" i="7"/>
  <c r="A1777" i="7"/>
  <c r="B1777" i="7"/>
  <c r="C1777" i="7"/>
  <c r="A1776" i="7"/>
  <c r="B1776" i="7"/>
  <c r="C1776" i="7"/>
  <c r="A1775" i="7"/>
  <c r="B1775" i="7"/>
  <c r="C1775" i="7"/>
  <c r="A1774" i="7"/>
  <c r="B1774" i="7"/>
  <c r="C1774" i="7"/>
  <c r="A1773" i="7"/>
  <c r="B1773" i="7"/>
  <c r="C1773" i="7"/>
  <c r="A1772" i="7"/>
  <c r="B1772" i="7"/>
  <c r="C1772" i="7"/>
  <c r="A1771" i="7"/>
  <c r="B1771" i="7"/>
  <c r="C1771" i="7"/>
  <c r="A1770" i="7"/>
  <c r="B1770" i="7"/>
  <c r="C1770" i="7"/>
  <c r="A1769" i="7"/>
  <c r="B1769" i="7"/>
  <c r="C1769" i="7"/>
  <c r="A1768" i="7"/>
  <c r="B1768" i="7"/>
  <c r="C1768" i="7"/>
  <c r="A1767" i="7"/>
  <c r="B1767" i="7"/>
  <c r="C1767" i="7"/>
  <c r="A1766" i="7"/>
  <c r="B1766" i="7"/>
  <c r="C1766" i="7"/>
  <c r="A1765" i="7"/>
  <c r="B1765" i="7"/>
  <c r="C1765" i="7"/>
  <c r="A1764" i="7"/>
  <c r="B1764" i="7"/>
  <c r="C1764" i="7"/>
  <c r="A1763" i="7"/>
  <c r="B1763" i="7"/>
  <c r="C1763" i="7"/>
  <c r="A1762" i="7"/>
  <c r="B1762" i="7"/>
  <c r="C1762" i="7"/>
  <c r="A1761" i="7"/>
  <c r="B1761" i="7"/>
  <c r="C1761" i="7"/>
  <c r="A1760" i="7"/>
  <c r="B1760" i="7"/>
  <c r="C1760" i="7"/>
  <c r="A1759" i="7"/>
  <c r="B1759" i="7"/>
  <c r="C1759" i="7"/>
  <c r="A1758" i="7"/>
  <c r="B1758" i="7"/>
  <c r="C1758" i="7"/>
  <c r="A1757" i="7"/>
  <c r="B1757" i="7"/>
  <c r="C1757" i="7"/>
  <c r="A1756" i="7"/>
  <c r="B1756" i="7"/>
  <c r="C1756" i="7"/>
  <c r="A1755" i="7"/>
  <c r="B1755" i="7"/>
  <c r="C1755" i="7"/>
  <c r="A1754" i="7"/>
  <c r="B1754" i="7"/>
  <c r="C1754" i="7"/>
  <c r="A1753" i="7"/>
  <c r="B1753" i="7"/>
  <c r="C1753" i="7"/>
  <c r="A1752" i="7"/>
  <c r="B1752" i="7"/>
  <c r="C1752" i="7"/>
  <c r="A1751" i="7"/>
  <c r="B1751" i="7"/>
  <c r="C1751" i="7"/>
  <c r="A1750" i="7"/>
  <c r="B1750" i="7"/>
  <c r="C1750" i="7"/>
  <c r="A1749" i="7"/>
  <c r="B1749" i="7"/>
  <c r="C1749" i="7"/>
  <c r="A1748" i="7"/>
  <c r="B1748" i="7"/>
  <c r="C1748" i="7"/>
  <c r="A1747" i="7"/>
  <c r="B1747" i="7"/>
  <c r="C1747" i="7"/>
  <c r="A1746" i="7"/>
  <c r="B1746" i="7"/>
  <c r="C1746" i="7"/>
  <c r="A1745" i="7"/>
  <c r="B1745" i="7"/>
  <c r="C1745" i="7"/>
  <c r="A1744" i="7"/>
  <c r="B1744" i="7"/>
  <c r="C1744" i="7"/>
  <c r="A1743" i="7"/>
  <c r="B1743" i="7"/>
  <c r="C1743" i="7"/>
  <c r="A1742" i="7"/>
  <c r="B1742" i="7"/>
  <c r="C1742" i="7"/>
  <c r="A1741" i="7"/>
  <c r="B1741" i="7"/>
  <c r="C1741" i="7"/>
  <c r="A1740" i="7"/>
  <c r="B1740" i="7"/>
  <c r="C1740" i="7"/>
  <c r="A1739" i="7"/>
  <c r="B1739" i="7"/>
  <c r="C1739" i="7"/>
  <c r="A1738" i="7"/>
  <c r="B1738" i="7"/>
  <c r="C1738" i="7"/>
  <c r="A1737" i="7"/>
  <c r="B1737" i="7"/>
  <c r="C1737" i="7"/>
  <c r="A1736" i="7"/>
  <c r="B1736" i="7"/>
  <c r="C1736" i="7"/>
  <c r="A1735" i="7"/>
  <c r="B1735" i="7"/>
  <c r="C1735" i="7"/>
  <c r="A1734" i="7"/>
  <c r="B1734" i="7"/>
  <c r="C1734" i="7"/>
  <c r="A1733" i="7"/>
  <c r="B1733" i="7"/>
  <c r="C1733" i="7"/>
  <c r="A1732" i="7"/>
  <c r="B1732" i="7"/>
  <c r="C1732" i="7"/>
  <c r="A1731" i="7"/>
  <c r="B1731" i="7"/>
  <c r="C1731" i="7"/>
  <c r="A1730" i="7"/>
  <c r="B1730" i="7"/>
  <c r="C1730" i="7"/>
  <c r="A1729" i="7"/>
  <c r="B1729" i="7"/>
  <c r="C1729" i="7"/>
  <c r="A1728" i="7"/>
  <c r="B1728" i="7"/>
  <c r="C1728" i="7"/>
  <c r="A1727" i="7"/>
  <c r="B1727" i="7"/>
  <c r="C1727" i="7"/>
  <c r="A1726" i="7"/>
  <c r="B1726" i="7"/>
  <c r="C1726" i="7"/>
  <c r="A1725" i="7"/>
  <c r="B1725" i="7"/>
  <c r="C1725" i="7"/>
  <c r="A1724" i="7"/>
  <c r="B1724" i="7"/>
  <c r="C1724" i="7"/>
  <c r="A1723" i="7"/>
  <c r="B1723" i="7"/>
  <c r="C1723" i="7"/>
  <c r="A1722" i="7"/>
  <c r="B1722" i="7"/>
  <c r="C1722" i="7"/>
  <c r="A1721" i="7"/>
  <c r="B1721" i="7"/>
  <c r="C1721" i="7"/>
  <c r="A1720" i="7"/>
  <c r="B1720" i="7"/>
  <c r="C1720" i="7"/>
  <c r="A1719" i="7"/>
  <c r="B1719" i="7"/>
  <c r="C1719" i="7"/>
  <c r="A1718" i="7"/>
  <c r="B1718" i="7"/>
  <c r="C1718" i="7"/>
  <c r="A1717" i="7"/>
  <c r="B1717" i="7"/>
  <c r="C1717" i="7"/>
  <c r="A1716" i="7"/>
  <c r="B1716" i="7"/>
  <c r="C1716" i="7"/>
  <c r="A1715" i="7"/>
  <c r="B1715" i="7"/>
  <c r="C1715" i="7"/>
  <c r="A1714" i="7"/>
  <c r="B1714" i="7"/>
  <c r="C1714" i="7"/>
  <c r="A1713" i="7"/>
  <c r="B1713" i="7"/>
  <c r="C1713" i="7"/>
  <c r="A1712" i="7"/>
  <c r="B1712" i="7"/>
  <c r="C1712" i="7"/>
  <c r="A1711" i="7"/>
  <c r="B1711" i="7"/>
  <c r="C1711" i="7"/>
  <c r="A1710" i="7"/>
  <c r="B1710" i="7"/>
  <c r="C1710" i="7"/>
  <c r="A1709" i="7"/>
  <c r="B1709" i="7"/>
  <c r="C1709" i="7"/>
  <c r="A1708" i="7"/>
  <c r="B1708" i="7"/>
  <c r="C1708" i="7"/>
  <c r="A1707" i="7"/>
  <c r="B1707" i="7"/>
  <c r="C1707" i="7"/>
  <c r="A1706" i="7"/>
  <c r="B1706" i="7"/>
  <c r="C1706" i="7"/>
  <c r="A1705" i="7"/>
  <c r="B1705" i="7"/>
  <c r="C1705" i="7"/>
  <c r="A1704" i="7"/>
  <c r="B1704" i="7"/>
  <c r="C1704" i="7"/>
  <c r="A1703" i="7"/>
  <c r="B1703" i="7"/>
  <c r="C1703" i="7"/>
  <c r="A1702" i="7"/>
  <c r="B1702" i="7"/>
  <c r="C1702" i="7"/>
  <c r="A1701" i="7"/>
  <c r="B1701" i="7"/>
  <c r="C1701" i="7"/>
  <c r="A1700" i="7"/>
  <c r="B1700" i="7"/>
  <c r="C1700" i="7"/>
  <c r="A1699" i="7"/>
  <c r="B1699" i="7"/>
  <c r="C1699" i="7"/>
  <c r="A1698" i="7"/>
  <c r="B1698" i="7"/>
  <c r="C1698" i="7"/>
  <c r="A1697" i="7"/>
  <c r="B1697" i="7"/>
  <c r="C1697" i="7"/>
  <c r="A1696" i="7"/>
  <c r="B1696" i="7"/>
  <c r="C1696" i="7"/>
  <c r="A1695" i="7"/>
  <c r="B1695" i="7"/>
  <c r="C1695" i="7"/>
  <c r="A1694" i="7"/>
  <c r="B1694" i="7"/>
  <c r="C1694" i="7"/>
  <c r="A1693" i="7"/>
  <c r="B1693" i="7"/>
  <c r="C1693" i="7"/>
  <c r="A1692" i="7"/>
  <c r="B1692" i="7"/>
  <c r="C1692" i="7"/>
  <c r="A1691" i="7"/>
  <c r="B1691" i="7"/>
  <c r="C1691" i="7"/>
  <c r="A1690" i="7"/>
  <c r="B1690" i="7"/>
  <c r="C1690" i="7"/>
  <c r="A1689" i="7"/>
  <c r="B1689" i="7"/>
  <c r="C1689" i="7"/>
  <c r="A1688" i="7"/>
  <c r="B1688" i="7"/>
  <c r="C1688" i="7"/>
  <c r="A1687" i="7"/>
  <c r="B1687" i="7"/>
  <c r="C1687" i="7"/>
  <c r="A1686" i="7"/>
  <c r="B1686" i="7"/>
  <c r="C1686" i="7"/>
  <c r="A1685" i="7"/>
  <c r="B1685" i="7"/>
  <c r="C1685" i="7"/>
  <c r="A1684" i="7"/>
  <c r="B1684" i="7"/>
  <c r="C1684" i="7"/>
  <c r="A1683" i="7"/>
  <c r="B1683" i="7"/>
  <c r="C1683" i="7"/>
  <c r="A1682" i="7"/>
  <c r="B1682" i="7"/>
  <c r="C1682" i="7"/>
  <c r="A1681" i="7"/>
  <c r="B1681" i="7"/>
  <c r="C1681" i="7"/>
  <c r="A1680" i="7"/>
  <c r="B1680" i="7"/>
  <c r="C1680" i="7"/>
  <c r="A1679" i="7"/>
  <c r="B1679" i="7"/>
  <c r="C1679" i="7"/>
  <c r="A1678" i="7"/>
  <c r="B1678" i="7"/>
  <c r="C1678" i="7"/>
  <c r="A1677" i="7"/>
  <c r="B1677" i="7"/>
  <c r="C1677" i="7"/>
  <c r="A1676" i="7"/>
  <c r="B1676" i="7"/>
  <c r="C1676" i="7"/>
  <c r="A1675" i="7"/>
  <c r="B1675" i="7"/>
  <c r="C1675" i="7"/>
  <c r="A1674" i="7"/>
  <c r="B1674" i="7"/>
  <c r="C1674" i="7"/>
  <c r="A1673" i="7"/>
  <c r="B1673" i="7"/>
  <c r="C1673" i="7"/>
  <c r="A1672" i="7"/>
  <c r="B1672" i="7"/>
  <c r="C1672" i="7"/>
  <c r="A1671" i="7"/>
  <c r="B1671" i="7"/>
  <c r="C1671" i="7"/>
  <c r="A1670" i="7"/>
  <c r="B1670" i="7"/>
  <c r="C1670" i="7"/>
  <c r="A1669" i="7"/>
  <c r="B1669" i="7"/>
  <c r="C1669" i="7"/>
  <c r="A1668" i="7"/>
  <c r="B1668" i="7"/>
  <c r="C1668" i="7"/>
  <c r="A1667" i="7"/>
  <c r="B1667" i="7"/>
  <c r="C1667" i="7"/>
  <c r="A1666" i="7"/>
  <c r="B1666" i="7"/>
  <c r="C1666" i="7"/>
  <c r="A1665" i="7"/>
  <c r="B1665" i="7"/>
  <c r="C1665" i="7"/>
  <c r="A1664" i="7"/>
  <c r="B1664" i="7"/>
  <c r="C1664" i="7"/>
  <c r="A1663" i="7"/>
  <c r="B1663" i="7"/>
  <c r="C1663" i="7"/>
  <c r="A1662" i="7"/>
  <c r="B1662" i="7"/>
  <c r="C1662" i="7"/>
  <c r="A1661" i="7"/>
  <c r="B1661" i="7"/>
  <c r="C1661" i="7"/>
  <c r="A1660" i="7"/>
  <c r="B1660" i="7"/>
  <c r="C1660" i="7"/>
  <c r="A1659" i="7"/>
  <c r="B1659" i="7"/>
  <c r="C1659" i="7"/>
  <c r="A1658" i="7"/>
  <c r="B1658" i="7"/>
  <c r="C1658" i="7"/>
  <c r="A1657" i="7"/>
  <c r="B1657" i="7"/>
  <c r="C1657" i="7"/>
  <c r="A1656" i="7"/>
  <c r="B1656" i="7"/>
  <c r="C1656" i="7"/>
  <c r="A1655" i="7"/>
  <c r="B1655" i="7"/>
  <c r="C1655" i="7"/>
  <c r="A1654" i="7"/>
  <c r="B1654" i="7"/>
  <c r="C1654" i="7"/>
  <c r="A1653" i="7"/>
  <c r="B1653" i="7"/>
  <c r="C1653" i="7"/>
  <c r="A1652" i="7"/>
  <c r="B1652" i="7"/>
  <c r="C1652" i="7"/>
  <c r="A1651" i="7"/>
  <c r="B1651" i="7"/>
  <c r="C1651" i="7"/>
  <c r="A1650" i="7"/>
  <c r="B1650" i="7"/>
  <c r="C1650" i="7"/>
  <c r="A1649" i="7"/>
  <c r="B1649" i="7"/>
  <c r="C1649" i="7"/>
  <c r="A1648" i="7"/>
  <c r="B1648" i="7"/>
  <c r="C1648" i="7"/>
  <c r="A1647" i="7"/>
  <c r="B1647" i="7"/>
  <c r="C1647" i="7"/>
  <c r="A1646" i="7"/>
  <c r="B1646" i="7"/>
  <c r="C1646" i="7"/>
  <c r="A1645" i="7"/>
  <c r="B1645" i="7"/>
  <c r="C1645" i="7"/>
  <c r="A1644" i="7"/>
  <c r="B1644" i="7"/>
  <c r="C1644" i="7"/>
  <c r="A1643" i="7"/>
  <c r="B1643" i="7"/>
  <c r="C1643" i="7"/>
  <c r="A1642" i="7"/>
  <c r="B1642" i="7"/>
  <c r="C1642" i="7"/>
  <c r="A1641" i="7"/>
  <c r="B1641" i="7"/>
  <c r="C1641" i="7"/>
  <c r="A1640" i="7"/>
  <c r="B1640" i="7"/>
  <c r="C1640" i="7"/>
  <c r="A1639" i="7"/>
  <c r="B1639" i="7"/>
  <c r="C1639" i="7"/>
  <c r="A1638" i="7"/>
  <c r="B1638" i="7"/>
  <c r="C1638" i="7"/>
  <c r="A1637" i="7"/>
  <c r="B1637" i="7"/>
  <c r="C1637" i="7"/>
  <c r="A1636" i="7"/>
  <c r="B1636" i="7"/>
  <c r="C1636" i="7"/>
  <c r="A1635" i="7"/>
  <c r="B1635" i="7"/>
  <c r="C1635" i="7"/>
  <c r="A1634" i="7"/>
  <c r="B1634" i="7"/>
  <c r="C1634" i="7"/>
  <c r="A1633" i="7"/>
  <c r="B1633" i="7"/>
  <c r="C1633" i="7"/>
  <c r="A1632" i="7"/>
  <c r="B1632" i="7"/>
  <c r="C1632" i="7"/>
  <c r="A1631" i="7"/>
  <c r="B1631" i="7"/>
  <c r="C1631" i="7"/>
  <c r="A1630" i="7"/>
  <c r="B1630" i="7"/>
  <c r="C1630" i="7"/>
  <c r="A1629" i="7"/>
  <c r="B1629" i="7"/>
  <c r="C1629" i="7"/>
  <c r="A1628" i="7"/>
  <c r="B1628" i="7"/>
  <c r="C1628" i="7"/>
  <c r="A1627" i="7"/>
  <c r="B1627" i="7"/>
  <c r="C1627" i="7"/>
  <c r="A1626" i="7"/>
  <c r="B1626" i="7"/>
  <c r="C1626" i="7"/>
  <c r="A1625" i="7"/>
  <c r="B1625" i="7"/>
  <c r="C1625" i="7"/>
  <c r="A1624" i="7"/>
  <c r="B1624" i="7"/>
  <c r="C1624" i="7"/>
  <c r="A1623" i="7"/>
  <c r="B1623" i="7"/>
  <c r="C1623" i="7"/>
  <c r="A1622" i="7"/>
  <c r="B1622" i="7"/>
  <c r="C1622" i="7"/>
  <c r="A1621" i="7"/>
  <c r="B1621" i="7"/>
  <c r="C1621" i="7"/>
  <c r="A1620" i="7"/>
  <c r="B1620" i="7"/>
  <c r="C1620" i="7"/>
  <c r="A1619" i="7"/>
  <c r="B1619" i="7"/>
  <c r="C1619" i="7"/>
  <c r="A1618" i="7"/>
  <c r="B1618" i="7"/>
  <c r="C1618" i="7"/>
  <c r="A1617" i="7"/>
  <c r="B1617" i="7"/>
  <c r="C1617" i="7"/>
  <c r="A1616" i="7"/>
  <c r="B1616" i="7"/>
  <c r="C1616" i="7"/>
  <c r="A1615" i="7"/>
  <c r="B1615" i="7"/>
  <c r="C1615" i="7"/>
  <c r="A1614" i="7"/>
  <c r="B1614" i="7"/>
  <c r="C1614" i="7"/>
  <c r="A1613" i="7"/>
  <c r="B1613" i="7"/>
  <c r="C1613" i="7"/>
  <c r="A1612" i="7"/>
  <c r="B1612" i="7"/>
  <c r="C1612" i="7"/>
  <c r="A1611" i="7"/>
  <c r="B1611" i="7"/>
  <c r="C1611" i="7"/>
  <c r="A1610" i="7"/>
  <c r="B1610" i="7"/>
  <c r="C1610" i="7"/>
  <c r="A1609" i="7"/>
  <c r="B1609" i="7"/>
  <c r="C1609" i="7"/>
  <c r="A1608" i="7"/>
  <c r="B1608" i="7"/>
  <c r="C1608" i="7"/>
  <c r="A1607" i="7"/>
  <c r="B1607" i="7"/>
  <c r="C1607" i="7"/>
  <c r="A1606" i="7"/>
  <c r="B1606" i="7"/>
  <c r="C1606" i="7"/>
  <c r="A1605" i="7"/>
  <c r="B1605" i="7"/>
  <c r="C1605" i="7"/>
  <c r="A1604" i="7"/>
  <c r="B1604" i="7"/>
  <c r="C1604" i="7"/>
  <c r="A1603" i="7"/>
  <c r="B1603" i="7"/>
  <c r="C1603" i="7"/>
  <c r="A1602" i="7"/>
  <c r="B1602" i="7"/>
  <c r="C1602" i="7"/>
  <c r="A1601" i="7"/>
  <c r="B1601" i="7"/>
  <c r="C1601" i="7"/>
  <c r="A1600" i="7"/>
  <c r="B1600" i="7"/>
  <c r="C1600" i="7"/>
  <c r="A1599" i="7"/>
  <c r="B1599" i="7"/>
  <c r="C1599" i="7"/>
  <c r="A1598" i="7"/>
  <c r="B1598" i="7"/>
  <c r="C1598" i="7"/>
  <c r="A1597" i="7"/>
  <c r="B1597" i="7"/>
  <c r="C1597" i="7"/>
  <c r="A1596" i="7"/>
  <c r="B1596" i="7"/>
  <c r="C1596" i="7"/>
  <c r="A1595" i="7"/>
  <c r="B1595" i="7"/>
  <c r="C1595" i="7"/>
  <c r="A1594" i="7"/>
  <c r="B1594" i="7"/>
  <c r="C1594" i="7"/>
  <c r="A1593" i="7"/>
  <c r="B1593" i="7"/>
  <c r="C1593" i="7"/>
  <c r="A1592" i="7"/>
  <c r="B1592" i="7"/>
  <c r="C1592" i="7"/>
  <c r="A1591" i="7"/>
  <c r="B1591" i="7"/>
  <c r="C1591" i="7"/>
  <c r="A1590" i="7"/>
  <c r="B1590" i="7"/>
  <c r="C1590" i="7"/>
  <c r="A1589" i="7"/>
  <c r="B1589" i="7"/>
  <c r="C1589" i="7"/>
  <c r="A1588" i="7"/>
  <c r="B1588" i="7"/>
  <c r="C1588" i="7"/>
  <c r="A1587" i="7"/>
  <c r="B1587" i="7"/>
  <c r="C1587" i="7"/>
  <c r="A1586" i="7"/>
  <c r="B1586" i="7"/>
  <c r="C1586" i="7"/>
  <c r="A1585" i="7"/>
  <c r="B1585" i="7"/>
  <c r="C1585" i="7"/>
  <c r="A1584" i="7"/>
  <c r="B1584" i="7"/>
  <c r="C1584" i="7"/>
  <c r="A1583" i="7"/>
  <c r="B1583" i="7"/>
  <c r="C1583" i="7"/>
  <c r="A1582" i="7"/>
  <c r="B1582" i="7"/>
  <c r="C1582" i="7"/>
  <c r="A1581" i="7"/>
  <c r="B1581" i="7"/>
  <c r="C1581" i="7"/>
  <c r="A1580" i="7"/>
  <c r="B1580" i="7"/>
  <c r="C1580" i="7"/>
  <c r="A1579" i="7"/>
  <c r="B1579" i="7"/>
  <c r="C1579" i="7"/>
  <c r="A1578" i="7"/>
  <c r="B1578" i="7"/>
  <c r="C1578" i="7"/>
  <c r="A1577" i="7"/>
  <c r="B1577" i="7"/>
  <c r="C1577" i="7"/>
  <c r="A1576" i="7"/>
  <c r="B1576" i="7"/>
  <c r="C1576" i="7"/>
  <c r="A1575" i="7"/>
  <c r="B1575" i="7"/>
  <c r="C1575" i="7"/>
  <c r="A1574" i="7"/>
  <c r="B1574" i="7"/>
  <c r="C1574" i="7"/>
  <c r="A1573" i="7"/>
  <c r="B1573" i="7"/>
  <c r="C1573" i="7"/>
  <c r="A1572" i="7"/>
  <c r="B1572" i="7"/>
  <c r="C1572" i="7"/>
  <c r="A1571" i="7"/>
  <c r="B1571" i="7"/>
  <c r="C1571" i="7"/>
  <c r="A1570" i="7"/>
  <c r="B1570" i="7"/>
  <c r="C1570" i="7"/>
  <c r="A1569" i="7"/>
  <c r="B1569" i="7"/>
  <c r="C1569" i="7"/>
  <c r="A1568" i="7"/>
  <c r="B1568" i="7"/>
  <c r="C1568" i="7"/>
  <c r="A1567" i="7"/>
  <c r="B1567" i="7"/>
  <c r="C1567" i="7"/>
  <c r="A1566" i="7"/>
  <c r="B1566" i="7"/>
  <c r="C1566" i="7"/>
  <c r="A1565" i="7"/>
  <c r="B1565" i="7"/>
  <c r="C1565" i="7"/>
  <c r="A1564" i="7"/>
  <c r="B1564" i="7"/>
  <c r="C1564" i="7"/>
  <c r="A1563" i="7"/>
  <c r="B1563" i="7"/>
  <c r="C1563" i="7"/>
  <c r="A1562" i="7"/>
  <c r="B1562" i="7"/>
  <c r="C1562" i="7"/>
  <c r="A1561" i="7"/>
  <c r="B1561" i="7"/>
  <c r="C1561" i="7"/>
  <c r="A1560" i="7"/>
  <c r="B1560" i="7"/>
  <c r="C1560" i="7"/>
  <c r="A1559" i="7"/>
  <c r="B1559" i="7"/>
  <c r="C1559" i="7"/>
  <c r="A1558" i="7"/>
  <c r="B1558" i="7"/>
  <c r="C1558" i="7"/>
  <c r="A1557" i="7"/>
  <c r="B1557" i="7"/>
  <c r="C1557" i="7"/>
  <c r="A1556" i="7"/>
  <c r="B1556" i="7"/>
  <c r="C1556" i="7"/>
  <c r="A1555" i="7"/>
  <c r="B1555" i="7"/>
  <c r="C1555" i="7"/>
  <c r="A1554" i="7"/>
  <c r="B1554" i="7"/>
  <c r="C1554" i="7"/>
  <c r="A1553" i="7"/>
  <c r="B1553" i="7"/>
  <c r="C1553" i="7"/>
  <c r="A1552" i="7"/>
  <c r="B1552" i="7"/>
  <c r="C1552" i="7"/>
  <c r="A1551" i="7"/>
  <c r="B1551" i="7"/>
  <c r="C1551" i="7"/>
  <c r="A1550" i="7"/>
  <c r="B1550" i="7"/>
  <c r="C1550" i="7"/>
  <c r="A1549" i="7"/>
  <c r="B1549" i="7"/>
  <c r="C1549" i="7"/>
  <c r="A1548" i="7"/>
  <c r="B1548" i="7"/>
  <c r="C1548" i="7"/>
  <c r="A1547" i="7"/>
  <c r="B1547" i="7"/>
  <c r="C1547" i="7"/>
  <c r="A1546" i="7"/>
  <c r="B1546" i="7"/>
  <c r="C1546" i="7"/>
  <c r="A1545" i="7"/>
  <c r="B1545" i="7"/>
  <c r="C1545" i="7"/>
  <c r="A1544" i="7"/>
  <c r="B1544" i="7"/>
  <c r="C1544" i="7"/>
  <c r="A1543" i="7"/>
  <c r="B1543" i="7"/>
  <c r="C1543" i="7"/>
  <c r="A1542" i="7"/>
  <c r="B1542" i="7"/>
  <c r="C1542" i="7"/>
  <c r="A1541" i="7"/>
  <c r="B1541" i="7"/>
  <c r="C1541" i="7"/>
  <c r="A1540" i="7"/>
  <c r="B1540" i="7"/>
  <c r="C1540" i="7"/>
  <c r="A1539" i="7"/>
  <c r="B1539" i="7"/>
  <c r="C1539" i="7"/>
  <c r="A1538" i="7"/>
  <c r="B1538" i="7"/>
  <c r="C1538" i="7"/>
  <c r="A1537" i="7"/>
  <c r="B1537" i="7"/>
  <c r="C1537" i="7"/>
  <c r="A1536" i="7"/>
  <c r="B1536" i="7"/>
  <c r="C1536" i="7"/>
  <c r="A1535" i="7"/>
  <c r="B1535" i="7"/>
  <c r="C1535" i="7"/>
  <c r="A1534" i="7"/>
  <c r="B1534" i="7"/>
  <c r="C1534" i="7"/>
  <c r="A1533" i="7"/>
  <c r="B1533" i="7"/>
  <c r="C1533" i="7"/>
  <c r="A1532" i="7"/>
  <c r="B1532" i="7"/>
  <c r="C1532" i="7"/>
  <c r="A1531" i="7"/>
  <c r="B1531" i="7"/>
  <c r="C1531" i="7"/>
  <c r="A1530" i="7"/>
  <c r="B1530" i="7"/>
  <c r="C1530" i="7"/>
  <c r="A1529" i="7"/>
  <c r="B1529" i="7"/>
  <c r="C1529" i="7"/>
  <c r="A1528" i="7"/>
  <c r="B1528" i="7"/>
  <c r="C1528" i="7"/>
  <c r="A1527" i="7"/>
  <c r="B1527" i="7"/>
  <c r="C1527" i="7"/>
  <c r="A1526" i="7"/>
  <c r="B1526" i="7"/>
  <c r="C1526" i="7"/>
  <c r="A1525" i="7"/>
  <c r="B1525" i="7"/>
  <c r="C1525" i="7"/>
  <c r="A1524" i="7"/>
  <c r="B1524" i="7"/>
  <c r="C1524" i="7"/>
  <c r="A1523" i="7"/>
  <c r="B1523" i="7"/>
  <c r="C1523" i="7"/>
  <c r="A1522" i="7"/>
  <c r="B1522" i="7"/>
  <c r="C1522" i="7"/>
  <c r="A1521" i="7"/>
  <c r="B1521" i="7"/>
  <c r="C1521" i="7"/>
  <c r="A1520" i="7"/>
  <c r="B1520" i="7"/>
  <c r="C1520" i="7"/>
  <c r="A1519" i="7"/>
  <c r="B1519" i="7"/>
  <c r="C1519" i="7"/>
  <c r="A1518" i="7"/>
  <c r="B1518" i="7"/>
  <c r="C1518" i="7"/>
  <c r="A1517" i="7"/>
  <c r="B1517" i="7"/>
  <c r="C1517" i="7"/>
  <c r="A1516" i="7"/>
  <c r="B1516" i="7"/>
  <c r="C1516" i="7"/>
  <c r="A1515" i="7"/>
  <c r="B1515" i="7"/>
  <c r="C1515" i="7"/>
  <c r="A1514" i="7"/>
  <c r="B1514" i="7"/>
  <c r="C1514" i="7"/>
  <c r="A1513" i="7"/>
  <c r="B1513" i="7"/>
  <c r="C1513" i="7"/>
  <c r="A1512" i="7"/>
  <c r="B1512" i="7"/>
  <c r="C1512" i="7"/>
  <c r="A1511" i="7"/>
  <c r="B1511" i="7"/>
  <c r="C1511" i="7"/>
  <c r="A1510" i="7"/>
  <c r="B1510" i="7"/>
  <c r="C1510" i="7"/>
  <c r="A1509" i="7"/>
  <c r="B1509" i="7"/>
  <c r="C1509" i="7"/>
  <c r="A1508" i="7"/>
  <c r="B1508" i="7"/>
  <c r="C1508" i="7"/>
  <c r="A1507" i="7"/>
  <c r="B1507" i="7"/>
  <c r="C1507" i="7"/>
  <c r="A1506" i="7"/>
  <c r="B1506" i="7"/>
  <c r="C1506" i="7"/>
  <c r="A1505" i="7"/>
  <c r="B1505" i="7"/>
  <c r="C1505" i="7"/>
  <c r="A1504" i="7"/>
  <c r="B1504" i="7"/>
  <c r="C1504" i="7"/>
  <c r="A1503" i="7"/>
  <c r="B1503" i="7"/>
  <c r="C1503" i="7"/>
  <c r="A1502" i="7"/>
  <c r="B1502" i="7"/>
  <c r="C1502" i="7"/>
  <c r="A1501" i="7"/>
  <c r="B1501" i="7"/>
  <c r="C1501" i="7"/>
  <c r="A1500" i="7"/>
  <c r="B1500" i="7"/>
  <c r="C1500" i="7"/>
  <c r="A1499" i="7"/>
  <c r="B1499" i="7"/>
  <c r="C1499" i="7"/>
  <c r="A1498" i="7"/>
  <c r="B1498" i="7"/>
  <c r="C1498" i="7"/>
  <c r="A1497" i="7"/>
  <c r="B1497" i="7"/>
  <c r="C1497" i="7"/>
  <c r="A1496" i="7"/>
  <c r="B1496" i="7"/>
  <c r="C1496" i="7"/>
  <c r="A1495" i="7"/>
  <c r="B1495" i="7"/>
  <c r="C1495" i="7"/>
  <c r="A1494" i="7"/>
  <c r="B1494" i="7"/>
  <c r="C1494" i="7"/>
  <c r="A1493" i="7"/>
  <c r="B1493" i="7"/>
  <c r="C1493" i="7"/>
  <c r="A1492" i="7"/>
  <c r="B1492" i="7"/>
  <c r="C1492" i="7"/>
  <c r="A1491" i="7"/>
  <c r="B1491" i="7"/>
  <c r="C1491" i="7"/>
  <c r="A1490" i="7"/>
  <c r="B1490" i="7"/>
  <c r="C1490" i="7"/>
  <c r="A1489" i="7"/>
  <c r="B1489" i="7"/>
  <c r="C1489" i="7"/>
  <c r="A1488" i="7"/>
  <c r="B1488" i="7"/>
  <c r="C1488" i="7"/>
  <c r="A1487" i="7"/>
  <c r="B1487" i="7"/>
  <c r="C1487" i="7"/>
  <c r="A1486" i="7"/>
  <c r="B1486" i="7"/>
  <c r="C1486" i="7"/>
  <c r="A1485" i="7"/>
  <c r="B1485" i="7"/>
  <c r="C1485" i="7"/>
  <c r="A1484" i="7"/>
  <c r="B1484" i="7"/>
  <c r="C1484" i="7"/>
  <c r="A1483" i="7"/>
  <c r="B1483" i="7"/>
  <c r="C1483" i="7"/>
  <c r="A1482" i="7"/>
  <c r="B1482" i="7"/>
  <c r="C1482" i="7"/>
  <c r="A1481" i="7"/>
  <c r="B1481" i="7"/>
  <c r="C1481" i="7"/>
  <c r="A1480" i="7"/>
  <c r="B1480" i="7"/>
  <c r="C1480" i="7"/>
  <c r="A1479" i="7"/>
  <c r="B1479" i="7"/>
  <c r="C1479" i="7"/>
  <c r="A1478" i="7"/>
  <c r="B1478" i="7"/>
  <c r="C1478" i="7"/>
  <c r="A1477" i="7"/>
  <c r="B1477" i="7"/>
  <c r="C1477" i="7"/>
  <c r="A1476" i="7"/>
  <c r="B1476" i="7"/>
  <c r="C1476" i="7"/>
  <c r="A1475" i="7"/>
  <c r="B1475" i="7"/>
  <c r="C1475" i="7"/>
  <c r="A1474" i="7"/>
  <c r="B1474" i="7"/>
  <c r="C1474" i="7"/>
  <c r="A1473" i="7"/>
  <c r="B1473" i="7"/>
  <c r="C1473" i="7"/>
  <c r="A1472" i="7"/>
  <c r="B1472" i="7"/>
  <c r="C1472" i="7"/>
  <c r="A1471" i="7"/>
  <c r="B1471" i="7"/>
  <c r="C1471" i="7"/>
  <c r="A1470" i="7"/>
  <c r="B1470" i="7"/>
  <c r="C1470" i="7"/>
  <c r="A1469" i="7"/>
  <c r="B1469" i="7"/>
  <c r="C1469" i="7"/>
  <c r="A1468" i="7"/>
  <c r="B1468" i="7"/>
  <c r="C1468" i="7"/>
  <c r="A1467" i="7"/>
  <c r="B1467" i="7"/>
  <c r="C1467" i="7"/>
  <c r="A1466" i="7"/>
  <c r="B1466" i="7"/>
  <c r="C1466" i="7"/>
  <c r="A1465" i="7"/>
  <c r="B1465" i="7"/>
  <c r="C1465" i="7"/>
  <c r="A1464" i="7"/>
  <c r="B1464" i="7"/>
  <c r="C1464" i="7"/>
  <c r="A1463" i="7"/>
  <c r="B1463" i="7"/>
  <c r="C1463" i="7"/>
  <c r="A1462" i="7"/>
  <c r="B1462" i="7"/>
  <c r="C1462" i="7"/>
  <c r="A1461" i="7"/>
  <c r="B1461" i="7"/>
  <c r="C1461" i="7"/>
  <c r="A1460" i="7"/>
  <c r="B1460" i="7"/>
  <c r="C1460" i="7"/>
  <c r="A1459" i="7"/>
  <c r="B1459" i="7"/>
  <c r="C1459" i="7"/>
  <c r="A1458" i="7"/>
  <c r="B1458" i="7"/>
  <c r="C1458" i="7"/>
  <c r="A1457" i="7"/>
  <c r="B1457" i="7"/>
  <c r="C1457" i="7"/>
  <c r="A1456" i="7"/>
  <c r="B1456" i="7"/>
  <c r="C1456" i="7"/>
  <c r="A1455" i="7"/>
  <c r="B1455" i="7"/>
  <c r="C1455" i="7"/>
  <c r="A1454" i="7"/>
  <c r="B1454" i="7"/>
  <c r="C1454" i="7"/>
  <c r="A1453" i="7"/>
  <c r="B1453" i="7"/>
  <c r="C1453" i="7"/>
  <c r="A1452" i="7"/>
  <c r="B1452" i="7"/>
  <c r="C1452" i="7"/>
  <c r="A1451" i="7"/>
  <c r="B1451" i="7"/>
  <c r="C1451" i="7"/>
  <c r="A1450" i="7"/>
  <c r="B1450" i="7"/>
  <c r="C1450" i="7"/>
  <c r="A1449" i="7"/>
  <c r="B1449" i="7"/>
  <c r="C1449" i="7"/>
  <c r="A1448" i="7"/>
  <c r="B1448" i="7"/>
  <c r="C1448" i="7"/>
  <c r="A1447" i="7"/>
  <c r="B1447" i="7"/>
  <c r="C1447" i="7"/>
  <c r="A1446" i="7"/>
  <c r="B1446" i="7"/>
  <c r="C1446" i="7"/>
  <c r="A1445" i="7"/>
  <c r="B1445" i="7"/>
  <c r="C1445" i="7"/>
  <c r="A1444" i="7"/>
  <c r="B1444" i="7"/>
  <c r="C1444" i="7"/>
  <c r="A1443" i="7"/>
  <c r="B1443" i="7"/>
  <c r="C1443" i="7"/>
  <c r="A1442" i="7"/>
  <c r="B1442" i="7"/>
  <c r="C1442" i="7"/>
  <c r="A1441" i="7"/>
  <c r="B1441" i="7"/>
  <c r="C1441" i="7"/>
  <c r="A1440" i="7"/>
  <c r="B1440" i="7"/>
  <c r="C1440" i="7"/>
  <c r="A1439" i="7"/>
  <c r="B1439" i="7"/>
  <c r="C1439" i="7"/>
  <c r="A1438" i="7"/>
  <c r="B1438" i="7"/>
  <c r="C1438" i="7"/>
  <c r="A1437" i="7"/>
  <c r="B1437" i="7"/>
  <c r="C1437" i="7"/>
  <c r="A1436" i="7"/>
  <c r="B1436" i="7"/>
  <c r="C1436" i="7"/>
  <c r="A1435" i="7"/>
  <c r="B1435" i="7"/>
  <c r="C1435" i="7"/>
  <c r="A1434" i="7"/>
  <c r="B1434" i="7"/>
  <c r="C1434" i="7"/>
  <c r="A1433" i="7"/>
  <c r="B1433" i="7"/>
  <c r="C1433" i="7"/>
  <c r="A1432" i="7"/>
  <c r="B1432" i="7"/>
  <c r="C1432" i="7"/>
  <c r="A1431" i="7"/>
  <c r="B1431" i="7"/>
  <c r="C1431" i="7"/>
  <c r="A1430" i="7"/>
  <c r="B1430" i="7"/>
  <c r="C1430" i="7"/>
  <c r="A1429" i="7"/>
  <c r="B1429" i="7"/>
  <c r="C1429" i="7"/>
  <c r="A1428" i="7"/>
  <c r="B1428" i="7"/>
  <c r="C1428" i="7"/>
  <c r="A1427" i="7"/>
  <c r="B1427" i="7"/>
  <c r="C1427" i="7"/>
  <c r="A1426" i="7"/>
  <c r="B1426" i="7"/>
  <c r="C1426" i="7"/>
  <c r="A1425" i="7"/>
  <c r="B1425" i="7"/>
  <c r="C1425" i="7"/>
  <c r="A1424" i="7"/>
  <c r="B1424" i="7"/>
  <c r="C1424" i="7"/>
  <c r="A1423" i="7"/>
  <c r="B1423" i="7"/>
  <c r="C1423" i="7"/>
  <c r="A1422" i="7"/>
  <c r="B1422" i="7"/>
  <c r="C1422" i="7"/>
  <c r="A1421" i="7"/>
  <c r="B1421" i="7"/>
  <c r="C1421" i="7"/>
  <c r="A1420" i="7"/>
  <c r="B1420" i="7"/>
  <c r="C1420" i="7"/>
  <c r="A1419" i="7"/>
  <c r="B1419" i="7"/>
  <c r="C1419" i="7"/>
  <c r="A1418" i="7"/>
  <c r="B1418" i="7"/>
  <c r="C1418" i="7"/>
  <c r="A1417" i="7"/>
  <c r="B1417" i="7"/>
  <c r="C1417" i="7"/>
  <c r="A1416" i="7"/>
  <c r="B1416" i="7"/>
  <c r="C1416" i="7"/>
  <c r="A1415" i="7"/>
  <c r="B1415" i="7"/>
  <c r="C1415" i="7"/>
  <c r="A1414" i="7"/>
  <c r="B1414" i="7"/>
  <c r="C1414" i="7"/>
  <c r="A1413" i="7"/>
  <c r="B1413" i="7"/>
  <c r="C1413" i="7"/>
  <c r="A1412" i="7"/>
  <c r="B1412" i="7"/>
  <c r="C1412" i="7"/>
  <c r="A1411" i="7"/>
  <c r="B1411" i="7"/>
  <c r="C1411" i="7"/>
  <c r="A1410" i="7"/>
  <c r="B1410" i="7"/>
  <c r="C1410" i="7"/>
  <c r="A1409" i="7"/>
  <c r="B1409" i="7"/>
  <c r="C1409" i="7"/>
  <c r="A1408" i="7"/>
  <c r="B1408" i="7"/>
  <c r="C1408" i="7"/>
  <c r="A1407" i="7"/>
  <c r="B1407" i="7"/>
  <c r="C1407" i="7"/>
  <c r="A1406" i="7"/>
  <c r="B1406" i="7"/>
  <c r="C1406" i="7"/>
  <c r="A1405" i="7"/>
  <c r="B1405" i="7"/>
  <c r="C1405" i="7"/>
  <c r="A1404" i="7"/>
  <c r="B1404" i="7"/>
  <c r="C1404" i="7"/>
  <c r="A1403" i="7"/>
  <c r="B1403" i="7"/>
  <c r="C1403" i="7"/>
  <c r="A1402" i="7"/>
  <c r="B1402" i="7"/>
  <c r="C1402" i="7"/>
  <c r="A1401" i="7"/>
  <c r="B1401" i="7"/>
  <c r="C1401" i="7"/>
  <c r="A1400" i="7"/>
  <c r="B1400" i="7"/>
  <c r="C1400" i="7"/>
  <c r="A1399" i="7"/>
  <c r="B1399" i="7"/>
  <c r="C1399" i="7"/>
  <c r="A1398" i="7"/>
  <c r="B1398" i="7"/>
  <c r="C1398" i="7"/>
  <c r="A1397" i="7"/>
  <c r="B1397" i="7"/>
  <c r="C1397" i="7"/>
  <c r="A1396" i="7"/>
  <c r="B1396" i="7"/>
  <c r="C1396" i="7"/>
  <c r="A1395" i="7"/>
  <c r="B1395" i="7"/>
  <c r="C1395" i="7"/>
  <c r="A1394" i="7"/>
  <c r="B1394" i="7"/>
  <c r="C1394" i="7"/>
  <c r="A1393" i="7"/>
  <c r="B1393" i="7"/>
  <c r="C1393" i="7"/>
  <c r="A1392" i="7"/>
  <c r="B1392" i="7"/>
  <c r="C1392" i="7"/>
  <c r="A1391" i="7"/>
  <c r="B1391" i="7"/>
  <c r="C1391" i="7"/>
  <c r="A1390" i="7"/>
  <c r="B1390" i="7"/>
  <c r="C1390" i="7"/>
  <c r="A1389" i="7"/>
  <c r="B1389" i="7"/>
  <c r="C1389" i="7"/>
  <c r="A1388" i="7"/>
  <c r="B1388" i="7"/>
  <c r="C1388" i="7"/>
  <c r="A1387" i="7"/>
  <c r="B1387" i="7"/>
  <c r="C1387" i="7"/>
  <c r="A1386" i="7"/>
  <c r="B1386" i="7"/>
  <c r="C1386" i="7"/>
  <c r="A1385" i="7"/>
  <c r="B1385" i="7"/>
  <c r="C1385" i="7"/>
  <c r="A1384" i="7"/>
  <c r="B1384" i="7"/>
  <c r="C1384" i="7"/>
  <c r="A1383" i="7"/>
  <c r="B1383" i="7"/>
  <c r="C1383" i="7"/>
  <c r="A1382" i="7"/>
  <c r="B1382" i="7"/>
  <c r="C1382" i="7"/>
  <c r="A1381" i="7"/>
  <c r="B1381" i="7"/>
  <c r="C1381" i="7"/>
  <c r="A1380" i="7"/>
  <c r="B1380" i="7"/>
  <c r="C1380" i="7"/>
  <c r="A1379" i="7"/>
  <c r="B1379" i="7"/>
  <c r="C1379" i="7"/>
  <c r="A1378" i="7"/>
  <c r="B1378" i="7"/>
  <c r="C1378" i="7"/>
  <c r="A1377" i="7"/>
  <c r="B1377" i="7"/>
  <c r="C1377" i="7"/>
  <c r="A1376" i="7"/>
  <c r="B1376" i="7"/>
  <c r="C1376" i="7"/>
  <c r="A1375" i="7"/>
  <c r="B1375" i="7"/>
  <c r="C1375" i="7"/>
  <c r="A1374" i="7"/>
  <c r="B1374" i="7"/>
  <c r="C1374" i="7"/>
  <c r="A1373" i="7"/>
  <c r="B1373" i="7"/>
  <c r="C1373" i="7"/>
  <c r="A1372" i="7"/>
  <c r="B1372" i="7"/>
  <c r="C1372" i="7"/>
  <c r="A1371" i="7"/>
  <c r="B1371" i="7"/>
  <c r="C1371" i="7"/>
  <c r="A1370" i="7"/>
  <c r="B1370" i="7"/>
  <c r="C1370" i="7"/>
  <c r="A1369" i="7"/>
  <c r="B1369" i="7"/>
  <c r="C1369" i="7"/>
  <c r="A1368" i="7"/>
  <c r="B1368" i="7"/>
  <c r="C1368" i="7"/>
  <c r="A1367" i="7"/>
  <c r="B1367" i="7"/>
  <c r="C1367" i="7"/>
  <c r="A1366" i="7"/>
  <c r="B1366" i="7"/>
  <c r="C1366" i="7"/>
  <c r="A1365" i="7"/>
  <c r="B1365" i="7"/>
  <c r="C1365" i="7"/>
  <c r="A1364" i="7"/>
  <c r="B1364" i="7"/>
  <c r="C1364" i="7"/>
  <c r="A1363" i="7"/>
  <c r="B1363" i="7"/>
  <c r="C1363" i="7"/>
  <c r="A1362" i="7"/>
  <c r="B1362" i="7"/>
  <c r="C1362" i="7"/>
  <c r="A1361" i="7"/>
  <c r="B1361" i="7"/>
  <c r="C1361" i="7"/>
  <c r="A1360" i="7"/>
  <c r="B1360" i="7"/>
  <c r="C1360" i="7"/>
  <c r="A1359" i="7"/>
  <c r="B1359" i="7"/>
  <c r="C1359" i="7"/>
  <c r="A1358" i="7"/>
  <c r="B1358" i="7"/>
  <c r="C1358" i="7"/>
  <c r="A1357" i="7"/>
  <c r="B1357" i="7"/>
  <c r="C1357" i="7"/>
  <c r="A1356" i="7"/>
  <c r="B1356" i="7"/>
  <c r="C1356" i="7"/>
  <c r="A1355" i="7"/>
  <c r="B1355" i="7"/>
  <c r="C1355" i="7"/>
  <c r="A1354" i="7"/>
  <c r="B1354" i="7"/>
  <c r="C1354" i="7"/>
  <c r="A1353" i="7"/>
  <c r="B1353" i="7"/>
  <c r="C1353" i="7"/>
  <c r="A1352" i="7"/>
  <c r="B1352" i="7"/>
  <c r="C1352" i="7"/>
  <c r="A1351" i="7"/>
  <c r="B1351" i="7"/>
  <c r="C1351" i="7"/>
  <c r="A1350" i="7"/>
  <c r="B1350" i="7"/>
  <c r="C1350" i="7"/>
  <c r="A1349" i="7"/>
  <c r="B1349" i="7"/>
  <c r="C1349" i="7"/>
  <c r="A1348" i="7"/>
  <c r="B1348" i="7"/>
  <c r="C1348" i="7"/>
  <c r="A1347" i="7"/>
  <c r="B1347" i="7"/>
  <c r="C1347" i="7"/>
  <c r="A1346" i="7"/>
  <c r="B1346" i="7"/>
  <c r="C1346" i="7"/>
  <c r="A1345" i="7"/>
  <c r="B1345" i="7"/>
  <c r="C1345" i="7"/>
  <c r="A1344" i="7"/>
  <c r="B1344" i="7"/>
  <c r="C1344" i="7"/>
  <c r="A1343" i="7"/>
  <c r="B1343" i="7"/>
  <c r="C1343" i="7"/>
  <c r="A1342" i="7"/>
  <c r="B1342" i="7"/>
  <c r="C1342" i="7"/>
  <c r="A1341" i="7"/>
  <c r="B1341" i="7"/>
  <c r="C1341" i="7"/>
  <c r="A1340" i="7"/>
  <c r="B1340" i="7"/>
  <c r="C1340" i="7"/>
  <c r="A1339" i="7"/>
  <c r="B1339" i="7"/>
  <c r="C1339" i="7"/>
  <c r="A1338" i="7"/>
  <c r="B1338" i="7"/>
  <c r="C1338" i="7"/>
  <c r="A1337" i="7"/>
  <c r="B1337" i="7"/>
  <c r="C1337" i="7"/>
  <c r="A1336" i="7"/>
  <c r="B1336" i="7"/>
  <c r="C1336" i="7"/>
  <c r="A1335" i="7"/>
  <c r="B1335" i="7"/>
  <c r="C1335" i="7"/>
  <c r="A1334" i="7"/>
  <c r="B1334" i="7"/>
  <c r="C1334" i="7"/>
  <c r="A1333" i="7"/>
  <c r="B1333" i="7"/>
  <c r="C1333" i="7"/>
  <c r="A1332" i="7"/>
  <c r="B1332" i="7"/>
  <c r="C1332" i="7"/>
  <c r="A1331" i="7"/>
  <c r="B1331" i="7"/>
  <c r="C1331" i="7"/>
  <c r="A1330" i="7"/>
  <c r="B1330" i="7"/>
  <c r="C1330" i="7"/>
  <c r="A1329" i="7"/>
  <c r="B1329" i="7"/>
  <c r="C1329" i="7"/>
  <c r="A1328" i="7"/>
  <c r="B1328" i="7"/>
  <c r="C1328" i="7"/>
  <c r="A1327" i="7"/>
  <c r="B1327" i="7"/>
  <c r="C1327" i="7"/>
  <c r="A1326" i="7"/>
  <c r="B1326" i="7"/>
  <c r="C1326" i="7"/>
  <c r="A1325" i="7"/>
  <c r="B1325" i="7"/>
  <c r="C1325" i="7"/>
  <c r="A1324" i="7"/>
  <c r="B1324" i="7"/>
  <c r="C1324" i="7"/>
  <c r="A1323" i="7"/>
  <c r="B1323" i="7"/>
  <c r="C1323" i="7"/>
  <c r="A1322" i="7"/>
  <c r="B1322" i="7"/>
  <c r="C1322" i="7"/>
  <c r="A1321" i="7"/>
  <c r="B1321" i="7"/>
  <c r="C1321" i="7"/>
  <c r="A1320" i="7"/>
  <c r="B1320" i="7"/>
  <c r="C1320" i="7"/>
  <c r="A1319" i="7"/>
  <c r="B1319" i="7"/>
  <c r="C1319" i="7"/>
  <c r="A1318" i="7"/>
  <c r="B1318" i="7"/>
  <c r="C1318" i="7"/>
  <c r="A1317" i="7"/>
  <c r="B1317" i="7"/>
  <c r="C1317" i="7"/>
  <c r="A1316" i="7"/>
  <c r="B1316" i="7"/>
  <c r="C1316" i="7"/>
  <c r="A1315" i="7"/>
  <c r="B1315" i="7"/>
  <c r="C1315" i="7"/>
  <c r="A1314" i="7"/>
  <c r="B1314" i="7"/>
  <c r="C1314" i="7"/>
  <c r="A1313" i="7"/>
  <c r="B1313" i="7"/>
  <c r="C1313" i="7"/>
  <c r="A1312" i="7"/>
  <c r="B1312" i="7"/>
  <c r="C1312" i="7"/>
  <c r="A1311" i="7"/>
  <c r="B1311" i="7"/>
  <c r="C1311" i="7"/>
  <c r="A1310" i="7"/>
  <c r="B1310" i="7"/>
  <c r="C1310" i="7"/>
  <c r="A1309" i="7"/>
  <c r="B1309" i="7"/>
  <c r="C1309" i="7"/>
  <c r="A1308" i="7"/>
  <c r="B1308" i="7"/>
  <c r="C1308" i="7"/>
  <c r="A1307" i="7"/>
  <c r="B1307" i="7"/>
  <c r="C1307" i="7"/>
  <c r="A1306" i="7"/>
  <c r="B1306" i="7"/>
  <c r="C1306" i="7"/>
  <c r="A1305" i="7"/>
  <c r="B1305" i="7"/>
  <c r="C1305" i="7"/>
  <c r="A1304" i="7"/>
  <c r="B1304" i="7"/>
  <c r="C1304" i="7"/>
  <c r="A1303" i="7"/>
  <c r="B1303" i="7"/>
  <c r="C1303" i="7"/>
  <c r="A1302" i="7"/>
  <c r="B1302" i="7"/>
  <c r="C1302" i="7"/>
  <c r="A1301" i="7"/>
  <c r="B1301" i="7"/>
  <c r="C1301" i="7"/>
  <c r="A1300" i="7"/>
  <c r="B1300" i="7"/>
  <c r="C1300" i="7"/>
  <c r="A1299" i="7"/>
  <c r="B1299" i="7"/>
  <c r="C1299" i="7"/>
  <c r="A1298" i="7"/>
  <c r="B1298" i="7"/>
  <c r="C1298" i="7"/>
  <c r="A1297" i="7"/>
  <c r="B1297" i="7"/>
  <c r="C1297" i="7"/>
  <c r="A1296" i="7"/>
  <c r="B1296" i="7"/>
  <c r="C1296" i="7"/>
  <c r="A1295" i="7"/>
  <c r="B1295" i="7"/>
  <c r="C1295" i="7"/>
  <c r="A1294" i="7"/>
  <c r="B1294" i="7"/>
  <c r="C1294" i="7"/>
  <c r="A1293" i="7"/>
  <c r="B1293" i="7"/>
  <c r="C1293" i="7"/>
  <c r="A1292" i="7"/>
  <c r="B1292" i="7"/>
  <c r="C1292" i="7"/>
  <c r="A1291" i="7"/>
  <c r="B1291" i="7"/>
  <c r="C1291" i="7"/>
  <c r="A1290" i="7"/>
  <c r="B1290" i="7"/>
  <c r="C1290" i="7"/>
  <c r="A1289" i="7"/>
  <c r="B1289" i="7"/>
  <c r="C1289" i="7"/>
  <c r="A1288" i="7"/>
  <c r="B1288" i="7"/>
  <c r="C1288" i="7"/>
  <c r="A1287" i="7"/>
  <c r="B1287" i="7"/>
  <c r="C1287" i="7"/>
  <c r="A1286" i="7"/>
  <c r="B1286" i="7"/>
  <c r="C1286" i="7"/>
  <c r="A1285" i="7"/>
  <c r="B1285" i="7"/>
  <c r="C1285" i="7"/>
  <c r="A1284" i="7"/>
  <c r="B1284" i="7"/>
  <c r="C1284" i="7"/>
  <c r="A1283" i="7"/>
  <c r="B1283" i="7"/>
  <c r="C1283" i="7"/>
  <c r="A1282" i="7"/>
  <c r="B1282" i="7"/>
  <c r="C1282" i="7"/>
  <c r="A1281" i="7"/>
  <c r="B1281" i="7"/>
  <c r="C1281" i="7"/>
  <c r="A1280" i="7"/>
  <c r="B1280" i="7"/>
  <c r="C1280" i="7"/>
  <c r="A1279" i="7"/>
  <c r="B1279" i="7"/>
  <c r="C1279" i="7"/>
  <c r="A1278" i="7"/>
  <c r="B1278" i="7"/>
  <c r="C1278" i="7"/>
  <c r="A1277" i="7"/>
  <c r="B1277" i="7"/>
  <c r="C1277" i="7"/>
  <c r="A1276" i="7"/>
  <c r="B1276" i="7"/>
  <c r="C1276" i="7"/>
  <c r="A1275" i="7"/>
  <c r="B1275" i="7"/>
  <c r="C1275" i="7"/>
  <c r="A1274" i="7"/>
  <c r="B1274" i="7"/>
  <c r="C1274" i="7"/>
  <c r="A1273" i="7"/>
  <c r="B1273" i="7"/>
  <c r="C1273" i="7"/>
  <c r="A1272" i="7"/>
  <c r="B1272" i="7"/>
  <c r="C1272" i="7"/>
  <c r="A1271" i="7"/>
  <c r="B1271" i="7"/>
  <c r="C1271" i="7"/>
  <c r="A1270" i="7"/>
  <c r="B1270" i="7"/>
  <c r="C1270" i="7"/>
  <c r="A1269" i="7"/>
  <c r="B1269" i="7"/>
  <c r="C1269" i="7"/>
  <c r="A1268" i="7"/>
  <c r="B1268" i="7"/>
  <c r="C1268" i="7"/>
  <c r="A1267" i="7"/>
  <c r="B1267" i="7"/>
  <c r="C1267" i="7"/>
  <c r="A1266" i="7"/>
  <c r="B1266" i="7"/>
  <c r="C1266" i="7"/>
  <c r="A1265" i="7"/>
  <c r="B1265" i="7"/>
  <c r="C1265" i="7"/>
  <c r="A1264" i="7"/>
  <c r="B1264" i="7"/>
  <c r="C1264" i="7"/>
  <c r="A1263" i="7"/>
  <c r="B1263" i="7"/>
  <c r="C1263" i="7"/>
  <c r="A1262" i="7"/>
  <c r="B1262" i="7"/>
  <c r="C1262" i="7"/>
  <c r="A1261" i="7"/>
  <c r="B1261" i="7"/>
  <c r="C1261" i="7"/>
  <c r="A1260" i="7"/>
  <c r="B1260" i="7"/>
  <c r="C1260" i="7"/>
  <c r="A1259" i="7"/>
  <c r="B1259" i="7"/>
  <c r="C1259" i="7"/>
  <c r="A1258" i="7"/>
  <c r="B1258" i="7"/>
  <c r="C1258" i="7"/>
  <c r="A1257" i="7"/>
  <c r="B1257" i="7"/>
  <c r="C1257" i="7"/>
  <c r="A1256" i="7"/>
  <c r="B1256" i="7"/>
  <c r="C1256" i="7"/>
  <c r="A1255" i="7"/>
  <c r="B1255" i="7"/>
  <c r="C1255" i="7"/>
  <c r="A1254" i="7"/>
  <c r="B1254" i="7"/>
  <c r="C1254" i="7"/>
  <c r="A1253" i="7"/>
  <c r="B1253" i="7"/>
  <c r="C1253" i="7"/>
  <c r="A1252" i="7"/>
  <c r="B1252" i="7"/>
  <c r="C1252" i="7"/>
  <c r="A1251" i="7"/>
  <c r="B1251" i="7"/>
  <c r="C1251" i="7"/>
  <c r="A1250" i="7"/>
  <c r="B1250" i="7"/>
  <c r="C1250" i="7"/>
  <c r="A1249" i="7"/>
  <c r="B1249" i="7"/>
  <c r="C1249" i="7"/>
  <c r="A1248" i="7"/>
  <c r="B1248" i="7"/>
  <c r="C1248" i="7"/>
  <c r="A1247" i="7"/>
  <c r="B1247" i="7"/>
  <c r="C1247" i="7"/>
  <c r="A1246" i="7"/>
  <c r="B1246" i="7"/>
  <c r="C1246" i="7"/>
  <c r="A1245" i="7"/>
  <c r="B1245" i="7"/>
  <c r="C1245" i="7"/>
  <c r="A1244" i="7"/>
  <c r="B1244" i="7"/>
  <c r="C1244" i="7"/>
  <c r="A1243" i="7"/>
  <c r="B1243" i="7"/>
  <c r="C1243" i="7"/>
  <c r="A1242" i="7"/>
  <c r="B1242" i="7"/>
  <c r="C1242" i="7"/>
  <c r="A1241" i="7"/>
  <c r="B1241" i="7"/>
  <c r="C1241" i="7"/>
  <c r="A1240" i="7"/>
  <c r="B1240" i="7"/>
  <c r="C1240" i="7"/>
  <c r="A1239" i="7"/>
  <c r="B1239" i="7"/>
  <c r="C1239" i="7"/>
  <c r="A1238" i="7"/>
  <c r="B1238" i="7"/>
  <c r="C1238" i="7"/>
  <c r="A1237" i="7"/>
  <c r="B1237" i="7"/>
  <c r="C1237" i="7"/>
  <c r="A1236" i="7"/>
  <c r="B1236" i="7"/>
  <c r="C1236" i="7"/>
  <c r="A1235" i="7"/>
  <c r="B1235" i="7"/>
  <c r="C1235" i="7"/>
  <c r="A1234" i="7"/>
  <c r="B1234" i="7"/>
  <c r="C1234" i="7"/>
  <c r="A1233" i="7"/>
  <c r="B1233" i="7"/>
  <c r="C1233" i="7"/>
  <c r="A1232" i="7"/>
  <c r="B1232" i="7"/>
  <c r="C1232" i="7"/>
  <c r="A1231" i="7"/>
  <c r="B1231" i="7"/>
  <c r="C1231" i="7"/>
  <c r="A1230" i="7"/>
  <c r="B1230" i="7"/>
  <c r="C1230" i="7"/>
  <c r="A1229" i="7"/>
  <c r="B1229" i="7"/>
  <c r="C1229" i="7"/>
  <c r="A1228" i="7"/>
  <c r="B1228" i="7"/>
  <c r="C1228" i="7"/>
  <c r="A1227" i="7"/>
  <c r="B1227" i="7"/>
  <c r="C1227" i="7"/>
  <c r="A1226" i="7"/>
  <c r="B1226" i="7"/>
  <c r="C1226" i="7"/>
  <c r="A1225" i="7"/>
  <c r="B1225" i="7"/>
  <c r="C1225" i="7"/>
  <c r="A1224" i="7"/>
  <c r="B1224" i="7"/>
  <c r="C1224" i="7"/>
  <c r="A1223" i="7"/>
  <c r="B1223" i="7"/>
  <c r="C1223" i="7"/>
  <c r="A1222" i="7"/>
  <c r="B1222" i="7"/>
  <c r="C1222" i="7"/>
  <c r="A1221" i="7"/>
  <c r="B1221" i="7"/>
  <c r="C1221" i="7"/>
  <c r="A1220" i="7"/>
  <c r="B1220" i="7"/>
  <c r="C1220" i="7"/>
  <c r="A1219" i="7"/>
  <c r="B1219" i="7"/>
  <c r="C1219" i="7"/>
  <c r="A1218" i="7"/>
  <c r="B1218" i="7"/>
  <c r="C1218" i="7"/>
  <c r="A1217" i="7"/>
  <c r="B1217" i="7"/>
  <c r="C1217" i="7"/>
  <c r="A1216" i="7"/>
  <c r="B1216" i="7"/>
  <c r="C1216" i="7"/>
  <c r="A1215" i="7"/>
  <c r="B1215" i="7"/>
  <c r="C1215" i="7"/>
  <c r="A1214" i="7"/>
  <c r="B1214" i="7"/>
  <c r="C1214" i="7"/>
  <c r="A1213" i="7"/>
  <c r="B1213" i="7"/>
  <c r="C1213" i="7"/>
  <c r="A1212" i="7"/>
  <c r="B1212" i="7"/>
  <c r="C1212" i="7"/>
  <c r="A1211" i="7"/>
  <c r="B1211" i="7"/>
  <c r="C1211" i="7"/>
  <c r="A1210" i="7"/>
  <c r="B1210" i="7"/>
  <c r="C1210" i="7"/>
  <c r="A1209" i="7"/>
  <c r="B1209" i="7"/>
  <c r="C1209" i="7"/>
  <c r="A1208" i="7"/>
  <c r="B1208" i="7"/>
  <c r="C1208" i="7"/>
  <c r="A1207" i="7"/>
  <c r="B1207" i="7"/>
  <c r="C1207" i="7"/>
  <c r="A1206" i="7"/>
  <c r="B1206" i="7"/>
  <c r="C1206" i="7"/>
  <c r="A1205" i="7"/>
  <c r="B1205" i="7"/>
  <c r="C1205" i="7"/>
  <c r="A1204" i="7"/>
  <c r="B1204" i="7"/>
  <c r="C1204" i="7"/>
  <c r="A1203" i="7"/>
  <c r="B1203" i="7"/>
  <c r="C1203" i="7"/>
  <c r="A1202" i="7"/>
  <c r="B1202" i="7"/>
  <c r="C1202" i="7"/>
  <c r="A1201" i="7"/>
  <c r="B1201" i="7"/>
  <c r="C1201" i="7"/>
  <c r="A1200" i="7"/>
  <c r="B1200" i="7"/>
  <c r="C1200" i="7"/>
  <c r="A1199" i="7"/>
  <c r="B1199" i="7"/>
  <c r="C1199" i="7"/>
  <c r="A1198" i="7"/>
  <c r="B1198" i="7"/>
  <c r="C1198" i="7"/>
  <c r="A1197" i="7"/>
  <c r="B1197" i="7"/>
  <c r="C1197" i="7"/>
  <c r="A1196" i="7"/>
  <c r="B1196" i="7"/>
  <c r="C1196" i="7"/>
  <c r="A1195" i="7"/>
  <c r="B1195" i="7"/>
  <c r="C1195" i="7"/>
  <c r="A1194" i="7"/>
  <c r="B1194" i="7"/>
  <c r="C1194" i="7"/>
  <c r="A1193" i="7"/>
  <c r="B1193" i="7"/>
  <c r="C1193" i="7"/>
  <c r="A1192" i="7"/>
  <c r="B1192" i="7"/>
  <c r="C1192" i="7"/>
  <c r="A1191" i="7"/>
  <c r="B1191" i="7"/>
  <c r="C1191" i="7"/>
  <c r="A1190" i="7"/>
  <c r="B1190" i="7"/>
  <c r="C1190" i="7"/>
  <c r="A1189" i="7"/>
  <c r="B1189" i="7"/>
  <c r="C1189" i="7"/>
  <c r="A1188" i="7"/>
  <c r="B1188" i="7"/>
  <c r="C1188" i="7"/>
  <c r="A1187" i="7"/>
  <c r="B1187" i="7"/>
  <c r="C1187" i="7"/>
  <c r="A1186" i="7"/>
  <c r="B1186" i="7"/>
  <c r="C1186" i="7"/>
  <c r="A1185" i="7"/>
  <c r="B1185" i="7"/>
  <c r="C1185" i="7"/>
  <c r="A1184" i="7"/>
  <c r="B1184" i="7"/>
  <c r="C1184" i="7"/>
  <c r="A1183" i="7"/>
  <c r="B1183" i="7"/>
  <c r="C1183" i="7"/>
  <c r="A1182" i="7"/>
  <c r="B1182" i="7"/>
  <c r="C1182" i="7"/>
  <c r="A1181" i="7"/>
  <c r="B1181" i="7"/>
  <c r="C1181" i="7"/>
  <c r="A1180" i="7"/>
  <c r="B1180" i="7"/>
  <c r="C1180" i="7"/>
  <c r="A1179" i="7"/>
  <c r="B1179" i="7"/>
  <c r="C1179" i="7"/>
  <c r="A1178" i="7"/>
  <c r="B1178" i="7"/>
  <c r="C1178" i="7"/>
  <c r="A1177" i="7"/>
  <c r="B1177" i="7"/>
  <c r="C1177" i="7"/>
  <c r="A1176" i="7"/>
  <c r="B1176" i="7"/>
  <c r="C1176" i="7"/>
  <c r="A1175" i="7"/>
  <c r="B1175" i="7"/>
  <c r="C1175" i="7"/>
  <c r="A1174" i="7"/>
  <c r="B1174" i="7"/>
  <c r="C1174" i="7"/>
  <c r="A1173" i="7"/>
  <c r="B1173" i="7"/>
  <c r="C1173" i="7"/>
  <c r="A1172" i="7"/>
  <c r="B1172" i="7"/>
  <c r="C1172" i="7"/>
  <c r="A1171" i="7"/>
  <c r="B1171" i="7"/>
  <c r="C1171" i="7"/>
  <c r="A1170" i="7"/>
  <c r="B1170" i="7"/>
  <c r="C1170" i="7"/>
  <c r="A1169" i="7"/>
  <c r="B1169" i="7"/>
  <c r="C1169" i="7"/>
  <c r="A1168" i="7"/>
  <c r="B1168" i="7"/>
  <c r="C1168" i="7"/>
  <c r="A1167" i="7"/>
  <c r="B1167" i="7"/>
  <c r="C1167" i="7"/>
  <c r="A1166" i="7"/>
  <c r="B1166" i="7"/>
  <c r="C1166" i="7"/>
  <c r="A1165" i="7"/>
  <c r="B1165" i="7"/>
  <c r="C1165" i="7"/>
  <c r="A1164" i="7"/>
  <c r="B1164" i="7"/>
  <c r="C1164" i="7"/>
  <c r="A1163" i="7"/>
  <c r="B1163" i="7"/>
  <c r="C1163" i="7"/>
  <c r="A1162" i="7"/>
  <c r="B1162" i="7"/>
  <c r="C1162" i="7"/>
  <c r="A1161" i="7"/>
  <c r="B1161" i="7"/>
  <c r="C1161" i="7"/>
  <c r="A1160" i="7"/>
  <c r="B1160" i="7"/>
  <c r="C1160" i="7"/>
  <c r="A1159" i="7"/>
  <c r="B1159" i="7"/>
  <c r="C1159" i="7"/>
  <c r="A1158" i="7"/>
  <c r="B1158" i="7"/>
  <c r="C1158" i="7"/>
  <c r="A1157" i="7"/>
  <c r="B1157" i="7"/>
  <c r="C1157" i="7"/>
  <c r="A1156" i="7"/>
  <c r="B1156" i="7"/>
  <c r="C1156" i="7"/>
  <c r="A1155" i="7"/>
  <c r="B1155" i="7"/>
  <c r="C1155" i="7"/>
  <c r="A1154" i="7"/>
  <c r="B1154" i="7"/>
  <c r="C1154" i="7"/>
  <c r="A1153" i="7"/>
  <c r="B1153" i="7"/>
  <c r="C1153" i="7"/>
  <c r="A1152" i="7"/>
  <c r="B1152" i="7"/>
  <c r="C1152" i="7"/>
  <c r="A1151" i="7"/>
  <c r="B1151" i="7"/>
  <c r="C1151" i="7"/>
  <c r="A1150" i="7"/>
  <c r="B1150" i="7"/>
  <c r="C1150" i="7"/>
  <c r="A1149" i="7"/>
  <c r="B1149" i="7"/>
  <c r="C1149" i="7"/>
  <c r="A1148" i="7"/>
  <c r="B1148" i="7"/>
  <c r="C1148" i="7"/>
  <c r="A1147" i="7"/>
  <c r="B1147" i="7"/>
  <c r="C1147" i="7"/>
  <c r="A1146" i="7"/>
  <c r="B1146" i="7"/>
  <c r="C1146" i="7"/>
  <c r="A1145" i="7"/>
  <c r="B1145" i="7"/>
  <c r="C1145" i="7"/>
  <c r="A1144" i="7"/>
  <c r="B1144" i="7"/>
  <c r="C1144" i="7"/>
  <c r="A1143" i="7"/>
  <c r="B1143" i="7"/>
  <c r="C1143" i="7"/>
  <c r="A1142" i="7"/>
  <c r="B1142" i="7"/>
  <c r="C1142" i="7"/>
  <c r="A1141" i="7"/>
  <c r="B1141" i="7"/>
  <c r="C1141" i="7"/>
  <c r="A1140" i="7"/>
  <c r="B1140" i="7"/>
  <c r="C1140" i="7"/>
  <c r="A1139" i="7"/>
  <c r="B1139" i="7"/>
  <c r="C1139" i="7"/>
  <c r="A1138" i="7"/>
  <c r="B1138" i="7"/>
  <c r="C1138" i="7"/>
  <c r="A1137" i="7"/>
  <c r="B1137" i="7"/>
  <c r="C1137" i="7"/>
  <c r="A1136" i="7"/>
  <c r="B1136" i="7"/>
  <c r="C1136" i="7"/>
  <c r="A1135" i="7"/>
  <c r="B1135" i="7"/>
  <c r="C1135" i="7"/>
  <c r="A1134" i="7"/>
  <c r="B1134" i="7"/>
  <c r="C1134" i="7"/>
  <c r="A1133" i="7"/>
  <c r="B1133" i="7"/>
  <c r="C1133" i="7"/>
  <c r="A1132" i="7"/>
  <c r="B1132" i="7"/>
  <c r="C1132" i="7"/>
  <c r="A1131" i="7"/>
  <c r="B1131" i="7"/>
  <c r="C1131" i="7"/>
  <c r="A1130" i="7"/>
  <c r="B1130" i="7"/>
  <c r="C1130" i="7"/>
  <c r="A1129" i="7"/>
  <c r="B1129" i="7"/>
  <c r="C1129" i="7"/>
  <c r="A1128" i="7"/>
  <c r="B1128" i="7"/>
  <c r="C1128" i="7"/>
  <c r="A1127" i="7"/>
  <c r="B1127" i="7"/>
  <c r="C1127" i="7"/>
  <c r="A1126" i="7"/>
  <c r="B1126" i="7"/>
  <c r="C1126" i="7"/>
  <c r="A1125" i="7"/>
  <c r="B1125" i="7"/>
  <c r="C1125" i="7"/>
  <c r="A1124" i="7"/>
  <c r="B1124" i="7"/>
  <c r="C1124" i="7"/>
  <c r="A1123" i="7"/>
  <c r="B1123" i="7"/>
  <c r="C1123" i="7"/>
  <c r="A1122" i="7"/>
  <c r="B1122" i="7"/>
  <c r="C1122" i="7"/>
  <c r="A1121" i="7"/>
  <c r="B1121" i="7"/>
  <c r="C1121" i="7"/>
  <c r="A1120" i="7"/>
  <c r="B1120" i="7"/>
  <c r="C1120" i="7"/>
  <c r="A1119" i="7"/>
  <c r="B1119" i="7"/>
  <c r="C1119" i="7"/>
  <c r="A1118" i="7"/>
  <c r="B1118" i="7"/>
  <c r="C1118" i="7"/>
  <c r="A1117" i="7"/>
  <c r="B1117" i="7"/>
  <c r="C1117" i="7"/>
  <c r="A1116" i="7"/>
  <c r="B1116" i="7"/>
  <c r="C1116" i="7"/>
  <c r="A1115" i="7"/>
  <c r="B1115" i="7"/>
  <c r="C1115" i="7"/>
  <c r="A1114" i="7"/>
  <c r="B1114" i="7"/>
  <c r="C1114" i="7"/>
  <c r="A1113" i="7"/>
  <c r="B1113" i="7"/>
  <c r="C1113" i="7"/>
  <c r="A1112" i="7"/>
  <c r="B1112" i="7"/>
  <c r="C1112" i="7"/>
  <c r="A1111" i="7"/>
  <c r="B1111" i="7"/>
  <c r="C1111" i="7"/>
  <c r="A1110" i="7"/>
  <c r="B1110" i="7"/>
  <c r="C1110" i="7"/>
  <c r="A1109" i="7"/>
  <c r="B1109" i="7"/>
  <c r="C1109" i="7"/>
  <c r="A1108" i="7"/>
  <c r="B1108" i="7"/>
  <c r="C1108" i="7"/>
  <c r="A1107" i="7"/>
  <c r="B1107" i="7"/>
  <c r="C1107" i="7"/>
  <c r="A1106" i="7"/>
  <c r="B1106" i="7"/>
  <c r="C1106" i="7"/>
  <c r="A1105" i="7"/>
  <c r="B1105" i="7"/>
  <c r="C1105" i="7"/>
  <c r="A1104" i="7"/>
  <c r="B1104" i="7"/>
  <c r="C1104" i="7"/>
  <c r="A1103" i="7"/>
  <c r="B1103" i="7"/>
  <c r="C1103" i="7"/>
  <c r="A1102" i="7"/>
  <c r="B1102" i="7"/>
  <c r="C1102" i="7"/>
  <c r="A1101" i="7"/>
  <c r="B1101" i="7"/>
  <c r="C1101" i="7"/>
  <c r="A1100" i="7"/>
  <c r="B1100" i="7"/>
  <c r="C1100" i="7"/>
  <c r="A1099" i="7"/>
  <c r="B1099" i="7"/>
  <c r="C1099" i="7"/>
  <c r="A1098" i="7"/>
  <c r="B1098" i="7"/>
  <c r="C1098" i="7"/>
  <c r="A1097" i="7"/>
  <c r="B1097" i="7"/>
  <c r="C1097" i="7"/>
  <c r="A1096" i="7"/>
  <c r="B1096" i="7"/>
  <c r="C1096" i="7"/>
  <c r="A1095" i="7"/>
  <c r="B1095" i="7"/>
  <c r="C1095" i="7"/>
  <c r="A1094" i="7"/>
  <c r="B1094" i="7"/>
  <c r="C1094" i="7"/>
  <c r="A1093" i="7"/>
  <c r="B1093" i="7"/>
  <c r="C1093" i="7"/>
  <c r="A1092" i="7"/>
  <c r="B1092" i="7"/>
  <c r="C1092" i="7"/>
  <c r="A1091" i="7"/>
  <c r="B1091" i="7"/>
  <c r="C1091" i="7"/>
  <c r="A1090" i="7"/>
  <c r="B1090" i="7"/>
  <c r="C1090" i="7"/>
  <c r="A1089" i="7"/>
  <c r="B1089" i="7"/>
  <c r="C1089" i="7"/>
  <c r="A1088" i="7"/>
  <c r="B1088" i="7"/>
  <c r="C1088" i="7"/>
  <c r="A1087" i="7"/>
  <c r="B1087" i="7"/>
  <c r="C1087" i="7"/>
  <c r="A1086" i="7"/>
  <c r="B1086" i="7"/>
  <c r="C1086" i="7"/>
  <c r="A1085" i="7"/>
  <c r="B1085" i="7"/>
  <c r="C1085" i="7"/>
  <c r="A1084" i="7"/>
  <c r="B1084" i="7"/>
  <c r="C1084" i="7"/>
  <c r="A1083" i="7"/>
  <c r="B1083" i="7"/>
  <c r="C1083" i="7"/>
  <c r="A1082" i="7"/>
  <c r="B1082" i="7"/>
  <c r="C1082" i="7"/>
  <c r="A1081" i="7"/>
  <c r="B1081" i="7"/>
  <c r="C1081" i="7"/>
  <c r="A1080" i="7"/>
  <c r="B1080" i="7"/>
  <c r="C1080" i="7"/>
  <c r="A1079" i="7"/>
  <c r="B1079" i="7"/>
  <c r="C1079" i="7"/>
  <c r="A1078" i="7"/>
  <c r="B1078" i="7"/>
  <c r="C1078" i="7"/>
  <c r="A1077" i="7"/>
  <c r="B1077" i="7"/>
  <c r="C1077" i="7"/>
  <c r="A1076" i="7"/>
  <c r="B1076" i="7"/>
  <c r="C1076" i="7"/>
  <c r="A1075" i="7"/>
  <c r="B1075" i="7"/>
  <c r="C1075" i="7"/>
  <c r="A1074" i="7"/>
  <c r="B1074" i="7"/>
  <c r="C1074" i="7"/>
  <c r="A1073" i="7"/>
  <c r="B1073" i="7"/>
  <c r="C1073" i="7"/>
  <c r="A1072" i="7"/>
  <c r="B1072" i="7"/>
  <c r="C1072" i="7"/>
  <c r="A1071" i="7"/>
  <c r="B1071" i="7"/>
  <c r="C1071" i="7"/>
  <c r="A1070" i="7"/>
  <c r="B1070" i="7"/>
  <c r="C1070" i="7"/>
  <c r="A1069" i="7"/>
  <c r="B1069" i="7"/>
  <c r="C1069" i="7"/>
  <c r="A1068" i="7"/>
  <c r="B1068" i="7"/>
  <c r="C1068" i="7"/>
  <c r="A1067" i="7"/>
  <c r="B1067" i="7"/>
  <c r="C1067" i="7"/>
  <c r="A1066" i="7"/>
  <c r="B1066" i="7"/>
  <c r="C1066" i="7"/>
  <c r="A1065" i="7"/>
  <c r="B1065" i="7"/>
  <c r="C1065" i="7"/>
  <c r="A1064" i="7"/>
  <c r="B1064" i="7"/>
  <c r="C1064" i="7"/>
  <c r="A1063" i="7"/>
  <c r="B1063" i="7"/>
  <c r="C1063" i="7"/>
  <c r="A1062" i="7"/>
  <c r="B1062" i="7"/>
  <c r="C1062" i="7"/>
  <c r="A1061" i="7"/>
  <c r="B1061" i="7"/>
  <c r="C1061" i="7"/>
  <c r="A1060" i="7"/>
  <c r="B1060" i="7"/>
  <c r="C1060" i="7"/>
  <c r="A1059" i="7"/>
  <c r="B1059" i="7"/>
  <c r="C1059" i="7"/>
  <c r="A1058" i="7"/>
  <c r="B1058" i="7"/>
  <c r="C1058" i="7"/>
  <c r="A1057" i="7"/>
  <c r="B1057" i="7"/>
  <c r="C1057" i="7"/>
  <c r="A1056" i="7"/>
  <c r="B1056" i="7"/>
  <c r="C1056" i="7"/>
  <c r="A1055" i="7"/>
  <c r="B1055" i="7"/>
  <c r="C1055" i="7"/>
  <c r="A1054" i="7"/>
  <c r="B1054" i="7"/>
  <c r="C1054" i="7"/>
  <c r="A1053" i="7"/>
  <c r="B1053" i="7"/>
  <c r="C1053" i="7"/>
  <c r="A1052" i="7"/>
  <c r="B1052" i="7"/>
  <c r="C1052" i="7"/>
  <c r="A1051" i="7"/>
  <c r="B1051" i="7"/>
  <c r="C1051" i="7"/>
  <c r="A1050" i="7"/>
  <c r="B1050" i="7"/>
  <c r="C1050" i="7"/>
  <c r="A1049" i="7"/>
  <c r="B1049" i="7"/>
  <c r="C1049" i="7"/>
  <c r="A1048" i="7"/>
  <c r="B1048" i="7"/>
  <c r="C1048" i="7"/>
  <c r="A1047" i="7"/>
  <c r="B1047" i="7"/>
  <c r="C1047" i="7"/>
  <c r="A1046" i="7"/>
  <c r="B1046" i="7"/>
  <c r="C1046" i="7"/>
  <c r="A1045" i="7"/>
  <c r="B1045" i="7"/>
  <c r="C1045" i="7"/>
  <c r="A1044" i="7"/>
  <c r="B1044" i="7"/>
  <c r="C1044" i="7"/>
  <c r="A1043" i="7"/>
  <c r="B1043" i="7"/>
  <c r="C1043" i="7"/>
  <c r="A1042" i="7"/>
  <c r="B1042" i="7"/>
  <c r="C1042" i="7"/>
  <c r="A1041" i="7"/>
  <c r="B1041" i="7"/>
  <c r="C1041" i="7"/>
  <c r="A1040" i="7"/>
  <c r="B1040" i="7"/>
  <c r="C1040" i="7"/>
  <c r="A1039" i="7"/>
  <c r="B1039" i="7"/>
  <c r="C1039" i="7"/>
  <c r="A1038" i="7"/>
  <c r="B1038" i="7"/>
  <c r="C1038" i="7"/>
  <c r="A1037" i="7"/>
  <c r="B1037" i="7"/>
  <c r="C1037" i="7"/>
  <c r="A1036" i="7"/>
  <c r="B1036" i="7"/>
  <c r="C1036" i="7"/>
  <c r="A1035" i="7"/>
  <c r="B1035" i="7"/>
  <c r="C1035" i="7"/>
  <c r="A1034" i="7"/>
  <c r="B1034" i="7"/>
  <c r="C1034" i="7"/>
  <c r="A1033" i="7"/>
  <c r="B1033" i="7"/>
  <c r="C1033" i="7"/>
  <c r="A1032" i="7"/>
  <c r="B1032" i="7"/>
  <c r="C1032" i="7"/>
  <c r="A1031" i="7"/>
  <c r="B1031" i="7"/>
  <c r="C1031" i="7"/>
  <c r="A1030" i="7"/>
  <c r="B1030" i="7"/>
  <c r="C1030" i="7"/>
  <c r="A1029" i="7"/>
  <c r="B1029" i="7"/>
  <c r="C1029" i="7"/>
  <c r="A1028" i="7"/>
  <c r="B1028" i="7"/>
  <c r="C1028" i="7"/>
  <c r="A1027" i="7"/>
  <c r="B1027" i="7"/>
  <c r="C1027" i="7"/>
  <c r="A1026" i="7"/>
  <c r="B1026" i="7"/>
  <c r="C1026" i="7"/>
  <c r="A1025" i="7"/>
  <c r="B1025" i="7"/>
  <c r="C1025" i="7"/>
  <c r="A1024" i="7"/>
  <c r="B1024" i="7"/>
  <c r="C1024" i="7"/>
  <c r="A1023" i="7"/>
  <c r="B1023" i="7"/>
  <c r="C1023" i="7"/>
  <c r="A1022" i="7"/>
  <c r="B1022" i="7"/>
  <c r="C1022" i="7"/>
  <c r="A1021" i="7"/>
  <c r="B1021" i="7"/>
  <c r="C1021" i="7"/>
  <c r="A1020" i="7"/>
  <c r="B1020" i="7"/>
  <c r="C1020" i="7"/>
  <c r="A1019" i="7"/>
  <c r="B1019" i="7"/>
  <c r="C1019" i="7"/>
  <c r="A1018" i="7"/>
  <c r="B1018" i="7"/>
  <c r="C1018" i="7"/>
  <c r="A1017" i="7"/>
  <c r="B1017" i="7"/>
  <c r="C1017" i="7"/>
  <c r="A1016" i="7"/>
  <c r="B1016" i="7"/>
  <c r="C1016" i="7"/>
  <c r="A1015" i="7"/>
  <c r="B1015" i="7"/>
  <c r="C1015" i="7"/>
  <c r="A1014" i="7"/>
  <c r="B1014" i="7"/>
  <c r="C1014" i="7"/>
  <c r="A1013" i="7"/>
  <c r="B1013" i="7"/>
  <c r="C1013" i="7"/>
  <c r="A1012" i="7"/>
  <c r="B1012" i="7"/>
  <c r="C1012" i="7"/>
  <c r="A1011" i="7"/>
  <c r="B1011" i="7"/>
  <c r="C1011" i="7"/>
  <c r="A1010" i="7"/>
  <c r="B1010" i="7"/>
  <c r="C1010" i="7"/>
  <c r="A1009" i="7"/>
  <c r="B1009" i="7"/>
  <c r="C1009" i="7"/>
  <c r="A1008" i="7"/>
  <c r="B1008" i="7"/>
  <c r="C1008" i="7"/>
  <c r="A1007" i="7"/>
  <c r="B1007" i="7"/>
  <c r="C1007" i="7"/>
  <c r="A1006" i="7"/>
  <c r="B1006" i="7"/>
  <c r="C1006" i="7"/>
  <c r="A1005" i="7"/>
  <c r="B1005" i="7"/>
  <c r="C1005" i="7"/>
  <c r="A1004" i="7"/>
  <c r="B1004" i="7"/>
  <c r="C1004" i="7"/>
  <c r="A1003" i="7"/>
  <c r="B1003" i="7"/>
  <c r="C1003" i="7"/>
  <c r="A1002" i="7"/>
  <c r="B1002" i="7"/>
  <c r="C1002" i="7"/>
  <c r="A1001" i="7"/>
  <c r="B1001" i="7"/>
  <c r="C1001" i="7"/>
  <c r="A1000" i="7"/>
  <c r="B1000" i="7"/>
  <c r="C1000" i="7"/>
  <c r="A999" i="7"/>
  <c r="B999" i="7"/>
  <c r="C999" i="7"/>
  <c r="A998" i="7"/>
  <c r="B998" i="7"/>
  <c r="C998" i="7"/>
  <c r="A997" i="7"/>
  <c r="B997" i="7"/>
  <c r="C997" i="7"/>
  <c r="A996" i="7"/>
  <c r="B996" i="7"/>
  <c r="C996" i="7"/>
  <c r="A995" i="7"/>
  <c r="B995" i="7"/>
  <c r="C995" i="7"/>
  <c r="A994" i="7"/>
  <c r="B994" i="7"/>
  <c r="C994" i="7"/>
  <c r="A993" i="7"/>
  <c r="B993" i="7"/>
  <c r="C993" i="7"/>
  <c r="A992" i="7"/>
  <c r="B992" i="7"/>
  <c r="C992" i="7"/>
  <c r="A991" i="7"/>
  <c r="B991" i="7"/>
  <c r="C991" i="7"/>
  <c r="A990" i="7"/>
  <c r="B990" i="7"/>
  <c r="C990" i="7"/>
  <c r="A989" i="7"/>
  <c r="B989" i="7"/>
  <c r="C989" i="7"/>
  <c r="A988" i="7"/>
  <c r="B988" i="7"/>
  <c r="C988" i="7"/>
  <c r="A987" i="7"/>
  <c r="B987" i="7"/>
  <c r="C987" i="7"/>
  <c r="A986" i="7"/>
  <c r="B986" i="7"/>
  <c r="C986" i="7"/>
  <c r="A985" i="7"/>
  <c r="B985" i="7"/>
  <c r="C985" i="7"/>
  <c r="A984" i="7"/>
  <c r="B984" i="7"/>
  <c r="C984" i="7"/>
  <c r="A983" i="7"/>
  <c r="B983" i="7"/>
  <c r="C983" i="7"/>
  <c r="A982" i="7"/>
  <c r="B982" i="7"/>
  <c r="C982" i="7"/>
  <c r="A981" i="7"/>
  <c r="B981" i="7"/>
  <c r="C981" i="7"/>
  <c r="A980" i="7"/>
  <c r="B980" i="7"/>
  <c r="C980" i="7"/>
  <c r="A979" i="7"/>
  <c r="B979" i="7"/>
  <c r="C979" i="7"/>
  <c r="A978" i="7"/>
  <c r="B978" i="7"/>
  <c r="C978" i="7"/>
  <c r="A977" i="7"/>
  <c r="B977" i="7"/>
  <c r="C977" i="7"/>
  <c r="A976" i="7"/>
  <c r="B976" i="7"/>
  <c r="C976" i="7"/>
  <c r="A975" i="7"/>
  <c r="B975" i="7"/>
  <c r="C975" i="7"/>
  <c r="A974" i="7"/>
  <c r="B974" i="7"/>
  <c r="C974" i="7"/>
  <c r="A973" i="7"/>
  <c r="B973" i="7"/>
  <c r="C973" i="7"/>
  <c r="A972" i="7"/>
  <c r="B972" i="7"/>
  <c r="C972" i="7"/>
  <c r="A971" i="7"/>
  <c r="B971" i="7"/>
  <c r="C971" i="7"/>
  <c r="A970" i="7"/>
  <c r="B970" i="7"/>
  <c r="C970" i="7"/>
  <c r="A969" i="7"/>
  <c r="B969" i="7"/>
  <c r="C969" i="7"/>
  <c r="A968" i="7"/>
  <c r="B968" i="7"/>
  <c r="C968" i="7"/>
  <c r="A967" i="7"/>
  <c r="B967" i="7"/>
  <c r="C967" i="7"/>
  <c r="A966" i="7"/>
  <c r="B966" i="7"/>
  <c r="C966" i="7"/>
  <c r="A965" i="7"/>
  <c r="B965" i="7"/>
  <c r="C965" i="7"/>
  <c r="A964" i="7"/>
  <c r="B964" i="7"/>
  <c r="C964" i="7"/>
  <c r="A963" i="7"/>
  <c r="B963" i="7"/>
  <c r="C963" i="7"/>
  <c r="A962" i="7"/>
  <c r="B962" i="7"/>
  <c r="C962" i="7"/>
  <c r="A961" i="7"/>
  <c r="B961" i="7"/>
  <c r="C961" i="7"/>
  <c r="A960" i="7"/>
  <c r="B960" i="7"/>
  <c r="C960" i="7"/>
  <c r="A959" i="7"/>
  <c r="B959" i="7"/>
  <c r="C959" i="7"/>
  <c r="A958" i="7"/>
  <c r="B958" i="7"/>
  <c r="C958" i="7"/>
  <c r="A957" i="7"/>
  <c r="B957" i="7"/>
  <c r="C957" i="7"/>
  <c r="A956" i="7"/>
  <c r="B956" i="7"/>
  <c r="C956" i="7"/>
  <c r="A955" i="7"/>
  <c r="B955" i="7"/>
  <c r="C955" i="7"/>
  <c r="A954" i="7"/>
  <c r="B954" i="7"/>
  <c r="C954" i="7"/>
  <c r="A953" i="7"/>
  <c r="B953" i="7"/>
  <c r="C953" i="7"/>
  <c r="A952" i="7"/>
  <c r="B952" i="7"/>
  <c r="C952" i="7"/>
  <c r="A951" i="7"/>
  <c r="B951" i="7"/>
  <c r="C951" i="7"/>
  <c r="A950" i="7"/>
  <c r="B950" i="7"/>
  <c r="C950" i="7"/>
  <c r="A949" i="7"/>
  <c r="B949" i="7"/>
  <c r="C949" i="7"/>
  <c r="A948" i="7"/>
  <c r="B948" i="7"/>
  <c r="C948" i="7"/>
  <c r="A947" i="7"/>
  <c r="B947" i="7"/>
  <c r="C947" i="7"/>
  <c r="A946" i="7"/>
  <c r="B946" i="7"/>
  <c r="C946" i="7"/>
  <c r="A945" i="7"/>
  <c r="B945" i="7"/>
  <c r="C945" i="7"/>
  <c r="A944" i="7"/>
  <c r="B944" i="7"/>
  <c r="C944" i="7"/>
  <c r="A943" i="7"/>
  <c r="B943" i="7"/>
  <c r="C943" i="7"/>
  <c r="A942" i="7"/>
  <c r="B942" i="7"/>
  <c r="C942" i="7"/>
  <c r="A941" i="7"/>
  <c r="B941" i="7"/>
  <c r="C941" i="7"/>
  <c r="A940" i="7"/>
  <c r="B940" i="7"/>
  <c r="C940" i="7"/>
  <c r="A939" i="7"/>
  <c r="B939" i="7"/>
  <c r="C939" i="7"/>
  <c r="A938" i="7"/>
  <c r="B938" i="7"/>
  <c r="C938" i="7"/>
  <c r="A937" i="7"/>
  <c r="B937" i="7"/>
  <c r="C937" i="7"/>
  <c r="A936" i="7"/>
  <c r="B936" i="7"/>
  <c r="C936" i="7"/>
  <c r="A935" i="7"/>
  <c r="B935" i="7"/>
  <c r="C935" i="7"/>
  <c r="A934" i="7"/>
  <c r="B934" i="7"/>
  <c r="C934" i="7"/>
  <c r="A933" i="7"/>
  <c r="B933" i="7"/>
  <c r="C933" i="7"/>
  <c r="A932" i="7"/>
  <c r="B932" i="7"/>
  <c r="C932" i="7"/>
  <c r="A931" i="7"/>
  <c r="B931" i="7"/>
  <c r="C931" i="7"/>
  <c r="A930" i="7"/>
  <c r="B930" i="7"/>
  <c r="C930" i="7"/>
  <c r="A929" i="7"/>
  <c r="B929" i="7"/>
  <c r="C929" i="7"/>
  <c r="A928" i="7"/>
  <c r="B928" i="7"/>
  <c r="C928" i="7"/>
  <c r="A927" i="7"/>
  <c r="B927" i="7"/>
  <c r="C927" i="7"/>
  <c r="A926" i="7"/>
  <c r="B926" i="7"/>
  <c r="C926" i="7"/>
  <c r="A925" i="7"/>
  <c r="B925" i="7"/>
  <c r="C925" i="7"/>
  <c r="A924" i="7"/>
  <c r="B924" i="7"/>
  <c r="C924" i="7"/>
  <c r="A923" i="7"/>
  <c r="B923" i="7"/>
  <c r="C923" i="7"/>
  <c r="A922" i="7"/>
  <c r="B922" i="7"/>
  <c r="C922" i="7"/>
  <c r="A921" i="7"/>
  <c r="B921" i="7"/>
  <c r="C921" i="7"/>
  <c r="A920" i="7"/>
  <c r="B920" i="7"/>
  <c r="C920" i="7"/>
  <c r="A919" i="7"/>
  <c r="B919" i="7"/>
  <c r="C919" i="7"/>
  <c r="A918" i="7"/>
  <c r="B918" i="7"/>
  <c r="C918" i="7"/>
  <c r="A917" i="7"/>
  <c r="B917" i="7"/>
  <c r="C917" i="7"/>
  <c r="A916" i="7"/>
  <c r="B916" i="7"/>
  <c r="C916" i="7"/>
  <c r="A915" i="7"/>
  <c r="B915" i="7"/>
  <c r="C915" i="7"/>
  <c r="A914" i="7"/>
  <c r="B914" i="7"/>
  <c r="C914" i="7"/>
  <c r="A913" i="7"/>
  <c r="B913" i="7"/>
  <c r="C913" i="7"/>
  <c r="A912" i="7"/>
  <c r="B912" i="7"/>
  <c r="C912" i="7"/>
  <c r="A911" i="7"/>
  <c r="B911" i="7"/>
  <c r="C911" i="7"/>
  <c r="A910" i="7"/>
  <c r="B910" i="7"/>
  <c r="C910" i="7"/>
  <c r="A909" i="7"/>
  <c r="B909" i="7"/>
  <c r="C909" i="7"/>
  <c r="A908" i="7"/>
  <c r="B908" i="7"/>
  <c r="C908" i="7"/>
  <c r="A907" i="7"/>
  <c r="B907" i="7"/>
  <c r="C907" i="7"/>
  <c r="A906" i="7"/>
  <c r="B906" i="7"/>
  <c r="C906" i="7"/>
  <c r="A905" i="7"/>
  <c r="B905" i="7"/>
  <c r="C905" i="7"/>
  <c r="A904" i="7"/>
  <c r="B904" i="7"/>
  <c r="C904" i="7"/>
  <c r="A903" i="7"/>
  <c r="B903" i="7"/>
  <c r="C903" i="7"/>
  <c r="A902" i="7"/>
  <c r="B902" i="7"/>
  <c r="C902" i="7"/>
  <c r="A901" i="7"/>
  <c r="B901" i="7"/>
  <c r="C901" i="7"/>
  <c r="A900" i="7"/>
  <c r="B900" i="7"/>
  <c r="C900" i="7"/>
  <c r="A899" i="7"/>
  <c r="B899" i="7"/>
  <c r="C899" i="7"/>
  <c r="A898" i="7"/>
  <c r="B898" i="7"/>
  <c r="C898" i="7"/>
  <c r="A897" i="7"/>
  <c r="B897" i="7"/>
  <c r="C897" i="7"/>
  <c r="A896" i="7"/>
  <c r="B896" i="7"/>
  <c r="C896" i="7"/>
  <c r="A895" i="7"/>
  <c r="B895" i="7"/>
  <c r="C895" i="7"/>
  <c r="A894" i="7"/>
  <c r="B894" i="7"/>
  <c r="C894" i="7"/>
  <c r="A893" i="7"/>
  <c r="B893" i="7"/>
  <c r="C893" i="7"/>
  <c r="A892" i="7"/>
  <c r="B892" i="7"/>
  <c r="C892" i="7"/>
  <c r="A891" i="7"/>
  <c r="B891" i="7"/>
  <c r="C891" i="7"/>
  <c r="A890" i="7"/>
  <c r="B890" i="7"/>
  <c r="C890" i="7"/>
  <c r="A889" i="7"/>
  <c r="B889" i="7"/>
  <c r="C889" i="7"/>
  <c r="A888" i="7"/>
  <c r="B888" i="7"/>
  <c r="C888" i="7"/>
  <c r="A887" i="7"/>
  <c r="B887" i="7"/>
  <c r="C887" i="7"/>
  <c r="A886" i="7"/>
  <c r="B886" i="7"/>
  <c r="C886" i="7"/>
  <c r="A885" i="7"/>
  <c r="B885" i="7"/>
  <c r="C885" i="7"/>
  <c r="A884" i="7"/>
  <c r="B884" i="7"/>
  <c r="C884" i="7"/>
  <c r="A883" i="7"/>
  <c r="B883" i="7"/>
  <c r="C883" i="7"/>
  <c r="A882" i="7"/>
  <c r="B882" i="7"/>
  <c r="C882" i="7"/>
  <c r="A881" i="7"/>
  <c r="B881" i="7"/>
  <c r="C881" i="7"/>
  <c r="A880" i="7"/>
  <c r="B880" i="7"/>
  <c r="C880" i="7"/>
  <c r="A879" i="7"/>
  <c r="B879" i="7"/>
  <c r="C879" i="7"/>
  <c r="A878" i="7"/>
  <c r="B878" i="7"/>
  <c r="C878" i="7"/>
  <c r="A877" i="7"/>
  <c r="B877" i="7"/>
  <c r="C877" i="7"/>
  <c r="A876" i="7"/>
  <c r="B876" i="7"/>
  <c r="C876" i="7"/>
  <c r="A875" i="7"/>
  <c r="B875" i="7"/>
  <c r="C875" i="7"/>
  <c r="A874" i="7"/>
  <c r="B874" i="7"/>
  <c r="C874" i="7"/>
  <c r="A873" i="7"/>
  <c r="B873" i="7"/>
  <c r="C873" i="7"/>
  <c r="A872" i="7"/>
  <c r="B872" i="7"/>
  <c r="C872" i="7"/>
  <c r="A871" i="7"/>
  <c r="B871" i="7"/>
  <c r="C871" i="7"/>
  <c r="A870" i="7"/>
  <c r="B870" i="7"/>
  <c r="C870" i="7"/>
  <c r="A869" i="7"/>
  <c r="B869" i="7"/>
  <c r="C869" i="7"/>
  <c r="A868" i="7"/>
  <c r="B868" i="7"/>
  <c r="C868" i="7"/>
  <c r="A867" i="7"/>
  <c r="B867" i="7"/>
  <c r="C867" i="7"/>
  <c r="A866" i="7"/>
  <c r="B866" i="7"/>
  <c r="C866" i="7"/>
  <c r="A865" i="7"/>
  <c r="B865" i="7"/>
  <c r="C865" i="7"/>
  <c r="A864" i="7"/>
  <c r="B864" i="7"/>
  <c r="C864" i="7"/>
  <c r="A863" i="7"/>
  <c r="B863" i="7"/>
  <c r="C863" i="7"/>
  <c r="A862" i="7"/>
  <c r="B862" i="7"/>
  <c r="C862" i="7"/>
  <c r="A861" i="7"/>
  <c r="B861" i="7"/>
  <c r="C861" i="7"/>
  <c r="A860" i="7"/>
  <c r="B860" i="7"/>
  <c r="C860" i="7"/>
  <c r="A859" i="7"/>
  <c r="B859" i="7"/>
  <c r="C859" i="7"/>
  <c r="A858" i="7"/>
  <c r="B858" i="7"/>
  <c r="C858" i="7"/>
  <c r="A857" i="7"/>
  <c r="B857" i="7"/>
  <c r="C857" i="7"/>
  <c r="A856" i="7"/>
  <c r="B856" i="7"/>
  <c r="C856" i="7"/>
  <c r="A855" i="7"/>
  <c r="B855" i="7"/>
  <c r="C855" i="7"/>
  <c r="A854" i="7"/>
  <c r="B854" i="7"/>
  <c r="C854" i="7"/>
  <c r="A853" i="7"/>
  <c r="B853" i="7"/>
  <c r="C853" i="7"/>
  <c r="A852" i="7"/>
  <c r="B852" i="7"/>
  <c r="C852" i="7"/>
  <c r="A851" i="7"/>
  <c r="B851" i="7"/>
  <c r="C851" i="7"/>
  <c r="A850" i="7"/>
  <c r="B850" i="7"/>
  <c r="C850" i="7"/>
  <c r="A849" i="7"/>
  <c r="B849" i="7"/>
  <c r="C849" i="7"/>
  <c r="A848" i="7"/>
  <c r="B848" i="7"/>
  <c r="C848" i="7"/>
  <c r="A847" i="7"/>
  <c r="B847" i="7"/>
  <c r="C847" i="7"/>
  <c r="A846" i="7"/>
  <c r="B846" i="7"/>
  <c r="C846" i="7"/>
  <c r="A845" i="7"/>
  <c r="B845" i="7"/>
  <c r="C845" i="7"/>
  <c r="A844" i="7"/>
  <c r="B844" i="7"/>
  <c r="C844" i="7"/>
  <c r="A843" i="7"/>
  <c r="B843" i="7"/>
  <c r="C843" i="7"/>
  <c r="A842" i="7"/>
  <c r="B842" i="7"/>
  <c r="C842" i="7"/>
  <c r="A841" i="7"/>
  <c r="B841" i="7"/>
  <c r="C841" i="7"/>
  <c r="A840" i="7"/>
  <c r="B840" i="7"/>
  <c r="C840" i="7"/>
  <c r="A839" i="7"/>
  <c r="B839" i="7"/>
  <c r="C839" i="7"/>
  <c r="A838" i="7"/>
  <c r="B838" i="7"/>
  <c r="C838" i="7"/>
  <c r="A837" i="7"/>
  <c r="B837" i="7"/>
  <c r="C837" i="7"/>
  <c r="A836" i="7"/>
  <c r="B836" i="7"/>
  <c r="C836" i="7"/>
  <c r="A835" i="7"/>
  <c r="B835" i="7"/>
  <c r="C835" i="7"/>
  <c r="A834" i="7"/>
  <c r="B834" i="7"/>
  <c r="C834" i="7"/>
  <c r="A833" i="7"/>
  <c r="B833" i="7"/>
  <c r="C833" i="7"/>
  <c r="A832" i="7"/>
  <c r="B832" i="7"/>
  <c r="C832" i="7"/>
  <c r="A831" i="7"/>
  <c r="B831" i="7"/>
  <c r="C831" i="7"/>
  <c r="A830" i="7"/>
  <c r="B830" i="7"/>
  <c r="C830" i="7"/>
  <c r="A829" i="7"/>
  <c r="B829" i="7"/>
  <c r="C829" i="7"/>
  <c r="A828" i="7"/>
  <c r="B828" i="7"/>
  <c r="C828" i="7"/>
  <c r="A827" i="7"/>
  <c r="B827" i="7"/>
  <c r="C827" i="7"/>
  <c r="A826" i="7"/>
  <c r="B826" i="7"/>
  <c r="C826" i="7"/>
  <c r="A825" i="7"/>
  <c r="B825" i="7"/>
  <c r="C825" i="7"/>
  <c r="A824" i="7"/>
  <c r="B824" i="7"/>
  <c r="C824" i="7"/>
  <c r="A823" i="7"/>
  <c r="B823" i="7"/>
  <c r="C823" i="7"/>
  <c r="A822" i="7"/>
  <c r="B822" i="7"/>
  <c r="C822" i="7"/>
  <c r="A821" i="7"/>
  <c r="B821" i="7"/>
  <c r="C821" i="7"/>
  <c r="A820" i="7"/>
  <c r="B820" i="7"/>
  <c r="C820" i="7"/>
  <c r="A819" i="7"/>
  <c r="B819" i="7"/>
  <c r="C819" i="7"/>
  <c r="A818" i="7"/>
  <c r="B818" i="7"/>
  <c r="C818" i="7"/>
  <c r="A817" i="7"/>
  <c r="B817" i="7"/>
  <c r="C817" i="7"/>
  <c r="A816" i="7"/>
  <c r="B816" i="7"/>
  <c r="C816" i="7"/>
  <c r="A815" i="7"/>
  <c r="B815" i="7"/>
  <c r="C815" i="7"/>
  <c r="A814" i="7"/>
  <c r="B814" i="7"/>
  <c r="C814" i="7"/>
  <c r="A813" i="7"/>
  <c r="B813" i="7"/>
  <c r="C813" i="7"/>
  <c r="A812" i="7"/>
  <c r="B812" i="7"/>
  <c r="C812" i="7"/>
  <c r="A811" i="7"/>
  <c r="B811" i="7"/>
  <c r="C811" i="7"/>
  <c r="A810" i="7"/>
  <c r="B810" i="7"/>
  <c r="C810" i="7"/>
  <c r="A809" i="7"/>
  <c r="B809" i="7"/>
  <c r="C809" i="7"/>
  <c r="A808" i="7"/>
  <c r="B808" i="7"/>
  <c r="C808" i="7"/>
  <c r="A807" i="7"/>
  <c r="B807" i="7"/>
  <c r="C807" i="7"/>
  <c r="A806" i="7"/>
  <c r="B806" i="7"/>
  <c r="C806" i="7"/>
  <c r="A805" i="7"/>
  <c r="B805" i="7"/>
  <c r="C805" i="7"/>
  <c r="A804" i="7"/>
  <c r="B804" i="7"/>
  <c r="C804" i="7"/>
  <c r="A803" i="7"/>
  <c r="B803" i="7"/>
  <c r="C803" i="7"/>
  <c r="A802" i="7"/>
  <c r="B802" i="7"/>
  <c r="C802" i="7"/>
  <c r="A801" i="7"/>
  <c r="B801" i="7"/>
  <c r="C801" i="7"/>
  <c r="A800" i="7"/>
  <c r="B800" i="7"/>
  <c r="C800" i="7"/>
  <c r="A799" i="7"/>
  <c r="B799" i="7"/>
  <c r="C799" i="7"/>
  <c r="A798" i="7"/>
  <c r="B798" i="7"/>
  <c r="C798" i="7"/>
  <c r="A797" i="7"/>
  <c r="B797" i="7"/>
  <c r="C797" i="7"/>
  <c r="A796" i="7"/>
  <c r="B796" i="7"/>
  <c r="C796" i="7"/>
  <c r="A795" i="7"/>
  <c r="B795" i="7"/>
  <c r="C795" i="7"/>
  <c r="A794" i="7"/>
  <c r="B794" i="7"/>
  <c r="C794" i="7"/>
  <c r="A793" i="7"/>
  <c r="B793" i="7"/>
  <c r="C793" i="7"/>
  <c r="A792" i="7"/>
  <c r="B792" i="7"/>
  <c r="C792" i="7"/>
  <c r="A791" i="7"/>
  <c r="B791" i="7"/>
  <c r="C791" i="7"/>
  <c r="A790" i="7"/>
  <c r="B790" i="7"/>
  <c r="C790" i="7"/>
  <c r="A789" i="7"/>
  <c r="B789" i="7"/>
  <c r="C789" i="7"/>
  <c r="A788" i="7"/>
  <c r="B788" i="7"/>
  <c r="C788" i="7"/>
  <c r="A787" i="7"/>
  <c r="B787" i="7"/>
  <c r="C787" i="7"/>
  <c r="A786" i="7"/>
  <c r="B786" i="7"/>
  <c r="C786" i="7"/>
  <c r="A785" i="7"/>
  <c r="B785" i="7"/>
  <c r="C785" i="7"/>
  <c r="A784" i="7"/>
  <c r="B784" i="7"/>
  <c r="C784" i="7"/>
  <c r="A783" i="7"/>
  <c r="B783" i="7"/>
  <c r="C783" i="7"/>
  <c r="A782" i="7"/>
  <c r="B782" i="7"/>
  <c r="C782" i="7"/>
  <c r="A781" i="7"/>
  <c r="B781" i="7"/>
  <c r="C781" i="7"/>
  <c r="A780" i="7"/>
  <c r="B780" i="7"/>
  <c r="C780" i="7"/>
  <c r="A779" i="7"/>
  <c r="B779" i="7"/>
  <c r="C779" i="7"/>
  <c r="A778" i="7"/>
  <c r="B778" i="7"/>
  <c r="C778" i="7"/>
  <c r="A777" i="7"/>
  <c r="B777" i="7"/>
  <c r="C777" i="7"/>
  <c r="A776" i="7"/>
  <c r="B776" i="7"/>
  <c r="C776" i="7"/>
  <c r="A775" i="7"/>
  <c r="B775" i="7"/>
  <c r="C775" i="7"/>
  <c r="A774" i="7"/>
  <c r="B774" i="7"/>
  <c r="C774" i="7"/>
  <c r="A773" i="7"/>
  <c r="B773" i="7"/>
  <c r="C773" i="7"/>
  <c r="A772" i="7"/>
  <c r="B772" i="7"/>
  <c r="C772" i="7"/>
  <c r="A771" i="7"/>
  <c r="B771" i="7"/>
  <c r="C771" i="7"/>
  <c r="A770" i="7"/>
  <c r="B770" i="7"/>
  <c r="C770" i="7"/>
  <c r="A769" i="7"/>
  <c r="B769" i="7"/>
  <c r="C769" i="7"/>
  <c r="A768" i="7"/>
  <c r="B768" i="7"/>
  <c r="C768" i="7"/>
  <c r="A767" i="7"/>
  <c r="B767" i="7"/>
  <c r="C767" i="7"/>
  <c r="A766" i="7"/>
  <c r="B766" i="7"/>
  <c r="C766" i="7"/>
  <c r="A765" i="7"/>
  <c r="B765" i="7"/>
  <c r="C765" i="7"/>
  <c r="A764" i="7"/>
  <c r="B764" i="7"/>
  <c r="C764" i="7"/>
  <c r="A763" i="7"/>
  <c r="B763" i="7"/>
  <c r="C763" i="7"/>
  <c r="A762" i="7"/>
  <c r="B762" i="7"/>
  <c r="C762" i="7"/>
  <c r="A761" i="7"/>
  <c r="B761" i="7"/>
  <c r="C761" i="7"/>
  <c r="A760" i="7"/>
  <c r="B760" i="7"/>
  <c r="C760" i="7"/>
  <c r="A759" i="7"/>
  <c r="B759" i="7"/>
  <c r="C759" i="7"/>
  <c r="A758" i="7"/>
  <c r="B758" i="7"/>
  <c r="C758" i="7"/>
  <c r="A757" i="7"/>
  <c r="B757" i="7"/>
  <c r="C757" i="7"/>
  <c r="A756" i="7"/>
  <c r="B756" i="7"/>
  <c r="C756" i="7"/>
  <c r="A755" i="7"/>
  <c r="B755" i="7"/>
  <c r="C755" i="7"/>
  <c r="A754" i="7"/>
  <c r="B754" i="7"/>
  <c r="C754" i="7"/>
  <c r="A753" i="7"/>
  <c r="B753" i="7"/>
  <c r="C753" i="7"/>
  <c r="A752" i="7"/>
  <c r="B752" i="7"/>
  <c r="C752" i="7"/>
  <c r="A751" i="7"/>
  <c r="B751" i="7"/>
  <c r="C751" i="7"/>
  <c r="A750" i="7"/>
  <c r="B750" i="7"/>
  <c r="C750" i="7"/>
  <c r="A749" i="7"/>
  <c r="B749" i="7"/>
  <c r="C749" i="7"/>
  <c r="A748" i="7"/>
  <c r="B748" i="7"/>
  <c r="C748" i="7"/>
  <c r="A747" i="7"/>
  <c r="B747" i="7"/>
  <c r="C747" i="7"/>
  <c r="A746" i="7"/>
  <c r="B746" i="7"/>
  <c r="C746" i="7"/>
  <c r="A745" i="7"/>
  <c r="B745" i="7"/>
  <c r="C745" i="7"/>
  <c r="A744" i="7"/>
  <c r="B744" i="7"/>
  <c r="C744" i="7"/>
  <c r="A743" i="7"/>
  <c r="B743" i="7"/>
  <c r="C743" i="7"/>
  <c r="A742" i="7"/>
  <c r="B742" i="7"/>
  <c r="C742" i="7"/>
  <c r="A741" i="7"/>
  <c r="B741" i="7"/>
  <c r="C741" i="7"/>
  <c r="A740" i="7"/>
  <c r="B740" i="7"/>
  <c r="C740" i="7"/>
  <c r="A739" i="7"/>
  <c r="B739" i="7"/>
  <c r="C739" i="7"/>
  <c r="A738" i="7"/>
  <c r="B738" i="7"/>
  <c r="C738" i="7"/>
  <c r="A737" i="7"/>
  <c r="B737" i="7"/>
  <c r="C737" i="7"/>
  <c r="A736" i="7"/>
  <c r="B736" i="7"/>
  <c r="C736" i="7"/>
  <c r="A735" i="7"/>
  <c r="B735" i="7"/>
  <c r="C735" i="7"/>
  <c r="A734" i="7"/>
  <c r="B734" i="7"/>
  <c r="C734" i="7"/>
  <c r="A733" i="7"/>
  <c r="B733" i="7"/>
  <c r="C733" i="7"/>
  <c r="A732" i="7"/>
  <c r="B732" i="7"/>
  <c r="C732" i="7"/>
  <c r="A731" i="7"/>
  <c r="B731" i="7"/>
  <c r="C731" i="7"/>
  <c r="A730" i="7"/>
  <c r="B730" i="7"/>
  <c r="C730" i="7"/>
  <c r="A729" i="7"/>
  <c r="B729" i="7"/>
  <c r="C729" i="7"/>
  <c r="A728" i="7"/>
  <c r="B728" i="7"/>
  <c r="C728" i="7"/>
  <c r="A727" i="7"/>
  <c r="B727" i="7"/>
  <c r="C727" i="7"/>
  <c r="A726" i="7"/>
  <c r="B726" i="7"/>
  <c r="C726" i="7"/>
  <c r="A725" i="7"/>
  <c r="B725" i="7"/>
  <c r="C725" i="7"/>
  <c r="A724" i="7"/>
  <c r="B724" i="7"/>
  <c r="C724" i="7"/>
  <c r="A723" i="7"/>
  <c r="B723" i="7"/>
  <c r="C723" i="7"/>
  <c r="A722" i="7"/>
  <c r="B722" i="7"/>
  <c r="C722" i="7"/>
  <c r="A721" i="7"/>
  <c r="B721" i="7"/>
  <c r="C721" i="7"/>
  <c r="A720" i="7"/>
  <c r="B720" i="7"/>
  <c r="C720" i="7"/>
  <c r="A719" i="7"/>
  <c r="B719" i="7"/>
  <c r="C719" i="7"/>
  <c r="A718" i="7"/>
  <c r="B718" i="7"/>
  <c r="C718" i="7"/>
  <c r="A717" i="7"/>
  <c r="B717" i="7"/>
  <c r="C717" i="7"/>
  <c r="A716" i="7"/>
  <c r="B716" i="7"/>
  <c r="C716" i="7"/>
  <c r="A715" i="7"/>
  <c r="B715" i="7"/>
  <c r="C715" i="7"/>
  <c r="A714" i="7"/>
  <c r="B714" i="7"/>
  <c r="C714" i="7"/>
  <c r="A713" i="7"/>
  <c r="B713" i="7"/>
  <c r="C713" i="7"/>
  <c r="A712" i="7"/>
  <c r="B712" i="7"/>
  <c r="C712" i="7"/>
  <c r="A711" i="7"/>
  <c r="B711" i="7"/>
  <c r="C711" i="7"/>
  <c r="A710" i="7"/>
  <c r="B710" i="7"/>
  <c r="C710" i="7"/>
  <c r="A709" i="7"/>
  <c r="B709" i="7"/>
  <c r="C709" i="7"/>
  <c r="A708" i="7"/>
  <c r="B708" i="7"/>
  <c r="C708" i="7"/>
  <c r="A707" i="7"/>
  <c r="B707" i="7"/>
  <c r="C707" i="7"/>
  <c r="A706" i="7"/>
  <c r="B706" i="7"/>
  <c r="C706" i="7"/>
  <c r="A705" i="7"/>
  <c r="B705" i="7"/>
  <c r="C705" i="7"/>
  <c r="A704" i="7"/>
  <c r="B704" i="7"/>
  <c r="C704" i="7"/>
  <c r="A703" i="7"/>
  <c r="B703" i="7"/>
  <c r="C703" i="7"/>
  <c r="A702" i="7"/>
  <c r="B702" i="7"/>
  <c r="C702" i="7"/>
  <c r="A701" i="7"/>
  <c r="B701" i="7"/>
  <c r="C701" i="7"/>
  <c r="A700" i="7"/>
  <c r="B700" i="7"/>
  <c r="C700" i="7"/>
  <c r="A699" i="7"/>
  <c r="B699" i="7"/>
  <c r="C699" i="7"/>
  <c r="A698" i="7"/>
  <c r="B698" i="7"/>
  <c r="C698" i="7"/>
  <c r="A697" i="7"/>
  <c r="B697" i="7"/>
  <c r="C697" i="7"/>
  <c r="A696" i="7"/>
  <c r="B696" i="7"/>
  <c r="C696" i="7"/>
  <c r="A695" i="7"/>
  <c r="B695" i="7"/>
  <c r="C695" i="7"/>
  <c r="A694" i="7"/>
  <c r="B694" i="7"/>
  <c r="C694" i="7"/>
  <c r="A693" i="7"/>
  <c r="B693" i="7"/>
  <c r="C693" i="7"/>
  <c r="A692" i="7"/>
  <c r="B692" i="7"/>
  <c r="C692" i="7"/>
  <c r="A691" i="7"/>
  <c r="B691" i="7"/>
  <c r="C691" i="7"/>
  <c r="A690" i="7"/>
  <c r="B690" i="7"/>
  <c r="C690" i="7"/>
  <c r="A689" i="7"/>
  <c r="B689" i="7"/>
  <c r="C689" i="7"/>
  <c r="A688" i="7"/>
  <c r="B688" i="7"/>
  <c r="C688" i="7"/>
  <c r="A687" i="7"/>
  <c r="B687" i="7"/>
  <c r="C687" i="7"/>
  <c r="A686" i="7"/>
  <c r="B686" i="7"/>
  <c r="C686" i="7"/>
  <c r="A685" i="7"/>
  <c r="B685" i="7"/>
  <c r="C685" i="7"/>
  <c r="A684" i="7"/>
  <c r="B684" i="7"/>
  <c r="C684" i="7"/>
  <c r="A683" i="7"/>
  <c r="B683" i="7"/>
  <c r="C683" i="7"/>
  <c r="A682" i="7"/>
  <c r="B682" i="7"/>
  <c r="C682" i="7"/>
  <c r="A681" i="7"/>
  <c r="B681" i="7"/>
  <c r="C681" i="7"/>
  <c r="A680" i="7"/>
  <c r="B680" i="7"/>
  <c r="C680" i="7"/>
  <c r="A679" i="7"/>
  <c r="B679" i="7"/>
  <c r="C679" i="7"/>
  <c r="A678" i="7"/>
  <c r="B678" i="7"/>
  <c r="C678" i="7"/>
  <c r="A677" i="7"/>
  <c r="B677" i="7"/>
  <c r="C677" i="7"/>
  <c r="A676" i="7"/>
  <c r="B676" i="7"/>
  <c r="C676" i="7"/>
  <c r="A675" i="7"/>
  <c r="B675" i="7"/>
  <c r="C675" i="7"/>
  <c r="A674" i="7"/>
  <c r="B674" i="7"/>
  <c r="C674" i="7"/>
  <c r="A673" i="7"/>
  <c r="B673" i="7"/>
  <c r="C673" i="7"/>
  <c r="A672" i="7"/>
  <c r="B672" i="7"/>
  <c r="C672" i="7"/>
  <c r="A671" i="7"/>
  <c r="B671" i="7"/>
  <c r="C671" i="7"/>
  <c r="A670" i="7"/>
  <c r="B670" i="7"/>
  <c r="C670" i="7"/>
  <c r="A669" i="7"/>
  <c r="B669" i="7"/>
  <c r="C669" i="7"/>
  <c r="A668" i="7"/>
  <c r="B668" i="7"/>
  <c r="C668" i="7"/>
  <c r="A667" i="7"/>
  <c r="B667" i="7"/>
  <c r="C667" i="7"/>
  <c r="A666" i="7"/>
  <c r="B666" i="7"/>
  <c r="C666" i="7"/>
  <c r="A665" i="7"/>
  <c r="B665" i="7"/>
  <c r="C665" i="7"/>
  <c r="A664" i="7"/>
  <c r="B664" i="7"/>
  <c r="C664" i="7"/>
  <c r="A663" i="7"/>
  <c r="B663" i="7"/>
  <c r="C663" i="7"/>
  <c r="A662" i="7"/>
  <c r="B662" i="7"/>
  <c r="C662" i="7"/>
  <c r="A661" i="7"/>
  <c r="B661" i="7"/>
  <c r="C661" i="7"/>
  <c r="A660" i="7"/>
  <c r="B660" i="7"/>
  <c r="C660" i="7"/>
  <c r="A659" i="7"/>
  <c r="B659" i="7"/>
  <c r="C659" i="7"/>
  <c r="A658" i="7"/>
  <c r="B658" i="7"/>
  <c r="C658" i="7"/>
  <c r="A657" i="7"/>
  <c r="B657" i="7"/>
  <c r="C657" i="7"/>
  <c r="A656" i="7"/>
  <c r="B656" i="7"/>
  <c r="C656" i="7"/>
  <c r="A655" i="7"/>
  <c r="B655" i="7"/>
  <c r="C655" i="7"/>
  <c r="A654" i="7"/>
  <c r="B654" i="7"/>
  <c r="C654" i="7"/>
  <c r="A653" i="7"/>
  <c r="B653" i="7"/>
  <c r="C653" i="7"/>
  <c r="A652" i="7"/>
  <c r="B652" i="7"/>
  <c r="C652" i="7"/>
  <c r="A651" i="7"/>
  <c r="B651" i="7"/>
  <c r="C651" i="7"/>
  <c r="A650" i="7"/>
  <c r="B650" i="7"/>
  <c r="C650" i="7"/>
  <c r="A649" i="7"/>
  <c r="B649" i="7"/>
  <c r="C649" i="7"/>
  <c r="A648" i="7"/>
  <c r="B648" i="7"/>
  <c r="C648" i="7"/>
  <c r="A647" i="7"/>
  <c r="B647" i="7"/>
  <c r="C647" i="7"/>
  <c r="A646" i="7"/>
  <c r="B646" i="7"/>
  <c r="C646" i="7"/>
  <c r="A645" i="7"/>
  <c r="B645" i="7"/>
  <c r="C645" i="7"/>
  <c r="A644" i="7"/>
  <c r="B644" i="7"/>
  <c r="C644" i="7"/>
  <c r="A643" i="7"/>
  <c r="B643" i="7"/>
  <c r="C643" i="7"/>
  <c r="A642" i="7"/>
  <c r="B642" i="7"/>
  <c r="C642" i="7"/>
  <c r="A641" i="7"/>
  <c r="B641" i="7"/>
  <c r="C641" i="7"/>
  <c r="A640" i="7"/>
  <c r="B640" i="7"/>
  <c r="C640" i="7"/>
  <c r="A639" i="7"/>
  <c r="B639" i="7"/>
  <c r="C639" i="7"/>
  <c r="A638" i="7"/>
  <c r="B638" i="7"/>
  <c r="C638" i="7"/>
  <c r="A637" i="7"/>
  <c r="B637" i="7"/>
  <c r="C637" i="7"/>
  <c r="A636" i="7"/>
  <c r="B636" i="7"/>
  <c r="C636" i="7"/>
  <c r="A635" i="7"/>
  <c r="B635" i="7"/>
  <c r="C635" i="7"/>
  <c r="A634" i="7"/>
  <c r="B634" i="7"/>
  <c r="C634" i="7"/>
  <c r="A633" i="7"/>
  <c r="B633" i="7"/>
  <c r="C633" i="7"/>
  <c r="A632" i="7"/>
  <c r="B632" i="7"/>
  <c r="C632" i="7"/>
  <c r="A631" i="7"/>
  <c r="B631" i="7"/>
  <c r="C631" i="7"/>
  <c r="A630" i="7"/>
  <c r="B630" i="7"/>
  <c r="C630" i="7"/>
  <c r="A629" i="7"/>
  <c r="B629" i="7"/>
  <c r="C629" i="7"/>
  <c r="A628" i="7"/>
  <c r="B628" i="7"/>
  <c r="C628" i="7"/>
  <c r="A627" i="7"/>
  <c r="B627" i="7"/>
  <c r="C627" i="7"/>
  <c r="A626" i="7"/>
  <c r="B626" i="7"/>
  <c r="C626" i="7"/>
  <c r="A625" i="7"/>
  <c r="B625" i="7"/>
  <c r="C625" i="7"/>
  <c r="A624" i="7"/>
  <c r="B624" i="7"/>
  <c r="C624" i="7"/>
  <c r="A623" i="7"/>
  <c r="B623" i="7"/>
  <c r="C623" i="7"/>
  <c r="A622" i="7"/>
  <c r="B622" i="7"/>
  <c r="C622" i="7"/>
  <c r="A621" i="7"/>
  <c r="B621" i="7"/>
  <c r="C621" i="7"/>
  <c r="A620" i="7"/>
  <c r="B620" i="7"/>
  <c r="C620" i="7"/>
  <c r="A619" i="7"/>
  <c r="B619" i="7"/>
  <c r="C619" i="7"/>
  <c r="A618" i="7"/>
  <c r="B618" i="7"/>
  <c r="C618" i="7"/>
  <c r="A617" i="7"/>
  <c r="B617" i="7"/>
  <c r="C617" i="7"/>
  <c r="A616" i="7"/>
  <c r="B616" i="7"/>
  <c r="C616" i="7"/>
  <c r="A615" i="7"/>
  <c r="B615" i="7"/>
  <c r="C615" i="7"/>
  <c r="A614" i="7"/>
  <c r="B614" i="7"/>
  <c r="C614" i="7"/>
  <c r="A613" i="7"/>
  <c r="B613" i="7"/>
  <c r="C613" i="7"/>
  <c r="A612" i="7"/>
  <c r="B612" i="7"/>
  <c r="C612" i="7"/>
  <c r="A611" i="7"/>
  <c r="B611" i="7"/>
  <c r="C611" i="7"/>
  <c r="A610" i="7"/>
  <c r="B610" i="7"/>
  <c r="C610" i="7"/>
  <c r="A609" i="7"/>
  <c r="B609" i="7"/>
  <c r="C609" i="7"/>
  <c r="A608" i="7"/>
  <c r="B608" i="7"/>
  <c r="C608" i="7"/>
  <c r="A607" i="7"/>
  <c r="B607" i="7"/>
  <c r="C607" i="7"/>
  <c r="A606" i="7"/>
  <c r="B606" i="7"/>
  <c r="C606" i="7"/>
  <c r="A605" i="7"/>
  <c r="B605" i="7"/>
  <c r="C605" i="7"/>
  <c r="A604" i="7"/>
  <c r="B604" i="7"/>
  <c r="C604" i="7"/>
  <c r="A603" i="7"/>
  <c r="B603" i="7"/>
  <c r="C603" i="7"/>
  <c r="A602" i="7"/>
  <c r="B602" i="7"/>
  <c r="C602" i="7"/>
  <c r="A601" i="7"/>
  <c r="B601" i="7"/>
  <c r="C601" i="7"/>
  <c r="A600" i="7"/>
  <c r="B600" i="7"/>
  <c r="C600" i="7"/>
  <c r="A599" i="7"/>
  <c r="B599" i="7"/>
  <c r="C599" i="7"/>
  <c r="A598" i="7"/>
  <c r="B598" i="7"/>
  <c r="C598" i="7"/>
  <c r="A597" i="7"/>
  <c r="B597" i="7"/>
  <c r="C597" i="7"/>
  <c r="A596" i="7"/>
  <c r="B596" i="7"/>
  <c r="C596" i="7"/>
  <c r="A595" i="7"/>
  <c r="B595" i="7"/>
  <c r="C595" i="7"/>
  <c r="A594" i="7"/>
  <c r="B594" i="7"/>
  <c r="C594" i="7"/>
  <c r="A593" i="7"/>
  <c r="B593" i="7"/>
  <c r="C593" i="7"/>
  <c r="A592" i="7"/>
  <c r="B592" i="7"/>
  <c r="C592" i="7"/>
  <c r="A591" i="7"/>
  <c r="B591" i="7"/>
  <c r="C591" i="7"/>
  <c r="A590" i="7"/>
  <c r="B590" i="7"/>
  <c r="C590" i="7"/>
  <c r="A589" i="7"/>
  <c r="B589" i="7"/>
  <c r="C589" i="7"/>
  <c r="A588" i="7"/>
  <c r="B588" i="7"/>
  <c r="C588" i="7"/>
  <c r="A587" i="7"/>
  <c r="B587" i="7"/>
  <c r="C587" i="7"/>
  <c r="A586" i="7"/>
  <c r="B586" i="7"/>
  <c r="C586" i="7"/>
  <c r="A585" i="7"/>
  <c r="B585" i="7"/>
  <c r="C585" i="7"/>
  <c r="A584" i="7"/>
  <c r="B584" i="7"/>
  <c r="C584" i="7"/>
  <c r="A583" i="7"/>
  <c r="B583" i="7"/>
  <c r="C583" i="7"/>
  <c r="A582" i="7"/>
  <c r="B582" i="7"/>
  <c r="C582" i="7"/>
  <c r="A581" i="7"/>
  <c r="B581" i="7"/>
  <c r="C581" i="7"/>
  <c r="A580" i="7"/>
  <c r="B580" i="7"/>
  <c r="C580" i="7"/>
  <c r="A579" i="7"/>
  <c r="B579" i="7"/>
  <c r="C579" i="7"/>
  <c r="A578" i="7"/>
  <c r="B578" i="7"/>
  <c r="C578" i="7"/>
  <c r="A577" i="7"/>
  <c r="B577" i="7"/>
  <c r="C577" i="7"/>
  <c r="A576" i="7"/>
  <c r="B576" i="7"/>
  <c r="C576" i="7"/>
  <c r="A575" i="7"/>
  <c r="B575" i="7"/>
  <c r="C575" i="7"/>
  <c r="A574" i="7"/>
  <c r="B574" i="7"/>
  <c r="C574" i="7"/>
  <c r="A573" i="7"/>
  <c r="B573" i="7"/>
  <c r="C573" i="7"/>
  <c r="A572" i="7"/>
  <c r="B572" i="7"/>
  <c r="C572" i="7"/>
  <c r="A571" i="7"/>
  <c r="B571" i="7"/>
  <c r="C571" i="7"/>
  <c r="A570" i="7"/>
  <c r="B570" i="7"/>
  <c r="C570" i="7"/>
  <c r="A569" i="7"/>
  <c r="B569" i="7"/>
  <c r="C569" i="7"/>
  <c r="A568" i="7"/>
  <c r="B568" i="7"/>
  <c r="C568" i="7"/>
  <c r="A567" i="7"/>
  <c r="B567" i="7"/>
  <c r="C567" i="7"/>
  <c r="A566" i="7"/>
  <c r="B566" i="7"/>
  <c r="C566" i="7"/>
  <c r="A565" i="7"/>
  <c r="B565" i="7"/>
  <c r="C565" i="7"/>
  <c r="A564" i="7"/>
  <c r="B564" i="7"/>
  <c r="C564" i="7"/>
  <c r="A563" i="7"/>
  <c r="B563" i="7"/>
  <c r="C563" i="7"/>
  <c r="A562" i="7"/>
  <c r="B562" i="7"/>
  <c r="C562" i="7"/>
  <c r="A561" i="7"/>
  <c r="B561" i="7"/>
  <c r="C561" i="7"/>
  <c r="A560" i="7"/>
  <c r="B560" i="7"/>
  <c r="C560" i="7"/>
  <c r="A559" i="7"/>
  <c r="B559" i="7"/>
  <c r="C559" i="7"/>
  <c r="A558" i="7"/>
  <c r="B558" i="7"/>
  <c r="C558" i="7"/>
  <c r="A557" i="7"/>
  <c r="B557" i="7"/>
  <c r="C557" i="7"/>
  <c r="A556" i="7"/>
  <c r="B556" i="7"/>
  <c r="C556" i="7"/>
  <c r="A555" i="7"/>
  <c r="B555" i="7"/>
  <c r="C555" i="7"/>
  <c r="A554" i="7"/>
  <c r="B554" i="7"/>
  <c r="C554" i="7"/>
  <c r="A553" i="7"/>
  <c r="B553" i="7"/>
  <c r="C553" i="7"/>
  <c r="A552" i="7"/>
  <c r="B552" i="7"/>
  <c r="C552" i="7"/>
  <c r="A551" i="7"/>
  <c r="B551" i="7"/>
  <c r="C551" i="7"/>
  <c r="A550" i="7"/>
  <c r="B550" i="7"/>
  <c r="C550" i="7"/>
  <c r="A549" i="7"/>
  <c r="B549" i="7"/>
  <c r="C549" i="7"/>
  <c r="A548" i="7"/>
  <c r="B548" i="7"/>
  <c r="C548" i="7"/>
  <c r="A547" i="7"/>
  <c r="B547" i="7"/>
  <c r="C547" i="7"/>
  <c r="A546" i="7"/>
  <c r="B546" i="7"/>
  <c r="C546" i="7"/>
  <c r="A545" i="7"/>
  <c r="B545" i="7"/>
  <c r="C545" i="7"/>
  <c r="A544" i="7"/>
  <c r="B544" i="7"/>
  <c r="C544" i="7"/>
  <c r="A543" i="7"/>
  <c r="B543" i="7"/>
  <c r="C543" i="7"/>
  <c r="A542" i="7"/>
  <c r="B542" i="7"/>
  <c r="C542" i="7"/>
  <c r="A541" i="7"/>
  <c r="B541" i="7"/>
  <c r="C541" i="7"/>
  <c r="A540" i="7"/>
  <c r="B540" i="7"/>
  <c r="C540" i="7"/>
  <c r="A539" i="7"/>
  <c r="B539" i="7"/>
  <c r="C539" i="7"/>
  <c r="A538" i="7"/>
  <c r="B538" i="7"/>
  <c r="C538" i="7"/>
  <c r="A537" i="7"/>
  <c r="B537" i="7"/>
  <c r="C537" i="7"/>
  <c r="A536" i="7"/>
  <c r="B536" i="7"/>
  <c r="C536" i="7"/>
  <c r="A535" i="7"/>
  <c r="B535" i="7"/>
  <c r="C535" i="7"/>
  <c r="A534" i="7"/>
  <c r="B534" i="7"/>
  <c r="C534" i="7"/>
  <c r="A533" i="7"/>
  <c r="B533" i="7"/>
  <c r="C533" i="7"/>
  <c r="A532" i="7"/>
  <c r="B532" i="7"/>
  <c r="C532" i="7"/>
  <c r="A531" i="7"/>
  <c r="B531" i="7"/>
  <c r="C531" i="7"/>
  <c r="A530" i="7"/>
  <c r="B530" i="7"/>
  <c r="C530" i="7"/>
  <c r="A529" i="7"/>
  <c r="B529" i="7"/>
  <c r="C529" i="7"/>
  <c r="A528" i="7"/>
  <c r="B528" i="7"/>
  <c r="C528" i="7"/>
  <c r="A527" i="7"/>
  <c r="B527" i="7"/>
  <c r="C527" i="7"/>
  <c r="A526" i="7"/>
  <c r="B526" i="7"/>
  <c r="C526" i="7"/>
  <c r="A525" i="7"/>
  <c r="B525" i="7"/>
  <c r="C525" i="7"/>
  <c r="A524" i="7"/>
  <c r="B524" i="7"/>
  <c r="C524" i="7"/>
  <c r="A523" i="7"/>
  <c r="B523" i="7"/>
  <c r="C523" i="7"/>
  <c r="A522" i="7"/>
  <c r="B522" i="7"/>
  <c r="C522" i="7"/>
  <c r="A521" i="7"/>
  <c r="B521" i="7"/>
  <c r="C521" i="7"/>
  <c r="A520" i="7"/>
  <c r="B520" i="7"/>
  <c r="C520" i="7"/>
  <c r="A519" i="7"/>
  <c r="B519" i="7"/>
  <c r="C519" i="7"/>
  <c r="A518" i="7"/>
  <c r="B518" i="7"/>
  <c r="C518" i="7"/>
  <c r="A517" i="7"/>
  <c r="B517" i="7"/>
  <c r="C517" i="7"/>
  <c r="A516" i="7"/>
  <c r="B516" i="7"/>
  <c r="C516" i="7"/>
  <c r="A515" i="7"/>
  <c r="B515" i="7"/>
  <c r="C515" i="7"/>
  <c r="A514" i="7"/>
  <c r="B514" i="7"/>
  <c r="C514" i="7"/>
  <c r="A513" i="7"/>
  <c r="B513" i="7"/>
  <c r="C513" i="7"/>
  <c r="A512" i="7"/>
  <c r="B512" i="7"/>
  <c r="C512" i="7"/>
  <c r="A511" i="7"/>
  <c r="B511" i="7"/>
  <c r="C511" i="7"/>
  <c r="A510" i="7"/>
  <c r="B510" i="7"/>
  <c r="C510" i="7"/>
  <c r="A509" i="7"/>
  <c r="B509" i="7"/>
  <c r="C509" i="7"/>
  <c r="A508" i="7"/>
  <c r="B508" i="7"/>
  <c r="C508" i="7"/>
  <c r="A507" i="7"/>
  <c r="B507" i="7"/>
  <c r="C507" i="7"/>
  <c r="A506" i="7"/>
  <c r="B506" i="7"/>
  <c r="C506" i="7"/>
  <c r="A505" i="7"/>
  <c r="B505" i="7"/>
  <c r="C505" i="7"/>
  <c r="A504" i="7"/>
  <c r="B504" i="7"/>
  <c r="C504" i="7"/>
  <c r="A503" i="7"/>
  <c r="B503" i="7"/>
  <c r="C503" i="7"/>
  <c r="A502" i="7"/>
  <c r="B502" i="7"/>
  <c r="C502" i="7"/>
  <c r="A501" i="7"/>
  <c r="B501" i="7"/>
  <c r="C501" i="7"/>
  <c r="A500" i="7"/>
  <c r="B500" i="7"/>
  <c r="C500" i="7"/>
  <c r="A499" i="7"/>
  <c r="B499" i="7"/>
  <c r="C499" i="7"/>
  <c r="A498" i="7"/>
  <c r="B498" i="7"/>
  <c r="C498" i="7"/>
  <c r="A497" i="7"/>
  <c r="B497" i="7"/>
  <c r="C497" i="7"/>
  <c r="A496" i="7"/>
  <c r="B496" i="7"/>
  <c r="C496" i="7"/>
  <c r="A495" i="7"/>
  <c r="B495" i="7"/>
  <c r="C495" i="7"/>
  <c r="A494" i="7"/>
  <c r="B494" i="7"/>
  <c r="C494" i="7"/>
  <c r="A493" i="7"/>
  <c r="B493" i="7"/>
  <c r="C493" i="7"/>
  <c r="A492" i="7"/>
  <c r="B492" i="7"/>
  <c r="C492" i="7"/>
  <c r="A491" i="7"/>
  <c r="B491" i="7"/>
  <c r="C491" i="7"/>
  <c r="A490" i="7"/>
  <c r="B490" i="7"/>
  <c r="C490" i="7"/>
  <c r="A489" i="7"/>
  <c r="B489" i="7"/>
  <c r="C489" i="7"/>
  <c r="A488" i="7"/>
  <c r="B488" i="7"/>
  <c r="C488" i="7"/>
  <c r="A487" i="7"/>
  <c r="B487" i="7"/>
  <c r="C487" i="7"/>
  <c r="A486" i="7"/>
  <c r="B486" i="7"/>
  <c r="C486" i="7"/>
  <c r="A485" i="7"/>
  <c r="B485" i="7"/>
  <c r="C485" i="7"/>
  <c r="A484" i="7"/>
  <c r="B484" i="7"/>
  <c r="C484" i="7"/>
  <c r="A483" i="7"/>
  <c r="B483" i="7"/>
  <c r="C483" i="7"/>
  <c r="A482" i="7"/>
  <c r="B482" i="7"/>
  <c r="C482" i="7"/>
  <c r="A481" i="7"/>
  <c r="B481" i="7"/>
  <c r="C481" i="7"/>
  <c r="A480" i="7"/>
  <c r="B480" i="7"/>
  <c r="C480" i="7"/>
  <c r="A479" i="7"/>
  <c r="B479" i="7"/>
  <c r="C479" i="7"/>
  <c r="A478" i="7"/>
  <c r="B478" i="7"/>
  <c r="C478" i="7"/>
  <c r="A477" i="7"/>
  <c r="B477" i="7"/>
  <c r="C477" i="7"/>
  <c r="A476" i="7"/>
  <c r="B476" i="7"/>
  <c r="C476" i="7"/>
  <c r="A475" i="7"/>
  <c r="B475" i="7"/>
  <c r="C475" i="7"/>
  <c r="A474" i="7"/>
  <c r="B474" i="7"/>
  <c r="C474" i="7"/>
  <c r="A473" i="7"/>
  <c r="B473" i="7"/>
  <c r="C473" i="7"/>
  <c r="A472" i="7"/>
  <c r="B472" i="7"/>
  <c r="C472" i="7"/>
  <c r="A471" i="7"/>
  <c r="B471" i="7"/>
  <c r="C471" i="7"/>
  <c r="A470" i="7"/>
  <c r="B470" i="7"/>
  <c r="C470" i="7"/>
  <c r="A469" i="7"/>
  <c r="B469" i="7"/>
  <c r="C469" i="7"/>
  <c r="A468" i="7"/>
  <c r="B468" i="7"/>
  <c r="C468" i="7"/>
  <c r="A467" i="7"/>
  <c r="B467" i="7"/>
  <c r="C467" i="7"/>
  <c r="A466" i="7"/>
  <c r="B466" i="7"/>
  <c r="C466" i="7"/>
  <c r="A465" i="7"/>
  <c r="B465" i="7"/>
  <c r="C465" i="7"/>
  <c r="A464" i="7"/>
  <c r="B464" i="7"/>
  <c r="C464" i="7"/>
  <c r="A463" i="7"/>
  <c r="B463" i="7"/>
  <c r="C463" i="7"/>
  <c r="A462" i="7"/>
  <c r="B462" i="7"/>
  <c r="C462" i="7"/>
  <c r="A461" i="7"/>
  <c r="B461" i="7"/>
  <c r="C461" i="7"/>
  <c r="A460" i="7"/>
  <c r="B460" i="7"/>
  <c r="C460" i="7"/>
  <c r="A459" i="7"/>
  <c r="B459" i="7"/>
  <c r="C459" i="7"/>
  <c r="A458" i="7"/>
  <c r="B458" i="7"/>
  <c r="C458" i="7"/>
  <c r="A457" i="7"/>
  <c r="B457" i="7"/>
  <c r="C457" i="7"/>
  <c r="A456" i="7"/>
  <c r="B456" i="7"/>
  <c r="C456" i="7"/>
  <c r="A455" i="7"/>
  <c r="B455" i="7"/>
  <c r="C455" i="7"/>
  <c r="A454" i="7"/>
  <c r="B454" i="7"/>
  <c r="C454" i="7"/>
  <c r="A453" i="7"/>
  <c r="B453" i="7"/>
  <c r="C453" i="7"/>
  <c r="A452" i="7"/>
  <c r="B452" i="7"/>
  <c r="C452" i="7"/>
  <c r="A451" i="7"/>
  <c r="B451" i="7"/>
  <c r="C451" i="7"/>
  <c r="A450" i="7"/>
  <c r="B450" i="7"/>
  <c r="C450" i="7"/>
  <c r="A449" i="7"/>
  <c r="B449" i="7"/>
  <c r="C449" i="7"/>
  <c r="A448" i="7"/>
  <c r="B448" i="7"/>
  <c r="C448" i="7"/>
  <c r="A447" i="7"/>
  <c r="B447" i="7"/>
  <c r="C447" i="7"/>
  <c r="A446" i="7"/>
  <c r="B446" i="7"/>
  <c r="C446" i="7"/>
  <c r="A445" i="7"/>
  <c r="B445" i="7"/>
  <c r="C445" i="7"/>
  <c r="A444" i="7"/>
  <c r="B444" i="7"/>
  <c r="C444" i="7"/>
  <c r="A443" i="7"/>
  <c r="B443" i="7"/>
  <c r="C443" i="7"/>
  <c r="A442" i="7"/>
  <c r="B442" i="7"/>
  <c r="C442" i="7"/>
  <c r="A441" i="7"/>
  <c r="B441" i="7"/>
  <c r="C441" i="7"/>
  <c r="A440" i="7"/>
  <c r="B440" i="7"/>
  <c r="C440" i="7"/>
  <c r="A439" i="7"/>
  <c r="B439" i="7"/>
  <c r="C439" i="7"/>
  <c r="A438" i="7"/>
  <c r="B438" i="7"/>
  <c r="C438" i="7"/>
  <c r="A437" i="7"/>
  <c r="B437" i="7"/>
  <c r="C437" i="7"/>
  <c r="A436" i="7"/>
  <c r="B436" i="7"/>
  <c r="C436" i="7"/>
  <c r="A435" i="7"/>
  <c r="B435" i="7"/>
  <c r="C435" i="7"/>
  <c r="A434" i="7"/>
  <c r="B434" i="7"/>
  <c r="C434" i="7"/>
  <c r="A433" i="7"/>
  <c r="B433" i="7"/>
  <c r="C433" i="7"/>
  <c r="A432" i="7"/>
  <c r="B432" i="7"/>
  <c r="C432" i="7"/>
  <c r="A431" i="7"/>
  <c r="B431" i="7"/>
  <c r="C431" i="7"/>
  <c r="A430" i="7"/>
  <c r="B430" i="7"/>
  <c r="C430" i="7"/>
  <c r="A429" i="7"/>
  <c r="B429" i="7"/>
  <c r="C429" i="7"/>
  <c r="A428" i="7"/>
  <c r="B428" i="7"/>
  <c r="C428" i="7"/>
  <c r="A427" i="7"/>
  <c r="B427" i="7"/>
  <c r="C427" i="7"/>
  <c r="A426" i="7"/>
  <c r="B426" i="7"/>
  <c r="C426" i="7"/>
  <c r="A425" i="7"/>
  <c r="B425" i="7"/>
  <c r="C425" i="7"/>
  <c r="A424" i="7"/>
  <c r="B424" i="7"/>
  <c r="C424" i="7"/>
  <c r="A423" i="7"/>
  <c r="B423" i="7"/>
  <c r="C423" i="7"/>
  <c r="A422" i="7"/>
  <c r="B422" i="7"/>
  <c r="C422" i="7"/>
  <c r="A421" i="7"/>
  <c r="B421" i="7"/>
  <c r="C421" i="7"/>
  <c r="A420" i="7"/>
  <c r="B420" i="7"/>
  <c r="C420" i="7"/>
  <c r="A419" i="7"/>
  <c r="B419" i="7"/>
  <c r="C419" i="7"/>
  <c r="A418" i="7"/>
  <c r="B418" i="7"/>
  <c r="C418" i="7"/>
  <c r="A417" i="7"/>
  <c r="B417" i="7"/>
  <c r="C417" i="7"/>
  <c r="A416" i="7"/>
  <c r="B416" i="7"/>
  <c r="C416" i="7"/>
  <c r="A415" i="7"/>
  <c r="B415" i="7"/>
  <c r="C415" i="7"/>
  <c r="A414" i="7"/>
  <c r="B414" i="7"/>
  <c r="C414" i="7"/>
  <c r="A413" i="7"/>
  <c r="B413" i="7"/>
  <c r="C413" i="7"/>
  <c r="A412" i="7"/>
  <c r="B412" i="7"/>
  <c r="C412" i="7"/>
  <c r="A411" i="7"/>
  <c r="B411" i="7"/>
  <c r="C411" i="7"/>
  <c r="A410" i="7"/>
  <c r="B410" i="7"/>
  <c r="C410" i="7"/>
  <c r="A409" i="7"/>
  <c r="B409" i="7"/>
  <c r="C409" i="7"/>
  <c r="A408" i="7"/>
  <c r="B408" i="7"/>
  <c r="C408" i="7"/>
  <c r="A407" i="7"/>
  <c r="B407" i="7"/>
  <c r="C407" i="7"/>
  <c r="A406" i="7"/>
  <c r="B406" i="7"/>
  <c r="C406" i="7"/>
  <c r="A405" i="7"/>
  <c r="B405" i="7"/>
  <c r="C405" i="7"/>
  <c r="A404" i="7"/>
  <c r="B404" i="7"/>
  <c r="C404" i="7"/>
  <c r="A403" i="7"/>
  <c r="B403" i="7"/>
  <c r="C403" i="7"/>
  <c r="A402" i="7"/>
  <c r="B402" i="7"/>
  <c r="C402" i="7"/>
  <c r="A401" i="7"/>
  <c r="B401" i="7"/>
  <c r="C401" i="7"/>
  <c r="A400" i="7"/>
  <c r="B400" i="7"/>
  <c r="C400" i="7"/>
  <c r="A399" i="7"/>
  <c r="B399" i="7"/>
  <c r="C399" i="7"/>
  <c r="A398" i="7"/>
  <c r="B398" i="7"/>
  <c r="C398" i="7"/>
  <c r="A397" i="7"/>
  <c r="B397" i="7"/>
  <c r="C397" i="7"/>
  <c r="A396" i="7"/>
  <c r="B396" i="7"/>
  <c r="C396" i="7"/>
  <c r="A395" i="7"/>
  <c r="B395" i="7"/>
  <c r="C395" i="7"/>
  <c r="A394" i="7"/>
  <c r="B394" i="7"/>
  <c r="C394" i="7"/>
  <c r="A393" i="7"/>
  <c r="B393" i="7"/>
  <c r="C393" i="7"/>
  <c r="A392" i="7"/>
  <c r="B392" i="7"/>
  <c r="C392" i="7"/>
  <c r="A391" i="7"/>
  <c r="B391" i="7"/>
  <c r="C391" i="7"/>
  <c r="A390" i="7"/>
  <c r="B390" i="7"/>
  <c r="C390" i="7"/>
  <c r="A389" i="7"/>
  <c r="B389" i="7"/>
  <c r="C389" i="7"/>
  <c r="A388" i="7"/>
  <c r="B388" i="7"/>
  <c r="C388" i="7"/>
  <c r="A387" i="7"/>
  <c r="B387" i="7"/>
  <c r="C387" i="7"/>
  <c r="A386" i="7"/>
  <c r="B386" i="7"/>
  <c r="C386" i="7"/>
  <c r="A385" i="7"/>
  <c r="B385" i="7"/>
  <c r="C385" i="7"/>
  <c r="A384" i="7"/>
  <c r="B384" i="7"/>
  <c r="C384" i="7"/>
  <c r="A383" i="7"/>
  <c r="B383" i="7"/>
  <c r="C383" i="7"/>
  <c r="A382" i="7"/>
  <c r="B382" i="7"/>
  <c r="C382" i="7"/>
  <c r="A381" i="7"/>
  <c r="B381" i="7"/>
  <c r="C381" i="7"/>
  <c r="A380" i="7"/>
  <c r="B380" i="7"/>
  <c r="C380" i="7"/>
  <c r="A379" i="7"/>
  <c r="B379" i="7"/>
  <c r="C379" i="7"/>
  <c r="A378" i="7"/>
  <c r="B378" i="7"/>
  <c r="C378" i="7"/>
  <c r="A377" i="7"/>
  <c r="B377" i="7"/>
  <c r="C377" i="7"/>
  <c r="A376" i="7"/>
  <c r="B376" i="7"/>
  <c r="C376" i="7"/>
  <c r="A375" i="7"/>
  <c r="B375" i="7"/>
  <c r="C375" i="7"/>
  <c r="A374" i="7"/>
  <c r="B374" i="7"/>
  <c r="C374" i="7"/>
  <c r="A373" i="7"/>
  <c r="B373" i="7"/>
  <c r="C373" i="7"/>
  <c r="A372" i="7"/>
  <c r="B372" i="7"/>
  <c r="C372" i="7"/>
  <c r="A371" i="7"/>
  <c r="B371" i="7"/>
  <c r="C371" i="7"/>
  <c r="A370" i="7"/>
  <c r="B370" i="7"/>
  <c r="C370" i="7"/>
  <c r="A369" i="7"/>
  <c r="B369" i="7"/>
  <c r="C369" i="7"/>
  <c r="A368" i="7"/>
  <c r="B368" i="7"/>
  <c r="C368" i="7"/>
  <c r="A367" i="7"/>
  <c r="B367" i="7"/>
  <c r="C367" i="7"/>
  <c r="A366" i="7"/>
  <c r="B366" i="7"/>
  <c r="C366" i="7"/>
  <c r="A365" i="7"/>
  <c r="B365" i="7"/>
  <c r="C365" i="7"/>
  <c r="A364" i="7"/>
  <c r="B364" i="7"/>
  <c r="C364" i="7"/>
  <c r="A363" i="7"/>
  <c r="B363" i="7"/>
  <c r="C363" i="7"/>
  <c r="A362" i="7"/>
  <c r="B362" i="7"/>
  <c r="C362" i="7"/>
  <c r="A361" i="7"/>
  <c r="B361" i="7"/>
  <c r="C361" i="7"/>
  <c r="A360" i="7"/>
  <c r="B360" i="7"/>
  <c r="C360" i="7"/>
  <c r="A359" i="7"/>
  <c r="B359" i="7"/>
  <c r="C359" i="7"/>
  <c r="A358" i="7"/>
  <c r="B358" i="7"/>
  <c r="C358" i="7"/>
  <c r="A357" i="7"/>
  <c r="B357" i="7"/>
  <c r="C357" i="7"/>
  <c r="A356" i="7"/>
  <c r="B356" i="7"/>
  <c r="C356" i="7"/>
  <c r="A355" i="7"/>
  <c r="B355" i="7"/>
  <c r="C355" i="7"/>
  <c r="A354" i="7"/>
  <c r="B354" i="7"/>
  <c r="C354" i="7"/>
  <c r="A353" i="7"/>
  <c r="B353" i="7"/>
  <c r="C353" i="7"/>
  <c r="A352" i="7"/>
  <c r="B352" i="7"/>
  <c r="C352" i="7"/>
  <c r="A351" i="7"/>
  <c r="B351" i="7"/>
  <c r="C351" i="7"/>
  <c r="A350" i="7"/>
  <c r="B350" i="7"/>
  <c r="C350" i="7"/>
  <c r="A349" i="7"/>
  <c r="B349" i="7"/>
  <c r="C349" i="7"/>
  <c r="A348" i="7"/>
  <c r="B348" i="7"/>
  <c r="C348" i="7"/>
  <c r="A347" i="7"/>
  <c r="B347" i="7"/>
  <c r="C347" i="7"/>
  <c r="A346" i="7"/>
  <c r="B346" i="7"/>
  <c r="C346" i="7"/>
  <c r="A345" i="7"/>
  <c r="B345" i="7"/>
  <c r="C345" i="7"/>
  <c r="A344" i="7"/>
  <c r="B344" i="7"/>
  <c r="C344" i="7"/>
  <c r="A343" i="7"/>
  <c r="B343" i="7"/>
  <c r="C343" i="7"/>
  <c r="A342" i="7"/>
  <c r="B342" i="7"/>
  <c r="C342" i="7"/>
  <c r="A341" i="7"/>
  <c r="B341" i="7"/>
  <c r="C341" i="7"/>
  <c r="A340" i="7"/>
  <c r="B340" i="7"/>
  <c r="C340" i="7"/>
  <c r="A339" i="7"/>
  <c r="B339" i="7"/>
  <c r="C339" i="7"/>
  <c r="A338" i="7"/>
  <c r="B338" i="7"/>
  <c r="C338" i="7"/>
  <c r="A337" i="7"/>
  <c r="B337" i="7"/>
  <c r="C337" i="7"/>
  <c r="A336" i="7"/>
  <c r="B336" i="7"/>
  <c r="C336" i="7"/>
  <c r="A335" i="7"/>
  <c r="B335" i="7"/>
  <c r="C335" i="7"/>
  <c r="A334" i="7"/>
  <c r="B334" i="7"/>
  <c r="C334" i="7"/>
  <c r="A333" i="7"/>
  <c r="B333" i="7"/>
  <c r="C333" i="7"/>
  <c r="A332" i="7"/>
  <c r="B332" i="7"/>
  <c r="C332" i="7"/>
  <c r="A331" i="7"/>
  <c r="B331" i="7"/>
  <c r="C331" i="7"/>
  <c r="A330" i="7"/>
  <c r="B330" i="7"/>
  <c r="C330" i="7"/>
  <c r="A329" i="7"/>
  <c r="B329" i="7"/>
  <c r="C329" i="7"/>
  <c r="A328" i="7"/>
  <c r="B328" i="7"/>
  <c r="C328" i="7"/>
  <c r="A327" i="7"/>
  <c r="B327" i="7"/>
  <c r="C327" i="7"/>
  <c r="A326" i="7"/>
  <c r="B326" i="7"/>
  <c r="C326" i="7"/>
  <c r="A325" i="7"/>
  <c r="B325" i="7"/>
  <c r="C325" i="7"/>
  <c r="A324" i="7"/>
  <c r="B324" i="7"/>
  <c r="C324" i="7"/>
  <c r="A323" i="7"/>
  <c r="B323" i="7"/>
  <c r="C323" i="7"/>
  <c r="A322" i="7"/>
  <c r="B322" i="7"/>
  <c r="C322" i="7"/>
  <c r="A321" i="7"/>
  <c r="B321" i="7"/>
  <c r="C321" i="7"/>
  <c r="A320" i="7"/>
  <c r="B320" i="7"/>
  <c r="C320" i="7"/>
  <c r="A319" i="7"/>
  <c r="B319" i="7"/>
  <c r="C319" i="7"/>
  <c r="A318" i="7"/>
  <c r="B318" i="7"/>
  <c r="C318" i="7"/>
  <c r="A317" i="7"/>
  <c r="B317" i="7"/>
  <c r="C317" i="7"/>
  <c r="A316" i="7"/>
  <c r="B316" i="7"/>
  <c r="C316" i="7"/>
  <c r="A315" i="7"/>
  <c r="B315" i="7"/>
  <c r="C315" i="7"/>
  <c r="A314" i="7"/>
  <c r="B314" i="7"/>
  <c r="C314" i="7"/>
  <c r="A313" i="7"/>
  <c r="B313" i="7"/>
  <c r="C313" i="7"/>
  <c r="A312" i="7"/>
  <c r="B312" i="7"/>
  <c r="C312" i="7"/>
  <c r="A311" i="7"/>
  <c r="B311" i="7"/>
  <c r="C311" i="7"/>
  <c r="A310" i="7"/>
  <c r="B310" i="7"/>
  <c r="C310" i="7"/>
  <c r="A309" i="7"/>
  <c r="B309" i="7"/>
  <c r="C309" i="7"/>
  <c r="A308" i="7"/>
  <c r="B308" i="7"/>
  <c r="C308" i="7"/>
  <c r="A307" i="7"/>
  <c r="B307" i="7"/>
  <c r="C307" i="7"/>
  <c r="A306" i="7"/>
  <c r="B306" i="7"/>
  <c r="C306" i="7"/>
  <c r="A305" i="7"/>
  <c r="B305" i="7"/>
  <c r="C305" i="7"/>
  <c r="A304" i="7"/>
  <c r="B304" i="7"/>
  <c r="C304" i="7"/>
  <c r="A303" i="7"/>
  <c r="B303" i="7"/>
  <c r="C303" i="7"/>
  <c r="A302" i="7"/>
  <c r="B302" i="7"/>
  <c r="C302" i="7"/>
  <c r="A301" i="7"/>
  <c r="B301" i="7"/>
  <c r="C301" i="7"/>
  <c r="A300" i="7"/>
  <c r="B300" i="7"/>
  <c r="C300" i="7"/>
  <c r="A299" i="7"/>
  <c r="B299" i="7"/>
  <c r="C299" i="7"/>
  <c r="A298" i="7"/>
  <c r="B298" i="7"/>
  <c r="C298" i="7"/>
  <c r="A297" i="7"/>
  <c r="B297" i="7"/>
  <c r="C297" i="7"/>
  <c r="A296" i="7"/>
  <c r="B296" i="7"/>
  <c r="C296" i="7"/>
  <c r="A295" i="7"/>
  <c r="B295" i="7"/>
  <c r="C295" i="7"/>
  <c r="A294" i="7"/>
  <c r="B294" i="7"/>
  <c r="C294" i="7"/>
  <c r="A293" i="7"/>
  <c r="B293" i="7"/>
  <c r="C293" i="7"/>
  <c r="A292" i="7"/>
  <c r="B292" i="7"/>
  <c r="C292" i="7"/>
  <c r="A291" i="7"/>
  <c r="B291" i="7"/>
  <c r="C291" i="7"/>
  <c r="A290" i="7"/>
  <c r="B290" i="7"/>
  <c r="C290" i="7"/>
  <c r="A289" i="7"/>
  <c r="B289" i="7"/>
  <c r="C289" i="7"/>
  <c r="A288" i="7"/>
  <c r="B288" i="7"/>
  <c r="C288" i="7"/>
  <c r="A287" i="7"/>
  <c r="B287" i="7"/>
  <c r="C287" i="7"/>
  <c r="A286" i="7"/>
  <c r="B286" i="7"/>
  <c r="C286" i="7"/>
  <c r="A285" i="7"/>
  <c r="B285" i="7"/>
  <c r="C285" i="7"/>
  <c r="A284" i="7"/>
  <c r="B284" i="7"/>
  <c r="C284" i="7"/>
  <c r="A283" i="7"/>
  <c r="B283" i="7"/>
  <c r="C283" i="7"/>
  <c r="A282" i="7"/>
  <c r="B282" i="7"/>
  <c r="C282" i="7"/>
  <c r="A281" i="7"/>
  <c r="B281" i="7"/>
  <c r="C281" i="7"/>
  <c r="A280" i="7"/>
  <c r="B280" i="7"/>
  <c r="C280" i="7"/>
  <c r="A279" i="7"/>
  <c r="B279" i="7"/>
  <c r="C279" i="7"/>
  <c r="A278" i="7"/>
  <c r="B278" i="7"/>
  <c r="C278" i="7"/>
  <c r="A277" i="7"/>
  <c r="B277" i="7"/>
  <c r="C277" i="7"/>
  <c r="A276" i="7"/>
  <c r="B276" i="7"/>
  <c r="C276" i="7"/>
  <c r="A275" i="7"/>
  <c r="B275" i="7"/>
  <c r="C275" i="7"/>
  <c r="A274" i="7"/>
  <c r="B274" i="7"/>
  <c r="C274" i="7"/>
  <c r="A273" i="7"/>
  <c r="B273" i="7"/>
  <c r="C273" i="7"/>
  <c r="A272" i="7"/>
  <c r="B272" i="7"/>
  <c r="C272" i="7"/>
  <c r="A271" i="7"/>
  <c r="B271" i="7"/>
  <c r="C271" i="7"/>
  <c r="A270" i="7"/>
  <c r="B270" i="7"/>
  <c r="C270" i="7"/>
  <c r="A269" i="7"/>
  <c r="B269" i="7"/>
  <c r="C269" i="7"/>
  <c r="A268" i="7"/>
  <c r="B268" i="7"/>
  <c r="C268" i="7"/>
  <c r="A267" i="7"/>
  <c r="B267" i="7"/>
  <c r="C267" i="7"/>
  <c r="A266" i="7"/>
  <c r="B266" i="7"/>
  <c r="C266" i="7"/>
  <c r="A265" i="7"/>
  <c r="B265" i="7"/>
  <c r="C265" i="7"/>
  <c r="A264" i="7"/>
  <c r="B264" i="7"/>
  <c r="C264" i="7"/>
  <c r="A263" i="7"/>
  <c r="B263" i="7"/>
  <c r="C263" i="7"/>
  <c r="A262" i="7"/>
  <c r="B262" i="7"/>
  <c r="C262" i="7"/>
  <c r="A261" i="7"/>
  <c r="B261" i="7"/>
  <c r="C261" i="7"/>
  <c r="A260" i="7"/>
  <c r="B260" i="7"/>
  <c r="C260" i="7"/>
  <c r="A259" i="7"/>
  <c r="B259" i="7"/>
  <c r="C259" i="7"/>
  <c r="A258" i="7"/>
  <c r="B258" i="7"/>
  <c r="C258" i="7"/>
  <c r="A257" i="7"/>
  <c r="B257" i="7"/>
  <c r="C257" i="7"/>
  <c r="A256" i="7"/>
  <c r="B256" i="7"/>
  <c r="C256" i="7"/>
  <c r="A255" i="7"/>
  <c r="B255" i="7"/>
  <c r="C255" i="7"/>
  <c r="A254" i="7"/>
  <c r="B254" i="7"/>
  <c r="C254" i="7"/>
  <c r="A253" i="7"/>
  <c r="B253" i="7"/>
  <c r="C253" i="7"/>
  <c r="A252" i="7"/>
  <c r="B252" i="7"/>
  <c r="C252" i="7"/>
  <c r="A251" i="7"/>
  <c r="B251" i="7"/>
  <c r="C251" i="7"/>
  <c r="A250" i="7"/>
  <c r="B250" i="7"/>
  <c r="C250" i="7"/>
  <c r="A249" i="7"/>
  <c r="B249" i="7"/>
  <c r="C249" i="7"/>
  <c r="A248" i="7"/>
  <c r="B248" i="7"/>
  <c r="C248" i="7"/>
  <c r="A247" i="7"/>
  <c r="B247" i="7"/>
  <c r="C247" i="7"/>
  <c r="A246" i="7"/>
  <c r="B246" i="7"/>
  <c r="C246" i="7"/>
  <c r="A245" i="7"/>
  <c r="B245" i="7"/>
  <c r="C245" i="7"/>
  <c r="A244" i="7"/>
  <c r="B244" i="7"/>
  <c r="C244" i="7"/>
  <c r="A243" i="7"/>
  <c r="B243" i="7"/>
  <c r="C243" i="7"/>
  <c r="A242" i="7"/>
  <c r="B242" i="7"/>
  <c r="C242" i="7"/>
  <c r="A241" i="7"/>
  <c r="B241" i="7"/>
  <c r="C241" i="7"/>
  <c r="A240" i="7"/>
  <c r="B240" i="7"/>
  <c r="C240" i="7"/>
  <c r="A239" i="7"/>
  <c r="B239" i="7"/>
  <c r="C239" i="7"/>
  <c r="A238" i="7"/>
  <c r="B238" i="7"/>
  <c r="C238" i="7"/>
  <c r="A237" i="7"/>
  <c r="B237" i="7"/>
  <c r="C237" i="7"/>
  <c r="A236" i="7"/>
  <c r="B236" i="7"/>
  <c r="C236" i="7"/>
  <c r="A235" i="7"/>
  <c r="B235" i="7"/>
  <c r="C235" i="7"/>
  <c r="A234" i="7"/>
  <c r="B234" i="7"/>
  <c r="C234" i="7"/>
  <c r="A233" i="7"/>
  <c r="B233" i="7"/>
  <c r="C233" i="7"/>
  <c r="A232" i="7"/>
  <c r="B232" i="7"/>
  <c r="C232" i="7"/>
  <c r="A231" i="7"/>
  <c r="B231" i="7"/>
  <c r="C231" i="7"/>
  <c r="A230" i="7"/>
  <c r="B230" i="7"/>
  <c r="C230" i="7"/>
  <c r="A229" i="7"/>
  <c r="B229" i="7"/>
  <c r="C229" i="7"/>
  <c r="A228" i="7"/>
  <c r="B228" i="7"/>
  <c r="C228" i="7"/>
  <c r="A227" i="7"/>
  <c r="B227" i="7"/>
  <c r="C227" i="7"/>
  <c r="A226" i="7"/>
  <c r="B226" i="7"/>
  <c r="C226" i="7"/>
  <c r="A225" i="7"/>
  <c r="B225" i="7"/>
  <c r="C225" i="7"/>
  <c r="A224" i="7"/>
  <c r="B224" i="7"/>
  <c r="C224" i="7"/>
  <c r="A223" i="7"/>
  <c r="B223" i="7"/>
  <c r="C223" i="7"/>
  <c r="A222" i="7"/>
  <c r="B222" i="7"/>
  <c r="C222" i="7"/>
  <c r="A221" i="7"/>
  <c r="B221" i="7"/>
  <c r="C221" i="7"/>
  <c r="A220" i="7"/>
  <c r="B220" i="7"/>
  <c r="C220" i="7"/>
  <c r="A219" i="7"/>
  <c r="B219" i="7"/>
  <c r="C219" i="7"/>
  <c r="A218" i="7"/>
  <c r="B218" i="7"/>
  <c r="C218" i="7"/>
  <c r="A217" i="7"/>
  <c r="B217" i="7"/>
  <c r="C217" i="7"/>
  <c r="A216" i="7"/>
  <c r="B216" i="7"/>
  <c r="C216" i="7"/>
  <c r="A215" i="7"/>
  <c r="B215" i="7"/>
  <c r="C215" i="7"/>
  <c r="A214" i="7"/>
  <c r="B214" i="7"/>
  <c r="C214" i="7"/>
  <c r="A213" i="7"/>
  <c r="B213" i="7"/>
  <c r="C213" i="7"/>
  <c r="A212" i="7"/>
  <c r="B212" i="7"/>
  <c r="C212" i="7"/>
  <c r="A211" i="7"/>
  <c r="B211" i="7"/>
  <c r="C211" i="7"/>
  <c r="A210" i="7"/>
  <c r="B210" i="7"/>
  <c r="C210" i="7"/>
  <c r="A209" i="7"/>
  <c r="B209" i="7"/>
  <c r="C209" i="7"/>
  <c r="A208" i="7"/>
  <c r="B208" i="7"/>
  <c r="C208" i="7"/>
  <c r="A207" i="7"/>
  <c r="B207" i="7"/>
  <c r="C207" i="7"/>
  <c r="A206" i="7"/>
  <c r="B206" i="7"/>
  <c r="C206" i="7"/>
  <c r="A205" i="7"/>
  <c r="B205" i="7"/>
  <c r="C205" i="7"/>
  <c r="A204" i="7"/>
  <c r="B204" i="7"/>
  <c r="C204" i="7"/>
  <c r="A203" i="7"/>
  <c r="B203" i="7"/>
  <c r="C203" i="7"/>
  <c r="A202" i="7"/>
  <c r="B202" i="7"/>
  <c r="C202" i="7"/>
  <c r="A201" i="7"/>
  <c r="B201" i="7"/>
  <c r="C201" i="7"/>
  <c r="A200" i="7"/>
  <c r="B200" i="7"/>
  <c r="C200" i="7"/>
  <c r="A199" i="7"/>
  <c r="B199" i="7"/>
  <c r="C199" i="7"/>
  <c r="A198" i="7"/>
  <c r="B198" i="7"/>
  <c r="C198" i="7"/>
  <c r="A197" i="7"/>
  <c r="B197" i="7"/>
  <c r="C197" i="7"/>
  <c r="A196" i="7"/>
  <c r="B196" i="7"/>
  <c r="C196" i="7"/>
  <c r="A195" i="7"/>
  <c r="B195" i="7"/>
  <c r="C195" i="7"/>
  <c r="A194" i="7"/>
  <c r="B194" i="7"/>
  <c r="C194" i="7"/>
  <c r="A193" i="7"/>
  <c r="B193" i="7"/>
  <c r="C193" i="7"/>
  <c r="A192" i="7"/>
  <c r="B192" i="7"/>
  <c r="C192" i="7"/>
  <c r="A191" i="7"/>
  <c r="B191" i="7"/>
  <c r="C191" i="7"/>
  <c r="A190" i="7"/>
  <c r="B190" i="7"/>
  <c r="C190" i="7"/>
  <c r="A189" i="7"/>
  <c r="B189" i="7"/>
  <c r="C189" i="7"/>
  <c r="A188" i="7"/>
  <c r="B188" i="7"/>
  <c r="C188" i="7"/>
  <c r="A187" i="7"/>
  <c r="B187" i="7"/>
  <c r="C187" i="7"/>
  <c r="A186" i="7"/>
  <c r="B186" i="7"/>
  <c r="C186" i="7"/>
  <c r="A185" i="7"/>
  <c r="B185" i="7"/>
  <c r="C185" i="7"/>
  <c r="A184" i="7"/>
  <c r="B184" i="7"/>
  <c r="C184" i="7"/>
  <c r="A183" i="7"/>
  <c r="B183" i="7"/>
  <c r="C183" i="7"/>
  <c r="A182" i="7"/>
  <c r="B182" i="7"/>
  <c r="C182" i="7"/>
  <c r="A181" i="7"/>
  <c r="B181" i="7"/>
  <c r="C181" i="7"/>
  <c r="A180" i="7"/>
  <c r="B180" i="7"/>
  <c r="C180" i="7"/>
  <c r="A179" i="7"/>
  <c r="B179" i="7"/>
  <c r="C179" i="7"/>
  <c r="A178" i="7"/>
  <c r="B178" i="7"/>
  <c r="C178" i="7"/>
  <c r="A177" i="7"/>
  <c r="B177" i="7"/>
  <c r="C177" i="7"/>
  <c r="A176" i="7"/>
  <c r="B176" i="7"/>
  <c r="C176" i="7"/>
  <c r="A175" i="7"/>
  <c r="B175" i="7"/>
  <c r="C175" i="7"/>
  <c r="A174" i="7"/>
  <c r="B174" i="7"/>
  <c r="C174" i="7"/>
  <c r="A173" i="7"/>
  <c r="B173" i="7"/>
  <c r="C173" i="7"/>
  <c r="A172" i="7"/>
  <c r="B172" i="7"/>
  <c r="C172" i="7"/>
  <c r="A171" i="7"/>
  <c r="B171" i="7"/>
  <c r="C171" i="7"/>
  <c r="A170" i="7"/>
  <c r="B170" i="7"/>
  <c r="C170" i="7"/>
  <c r="A169" i="7"/>
  <c r="B169" i="7"/>
  <c r="C169" i="7"/>
  <c r="A168" i="7"/>
  <c r="B168" i="7"/>
  <c r="C168" i="7"/>
  <c r="A167" i="7"/>
  <c r="B167" i="7"/>
  <c r="C167" i="7"/>
  <c r="A166" i="7"/>
  <c r="B166" i="7"/>
  <c r="C166" i="7"/>
  <c r="A165" i="7"/>
  <c r="B165" i="7"/>
  <c r="C165" i="7"/>
  <c r="A164" i="7"/>
  <c r="B164" i="7"/>
  <c r="C164" i="7"/>
  <c r="A163" i="7"/>
  <c r="B163" i="7"/>
  <c r="C163" i="7"/>
  <c r="A162" i="7"/>
  <c r="B162" i="7"/>
  <c r="C162" i="7"/>
  <c r="A161" i="7"/>
  <c r="B161" i="7"/>
  <c r="C161" i="7"/>
  <c r="A160" i="7"/>
  <c r="B160" i="7"/>
  <c r="C160" i="7"/>
  <c r="A159" i="7"/>
  <c r="B159" i="7"/>
  <c r="C159" i="7"/>
  <c r="A158" i="7"/>
  <c r="B158" i="7"/>
  <c r="C158" i="7"/>
  <c r="A157" i="7"/>
  <c r="B157" i="7"/>
  <c r="C157" i="7"/>
  <c r="A156" i="7"/>
  <c r="B156" i="7"/>
  <c r="C156" i="7"/>
  <c r="A155" i="7"/>
  <c r="B155" i="7"/>
  <c r="C155" i="7"/>
  <c r="A154" i="7"/>
  <c r="B154" i="7"/>
  <c r="C154" i="7"/>
  <c r="A153" i="7"/>
  <c r="B153" i="7"/>
  <c r="C153" i="7"/>
  <c r="A152" i="7"/>
  <c r="B152" i="7"/>
  <c r="C152" i="7"/>
  <c r="A151" i="7"/>
  <c r="B151" i="7"/>
  <c r="C151" i="7"/>
  <c r="A150" i="7"/>
  <c r="B150" i="7"/>
  <c r="C150" i="7"/>
  <c r="A149" i="7"/>
  <c r="B149" i="7"/>
  <c r="C149" i="7"/>
  <c r="A148" i="7"/>
  <c r="B148" i="7"/>
  <c r="C148" i="7"/>
  <c r="A147" i="7"/>
  <c r="B147" i="7"/>
  <c r="C147" i="7"/>
  <c r="A146" i="7"/>
  <c r="B146" i="7"/>
  <c r="C146" i="7"/>
  <c r="A145" i="7"/>
  <c r="B145" i="7"/>
  <c r="C145" i="7"/>
  <c r="A144" i="7"/>
  <c r="B144" i="7"/>
  <c r="C144" i="7"/>
  <c r="A143" i="7"/>
  <c r="B143" i="7"/>
  <c r="C143" i="7"/>
  <c r="A142" i="7"/>
  <c r="B142" i="7"/>
  <c r="C142" i="7"/>
  <c r="A141" i="7"/>
  <c r="B141" i="7"/>
  <c r="C141" i="7"/>
  <c r="A140" i="7"/>
  <c r="B140" i="7"/>
  <c r="C140" i="7"/>
  <c r="A139" i="7"/>
  <c r="B139" i="7"/>
  <c r="C139" i="7"/>
  <c r="A138" i="7"/>
  <c r="B138" i="7"/>
  <c r="C138" i="7"/>
  <c r="A137" i="7"/>
  <c r="B137" i="7"/>
  <c r="C137" i="7"/>
  <c r="A136" i="7"/>
  <c r="B136" i="7"/>
  <c r="C136" i="7"/>
  <c r="A135" i="7"/>
  <c r="B135" i="7"/>
  <c r="C135" i="7"/>
  <c r="A134" i="7"/>
  <c r="B134" i="7"/>
  <c r="C134" i="7"/>
  <c r="A133" i="7"/>
  <c r="B133" i="7"/>
  <c r="C133" i="7"/>
  <c r="A132" i="7"/>
  <c r="B132" i="7"/>
  <c r="C132" i="7"/>
  <c r="A131" i="7"/>
  <c r="B131" i="7"/>
  <c r="C131" i="7"/>
  <c r="A130" i="7"/>
  <c r="B130" i="7"/>
  <c r="C130" i="7"/>
  <c r="A129" i="7"/>
  <c r="B129" i="7"/>
  <c r="C129" i="7"/>
  <c r="A128" i="7"/>
  <c r="B128" i="7"/>
  <c r="C128" i="7"/>
  <c r="A127" i="7"/>
  <c r="B127" i="7"/>
  <c r="C127" i="7"/>
  <c r="A126" i="7"/>
  <c r="B126" i="7"/>
  <c r="C126" i="7"/>
  <c r="A125" i="7"/>
  <c r="B125" i="7"/>
  <c r="C125" i="7"/>
  <c r="A124" i="7"/>
  <c r="B124" i="7"/>
  <c r="C124" i="7"/>
  <c r="A123" i="7"/>
  <c r="B123" i="7"/>
  <c r="C123" i="7"/>
  <c r="A122" i="7"/>
  <c r="B122" i="7"/>
  <c r="C122" i="7"/>
  <c r="A121" i="7"/>
  <c r="B121" i="7"/>
  <c r="C121" i="7"/>
  <c r="A120" i="7"/>
  <c r="B120" i="7"/>
  <c r="C120" i="7"/>
  <c r="A119" i="7"/>
  <c r="B119" i="7"/>
  <c r="C119" i="7"/>
  <c r="A118" i="7"/>
  <c r="B118" i="7"/>
  <c r="C118" i="7"/>
  <c r="A117" i="7"/>
  <c r="B117" i="7"/>
  <c r="C117" i="7"/>
  <c r="A116" i="7"/>
  <c r="B116" i="7"/>
  <c r="C116" i="7"/>
  <c r="A115" i="7"/>
  <c r="B115" i="7"/>
  <c r="C115" i="7"/>
  <c r="A114" i="7"/>
  <c r="B114" i="7"/>
  <c r="C114" i="7"/>
  <c r="A113" i="7"/>
  <c r="B113" i="7"/>
  <c r="C113" i="7"/>
  <c r="A112" i="7"/>
  <c r="B112" i="7"/>
  <c r="C112" i="7"/>
  <c r="A111" i="7"/>
  <c r="B111" i="7"/>
  <c r="C111" i="7"/>
  <c r="A110" i="7"/>
  <c r="B110" i="7"/>
  <c r="C110" i="7"/>
  <c r="A109" i="7"/>
  <c r="B109" i="7"/>
  <c r="C109" i="7"/>
  <c r="A108" i="7"/>
  <c r="B108" i="7"/>
  <c r="C108" i="7"/>
  <c r="A107" i="7"/>
  <c r="B107" i="7"/>
  <c r="C107" i="7"/>
  <c r="A106" i="7"/>
  <c r="B106" i="7"/>
  <c r="C106" i="7"/>
  <c r="A105" i="7"/>
  <c r="B105" i="7"/>
  <c r="C105" i="7"/>
  <c r="A104" i="7"/>
  <c r="B104" i="7"/>
  <c r="C104" i="7"/>
  <c r="A103" i="7"/>
  <c r="B103" i="7"/>
  <c r="C103" i="7"/>
  <c r="A102" i="7"/>
  <c r="B102" i="7"/>
  <c r="C102" i="7"/>
  <c r="A101" i="7"/>
  <c r="B101" i="7"/>
  <c r="C101" i="7"/>
  <c r="A100" i="7"/>
  <c r="B100" i="7"/>
  <c r="C100" i="7"/>
  <c r="A99" i="7"/>
  <c r="B99" i="7"/>
  <c r="C99" i="7"/>
  <c r="A98" i="7"/>
  <c r="B98" i="7"/>
  <c r="C98" i="7"/>
  <c r="A97" i="7"/>
  <c r="B97" i="7"/>
  <c r="C97" i="7"/>
  <c r="A96" i="7"/>
  <c r="B96" i="7"/>
  <c r="C96" i="7"/>
  <c r="A95" i="7"/>
  <c r="B95" i="7"/>
  <c r="C95" i="7"/>
  <c r="A94" i="7"/>
  <c r="B94" i="7"/>
  <c r="C94" i="7"/>
  <c r="A93" i="7"/>
  <c r="B93" i="7"/>
  <c r="C93" i="7"/>
  <c r="A92" i="7"/>
  <c r="B92" i="7"/>
  <c r="C92" i="7"/>
  <c r="A91" i="7"/>
  <c r="B91" i="7"/>
  <c r="C91" i="7"/>
  <c r="A90" i="7"/>
  <c r="B90" i="7"/>
  <c r="C90" i="7"/>
  <c r="A89" i="7"/>
  <c r="B89" i="7"/>
  <c r="C89" i="7"/>
  <c r="A88" i="7"/>
  <c r="B88" i="7"/>
  <c r="C88" i="7"/>
  <c r="A87" i="7"/>
  <c r="B87" i="7"/>
  <c r="C87" i="7"/>
  <c r="A86" i="7"/>
  <c r="B86" i="7"/>
  <c r="C86" i="7"/>
  <c r="A85" i="7"/>
  <c r="B85" i="7"/>
  <c r="C85" i="7"/>
  <c r="A84" i="7"/>
  <c r="B84" i="7"/>
  <c r="C84" i="7"/>
  <c r="A83" i="7"/>
  <c r="B83" i="7"/>
  <c r="C83" i="7"/>
  <c r="A82" i="7"/>
  <c r="B82" i="7"/>
  <c r="C82" i="7"/>
  <c r="A81" i="7"/>
  <c r="B81" i="7"/>
  <c r="C81" i="7"/>
  <c r="A80" i="7"/>
  <c r="B80" i="7"/>
  <c r="C80" i="7"/>
  <c r="A79" i="7"/>
  <c r="B79" i="7"/>
  <c r="C79" i="7"/>
  <c r="A78" i="7"/>
  <c r="B78" i="7"/>
  <c r="C78" i="7"/>
  <c r="A77" i="7"/>
  <c r="B77" i="7"/>
  <c r="C77" i="7"/>
  <c r="A76" i="7"/>
  <c r="B76" i="7"/>
  <c r="C76" i="7"/>
  <c r="A75" i="7"/>
  <c r="B75" i="7"/>
  <c r="C75" i="7"/>
  <c r="A74" i="7"/>
  <c r="B74" i="7"/>
  <c r="C74" i="7"/>
  <c r="A73" i="7"/>
  <c r="B73" i="7"/>
  <c r="C73" i="7"/>
  <c r="A72" i="7"/>
  <c r="B72" i="7"/>
  <c r="C72" i="7"/>
  <c r="A71" i="7"/>
  <c r="B71" i="7"/>
  <c r="C71" i="7"/>
  <c r="A70" i="7"/>
  <c r="B70" i="7"/>
  <c r="C70" i="7"/>
  <c r="A69" i="7"/>
  <c r="B69" i="7"/>
  <c r="C69" i="7"/>
  <c r="A68" i="7"/>
  <c r="B68" i="7"/>
  <c r="C68" i="7"/>
  <c r="A67" i="7"/>
  <c r="B67" i="7"/>
  <c r="C67" i="7"/>
  <c r="A66" i="7"/>
  <c r="B66" i="7"/>
  <c r="C66" i="7"/>
  <c r="A65" i="7"/>
  <c r="B65" i="7"/>
  <c r="C65" i="7"/>
  <c r="A64" i="7"/>
  <c r="B64" i="7"/>
  <c r="C64" i="7"/>
  <c r="A63" i="7"/>
  <c r="B63" i="7"/>
  <c r="C63" i="7"/>
  <c r="A62" i="7"/>
  <c r="B62" i="7"/>
  <c r="C62" i="7"/>
  <c r="A61" i="7"/>
  <c r="B61" i="7"/>
  <c r="C61" i="7"/>
  <c r="A60" i="7"/>
  <c r="B60" i="7"/>
  <c r="C60" i="7"/>
  <c r="A59" i="7"/>
  <c r="B59" i="7"/>
  <c r="C59" i="7"/>
  <c r="A58" i="7"/>
  <c r="B58" i="7"/>
  <c r="C58" i="7"/>
  <c r="A57" i="7"/>
  <c r="B57" i="7"/>
  <c r="C57" i="7"/>
  <c r="A56" i="7"/>
  <c r="B56" i="7"/>
  <c r="C56" i="7"/>
  <c r="A55" i="7"/>
  <c r="B55" i="7"/>
  <c r="C55" i="7"/>
  <c r="A54" i="7"/>
  <c r="B54" i="7"/>
  <c r="C54" i="7"/>
  <c r="A53" i="7"/>
  <c r="B53" i="7"/>
  <c r="C53" i="7"/>
  <c r="A52" i="7"/>
  <c r="B52" i="7"/>
  <c r="C52" i="7"/>
  <c r="A51" i="7"/>
  <c r="B51" i="7"/>
  <c r="C51" i="7"/>
  <c r="A50" i="7"/>
  <c r="B50" i="7"/>
  <c r="C50" i="7"/>
  <c r="A49" i="7"/>
  <c r="B49" i="7"/>
  <c r="C49" i="7"/>
  <c r="A48" i="7"/>
  <c r="B48" i="7"/>
  <c r="C48" i="7"/>
  <c r="A47" i="7"/>
  <c r="B47" i="7"/>
  <c r="C47" i="7"/>
  <c r="A46" i="7"/>
  <c r="B46" i="7"/>
  <c r="C46" i="7"/>
  <c r="A45" i="7"/>
  <c r="B45" i="7"/>
  <c r="C45" i="7"/>
  <c r="A44" i="7"/>
  <c r="B44" i="7"/>
  <c r="C44" i="7"/>
  <c r="A43" i="7"/>
  <c r="B43" i="7"/>
  <c r="C43" i="7"/>
  <c r="A42" i="7"/>
  <c r="B42" i="7"/>
  <c r="C42" i="7"/>
  <c r="A41" i="7"/>
  <c r="B41" i="7"/>
  <c r="C41" i="7"/>
  <c r="A40" i="7"/>
  <c r="B40" i="7"/>
  <c r="C40" i="7"/>
  <c r="A39" i="7"/>
  <c r="B39" i="7"/>
  <c r="C39" i="7"/>
  <c r="A38" i="7"/>
  <c r="B38" i="7"/>
  <c r="C38" i="7"/>
  <c r="A37" i="7"/>
  <c r="B37" i="7"/>
  <c r="C37" i="7"/>
  <c r="A36" i="7"/>
  <c r="B36" i="7"/>
  <c r="C36" i="7"/>
  <c r="A35" i="7"/>
  <c r="B35" i="7"/>
  <c r="C35" i="7"/>
  <c r="A34" i="7"/>
  <c r="B34" i="7"/>
  <c r="C34" i="7"/>
  <c r="A33" i="7"/>
  <c r="B33" i="7"/>
  <c r="C33" i="7"/>
  <c r="A32" i="7"/>
  <c r="B32" i="7"/>
  <c r="C32" i="7"/>
  <c r="A31" i="7"/>
  <c r="B31" i="7"/>
  <c r="C31" i="7"/>
  <c r="A30" i="7"/>
  <c r="B30" i="7"/>
  <c r="C30" i="7"/>
  <c r="A29" i="7"/>
  <c r="B29" i="7"/>
  <c r="C29" i="7"/>
  <c r="A28" i="7"/>
  <c r="B28" i="7"/>
  <c r="C28" i="7"/>
  <c r="A27" i="7"/>
  <c r="B27" i="7"/>
  <c r="C27" i="7"/>
  <c r="A26" i="7"/>
  <c r="B26" i="7"/>
  <c r="C26" i="7"/>
  <c r="A25" i="7"/>
  <c r="B25" i="7"/>
  <c r="C25" i="7"/>
  <c r="A24" i="7"/>
  <c r="B24" i="7"/>
  <c r="C24" i="7"/>
  <c r="A23" i="7"/>
  <c r="B23" i="7"/>
  <c r="C23" i="7"/>
  <c r="A22" i="7"/>
  <c r="B22" i="7"/>
  <c r="C22" i="7"/>
  <c r="A21" i="7"/>
  <c r="B21" i="7"/>
  <c r="C21" i="7"/>
  <c r="A20" i="7"/>
  <c r="B20" i="7"/>
  <c r="C20" i="7"/>
  <c r="A19" i="7"/>
  <c r="B19" i="7"/>
  <c r="C19" i="7"/>
  <c r="A18" i="7"/>
  <c r="B18" i="7"/>
  <c r="C18" i="7"/>
  <c r="A17" i="7"/>
  <c r="B17" i="7"/>
  <c r="C17" i="7"/>
  <c r="A16" i="7"/>
  <c r="B16" i="7"/>
  <c r="C16" i="7"/>
  <c r="A15" i="7"/>
  <c r="B15" i="7"/>
  <c r="C15" i="7"/>
  <c r="A14" i="7"/>
  <c r="B14" i="7"/>
  <c r="C14" i="7"/>
  <c r="A13" i="7"/>
  <c r="B13" i="7"/>
  <c r="C13" i="7"/>
  <c r="A12" i="7"/>
  <c r="B12" i="7"/>
  <c r="C12" i="7"/>
  <c r="A11" i="7"/>
  <c r="B11" i="7"/>
  <c r="C11" i="7"/>
  <c r="A10" i="7"/>
  <c r="B10" i="7"/>
  <c r="C10" i="7"/>
  <c r="A9" i="7"/>
  <c r="B9" i="7"/>
  <c r="C9" i="7"/>
  <c r="A8" i="7"/>
  <c r="B8" i="7"/>
  <c r="C8" i="7"/>
  <c r="A7" i="7"/>
  <c r="B7" i="7"/>
  <c r="C7" i="7"/>
  <c r="A6" i="7"/>
  <c r="B6" i="7"/>
  <c r="C6" i="7"/>
  <c r="A5" i="7"/>
  <c r="B5" i="7"/>
  <c r="C5" i="7"/>
  <c r="A4" i="7"/>
  <c r="B4" i="7"/>
  <c r="C4" i="7"/>
  <c r="A3" i="7"/>
  <c r="B3" i="7"/>
  <c r="C3" i="7"/>
  <c r="A2" i="7"/>
  <c r="B2" i="7"/>
  <c r="C2" i="7"/>
  <c r="A2612" i="6"/>
  <c r="B2612" i="6"/>
  <c r="C2612" i="6"/>
  <c r="A2611" i="6"/>
  <c r="B2611" i="6"/>
  <c r="C2611" i="6"/>
  <c r="A2610" i="6"/>
  <c r="B2610" i="6"/>
  <c r="C2610" i="6"/>
  <c r="A2609" i="6"/>
  <c r="B2609" i="6"/>
  <c r="C2609" i="6"/>
  <c r="A2608" i="6"/>
  <c r="B2608" i="6"/>
  <c r="C2608" i="6"/>
  <c r="A2607" i="6"/>
  <c r="B2607" i="6"/>
  <c r="C2607" i="6"/>
  <c r="A2606" i="6"/>
  <c r="B2606" i="6"/>
  <c r="C2606" i="6"/>
  <c r="A2605" i="6"/>
  <c r="B2605" i="6"/>
  <c r="C2605" i="6"/>
  <c r="A2604" i="6"/>
  <c r="B2604" i="6"/>
  <c r="C2604" i="6"/>
  <c r="A2603" i="6"/>
  <c r="B2603" i="6"/>
  <c r="C2603" i="6"/>
  <c r="A2602" i="6"/>
  <c r="B2602" i="6"/>
  <c r="C2602" i="6"/>
  <c r="A2601" i="6"/>
  <c r="B2601" i="6"/>
  <c r="C2601" i="6"/>
  <c r="A2600" i="6"/>
  <c r="B2600" i="6"/>
  <c r="C2600" i="6"/>
  <c r="A2599" i="6"/>
  <c r="B2599" i="6"/>
  <c r="C2599" i="6"/>
  <c r="A2598" i="6"/>
  <c r="B2598" i="6"/>
  <c r="C2598" i="6"/>
  <c r="A2597" i="6"/>
  <c r="B2597" i="6"/>
  <c r="C2597" i="6"/>
  <c r="A2596" i="6"/>
  <c r="B2596" i="6"/>
  <c r="C2596" i="6"/>
  <c r="A2595" i="6"/>
  <c r="B2595" i="6"/>
  <c r="C2595" i="6"/>
  <c r="A2594" i="6"/>
  <c r="B2594" i="6"/>
  <c r="C2594" i="6"/>
  <c r="A2593" i="6"/>
  <c r="B2593" i="6"/>
  <c r="C2593" i="6"/>
  <c r="A2592" i="6"/>
  <c r="B2592" i="6"/>
  <c r="C2592" i="6"/>
  <c r="A2591" i="6"/>
  <c r="B2591" i="6"/>
  <c r="C2591" i="6"/>
  <c r="A2590" i="6"/>
  <c r="B2590" i="6"/>
  <c r="C2590" i="6"/>
  <c r="A2589" i="6"/>
  <c r="B2589" i="6"/>
  <c r="C2589" i="6"/>
  <c r="A2588" i="6"/>
  <c r="B2588" i="6"/>
  <c r="C2588" i="6"/>
  <c r="A2587" i="6"/>
  <c r="B2587" i="6"/>
  <c r="C2587" i="6"/>
  <c r="A2586" i="6"/>
  <c r="B2586" i="6"/>
  <c r="C2586" i="6"/>
  <c r="A2585" i="6"/>
  <c r="B2585" i="6"/>
  <c r="C2585" i="6"/>
  <c r="A2584" i="6"/>
  <c r="B2584" i="6"/>
  <c r="C2584" i="6"/>
  <c r="A2583" i="6"/>
  <c r="B2583" i="6"/>
  <c r="C2583" i="6"/>
  <c r="A2582" i="6"/>
  <c r="B2582" i="6"/>
  <c r="C2582" i="6"/>
  <c r="A2581" i="6"/>
  <c r="B2581" i="6"/>
  <c r="C2581" i="6"/>
  <c r="A2580" i="6"/>
  <c r="B2580" i="6"/>
  <c r="C2580" i="6"/>
  <c r="A2579" i="6"/>
  <c r="B2579" i="6"/>
  <c r="C2579" i="6"/>
  <c r="A2578" i="6"/>
  <c r="B2578" i="6"/>
  <c r="C2578" i="6"/>
  <c r="A2577" i="6"/>
  <c r="B2577" i="6"/>
  <c r="C2577" i="6"/>
  <c r="A2576" i="6"/>
  <c r="B2576" i="6"/>
  <c r="C2576" i="6"/>
  <c r="A2575" i="6"/>
  <c r="B2575" i="6"/>
  <c r="C2575" i="6"/>
  <c r="A2574" i="6"/>
  <c r="B2574" i="6"/>
  <c r="C2574" i="6"/>
  <c r="A2573" i="6"/>
  <c r="B2573" i="6"/>
  <c r="C2573" i="6"/>
  <c r="A2572" i="6"/>
  <c r="B2572" i="6"/>
  <c r="C2572" i="6"/>
  <c r="A2571" i="6"/>
  <c r="B2571" i="6"/>
  <c r="C2571" i="6"/>
  <c r="A2570" i="6"/>
  <c r="B2570" i="6"/>
  <c r="C2570" i="6"/>
  <c r="A2569" i="6"/>
  <c r="B2569" i="6"/>
  <c r="C2569" i="6"/>
  <c r="A2568" i="6"/>
  <c r="B2568" i="6"/>
  <c r="C2568" i="6"/>
  <c r="A2567" i="6"/>
  <c r="B2567" i="6"/>
  <c r="C2567" i="6"/>
  <c r="A2566" i="6"/>
  <c r="B2566" i="6"/>
  <c r="C2566" i="6"/>
  <c r="A2565" i="6"/>
  <c r="B2565" i="6"/>
  <c r="C2565" i="6"/>
  <c r="A2564" i="6"/>
  <c r="B2564" i="6"/>
  <c r="C2564" i="6"/>
  <c r="A2563" i="6"/>
  <c r="B2563" i="6"/>
  <c r="C2563" i="6"/>
  <c r="A2562" i="6"/>
  <c r="B2562" i="6"/>
  <c r="C2562" i="6"/>
  <c r="A2561" i="6"/>
  <c r="B2561" i="6"/>
  <c r="C2561" i="6"/>
  <c r="A2560" i="6"/>
  <c r="B2560" i="6"/>
  <c r="C2560" i="6"/>
  <c r="A2559" i="6"/>
  <c r="B2559" i="6"/>
  <c r="C2559" i="6"/>
  <c r="A2558" i="6"/>
  <c r="B2558" i="6"/>
  <c r="C2558" i="6"/>
  <c r="A2557" i="6"/>
  <c r="B2557" i="6"/>
  <c r="C2557" i="6"/>
  <c r="A2556" i="6"/>
  <c r="B2556" i="6"/>
  <c r="C2556" i="6"/>
  <c r="A2555" i="6"/>
  <c r="B2555" i="6"/>
  <c r="C2555" i="6"/>
  <c r="A2554" i="6"/>
  <c r="B2554" i="6"/>
  <c r="C2554" i="6"/>
  <c r="A2553" i="6"/>
  <c r="B2553" i="6"/>
  <c r="C2553" i="6"/>
  <c r="A2552" i="6"/>
  <c r="B2552" i="6"/>
  <c r="C2552" i="6"/>
  <c r="A2551" i="6"/>
  <c r="B2551" i="6"/>
  <c r="C2551" i="6"/>
  <c r="A2550" i="6"/>
  <c r="B2550" i="6"/>
  <c r="C2550" i="6"/>
  <c r="A2549" i="6"/>
  <c r="B2549" i="6"/>
  <c r="C2549" i="6"/>
  <c r="A2548" i="6"/>
  <c r="B2548" i="6"/>
  <c r="C2548" i="6"/>
  <c r="A2547" i="6"/>
  <c r="B2547" i="6"/>
  <c r="C2547" i="6"/>
  <c r="A2546" i="6"/>
  <c r="B2546" i="6"/>
  <c r="C2546" i="6"/>
  <c r="A2545" i="6"/>
  <c r="B2545" i="6"/>
  <c r="C2545" i="6"/>
  <c r="A2544" i="6"/>
  <c r="B2544" i="6"/>
  <c r="C2544" i="6"/>
  <c r="A2543" i="6"/>
  <c r="B2543" i="6"/>
  <c r="C2543" i="6"/>
  <c r="A2542" i="6"/>
  <c r="B2542" i="6"/>
  <c r="C2542" i="6"/>
  <c r="A2541" i="6"/>
  <c r="B2541" i="6"/>
  <c r="C2541" i="6"/>
  <c r="A2540" i="6"/>
  <c r="B2540" i="6"/>
  <c r="C2540" i="6"/>
  <c r="A2539" i="6"/>
  <c r="B2539" i="6"/>
  <c r="C2539" i="6"/>
  <c r="A2538" i="6"/>
  <c r="B2538" i="6"/>
  <c r="C2538" i="6"/>
  <c r="A2537" i="6"/>
  <c r="B2537" i="6"/>
  <c r="C2537" i="6"/>
  <c r="A2536" i="6"/>
  <c r="B2536" i="6"/>
  <c r="C2536" i="6"/>
  <c r="A2535" i="6"/>
  <c r="B2535" i="6"/>
  <c r="C2535" i="6"/>
  <c r="A2534" i="6"/>
  <c r="B2534" i="6"/>
  <c r="C2534" i="6"/>
  <c r="A2533" i="6"/>
  <c r="B2533" i="6"/>
  <c r="C2533" i="6"/>
  <c r="A2532" i="6"/>
  <c r="B2532" i="6"/>
  <c r="C2532" i="6"/>
  <c r="A2531" i="6"/>
  <c r="B2531" i="6"/>
  <c r="C2531" i="6"/>
  <c r="A2530" i="6"/>
  <c r="B2530" i="6"/>
  <c r="C2530" i="6"/>
  <c r="A2529" i="6"/>
  <c r="B2529" i="6"/>
  <c r="C2529" i="6"/>
  <c r="A2528" i="6"/>
  <c r="B2528" i="6"/>
  <c r="C2528" i="6"/>
  <c r="A2527" i="6"/>
  <c r="B2527" i="6"/>
  <c r="C2527" i="6"/>
  <c r="A2526" i="6"/>
  <c r="B2526" i="6"/>
  <c r="C2526" i="6"/>
  <c r="A2525" i="6"/>
  <c r="B2525" i="6"/>
  <c r="C2525" i="6"/>
  <c r="A2524" i="6"/>
  <c r="B2524" i="6"/>
  <c r="C2524" i="6"/>
  <c r="A2523" i="6"/>
  <c r="B2523" i="6"/>
  <c r="C2523" i="6"/>
  <c r="A2522" i="6"/>
  <c r="B2522" i="6"/>
  <c r="C2522" i="6"/>
  <c r="A2521" i="6"/>
  <c r="B2521" i="6"/>
  <c r="C2521" i="6"/>
  <c r="A2520" i="6"/>
  <c r="B2520" i="6"/>
  <c r="C2520" i="6"/>
  <c r="A2519" i="6"/>
  <c r="B2519" i="6"/>
  <c r="C2519" i="6"/>
  <c r="A2518" i="6"/>
  <c r="B2518" i="6"/>
  <c r="C2518" i="6"/>
  <c r="A2517" i="6"/>
  <c r="B2517" i="6"/>
  <c r="C2517" i="6"/>
  <c r="A2516" i="6"/>
  <c r="B2516" i="6"/>
  <c r="C2516" i="6"/>
  <c r="A2515" i="6"/>
  <c r="B2515" i="6"/>
  <c r="C2515" i="6"/>
  <c r="A2514" i="6"/>
  <c r="B2514" i="6"/>
  <c r="C2514" i="6"/>
  <c r="A2513" i="6"/>
  <c r="B2513" i="6"/>
  <c r="C2513" i="6"/>
  <c r="A2512" i="6"/>
  <c r="B2512" i="6"/>
  <c r="C2512" i="6"/>
  <c r="A2511" i="6"/>
  <c r="B2511" i="6"/>
  <c r="C2511" i="6"/>
  <c r="A2510" i="6"/>
  <c r="B2510" i="6"/>
  <c r="C2510" i="6"/>
  <c r="A2509" i="6"/>
  <c r="B2509" i="6"/>
  <c r="C2509" i="6"/>
  <c r="A2508" i="6"/>
  <c r="B2508" i="6"/>
  <c r="C2508" i="6"/>
  <c r="A2507" i="6"/>
  <c r="B2507" i="6"/>
  <c r="C2507" i="6"/>
  <c r="A2506" i="6"/>
  <c r="B2506" i="6"/>
  <c r="C2506" i="6"/>
  <c r="A2505" i="6"/>
  <c r="B2505" i="6"/>
  <c r="C2505" i="6"/>
  <c r="A2504" i="6"/>
  <c r="B2504" i="6"/>
  <c r="C2504" i="6"/>
  <c r="A2503" i="6"/>
  <c r="B2503" i="6"/>
  <c r="C2503" i="6"/>
  <c r="A2502" i="6"/>
  <c r="B2502" i="6"/>
  <c r="C2502" i="6"/>
  <c r="A2501" i="6"/>
  <c r="B2501" i="6"/>
  <c r="C2501" i="6"/>
  <c r="A2500" i="6"/>
  <c r="B2500" i="6"/>
  <c r="C2500" i="6"/>
  <c r="A2499" i="6"/>
  <c r="B2499" i="6"/>
  <c r="C2499" i="6"/>
  <c r="A2498" i="6"/>
  <c r="B2498" i="6"/>
  <c r="C2498" i="6"/>
  <c r="A2497" i="6"/>
  <c r="B2497" i="6"/>
  <c r="C2497" i="6"/>
  <c r="A2496" i="6"/>
  <c r="B2496" i="6"/>
  <c r="C2496" i="6"/>
  <c r="A2495" i="6"/>
  <c r="B2495" i="6"/>
  <c r="C2495" i="6"/>
  <c r="A2494" i="6"/>
  <c r="B2494" i="6"/>
  <c r="C2494" i="6"/>
  <c r="A2493" i="6"/>
  <c r="B2493" i="6"/>
  <c r="C2493" i="6"/>
  <c r="A2492" i="6"/>
  <c r="B2492" i="6"/>
  <c r="C2492" i="6"/>
  <c r="A2491" i="6"/>
  <c r="B2491" i="6"/>
  <c r="C2491" i="6"/>
  <c r="A2490" i="6"/>
  <c r="B2490" i="6"/>
  <c r="C2490" i="6"/>
  <c r="A2489" i="6"/>
  <c r="B2489" i="6"/>
  <c r="C2489" i="6"/>
  <c r="A2488" i="6"/>
  <c r="B2488" i="6"/>
  <c r="C2488" i="6"/>
  <c r="A2487" i="6"/>
  <c r="B2487" i="6"/>
  <c r="C2487" i="6"/>
  <c r="A2486" i="6"/>
  <c r="B2486" i="6"/>
  <c r="C2486" i="6"/>
  <c r="A2485" i="6"/>
  <c r="B2485" i="6"/>
  <c r="C2485" i="6"/>
  <c r="A2484" i="6"/>
  <c r="B2484" i="6"/>
  <c r="C2484" i="6"/>
  <c r="A2483" i="6"/>
  <c r="B2483" i="6"/>
  <c r="C2483" i="6"/>
  <c r="A2482" i="6"/>
  <c r="B2482" i="6"/>
  <c r="C2482" i="6"/>
  <c r="A2481" i="6"/>
  <c r="B2481" i="6"/>
  <c r="C2481" i="6"/>
  <c r="A2480" i="6"/>
  <c r="B2480" i="6"/>
  <c r="C2480" i="6"/>
  <c r="A2479" i="6"/>
  <c r="B2479" i="6"/>
  <c r="C2479" i="6"/>
  <c r="A2478" i="6"/>
  <c r="B2478" i="6"/>
  <c r="C2478" i="6"/>
  <c r="A2477" i="6"/>
  <c r="B2477" i="6"/>
  <c r="C2477" i="6"/>
  <c r="A2476" i="6"/>
  <c r="B2476" i="6"/>
  <c r="C2476" i="6"/>
  <c r="A2475" i="6"/>
  <c r="B2475" i="6"/>
  <c r="C2475" i="6"/>
  <c r="A2474" i="6"/>
  <c r="B2474" i="6"/>
  <c r="C2474" i="6"/>
  <c r="A2473" i="6"/>
  <c r="B2473" i="6"/>
  <c r="C2473" i="6"/>
  <c r="A2472" i="6"/>
  <c r="B2472" i="6"/>
  <c r="C2472" i="6"/>
  <c r="A2471" i="6"/>
  <c r="B2471" i="6"/>
  <c r="C2471" i="6"/>
  <c r="A2470" i="6"/>
  <c r="B2470" i="6"/>
  <c r="C2470" i="6"/>
  <c r="A2469" i="6"/>
  <c r="B2469" i="6"/>
  <c r="C2469" i="6"/>
  <c r="A2468" i="6"/>
  <c r="B2468" i="6"/>
  <c r="C2468" i="6"/>
  <c r="A2467" i="6"/>
  <c r="B2467" i="6"/>
  <c r="C2467" i="6"/>
  <c r="A2466" i="6"/>
  <c r="B2466" i="6"/>
  <c r="C2466" i="6"/>
  <c r="A2465" i="6"/>
  <c r="B2465" i="6"/>
  <c r="C2465" i="6"/>
  <c r="A2464" i="6"/>
  <c r="B2464" i="6"/>
  <c r="C2464" i="6"/>
  <c r="A2463" i="6"/>
  <c r="B2463" i="6"/>
  <c r="C2463" i="6"/>
  <c r="A2462" i="6"/>
  <c r="B2462" i="6"/>
  <c r="C2462" i="6"/>
  <c r="A2461" i="6"/>
  <c r="B2461" i="6"/>
  <c r="C2461" i="6"/>
  <c r="A2460" i="6"/>
  <c r="B2460" i="6"/>
  <c r="C2460" i="6"/>
  <c r="A2459" i="6"/>
  <c r="B2459" i="6"/>
  <c r="C2459" i="6"/>
  <c r="A2458" i="6"/>
  <c r="B2458" i="6"/>
  <c r="C2458" i="6"/>
  <c r="A2457" i="6"/>
  <c r="B2457" i="6"/>
  <c r="C2457" i="6"/>
  <c r="A2456" i="6"/>
  <c r="B2456" i="6"/>
  <c r="C2456" i="6"/>
  <c r="A2455" i="6"/>
  <c r="B2455" i="6"/>
  <c r="C2455" i="6"/>
  <c r="A2454" i="6"/>
  <c r="B2454" i="6"/>
  <c r="C2454" i="6"/>
  <c r="A2453" i="6"/>
  <c r="B2453" i="6"/>
  <c r="C2453" i="6"/>
  <c r="A2452" i="6"/>
  <c r="B2452" i="6"/>
  <c r="C2452" i="6"/>
  <c r="A2451" i="6"/>
  <c r="B2451" i="6"/>
  <c r="C2451" i="6"/>
  <c r="A2450" i="6"/>
  <c r="B2450" i="6"/>
  <c r="C2450" i="6"/>
  <c r="A2449" i="6"/>
  <c r="B2449" i="6"/>
  <c r="C2449" i="6"/>
  <c r="A2448" i="6"/>
  <c r="B2448" i="6"/>
  <c r="C2448" i="6"/>
  <c r="A2447" i="6"/>
  <c r="B2447" i="6"/>
  <c r="C2447" i="6"/>
  <c r="A2446" i="6"/>
  <c r="B2446" i="6"/>
  <c r="C2446" i="6"/>
  <c r="A2445" i="6"/>
  <c r="B2445" i="6"/>
  <c r="C2445" i="6"/>
  <c r="A2444" i="6"/>
  <c r="B2444" i="6"/>
  <c r="C2444" i="6"/>
  <c r="A2443" i="6"/>
  <c r="B2443" i="6"/>
  <c r="C2443" i="6"/>
  <c r="A2442" i="6"/>
  <c r="B2442" i="6"/>
  <c r="C2442" i="6"/>
  <c r="A2441" i="6"/>
  <c r="B2441" i="6"/>
  <c r="C2441" i="6"/>
  <c r="A2440" i="6"/>
  <c r="B2440" i="6"/>
  <c r="C2440" i="6"/>
  <c r="A2439" i="6"/>
  <c r="B2439" i="6"/>
  <c r="C2439" i="6"/>
  <c r="A2438" i="6"/>
  <c r="B2438" i="6"/>
  <c r="C2438" i="6"/>
  <c r="A2437" i="6"/>
  <c r="B2437" i="6"/>
  <c r="C2437" i="6"/>
  <c r="A2436" i="6"/>
  <c r="B2436" i="6"/>
  <c r="C2436" i="6"/>
  <c r="A2435" i="6"/>
  <c r="B2435" i="6"/>
  <c r="C2435" i="6"/>
  <c r="A2434" i="6"/>
  <c r="B2434" i="6"/>
  <c r="C2434" i="6"/>
  <c r="A2433" i="6"/>
  <c r="B2433" i="6"/>
  <c r="C2433" i="6"/>
  <c r="A2432" i="6"/>
  <c r="B2432" i="6"/>
  <c r="C2432" i="6"/>
  <c r="A2431" i="6"/>
  <c r="B2431" i="6"/>
  <c r="C2431" i="6"/>
  <c r="A2430" i="6"/>
  <c r="B2430" i="6"/>
  <c r="C2430" i="6"/>
  <c r="A2429" i="6"/>
  <c r="B2429" i="6"/>
  <c r="C2429" i="6"/>
  <c r="A2428" i="6"/>
  <c r="B2428" i="6"/>
  <c r="C2428" i="6"/>
  <c r="A2427" i="6"/>
  <c r="B2427" i="6"/>
  <c r="C2427" i="6"/>
  <c r="A2426" i="6"/>
  <c r="B2426" i="6"/>
  <c r="C2426" i="6"/>
  <c r="A2425" i="6"/>
  <c r="B2425" i="6"/>
  <c r="C2425" i="6"/>
  <c r="A2424" i="6"/>
  <c r="B2424" i="6"/>
  <c r="C2424" i="6"/>
  <c r="A2423" i="6"/>
  <c r="B2423" i="6"/>
  <c r="C2423" i="6"/>
  <c r="A2422" i="6"/>
  <c r="B2422" i="6"/>
  <c r="C2422" i="6"/>
  <c r="A2421" i="6"/>
  <c r="B2421" i="6"/>
  <c r="C2421" i="6"/>
  <c r="A2420" i="6"/>
  <c r="B2420" i="6"/>
  <c r="C2420" i="6"/>
  <c r="A2419" i="6"/>
  <c r="B2419" i="6"/>
  <c r="C2419" i="6"/>
  <c r="A2418" i="6"/>
  <c r="B2418" i="6"/>
  <c r="C2418" i="6"/>
  <c r="A2417" i="6"/>
  <c r="B2417" i="6"/>
  <c r="C2417" i="6"/>
  <c r="A2416" i="6"/>
  <c r="B2416" i="6"/>
  <c r="C2416" i="6"/>
  <c r="A2415" i="6"/>
  <c r="B2415" i="6"/>
  <c r="C2415" i="6"/>
  <c r="A2414" i="6"/>
  <c r="B2414" i="6"/>
  <c r="C2414" i="6"/>
  <c r="A2413" i="6"/>
  <c r="B2413" i="6"/>
  <c r="C2413" i="6"/>
  <c r="A2412" i="6"/>
  <c r="B2412" i="6"/>
  <c r="C2412" i="6"/>
  <c r="A2411" i="6"/>
  <c r="B2411" i="6"/>
  <c r="C2411" i="6"/>
  <c r="A2410" i="6"/>
  <c r="B2410" i="6"/>
  <c r="C2410" i="6"/>
  <c r="A2409" i="6"/>
  <c r="B2409" i="6"/>
  <c r="C2409" i="6"/>
  <c r="A2408" i="6"/>
  <c r="B2408" i="6"/>
  <c r="C2408" i="6"/>
  <c r="A2407" i="6"/>
  <c r="B2407" i="6"/>
  <c r="C2407" i="6"/>
  <c r="A2406" i="6"/>
  <c r="B2406" i="6"/>
  <c r="C2406" i="6"/>
  <c r="A2405" i="6"/>
  <c r="B2405" i="6"/>
  <c r="C2405" i="6"/>
  <c r="A2404" i="6"/>
  <c r="B2404" i="6"/>
  <c r="C2404" i="6"/>
  <c r="A2403" i="6"/>
  <c r="B2403" i="6"/>
  <c r="C2403" i="6"/>
  <c r="A2402" i="6"/>
  <c r="B2402" i="6"/>
  <c r="C2402" i="6"/>
  <c r="A2401" i="6"/>
  <c r="B2401" i="6"/>
  <c r="C2401" i="6"/>
  <c r="A2400" i="6"/>
  <c r="B2400" i="6"/>
  <c r="C2400" i="6"/>
  <c r="A2399" i="6"/>
  <c r="B2399" i="6"/>
  <c r="C2399" i="6"/>
  <c r="A2398" i="6"/>
  <c r="B2398" i="6"/>
  <c r="C2398" i="6"/>
  <c r="A2397" i="6"/>
  <c r="B2397" i="6"/>
  <c r="C2397" i="6"/>
  <c r="A2396" i="6"/>
  <c r="B2396" i="6"/>
  <c r="C2396" i="6"/>
  <c r="A2395" i="6"/>
  <c r="B2395" i="6"/>
  <c r="C2395" i="6"/>
  <c r="A2394" i="6"/>
  <c r="B2394" i="6"/>
  <c r="C2394" i="6"/>
  <c r="A2393" i="6"/>
  <c r="B2393" i="6"/>
  <c r="C2393" i="6"/>
  <c r="A2392" i="6"/>
  <c r="B2392" i="6"/>
  <c r="C2392" i="6"/>
  <c r="A2391" i="6"/>
  <c r="B2391" i="6"/>
  <c r="C2391" i="6"/>
  <c r="A2390" i="6"/>
  <c r="B2390" i="6"/>
  <c r="C2390" i="6"/>
  <c r="A2389" i="6"/>
  <c r="B2389" i="6"/>
  <c r="C2389" i="6"/>
  <c r="A2388" i="6"/>
  <c r="B2388" i="6"/>
  <c r="C2388" i="6"/>
  <c r="A2387" i="6"/>
  <c r="B2387" i="6"/>
  <c r="C2387" i="6"/>
  <c r="A2386" i="6"/>
  <c r="B2386" i="6"/>
  <c r="C2386" i="6"/>
  <c r="A2385" i="6"/>
  <c r="B2385" i="6"/>
  <c r="C2385" i="6"/>
  <c r="A2384" i="6"/>
  <c r="B2384" i="6"/>
  <c r="C2384" i="6"/>
  <c r="A2383" i="6"/>
  <c r="B2383" i="6"/>
  <c r="C2383" i="6"/>
  <c r="A2382" i="6"/>
  <c r="B2382" i="6"/>
  <c r="C2382" i="6"/>
  <c r="A2381" i="6"/>
  <c r="B2381" i="6"/>
  <c r="C2381" i="6"/>
  <c r="A2380" i="6"/>
  <c r="B2380" i="6"/>
  <c r="C2380" i="6"/>
  <c r="A2379" i="6"/>
  <c r="B2379" i="6"/>
  <c r="C2379" i="6"/>
  <c r="A2378" i="6"/>
  <c r="B2378" i="6"/>
  <c r="C2378" i="6"/>
  <c r="A2377" i="6"/>
  <c r="B2377" i="6"/>
  <c r="C2377" i="6"/>
  <c r="A2376" i="6"/>
  <c r="B2376" i="6"/>
  <c r="C2376" i="6"/>
  <c r="A2375" i="6"/>
  <c r="B2375" i="6"/>
  <c r="C2375" i="6"/>
  <c r="A2374" i="6"/>
  <c r="B2374" i="6"/>
  <c r="C2374" i="6"/>
  <c r="A2373" i="6"/>
  <c r="B2373" i="6"/>
  <c r="C2373" i="6"/>
  <c r="A2372" i="6"/>
  <c r="B2372" i="6"/>
  <c r="C2372" i="6"/>
  <c r="A2371" i="6"/>
  <c r="B2371" i="6"/>
  <c r="C2371" i="6"/>
  <c r="A2370" i="6"/>
  <c r="B2370" i="6"/>
  <c r="C2370" i="6"/>
  <c r="A2369" i="6"/>
  <c r="B2369" i="6"/>
  <c r="C2369" i="6"/>
  <c r="A2368" i="6"/>
  <c r="B2368" i="6"/>
  <c r="C2368" i="6"/>
  <c r="A2367" i="6"/>
  <c r="B2367" i="6"/>
  <c r="C2367" i="6"/>
  <c r="A2366" i="6"/>
  <c r="B2366" i="6"/>
  <c r="C2366" i="6"/>
  <c r="A2365" i="6"/>
  <c r="B2365" i="6"/>
  <c r="C2365" i="6"/>
  <c r="A2364" i="6"/>
  <c r="B2364" i="6"/>
  <c r="C2364" i="6"/>
  <c r="A2363" i="6"/>
  <c r="B2363" i="6"/>
  <c r="C2363" i="6"/>
  <c r="A2362" i="6"/>
  <c r="B2362" i="6"/>
  <c r="C2362" i="6"/>
  <c r="A2361" i="6"/>
  <c r="B2361" i="6"/>
  <c r="C2361" i="6"/>
  <c r="A2360" i="6"/>
  <c r="B2360" i="6"/>
  <c r="C2360" i="6"/>
  <c r="A2359" i="6"/>
  <c r="B2359" i="6"/>
  <c r="C2359" i="6"/>
  <c r="A2358" i="6"/>
  <c r="B2358" i="6"/>
  <c r="C2358" i="6"/>
  <c r="A2357" i="6"/>
  <c r="B2357" i="6"/>
  <c r="C2357" i="6"/>
  <c r="A2356" i="6"/>
  <c r="B2356" i="6"/>
  <c r="C2356" i="6"/>
  <c r="A2355" i="6"/>
  <c r="B2355" i="6"/>
  <c r="C2355" i="6"/>
  <c r="A2354" i="6"/>
  <c r="B2354" i="6"/>
  <c r="C2354" i="6"/>
  <c r="A2353" i="6"/>
  <c r="B2353" i="6"/>
  <c r="C2353" i="6"/>
  <c r="A2352" i="6"/>
  <c r="B2352" i="6"/>
  <c r="C2352" i="6"/>
  <c r="A2351" i="6"/>
  <c r="B2351" i="6"/>
  <c r="C2351" i="6"/>
  <c r="A2350" i="6"/>
  <c r="B2350" i="6"/>
  <c r="C2350" i="6"/>
  <c r="A2349" i="6"/>
  <c r="B2349" i="6"/>
  <c r="C2349" i="6"/>
  <c r="A2348" i="6"/>
  <c r="B2348" i="6"/>
  <c r="C2348" i="6"/>
  <c r="A2347" i="6"/>
  <c r="B2347" i="6"/>
  <c r="C2347" i="6"/>
  <c r="A2346" i="6"/>
  <c r="B2346" i="6"/>
  <c r="C2346" i="6"/>
  <c r="A2345" i="6"/>
  <c r="B2345" i="6"/>
  <c r="C2345" i="6"/>
  <c r="A2344" i="6"/>
  <c r="B2344" i="6"/>
  <c r="C2344" i="6"/>
  <c r="A2343" i="6"/>
  <c r="B2343" i="6"/>
  <c r="C2343" i="6"/>
  <c r="A2342" i="6"/>
  <c r="B2342" i="6"/>
  <c r="C2342" i="6"/>
  <c r="A2341" i="6"/>
  <c r="B2341" i="6"/>
  <c r="C2341" i="6"/>
  <c r="A2340" i="6"/>
  <c r="B2340" i="6"/>
  <c r="C2340" i="6"/>
  <c r="A2339" i="6"/>
  <c r="B2339" i="6"/>
  <c r="C2339" i="6"/>
  <c r="A2338" i="6"/>
  <c r="B2338" i="6"/>
  <c r="C2338" i="6"/>
  <c r="A2337" i="6"/>
  <c r="B2337" i="6"/>
  <c r="C2337" i="6"/>
  <c r="A2336" i="6"/>
  <c r="B2336" i="6"/>
  <c r="C2336" i="6"/>
  <c r="A2335" i="6"/>
  <c r="B2335" i="6"/>
  <c r="C2335" i="6"/>
  <c r="A2334" i="6"/>
  <c r="B2334" i="6"/>
  <c r="C2334" i="6"/>
  <c r="A2333" i="6"/>
  <c r="B2333" i="6"/>
  <c r="C2333" i="6"/>
  <c r="A2332" i="6"/>
  <c r="B2332" i="6"/>
  <c r="C2332" i="6"/>
  <c r="A2331" i="6"/>
  <c r="B2331" i="6"/>
  <c r="C2331" i="6"/>
  <c r="A2330" i="6"/>
  <c r="B2330" i="6"/>
  <c r="C2330" i="6"/>
  <c r="A2329" i="6"/>
  <c r="B2329" i="6"/>
  <c r="C2329" i="6"/>
  <c r="A2328" i="6"/>
  <c r="B2328" i="6"/>
  <c r="C2328" i="6"/>
  <c r="A2327" i="6"/>
  <c r="B2327" i="6"/>
  <c r="C2327" i="6"/>
  <c r="A2326" i="6"/>
  <c r="B2326" i="6"/>
  <c r="C2326" i="6"/>
  <c r="A2325" i="6"/>
  <c r="B2325" i="6"/>
  <c r="C2325" i="6"/>
  <c r="A2324" i="6"/>
  <c r="B2324" i="6"/>
  <c r="C2324" i="6"/>
  <c r="A2323" i="6"/>
  <c r="B2323" i="6"/>
  <c r="C2323" i="6"/>
  <c r="A2322" i="6"/>
  <c r="B2322" i="6"/>
  <c r="C2322" i="6"/>
  <c r="A2321" i="6"/>
  <c r="B2321" i="6"/>
  <c r="C2321" i="6"/>
  <c r="A2320" i="6"/>
  <c r="B2320" i="6"/>
  <c r="C2320" i="6"/>
  <c r="A2319" i="6"/>
  <c r="B2319" i="6"/>
  <c r="C2319" i="6"/>
  <c r="A2318" i="6"/>
  <c r="B2318" i="6"/>
  <c r="C2318" i="6"/>
  <c r="A2317" i="6"/>
  <c r="B2317" i="6"/>
  <c r="C2317" i="6"/>
  <c r="A2316" i="6"/>
  <c r="B2316" i="6"/>
  <c r="C2316" i="6"/>
  <c r="A2315" i="6"/>
  <c r="B2315" i="6"/>
  <c r="C2315" i="6"/>
  <c r="A2314" i="6"/>
  <c r="B2314" i="6"/>
  <c r="C2314" i="6"/>
  <c r="A2313" i="6"/>
  <c r="B2313" i="6"/>
  <c r="C2313" i="6"/>
  <c r="A2312" i="6"/>
  <c r="B2312" i="6"/>
  <c r="C2312" i="6"/>
  <c r="A2311" i="6"/>
  <c r="B2311" i="6"/>
  <c r="C2311" i="6"/>
  <c r="A2310" i="6"/>
  <c r="B2310" i="6"/>
  <c r="C2310" i="6"/>
  <c r="A2309" i="6"/>
  <c r="B2309" i="6"/>
  <c r="C2309" i="6"/>
  <c r="A2308" i="6"/>
  <c r="B2308" i="6"/>
  <c r="C2308" i="6"/>
  <c r="A2307" i="6"/>
  <c r="B2307" i="6"/>
  <c r="C2307" i="6"/>
  <c r="A2306" i="6"/>
  <c r="B2306" i="6"/>
  <c r="C2306" i="6"/>
  <c r="A2305" i="6"/>
  <c r="B2305" i="6"/>
  <c r="C2305" i="6"/>
  <c r="A2304" i="6"/>
  <c r="B2304" i="6"/>
  <c r="C2304" i="6"/>
  <c r="A2303" i="6"/>
  <c r="B2303" i="6"/>
  <c r="C2303" i="6"/>
  <c r="A2302" i="6"/>
  <c r="B2302" i="6"/>
  <c r="C2302" i="6"/>
  <c r="A2301" i="6"/>
  <c r="B2301" i="6"/>
  <c r="C2301" i="6"/>
  <c r="A2300" i="6"/>
  <c r="B2300" i="6"/>
  <c r="C2300" i="6"/>
  <c r="A2299" i="6"/>
  <c r="B2299" i="6"/>
  <c r="C2299" i="6"/>
  <c r="A2298" i="6"/>
  <c r="B2298" i="6"/>
  <c r="C2298" i="6"/>
  <c r="A2297" i="6"/>
  <c r="B2297" i="6"/>
  <c r="C2297" i="6"/>
  <c r="A2296" i="6"/>
  <c r="B2296" i="6"/>
  <c r="C2296" i="6"/>
  <c r="A2295" i="6"/>
  <c r="B2295" i="6"/>
  <c r="C2295" i="6"/>
  <c r="A2294" i="6"/>
  <c r="B2294" i="6"/>
  <c r="C2294" i="6"/>
  <c r="A2293" i="6"/>
  <c r="B2293" i="6"/>
  <c r="C2293" i="6"/>
  <c r="A2292" i="6"/>
  <c r="B2292" i="6"/>
  <c r="C2292" i="6"/>
  <c r="A2291" i="6"/>
  <c r="B2291" i="6"/>
  <c r="C2291" i="6"/>
  <c r="A2290" i="6"/>
  <c r="B2290" i="6"/>
  <c r="C2290" i="6"/>
  <c r="A2289" i="6"/>
  <c r="B2289" i="6"/>
  <c r="C2289" i="6"/>
  <c r="A2288" i="6"/>
  <c r="B2288" i="6"/>
  <c r="C2288" i="6"/>
  <c r="A2287" i="6"/>
  <c r="B2287" i="6"/>
  <c r="C2287" i="6"/>
  <c r="A2286" i="6"/>
  <c r="B2286" i="6"/>
  <c r="C2286" i="6"/>
  <c r="A2285" i="6"/>
  <c r="B2285" i="6"/>
  <c r="C2285" i="6"/>
  <c r="A2284" i="6"/>
  <c r="B2284" i="6"/>
  <c r="C2284" i="6"/>
  <c r="A2283" i="6"/>
  <c r="B2283" i="6"/>
  <c r="C2283" i="6"/>
  <c r="A2282" i="6"/>
  <c r="B2282" i="6"/>
  <c r="C2282" i="6"/>
  <c r="A2281" i="6"/>
  <c r="B2281" i="6"/>
  <c r="C2281" i="6"/>
  <c r="A2280" i="6"/>
  <c r="B2280" i="6"/>
  <c r="C2280" i="6"/>
  <c r="A2279" i="6"/>
  <c r="B2279" i="6"/>
  <c r="C2279" i="6"/>
  <c r="A2278" i="6"/>
  <c r="B2278" i="6"/>
  <c r="C2278" i="6"/>
  <c r="A2277" i="6"/>
  <c r="B2277" i="6"/>
  <c r="C2277" i="6"/>
  <c r="A2276" i="6"/>
  <c r="B2276" i="6"/>
  <c r="C2276" i="6"/>
  <c r="A2275" i="6"/>
  <c r="B2275" i="6"/>
  <c r="C2275" i="6"/>
  <c r="A2274" i="6"/>
  <c r="B2274" i="6"/>
  <c r="C2274" i="6"/>
  <c r="A2273" i="6"/>
  <c r="B2273" i="6"/>
  <c r="C2273" i="6"/>
  <c r="A2272" i="6"/>
  <c r="B2272" i="6"/>
  <c r="C2272" i="6"/>
  <c r="A2271" i="6"/>
  <c r="B2271" i="6"/>
  <c r="C2271" i="6"/>
  <c r="A2270" i="6"/>
  <c r="B2270" i="6"/>
  <c r="C2270" i="6"/>
  <c r="A2269" i="6"/>
  <c r="B2269" i="6"/>
  <c r="C2269" i="6"/>
  <c r="A2268" i="6"/>
  <c r="B2268" i="6"/>
  <c r="C2268" i="6"/>
  <c r="A2267" i="6"/>
  <c r="B2267" i="6"/>
  <c r="C2267" i="6"/>
  <c r="A2266" i="6"/>
  <c r="B2266" i="6"/>
  <c r="C2266" i="6"/>
  <c r="A2265" i="6"/>
  <c r="B2265" i="6"/>
  <c r="C2265" i="6"/>
  <c r="A2264" i="6"/>
  <c r="B2264" i="6"/>
  <c r="C2264" i="6"/>
  <c r="A2263" i="6"/>
  <c r="B2263" i="6"/>
  <c r="C2263" i="6"/>
  <c r="A2262" i="6"/>
  <c r="B2262" i="6"/>
  <c r="C2262" i="6"/>
  <c r="A2261" i="6"/>
  <c r="B2261" i="6"/>
  <c r="C2261" i="6"/>
  <c r="A2260" i="6"/>
  <c r="B2260" i="6"/>
  <c r="C2260" i="6"/>
  <c r="A2259" i="6"/>
  <c r="B2259" i="6"/>
  <c r="C2259" i="6"/>
  <c r="A2258" i="6"/>
  <c r="B2258" i="6"/>
  <c r="C2258" i="6"/>
  <c r="A2257" i="6"/>
  <c r="B2257" i="6"/>
  <c r="C2257" i="6"/>
  <c r="A2256" i="6"/>
  <c r="B2256" i="6"/>
  <c r="C2256" i="6"/>
  <c r="A2255" i="6"/>
  <c r="B2255" i="6"/>
  <c r="C2255" i="6"/>
  <c r="A2254" i="6"/>
  <c r="B2254" i="6"/>
  <c r="C2254" i="6"/>
  <c r="A2253" i="6"/>
  <c r="B2253" i="6"/>
  <c r="C2253" i="6"/>
  <c r="A2252" i="6"/>
  <c r="B2252" i="6"/>
  <c r="C2252" i="6"/>
  <c r="A2251" i="6"/>
  <c r="B2251" i="6"/>
  <c r="C2251" i="6"/>
  <c r="A2250" i="6"/>
  <c r="B2250" i="6"/>
  <c r="C2250" i="6"/>
  <c r="A2249" i="6"/>
  <c r="B2249" i="6"/>
  <c r="C2249" i="6"/>
  <c r="A2248" i="6"/>
  <c r="B2248" i="6"/>
  <c r="C2248" i="6"/>
  <c r="A2247" i="6"/>
  <c r="B2247" i="6"/>
  <c r="C2247" i="6"/>
  <c r="A2246" i="6"/>
  <c r="B2246" i="6"/>
  <c r="C2246" i="6"/>
  <c r="A2245" i="6"/>
  <c r="B2245" i="6"/>
  <c r="C2245" i="6"/>
  <c r="A2244" i="6"/>
  <c r="B2244" i="6"/>
  <c r="C2244" i="6"/>
  <c r="A2243" i="6"/>
  <c r="B2243" i="6"/>
  <c r="C2243" i="6"/>
  <c r="A2242" i="6"/>
  <c r="B2242" i="6"/>
  <c r="C2242" i="6"/>
  <c r="A2241" i="6"/>
  <c r="B2241" i="6"/>
  <c r="C2241" i="6"/>
  <c r="A2240" i="6"/>
  <c r="B2240" i="6"/>
  <c r="C2240" i="6"/>
  <c r="A2239" i="6"/>
  <c r="B2239" i="6"/>
  <c r="C2239" i="6"/>
  <c r="A2238" i="6"/>
  <c r="B2238" i="6"/>
  <c r="C2238" i="6"/>
  <c r="A2237" i="6"/>
  <c r="B2237" i="6"/>
  <c r="C2237" i="6"/>
  <c r="A2236" i="6"/>
  <c r="B2236" i="6"/>
  <c r="C2236" i="6"/>
  <c r="A2235" i="6"/>
  <c r="B2235" i="6"/>
  <c r="C2235" i="6"/>
  <c r="A2234" i="6"/>
  <c r="B2234" i="6"/>
  <c r="C2234" i="6"/>
  <c r="A2233" i="6"/>
  <c r="B2233" i="6"/>
  <c r="C2233" i="6"/>
  <c r="A2232" i="6"/>
  <c r="B2232" i="6"/>
  <c r="C2232" i="6"/>
  <c r="A2231" i="6"/>
  <c r="B2231" i="6"/>
  <c r="C2231" i="6"/>
  <c r="A2230" i="6"/>
  <c r="B2230" i="6"/>
  <c r="C2230" i="6"/>
  <c r="A2229" i="6"/>
  <c r="B2229" i="6"/>
  <c r="C2229" i="6"/>
  <c r="A2228" i="6"/>
  <c r="B2228" i="6"/>
  <c r="C2228" i="6"/>
  <c r="A2227" i="6"/>
  <c r="B2227" i="6"/>
  <c r="C2227" i="6"/>
  <c r="A2226" i="6"/>
  <c r="B2226" i="6"/>
  <c r="C2226" i="6"/>
  <c r="A2225" i="6"/>
  <c r="B2225" i="6"/>
  <c r="C2225" i="6"/>
  <c r="A2224" i="6"/>
  <c r="B2224" i="6"/>
  <c r="C2224" i="6"/>
  <c r="A2223" i="6"/>
  <c r="B2223" i="6"/>
  <c r="C2223" i="6"/>
  <c r="A2222" i="6"/>
  <c r="B2222" i="6"/>
  <c r="C2222" i="6"/>
  <c r="A2221" i="6"/>
  <c r="B2221" i="6"/>
  <c r="C2221" i="6"/>
  <c r="A2220" i="6"/>
  <c r="B2220" i="6"/>
  <c r="C2220" i="6"/>
  <c r="A2219" i="6"/>
  <c r="B2219" i="6"/>
  <c r="C2219" i="6"/>
  <c r="A2218" i="6"/>
  <c r="B2218" i="6"/>
  <c r="C2218" i="6"/>
  <c r="A2217" i="6"/>
  <c r="B2217" i="6"/>
  <c r="C2217" i="6"/>
  <c r="A2216" i="6"/>
  <c r="B2216" i="6"/>
  <c r="C2216" i="6"/>
  <c r="A2215" i="6"/>
  <c r="B2215" i="6"/>
  <c r="C2215" i="6"/>
  <c r="A2214" i="6"/>
  <c r="B2214" i="6"/>
  <c r="C2214" i="6"/>
  <c r="A2213" i="6"/>
  <c r="B2213" i="6"/>
  <c r="C2213" i="6"/>
  <c r="A2212" i="6"/>
  <c r="B2212" i="6"/>
  <c r="C2212" i="6"/>
  <c r="A2211" i="6"/>
  <c r="B2211" i="6"/>
  <c r="C2211" i="6"/>
  <c r="A2210" i="6"/>
  <c r="B2210" i="6"/>
  <c r="C2210" i="6"/>
  <c r="A2209" i="6"/>
  <c r="B2209" i="6"/>
  <c r="C2209" i="6"/>
  <c r="A2208" i="6"/>
  <c r="B2208" i="6"/>
  <c r="C2208" i="6"/>
  <c r="A2207" i="6"/>
  <c r="B2207" i="6"/>
  <c r="C2207" i="6"/>
  <c r="A2206" i="6"/>
  <c r="B2206" i="6"/>
  <c r="C2206" i="6"/>
  <c r="A2205" i="6"/>
  <c r="B2205" i="6"/>
  <c r="C2205" i="6"/>
  <c r="A2204" i="6"/>
  <c r="B2204" i="6"/>
  <c r="C2204" i="6"/>
  <c r="A2203" i="6"/>
  <c r="B2203" i="6"/>
  <c r="C2203" i="6"/>
  <c r="A2202" i="6"/>
  <c r="B2202" i="6"/>
  <c r="C2202" i="6"/>
  <c r="A2201" i="6"/>
  <c r="B2201" i="6"/>
  <c r="C2201" i="6"/>
  <c r="A2200" i="6"/>
  <c r="B2200" i="6"/>
  <c r="C2200" i="6"/>
  <c r="A2199" i="6"/>
  <c r="B2199" i="6"/>
  <c r="C2199" i="6"/>
  <c r="A2198" i="6"/>
  <c r="B2198" i="6"/>
  <c r="C2198" i="6"/>
  <c r="A2197" i="6"/>
  <c r="B2197" i="6"/>
  <c r="C2197" i="6"/>
  <c r="A2196" i="6"/>
  <c r="B2196" i="6"/>
  <c r="C2196" i="6"/>
  <c r="A2195" i="6"/>
  <c r="B2195" i="6"/>
  <c r="C2195" i="6"/>
  <c r="A2194" i="6"/>
  <c r="B2194" i="6"/>
  <c r="C2194" i="6"/>
  <c r="A2193" i="6"/>
  <c r="B2193" i="6"/>
  <c r="C2193" i="6"/>
  <c r="A2192" i="6"/>
  <c r="B2192" i="6"/>
  <c r="C2192" i="6"/>
  <c r="A2191" i="6"/>
  <c r="B2191" i="6"/>
  <c r="C2191" i="6"/>
  <c r="A2190" i="6"/>
  <c r="B2190" i="6"/>
  <c r="C2190" i="6"/>
  <c r="A2189" i="6"/>
  <c r="B2189" i="6"/>
  <c r="C2189" i="6"/>
  <c r="A2188" i="6"/>
  <c r="B2188" i="6"/>
  <c r="C2188" i="6"/>
  <c r="A2187" i="6"/>
  <c r="B2187" i="6"/>
  <c r="C2187" i="6"/>
  <c r="A2186" i="6"/>
  <c r="B2186" i="6"/>
  <c r="C2186" i="6"/>
  <c r="A2185" i="6"/>
  <c r="B2185" i="6"/>
  <c r="C2185" i="6"/>
  <c r="A2184" i="6"/>
  <c r="B2184" i="6"/>
  <c r="C2184" i="6"/>
  <c r="A2183" i="6"/>
  <c r="B2183" i="6"/>
  <c r="C2183" i="6"/>
  <c r="A2182" i="6"/>
  <c r="B2182" i="6"/>
  <c r="C2182" i="6"/>
  <c r="A2181" i="6"/>
  <c r="B2181" i="6"/>
  <c r="C2181" i="6"/>
  <c r="A2180" i="6"/>
  <c r="B2180" i="6"/>
  <c r="C2180" i="6"/>
  <c r="A2179" i="6"/>
  <c r="B2179" i="6"/>
  <c r="C2179" i="6"/>
  <c r="A2178" i="6"/>
  <c r="B2178" i="6"/>
  <c r="C2178" i="6"/>
  <c r="A2177" i="6"/>
  <c r="B2177" i="6"/>
  <c r="C2177" i="6"/>
  <c r="A2176" i="6"/>
  <c r="B2176" i="6"/>
  <c r="C2176" i="6"/>
  <c r="A2175" i="6"/>
  <c r="B2175" i="6"/>
  <c r="C2175" i="6"/>
  <c r="A2174" i="6"/>
  <c r="B2174" i="6"/>
  <c r="C2174" i="6"/>
  <c r="A2173" i="6"/>
  <c r="B2173" i="6"/>
  <c r="C2173" i="6"/>
  <c r="A2172" i="6"/>
  <c r="B2172" i="6"/>
  <c r="C2172" i="6"/>
  <c r="A2171" i="6"/>
  <c r="B2171" i="6"/>
  <c r="C2171" i="6"/>
  <c r="A2170" i="6"/>
  <c r="B2170" i="6"/>
  <c r="C2170" i="6"/>
  <c r="A2169" i="6"/>
  <c r="B2169" i="6"/>
  <c r="C2169" i="6"/>
  <c r="A2168" i="6"/>
  <c r="B2168" i="6"/>
  <c r="C2168" i="6"/>
  <c r="A2167" i="6"/>
  <c r="B2167" i="6"/>
  <c r="C2167" i="6"/>
  <c r="A2166" i="6"/>
  <c r="B2166" i="6"/>
  <c r="C2166" i="6"/>
  <c r="A2165" i="6"/>
  <c r="B2165" i="6"/>
  <c r="C2165" i="6"/>
  <c r="A2164" i="6"/>
  <c r="B2164" i="6"/>
  <c r="C2164" i="6"/>
  <c r="A2163" i="6"/>
  <c r="B2163" i="6"/>
  <c r="C2163" i="6"/>
  <c r="A2162" i="6"/>
  <c r="B2162" i="6"/>
  <c r="C2162" i="6"/>
  <c r="A2161" i="6"/>
  <c r="B2161" i="6"/>
  <c r="C2161" i="6"/>
  <c r="A2160" i="6"/>
  <c r="B2160" i="6"/>
  <c r="C2160" i="6"/>
  <c r="A2159" i="6"/>
  <c r="B2159" i="6"/>
  <c r="C2159" i="6"/>
  <c r="A2158" i="6"/>
  <c r="B2158" i="6"/>
  <c r="C2158" i="6"/>
  <c r="A2157" i="6"/>
  <c r="B2157" i="6"/>
  <c r="C2157" i="6"/>
  <c r="A2156" i="6"/>
  <c r="B2156" i="6"/>
  <c r="C2156" i="6"/>
  <c r="A2155" i="6"/>
  <c r="B2155" i="6"/>
  <c r="C2155" i="6"/>
  <c r="A2154" i="6"/>
  <c r="B2154" i="6"/>
  <c r="C2154" i="6"/>
  <c r="A2153" i="6"/>
  <c r="B2153" i="6"/>
  <c r="C2153" i="6"/>
  <c r="A2152" i="6"/>
  <c r="B2152" i="6"/>
  <c r="C2152" i="6"/>
  <c r="A2151" i="6"/>
  <c r="B2151" i="6"/>
  <c r="C2151" i="6"/>
  <c r="A2150" i="6"/>
  <c r="B2150" i="6"/>
  <c r="C2150" i="6"/>
  <c r="A2149" i="6"/>
  <c r="B2149" i="6"/>
  <c r="C2149" i="6"/>
  <c r="A2148" i="6"/>
  <c r="B2148" i="6"/>
  <c r="C2148" i="6"/>
  <c r="A2147" i="6"/>
  <c r="B2147" i="6"/>
  <c r="C2147" i="6"/>
  <c r="A2146" i="6"/>
  <c r="B2146" i="6"/>
  <c r="C2146" i="6"/>
  <c r="A2145" i="6"/>
  <c r="B2145" i="6"/>
  <c r="C2145" i="6"/>
  <c r="A2144" i="6"/>
  <c r="B2144" i="6"/>
  <c r="C2144" i="6"/>
  <c r="A2143" i="6"/>
  <c r="B2143" i="6"/>
  <c r="C2143" i="6"/>
  <c r="A2142" i="6"/>
  <c r="B2142" i="6"/>
  <c r="C2142" i="6"/>
  <c r="A2141" i="6"/>
  <c r="B2141" i="6"/>
  <c r="C2141" i="6"/>
  <c r="A2140" i="6"/>
  <c r="B2140" i="6"/>
  <c r="C2140" i="6"/>
  <c r="A2139" i="6"/>
  <c r="B2139" i="6"/>
  <c r="C2139" i="6"/>
  <c r="A2138" i="6"/>
  <c r="B2138" i="6"/>
  <c r="C2138" i="6"/>
  <c r="A2137" i="6"/>
  <c r="B2137" i="6"/>
  <c r="C2137" i="6"/>
  <c r="A2136" i="6"/>
  <c r="B2136" i="6"/>
  <c r="C2136" i="6"/>
  <c r="A2135" i="6"/>
  <c r="B2135" i="6"/>
  <c r="C2135" i="6"/>
  <c r="A2134" i="6"/>
  <c r="B2134" i="6"/>
  <c r="C2134" i="6"/>
  <c r="A2133" i="6"/>
  <c r="B2133" i="6"/>
  <c r="C2133" i="6"/>
  <c r="A2132" i="6"/>
  <c r="B2132" i="6"/>
  <c r="C2132" i="6"/>
  <c r="A2131" i="6"/>
  <c r="B2131" i="6"/>
  <c r="C2131" i="6"/>
  <c r="A2130" i="6"/>
  <c r="B2130" i="6"/>
  <c r="C2130" i="6"/>
  <c r="A2129" i="6"/>
  <c r="B2129" i="6"/>
  <c r="C2129" i="6"/>
  <c r="A2128" i="6"/>
  <c r="B2128" i="6"/>
  <c r="C2128" i="6"/>
  <c r="A2127" i="6"/>
  <c r="B2127" i="6"/>
  <c r="C2127" i="6"/>
  <c r="A2126" i="6"/>
  <c r="B2126" i="6"/>
  <c r="C2126" i="6"/>
  <c r="A2125" i="6"/>
  <c r="B2125" i="6"/>
  <c r="C2125" i="6"/>
  <c r="A2124" i="6"/>
  <c r="B2124" i="6"/>
  <c r="C2124" i="6"/>
  <c r="A2123" i="6"/>
  <c r="B2123" i="6"/>
  <c r="C2123" i="6"/>
  <c r="A2122" i="6"/>
  <c r="B2122" i="6"/>
  <c r="C2122" i="6"/>
  <c r="A2121" i="6"/>
  <c r="B2121" i="6"/>
  <c r="C2121" i="6"/>
  <c r="A2120" i="6"/>
  <c r="B2120" i="6"/>
  <c r="C2120" i="6"/>
  <c r="A2119" i="6"/>
  <c r="B2119" i="6"/>
  <c r="C2119" i="6"/>
  <c r="A2118" i="6"/>
  <c r="B2118" i="6"/>
  <c r="C2118" i="6"/>
  <c r="A2117" i="6"/>
  <c r="B2117" i="6"/>
  <c r="C2117" i="6"/>
  <c r="A2116" i="6"/>
  <c r="B2116" i="6"/>
  <c r="C2116" i="6"/>
  <c r="A2115" i="6"/>
  <c r="B2115" i="6"/>
  <c r="C2115" i="6"/>
  <c r="A2114" i="6"/>
  <c r="B2114" i="6"/>
  <c r="C2114" i="6"/>
  <c r="A2113" i="6"/>
  <c r="B2113" i="6"/>
  <c r="C2113" i="6"/>
  <c r="A2112" i="6"/>
  <c r="B2112" i="6"/>
  <c r="C2112" i="6"/>
  <c r="A2111" i="6"/>
  <c r="B2111" i="6"/>
  <c r="C2111" i="6"/>
  <c r="A2110" i="6"/>
  <c r="B2110" i="6"/>
  <c r="C2110" i="6"/>
  <c r="A2109" i="6"/>
  <c r="B2109" i="6"/>
  <c r="C2109" i="6"/>
  <c r="A2108" i="6"/>
  <c r="B2108" i="6"/>
  <c r="C2108" i="6"/>
  <c r="A2107" i="6"/>
  <c r="B2107" i="6"/>
  <c r="C2107" i="6"/>
  <c r="A2106" i="6"/>
  <c r="B2106" i="6"/>
  <c r="C2106" i="6"/>
  <c r="A2105" i="6"/>
  <c r="B2105" i="6"/>
  <c r="C2105" i="6"/>
  <c r="A2104" i="6"/>
  <c r="B2104" i="6"/>
  <c r="C2104" i="6"/>
  <c r="A2103" i="6"/>
  <c r="B2103" i="6"/>
  <c r="C2103" i="6"/>
  <c r="A2102" i="6"/>
  <c r="B2102" i="6"/>
  <c r="C2102" i="6"/>
  <c r="A2101" i="6"/>
  <c r="B2101" i="6"/>
  <c r="C2101" i="6"/>
  <c r="A2100" i="6"/>
  <c r="B2100" i="6"/>
  <c r="C2100" i="6"/>
  <c r="A2099" i="6"/>
  <c r="B2099" i="6"/>
  <c r="C2099" i="6"/>
  <c r="A2098" i="6"/>
  <c r="B2098" i="6"/>
  <c r="C2098" i="6"/>
  <c r="A2097" i="6"/>
  <c r="B2097" i="6"/>
  <c r="C2097" i="6"/>
  <c r="A2096" i="6"/>
  <c r="B2096" i="6"/>
  <c r="C2096" i="6"/>
  <c r="A2095" i="6"/>
  <c r="B2095" i="6"/>
  <c r="C2095" i="6"/>
  <c r="A2094" i="6"/>
  <c r="B2094" i="6"/>
  <c r="C2094" i="6"/>
  <c r="A2093" i="6"/>
  <c r="B2093" i="6"/>
  <c r="C2093" i="6"/>
  <c r="A2092" i="6"/>
  <c r="B2092" i="6"/>
  <c r="C2092" i="6"/>
  <c r="A2091" i="6"/>
  <c r="B2091" i="6"/>
  <c r="C2091" i="6"/>
  <c r="A2090" i="6"/>
  <c r="B2090" i="6"/>
  <c r="C2090" i="6"/>
  <c r="A2089" i="6"/>
  <c r="B2089" i="6"/>
  <c r="C2089" i="6"/>
  <c r="A2088" i="6"/>
  <c r="B2088" i="6"/>
  <c r="C2088" i="6"/>
  <c r="A2087" i="6"/>
  <c r="B2087" i="6"/>
  <c r="C2087" i="6"/>
  <c r="A2086" i="6"/>
  <c r="B2086" i="6"/>
  <c r="C2086" i="6"/>
  <c r="A2085" i="6"/>
  <c r="B2085" i="6"/>
  <c r="C2085" i="6"/>
  <c r="A2084" i="6"/>
  <c r="B2084" i="6"/>
  <c r="C2084" i="6"/>
  <c r="A2083" i="6"/>
  <c r="B2083" i="6"/>
  <c r="C2083" i="6"/>
  <c r="A2082" i="6"/>
  <c r="B2082" i="6"/>
  <c r="C2082" i="6"/>
  <c r="A2081" i="6"/>
  <c r="B2081" i="6"/>
  <c r="C2081" i="6"/>
  <c r="A2080" i="6"/>
  <c r="B2080" i="6"/>
  <c r="C2080" i="6"/>
  <c r="A2079" i="6"/>
  <c r="B2079" i="6"/>
  <c r="C2079" i="6"/>
  <c r="A2078" i="6"/>
  <c r="B2078" i="6"/>
  <c r="C2078" i="6"/>
  <c r="A2077" i="6"/>
  <c r="B2077" i="6"/>
  <c r="C2077" i="6"/>
  <c r="A2076" i="6"/>
  <c r="B2076" i="6"/>
  <c r="C2076" i="6"/>
  <c r="A2075" i="6"/>
  <c r="B2075" i="6"/>
  <c r="C2075" i="6"/>
  <c r="A2074" i="6"/>
  <c r="B2074" i="6"/>
  <c r="C2074" i="6"/>
  <c r="A2073" i="6"/>
  <c r="B2073" i="6"/>
  <c r="C2073" i="6"/>
  <c r="A2072" i="6"/>
  <c r="B2072" i="6"/>
  <c r="C2072" i="6"/>
  <c r="A2071" i="6"/>
  <c r="B2071" i="6"/>
  <c r="C2071" i="6"/>
  <c r="A2070" i="6"/>
  <c r="B2070" i="6"/>
  <c r="C2070" i="6"/>
  <c r="A2069" i="6"/>
  <c r="B2069" i="6"/>
  <c r="C2069" i="6"/>
  <c r="A2068" i="6"/>
  <c r="B2068" i="6"/>
  <c r="C2068" i="6"/>
  <c r="A2067" i="6"/>
  <c r="B2067" i="6"/>
  <c r="C2067" i="6"/>
  <c r="A2066" i="6"/>
  <c r="B2066" i="6"/>
  <c r="C2066" i="6"/>
  <c r="A2065" i="6"/>
  <c r="B2065" i="6"/>
  <c r="C2065" i="6"/>
  <c r="A2064" i="6"/>
  <c r="B2064" i="6"/>
  <c r="C2064" i="6"/>
  <c r="A2063" i="6"/>
  <c r="B2063" i="6"/>
  <c r="C2063" i="6"/>
  <c r="A2062" i="6"/>
  <c r="B2062" i="6"/>
  <c r="C2062" i="6"/>
  <c r="A2061" i="6"/>
  <c r="B2061" i="6"/>
  <c r="C2061" i="6"/>
  <c r="A2060" i="6"/>
  <c r="B2060" i="6"/>
  <c r="C2060" i="6"/>
  <c r="A2059" i="6"/>
  <c r="B2059" i="6"/>
  <c r="C2059" i="6"/>
  <c r="A2058" i="6"/>
  <c r="B2058" i="6"/>
  <c r="C2058" i="6"/>
  <c r="A2057" i="6"/>
  <c r="B2057" i="6"/>
  <c r="C2057" i="6"/>
  <c r="A2056" i="6"/>
  <c r="B2056" i="6"/>
  <c r="C2056" i="6"/>
  <c r="A2055" i="6"/>
  <c r="B2055" i="6"/>
  <c r="C2055" i="6"/>
  <c r="A2054" i="6"/>
  <c r="B2054" i="6"/>
  <c r="C2054" i="6"/>
  <c r="A2053" i="6"/>
  <c r="B2053" i="6"/>
  <c r="C2053" i="6"/>
  <c r="A2052" i="6"/>
  <c r="B2052" i="6"/>
  <c r="C2052" i="6"/>
  <c r="A2051" i="6"/>
  <c r="B2051" i="6"/>
  <c r="C2051" i="6"/>
  <c r="A2050" i="6"/>
  <c r="B2050" i="6"/>
  <c r="C2050" i="6"/>
  <c r="A2049" i="6"/>
  <c r="B2049" i="6"/>
  <c r="C2049" i="6"/>
  <c r="A2048" i="6"/>
  <c r="B2048" i="6"/>
  <c r="C2048" i="6"/>
  <c r="A2047" i="6"/>
  <c r="B2047" i="6"/>
  <c r="C2047" i="6"/>
  <c r="A2046" i="6"/>
  <c r="B2046" i="6"/>
  <c r="C2046" i="6"/>
  <c r="A2045" i="6"/>
  <c r="B2045" i="6"/>
  <c r="C2045" i="6"/>
  <c r="A2044" i="6"/>
  <c r="B2044" i="6"/>
  <c r="C2044" i="6"/>
  <c r="A2043" i="6"/>
  <c r="B2043" i="6"/>
  <c r="C2043" i="6"/>
  <c r="A2042" i="6"/>
  <c r="B2042" i="6"/>
  <c r="C2042" i="6"/>
  <c r="A2041" i="6"/>
  <c r="B2041" i="6"/>
  <c r="C2041" i="6"/>
  <c r="A2040" i="6"/>
  <c r="B2040" i="6"/>
  <c r="C2040" i="6"/>
  <c r="A2039" i="6"/>
  <c r="B2039" i="6"/>
  <c r="C2039" i="6"/>
  <c r="A2038" i="6"/>
  <c r="B2038" i="6"/>
  <c r="C2038" i="6"/>
  <c r="A2037" i="6"/>
  <c r="B2037" i="6"/>
  <c r="C2037" i="6"/>
  <c r="A2036" i="6"/>
  <c r="B2036" i="6"/>
  <c r="C2036" i="6"/>
  <c r="A2035" i="6"/>
  <c r="B2035" i="6"/>
  <c r="C2035" i="6"/>
  <c r="A2034" i="6"/>
  <c r="B2034" i="6"/>
  <c r="C2034" i="6"/>
  <c r="A2033" i="6"/>
  <c r="B2033" i="6"/>
  <c r="C2033" i="6"/>
  <c r="A2032" i="6"/>
  <c r="B2032" i="6"/>
  <c r="C2032" i="6"/>
  <c r="A2031" i="6"/>
  <c r="B2031" i="6"/>
  <c r="C2031" i="6"/>
  <c r="A2030" i="6"/>
  <c r="B2030" i="6"/>
  <c r="C2030" i="6"/>
  <c r="A2029" i="6"/>
  <c r="B2029" i="6"/>
  <c r="C2029" i="6"/>
  <c r="A2028" i="6"/>
  <c r="B2028" i="6"/>
  <c r="C2028" i="6"/>
  <c r="A2027" i="6"/>
  <c r="B2027" i="6"/>
  <c r="C2027" i="6"/>
  <c r="A2026" i="6"/>
  <c r="B2026" i="6"/>
  <c r="C2026" i="6"/>
  <c r="A2025" i="6"/>
  <c r="B2025" i="6"/>
  <c r="C2025" i="6"/>
  <c r="A2024" i="6"/>
  <c r="B2024" i="6"/>
  <c r="C2024" i="6"/>
  <c r="A2023" i="6"/>
  <c r="B2023" i="6"/>
  <c r="C2023" i="6"/>
  <c r="A2022" i="6"/>
  <c r="B2022" i="6"/>
  <c r="C2022" i="6"/>
  <c r="A2021" i="6"/>
  <c r="B2021" i="6"/>
  <c r="C2021" i="6"/>
  <c r="A2020" i="6"/>
  <c r="B2020" i="6"/>
  <c r="C2020" i="6"/>
  <c r="A2019" i="6"/>
  <c r="B2019" i="6"/>
  <c r="C2019" i="6"/>
  <c r="A2018" i="6"/>
  <c r="B2018" i="6"/>
  <c r="C2018" i="6"/>
  <c r="A2017" i="6"/>
  <c r="B2017" i="6"/>
  <c r="C2017" i="6"/>
  <c r="A2016" i="6"/>
  <c r="B2016" i="6"/>
  <c r="C2016" i="6"/>
  <c r="A2015" i="6"/>
  <c r="B2015" i="6"/>
  <c r="C2015" i="6"/>
  <c r="A2014" i="6"/>
  <c r="B2014" i="6"/>
  <c r="C2014" i="6"/>
  <c r="A2013" i="6"/>
  <c r="B2013" i="6"/>
  <c r="C2013" i="6"/>
  <c r="A2012" i="6"/>
  <c r="B2012" i="6"/>
  <c r="C2012" i="6"/>
  <c r="A2011" i="6"/>
  <c r="B2011" i="6"/>
  <c r="C2011" i="6"/>
  <c r="A2010" i="6"/>
  <c r="B2010" i="6"/>
  <c r="C2010" i="6"/>
  <c r="A2009" i="6"/>
  <c r="B2009" i="6"/>
  <c r="C2009" i="6"/>
  <c r="A2008" i="6"/>
  <c r="B2008" i="6"/>
  <c r="C2008" i="6"/>
  <c r="A2007" i="6"/>
  <c r="B2007" i="6"/>
  <c r="C2007" i="6"/>
  <c r="A2006" i="6"/>
  <c r="B2006" i="6"/>
  <c r="C2006" i="6"/>
  <c r="A2005" i="6"/>
  <c r="B2005" i="6"/>
  <c r="C2005" i="6"/>
  <c r="A2004" i="6"/>
  <c r="B2004" i="6"/>
  <c r="C2004" i="6"/>
  <c r="A2003" i="6"/>
  <c r="B2003" i="6"/>
  <c r="C2003" i="6"/>
  <c r="A2002" i="6"/>
  <c r="B2002" i="6"/>
  <c r="C2002" i="6"/>
  <c r="A2001" i="6"/>
  <c r="B2001" i="6"/>
  <c r="C2001" i="6"/>
  <c r="A2000" i="6"/>
  <c r="B2000" i="6"/>
  <c r="C2000" i="6"/>
  <c r="A1999" i="6"/>
  <c r="B1999" i="6"/>
  <c r="C1999" i="6"/>
  <c r="A1998" i="6"/>
  <c r="B1998" i="6"/>
  <c r="C1998" i="6"/>
  <c r="A1997" i="6"/>
  <c r="B1997" i="6"/>
  <c r="C1997" i="6"/>
  <c r="A1996" i="6"/>
  <c r="B1996" i="6"/>
  <c r="C1996" i="6"/>
  <c r="A1995" i="6"/>
  <c r="B1995" i="6"/>
  <c r="C1995" i="6"/>
  <c r="A1994" i="6"/>
  <c r="B1994" i="6"/>
  <c r="C1994" i="6"/>
  <c r="A1993" i="6"/>
  <c r="B1993" i="6"/>
  <c r="C1993" i="6"/>
  <c r="A1992" i="6"/>
  <c r="B1992" i="6"/>
  <c r="C1992" i="6"/>
  <c r="A1991" i="6"/>
  <c r="B1991" i="6"/>
  <c r="C1991" i="6"/>
  <c r="A1990" i="6"/>
  <c r="B1990" i="6"/>
  <c r="C1990" i="6"/>
  <c r="A1989" i="6"/>
  <c r="B1989" i="6"/>
  <c r="C1989" i="6"/>
  <c r="A1988" i="6"/>
  <c r="B1988" i="6"/>
  <c r="C1988" i="6"/>
  <c r="A1987" i="6"/>
  <c r="B1987" i="6"/>
  <c r="C1987" i="6"/>
  <c r="A1986" i="6"/>
  <c r="B1986" i="6"/>
  <c r="C1986" i="6"/>
  <c r="A1985" i="6"/>
  <c r="B1985" i="6"/>
  <c r="C1985" i="6"/>
  <c r="A1984" i="6"/>
  <c r="B1984" i="6"/>
  <c r="C1984" i="6"/>
  <c r="A1983" i="6"/>
  <c r="B1983" i="6"/>
  <c r="C1983" i="6"/>
  <c r="A1982" i="6"/>
  <c r="B1982" i="6"/>
  <c r="C1982" i="6"/>
  <c r="A1981" i="6"/>
  <c r="B1981" i="6"/>
  <c r="C1981" i="6"/>
  <c r="A1980" i="6"/>
  <c r="B1980" i="6"/>
  <c r="C1980" i="6"/>
  <c r="A1979" i="6"/>
  <c r="B1979" i="6"/>
  <c r="C1979" i="6"/>
  <c r="A1978" i="6"/>
  <c r="B1978" i="6"/>
  <c r="C1978" i="6"/>
  <c r="A1977" i="6"/>
  <c r="B1977" i="6"/>
  <c r="C1977" i="6"/>
  <c r="A1976" i="6"/>
  <c r="B1976" i="6"/>
  <c r="C1976" i="6"/>
  <c r="A1975" i="6"/>
  <c r="B1975" i="6"/>
  <c r="C1975" i="6"/>
  <c r="A1974" i="6"/>
  <c r="B1974" i="6"/>
  <c r="C1974" i="6"/>
  <c r="A1973" i="6"/>
  <c r="B1973" i="6"/>
  <c r="C1973" i="6"/>
  <c r="A1972" i="6"/>
  <c r="B1972" i="6"/>
  <c r="C1972" i="6"/>
  <c r="A1971" i="6"/>
  <c r="B1971" i="6"/>
  <c r="C1971" i="6"/>
  <c r="A1970" i="6"/>
  <c r="B1970" i="6"/>
  <c r="C1970" i="6"/>
  <c r="A1969" i="6"/>
  <c r="B1969" i="6"/>
  <c r="C1969" i="6"/>
  <c r="A1968" i="6"/>
  <c r="B1968" i="6"/>
  <c r="C1968" i="6"/>
  <c r="A1967" i="6"/>
  <c r="B1967" i="6"/>
  <c r="C1967" i="6"/>
  <c r="A1966" i="6"/>
  <c r="B1966" i="6"/>
  <c r="C1966" i="6"/>
  <c r="A1965" i="6"/>
  <c r="B1965" i="6"/>
  <c r="C1965" i="6"/>
  <c r="A1964" i="6"/>
  <c r="B1964" i="6"/>
  <c r="C1964" i="6"/>
  <c r="A1963" i="6"/>
  <c r="B1963" i="6"/>
  <c r="C1963" i="6"/>
  <c r="A1962" i="6"/>
  <c r="B1962" i="6"/>
  <c r="C1962" i="6"/>
  <c r="A1961" i="6"/>
  <c r="B1961" i="6"/>
  <c r="C1961" i="6"/>
  <c r="A1960" i="6"/>
  <c r="B1960" i="6"/>
  <c r="C1960" i="6"/>
  <c r="A1959" i="6"/>
  <c r="B1959" i="6"/>
  <c r="C1959" i="6"/>
  <c r="A1958" i="6"/>
  <c r="B1958" i="6"/>
  <c r="C1958" i="6"/>
  <c r="A1957" i="6"/>
  <c r="B1957" i="6"/>
  <c r="C1957" i="6"/>
  <c r="A1956" i="6"/>
  <c r="B1956" i="6"/>
  <c r="C1956" i="6"/>
  <c r="A1955" i="6"/>
  <c r="B1955" i="6"/>
  <c r="C1955" i="6"/>
  <c r="A1954" i="6"/>
  <c r="B1954" i="6"/>
  <c r="C1954" i="6"/>
  <c r="A1953" i="6"/>
  <c r="B1953" i="6"/>
  <c r="C1953" i="6"/>
  <c r="A1952" i="6"/>
  <c r="B1952" i="6"/>
  <c r="C1952" i="6"/>
  <c r="A1951" i="6"/>
  <c r="B1951" i="6"/>
  <c r="C1951" i="6"/>
  <c r="A1950" i="6"/>
  <c r="B1950" i="6"/>
  <c r="C1950" i="6"/>
  <c r="A1949" i="6"/>
  <c r="B1949" i="6"/>
  <c r="C1949" i="6"/>
  <c r="A1948" i="6"/>
  <c r="B1948" i="6"/>
  <c r="C1948" i="6"/>
  <c r="A1947" i="6"/>
  <c r="B1947" i="6"/>
  <c r="C1947" i="6"/>
  <c r="A1946" i="6"/>
  <c r="B1946" i="6"/>
  <c r="C1946" i="6"/>
  <c r="A1945" i="6"/>
  <c r="B1945" i="6"/>
  <c r="C1945" i="6"/>
  <c r="A1944" i="6"/>
  <c r="B1944" i="6"/>
  <c r="C1944" i="6"/>
  <c r="A1943" i="6"/>
  <c r="B1943" i="6"/>
  <c r="C1943" i="6"/>
  <c r="A1942" i="6"/>
  <c r="B1942" i="6"/>
  <c r="C1942" i="6"/>
  <c r="A1941" i="6"/>
  <c r="B1941" i="6"/>
  <c r="C1941" i="6"/>
  <c r="A1940" i="6"/>
  <c r="B1940" i="6"/>
  <c r="C1940" i="6"/>
  <c r="A1939" i="6"/>
  <c r="B1939" i="6"/>
  <c r="C1939" i="6"/>
  <c r="A1938" i="6"/>
  <c r="B1938" i="6"/>
  <c r="C1938" i="6"/>
  <c r="A1937" i="6"/>
  <c r="B1937" i="6"/>
  <c r="C1937" i="6"/>
  <c r="A1936" i="6"/>
  <c r="B1936" i="6"/>
  <c r="C1936" i="6"/>
  <c r="A1935" i="6"/>
  <c r="B1935" i="6"/>
  <c r="C1935" i="6"/>
  <c r="A1934" i="6"/>
  <c r="B1934" i="6"/>
  <c r="C1934" i="6"/>
  <c r="A1933" i="6"/>
  <c r="B1933" i="6"/>
  <c r="C1933" i="6"/>
  <c r="A1932" i="6"/>
  <c r="B1932" i="6"/>
  <c r="C1932" i="6"/>
  <c r="A1931" i="6"/>
  <c r="B1931" i="6"/>
  <c r="C1931" i="6"/>
  <c r="A1930" i="6"/>
  <c r="B1930" i="6"/>
  <c r="C1930" i="6"/>
  <c r="A1929" i="6"/>
  <c r="B1929" i="6"/>
  <c r="C1929" i="6"/>
  <c r="A1928" i="6"/>
  <c r="B1928" i="6"/>
  <c r="C1928" i="6"/>
  <c r="A1927" i="6"/>
  <c r="B1927" i="6"/>
  <c r="C1927" i="6"/>
  <c r="A1926" i="6"/>
  <c r="B1926" i="6"/>
  <c r="C1926" i="6"/>
  <c r="A1925" i="6"/>
  <c r="B1925" i="6"/>
  <c r="C1925" i="6"/>
  <c r="A1924" i="6"/>
  <c r="B1924" i="6"/>
  <c r="C1924" i="6"/>
  <c r="A1923" i="6"/>
  <c r="B1923" i="6"/>
  <c r="C1923" i="6"/>
  <c r="A1922" i="6"/>
  <c r="B1922" i="6"/>
  <c r="C1922" i="6"/>
  <c r="A1921" i="6"/>
  <c r="B1921" i="6"/>
  <c r="C1921" i="6"/>
  <c r="A1920" i="6"/>
  <c r="B1920" i="6"/>
  <c r="C1920" i="6"/>
  <c r="A1919" i="6"/>
  <c r="B1919" i="6"/>
  <c r="C1919" i="6"/>
  <c r="A1918" i="6"/>
  <c r="B1918" i="6"/>
  <c r="C1918" i="6"/>
  <c r="A1917" i="6"/>
  <c r="B1917" i="6"/>
  <c r="C1917" i="6"/>
  <c r="A1916" i="6"/>
  <c r="B1916" i="6"/>
  <c r="C1916" i="6"/>
  <c r="A1915" i="6"/>
  <c r="B1915" i="6"/>
  <c r="C1915" i="6"/>
  <c r="A1914" i="6"/>
  <c r="B1914" i="6"/>
  <c r="C1914" i="6"/>
  <c r="A1913" i="6"/>
  <c r="B1913" i="6"/>
  <c r="C1913" i="6"/>
  <c r="A1912" i="6"/>
  <c r="B1912" i="6"/>
  <c r="C1912" i="6"/>
  <c r="A1911" i="6"/>
  <c r="B1911" i="6"/>
  <c r="C1911" i="6"/>
  <c r="A1910" i="6"/>
  <c r="B1910" i="6"/>
  <c r="C1910" i="6"/>
  <c r="A1909" i="6"/>
  <c r="B1909" i="6"/>
  <c r="C1909" i="6"/>
  <c r="A1908" i="6"/>
  <c r="B1908" i="6"/>
  <c r="C1908" i="6"/>
  <c r="A1907" i="6"/>
  <c r="B1907" i="6"/>
  <c r="C1907" i="6"/>
  <c r="A1906" i="6"/>
  <c r="B1906" i="6"/>
  <c r="C1906" i="6"/>
  <c r="A1905" i="6"/>
  <c r="B1905" i="6"/>
  <c r="C1905" i="6"/>
  <c r="A1904" i="6"/>
  <c r="B1904" i="6"/>
  <c r="C1904" i="6"/>
  <c r="A1903" i="6"/>
  <c r="B1903" i="6"/>
  <c r="C1903" i="6"/>
  <c r="A1902" i="6"/>
  <c r="B1902" i="6"/>
  <c r="C1902" i="6"/>
  <c r="A1901" i="6"/>
  <c r="B1901" i="6"/>
  <c r="C1901" i="6"/>
  <c r="A1900" i="6"/>
  <c r="B1900" i="6"/>
  <c r="C1900" i="6"/>
  <c r="A1899" i="6"/>
  <c r="B1899" i="6"/>
  <c r="C1899" i="6"/>
  <c r="A1898" i="6"/>
  <c r="B1898" i="6"/>
  <c r="C1898" i="6"/>
  <c r="A1897" i="6"/>
  <c r="B1897" i="6"/>
  <c r="C1897" i="6"/>
  <c r="A1896" i="6"/>
  <c r="B1896" i="6"/>
  <c r="C1896" i="6"/>
  <c r="A1895" i="6"/>
  <c r="B1895" i="6"/>
  <c r="C1895" i="6"/>
  <c r="A1894" i="6"/>
  <c r="B1894" i="6"/>
  <c r="C1894" i="6"/>
  <c r="A1893" i="6"/>
  <c r="B1893" i="6"/>
  <c r="C1893" i="6"/>
  <c r="A1892" i="6"/>
  <c r="B1892" i="6"/>
  <c r="C1892" i="6"/>
  <c r="A1891" i="6"/>
  <c r="B1891" i="6"/>
  <c r="C1891" i="6"/>
  <c r="A1890" i="6"/>
  <c r="B1890" i="6"/>
  <c r="C1890" i="6"/>
  <c r="A1889" i="6"/>
  <c r="B1889" i="6"/>
  <c r="C1889" i="6"/>
  <c r="A1888" i="6"/>
  <c r="B1888" i="6"/>
  <c r="C1888" i="6"/>
  <c r="A1887" i="6"/>
  <c r="B1887" i="6"/>
  <c r="C1887" i="6"/>
  <c r="A1886" i="6"/>
  <c r="B1886" i="6"/>
  <c r="C1886" i="6"/>
  <c r="A1885" i="6"/>
  <c r="B1885" i="6"/>
  <c r="C1885" i="6"/>
  <c r="A1884" i="6"/>
  <c r="B1884" i="6"/>
  <c r="C1884" i="6"/>
  <c r="A1883" i="6"/>
  <c r="B1883" i="6"/>
  <c r="C1883" i="6"/>
  <c r="A1882" i="6"/>
  <c r="B1882" i="6"/>
  <c r="C1882" i="6"/>
  <c r="A1881" i="6"/>
  <c r="B1881" i="6"/>
  <c r="C1881" i="6"/>
  <c r="A1880" i="6"/>
  <c r="B1880" i="6"/>
  <c r="C1880" i="6"/>
  <c r="A1879" i="6"/>
  <c r="B1879" i="6"/>
  <c r="C1879" i="6"/>
  <c r="A1878" i="6"/>
  <c r="B1878" i="6"/>
  <c r="C1878" i="6"/>
  <c r="A1877" i="6"/>
  <c r="B1877" i="6"/>
  <c r="C1877" i="6"/>
  <c r="A1876" i="6"/>
  <c r="B1876" i="6"/>
  <c r="C1876" i="6"/>
  <c r="A1875" i="6"/>
  <c r="B1875" i="6"/>
  <c r="C1875" i="6"/>
  <c r="A1874" i="6"/>
  <c r="B1874" i="6"/>
  <c r="C1874" i="6"/>
  <c r="A1873" i="6"/>
  <c r="B1873" i="6"/>
  <c r="C1873" i="6"/>
  <c r="A1872" i="6"/>
  <c r="B1872" i="6"/>
  <c r="C1872" i="6"/>
  <c r="A1871" i="6"/>
  <c r="B1871" i="6"/>
  <c r="C1871" i="6"/>
  <c r="A1870" i="6"/>
  <c r="B1870" i="6"/>
  <c r="C1870" i="6"/>
  <c r="A1869" i="6"/>
  <c r="B1869" i="6"/>
  <c r="C1869" i="6"/>
  <c r="A1868" i="6"/>
  <c r="B1868" i="6"/>
  <c r="C1868" i="6"/>
  <c r="A1867" i="6"/>
  <c r="B1867" i="6"/>
  <c r="C1867" i="6"/>
  <c r="A1866" i="6"/>
  <c r="B1866" i="6"/>
  <c r="C1866" i="6"/>
  <c r="A1865" i="6"/>
  <c r="B1865" i="6"/>
  <c r="C1865" i="6"/>
  <c r="A1864" i="6"/>
  <c r="B1864" i="6"/>
  <c r="C1864" i="6"/>
  <c r="A1863" i="6"/>
  <c r="B1863" i="6"/>
  <c r="C1863" i="6"/>
  <c r="A1862" i="6"/>
  <c r="B1862" i="6"/>
  <c r="C1862" i="6"/>
  <c r="A1861" i="6"/>
  <c r="B1861" i="6"/>
  <c r="C1861" i="6"/>
  <c r="A1860" i="6"/>
  <c r="B1860" i="6"/>
  <c r="C1860" i="6"/>
  <c r="A1859" i="6"/>
  <c r="B1859" i="6"/>
  <c r="C1859" i="6"/>
  <c r="A1858" i="6"/>
  <c r="B1858" i="6"/>
  <c r="C1858" i="6"/>
  <c r="A1857" i="6"/>
  <c r="B1857" i="6"/>
  <c r="C1857" i="6"/>
  <c r="A1856" i="6"/>
  <c r="B1856" i="6"/>
  <c r="C1856" i="6"/>
  <c r="A1855" i="6"/>
  <c r="B1855" i="6"/>
  <c r="C1855" i="6"/>
  <c r="A1854" i="6"/>
  <c r="B1854" i="6"/>
  <c r="C1854" i="6"/>
  <c r="A1853" i="6"/>
  <c r="B1853" i="6"/>
  <c r="C1853" i="6"/>
  <c r="A1852" i="6"/>
  <c r="B1852" i="6"/>
  <c r="C1852" i="6"/>
  <c r="A1851" i="6"/>
  <c r="B1851" i="6"/>
  <c r="C1851" i="6"/>
  <c r="A1850" i="6"/>
  <c r="B1850" i="6"/>
  <c r="C1850" i="6"/>
  <c r="A1849" i="6"/>
  <c r="B1849" i="6"/>
  <c r="C1849" i="6"/>
  <c r="A1848" i="6"/>
  <c r="B1848" i="6"/>
  <c r="C1848" i="6"/>
  <c r="A1847" i="6"/>
  <c r="B1847" i="6"/>
  <c r="C1847" i="6"/>
  <c r="A1846" i="6"/>
  <c r="B1846" i="6"/>
  <c r="C1846" i="6"/>
  <c r="A1845" i="6"/>
  <c r="B1845" i="6"/>
  <c r="C1845" i="6"/>
  <c r="A1844" i="6"/>
  <c r="B1844" i="6"/>
  <c r="C1844" i="6"/>
  <c r="A1843" i="6"/>
  <c r="B1843" i="6"/>
  <c r="C1843" i="6"/>
  <c r="A1842" i="6"/>
  <c r="B1842" i="6"/>
  <c r="C1842" i="6"/>
  <c r="A1841" i="6"/>
  <c r="B1841" i="6"/>
  <c r="C1841" i="6"/>
  <c r="A1840" i="6"/>
  <c r="B1840" i="6"/>
  <c r="C1840" i="6"/>
  <c r="A1839" i="6"/>
  <c r="B1839" i="6"/>
  <c r="C1839" i="6"/>
  <c r="A1838" i="6"/>
  <c r="B1838" i="6"/>
  <c r="C1838" i="6"/>
  <c r="A1837" i="6"/>
  <c r="B1837" i="6"/>
  <c r="C1837" i="6"/>
  <c r="A1836" i="6"/>
  <c r="B1836" i="6"/>
  <c r="C1836" i="6"/>
  <c r="A1835" i="6"/>
  <c r="B1835" i="6"/>
  <c r="C1835" i="6"/>
  <c r="A1834" i="6"/>
  <c r="B1834" i="6"/>
  <c r="C1834" i="6"/>
  <c r="A1833" i="6"/>
  <c r="B1833" i="6"/>
  <c r="C1833" i="6"/>
  <c r="A1832" i="6"/>
  <c r="B1832" i="6"/>
  <c r="C1832" i="6"/>
  <c r="A1831" i="6"/>
  <c r="B1831" i="6"/>
  <c r="C1831" i="6"/>
  <c r="A1830" i="6"/>
  <c r="B1830" i="6"/>
  <c r="C1830" i="6"/>
  <c r="A1829" i="6"/>
  <c r="B1829" i="6"/>
  <c r="C1829" i="6"/>
  <c r="A1828" i="6"/>
  <c r="B1828" i="6"/>
  <c r="C1828" i="6"/>
  <c r="A1827" i="6"/>
  <c r="B1827" i="6"/>
  <c r="C1827" i="6"/>
  <c r="A1826" i="6"/>
  <c r="B1826" i="6"/>
  <c r="C1826" i="6"/>
  <c r="A1825" i="6"/>
  <c r="B1825" i="6"/>
  <c r="C1825" i="6"/>
  <c r="A1824" i="6"/>
  <c r="B1824" i="6"/>
  <c r="C1824" i="6"/>
  <c r="A1823" i="6"/>
  <c r="B1823" i="6"/>
  <c r="C1823" i="6"/>
  <c r="A1822" i="6"/>
  <c r="B1822" i="6"/>
  <c r="C1822" i="6"/>
  <c r="A1821" i="6"/>
  <c r="B1821" i="6"/>
  <c r="C1821" i="6"/>
  <c r="A1820" i="6"/>
  <c r="B1820" i="6"/>
  <c r="C1820" i="6"/>
  <c r="A1819" i="6"/>
  <c r="B1819" i="6"/>
  <c r="C1819" i="6"/>
  <c r="A1818" i="6"/>
  <c r="B1818" i="6"/>
  <c r="C1818" i="6"/>
  <c r="A1817" i="6"/>
  <c r="B1817" i="6"/>
  <c r="C1817" i="6"/>
  <c r="A1816" i="6"/>
  <c r="B1816" i="6"/>
  <c r="C1816" i="6"/>
  <c r="A1815" i="6"/>
  <c r="B1815" i="6"/>
  <c r="C1815" i="6"/>
  <c r="A1814" i="6"/>
  <c r="B1814" i="6"/>
  <c r="C1814" i="6"/>
  <c r="A1813" i="6"/>
  <c r="B1813" i="6"/>
  <c r="C1813" i="6"/>
  <c r="A1812" i="6"/>
  <c r="B1812" i="6"/>
  <c r="C1812" i="6"/>
  <c r="A1811" i="6"/>
  <c r="B1811" i="6"/>
  <c r="C1811" i="6"/>
  <c r="A1810" i="6"/>
  <c r="B1810" i="6"/>
  <c r="C1810" i="6"/>
  <c r="A1809" i="6"/>
  <c r="B1809" i="6"/>
  <c r="C1809" i="6"/>
  <c r="A1808" i="6"/>
  <c r="B1808" i="6"/>
  <c r="C1808" i="6"/>
  <c r="A1807" i="6"/>
  <c r="B1807" i="6"/>
  <c r="C1807" i="6"/>
  <c r="A1806" i="6"/>
  <c r="B1806" i="6"/>
  <c r="C1806" i="6"/>
  <c r="A1805" i="6"/>
  <c r="B1805" i="6"/>
  <c r="C1805" i="6"/>
  <c r="A1804" i="6"/>
  <c r="B1804" i="6"/>
  <c r="C1804" i="6"/>
  <c r="A1803" i="6"/>
  <c r="B1803" i="6"/>
  <c r="C1803" i="6"/>
  <c r="A1802" i="6"/>
  <c r="B1802" i="6"/>
  <c r="C1802" i="6"/>
  <c r="A1801" i="6"/>
  <c r="B1801" i="6"/>
  <c r="C1801" i="6"/>
  <c r="A1800" i="6"/>
  <c r="B1800" i="6"/>
  <c r="C1800" i="6"/>
  <c r="A1799" i="6"/>
  <c r="B1799" i="6"/>
  <c r="C1799" i="6"/>
  <c r="A1798" i="6"/>
  <c r="B1798" i="6"/>
  <c r="C1798" i="6"/>
  <c r="A1797" i="6"/>
  <c r="B1797" i="6"/>
  <c r="C1797" i="6"/>
  <c r="A1796" i="6"/>
  <c r="B1796" i="6"/>
  <c r="C1796" i="6"/>
  <c r="A1795" i="6"/>
  <c r="B1795" i="6"/>
  <c r="C1795" i="6"/>
  <c r="A1794" i="6"/>
  <c r="B1794" i="6"/>
  <c r="C1794" i="6"/>
  <c r="A1793" i="6"/>
  <c r="B1793" i="6"/>
  <c r="C1793" i="6"/>
  <c r="A1792" i="6"/>
  <c r="B1792" i="6"/>
  <c r="C1792" i="6"/>
  <c r="A1791" i="6"/>
  <c r="B1791" i="6"/>
  <c r="C1791" i="6"/>
  <c r="A1790" i="6"/>
  <c r="B1790" i="6"/>
  <c r="C1790" i="6"/>
  <c r="A1789" i="6"/>
  <c r="B1789" i="6"/>
  <c r="C1789" i="6"/>
  <c r="A1788" i="6"/>
  <c r="B1788" i="6"/>
  <c r="C1788" i="6"/>
  <c r="A1787" i="6"/>
  <c r="B1787" i="6"/>
  <c r="C1787" i="6"/>
  <c r="A1786" i="6"/>
  <c r="B1786" i="6"/>
  <c r="C1786" i="6"/>
  <c r="A1785" i="6"/>
  <c r="B1785" i="6"/>
  <c r="C1785" i="6"/>
  <c r="A1784" i="6"/>
  <c r="B1784" i="6"/>
  <c r="C1784" i="6"/>
  <c r="A1783" i="6"/>
  <c r="B1783" i="6"/>
  <c r="C1783" i="6"/>
  <c r="A1782" i="6"/>
  <c r="B1782" i="6"/>
  <c r="C1782" i="6"/>
  <c r="A1781" i="6"/>
  <c r="B1781" i="6"/>
  <c r="C1781" i="6"/>
  <c r="A1780" i="6"/>
  <c r="B1780" i="6"/>
  <c r="C1780" i="6"/>
  <c r="A1779" i="6"/>
  <c r="B1779" i="6"/>
  <c r="C1779" i="6"/>
  <c r="A1778" i="6"/>
  <c r="B1778" i="6"/>
  <c r="C1778" i="6"/>
  <c r="A1777" i="6"/>
  <c r="B1777" i="6"/>
  <c r="C1777" i="6"/>
  <c r="A1776" i="6"/>
  <c r="B1776" i="6"/>
  <c r="C1776" i="6"/>
  <c r="A1775" i="6"/>
  <c r="B1775" i="6"/>
  <c r="C1775" i="6"/>
  <c r="A1774" i="6"/>
  <c r="B1774" i="6"/>
  <c r="C1774" i="6"/>
  <c r="A1773" i="6"/>
  <c r="B1773" i="6"/>
  <c r="C1773" i="6"/>
  <c r="A1772" i="6"/>
  <c r="B1772" i="6"/>
  <c r="C1772" i="6"/>
  <c r="A1771" i="6"/>
  <c r="B1771" i="6"/>
  <c r="C1771" i="6"/>
  <c r="A1770" i="6"/>
  <c r="B1770" i="6"/>
  <c r="C1770" i="6"/>
  <c r="A1769" i="6"/>
  <c r="B1769" i="6"/>
  <c r="C1769" i="6"/>
  <c r="A1768" i="6"/>
  <c r="B1768" i="6"/>
  <c r="C1768" i="6"/>
  <c r="A1767" i="6"/>
  <c r="B1767" i="6"/>
  <c r="C1767" i="6"/>
  <c r="A1766" i="6"/>
  <c r="B1766" i="6"/>
  <c r="C1766" i="6"/>
  <c r="A1765" i="6"/>
  <c r="B1765" i="6"/>
  <c r="C1765" i="6"/>
  <c r="A1764" i="6"/>
  <c r="B1764" i="6"/>
  <c r="C1764" i="6"/>
  <c r="A1763" i="6"/>
  <c r="B1763" i="6"/>
  <c r="C1763" i="6"/>
  <c r="A1762" i="6"/>
  <c r="B1762" i="6"/>
  <c r="C1762" i="6"/>
  <c r="A1761" i="6"/>
  <c r="B1761" i="6"/>
  <c r="C1761" i="6"/>
  <c r="A1760" i="6"/>
  <c r="B1760" i="6"/>
  <c r="C1760" i="6"/>
  <c r="A1759" i="6"/>
  <c r="B1759" i="6"/>
  <c r="C1759" i="6"/>
  <c r="A1758" i="6"/>
  <c r="B1758" i="6"/>
  <c r="C1758" i="6"/>
  <c r="A1757" i="6"/>
  <c r="B1757" i="6"/>
  <c r="C1757" i="6"/>
  <c r="A1756" i="6"/>
  <c r="B1756" i="6"/>
  <c r="C1756" i="6"/>
  <c r="A1755" i="6"/>
  <c r="B1755" i="6"/>
  <c r="C1755" i="6"/>
  <c r="A1754" i="6"/>
  <c r="B1754" i="6"/>
  <c r="C1754" i="6"/>
  <c r="A1753" i="6"/>
  <c r="B1753" i="6"/>
  <c r="C1753" i="6"/>
  <c r="A1752" i="6"/>
  <c r="B1752" i="6"/>
  <c r="C1752" i="6"/>
  <c r="A1751" i="6"/>
  <c r="B1751" i="6"/>
  <c r="C1751" i="6"/>
  <c r="A1750" i="6"/>
  <c r="B1750" i="6"/>
  <c r="C1750" i="6"/>
  <c r="A1749" i="6"/>
  <c r="B1749" i="6"/>
  <c r="C1749" i="6"/>
  <c r="A1748" i="6"/>
  <c r="B1748" i="6"/>
  <c r="C1748" i="6"/>
  <c r="A1747" i="6"/>
  <c r="B1747" i="6"/>
  <c r="C1747" i="6"/>
  <c r="A1746" i="6"/>
  <c r="B1746" i="6"/>
  <c r="C1746" i="6"/>
  <c r="A1745" i="6"/>
  <c r="B1745" i="6"/>
  <c r="C1745" i="6"/>
  <c r="A1744" i="6"/>
  <c r="B1744" i="6"/>
  <c r="C1744" i="6"/>
  <c r="A1743" i="6"/>
  <c r="B1743" i="6"/>
  <c r="C1743" i="6"/>
  <c r="A1742" i="6"/>
  <c r="B1742" i="6"/>
  <c r="C1742" i="6"/>
  <c r="A1741" i="6"/>
  <c r="B1741" i="6"/>
  <c r="C1741" i="6"/>
  <c r="A1740" i="6"/>
  <c r="B1740" i="6"/>
  <c r="C1740" i="6"/>
  <c r="A1739" i="6"/>
  <c r="B1739" i="6"/>
  <c r="C1739" i="6"/>
  <c r="A1738" i="6"/>
  <c r="B1738" i="6"/>
  <c r="C1738" i="6"/>
  <c r="A1737" i="6"/>
  <c r="B1737" i="6"/>
  <c r="C1737" i="6"/>
  <c r="A1736" i="6"/>
  <c r="B1736" i="6"/>
  <c r="C1736" i="6"/>
  <c r="A1735" i="6"/>
  <c r="B1735" i="6"/>
  <c r="C1735" i="6"/>
  <c r="A1734" i="6"/>
  <c r="B1734" i="6"/>
  <c r="C1734" i="6"/>
  <c r="A1733" i="6"/>
  <c r="B1733" i="6"/>
  <c r="C1733" i="6"/>
  <c r="A1732" i="6"/>
  <c r="B1732" i="6"/>
  <c r="C1732" i="6"/>
  <c r="A1731" i="6"/>
  <c r="B1731" i="6"/>
  <c r="C1731" i="6"/>
  <c r="A1730" i="6"/>
  <c r="B1730" i="6"/>
  <c r="C1730" i="6"/>
  <c r="A1729" i="6"/>
  <c r="B1729" i="6"/>
  <c r="C1729" i="6"/>
  <c r="A1728" i="6"/>
  <c r="B1728" i="6"/>
  <c r="C1728" i="6"/>
  <c r="A1727" i="6"/>
  <c r="B1727" i="6"/>
  <c r="C1727" i="6"/>
  <c r="A1726" i="6"/>
  <c r="B1726" i="6"/>
  <c r="C1726" i="6"/>
  <c r="A1725" i="6"/>
  <c r="B1725" i="6"/>
  <c r="C1725" i="6"/>
  <c r="A1724" i="6"/>
  <c r="B1724" i="6"/>
  <c r="C1724" i="6"/>
  <c r="A1723" i="6"/>
  <c r="B1723" i="6"/>
  <c r="C1723" i="6"/>
  <c r="A1722" i="6"/>
  <c r="B1722" i="6"/>
  <c r="C1722" i="6"/>
  <c r="A1721" i="6"/>
  <c r="B1721" i="6"/>
  <c r="C1721" i="6"/>
  <c r="A1720" i="6"/>
  <c r="B1720" i="6"/>
  <c r="C1720" i="6"/>
  <c r="A1719" i="6"/>
  <c r="B1719" i="6"/>
  <c r="C1719" i="6"/>
  <c r="A1718" i="6"/>
  <c r="B1718" i="6"/>
  <c r="C1718" i="6"/>
  <c r="A1717" i="6"/>
  <c r="B1717" i="6"/>
  <c r="C1717" i="6"/>
  <c r="A1716" i="6"/>
  <c r="B1716" i="6"/>
  <c r="C1716" i="6"/>
  <c r="A1715" i="6"/>
  <c r="B1715" i="6"/>
  <c r="C1715" i="6"/>
  <c r="A1714" i="6"/>
  <c r="B1714" i="6"/>
  <c r="C1714" i="6"/>
  <c r="A1713" i="6"/>
  <c r="B1713" i="6"/>
  <c r="C1713" i="6"/>
  <c r="A1712" i="6"/>
  <c r="B1712" i="6"/>
  <c r="C1712" i="6"/>
  <c r="A1711" i="6"/>
  <c r="B1711" i="6"/>
  <c r="C1711" i="6"/>
  <c r="A1710" i="6"/>
  <c r="B1710" i="6"/>
  <c r="C1710" i="6"/>
  <c r="A1709" i="6"/>
  <c r="B1709" i="6"/>
  <c r="C1709" i="6"/>
  <c r="A1708" i="6"/>
  <c r="B1708" i="6"/>
  <c r="C1708" i="6"/>
  <c r="A1707" i="6"/>
  <c r="B1707" i="6"/>
  <c r="C1707" i="6"/>
  <c r="A1706" i="6"/>
  <c r="B1706" i="6"/>
  <c r="C1706" i="6"/>
  <c r="A1705" i="6"/>
  <c r="B1705" i="6"/>
  <c r="C1705" i="6"/>
  <c r="A1704" i="6"/>
  <c r="B1704" i="6"/>
  <c r="C1704" i="6"/>
  <c r="A1703" i="6"/>
  <c r="B1703" i="6"/>
  <c r="C1703" i="6"/>
  <c r="A1702" i="6"/>
  <c r="B1702" i="6"/>
  <c r="C1702" i="6"/>
  <c r="A1701" i="6"/>
  <c r="B1701" i="6"/>
  <c r="C1701" i="6"/>
  <c r="A1700" i="6"/>
  <c r="B1700" i="6"/>
  <c r="C1700" i="6"/>
  <c r="A1699" i="6"/>
  <c r="B1699" i="6"/>
  <c r="C1699" i="6"/>
  <c r="A1698" i="6"/>
  <c r="B1698" i="6"/>
  <c r="C1698" i="6"/>
  <c r="A1697" i="6"/>
  <c r="B1697" i="6"/>
  <c r="C1697" i="6"/>
  <c r="A1696" i="6"/>
  <c r="B1696" i="6"/>
  <c r="C1696" i="6"/>
  <c r="A1695" i="6"/>
  <c r="B1695" i="6"/>
  <c r="C1695" i="6"/>
  <c r="A1694" i="6"/>
  <c r="B1694" i="6"/>
  <c r="C1694" i="6"/>
  <c r="A1693" i="6"/>
  <c r="B1693" i="6"/>
  <c r="C1693" i="6"/>
  <c r="A1692" i="6"/>
  <c r="B1692" i="6"/>
  <c r="C1692" i="6"/>
  <c r="A1691" i="6"/>
  <c r="B1691" i="6"/>
  <c r="C1691" i="6"/>
  <c r="A1690" i="6"/>
  <c r="B1690" i="6"/>
  <c r="C1690" i="6"/>
  <c r="A1689" i="6"/>
  <c r="B1689" i="6"/>
  <c r="C1689" i="6"/>
  <c r="A1688" i="6"/>
  <c r="B1688" i="6"/>
  <c r="C1688" i="6"/>
  <c r="A1687" i="6"/>
  <c r="B1687" i="6"/>
  <c r="C1687" i="6"/>
  <c r="A1686" i="6"/>
  <c r="B1686" i="6"/>
  <c r="C1686" i="6"/>
  <c r="A1685" i="6"/>
  <c r="B1685" i="6"/>
  <c r="C1685" i="6"/>
  <c r="A1684" i="6"/>
  <c r="B1684" i="6"/>
  <c r="C1684" i="6"/>
  <c r="A1683" i="6"/>
  <c r="B1683" i="6"/>
  <c r="C1683" i="6"/>
  <c r="A1682" i="6"/>
  <c r="B1682" i="6"/>
  <c r="C1682" i="6"/>
  <c r="A1681" i="6"/>
  <c r="B1681" i="6"/>
  <c r="C1681" i="6"/>
  <c r="A1680" i="6"/>
  <c r="B1680" i="6"/>
  <c r="C1680" i="6"/>
  <c r="A1679" i="6"/>
  <c r="B1679" i="6"/>
  <c r="C1679" i="6"/>
  <c r="A1678" i="6"/>
  <c r="B1678" i="6"/>
  <c r="C1678" i="6"/>
  <c r="A1677" i="6"/>
  <c r="B1677" i="6"/>
  <c r="C1677" i="6"/>
  <c r="A1676" i="6"/>
  <c r="B1676" i="6"/>
  <c r="C1676" i="6"/>
  <c r="A1675" i="6"/>
  <c r="B1675" i="6"/>
  <c r="C1675" i="6"/>
  <c r="A1674" i="6"/>
  <c r="B1674" i="6"/>
  <c r="C1674" i="6"/>
  <c r="A1673" i="6"/>
  <c r="B1673" i="6"/>
  <c r="C1673" i="6"/>
  <c r="A1672" i="6"/>
  <c r="B1672" i="6"/>
  <c r="C1672" i="6"/>
  <c r="A1671" i="6"/>
  <c r="B1671" i="6"/>
  <c r="C1671" i="6"/>
  <c r="A1670" i="6"/>
  <c r="B1670" i="6"/>
  <c r="C1670" i="6"/>
  <c r="A1669" i="6"/>
  <c r="B1669" i="6"/>
  <c r="C1669" i="6"/>
  <c r="A1668" i="6"/>
  <c r="B1668" i="6"/>
  <c r="C1668" i="6"/>
  <c r="A1667" i="6"/>
  <c r="B1667" i="6"/>
  <c r="C1667" i="6"/>
  <c r="A1666" i="6"/>
  <c r="B1666" i="6"/>
  <c r="C1666" i="6"/>
  <c r="A1665" i="6"/>
  <c r="B1665" i="6"/>
  <c r="C1665" i="6"/>
  <c r="A1664" i="6"/>
  <c r="B1664" i="6"/>
  <c r="C1664" i="6"/>
  <c r="A1663" i="6"/>
  <c r="B1663" i="6"/>
  <c r="C1663" i="6"/>
  <c r="A1662" i="6"/>
  <c r="B1662" i="6"/>
  <c r="C1662" i="6"/>
  <c r="A1661" i="6"/>
  <c r="B1661" i="6"/>
  <c r="C1661" i="6"/>
  <c r="A1660" i="6"/>
  <c r="B1660" i="6"/>
  <c r="C1660" i="6"/>
  <c r="A1659" i="6"/>
  <c r="B1659" i="6"/>
  <c r="C1659" i="6"/>
  <c r="A1658" i="6"/>
  <c r="B1658" i="6"/>
  <c r="C1658" i="6"/>
  <c r="A1657" i="6"/>
  <c r="B1657" i="6"/>
  <c r="C1657" i="6"/>
  <c r="A1656" i="6"/>
  <c r="B1656" i="6"/>
  <c r="C1656" i="6"/>
  <c r="A1655" i="6"/>
  <c r="B1655" i="6"/>
  <c r="C1655" i="6"/>
  <c r="A1654" i="6"/>
  <c r="B1654" i="6"/>
  <c r="C1654" i="6"/>
  <c r="A1653" i="6"/>
  <c r="B1653" i="6"/>
  <c r="C1653" i="6"/>
  <c r="A1652" i="6"/>
  <c r="B1652" i="6"/>
  <c r="C1652" i="6"/>
  <c r="A1651" i="6"/>
  <c r="B1651" i="6"/>
  <c r="C1651" i="6"/>
  <c r="A1650" i="6"/>
  <c r="B1650" i="6"/>
  <c r="C1650" i="6"/>
  <c r="A1649" i="6"/>
  <c r="B1649" i="6"/>
  <c r="C1649" i="6"/>
  <c r="A1648" i="6"/>
  <c r="B1648" i="6"/>
  <c r="C1648" i="6"/>
  <c r="A1647" i="6"/>
  <c r="B1647" i="6"/>
  <c r="C1647" i="6"/>
  <c r="A1646" i="6"/>
  <c r="B1646" i="6"/>
  <c r="C1646" i="6"/>
  <c r="A1645" i="6"/>
  <c r="B1645" i="6"/>
  <c r="C1645" i="6"/>
  <c r="A1644" i="6"/>
  <c r="B1644" i="6"/>
  <c r="C1644" i="6"/>
  <c r="A1643" i="6"/>
  <c r="B1643" i="6"/>
  <c r="C1643" i="6"/>
  <c r="A1642" i="6"/>
  <c r="B1642" i="6"/>
  <c r="C1642" i="6"/>
  <c r="A1641" i="6"/>
  <c r="B1641" i="6"/>
  <c r="C1641" i="6"/>
  <c r="A1640" i="6"/>
  <c r="B1640" i="6"/>
  <c r="C1640" i="6"/>
  <c r="A1639" i="6"/>
  <c r="B1639" i="6"/>
  <c r="C1639" i="6"/>
  <c r="A1638" i="6"/>
  <c r="B1638" i="6"/>
  <c r="C1638" i="6"/>
  <c r="A1637" i="6"/>
  <c r="B1637" i="6"/>
  <c r="C1637" i="6"/>
  <c r="A1636" i="6"/>
  <c r="B1636" i="6"/>
  <c r="C1636" i="6"/>
  <c r="A1635" i="6"/>
  <c r="B1635" i="6"/>
  <c r="C1635" i="6"/>
  <c r="A1634" i="6"/>
  <c r="B1634" i="6"/>
  <c r="C1634" i="6"/>
  <c r="A1633" i="6"/>
  <c r="B1633" i="6"/>
  <c r="C1633" i="6"/>
  <c r="A1632" i="6"/>
  <c r="B1632" i="6"/>
  <c r="C1632" i="6"/>
  <c r="A1631" i="6"/>
  <c r="B1631" i="6"/>
  <c r="C1631" i="6"/>
  <c r="A1630" i="6"/>
  <c r="B1630" i="6"/>
  <c r="C1630" i="6"/>
  <c r="A1629" i="6"/>
  <c r="B1629" i="6"/>
  <c r="C1629" i="6"/>
  <c r="A1628" i="6"/>
  <c r="B1628" i="6"/>
  <c r="C1628" i="6"/>
  <c r="A1627" i="6"/>
  <c r="B1627" i="6"/>
  <c r="C1627" i="6"/>
  <c r="A1626" i="6"/>
  <c r="B1626" i="6"/>
  <c r="C1626" i="6"/>
  <c r="A1625" i="6"/>
  <c r="B1625" i="6"/>
  <c r="C1625" i="6"/>
  <c r="A1624" i="6"/>
  <c r="B1624" i="6"/>
  <c r="C1624" i="6"/>
  <c r="A1623" i="6"/>
  <c r="B1623" i="6"/>
  <c r="C1623" i="6"/>
  <c r="A1622" i="6"/>
  <c r="B1622" i="6"/>
  <c r="C1622" i="6"/>
  <c r="A1621" i="6"/>
  <c r="B1621" i="6"/>
  <c r="C1621" i="6"/>
  <c r="A1620" i="6"/>
  <c r="B1620" i="6"/>
  <c r="C1620" i="6"/>
  <c r="A1619" i="6"/>
  <c r="B1619" i="6"/>
  <c r="C1619" i="6"/>
  <c r="A1618" i="6"/>
  <c r="B1618" i="6"/>
  <c r="C1618" i="6"/>
  <c r="A1617" i="6"/>
  <c r="B1617" i="6"/>
  <c r="C1617" i="6"/>
  <c r="A1616" i="6"/>
  <c r="B1616" i="6"/>
  <c r="C1616" i="6"/>
  <c r="A1615" i="6"/>
  <c r="B1615" i="6"/>
  <c r="C1615" i="6"/>
  <c r="A1614" i="6"/>
  <c r="B1614" i="6"/>
  <c r="C1614" i="6"/>
  <c r="A1613" i="6"/>
  <c r="B1613" i="6"/>
  <c r="C1613" i="6"/>
  <c r="A1612" i="6"/>
  <c r="B1612" i="6"/>
  <c r="C1612" i="6"/>
  <c r="A1611" i="6"/>
  <c r="B1611" i="6"/>
  <c r="C1611" i="6"/>
  <c r="A1610" i="6"/>
  <c r="B1610" i="6"/>
  <c r="C1610" i="6"/>
  <c r="A1609" i="6"/>
  <c r="B1609" i="6"/>
  <c r="C1609" i="6"/>
  <c r="A1608" i="6"/>
  <c r="B1608" i="6"/>
  <c r="C1608" i="6"/>
  <c r="A1607" i="6"/>
  <c r="B1607" i="6"/>
  <c r="C1607" i="6"/>
  <c r="A1606" i="6"/>
  <c r="B1606" i="6"/>
  <c r="C1606" i="6"/>
  <c r="A1605" i="6"/>
  <c r="B1605" i="6"/>
  <c r="C1605" i="6"/>
  <c r="A1604" i="6"/>
  <c r="B1604" i="6"/>
  <c r="C1604" i="6"/>
  <c r="A1603" i="6"/>
  <c r="B1603" i="6"/>
  <c r="C1603" i="6"/>
  <c r="A1602" i="6"/>
  <c r="B1602" i="6"/>
  <c r="C1602" i="6"/>
  <c r="A1601" i="6"/>
  <c r="B1601" i="6"/>
  <c r="C1601" i="6"/>
  <c r="A1600" i="6"/>
  <c r="B1600" i="6"/>
  <c r="C1600" i="6"/>
  <c r="A1599" i="6"/>
  <c r="B1599" i="6"/>
  <c r="C1599" i="6"/>
  <c r="A1598" i="6"/>
  <c r="B1598" i="6"/>
  <c r="C1598" i="6"/>
  <c r="A1597" i="6"/>
  <c r="B1597" i="6"/>
  <c r="C1597" i="6"/>
  <c r="A1596" i="6"/>
  <c r="B1596" i="6"/>
  <c r="C1596" i="6"/>
  <c r="A1595" i="6"/>
  <c r="B1595" i="6"/>
  <c r="C1595" i="6"/>
  <c r="A1594" i="6"/>
  <c r="B1594" i="6"/>
  <c r="C1594" i="6"/>
  <c r="A1593" i="6"/>
  <c r="B1593" i="6"/>
  <c r="C1593" i="6"/>
  <c r="A1592" i="6"/>
  <c r="B1592" i="6"/>
  <c r="C1592" i="6"/>
  <c r="A1591" i="6"/>
  <c r="B1591" i="6"/>
  <c r="C1591" i="6"/>
  <c r="A1590" i="6"/>
  <c r="B1590" i="6"/>
  <c r="C1590" i="6"/>
  <c r="A1589" i="6"/>
  <c r="B1589" i="6"/>
  <c r="C1589" i="6"/>
  <c r="A1588" i="6"/>
  <c r="B1588" i="6"/>
  <c r="C1588" i="6"/>
  <c r="A1587" i="6"/>
  <c r="B1587" i="6"/>
  <c r="C1587" i="6"/>
  <c r="A1586" i="6"/>
  <c r="B1586" i="6"/>
  <c r="C1586" i="6"/>
  <c r="A1585" i="6"/>
  <c r="B1585" i="6"/>
  <c r="C1585" i="6"/>
  <c r="A1584" i="6"/>
  <c r="B1584" i="6"/>
  <c r="C1584" i="6"/>
  <c r="A1583" i="6"/>
  <c r="B1583" i="6"/>
  <c r="C1583" i="6"/>
  <c r="A1582" i="6"/>
  <c r="B1582" i="6"/>
  <c r="C1582" i="6"/>
  <c r="A1581" i="6"/>
  <c r="B1581" i="6"/>
  <c r="C1581" i="6"/>
  <c r="A1580" i="6"/>
  <c r="B1580" i="6"/>
  <c r="C1580" i="6"/>
  <c r="A1579" i="6"/>
  <c r="B1579" i="6"/>
  <c r="C1579" i="6"/>
  <c r="A1578" i="6"/>
  <c r="B1578" i="6"/>
  <c r="C1578" i="6"/>
  <c r="A1577" i="6"/>
  <c r="B1577" i="6"/>
  <c r="C1577" i="6"/>
  <c r="A1576" i="6"/>
  <c r="B1576" i="6"/>
  <c r="C1576" i="6"/>
  <c r="A1575" i="6"/>
  <c r="B1575" i="6"/>
  <c r="C1575" i="6"/>
  <c r="A1574" i="6"/>
  <c r="B1574" i="6"/>
  <c r="C1574" i="6"/>
  <c r="A1573" i="6"/>
  <c r="B1573" i="6"/>
  <c r="C1573" i="6"/>
  <c r="A1572" i="6"/>
  <c r="B1572" i="6"/>
  <c r="C1572" i="6"/>
  <c r="A1571" i="6"/>
  <c r="B1571" i="6"/>
  <c r="C1571" i="6"/>
  <c r="A1570" i="6"/>
  <c r="B1570" i="6"/>
  <c r="C1570" i="6"/>
  <c r="A1569" i="6"/>
  <c r="B1569" i="6"/>
  <c r="C1569" i="6"/>
  <c r="A1568" i="6"/>
  <c r="B1568" i="6"/>
  <c r="C1568" i="6"/>
  <c r="A1567" i="6"/>
  <c r="B1567" i="6"/>
  <c r="C1567" i="6"/>
  <c r="A1566" i="6"/>
  <c r="B1566" i="6"/>
  <c r="C1566" i="6"/>
  <c r="A1565" i="6"/>
  <c r="B1565" i="6"/>
  <c r="C1565" i="6"/>
  <c r="A1564" i="6"/>
  <c r="B1564" i="6"/>
  <c r="C1564" i="6"/>
  <c r="A1563" i="6"/>
  <c r="B1563" i="6"/>
  <c r="C1563" i="6"/>
  <c r="A1562" i="6"/>
  <c r="B1562" i="6"/>
  <c r="C1562" i="6"/>
  <c r="A1561" i="6"/>
  <c r="B1561" i="6"/>
  <c r="C1561" i="6"/>
  <c r="A1560" i="6"/>
  <c r="B1560" i="6"/>
  <c r="C1560" i="6"/>
  <c r="A1559" i="6"/>
  <c r="B1559" i="6"/>
  <c r="C1559" i="6"/>
  <c r="A1558" i="6"/>
  <c r="B1558" i="6"/>
  <c r="C1558" i="6"/>
  <c r="A1557" i="6"/>
  <c r="B1557" i="6"/>
  <c r="C1557" i="6"/>
  <c r="A1556" i="6"/>
  <c r="B1556" i="6"/>
  <c r="C1556" i="6"/>
  <c r="A1555" i="6"/>
  <c r="B1555" i="6"/>
  <c r="C1555" i="6"/>
  <c r="A1554" i="6"/>
  <c r="B1554" i="6"/>
  <c r="C1554" i="6"/>
  <c r="A1553" i="6"/>
  <c r="B1553" i="6"/>
  <c r="C1553" i="6"/>
  <c r="A1552" i="6"/>
  <c r="B1552" i="6"/>
  <c r="C1552" i="6"/>
  <c r="A1551" i="6"/>
  <c r="B1551" i="6"/>
  <c r="C1551" i="6"/>
  <c r="A1550" i="6"/>
  <c r="B1550" i="6"/>
  <c r="C1550" i="6"/>
  <c r="A1549" i="6"/>
  <c r="B1549" i="6"/>
  <c r="C1549" i="6"/>
  <c r="A1548" i="6"/>
  <c r="B1548" i="6"/>
  <c r="C1548" i="6"/>
  <c r="A1547" i="6"/>
  <c r="B1547" i="6"/>
  <c r="C1547" i="6"/>
  <c r="A1546" i="6"/>
  <c r="B1546" i="6"/>
  <c r="C1546" i="6"/>
  <c r="A1545" i="6"/>
  <c r="B1545" i="6"/>
  <c r="C1545" i="6"/>
  <c r="A1544" i="6"/>
  <c r="B1544" i="6"/>
  <c r="C1544" i="6"/>
  <c r="A1543" i="6"/>
  <c r="B1543" i="6"/>
  <c r="C1543" i="6"/>
  <c r="A1542" i="6"/>
  <c r="B1542" i="6"/>
  <c r="C1542" i="6"/>
  <c r="A1541" i="6"/>
  <c r="B1541" i="6"/>
  <c r="C1541" i="6"/>
  <c r="A1540" i="6"/>
  <c r="B1540" i="6"/>
  <c r="C1540" i="6"/>
  <c r="A1539" i="6"/>
  <c r="B1539" i="6"/>
  <c r="C1539" i="6"/>
  <c r="A1538" i="6"/>
  <c r="B1538" i="6"/>
  <c r="C1538" i="6"/>
  <c r="A1537" i="6"/>
  <c r="B1537" i="6"/>
  <c r="C1537" i="6"/>
  <c r="A1536" i="6"/>
  <c r="B1536" i="6"/>
  <c r="C1536" i="6"/>
  <c r="A1535" i="6"/>
  <c r="B1535" i="6"/>
  <c r="C1535" i="6"/>
  <c r="A1534" i="6"/>
  <c r="B1534" i="6"/>
  <c r="C1534" i="6"/>
  <c r="A1533" i="6"/>
  <c r="B1533" i="6"/>
  <c r="C1533" i="6"/>
  <c r="A1532" i="6"/>
  <c r="B1532" i="6"/>
  <c r="C1532" i="6"/>
  <c r="A1531" i="6"/>
  <c r="B1531" i="6"/>
  <c r="C1531" i="6"/>
  <c r="A1530" i="6"/>
  <c r="B1530" i="6"/>
  <c r="C1530" i="6"/>
  <c r="A1529" i="6"/>
  <c r="B1529" i="6"/>
  <c r="C1529" i="6"/>
  <c r="A1528" i="6"/>
  <c r="B1528" i="6"/>
  <c r="C1528" i="6"/>
  <c r="A1527" i="6"/>
  <c r="B1527" i="6"/>
  <c r="C1527" i="6"/>
  <c r="A1526" i="6"/>
  <c r="B1526" i="6"/>
  <c r="C1526" i="6"/>
  <c r="A1525" i="6"/>
  <c r="B1525" i="6"/>
  <c r="C1525" i="6"/>
  <c r="A1524" i="6"/>
  <c r="B1524" i="6"/>
  <c r="C1524" i="6"/>
  <c r="A1523" i="6"/>
  <c r="B1523" i="6"/>
  <c r="C1523" i="6"/>
  <c r="A1522" i="6"/>
  <c r="B1522" i="6"/>
  <c r="C1522" i="6"/>
  <c r="A1521" i="6"/>
  <c r="B1521" i="6"/>
  <c r="C1521" i="6"/>
  <c r="A1520" i="6"/>
  <c r="B1520" i="6"/>
  <c r="C1520" i="6"/>
  <c r="A1519" i="6"/>
  <c r="B1519" i="6"/>
  <c r="C1519" i="6"/>
  <c r="A1518" i="6"/>
  <c r="B1518" i="6"/>
  <c r="C1518" i="6"/>
  <c r="A1517" i="6"/>
  <c r="B1517" i="6"/>
  <c r="C1517" i="6"/>
  <c r="A1516" i="6"/>
  <c r="B1516" i="6"/>
  <c r="C1516" i="6"/>
  <c r="A1515" i="6"/>
  <c r="B1515" i="6"/>
  <c r="C1515" i="6"/>
  <c r="A1514" i="6"/>
  <c r="B1514" i="6"/>
  <c r="C1514" i="6"/>
  <c r="A1513" i="6"/>
  <c r="B1513" i="6"/>
  <c r="C1513" i="6"/>
  <c r="A1512" i="6"/>
  <c r="B1512" i="6"/>
  <c r="C1512" i="6"/>
  <c r="A1511" i="6"/>
  <c r="B1511" i="6"/>
  <c r="C1511" i="6"/>
  <c r="A1510" i="6"/>
  <c r="B1510" i="6"/>
  <c r="C1510" i="6"/>
  <c r="A1509" i="6"/>
  <c r="B1509" i="6"/>
  <c r="C1509" i="6"/>
  <c r="A1508" i="6"/>
  <c r="B1508" i="6"/>
  <c r="C1508" i="6"/>
  <c r="A1507" i="6"/>
  <c r="B1507" i="6"/>
  <c r="C1507" i="6"/>
  <c r="A1506" i="6"/>
  <c r="B1506" i="6"/>
  <c r="C1506" i="6"/>
  <c r="A1505" i="6"/>
  <c r="B1505" i="6"/>
  <c r="C1505" i="6"/>
  <c r="A1504" i="6"/>
  <c r="B1504" i="6"/>
  <c r="C1504" i="6"/>
  <c r="A1503" i="6"/>
  <c r="B1503" i="6"/>
  <c r="C1503" i="6"/>
  <c r="A1502" i="6"/>
  <c r="B1502" i="6"/>
  <c r="C1502" i="6"/>
  <c r="A1501" i="6"/>
  <c r="B1501" i="6"/>
  <c r="C1501" i="6"/>
  <c r="A1500" i="6"/>
  <c r="B1500" i="6"/>
  <c r="C1500" i="6"/>
  <c r="A1499" i="6"/>
  <c r="B1499" i="6"/>
  <c r="C1499" i="6"/>
  <c r="A1498" i="6"/>
  <c r="B1498" i="6"/>
  <c r="C1498" i="6"/>
  <c r="A1497" i="6"/>
  <c r="B1497" i="6"/>
  <c r="C1497" i="6"/>
  <c r="A1496" i="6"/>
  <c r="B1496" i="6"/>
  <c r="C1496" i="6"/>
  <c r="A1495" i="6"/>
  <c r="B1495" i="6"/>
  <c r="C1495" i="6"/>
  <c r="A1494" i="6"/>
  <c r="B1494" i="6"/>
  <c r="C1494" i="6"/>
  <c r="A1493" i="6"/>
  <c r="B1493" i="6"/>
  <c r="C1493" i="6"/>
  <c r="A1492" i="6"/>
  <c r="B1492" i="6"/>
  <c r="C1492" i="6"/>
  <c r="A1491" i="6"/>
  <c r="B1491" i="6"/>
  <c r="C1491" i="6"/>
  <c r="A1490" i="6"/>
  <c r="B1490" i="6"/>
  <c r="C1490" i="6"/>
  <c r="A1489" i="6"/>
  <c r="B1489" i="6"/>
  <c r="C1489" i="6"/>
  <c r="A1488" i="6"/>
  <c r="B1488" i="6"/>
  <c r="C1488" i="6"/>
  <c r="A1487" i="6"/>
  <c r="B1487" i="6"/>
  <c r="C1487" i="6"/>
  <c r="A1486" i="6"/>
  <c r="B1486" i="6"/>
  <c r="C1486" i="6"/>
  <c r="A1485" i="6"/>
  <c r="B1485" i="6"/>
  <c r="C1485" i="6"/>
  <c r="A1484" i="6"/>
  <c r="B1484" i="6"/>
  <c r="C1484" i="6"/>
  <c r="A1483" i="6"/>
  <c r="B1483" i="6"/>
  <c r="C1483" i="6"/>
  <c r="A1482" i="6"/>
  <c r="B1482" i="6"/>
  <c r="C1482" i="6"/>
  <c r="A1481" i="6"/>
  <c r="B1481" i="6"/>
  <c r="C1481" i="6"/>
  <c r="A1480" i="6"/>
  <c r="B1480" i="6"/>
  <c r="C1480" i="6"/>
  <c r="A1479" i="6"/>
  <c r="B1479" i="6"/>
  <c r="C1479" i="6"/>
  <c r="A1478" i="6"/>
  <c r="B1478" i="6"/>
  <c r="C1478" i="6"/>
  <c r="A1477" i="6"/>
  <c r="B1477" i="6"/>
  <c r="C1477" i="6"/>
  <c r="A1476" i="6"/>
  <c r="B1476" i="6"/>
  <c r="C1476" i="6"/>
  <c r="A1475" i="6"/>
  <c r="B1475" i="6"/>
  <c r="C1475" i="6"/>
  <c r="A1474" i="6"/>
  <c r="B1474" i="6"/>
  <c r="C1474" i="6"/>
  <c r="A1473" i="6"/>
  <c r="B1473" i="6"/>
  <c r="C1473" i="6"/>
  <c r="A1472" i="6"/>
  <c r="B1472" i="6"/>
  <c r="C1472" i="6"/>
  <c r="A1471" i="6"/>
  <c r="B1471" i="6"/>
  <c r="C1471" i="6"/>
  <c r="A1470" i="6"/>
  <c r="B1470" i="6"/>
  <c r="C1470" i="6"/>
  <c r="A1469" i="6"/>
  <c r="B1469" i="6"/>
  <c r="C1469" i="6"/>
  <c r="A1468" i="6"/>
  <c r="B1468" i="6"/>
  <c r="C1468" i="6"/>
  <c r="A1467" i="6"/>
  <c r="B1467" i="6"/>
  <c r="C1467" i="6"/>
  <c r="A1466" i="6"/>
  <c r="B1466" i="6"/>
  <c r="C1466" i="6"/>
  <c r="A1465" i="6"/>
  <c r="B1465" i="6"/>
  <c r="C1465" i="6"/>
  <c r="A1464" i="6"/>
  <c r="B1464" i="6"/>
  <c r="C1464" i="6"/>
  <c r="A1463" i="6"/>
  <c r="B1463" i="6"/>
  <c r="C1463" i="6"/>
  <c r="A1462" i="6"/>
  <c r="B1462" i="6"/>
  <c r="C1462" i="6"/>
  <c r="A1461" i="6"/>
  <c r="B1461" i="6"/>
  <c r="C1461" i="6"/>
  <c r="A1460" i="6"/>
  <c r="B1460" i="6"/>
  <c r="C1460" i="6"/>
  <c r="A1459" i="6"/>
  <c r="B1459" i="6"/>
  <c r="C1459" i="6"/>
  <c r="A1458" i="6"/>
  <c r="B1458" i="6"/>
  <c r="C1458" i="6"/>
  <c r="A1457" i="6"/>
  <c r="B1457" i="6"/>
  <c r="C1457" i="6"/>
  <c r="A1456" i="6"/>
  <c r="B1456" i="6"/>
  <c r="C1456" i="6"/>
  <c r="A1455" i="6"/>
  <c r="B1455" i="6"/>
  <c r="C1455" i="6"/>
  <c r="A1454" i="6"/>
  <c r="B1454" i="6"/>
  <c r="C1454" i="6"/>
  <c r="A1453" i="6"/>
  <c r="B1453" i="6"/>
  <c r="C1453" i="6"/>
  <c r="A1452" i="6"/>
  <c r="B1452" i="6"/>
  <c r="C1452" i="6"/>
  <c r="A1451" i="6"/>
  <c r="B1451" i="6"/>
  <c r="C1451" i="6"/>
  <c r="A1450" i="6"/>
  <c r="B1450" i="6"/>
  <c r="C1450" i="6"/>
  <c r="A1449" i="6"/>
  <c r="B1449" i="6"/>
  <c r="C1449" i="6"/>
  <c r="A1448" i="6"/>
  <c r="B1448" i="6"/>
  <c r="C1448" i="6"/>
  <c r="A1447" i="6"/>
  <c r="B1447" i="6"/>
  <c r="C1447" i="6"/>
  <c r="A1446" i="6"/>
  <c r="B1446" i="6"/>
  <c r="C1446" i="6"/>
  <c r="A1445" i="6"/>
  <c r="B1445" i="6"/>
  <c r="C1445" i="6"/>
  <c r="A1444" i="6"/>
  <c r="B1444" i="6"/>
  <c r="C1444" i="6"/>
  <c r="A1443" i="6"/>
  <c r="B1443" i="6"/>
  <c r="C1443" i="6"/>
  <c r="A1442" i="6"/>
  <c r="B1442" i="6"/>
  <c r="C1442" i="6"/>
  <c r="A1441" i="6"/>
  <c r="B1441" i="6"/>
  <c r="C1441" i="6"/>
  <c r="A1440" i="6"/>
  <c r="B1440" i="6"/>
  <c r="C1440" i="6"/>
  <c r="A1439" i="6"/>
  <c r="B1439" i="6"/>
  <c r="C1439" i="6"/>
  <c r="A1438" i="6"/>
  <c r="B1438" i="6"/>
  <c r="C1438" i="6"/>
  <c r="A1437" i="6"/>
  <c r="B1437" i="6"/>
  <c r="C1437" i="6"/>
  <c r="A1436" i="6"/>
  <c r="B1436" i="6"/>
  <c r="C1436" i="6"/>
  <c r="A1435" i="6"/>
  <c r="B1435" i="6"/>
  <c r="C1435" i="6"/>
  <c r="A1434" i="6"/>
  <c r="B1434" i="6"/>
  <c r="C1434" i="6"/>
  <c r="A1433" i="6"/>
  <c r="B1433" i="6"/>
  <c r="C1433" i="6"/>
  <c r="A1432" i="6"/>
  <c r="B1432" i="6"/>
  <c r="C1432" i="6"/>
  <c r="A1431" i="6"/>
  <c r="B1431" i="6"/>
  <c r="C1431" i="6"/>
  <c r="A1430" i="6"/>
  <c r="B1430" i="6"/>
  <c r="C1430" i="6"/>
  <c r="A1429" i="6"/>
  <c r="B1429" i="6"/>
  <c r="C1429" i="6"/>
  <c r="A1428" i="6"/>
  <c r="B1428" i="6"/>
  <c r="C1428" i="6"/>
  <c r="A1427" i="6"/>
  <c r="B1427" i="6"/>
  <c r="C1427" i="6"/>
  <c r="A1426" i="6"/>
  <c r="B1426" i="6"/>
  <c r="C1426" i="6"/>
  <c r="A1425" i="6"/>
  <c r="B1425" i="6"/>
  <c r="C1425" i="6"/>
  <c r="A1424" i="6"/>
  <c r="B1424" i="6"/>
  <c r="C1424" i="6"/>
  <c r="A1423" i="6"/>
  <c r="B1423" i="6"/>
  <c r="C1423" i="6"/>
  <c r="A1422" i="6"/>
  <c r="B1422" i="6"/>
  <c r="C1422" i="6"/>
  <c r="A1421" i="6"/>
  <c r="B1421" i="6"/>
  <c r="C1421" i="6"/>
  <c r="A1420" i="6"/>
  <c r="B1420" i="6"/>
  <c r="C1420" i="6"/>
  <c r="A1419" i="6"/>
  <c r="B1419" i="6"/>
  <c r="C1419" i="6"/>
  <c r="A1418" i="6"/>
  <c r="B1418" i="6"/>
  <c r="C1418" i="6"/>
  <c r="A1417" i="6"/>
  <c r="B1417" i="6"/>
  <c r="C1417" i="6"/>
  <c r="A1416" i="6"/>
  <c r="B1416" i="6"/>
  <c r="C1416" i="6"/>
  <c r="A1415" i="6"/>
  <c r="B1415" i="6"/>
  <c r="C1415" i="6"/>
  <c r="A1414" i="6"/>
  <c r="B1414" i="6"/>
  <c r="C1414" i="6"/>
  <c r="A1413" i="6"/>
  <c r="B1413" i="6"/>
  <c r="C1413" i="6"/>
  <c r="A1412" i="6"/>
  <c r="B1412" i="6"/>
  <c r="C1412" i="6"/>
  <c r="A1411" i="6"/>
  <c r="B1411" i="6"/>
  <c r="C1411" i="6"/>
  <c r="A1410" i="6"/>
  <c r="B1410" i="6"/>
  <c r="C1410" i="6"/>
  <c r="A1409" i="6"/>
  <c r="B1409" i="6"/>
  <c r="C1409" i="6"/>
  <c r="A1408" i="6"/>
  <c r="B1408" i="6"/>
  <c r="C1408" i="6"/>
  <c r="A1407" i="6"/>
  <c r="B1407" i="6"/>
  <c r="C1407" i="6"/>
  <c r="A1406" i="6"/>
  <c r="B1406" i="6"/>
  <c r="C1406" i="6"/>
  <c r="A1405" i="6"/>
  <c r="B1405" i="6"/>
  <c r="C1405" i="6"/>
  <c r="A1404" i="6"/>
  <c r="B1404" i="6"/>
  <c r="C1404" i="6"/>
  <c r="A1403" i="6"/>
  <c r="B1403" i="6"/>
  <c r="C1403" i="6"/>
  <c r="A1402" i="6"/>
  <c r="B1402" i="6"/>
  <c r="C1402" i="6"/>
  <c r="A1401" i="6"/>
  <c r="B1401" i="6"/>
  <c r="C1401" i="6"/>
  <c r="A1400" i="6"/>
  <c r="B1400" i="6"/>
  <c r="C1400" i="6"/>
  <c r="A1399" i="6"/>
  <c r="B1399" i="6"/>
  <c r="C1399" i="6"/>
  <c r="A1398" i="6"/>
  <c r="B1398" i="6"/>
  <c r="C1398" i="6"/>
  <c r="A1397" i="6"/>
  <c r="B1397" i="6"/>
  <c r="C1397" i="6"/>
  <c r="A1396" i="6"/>
  <c r="B1396" i="6"/>
  <c r="C1396" i="6"/>
  <c r="A1395" i="6"/>
  <c r="B1395" i="6"/>
  <c r="C1395" i="6"/>
  <c r="A1394" i="6"/>
  <c r="B1394" i="6"/>
  <c r="C1394" i="6"/>
  <c r="A1393" i="6"/>
  <c r="B1393" i="6"/>
  <c r="C1393" i="6"/>
  <c r="A1392" i="6"/>
  <c r="B1392" i="6"/>
  <c r="C1392" i="6"/>
  <c r="A1391" i="6"/>
  <c r="B1391" i="6"/>
  <c r="C1391" i="6"/>
  <c r="A1390" i="6"/>
  <c r="B1390" i="6"/>
  <c r="C1390" i="6"/>
  <c r="A1389" i="6"/>
  <c r="B1389" i="6"/>
  <c r="C1389" i="6"/>
  <c r="A1388" i="6"/>
  <c r="B1388" i="6"/>
  <c r="C1388" i="6"/>
  <c r="A1387" i="6"/>
  <c r="B1387" i="6"/>
  <c r="C1387" i="6"/>
  <c r="A1386" i="6"/>
  <c r="B1386" i="6"/>
  <c r="C1386" i="6"/>
  <c r="A1385" i="6"/>
  <c r="B1385" i="6"/>
  <c r="C1385" i="6"/>
  <c r="A1384" i="6"/>
  <c r="B1384" i="6"/>
  <c r="C1384" i="6"/>
  <c r="A1383" i="6"/>
  <c r="B1383" i="6"/>
  <c r="C1383" i="6"/>
  <c r="A1382" i="6"/>
  <c r="B1382" i="6"/>
  <c r="C1382" i="6"/>
  <c r="A1381" i="6"/>
  <c r="B1381" i="6"/>
  <c r="C1381" i="6"/>
  <c r="A1380" i="6"/>
  <c r="B1380" i="6"/>
  <c r="C1380" i="6"/>
  <c r="A1379" i="6"/>
  <c r="B1379" i="6"/>
  <c r="C1379" i="6"/>
  <c r="A1378" i="6"/>
  <c r="B1378" i="6"/>
  <c r="C1378" i="6"/>
  <c r="A1377" i="6"/>
  <c r="B1377" i="6"/>
  <c r="C1377" i="6"/>
  <c r="A1376" i="6"/>
  <c r="B1376" i="6"/>
  <c r="C1376" i="6"/>
  <c r="A1375" i="6"/>
  <c r="B1375" i="6"/>
  <c r="C1375" i="6"/>
  <c r="A1374" i="6"/>
  <c r="B1374" i="6"/>
  <c r="C1374" i="6"/>
  <c r="A1373" i="6"/>
  <c r="B1373" i="6"/>
  <c r="C1373" i="6"/>
  <c r="A1372" i="6"/>
  <c r="B1372" i="6"/>
  <c r="C1372" i="6"/>
  <c r="A1371" i="6"/>
  <c r="B1371" i="6"/>
  <c r="C1371" i="6"/>
  <c r="A1370" i="6"/>
  <c r="B1370" i="6"/>
  <c r="C1370" i="6"/>
  <c r="A1369" i="6"/>
  <c r="B1369" i="6"/>
  <c r="C1369" i="6"/>
  <c r="A1368" i="6"/>
  <c r="B1368" i="6"/>
  <c r="C1368" i="6"/>
  <c r="A1367" i="6"/>
  <c r="B1367" i="6"/>
  <c r="C1367" i="6"/>
  <c r="A1366" i="6"/>
  <c r="B1366" i="6"/>
  <c r="C1366" i="6"/>
  <c r="A1365" i="6"/>
  <c r="B1365" i="6"/>
  <c r="C1365" i="6"/>
  <c r="A1364" i="6"/>
  <c r="B1364" i="6"/>
  <c r="C1364" i="6"/>
  <c r="A1363" i="6"/>
  <c r="B1363" i="6"/>
  <c r="C1363" i="6"/>
  <c r="A1362" i="6"/>
  <c r="B1362" i="6"/>
  <c r="C1362" i="6"/>
  <c r="A1361" i="6"/>
  <c r="B1361" i="6"/>
  <c r="C1361" i="6"/>
  <c r="A1360" i="6"/>
  <c r="B1360" i="6"/>
  <c r="C1360" i="6"/>
  <c r="A1359" i="6"/>
  <c r="B1359" i="6"/>
  <c r="C1359" i="6"/>
  <c r="A1358" i="6"/>
  <c r="B1358" i="6"/>
  <c r="C1358" i="6"/>
  <c r="A1357" i="6"/>
  <c r="B1357" i="6"/>
  <c r="C1357" i="6"/>
  <c r="A1356" i="6"/>
  <c r="B1356" i="6"/>
  <c r="C1356" i="6"/>
  <c r="A1355" i="6"/>
  <c r="B1355" i="6"/>
  <c r="C1355" i="6"/>
  <c r="A1354" i="6"/>
  <c r="B1354" i="6"/>
  <c r="C1354" i="6"/>
  <c r="A1353" i="6"/>
  <c r="B1353" i="6"/>
  <c r="C1353" i="6"/>
  <c r="A1352" i="6"/>
  <c r="B1352" i="6"/>
  <c r="C1352" i="6"/>
  <c r="A1351" i="6"/>
  <c r="B1351" i="6"/>
  <c r="C1351" i="6"/>
  <c r="A1350" i="6"/>
  <c r="B1350" i="6"/>
  <c r="C1350" i="6"/>
  <c r="A1349" i="6"/>
  <c r="B1349" i="6"/>
  <c r="C1349" i="6"/>
  <c r="A1348" i="6"/>
  <c r="B1348" i="6"/>
  <c r="C1348" i="6"/>
  <c r="A1347" i="6"/>
  <c r="B1347" i="6"/>
  <c r="C1347" i="6"/>
  <c r="A1346" i="6"/>
  <c r="B1346" i="6"/>
  <c r="C1346" i="6"/>
  <c r="A1345" i="6"/>
  <c r="B1345" i="6"/>
  <c r="C1345" i="6"/>
  <c r="A1344" i="6"/>
  <c r="B1344" i="6"/>
  <c r="C1344" i="6"/>
  <c r="A1343" i="6"/>
  <c r="B1343" i="6"/>
  <c r="C1343" i="6"/>
  <c r="A1342" i="6"/>
  <c r="B1342" i="6"/>
  <c r="C1342" i="6"/>
  <c r="A1341" i="6"/>
  <c r="B1341" i="6"/>
  <c r="C1341" i="6"/>
  <c r="A1340" i="6"/>
  <c r="B1340" i="6"/>
  <c r="C1340" i="6"/>
  <c r="A1339" i="6"/>
  <c r="B1339" i="6"/>
  <c r="C1339" i="6"/>
  <c r="A1338" i="6"/>
  <c r="B1338" i="6"/>
  <c r="C1338" i="6"/>
  <c r="A1337" i="6"/>
  <c r="B1337" i="6"/>
  <c r="C1337" i="6"/>
  <c r="A1336" i="6"/>
  <c r="B1336" i="6"/>
  <c r="C1336" i="6"/>
  <c r="A1335" i="6"/>
  <c r="B1335" i="6"/>
  <c r="C1335" i="6"/>
  <c r="A1334" i="6"/>
  <c r="B1334" i="6"/>
  <c r="C1334" i="6"/>
  <c r="A1333" i="6"/>
  <c r="B1333" i="6"/>
  <c r="C1333" i="6"/>
  <c r="A1332" i="6"/>
  <c r="B1332" i="6"/>
  <c r="C1332" i="6"/>
  <c r="A1331" i="6"/>
  <c r="B1331" i="6"/>
  <c r="C1331" i="6"/>
  <c r="A1330" i="6"/>
  <c r="B1330" i="6"/>
  <c r="C1330" i="6"/>
  <c r="A1329" i="6"/>
  <c r="B1329" i="6"/>
  <c r="C1329" i="6"/>
  <c r="A1328" i="6"/>
  <c r="B1328" i="6"/>
  <c r="C1328" i="6"/>
  <c r="A1327" i="6"/>
  <c r="B1327" i="6"/>
  <c r="C1327" i="6"/>
  <c r="A1326" i="6"/>
  <c r="B1326" i="6"/>
  <c r="C1326" i="6"/>
  <c r="A1325" i="6"/>
  <c r="B1325" i="6"/>
  <c r="C1325" i="6"/>
  <c r="A1324" i="6"/>
  <c r="B1324" i="6"/>
  <c r="C1324" i="6"/>
  <c r="A1323" i="6"/>
  <c r="B1323" i="6"/>
  <c r="C1323" i="6"/>
  <c r="A1322" i="6"/>
  <c r="B1322" i="6"/>
  <c r="C1322" i="6"/>
  <c r="A1321" i="6"/>
  <c r="B1321" i="6"/>
  <c r="C1321" i="6"/>
  <c r="A1320" i="6"/>
  <c r="B1320" i="6"/>
  <c r="C1320" i="6"/>
  <c r="A1319" i="6"/>
  <c r="B1319" i="6"/>
  <c r="C1319" i="6"/>
  <c r="A1318" i="6"/>
  <c r="B1318" i="6"/>
  <c r="C1318" i="6"/>
  <c r="A1317" i="6"/>
  <c r="B1317" i="6"/>
  <c r="C1317" i="6"/>
  <c r="A1316" i="6"/>
  <c r="B1316" i="6"/>
  <c r="C1316" i="6"/>
  <c r="A1315" i="6"/>
  <c r="B1315" i="6"/>
  <c r="C1315" i="6"/>
  <c r="A1314" i="6"/>
  <c r="B1314" i="6"/>
  <c r="C1314" i="6"/>
  <c r="A1313" i="6"/>
  <c r="B1313" i="6"/>
  <c r="C1313" i="6"/>
  <c r="A1312" i="6"/>
  <c r="B1312" i="6"/>
  <c r="C1312" i="6"/>
  <c r="A1311" i="6"/>
  <c r="B1311" i="6"/>
  <c r="C1311" i="6"/>
  <c r="A1310" i="6"/>
  <c r="B1310" i="6"/>
  <c r="C1310" i="6"/>
  <c r="A1309" i="6"/>
  <c r="B1309" i="6"/>
  <c r="C1309" i="6"/>
  <c r="A1308" i="6"/>
  <c r="B1308" i="6"/>
  <c r="C1308" i="6"/>
  <c r="A1307" i="6"/>
  <c r="B1307" i="6"/>
  <c r="C1307" i="6"/>
  <c r="A1306" i="6"/>
  <c r="B1306" i="6"/>
  <c r="C1306" i="6"/>
  <c r="A1305" i="6"/>
  <c r="B1305" i="6"/>
  <c r="C1305" i="6"/>
  <c r="A1304" i="6"/>
  <c r="B1304" i="6"/>
  <c r="C1304" i="6"/>
  <c r="A1303" i="6"/>
  <c r="B1303" i="6"/>
  <c r="C1303" i="6"/>
  <c r="A1302" i="6"/>
  <c r="B1302" i="6"/>
  <c r="C1302" i="6"/>
  <c r="A1301" i="6"/>
  <c r="B1301" i="6"/>
  <c r="C1301" i="6"/>
  <c r="A1300" i="6"/>
  <c r="B1300" i="6"/>
  <c r="C1300" i="6"/>
  <c r="A1299" i="6"/>
  <c r="B1299" i="6"/>
  <c r="C1299" i="6"/>
  <c r="A1298" i="6"/>
  <c r="B1298" i="6"/>
  <c r="C1298" i="6"/>
  <c r="A1297" i="6"/>
  <c r="B1297" i="6"/>
  <c r="C1297" i="6"/>
  <c r="A1296" i="6"/>
  <c r="B1296" i="6"/>
  <c r="C1296" i="6"/>
  <c r="A1295" i="6"/>
  <c r="B1295" i="6"/>
  <c r="C1295" i="6"/>
  <c r="A1294" i="6"/>
  <c r="B1294" i="6"/>
  <c r="C1294" i="6"/>
  <c r="A1293" i="6"/>
  <c r="B1293" i="6"/>
  <c r="C1293" i="6"/>
  <c r="A1292" i="6"/>
  <c r="B1292" i="6"/>
  <c r="C1292" i="6"/>
  <c r="A1291" i="6"/>
  <c r="B1291" i="6"/>
  <c r="C1291" i="6"/>
  <c r="A1290" i="6"/>
  <c r="B1290" i="6"/>
  <c r="C1290" i="6"/>
  <c r="A1289" i="6"/>
  <c r="B1289" i="6"/>
  <c r="C1289" i="6"/>
  <c r="A1288" i="6"/>
  <c r="B1288" i="6"/>
  <c r="C1288" i="6"/>
  <c r="A1287" i="6"/>
  <c r="B1287" i="6"/>
  <c r="C1287" i="6"/>
  <c r="A1286" i="6"/>
  <c r="B1286" i="6"/>
  <c r="C1286" i="6"/>
  <c r="A1285" i="6"/>
  <c r="B1285" i="6"/>
  <c r="C1285" i="6"/>
  <c r="A1284" i="6"/>
  <c r="B1284" i="6"/>
  <c r="C1284" i="6"/>
  <c r="A1283" i="6"/>
  <c r="B1283" i="6"/>
  <c r="C1283" i="6"/>
  <c r="A1282" i="6"/>
  <c r="B1282" i="6"/>
  <c r="C1282" i="6"/>
  <c r="A1281" i="6"/>
  <c r="B1281" i="6"/>
  <c r="C1281" i="6"/>
  <c r="A1280" i="6"/>
  <c r="B1280" i="6"/>
  <c r="C1280" i="6"/>
  <c r="A1279" i="6"/>
  <c r="B1279" i="6"/>
  <c r="C1279" i="6"/>
  <c r="A1278" i="6"/>
  <c r="B1278" i="6"/>
  <c r="C1278" i="6"/>
  <c r="A1277" i="6"/>
  <c r="B1277" i="6"/>
  <c r="C1277" i="6"/>
  <c r="A1276" i="6"/>
  <c r="B1276" i="6"/>
  <c r="C1276" i="6"/>
  <c r="A1275" i="6"/>
  <c r="B1275" i="6"/>
  <c r="C1275" i="6"/>
  <c r="A1274" i="6"/>
  <c r="B1274" i="6"/>
  <c r="C1274" i="6"/>
  <c r="A1273" i="6"/>
  <c r="B1273" i="6"/>
  <c r="C1273" i="6"/>
  <c r="A1272" i="6"/>
  <c r="B1272" i="6"/>
  <c r="C1272" i="6"/>
  <c r="A1271" i="6"/>
  <c r="B1271" i="6"/>
  <c r="C1271" i="6"/>
  <c r="A1270" i="6"/>
  <c r="B1270" i="6"/>
  <c r="C1270" i="6"/>
  <c r="A1269" i="6"/>
  <c r="B1269" i="6"/>
  <c r="C1269" i="6"/>
  <c r="A1268" i="6"/>
  <c r="B1268" i="6"/>
  <c r="C1268" i="6"/>
  <c r="A1267" i="6"/>
  <c r="B1267" i="6"/>
  <c r="C1267" i="6"/>
  <c r="A1266" i="6"/>
  <c r="B1266" i="6"/>
  <c r="C1266" i="6"/>
  <c r="A1265" i="6"/>
  <c r="B1265" i="6"/>
  <c r="C1265" i="6"/>
  <c r="A1264" i="6"/>
  <c r="B1264" i="6"/>
  <c r="C1264" i="6"/>
  <c r="A1263" i="6"/>
  <c r="B1263" i="6"/>
  <c r="C1263" i="6"/>
  <c r="A1262" i="6"/>
  <c r="B1262" i="6"/>
  <c r="C1262" i="6"/>
  <c r="A1261" i="6"/>
  <c r="B1261" i="6"/>
  <c r="C1261" i="6"/>
  <c r="A1260" i="6"/>
  <c r="B1260" i="6"/>
  <c r="C1260" i="6"/>
  <c r="A1259" i="6"/>
  <c r="B1259" i="6"/>
  <c r="C1259" i="6"/>
  <c r="A1258" i="6"/>
  <c r="B1258" i="6"/>
  <c r="C1258" i="6"/>
  <c r="A1257" i="6"/>
  <c r="B1257" i="6"/>
  <c r="C1257" i="6"/>
  <c r="A1256" i="6"/>
  <c r="B1256" i="6"/>
  <c r="C1256" i="6"/>
  <c r="A1255" i="6"/>
  <c r="B1255" i="6"/>
  <c r="C1255" i="6"/>
  <c r="A1254" i="6"/>
  <c r="B1254" i="6"/>
  <c r="C1254" i="6"/>
  <c r="A1253" i="6"/>
  <c r="B1253" i="6"/>
  <c r="C1253" i="6"/>
  <c r="A1252" i="6"/>
  <c r="B1252" i="6"/>
  <c r="C1252" i="6"/>
  <c r="A1251" i="6"/>
  <c r="B1251" i="6"/>
  <c r="C1251" i="6"/>
  <c r="A1250" i="6"/>
  <c r="B1250" i="6"/>
  <c r="C1250" i="6"/>
  <c r="A1249" i="6"/>
  <c r="B1249" i="6"/>
  <c r="C1249" i="6"/>
  <c r="A1248" i="6"/>
  <c r="B1248" i="6"/>
  <c r="C1248" i="6"/>
  <c r="A1247" i="6"/>
  <c r="B1247" i="6"/>
  <c r="C1247" i="6"/>
  <c r="A1246" i="6"/>
  <c r="B1246" i="6"/>
  <c r="C1246" i="6"/>
  <c r="A1245" i="6"/>
  <c r="B1245" i="6"/>
  <c r="C1245" i="6"/>
  <c r="A1244" i="6"/>
  <c r="B1244" i="6"/>
  <c r="C1244" i="6"/>
  <c r="A1243" i="6"/>
  <c r="B1243" i="6"/>
  <c r="C1243" i="6"/>
  <c r="A1242" i="6"/>
  <c r="B1242" i="6"/>
  <c r="C1242" i="6"/>
  <c r="A1241" i="6"/>
  <c r="B1241" i="6"/>
  <c r="C1241" i="6"/>
  <c r="A1240" i="6"/>
  <c r="B1240" i="6"/>
  <c r="C1240" i="6"/>
  <c r="A1239" i="6"/>
  <c r="B1239" i="6"/>
  <c r="C1239" i="6"/>
  <c r="A1238" i="6"/>
  <c r="B1238" i="6"/>
  <c r="C1238" i="6"/>
  <c r="A1237" i="6"/>
  <c r="B1237" i="6"/>
  <c r="C1237" i="6"/>
  <c r="A1236" i="6"/>
  <c r="B1236" i="6"/>
  <c r="C1236" i="6"/>
  <c r="A1235" i="6"/>
  <c r="B1235" i="6"/>
  <c r="C1235" i="6"/>
  <c r="A1234" i="6"/>
  <c r="B1234" i="6"/>
  <c r="C1234" i="6"/>
  <c r="A1233" i="6"/>
  <c r="B1233" i="6"/>
  <c r="C1233" i="6"/>
  <c r="A1232" i="6"/>
  <c r="B1232" i="6"/>
  <c r="C1232" i="6"/>
  <c r="A1231" i="6"/>
  <c r="B1231" i="6"/>
  <c r="C1231" i="6"/>
  <c r="A1230" i="6"/>
  <c r="B1230" i="6"/>
  <c r="C1230" i="6"/>
  <c r="A1229" i="6"/>
  <c r="B1229" i="6"/>
  <c r="C1229" i="6"/>
  <c r="A1228" i="6"/>
  <c r="B1228" i="6"/>
  <c r="C1228" i="6"/>
  <c r="A1227" i="6"/>
  <c r="B1227" i="6"/>
  <c r="C1227" i="6"/>
  <c r="A1226" i="6"/>
  <c r="B1226" i="6"/>
  <c r="C1226" i="6"/>
  <c r="A1225" i="6"/>
  <c r="B1225" i="6"/>
  <c r="C1225" i="6"/>
  <c r="A1224" i="6"/>
  <c r="B1224" i="6"/>
  <c r="C1224" i="6"/>
  <c r="A1223" i="6"/>
  <c r="B1223" i="6"/>
  <c r="C1223" i="6"/>
  <c r="A1222" i="6"/>
  <c r="B1222" i="6"/>
  <c r="C1222" i="6"/>
  <c r="A1221" i="6"/>
  <c r="B1221" i="6"/>
  <c r="C1221" i="6"/>
  <c r="A1220" i="6"/>
  <c r="B1220" i="6"/>
  <c r="C1220" i="6"/>
  <c r="A1219" i="6"/>
  <c r="B1219" i="6"/>
  <c r="C1219" i="6"/>
  <c r="A1218" i="6"/>
  <c r="B1218" i="6"/>
  <c r="C1218" i="6"/>
  <c r="A1217" i="6"/>
  <c r="B1217" i="6"/>
  <c r="C1217" i="6"/>
  <c r="A1216" i="6"/>
  <c r="B1216" i="6"/>
  <c r="C1216" i="6"/>
  <c r="A1215" i="6"/>
  <c r="B1215" i="6"/>
  <c r="C1215" i="6"/>
  <c r="A1214" i="6"/>
  <c r="B1214" i="6"/>
  <c r="C1214" i="6"/>
  <c r="A1213" i="6"/>
  <c r="B1213" i="6"/>
  <c r="C1213" i="6"/>
  <c r="A1212" i="6"/>
  <c r="B1212" i="6"/>
  <c r="C1212" i="6"/>
  <c r="A1211" i="6"/>
  <c r="B1211" i="6"/>
  <c r="C1211" i="6"/>
  <c r="A1210" i="6"/>
  <c r="B1210" i="6"/>
  <c r="C1210" i="6"/>
  <c r="A1209" i="6"/>
  <c r="B1209" i="6"/>
  <c r="C1209" i="6"/>
  <c r="A1208" i="6"/>
  <c r="B1208" i="6"/>
  <c r="C1208" i="6"/>
  <c r="A1207" i="6"/>
  <c r="B1207" i="6"/>
  <c r="C1207" i="6"/>
  <c r="A1206" i="6"/>
  <c r="B1206" i="6"/>
  <c r="C1206" i="6"/>
  <c r="A1205" i="6"/>
  <c r="B1205" i="6"/>
  <c r="C1205" i="6"/>
  <c r="A1204" i="6"/>
  <c r="B1204" i="6"/>
  <c r="C1204" i="6"/>
  <c r="A1203" i="6"/>
  <c r="B1203" i="6"/>
  <c r="C1203" i="6"/>
  <c r="A1202" i="6"/>
  <c r="B1202" i="6"/>
  <c r="C1202" i="6"/>
  <c r="A1201" i="6"/>
  <c r="B1201" i="6"/>
  <c r="C1201" i="6"/>
  <c r="A1200" i="6"/>
  <c r="B1200" i="6"/>
  <c r="C1200" i="6"/>
  <c r="A1199" i="6"/>
  <c r="B1199" i="6"/>
  <c r="C1199" i="6"/>
  <c r="A1198" i="6"/>
  <c r="B1198" i="6"/>
  <c r="C1198" i="6"/>
  <c r="A1197" i="6"/>
  <c r="B1197" i="6"/>
  <c r="C1197" i="6"/>
  <c r="A1196" i="6"/>
  <c r="B1196" i="6"/>
  <c r="C1196" i="6"/>
  <c r="A1195" i="6"/>
  <c r="B1195" i="6"/>
  <c r="C1195" i="6"/>
  <c r="A1194" i="6"/>
  <c r="B1194" i="6"/>
  <c r="C1194" i="6"/>
  <c r="A1193" i="6"/>
  <c r="B1193" i="6"/>
  <c r="C1193" i="6"/>
  <c r="A1192" i="6"/>
  <c r="B1192" i="6"/>
  <c r="C1192" i="6"/>
  <c r="A1191" i="6"/>
  <c r="B1191" i="6"/>
  <c r="C1191" i="6"/>
  <c r="A1190" i="6"/>
  <c r="B1190" i="6"/>
  <c r="C1190" i="6"/>
  <c r="A1189" i="6"/>
  <c r="B1189" i="6"/>
  <c r="C1189" i="6"/>
  <c r="A1188" i="6"/>
  <c r="B1188" i="6"/>
  <c r="C1188" i="6"/>
  <c r="A1187" i="6"/>
  <c r="B1187" i="6"/>
  <c r="C1187" i="6"/>
  <c r="A1186" i="6"/>
  <c r="B1186" i="6"/>
  <c r="C1186" i="6"/>
  <c r="A1185" i="6"/>
  <c r="B1185" i="6"/>
  <c r="C1185" i="6"/>
  <c r="A1184" i="6"/>
  <c r="B1184" i="6"/>
  <c r="C1184" i="6"/>
  <c r="A1183" i="6"/>
  <c r="B1183" i="6"/>
  <c r="C1183" i="6"/>
  <c r="A1182" i="6"/>
  <c r="B1182" i="6"/>
  <c r="C1182" i="6"/>
  <c r="A1181" i="6"/>
  <c r="B1181" i="6"/>
  <c r="C1181" i="6"/>
  <c r="A1180" i="6"/>
  <c r="B1180" i="6"/>
  <c r="C1180" i="6"/>
  <c r="A1179" i="6"/>
  <c r="B1179" i="6"/>
  <c r="C1179" i="6"/>
  <c r="A1178" i="6"/>
  <c r="B1178" i="6"/>
  <c r="C1178" i="6"/>
  <c r="A1177" i="6"/>
  <c r="B1177" i="6"/>
  <c r="C1177" i="6"/>
  <c r="A1176" i="6"/>
  <c r="B1176" i="6"/>
  <c r="C1176" i="6"/>
  <c r="A1175" i="6"/>
  <c r="B1175" i="6"/>
  <c r="C1175" i="6"/>
  <c r="A1174" i="6"/>
  <c r="B1174" i="6"/>
  <c r="C1174" i="6"/>
  <c r="A1173" i="6"/>
  <c r="B1173" i="6"/>
  <c r="C1173" i="6"/>
  <c r="A1172" i="6"/>
  <c r="B1172" i="6"/>
  <c r="C1172" i="6"/>
  <c r="A1171" i="6"/>
  <c r="B1171" i="6"/>
  <c r="C1171" i="6"/>
  <c r="A1170" i="6"/>
  <c r="B1170" i="6"/>
  <c r="C1170" i="6"/>
  <c r="A1169" i="6"/>
  <c r="B1169" i="6"/>
  <c r="C1169" i="6"/>
  <c r="A1168" i="6"/>
  <c r="B1168" i="6"/>
  <c r="C1168" i="6"/>
  <c r="A1167" i="6"/>
  <c r="B1167" i="6"/>
  <c r="C1167" i="6"/>
  <c r="A1166" i="6"/>
  <c r="B1166" i="6"/>
  <c r="C1166" i="6"/>
  <c r="A1165" i="6"/>
  <c r="B1165" i="6"/>
  <c r="C1165" i="6"/>
  <c r="A1164" i="6"/>
  <c r="B1164" i="6"/>
  <c r="C1164" i="6"/>
  <c r="A1163" i="6"/>
  <c r="B1163" i="6"/>
  <c r="C1163" i="6"/>
  <c r="A1162" i="6"/>
  <c r="B1162" i="6"/>
  <c r="C1162" i="6"/>
  <c r="A1161" i="6"/>
  <c r="B1161" i="6"/>
  <c r="C1161" i="6"/>
  <c r="A1160" i="6"/>
  <c r="B1160" i="6"/>
  <c r="C1160" i="6"/>
  <c r="A1159" i="6"/>
  <c r="B1159" i="6"/>
  <c r="C1159" i="6"/>
  <c r="A1158" i="6"/>
  <c r="B1158" i="6"/>
  <c r="C1158" i="6"/>
  <c r="A1157" i="6"/>
  <c r="B1157" i="6"/>
  <c r="C1157" i="6"/>
  <c r="A1156" i="6"/>
  <c r="B1156" i="6"/>
  <c r="C1156" i="6"/>
  <c r="A1155" i="6"/>
  <c r="B1155" i="6"/>
  <c r="C1155" i="6"/>
  <c r="A1154" i="6"/>
  <c r="B1154" i="6"/>
  <c r="C1154" i="6"/>
  <c r="A1153" i="6"/>
  <c r="B1153" i="6"/>
  <c r="C1153" i="6"/>
  <c r="A1152" i="6"/>
  <c r="B1152" i="6"/>
  <c r="C1152" i="6"/>
  <c r="A1151" i="6"/>
  <c r="B1151" i="6"/>
  <c r="C1151" i="6"/>
  <c r="A1150" i="6"/>
  <c r="B1150" i="6"/>
  <c r="C1150" i="6"/>
  <c r="A1149" i="6"/>
  <c r="B1149" i="6"/>
  <c r="C1149" i="6"/>
  <c r="A1148" i="6"/>
  <c r="B1148" i="6"/>
  <c r="C1148" i="6"/>
  <c r="A1147" i="6"/>
  <c r="B1147" i="6"/>
  <c r="C1147" i="6"/>
  <c r="A1146" i="6"/>
  <c r="B1146" i="6"/>
  <c r="C1146" i="6"/>
  <c r="A1145" i="6"/>
  <c r="B1145" i="6"/>
  <c r="C1145" i="6"/>
  <c r="A1144" i="6"/>
  <c r="B1144" i="6"/>
  <c r="C1144" i="6"/>
  <c r="A1143" i="6"/>
  <c r="B1143" i="6"/>
  <c r="C1143" i="6"/>
  <c r="A1142" i="6"/>
  <c r="B1142" i="6"/>
  <c r="C1142" i="6"/>
  <c r="A1141" i="6"/>
  <c r="B1141" i="6"/>
  <c r="C1141" i="6"/>
  <c r="A1140" i="6"/>
  <c r="B1140" i="6"/>
  <c r="C1140" i="6"/>
  <c r="A1139" i="6"/>
  <c r="B1139" i="6"/>
  <c r="C1139" i="6"/>
  <c r="A1138" i="6"/>
  <c r="B1138" i="6"/>
  <c r="C1138" i="6"/>
  <c r="A1137" i="6"/>
  <c r="B1137" i="6"/>
  <c r="C1137" i="6"/>
  <c r="A1136" i="6"/>
  <c r="B1136" i="6"/>
  <c r="C1136" i="6"/>
  <c r="A1135" i="6"/>
  <c r="B1135" i="6"/>
  <c r="C1135" i="6"/>
  <c r="A1134" i="6"/>
  <c r="B1134" i="6"/>
  <c r="C1134" i="6"/>
  <c r="A1133" i="6"/>
  <c r="B1133" i="6"/>
  <c r="C1133" i="6"/>
  <c r="A1132" i="6"/>
  <c r="B1132" i="6"/>
  <c r="C1132" i="6"/>
  <c r="A1131" i="6"/>
  <c r="B1131" i="6"/>
  <c r="C1131" i="6"/>
  <c r="A1130" i="6"/>
  <c r="B1130" i="6"/>
  <c r="C1130" i="6"/>
  <c r="A1129" i="6"/>
  <c r="B1129" i="6"/>
  <c r="C1129" i="6"/>
  <c r="A1128" i="6"/>
  <c r="B1128" i="6"/>
  <c r="C1128" i="6"/>
  <c r="A1127" i="6"/>
  <c r="B1127" i="6"/>
  <c r="C1127" i="6"/>
  <c r="A1126" i="6"/>
  <c r="B1126" i="6"/>
  <c r="C1126" i="6"/>
  <c r="A1125" i="6"/>
  <c r="B1125" i="6"/>
  <c r="C1125" i="6"/>
  <c r="A1124" i="6"/>
  <c r="B1124" i="6"/>
  <c r="C1124" i="6"/>
  <c r="A1123" i="6"/>
  <c r="B1123" i="6"/>
  <c r="C1123" i="6"/>
  <c r="A1122" i="6"/>
  <c r="B1122" i="6"/>
  <c r="C1122" i="6"/>
  <c r="A1121" i="6"/>
  <c r="B1121" i="6"/>
  <c r="C1121" i="6"/>
  <c r="A1120" i="6"/>
  <c r="B1120" i="6"/>
  <c r="C1120" i="6"/>
  <c r="A1119" i="6"/>
  <c r="B1119" i="6"/>
  <c r="C1119" i="6"/>
  <c r="A1118" i="6"/>
  <c r="B1118" i="6"/>
  <c r="C1118" i="6"/>
  <c r="A1117" i="6"/>
  <c r="B1117" i="6"/>
  <c r="C1117" i="6"/>
  <c r="A1116" i="6"/>
  <c r="B1116" i="6"/>
  <c r="C1116" i="6"/>
  <c r="A1115" i="6"/>
  <c r="B1115" i="6"/>
  <c r="C1115" i="6"/>
  <c r="A1114" i="6"/>
  <c r="B1114" i="6"/>
  <c r="C1114" i="6"/>
  <c r="A1113" i="6"/>
  <c r="B1113" i="6"/>
  <c r="C1113" i="6"/>
  <c r="A1112" i="6"/>
  <c r="B1112" i="6"/>
  <c r="C1112" i="6"/>
  <c r="A1111" i="6"/>
  <c r="B1111" i="6"/>
  <c r="C1111" i="6"/>
  <c r="A1110" i="6"/>
  <c r="B1110" i="6"/>
  <c r="C1110" i="6"/>
  <c r="A1109" i="6"/>
  <c r="B1109" i="6"/>
  <c r="C1109" i="6"/>
  <c r="A1108" i="6"/>
  <c r="B1108" i="6"/>
  <c r="C1108" i="6"/>
  <c r="A1107" i="6"/>
  <c r="B1107" i="6"/>
  <c r="C1107" i="6"/>
  <c r="A1106" i="6"/>
  <c r="B1106" i="6"/>
  <c r="C1106" i="6"/>
  <c r="A1105" i="6"/>
  <c r="B1105" i="6"/>
  <c r="C1105" i="6"/>
  <c r="A1104" i="6"/>
  <c r="B1104" i="6"/>
  <c r="C1104" i="6"/>
  <c r="A1103" i="6"/>
  <c r="B1103" i="6"/>
  <c r="C1103" i="6"/>
  <c r="A1102" i="6"/>
  <c r="B1102" i="6"/>
  <c r="C1102" i="6"/>
  <c r="A1101" i="6"/>
  <c r="B1101" i="6"/>
  <c r="C1101" i="6"/>
  <c r="A1100" i="6"/>
  <c r="B1100" i="6"/>
  <c r="C1100" i="6"/>
  <c r="A1099" i="6"/>
  <c r="B1099" i="6"/>
  <c r="C1099" i="6"/>
  <c r="A1098" i="6"/>
  <c r="B1098" i="6"/>
  <c r="C1098" i="6"/>
  <c r="A1097" i="6"/>
  <c r="B1097" i="6"/>
  <c r="C1097" i="6"/>
  <c r="A1096" i="6"/>
  <c r="B1096" i="6"/>
  <c r="C1096" i="6"/>
  <c r="A1095" i="6"/>
  <c r="B1095" i="6"/>
  <c r="C1095" i="6"/>
  <c r="A1094" i="6"/>
  <c r="B1094" i="6"/>
  <c r="C1094" i="6"/>
  <c r="A1093" i="6"/>
  <c r="B1093" i="6"/>
  <c r="C1093" i="6"/>
  <c r="A1092" i="6"/>
  <c r="B1092" i="6"/>
  <c r="C1092" i="6"/>
  <c r="A1091" i="6"/>
  <c r="B1091" i="6"/>
  <c r="C1091" i="6"/>
  <c r="A1090" i="6"/>
  <c r="B1090" i="6"/>
  <c r="C1090" i="6"/>
  <c r="A1089" i="6"/>
  <c r="B1089" i="6"/>
  <c r="C1089" i="6"/>
  <c r="A1088" i="6"/>
  <c r="B1088" i="6"/>
  <c r="C1088" i="6"/>
  <c r="A1087" i="6"/>
  <c r="B1087" i="6"/>
  <c r="C1087" i="6"/>
  <c r="A1086" i="6"/>
  <c r="B1086" i="6"/>
  <c r="C1086" i="6"/>
  <c r="A1085" i="6"/>
  <c r="B1085" i="6"/>
  <c r="C1085" i="6"/>
  <c r="A1084" i="6"/>
  <c r="B1084" i="6"/>
  <c r="C1084" i="6"/>
  <c r="A1083" i="6"/>
  <c r="B1083" i="6"/>
  <c r="C1083" i="6"/>
  <c r="A1082" i="6"/>
  <c r="B1082" i="6"/>
  <c r="C1082" i="6"/>
  <c r="A1081" i="6"/>
  <c r="B1081" i="6"/>
  <c r="C1081" i="6"/>
  <c r="A1080" i="6"/>
  <c r="B1080" i="6"/>
  <c r="C1080" i="6"/>
  <c r="A1079" i="6"/>
  <c r="B1079" i="6"/>
  <c r="C1079" i="6"/>
  <c r="A1078" i="6"/>
  <c r="B1078" i="6"/>
  <c r="C1078" i="6"/>
  <c r="A1077" i="6"/>
  <c r="B1077" i="6"/>
  <c r="C1077" i="6"/>
  <c r="A1076" i="6"/>
  <c r="B1076" i="6"/>
  <c r="C1076" i="6"/>
  <c r="A1075" i="6"/>
  <c r="B1075" i="6"/>
  <c r="C1075" i="6"/>
  <c r="A1074" i="6"/>
  <c r="B1074" i="6"/>
  <c r="C1074" i="6"/>
  <c r="A1073" i="6"/>
  <c r="B1073" i="6"/>
  <c r="C1073" i="6"/>
  <c r="A1072" i="6"/>
  <c r="B1072" i="6"/>
  <c r="C1072" i="6"/>
  <c r="A1071" i="6"/>
  <c r="B1071" i="6"/>
  <c r="C1071" i="6"/>
  <c r="A1070" i="6"/>
  <c r="B1070" i="6"/>
  <c r="C1070" i="6"/>
  <c r="A1069" i="6"/>
  <c r="B1069" i="6"/>
  <c r="C1069" i="6"/>
  <c r="A1068" i="6"/>
  <c r="B1068" i="6"/>
  <c r="C1068" i="6"/>
  <c r="A1067" i="6"/>
  <c r="B1067" i="6"/>
  <c r="C1067" i="6"/>
  <c r="A1066" i="6"/>
  <c r="B1066" i="6"/>
  <c r="C1066" i="6"/>
  <c r="A1065" i="6"/>
  <c r="B1065" i="6"/>
  <c r="C1065" i="6"/>
  <c r="A1064" i="6"/>
  <c r="B1064" i="6"/>
  <c r="C1064" i="6"/>
  <c r="A1063" i="6"/>
  <c r="B1063" i="6"/>
  <c r="C1063" i="6"/>
  <c r="A1062" i="6"/>
  <c r="B1062" i="6"/>
  <c r="C1062" i="6"/>
  <c r="A1061" i="6"/>
  <c r="B1061" i="6"/>
  <c r="C1061" i="6"/>
  <c r="A1060" i="6"/>
  <c r="B1060" i="6"/>
  <c r="C1060" i="6"/>
  <c r="A1059" i="6"/>
  <c r="B1059" i="6"/>
  <c r="C1059" i="6"/>
  <c r="A1058" i="6"/>
  <c r="B1058" i="6"/>
  <c r="C1058" i="6"/>
  <c r="A1057" i="6"/>
  <c r="B1057" i="6"/>
  <c r="C1057" i="6"/>
  <c r="A1056" i="6"/>
  <c r="B1056" i="6"/>
  <c r="C1056" i="6"/>
  <c r="A1055" i="6"/>
  <c r="B1055" i="6"/>
  <c r="C1055" i="6"/>
  <c r="A1054" i="6"/>
  <c r="B1054" i="6"/>
  <c r="C1054" i="6"/>
  <c r="A1053" i="6"/>
  <c r="B1053" i="6"/>
  <c r="C1053" i="6"/>
  <c r="A1052" i="6"/>
  <c r="B1052" i="6"/>
  <c r="C1052" i="6"/>
  <c r="A1051" i="6"/>
  <c r="B1051" i="6"/>
  <c r="C1051" i="6"/>
  <c r="A1050" i="6"/>
  <c r="B1050" i="6"/>
  <c r="C1050" i="6"/>
  <c r="A1049" i="6"/>
  <c r="B1049" i="6"/>
  <c r="C1049" i="6"/>
  <c r="A1048" i="6"/>
  <c r="B1048" i="6"/>
  <c r="C1048" i="6"/>
  <c r="A1047" i="6"/>
  <c r="B1047" i="6"/>
  <c r="C1047" i="6"/>
  <c r="A1046" i="6"/>
  <c r="B1046" i="6"/>
  <c r="C1046" i="6"/>
  <c r="A1045" i="6"/>
  <c r="B1045" i="6"/>
  <c r="C1045" i="6"/>
  <c r="A1044" i="6"/>
  <c r="B1044" i="6"/>
  <c r="C1044" i="6"/>
  <c r="A1043" i="6"/>
  <c r="B1043" i="6"/>
  <c r="C1043" i="6"/>
  <c r="A1042" i="6"/>
  <c r="B1042" i="6"/>
  <c r="C1042" i="6"/>
  <c r="A1041" i="6"/>
  <c r="B1041" i="6"/>
  <c r="C1041" i="6"/>
  <c r="A1040" i="6"/>
  <c r="B1040" i="6"/>
  <c r="C1040" i="6"/>
  <c r="A1039" i="6"/>
  <c r="B1039" i="6"/>
  <c r="C1039" i="6"/>
  <c r="A1038" i="6"/>
  <c r="B1038" i="6"/>
  <c r="C1038" i="6"/>
  <c r="A1037" i="6"/>
  <c r="B1037" i="6"/>
  <c r="C1037" i="6"/>
  <c r="A1036" i="6"/>
  <c r="B1036" i="6"/>
  <c r="C1036" i="6"/>
  <c r="A1035" i="6"/>
  <c r="B1035" i="6"/>
  <c r="C1035" i="6"/>
  <c r="A1034" i="6"/>
  <c r="B1034" i="6"/>
  <c r="C1034" i="6"/>
  <c r="A1033" i="6"/>
  <c r="B1033" i="6"/>
  <c r="C1033" i="6"/>
  <c r="A1032" i="6"/>
  <c r="B1032" i="6"/>
  <c r="C1032" i="6"/>
  <c r="A1031" i="6"/>
  <c r="B1031" i="6"/>
  <c r="C1031" i="6"/>
  <c r="A1030" i="6"/>
  <c r="B1030" i="6"/>
  <c r="C1030" i="6"/>
  <c r="A1029" i="6"/>
  <c r="B1029" i="6"/>
  <c r="C1029" i="6"/>
  <c r="A1028" i="6"/>
  <c r="B1028" i="6"/>
  <c r="C1028" i="6"/>
  <c r="A1027" i="6"/>
  <c r="B1027" i="6"/>
  <c r="C1027" i="6"/>
  <c r="A1026" i="6"/>
  <c r="B1026" i="6"/>
  <c r="C1026" i="6"/>
  <c r="A1025" i="6"/>
  <c r="B1025" i="6"/>
  <c r="C1025" i="6"/>
  <c r="A1024" i="6"/>
  <c r="B1024" i="6"/>
  <c r="C1024" i="6"/>
  <c r="A1023" i="6"/>
  <c r="B1023" i="6"/>
  <c r="C1023" i="6"/>
  <c r="A1022" i="6"/>
  <c r="B1022" i="6"/>
  <c r="C1022" i="6"/>
  <c r="A1021" i="6"/>
  <c r="B1021" i="6"/>
  <c r="C1021" i="6"/>
  <c r="A1020" i="6"/>
  <c r="B1020" i="6"/>
  <c r="C1020" i="6"/>
  <c r="A1019" i="6"/>
  <c r="B1019" i="6"/>
  <c r="C1019" i="6"/>
  <c r="A1018" i="6"/>
  <c r="B1018" i="6"/>
  <c r="C1018" i="6"/>
  <c r="A1017" i="6"/>
  <c r="B1017" i="6"/>
  <c r="C1017" i="6"/>
  <c r="A1016" i="6"/>
  <c r="B1016" i="6"/>
  <c r="C1016" i="6"/>
  <c r="A1015" i="6"/>
  <c r="B1015" i="6"/>
  <c r="C1015" i="6"/>
  <c r="A1014" i="6"/>
  <c r="B1014" i="6"/>
  <c r="C1014" i="6"/>
  <c r="A1013" i="6"/>
  <c r="B1013" i="6"/>
  <c r="C1013" i="6"/>
  <c r="A1012" i="6"/>
  <c r="B1012" i="6"/>
  <c r="C1012" i="6"/>
  <c r="A1011" i="6"/>
  <c r="B1011" i="6"/>
  <c r="C1011" i="6"/>
  <c r="A1010" i="6"/>
  <c r="B1010" i="6"/>
  <c r="C1010" i="6"/>
  <c r="A1009" i="6"/>
  <c r="B1009" i="6"/>
  <c r="C1009" i="6"/>
  <c r="A1008" i="6"/>
  <c r="B1008" i="6"/>
  <c r="C1008" i="6"/>
  <c r="A1007" i="6"/>
  <c r="B1007" i="6"/>
  <c r="C1007" i="6"/>
  <c r="A1006" i="6"/>
  <c r="B1006" i="6"/>
  <c r="C1006" i="6"/>
  <c r="A1005" i="6"/>
  <c r="B1005" i="6"/>
  <c r="C1005" i="6"/>
  <c r="A1004" i="6"/>
  <c r="B1004" i="6"/>
  <c r="C1004" i="6"/>
  <c r="A1003" i="6"/>
  <c r="B1003" i="6"/>
  <c r="C1003" i="6"/>
  <c r="A1002" i="6"/>
  <c r="B1002" i="6"/>
  <c r="C1002" i="6"/>
  <c r="A1001" i="6"/>
  <c r="B1001" i="6"/>
  <c r="C1001" i="6"/>
  <c r="A1000" i="6"/>
  <c r="B1000" i="6"/>
  <c r="C1000" i="6"/>
  <c r="A999" i="6"/>
  <c r="B999" i="6"/>
  <c r="C999" i="6"/>
  <c r="A998" i="6"/>
  <c r="B998" i="6"/>
  <c r="C998" i="6"/>
  <c r="A997" i="6"/>
  <c r="B997" i="6"/>
  <c r="C997" i="6"/>
  <c r="A996" i="6"/>
  <c r="B996" i="6"/>
  <c r="C996" i="6"/>
  <c r="A995" i="6"/>
  <c r="B995" i="6"/>
  <c r="C995" i="6"/>
  <c r="A994" i="6"/>
  <c r="B994" i="6"/>
  <c r="C994" i="6"/>
  <c r="A993" i="6"/>
  <c r="B993" i="6"/>
  <c r="C993" i="6"/>
  <c r="A992" i="6"/>
  <c r="B992" i="6"/>
  <c r="C992" i="6"/>
  <c r="A991" i="6"/>
  <c r="B991" i="6"/>
  <c r="C991" i="6"/>
  <c r="A990" i="6"/>
  <c r="B990" i="6"/>
  <c r="C990" i="6"/>
  <c r="A989" i="6"/>
  <c r="B989" i="6"/>
  <c r="C989" i="6"/>
  <c r="A988" i="6"/>
  <c r="B988" i="6"/>
  <c r="C988" i="6"/>
  <c r="A987" i="6"/>
  <c r="B987" i="6"/>
  <c r="C987" i="6"/>
  <c r="A986" i="6"/>
  <c r="B986" i="6"/>
  <c r="C986" i="6"/>
  <c r="A985" i="6"/>
  <c r="B985" i="6"/>
  <c r="C985" i="6"/>
  <c r="A984" i="6"/>
  <c r="B984" i="6"/>
  <c r="C984" i="6"/>
  <c r="A983" i="6"/>
  <c r="B983" i="6"/>
  <c r="C983" i="6"/>
  <c r="A982" i="6"/>
  <c r="B982" i="6"/>
  <c r="C982" i="6"/>
  <c r="A981" i="6"/>
  <c r="B981" i="6"/>
  <c r="C981" i="6"/>
  <c r="A980" i="6"/>
  <c r="B980" i="6"/>
  <c r="C980" i="6"/>
  <c r="A979" i="6"/>
  <c r="B979" i="6"/>
  <c r="C979" i="6"/>
  <c r="A978" i="6"/>
  <c r="B978" i="6"/>
  <c r="C978" i="6"/>
  <c r="A977" i="6"/>
  <c r="B977" i="6"/>
  <c r="C977" i="6"/>
  <c r="A976" i="6"/>
  <c r="B976" i="6"/>
  <c r="C976" i="6"/>
  <c r="A975" i="6"/>
  <c r="B975" i="6"/>
  <c r="C975" i="6"/>
  <c r="A974" i="6"/>
  <c r="B974" i="6"/>
  <c r="C974" i="6"/>
  <c r="A973" i="6"/>
  <c r="B973" i="6"/>
  <c r="C973" i="6"/>
  <c r="A972" i="6"/>
  <c r="B972" i="6"/>
  <c r="C972" i="6"/>
  <c r="A971" i="6"/>
  <c r="B971" i="6"/>
  <c r="C971" i="6"/>
  <c r="A970" i="6"/>
  <c r="B970" i="6"/>
  <c r="C970" i="6"/>
  <c r="A969" i="6"/>
  <c r="B969" i="6"/>
  <c r="C969" i="6"/>
  <c r="A968" i="6"/>
  <c r="B968" i="6"/>
  <c r="C968" i="6"/>
  <c r="A967" i="6"/>
  <c r="B967" i="6"/>
  <c r="C967" i="6"/>
  <c r="A966" i="6"/>
  <c r="B966" i="6"/>
  <c r="C966" i="6"/>
  <c r="A965" i="6"/>
  <c r="B965" i="6"/>
  <c r="C965" i="6"/>
  <c r="A964" i="6"/>
  <c r="B964" i="6"/>
  <c r="C964" i="6"/>
  <c r="A963" i="6"/>
  <c r="B963" i="6"/>
  <c r="C963" i="6"/>
  <c r="A962" i="6"/>
  <c r="B962" i="6"/>
  <c r="C962" i="6"/>
  <c r="A961" i="6"/>
  <c r="B961" i="6"/>
  <c r="C961" i="6"/>
  <c r="A960" i="6"/>
  <c r="B960" i="6"/>
  <c r="C960" i="6"/>
  <c r="A959" i="6"/>
  <c r="B959" i="6"/>
  <c r="C959" i="6"/>
  <c r="A958" i="6"/>
  <c r="B958" i="6"/>
  <c r="C958" i="6"/>
  <c r="A957" i="6"/>
  <c r="B957" i="6"/>
  <c r="C957" i="6"/>
  <c r="A956" i="6"/>
  <c r="B956" i="6"/>
  <c r="C956" i="6"/>
  <c r="A955" i="6"/>
  <c r="B955" i="6"/>
  <c r="C955" i="6"/>
  <c r="A954" i="6"/>
  <c r="B954" i="6"/>
  <c r="C954" i="6"/>
  <c r="A953" i="6"/>
  <c r="B953" i="6"/>
  <c r="C953" i="6"/>
  <c r="A952" i="6"/>
  <c r="B952" i="6"/>
  <c r="C952" i="6"/>
  <c r="A951" i="6"/>
  <c r="B951" i="6"/>
  <c r="C951" i="6"/>
  <c r="A950" i="6"/>
  <c r="B950" i="6"/>
  <c r="C950" i="6"/>
  <c r="A949" i="6"/>
  <c r="B949" i="6"/>
  <c r="C949" i="6"/>
  <c r="A948" i="6"/>
  <c r="B948" i="6"/>
  <c r="C948" i="6"/>
  <c r="A947" i="6"/>
  <c r="B947" i="6"/>
  <c r="C947" i="6"/>
  <c r="A946" i="6"/>
  <c r="B946" i="6"/>
  <c r="C946" i="6"/>
  <c r="A945" i="6"/>
  <c r="B945" i="6"/>
  <c r="C945" i="6"/>
  <c r="A944" i="6"/>
  <c r="B944" i="6"/>
  <c r="C944" i="6"/>
  <c r="A943" i="6"/>
  <c r="B943" i="6"/>
  <c r="C943" i="6"/>
  <c r="A942" i="6"/>
  <c r="B942" i="6"/>
  <c r="C942" i="6"/>
  <c r="A941" i="6"/>
  <c r="B941" i="6"/>
  <c r="C941" i="6"/>
  <c r="A940" i="6"/>
  <c r="B940" i="6"/>
  <c r="C940" i="6"/>
  <c r="A939" i="6"/>
  <c r="B939" i="6"/>
  <c r="C939" i="6"/>
  <c r="A938" i="6"/>
  <c r="B938" i="6"/>
  <c r="C938" i="6"/>
  <c r="A937" i="6"/>
  <c r="B937" i="6"/>
  <c r="C937" i="6"/>
  <c r="A936" i="6"/>
  <c r="B936" i="6"/>
  <c r="C936" i="6"/>
  <c r="A935" i="6"/>
  <c r="B935" i="6"/>
  <c r="C935" i="6"/>
  <c r="A934" i="6"/>
  <c r="B934" i="6"/>
  <c r="C934" i="6"/>
  <c r="A933" i="6"/>
  <c r="B933" i="6"/>
  <c r="C933" i="6"/>
  <c r="A932" i="6"/>
  <c r="B932" i="6"/>
  <c r="C932" i="6"/>
  <c r="A931" i="6"/>
  <c r="B931" i="6"/>
  <c r="C931" i="6"/>
  <c r="A930" i="6"/>
  <c r="B930" i="6"/>
  <c r="C930" i="6"/>
  <c r="A929" i="6"/>
  <c r="B929" i="6"/>
  <c r="C929" i="6"/>
  <c r="A928" i="6"/>
  <c r="B928" i="6"/>
  <c r="C928" i="6"/>
  <c r="A927" i="6"/>
  <c r="B927" i="6"/>
  <c r="C927" i="6"/>
  <c r="A926" i="6"/>
  <c r="B926" i="6"/>
  <c r="C926" i="6"/>
  <c r="A925" i="6"/>
  <c r="B925" i="6"/>
  <c r="C925" i="6"/>
  <c r="A924" i="6"/>
  <c r="B924" i="6"/>
  <c r="C924" i="6"/>
  <c r="A923" i="6"/>
  <c r="B923" i="6"/>
  <c r="C923" i="6"/>
  <c r="A922" i="6"/>
  <c r="B922" i="6"/>
  <c r="C922" i="6"/>
  <c r="A921" i="6"/>
  <c r="B921" i="6"/>
  <c r="C921" i="6"/>
  <c r="A920" i="6"/>
  <c r="B920" i="6"/>
  <c r="C920" i="6"/>
  <c r="A919" i="6"/>
  <c r="B919" i="6"/>
  <c r="C919" i="6"/>
  <c r="A918" i="6"/>
  <c r="B918" i="6"/>
  <c r="C918" i="6"/>
  <c r="A917" i="6"/>
  <c r="B917" i="6"/>
  <c r="C917" i="6"/>
  <c r="A916" i="6"/>
  <c r="B916" i="6"/>
  <c r="C916" i="6"/>
  <c r="A915" i="6"/>
  <c r="B915" i="6"/>
  <c r="C915" i="6"/>
  <c r="A914" i="6"/>
  <c r="B914" i="6"/>
  <c r="C914" i="6"/>
  <c r="A913" i="6"/>
  <c r="B913" i="6"/>
  <c r="C913" i="6"/>
  <c r="A912" i="6"/>
  <c r="B912" i="6"/>
  <c r="C912" i="6"/>
  <c r="A911" i="6"/>
  <c r="B911" i="6"/>
  <c r="C911" i="6"/>
  <c r="A910" i="6"/>
  <c r="B910" i="6"/>
  <c r="C910" i="6"/>
  <c r="A909" i="6"/>
  <c r="B909" i="6"/>
  <c r="C909" i="6"/>
  <c r="A908" i="6"/>
  <c r="B908" i="6"/>
  <c r="C908" i="6"/>
  <c r="A907" i="6"/>
  <c r="B907" i="6"/>
  <c r="C907" i="6"/>
  <c r="A906" i="6"/>
  <c r="B906" i="6"/>
  <c r="C906" i="6"/>
  <c r="A905" i="6"/>
  <c r="B905" i="6"/>
  <c r="C905" i="6"/>
  <c r="A904" i="6"/>
  <c r="B904" i="6"/>
  <c r="C904" i="6"/>
  <c r="A903" i="6"/>
  <c r="B903" i="6"/>
  <c r="C903" i="6"/>
  <c r="A902" i="6"/>
  <c r="B902" i="6"/>
  <c r="C902" i="6"/>
  <c r="A901" i="6"/>
  <c r="B901" i="6"/>
  <c r="C901" i="6"/>
  <c r="A900" i="6"/>
  <c r="B900" i="6"/>
  <c r="C900" i="6"/>
  <c r="A899" i="6"/>
  <c r="B899" i="6"/>
  <c r="C899" i="6"/>
  <c r="A898" i="6"/>
  <c r="B898" i="6"/>
  <c r="C898" i="6"/>
  <c r="A897" i="6"/>
  <c r="B897" i="6"/>
  <c r="C897" i="6"/>
  <c r="A896" i="6"/>
  <c r="B896" i="6"/>
  <c r="C896" i="6"/>
  <c r="A895" i="6"/>
  <c r="B895" i="6"/>
  <c r="C895" i="6"/>
  <c r="A894" i="6"/>
  <c r="B894" i="6"/>
  <c r="C894" i="6"/>
  <c r="A893" i="6"/>
  <c r="B893" i="6"/>
  <c r="C893" i="6"/>
  <c r="A892" i="6"/>
  <c r="B892" i="6"/>
  <c r="C892" i="6"/>
  <c r="A891" i="6"/>
  <c r="B891" i="6"/>
  <c r="C891" i="6"/>
  <c r="A890" i="6"/>
  <c r="B890" i="6"/>
  <c r="C890" i="6"/>
  <c r="A889" i="6"/>
  <c r="B889" i="6"/>
  <c r="C889" i="6"/>
  <c r="A888" i="6"/>
  <c r="B888" i="6"/>
  <c r="C888" i="6"/>
  <c r="A887" i="6"/>
  <c r="B887" i="6"/>
  <c r="C887" i="6"/>
  <c r="A886" i="6"/>
  <c r="B886" i="6"/>
  <c r="C886" i="6"/>
  <c r="A885" i="6"/>
  <c r="B885" i="6"/>
  <c r="C885" i="6"/>
  <c r="A884" i="6"/>
  <c r="B884" i="6"/>
  <c r="C884" i="6"/>
  <c r="A883" i="6"/>
  <c r="B883" i="6"/>
  <c r="C883" i="6"/>
  <c r="A882" i="6"/>
  <c r="B882" i="6"/>
  <c r="C882" i="6"/>
  <c r="A881" i="6"/>
  <c r="B881" i="6"/>
  <c r="C881" i="6"/>
  <c r="A880" i="6"/>
  <c r="B880" i="6"/>
  <c r="C880" i="6"/>
  <c r="A879" i="6"/>
  <c r="B879" i="6"/>
  <c r="C879" i="6"/>
  <c r="A878" i="6"/>
  <c r="B878" i="6"/>
  <c r="C878" i="6"/>
  <c r="A877" i="6"/>
  <c r="B877" i="6"/>
  <c r="C877" i="6"/>
  <c r="A876" i="6"/>
  <c r="B876" i="6"/>
  <c r="C876" i="6"/>
  <c r="A875" i="6"/>
  <c r="B875" i="6"/>
  <c r="C875" i="6"/>
  <c r="A874" i="6"/>
  <c r="B874" i="6"/>
  <c r="C874" i="6"/>
  <c r="A873" i="6"/>
  <c r="B873" i="6"/>
  <c r="C873" i="6"/>
  <c r="A872" i="6"/>
  <c r="B872" i="6"/>
  <c r="C872" i="6"/>
  <c r="A871" i="6"/>
  <c r="B871" i="6"/>
  <c r="C871" i="6"/>
  <c r="A870" i="6"/>
  <c r="B870" i="6"/>
  <c r="C870" i="6"/>
  <c r="A869" i="6"/>
  <c r="B869" i="6"/>
  <c r="C869" i="6"/>
  <c r="A868" i="6"/>
  <c r="B868" i="6"/>
  <c r="C868" i="6"/>
  <c r="A867" i="6"/>
  <c r="B867" i="6"/>
  <c r="C867" i="6"/>
  <c r="A866" i="6"/>
  <c r="B866" i="6"/>
  <c r="C866" i="6"/>
  <c r="A865" i="6"/>
  <c r="B865" i="6"/>
  <c r="C865" i="6"/>
  <c r="A864" i="6"/>
  <c r="B864" i="6"/>
  <c r="C864" i="6"/>
  <c r="A863" i="6"/>
  <c r="B863" i="6"/>
  <c r="C863" i="6"/>
  <c r="A862" i="6"/>
  <c r="B862" i="6"/>
  <c r="C862" i="6"/>
  <c r="A861" i="6"/>
  <c r="B861" i="6"/>
  <c r="C861" i="6"/>
  <c r="A860" i="6"/>
  <c r="B860" i="6"/>
  <c r="C860" i="6"/>
  <c r="A859" i="6"/>
  <c r="B859" i="6"/>
  <c r="C859" i="6"/>
  <c r="A858" i="6"/>
  <c r="B858" i="6"/>
  <c r="C858" i="6"/>
  <c r="A857" i="6"/>
  <c r="B857" i="6"/>
  <c r="C857" i="6"/>
  <c r="A856" i="6"/>
  <c r="B856" i="6"/>
  <c r="C856" i="6"/>
  <c r="A855" i="6"/>
  <c r="B855" i="6"/>
  <c r="C855" i="6"/>
  <c r="A854" i="6"/>
  <c r="B854" i="6"/>
  <c r="C854" i="6"/>
  <c r="A853" i="6"/>
  <c r="B853" i="6"/>
  <c r="C853" i="6"/>
  <c r="A852" i="6"/>
  <c r="B852" i="6"/>
  <c r="C852" i="6"/>
  <c r="A851" i="6"/>
  <c r="B851" i="6"/>
  <c r="C851" i="6"/>
  <c r="A850" i="6"/>
  <c r="B850" i="6"/>
  <c r="C850" i="6"/>
  <c r="A849" i="6"/>
  <c r="B849" i="6"/>
  <c r="C849" i="6"/>
  <c r="A848" i="6"/>
  <c r="B848" i="6"/>
  <c r="C848" i="6"/>
  <c r="A847" i="6"/>
  <c r="B847" i="6"/>
  <c r="C847" i="6"/>
  <c r="A846" i="6"/>
  <c r="B846" i="6"/>
  <c r="C846" i="6"/>
  <c r="A845" i="6"/>
  <c r="B845" i="6"/>
  <c r="C845" i="6"/>
  <c r="A844" i="6"/>
  <c r="B844" i="6"/>
  <c r="C844" i="6"/>
  <c r="A843" i="6"/>
  <c r="B843" i="6"/>
  <c r="C843" i="6"/>
  <c r="A842" i="6"/>
  <c r="B842" i="6"/>
  <c r="C842" i="6"/>
  <c r="A841" i="6"/>
  <c r="B841" i="6"/>
  <c r="C841" i="6"/>
  <c r="A840" i="6"/>
  <c r="B840" i="6"/>
  <c r="C840" i="6"/>
  <c r="A839" i="6"/>
  <c r="B839" i="6"/>
  <c r="C839" i="6"/>
  <c r="A838" i="6"/>
  <c r="B838" i="6"/>
  <c r="C838" i="6"/>
  <c r="A837" i="6"/>
  <c r="B837" i="6"/>
  <c r="C837" i="6"/>
  <c r="A836" i="6"/>
  <c r="B836" i="6"/>
  <c r="C836" i="6"/>
  <c r="A835" i="6"/>
  <c r="B835" i="6"/>
  <c r="C835" i="6"/>
  <c r="A834" i="6"/>
  <c r="B834" i="6"/>
  <c r="C834" i="6"/>
  <c r="A833" i="6"/>
  <c r="B833" i="6"/>
  <c r="C833" i="6"/>
  <c r="A832" i="6"/>
  <c r="B832" i="6"/>
  <c r="C832" i="6"/>
  <c r="A831" i="6"/>
  <c r="B831" i="6"/>
  <c r="C831" i="6"/>
  <c r="A830" i="6"/>
  <c r="B830" i="6"/>
  <c r="C830" i="6"/>
  <c r="A829" i="6"/>
  <c r="B829" i="6"/>
  <c r="C829" i="6"/>
  <c r="A828" i="6"/>
  <c r="B828" i="6"/>
  <c r="C828" i="6"/>
  <c r="A827" i="6"/>
  <c r="B827" i="6"/>
  <c r="C827" i="6"/>
  <c r="A826" i="6"/>
  <c r="B826" i="6"/>
  <c r="C826" i="6"/>
  <c r="A825" i="6"/>
  <c r="B825" i="6"/>
  <c r="C825" i="6"/>
  <c r="A824" i="6"/>
  <c r="B824" i="6"/>
  <c r="C824" i="6"/>
  <c r="A823" i="6"/>
  <c r="B823" i="6"/>
  <c r="C823" i="6"/>
  <c r="A822" i="6"/>
  <c r="B822" i="6"/>
  <c r="C822" i="6"/>
  <c r="A821" i="6"/>
  <c r="B821" i="6"/>
  <c r="C821" i="6"/>
  <c r="A820" i="6"/>
  <c r="B820" i="6"/>
  <c r="C820" i="6"/>
  <c r="A819" i="6"/>
  <c r="B819" i="6"/>
  <c r="C819" i="6"/>
  <c r="A818" i="6"/>
  <c r="B818" i="6"/>
  <c r="C818" i="6"/>
  <c r="A817" i="6"/>
  <c r="B817" i="6"/>
  <c r="C817" i="6"/>
  <c r="A816" i="6"/>
  <c r="B816" i="6"/>
  <c r="C816" i="6"/>
  <c r="A815" i="6"/>
  <c r="B815" i="6"/>
  <c r="C815" i="6"/>
  <c r="A814" i="6"/>
  <c r="B814" i="6"/>
  <c r="C814" i="6"/>
  <c r="A813" i="6"/>
  <c r="B813" i="6"/>
  <c r="C813" i="6"/>
  <c r="A812" i="6"/>
  <c r="B812" i="6"/>
  <c r="C812" i="6"/>
  <c r="A811" i="6"/>
  <c r="B811" i="6"/>
  <c r="C811" i="6"/>
  <c r="A810" i="6"/>
  <c r="B810" i="6"/>
  <c r="C810" i="6"/>
  <c r="A809" i="6"/>
  <c r="B809" i="6"/>
  <c r="C809" i="6"/>
  <c r="A808" i="6"/>
  <c r="B808" i="6"/>
  <c r="C808" i="6"/>
  <c r="A807" i="6"/>
  <c r="B807" i="6"/>
  <c r="C807" i="6"/>
  <c r="A806" i="6"/>
  <c r="B806" i="6"/>
  <c r="C806" i="6"/>
  <c r="A805" i="6"/>
  <c r="B805" i="6"/>
  <c r="C805" i="6"/>
  <c r="A804" i="6"/>
  <c r="B804" i="6"/>
  <c r="C804" i="6"/>
  <c r="A803" i="6"/>
  <c r="B803" i="6"/>
  <c r="C803" i="6"/>
  <c r="A802" i="6"/>
  <c r="B802" i="6"/>
  <c r="C802" i="6"/>
  <c r="A801" i="6"/>
  <c r="B801" i="6"/>
  <c r="C801" i="6"/>
  <c r="A800" i="6"/>
  <c r="B800" i="6"/>
  <c r="C800" i="6"/>
  <c r="A799" i="6"/>
  <c r="B799" i="6"/>
  <c r="C799" i="6"/>
  <c r="A798" i="6"/>
  <c r="B798" i="6"/>
  <c r="C798" i="6"/>
  <c r="A797" i="6"/>
  <c r="B797" i="6"/>
  <c r="C797" i="6"/>
  <c r="A796" i="6"/>
  <c r="B796" i="6"/>
  <c r="C796" i="6"/>
  <c r="A795" i="6"/>
  <c r="B795" i="6"/>
  <c r="C795" i="6"/>
  <c r="A794" i="6"/>
  <c r="B794" i="6"/>
  <c r="C794" i="6"/>
  <c r="A793" i="6"/>
  <c r="B793" i="6"/>
  <c r="C793" i="6"/>
  <c r="A792" i="6"/>
  <c r="B792" i="6"/>
  <c r="C792" i="6"/>
  <c r="A791" i="6"/>
  <c r="B791" i="6"/>
  <c r="C791" i="6"/>
  <c r="A790" i="6"/>
  <c r="B790" i="6"/>
  <c r="C790" i="6"/>
  <c r="A789" i="6"/>
  <c r="B789" i="6"/>
  <c r="C789" i="6"/>
  <c r="A788" i="6"/>
  <c r="B788" i="6"/>
  <c r="C788" i="6"/>
  <c r="A787" i="6"/>
  <c r="B787" i="6"/>
  <c r="C787" i="6"/>
  <c r="A786" i="6"/>
  <c r="B786" i="6"/>
  <c r="C786" i="6"/>
  <c r="A785" i="6"/>
  <c r="B785" i="6"/>
  <c r="C785" i="6"/>
  <c r="A784" i="6"/>
  <c r="B784" i="6"/>
  <c r="C784" i="6"/>
  <c r="A783" i="6"/>
  <c r="B783" i="6"/>
  <c r="C783" i="6"/>
  <c r="A782" i="6"/>
  <c r="B782" i="6"/>
  <c r="C782" i="6"/>
  <c r="A781" i="6"/>
  <c r="B781" i="6"/>
  <c r="C781" i="6"/>
  <c r="A780" i="6"/>
  <c r="B780" i="6"/>
  <c r="C780" i="6"/>
  <c r="A779" i="6"/>
  <c r="B779" i="6"/>
  <c r="C779" i="6"/>
  <c r="A778" i="6"/>
  <c r="B778" i="6"/>
  <c r="C778" i="6"/>
  <c r="A777" i="6"/>
  <c r="B777" i="6"/>
  <c r="C777" i="6"/>
  <c r="A776" i="6"/>
  <c r="B776" i="6"/>
  <c r="C776" i="6"/>
  <c r="A775" i="6"/>
  <c r="B775" i="6"/>
  <c r="C775" i="6"/>
  <c r="A774" i="6"/>
  <c r="B774" i="6"/>
  <c r="C774" i="6"/>
  <c r="A773" i="6"/>
  <c r="B773" i="6"/>
  <c r="C773" i="6"/>
  <c r="A772" i="6"/>
  <c r="B772" i="6"/>
  <c r="C772" i="6"/>
  <c r="A771" i="6"/>
  <c r="B771" i="6"/>
  <c r="C771" i="6"/>
  <c r="A770" i="6"/>
  <c r="B770" i="6"/>
  <c r="C770" i="6"/>
  <c r="A769" i="6"/>
  <c r="B769" i="6"/>
  <c r="C769" i="6"/>
  <c r="A768" i="6"/>
  <c r="B768" i="6"/>
  <c r="C768" i="6"/>
  <c r="A767" i="6"/>
  <c r="B767" i="6"/>
  <c r="C767" i="6"/>
  <c r="A766" i="6"/>
  <c r="B766" i="6"/>
  <c r="C766" i="6"/>
  <c r="A765" i="6"/>
  <c r="B765" i="6"/>
  <c r="C765" i="6"/>
  <c r="A764" i="6"/>
  <c r="B764" i="6"/>
  <c r="C764" i="6"/>
  <c r="A763" i="6"/>
  <c r="B763" i="6"/>
  <c r="C763" i="6"/>
  <c r="A762" i="6"/>
  <c r="B762" i="6"/>
  <c r="C762" i="6"/>
  <c r="A761" i="6"/>
  <c r="B761" i="6"/>
  <c r="C761" i="6"/>
  <c r="A760" i="6"/>
  <c r="B760" i="6"/>
  <c r="C760" i="6"/>
  <c r="A759" i="6"/>
  <c r="B759" i="6"/>
  <c r="C759" i="6"/>
  <c r="A758" i="6"/>
  <c r="B758" i="6"/>
  <c r="C758" i="6"/>
  <c r="A757" i="6"/>
  <c r="B757" i="6"/>
  <c r="C757" i="6"/>
  <c r="A756" i="6"/>
  <c r="B756" i="6"/>
  <c r="C756" i="6"/>
  <c r="A755" i="6"/>
  <c r="B755" i="6"/>
  <c r="C755" i="6"/>
  <c r="A754" i="6"/>
  <c r="B754" i="6"/>
  <c r="C754" i="6"/>
  <c r="A753" i="6"/>
  <c r="B753" i="6"/>
  <c r="C753" i="6"/>
  <c r="A752" i="6"/>
  <c r="B752" i="6"/>
  <c r="C752" i="6"/>
  <c r="A751" i="6"/>
  <c r="B751" i="6"/>
  <c r="C751" i="6"/>
  <c r="A750" i="6"/>
  <c r="B750" i="6"/>
  <c r="C750" i="6"/>
  <c r="A749" i="6"/>
  <c r="B749" i="6"/>
  <c r="C749" i="6"/>
  <c r="A748" i="6"/>
  <c r="B748" i="6"/>
  <c r="C748" i="6"/>
  <c r="A747" i="6"/>
  <c r="B747" i="6"/>
  <c r="C747" i="6"/>
  <c r="A746" i="6"/>
  <c r="B746" i="6"/>
  <c r="C746" i="6"/>
  <c r="A745" i="6"/>
  <c r="B745" i="6"/>
  <c r="C745" i="6"/>
  <c r="A744" i="6"/>
  <c r="B744" i="6"/>
  <c r="C744" i="6"/>
  <c r="A743" i="6"/>
  <c r="B743" i="6"/>
  <c r="C743" i="6"/>
  <c r="A742" i="6"/>
  <c r="B742" i="6"/>
  <c r="C742" i="6"/>
  <c r="A741" i="6"/>
  <c r="B741" i="6"/>
  <c r="C741" i="6"/>
  <c r="A740" i="6"/>
  <c r="B740" i="6"/>
  <c r="C740" i="6"/>
  <c r="A739" i="6"/>
  <c r="B739" i="6"/>
  <c r="C739" i="6"/>
  <c r="A738" i="6"/>
  <c r="B738" i="6"/>
  <c r="C738" i="6"/>
  <c r="A737" i="6"/>
  <c r="B737" i="6"/>
  <c r="C737" i="6"/>
  <c r="A736" i="6"/>
  <c r="B736" i="6"/>
  <c r="C736" i="6"/>
  <c r="A735" i="6"/>
  <c r="B735" i="6"/>
  <c r="C735" i="6"/>
  <c r="A734" i="6"/>
  <c r="B734" i="6"/>
  <c r="C734" i="6"/>
  <c r="A733" i="6"/>
  <c r="B733" i="6"/>
  <c r="C733" i="6"/>
  <c r="A732" i="6"/>
  <c r="B732" i="6"/>
  <c r="C732" i="6"/>
  <c r="A731" i="6"/>
  <c r="B731" i="6"/>
  <c r="C731" i="6"/>
  <c r="A730" i="6"/>
  <c r="B730" i="6"/>
  <c r="C730" i="6"/>
  <c r="A729" i="6"/>
  <c r="B729" i="6"/>
  <c r="C729" i="6"/>
  <c r="A728" i="6"/>
  <c r="B728" i="6"/>
  <c r="C728" i="6"/>
  <c r="A727" i="6"/>
  <c r="B727" i="6"/>
  <c r="C727" i="6"/>
  <c r="A726" i="6"/>
  <c r="B726" i="6"/>
  <c r="C726" i="6"/>
  <c r="A725" i="6"/>
  <c r="B725" i="6"/>
  <c r="C725" i="6"/>
  <c r="A724" i="6"/>
  <c r="B724" i="6"/>
  <c r="C724" i="6"/>
  <c r="A723" i="6"/>
  <c r="B723" i="6"/>
  <c r="C723" i="6"/>
  <c r="A722" i="6"/>
  <c r="B722" i="6"/>
  <c r="C722" i="6"/>
  <c r="A721" i="6"/>
  <c r="B721" i="6"/>
  <c r="C721" i="6"/>
  <c r="A720" i="6"/>
  <c r="B720" i="6"/>
  <c r="C720" i="6"/>
  <c r="A719" i="6"/>
  <c r="B719" i="6"/>
  <c r="C719" i="6"/>
  <c r="A718" i="6"/>
  <c r="B718" i="6"/>
  <c r="C718" i="6"/>
  <c r="A717" i="6"/>
  <c r="B717" i="6"/>
  <c r="C717" i="6"/>
  <c r="A716" i="6"/>
  <c r="B716" i="6"/>
  <c r="C716" i="6"/>
  <c r="A715" i="6"/>
  <c r="B715" i="6"/>
  <c r="C715" i="6"/>
  <c r="A714" i="6"/>
  <c r="B714" i="6"/>
  <c r="C714" i="6"/>
  <c r="A713" i="6"/>
  <c r="B713" i="6"/>
  <c r="C713" i="6"/>
  <c r="A712" i="6"/>
  <c r="B712" i="6"/>
  <c r="C712" i="6"/>
  <c r="A711" i="6"/>
  <c r="B711" i="6"/>
  <c r="C711" i="6"/>
  <c r="A710" i="6"/>
  <c r="B710" i="6"/>
  <c r="C710" i="6"/>
  <c r="A709" i="6"/>
  <c r="B709" i="6"/>
  <c r="C709" i="6"/>
  <c r="A708" i="6"/>
  <c r="B708" i="6"/>
  <c r="C708" i="6"/>
  <c r="A707" i="6"/>
  <c r="B707" i="6"/>
  <c r="C707" i="6"/>
  <c r="A706" i="6"/>
  <c r="B706" i="6"/>
  <c r="C706" i="6"/>
  <c r="A705" i="6"/>
  <c r="B705" i="6"/>
  <c r="C705" i="6"/>
  <c r="A704" i="6"/>
  <c r="B704" i="6"/>
  <c r="C704" i="6"/>
  <c r="A703" i="6"/>
  <c r="B703" i="6"/>
  <c r="C703" i="6"/>
  <c r="A702" i="6"/>
  <c r="B702" i="6"/>
  <c r="C702" i="6"/>
  <c r="A701" i="6"/>
  <c r="B701" i="6"/>
  <c r="C701" i="6"/>
  <c r="A700" i="6"/>
  <c r="B700" i="6"/>
  <c r="C700" i="6"/>
  <c r="A699" i="6"/>
  <c r="B699" i="6"/>
  <c r="C699" i="6"/>
  <c r="A698" i="6"/>
  <c r="B698" i="6"/>
  <c r="C698" i="6"/>
  <c r="A697" i="6"/>
  <c r="B697" i="6"/>
  <c r="C697" i="6"/>
  <c r="A696" i="6"/>
  <c r="B696" i="6"/>
  <c r="C696" i="6"/>
  <c r="A695" i="6"/>
  <c r="B695" i="6"/>
  <c r="C695" i="6"/>
  <c r="A694" i="6"/>
  <c r="B694" i="6"/>
  <c r="C694" i="6"/>
  <c r="A693" i="6"/>
  <c r="B693" i="6"/>
  <c r="C693" i="6"/>
  <c r="A692" i="6"/>
  <c r="B692" i="6"/>
  <c r="C692" i="6"/>
  <c r="A691" i="6"/>
  <c r="B691" i="6"/>
  <c r="C691" i="6"/>
  <c r="A690" i="6"/>
  <c r="B690" i="6"/>
  <c r="C690" i="6"/>
  <c r="A689" i="6"/>
  <c r="B689" i="6"/>
  <c r="C689" i="6"/>
  <c r="A688" i="6"/>
  <c r="B688" i="6"/>
  <c r="C688" i="6"/>
  <c r="A687" i="6"/>
  <c r="B687" i="6"/>
  <c r="C687" i="6"/>
  <c r="A686" i="6"/>
  <c r="B686" i="6"/>
  <c r="C686" i="6"/>
  <c r="A685" i="6"/>
  <c r="B685" i="6"/>
  <c r="C685" i="6"/>
  <c r="A684" i="6"/>
  <c r="B684" i="6"/>
  <c r="C684" i="6"/>
  <c r="A683" i="6"/>
  <c r="B683" i="6"/>
  <c r="C683" i="6"/>
  <c r="A682" i="6"/>
  <c r="B682" i="6"/>
  <c r="C682" i="6"/>
  <c r="A681" i="6"/>
  <c r="B681" i="6"/>
  <c r="C681" i="6"/>
  <c r="A680" i="6"/>
  <c r="B680" i="6"/>
  <c r="C680" i="6"/>
  <c r="A679" i="6"/>
  <c r="B679" i="6"/>
  <c r="C679" i="6"/>
  <c r="A678" i="6"/>
  <c r="B678" i="6"/>
  <c r="C678" i="6"/>
  <c r="A677" i="6"/>
  <c r="B677" i="6"/>
  <c r="C677" i="6"/>
  <c r="A676" i="6"/>
  <c r="B676" i="6"/>
  <c r="C676" i="6"/>
  <c r="A675" i="6"/>
  <c r="B675" i="6"/>
  <c r="C675" i="6"/>
  <c r="A674" i="6"/>
  <c r="B674" i="6"/>
  <c r="C674" i="6"/>
  <c r="A673" i="6"/>
  <c r="B673" i="6"/>
  <c r="C673" i="6"/>
  <c r="A672" i="6"/>
  <c r="B672" i="6"/>
  <c r="C672" i="6"/>
  <c r="A671" i="6"/>
  <c r="B671" i="6"/>
  <c r="C671" i="6"/>
  <c r="A670" i="6"/>
  <c r="B670" i="6"/>
  <c r="C670" i="6"/>
  <c r="A669" i="6"/>
  <c r="B669" i="6"/>
  <c r="C669" i="6"/>
  <c r="A668" i="6"/>
  <c r="B668" i="6"/>
  <c r="C668" i="6"/>
  <c r="A667" i="6"/>
  <c r="B667" i="6"/>
  <c r="C667" i="6"/>
  <c r="A666" i="6"/>
  <c r="B666" i="6"/>
  <c r="C666" i="6"/>
  <c r="A665" i="6"/>
  <c r="B665" i="6"/>
  <c r="C665" i="6"/>
  <c r="A664" i="6"/>
  <c r="B664" i="6"/>
  <c r="C664" i="6"/>
  <c r="A663" i="6"/>
  <c r="B663" i="6"/>
  <c r="C663" i="6"/>
  <c r="A662" i="6"/>
  <c r="B662" i="6"/>
  <c r="C662" i="6"/>
  <c r="A661" i="6"/>
  <c r="B661" i="6"/>
  <c r="C661" i="6"/>
  <c r="A660" i="6"/>
  <c r="B660" i="6"/>
  <c r="C660" i="6"/>
  <c r="A659" i="6"/>
  <c r="B659" i="6"/>
  <c r="C659" i="6"/>
  <c r="A658" i="6"/>
  <c r="B658" i="6"/>
  <c r="C658" i="6"/>
  <c r="A657" i="6"/>
  <c r="B657" i="6"/>
  <c r="C657" i="6"/>
  <c r="A656" i="6"/>
  <c r="B656" i="6"/>
  <c r="C656" i="6"/>
  <c r="A655" i="6"/>
  <c r="B655" i="6"/>
  <c r="C655" i="6"/>
  <c r="A654" i="6"/>
  <c r="B654" i="6"/>
  <c r="C654" i="6"/>
  <c r="A653" i="6"/>
  <c r="B653" i="6"/>
  <c r="C653" i="6"/>
  <c r="A652" i="6"/>
  <c r="B652" i="6"/>
  <c r="C652" i="6"/>
  <c r="A651" i="6"/>
  <c r="B651" i="6"/>
  <c r="C651" i="6"/>
  <c r="A650" i="6"/>
  <c r="B650" i="6"/>
  <c r="C650" i="6"/>
  <c r="A649" i="6"/>
  <c r="B649" i="6"/>
  <c r="C649" i="6"/>
  <c r="A648" i="6"/>
  <c r="B648" i="6"/>
  <c r="C648" i="6"/>
  <c r="A647" i="6"/>
  <c r="B647" i="6"/>
  <c r="C647" i="6"/>
  <c r="A646" i="6"/>
  <c r="B646" i="6"/>
  <c r="C646" i="6"/>
  <c r="A645" i="6"/>
  <c r="B645" i="6"/>
  <c r="C645" i="6"/>
  <c r="A644" i="6"/>
  <c r="B644" i="6"/>
  <c r="C644" i="6"/>
  <c r="A643" i="6"/>
  <c r="B643" i="6"/>
  <c r="C643" i="6"/>
  <c r="A642" i="6"/>
  <c r="B642" i="6"/>
  <c r="C642" i="6"/>
  <c r="A641" i="6"/>
  <c r="B641" i="6"/>
  <c r="C641" i="6"/>
  <c r="A640" i="6"/>
  <c r="B640" i="6"/>
  <c r="C640" i="6"/>
  <c r="A639" i="6"/>
  <c r="B639" i="6"/>
  <c r="C639" i="6"/>
  <c r="A638" i="6"/>
  <c r="B638" i="6"/>
  <c r="C638" i="6"/>
  <c r="A637" i="6"/>
  <c r="B637" i="6"/>
  <c r="C637" i="6"/>
  <c r="A636" i="6"/>
  <c r="B636" i="6"/>
  <c r="C636" i="6"/>
  <c r="A635" i="6"/>
  <c r="B635" i="6"/>
  <c r="C635" i="6"/>
  <c r="A634" i="6"/>
  <c r="B634" i="6"/>
  <c r="C634" i="6"/>
  <c r="A633" i="6"/>
  <c r="B633" i="6"/>
  <c r="C633" i="6"/>
  <c r="A632" i="6"/>
  <c r="B632" i="6"/>
  <c r="C632" i="6"/>
  <c r="A631" i="6"/>
  <c r="B631" i="6"/>
  <c r="C631" i="6"/>
  <c r="A630" i="6"/>
  <c r="B630" i="6"/>
  <c r="C630" i="6"/>
  <c r="A629" i="6"/>
  <c r="B629" i="6"/>
  <c r="C629" i="6"/>
  <c r="A628" i="6"/>
  <c r="B628" i="6"/>
  <c r="C628" i="6"/>
  <c r="A627" i="6"/>
  <c r="B627" i="6"/>
  <c r="C627" i="6"/>
  <c r="A626" i="6"/>
  <c r="B626" i="6"/>
  <c r="C626" i="6"/>
  <c r="A625" i="6"/>
  <c r="B625" i="6"/>
  <c r="C625" i="6"/>
  <c r="A624" i="6"/>
  <c r="B624" i="6"/>
  <c r="C624" i="6"/>
  <c r="A623" i="6"/>
  <c r="B623" i="6"/>
  <c r="C623" i="6"/>
  <c r="A622" i="6"/>
  <c r="B622" i="6"/>
  <c r="C622" i="6"/>
  <c r="A621" i="6"/>
  <c r="B621" i="6"/>
  <c r="C621" i="6"/>
  <c r="A620" i="6"/>
  <c r="B620" i="6"/>
  <c r="C620" i="6"/>
  <c r="A619" i="6"/>
  <c r="B619" i="6"/>
  <c r="C619" i="6"/>
  <c r="A618" i="6"/>
  <c r="B618" i="6"/>
  <c r="C618" i="6"/>
  <c r="A617" i="6"/>
  <c r="B617" i="6"/>
  <c r="C617" i="6"/>
  <c r="A616" i="6"/>
  <c r="B616" i="6"/>
  <c r="C616" i="6"/>
  <c r="A615" i="6"/>
  <c r="B615" i="6"/>
  <c r="C615" i="6"/>
  <c r="A614" i="6"/>
  <c r="B614" i="6"/>
  <c r="C614" i="6"/>
  <c r="A613" i="6"/>
  <c r="B613" i="6"/>
  <c r="C613" i="6"/>
  <c r="A612" i="6"/>
  <c r="B612" i="6"/>
  <c r="C612" i="6"/>
  <c r="A611" i="6"/>
  <c r="B611" i="6"/>
  <c r="C611" i="6"/>
  <c r="A610" i="6"/>
  <c r="B610" i="6"/>
  <c r="C610" i="6"/>
  <c r="A609" i="6"/>
  <c r="B609" i="6"/>
  <c r="C609" i="6"/>
  <c r="A608" i="6"/>
  <c r="B608" i="6"/>
  <c r="C608" i="6"/>
  <c r="A607" i="6"/>
  <c r="B607" i="6"/>
  <c r="C607" i="6"/>
  <c r="A606" i="6"/>
  <c r="B606" i="6"/>
  <c r="C606" i="6"/>
  <c r="A605" i="6"/>
  <c r="B605" i="6"/>
  <c r="C605" i="6"/>
  <c r="A604" i="6"/>
  <c r="B604" i="6"/>
  <c r="C604" i="6"/>
  <c r="A603" i="6"/>
  <c r="B603" i="6"/>
  <c r="C603" i="6"/>
  <c r="A602" i="6"/>
  <c r="B602" i="6"/>
  <c r="C602" i="6"/>
  <c r="A601" i="6"/>
  <c r="B601" i="6"/>
  <c r="C601" i="6"/>
  <c r="A600" i="6"/>
  <c r="B600" i="6"/>
  <c r="C600" i="6"/>
  <c r="A599" i="6"/>
  <c r="B599" i="6"/>
  <c r="C599" i="6"/>
  <c r="A598" i="6"/>
  <c r="B598" i="6"/>
  <c r="C598" i="6"/>
  <c r="A597" i="6"/>
  <c r="B597" i="6"/>
  <c r="C597" i="6"/>
  <c r="A596" i="6"/>
  <c r="B596" i="6"/>
  <c r="C596" i="6"/>
  <c r="A595" i="6"/>
  <c r="B595" i="6"/>
  <c r="C595" i="6"/>
  <c r="A594" i="6"/>
  <c r="B594" i="6"/>
  <c r="C594" i="6"/>
  <c r="A593" i="6"/>
  <c r="B593" i="6"/>
  <c r="C593" i="6"/>
  <c r="A592" i="6"/>
  <c r="B592" i="6"/>
  <c r="C592" i="6"/>
  <c r="A591" i="6"/>
  <c r="B591" i="6"/>
  <c r="C591" i="6"/>
  <c r="A590" i="6"/>
  <c r="B590" i="6"/>
  <c r="C590" i="6"/>
  <c r="A589" i="6"/>
  <c r="B589" i="6"/>
  <c r="C589" i="6"/>
  <c r="A588" i="6"/>
  <c r="B588" i="6"/>
  <c r="C588" i="6"/>
  <c r="A587" i="6"/>
  <c r="B587" i="6"/>
  <c r="C587" i="6"/>
  <c r="A586" i="6"/>
  <c r="B586" i="6"/>
  <c r="C586" i="6"/>
  <c r="A585" i="6"/>
  <c r="B585" i="6"/>
  <c r="C585" i="6"/>
  <c r="A584" i="6"/>
  <c r="B584" i="6"/>
  <c r="C584" i="6"/>
  <c r="A583" i="6"/>
  <c r="B583" i="6"/>
  <c r="C583" i="6"/>
  <c r="A582" i="6"/>
  <c r="B582" i="6"/>
  <c r="C582" i="6"/>
  <c r="A581" i="6"/>
  <c r="B581" i="6"/>
  <c r="C581" i="6"/>
  <c r="A580" i="6"/>
  <c r="B580" i="6"/>
  <c r="C580" i="6"/>
  <c r="A579" i="6"/>
  <c r="B579" i="6"/>
  <c r="C579" i="6"/>
  <c r="A578" i="6"/>
  <c r="B578" i="6"/>
  <c r="C578" i="6"/>
  <c r="A577" i="6"/>
  <c r="B577" i="6"/>
  <c r="C577" i="6"/>
  <c r="A576" i="6"/>
  <c r="B576" i="6"/>
  <c r="C576" i="6"/>
  <c r="A575" i="6"/>
  <c r="B575" i="6"/>
  <c r="C575" i="6"/>
  <c r="A574" i="6"/>
  <c r="B574" i="6"/>
  <c r="C574" i="6"/>
  <c r="A573" i="6"/>
  <c r="B573" i="6"/>
  <c r="C573" i="6"/>
  <c r="A572" i="6"/>
  <c r="B572" i="6"/>
  <c r="C572" i="6"/>
  <c r="A571" i="6"/>
  <c r="B571" i="6"/>
  <c r="C571" i="6"/>
  <c r="A570" i="6"/>
  <c r="B570" i="6"/>
  <c r="C570" i="6"/>
  <c r="A569" i="6"/>
  <c r="B569" i="6"/>
  <c r="C569" i="6"/>
  <c r="A568" i="6"/>
  <c r="B568" i="6"/>
  <c r="C568" i="6"/>
  <c r="A567" i="6"/>
  <c r="B567" i="6"/>
  <c r="C567" i="6"/>
  <c r="A566" i="6"/>
  <c r="B566" i="6"/>
  <c r="C566" i="6"/>
  <c r="A565" i="6"/>
  <c r="B565" i="6"/>
  <c r="C565" i="6"/>
  <c r="A564" i="6"/>
  <c r="B564" i="6"/>
  <c r="C564" i="6"/>
  <c r="A563" i="6"/>
  <c r="B563" i="6"/>
  <c r="C563" i="6"/>
  <c r="A562" i="6"/>
  <c r="B562" i="6"/>
  <c r="C562" i="6"/>
  <c r="A561" i="6"/>
  <c r="B561" i="6"/>
  <c r="C561" i="6"/>
  <c r="A560" i="6"/>
  <c r="B560" i="6"/>
  <c r="C560" i="6"/>
  <c r="A559" i="6"/>
  <c r="B559" i="6"/>
  <c r="C559" i="6"/>
  <c r="A558" i="6"/>
  <c r="B558" i="6"/>
  <c r="C558" i="6"/>
  <c r="A557" i="6"/>
  <c r="B557" i="6"/>
  <c r="C557" i="6"/>
  <c r="A556" i="6"/>
  <c r="B556" i="6"/>
  <c r="C556" i="6"/>
  <c r="A555" i="6"/>
  <c r="B555" i="6"/>
  <c r="C555" i="6"/>
  <c r="A554" i="6"/>
  <c r="B554" i="6"/>
  <c r="C554" i="6"/>
  <c r="A553" i="6"/>
  <c r="B553" i="6"/>
  <c r="C553" i="6"/>
  <c r="A552" i="6"/>
  <c r="B552" i="6"/>
  <c r="C552" i="6"/>
  <c r="A551" i="6"/>
  <c r="B551" i="6"/>
  <c r="C551" i="6"/>
  <c r="A550" i="6"/>
  <c r="B550" i="6"/>
  <c r="C550" i="6"/>
  <c r="A549" i="6"/>
  <c r="B549" i="6"/>
  <c r="C549" i="6"/>
  <c r="A548" i="6"/>
  <c r="B548" i="6"/>
  <c r="C548" i="6"/>
  <c r="A547" i="6"/>
  <c r="B547" i="6"/>
  <c r="C547" i="6"/>
  <c r="A546" i="6"/>
  <c r="B546" i="6"/>
  <c r="C546" i="6"/>
  <c r="A545" i="6"/>
  <c r="B545" i="6"/>
  <c r="C545" i="6"/>
  <c r="A544" i="6"/>
  <c r="B544" i="6"/>
  <c r="C544" i="6"/>
  <c r="A543" i="6"/>
  <c r="B543" i="6"/>
  <c r="C543" i="6"/>
  <c r="A542" i="6"/>
  <c r="B542" i="6"/>
  <c r="C542" i="6"/>
  <c r="A541" i="6"/>
  <c r="B541" i="6"/>
  <c r="C541" i="6"/>
  <c r="A540" i="6"/>
  <c r="B540" i="6"/>
  <c r="C540" i="6"/>
  <c r="A539" i="6"/>
  <c r="B539" i="6"/>
  <c r="C539" i="6"/>
  <c r="A538" i="6"/>
  <c r="B538" i="6"/>
  <c r="C538" i="6"/>
  <c r="A537" i="6"/>
  <c r="B537" i="6"/>
  <c r="C537" i="6"/>
  <c r="A536" i="6"/>
  <c r="B536" i="6"/>
  <c r="C536" i="6"/>
  <c r="A535" i="6"/>
  <c r="B535" i="6"/>
  <c r="C535" i="6"/>
  <c r="A534" i="6"/>
  <c r="B534" i="6"/>
  <c r="C534" i="6"/>
  <c r="A533" i="6"/>
  <c r="B533" i="6"/>
  <c r="C533" i="6"/>
  <c r="A532" i="6"/>
  <c r="B532" i="6"/>
  <c r="C532" i="6"/>
  <c r="A531" i="6"/>
  <c r="B531" i="6"/>
  <c r="C531" i="6"/>
  <c r="A530" i="6"/>
  <c r="B530" i="6"/>
  <c r="C530" i="6"/>
  <c r="A529" i="6"/>
  <c r="B529" i="6"/>
  <c r="C529" i="6"/>
  <c r="A528" i="6"/>
  <c r="B528" i="6"/>
  <c r="C528" i="6"/>
  <c r="A527" i="6"/>
  <c r="B527" i="6"/>
  <c r="C527" i="6"/>
  <c r="A526" i="6"/>
  <c r="B526" i="6"/>
  <c r="C526" i="6"/>
  <c r="A525" i="6"/>
  <c r="B525" i="6"/>
  <c r="C525" i="6"/>
  <c r="A524" i="6"/>
  <c r="B524" i="6"/>
  <c r="C524" i="6"/>
  <c r="A523" i="6"/>
  <c r="B523" i="6"/>
  <c r="C523" i="6"/>
  <c r="A522" i="6"/>
  <c r="B522" i="6"/>
  <c r="C522" i="6"/>
  <c r="A521" i="6"/>
  <c r="B521" i="6"/>
  <c r="C521" i="6"/>
  <c r="A520" i="6"/>
  <c r="B520" i="6"/>
  <c r="C520" i="6"/>
  <c r="A519" i="6"/>
  <c r="B519" i="6"/>
  <c r="C519" i="6"/>
  <c r="A518" i="6"/>
  <c r="B518" i="6"/>
  <c r="C518" i="6"/>
  <c r="A517" i="6"/>
  <c r="B517" i="6"/>
  <c r="C517" i="6"/>
  <c r="A516" i="6"/>
  <c r="B516" i="6"/>
  <c r="C516" i="6"/>
  <c r="A515" i="6"/>
  <c r="B515" i="6"/>
  <c r="C515" i="6"/>
  <c r="A514" i="6"/>
  <c r="B514" i="6"/>
  <c r="C514" i="6"/>
  <c r="A513" i="6"/>
  <c r="B513" i="6"/>
  <c r="C513" i="6"/>
  <c r="A512" i="6"/>
  <c r="B512" i="6"/>
  <c r="C512" i="6"/>
  <c r="A511" i="6"/>
  <c r="B511" i="6"/>
  <c r="C511" i="6"/>
  <c r="A510" i="6"/>
  <c r="B510" i="6"/>
  <c r="C510" i="6"/>
  <c r="A509" i="6"/>
  <c r="B509" i="6"/>
  <c r="C509" i="6"/>
  <c r="A508" i="6"/>
  <c r="B508" i="6"/>
  <c r="C508" i="6"/>
  <c r="A507" i="6"/>
  <c r="B507" i="6"/>
  <c r="C507" i="6"/>
  <c r="A506" i="6"/>
  <c r="B506" i="6"/>
  <c r="C506" i="6"/>
  <c r="A505" i="6"/>
  <c r="B505" i="6"/>
  <c r="C505" i="6"/>
  <c r="A504" i="6"/>
  <c r="B504" i="6"/>
  <c r="C504" i="6"/>
  <c r="A503" i="6"/>
  <c r="B503" i="6"/>
  <c r="C503" i="6"/>
  <c r="A502" i="6"/>
  <c r="B502" i="6"/>
  <c r="C502" i="6"/>
  <c r="A501" i="6"/>
  <c r="B501" i="6"/>
  <c r="C501" i="6"/>
  <c r="A500" i="6"/>
  <c r="B500" i="6"/>
  <c r="C500" i="6"/>
  <c r="A499" i="6"/>
  <c r="B499" i="6"/>
  <c r="C499" i="6"/>
  <c r="A498" i="6"/>
  <c r="B498" i="6"/>
  <c r="C498" i="6"/>
  <c r="A497" i="6"/>
  <c r="B497" i="6"/>
  <c r="C497" i="6"/>
  <c r="A496" i="6"/>
  <c r="B496" i="6"/>
  <c r="C496" i="6"/>
  <c r="A495" i="6"/>
  <c r="B495" i="6"/>
  <c r="C495" i="6"/>
  <c r="A494" i="6"/>
  <c r="B494" i="6"/>
  <c r="C494" i="6"/>
  <c r="A493" i="6"/>
  <c r="B493" i="6"/>
  <c r="C493" i="6"/>
  <c r="A492" i="6"/>
  <c r="B492" i="6"/>
  <c r="C492" i="6"/>
  <c r="A491" i="6"/>
  <c r="B491" i="6"/>
  <c r="C491" i="6"/>
  <c r="A490" i="6"/>
  <c r="B490" i="6"/>
  <c r="C490" i="6"/>
  <c r="A489" i="6"/>
  <c r="B489" i="6"/>
  <c r="C489" i="6"/>
  <c r="A488" i="6"/>
  <c r="B488" i="6"/>
  <c r="C488" i="6"/>
  <c r="A487" i="6"/>
  <c r="B487" i="6"/>
  <c r="C487" i="6"/>
  <c r="A486" i="6"/>
  <c r="B486" i="6"/>
  <c r="C486" i="6"/>
  <c r="A485" i="6"/>
  <c r="B485" i="6"/>
  <c r="C485" i="6"/>
  <c r="A484" i="6"/>
  <c r="B484" i="6"/>
  <c r="C484" i="6"/>
  <c r="A483" i="6"/>
  <c r="B483" i="6"/>
  <c r="C483" i="6"/>
  <c r="A482" i="6"/>
  <c r="B482" i="6"/>
  <c r="C482" i="6"/>
  <c r="A481" i="6"/>
  <c r="B481" i="6"/>
  <c r="C481" i="6"/>
  <c r="A480" i="6"/>
  <c r="B480" i="6"/>
  <c r="C480" i="6"/>
  <c r="A479" i="6"/>
  <c r="B479" i="6"/>
  <c r="C479" i="6"/>
  <c r="A478" i="6"/>
  <c r="B478" i="6"/>
  <c r="C478" i="6"/>
  <c r="A477" i="6"/>
  <c r="B477" i="6"/>
  <c r="C477" i="6"/>
  <c r="A476" i="6"/>
  <c r="B476" i="6"/>
  <c r="C476" i="6"/>
  <c r="A475" i="6"/>
  <c r="B475" i="6"/>
  <c r="C475" i="6"/>
  <c r="A474" i="6"/>
  <c r="B474" i="6"/>
  <c r="C474" i="6"/>
  <c r="A473" i="6"/>
  <c r="B473" i="6"/>
  <c r="C473" i="6"/>
  <c r="A472" i="6"/>
  <c r="B472" i="6"/>
  <c r="C472" i="6"/>
  <c r="A471" i="6"/>
  <c r="B471" i="6"/>
  <c r="C471" i="6"/>
  <c r="A470" i="6"/>
  <c r="B470" i="6"/>
  <c r="C470" i="6"/>
  <c r="A469" i="6"/>
  <c r="B469" i="6"/>
  <c r="C469" i="6"/>
  <c r="A468" i="6"/>
  <c r="B468" i="6"/>
  <c r="C468" i="6"/>
  <c r="A467" i="6"/>
  <c r="B467" i="6"/>
  <c r="C467" i="6"/>
  <c r="A466" i="6"/>
  <c r="B466" i="6"/>
  <c r="C466" i="6"/>
  <c r="A465" i="6"/>
  <c r="B465" i="6"/>
  <c r="C465" i="6"/>
  <c r="A464" i="6"/>
  <c r="B464" i="6"/>
  <c r="C464" i="6"/>
  <c r="A463" i="6"/>
  <c r="B463" i="6"/>
  <c r="C463" i="6"/>
  <c r="A462" i="6"/>
  <c r="B462" i="6"/>
  <c r="C462" i="6"/>
  <c r="A461" i="6"/>
  <c r="B461" i="6"/>
  <c r="C461" i="6"/>
  <c r="A460" i="6"/>
  <c r="B460" i="6"/>
  <c r="C460" i="6"/>
  <c r="A459" i="6"/>
  <c r="B459" i="6"/>
  <c r="C459" i="6"/>
  <c r="A458" i="6"/>
  <c r="B458" i="6"/>
  <c r="C458" i="6"/>
  <c r="A457" i="6"/>
  <c r="B457" i="6"/>
  <c r="C457" i="6"/>
  <c r="A456" i="6"/>
  <c r="B456" i="6"/>
  <c r="C456" i="6"/>
  <c r="A455" i="6"/>
  <c r="B455" i="6"/>
  <c r="C455" i="6"/>
  <c r="A454" i="6"/>
  <c r="B454" i="6"/>
  <c r="C454" i="6"/>
  <c r="A453" i="6"/>
  <c r="B453" i="6"/>
  <c r="C453" i="6"/>
  <c r="A452" i="6"/>
  <c r="B452" i="6"/>
  <c r="C452" i="6"/>
  <c r="A451" i="6"/>
  <c r="B451" i="6"/>
  <c r="C451" i="6"/>
  <c r="A450" i="6"/>
  <c r="B450" i="6"/>
  <c r="C450" i="6"/>
  <c r="A449" i="6"/>
  <c r="B449" i="6"/>
  <c r="C449" i="6"/>
  <c r="A448" i="6"/>
  <c r="B448" i="6"/>
  <c r="C448" i="6"/>
  <c r="A447" i="6"/>
  <c r="B447" i="6"/>
  <c r="C447" i="6"/>
  <c r="A446" i="6"/>
  <c r="B446" i="6"/>
  <c r="C446" i="6"/>
  <c r="A445" i="6"/>
  <c r="B445" i="6"/>
  <c r="C445" i="6"/>
  <c r="A444" i="6"/>
  <c r="B444" i="6"/>
  <c r="C444" i="6"/>
  <c r="A443" i="6"/>
  <c r="B443" i="6"/>
  <c r="C443" i="6"/>
  <c r="A442" i="6"/>
  <c r="B442" i="6"/>
  <c r="C442" i="6"/>
  <c r="A441" i="6"/>
  <c r="B441" i="6"/>
  <c r="C441" i="6"/>
  <c r="A440" i="6"/>
  <c r="B440" i="6"/>
  <c r="C440" i="6"/>
  <c r="A439" i="6"/>
  <c r="B439" i="6"/>
  <c r="C439" i="6"/>
  <c r="A438" i="6"/>
  <c r="B438" i="6"/>
  <c r="C438" i="6"/>
  <c r="A437" i="6"/>
  <c r="B437" i="6"/>
  <c r="C437" i="6"/>
  <c r="A436" i="6"/>
  <c r="B436" i="6"/>
  <c r="C436" i="6"/>
  <c r="A435" i="6"/>
  <c r="B435" i="6"/>
  <c r="C435" i="6"/>
  <c r="A434" i="6"/>
  <c r="B434" i="6"/>
  <c r="C434" i="6"/>
  <c r="A433" i="6"/>
  <c r="B433" i="6"/>
  <c r="C433" i="6"/>
  <c r="A432" i="6"/>
  <c r="B432" i="6"/>
  <c r="C432" i="6"/>
  <c r="A431" i="6"/>
  <c r="B431" i="6"/>
  <c r="C431" i="6"/>
  <c r="A430" i="6"/>
  <c r="B430" i="6"/>
  <c r="C430" i="6"/>
  <c r="A429" i="6"/>
  <c r="B429" i="6"/>
  <c r="C429" i="6"/>
  <c r="A428" i="6"/>
  <c r="B428" i="6"/>
  <c r="C428" i="6"/>
  <c r="A427" i="6"/>
  <c r="B427" i="6"/>
  <c r="C427" i="6"/>
  <c r="A426" i="6"/>
  <c r="B426" i="6"/>
  <c r="C426" i="6"/>
  <c r="A425" i="6"/>
  <c r="B425" i="6"/>
  <c r="C425" i="6"/>
  <c r="A424" i="6"/>
  <c r="B424" i="6"/>
  <c r="C424" i="6"/>
  <c r="A423" i="6"/>
  <c r="B423" i="6"/>
  <c r="C423" i="6"/>
  <c r="A422" i="6"/>
  <c r="B422" i="6"/>
  <c r="C422" i="6"/>
  <c r="A421" i="6"/>
  <c r="B421" i="6"/>
  <c r="C421" i="6"/>
  <c r="A420" i="6"/>
  <c r="B420" i="6"/>
  <c r="C420" i="6"/>
  <c r="A419" i="6"/>
  <c r="B419" i="6"/>
  <c r="C419" i="6"/>
  <c r="A418" i="6"/>
  <c r="B418" i="6"/>
  <c r="C418" i="6"/>
  <c r="A417" i="6"/>
  <c r="B417" i="6"/>
  <c r="C417" i="6"/>
  <c r="A416" i="6"/>
  <c r="B416" i="6"/>
  <c r="C416" i="6"/>
  <c r="A415" i="6"/>
  <c r="B415" i="6"/>
  <c r="C415" i="6"/>
  <c r="A414" i="6"/>
  <c r="B414" i="6"/>
  <c r="C414" i="6"/>
  <c r="A413" i="6"/>
  <c r="B413" i="6"/>
  <c r="C413" i="6"/>
  <c r="A412" i="6"/>
  <c r="B412" i="6"/>
  <c r="C412" i="6"/>
  <c r="A411" i="6"/>
  <c r="B411" i="6"/>
  <c r="C411" i="6"/>
  <c r="A410" i="6"/>
  <c r="B410" i="6"/>
  <c r="C410" i="6"/>
  <c r="A409" i="6"/>
  <c r="B409" i="6"/>
  <c r="C409" i="6"/>
  <c r="A408" i="6"/>
  <c r="B408" i="6"/>
  <c r="C408" i="6"/>
  <c r="A407" i="6"/>
  <c r="B407" i="6"/>
  <c r="C407" i="6"/>
  <c r="A406" i="6"/>
  <c r="B406" i="6"/>
  <c r="C406" i="6"/>
  <c r="A405" i="6"/>
  <c r="B405" i="6"/>
  <c r="C405" i="6"/>
  <c r="A404" i="6"/>
  <c r="B404" i="6"/>
  <c r="C404" i="6"/>
  <c r="A403" i="6"/>
  <c r="B403" i="6"/>
  <c r="C403" i="6"/>
  <c r="A402" i="6"/>
  <c r="B402" i="6"/>
  <c r="C402" i="6"/>
  <c r="A401" i="6"/>
  <c r="B401" i="6"/>
  <c r="C401" i="6"/>
  <c r="A400" i="6"/>
  <c r="B400" i="6"/>
  <c r="C400" i="6"/>
  <c r="A399" i="6"/>
  <c r="B399" i="6"/>
  <c r="C399" i="6"/>
  <c r="A398" i="6"/>
  <c r="B398" i="6"/>
  <c r="C398" i="6"/>
  <c r="A397" i="6"/>
  <c r="B397" i="6"/>
  <c r="C397" i="6"/>
  <c r="A396" i="6"/>
  <c r="B396" i="6"/>
  <c r="C396" i="6"/>
  <c r="A395" i="6"/>
  <c r="B395" i="6"/>
  <c r="C395" i="6"/>
  <c r="A394" i="6"/>
  <c r="B394" i="6"/>
  <c r="C394" i="6"/>
  <c r="A393" i="6"/>
  <c r="B393" i="6"/>
  <c r="C393" i="6"/>
  <c r="A392" i="6"/>
  <c r="B392" i="6"/>
  <c r="C392" i="6"/>
  <c r="A391" i="6"/>
  <c r="B391" i="6"/>
  <c r="C391" i="6"/>
  <c r="A390" i="6"/>
  <c r="B390" i="6"/>
  <c r="C390" i="6"/>
  <c r="A389" i="6"/>
  <c r="B389" i="6"/>
  <c r="C389" i="6"/>
  <c r="A388" i="6"/>
  <c r="B388" i="6"/>
  <c r="C388" i="6"/>
  <c r="A387" i="6"/>
  <c r="B387" i="6"/>
  <c r="C387" i="6"/>
  <c r="A386" i="6"/>
  <c r="B386" i="6"/>
  <c r="C386" i="6"/>
  <c r="A385" i="6"/>
  <c r="B385" i="6"/>
  <c r="C385" i="6"/>
  <c r="A384" i="6"/>
  <c r="B384" i="6"/>
  <c r="C384" i="6"/>
  <c r="A383" i="6"/>
  <c r="B383" i="6"/>
  <c r="C383" i="6"/>
  <c r="A382" i="6"/>
  <c r="B382" i="6"/>
  <c r="C382" i="6"/>
  <c r="A381" i="6"/>
  <c r="B381" i="6"/>
  <c r="C381" i="6"/>
  <c r="A380" i="6"/>
  <c r="B380" i="6"/>
  <c r="C380" i="6"/>
  <c r="A379" i="6"/>
  <c r="B379" i="6"/>
  <c r="C379" i="6"/>
  <c r="A378" i="6"/>
  <c r="B378" i="6"/>
  <c r="C378" i="6"/>
  <c r="A377" i="6"/>
  <c r="B377" i="6"/>
  <c r="C377" i="6"/>
  <c r="A376" i="6"/>
  <c r="B376" i="6"/>
  <c r="C376" i="6"/>
  <c r="A375" i="6"/>
  <c r="B375" i="6"/>
  <c r="C375" i="6"/>
  <c r="A374" i="6"/>
  <c r="B374" i="6"/>
  <c r="C374" i="6"/>
  <c r="A373" i="6"/>
  <c r="B373" i="6"/>
  <c r="C373" i="6"/>
  <c r="A372" i="6"/>
  <c r="B372" i="6"/>
  <c r="C372" i="6"/>
  <c r="A371" i="6"/>
  <c r="B371" i="6"/>
  <c r="C371" i="6"/>
  <c r="A370" i="6"/>
  <c r="B370" i="6"/>
  <c r="C370" i="6"/>
  <c r="A369" i="6"/>
  <c r="B369" i="6"/>
  <c r="C369" i="6"/>
  <c r="A368" i="6"/>
  <c r="B368" i="6"/>
  <c r="C368" i="6"/>
  <c r="A367" i="6"/>
  <c r="B367" i="6"/>
  <c r="C367" i="6"/>
  <c r="A366" i="6"/>
  <c r="B366" i="6"/>
  <c r="C366" i="6"/>
  <c r="A365" i="6"/>
  <c r="B365" i="6"/>
  <c r="C365" i="6"/>
  <c r="A364" i="6"/>
  <c r="B364" i="6"/>
  <c r="C364" i="6"/>
  <c r="A363" i="6"/>
  <c r="B363" i="6"/>
  <c r="C363" i="6"/>
  <c r="A362" i="6"/>
  <c r="B362" i="6"/>
  <c r="C362" i="6"/>
  <c r="A361" i="6"/>
  <c r="B361" i="6"/>
  <c r="C361" i="6"/>
  <c r="A360" i="6"/>
  <c r="B360" i="6"/>
  <c r="C360" i="6"/>
  <c r="A359" i="6"/>
  <c r="B359" i="6"/>
  <c r="C359" i="6"/>
  <c r="A358" i="6"/>
  <c r="B358" i="6"/>
  <c r="C358" i="6"/>
  <c r="A357" i="6"/>
  <c r="B357" i="6"/>
  <c r="C357" i="6"/>
  <c r="A356" i="6"/>
  <c r="B356" i="6"/>
  <c r="C356" i="6"/>
  <c r="A355" i="6"/>
  <c r="B355" i="6"/>
  <c r="C355" i="6"/>
  <c r="A354" i="6"/>
  <c r="B354" i="6"/>
  <c r="C354" i="6"/>
  <c r="A353" i="6"/>
  <c r="B353" i="6"/>
  <c r="C353" i="6"/>
  <c r="A352" i="6"/>
  <c r="B352" i="6"/>
  <c r="C352" i="6"/>
  <c r="A351" i="6"/>
  <c r="B351" i="6"/>
  <c r="C351" i="6"/>
  <c r="A350" i="6"/>
  <c r="B350" i="6"/>
  <c r="C350" i="6"/>
  <c r="A349" i="6"/>
  <c r="B349" i="6"/>
  <c r="C349" i="6"/>
  <c r="A348" i="6"/>
  <c r="B348" i="6"/>
  <c r="C348" i="6"/>
  <c r="A347" i="6"/>
  <c r="B347" i="6"/>
  <c r="C347" i="6"/>
  <c r="A346" i="6"/>
  <c r="B346" i="6"/>
  <c r="C346" i="6"/>
  <c r="A345" i="6"/>
  <c r="B345" i="6"/>
  <c r="C345" i="6"/>
  <c r="A344" i="6"/>
  <c r="B344" i="6"/>
  <c r="C344" i="6"/>
  <c r="A343" i="6"/>
  <c r="B343" i="6"/>
  <c r="C343" i="6"/>
  <c r="A342" i="6"/>
  <c r="B342" i="6"/>
  <c r="C342" i="6"/>
  <c r="A341" i="6"/>
  <c r="B341" i="6"/>
  <c r="C341" i="6"/>
  <c r="A340" i="6"/>
  <c r="B340" i="6"/>
  <c r="C340" i="6"/>
  <c r="A339" i="6"/>
  <c r="B339" i="6"/>
  <c r="C339" i="6"/>
  <c r="A338" i="6"/>
  <c r="B338" i="6"/>
  <c r="C338" i="6"/>
  <c r="A337" i="6"/>
  <c r="B337" i="6"/>
  <c r="C337" i="6"/>
  <c r="A336" i="6"/>
  <c r="B336" i="6"/>
  <c r="C336" i="6"/>
  <c r="A335" i="6"/>
  <c r="B335" i="6"/>
  <c r="C335" i="6"/>
  <c r="A334" i="6"/>
  <c r="B334" i="6"/>
  <c r="C334" i="6"/>
  <c r="A333" i="6"/>
  <c r="B333" i="6"/>
  <c r="C333" i="6"/>
  <c r="A332" i="6"/>
  <c r="B332" i="6"/>
  <c r="C332" i="6"/>
  <c r="A331" i="6"/>
  <c r="B331" i="6"/>
  <c r="C331" i="6"/>
  <c r="A330" i="6"/>
  <c r="B330" i="6"/>
  <c r="C330" i="6"/>
  <c r="A329" i="6"/>
  <c r="B329" i="6"/>
  <c r="C329" i="6"/>
  <c r="A328" i="6"/>
  <c r="B328" i="6"/>
  <c r="C328" i="6"/>
  <c r="A327" i="6"/>
  <c r="B327" i="6"/>
  <c r="C327" i="6"/>
  <c r="A326" i="6"/>
  <c r="B326" i="6"/>
  <c r="C326" i="6"/>
  <c r="A325" i="6"/>
  <c r="B325" i="6"/>
  <c r="C325" i="6"/>
  <c r="A324" i="6"/>
  <c r="B324" i="6"/>
  <c r="C324" i="6"/>
  <c r="A323" i="6"/>
  <c r="B323" i="6"/>
  <c r="C323" i="6"/>
  <c r="A322" i="6"/>
  <c r="B322" i="6"/>
  <c r="C322" i="6"/>
  <c r="A321" i="6"/>
  <c r="B321" i="6"/>
  <c r="C321" i="6"/>
  <c r="A320" i="6"/>
  <c r="B320" i="6"/>
  <c r="C320" i="6"/>
  <c r="A319" i="6"/>
  <c r="B319" i="6"/>
  <c r="C319" i="6"/>
  <c r="A318" i="6"/>
  <c r="B318" i="6"/>
  <c r="C318" i="6"/>
  <c r="A317" i="6"/>
  <c r="B317" i="6"/>
  <c r="C317" i="6"/>
  <c r="A316" i="6"/>
  <c r="B316" i="6"/>
  <c r="C316" i="6"/>
  <c r="A315" i="6"/>
  <c r="B315" i="6"/>
  <c r="C315" i="6"/>
  <c r="A314" i="6"/>
  <c r="B314" i="6"/>
  <c r="C314" i="6"/>
  <c r="A313" i="6"/>
  <c r="B313" i="6"/>
  <c r="C313" i="6"/>
  <c r="A312" i="6"/>
  <c r="B312" i="6"/>
  <c r="C312" i="6"/>
  <c r="A311" i="6"/>
  <c r="B311" i="6"/>
  <c r="C311" i="6"/>
  <c r="A310" i="6"/>
  <c r="B310" i="6"/>
  <c r="C310" i="6"/>
  <c r="A309" i="6"/>
  <c r="B309" i="6"/>
  <c r="C309" i="6"/>
  <c r="A308" i="6"/>
  <c r="B308" i="6"/>
  <c r="C308" i="6"/>
  <c r="A307" i="6"/>
  <c r="B307" i="6"/>
  <c r="C307" i="6"/>
  <c r="A306" i="6"/>
  <c r="B306" i="6"/>
  <c r="C306" i="6"/>
  <c r="A305" i="6"/>
  <c r="B305" i="6"/>
  <c r="C305" i="6"/>
  <c r="A304" i="6"/>
  <c r="B304" i="6"/>
  <c r="C304" i="6"/>
  <c r="A303" i="6"/>
  <c r="B303" i="6"/>
  <c r="C303" i="6"/>
  <c r="A302" i="6"/>
  <c r="B302" i="6"/>
  <c r="C302" i="6"/>
  <c r="A301" i="6"/>
  <c r="B301" i="6"/>
  <c r="C301" i="6"/>
  <c r="A300" i="6"/>
  <c r="B300" i="6"/>
  <c r="C300" i="6"/>
  <c r="A299" i="6"/>
  <c r="B299" i="6"/>
  <c r="C299" i="6"/>
  <c r="A298" i="6"/>
  <c r="B298" i="6"/>
  <c r="C298" i="6"/>
  <c r="A297" i="6"/>
  <c r="B297" i="6"/>
  <c r="C297" i="6"/>
  <c r="A296" i="6"/>
  <c r="B296" i="6"/>
  <c r="C296" i="6"/>
  <c r="A295" i="6"/>
  <c r="B295" i="6"/>
  <c r="C295" i="6"/>
  <c r="A294" i="6"/>
  <c r="B294" i="6"/>
  <c r="C294" i="6"/>
  <c r="A293" i="6"/>
  <c r="B293" i="6"/>
  <c r="C293" i="6"/>
  <c r="A292" i="6"/>
  <c r="B292" i="6"/>
  <c r="C292" i="6"/>
  <c r="A291" i="6"/>
  <c r="B291" i="6"/>
  <c r="C291" i="6"/>
  <c r="A290" i="6"/>
  <c r="B290" i="6"/>
  <c r="C290" i="6"/>
  <c r="A289" i="6"/>
  <c r="B289" i="6"/>
  <c r="C289" i="6"/>
  <c r="A288" i="6"/>
  <c r="B288" i="6"/>
  <c r="C288" i="6"/>
  <c r="A287" i="6"/>
  <c r="B287" i="6"/>
  <c r="C287" i="6"/>
  <c r="A286" i="6"/>
  <c r="B286" i="6"/>
  <c r="C286" i="6"/>
  <c r="A285" i="6"/>
  <c r="B285" i="6"/>
  <c r="C285" i="6"/>
  <c r="A284" i="6"/>
  <c r="B284" i="6"/>
  <c r="C284" i="6"/>
  <c r="A283" i="6"/>
  <c r="B283" i="6"/>
  <c r="C283" i="6"/>
  <c r="A282" i="6"/>
  <c r="B282" i="6"/>
  <c r="C282" i="6"/>
  <c r="A281" i="6"/>
  <c r="B281" i="6"/>
  <c r="C281" i="6"/>
  <c r="A280" i="6"/>
  <c r="B280" i="6"/>
  <c r="C280" i="6"/>
  <c r="A279" i="6"/>
  <c r="B279" i="6"/>
  <c r="C279" i="6"/>
  <c r="A278" i="6"/>
  <c r="B278" i="6"/>
  <c r="C278" i="6"/>
  <c r="A277" i="6"/>
  <c r="B277" i="6"/>
  <c r="C277" i="6"/>
  <c r="A276" i="6"/>
  <c r="B276" i="6"/>
  <c r="C276" i="6"/>
  <c r="A275" i="6"/>
  <c r="B275" i="6"/>
  <c r="C275" i="6"/>
  <c r="A274" i="6"/>
  <c r="B274" i="6"/>
  <c r="C274" i="6"/>
  <c r="A273" i="6"/>
  <c r="B273" i="6"/>
  <c r="C273" i="6"/>
  <c r="A272" i="6"/>
  <c r="B272" i="6"/>
  <c r="C272" i="6"/>
  <c r="A271" i="6"/>
  <c r="B271" i="6"/>
  <c r="C271" i="6"/>
  <c r="A270" i="6"/>
  <c r="B270" i="6"/>
  <c r="C270" i="6"/>
  <c r="A269" i="6"/>
  <c r="B269" i="6"/>
  <c r="C269" i="6"/>
  <c r="A268" i="6"/>
  <c r="B268" i="6"/>
  <c r="C268" i="6"/>
  <c r="A267" i="6"/>
  <c r="B267" i="6"/>
  <c r="C267" i="6"/>
  <c r="A266" i="6"/>
  <c r="B266" i="6"/>
  <c r="C266" i="6"/>
  <c r="A265" i="6"/>
  <c r="B265" i="6"/>
  <c r="C265" i="6"/>
  <c r="A264" i="6"/>
  <c r="B264" i="6"/>
  <c r="C264" i="6"/>
  <c r="A263" i="6"/>
  <c r="B263" i="6"/>
  <c r="C263" i="6"/>
  <c r="A262" i="6"/>
  <c r="B262" i="6"/>
  <c r="C262" i="6"/>
  <c r="A261" i="6"/>
  <c r="B261" i="6"/>
  <c r="C261" i="6"/>
  <c r="A260" i="6"/>
  <c r="B260" i="6"/>
  <c r="C260" i="6"/>
  <c r="A259" i="6"/>
  <c r="B259" i="6"/>
  <c r="C259" i="6"/>
  <c r="A258" i="6"/>
  <c r="B258" i="6"/>
  <c r="C258" i="6"/>
  <c r="A257" i="6"/>
  <c r="B257" i="6"/>
  <c r="C257" i="6"/>
  <c r="A256" i="6"/>
  <c r="B256" i="6"/>
  <c r="C256" i="6"/>
  <c r="A255" i="6"/>
  <c r="B255" i="6"/>
  <c r="C255" i="6"/>
  <c r="A254" i="6"/>
  <c r="B254" i="6"/>
  <c r="C254" i="6"/>
  <c r="A253" i="6"/>
  <c r="B253" i="6"/>
  <c r="C253" i="6"/>
  <c r="A252" i="6"/>
  <c r="B252" i="6"/>
  <c r="C252" i="6"/>
  <c r="A251" i="6"/>
  <c r="B251" i="6"/>
  <c r="C251" i="6"/>
  <c r="A250" i="6"/>
  <c r="B250" i="6"/>
  <c r="C250" i="6"/>
  <c r="A249" i="6"/>
  <c r="B249" i="6"/>
  <c r="C249" i="6"/>
  <c r="A248" i="6"/>
  <c r="B248" i="6"/>
  <c r="C248" i="6"/>
  <c r="A247" i="6"/>
  <c r="B247" i="6"/>
  <c r="C247" i="6"/>
  <c r="A246" i="6"/>
  <c r="B246" i="6"/>
  <c r="C246" i="6"/>
  <c r="A245" i="6"/>
  <c r="B245" i="6"/>
  <c r="C245" i="6"/>
  <c r="A244" i="6"/>
  <c r="B244" i="6"/>
  <c r="C244" i="6"/>
  <c r="A243" i="6"/>
  <c r="B243" i="6"/>
  <c r="C243" i="6"/>
  <c r="A242" i="6"/>
  <c r="B242" i="6"/>
  <c r="C242" i="6"/>
  <c r="A241" i="6"/>
  <c r="B241" i="6"/>
  <c r="C241" i="6"/>
  <c r="A240" i="6"/>
  <c r="B240" i="6"/>
  <c r="C240" i="6"/>
  <c r="A239" i="6"/>
  <c r="B239" i="6"/>
  <c r="C239" i="6"/>
  <c r="A238" i="6"/>
  <c r="B238" i="6"/>
  <c r="C238" i="6"/>
  <c r="A237" i="6"/>
  <c r="B237" i="6"/>
  <c r="C237" i="6"/>
  <c r="A236" i="6"/>
  <c r="B236" i="6"/>
  <c r="C236" i="6"/>
  <c r="A235" i="6"/>
  <c r="B235" i="6"/>
  <c r="C235" i="6"/>
  <c r="A234" i="6"/>
  <c r="B234" i="6"/>
  <c r="C234" i="6"/>
  <c r="A233" i="6"/>
  <c r="B233" i="6"/>
  <c r="C233" i="6"/>
  <c r="A232" i="6"/>
  <c r="B232" i="6"/>
  <c r="C232" i="6"/>
  <c r="A231" i="6"/>
  <c r="B231" i="6"/>
  <c r="C231" i="6"/>
  <c r="A230" i="6"/>
  <c r="B230" i="6"/>
  <c r="C230" i="6"/>
  <c r="A229" i="6"/>
  <c r="B229" i="6"/>
  <c r="C229" i="6"/>
  <c r="A228" i="6"/>
  <c r="B228" i="6"/>
  <c r="C228" i="6"/>
  <c r="A227" i="6"/>
  <c r="B227" i="6"/>
  <c r="C227" i="6"/>
  <c r="A226" i="6"/>
  <c r="B226" i="6"/>
  <c r="C226" i="6"/>
  <c r="A225" i="6"/>
  <c r="B225" i="6"/>
  <c r="C225" i="6"/>
  <c r="A224" i="6"/>
  <c r="B224" i="6"/>
  <c r="C224" i="6"/>
  <c r="A223" i="6"/>
  <c r="B223" i="6"/>
  <c r="C223" i="6"/>
  <c r="A222" i="6"/>
  <c r="B222" i="6"/>
  <c r="C222" i="6"/>
  <c r="A221" i="6"/>
  <c r="B221" i="6"/>
  <c r="C221" i="6"/>
  <c r="A220" i="6"/>
  <c r="B220" i="6"/>
  <c r="C220" i="6"/>
  <c r="A219" i="6"/>
  <c r="B219" i="6"/>
  <c r="C219" i="6"/>
  <c r="A218" i="6"/>
  <c r="B218" i="6"/>
  <c r="C218" i="6"/>
  <c r="A217" i="6"/>
  <c r="B217" i="6"/>
  <c r="C217" i="6"/>
  <c r="A216" i="6"/>
  <c r="B216" i="6"/>
  <c r="C216" i="6"/>
  <c r="A215" i="6"/>
  <c r="B215" i="6"/>
  <c r="C215" i="6"/>
  <c r="A214" i="6"/>
  <c r="B214" i="6"/>
  <c r="C214" i="6"/>
  <c r="A213" i="6"/>
  <c r="B213" i="6"/>
  <c r="C213" i="6"/>
  <c r="A212" i="6"/>
  <c r="B212" i="6"/>
  <c r="C212" i="6"/>
  <c r="A211" i="6"/>
  <c r="B211" i="6"/>
  <c r="C211" i="6"/>
  <c r="A210" i="6"/>
  <c r="B210" i="6"/>
  <c r="C210" i="6"/>
  <c r="A209" i="6"/>
  <c r="B209" i="6"/>
  <c r="C209" i="6"/>
  <c r="A208" i="6"/>
  <c r="B208" i="6"/>
  <c r="C208" i="6"/>
  <c r="A207" i="6"/>
  <c r="B207" i="6"/>
  <c r="C207" i="6"/>
  <c r="A206" i="6"/>
  <c r="B206" i="6"/>
  <c r="C206" i="6"/>
  <c r="A205" i="6"/>
  <c r="B205" i="6"/>
  <c r="C205" i="6"/>
  <c r="A204" i="6"/>
  <c r="B204" i="6"/>
  <c r="C204" i="6"/>
  <c r="A203" i="6"/>
  <c r="B203" i="6"/>
  <c r="C203" i="6"/>
  <c r="A202" i="6"/>
  <c r="B202" i="6"/>
  <c r="C202" i="6"/>
  <c r="A201" i="6"/>
  <c r="B201" i="6"/>
  <c r="C201" i="6"/>
  <c r="A200" i="6"/>
  <c r="B200" i="6"/>
  <c r="C200" i="6"/>
  <c r="A199" i="6"/>
  <c r="B199" i="6"/>
  <c r="C199" i="6"/>
  <c r="A198" i="6"/>
  <c r="B198" i="6"/>
  <c r="C198" i="6"/>
  <c r="A197" i="6"/>
  <c r="B197" i="6"/>
  <c r="C197" i="6"/>
  <c r="A196" i="6"/>
  <c r="B196" i="6"/>
  <c r="C196" i="6"/>
  <c r="A195" i="6"/>
  <c r="B195" i="6"/>
  <c r="C195" i="6"/>
  <c r="A194" i="6"/>
  <c r="B194" i="6"/>
  <c r="C194" i="6"/>
  <c r="A193" i="6"/>
  <c r="B193" i="6"/>
  <c r="C193" i="6"/>
  <c r="A192" i="6"/>
  <c r="B192" i="6"/>
  <c r="C192" i="6"/>
  <c r="A191" i="6"/>
  <c r="B191" i="6"/>
  <c r="C191" i="6"/>
  <c r="A190" i="6"/>
  <c r="B190" i="6"/>
  <c r="C190" i="6"/>
  <c r="A189" i="6"/>
  <c r="B189" i="6"/>
  <c r="C189" i="6"/>
  <c r="A188" i="6"/>
  <c r="B188" i="6"/>
  <c r="C188" i="6"/>
  <c r="A187" i="6"/>
  <c r="B187" i="6"/>
  <c r="C187" i="6"/>
  <c r="A186" i="6"/>
  <c r="B186" i="6"/>
  <c r="C186" i="6"/>
  <c r="A185" i="6"/>
  <c r="B185" i="6"/>
  <c r="C185" i="6"/>
  <c r="A184" i="6"/>
  <c r="B184" i="6"/>
  <c r="C184" i="6"/>
  <c r="A183" i="6"/>
  <c r="B183" i="6"/>
  <c r="C183" i="6"/>
  <c r="A182" i="6"/>
  <c r="B182" i="6"/>
  <c r="C182" i="6"/>
  <c r="A181" i="6"/>
  <c r="B181" i="6"/>
  <c r="C181" i="6"/>
  <c r="A180" i="6"/>
  <c r="B180" i="6"/>
  <c r="C180" i="6"/>
  <c r="A179" i="6"/>
  <c r="B179" i="6"/>
  <c r="C179" i="6"/>
  <c r="A178" i="6"/>
  <c r="B178" i="6"/>
  <c r="C178" i="6"/>
  <c r="A177" i="6"/>
  <c r="B177" i="6"/>
  <c r="C177" i="6"/>
  <c r="A176" i="6"/>
  <c r="B176" i="6"/>
  <c r="C176" i="6"/>
  <c r="A175" i="6"/>
  <c r="B175" i="6"/>
  <c r="C175" i="6"/>
  <c r="A174" i="6"/>
  <c r="B174" i="6"/>
  <c r="C174" i="6"/>
  <c r="A173" i="6"/>
  <c r="B173" i="6"/>
  <c r="C173" i="6"/>
  <c r="A172" i="6"/>
  <c r="B172" i="6"/>
  <c r="C172" i="6"/>
  <c r="A171" i="6"/>
  <c r="B171" i="6"/>
  <c r="C171" i="6"/>
  <c r="A170" i="6"/>
  <c r="B170" i="6"/>
  <c r="C170" i="6"/>
  <c r="A169" i="6"/>
  <c r="B169" i="6"/>
  <c r="C169" i="6"/>
  <c r="A168" i="6"/>
  <c r="B168" i="6"/>
  <c r="C168" i="6"/>
  <c r="A167" i="6"/>
  <c r="B167" i="6"/>
  <c r="C167" i="6"/>
  <c r="A166" i="6"/>
  <c r="B166" i="6"/>
  <c r="C166" i="6"/>
  <c r="A165" i="6"/>
  <c r="B165" i="6"/>
  <c r="C165" i="6"/>
  <c r="A164" i="6"/>
  <c r="B164" i="6"/>
  <c r="C164" i="6"/>
  <c r="A163" i="6"/>
  <c r="B163" i="6"/>
  <c r="C163" i="6"/>
  <c r="A162" i="6"/>
  <c r="B162" i="6"/>
  <c r="C162" i="6"/>
  <c r="A161" i="6"/>
  <c r="B161" i="6"/>
  <c r="C161" i="6"/>
  <c r="A160" i="6"/>
  <c r="B160" i="6"/>
  <c r="C160" i="6"/>
  <c r="A159" i="6"/>
  <c r="B159" i="6"/>
  <c r="C159" i="6"/>
  <c r="A158" i="6"/>
  <c r="B158" i="6"/>
  <c r="C158" i="6"/>
  <c r="A157" i="6"/>
  <c r="B157" i="6"/>
  <c r="C157" i="6"/>
  <c r="A156" i="6"/>
  <c r="B156" i="6"/>
  <c r="C156" i="6"/>
  <c r="A155" i="6"/>
  <c r="B155" i="6"/>
  <c r="C155" i="6"/>
  <c r="A154" i="6"/>
  <c r="B154" i="6"/>
  <c r="C154" i="6"/>
  <c r="A153" i="6"/>
  <c r="B153" i="6"/>
  <c r="C153" i="6"/>
  <c r="A152" i="6"/>
  <c r="B152" i="6"/>
  <c r="C152" i="6"/>
  <c r="A151" i="6"/>
  <c r="B151" i="6"/>
  <c r="C151" i="6"/>
  <c r="A150" i="6"/>
  <c r="B150" i="6"/>
  <c r="C150" i="6"/>
  <c r="A149" i="6"/>
  <c r="B149" i="6"/>
  <c r="C149" i="6"/>
  <c r="A148" i="6"/>
  <c r="B148" i="6"/>
  <c r="C148" i="6"/>
  <c r="A147" i="6"/>
  <c r="B147" i="6"/>
  <c r="C147" i="6"/>
  <c r="A146" i="6"/>
  <c r="B146" i="6"/>
  <c r="C146" i="6"/>
  <c r="A145" i="6"/>
  <c r="B145" i="6"/>
  <c r="C145" i="6"/>
  <c r="A144" i="6"/>
  <c r="B144" i="6"/>
  <c r="C144" i="6"/>
  <c r="A143" i="6"/>
  <c r="B143" i="6"/>
  <c r="C143" i="6"/>
  <c r="A142" i="6"/>
  <c r="B142" i="6"/>
  <c r="C142" i="6"/>
  <c r="A141" i="6"/>
  <c r="B141" i="6"/>
  <c r="C141" i="6"/>
  <c r="A140" i="6"/>
  <c r="B140" i="6"/>
  <c r="C140" i="6"/>
  <c r="A139" i="6"/>
  <c r="B139" i="6"/>
  <c r="C139" i="6"/>
  <c r="A138" i="6"/>
  <c r="B138" i="6"/>
  <c r="C138" i="6"/>
  <c r="A137" i="6"/>
  <c r="B137" i="6"/>
  <c r="C137" i="6"/>
  <c r="A136" i="6"/>
  <c r="B136" i="6"/>
  <c r="C136" i="6"/>
  <c r="A135" i="6"/>
  <c r="B135" i="6"/>
  <c r="C135" i="6"/>
  <c r="A134" i="6"/>
  <c r="B134" i="6"/>
  <c r="C134" i="6"/>
  <c r="A133" i="6"/>
  <c r="B133" i="6"/>
  <c r="C133" i="6"/>
  <c r="A132" i="6"/>
  <c r="B132" i="6"/>
  <c r="C132" i="6"/>
  <c r="A131" i="6"/>
  <c r="B131" i="6"/>
  <c r="C131" i="6"/>
  <c r="A130" i="6"/>
  <c r="B130" i="6"/>
  <c r="C130" i="6"/>
  <c r="A129" i="6"/>
  <c r="B129" i="6"/>
  <c r="C129" i="6"/>
  <c r="A128" i="6"/>
  <c r="B128" i="6"/>
  <c r="C128" i="6"/>
  <c r="A127" i="6"/>
  <c r="B127" i="6"/>
  <c r="C127" i="6"/>
  <c r="A126" i="6"/>
  <c r="B126" i="6"/>
  <c r="C126" i="6"/>
  <c r="A125" i="6"/>
  <c r="B125" i="6"/>
  <c r="C125" i="6"/>
  <c r="A124" i="6"/>
  <c r="B124" i="6"/>
  <c r="C124" i="6"/>
  <c r="A123" i="6"/>
  <c r="B123" i="6"/>
  <c r="C123" i="6"/>
  <c r="A122" i="6"/>
  <c r="B122" i="6"/>
  <c r="C122" i="6"/>
  <c r="A121" i="6"/>
  <c r="B121" i="6"/>
  <c r="C121" i="6"/>
  <c r="A120" i="6"/>
  <c r="B120" i="6"/>
  <c r="C120" i="6"/>
  <c r="A119" i="6"/>
  <c r="B119" i="6"/>
  <c r="C119" i="6"/>
  <c r="A118" i="6"/>
  <c r="B118" i="6"/>
  <c r="C118" i="6"/>
  <c r="A117" i="6"/>
  <c r="B117" i="6"/>
  <c r="C117" i="6"/>
  <c r="A116" i="6"/>
  <c r="B116" i="6"/>
  <c r="C116" i="6"/>
  <c r="A115" i="6"/>
  <c r="B115" i="6"/>
  <c r="C115" i="6"/>
  <c r="A114" i="6"/>
  <c r="B114" i="6"/>
  <c r="C114" i="6"/>
  <c r="A113" i="6"/>
  <c r="B113" i="6"/>
  <c r="C113" i="6"/>
  <c r="A112" i="6"/>
  <c r="B112" i="6"/>
  <c r="C112" i="6"/>
  <c r="A111" i="6"/>
  <c r="B111" i="6"/>
  <c r="C111" i="6"/>
  <c r="A110" i="6"/>
  <c r="B110" i="6"/>
  <c r="C110" i="6"/>
  <c r="A109" i="6"/>
  <c r="B109" i="6"/>
  <c r="C109" i="6"/>
  <c r="A108" i="6"/>
  <c r="B108" i="6"/>
  <c r="C108" i="6"/>
  <c r="A107" i="6"/>
  <c r="B107" i="6"/>
  <c r="C107" i="6"/>
  <c r="A106" i="6"/>
  <c r="B106" i="6"/>
  <c r="C106" i="6"/>
  <c r="A105" i="6"/>
  <c r="B105" i="6"/>
  <c r="C105" i="6"/>
  <c r="A104" i="6"/>
  <c r="B104" i="6"/>
  <c r="C104" i="6"/>
  <c r="A103" i="6"/>
  <c r="B103" i="6"/>
  <c r="C103" i="6"/>
  <c r="A102" i="6"/>
  <c r="B102" i="6"/>
  <c r="C102" i="6"/>
  <c r="A101" i="6"/>
  <c r="B101" i="6"/>
  <c r="C101" i="6"/>
  <c r="A100" i="6"/>
  <c r="B100" i="6"/>
  <c r="C100" i="6"/>
  <c r="A99" i="6"/>
  <c r="B99" i="6"/>
  <c r="C99" i="6"/>
  <c r="A98" i="6"/>
  <c r="B98" i="6"/>
  <c r="C98" i="6"/>
  <c r="A97" i="6"/>
  <c r="B97" i="6"/>
  <c r="C97" i="6"/>
  <c r="A96" i="6"/>
  <c r="B96" i="6"/>
  <c r="C96" i="6"/>
  <c r="A95" i="6"/>
  <c r="B95" i="6"/>
  <c r="C95" i="6"/>
  <c r="A94" i="6"/>
  <c r="B94" i="6"/>
  <c r="C94" i="6"/>
  <c r="A93" i="6"/>
  <c r="B93" i="6"/>
  <c r="C93" i="6"/>
  <c r="A92" i="6"/>
  <c r="B92" i="6"/>
  <c r="C92" i="6"/>
  <c r="A91" i="6"/>
  <c r="B91" i="6"/>
  <c r="C91" i="6"/>
  <c r="A90" i="6"/>
  <c r="B90" i="6"/>
  <c r="C90" i="6"/>
  <c r="A89" i="6"/>
  <c r="B89" i="6"/>
  <c r="C89" i="6"/>
  <c r="A88" i="6"/>
  <c r="B88" i="6"/>
  <c r="C88" i="6"/>
  <c r="A87" i="6"/>
  <c r="B87" i="6"/>
  <c r="C87" i="6"/>
  <c r="A86" i="6"/>
  <c r="B86" i="6"/>
  <c r="C86" i="6"/>
  <c r="A85" i="6"/>
  <c r="B85" i="6"/>
  <c r="C85" i="6"/>
  <c r="A84" i="6"/>
  <c r="B84" i="6"/>
  <c r="C84" i="6"/>
  <c r="A83" i="6"/>
  <c r="B83" i="6"/>
  <c r="C83" i="6"/>
  <c r="A82" i="6"/>
  <c r="B82" i="6"/>
  <c r="C82" i="6"/>
  <c r="A81" i="6"/>
  <c r="B81" i="6"/>
  <c r="C81" i="6"/>
  <c r="A80" i="6"/>
  <c r="B80" i="6"/>
  <c r="C80" i="6"/>
  <c r="A79" i="6"/>
  <c r="B79" i="6"/>
  <c r="C79" i="6"/>
  <c r="A78" i="6"/>
  <c r="B78" i="6"/>
  <c r="C78" i="6"/>
  <c r="A77" i="6"/>
  <c r="B77" i="6"/>
  <c r="C77" i="6"/>
  <c r="A76" i="6"/>
  <c r="B76" i="6"/>
  <c r="C76" i="6"/>
  <c r="A75" i="6"/>
  <c r="B75" i="6"/>
  <c r="C75" i="6"/>
  <c r="A74" i="6"/>
  <c r="B74" i="6"/>
  <c r="C74" i="6"/>
  <c r="A73" i="6"/>
  <c r="B73" i="6"/>
  <c r="C73" i="6"/>
  <c r="A72" i="6"/>
  <c r="B72" i="6"/>
  <c r="C72" i="6"/>
  <c r="A71" i="6"/>
  <c r="B71" i="6"/>
  <c r="C71" i="6"/>
  <c r="A70" i="6"/>
  <c r="B70" i="6"/>
  <c r="C70" i="6"/>
  <c r="A69" i="6"/>
  <c r="B69" i="6"/>
  <c r="C69" i="6"/>
  <c r="A68" i="6"/>
  <c r="B68" i="6"/>
  <c r="C68" i="6"/>
  <c r="A67" i="6"/>
  <c r="B67" i="6"/>
  <c r="C67" i="6"/>
  <c r="A66" i="6"/>
  <c r="B66" i="6"/>
  <c r="C66" i="6"/>
  <c r="A65" i="6"/>
  <c r="B65" i="6"/>
  <c r="C65" i="6"/>
  <c r="A64" i="6"/>
  <c r="B64" i="6"/>
  <c r="C64" i="6"/>
  <c r="A63" i="6"/>
  <c r="B63" i="6"/>
  <c r="C63" i="6"/>
  <c r="A62" i="6"/>
  <c r="B62" i="6"/>
  <c r="C62" i="6"/>
  <c r="A61" i="6"/>
  <c r="B61" i="6"/>
  <c r="C61" i="6"/>
  <c r="A60" i="6"/>
  <c r="B60" i="6"/>
  <c r="C60" i="6"/>
  <c r="A59" i="6"/>
  <c r="B59" i="6"/>
  <c r="C59" i="6"/>
  <c r="A58" i="6"/>
  <c r="B58" i="6"/>
  <c r="C58" i="6"/>
  <c r="A57" i="6"/>
  <c r="B57" i="6"/>
  <c r="C57" i="6"/>
  <c r="A56" i="6"/>
  <c r="B56" i="6"/>
  <c r="C56" i="6"/>
  <c r="A55" i="6"/>
  <c r="B55" i="6"/>
  <c r="C55" i="6"/>
  <c r="A54" i="6"/>
  <c r="B54" i="6"/>
  <c r="C54" i="6"/>
  <c r="A53" i="6"/>
  <c r="B53" i="6"/>
  <c r="C53" i="6"/>
  <c r="A52" i="6"/>
  <c r="B52" i="6"/>
  <c r="C52" i="6"/>
  <c r="A51" i="6"/>
  <c r="B51" i="6"/>
  <c r="C51" i="6"/>
  <c r="A50" i="6"/>
  <c r="B50" i="6"/>
  <c r="C50" i="6"/>
  <c r="A49" i="6"/>
  <c r="B49" i="6"/>
  <c r="C49" i="6"/>
  <c r="A48" i="6"/>
  <c r="B48" i="6"/>
  <c r="C48" i="6"/>
  <c r="A47" i="6"/>
  <c r="B47" i="6"/>
  <c r="C47" i="6"/>
  <c r="A46" i="6"/>
  <c r="B46" i="6"/>
  <c r="C46" i="6"/>
  <c r="A45" i="6"/>
  <c r="B45" i="6"/>
  <c r="C45" i="6"/>
  <c r="A44" i="6"/>
  <c r="B44" i="6"/>
  <c r="C44" i="6"/>
  <c r="A43" i="6"/>
  <c r="B43" i="6"/>
  <c r="C43" i="6"/>
  <c r="A42" i="6"/>
  <c r="B42" i="6"/>
  <c r="C42" i="6"/>
  <c r="A41" i="6"/>
  <c r="B41" i="6"/>
  <c r="C41" i="6"/>
  <c r="A40" i="6"/>
  <c r="B40" i="6"/>
  <c r="C40" i="6"/>
  <c r="A39" i="6"/>
  <c r="B39" i="6"/>
  <c r="C39" i="6"/>
  <c r="A38" i="6"/>
  <c r="B38" i="6"/>
  <c r="C38" i="6"/>
  <c r="A37" i="6"/>
  <c r="B37" i="6"/>
  <c r="C37" i="6"/>
  <c r="A36" i="6"/>
  <c r="B36" i="6"/>
  <c r="C36" i="6"/>
  <c r="A35" i="6"/>
  <c r="B35" i="6"/>
  <c r="C35" i="6"/>
  <c r="A34" i="6"/>
  <c r="B34" i="6"/>
  <c r="C34" i="6"/>
  <c r="A33" i="6"/>
  <c r="B33" i="6"/>
  <c r="C33" i="6"/>
  <c r="A32" i="6"/>
  <c r="B32" i="6"/>
  <c r="C32" i="6"/>
  <c r="A31" i="6"/>
  <c r="B31" i="6"/>
  <c r="C31" i="6"/>
  <c r="A30" i="6"/>
  <c r="B30" i="6"/>
  <c r="C30" i="6"/>
  <c r="A29" i="6"/>
  <c r="B29" i="6"/>
  <c r="C29" i="6"/>
  <c r="A28" i="6"/>
  <c r="B28" i="6"/>
  <c r="C28" i="6"/>
  <c r="A27" i="6"/>
  <c r="B27" i="6"/>
  <c r="C27" i="6"/>
  <c r="A26" i="6"/>
  <c r="B26" i="6"/>
  <c r="C26" i="6"/>
  <c r="A25" i="6"/>
  <c r="B25" i="6"/>
  <c r="C25" i="6"/>
  <c r="A24" i="6"/>
  <c r="B24" i="6"/>
  <c r="C24" i="6"/>
  <c r="A23" i="6"/>
  <c r="B23" i="6"/>
  <c r="C23" i="6"/>
  <c r="A22" i="6"/>
  <c r="B22" i="6"/>
  <c r="C22" i="6"/>
  <c r="A21" i="6"/>
  <c r="B21" i="6"/>
  <c r="C21" i="6"/>
  <c r="A20" i="6"/>
  <c r="B20" i="6"/>
  <c r="C20" i="6"/>
  <c r="A19" i="6"/>
  <c r="B19" i="6"/>
  <c r="C19" i="6"/>
  <c r="A18" i="6"/>
  <c r="B18" i="6"/>
  <c r="C18" i="6"/>
  <c r="A17" i="6"/>
  <c r="B17" i="6"/>
  <c r="C17" i="6"/>
  <c r="A16" i="6"/>
  <c r="B16" i="6"/>
  <c r="C16" i="6"/>
  <c r="A15" i="6"/>
  <c r="B15" i="6"/>
  <c r="C15" i="6"/>
  <c r="A14" i="6"/>
  <c r="B14" i="6"/>
  <c r="C14" i="6"/>
  <c r="A13" i="6"/>
  <c r="B13" i="6"/>
  <c r="C13" i="6"/>
  <c r="A12" i="6"/>
  <c r="B12" i="6"/>
  <c r="C12" i="6"/>
  <c r="A11" i="6"/>
  <c r="B11" i="6"/>
  <c r="C11" i="6"/>
  <c r="A10" i="6"/>
  <c r="B10" i="6"/>
  <c r="C10" i="6"/>
  <c r="A9" i="6"/>
  <c r="B9" i="6"/>
  <c r="C9" i="6"/>
  <c r="A8" i="6"/>
  <c r="B8" i="6"/>
  <c r="C8" i="6"/>
  <c r="A7" i="6"/>
  <c r="B7" i="6"/>
  <c r="C7" i="6"/>
  <c r="A6" i="6"/>
  <c r="B6" i="6"/>
  <c r="C6" i="6"/>
  <c r="A5" i="6"/>
  <c r="B5" i="6"/>
  <c r="C5" i="6"/>
  <c r="A4" i="6"/>
  <c r="B4" i="6"/>
  <c r="C4" i="6"/>
  <c r="A3" i="6"/>
  <c r="B3" i="6"/>
  <c r="C3" i="6"/>
  <c r="A2" i="6"/>
  <c r="B2" i="6"/>
  <c r="C2" i="6"/>
  <c r="A2612" i="5"/>
  <c r="B2612" i="5"/>
  <c r="C2612" i="5"/>
  <c r="A2611" i="5"/>
  <c r="B2611" i="5"/>
  <c r="C2611" i="5"/>
  <c r="A2610" i="5"/>
  <c r="B2610" i="5"/>
  <c r="C2610" i="5"/>
  <c r="A2609" i="5"/>
  <c r="B2609" i="5"/>
  <c r="C2609" i="5"/>
  <c r="A2608" i="5"/>
  <c r="B2608" i="5"/>
  <c r="C2608" i="5"/>
  <c r="A2607" i="5"/>
  <c r="B2607" i="5"/>
  <c r="C2607" i="5"/>
  <c r="A2606" i="5"/>
  <c r="B2606" i="5"/>
  <c r="C2606" i="5"/>
  <c r="A2605" i="5"/>
  <c r="B2605" i="5"/>
  <c r="C2605" i="5"/>
  <c r="A2604" i="5"/>
  <c r="B2604" i="5"/>
  <c r="C2604" i="5"/>
  <c r="A2603" i="5"/>
  <c r="B2603" i="5"/>
  <c r="C2603" i="5"/>
  <c r="A2602" i="5"/>
  <c r="B2602" i="5"/>
  <c r="C2602" i="5"/>
  <c r="A2601" i="5"/>
  <c r="B2601" i="5"/>
  <c r="C2601" i="5"/>
  <c r="A2600" i="5"/>
  <c r="B2600" i="5"/>
  <c r="C2600" i="5"/>
  <c r="A2599" i="5"/>
  <c r="B2599" i="5"/>
  <c r="C2599" i="5"/>
  <c r="A2598" i="5"/>
  <c r="B2598" i="5"/>
  <c r="C2598" i="5"/>
  <c r="A2597" i="5"/>
  <c r="B2597" i="5"/>
  <c r="C2597" i="5"/>
  <c r="A2596" i="5"/>
  <c r="B2596" i="5"/>
  <c r="C2596" i="5"/>
  <c r="A2595" i="5"/>
  <c r="B2595" i="5"/>
  <c r="C2595" i="5"/>
  <c r="A2594" i="5"/>
  <c r="B2594" i="5"/>
  <c r="C2594" i="5"/>
  <c r="A2593" i="5"/>
  <c r="B2593" i="5"/>
  <c r="C2593" i="5"/>
  <c r="A2592" i="5"/>
  <c r="B2592" i="5"/>
  <c r="C2592" i="5"/>
  <c r="A2591" i="5"/>
  <c r="B2591" i="5"/>
  <c r="C2591" i="5"/>
  <c r="A2590" i="5"/>
  <c r="B2590" i="5"/>
  <c r="C2590" i="5"/>
  <c r="A2589" i="5"/>
  <c r="B2589" i="5"/>
  <c r="C2589" i="5"/>
  <c r="A2588" i="5"/>
  <c r="B2588" i="5"/>
  <c r="C2588" i="5"/>
  <c r="A2587" i="5"/>
  <c r="B2587" i="5"/>
  <c r="C2587" i="5"/>
  <c r="A2586" i="5"/>
  <c r="B2586" i="5"/>
  <c r="C2586" i="5"/>
  <c r="A2585" i="5"/>
  <c r="B2585" i="5"/>
  <c r="C2585" i="5"/>
  <c r="A2584" i="5"/>
  <c r="B2584" i="5"/>
  <c r="C2584" i="5"/>
  <c r="A2583" i="5"/>
  <c r="B2583" i="5"/>
  <c r="C2583" i="5"/>
  <c r="A2582" i="5"/>
  <c r="B2582" i="5"/>
  <c r="C2582" i="5"/>
  <c r="A2581" i="5"/>
  <c r="B2581" i="5"/>
  <c r="C2581" i="5"/>
  <c r="A2580" i="5"/>
  <c r="B2580" i="5"/>
  <c r="C2580" i="5"/>
  <c r="A2579" i="5"/>
  <c r="B2579" i="5"/>
  <c r="C2579" i="5"/>
  <c r="A2578" i="5"/>
  <c r="B2578" i="5"/>
  <c r="C2578" i="5"/>
  <c r="A2577" i="5"/>
  <c r="B2577" i="5"/>
  <c r="C2577" i="5"/>
  <c r="A2576" i="5"/>
  <c r="B2576" i="5"/>
  <c r="C2576" i="5"/>
  <c r="A2575" i="5"/>
  <c r="B2575" i="5"/>
  <c r="C2575" i="5"/>
  <c r="A2574" i="5"/>
  <c r="B2574" i="5"/>
  <c r="C2574" i="5"/>
  <c r="A2573" i="5"/>
  <c r="B2573" i="5"/>
  <c r="C2573" i="5"/>
  <c r="A2572" i="5"/>
  <c r="B2572" i="5"/>
  <c r="C2572" i="5"/>
  <c r="A2571" i="5"/>
  <c r="B2571" i="5"/>
  <c r="C2571" i="5"/>
  <c r="A2570" i="5"/>
  <c r="B2570" i="5"/>
  <c r="C2570" i="5"/>
  <c r="A2569" i="5"/>
  <c r="B2569" i="5"/>
  <c r="C2569" i="5"/>
  <c r="A2568" i="5"/>
  <c r="B2568" i="5"/>
  <c r="C2568" i="5"/>
  <c r="A2567" i="5"/>
  <c r="B2567" i="5"/>
  <c r="C2567" i="5"/>
  <c r="A2566" i="5"/>
  <c r="B2566" i="5"/>
  <c r="C2566" i="5"/>
  <c r="A2565" i="5"/>
  <c r="B2565" i="5"/>
  <c r="C2565" i="5"/>
  <c r="A2564" i="5"/>
  <c r="B2564" i="5"/>
  <c r="C2564" i="5"/>
  <c r="A2563" i="5"/>
  <c r="B2563" i="5"/>
  <c r="C2563" i="5"/>
  <c r="A2562" i="5"/>
  <c r="B2562" i="5"/>
  <c r="C2562" i="5"/>
  <c r="A2561" i="5"/>
  <c r="B2561" i="5"/>
  <c r="C2561" i="5"/>
  <c r="A2560" i="5"/>
  <c r="B2560" i="5"/>
  <c r="C2560" i="5"/>
  <c r="A2559" i="5"/>
  <c r="B2559" i="5"/>
  <c r="C2559" i="5"/>
  <c r="A2558" i="5"/>
  <c r="B2558" i="5"/>
  <c r="C2558" i="5"/>
  <c r="A2557" i="5"/>
  <c r="B2557" i="5"/>
  <c r="C2557" i="5"/>
  <c r="A2556" i="5"/>
  <c r="B2556" i="5"/>
  <c r="C2556" i="5"/>
  <c r="A2555" i="5"/>
  <c r="B2555" i="5"/>
  <c r="C2555" i="5"/>
  <c r="A2554" i="5"/>
  <c r="B2554" i="5"/>
  <c r="C2554" i="5"/>
  <c r="A2553" i="5"/>
  <c r="B2553" i="5"/>
  <c r="C2553" i="5"/>
  <c r="A2552" i="5"/>
  <c r="B2552" i="5"/>
  <c r="C2552" i="5"/>
  <c r="A2551" i="5"/>
  <c r="B2551" i="5"/>
  <c r="C2551" i="5"/>
  <c r="A2550" i="5"/>
  <c r="B2550" i="5"/>
  <c r="C2550" i="5"/>
  <c r="A2549" i="5"/>
  <c r="B2549" i="5"/>
  <c r="C2549" i="5"/>
  <c r="A2548" i="5"/>
  <c r="B2548" i="5"/>
  <c r="C2548" i="5"/>
  <c r="A2547" i="5"/>
  <c r="B2547" i="5"/>
  <c r="C2547" i="5"/>
  <c r="A2546" i="5"/>
  <c r="B2546" i="5"/>
  <c r="C2546" i="5"/>
  <c r="A2545" i="5"/>
  <c r="B2545" i="5"/>
  <c r="C2545" i="5"/>
  <c r="A2544" i="5"/>
  <c r="B2544" i="5"/>
  <c r="C2544" i="5"/>
  <c r="A2543" i="5"/>
  <c r="B2543" i="5"/>
  <c r="C2543" i="5"/>
  <c r="A2542" i="5"/>
  <c r="B2542" i="5"/>
  <c r="C2542" i="5"/>
  <c r="A2541" i="5"/>
  <c r="B2541" i="5"/>
  <c r="C2541" i="5"/>
  <c r="A2540" i="5"/>
  <c r="B2540" i="5"/>
  <c r="C2540" i="5"/>
  <c r="A2539" i="5"/>
  <c r="B2539" i="5"/>
  <c r="C2539" i="5"/>
  <c r="A2538" i="5"/>
  <c r="B2538" i="5"/>
  <c r="C2538" i="5"/>
  <c r="A2537" i="5"/>
  <c r="B2537" i="5"/>
  <c r="C2537" i="5"/>
  <c r="A2536" i="5"/>
  <c r="B2536" i="5"/>
  <c r="C2536" i="5"/>
  <c r="A2535" i="5"/>
  <c r="B2535" i="5"/>
  <c r="C2535" i="5"/>
  <c r="A2534" i="5"/>
  <c r="B2534" i="5"/>
  <c r="C2534" i="5"/>
  <c r="A2533" i="5"/>
  <c r="B2533" i="5"/>
  <c r="C2533" i="5"/>
  <c r="A2532" i="5"/>
  <c r="B2532" i="5"/>
  <c r="C2532" i="5"/>
  <c r="A2531" i="5"/>
  <c r="B2531" i="5"/>
  <c r="C2531" i="5"/>
  <c r="A2530" i="5"/>
  <c r="B2530" i="5"/>
  <c r="C2530" i="5"/>
  <c r="A2529" i="5"/>
  <c r="B2529" i="5"/>
  <c r="C2529" i="5"/>
  <c r="A2528" i="5"/>
  <c r="B2528" i="5"/>
  <c r="C2528" i="5"/>
  <c r="A2527" i="5"/>
  <c r="B2527" i="5"/>
  <c r="C2527" i="5"/>
  <c r="A2526" i="5"/>
  <c r="B2526" i="5"/>
  <c r="C2526" i="5"/>
  <c r="A2525" i="5"/>
  <c r="B2525" i="5"/>
  <c r="C2525" i="5"/>
  <c r="A2524" i="5"/>
  <c r="B2524" i="5"/>
  <c r="C2524" i="5"/>
  <c r="A2523" i="5"/>
  <c r="B2523" i="5"/>
  <c r="C2523" i="5"/>
  <c r="A2522" i="5"/>
  <c r="B2522" i="5"/>
  <c r="C2522" i="5"/>
  <c r="A2521" i="5"/>
  <c r="B2521" i="5"/>
  <c r="C2521" i="5"/>
  <c r="A2520" i="5"/>
  <c r="B2520" i="5"/>
  <c r="C2520" i="5"/>
  <c r="A2519" i="5"/>
  <c r="B2519" i="5"/>
  <c r="C2519" i="5"/>
  <c r="A2518" i="5"/>
  <c r="B2518" i="5"/>
  <c r="C2518" i="5"/>
  <c r="A2517" i="5"/>
  <c r="B2517" i="5"/>
  <c r="C2517" i="5"/>
  <c r="A2516" i="5"/>
  <c r="B2516" i="5"/>
  <c r="C2516" i="5"/>
  <c r="A2515" i="5"/>
  <c r="B2515" i="5"/>
  <c r="C2515" i="5"/>
  <c r="A2514" i="5"/>
  <c r="B2514" i="5"/>
  <c r="C2514" i="5"/>
  <c r="A2513" i="5"/>
  <c r="B2513" i="5"/>
  <c r="C2513" i="5"/>
  <c r="A2512" i="5"/>
  <c r="B2512" i="5"/>
  <c r="C2512" i="5"/>
  <c r="A2511" i="5"/>
  <c r="B2511" i="5"/>
  <c r="C2511" i="5"/>
  <c r="A2510" i="5"/>
  <c r="B2510" i="5"/>
  <c r="C2510" i="5"/>
  <c r="A2509" i="5"/>
  <c r="B2509" i="5"/>
  <c r="C2509" i="5"/>
  <c r="A2508" i="5"/>
  <c r="B2508" i="5"/>
  <c r="C2508" i="5"/>
  <c r="A2507" i="5"/>
  <c r="B2507" i="5"/>
  <c r="C2507" i="5"/>
  <c r="A2506" i="5"/>
  <c r="B2506" i="5"/>
  <c r="C2506" i="5"/>
  <c r="A2505" i="5"/>
  <c r="B2505" i="5"/>
  <c r="C2505" i="5"/>
  <c r="A2504" i="5"/>
  <c r="B2504" i="5"/>
  <c r="C2504" i="5"/>
  <c r="A2503" i="5"/>
  <c r="B2503" i="5"/>
  <c r="C2503" i="5"/>
  <c r="A2502" i="5"/>
  <c r="B2502" i="5"/>
  <c r="C2502" i="5"/>
  <c r="A2501" i="5"/>
  <c r="B2501" i="5"/>
  <c r="C2501" i="5"/>
  <c r="A2500" i="5"/>
  <c r="B2500" i="5"/>
  <c r="C2500" i="5"/>
  <c r="A2499" i="5"/>
  <c r="B2499" i="5"/>
  <c r="C2499" i="5"/>
  <c r="A2498" i="5"/>
  <c r="B2498" i="5"/>
  <c r="C2498" i="5"/>
  <c r="A2497" i="5"/>
  <c r="B2497" i="5"/>
  <c r="C2497" i="5"/>
  <c r="A2496" i="5"/>
  <c r="B2496" i="5"/>
  <c r="C2496" i="5"/>
  <c r="A2495" i="5"/>
  <c r="B2495" i="5"/>
  <c r="C2495" i="5"/>
  <c r="A2494" i="5"/>
  <c r="B2494" i="5"/>
  <c r="C2494" i="5"/>
  <c r="A2493" i="5"/>
  <c r="B2493" i="5"/>
  <c r="C2493" i="5"/>
  <c r="A2492" i="5"/>
  <c r="B2492" i="5"/>
  <c r="C2492" i="5"/>
  <c r="A2491" i="5"/>
  <c r="B2491" i="5"/>
  <c r="C2491" i="5"/>
  <c r="A2490" i="5"/>
  <c r="B2490" i="5"/>
  <c r="C2490" i="5"/>
  <c r="A2489" i="5"/>
  <c r="B2489" i="5"/>
  <c r="C2489" i="5"/>
  <c r="A2488" i="5"/>
  <c r="B2488" i="5"/>
  <c r="C2488" i="5"/>
  <c r="A2487" i="5"/>
  <c r="B2487" i="5"/>
  <c r="C2487" i="5"/>
  <c r="A2486" i="5"/>
  <c r="B2486" i="5"/>
  <c r="C2486" i="5"/>
  <c r="A2485" i="5"/>
  <c r="B2485" i="5"/>
  <c r="C2485" i="5"/>
  <c r="A2484" i="5"/>
  <c r="B2484" i="5"/>
  <c r="C2484" i="5"/>
  <c r="A2483" i="5"/>
  <c r="B2483" i="5"/>
  <c r="C2483" i="5"/>
  <c r="A2482" i="5"/>
  <c r="B2482" i="5"/>
  <c r="C2482" i="5"/>
  <c r="A2481" i="5"/>
  <c r="B2481" i="5"/>
  <c r="C2481" i="5"/>
  <c r="A2480" i="5"/>
  <c r="B2480" i="5"/>
  <c r="C2480" i="5"/>
  <c r="A2479" i="5"/>
  <c r="B2479" i="5"/>
  <c r="C2479" i="5"/>
  <c r="A2478" i="5"/>
  <c r="B2478" i="5"/>
  <c r="C2478" i="5"/>
  <c r="A2477" i="5"/>
  <c r="B2477" i="5"/>
  <c r="C2477" i="5"/>
  <c r="A2476" i="5"/>
  <c r="B2476" i="5"/>
  <c r="C2476" i="5"/>
  <c r="A2475" i="5"/>
  <c r="B2475" i="5"/>
  <c r="C2475" i="5"/>
  <c r="A2474" i="5"/>
  <c r="B2474" i="5"/>
  <c r="C2474" i="5"/>
  <c r="A2473" i="5"/>
  <c r="B2473" i="5"/>
  <c r="C2473" i="5"/>
  <c r="A2472" i="5"/>
  <c r="B2472" i="5"/>
  <c r="C2472" i="5"/>
  <c r="A2471" i="5"/>
  <c r="B2471" i="5"/>
  <c r="C2471" i="5"/>
  <c r="A2470" i="5"/>
  <c r="B2470" i="5"/>
  <c r="C2470" i="5"/>
  <c r="A2469" i="5"/>
  <c r="B2469" i="5"/>
  <c r="C2469" i="5"/>
  <c r="A2468" i="5"/>
  <c r="B2468" i="5"/>
  <c r="C2468" i="5"/>
  <c r="A2467" i="5"/>
  <c r="B2467" i="5"/>
  <c r="C2467" i="5"/>
  <c r="A2466" i="5"/>
  <c r="B2466" i="5"/>
  <c r="C2466" i="5"/>
  <c r="A2465" i="5"/>
  <c r="B2465" i="5"/>
  <c r="C2465" i="5"/>
  <c r="A2464" i="5"/>
  <c r="B2464" i="5"/>
  <c r="C2464" i="5"/>
  <c r="A2463" i="5"/>
  <c r="B2463" i="5"/>
  <c r="C2463" i="5"/>
  <c r="A2462" i="5"/>
  <c r="B2462" i="5"/>
  <c r="C2462" i="5"/>
  <c r="A2461" i="5"/>
  <c r="B2461" i="5"/>
  <c r="C2461" i="5"/>
  <c r="A2460" i="5"/>
  <c r="B2460" i="5"/>
  <c r="C2460" i="5"/>
  <c r="A2459" i="5"/>
  <c r="B2459" i="5"/>
  <c r="C2459" i="5"/>
  <c r="A2458" i="5"/>
  <c r="B2458" i="5"/>
  <c r="C2458" i="5"/>
  <c r="A2457" i="5"/>
  <c r="B2457" i="5"/>
  <c r="C2457" i="5"/>
  <c r="A2456" i="5"/>
  <c r="B2456" i="5"/>
  <c r="C2456" i="5"/>
  <c r="A2455" i="5"/>
  <c r="B2455" i="5"/>
  <c r="C2455" i="5"/>
  <c r="A2454" i="5"/>
  <c r="B2454" i="5"/>
  <c r="C2454" i="5"/>
  <c r="A2453" i="5"/>
  <c r="B2453" i="5"/>
  <c r="C2453" i="5"/>
  <c r="A2452" i="5"/>
  <c r="B2452" i="5"/>
  <c r="C2452" i="5"/>
  <c r="A2451" i="5"/>
  <c r="B2451" i="5"/>
  <c r="C2451" i="5"/>
  <c r="A2450" i="5"/>
  <c r="B2450" i="5"/>
  <c r="C2450" i="5"/>
  <c r="A2449" i="5"/>
  <c r="B2449" i="5"/>
  <c r="C2449" i="5"/>
  <c r="A2448" i="5"/>
  <c r="B2448" i="5"/>
  <c r="C2448" i="5"/>
  <c r="A2447" i="5"/>
  <c r="B2447" i="5"/>
  <c r="C2447" i="5"/>
  <c r="A2446" i="5"/>
  <c r="B2446" i="5"/>
  <c r="C2446" i="5"/>
  <c r="A2445" i="5"/>
  <c r="B2445" i="5"/>
  <c r="C2445" i="5"/>
  <c r="A2444" i="5"/>
  <c r="B2444" i="5"/>
  <c r="C2444" i="5"/>
  <c r="A2443" i="5"/>
  <c r="B2443" i="5"/>
  <c r="C2443" i="5"/>
  <c r="A2442" i="5"/>
  <c r="B2442" i="5"/>
  <c r="C2442" i="5"/>
  <c r="A2441" i="5"/>
  <c r="B2441" i="5"/>
  <c r="C2441" i="5"/>
  <c r="A2440" i="5"/>
  <c r="B2440" i="5"/>
  <c r="C2440" i="5"/>
  <c r="A2439" i="5"/>
  <c r="B2439" i="5"/>
  <c r="C2439" i="5"/>
  <c r="A2438" i="5"/>
  <c r="B2438" i="5"/>
  <c r="C2438" i="5"/>
  <c r="A2437" i="5"/>
  <c r="B2437" i="5"/>
  <c r="C2437" i="5"/>
  <c r="A2436" i="5"/>
  <c r="B2436" i="5"/>
  <c r="C2436" i="5"/>
  <c r="A2435" i="5"/>
  <c r="B2435" i="5"/>
  <c r="C2435" i="5"/>
  <c r="A2434" i="5"/>
  <c r="B2434" i="5"/>
  <c r="C2434" i="5"/>
  <c r="A2433" i="5"/>
  <c r="B2433" i="5"/>
  <c r="C2433" i="5"/>
  <c r="A2432" i="5"/>
  <c r="B2432" i="5"/>
  <c r="C2432" i="5"/>
  <c r="A2431" i="5"/>
  <c r="B2431" i="5"/>
  <c r="C2431" i="5"/>
  <c r="A2430" i="5"/>
  <c r="B2430" i="5"/>
  <c r="C2430" i="5"/>
  <c r="A2429" i="5"/>
  <c r="B2429" i="5"/>
  <c r="C2429" i="5"/>
  <c r="A2428" i="5"/>
  <c r="B2428" i="5"/>
  <c r="C2428" i="5"/>
  <c r="A2427" i="5"/>
  <c r="B2427" i="5"/>
  <c r="C2427" i="5"/>
  <c r="A2426" i="5"/>
  <c r="B2426" i="5"/>
  <c r="C2426" i="5"/>
  <c r="A2425" i="5"/>
  <c r="B2425" i="5"/>
  <c r="C2425" i="5"/>
  <c r="A2424" i="5"/>
  <c r="B2424" i="5"/>
  <c r="C2424" i="5"/>
  <c r="A2423" i="5"/>
  <c r="B2423" i="5"/>
  <c r="C2423" i="5"/>
  <c r="A2422" i="5"/>
  <c r="B2422" i="5"/>
  <c r="C2422" i="5"/>
  <c r="A2421" i="5"/>
  <c r="B2421" i="5"/>
  <c r="C2421" i="5"/>
  <c r="A2420" i="5"/>
  <c r="B2420" i="5"/>
  <c r="C2420" i="5"/>
  <c r="A2419" i="5"/>
  <c r="B2419" i="5"/>
  <c r="C2419" i="5"/>
  <c r="A2418" i="5"/>
  <c r="B2418" i="5"/>
  <c r="C2418" i="5"/>
  <c r="A2417" i="5"/>
  <c r="B2417" i="5"/>
  <c r="C2417" i="5"/>
  <c r="A2416" i="5"/>
  <c r="B2416" i="5"/>
  <c r="C2416" i="5"/>
  <c r="A2415" i="5"/>
  <c r="B2415" i="5"/>
  <c r="C2415" i="5"/>
  <c r="A2414" i="5"/>
  <c r="B2414" i="5"/>
  <c r="C2414" i="5"/>
  <c r="A2413" i="5"/>
  <c r="B2413" i="5"/>
  <c r="C2413" i="5"/>
  <c r="A2412" i="5"/>
  <c r="B2412" i="5"/>
  <c r="C2412" i="5"/>
  <c r="A2411" i="5"/>
  <c r="B2411" i="5"/>
  <c r="C2411" i="5"/>
  <c r="A2410" i="5"/>
  <c r="B2410" i="5"/>
  <c r="C2410" i="5"/>
  <c r="A2409" i="5"/>
  <c r="B2409" i="5"/>
  <c r="C2409" i="5"/>
  <c r="A2408" i="5"/>
  <c r="B2408" i="5"/>
  <c r="C2408" i="5"/>
  <c r="A2407" i="5"/>
  <c r="B2407" i="5"/>
  <c r="C2407" i="5"/>
  <c r="A2406" i="5"/>
  <c r="B2406" i="5"/>
  <c r="C2406" i="5"/>
  <c r="A2405" i="5"/>
  <c r="B2405" i="5"/>
  <c r="C2405" i="5"/>
  <c r="A2404" i="5"/>
  <c r="B2404" i="5"/>
  <c r="C2404" i="5"/>
  <c r="A2403" i="5"/>
  <c r="B2403" i="5"/>
  <c r="C2403" i="5"/>
  <c r="A2402" i="5"/>
  <c r="B2402" i="5"/>
  <c r="C2402" i="5"/>
  <c r="A2401" i="5"/>
  <c r="B2401" i="5"/>
  <c r="C2401" i="5"/>
  <c r="A2400" i="5"/>
  <c r="B2400" i="5"/>
  <c r="C2400" i="5"/>
  <c r="A2399" i="5"/>
  <c r="B2399" i="5"/>
  <c r="C2399" i="5"/>
  <c r="A2398" i="5"/>
  <c r="B2398" i="5"/>
  <c r="C2398" i="5"/>
  <c r="A2397" i="5"/>
  <c r="B2397" i="5"/>
  <c r="C2397" i="5"/>
  <c r="A2396" i="5"/>
  <c r="B2396" i="5"/>
  <c r="C2396" i="5"/>
  <c r="A2395" i="5"/>
  <c r="B2395" i="5"/>
  <c r="C2395" i="5"/>
  <c r="A2394" i="5"/>
  <c r="B2394" i="5"/>
  <c r="C2394" i="5"/>
  <c r="A2393" i="5"/>
  <c r="B2393" i="5"/>
  <c r="C2393" i="5"/>
  <c r="A2392" i="5"/>
  <c r="B2392" i="5"/>
  <c r="C2392" i="5"/>
  <c r="A2391" i="5"/>
  <c r="B2391" i="5"/>
  <c r="C2391" i="5"/>
  <c r="A2390" i="5"/>
  <c r="B2390" i="5"/>
  <c r="C2390" i="5"/>
  <c r="A2389" i="5"/>
  <c r="B2389" i="5"/>
  <c r="C2389" i="5"/>
  <c r="A2388" i="5"/>
  <c r="B2388" i="5"/>
  <c r="C2388" i="5"/>
  <c r="A2387" i="5"/>
  <c r="B2387" i="5"/>
  <c r="C2387" i="5"/>
  <c r="A2386" i="5"/>
  <c r="B2386" i="5"/>
  <c r="C2386" i="5"/>
  <c r="A2385" i="5"/>
  <c r="B2385" i="5"/>
  <c r="C2385" i="5"/>
  <c r="A2384" i="5"/>
  <c r="B2384" i="5"/>
  <c r="C2384" i="5"/>
  <c r="A2383" i="5"/>
  <c r="B2383" i="5"/>
  <c r="C2383" i="5"/>
  <c r="A2382" i="5"/>
  <c r="B2382" i="5"/>
  <c r="C2382" i="5"/>
  <c r="A2381" i="5"/>
  <c r="B2381" i="5"/>
  <c r="C2381" i="5"/>
  <c r="A2380" i="5"/>
  <c r="B2380" i="5"/>
  <c r="C2380" i="5"/>
  <c r="A2379" i="5"/>
  <c r="B2379" i="5"/>
  <c r="C2379" i="5"/>
  <c r="A2378" i="5"/>
  <c r="B2378" i="5"/>
  <c r="C2378" i="5"/>
  <c r="A2377" i="5"/>
  <c r="B2377" i="5"/>
  <c r="C2377" i="5"/>
  <c r="A2376" i="5"/>
  <c r="B2376" i="5"/>
  <c r="C2376" i="5"/>
  <c r="A2375" i="5"/>
  <c r="B2375" i="5"/>
  <c r="C2375" i="5"/>
  <c r="A2374" i="5"/>
  <c r="B2374" i="5"/>
  <c r="C2374" i="5"/>
  <c r="A2373" i="5"/>
  <c r="B2373" i="5"/>
  <c r="C2373" i="5"/>
  <c r="A2372" i="5"/>
  <c r="B2372" i="5"/>
  <c r="C2372" i="5"/>
  <c r="A2371" i="5"/>
  <c r="B2371" i="5"/>
  <c r="C2371" i="5"/>
  <c r="A2370" i="5"/>
  <c r="B2370" i="5"/>
  <c r="C2370" i="5"/>
  <c r="A2369" i="5"/>
  <c r="B2369" i="5"/>
  <c r="C2369" i="5"/>
  <c r="A2368" i="5"/>
  <c r="B2368" i="5"/>
  <c r="C2368" i="5"/>
  <c r="A2367" i="5"/>
  <c r="B2367" i="5"/>
  <c r="C2367" i="5"/>
  <c r="A2366" i="5"/>
  <c r="B2366" i="5"/>
  <c r="C2366" i="5"/>
  <c r="A2365" i="5"/>
  <c r="B2365" i="5"/>
  <c r="C2365" i="5"/>
  <c r="A2364" i="5"/>
  <c r="B2364" i="5"/>
  <c r="C2364" i="5"/>
  <c r="A2363" i="5"/>
  <c r="B2363" i="5"/>
  <c r="C2363" i="5"/>
  <c r="A2362" i="5"/>
  <c r="B2362" i="5"/>
  <c r="C2362" i="5"/>
  <c r="A2361" i="5"/>
  <c r="B2361" i="5"/>
  <c r="C2361" i="5"/>
  <c r="A2360" i="5"/>
  <c r="B2360" i="5"/>
  <c r="C2360" i="5"/>
  <c r="A2359" i="5"/>
  <c r="B2359" i="5"/>
  <c r="C2359" i="5"/>
  <c r="A2358" i="5"/>
  <c r="B2358" i="5"/>
  <c r="C2358" i="5"/>
  <c r="A2357" i="5"/>
  <c r="B2357" i="5"/>
  <c r="C2357" i="5"/>
  <c r="A2356" i="5"/>
  <c r="B2356" i="5"/>
  <c r="C2356" i="5"/>
  <c r="A2355" i="5"/>
  <c r="B2355" i="5"/>
  <c r="C2355" i="5"/>
  <c r="A2354" i="5"/>
  <c r="B2354" i="5"/>
  <c r="C2354" i="5"/>
  <c r="A2353" i="5"/>
  <c r="B2353" i="5"/>
  <c r="C2353" i="5"/>
  <c r="A2352" i="5"/>
  <c r="B2352" i="5"/>
  <c r="C2352" i="5"/>
  <c r="A2351" i="5"/>
  <c r="B2351" i="5"/>
  <c r="C2351" i="5"/>
  <c r="A2350" i="5"/>
  <c r="B2350" i="5"/>
  <c r="C2350" i="5"/>
  <c r="A2349" i="5"/>
  <c r="B2349" i="5"/>
  <c r="C2349" i="5"/>
  <c r="A2348" i="5"/>
  <c r="B2348" i="5"/>
  <c r="C2348" i="5"/>
  <c r="A2347" i="5"/>
  <c r="B2347" i="5"/>
  <c r="C2347" i="5"/>
  <c r="A2346" i="5"/>
  <c r="B2346" i="5"/>
  <c r="C2346" i="5"/>
  <c r="A2345" i="5"/>
  <c r="B2345" i="5"/>
  <c r="C2345" i="5"/>
  <c r="A2344" i="5"/>
  <c r="B2344" i="5"/>
  <c r="C2344" i="5"/>
  <c r="A2343" i="5"/>
  <c r="B2343" i="5"/>
  <c r="C2343" i="5"/>
  <c r="A2342" i="5"/>
  <c r="B2342" i="5"/>
  <c r="C2342" i="5"/>
  <c r="A2341" i="5"/>
  <c r="B2341" i="5"/>
  <c r="C2341" i="5"/>
  <c r="A2340" i="5"/>
  <c r="B2340" i="5"/>
  <c r="C2340" i="5"/>
  <c r="A2339" i="5"/>
  <c r="B2339" i="5"/>
  <c r="C2339" i="5"/>
  <c r="A2338" i="5"/>
  <c r="B2338" i="5"/>
  <c r="C2338" i="5"/>
  <c r="A2337" i="5"/>
  <c r="B2337" i="5"/>
  <c r="C2337" i="5"/>
  <c r="A2336" i="5"/>
  <c r="B2336" i="5"/>
  <c r="C2336" i="5"/>
  <c r="A2335" i="5"/>
  <c r="B2335" i="5"/>
  <c r="C2335" i="5"/>
  <c r="A2334" i="5"/>
  <c r="B2334" i="5"/>
  <c r="C2334" i="5"/>
  <c r="A2333" i="5"/>
  <c r="B2333" i="5"/>
  <c r="C2333" i="5"/>
  <c r="A2332" i="5"/>
  <c r="B2332" i="5"/>
  <c r="C2332" i="5"/>
  <c r="A2331" i="5"/>
  <c r="B2331" i="5"/>
  <c r="C2331" i="5"/>
  <c r="A2330" i="5"/>
  <c r="B2330" i="5"/>
  <c r="C2330" i="5"/>
  <c r="A2329" i="5"/>
  <c r="B2329" i="5"/>
  <c r="C2329" i="5"/>
  <c r="A2328" i="5"/>
  <c r="B2328" i="5"/>
  <c r="C2328" i="5"/>
  <c r="A2327" i="5"/>
  <c r="B2327" i="5"/>
  <c r="C2327" i="5"/>
  <c r="A2326" i="5"/>
  <c r="B2326" i="5"/>
  <c r="C2326" i="5"/>
  <c r="A2325" i="5"/>
  <c r="B2325" i="5"/>
  <c r="C2325" i="5"/>
  <c r="A2324" i="5"/>
  <c r="B2324" i="5"/>
  <c r="C2324" i="5"/>
  <c r="A2323" i="5"/>
  <c r="B2323" i="5"/>
  <c r="C2323" i="5"/>
  <c r="A2322" i="5"/>
  <c r="B2322" i="5"/>
  <c r="C2322" i="5"/>
  <c r="A2321" i="5"/>
  <c r="B2321" i="5"/>
  <c r="C2321" i="5"/>
  <c r="A2320" i="5"/>
  <c r="B2320" i="5"/>
  <c r="C2320" i="5"/>
  <c r="A2319" i="5"/>
  <c r="B2319" i="5"/>
  <c r="C2319" i="5"/>
  <c r="A2318" i="5"/>
  <c r="B2318" i="5"/>
  <c r="C2318" i="5"/>
  <c r="A2317" i="5"/>
  <c r="B2317" i="5"/>
  <c r="C2317" i="5"/>
  <c r="A2316" i="5"/>
  <c r="B2316" i="5"/>
  <c r="C2316" i="5"/>
  <c r="A2315" i="5"/>
  <c r="B2315" i="5"/>
  <c r="C2315" i="5"/>
  <c r="A2314" i="5"/>
  <c r="B2314" i="5"/>
  <c r="C2314" i="5"/>
  <c r="A2313" i="5"/>
  <c r="B2313" i="5"/>
  <c r="C2313" i="5"/>
  <c r="A2312" i="5"/>
  <c r="B2312" i="5"/>
  <c r="C2312" i="5"/>
  <c r="A2311" i="5"/>
  <c r="B2311" i="5"/>
  <c r="C2311" i="5"/>
  <c r="A2310" i="5"/>
  <c r="B2310" i="5"/>
  <c r="C2310" i="5"/>
  <c r="A2309" i="5"/>
  <c r="B2309" i="5"/>
  <c r="C2309" i="5"/>
  <c r="A2308" i="5"/>
  <c r="B2308" i="5"/>
  <c r="C2308" i="5"/>
  <c r="A2307" i="5"/>
  <c r="B2307" i="5"/>
  <c r="C2307" i="5"/>
  <c r="A2306" i="5"/>
  <c r="B2306" i="5"/>
  <c r="C2306" i="5"/>
  <c r="A2305" i="5"/>
  <c r="B2305" i="5"/>
  <c r="C2305" i="5"/>
  <c r="A2304" i="5"/>
  <c r="B2304" i="5"/>
  <c r="C2304" i="5"/>
  <c r="A2303" i="5"/>
  <c r="B2303" i="5"/>
  <c r="C2303" i="5"/>
  <c r="A2302" i="5"/>
  <c r="B2302" i="5"/>
  <c r="C2302" i="5"/>
  <c r="A2301" i="5"/>
  <c r="B2301" i="5"/>
  <c r="C2301" i="5"/>
  <c r="A2300" i="5"/>
  <c r="B2300" i="5"/>
  <c r="C2300" i="5"/>
  <c r="A2299" i="5"/>
  <c r="B2299" i="5"/>
  <c r="C2299" i="5"/>
  <c r="A2298" i="5"/>
  <c r="B2298" i="5"/>
  <c r="C2298" i="5"/>
  <c r="A2297" i="5"/>
  <c r="B2297" i="5"/>
  <c r="C2297" i="5"/>
  <c r="A2296" i="5"/>
  <c r="B2296" i="5"/>
  <c r="C2296" i="5"/>
  <c r="A2295" i="5"/>
  <c r="B2295" i="5"/>
  <c r="C2295" i="5"/>
  <c r="A2294" i="5"/>
  <c r="B2294" i="5"/>
  <c r="C2294" i="5"/>
  <c r="A2293" i="5"/>
  <c r="B2293" i="5"/>
  <c r="C2293" i="5"/>
  <c r="A2292" i="5"/>
  <c r="B2292" i="5"/>
  <c r="C2292" i="5"/>
  <c r="A2291" i="5"/>
  <c r="B2291" i="5"/>
  <c r="C2291" i="5"/>
  <c r="A2290" i="5"/>
  <c r="B2290" i="5"/>
  <c r="C2290" i="5"/>
  <c r="A2289" i="5"/>
  <c r="B2289" i="5"/>
  <c r="C2289" i="5"/>
  <c r="A2288" i="5"/>
  <c r="B2288" i="5"/>
  <c r="C2288" i="5"/>
  <c r="A2287" i="5"/>
  <c r="B2287" i="5"/>
  <c r="C2287" i="5"/>
  <c r="A2286" i="5"/>
  <c r="B2286" i="5"/>
  <c r="C2286" i="5"/>
  <c r="A2285" i="5"/>
  <c r="B2285" i="5"/>
  <c r="C2285" i="5"/>
  <c r="A2284" i="5"/>
  <c r="B2284" i="5"/>
  <c r="C2284" i="5"/>
  <c r="A2283" i="5"/>
  <c r="B2283" i="5"/>
  <c r="C2283" i="5"/>
  <c r="A2282" i="5"/>
  <c r="B2282" i="5"/>
  <c r="C2282" i="5"/>
  <c r="A2281" i="5"/>
  <c r="B2281" i="5"/>
  <c r="C2281" i="5"/>
  <c r="A2280" i="5"/>
  <c r="B2280" i="5"/>
  <c r="C2280" i="5"/>
  <c r="A2279" i="5"/>
  <c r="B2279" i="5"/>
  <c r="C2279" i="5"/>
  <c r="A2278" i="5"/>
  <c r="B2278" i="5"/>
  <c r="C2278" i="5"/>
  <c r="A2277" i="5"/>
  <c r="B2277" i="5"/>
  <c r="C2277" i="5"/>
  <c r="A2276" i="5"/>
  <c r="B2276" i="5"/>
  <c r="C2276" i="5"/>
  <c r="A2275" i="5"/>
  <c r="B2275" i="5"/>
  <c r="C2275" i="5"/>
  <c r="A2274" i="5"/>
  <c r="B2274" i="5"/>
  <c r="C2274" i="5"/>
  <c r="A2273" i="5"/>
  <c r="B2273" i="5"/>
  <c r="C2273" i="5"/>
  <c r="A2272" i="5"/>
  <c r="B2272" i="5"/>
  <c r="C2272" i="5"/>
  <c r="A2271" i="5"/>
  <c r="B2271" i="5"/>
  <c r="C2271" i="5"/>
  <c r="A2270" i="5"/>
  <c r="B2270" i="5"/>
  <c r="C2270" i="5"/>
  <c r="A2269" i="5"/>
  <c r="B2269" i="5"/>
  <c r="C2269" i="5"/>
  <c r="A2268" i="5"/>
  <c r="B2268" i="5"/>
  <c r="C2268" i="5"/>
  <c r="A2267" i="5"/>
  <c r="B2267" i="5"/>
  <c r="C2267" i="5"/>
  <c r="A2266" i="5"/>
  <c r="B2266" i="5"/>
  <c r="C2266" i="5"/>
  <c r="A2265" i="5"/>
  <c r="B2265" i="5"/>
  <c r="C2265" i="5"/>
  <c r="A2264" i="5"/>
  <c r="B2264" i="5"/>
  <c r="C2264" i="5"/>
  <c r="A2263" i="5"/>
  <c r="B2263" i="5"/>
  <c r="C2263" i="5"/>
  <c r="A2262" i="5"/>
  <c r="B2262" i="5"/>
  <c r="C2262" i="5"/>
  <c r="A2261" i="5"/>
  <c r="B2261" i="5"/>
  <c r="C2261" i="5"/>
  <c r="A2260" i="5"/>
  <c r="B2260" i="5"/>
  <c r="C2260" i="5"/>
  <c r="A2259" i="5"/>
  <c r="B2259" i="5"/>
  <c r="C2259" i="5"/>
  <c r="A2258" i="5"/>
  <c r="B2258" i="5"/>
  <c r="C2258" i="5"/>
  <c r="A2257" i="5"/>
  <c r="B2257" i="5"/>
  <c r="C2257" i="5"/>
  <c r="A2256" i="5"/>
  <c r="B2256" i="5"/>
  <c r="C2256" i="5"/>
  <c r="A2255" i="5"/>
  <c r="B2255" i="5"/>
  <c r="C2255" i="5"/>
  <c r="A2254" i="5"/>
  <c r="B2254" i="5"/>
  <c r="C2254" i="5"/>
  <c r="A2253" i="5"/>
  <c r="B2253" i="5"/>
  <c r="C2253" i="5"/>
  <c r="A2252" i="5"/>
  <c r="B2252" i="5"/>
  <c r="C2252" i="5"/>
  <c r="A2251" i="5"/>
  <c r="B2251" i="5"/>
  <c r="C2251" i="5"/>
  <c r="A2250" i="5"/>
  <c r="B2250" i="5"/>
  <c r="C2250" i="5"/>
  <c r="A2249" i="5"/>
  <c r="B2249" i="5"/>
  <c r="C2249" i="5"/>
  <c r="A2248" i="5"/>
  <c r="B2248" i="5"/>
  <c r="C2248" i="5"/>
  <c r="A2247" i="5"/>
  <c r="B2247" i="5"/>
  <c r="C2247" i="5"/>
  <c r="A2246" i="5"/>
  <c r="B2246" i="5"/>
  <c r="C2246" i="5"/>
  <c r="A2245" i="5"/>
  <c r="B2245" i="5"/>
  <c r="C2245" i="5"/>
  <c r="A2244" i="5"/>
  <c r="B2244" i="5"/>
  <c r="C2244" i="5"/>
  <c r="A2243" i="5"/>
  <c r="B2243" i="5"/>
  <c r="C2243" i="5"/>
  <c r="A2242" i="5"/>
  <c r="B2242" i="5"/>
  <c r="C2242" i="5"/>
  <c r="A2241" i="5"/>
  <c r="B2241" i="5"/>
  <c r="C2241" i="5"/>
  <c r="A2240" i="5"/>
  <c r="B2240" i="5"/>
  <c r="C2240" i="5"/>
  <c r="A2239" i="5"/>
  <c r="B2239" i="5"/>
  <c r="C2239" i="5"/>
  <c r="A2238" i="5"/>
  <c r="B2238" i="5"/>
  <c r="C2238" i="5"/>
  <c r="A2237" i="5"/>
  <c r="B2237" i="5"/>
  <c r="C2237" i="5"/>
  <c r="A2236" i="5"/>
  <c r="B2236" i="5"/>
  <c r="C2236" i="5"/>
  <c r="A2235" i="5"/>
  <c r="B2235" i="5"/>
  <c r="C2235" i="5"/>
  <c r="A2234" i="5"/>
  <c r="B2234" i="5"/>
  <c r="C2234" i="5"/>
  <c r="A2233" i="5"/>
  <c r="B2233" i="5"/>
  <c r="C2233" i="5"/>
  <c r="A2232" i="5"/>
  <c r="B2232" i="5"/>
  <c r="C2232" i="5"/>
  <c r="A2231" i="5"/>
  <c r="B2231" i="5"/>
  <c r="C2231" i="5"/>
  <c r="A2230" i="5"/>
  <c r="B2230" i="5"/>
  <c r="C2230" i="5"/>
  <c r="A2229" i="5"/>
  <c r="B2229" i="5"/>
  <c r="C2229" i="5"/>
  <c r="A2228" i="5"/>
  <c r="B2228" i="5"/>
  <c r="C2228" i="5"/>
  <c r="A2227" i="5"/>
  <c r="B2227" i="5"/>
  <c r="C2227" i="5"/>
  <c r="A2226" i="5"/>
  <c r="B2226" i="5"/>
  <c r="C2226" i="5"/>
  <c r="A2225" i="5"/>
  <c r="B2225" i="5"/>
  <c r="C2225" i="5"/>
  <c r="A2224" i="5"/>
  <c r="B2224" i="5"/>
  <c r="C2224" i="5"/>
  <c r="A2223" i="5"/>
  <c r="B2223" i="5"/>
  <c r="C2223" i="5"/>
  <c r="A2222" i="5"/>
  <c r="B2222" i="5"/>
  <c r="C2222" i="5"/>
  <c r="A2221" i="5"/>
  <c r="B2221" i="5"/>
  <c r="C2221" i="5"/>
  <c r="A2220" i="5"/>
  <c r="B2220" i="5"/>
  <c r="C2220" i="5"/>
  <c r="A2219" i="5"/>
  <c r="B2219" i="5"/>
  <c r="C2219" i="5"/>
  <c r="A2218" i="5"/>
  <c r="B2218" i="5"/>
  <c r="C2218" i="5"/>
  <c r="A2217" i="5"/>
  <c r="B2217" i="5"/>
  <c r="C2217" i="5"/>
  <c r="A2216" i="5"/>
  <c r="B2216" i="5"/>
  <c r="C2216" i="5"/>
  <c r="A2215" i="5"/>
  <c r="B2215" i="5"/>
  <c r="C2215" i="5"/>
  <c r="A2214" i="5"/>
  <c r="B2214" i="5"/>
  <c r="C2214" i="5"/>
  <c r="A2213" i="5"/>
  <c r="B2213" i="5"/>
  <c r="C2213" i="5"/>
  <c r="A2212" i="5"/>
  <c r="B2212" i="5"/>
  <c r="C2212" i="5"/>
  <c r="A2211" i="5"/>
  <c r="B2211" i="5"/>
  <c r="C2211" i="5"/>
  <c r="A2210" i="5"/>
  <c r="B2210" i="5"/>
  <c r="C2210" i="5"/>
  <c r="A2209" i="5"/>
  <c r="B2209" i="5"/>
  <c r="C2209" i="5"/>
  <c r="A2208" i="5"/>
  <c r="B2208" i="5"/>
  <c r="C2208" i="5"/>
  <c r="A2207" i="5"/>
  <c r="B2207" i="5"/>
  <c r="C2207" i="5"/>
  <c r="A2206" i="5"/>
  <c r="B2206" i="5"/>
  <c r="C2206" i="5"/>
  <c r="A2205" i="5"/>
  <c r="B2205" i="5"/>
  <c r="C2205" i="5"/>
  <c r="A2204" i="5"/>
  <c r="B2204" i="5"/>
  <c r="C2204" i="5"/>
  <c r="A2203" i="5"/>
  <c r="B2203" i="5"/>
  <c r="C2203" i="5"/>
  <c r="A2202" i="5"/>
  <c r="B2202" i="5"/>
  <c r="C2202" i="5"/>
  <c r="A2201" i="5"/>
  <c r="B2201" i="5"/>
  <c r="C2201" i="5"/>
  <c r="A2200" i="5"/>
  <c r="B2200" i="5"/>
  <c r="C2200" i="5"/>
  <c r="A2199" i="5"/>
  <c r="B2199" i="5"/>
  <c r="C2199" i="5"/>
  <c r="A2198" i="5"/>
  <c r="B2198" i="5"/>
  <c r="C2198" i="5"/>
  <c r="A2197" i="5"/>
  <c r="B2197" i="5"/>
  <c r="C2197" i="5"/>
  <c r="A2196" i="5"/>
  <c r="B2196" i="5"/>
  <c r="C2196" i="5"/>
  <c r="A2195" i="5"/>
  <c r="B2195" i="5"/>
  <c r="C2195" i="5"/>
  <c r="A2194" i="5"/>
  <c r="B2194" i="5"/>
  <c r="C2194" i="5"/>
  <c r="A2193" i="5"/>
  <c r="B2193" i="5"/>
  <c r="C2193" i="5"/>
  <c r="A2192" i="5"/>
  <c r="B2192" i="5"/>
  <c r="C2192" i="5"/>
  <c r="A2191" i="5"/>
  <c r="B2191" i="5"/>
  <c r="C2191" i="5"/>
  <c r="A2190" i="5"/>
  <c r="B2190" i="5"/>
  <c r="C2190" i="5"/>
  <c r="A2189" i="5"/>
  <c r="B2189" i="5"/>
  <c r="C2189" i="5"/>
  <c r="A2188" i="5"/>
  <c r="B2188" i="5"/>
  <c r="C2188" i="5"/>
  <c r="A2187" i="5"/>
  <c r="B2187" i="5"/>
  <c r="C2187" i="5"/>
  <c r="A2186" i="5"/>
  <c r="B2186" i="5"/>
  <c r="C2186" i="5"/>
  <c r="A2185" i="5"/>
  <c r="B2185" i="5"/>
  <c r="C2185" i="5"/>
  <c r="A2184" i="5"/>
  <c r="B2184" i="5"/>
  <c r="C2184" i="5"/>
  <c r="A2183" i="5"/>
  <c r="B2183" i="5"/>
  <c r="C2183" i="5"/>
  <c r="A2182" i="5"/>
  <c r="B2182" i="5"/>
  <c r="C2182" i="5"/>
  <c r="A2181" i="5"/>
  <c r="B2181" i="5"/>
  <c r="C2181" i="5"/>
  <c r="A2180" i="5"/>
  <c r="B2180" i="5"/>
  <c r="C2180" i="5"/>
  <c r="A2179" i="5"/>
  <c r="B2179" i="5"/>
  <c r="C2179" i="5"/>
  <c r="A2178" i="5"/>
  <c r="B2178" i="5"/>
  <c r="C2178" i="5"/>
  <c r="A2177" i="5"/>
  <c r="B2177" i="5"/>
  <c r="C2177" i="5"/>
  <c r="A2176" i="5"/>
  <c r="B2176" i="5"/>
  <c r="C2176" i="5"/>
  <c r="A2175" i="5"/>
  <c r="B2175" i="5"/>
  <c r="C2175" i="5"/>
  <c r="A2174" i="5"/>
  <c r="B2174" i="5"/>
  <c r="C2174" i="5"/>
  <c r="A2173" i="5"/>
  <c r="B2173" i="5"/>
  <c r="C2173" i="5"/>
  <c r="A2172" i="5"/>
  <c r="B2172" i="5"/>
  <c r="C2172" i="5"/>
  <c r="A2171" i="5"/>
  <c r="B2171" i="5"/>
  <c r="C2171" i="5"/>
  <c r="A2170" i="5"/>
  <c r="B2170" i="5"/>
  <c r="C2170" i="5"/>
  <c r="A2169" i="5"/>
  <c r="B2169" i="5"/>
  <c r="C2169" i="5"/>
  <c r="A2168" i="5"/>
  <c r="B2168" i="5"/>
  <c r="C2168" i="5"/>
  <c r="A2167" i="5"/>
  <c r="B2167" i="5"/>
  <c r="C2167" i="5"/>
  <c r="A2166" i="5"/>
  <c r="B2166" i="5"/>
  <c r="C2166" i="5"/>
  <c r="A2165" i="5"/>
  <c r="B2165" i="5"/>
  <c r="C2165" i="5"/>
  <c r="A2164" i="5"/>
  <c r="B2164" i="5"/>
  <c r="C2164" i="5"/>
  <c r="A2163" i="5"/>
  <c r="B2163" i="5"/>
  <c r="C2163" i="5"/>
  <c r="A2162" i="5"/>
  <c r="B2162" i="5"/>
  <c r="C2162" i="5"/>
  <c r="A2161" i="5"/>
  <c r="B2161" i="5"/>
  <c r="C2161" i="5"/>
  <c r="A2160" i="5"/>
  <c r="B2160" i="5"/>
  <c r="C2160" i="5"/>
  <c r="A2159" i="5"/>
  <c r="B2159" i="5"/>
  <c r="C2159" i="5"/>
  <c r="A2158" i="5"/>
  <c r="B2158" i="5"/>
  <c r="C2158" i="5"/>
  <c r="A2157" i="5"/>
  <c r="B2157" i="5"/>
  <c r="C2157" i="5"/>
  <c r="A2156" i="5"/>
  <c r="B2156" i="5"/>
  <c r="C2156" i="5"/>
  <c r="A2155" i="5"/>
  <c r="B2155" i="5"/>
  <c r="C2155" i="5"/>
  <c r="A2154" i="5"/>
  <c r="B2154" i="5"/>
  <c r="C2154" i="5"/>
  <c r="A2153" i="5"/>
  <c r="B2153" i="5"/>
  <c r="C2153" i="5"/>
  <c r="A2152" i="5"/>
  <c r="B2152" i="5"/>
  <c r="C2152" i="5"/>
  <c r="A2151" i="5"/>
  <c r="B2151" i="5"/>
  <c r="C2151" i="5"/>
  <c r="A2150" i="5"/>
  <c r="B2150" i="5"/>
  <c r="C2150" i="5"/>
  <c r="A2149" i="5"/>
  <c r="B2149" i="5"/>
  <c r="C2149" i="5"/>
  <c r="A2148" i="5"/>
  <c r="B2148" i="5"/>
  <c r="C2148" i="5"/>
  <c r="A2147" i="5"/>
  <c r="B2147" i="5"/>
  <c r="C2147" i="5"/>
  <c r="A2146" i="5"/>
  <c r="B2146" i="5"/>
  <c r="C2146" i="5"/>
  <c r="A2145" i="5"/>
  <c r="B2145" i="5"/>
  <c r="C2145" i="5"/>
  <c r="A2144" i="5"/>
  <c r="B2144" i="5"/>
  <c r="C2144" i="5"/>
  <c r="A2143" i="5"/>
  <c r="B2143" i="5"/>
  <c r="C2143" i="5"/>
  <c r="A2142" i="5"/>
  <c r="B2142" i="5"/>
  <c r="C2142" i="5"/>
  <c r="A2141" i="5"/>
  <c r="B2141" i="5"/>
  <c r="C2141" i="5"/>
  <c r="A2140" i="5"/>
  <c r="B2140" i="5"/>
  <c r="C2140" i="5"/>
  <c r="A2139" i="5"/>
  <c r="B2139" i="5"/>
  <c r="C2139" i="5"/>
  <c r="A2138" i="5"/>
  <c r="B2138" i="5"/>
  <c r="C2138" i="5"/>
  <c r="A2137" i="5"/>
  <c r="B2137" i="5"/>
  <c r="C2137" i="5"/>
  <c r="A2136" i="5"/>
  <c r="B2136" i="5"/>
  <c r="C2136" i="5"/>
  <c r="A2135" i="5"/>
  <c r="B2135" i="5"/>
  <c r="C2135" i="5"/>
  <c r="A2134" i="5"/>
  <c r="B2134" i="5"/>
  <c r="C2134" i="5"/>
  <c r="A2133" i="5"/>
  <c r="B2133" i="5"/>
  <c r="C2133" i="5"/>
  <c r="A2132" i="5"/>
  <c r="B2132" i="5"/>
  <c r="C2132" i="5"/>
  <c r="A2131" i="5"/>
  <c r="B2131" i="5"/>
  <c r="C2131" i="5"/>
  <c r="A2130" i="5"/>
  <c r="B2130" i="5"/>
  <c r="C2130" i="5"/>
  <c r="A2129" i="5"/>
  <c r="B2129" i="5"/>
  <c r="C2129" i="5"/>
  <c r="A2128" i="5"/>
  <c r="B2128" i="5"/>
  <c r="C2128" i="5"/>
  <c r="A2127" i="5"/>
  <c r="B2127" i="5"/>
  <c r="C2127" i="5"/>
  <c r="A2126" i="5"/>
  <c r="B2126" i="5"/>
  <c r="C2126" i="5"/>
  <c r="A2125" i="5"/>
  <c r="B2125" i="5"/>
  <c r="C2125" i="5"/>
  <c r="A2124" i="5"/>
  <c r="B2124" i="5"/>
  <c r="C2124" i="5"/>
  <c r="A2123" i="5"/>
  <c r="B2123" i="5"/>
  <c r="C2123" i="5"/>
  <c r="A2122" i="5"/>
  <c r="B2122" i="5"/>
  <c r="C2122" i="5"/>
  <c r="A2121" i="5"/>
  <c r="B2121" i="5"/>
  <c r="C2121" i="5"/>
  <c r="A2120" i="5"/>
  <c r="B2120" i="5"/>
  <c r="C2120" i="5"/>
  <c r="A2119" i="5"/>
  <c r="B2119" i="5"/>
  <c r="C2119" i="5"/>
  <c r="A2118" i="5"/>
  <c r="B2118" i="5"/>
  <c r="C2118" i="5"/>
  <c r="A2117" i="5"/>
  <c r="B2117" i="5"/>
  <c r="C2117" i="5"/>
  <c r="A2116" i="5"/>
  <c r="B2116" i="5"/>
  <c r="C2116" i="5"/>
  <c r="A2115" i="5"/>
  <c r="B2115" i="5"/>
  <c r="C2115" i="5"/>
  <c r="A2114" i="5"/>
  <c r="B2114" i="5"/>
  <c r="C2114" i="5"/>
  <c r="A2113" i="5"/>
  <c r="B2113" i="5"/>
  <c r="C2113" i="5"/>
  <c r="A2112" i="5"/>
  <c r="B2112" i="5"/>
  <c r="C2112" i="5"/>
  <c r="A2111" i="5"/>
  <c r="B2111" i="5"/>
  <c r="C2111" i="5"/>
  <c r="A2110" i="5"/>
  <c r="B2110" i="5"/>
  <c r="C2110" i="5"/>
  <c r="A2109" i="5"/>
  <c r="B2109" i="5"/>
  <c r="C2109" i="5"/>
  <c r="A2108" i="5"/>
  <c r="B2108" i="5"/>
  <c r="C2108" i="5"/>
  <c r="A2107" i="5"/>
  <c r="B2107" i="5"/>
  <c r="C2107" i="5"/>
  <c r="A2106" i="5"/>
  <c r="B2106" i="5"/>
  <c r="C2106" i="5"/>
  <c r="A2105" i="5"/>
  <c r="B2105" i="5"/>
  <c r="C2105" i="5"/>
  <c r="A2104" i="5"/>
  <c r="B2104" i="5"/>
  <c r="C2104" i="5"/>
  <c r="A2103" i="5"/>
  <c r="B2103" i="5"/>
  <c r="C2103" i="5"/>
  <c r="A2102" i="5"/>
  <c r="B2102" i="5"/>
  <c r="C2102" i="5"/>
  <c r="A2101" i="5"/>
  <c r="B2101" i="5"/>
  <c r="C2101" i="5"/>
  <c r="A2100" i="5"/>
  <c r="B2100" i="5"/>
  <c r="C2100" i="5"/>
  <c r="A2099" i="5"/>
  <c r="B2099" i="5"/>
  <c r="C2099" i="5"/>
  <c r="A2098" i="5"/>
  <c r="B2098" i="5"/>
  <c r="C2098" i="5"/>
  <c r="A2097" i="5"/>
  <c r="B2097" i="5"/>
  <c r="C2097" i="5"/>
  <c r="A2096" i="5"/>
  <c r="B2096" i="5"/>
  <c r="C2096" i="5"/>
  <c r="A2095" i="5"/>
  <c r="B2095" i="5"/>
  <c r="C2095" i="5"/>
  <c r="A2094" i="5"/>
  <c r="B2094" i="5"/>
  <c r="C2094" i="5"/>
  <c r="A2093" i="5"/>
  <c r="B2093" i="5"/>
  <c r="C2093" i="5"/>
  <c r="A2092" i="5"/>
  <c r="B2092" i="5"/>
  <c r="C2092" i="5"/>
  <c r="A2091" i="5"/>
  <c r="B2091" i="5"/>
  <c r="C2091" i="5"/>
  <c r="A2090" i="5"/>
  <c r="B2090" i="5"/>
  <c r="C2090" i="5"/>
  <c r="A2089" i="5"/>
  <c r="B2089" i="5"/>
  <c r="C2089" i="5"/>
  <c r="A2088" i="5"/>
  <c r="B2088" i="5"/>
  <c r="C2088" i="5"/>
  <c r="A2087" i="5"/>
  <c r="B2087" i="5"/>
  <c r="C2087" i="5"/>
  <c r="A2086" i="5"/>
  <c r="B2086" i="5"/>
  <c r="C2086" i="5"/>
  <c r="A2085" i="5"/>
  <c r="B2085" i="5"/>
  <c r="C2085" i="5"/>
  <c r="A2084" i="5"/>
  <c r="B2084" i="5"/>
  <c r="C2084" i="5"/>
  <c r="A2083" i="5"/>
  <c r="B2083" i="5"/>
  <c r="C2083" i="5"/>
  <c r="A2082" i="5"/>
  <c r="B2082" i="5"/>
  <c r="C2082" i="5"/>
  <c r="A2081" i="5"/>
  <c r="B2081" i="5"/>
  <c r="C2081" i="5"/>
  <c r="A2080" i="5"/>
  <c r="B2080" i="5"/>
  <c r="C2080" i="5"/>
  <c r="A2079" i="5"/>
  <c r="B2079" i="5"/>
  <c r="C2079" i="5"/>
  <c r="A2078" i="5"/>
  <c r="B2078" i="5"/>
  <c r="C2078" i="5"/>
  <c r="A2077" i="5"/>
  <c r="B2077" i="5"/>
  <c r="C2077" i="5"/>
  <c r="A2076" i="5"/>
  <c r="B2076" i="5"/>
  <c r="C2076" i="5"/>
  <c r="A2075" i="5"/>
  <c r="B2075" i="5"/>
  <c r="C2075" i="5"/>
  <c r="A2074" i="5"/>
  <c r="B2074" i="5"/>
  <c r="C2074" i="5"/>
  <c r="A2073" i="5"/>
  <c r="B2073" i="5"/>
  <c r="C2073" i="5"/>
  <c r="A2072" i="5"/>
  <c r="B2072" i="5"/>
  <c r="C2072" i="5"/>
  <c r="A2071" i="5"/>
  <c r="B2071" i="5"/>
  <c r="C2071" i="5"/>
  <c r="A2070" i="5"/>
  <c r="B2070" i="5"/>
  <c r="C2070" i="5"/>
  <c r="A2069" i="5"/>
  <c r="B2069" i="5"/>
  <c r="C2069" i="5"/>
  <c r="A2068" i="5"/>
  <c r="B2068" i="5"/>
  <c r="C2068" i="5"/>
  <c r="A2067" i="5"/>
  <c r="B2067" i="5"/>
  <c r="C2067" i="5"/>
  <c r="A2066" i="5"/>
  <c r="B2066" i="5"/>
  <c r="C2066" i="5"/>
  <c r="A2065" i="5"/>
  <c r="B2065" i="5"/>
  <c r="C2065" i="5"/>
  <c r="A2064" i="5"/>
  <c r="B2064" i="5"/>
  <c r="C2064" i="5"/>
  <c r="A2063" i="5"/>
  <c r="B2063" i="5"/>
  <c r="C2063" i="5"/>
  <c r="A2062" i="5"/>
  <c r="B2062" i="5"/>
  <c r="C2062" i="5"/>
  <c r="A2061" i="5"/>
  <c r="B2061" i="5"/>
  <c r="C2061" i="5"/>
  <c r="A2060" i="5"/>
  <c r="B2060" i="5"/>
  <c r="C2060" i="5"/>
  <c r="A2059" i="5"/>
  <c r="B2059" i="5"/>
  <c r="C2059" i="5"/>
  <c r="A2058" i="5"/>
  <c r="B2058" i="5"/>
  <c r="C2058" i="5"/>
  <c r="A2057" i="5"/>
  <c r="B2057" i="5"/>
  <c r="C2057" i="5"/>
  <c r="A2056" i="5"/>
  <c r="B2056" i="5"/>
  <c r="C2056" i="5"/>
  <c r="A2055" i="5"/>
  <c r="B2055" i="5"/>
  <c r="C2055" i="5"/>
  <c r="A2054" i="5"/>
  <c r="B2054" i="5"/>
  <c r="C2054" i="5"/>
  <c r="A2053" i="5"/>
  <c r="B2053" i="5"/>
  <c r="C2053" i="5"/>
  <c r="A2052" i="5"/>
  <c r="B2052" i="5"/>
  <c r="C2052" i="5"/>
  <c r="A2051" i="5"/>
  <c r="B2051" i="5"/>
  <c r="C2051" i="5"/>
  <c r="A2050" i="5"/>
  <c r="B2050" i="5"/>
  <c r="C2050" i="5"/>
  <c r="A2049" i="5"/>
  <c r="B2049" i="5"/>
  <c r="C2049" i="5"/>
  <c r="A2048" i="5"/>
  <c r="B2048" i="5"/>
  <c r="C2048" i="5"/>
  <c r="A2047" i="5"/>
  <c r="B2047" i="5"/>
  <c r="C2047" i="5"/>
  <c r="A2046" i="5"/>
  <c r="B2046" i="5"/>
  <c r="C2046" i="5"/>
  <c r="A2045" i="5"/>
  <c r="B2045" i="5"/>
  <c r="C2045" i="5"/>
  <c r="A2044" i="5"/>
  <c r="B2044" i="5"/>
  <c r="C2044" i="5"/>
  <c r="A2043" i="5"/>
  <c r="B2043" i="5"/>
  <c r="C2043" i="5"/>
  <c r="A2042" i="5"/>
  <c r="B2042" i="5"/>
  <c r="C2042" i="5"/>
  <c r="A2041" i="5"/>
  <c r="B2041" i="5"/>
  <c r="C2041" i="5"/>
  <c r="A2040" i="5"/>
  <c r="B2040" i="5"/>
  <c r="C2040" i="5"/>
  <c r="A2039" i="5"/>
  <c r="B2039" i="5"/>
  <c r="C2039" i="5"/>
  <c r="A2038" i="5"/>
  <c r="B2038" i="5"/>
  <c r="C2038" i="5"/>
  <c r="A2037" i="5"/>
  <c r="B2037" i="5"/>
  <c r="C2037" i="5"/>
  <c r="A2036" i="5"/>
  <c r="B2036" i="5"/>
  <c r="C2036" i="5"/>
  <c r="A2035" i="5"/>
  <c r="B2035" i="5"/>
  <c r="C2035" i="5"/>
  <c r="A2034" i="5"/>
  <c r="B2034" i="5"/>
  <c r="C2034" i="5"/>
  <c r="A2033" i="5"/>
  <c r="B2033" i="5"/>
  <c r="C2033" i="5"/>
  <c r="A2032" i="5"/>
  <c r="B2032" i="5"/>
  <c r="C2032" i="5"/>
  <c r="A2031" i="5"/>
  <c r="B2031" i="5"/>
  <c r="C2031" i="5"/>
  <c r="A2030" i="5"/>
  <c r="B2030" i="5"/>
  <c r="C2030" i="5"/>
  <c r="A2029" i="5"/>
  <c r="B2029" i="5"/>
  <c r="C2029" i="5"/>
  <c r="A2028" i="5"/>
  <c r="B2028" i="5"/>
  <c r="C2028" i="5"/>
  <c r="A2027" i="5"/>
  <c r="B2027" i="5"/>
  <c r="C2027" i="5"/>
  <c r="A2026" i="5"/>
  <c r="B2026" i="5"/>
  <c r="C2026" i="5"/>
  <c r="A2025" i="5"/>
  <c r="B2025" i="5"/>
  <c r="C2025" i="5"/>
  <c r="A2024" i="5"/>
  <c r="B2024" i="5"/>
  <c r="C2024" i="5"/>
  <c r="A2023" i="5"/>
  <c r="B2023" i="5"/>
  <c r="C2023" i="5"/>
  <c r="A2022" i="5"/>
  <c r="B2022" i="5"/>
  <c r="C2022" i="5"/>
  <c r="A2021" i="5"/>
  <c r="B2021" i="5"/>
  <c r="C2021" i="5"/>
  <c r="A2020" i="5"/>
  <c r="B2020" i="5"/>
  <c r="C2020" i="5"/>
  <c r="A2019" i="5"/>
  <c r="B2019" i="5"/>
  <c r="C2019" i="5"/>
  <c r="A2018" i="5"/>
  <c r="B2018" i="5"/>
  <c r="C2018" i="5"/>
  <c r="A2017" i="5"/>
  <c r="B2017" i="5"/>
  <c r="C2017" i="5"/>
  <c r="A2016" i="5"/>
  <c r="B2016" i="5"/>
  <c r="C2016" i="5"/>
  <c r="A2015" i="5"/>
  <c r="B2015" i="5"/>
  <c r="C2015" i="5"/>
  <c r="A2014" i="5"/>
  <c r="B2014" i="5"/>
  <c r="C2014" i="5"/>
  <c r="A2013" i="5"/>
  <c r="B2013" i="5"/>
  <c r="C2013" i="5"/>
  <c r="A2012" i="5"/>
  <c r="B2012" i="5"/>
  <c r="C2012" i="5"/>
  <c r="A2011" i="5"/>
  <c r="B2011" i="5"/>
  <c r="C2011" i="5"/>
  <c r="A2010" i="5"/>
  <c r="B2010" i="5"/>
  <c r="C2010" i="5"/>
  <c r="A2009" i="5"/>
  <c r="B2009" i="5"/>
  <c r="C2009" i="5"/>
  <c r="A2008" i="5"/>
  <c r="B2008" i="5"/>
  <c r="C2008" i="5"/>
  <c r="A2007" i="5"/>
  <c r="B2007" i="5"/>
  <c r="C2007" i="5"/>
  <c r="A2006" i="5"/>
  <c r="B2006" i="5"/>
  <c r="C2006" i="5"/>
  <c r="A2005" i="5"/>
  <c r="B2005" i="5"/>
  <c r="C2005" i="5"/>
  <c r="A2004" i="5"/>
  <c r="B2004" i="5"/>
  <c r="C2004" i="5"/>
  <c r="A2003" i="5"/>
  <c r="B2003" i="5"/>
  <c r="C2003" i="5"/>
  <c r="A2002" i="5"/>
  <c r="B2002" i="5"/>
  <c r="C2002" i="5"/>
  <c r="A2001" i="5"/>
  <c r="B2001" i="5"/>
  <c r="C2001" i="5"/>
  <c r="A2000" i="5"/>
  <c r="B2000" i="5"/>
  <c r="C2000" i="5"/>
  <c r="A1999" i="5"/>
  <c r="B1999" i="5"/>
  <c r="C1999" i="5"/>
  <c r="A1998" i="5"/>
  <c r="B1998" i="5"/>
  <c r="C1998" i="5"/>
  <c r="A1997" i="5"/>
  <c r="B1997" i="5"/>
  <c r="C1997" i="5"/>
  <c r="A1996" i="5"/>
  <c r="B1996" i="5"/>
  <c r="C1996" i="5"/>
  <c r="A1995" i="5"/>
  <c r="B1995" i="5"/>
  <c r="C1995" i="5"/>
  <c r="A1994" i="5"/>
  <c r="B1994" i="5"/>
  <c r="C1994" i="5"/>
  <c r="A1993" i="5"/>
  <c r="B1993" i="5"/>
  <c r="C1993" i="5"/>
  <c r="A1992" i="5"/>
  <c r="B1992" i="5"/>
  <c r="C1992" i="5"/>
  <c r="A1991" i="5"/>
  <c r="B1991" i="5"/>
  <c r="C1991" i="5"/>
  <c r="A1990" i="5"/>
  <c r="B1990" i="5"/>
  <c r="C1990" i="5"/>
  <c r="A1989" i="5"/>
  <c r="B1989" i="5"/>
  <c r="C1989" i="5"/>
  <c r="A1988" i="5"/>
  <c r="B1988" i="5"/>
  <c r="C1988" i="5"/>
  <c r="A1987" i="5"/>
  <c r="B1987" i="5"/>
  <c r="C1987" i="5"/>
  <c r="A1986" i="5"/>
  <c r="B1986" i="5"/>
  <c r="C1986" i="5"/>
  <c r="A1985" i="5"/>
  <c r="B1985" i="5"/>
  <c r="C1985" i="5"/>
  <c r="A1984" i="5"/>
  <c r="B1984" i="5"/>
  <c r="C1984" i="5"/>
  <c r="A1983" i="5"/>
  <c r="B1983" i="5"/>
  <c r="C1983" i="5"/>
  <c r="A1982" i="5"/>
  <c r="B1982" i="5"/>
  <c r="C1982" i="5"/>
  <c r="A1981" i="5"/>
  <c r="B1981" i="5"/>
  <c r="C1981" i="5"/>
  <c r="A1980" i="5"/>
  <c r="B1980" i="5"/>
  <c r="C1980" i="5"/>
  <c r="A1979" i="5"/>
  <c r="B1979" i="5"/>
  <c r="C1979" i="5"/>
  <c r="A1978" i="5"/>
  <c r="B1978" i="5"/>
  <c r="C1978" i="5"/>
  <c r="A1977" i="5"/>
  <c r="B1977" i="5"/>
  <c r="C1977" i="5"/>
  <c r="A1976" i="5"/>
  <c r="B1976" i="5"/>
  <c r="C1976" i="5"/>
  <c r="A1975" i="5"/>
  <c r="B1975" i="5"/>
  <c r="C1975" i="5"/>
  <c r="A1974" i="5"/>
  <c r="B1974" i="5"/>
  <c r="C1974" i="5"/>
  <c r="A1973" i="5"/>
  <c r="B1973" i="5"/>
  <c r="C1973" i="5"/>
  <c r="A1972" i="5"/>
  <c r="B1972" i="5"/>
  <c r="C1972" i="5"/>
  <c r="A1971" i="5"/>
  <c r="B1971" i="5"/>
  <c r="C1971" i="5"/>
  <c r="A1970" i="5"/>
  <c r="B1970" i="5"/>
  <c r="C1970" i="5"/>
  <c r="A1969" i="5"/>
  <c r="B1969" i="5"/>
  <c r="C1969" i="5"/>
  <c r="A1968" i="5"/>
  <c r="B1968" i="5"/>
  <c r="C1968" i="5"/>
  <c r="A1967" i="5"/>
  <c r="B1967" i="5"/>
  <c r="C1967" i="5"/>
  <c r="A1966" i="5"/>
  <c r="B1966" i="5"/>
  <c r="C1966" i="5"/>
  <c r="A1965" i="5"/>
  <c r="B1965" i="5"/>
  <c r="C1965" i="5"/>
  <c r="A1964" i="5"/>
  <c r="B1964" i="5"/>
  <c r="C1964" i="5"/>
  <c r="A1963" i="5"/>
  <c r="B1963" i="5"/>
  <c r="C1963" i="5"/>
  <c r="A1962" i="5"/>
  <c r="B1962" i="5"/>
  <c r="C1962" i="5"/>
  <c r="A1961" i="5"/>
  <c r="B1961" i="5"/>
  <c r="C1961" i="5"/>
  <c r="A1960" i="5"/>
  <c r="B1960" i="5"/>
  <c r="C1960" i="5"/>
  <c r="A1959" i="5"/>
  <c r="B1959" i="5"/>
  <c r="C1959" i="5"/>
  <c r="A1958" i="5"/>
  <c r="B1958" i="5"/>
  <c r="C1958" i="5"/>
  <c r="A1957" i="5"/>
  <c r="B1957" i="5"/>
  <c r="C1957" i="5"/>
  <c r="A1956" i="5"/>
  <c r="B1956" i="5"/>
  <c r="C1956" i="5"/>
  <c r="A1955" i="5"/>
  <c r="B1955" i="5"/>
  <c r="C1955" i="5"/>
  <c r="A1954" i="5"/>
  <c r="B1954" i="5"/>
  <c r="C1954" i="5"/>
  <c r="A1953" i="5"/>
  <c r="B1953" i="5"/>
  <c r="C1953" i="5"/>
  <c r="A1952" i="5"/>
  <c r="B1952" i="5"/>
  <c r="C1952" i="5"/>
  <c r="A1951" i="5"/>
  <c r="B1951" i="5"/>
  <c r="C1951" i="5"/>
  <c r="A1950" i="5"/>
  <c r="B1950" i="5"/>
  <c r="C1950" i="5"/>
  <c r="A1949" i="5"/>
  <c r="B1949" i="5"/>
  <c r="C1949" i="5"/>
  <c r="A1948" i="5"/>
  <c r="B1948" i="5"/>
  <c r="C1948" i="5"/>
  <c r="A1947" i="5"/>
  <c r="B1947" i="5"/>
  <c r="C1947" i="5"/>
  <c r="A1946" i="5"/>
  <c r="B1946" i="5"/>
  <c r="C1946" i="5"/>
  <c r="A1945" i="5"/>
  <c r="B1945" i="5"/>
  <c r="C1945" i="5"/>
  <c r="A1944" i="5"/>
  <c r="B1944" i="5"/>
  <c r="C1944" i="5"/>
  <c r="A1943" i="5"/>
  <c r="B1943" i="5"/>
  <c r="C1943" i="5"/>
  <c r="A1942" i="5"/>
  <c r="B1942" i="5"/>
  <c r="C1942" i="5"/>
  <c r="A1941" i="5"/>
  <c r="B1941" i="5"/>
  <c r="C1941" i="5"/>
  <c r="A1940" i="5"/>
  <c r="B1940" i="5"/>
  <c r="C1940" i="5"/>
  <c r="A1939" i="5"/>
  <c r="B1939" i="5"/>
  <c r="C1939" i="5"/>
  <c r="A1938" i="5"/>
  <c r="B1938" i="5"/>
  <c r="C1938" i="5"/>
  <c r="A1937" i="5"/>
  <c r="B1937" i="5"/>
  <c r="C1937" i="5"/>
  <c r="A1936" i="5"/>
  <c r="B1936" i="5"/>
  <c r="C1936" i="5"/>
  <c r="A1935" i="5"/>
  <c r="B1935" i="5"/>
  <c r="C1935" i="5"/>
  <c r="A1934" i="5"/>
  <c r="B1934" i="5"/>
  <c r="C1934" i="5"/>
  <c r="A1933" i="5"/>
  <c r="B1933" i="5"/>
  <c r="C1933" i="5"/>
  <c r="A1932" i="5"/>
  <c r="B1932" i="5"/>
  <c r="C1932" i="5"/>
  <c r="A1931" i="5"/>
  <c r="B1931" i="5"/>
  <c r="C1931" i="5"/>
  <c r="A1930" i="5"/>
  <c r="B1930" i="5"/>
  <c r="C1930" i="5"/>
  <c r="A1929" i="5"/>
  <c r="B1929" i="5"/>
  <c r="C1929" i="5"/>
  <c r="A1928" i="5"/>
  <c r="B1928" i="5"/>
  <c r="C1928" i="5"/>
  <c r="A1927" i="5"/>
  <c r="B1927" i="5"/>
  <c r="C1927" i="5"/>
  <c r="A1926" i="5"/>
  <c r="B1926" i="5"/>
  <c r="C1926" i="5"/>
  <c r="A1925" i="5"/>
  <c r="B1925" i="5"/>
  <c r="C1925" i="5"/>
  <c r="A1924" i="5"/>
  <c r="B1924" i="5"/>
  <c r="C1924" i="5"/>
  <c r="A1923" i="5"/>
  <c r="B1923" i="5"/>
  <c r="C1923" i="5"/>
  <c r="A1922" i="5"/>
  <c r="B1922" i="5"/>
  <c r="C1922" i="5"/>
  <c r="A1921" i="5"/>
  <c r="B1921" i="5"/>
  <c r="C1921" i="5"/>
  <c r="A1920" i="5"/>
  <c r="B1920" i="5"/>
  <c r="C1920" i="5"/>
  <c r="A1919" i="5"/>
  <c r="B1919" i="5"/>
  <c r="C1919" i="5"/>
  <c r="A1918" i="5"/>
  <c r="B1918" i="5"/>
  <c r="C1918" i="5"/>
  <c r="A1917" i="5"/>
  <c r="B1917" i="5"/>
  <c r="C1917" i="5"/>
  <c r="A1916" i="5"/>
  <c r="B1916" i="5"/>
  <c r="C1916" i="5"/>
  <c r="A1915" i="5"/>
  <c r="B1915" i="5"/>
  <c r="C1915" i="5"/>
  <c r="A1914" i="5"/>
  <c r="B1914" i="5"/>
  <c r="C1914" i="5"/>
  <c r="A1913" i="5"/>
  <c r="B1913" i="5"/>
  <c r="C1913" i="5"/>
  <c r="A1912" i="5"/>
  <c r="B1912" i="5"/>
  <c r="C1912" i="5"/>
  <c r="A1911" i="5"/>
  <c r="B1911" i="5"/>
  <c r="C1911" i="5"/>
  <c r="A1910" i="5"/>
  <c r="B1910" i="5"/>
  <c r="C1910" i="5"/>
  <c r="A1909" i="5"/>
  <c r="B1909" i="5"/>
  <c r="C1909" i="5"/>
  <c r="A1908" i="5"/>
  <c r="B1908" i="5"/>
  <c r="C1908" i="5"/>
  <c r="A1907" i="5"/>
  <c r="B1907" i="5"/>
  <c r="C1907" i="5"/>
  <c r="A1906" i="5"/>
  <c r="B1906" i="5"/>
  <c r="C1906" i="5"/>
  <c r="A1905" i="5"/>
  <c r="B1905" i="5"/>
  <c r="C1905" i="5"/>
  <c r="A1904" i="5"/>
  <c r="B1904" i="5"/>
  <c r="C1904" i="5"/>
  <c r="A1903" i="5"/>
  <c r="B1903" i="5"/>
  <c r="C1903" i="5"/>
  <c r="A1902" i="5"/>
  <c r="B1902" i="5"/>
  <c r="C1902" i="5"/>
  <c r="A1901" i="5"/>
  <c r="B1901" i="5"/>
  <c r="C1901" i="5"/>
  <c r="A1900" i="5"/>
  <c r="B1900" i="5"/>
  <c r="C1900" i="5"/>
  <c r="A1899" i="5"/>
  <c r="B1899" i="5"/>
  <c r="C1899" i="5"/>
  <c r="A1898" i="5"/>
  <c r="B1898" i="5"/>
  <c r="C1898" i="5"/>
  <c r="A1897" i="5"/>
  <c r="B1897" i="5"/>
  <c r="C1897" i="5"/>
  <c r="A1896" i="5"/>
  <c r="B1896" i="5"/>
  <c r="C1896" i="5"/>
  <c r="A1895" i="5"/>
  <c r="B1895" i="5"/>
  <c r="C1895" i="5"/>
  <c r="A1894" i="5"/>
  <c r="B1894" i="5"/>
  <c r="C1894" i="5"/>
  <c r="A1893" i="5"/>
  <c r="B1893" i="5"/>
  <c r="C1893" i="5"/>
  <c r="A1892" i="5"/>
  <c r="B1892" i="5"/>
  <c r="C1892" i="5"/>
  <c r="A1891" i="5"/>
  <c r="B1891" i="5"/>
  <c r="C1891" i="5"/>
  <c r="A1890" i="5"/>
  <c r="B1890" i="5"/>
  <c r="C1890" i="5"/>
  <c r="A1889" i="5"/>
  <c r="B1889" i="5"/>
  <c r="C1889" i="5"/>
  <c r="A1888" i="5"/>
  <c r="B1888" i="5"/>
  <c r="C1888" i="5"/>
  <c r="A1887" i="5"/>
  <c r="B1887" i="5"/>
  <c r="C1887" i="5"/>
  <c r="A1886" i="5"/>
  <c r="B1886" i="5"/>
  <c r="C1886" i="5"/>
  <c r="A1885" i="5"/>
  <c r="B1885" i="5"/>
  <c r="C1885" i="5"/>
  <c r="A1884" i="5"/>
  <c r="B1884" i="5"/>
  <c r="C1884" i="5"/>
  <c r="A1883" i="5"/>
  <c r="B1883" i="5"/>
  <c r="C1883" i="5"/>
  <c r="A1882" i="5"/>
  <c r="B1882" i="5"/>
  <c r="C1882" i="5"/>
  <c r="A1881" i="5"/>
  <c r="B1881" i="5"/>
  <c r="C1881" i="5"/>
  <c r="A1880" i="5"/>
  <c r="B1880" i="5"/>
  <c r="C1880" i="5"/>
  <c r="A1879" i="5"/>
  <c r="B1879" i="5"/>
  <c r="C1879" i="5"/>
  <c r="A1878" i="5"/>
  <c r="B1878" i="5"/>
  <c r="C1878" i="5"/>
  <c r="A1877" i="5"/>
  <c r="B1877" i="5"/>
  <c r="C1877" i="5"/>
  <c r="A1876" i="5"/>
  <c r="B1876" i="5"/>
  <c r="C1876" i="5"/>
  <c r="A1875" i="5"/>
  <c r="B1875" i="5"/>
  <c r="C1875" i="5"/>
  <c r="A1874" i="5"/>
  <c r="B1874" i="5"/>
  <c r="C1874" i="5"/>
  <c r="A1873" i="5"/>
  <c r="B1873" i="5"/>
  <c r="C1873" i="5"/>
  <c r="A1872" i="5"/>
  <c r="B1872" i="5"/>
  <c r="C1872" i="5"/>
  <c r="A1871" i="5"/>
  <c r="B1871" i="5"/>
  <c r="C1871" i="5"/>
  <c r="A1870" i="5"/>
  <c r="B1870" i="5"/>
  <c r="C1870" i="5"/>
  <c r="A1869" i="5"/>
  <c r="B1869" i="5"/>
  <c r="C1869" i="5"/>
  <c r="A1868" i="5"/>
  <c r="B1868" i="5"/>
  <c r="C1868" i="5"/>
  <c r="A1867" i="5"/>
  <c r="B1867" i="5"/>
  <c r="C1867" i="5"/>
  <c r="A1866" i="5"/>
  <c r="B1866" i="5"/>
  <c r="C1866" i="5"/>
  <c r="A1865" i="5"/>
  <c r="B1865" i="5"/>
  <c r="C1865" i="5"/>
  <c r="A1864" i="5"/>
  <c r="B1864" i="5"/>
  <c r="C1864" i="5"/>
  <c r="A1863" i="5"/>
  <c r="B1863" i="5"/>
  <c r="C1863" i="5"/>
  <c r="A1862" i="5"/>
  <c r="B1862" i="5"/>
  <c r="C1862" i="5"/>
  <c r="A1861" i="5"/>
  <c r="B1861" i="5"/>
  <c r="C1861" i="5"/>
  <c r="A1860" i="5"/>
  <c r="B1860" i="5"/>
  <c r="C1860" i="5"/>
  <c r="A1859" i="5"/>
  <c r="B1859" i="5"/>
  <c r="C1859" i="5"/>
  <c r="A1858" i="5"/>
  <c r="B1858" i="5"/>
  <c r="C1858" i="5"/>
  <c r="A1857" i="5"/>
  <c r="B1857" i="5"/>
  <c r="C1857" i="5"/>
  <c r="A1856" i="5"/>
  <c r="B1856" i="5"/>
  <c r="C1856" i="5"/>
  <c r="A1855" i="5"/>
  <c r="B1855" i="5"/>
  <c r="C1855" i="5"/>
  <c r="A1854" i="5"/>
  <c r="B1854" i="5"/>
  <c r="C1854" i="5"/>
  <c r="A1853" i="5"/>
  <c r="B1853" i="5"/>
  <c r="C1853" i="5"/>
  <c r="A1852" i="5"/>
  <c r="B1852" i="5"/>
  <c r="C1852" i="5"/>
  <c r="A1851" i="5"/>
  <c r="B1851" i="5"/>
  <c r="C1851" i="5"/>
  <c r="A1850" i="5"/>
  <c r="B1850" i="5"/>
  <c r="C1850" i="5"/>
  <c r="A1849" i="5"/>
  <c r="B1849" i="5"/>
  <c r="C1849" i="5"/>
  <c r="A1848" i="5"/>
  <c r="B1848" i="5"/>
  <c r="C1848" i="5"/>
  <c r="A1847" i="5"/>
  <c r="B1847" i="5"/>
  <c r="C1847" i="5"/>
  <c r="A1846" i="5"/>
  <c r="B1846" i="5"/>
  <c r="C1846" i="5"/>
  <c r="A1845" i="5"/>
  <c r="B1845" i="5"/>
  <c r="C1845" i="5"/>
  <c r="A1844" i="5"/>
  <c r="B1844" i="5"/>
  <c r="C1844" i="5"/>
  <c r="A1843" i="5"/>
  <c r="B1843" i="5"/>
  <c r="C1843" i="5"/>
  <c r="A1842" i="5"/>
  <c r="B1842" i="5"/>
  <c r="C1842" i="5"/>
  <c r="A1841" i="5"/>
  <c r="B1841" i="5"/>
  <c r="C1841" i="5"/>
  <c r="A1840" i="5"/>
  <c r="B1840" i="5"/>
  <c r="C1840" i="5"/>
  <c r="A1839" i="5"/>
  <c r="B1839" i="5"/>
  <c r="C1839" i="5"/>
  <c r="A1838" i="5"/>
  <c r="B1838" i="5"/>
  <c r="C1838" i="5"/>
  <c r="A1837" i="5"/>
  <c r="B1837" i="5"/>
  <c r="C1837" i="5"/>
  <c r="A1836" i="5"/>
  <c r="B1836" i="5"/>
  <c r="C1836" i="5"/>
  <c r="A1835" i="5"/>
  <c r="B1835" i="5"/>
  <c r="C1835" i="5"/>
  <c r="A1834" i="5"/>
  <c r="B1834" i="5"/>
  <c r="C1834" i="5"/>
  <c r="A1833" i="5"/>
  <c r="B1833" i="5"/>
  <c r="C1833" i="5"/>
  <c r="A1832" i="5"/>
  <c r="B1832" i="5"/>
  <c r="C1832" i="5"/>
  <c r="A1831" i="5"/>
  <c r="B1831" i="5"/>
  <c r="C1831" i="5"/>
  <c r="A1830" i="5"/>
  <c r="B1830" i="5"/>
  <c r="C1830" i="5"/>
  <c r="A1829" i="5"/>
  <c r="B1829" i="5"/>
  <c r="C1829" i="5"/>
  <c r="A1828" i="5"/>
  <c r="B1828" i="5"/>
  <c r="C1828" i="5"/>
  <c r="A1827" i="5"/>
  <c r="B1827" i="5"/>
  <c r="C1827" i="5"/>
  <c r="A1826" i="5"/>
  <c r="B1826" i="5"/>
  <c r="C1826" i="5"/>
  <c r="A1825" i="5"/>
  <c r="B1825" i="5"/>
  <c r="C1825" i="5"/>
  <c r="A1824" i="5"/>
  <c r="B1824" i="5"/>
  <c r="C1824" i="5"/>
  <c r="A1823" i="5"/>
  <c r="B1823" i="5"/>
  <c r="C1823" i="5"/>
  <c r="A1822" i="5"/>
  <c r="B1822" i="5"/>
  <c r="C1822" i="5"/>
  <c r="A1821" i="5"/>
  <c r="B1821" i="5"/>
  <c r="C1821" i="5"/>
  <c r="A1820" i="5"/>
  <c r="B1820" i="5"/>
  <c r="C1820" i="5"/>
  <c r="A1819" i="5"/>
  <c r="B1819" i="5"/>
  <c r="C1819" i="5"/>
  <c r="A1818" i="5"/>
  <c r="B1818" i="5"/>
  <c r="C1818" i="5"/>
  <c r="A1817" i="5"/>
  <c r="B1817" i="5"/>
  <c r="C1817" i="5"/>
  <c r="A1816" i="5"/>
  <c r="B1816" i="5"/>
  <c r="C1816" i="5"/>
  <c r="A1815" i="5"/>
  <c r="B1815" i="5"/>
  <c r="C1815" i="5"/>
  <c r="A1814" i="5"/>
  <c r="B1814" i="5"/>
  <c r="C1814" i="5"/>
  <c r="A1813" i="5"/>
  <c r="B1813" i="5"/>
  <c r="C1813" i="5"/>
  <c r="A1812" i="5"/>
  <c r="B1812" i="5"/>
  <c r="C1812" i="5"/>
  <c r="A1811" i="5"/>
  <c r="B1811" i="5"/>
  <c r="C1811" i="5"/>
  <c r="A1810" i="5"/>
  <c r="B1810" i="5"/>
  <c r="C1810" i="5"/>
  <c r="A1809" i="5"/>
  <c r="B1809" i="5"/>
  <c r="C1809" i="5"/>
  <c r="A1808" i="5"/>
  <c r="B1808" i="5"/>
  <c r="C1808" i="5"/>
  <c r="A1807" i="5"/>
  <c r="B1807" i="5"/>
  <c r="C1807" i="5"/>
  <c r="A1806" i="5"/>
  <c r="B1806" i="5"/>
  <c r="C1806" i="5"/>
  <c r="A1805" i="5"/>
  <c r="B1805" i="5"/>
  <c r="C1805" i="5"/>
  <c r="A1804" i="5"/>
  <c r="B1804" i="5"/>
  <c r="C1804" i="5"/>
  <c r="A1803" i="5"/>
  <c r="B1803" i="5"/>
  <c r="C1803" i="5"/>
  <c r="A1802" i="5"/>
  <c r="B1802" i="5"/>
  <c r="C1802" i="5"/>
  <c r="A1801" i="5"/>
  <c r="B1801" i="5"/>
  <c r="C1801" i="5"/>
  <c r="A1800" i="5"/>
  <c r="B1800" i="5"/>
  <c r="C1800" i="5"/>
  <c r="A1799" i="5"/>
  <c r="B1799" i="5"/>
  <c r="C1799" i="5"/>
  <c r="A1798" i="5"/>
  <c r="B1798" i="5"/>
  <c r="C1798" i="5"/>
  <c r="A1797" i="5"/>
  <c r="B1797" i="5"/>
  <c r="C1797" i="5"/>
  <c r="A1796" i="5"/>
  <c r="B1796" i="5"/>
  <c r="C1796" i="5"/>
  <c r="A1795" i="5"/>
  <c r="B1795" i="5"/>
  <c r="C1795" i="5"/>
  <c r="A1794" i="5"/>
  <c r="B1794" i="5"/>
  <c r="C1794" i="5"/>
  <c r="A1793" i="5"/>
  <c r="B1793" i="5"/>
  <c r="C1793" i="5"/>
  <c r="A1792" i="5"/>
  <c r="B1792" i="5"/>
  <c r="C1792" i="5"/>
  <c r="A1791" i="5"/>
  <c r="B1791" i="5"/>
  <c r="C1791" i="5"/>
  <c r="A1790" i="5"/>
  <c r="B1790" i="5"/>
  <c r="C1790" i="5"/>
  <c r="A1789" i="5"/>
  <c r="B1789" i="5"/>
  <c r="C1789" i="5"/>
  <c r="A1788" i="5"/>
  <c r="B1788" i="5"/>
  <c r="C1788" i="5"/>
  <c r="A1787" i="5"/>
  <c r="B1787" i="5"/>
  <c r="C1787" i="5"/>
  <c r="A1786" i="5"/>
  <c r="B1786" i="5"/>
  <c r="C1786" i="5"/>
  <c r="A1785" i="5"/>
  <c r="B1785" i="5"/>
  <c r="C1785" i="5"/>
  <c r="A1784" i="5"/>
  <c r="B1784" i="5"/>
  <c r="C1784" i="5"/>
  <c r="A1783" i="5"/>
  <c r="B1783" i="5"/>
  <c r="C1783" i="5"/>
  <c r="A1782" i="5"/>
  <c r="B1782" i="5"/>
  <c r="C1782" i="5"/>
  <c r="A1781" i="5"/>
  <c r="B1781" i="5"/>
  <c r="C1781" i="5"/>
  <c r="A1780" i="5"/>
  <c r="B1780" i="5"/>
  <c r="C1780" i="5"/>
  <c r="A1779" i="5"/>
  <c r="B1779" i="5"/>
  <c r="C1779" i="5"/>
  <c r="A1778" i="5"/>
  <c r="B1778" i="5"/>
  <c r="C1778" i="5"/>
  <c r="A1777" i="5"/>
  <c r="B1777" i="5"/>
  <c r="C1777" i="5"/>
  <c r="A1776" i="5"/>
  <c r="B1776" i="5"/>
  <c r="C1776" i="5"/>
  <c r="A1775" i="5"/>
  <c r="B1775" i="5"/>
  <c r="C1775" i="5"/>
  <c r="A1774" i="5"/>
  <c r="B1774" i="5"/>
  <c r="C1774" i="5"/>
  <c r="A1773" i="5"/>
  <c r="B1773" i="5"/>
  <c r="C1773" i="5"/>
  <c r="A1772" i="5"/>
  <c r="B1772" i="5"/>
  <c r="C1772" i="5"/>
  <c r="A1771" i="5"/>
  <c r="B1771" i="5"/>
  <c r="C1771" i="5"/>
  <c r="A1770" i="5"/>
  <c r="B1770" i="5"/>
  <c r="C1770" i="5"/>
  <c r="A1769" i="5"/>
  <c r="B1769" i="5"/>
  <c r="C1769" i="5"/>
  <c r="A1768" i="5"/>
  <c r="B1768" i="5"/>
  <c r="C1768" i="5"/>
  <c r="A1767" i="5"/>
  <c r="B1767" i="5"/>
  <c r="C1767" i="5"/>
  <c r="A1766" i="5"/>
  <c r="B1766" i="5"/>
  <c r="C1766" i="5"/>
  <c r="A1765" i="5"/>
  <c r="B1765" i="5"/>
  <c r="C1765" i="5"/>
  <c r="A1764" i="5"/>
  <c r="B1764" i="5"/>
  <c r="C1764" i="5"/>
  <c r="A1763" i="5"/>
  <c r="B1763" i="5"/>
  <c r="C1763" i="5"/>
  <c r="A1762" i="5"/>
  <c r="B1762" i="5"/>
  <c r="C1762" i="5"/>
  <c r="A1761" i="5"/>
  <c r="B1761" i="5"/>
  <c r="C1761" i="5"/>
  <c r="A1760" i="5"/>
  <c r="B1760" i="5"/>
  <c r="C1760" i="5"/>
  <c r="A1759" i="5"/>
  <c r="B1759" i="5"/>
  <c r="C1759" i="5"/>
  <c r="A1758" i="5"/>
  <c r="B1758" i="5"/>
  <c r="C1758" i="5"/>
  <c r="A1757" i="5"/>
  <c r="B1757" i="5"/>
  <c r="C1757" i="5"/>
  <c r="A1756" i="5"/>
  <c r="B1756" i="5"/>
  <c r="C1756" i="5"/>
  <c r="A1755" i="5"/>
  <c r="B1755" i="5"/>
  <c r="C1755" i="5"/>
  <c r="A1754" i="5"/>
  <c r="B1754" i="5"/>
  <c r="C1754" i="5"/>
  <c r="A1753" i="5"/>
  <c r="B1753" i="5"/>
  <c r="C1753" i="5"/>
  <c r="A1752" i="5"/>
  <c r="B1752" i="5"/>
  <c r="C1752" i="5"/>
  <c r="A1751" i="5"/>
  <c r="B1751" i="5"/>
  <c r="C1751" i="5"/>
  <c r="A1750" i="5"/>
  <c r="B1750" i="5"/>
  <c r="C1750" i="5"/>
  <c r="A1749" i="5"/>
  <c r="B1749" i="5"/>
  <c r="C1749" i="5"/>
  <c r="A1748" i="5"/>
  <c r="B1748" i="5"/>
  <c r="C1748" i="5"/>
  <c r="A1747" i="5"/>
  <c r="B1747" i="5"/>
  <c r="C1747" i="5"/>
  <c r="A1746" i="5"/>
  <c r="B1746" i="5"/>
  <c r="C1746" i="5"/>
  <c r="A1745" i="5"/>
  <c r="B1745" i="5"/>
  <c r="C1745" i="5"/>
  <c r="A1744" i="5"/>
  <c r="B1744" i="5"/>
  <c r="C1744" i="5"/>
  <c r="A1743" i="5"/>
  <c r="B1743" i="5"/>
  <c r="C1743" i="5"/>
  <c r="A1742" i="5"/>
  <c r="B1742" i="5"/>
  <c r="C1742" i="5"/>
  <c r="A1741" i="5"/>
  <c r="B1741" i="5"/>
  <c r="C1741" i="5"/>
  <c r="A1740" i="5"/>
  <c r="B1740" i="5"/>
  <c r="C1740" i="5"/>
  <c r="A1739" i="5"/>
  <c r="B1739" i="5"/>
  <c r="C1739" i="5"/>
  <c r="A1738" i="5"/>
  <c r="B1738" i="5"/>
  <c r="C1738" i="5"/>
  <c r="A1737" i="5"/>
  <c r="B1737" i="5"/>
  <c r="C1737" i="5"/>
  <c r="A1736" i="5"/>
  <c r="B1736" i="5"/>
  <c r="C1736" i="5"/>
  <c r="A1735" i="5"/>
  <c r="B1735" i="5"/>
  <c r="C1735" i="5"/>
  <c r="A1734" i="5"/>
  <c r="B1734" i="5"/>
  <c r="C1734" i="5"/>
  <c r="A1733" i="5"/>
  <c r="B1733" i="5"/>
  <c r="C1733" i="5"/>
  <c r="A1732" i="5"/>
  <c r="B1732" i="5"/>
  <c r="C1732" i="5"/>
  <c r="A1731" i="5"/>
  <c r="B1731" i="5"/>
  <c r="C1731" i="5"/>
  <c r="A1730" i="5"/>
  <c r="B1730" i="5"/>
  <c r="C1730" i="5"/>
  <c r="A1729" i="5"/>
  <c r="B1729" i="5"/>
  <c r="C1729" i="5"/>
  <c r="A1728" i="5"/>
  <c r="B1728" i="5"/>
  <c r="C1728" i="5"/>
  <c r="A1727" i="5"/>
  <c r="B1727" i="5"/>
  <c r="C1727" i="5"/>
  <c r="A1726" i="5"/>
  <c r="B1726" i="5"/>
  <c r="C1726" i="5"/>
  <c r="A1725" i="5"/>
  <c r="B1725" i="5"/>
  <c r="C1725" i="5"/>
  <c r="A1724" i="5"/>
  <c r="B1724" i="5"/>
  <c r="C1724" i="5"/>
  <c r="A1723" i="5"/>
  <c r="B1723" i="5"/>
  <c r="C1723" i="5"/>
  <c r="A1722" i="5"/>
  <c r="B1722" i="5"/>
  <c r="C1722" i="5"/>
  <c r="A1721" i="5"/>
  <c r="B1721" i="5"/>
  <c r="C1721" i="5"/>
  <c r="A1720" i="5"/>
  <c r="B1720" i="5"/>
  <c r="C1720" i="5"/>
  <c r="A1719" i="5"/>
  <c r="B1719" i="5"/>
  <c r="C1719" i="5"/>
  <c r="A1718" i="5"/>
  <c r="B1718" i="5"/>
  <c r="C1718" i="5"/>
  <c r="A1717" i="5"/>
  <c r="B1717" i="5"/>
  <c r="C1717" i="5"/>
  <c r="A1716" i="5"/>
  <c r="B1716" i="5"/>
  <c r="C1716" i="5"/>
  <c r="A1715" i="5"/>
  <c r="B1715" i="5"/>
  <c r="C1715" i="5"/>
  <c r="A1714" i="5"/>
  <c r="B1714" i="5"/>
  <c r="C1714" i="5"/>
  <c r="A1713" i="5"/>
  <c r="B1713" i="5"/>
  <c r="C1713" i="5"/>
  <c r="A1712" i="5"/>
  <c r="B1712" i="5"/>
  <c r="C1712" i="5"/>
  <c r="A1711" i="5"/>
  <c r="B1711" i="5"/>
  <c r="C1711" i="5"/>
  <c r="A1710" i="5"/>
  <c r="B1710" i="5"/>
  <c r="C1710" i="5"/>
  <c r="A1709" i="5"/>
  <c r="B1709" i="5"/>
  <c r="C1709" i="5"/>
  <c r="A1708" i="5"/>
  <c r="B1708" i="5"/>
  <c r="C1708" i="5"/>
  <c r="A1707" i="5"/>
  <c r="B1707" i="5"/>
  <c r="C1707" i="5"/>
  <c r="A1706" i="5"/>
  <c r="B1706" i="5"/>
  <c r="C1706" i="5"/>
  <c r="A1705" i="5"/>
  <c r="B1705" i="5"/>
  <c r="C1705" i="5"/>
  <c r="A1704" i="5"/>
  <c r="B1704" i="5"/>
  <c r="C1704" i="5"/>
  <c r="A1703" i="5"/>
  <c r="B1703" i="5"/>
  <c r="C1703" i="5"/>
  <c r="A1702" i="5"/>
  <c r="B1702" i="5"/>
  <c r="C1702" i="5"/>
  <c r="A1701" i="5"/>
  <c r="B1701" i="5"/>
  <c r="C1701" i="5"/>
  <c r="A1700" i="5"/>
  <c r="B1700" i="5"/>
  <c r="C1700" i="5"/>
  <c r="A1699" i="5"/>
  <c r="B1699" i="5"/>
  <c r="C1699" i="5"/>
  <c r="A1698" i="5"/>
  <c r="B1698" i="5"/>
  <c r="C1698" i="5"/>
  <c r="A1697" i="5"/>
  <c r="B1697" i="5"/>
  <c r="C1697" i="5"/>
  <c r="A1696" i="5"/>
  <c r="B1696" i="5"/>
  <c r="C1696" i="5"/>
  <c r="A1695" i="5"/>
  <c r="B1695" i="5"/>
  <c r="C1695" i="5"/>
  <c r="A1694" i="5"/>
  <c r="B1694" i="5"/>
  <c r="C1694" i="5"/>
  <c r="A1693" i="5"/>
  <c r="B1693" i="5"/>
  <c r="C1693" i="5"/>
  <c r="A1692" i="5"/>
  <c r="B1692" i="5"/>
  <c r="C1692" i="5"/>
  <c r="A1691" i="5"/>
  <c r="B1691" i="5"/>
  <c r="C1691" i="5"/>
  <c r="A1690" i="5"/>
  <c r="B1690" i="5"/>
  <c r="C1690" i="5"/>
  <c r="A1689" i="5"/>
  <c r="B1689" i="5"/>
  <c r="C1689" i="5"/>
  <c r="A1688" i="5"/>
  <c r="B1688" i="5"/>
  <c r="C1688" i="5"/>
  <c r="A1687" i="5"/>
  <c r="B1687" i="5"/>
  <c r="C1687" i="5"/>
  <c r="A1686" i="5"/>
  <c r="B1686" i="5"/>
  <c r="C1686" i="5"/>
  <c r="A1685" i="5"/>
  <c r="B1685" i="5"/>
  <c r="C1685" i="5"/>
  <c r="A1684" i="5"/>
  <c r="B1684" i="5"/>
  <c r="C1684" i="5"/>
  <c r="A1683" i="5"/>
  <c r="B1683" i="5"/>
  <c r="C1683" i="5"/>
  <c r="A1682" i="5"/>
  <c r="B1682" i="5"/>
  <c r="C1682" i="5"/>
  <c r="A1681" i="5"/>
  <c r="B1681" i="5"/>
  <c r="C1681" i="5"/>
  <c r="A1680" i="5"/>
  <c r="B1680" i="5"/>
  <c r="C1680" i="5"/>
  <c r="A1679" i="5"/>
  <c r="B1679" i="5"/>
  <c r="C1679" i="5"/>
  <c r="A1678" i="5"/>
  <c r="B1678" i="5"/>
  <c r="C1678" i="5"/>
  <c r="A1677" i="5"/>
  <c r="B1677" i="5"/>
  <c r="C1677" i="5"/>
  <c r="A1676" i="5"/>
  <c r="B1676" i="5"/>
  <c r="C1676" i="5"/>
  <c r="A1675" i="5"/>
  <c r="B1675" i="5"/>
  <c r="C1675" i="5"/>
  <c r="A1674" i="5"/>
  <c r="B1674" i="5"/>
  <c r="C1674" i="5"/>
  <c r="A1673" i="5"/>
  <c r="B1673" i="5"/>
  <c r="C1673" i="5"/>
  <c r="A1672" i="5"/>
  <c r="B1672" i="5"/>
  <c r="C1672" i="5"/>
  <c r="A1671" i="5"/>
  <c r="B1671" i="5"/>
  <c r="C1671" i="5"/>
  <c r="A1670" i="5"/>
  <c r="B1670" i="5"/>
  <c r="C1670" i="5"/>
  <c r="A1669" i="5"/>
  <c r="B1669" i="5"/>
  <c r="C1669" i="5"/>
  <c r="A1668" i="5"/>
  <c r="B1668" i="5"/>
  <c r="C1668" i="5"/>
  <c r="A1667" i="5"/>
  <c r="B1667" i="5"/>
  <c r="C1667" i="5"/>
  <c r="A1666" i="5"/>
  <c r="B1666" i="5"/>
  <c r="C1666" i="5"/>
  <c r="A1665" i="5"/>
  <c r="B1665" i="5"/>
  <c r="C1665" i="5"/>
  <c r="A1664" i="5"/>
  <c r="B1664" i="5"/>
  <c r="C1664" i="5"/>
  <c r="A1663" i="5"/>
  <c r="B1663" i="5"/>
  <c r="C1663" i="5"/>
  <c r="A1662" i="5"/>
  <c r="B1662" i="5"/>
  <c r="C1662" i="5"/>
  <c r="A1661" i="5"/>
  <c r="B1661" i="5"/>
  <c r="C1661" i="5"/>
  <c r="A1660" i="5"/>
  <c r="B1660" i="5"/>
  <c r="C1660" i="5"/>
  <c r="A1659" i="5"/>
  <c r="B1659" i="5"/>
  <c r="C1659" i="5"/>
  <c r="A1658" i="5"/>
  <c r="B1658" i="5"/>
  <c r="C1658" i="5"/>
  <c r="A1657" i="5"/>
  <c r="B1657" i="5"/>
  <c r="C1657" i="5"/>
  <c r="A1656" i="5"/>
  <c r="B1656" i="5"/>
  <c r="C1656" i="5"/>
  <c r="A1655" i="5"/>
  <c r="B1655" i="5"/>
  <c r="C1655" i="5"/>
  <c r="A1654" i="5"/>
  <c r="B1654" i="5"/>
  <c r="C1654" i="5"/>
  <c r="A1653" i="5"/>
  <c r="B1653" i="5"/>
  <c r="C1653" i="5"/>
  <c r="A1652" i="5"/>
  <c r="B1652" i="5"/>
  <c r="C1652" i="5"/>
  <c r="A1651" i="5"/>
  <c r="B1651" i="5"/>
  <c r="C1651" i="5"/>
  <c r="A1650" i="5"/>
  <c r="B1650" i="5"/>
  <c r="C1650" i="5"/>
  <c r="A1649" i="5"/>
  <c r="B1649" i="5"/>
  <c r="C1649" i="5"/>
  <c r="A1648" i="5"/>
  <c r="B1648" i="5"/>
  <c r="C1648" i="5"/>
  <c r="A1647" i="5"/>
  <c r="B1647" i="5"/>
  <c r="C1647" i="5"/>
  <c r="A1646" i="5"/>
  <c r="B1646" i="5"/>
  <c r="C1646" i="5"/>
  <c r="A1645" i="5"/>
  <c r="B1645" i="5"/>
  <c r="C1645" i="5"/>
  <c r="A1644" i="5"/>
  <c r="B1644" i="5"/>
  <c r="C1644" i="5"/>
  <c r="A1643" i="5"/>
  <c r="B1643" i="5"/>
  <c r="C1643" i="5"/>
  <c r="A1642" i="5"/>
  <c r="B1642" i="5"/>
  <c r="C1642" i="5"/>
  <c r="A1641" i="5"/>
  <c r="B1641" i="5"/>
  <c r="C1641" i="5"/>
  <c r="A1640" i="5"/>
  <c r="B1640" i="5"/>
  <c r="C1640" i="5"/>
  <c r="A1639" i="5"/>
  <c r="B1639" i="5"/>
  <c r="C1639" i="5"/>
  <c r="A1638" i="5"/>
  <c r="B1638" i="5"/>
  <c r="C1638" i="5"/>
  <c r="A1637" i="5"/>
  <c r="B1637" i="5"/>
  <c r="C1637" i="5"/>
  <c r="A1636" i="5"/>
  <c r="B1636" i="5"/>
  <c r="C1636" i="5"/>
  <c r="A1635" i="5"/>
  <c r="B1635" i="5"/>
  <c r="C1635" i="5"/>
  <c r="A1634" i="5"/>
  <c r="B1634" i="5"/>
  <c r="C1634" i="5"/>
  <c r="A1633" i="5"/>
  <c r="B1633" i="5"/>
  <c r="C1633" i="5"/>
  <c r="A1632" i="5"/>
  <c r="B1632" i="5"/>
  <c r="C1632" i="5"/>
  <c r="A1631" i="5"/>
  <c r="B1631" i="5"/>
  <c r="C1631" i="5"/>
  <c r="A1630" i="5"/>
  <c r="B1630" i="5"/>
  <c r="C1630" i="5"/>
  <c r="A1629" i="5"/>
  <c r="B1629" i="5"/>
  <c r="C1629" i="5"/>
  <c r="A1628" i="5"/>
  <c r="B1628" i="5"/>
  <c r="C1628" i="5"/>
  <c r="A1627" i="5"/>
  <c r="B1627" i="5"/>
  <c r="C1627" i="5"/>
  <c r="A1626" i="5"/>
  <c r="B1626" i="5"/>
  <c r="C1626" i="5"/>
  <c r="A1625" i="5"/>
  <c r="B1625" i="5"/>
  <c r="C1625" i="5"/>
  <c r="A1624" i="5"/>
  <c r="B1624" i="5"/>
  <c r="C1624" i="5"/>
  <c r="A1623" i="5"/>
  <c r="B1623" i="5"/>
  <c r="C1623" i="5"/>
  <c r="A1622" i="5"/>
  <c r="B1622" i="5"/>
  <c r="C1622" i="5"/>
  <c r="A1621" i="5"/>
  <c r="B1621" i="5"/>
  <c r="C1621" i="5"/>
  <c r="A1620" i="5"/>
  <c r="B1620" i="5"/>
  <c r="C1620" i="5"/>
  <c r="A1619" i="5"/>
  <c r="B1619" i="5"/>
  <c r="C1619" i="5"/>
  <c r="A1618" i="5"/>
  <c r="B1618" i="5"/>
  <c r="C1618" i="5"/>
  <c r="A1617" i="5"/>
  <c r="B1617" i="5"/>
  <c r="C1617" i="5"/>
  <c r="A1616" i="5"/>
  <c r="B1616" i="5"/>
  <c r="C1616" i="5"/>
  <c r="A1615" i="5"/>
  <c r="B1615" i="5"/>
  <c r="C1615" i="5"/>
  <c r="A1614" i="5"/>
  <c r="B1614" i="5"/>
  <c r="C1614" i="5"/>
  <c r="A1613" i="5"/>
  <c r="B1613" i="5"/>
  <c r="C1613" i="5"/>
  <c r="A1612" i="5"/>
  <c r="B1612" i="5"/>
  <c r="C1612" i="5"/>
  <c r="A1611" i="5"/>
  <c r="B1611" i="5"/>
  <c r="C1611" i="5"/>
  <c r="A1610" i="5"/>
  <c r="B1610" i="5"/>
  <c r="C1610" i="5"/>
  <c r="A1609" i="5"/>
  <c r="B1609" i="5"/>
  <c r="C1609" i="5"/>
  <c r="A1608" i="5"/>
  <c r="B1608" i="5"/>
  <c r="C1608" i="5"/>
  <c r="A1607" i="5"/>
  <c r="B1607" i="5"/>
  <c r="C1607" i="5"/>
  <c r="A1606" i="5"/>
  <c r="B1606" i="5"/>
  <c r="C1606" i="5"/>
  <c r="A1605" i="5"/>
  <c r="B1605" i="5"/>
  <c r="C1605" i="5"/>
  <c r="A1604" i="5"/>
  <c r="B1604" i="5"/>
  <c r="C1604" i="5"/>
  <c r="A1603" i="5"/>
  <c r="B1603" i="5"/>
  <c r="C1603" i="5"/>
  <c r="A1602" i="5"/>
  <c r="B1602" i="5"/>
  <c r="C1602" i="5"/>
  <c r="A1601" i="5"/>
  <c r="B1601" i="5"/>
  <c r="C1601" i="5"/>
  <c r="A1600" i="5"/>
  <c r="B1600" i="5"/>
  <c r="C1600" i="5"/>
  <c r="A1599" i="5"/>
  <c r="B1599" i="5"/>
  <c r="C1599" i="5"/>
  <c r="A1598" i="5"/>
  <c r="B1598" i="5"/>
  <c r="C1598" i="5"/>
  <c r="A1597" i="5"/>
  <c r="B1597" i="5"/>
  <c r="C1597" i="5"/>
  <c r="A1596" i="5"/>
  <c r="B1596" i="5"/>
  <c r="C1596" i="5"/>
  <c r="A1595" i="5"/>
  <c r="B1595" i="5"/>
  <c r="C1595" i="5"/>
  <c r="A1594" i="5"/>
  <c r="B1594" i="5"/>
  <c r="C1594" i="5"/>
  <c r="A1593" i="5"/>
  <c r="B1593" i="5"/>
  <c r="C1593" i="5"/>
  <c r="A1592" i="5"/>
  <c r="B1592" i="5"/>
  <c r="C1592" i="5"/>
  <c r="A1591" i="5"/>
  <c r="B1591" i="5"/>
  <c r="C1591" i="5"/>
  <c r="A1590" i="5"/>
  <c r="B1590" i="5"/>
  <c r="C1590" i="5"/>
  <c r="A1589" i="5"/>
  <c r="B1589" i="5"/>
  <c r="C1589" i="5"/>
  <c r="A1588" i="5"/>
  <c r="B1588" i="5"/>
  <c r="C1588" i="5"/>
  <c r="A1587" i="5"/>
  <c r="B1587" i="5"/>
  <c r="C1587" i="5"/>
  <c r="A1586" i="5"/>
  <c r="B1586" i="5"/>
  <c r="C1586" i="5"/>
  <c r="A1585" i="5"/>
  <c r="B1585" i="5"/>
  <c r="C1585" i="5"/>
  <c r="A1584" i="5"/>
  <c r="B1584" i="5"/>
  <c r="C1584" i="5"/>
  <c r="A1583" i="5"/>
  <c r="B1583" i="5"/>
  <c r="C1583" i="5"/>
  <c r="A1582" i="5"/>
  <c r="B1582" i="5"/>
  <c r="C1582" i="5"/>
  <c r="A1581" i="5"/>
  <c r="B1581" i="5"/>
  <c r="C1581" i="5"/>
  <c r="A1580" i="5"/>
  <c r="B1580" i="5"/>
  <c r="C1580" i="5"/>
  <c r="A1579" i="5"/>
  <c r="B1579" i="5"/>
  <c r="C1579" i="5"/>
  <c r="A1578" i="5"/>
  <c r="B1578" i="5"/>
  <c r="C1578" i="5"/>
  <c r="A1577" i="5"/>
  <c r="B1577" i="5"/>
  <c r="C1577" i="5"/>
  <c r="A1576" i="5"/>
  <c r="B1576" i="5"/>
  <c r="C1576" i="5"/>
  <c r="A1575" i="5"/>
  <c r="B1575" i="5"/>
  <c r="C1575" i="5"/>
  <c r="A1574" i="5"/>
  <c r="B1574" i="5"/>
  <c r="C1574" i="5"/>
  <c r="A1573" i="5"/>
  <c r="B1573" i="5"/>
  <c r="C1573" i="5"/>
  <c r="A1572" i="5"/>
  <c r="B1572" i="5"/>
  <c r="C1572" i="5"/>
  <c r="A1571" i="5"/>
  <c r="B1571" i="5"/>
  <c r="C1571" i="5"/>
  <c r="A1570" i="5"/>
  <c r="B1570" i="5"/>
  <c r="C1570" i="5"/>
  <c r="A1569" i="5"/>
  <c r="B1569" i="5"/>
  <c r="C1569" i="5"/>
  <c r="A1568" i="5"/>
  <c r="B1568" i="5"/>
  <c r="C1568" i="5"/>
  <c r="A1567" i="5"/>
  <c r="B1567" i="5"/>
  <c r="C1567" i="5"/>
  <c r="A1566" i="5"/>
  <c r="B1566" i="5"/>
  <c r="C1566" i="5"/>
  <c r="A1565" i="5"/>
  <c r="B1565" i="5"/>
  <c r="C1565" i="5"/>
  <c r="A1564" i="5"/>
  <c r="B1564" i="5"/>
  <c r="C1564" i="5"/>
  <c r="A1563" i="5"/>
  <c r="B1563" i="5"/>
  <c r="C1563" i="5"/>
  <c r="A1562" i="5"/>
  <c r="B1562" i="5"/>
  <c r="C1562" i="5"/>
  <c r="A1561" i="5"/>
  <c r="B1561" i="5"/>
  <c r="C1561" i="5"/>
  <c r="A1560" i="5"/>
  <c r="B1560" i="5"/>
  <c r="C1560" i="5"/>
  <c r="A1559" i="5"/>
  <c r="B1559" i="5"/>
  <c r="C1559" i="5"/>
  <c r="A1558" i="5"/>
  <c r="B1558" i="5"/>
  <c r="C1558" i="5"/>
  <c r="A1557" i="5"/>
  <c r="B1557" i="5"/>
  <c r="C1557" i="5"/>
  <c r="A1556" i="5"/>
  <c r="B1556" i="5"/>
  <c r="C1556" i="5"/>
  <c r="A1555" i="5"/>
  <c r="B1555" i="5"/>
  <c r="C1555" i="5"/>
  <c r="A1554" i="5"/>
  <c r="B1554" i="5"/>
  <c r="C1554" i="5"/>
  <c r="A1553" i="5"/>
  <c r="B1553" i="5"/>
  <c r="C1553" i="5"/>
  <c r="A1552" i="5"/>
  <c r="B1552" i="5"/>
  <c r="C1552" i="5"/>
  <c r="A1551" i="5"/>
  <c r="B1551" i="5"/>
  <c r="C1551" i="5"/>
  <c r="A1550" i="5"/>
  <c r="B1550" i="5"/>
  <c r="C1550" i="5"/>
  <c r="A1549" i="5"/>
  <c r="B1549" i="5"/>
  <c r="C1549" i="5"/>
  <c r="A1548" i="5"/>
  <c r="B1548" i="5"/>
  <c r="C1548" i="5"/>
  <c r="A1547" i="5"/>
  <c r="B1547" i="5"/>
  <c r="C1547" i="5"/>
  <c r="A1546" i="5"/>
  <c r="B1546" i="5"/>
  <c r="C1546" i="5"/>
  <c r="A1545" i="5"/>
  <c r="B1545" i="5"/>
  <c r="C1545" i="5"/>
  <c r="A1544" i="5"/>
  <c r="B1544" i="5"/>
  <c r="C1544" i="5"/>
  <c r="A1543" i="5"/>
  <c r="B1543" i="5"/>
  <c r="C1543" i="5"/>
  <c r="A1542" i="5"/>
  <c r="B1542" i="5"/>
  <c r="C1542" i="5"/>
  <c r="A1541" i="5"/>
  <c r="B1541" i="5"/>
  <c r="C1541" i="5"/>
  <c r="A1540" i="5"/>
  <c r="B1540" i="5"/>
  <c r="C1540" i="5"/>
  <c r="A1539" i="5"/>
  <c r="B1539" i="5"/>
  <c r="C1539" i="5"/>
  <c r="A1538" i="5"/>
  <c r="B1538" i="5"/>
  <c r="C1538" i="5"/>
  <c r="A1537" i="5"/>
  <c r="B1537" i="5"/>
  <c r="C1537" i="5"/>
  <c r="A1536" i="5"/>
  <c r="B1536" i="5"/>
  <c r="C1536" i="5"/>
  <c r="A1535" i="5"/>
  <c r="B1535" i="5"/>
  <c r="C1535" i="5"/>
  <c r="A1534" i="5"/>
  <c r="B1534" i="5"/>
  <c r="C1534" i="5"/>
  <c r="A1533" i="5"/>
  <c r="B1533" i="5"/>
  <c r="C1533" i="5"/>
  <c r="A1532" i="5"/>
  <c r="B1532" i="5"/>
  <c r="C1532" i="5"/>
  <c r="A1531" i="5"/>
  <c r="B1531" i="5"/>
  <c r="C1531" i="5"/>
  <c r="A1530" i="5"/>
  <c r="B1530" i="5"/>
  <c r="C1530" i="5"/>
  <c r="A1529" i="5"/>
  <c r="B1529" i="5"/>
  <c r="C1529" i="5"/>
  <c r="A1528" i="5"/>
  <c r="B1528" i="5"/>
  <c r="C1528" i="5"/>
  <c r="A1527" i="5"/>
  <c r="B1527" i="5"/>
  <c r="C1527" i="5"/>
  <c r="A1526" i="5"/>
  <c r="B1526" i="5"/>
  <c r="C1526" i="5"/>
  <c r="A1525" i="5"/>
  <c r="B1525" i="5"/>
  <c r="C1525" i="5"/>
  <c r="A1524" i="5"/>
  <c r="B1524" i="5"/>
  <c r="C1524" i="5"/>
  <c r="A1523" i="5"/>
  <c r="B1523" i="5"/>
  <c r="C1523" i="5"/>
  <c r="A1522" i="5"/>
  <c r="B1522" i="5"/>
  <c r="C1522" i="5"/>
  <c r="A1521" i="5"/>
  <c r="B1521" i="5"/>
  <c r="C1521" i="5"/>
  <c r="A1520" i="5"/>
  <c r="B1520" i="5"/>
  <c r="C1520" i="5"/>
  <c r="A1519" i="5"/>
  <c r="B1519" i="5"/>
  <c r="C1519" i="5"/>
  <c r="A1518" i="5"/>
  <c r="B1518" i="5"/>
  <c r="C1518" i="5"/>
  <c r="A1517" i="5"/>
  <c r="B1517" i="5"/>
  <c r="C1517" i="5"/>
  <c r="A1516" i="5"/>
  <c r="B1516" i="5"/>
  <c r="C1516" i="5"/>
  <c r="A1515" i="5"/>
  <c r="B1515" i="5"/>
  <c r="C1515" i="5"/>
  <c r="A1514" i="5"/>
  <c r="B1514" i="5"/>
  <c r="C1514" i="5"/>
  <c r="A1513" i="5"/>
  <c r="B1513" i="5"/>
  <c r="C1513" i="5"/>
  <c r="A1512" i="5"/>
  <c r="B1512" i="5"/>
  <c r="C1512" i="5"/>
  <c r="A1511" i="5"/>
  <c r="B1511" i="5"/>
  <c r="C1511" i="5"/>
  <c r="A1510" i="5"/>
  <c r="B1510" i="5"/>
  <c r="C1510" i="5"/>
  <c r="A1509" i="5"/>
  <c r="B1509" i="5"/>
  <c r="C1509" i="5"/>
  <c r="A1508" i="5"/>
  <c r="B1508" i="5"/>
  <c r="C1508" i="5"/>
  <c r="A1507" i="5"/>
  <c r="B1507" i="5"/>
  <c r="C1507" i="5"/>
  <c r="A1506" i="5"/>
  <c r="B1506" i="5"/>
  <c r="C1506" i="5"/>
  <c r="A1505" i="5"/>
  <c r="B1505" i="5"/>
  <c r="C1505" i="5"/>
  <c r="A1504" i="5"/>
  <c r="B1504" i="5"/>
  <c r="C1504" i="5"/>
  <c r="A1503" i="5"/>
  <c r="B1503" i="5"/>
  <c r="C1503" i="5"/>
  <c r="A1502" i="5"/>
  <c r="B1502" i="5"/>
  <c r="C1502" i="5"/>
  <c r="A1501" i="5"/>
  <c r="B1501" i="5"/>
  <c r="C1501" i="5"/>
  <c r="A1500" i="5"/>
  <c r="B1500" i="5"/>
  <c r="C1500" i="5"/>
  <c r="A1499" i="5"/>
  <c r="B1499" i="5"/>
  <c r="C1499" i="5"/>
  <c r="A1498" i="5"/>
  <c r="B1498" i="5"/>
  <c r="C1498" i="5"/>
  <c r="A1497" i="5"/>
  <c r="B1497" i="5"/>
  <c r="C1497" i="5"/>
  <c r="A1496" i="5"/>
  <c r="B1496" i="5"/>
  <c r="C1496" i="5"/>
  <c r="A1495" i="5"/>
  <c r="B1495" i="5"/>
  <c r="C1495" i="5"/>
  <c r="A1494" i="5"/>
  <c r="B1494" i="5"/>
  <c r="C1494" i="5"/>
  <c r="A1493" i="5"/>
  <c r="B1493" i="5"/>
  <c r="C1493" i="5"/>
  <c r="A1492" i="5"/>
  <c r="B1492" i="5"/>
  <c r="C1492" i="5"/>
  <c r="A1491" i="5"/>
  <c r="B1491" i="5"/>
  <c r="C1491" i="5"/>
  <c r="A1490" i="5"/>
  <c r="B1490" i="5"/>
  <c r="C1490" i="5"/>
  <c r="A1489" i="5"/>
  <c r="B1489" i="5"/>
  <c r="C1489" i="5"/>
  <c r="A1488" i="5"/>
  <c r="B1488" i="5"/>
  <c r="C1488" i="5"/>
  <c r="A1487" i="5"/>
  <c r="B1487" i="5"/>
  <c r="C1487" i="5"/>
  <c r="A1486" i="5"/>
  <c r="B1486" i="5"/>
  <c r="C1486" i="5"/>
  <c r="A1485" i="5"/>
  <c r="B1485" i="5"/>
  <c r="C1485" i="5"/>
  <c r="A1484" i="5"/>
  <c r="B1484" i="5"/>
  <c r="C1484" i="5"/>
  <c r="A1483" i="5"/>
  <c r="B1483" i="5"/>
  <c r="C1483" i="5"/>
  <c r="A1482" i="5"/>
  <c r="B1482" i="5"/>
  <c r="C1482" i="5"/>
  <c r="A1481" i="5"/>
  <c r="B1481" i="5"/>
  <c r="C1481" i="5"/>
  <c r="A1480" i="5"/>
  <c r="B1480" i="5"/>
  <c r="C1480" i="5"/>
  <c r="A1479" i="5"/>
  <c r="B1479" i="5"/>
  <c r="C1479" i="5"/>
  <c r="A1478" i="5"/>
  <c r="B1478" i="5"/>
  <c r="C1478" i="5"/>
  <c r="A1477" i="5"/>
  <c r="B1477" i="5"/>
  <c r="C1477" i="5"/>
  <c r="A1476" i="5"/>
  <c r="B1476" i="5"/>
  <c r="C1476" i="5"/>
  <c r="A1475" i="5"/>
  <c r="B1475" i="5"/>
  <c r="C1475" i="5"/>
  <c r="A1474" i="5"/>
  <c r="B1474" i="5"/>
  <c r="C1474" i="5"/>
  <c r="A1473" i="5"/>
  <c r="B1473" i="5"/>
  <c r="C1473" i="5"/>
  <c r="A1472" i="5"/>
  <c r="B1472" i="5"/>
  <c r="C1472" i="5"/>
  <c r="A1471" i="5"/>
  <c r="B1471" i="5"/>
  <c r="C1471" i="5"/>
  <c r="A1470" i="5"/>
  <c r="B1470" i="5"/>
  <c r="C1470" i="5"/>
  <c r="A1469" i="5"/>
  <c r="B1469" i="5"/>
  <c r="C1469" i="5"/>
  <c r="A1468" i="5"/>
  <c r="B1468" i="5"/>
  <c r="C1468" i="5"/>
  <c r="A1467" i="5"/>
  <c r="B1467" i="5"/>
  <c r="C1467" i="5"/>
  <c r="A1466" i="5"/>
  <c r="B1466" i="5"/>
  <c r="C1466" i="5"/>
  <c r="A1465" i="5"/>
  <c r="B1465" i="5"/>
  <c r="C1465" i="5"/>
  <c r="A1464" i="5"/>
  <c r="B1464" i="5"/>
  <c r="C1464" i="5"/>
  <c r="A1463" i="5"/>
  <c r="B1463" i="5"/>
  <c r="C1463" i="5"/>
  <c r="A1462" i="5"/>
  <c r="B1462" i="5"/>
  <c r="C1462" i="5"/>
  <c r="A1461" i="5"/>
  <c r="B1461" i="5"/>
  <c r="C1461" i="5"/>
  <c r="A1460" i="5"/>
  <c r="B1460" i="5"/>
  <c r="C1460" i="5"/>
  <c r="A1459" i="5"/>
  <c r="B1459" i="5"/>
  <c r="C1459" i="5"/>
  <c r="A1458" i="5"/>
  <c r="B1458" i="5"/>
  <c r="C1458" i="5"/>
  <c r="A1457" i="5"/>
  <c r="B1457" i="5"/>
  <c r="C1457" i="5"/>
  <c r="A1456" i="5"/>
  <c r="B1456" i="5"/>
  <c r="C1456" i="5"/>
  <c r="A1455" i="5"/>
  <c r="B1455" i="5"/>
  <c r="C1455" i="5"/>
  <c r="A1454" i="5"/>
  <c r="B1454" i="5"/>
  <c r="C1454" i="5"/>
  <c r="A1453" i="5"/>
  <c r="B1453" i="5"/>
  <c r="C1453" i="5"/>
  <c r="A1452" i="5"/>
  <c r="B1452" i="5"/>
  <c r="C1452" i="5"/>
  <c r="A1451" i="5"/>
  <c r="B1451" i="5"/>
  <c r="C1451" i="5"/>
  <c r="A1450" i="5"/>
  <c r="B1450" i="5"/>
  <c r="C1450" i="5"/>
  <c r="A1449" i="5"/>
  <c r="B1449" i="5"/>
  <c r="C1449" i="5"/>
  <c r="A1448" i="5"/>
  <c r="B1448" i="5"/>
  <c r="C1448" i="5"/>
  <c r="A1447" i="5"/>
  <c r="B1447" i="5"/>
  <c r="C1447" i="5"/>
  <c r="A1446" i="5"/>
  <c r="B1446" i="5"/>
  <c r="C1446" i="5"/>
  <c r="A1445" i="5"/>
  <c r="B1445" i="5"/>
  <c r="C1445" i="5"/>
  <c r="A1444" i="5"/>
  <c r="B1444" i="5"/>
  <c r="C1444" i="5"/>
  <c r="A1443" i="5"/>
  <c r="B1443" i="5"/>
  <c r="C1443" i="5"/>
  <c r="A1442" i="5"/>
  <c r="B1442" i="5"/>
  <c r="C1442" i="5"/>
  <c r="A1441" i="5"/>
  <c r="B1441" i="5"/>
  <c r="C1441" i="5"/>
  <c r="A1440" i="5"/>
  <c r="B1440" i="5"/>
  <c r="C1440" i="5"/>
  <c r="A1439" i="5"/>
  <c r="B1439" i="5"/>
  <c r="C1439" i="5"/>
  <c r="A1438" i="5"/>
  <c r="B1438" i="5"/>
  <c r="C1438" i="5"/>
  <c r="A1437" i="5"/>
  <c r="B1437" i="5"/>
  <c r="C1437" i="5"/>
  <c r="A1436" i="5"/>
  <c r="B1436" i="5"/>
  <c r="C1436" i="5"/>
  <c r="A1435" i="5"/>
  <c r="B1435" i="5"/>
  <c r="C1435" i="5"/>
  <c r="A1434" i="5"/>
  <c r="B1434" i="5"/>
  <c r="C1434" i="5"/>
  <c r="A1433" i="5"/>
  <c r="B1433" i="5"/>
  <c r="C1433" i="5"/>
  <c r="A1432" i="5"/>
  <c r="B1432" i="5"/>
  <c r="C1432" i="5"/>
  <c r="A1431" i="5"/>
  <c r="B1431" i="5"/>
  <c r="C1431" i="5"/>
  <c r="A1430" i="5"/>
  <c r="B1430" i="5"/>
  <c r="C1430" i="5"/>
  <c r="A1429" i="5"/>
  <c r="B1429" i="5"/>
  <c r="C1429" i="5"/>
  <c r="A1428" i="5"/>
  <c r="B1428" i="5"/>
  <c r="C1428" i="5"/>
  <c r="A1427" i="5"/>
  <c r="B1427" i="5"/>
  <c r="C1427" i="5"/>
  <c r="A1426" i="5"/>
  <c r="B1426" i="5"/>
  <c r="C1426" i="5"/>
  <c r="A1425" i="5"/>
  <c r="B1425" i="5"/>
  <c r="C1425" i="5"/>
  <c r="A1424" i="5"/>
  <c r="B1424" i="5"/>
  <c r="C1424" i="5"/>
  <c r="A1423" i="5"/>
  <c r="B1423" i="5"/>
  <c r="C1423" i="5"/>
  <c r="A1422" i="5"/>
  <c r="B1422" i="5"/>
  <c r="C1422" i="5"/>
  <c r="A1421" i="5"/>
  <c r="B1421" i="5"/>
  <c r="C1421" i="5"/>
  <c r="A1420" i="5"/>
  <c r="B1420" i="5"/>
  <c r="C1420" i="5"/>
  <c r="A1419" i="5"/>
  <c r="B1419" i="5"/>
  <c r="C1419" i="5"/>
  <c r="A1418" i="5"/>
  <c r="B1418" i="5"/>
  <c r="C1418" i="5"/>
  <c r="A1417" i="5"/>
  <c r="B1417" i="5"/>
  <c r="C1417" i="5"/>
  <c r="A1416" i="5"/>
  <c r="B1416" i="5"/>
  <c r="C1416" i="5"/>
  <c r="A1415" i="5"/>
  <c r="B1415" i="5"/>
  <c r="C1415" i="5"/>
  <c r="A1414" i="5"/>
  <c r="B1414" i="5"/>
  <c r="C1414" i="5"/>
  <c r="A1413" i="5"/>
  <c r="B1413" i="5"/>
  <c r="C1413" i="5"/>
  <c r="A1412" i="5"/>
  <c r="B1412" i="5"/>
  <c r="C1412" i="5"/>
  <c r="A1411" i="5"/>
  <c r="B1411" i="5"/>
  <c r="C1411" i="5"/>
  <c r="A1410" i="5"/>
  <c r="B1410" i="5"/>
  <c r="C1410" i="5"/>
  <c r="A1409" i="5"/>
  <c r="B1409" i="5"/>
  <c r="C1409" i="5"/>
  <c r="A1408" i="5"/>
  <c r="B1408" i="5"/>
  <c r="C1408" i="5"/>
  <c r="A1407" i="5"/>
  <c r="B1407" i="5"/>
  <c r="C1407" i="5"/>
  <c r="A1406" i="5"/>
  <c r="B1406" i="5"/>
  <c r="C1406" i="5"/>
  <c r="A1405" i="5"/>
  <c r="B1405" i="5"/>
  <c r="C1405" i="5"/>
  <c r="A1404" i="5"/>
  <c r="B1404" i="5"/>
  <c r="C1404" i="5"/>
  <c r="A1403" i="5"/>
  <c r="B1403" i="5"/>
  <c r="C1403" i="5"/>
  <c r="A1402" i="5"/>
  <c r="B1402" i="5"/>
  <c r="C1402" i="5"/>
  <c r="A1401" i="5"/>
  <c r="B1401" i="5"/>
  <c r="C1401" i="5"/>
  <c r="A1400" i="5"/>
  <c r="B1400" i="5"/>
  <c r="C1400" i="5"/>
  <c r="A1399" i="5"/>
  <c r="B1399" i="5"/>
  <c r="C1399" i="5"/>
  <c r="A1398" i="5"/>
  <c r="B1398" i="5"/>
  <c r="C1398" i="5"/>
  <c r="A1397" i="5"/>
  <c r="B1397" i="5"/>
  <c r="C1397" i="5"/>
  <c r="A1396" i="5"/>
  <c r="B1396" i="5"/>
  <c r="C1396" i="5"/>
  <c r="A1395" i="5"/>
  <c r="B1395" i="5"/>
  <c r="C1395" i="5"/>
  <c r="A1394" i="5"/>
  <c r="B1394" i="5"/>
  <c r="C1394" i="5"/>
  <c r="A1393" i="5"/>
  <c r="B1393" i="5"/>
  <c r="C1393" i="5"/>
  <c r="A1392" i="5"/>
  <c r="B1392" i="5"/>
  <c r="C1392" i="5"/>
  <c r="A1391" i="5"/>
  <c r="B1391" i="5"/>
  <c r="C1391" i="5"/>
  <c r="A1390" i="5"/>
  <c r="B1390" i="5"/>
  <c r="C1390" i="5"/>
  <c r="A1389" i="5"/>
  <c r="B1389" i="5"/>
  <c r="C1389" i="5"/>
  <c r="A1388" i="5"/>
  <c r="B1388" i="5"/>
  <c r="C1388" i="5"/>
  <c r="A1387" i="5"/>
  <c r="B1387" i="5"/>
  <c r="C1387" i="5"/>
  <c r="A1386" i="5"/>
  <c r="B1386" i="5"/>
  <c r="C1386" i="5"/>
  <c r="A1385" i="5"/>
  <c r="B1385" i="5"/>
  <c r="C1385" i="5"/>
  <c r="A1384" i="5"/>
  <c r="B1384" i="5"/>
  <c r="C1384" i="5"/>
  <c r="A1383" i="5"/>
  <c r="B1383" i="5"/>
  <c r="C1383" i="5"/>
  <c r="A1382" i="5"/>
  <c r="B1382" i="5"/>
  <c r="C1382" i="5"/>
  <c r="A1381" i="5"/>
  <c r="B1381" i="5"/>
  <c r="C1381" i="5"/>
  <c r="A1380" i="5"/>
  <c r="B1380" i="5"/>
  <c r="C1380" i="5"/>
  <c r="A1379" i="5"/>
  <c r="B1379" i="5"/>
  <c r="C1379" i="5"/>
  <c r="A1378" i="5"/>
  <c r="B1378" i="5"/>
  <c r="C1378" i="5"/>
  <c r="A1377" i="5"/>
  <c r="B1377" i="5"/>
  <c r="C1377" i="5"/>
  <c r="A1376" i="5"/>
  <c r="B1376" i="5"/>
  <c r="C1376" i="5"/>
  <c r="A1375" i="5"/>
  <c r="B1375" i="5"/>
  <c r="C1375" i="5"/>
  <c r="A1374" i="5"/>
  <c r="B1374" i="5"/>
  <c r="C1374" i="5"/>
  <c r="A1373" i="5"/>
  <c r="B1373" i="5"/>
  <c r="C1373" i="5"/>
  <c r="A1372" i="5"/>
  <c r="B1372" i="5"/>
  <c r="C1372" i="5"/>
  <c r="A1371" i="5"/>
  <c r="B1371" i="5"/>
  <c r="C1371" i="5"/>
  <c r="A1370" i="5"/>
  <c r="B1370" i="5"/>
  <c r="C1370" i="5"/>
  <c r="A1369" i="5"/>
  <c r="B1369" i="5"/>
  <c r="C1369" i="5"/>
  <c r="A1368" i="5"/>
  <c r="B1368" i="5"/>
  <c r="C1368" i="5"/>
  <c r="A1367" i="5"/>
  <c r="B1367" i="5"/>
  <c r="C1367" i="5"/>
  <c r="A1366" i="5"/>
  <c r="B1366" i="5"/>
  <c r="C1366" i="5"/>
  <c r="A1365" i="5"/>
  <c r="B1365" i="5"/>
  <c r="C1365" i="5"/>
  <c r="A1364" i="5"/>
  <c r="B1364" i="5"/>
  <c r="C1364" i="5"/>
  <c r="A1363" i="5"/>
  <c r="B1363" i="5"/>
  <c r="C1363" i="5"/>
  <c r="A1362" i="5"/>
  <c r="B1362" i="5"/>
  <c r="C1362" i="5"/>
  <c r="A1361" i="5"/>
  <c r="B1361" i="5"/>
  <c r="C1361" i="5"/>
  <c r="A1360" i="5"/>
  <c r="B1360" i="5"/>
  <c r="C1360" i="5"/>
  <c r="A1359" i="5"/>
  <c r="B1359" i="5"/>
  <c r="C1359" i="5"/>
  <c r="A1358" i="5"/>
  <c r="B1358" i="5"/>
  <c r="C1358" i="5"/>
  <c r="A1357" i="5"/>
  <c r="B1357" i="5"/>
  <c r="C1357" i="5"/>
  <c r="A1356" i="5"/>
  <c r="B1356" i="5"/>
  <c r="C1356" i="5"/>
  <c r="A1355" i="5"/>
  <c r="B1355" i="5"/>
  <c r="C1355" i="5"/>
  <c r="A1354" i="5"/>
  <c r="B1354" i="5"/>
  <c r="C1354" i="5"/>
  <c r="A1353" i="5"/>
  <c r="B1353" i="5"/>
  <c r="C1353" i="5"/>
  <c r="A1352" i="5"/>
  <c r="B1352" i="5"/>
  <c r="C1352" i="5"/>
  <c r="A1351" i="5"/>
  <c r="B1351" i="5"/>
  <c r="C1351" i="5"/>
  <c r="A1350" i="5"/>
  <c r="B1350" i="5"/>
  <c r="C1350" i="5"/>
  <c r="A1349" i="5"/>
  <c r="B1349" i="5"/>
  <c r="C1349" i="5"/>
  <c r="A1348" i="5"/>
  <c r="B1348" i="5"/>
  <c r="C1348" i="5"/>
  <c r="A1347" i="5"/>
  <c r="B1347" i="5"/>
  <c r="C1347" i="5"/>
  <c r="A1346" i="5"/>
  <c r="B1346" i="5"/>
  <c r="C1346" i="5"/>
  <c r="A1345" i="5"/>
  <c r="B1345" i="5"/>
  <c r="C1345" i="5"/>
  <c r="A1344" i="5"/>
  <c r="B1344" i="5"/>
  <c r="C1344" i="5"/>
  <c r="A1343" i="5"/>
  <c r="B1343" i="5"/>
  <c r="C1343" i="5"/>
  <c r="A1342" i="5"/>
  <c r="B1342" i="5"/>
  <c r="C1342" i="5"/>
  <c r="A1341" i="5"/>
  <c r="B1341" i="5"/>
  <c r="C1341" i="5"/>
  <c r="A1340" i="5"/>
  <c r="B1340" i="5"/>
  <c r="C1340" i="5"/>
  <c r="A1339" i="5"/>
  <c r="B1339" i="5"/>
  <c r="C1339" i="5"/>
  <c r="A1338" i="5"/>
  <c r="B1338" i="5"/>
  <c r="C1338" i="5"/>
  <c r="A1337" i="5"/>
  <c r="B1337" i="5"/>
  <c r="C1337" i="5"/>
  <c r="A1336" i="5"/>
  <c r="B1336" i="5"/>
  <c r="C1336" i="5"/>
  <c r="A1335" i="5"/>
  <c r="B1335" i="5"/>
  <c r="C1335" i="5"/>
  <c r="A1334" i="5"/>
  <c r="B1334" i="5"/>
  <c r="C1334" i="5"/>
  <c r="A1333" i="5"/>
  <c r="B1333" i="5"/>
  <c r="C1333" i="5"/>
  <c r="A1332" i="5"/>
  <c r="B1332" i="5"/>
  <c r="C1332" i="5"/>
  <c r="A1331" i="5"/>
  <c r="B1331" i="5"/>
  <c r="C1331" i="5"/>
  <c r="A1330" i="5"/>
  <c r="B1330" i="5"/>
  <c r="C1330" i="5"/>
  <c r="A1329" i="5"/>
  <c r="B1329" i="5"/>
  <c r="C1329" i="5"/>
  <c r="A1328" i="5"/>
  <c r="B1328" i="5"/>
  <c r="C1328" i="5"/>
  <c r="A1327" i="5"/>
  <c r="B1327" i="5"/>
  <c r="C1327" i="5"/>
  <c r="A1326" i="5"/>
  <c r="B1326" i="5"/>
  <c r="C1326" i="5"/>
  <c r="A1325" i="5"/>
  <c r="B1325" i="5"/>
  <c r="C1325" i="5"/>
  <c r="A1324" i="5"/>
  <c r="B1324" i="5"/>
  <c r="C1324" i="5"/>
  <c r="A1323" i="5"/>
  <c r="B1323" i="5"/>
  <c r="C1323" i="5"/>
  <c r="A1322" i="5"/>
  <c r="B1322" i="5"/>
  <c r="C1322" i="5"/>
  <c r="A1321" i="5"/>
  <c r="B1321" i="5"/>
  <c r="C1321" i="5"/>
  <c r="A1320" i="5"/>
  <c r="B1320" i="5"/>
  <c r="C1320" i="5"/>
  <c r="A1319" i="5"/>
  <c r="B1319" i="5"/>
  <c r="C1319" i="5"/>
  <c r="A1318" i="5"/>
  <c r="B1318" i="5"/>
  <c r="C1318" i="5"/>
  <c r="A1317" i="5"/>
  <c r="B1317" i="5"/>
  <c r="C1317" i="5"/>
  <c r="A1316" i="5"/>
  <c r="B1316" i="5"/>
  <c r="C1316" i="5"/>
  <c r="A1315" i="5"/>
  <c r="B1315" i="5"/>
  <c r="C1315" i="5"/>
  <c r="A1314" i="5"/>
  <c r="B1314" i="5"/>
  <c r="C1314" i="5"/>
  <c r="A1313" i="5"/>
  <c r="B1313" i="5"/>
  <c r="C1313" i="5"/>
  <c r="A1312" i="5"/>
  <c r="B1312" i="5"/>
  <c r="C1312" i="5"/>
  <c r="A1311" i="5"/>
  <c r="B1311" i="5"/>
  <c r="C1311" i="5"/>
  <c r="A1310" i="5"/>
  <c r="B1310" i="5"/>
  <c r="C1310" i="5"/>
  <c r="A1309" i="5"/>
  <c r="B1309" i="5"/>
  <c r="C1309" i="5"/>
  <c r="A1308" i="5"/>
  <c r="B1308" i="5"/>
  <c r="C1308" i="5"/>
  <c r="A1307" i="5"/>
  <c r="B1307" i="5"/>
  <c r="C1307" i="5"/>
  <c r="A1306" i="5"/>
  <c r="B1306" i="5"/>
  <c r="C1306" i="5"/>
  <c r="A1305" i="5"/>
  <c r="B1305" i="5"/>
  <c r="C1305" i="5"/>
  <c r="A1304" i="5"/>
  <c r="B1304" i="5"/>
  <c r="C1304" i="5"/>
  <c r="A1303" i="5"/>
  <c r="B1303" i="5"/>
  <c r="C1303" i="5"/>
  <c r="A1302" i="5"/>
  <c r="B1302" i="5"/>
  <c r="C1302" i="5"/>
  <c r="A1301" i="5"/>
  <c r="B1301" i="5"/>
  <c r="C1301" i="5"/>
  <c r="A1300" i="5"/>
  <c r="B1300" i="5"/>
  <c r="C1300" i="5"/>
  <c r="A1299" i="5"/>
  <c r="B1299" i="5"/>
  <c r="C1299" i="5"/>
  <c r="A1298" i="5"/>
  <c r="B1298" i="5"/>
  <c r="C1298" i="5"/>
  <c r="A1297" i="5"/>
  <c r="B1297" i="5"/>
  <c r="C1297" i="5"/>
  <c r="A1296" i="5"/>
  <c r="B1296" i="5"/>
  <c r="C1296" i="5"/>
  <c r="A1295" i="5"/>
  <c r="B1295" i="5"/>
  <c r="C1295" i="5"/>
  <c r="A1294" i="5"/>
  <c r="B1294" i="5"/>
  <c r="C1294" i="5"/>
  <c r="A1293" i="5"/>
  <c r="B1293" i="5"/>
  <c r="C1293" i="5"/>
  <c r="A1292" i="5"/>
  <c r="B1292" i="5"/>
  <c r="C1292" i="5"/>
  <c r="A1291" i="5"/>
  <c r="B1291" i="5"/>
  <c r="C1291" i="5"/>
  <c r="A1290" i="5"/>
  <c r="B1290" i="5"/>
  <c r="C1290" i="5"/>
  <c r="A1289" i="5"/>
  <c r="B1289" i="5"/>
  <c r="C1289" i="5"/>
  <c r="A1288" i="5"/>
  <c r="B1288" i="5"/>
  <c r="C1288" i="5"/>
  <c r="A1287" i="5"/>
  <c r="B1287" i="5"/>
  <c r="C1287" i="5"/>
  <c r="A1286" i="5"/>
  <c r="B1286" i="5"/>
  <c r="C1286" i="5"/>
  <c r="A1285" i="5"/>
  <c r="B1285" i="5"/>
  <c r="C1285" i="5"/>
  <c r="A1284" i="5"/>
  <c r="B1284" i="5"/>
  <c r="C1284" i="5"/>
  <c r="A1283" i="5"/>
  <c r="B1283" i="5"/>
  <c r="C1283" i="5"/>
  <c r="A1282" i="5"/>
  <c r="B1282" i="5"/>
  <c r="C1282" i="5"/>
  <c r="A1281" i="5"/>
  <c r="B1281" i="5"/>
  <c r="C1281" i="5"/>
  <c r="A1280" i="5"/>
  <c r="B1280" i="5"/>
  <c r="C1280" i="5"/>
  <c r="A1279" i="5"/>
  <c r="B1279" i="5"/>
  <c r="C1279" i="5"/>
  <c r="A1278" i="5"/>
  <c r="B1278" i="5"/>
  <c r="C1278" i="5"/>
  <c r="A1277" i="5"/>
  <c r="B1277" i="5"/>
  <c r="C1277" i="5"/>
  <c r="A1276" i="5"/>
  <c r="B1276" i="5"/>
  <c r="C1276" i="5"/>
  <c r="A1275" i="5"/>
  <c r="B1275" i="5"/>
  <c r="C1275" i="5"/>
  <c r="A1274" i="5"/>
  <c r="B1274" i="5"/>
  <c r="C1274" i="5"/>
  <c r="A1273" i="5"/>
  <c r="B1273" i="5"/>
  <c r="C1273" i="5"/>
  <c r="A1272" i="5"/>
  <c r="B1272" i="5"/>
  <c r="C1272" i="5"/>
  <c r="A1271" i="5"/>
  <c r="B1271" i="5"/>
  <c r="C1271" i="5"/>
  <c r="A1270" i="5"/>
  <c r="B1270" i="5"/>
  <c r="C1270" i="5"/>
  <c r="A1269" i="5"/>
  <c r="B1269" i="5"/>
  <c r="C1269" i="5"/>
  <c r="A1268" i="5"/>
  <c r="B1268" i="5"/>
  <c r="C1268" i="5"/>
  <c r="A1267" i="5"/>
  <c r="B1267" i="5"/>
  <c r="C1267" i="5"/>
  <c r="A1266" i="5"/>
  <c r="B1266" i="5"/>
  <c r="C1266" i="5"/>
  <c r="A1265" i="5"/>
  <c r="B1265" i="5"/>
  <c r="C1265" i="5"/>
  <c r="A1264" i="5"/>
  <c r="B1264" i="5"/>
  <c r="C1264" i="5"/>
  <c r="A1263" i="5"/>
  <c r="B1263" i="5"/>
  <c r="C1263" i="5"/>
  <c r="A1262" i="5"/>
  <c r="B1262" i="5"/>
  <c r="C1262" i="5"/>
  <c r="A1261" i="5"/>
  <c r="B1261" i="5"/>
  <c r="C1261" i="5"/>
  <c r="A1260" i="5"/>
  <c r="B1260" i="5"/>
  <c r="C1260" i="5"/>
  <c r="A1259" i="5"/>
  <c r="B1259" i="5"/>
  <c r="C1259" i="5"/>
  <c r="A1258" i="5"/>
  <c r="B1258" i="5"/>
  <c r="C1258" i="5"/>
  <c r="A1257" i="5"/>
  <c r="B1257" i="5"/>
  <c r="C1257" i="5"/>
  <c r="A1256" i="5"/>
  <c r="B1256" i="5"/>
  <c r="C1256" i="5"/>
  <c r="A1255" i="5"/>
  <c r="B1255" i="5"/>
  <c r="C1255" i="5"/>
  <c r="A1254" i="5"/>
  <c r="B1254" i="5"/>
  <c r="C1254" i="5"/>
  <c r="A1253" i="5"/>
  <c r="B1253" i="5"/>
  <c r="C1253" i="5"/>
  <c r="A1252" i="5"/>
  <c r="B1252" i="5"/>
  <c r="C1252" i="5"/>
  <c r="A1251" i="5"/>
  <c r="B1251" i="5"/>
  <c r="C1251" i="5"/>
  <c r="A1250" i="5"/>
  <c r="B1250" i="5"/>
  <c r="C1250" i="5"/>
  <c r="A1249" i="5"/>
  <c r="B1249" i="5"/>
  <c r="C1249" i="5"/>
  <c r="A1248" i="5"/>
  <c r="B1248" i="5"/>
  <c r="C1248" i="5"/>
  <c r="A1247" i="5"/>
  <c r="B1247" i="5"/>
  <c r="C1247" i="5"/>
  <c r="A1246" i="5"/>
  <c r="B1246" i="5"/>
  <c r="C1246" i="5"/>
  <c r="A1245" i="5"/>
  <c r="B1245" i="5"/>
  <c r="C1245" i="5"/>
  <c r="A1244" i="5"/>
  <c r="B1244" i="5"/>
  <c r="C1244" i="5"/>
  <c r="A1243" i="5"/>
  <c r="B1243" i="5"/>
  <c r="C1243" i="5"/>
  <c r="A1242" i="5"/>
  <c r="B1242" i="5"/>
  <c r="C1242" i="5"/>
  <c r="A1241" i="5"/>
  <c r="B1241" i="5"/>
  <c r="C1241" i="5"/>
  <c r="A1240" i="5"/>
  <c r="B1240" i="5"/>
  <c r="C1240" i="5"/>
  <c r="A1239" i="5"/>
  <c r="B1239" i="5"/>
  <c r="C1239" i="5"/>
  <c r="A1238" i="5"/>
  <c r="B1238" i="5"/>
  <c r="C1238" i="5"/>
  <c r="A1237" i="5"/>
  <c r="B1237" i="5"/>
  <c r="C1237" i="5"/>
  <c r="A1236" i="5"/>
  <c r="B1236" i="5"/>
  <c r="C1236" i="5"/>
  <c r="A1235" i="5"/>
  <c r="B1235" i="5"/>
  <c r="C1235" i="5"/>
  <c r="A1234" i="5"/>
  <c r="B1234" i="5"/>
  <c r="C1234" i="5"/>
  <c r="A1233" i="5"/>
  <c r="B1233" i="5"/>
  <c r="C1233" i="5"/>
  <c r="A1232" i="5"/>
  <c r="B1232" i="5"/>
  <c r="C1232" i="5"/>
  <c r="A1231" i="5"/>
  <c r="B1231" i="5"/>
  <c r="C1231" i="5"/>
  <c r="A1230" i="5"/>
  <c r="B1230" i="5"/>
  <c r="C1230" i="5"/>
  <c r="A1229" i="5"/>
  <c r="B1229" i="5"/>
  <c r="C1229" i="5"/>
  <c r="A1228" i="5"/>
  <c r="B1228" i="5"/>
  <c r="C1228" i="5"/>
  <c r="A1227" i="5"/>
  <c r="B1227" i="5"/>
  <c r="C1227" i="5"/>
  <c r="A1226" i="5"/>
  <c r="B1226" i="5"/>
  <c r="C1226" i="5"/>
  <c r="A1225" i="5"/>
  <c r="B1225" i="5"/>
  <c r="C1225" i="5"/>
  <c r="A1224" i="5"/>
  <c r="B1224" i="5"/>
  <c r="C1224" i="5"/>
  <c r="A1223" i="5"/>
  <c r="B1223" i="5"/>
  <c r="C1223" i="5"/>
  <c r="A1222" i="5"/>
  <c r="B1222" i="5"/>
  <c r="C1222" i="5"/>
  <c r="A1221" i="5"/>
  <c r="B1221" i="5"/>
  <c r="C1221" i="5"/>
  <c r="A1220" i="5"/>
  <c r="B1220" i="5"/>
  <c r="C1220" i="5"/>
  <c r="A1219" i="5"/>
  <c r="B1219" i="5"/>
  <c r="C1219" i="5"/>
  <c r="A1218" i="5"/>
  <c r="B1218" i="5"/>
  <c r="C1218" i="5"/>
  <c r="A1217" i="5"/>
  <c r="B1217" i="5"/>
  <c r="C1217" i="5"/>
  <c r="A1216" i="5"/>
  <c r="B1216" i="5"/>
  <c r="C1216" i="5"/>
  <c r="A1215" i="5"/>
  <c r="B1215" i="5"/>
  <c r="C1215" i="5"/>
  <c r="A1214" i="5"/>
  <c r="B1214" i="5"/>
  <c r="C1214" i="5"/>
  <c r="A1213" i="5"/>
  <c r="B1213" i="5"/>
  <c r="C1213" i="5"/>
  <c r="A1212" i="5"/>
  <c r="B1212" i="5"/>
  <c r="C1212" i="5"/>
  <c r="A1211" i="5"/>
  <c r="B1211" i="5"/>
  <c r="C1211" i="5"/>
  <c r="A1210" i="5"/>
  <c r="B1210" i="5"/>
  <c r="C1210" i="5"/>
  <c r="A1209" i="5"/>
  <c r="B1209" i="5"/>
  <c r="C1209" i="5"/>
  <c r="A1208" i="5"/>
  <c r="B1208" i="5"/>
  <c r="C1208" i="5"/>
  <c r="A1207" i="5"/>
  <c r="B1207" i="5"/>
  <c r="C1207" i="5"/>
  <c r="A1206" i="5"/>
  <c r="B1206" i="5"/>
  <c r="C1206" i="5"/>
  <c r="A1205" i="5"/>
  <c r="B1205" i="5"/>
  <c r="C1205" i="5"/>
  <c r="A1204" i="5"/>
  <c r="B1204" i="5"/>
  <c r="C1204" i="5"/>
  <c r="A1203" i="5"/>
  <c r="B1203" i="5"/>
  <c r="C1203" i="5"/>
  <c r="A1202" i="5"/>
  <c r="B1202" i="5"/>
  <c r="C1202" i="5"/>
  <c r="A1201" i="5"/>
  <c r="B1201" i="5"/>
  <c r="C1201" i="5"/>
  <c r="A1200" i="5"/>
  <c r="B1200" i="5"/>
  <c r="C1200" i="5"/>
  <c r="A1199" i="5"/>
  <c r="B1199" i="5"/>
  <c r="C1199" i="5"/>
  <c r="A1198" i="5"/>
  <c r="B1198" i="5"/>
  <c r="C1198" i="5"/>
  <c r="A1197" i="5"/>
  <c r="B1197" i="5"/>
  <c r="C1197" i="5"/>
  <c r="A1196" i="5"/>
  <c r="B1196" i="5"/>
  <c r="C1196" i="5"/>
  <c r="A1195" i="5"/>
  <c r="B1195" i="5"/>
  <c r="C1195" i="5"/>
  <c r="A1194" i="5"/>
  <c r="B1194" i="5"/>
  <c r="C1194" i="5"/>
  <c r="A1193" i="5"/>
  <c r="B1193" i="5"/>
  <c r="C1193" i="5"/>
  <c r="A1192" i="5"/>
  <c r="B1192" i="5"/>
  <c r="C1192" i="5"/>
  <c r="A1191" i="5"/>
  <c r="B1191" i="5"/>
  <c r="C1191" i="5"/>
  <c r="A1190" i="5"/>
  <c r="B1190" i="5"/>
  <c r="C1190" i="5"/>
  <c r="A1189" i="5"/>
  <c r="B1189" i="5"/>
  <c r="C1189" i="5"/>
  <c r="A1188" i="5"/>
  <c r="B1188" i="5"/>
  <c r="C1188" i="5"/>
  <c r="A1187" i="5"/>
  <c r="B1187" i="5"/>
  <c r="C1187" i="5"/>
  <c r="A1186" i="5"/>
  <c r="B1186" i="5"/>
  <c r="C1186" i="5"/>
  <c r="A1185" i="5"/>
  <c r="B1185" i="5"/>
  <c r="C1185" i="5"/>
  <c r="A1184" i="5"/>
  <c r="B1184" i="5"/>
  <c r="C1184" i="5"/>
  <c r="A1183" i="5"/>
  <c r="B1183" i="5"/>
  <c r="C1183" i="5"/>
  <c r="A1182" i="5"/>
  <c r="B1182" i="5"/>
  <c r="C1182" i="5"/>
  <c r="A1181" i="5"/>
  <c r="B1181" i="5"/>
  <c r="C1181" i="5"/>
  <c r="A1180" i="5"/>
  <c r="B1180" i="5"/>
  <c r="C1180" i="5"/>
  <c r="A1179" i="5"/>
  <c r="B1179" i="5"/>
  <c r="C1179" i="5"/>
  <c r="A1178" i="5"/>
  <c r="B1178" i="5"/>
  <c r="C1178" i="5"/>
  <c r="A1177" i="5"/>
  <c r="B1177" i="5"/>
  <c r="C1177" i="5"/>
  <c r="A1176" i="5"/>
  <c r="B1176" i="5"/>
  <c r="C1176" i="5"/>
  <c r="A1175" i="5"/>
  <c r="B1175" i="5"/>
  <c r="C1175" i="5"/>
  <c r="A1174" i="5"/>
  <c r="B1174" i="5"/>
  <c r="C1174" i="5"/>
  <c r="A1173" i="5"/>
  <c r="B1173" i="5"/>
  <c r="C1173" i="5"/>
  <c r="A1172" i="5"/>
  <c r="B1172" i="5"/>
  <c r="C1172" i="5"/>
  <c r="A1171" i="5"/>
  <c r="B1171" i="5"/>
  <c r="C1171" i="5"/>
  <c r="A1170" i="5"/>
  <c r="B1170" i="5"/>
  <c r="C1170" i="5"/>
  <c r="A1169" i="5"/>
  <c r="B1169" i="5"/>
  <c r="C1169" i="5"/>
  <c r="A1168" i="5"/>
  <c r="B1168" i="5"/>
  <c r="C1168" i="5"/>
  <c r="A1167" i="5"/>
  <c r="B1167" i="5"/>
  <c r="C1167" i="5"/>
  <c r="A1166" i="5"/>
  <c r="B1166" i="5"/>
  <c r="C1166" i="5"/>
  <c r="A1165" i="5"/>
  <c r="B1165" i="5"/>
  <c r="C1165" i="5"/>
  <c r="A1164" i="5"/>
  <c r="B1164" i="5"/>
  <c r="C1164" i="5"/>
  <c r="A1163" i="5"/>
  <c r="B1163" i="5"/>
  <c r="C1163" i="5"/>
  <c r="A1162" i="5"/>
  <c r="B1162" i="5"/>
  <c r="C1162" i="5"/>
  <c r="A1161" i="5"/>
  <c r="B1161" i="5"/>
  <c r="C1161" i="5"/>
  <c r="A1160" i="5"/>
  <c r="B1160" i="5"/>
  <c r="C1160" i="5"/>
  <c r="A1159" i="5"/>
  <c r="B1159" i="5"/>
  <c r="C1159" i="5"/>
  <c r="A1158" i="5"/>
  <c r="B1158" i="5"/>
  <c r="C1158" i="5"/>
  <c r="A1157" i="5"/>
  <c r="B1157" i="5"/>
  <c r="C1157" i="5"/>
  <c r="A1156" i="5"/>
  <c r="B1156" i="5"/>
  <c r="C1156" i="5"/>
  <c r="A1155" i="5"/>
  <c r="B1155" i="5"/>
  <c r="C1155" i="5"/>
  <c r="A1154" i="5"/>
  <c r="B1154" i="5"/>
  <c r="C1154" i="5"/>
  <c r="A1153" i="5"/>
  <c r="B1153" i="5"/>
  <c r="C1153" i="5"/>
  <c r="A1152" i="5"/>
  <c r="B1152" i="5"/>
  <c r="C1152" i="5"/>
  <c r="A1151" i="5"/>
  <c r="B1151" i="5"/>
  <c r="C1151" i="5"/>
  <c r="A1150" i="5"/>
  <c r="B1150" i="5"/>
  <c r="C1150" i="5"/>
  <c r="A1149" i="5"/>
  <c r="B1149" i="5"/>
  <c r="C1149" i="5"/>
  <c r="A1148" i="5"/>
  <c r="B1148" i="5"/>
  <c r="C1148" i="5"/>
  <c r="A1147" i="5"/>
  <c r="B1147" i="5"/>
  <c r="C1147" i="5"/>
  <c r="A1146" i="5"/>
  <c r="B1146" i="5"/>
  <c r="C1146" i="5"/>
  <c r="A1145" i="5"/>
  <c r="B1145" i="5"/>
  <c r="C1145" i="5"/>
  <c r="A1144" i="5"/>
  <c r="B1144" i="5"/>
  <c r="C1144" i="5"/>
  <c r="A1143" i="5"/>
  <c r="B1143" i="5"/>
  <c r="C1143" i="5"/>
  <c r="A1142" i="5"/>
  <c r="B1142" i="5"/>
  <c r="C1142" i="5"/>
  <c r="A1141" i="5"/>
  <c r="B1141" i="5"/>
  <c r="C1141" i="5"/>
  <c r="A1140" i="5"/>
  <c r="B1140" i="5"/>
  <c r="C1140" i="5"/>
  <c r="A1139" i="5"/>
  <c r="B1139" i="5"/>
  <c r="C1139" i="5"/>
  <c r="A1138" i="5"/>
  <c r="B1138" i="5"/>
  <c r="C1138" i="5"/>
  <c r="A1137" i="5"/>
  <c r="B1137" i="5"/>
  <c r="C1137" i="5"/>
  <c r="A1136" i="5"/>
  <c r="B1136" i="5"/>
  <c r="C1136" i="5"/>
  <c r="A1135" i="5"/>
  <c r="B1135" i="5"/>
  <c r="C1135" i="5"/>
  <c r="A1134" i="5"/>
  <c r="B1134" i="5"/>
  <c r="C1134" i="5"/>
  <c r="A1133" i="5"/>
  <c r="B1133" i="5"/>
  <c r="C1133" i="5"/>
  <c r="A1132" i="5"/>
  <c r="B1132" i="5"/>
  <c r="C1132" i="5"/>
  <c r="A1131" i="5"/>
  <c r="B1131" i="5"/>
  <c r="C1131" i="5"/>
  <c r="A1130" i="5"/>
  <c r="B1130" i="5"/>
  <c r="C1130" i="5"/>
  <c r="A1129" i="5"/>
  <c r="B1129" i="5"/>
  <c r="C1129" i="5"/>
  <c r="A1128" i="5"/>
  <c r="B1128" i="5"/>
  <c r="C1128" i="5"/>
  <c r="A1127" i="5"/>
  <c r="B1127" i="5"/>
  <c r="C1127" i="5"/>
  <c r="A1126" i="5"/>
  <c r="B1126" i="5"/>
  <c r="C1126" i="5"/>
  <c r="A1125" i="5"/>
  <c r="B1125" i="5"/>
  <c r="C1125" i="5"/>
  <c r="A1124" i="5"/>
  <c r="B1124" i="5"/>
  <c r="C1124" i="5"/>
  <c r="A1123" i="5"/>
  <c r="B1123" i="5"/>
  <c r="C1123" i="5"/>
  <c r="A1122" i="5"/>
  <c r="B1122" i="5"/>
  <c r="C1122" i="5"/>
  <c r="A1121" i="5"/>
  <c r="B1121" i="5"/>
  <c r="C1121" i="5"/>
  <c r="A1120" i="5"/>
  <c r="B1120" i="5"/>
  <c r="C1120" i="5"/>
  <c r="A1119" i="5"/>
  <c r="B1119" i="5"/>
  <c r="C1119" i="5"/>
  <c r="A1118" i="5"/>
  <c r="B1118" i="5"/>
  <c r="C1118" i="5"/>
  <c r="A1117" i="5"/>
  <c r="B1117" i="5"/>
  <c r="C1117" i="5"/>
  <c r="A1116" i="5"/>
  <c r="B1116" i="5"/>
  <c r="C1116" i="5"/>
  <c r="A1115" i="5"/>
  <c r="B1115" i="5"/>
  <c r="C1115" i="5"/>
  <c r="A1114" i="5"/>
  <c r="B1114" i="5"/>
  <c r="C1114" i="5"/>
  <c r="A1113" i="5"/>
  <c r="B1113" i="5"/>
  <c r="C1113" i="5"/>
  <c r="A1112" i="5"/>
  <c r="B1112" i="5"/>
  <c r="C1112" i="5"/>
  <c r="A1111" i="5"/>
  <c r="B1111" i="5"/>
  <c r="C1111" i="5"/>
  <c r="A1110" i="5"/>
  <c r="B1110" i="5"/>
  <c r="C1110" i="5"/>
  <c r="A1109" i="5"/>
  <c r="B1109" i="5"/>
  <c r="C1109" i="5"/>
  <c r="A1108" i="5"/>
  <c r="B1108" i="5"/>
  <c r="C1108" i="5"/>
  <c r="A1107" i="5"/>
  <c r="B1107" i="5"/>
  <c r="C1107" i="5"/>
  <c r="A1106" i="5"/>
  <c r="B1106" i="5"/>
  <c r="C1106" i="5"/>
  <c r="A1105" i="5"/>
  <c r="B1105" i="5"/>
  <c r="C1105" i="5"/>
  <c r="A1104" i="5"/>
  <c r="B1104" i="5"/>
  <c r="C1104" i="5"/>
  <c r="A1103" i="5"/>
  <c r="B1103" i="5"/>
  <c r="C1103" i="5"/>
  <c r="A1102" i="5"/>
  <c r="B1102" i="5"/>
  <c r="C1102" i="5"/>
  <c r="A1101" i="5"/>
  <c r="B1101" i="5"/>
  <c r="C1101" i="5"/>
  <c r="A1100" i="5"/>
  <c r="B1100" i="5"/>
  <c r="C1100" i="5"/>
  <c r="A1099" i="5"/>
  <c r="B1099" i="5"/>
  <c r="C1099" i="5"/>
  <c r="A1098" i="5"/>
  <c r="B1098" i="5"/>
  <c r="C1098" i="5"/>
  <c r="A1097" i="5"/>
  <c r="B1097" i="5"/>
  <c r="C1097" i="5"/>
  <c r="A1096" i="5"/>
  <c r="B1096" i="5"/>
  <c r="C1096" i="5"/>
  <c r="A1095" i="5"/>
  <c r="B1095" i="5"/>
  <c r="C1095" i="5"/>
  <c r="A1094" i="5"/>
  <c r="B1094" i="5"/>
  <c r="C1094" i="5"/>
  <c r="A1093" i="5"/>
  <c r="B1093" i="5"/>
  <c r="C1093" i="5"/>
  <c r="A1092" i="5"/>
  <c r="B1092" i="5"/>
  <c r="C1092" i="5"/>
  <c r="A1091" i="5"/>
  <c r="B1091" i="5"/>
  <c r="C1091" i="5"/>
  <c r="A1090" i="5"/>
  <c r="B1090" i="5"/>
  <c r="C1090" i="5"/>
  <c r="A1089" i="5"/>
  <c r="B1089" i="5"/>
  <c r="C1089" i="5"/>
  <c r="A1088" i="5"/>
  <c r="B1088" i="5"/>
  <c r="C1088" i="5"/>
  <c r="A1087" i="5"/>
  <c r="B1087" i="5"/>
  <c r="C1087" i="5"/>
  <c r="A1086" i="5"/>
  <c r="B1086" i="5"/>
  <c r="C1086" i="5"/>
  <c r="A1085" i="5"/>
  <c r="B1085" i="5"/>
  <c r="C1085" i="5"/>
  <c r="A1084" i="5"/>
  <c r="B1084" i="5"/>
  <c r="C1084" i="5"/>
  <c r="A1083" i="5"/>
  <c r="B1083" i="5"/>
  <c r="C1083" i="5"/>
  <c r="A1082" i="5"/>
  <c r="B1082" i="5"/>
  <c r="C1082" i="5"/>
  <c r="A1081" i="5"/>
  <c r="B1081" i="5"/>
  <c r="C1081" i="5"/>
  <c r="A1080" i="5"/>
  <c r="B1080" i="5"/>
  <c r="C1080" i="5"/>
  <c r="A1079" i="5"/>
  <c r="B1079" i="5"/>
  <c r="C1079" i="5"/>
  <c r="A1078" i="5"/>
  <c r="B1078" i="5"/>
  <c r="C1078" i="5"/>
  <c r="A1077" i="5"/>
  <c r="B1077" i="5"/>
  <c r="C1077" i="5"/>
  <c r="A1076" i="5"/>
  <c r="B1076" i="5"/>
  <c r="C1076" i="5"/>
  <c r="A1075" i="5"/>
  <c r="B1075" i="5"/>
  <c r="C1075" i="5"/>
  <c r="A1074" i="5"/>
  <c r="B1074" i="5"/>
  <c r="C1074" i="5"/>
  <c r="A1073" i="5"/>
  <c r="B1073" i="5"/>
  <c r="C1073" i="5"/>
  <c r="A1072" i="5"/>
  <c r="B1072" i="5"/>
  <c r="C1072" i="5"/>
  <c r="A1071" i="5"/>
  <c r="B1071" i="5"/>
  <c r="C1071" i="5"/>
  <c r="A1070" i="5"/>
  <c r="B1070" i="5"/>
  <c r="C1070" i="5"/>
  <c r="A1069" i="5"/>
  <c r="B1069" i="5"/>
  <c r="C1069" i="5"/>
  <c r="A1068" i="5"/>
  <c r="B1068" i="5"/>
  <c r="C1068" i="5"/>
  <c r="A1067" i="5"/>
  <c r="B1067" i="5"/>
  <c r="C1067" i="5"/>
  <c r="A1066" i="5"/>
  <c r="B1066" i="5"/>
  <c r="C1066" i="5"/>
  <c r="A1065" i="5"/>
  <c r="B1065" i="5"/>
  <c r="C1065" i="5"/>
  <c r="A1064" i="5"/>
  <c r="B1064" i="5"/>
  <c r="C1064" i="5"/>
  <c r="A1063" i="5"/>
  <c r="B1063" i="5"/>
  <c r="C1063" i="5"/>
  <c r="A1062" i="5"/>
  <c r="B1062" i="5"/>
  <c r="C1062" i="5"/>
  <c r="A1061" i="5"/>
  <c r="B1061" i="5"/>
  <c r="C1061" i="5"/>
  <c r="A1060" i="5"/>
  <c r="B1060" i="5"/>
  <c r="C1060" i="5"/>
  <c r="A1059" i="5"/>
  <c r="B1059" i="5"/>
  <c r="C1059" i="5"/>
  <c r="A1058" i="5"/>
  <c r="B1058" i="5"/>
  <c r="C1058" i="5"/>
  <c r="A1057" i="5"/>
  <c r="B1057" i="5"/>
  <c r="C1057" i="5"/>
  <c r="A1056" i="5"/>
  <c r="B1056" i="5"/>
  <c r="C1056" i="5"/>
  <c r="A1055" i="5"/>
  <c r="B1055" i="5"/>
  <c r="C1055" i="5"/>
  <c r="A1054" i="5"/>
  <c r="B1054" i="5"/>
  <c r="C1054" i="5"/>
  <c r="A1053" i="5"/>
  <c r="B1053" i="5"/>
  <c r="C1053" i="5"/>
  <c r="A1052" i="5"/>
  <c r="B1052" i="5"/>
  <c r="C1052" i="5"/>
  <c r="A1051" i="5"/>
  <c r="B1051" i="5"/>
  <c r="C1051" i="5"/>
  <c r="A1050" i="5"/>
  <c r="B1050" i="5"/>
  <c r="C1050" i="5"/>
  <c r="A1049" i="5"/>
  <c r="B1049" i="5"/>
  <c r="C1049" i="5"/>
  <c r="A1048" i="5"/>
  <c r="B1048" i="5"/>
  <c r="C1048" i="5"/>
  <c r="A1047" i="5"/>
  <c r="B1047" i="5"/>
  <c r="C1047" i="5"/>
  <c r="A1046" i="5"/>
  <c r="B1046" i="5"/>
  <c r="C1046" i="5"/>
  <c r="A1045" i="5"/>
  <c r="B1045" i="5"/>
  <c r="C1045" i="5"/>
  <c r="A1044" i="5"/>
  <c r="B1044" i="5"/>
  <c r="C1044" i="5"/>
  <c r="A1043" i="5"/>
  <c r="B1043" i="5"/>
  <c r="C1043" i="5"/>
  <c r="A1042" i="5"/>
  <c r="B1042" i="5"/>
  <c r="C1042" i="5"/>
  <c r="A1041" i="5"/>
  <c r="B1041" i="5"/>
  <c r="C1041" i="5"/>
  <c r="A1040" i="5"/>
  <c r="B1040" i="5"/>
  <c r="C1040" i="5"/>
  <c r="A1039" i="5"/>
  <c r="B1039" i="5"/>
  <c r="C1039" i="5"/>
  <c r="A1038" i="5"/>
  <c r="B1038" i="5"/>
  <c r="C1038" i="5"/>
  <c r="A1037" i="5"/>
  <c r="B1037" i="5"/>
  <c r="C1037" i="5"/>
  <c r="A1036" i="5"/>
  <c r="B1036" i="5"/>
  <c r="C1036" i="5"/>
  <c r="A1035" i="5"/>
  <c r="B1035" i="5"/>
  <c r="C1035" i="5"/>
  <c r="A1034" i="5"/>
  <c r="B1034" i="5"/>
  <c r="C1034" i="5"/>
  <c r="A1033" i="5"/>
  <c r="B1033" i="5"/>
  <c r="C1033" i="5"/>
  <c r="A1032" i="5"/>
  <c r="B1032" i="5"/>
  <c r="C1032" i="5"/>
  <c r="A1031" i="5"/>
  <c r="B1031" i="5"/>
  <c r="C1031" i="5"/>
  <c r="A1030" i="5"/>
  <c r="B1030" i="5"/>
  <c r="C1030" i="5"/>
  <c r="A1029" i="5"/>
  <c r="B1029" i="5"/>
  <c r="C1029" i="5"/>
  <c r="A1028" i="5"/>
  <c r="B1028" i="5"/>
  <c r="C1028" i="5"/>
  <c r="A1027" i="5"/>
  <c r="B1027" i="5"/>
  <c r="C1027" i="5"/>
  <c r="A1026" i="5"/>
  <c r="B1026" i="5"/>
  <c r="C1026" i="5"/>
  <c r="A1025" i="5"/>
  <c r="B1025" i="5"/>
  <c r="C1025" i="5"/>
  <c r="A1024" i="5"/>
  <c r="B1024" i="5"/>
  <c r="C1024" i="5"/>
  <c r="A1023" i="5"/>
  <c r="B1023" i="5"/>
  <c r="C1023" i="5"/>
  <c r="A1022" i="5"/>
  <c r="B1022" i="5"/>
  <c r="C1022" i="5"/>
  <c r="A1021" i="5"/>
  <c r="B1021" i="5"/>
  <c r="C1021" i="5"/>
  <c r="A1020" i="5"/>
  <c r="B1020" i="5"/>
  <c r="C1020" i="5"/>
  <c r="A1019" i="5"/>
  <c r="B1019" i="5"/>
  <c r="C1019" i="5"/>
  <c r="A1018" i="5"/>
  <c r="B1018" i="5"/>
  <c r="C1018" i="5"/>
  <c r="A1017" i="5"/>
  <c r="B1017" i="5"/>
  <c r="C1017" i="5"/>
  <c r="A1016" i="5"/>
  <c r="B1016" i="5"/>
  <c r="C1016" i="5"/>
  <c r="A1015" i="5"/>
  <c r="B1015" i="5"/>
  <c r="C1015" i="5"/>
  <c r="A1014" i="5"/>
  <c r="B1014" i="5"/>
  <c r="C1014" i="5"/>
  <c r="A1013" i="5"/>
  <c r="B1013" i="5"/>
  <c r="C1013" i="5"/>
  <c r="A1012" i="5"/>
  <c r="B1012" i="5"/>
  <c r="C1012" i="5"/>
  <c r="A1011" i="5"/>
  <c r="B1011" i="5"/>
  <c r="C1011" i="5"/>
  <c r="A1010" i="5"/>
  <c r="B1010" i="5"/>
  <c r="C1010" i="5"/>
  <c r="A1009" i="5"/>
  <c r="B1009" i="5"/>
  <c r="C1009" i="5"/>
  <c r="A1008" i="5"/>
  <c r="B1008" i="5"/>
  <c r="C1008" i="5"/>
  <c r="A1007" i="5"/>
  <c r="B1007" i="5"/>
  <c r="C1007" i="5"/>
  <c r="A1006" i="5"/>
  <c r="B1006" i="5"/>
  <c r="C1006" i="5"/>
  <c r="A1005" i="5"/>
  <c r="B1005" i="5"/>
  <c r="C1005" i="5"/>
  <c r="A1004" i="5"/>
  <c r="B1004" i="5"/>
  <c r="C1004" i="5"/>
  <c r="A1003" i="5"/>
  <c r="B1003" i="5"/>
  <c r="C1003" i="5"/>
  <c r="A1002" i="5"/>
  <c r="B1002" i="5"/>
  <c r="C1002" i="5"/>
  <c r="A1001" i="5"/>
  <c r="B1001" i="5"/>
  <c r="C1001" i="5"/>
  <c r="A1000" i="5"/>
  <c r="B1000" i="5"/>
  <c r="C1000" i="5"/>
  <c r="A999" i="5"/>
  <c r="B999" i="5"/>
  <c r="C999" i="5"/>
  <c r="A998" i="5"/>
  <c r="B998" i="5"/>
  <c r="C998" i="5"/>
  <c r="A997" i="5"/>
  <c r="B997" i="5"/>
  <c r="C997" i="5"/>
  <c r="A996" i="5"/>
  <c r="B996" i="5"/>
  <c r="C996" i="5"/>
  <c r="A995" i="5"/>
  <c r="B995" i="5"/>
  <c r="C995" i="5"/>
  <c r="A994" i="5"/>
  <c r="B994" i="5"/>
  <c r="C994" i="5"/>
  <c r="A993" i="5"/>
  <c r="B993" i="5"/>
  <c r="C993" i="5"/>
  <c r="A992" i="5"/>
  <c r="B992" i="5"/>
  <c r="C992" i="5"/>
  <c r="A991" i="5"/>
  <c r="B991" i="5"/>
  <c r="C991" i="5"/>
  <c r="A990" i="5"/>
  <c r="B990" i="5"/>
  <c r="C990" i="5"/>
  <c r="A989" i="5"/>
  <c r="B989" i="5"/>
  <c r="C989" i="5"/>
  <c r="A988" i="5"/>
  <c r="B988" i="5"/>
  <c r="C988" i="5"/>
  <c r="A987" i="5"/>
  <c r="B987" i="5"/>
  <c r="C987" i="5"/>
  <c r="A986" i="5"/>
  <c r="B986" i="5"/>
  <c r="C986" i="5"/>
  <c r="A985" i="5"/>
  <c r="B985" i="5"/>
  <c r="C985" i="5"/>
  <c r="A984" i="5"/>
  <c r="B984" i="5"/>
  <c r="C984" i="5"/>
  <c r="A983" i="5"/>
  <c r="B983" i="5"/>
  <c r="C983" i="5"/>
  <c r="A982" i="5"/>
  <c r="B982" i="5"/>
  <c r="C982" i="5"/>
  <c r="A981" i="5"/>
  <c r="B981" i="5"/>
  <c r="C981" i="5"/>
  <c r="A980" i="5"/>
  <c r="B980" i="5"/>
  <c r="C980" i="5"/>
  <c r="A979" i="5"/>
  <c r="B979" i="5"/>
  <c r="C979" i="5"/>
  <c r="A978" i="5"/>
  <c r="B978" i="5"/>
  <c r="C978" i="5"/>
  <c r="A977" i="5"/>
  <c r="B977" i="5"/>
  <c r="C977" i="5"/>
  <c r="A976" i="5"/>
  <c r="B976" i="5"/>
  <c r="C976" i="5"/>
  <c r="A975" i="5"/>
  <c r="B975" i="5"/>
  <c r="C975" i="5"/>
  <c r="A974" i="5"/>
  <c r="B974" i="5"/>
  <c r="C974" i="5"/>
  <c r="A973" i="5"/>
  <c r="B973" i="5"/>
  <c r="C973" i="5"/>
  <c r="A972" i="5"/>
  <c r="B972" i="5"/>
  <c r="C972" i="5"/>
  <c r="A971" i="5"/>
  <c r="B971" i="5"/>
  <c r="C971" i="5"/>
  <c r="A970" i="5"/>
  <c r="B970" i="5"/>
  <c r="C970" i="5"/>
  <c r="A969" i="5"/>
  <c r="B969" i="5"/>
  <c r="C969" i="5"/>
  <c r="A968" i="5"/>
  <c r="B968" i="5"/>
  <c r="C968" i="5"/>
  <c r="A967" i="5"/>
  <c r="B967" i="5"/>
  <c r="C967" i="5"/>
  <c r="A966" i="5"/>
  <c r="B966" i="5"/>
  <c r="C966" i="5"/>
  <c r="A965" i="5"/>
  <c r="B965" i="5"/>
  <c r="C965" i="5"/>
  <c r="A964" i="5"/>
  <c r="B964" i="5"/>
  <c r="C964" i="5"/>
  <c r="A963" i="5"/>
  <c r="B963" i="5"/>
  <c r="C963" i="5"/>
  <c r="A962" i="5"/>
  <c r="B962" i="5"/>
  <c r="C962" i="5"/>
  <c r="A961" i="5"/>
  <c r="B961" i="5"/>
  <c r="C961" i="5"/>
  <c r="A960" i="5"/>
  <c r="B960" i="5"/>
  <c r="C960" i="5"/>
  <c r="A959" i="5"/>
  <c r="B959" i="5"/>
  <c r="C959" i="5"/>
  <c r="A958" i="5"/>
  <c r="B958" i="5"/>
  <c r="C958" i="5"/>
  <c r="A957" i="5"/>
  <c r="B957" i="5"/>
  <c r="C957" i="5"/>
  <c r="A956" i="5"/>
  <c r="B956" i="5"/>
  <c r="C956" i="5"/>
  <c r="A955" i="5"/>
  <c r="B955" i="5"/>
  <c r="C955" i="5"/>
  <c r="A954" i="5"/>
  <c r="B954" i="5"/>
  <c r="C954" i="5"/>
  <c r="A953" i="5"/>
  <c r="B953" i="5"/>
  <c r="C953" i="5"/>
  <c r="A952" i="5"/>
  <c r="B952" i="5"/>
  <c r="C952" i="5"/>
  <c r="A951" i="5"/>
  <c r="B951" i="5"/>
  <c r="C951" i="5"/>
  <c r="A950" i="5"/>
  <c r="B950" i="5"/>
  <c r="C950" i="5"/>
  <c r="A949" i="5"/>
  <c r="B949" i="5"/>
  <c r="C949" i="5"/>
  <c r="A948" i="5"/>
  <c r="B948" i="5"/>
  <c r="C948" i="5"/>
  <c r="A947" i="5"/>
  <c r="B947" i="5"/>
  <c r="C947" i="5"/>
  <c r="A946" i="5"/>
  <c r="B946" i="5"/>
  <c r="C946" i="5"/>
  <c r="A945" i="5"/>
  <c r="B945" i="5"/>
  <c r="C945" i="5"/>
  <c r="A944" i="5"/>
  <c r="B944" i="5"/>
  <c r="C944" i="5"/>
  <c r="A943" i="5"/>
  <c r="B943" i="5"/>
  <c r="C943" i="5"/>
  <c r="A942" i="5"/>
  <c r="B942" i="5"/>
  <c r="C942" i="5"/>
  <c r="A941" i="5"/>
  <c r="B941" i="5"/>
  <c r="C941" i="5"/>
  <c r="A940" i="5"/>
  <c r="B940" i="5"/>
  <c r="C940" i="5"/>
  <c r="A939" i="5"/>
  <c r="B939" i="5"/>
  <c r="C939" i="5"/>
  <c r="A938" i="5"/>
  <c r="B938" i="5"/>
  <c r="C938" i="5"/>
  <c r="A937" i="5"/>
  <c r="B937" i="5"/>
  <c r="C937" i="5"/>
  <c r="A936" i="5"/>
  <c r="B936" i="5"/>
  <c r="C936" i="5"/>
  <c r="A935" i="5"/>
  <c r="B935" i="5"/>
  <c r="C935" i="5"/>
  <c r="A934" i="5"/>
  <c r="B934" i="5"/>
  <c r="C934" i="5"/>
  <c r="A933" i="5"/>
  <c r="B933" i="5"/>
  <c r="C933" i="5"/>
  <c r="A932" i="5"/>
  <c r="B932" i="5"/>
  <c r="C932" i="5"/>
  <c r="A931" i="5"/>
  <c r="B931" i="5"/>
  <c r="C931" i="5"/>
  <c r="A930" i="5"/>
  <c r="B930" i="5"/>
  <c r="C930" i="5"/>
  <c r="A929" i="5"/>
  <c r="B929" i="5"/>
  <c r="C929" i="5"/>
  <c r="A928" i="5"/>
  <c r="B928" i="5"/>
  <c r="C928" i="5"/>
  <c r="A927" i="5"/>
  <c r="B927" i="5"/>
  <c r="C927" i="5"/>
  <c r="A926" i="5"/>
  <c r="B926" i="5"/>
  <c r="C926" i="5"/>
  <c r="A925" i="5"/>
  <c r="B925" i="5"/>
  <c r="C925" i="5"/>
  <c r="A924" i="5"/>
  <c r="B924" i="5"/>
  <c r="C924" i="5"/>
  <c r="A923" i="5"/>
  <c r="B923" i="5"/>
  <c r="C923" i="5"/>
  <c r="A922" i="5"/>
  <c r="B922" i="5"/>
  <c r="C922" i="5"/>
  <c r="A921" i="5"/>
  <c r="B921" i="5"/>
  <c r="C921" i="5"/>
  <c r="A920" i="5"/>
  <c r="B920" i="5"/>
  <c r="C920" i="5"/>
  <c r="A919" i="5"/>
  <c r="B919" i="5"/>
  <c r="C919" i="5"/>
  <c r="A918" i="5"/>
  <c r="B918" i="5"/>
  <c r="C918" i="5"/>
  <c r="A917" i="5"/>
  <c r="B917" i="5"/>
  <c r="C917" i="5"/>
  <c r="A916" i="5"/>
  <c r="B916" i="5"/>
  <c r="C916" i="5"/>
  <c r="A915" i="5"/>
  <c r="B915" i="5"/>
  <c r="C915" i="5"/>
  <c r="A914" i="5"/>
  <c r="B914" i="5"/>
  <c r="C914" i="5"/>
  <c r="A913" i="5"/>
  <c r="B913" i="5"/>
  <c r="C913" i="5"/>
  <c r="A912" i="5"/>
  <c r="B912" i="5"/>
  <c r="C912" i="5"/>
  <c r="A911" i="5"/>
  <c r="B911" i="5"/>
  <c r="C911" i="5"/>
  <c r="A910" i="5"/>
  <c r="B910" i="5"/>
  <c r="C910" i="5"/>
  <c r="A909" i="5"/>
  <c r="B909" i="5"/>
  <c r="C909" i="5"/>
  <c r="A908" i="5"/>
  <c r="B908" i="5"/>
  <c r="C908" i="5"/>
  <c r="A907" i="5"/>
  <c r="B907" i="5"/>
  <c r="C907" i="5"/>
  <c r="A906" i="5"/>
  <c r="B906" i="5"/>
  <c r="C906" i="5"/>
  <c r="A905" i="5"/>
  <c r="B905" i="5"/>
  <c r="C905" i="5"/>
  <c r="A904" i="5"/>
  <c r="B904" i="5"/>
  <c r="C904" i="5"/>
  <c r="A903" i="5"/>
  <c r="B903" i="5"/>
  <c r="C903" i="5"/>
  <c r="A902" i="5"/>
  <c r="B902" i="5"/>
  <c r="C902" i="5"/>
  <c r="A901" i="5"/>
  <c r="B901" i="5"/>
  <c r="C901" i="5"/>
  <c r="A900" i="5"/>
  <c r="B900" i="5"/>
  <c r="C900" i="5"/>
  <c r="A899" i="5"/>
  <c r="B899" i="5"/>
  <c r="C899" i="5"/>
  <c r="A898" i="5"/>
  <c r="B898" i="5"/>
  <c r="C898" i="5"/>
  <c r="A897" i="5"/>
  <c r="B897" i="5"/>
  <c r="C897" i="5"/>
  <c r="A896" i="5"/>
  <c r="B896" i="5"/>
  <c r="C896" i="5"/>
  <c r="A895" i="5"/>
  <c r="B895" i="5"/>
  <c r="C895" i="5"/>
  <c r="A894" i="5"/>
  <c r="B894" i="5"/>
  <c r="C894" i="5"/>
  <c r="A893" i="5"/>
  <c r="B893" i="5"/>
  <c r="C893" i="5"/>
  <c r="A892" i="5"/>
  <c r="B892" i="5"/>
  <c r="C892" i="5"/>
  <c r="A891" i="5"/>
  <c r="B891" i="5"/>
  <c r="C891" i="5"/>
  <c r="A890" i="5"/>
  <c r="B890" i="5"/>
  <c r="C890" i="5"/>
  <c r="A889" i="5"/>
  <c r="B889" i="5"/>
  <c r="C889" i="5"/>
  <c r="A888" i="5"/>
  <c r="B888" i="5"/>
  <c r="C888" i="5"/>
  <c r="A887" i="5"/>
  <c r="B887" i="5"/>
  <c r="C887" i="5"/>
  <c r="A886" i="5"/>
  <c r="B886" i="5"/>
  <c r="C886" i="5"/>
  <c r="A885" i="5"/>
  <c r="B885" i="5"/>
  <c r="C885" i="5"/>
  <c r="A884" i="5"/>
  <c r="B884" i="5"/>
  <c r="C884" i="5"/>
  <c r="A883" i="5"/>
  <c r="B883" i="5"/>
  <c r="C883" i="5"/>
  <c r="A882" i="5"/>
  <c r="B882" i="5"/>
  <c r="C882" i="5"/>
  <c r="A881" i="5"/>
  <c r="B881" i="5"/>
  <c r="C881" i="5"/>
  <c r="A880" i="5"/>
  <c r="B880" i="5"/>
  <c r="C880" i="5"/>
  <c r="A879" i="5"/>
  <c r="B879" i="5"/>
  <c r="C879" i="5"/>
  <c r="A878" i="5"/>
  <c r="B878" i="5"/>
  <c r="C878" i="5"/>
  <c r="A877" i="5"/>
  <c r="B877" i="5"/>
  <c r="C877" i="5"/>
  <c r="A876" i="5"/>
  <c r="B876" i="5"/>
  <c r="C876" i="5"/>
  <c r="A875" i="5"/>
  <c r="B875" i="5"/>
  <c r="C875" i="5"/>
  <c r="A874" i="5"/>
  <c r="B874" i="5"/>
  <c r="C874" i="5"/>
  <c r="A873" i="5"/>
  <c r="B873" i="5"/>
  <c r="C873" i="5"/>
  <c r="A872" i="5"/>
  <c r="B872" i="5"/>
  <c r="C872" i="5"/>
  <c r="A871" i="5"/>
  <c r="B871" i="5"/>
  <c r="C871" i="5"/>
  <c r="A870" i="5"/>
  <c r="B870" i="5"/>
  <c r="C870" i="5"/>
  <c r="A869" i="5"/>
  <c r="B869" i="5"/>
  <c r="C869" i="5"/>
  <c r="A868" i="5"/>
  <c r="B868" i="5"/>
  <c r="C868" i="5"/>
  <c r="A867" i="5"/>
  <c r="B867" i="5"/>
  <c r="C867" i="5"/>
  <c r="A866" i="5"/>
  <c r="B866" i="5"/>
  <c r="C866" i="5"/>
  <c r="A865" i="5"/>
  <c r="B865" i="5"/>
  <c r="C865" i="5"/>
  <c r="A864" i="5"/>
  <c r="B864" i="5"/>
  <c r="C864" i="5"/>
  <c r="A863" i="5"/>
  <c r="B863" i="5"/>
  <c r="C863" i="5"/>
  <c r="A862" i="5"/>
  <c r="B862" i="5"/>
  <c r="C862" i="5"/>
  <c r="A861" i="5"/>
  <c r="B861" i="5"/>
  <c r="C861" i="5"/>
  <c r="A860" i="5"/>
  <c r="B860" i="5"/>
  <c r="C860" i="5"/>
  <c r="A859" i="5"/>
  <c r="B859" i="5"/>
  <c r="C859" i="5"/>
  <c r="A858" i="5"/>
  <c r="B858" i="5"/>
  <c r="C858" i="5"/>
  <c r="A857" i="5"/>
  <c r="B857" i="5"/>
  <c r="C857" i="5"/>
  <c r="A856" i="5"/>
  <c r="B856" i="5"/>
  <c r="C856" i="5"/>
  <c r="A855" i="5"/>
  <c r="B855" i="5"/>
  <c r="C855" i="5"/>
  <c r="A854" i="5"/>
  <c r="B854" i="5"/>
  <c r="C854" i="5"/>
  <c r="A853" i="5"/>
  <c r="B853" i="5"/>
  <c r="C853" i="5"/>
  <c r="A852" i="5"/>
  <c r="B852" i="5"/>
  <c r="C852" i="5"/>
  <c r="A851" i="5"/>
  <c r="B851" i="5"/>
  <c r="C851" i="5"/>
  <c r="A850" i="5"/>
  <c r="B850" i="5"/>
  <c r="C850" i="5"/>
  <c r="A849" i="5"/>
  <c r="B849" i="5"/>
  <c r="C849" i="5"/>
  <c r="A848" i="5"/>
  <c r="B848" i="5"/>
  <c r="C848" i="5"/>
  <c r="A847" i="5"/>
  <c r="B847" i="5"/>
  <c r="C847" i="5"/>
  <c r="A846" i="5"/>
  <c r="B846" i="5"/>
  <c r="C846" i="5"/>
  <c r="A845" i="5"/>
  <c r="B845" i="5"/>
  <c r="C845" i="5"/>
  <c r="A844" i="5"/>
  <c r="B844" i="5"/>
  <c r="C844" i="5"/>
  <c r="A843" i="5"/>
  <c r="B843" i="5"/>
  <c r="C843" i="5"/>
  <c r="A842" i="5"/>
  <c r="B842" i="5"/>
  <c r="C842" i="5"/>
  <c r="A841" i="5"/>
  <c r="B841" i="5"/>
  <c r="C841" i="5"/>
  <c r="A840" i="5"/>
  <c r="B840" i="5"/>
  <c r="C840" i="5"/>
  <c r="A839" i="5"/>
  <c r="B839" i="5"/>
  <c r="C839" i="5"/>
  <c r="A838" i="5"/>
  <c r="B838" i="5"/>
  <c r="C838" i="5"/>
  <c r="A837" i="5"/>
  <c r="B837" i="5"/>
  <c r="C837" i="5"/>
  <c r="A836" i="5"/>
  <c r="B836" i="5"/>
  <c r="C836" i="5"/>
  <c r="A835" i="5"/>
  <c r="B835" i="5"/>
  <c r="C835" i="5"/>
  <c r="A834" i="5"/>
  <c r="B834" i="5"/>
  <c r="C834" i="5"/>
  <c r="A833" i="5"/>
  <c r="B833" i="5"/>
  <c r="C833" i="5"/>
  <c r="A832" i="5"/>
  <c r="B832" i="5"/>
  <c r="C832" i="5"/>
  <c r="A831" i="5"/>
  <c r="B831" i="5"/>
  <c r="C831" i="5"/>
  <c r="A830" i="5"/>
  <c r="B830" i="5"/>
  <c r="C830" i="5"/>
  <c r="A829" i="5"/>
  <c r="B829" i="5"/>
  <c r="C829" i="5"/>
  <c r="A828" i="5"/>
  <c r="B828" i="5"/>
  <c r="C828" i="5"/>
  <c r="A827" i="5"/>
  <c r="B827" i="5"/>
  <c r="C827" i="5"/>
  <c r="A826" i="5"/>
  <c r="B826" i="5"/>
  <c r="C826" i="5"/>
  <c r="A825" i="5"/>
  <c r="B825" i="5"/>
  <c r="C825" i="5"/>
  <c r="A824" i="5"/>
  <c r="B824" i="5"/>
  <c r="C824" i="5"/>
  <c r="A823" i="5"/>
  <c r="B823" i="5"/>
  <c r="C823" i="5"/>
  <c r="A822" i="5"/>
  <c r="B822" i="5"/>
  <c r="C822" i="5"/>
  <c r="A821" i="5"/>
  <c r="B821" i="5"/>
  <c r="C821" i="5"/>
  <c r="A820" i="5"/>
  <c r="B820" i="5"/>
  <c r="C820" i="5"/>
  <c r="A819" i="5"/>
  <c r="B819" i="5"/>
  <c r="C819" i="5"/>
  <c r="A818" i="5"/>
  <c r="B818" i="5"/>
  <c r="C818" i="5"/>
  <c r="A817" i="5"/>
  <c r="B817" i="5"/>
  <c r="C817" i="5"/>
  <c r="A816" i="5"/>
  <c r="B816" i="5"/>
  <c r="C816" i="5"/>
  <c r="A815" i="5"/>
  <c r="B815" i="5"/>
  <c r="C815" i="5"/>
  <c r="A814" i="5"/>
  <c r="B814" i="5"/>
  <c r="C814" i="5"/>
  <c r="A813" i="5"/>
  <c r="B813" i="5"/>
  <c r="C813" i="5"/>
  <c r="A812" i="5"/>
  <c r="B812" i="5"/>
  <c r="C812" i="5"/>
  <c r="A811" i="5"/>
  <c r="B811" i="5"/>
  <c r="C811" i="5"/>
  <c r="A810" i="5"/>
  <c r="B810" i="5"/>
  <c r="C810" i="5"/>
  <c r="A809" i="5"/>
  <c r="B809" i="5"/>
  <c r="C809" i="5"/>
  <c r="A808" i="5"/>
  <c r="B808" i="5"/>
  <c r="C808" i="5"/>
  <c r="A807" i="5"/>
  <c r="B807" i="5"/>
  <c r="C807" i="5"/>
  <c r="A806" i="5"/>
  <c r="B806" i="5"/>
  <c r="C806" i="5"/>
  <c r="A805" i="5"/>
  <c r="B805" i="5"/>
  <c r="C805" i="5"/>
  <c r="A804" i="5"/>
  <c r="B804" i="5"/>
  <c r="C804" i="5"/>
  <c r="A803" i="5"/>
  <c r="B803" i="5"/>
  <c r="C803" i="5"/>
  <c r="A802" i="5"/>
  <c r="B802" i="5"/>
  <c r="C802" i="5"/>
  <c r="A801" i="5"/>
  <c r="B801" i="5"/>
  <c r="C801" i="5"/>
  <c r="A800" i="5"/>
  <c r="B800" i="5"/>
  <c r="C800" i="5"/>
  <c r="A799" i="5"/>
  <c r="B799" i="5"/>
  <c r="C799" i="5"/>
  <c r="A798" i="5"/>
  <c r="B798" i="5"/>
  <c r="C798" i="5"/>
  <c r="A797" i="5"/>
  <c r="B797" i="5"/>
  <c r="C797" i="5"/>
  <c r="A796" i="5"/>
  <c r="B796" i="5"/>
  <c r="C796" i="5"/>
  <c r="A795" i="5"/>
  <c r="B795" i="5"/>
  <c r="C795" i="5"/>
  <c r="A794" i="5"/>
  <c r="B794" i="5"/>
  <c r="C794" i="5"/>
  <c r="A793" i="5"/>
  <c r="B793" i="5"/>
  <c r="C793" i="5"/>
  <c r="A792" i="5"/>
  <c r="B792" i="5"/>
  <c r="C792" i="5"/>
  <c r="A791" i="5"/>
  <c r="B791" i="5"/>
  <c r="C791" i="5"/>
  <c r="A790" i="5"/>
  <c r="B790" i="5"/>
  <c r="C790" i="5"/>
  <c r="A789" i="5"/>
  <c r="B789" i="5"/>
  <c r="C789" i="5"/>
  <c r="A788" i="5"/>
  <c r="B788" i="5"/>
  <c r="C788" i="5"/>
  <c r="A787" i="5"/>
  <c r="B787" i="5"/>
  <c r="C787" i="5"/>
  <c r="A786" i="5"/>
  <c r="B786" i="5"/>
  <c r="C786" i="5"/>
  <c r="A785" i="5"/>
  <c r="B785" i="5"/>
  <c r="C785" i="5"/>
  <c r="A784" i="5"/>
  <c r="B784" i="5"/>
  <c r="C784" i="5"/>
  <c r="A783" i="5"/>
  <c r="B783" i="5"/>
  <c r="C783" i="5"/>
  <c r="A782" i="5"/>
  <c r="B782" i="5"/>
  <c r="C782" i="5"/>
  <c r="A781" i="5"/>
  <c r="B781" i="5"/>
  <c r="C781" i="5"/>
  <c r="A780" i="5"/>
  <c r="B780" i="5"/>
  <c r="C780" i="5"/>
  <c r="A779" i="5"/>
  <c r="B779" i="5"/>
  <c r="C779" i="5"/>
  <c r="A778" i="5"/>
  <c r="B778" i="5"/>
  <c r="C778" i="5"/>
  <c r="A777" i="5"/>
  <c r="B777" i="5"/>
  <c r="C777" i="5"/>
  <c r="A776" i="5"/>
  <c r="B776" i="5"/>
  <c r="C776" i="5"/>
  <c r="A775" i="5"/>
  <c r="B775" i="5"/>
  <c r="C775" i="5"/>
  <c r="A774" i="5"/>
  <c r="B774" i="5"/>
  <c r="C774" i="5"/>
  <c r="A773" i="5"/>
  <c r="B773" i="5"/>
  <c r="C773" i="5"/>
  <c r="A772" i="5"/>
  <c r="B772" i="5"/>
  <c r="C772" i="5"/>
  <c r="A771" i="5"/>
  <c r="B771" i="5"/>
  <c r="C771" i="5"/>
  <c r="A770" i="5"/>
  <c r="B770" i="5"/>
  <c r="C770" i="5"/>
  <c r="A769" i="5"/>
  <c r="B769" i="5"/>
  <c r="C769" i="5"/>
  <c r="A768" i="5"/>
  <c r="B768" i="5"/>
  <c r="C768" i="5"/>
  <c r="A767" i="5"/>
  <c r="B767" i="5"/>
  <c r="C767" i="5"/>
  <c r="A766" i="5"/>
  <c r="B766" i="5"/>
  <c r="C766" i="5"/>
  <c r="A765" i="5"/>
  <c r="B765" i="5"/>
  <c r="C765" i="5"/>
  <c r="A764" i="5"/>
  <c r="B764" i="5"/>
  <c r="C764" i="5"/>
  <c r="A763" i="5"/>
  <c r="B763" i="5"/>
  <c r="C763" i="5"/>
  <c r="A762" i="5"/>
  <c r="B762" i="5"/>
  <c r="C762" i="5"/>
  <c r="A761" i="5"/>
  <c r="B761" i="5"/>
  <c r="C761" i="5"/>
  <c r="A760" i="5"/>
  <c r="B760" i="5"/>
  <c r="C760" i="5"/>
  <c r="A759" i="5"/>
  <c r="B759" i="5"/>
  <c r="C759" i="5"/>
  <c r="A758" i="5"/>
  <c r="B758" i="5"/>
  <c r="C758" i="5"/>
  <c r="A757" i="5"/>
  <c r="B757" i="5"/>
  <c r="C757" i="5"/>
  <c r="A756" i="5"/>
  <c r="B756" i="5"/>
  <c r="C756" i="5"/>
  <c r="A755" i="5"/>
  <c r="B755" i="5"/>
  <c r="C755" i="5"/>
  <c r="A754" i="5"/>
  <c r="B754" i="5"/>
  <c r="C754" i="5"/>
  <c r="A753" i="5"/>
  <c r="B753" i="5"/>
  <c r="C753" i="5"/>
  <c r="A752" i="5"/>
  <c r="B752" i="5"/>
  <c r="C752" i="5"/>
  <c r="A751" i="5"/>
  <c r="B751" i="5"/>
  <c r="C751" i="5"/>
  <c r="A750" i="5"/>
  <c r="B750" i="5"/>
  <c r="C750" i="5"/>
  <c r="A749" i="5"/>
  <c r="B749" i="5"/>
  <c r="C749" i="5"/>
  <c r="A748" i="5"/>
  <c r="B748" i="5"/>
  <c r="C748" i="5"/>
  <c r="A747" i="5"/>
  <c r="B747" i="5"/>
  <c r="C747" i="5"/>
  <c r="A746" i="5"/>
  <c r="B746" i="5"/>
  <c r="C746" i="5"/>
  <c r="A745" i="5"/>
  <c r="B745" i="5"/>
  <c r="C745" i="5"/>
  <c r="A744" i="5"/>
  <c r="B744" i="5"/>
  <c r="C744" i="5"/>
  <c r="A743" i="5"/>
  <c r="B743" i="5"/>
  <c r="C743" i="5"/>
  <c r="A742" i="5"/>
  <c r="B742" i="5"/>
  <c r="C742" i="5"/>
  <c r="A741" i="5"/>
  <c r="B741" i="5"/>
  <c r="C741" i="5"/>
  <c r="A740" i="5"/>
  <c r="B740" i="5"/>
  <c r="C740" i="5"/>
  <c r="A739" i="5"/>
  <c r="B739" i="5"/>
  <c r="C739" i="5"/>
  <c r="A738" i="5"/>
  <c r="B738" i="5"/>
  <c r="C738" i="5"/>
  <c r="A737" i="5"/>
  <c r="B737" i="5"/>
  <c r="C737" i="5"/>
  <c r="A736" i="5"/>
  <c r="B736" i="5"/>
  <c r="C736" i="5"/>
  <c r="A735" i="5"/>
  <c r="B735" i="5"/>
  <c r="C735" i="5"/>
  <c r="A734" i="5"/>
  <c r="B734" i="5"/>
  <c r="C734" i="5"/>
  <c r="A733" i="5"/>
  <c r="B733" i="5"/>
  <c r="C733" i="5"/>
  <c r="A732" i="5"/>
  <c r="B732" i="5"/>
  <c r="C732" i="5"/>
  <c r="A731" i="5"/>
  <c r="B731" i="5"/>
  <c r="C731" i="5"/>
  <c r="A730" i="5"/>
  <c r="B730" i="5"/>
  <c r="C730" i="5"/>
  <c r="A729" i="5"/>
  <c r="B729" i="5"/>
  <c r="C729" i="5"/>
  <c r="A728" i="5"/>
  <c r="B728" i="5"/>
  <c r="C728" i="5"/>
  <c r="A727" i="5"/>
  <c r="B727" i="5"/>
  <c r="C727" i="5"/>
  <c r="A726" i="5"/>
  <c r="B726" i="5"/>
  <c r="C726" i="5"/>
  <c r="A725" i="5"/>
  <c r="B725" i="5"/>
  <c r="C725" i="5"/>
  <c r="A724" i="5"/>
  <c r="B724" i="5"/>
  <c r="C724" i="5"/>
  <c r="A723" i="5"/>
  <c r="B723" i="5"/>
  <c r="C723" i="5"/>
  <c r="A722" i="5"/>
  <c r="B722" i="5"/>
  <c r="C722" i="5"/>
  <c r="A721" i="5"/>
  <c r="B721" i="5"/>
  <c r="C721" i="5"/>
  <c r="A720" i="5"/>
  <c r="B720" i="5"/>
  <c r="C720" i="5"/>
  <c r="A719" i="5"/>
  <c r="B719" i="5"/>
  <c r="C719" i="5"/>
  <c r="A718" i="5"/>
  <c r="B718" i="5"/>
  <c r="C718" i="5"/>
  <c r="A717" i="5"/>
  <c r="B717" i="5"/>
  <c r="C717" i="5"/>
  <c r="A716" i="5"/>
  <c r="B716" i="5"/>
  <c r="C716" i="5"/>
  <c r="A715" i="5"/>
  <c r="B715" i="5"/>
  <c r="C715" i="5"/>
  <c r="A714" i="5"/>
  <c r="B714" i="5"/>
  <c r="C714" i="5"/>
  <c r="A713" i="5"/>
  <c r="B713" i="5"/>
  <c r="C713" i="5"/>
  <c r="A712" i="5"/>
  <c r="B712" i="5"/>
  <c r="C712" i="5"/>
  <c r="A711" i="5"/>
  <c r="B711" i="5"/>
  <c r="C711" i="5"/>
  <c r="A710" i="5"/>
  <c r="B710" i="5"/>
  <c r="C710" i="5"/>
  <c r="A709" i="5"/>
  <c r="B709" i="5"/>
  <c r="C709" i="5"/>
  <c r="A708" i="5"/>
  <c r="B708" i="5"/>
  <c r="C708" i="5"/>
  <c r="A707" i="5"/>
  <c r="B707" i="5"/>
  <c r="C707" i="5"/>
  <c r="A706" i="5"/>
  <c r="B706" i="5"/>
  <c r="C706" i="5"/>
  <c r="A705" i="5"/>
  <c r="B705" i="5"/>
  <c r="C705" i="5"/>
  <c r="A704" i="5"/>
  <c r="B704" i="5"/>
  <c r="C704" i="5"/>
  <c r="A703" i="5"/>
  <c r="B703" i="5"/>
  <c r="C703" i="5"/>
  <c r="A702" i="5"/>
  <c r="B702" i="5"/>
  <c r="C702" i="5"/>
  <c r="A701" i="5"/>
  <c r="B701" i="5"/>
  <c r="C701" i="5"/>
  <c r="A700" i="5"/>
  <c r="B700" i="5"/>
  <c r="C700" i="5"/>
  <c r="A699" i="5"/>
  <c r="B699" i="5"/>
  <c r="C699" i="5"/>
  <c r="A698" i="5"/>
  <c r="B698" i="5"/>
  <c r="C698" i="5"/>
  <c r="A697" i="5"/>
  <c r="B697" i="5"/>
  <c r="C697" i="5"/>
  <c r="A696" i="5"/>
  <c r="B696" i="5"/>
  <c r="C696" i="5"/>
  <c r="A695" i="5"/>
  <c r="B695" i="5"/>
  <c r="C695" i="5"/>
  <c r="A694" i="5"/>
  <c r="B694" i="5"/>
  <c r="C694" i="5"/>
  <c r="A693" i="5"/>
  <c r="B693" i="5"/>
  <c r="C693" i="5"/>
  <c r="A692" i="5"/>
  <c r="B692" i="5"/>
  <c r="C692" i="5"/>
  <c r="A691" i="5"/>
  <c r="B691" i="5"/>
  <c r="C691" i="5"/>
  <c r="A690" i="5"/>
  <c r="B690" i="5"/>
  <c r="C690" i="5"/>
  <c r="A689" i="5"/>
  <c r="B689" i="5"/>
  <c r="C689" i="5"/>
  <c r="A688" i="5"/>
  <c r="B688" i="5"/>
  <c r="C688" i="5"/>
  <c r="A687" i="5"/>
  <c r="B687" i="5"/>
  <c r="C687" i="5"/>
  <c r="A686" i="5"/>
  <c r="B686" i="5"/>
  <c r="C686" i="5"/>
  <c r="A685" i="5"/>
  <c r="B685" i="5"/>
  <c r="C685" i="5"/>
  <c r="A684" i="5"/>
  <c r="B684" i="5"/>
  <c r="C684" i="5"/>
  <c r="A683" i="5"/>
  <c r="B683" i="5"/>
  <c r="C683" i="5"/>
  <c r="A682" i="5"/>
  <c r="B682" i="5"/>
  <c r="C682" i="5"/>
  <c r="A681" i="5"/>
  <c r="B681" i="5"/>
  <c r="C681" i="5"/>
  <c r="A680" i="5"/>
  <c r="B680" i="5"/>
  <c r="C680" i="5"/>
  <c r="A679" i="5"/>
  <c r="B679" i="5"/>
  <c r="C679" i="5"/>
  <c r="A678" i="5"/>
  <c r="B678" i="5"/>
  <c r="C678" i="5"/>
  <c r="A677" i="5"/>
  <c r="B677" i="5"/>
  <c r="C677" i="5"/>
  <c r="A676" i="5"/>
  <c r="B676" i="5"/>
  <c r="C676" i="5"/>
  <c r="A675" i="5"/>
  <c r="B675" i="5"/>
  <c r="C675" i="5"/>
  <c r="A674" i="5"/>
  <c r="B674" i="5"/>
  <c r="C674" i="5"/>
  <c r="A673" i="5"/>
  <c r="B673" i="5"/>
  <c r="C673" i="5"/>
  <c r="A672" i="5"/>
  <c r="B672" i="5"/>
  <c r="C672" i="5"/>
  <c r="A671" i="5"/>
  <c r="B671" i="5"/>
  <c r="C671" i="5"/>
  <c r="A670" i="5"/>
  <c r="B670" i="5"/>
  <c r="C670" i="5"/>
  <c r="A669" i="5"/>
  <c r="B669" i="5"/>
  <c r="C669" i="5"/>
  <c r="A668" i="5"/>
  <c r="B668" i="5"/>
  <c r="C668" i="5"/>
  <c r="A667" i="5"/>
  <c r="B667" i="5"/>
  <c r="C667" i="5"/>
  <c r="A666" i="5"/>
  <c r="B666" i="5"/>
  <c r="C666" i="5"/>
  <c r="A665" i="5"/>
  <c r="B665" i="5"/>
  <c r="C665" i="5"/>
  <c r="A664" i="5"/>
  <c r="B664" i="5"/>
  <c r="C664" i="5"/>
  <c r="A663" i="5"/>
  <c r="B663" i="5"/>
  <c r="C663" i="5"/>
  <c r="A662" i="5"/>
  <c r="B662" i="5"/>
  <c r="C662" i="5"/>
  <c r="A661" i="5"/>
  <c r="B661" i="5"/>
  <c r="C661" i="5"/>
  <c r="A660" i="5"/>
  <c r="B660" i="5"/>
  <c r="C660" i="5"/>
  <c r="A659" i="5"/>
  <c r="B659" i="5"/>
  <c r="C659" i="5"/>
  <c r="A658" i="5"/>
  <c r="B658" i="5"/>
  <c r="C658" i="5"/>
  <c r="A657" i="5"/>
  <c r="B657" i="5"/>
  <c r="C657" i="5"/>
  <c r="A656" i="5"/>
  <c r="B656" i="5"/>
  <c r="C656" i="5"/>
  <c r="A655" i="5"/>
  <c r="B655" i="5"/>
  <c r="C655" i="5"/>
  <c r="A654" i="5"/>
  <c r="B654" i="5"/>
  <c r="C654" i="5"/>
  <c r="A653" i="5"/>
  <c r="B653" i="5"/>
  <c r="C653" i="5"/>
  <c r="A652" i="5"/>
  <c r="B652" i="5"/>
  <c r="C652" i="5"/>
  <c r="A651" i="5"/>
  <c r="B651" i="5"/>
  <c r="C651" i="5"/>
  <c r="A650" i="5"/>
  <c r="B650" i="5"/>
  <c r="C650" i="5"/>
  <c r="A649" i="5"/>
  <c r="B649" i="5"/>
  <c r="C649" i="5"/>
  <c r="A648" i="5"/>
  <c r="B648" i="5"/>
  <c r="C648" i="5"/>
  <c r="A647" i="5"/>
  <c r="B647" i="5"/>
  <c r="C647" i="5"/>
  <c r="A646" i="5"/>
  <c r="B646" i="5"/>
  <c r="C646" i="5"/>
  <c r="A645" i="5"/>
  <c r="B645" i="5"/>
  <c r="C645" i="5"/>
  <c r="A644" i="5"/>
  <c r="B644" i="5"/>
  <c r="C644" i="5"/>
  <c r="A643" i="5"/>
  <c r="B643" i="5"/>
  <c r="C643" i="5"/>
  <c r="A642" i="5"/>
  <c r="B642" i="5"/>
  <c r="C642" i="5"/>
  <c r="A641" i="5"/>
  <c r="B641" i="5"/>
  <c r="C641" i="5"/>
  <c r="A640" i="5"/>
  <c r="B640" i="5"/>
  <c r="C640" i="5"/>
  <c r="A639" i="5"/>
  <c r="B639" i="5"/>
  <c r="C639" i="5"/>
  <c r="A638" i="5"/>
  <c r="B638" i="5"/>
  <c r="C638" i="5"/>
  <c r="A637" i="5"/>
  <c r="B637" i="5"/>
  <c r="C637" i="5"/>
  <c r="A636" i="5"/>
  <c r="B636" i="5"/>
  <c r="C636" i="5"/>
  <c r="A635" i="5"/>
  <c r="B635" i="5"/>
  <c r="C635" i="5"/>
  <c r="A634" i="5"/>
  <c r="B634" i="5"/>
  <c r="C634" i="5"/>
  <c r="A633" i="5"/>
  <c r="B633" i="5"/>
  <c r="C633" i="5"/>
  <c r="A632" i="5"/>
  <c r="B632" i="5"/>
  <c r="C632" i="5"/>
  <c r="A631" i="5"/>
  <c r="B631" i="5"/>
  <c r="C631" i="5"/>
  <c r="A630" i="5"/>
  <c r="B630" i="5"/>
  <c r="C630" i="5"/>
  <c r="A629" i="5"/>
  <c r="B629" i="5"/>
  <c r="C629" i="5"/>
  <c r="A628" i="5"/>
  <c r="B628" i="5"/>
  <c r="C628" i="5"/>
  <c r="A627" i="5"/>
  <c r="B627" i="5"/>
  <c r="C627" i="5"/>
  <c r="A626" i="5"/>
  <c r="B626" i="5"/>
  <c r="C626" i="5"/>
  <c r="A625" i="5"/>
  <c r="B625" i="5"/>
  <c r="C625" i="5"/>
  <c r="A624" i="5"/>
  <c r="B624" i="5"/>
  <c r="C624" i="5"/>
  <c r="A623" i="5"/>
  <c r="B623" i="5"/>
  <c r="C623" i="5"/>
  <c r="A622" i="5"/>
  <c r="B622" i="5"/>
  <c r="C622" i="5"/>
  <c r="A621" i="5"/>
  <c r="B621" i="5"/>
  <c r="C621" i="5"/>
  <c r="A620" i="5"/>
  <c r="B620" i="5"/>
  <c r="C620" i="5"/>
  <c r="A619" i="5"/>
  <c r="B619" i="5"/>
  <c r="C619" i="5"/>
  <c r="A618" i="5"/>
  <c r="B618" i="5"/>
  <c r="C618" i="5"/>
  <c r="A617" i="5"/>
  <c r="B617" i="5"/>
  <c r="C617" i="5"/>
  <c r="A616" i="5"/>
  <c r="B616" i="5"/>
  <c r="C616" i="5"/>
  <c r="A615" i="5"/>
  <c r="B615" i="5"/>
  <c r="C615" i="5"/>
  <c r="A614" i="5"/>
  <c r="B614" i="5"/>
  <c r="C614" i="5"/>
  <c r="A613" i="5"/>
  <c r="B613" i="5"/>
  <c r="C613" i="5"/>
  <c r="A612" i="5"/>
  <c r="B612" i="5"/>
  <c r="C612" i="5"/>
  <c r="A611" i="5"/>
  <c r="B611" i="5"/>
  <c r="C611" i="5"/>
  <c r="A610" i="5"/>
  <c r="B610" i="5"/>
  <c r="C610" i="5"/>
  <c r="A609" i="5"/>
  <c r="B609" i="5"/>
  <c r="C609" i="5"/>
  <c r="A608" i="5"/>
  <c r="B608" i="5"/>
  <c r="C608" i="5"/>
  <c r="A607" i="5"/>
  <c r="B607" i="5"/>
  <c r="C607" i="5"/>
  <c r="A606" i="5"/>
  <c r="B606" i="5"/>
  <c r="C606" i="5"/>
  <c r="A605" i="5"/>
  <c r="B605" i="5"/>
  <c r="C605" i="5"/>
  <c r="A604" i="5"/>
  <c r="B604" i="5"/>
  <c r="C604" i="5"/>
  <c r="A603" i="5"/>
  <c r="B603" i="5"/>
  <c r="C603" i="5"/>
  <c r="A602" i="5"/>
  <c r="B602" i="5"/>
  <c r="C602" i="5"/>
  <c r="A601" i="5"/>
  <c r="B601" i="5"/>
  <c r="C601" i="5"/>
  <c r="A600" i="5"/>
  <c r="B600" i="5"/>
  <c r="C600" i="5"/>
  <c r="A599" i="5"/>
  <c r="B599" i="5"/>
  <c r="C599" i="5"/>
  <c r="A598" i="5"/>
  <c r="B598" i="5"/>
  <c r="C598" i="5"/>
  <c r="A597" i="5"/>
  <c r="B597" i="5"/>
  <c r="C597" i="5"/>
  <c r="A596" i="5"/>
  <c r="B596" i="5"/>
  <c r="C596" i="5"/>
  <c r="A595" i="5"/>
  <c r="B595" i="5"/>
  <c r="C595" i="5"/>
  <c r="A594" i="5"/>
  <c r="B594" i="5"/>
  <c r="C594" i="5"/>
  <c r="A593" i="5"/>
  <c r="B593" i="5"/>
  <c r="C593" i="5"/>
  <c r="A592" i="5"/>
  <c r="B592" i="5"/>
  <c r="C592" i="5"/>
  <c r="A591" i="5"/>
  <c r="B591" i="5"/>
  <c r="C591" i="5"/>
  <c r="A590" i="5"/>
  <c r="B590" i="5"/>
  <c r="C590" i="5"/>
  <c r="A589" i="5"/>
  <c r="B589" i="5"/>
  <c r="C589" i="5"/>
  <c r="A588" i="5"/>
  <c r="B588" i="5"/>
  <c r="C588" i="5"/>
  <c r="A587" i="5"/>
  <c r="B587" i="5"/>
  <c r="C587" i="5"/>
  <c r="A586" i="5"/>
  <c r="B586" i="5"/>
  <c r="C586" i="5"/>
  <c r="A585" i="5"/>
  <c r="B585" i="5"/>
  <c r="C585" i="5"/>
  <c r="A584" i="5"/>
  <c r="B584" i="5"/>
  <c r="C584" i="5"/>
  <c r="A583" i="5"/>
  <c r="B583" i="5"/>
  <c r="C583" i="5"/>
  <c r="A582" i="5"/>
  <c r="B582" i="5"/>
  <c r="C582" i="5"/>
  <c r="A581" i="5"/>
  <c r="B581" i="5"/>
  <c r="C581" i="5"/>
  <c r="A580" i="5"/>
  <c r="B580" i="5"/>
  <c r="C580" i="5"/>
  <c r="A579" i="5"/>
  <c r="B579" i="5"/>
  <c r="C579" i="5"/>
  <c r="A578" i="5"/>
  <c r="B578" i="5"/>
  <c r="C578" i="5"/>
  <c r="A577" i="5"/>
  <c r="B577" i="5"/>
  <c r="C577" i="5"/>
  <c r="A576" i="5"/>
  <c r="B576" i="5"/>
  <c r="C576" i="5"/>
  <c r="A575" i="5"/>
  <c r="B575" i="5"/>
  <c r="C575" i="5"/>
  <c r="A574" i="5"/>
  <c r="B574" i="5"/>
  <c r="C574" i="5"/>
  <c r="A573" i="5"/>
  <c r="B573" i="5"/>
  <c r="C573" i="5"/>
  <c r="A572" i="5"/>
  <c r="B572" i="5"/>
  <c r="C572" i="5"/>
  <c r="A571" i="5"/>
  <c r="B571" i="5"/>
  <c r="C571" i="5"/>
  <c r="A570" i="5"/>
  <c r="B570" i="5"/>
  <c r="C570" i="5"/>
  <c r="A569" i="5"/>
  <c r="B569" i="5"/>
  <c r="C569" i="5"/>
  <c r="A568" i="5"/>
  <c r="B568" i="5"/>
  <c r="C568" i="5"/>
  <c r="A567" i="5"/>
  <c r="B567" i="5"/>
  <c r="C567" i="5"/>
  <c r="A566" i="5"/>
  <c r="B566" i="5"/>
  <c r="C566" i="5"/>
  <c r="A565" i="5"/>
  <c r="B565" i="5"/>
  <c r="C565" i="5"/>
  <c r="A564" i="5"/>
  <c r="B564" i="5"/>
  <c r="C564" i="5"/>
  <c r="A563" i="5"/>
  <c r="B563" i="5"/>
  <c r="C563" i="5"/>
  <c r="A562" i="5"/>
  <c r="B562" i="5"/>
  <c r="C562" i="5"/>
  <c r="A561" i="5"/>
  <c r="B561" i="5"/>
  <c r="C561" i="5"/>
  <c r="A560" i="5"/>
  <c r="B560" i="5"/>
  <c r="C560" i="5"/>
  <c r="A559" i="5"/>
  <c r="B559" i="5"/>
  <c r="C559" i="5"/>
  <c r="A558" i="5"/>
  <c r="B558" i="5"/>
  <c r="C558" i="5"/>
  <c r="A557" i="5"/>
  <c r="B557" i="5"/>
  <c r="C557" i="5"/>
  <c r="A556" i="5"/>
  <c r="B556" i="5"/>
  <c r="C556" i="5"/>
  <c r="A555" i="5"/>
  <c r="B555" i="5"/>
  <c r="C555" i="5"/>
  <c r="A554" i="5"/>
  <c r="B554" i="5"/>
  <c r="C554" i="5"/>
  <c r="A553" i="5"/>
  <c r="B553" i="5"/>
  <c r="C553" i="5"/>
  <c r="A552" i="5"/>
  <c r="B552" i="5"/>
  <c r="C552" i="5"/>
  <c r="A551" i="5"/>
  <c r="B551" i="5"/>
  <c r="C551" i="5"/>
  <c r="A550" i="5"/>
  <c r="B550" i="5"/>
  <c r="C550" i="5"/>
  <c r="A549" i="5"/>
  <c r="B549" i="5"/>
  <c r="C549" i="5"/>
  <c r="A548" i="5"/>
  <c r="B548" i="5"/>
  <c r="C548" i="5"/>
  <c r="A547" i="5"/>
  <c r="B547" i="5"/>
  <c r="C547" i="5"/>
  <c r="A546" i="5"/>
  <c r="B546" i="5"/>
  <c r="C546" i="5"/>
  <c r="A545" i="5"/>
  <c r="B545" i="5"/>
  <c r="C545" i="5"/>
  <c r="A544" i="5"/>
  <c r="B544" i="5"/>
  <c r="C544" i="5"/>
  <c r="A543" i="5"/>
  <c r="B543" i="5"/>
  <c r="C543" i="5"/>
  <c r="A542" i="5"/>
  <c r="B542" i="5"/>
  <c r="C542" i="5"/>
  <c r="A541" i="5"/>
  <c r="B541" i="5"/>
  <c r="C541" i="5"/>
  <c r="A540" i="5"/>
  <c r="B540" i="5"/>
  <c r="C540" i="5"/>
  <c r="A539" i="5"/>
  <c r="B539" i="5"/>
  <c r="C539" i="5"/>
  <c r="A538" i="5"/>
  <c r="B538" i="5"/>
  <c r="C538" i="5"/>
  <c r="A537" i="5"/>
  <c r="B537" i="5"/>
  <c r="C537" i="5"/>
  <c r="A536" i="5"/>
  <c r="B536" i="5"/>
  <c r="C536" i="5"/>
  <c r="A535" i="5"/>
  <c r="B535" i="5"/>
  <c r="C535" i="5"/>
  <c r="A534" i="5"/>
  <c r="B534" i="5"/>
  <c r="C534" i="5"/>
  <c r="A533" i="5"/>
  <c r="B533" i="5"/>
  <c r="C533" i="5"/>
  <c r="A532" i="5"/>
  <c r="B532" i="5"/>
  <c r="C532" i="5"/>
  <c r="A531" i="5"/>
  <c r="B531" i="5"/>
  <c r="C531" i="5"/>
  <c r="A530" i="5"/>
  <c r="B530" i="5"/>
  <c r="C530" i="5"/>
  <c r="A529" i="5"/>
  <c r="B529" i="5"/>
  <c r="C529" i="5"/>
  <c r="A528" i="5"/>
  <c r="B528" i="5"/>
  <c r="C528" i="5"/>
  <c r="A527" i="5"/>
  <c r="B527" i="5"/>
  <c r="C527" i="5"/>
  <c r="A526" i="5"/>
  <c r="B526" i="5"/>
  <c r="C526" i="5"/>
  <c r="A525" i="5"/>
  <c r="B525" i="5"/>
  <c r="C525" i="5"/>
  <c r="A524" i="5"/>
  <c r="B524" i="5"/>
  <c r="C524" i="5"/>
  <c r="A523" i="5"/>
  <c r="B523" i="5"/>
  <c r="C523" i="5"/>
  <c r="A522" i="5"/>
  <c r="B522" i="5"/>
  <c r="C522" i="5"/>
  <c r="A521" i="5"/>
  <c r="B521" i="5"/>
  <c r="C521" i="5"/>
  <c r="A520" i="5"/>
  <c r="B520" i="5"/>
  <c r="C520" i="5"/>
  <c r="A519" i="5"/>
  <c r="B519" i="5"/>
  <c r="C519" i="5"/>
  <c r="A518" i="5"/>
  <c r="B518" i="5"/>
  <c r="C518" i="5"/>
  <c r="A517" i="5"/>
  <c r="B517" i="5"/>
  <c r="C517" i="5"/>
  <c r="A516" i="5"/>
  <c r="B516" i="5"/>
  <c r="C516" i="5"/>
  <c r="A515" i="5"/>
  <c r="B515" i="5"/>
  <c r="C515" i="5"/>
  <c r="A514" i="5"/>
  <c r="B514" i="5"/>
  <c r="C514" i="5"/>
  <c r="A513" i="5"/>
  <c r="B513" i="5"/>
  <c r="C513" i="5"/>
  <c r="A512" i="5"/>
  <c r="B512" i="5"/>
  <c r="C512" i="5"/>
  <c r="A511" i="5"/>
  <c r="B511" i="5"/>
  <c r="C511" i="5"/>
  <c r="A510" i="5"/>
  <c r="B510" i="5"/>
  <c r="C510" i="5"/>
  <c r="A509" i="5"/>
  <c r="B509" i="5"/>
  <c r="C509" i="5"/>
  <c r="A508" i="5"/>
  <c r="B508" i="5"/>
  <c r="C508" i="5"/>
  <c r="A507" i="5"/>
  <c r="B507" i="5"/>
  <c r="C507" i="5"/>
  <c r="A506" i="5"/>
  <c r="B506" i="5"/>
  <c r="C506" i="5"/>
  <c r="A505" i="5"/>
  <c r="B505" i="5"/>
  <c r="C505" i="5"/>
  <c r="A504" i="5"/>
  <c r="B504" i="5"/>
  <c r="C504" i="5"/>
  <c r="A503" i="5"/>
  <c r="B503" i="5"/>
  <c r="C503" i="5"/>
  <c r="A502" i="5"/>
  <c r="B502" i="5"/>
  <c r="C502" i="5"/>
  <c r="A501" i="5"/>
  <c r="B501" i="5"/>
  <c r="C501" i="5"/>
  <c r="A500" i="5"/>
  <c r="B500" i="5"/>
  <c r="C500" i="5"/>
  <c r="A499" i="5"/>
  <c r="B499" i="5"/>
  <c r="C499" i="5"/>
  <c r="A498" i="5"/>
  <c r="B498" i="5"/>
  <c r="C498" i="5"/>
  <c r="A497" i="5"/>
  <c r="B497" i="5"/>
  <c r="C497" i="5"/>
  <c r="A496" i="5"/>
  <c r="B496" i="5"/>
  <c r="C496" i="5"/>
  <c r="A495" i="5"/>
  <c r="B495" i="5"/>
  <c r="C495" i="5"/>
  <c r="A494" i="5"/>
  <c r="B494" i="5"/>
  <c r="C494" i="5"/>
  <c r="A493" i="5"/>
  <c r="B493" i="5"/>
  <c r="C493" i="5"/>
  <c r="A492" i="5"/>
  <c r="B492" i="5"/>
  <c r="C492" i="5"/>
  <c r="A491" i="5"/>
  <c r="B491" i="5"/>
  <c r="C491" i="5"/>
  <c r="A490" i="5"/>
  <c r="B490" i="5"/>
  <c r="C490" i="5"/>
  <c r="A489" i="5"/>
  <c r="B489" i="5"/>
  <c r="C489" i="5"/>
  <c r="A488" i="5"/>
  <c r="B488" i="5"/>
  <c r="C488" i="5"/>
  <c r="A487" i="5"/>
  <c r="B487" i="5"/>
  <c r="C487" i="5"/>
  <c r="A486" i="5"/>
  <c r="B486" i="5"/>
  <c r="C486" i="5"/>
  <c r="A485" i="5"/>
  <c r="B485" i="5"/>
  <c r="C485" i="5"/>
  <c r="A484" i="5"/>
  <c r="B484" i="5"/>
  <c r="C484" i="5"/>
  <c r="A483" i="5"/>
  <c r="B483" i="5"/>
  <c r="C483" i="5"/>
  <c r="A482" i="5"/>
  <c r="B482" i="5"/>
  <c r="C482" i="5"/>
  <c r="A481" i="5"/>
  <c r="B481" i="5"/>
  <c r="C481" i="5"/>
  <c r="A480" i="5"/>
  <c r="B480" i="5"/>
  <c r="C480" i="5"/>
  <c r="A479" i="5"/>
  <c r="B479" i="5"/>
  <c r="C479" i="5"/>
  <c r="A478" i="5"/>
  <c r="B478" i="5"/>
  <c r="C478" i="5"/>
  <c r="A477" i="5"/>
  <c r="B477" i="5"/>
  <c r="C477" i="5"/>
  <c r="A476" i="5"/>
  <c r="B476" i="5"/>
  <c r="C476" i="5"/>
  <c r="A475" i="5"/>
  <c r="B475" i="5"/>
  <c r="C475" i="5"/>
  <c r="A474" i="5"/>
  <c r="B474" i="5"/>
  <c r="C474" i="5"/>
  <c r="A473" i="5"/>
  <c r="B473" i="5"/>
  <c r="C473" i="5"/>
  <c r="A472" i="5"/>
  <c r="B472" i="5"/>
  <c r="C472" i="5"/>
  <c r="A471" i="5"/>
  <c r="B471" i="5"/>
  <c r="C471" i="5"/>
  <c r="A470" i="5"/>
  <c r="B470" i="5"/>
  <c r="C470" i="5"/>
  <c r="A469" i="5"/>
  <c r="B469" i="5"/>
  <c r="C469" i="5"/>
  <c r="A468" i="5"/>
  <c r="B468" i="5"/>
  <c r="C468" i="5"/>
  <c r="A467" i="5"/>
  <c r="B467" i="5"/>
  <c r="C467" i="5"/>
  <c r="A466" i="5"/>
  <c r="B466" i="5"/>
  <c r="C466" i="5"/>
  <c r="A465" i="5"/>
  <c r="B465" i="5"/>
  <c r="C465" i="5"/>
  <c r="A464" i="5"/>
  <c r="B464" i="5"/>
  <c r="C464" i="5"/>
  <c r="A463" i="5"/>
  <c r="B463" i="5"/>
  <c r="C463" i="5"/>
  <c r="A462" i="5"/>
  <c r="B462" i="5"/>
  <c r="C462" i="5"/>
  <c r="A461" i="5"/>
  <c r="B461" i="5"/>
  <c r="C461" i="5"/>
  <c r="A460" i="5"/>
  <c r="B460" i="5"/>
  <c r="C460" i="5"/>
  <c r="A459" i="5"/>
  <c r="B459" i="5"/>
  <c r="C459" i="5"/>
  <c r="A458" i="5"/>
  <c r="B458" i="5"/>
  <c r="C458" i="5"/>
  <c r="A457" i="5"/>
  <c r="B457" i="5"/>
  <c r="C457" i="5"/>
  <c r="A456" i="5"/>
  <c r="B456" i="5"/>
  <c r="C456" i="5"/>
  <c r="A455" i="5"/>
  <c r="B455" i="5"/>
  <c r="C455" i="5"/>
  <c r="A454" i="5"/>
  <c r="B454" i="5"/>
  <c r="C454" i="5"/>
  <c r="A453" i="5"/>
  <c r="B453" i="5"/>
  <c r="C453" i="5"/>
  <c r="A452" i="5"/>
  <c r="B452" i="5"/>
  <c r="C452" i="5"/>
  <c r="A451" i="5"/>
  <c r="B451" i="5"/>
  <c r="C451" i="5"/>
  <c r="A450" i="5"/>
  <c r="B450" i="5"/>
  <c r="C450" i="5"/>
  <c r="A449" i="5"/>
  <c r="B449" i="5"/>
  <c r="C449" i="5"/>
  <c r="A448" i="5"/>
  <c r="B448" i="5"/>
  <c r="C448" i="5"/>
  <c r="A447" i="5"/>
  <c r="B447" i="5"/>
  <c r="C447" i="5"/>
  <c r="A446" i="5"/>
  <c r="B446" i="5"/>
  <c r="C446" i="5"/>
  <c r="A445" i="5"/>
  <c r="B445" i="5"/>
  <c r="C445" i="5"/>
  <c r="A444" i="5"/>
  <c r="B444" i="5"/>
  <c r="C444" i="5"/>
  <c r="A443" i="5"/>
  <c r="B443" i="5"/>
  <c r="C443" i="5"/>
  <c r="A442" i="5"/>
  <c r="B442" i="5"/>
  <c r="C442" i="5"/>
  <c r="A441" i="5"/>
  <c r="B441" i="5"/>
  <c r="C441" i="5"/>
  <c r="A440" i="5"/>
  <c r="B440" i="5"/>
  <c r="C440" i="5"/>
  <c r="A439" i="5"/>
  <c r="B439" i="5"/>
  <c r="C439" i="5"/>
  <c r="A438" i="5"/>
  <c r="B438" i="5"/>
  <c r="C438" i="5"/>
  <c r="A437" i="5"/>
  <c r="B437" i="5"/>
  <c r="C437" i="5"/>
  <c r="A436" i="5"/>
  <c r="B436" i="5"/>
  <c r="C436" i="5"/>
  <c r="A435" i="5"/>
  <c r="B435" i="5"/>
  <c r="C435" i="5"/>
  <c r="A434" i="5"/>
  <c r="B434" i="5"/>
  <c r="C434" i="5"/>
  <c r="A433" i="5"/>
  <c r="B433" i="5"/>
  <c r="C433" i="5"/>
  <c r="A432" i="5"/>
  <c r="B432" i="5"/>
  <c r="C432" i="5"/>
  <c r="A431" i="5"/>
  <c r="B431" i="5"/>
  <c r="C431" i="5"/>
  <c r="A430" i="5"/>
  <c r="B430" i="5"/>
  <c r="C430" i="5"/>
  <c r="A429" i="5"/>
  <c r="B429" i="5"/>
  <c r="C429" i="5"/>
  <c r="A428" i="5"/>
  <c r="B428" i="5"/>
  <c r="C428" i="5"/>
  <c r="A427" i="5"/>
  <c r="B427" i="5"/>
  <c r="C427" i="5"/>
  <c r="A426" i="5"/>
  <c r="B426" i="5"/>
  <c r="C426" i="5"/>
  <c r="A425" i="5"/>
  <c r="B425" i="5"/>
  <c r="C425" i="5"/>
  <c r="A424" i="5"/>
  <c r="B424" i="5"/>
  <c r="C424" i="5"/>
  <c r="A423" i="5"/>
  <c r="B423" i="5"/>
  <c r="C423" i="5"/>
  <c r="A422" i="5"/>
  <c r="B422" i="5"/>
  <c r="C422" i="5"/>
  <c r="A421" i="5"/>
  <c r="B421" i="5"/>
  <c r="C421" i="5"/>
  <c r="A420" i="5"/>
  <c r="B420" i="5"/>
  <c r="C420" i="5"/>
  <c r="A419" i="5"/>
  <c r="B419" i="5"/>
  <c r="C419" i="5"/>
  <c r="A418" i="5"/>
  <c r="B418" i="5"/>
  <c r="C418" i="5"/>
  <c r="A417" i="5"/>
  <c r="B417" i="5"/>
  <c r="C417" i="5"/>
  <c r="A416" i="5"/>
  <c r="B416" i="5"/>
  <c r="C416" i="5"/>
  <c r="A415" i="5"/>
  <c r="B415" i="5"/>
  <c r="C415" i="5"/>
  <c r="A414" i="5"/>
  <c r="B414" i="5"/>
  <c r="C414" i="5"/>
  <c r="A413" i="5"/>
  <c r="B413" i="5"/>
  <c r="C413" i="5"/>
  <c r="A412" i="5"/>
  <c r="B412" i="5"/>
  <c r="C412" i="5"/>
  <c r="A411" i="5"/>
  <c r="B411" i="5"/>
  <c r="C411" i="5"/>
  <c r="A410" i="5"/>
  <c r="B410" i="5"/>
  <c r="C410" i="5"/>
  <c r="A409" i="5"/>
  <c r="B409" i="5"/>
  <c r="C409" i="5"/>
  <c r="A408" i="5"/>
  <c r="B408" i="5"/>
  <c r="C408" i="5"/>
  <c r="A407" i="5"/>
  <c r="B407" i="5"/>
  <c r="C407" i="5"/>
  <c r="A406" i="5"/>
  <c r="B406" i="5"/>
  <c r="C406" i="5"/>
  <c r="A405" i="5"/>
  <c r="B405" i="5"/>
  <c r="C405" i="5"/>
  <c r="A404" i="5"/>
  <c r="B404" i="5"/>
  <c r="C404" i="5"/>
  <c r="A403" i="5"/>
  <c r="B403" i="5"/>
  <c r="C403" i="5"/>
  <c r="A402" i="5"/>
  <c r="B402" i="5"/>
  <c r="C402" i="5"/>
  <c r="A401" i="5"/>
  <c r="B401" i="5"/>
  <c r="C401" i="5"/>
  <c r="A400" i="5"/>
  <c r="B400" i="5"/>
  <c r="C400" i="5"/>
  <c r="A399" i="5"/>
  <c r="B399" i="5"/>
  <c r="C399" i="5"/>
  <c r="A398" i="5"/>
  <c r="B398" i="5"/>
  <c r="C398" i="5"/>
  <c r="A397" i="5"/>
  <c r="B397" i="5"/>
  <c r="C397" i="5"/>
  <c r="A396" i="5"/>
  <c r="B396" i="5"/>
  <c r="C396" i="5"/>
  <c r="A395" i="5"/>
  <c r="B395" i="5"/>
  <c r="C395" i="5"/>
  <c r="A394" i="5"/>
  <c r="B394" i="5"/>
  <c r="C394" i="5"/>
  <c r="A393" i="5"/>
  <c r="B393" i="5"/>
  <c r="C393" i="5"/>
  <c r="A392" i="5"/>
  <c r="B392" i="5"/>
  <c r="C392" i="5"/>
  <c r="A391" i="5"/>
  <c r="B391" i="5"/>
  <c r="C391" i="5"/>
  <c r="A390" i="5"/>
  <c r="B390" i="5"/>
  <c r="C390" i="5"/>
  <c r="A389" i="5"/>
  <c r="B389" i="5"/>
  <c r="C389" i="5"/>
  <c r="A388" i="5"/>
  <c r="B388" i="5"/>
  <c r="C388" i="5"/>
  <c r="A387" i="5"/>
  <c r="B387" i="5"/>
  <c r="C387" i="5"/>
  <c r="A386" i="5"/>
  <c r="B386" i="5"/>
  <c r="C386" i="5"/>
  <c r="A385" i="5"/>
  <c r="B385" i="5"/>
  <c r="C385" i="5"/>
  <c r="A384" i="5"/>
  <c r="B384" i="5"/>
  <c r="C384" i="5"/>
  <c r="A383" i="5"/>
  <c r="B383" i="5"/>
  <c r="C383" i="5"/>
  <c r="A382" i="5"/>
  <c r="B382" i="5"/>
  <c r="C382" i="5"/>
  <c r="A381" i="5"/>
  <c r="B381" i="5"/>
  <c r="C381" i="5"/>
  <c r="A380" i="5"/>
  <c r="B380" i="5"/>
  <c r="C380" i="5"/>
  <c r="A379" i="5"/>
  <c r="B379" i="5"/>
  <c r="C379" i="5"/>
  <c r="A378" i="5"/>
  <c r="B378" i="5"/>
  <c r="C378" i="5"/>
  <c r="A377" i="5"/>
  <c r="B377" i="5"/>
  <c r="C377" i="5"/>
  <c r="A376" i="5"/>
  <c r="B376" i="5"/>
  <c r="C376" i="5"/>
  <c r="A375" i="5"/>
  <c r="B375" i="5"/>
  <c r="C375" i="5"/>
  <c r="A374" i="5"/>
  <c r="B374" i="5"/>
  <c r="C374" i="5"/>
  <c r="A373" i="5"/>
  <c r="B373" i="5"/>
  <c r="C373" i="5"/>
  <c r="A372" i="5"/>
  <c r="B372" i="5"/>
  <c r="C372" i="5"/>
  <c r="A371" i="5"/>
  <c r="B371" i="5"/>
  <c r="C371" i="5"/>
  <c r="A370" i="5"/>
  <c r="B370" i="5"/>
  <c r="C370" i="5"/>
  <c r="A369" i="5"/>
  <c r="B369" i="5"/>
  <c r="C369" i="5"/>
  <c r="A368" i="5"/>
  <c r="B368" i="5"/>
  <c r="C368" i="5"/>
  <c r="A367" i="5"/>
  <c r="B367" i="5"/>
  <c r="C367" i="5"/>
  <c r="A366" i="5"/>
  <c r="B366" i="5"/>
  <c r="C366" i="5"/>
  <c r="A365" i="5"/>
  <c r="B365" i="5"/>
  <c r="C365" i="5"/>
  <c r="A364" i="5"/>
  <c r="B364" i="5"/>
  <c r="C364" i="5"/>
  <c r="A363" i="5"/>
  <c r="B363" i="5"/>
  <c r="C363" i="5"/>
  <c r="A362" i="5"/>
  <c r="B362" i="5"/>
  <c r="C362" i="5"/>
  <c r="A361" i="5"/>
  <c r="B361" i="5"/>
  <c r="C361" i="5"/>
  <c r="A360" i="5"/>
  <c r="B360" i="5"/>
  <c r="C360" i="5"/>
  <c r="A359" i="5"/>
  <c r="B359" i="5"/>
  <c r="C359" i="5"/>
  <c r="A358" i="5"/>
  <c r="B358" i="5"/>
  <c r="C358" i="5"/>
  <c r="A357" i="5"/>
  <c r="B357" i="5"/>
  <c r="C357" i="5"/>
  <c r="A356" i="5"/>
  <c r="B356" i="5"/>
  <c r="C356" i="5"/>
  <c r="A355" i="5"/>
  <c r="B355" i="5"/>
  <c r="C355" i="5"/>
  <c r="A354" i="5"/>
  <c r="B354" i="5"/>
  <c r="C354" i="5"/>
  <c r="A353" i="5"/>
  <c r="B353" i="5"/>
  <c r="C353" i="5"/>
  <c r="A352" i="5"/>
  <c r="B352" i="5"/>
  <c r="C352" i="5"/>
  <c r="A351" i="5"/>
  <c r="B351" i="5"/>
  <c r="C351" i="5"/>
  <c r="A350" i="5"/>
  <c r="B350" i="5"/>
  <c r="C350" i="5"/>
  <c r="A349" i="5"/>
  <c r="B349" i="5"/>
  <c r="C349" i="5"/>
  <c r="A348" i="5"/>
  <c r="B348" i="5"/>
  <c r="C348" i="5"/>
  <c r="A347" i="5"/>
  <c r="B347" i="5"/>
  <c r="C347" i="5"/>
  <c r="A346" i="5"/>
  <c r="B346" i="5"/>
  <c r="C346" i="5"/>
  <c r="A345" i="5"/>
  <c r="B345" i="5"/>
  <c r="C345" i="5"/>
  <c r="A344" i="5"/>
  <c r="B344" i="5"/>
  <c r="C344" i="5"/>
  <c r="A343" i="5"/>
  <c r="B343" i="5"/>
  <c r="C343" i="5"/>
  <c r="A342" i="5"/>
  <c r="B342" i="5"/>
  <c r="C342" i="5"/>
  <c r="A341" i="5"/>
  <c r="B341" i="5"/>
  <c r="C341" i="5"/>
  <c r="A340" i="5"/>
  <c r="B340" i="5"/>
  <c r="C340" i="5"/>
  <c r="A339" i="5"/>
  <c r="B339" i="5"/>
  <c r="C339" i="5"/>
  <c r="A338" i="5"/>
  <c r="B338" i="5"/>
  <c r="C338" i="5"/>
  <c r="A337" i="5"/>
  <c r="B337" i="5"/>
  <c r="C337" i="5"/>
  <c r="A336" i="5"/>
  <c r="B336" i="5"/>
  <c r="C336" i="5"/>
  <c r="A335" i="5"/>
  <c r="B335" i="5"/>
  <c r="C335" i="5"/>
  <c r="A334" i="5"/>
  <c r="B334" i="5"/>
  <c r="C334" i="5"/>
  <c r="A333" i="5"/>
  <c r="B333" i="5"/>
  <c r="C333" i="5"/>
  <c r="A332" i="5"/>
  <c r="B332" i="5"/>
  <c r="C332" i="5"/>
  <c r="A331" i="5"/>
  <c r="B331" i="5"/>
  <c r="C331" i="5"/>
  <c r="A330" i="5"/>
  <c r="B330" i="5"/>
  <c r="C330" i="5"/>
  <c r="A329" i="5"/>
  <c r="B329" i="5"/>
  <c r="C329" i="5"/>
  <c r="A328" i="5"/>
  <c r="B328" i="5"/>
  <c r="C328" i="5"/>
  <c r="A327" i="5"/>
  <c r="B327" i="5"/>
  <c r="C327" i="5"/>
  <c r="A326" i="5"/>
  <c r="B326" i="5"/>
  <c r="C326" i="5"/>
  <c r="A325" i="5"/>
  <c r="B325" i="5"/>
  <c r="C325" i="5"/>
  <c r="A324" i="5"/>
  <c r="B324" i="5"/>
  <c r="C324" i="5"/>
  <c r="A323" i="5"/>
  <c r="B323" i="5"/>
  <c r="C323" i="5"/>
  <c r="A322" i="5"/>
  <c r="B322" i="5"/>
  <c r="C322" i="5"/>
  <c r="A321" i="5"/>
  <c r="B321" i="5"/>
  <c r="C321" i="5"/>
  <c r="A320" i="5"/>
  <c r="B320" i="5"/>
  <c r="C320" i="5"/>
  <c r="A319" i="5"/>
  <c r="B319" i="5"/>
  <c r="C319" i="5"/>
  <c r="A318" i="5"/>
  <c r="B318" i="5"/>
  <c r="C318" i="5"/>
  <c r="A317" i="5"/>
  <c r="B317" i="5"/>
  <c r="C317" i="5"/>
  <c r="A316" i="5"/>
  <c r="B316" i="5"/>
  <c r="C316" i="5"/>
  <c r="A315" i="5"/>
  <c r="B315" i="5"/>
  <c r="C315" i="5"/>
  <c r="A314" i="5"/>
  <c r="B314" i="5"/>
  <c r="C314" i="5"/>
  <c r="A313" i="5"/>
  <c r="B313" i="5"/>
  <c r="C313" i="5"/>
  <c r="A312" i="5"/>
  <c r="B312" i="5"/>
  <c r="C312" i="5"/>
  <c r="A311" i="5"/>
  <c r="B311" i="5"/>
  <c r="C311" i="5"/>
  <c r="A310" i="5"/>
  <c r="B310" i="5"/>
  <c r="C310" i="5"/>
  <c r="A309" i="5"/>
  <c r="B309" i="5"/>
  <c r="C309" i="5"/>
  <c r="A308" i="5"/>
  <c r="B308" i="5"/>
  <c r="C308" i="5"/>
  <c r="A307" i="5"/>
  <c r="B307" i="5"/>
  <c r="C307" i="5"/>
  <c r="A306" i="5"/>
  <c r="B306" i="5"/>
  <c r="C306" i="5"/>
  <c r="A305" i="5"/>
  <c r="B305" i="5"/>
  <c r="C305" i="5"/>
  <c r="A304" i="5"/>
  <c r="B304" i="5"/>
  <c r="C304" i="5"/>
  <c r="A303" i="5"/>
  <c r="B303" i="5"/>
  <c r="C303" i="5"/>
  <c r="A302" i="5"/>
  <c r="B302" i="5"/>
  <c r="C302" i="5"/>
  <c r="A301" i="5"/>
  <c r="B301" i="5"/>
  <c r="C301" i="5"/>
  <c r="A300" i="5"/>
  <c r="B300" i="5"/>
  <c r="C300" i="5"/>
  <c r="A299" i="5"/>
  <c r="B299" i="5"/>
  <c r="C299" i="5"/>
  <c r="A298" i="5"/>
  <c r="B298" i="5"/>
  <c r="C298" i="5"/>
  <c r="A297" i="5"/>
  <c r="B297" i="5"/>
  <c r="C297" i="5"/>
  <c r="A296" i="5"/>
  <c r="B296" i="5"/>
  <c r="C296" i="5"/>
  <c r="A295" i="5"/>
  <c r="B295" i="5"/>
  <c r="C295" i="5"/>
  <c r="A294" i="5"/>
  <c r="B294" i="5"/>
  <c r="C294" i="5"/>
  <c r="A293" i="5"/>
  <c r="B293" i="5"/>
  <c r="C293" i="5"/>
  <c r="A292" i="5"/>
  <c r="B292" i="5"/>
  <c r="C292" i="5"/>
  <c r="A291" i="5"/>
  <c r="B291" i="5"/>
  <c r="C291" i="5"/>
  <c r="A290" i="5"/>
  <c r="B290" i="5"/>
  <c r="C290" i="5"/>
  <c r="A289" i="5"/>
  <c r="B289" i="5"/>
  <c r="C289" i="5"/>
  <c r="A288" i="5"/>
  <c r="B288" i="5"/>
  <c r="C288" i="5"/>
  <c r="A287" i="5"/>
  <c r="B287" i="5"/>
  <c r="C287" i="5"/>
  <c r="A286" i="5"/>
  <c r="B286" i="5"/>
  <c r="C286" i="5"/>
  <c r="A285" i="5"/>
  <c r="B285" i="5"/>
  <c r="C285" i="5"/>
  <c r="A284" i="5"/>
  <c r="B284" i="5"/>
  <c r="C284" i="5"/>
  <c r="A283" i="5"/>
  <c r="B283" i="5"/>
  <c r="C283" i="5"/>
  <c r="A282" i="5"/>
  <c r="B282" i="5"/>
  <c r="C282" i="5"/>
  <c r="A281" i="5"/>
  <c r="B281" i="5"/>
  <c r="C281" i="5"/>
  <c r="A280" i="5"/>
  <c r="B280" i="5"/>
  <c r="C280" i="5"/>
  <c r="A279" i="5"/>
  <c r="B279" i="5"/>
  <c r="C279" i="5"/>
  <c r="A278" i="5"/>
  <c r="B278" i="5"/>
  <c r="C278" i="5"/>
  <c r="A277" i="5"/>
  <c r="B277" i="5"/>
  <c r="C277" i="5"/>
  <c r="A276" i="5"/>
  <c r="B276" i="5"/>
  <c r="C276" i="5"/>
  <c r="A275" i="5"/>
  <c r="B275" i="5"/>
  <c r="C275" i="5"/>
  <c r="A274" i="5"/>
  <c r="B274" i="5"/>
  <c r="C274" i="5"/>
  <c r="A273" i="5"/>
  <c r="B273" i="5"/>
  <c r="C273" i="5"/>
  <c r="A272" i="5"/>
  <c r="B272" i="5"/>
  <c r="C272" i="5"/>
  <c r="A271" i="5"/>
  <c r="B271" i="5"/>
  <c r="C271" i="5"/>
  <c r="A270" i="5"/>
  <c r="B270" i="5"/>
  <c r="C270" i="5"/>
  <c r="A269" i="5"/>
  <c r="B269" i="5"/>
  <c r="C269" i="5"/>
  <c r="A268" i="5"/>
  <c r="B268" i="5"/>
  <c r="C268" i="5"/>
  <c r="A267" i="5"/>
  <c r="B267" i="5"/>
  <c r="C267" i="5"/>
  <c r="A266" i="5"/>
  <c r="B266" i="5"/>
  <c r="C266" i="5"/>
  <c r="A265" i="5"/>
  <c r="B265" i="5"/>
  <c r="C265" i="5"/>
  <c r="A264" i="5"/>
  <c r="B264" i="5"/>
  <c r="C264" i="5"/>
  <c r="A263" i="5"/>
  <c r="B263" i="5"/>
  <c r="C263" i="5"/>
  <c r="A262" i="5"/>
  <c r="B262" i="5"/>
  <c r="C262" i="5"/>
  <c r="A261" i="5"/>
  <c r="B261" i="5"/>
  <c r="C261" i="5"/>
  <c r="A260" i="5"/>
  <c r="B260" i="5"/>
  <c r="C260" i="5"/>
  <c r="A259" i="5"/>
  <c r="B259" i="5"/>
  <c r="C259" i="5"/>
  <c r="A258" i="5"/>
  <c r="B258" i="5"/>
  <c r="C258" i="5"/>
  <c r="A257" i="5"/>
  <c r="B257" i="5"/>
  <c r="C257" i="5"/>
  <c r="A256" i="5"/>
  <c r="B256" i="5"/>
  <c r="C256" i="5"/>
  <c r="A255" i="5"/>
  <c r="B255" i="5"/>
  <c r="C255" i="5"/>
  <c r="A254" i="5"/>
  <c r="B254" i="5"/>
  <c r="C254" i="5"/>
  <c r="A253" i="5"/>
  <c r="B253" i="5"/>
  <c r="C253" i="5"/>
  <c r="A252" i="5"/>
  <c r="B252" i="5"/>
  <c r="C252" i="5"/>
  <c r="A251" i="5"/>
  <c r="B251" i="5"/>
  <c r="C251" i="5"/>
  <c r="A250" i="5"/>
  <c r="B250" i="5"/>
  <c r="C250" i="5"/>
  <c r="A249" i="5"/>
  <c r="B249" i="5"/>
  <c r="C249" i="5"/>
  <c r="A248" i="5"/>
  <c r="B248" i="5"/>
  <c r="C248" i="5"/>
  <c r="A247" i="5"/>
  <c r="B247" i="5"/>
  <c r="C247" i="5"/>
  <c r="A246" i="5"/>
  <c r="B246" i="5"/>
  <c r="C246" i="5"/>
  <c r="A245" i="5"/>
  <c r="B245" i="5"/>
  <c r="C245" i="5"/>
  <c r="A244" i="5"/>
  <c r="B244" i="5"/>
  <c r="C244" i="5"/>
  <c r="A243" i="5"/>
  <c r="B243" i="5"/>
  <c r="C243" i="5"/>
  <c r="A242" i="5"/>
  <c r="B242" i="5"/>
  <c r="C242" i="5"/>
  <c r="A241" i="5"/>
  <c r="B241" i="5"/>
  <c r="C241" i="5"/>
  <c r="A240" i="5"/>
  <c r="B240" i="5"/>
  <c r="C240" i="5"/>
  <c r="A239" i="5"/>
  <c r="B239" i="5"/>
  <c r="C239" i="5"/>
  <c r="A238" i="5"/>
  <c r="B238" i="5"/>
  <c r="C238" i="5"/>
  <c r="A237" i="5"/>
  <c r="B237" i="5"/>
  <c r="C237" i="5"/>
  <c r="A236" i="5"/>
  <c r="B236" i="5"/>
  <c r="C236" i="5"/>
  <c r="A235" i="5"/>
  <c r="B235" i="5"/>
  <c r="C235" i="5"/>
  <c r="A234" i="5"/>
  <c r="B234" i="5"/>
  <c r="C234" i="5"/>
  <c r="A233" i="5"/>
  <c r="B233" i="5"/>
  <c r="C233" i="5"/>
  <c r="A232" i="5"/>
  <c r="B232" i="5"/>
  <c r="C232" i="5"/>
  <c r="A231" i="5"/>
  <c r="B231" i="5"/>
  <c r="C231" i="5"/>
  <c r="A230" i="5"/>
  <c r="B230" i="5"/>
  <c r="C230" i="5"/>
  <c r="A229" i="5"/>
  <c r="B229" i="5"/>
  <c r="C229" i="5"/>
  <c r="A228" i="5"/>
  <c r="B228" i="5"/>
  <c r="C228" i="5"/>
  <c r="A227" i="5"/>
  <c r="B227" i="5"/>
  <c r="C227" i="5"/>
  <c r="A226" i="5"/>
  <c r="B226" i="5"/>
  <c r="C226" i="5"/>
  <c r="A225" i="5"/>
  <c r="B225" i="5"/>
  <c r="C225" i="5"/>
  <c r="A224" i="5"/>
  <c r="B224" i="5"/>
  <c r="C224" i="5"/>
  <c r="A223" i="5"/>
  <c r="B223" i="5"/>
  <c r="C223" i="5"/>
  <c r="A222" i="5"/>
  <c r="B222" i="5"/>
  <c r="C222" i="5"/>
  <c r="A221" i="5"/>
  <c r="B221" i="5"/>
  <c r="C221" i="5"/>
  <c r="A220" i="5"/>
  <c r="B220" i="5"/>
  <c r="C220" i="5"/>
  <c r="A219" i="5"/>
  <c r="B219" i="5"/>
  <c r="C219" i="5"/>
  <c r="A218" i="5"/>
  <c r="B218" i="5"/>
  <c r="C218" i="5"/>
  <c r="A217" i="5"/>
  <c r="B217" i="5"/>
  <c r="C217" i="5"/>
  <c r="A216" i="5"/>
  <c r="B216" i="5"/>
  <c r="C216" i="5"/>
  <c r="A215" i="5"/>
  <c r="B215" i="5"/>
  <c r="C215" i="5"/>
  <c r="A214" i="5"/>
  <c r="B214" i="5"/>
  <c r="C214" i="5"/>
  <c r="A213" i="5"/>
  <c r="B213" i="5"/>
  <c r="C213" i="5"/>
  <c r="A212" i="5"/>
  <c r="B212" i="5"/>
  <c r="C212" i="5"/>
  <c r="A211" i="5"/>
  <c r="B211" i="5"/>
  <c r="C211" i="5"/>
  <c r="A210" i="5"/>
  <c r="B210" i="5"/>
  <c r="C210" i="5"/>
  <c r="A209" i="5"/>
  <c r="B209" i="5"/>
  <c r="C209" i="5"/>
  <c r="A208" i="5"/>
  <c r="B208" i="5"/>
  <c r="C208" i="5"/>
  <c r="A207" i="5"/>
  <c r="B207" i="5"/>
  <c r="C207" i="5"/>
  <c r="A206" i="5"/>
  <c r="B206" i="5"/>
  <c r="C206" i="5"/>
  <c r="A205" i="5"/>
  <c r="B205" i="5"/>
  <c r="C205" i="5"/>
  <c r="A204" i="5"/>
  <c r="B204" i="5"/>
  <c r="C204" i="5"/>
  <c r="A203" i="5"/>
  <c r="B203" i="5"/>
  <c r="C203" i="5"/>
  <c r="A202" i="5"/>
  <c r="B202" i="5"/>
  <c r="C202" i="5"/>
  <c r="A201" i="5"/>
  <c r="B201" i="5"/>
  <c r="C201" i="5"/>
  <c r="A200" i="5"/>
  <c r="B200" i="5"/>
  <c r="C200" i="5"/>
  <c r="A199" i="5"/>
  <c r="B199" i="5"/>
  <c r="C199" i="5"/>
  <c r="A198" i="5"/>
  <c r="B198" i="5"/>
  <c r="C198" i="5"/>
  <c r="A197" i="5"/>
  <c r="B197" i="5"/>
  <c r="C197" i="5"/>
  <c r="A196" i="5"/>
  <c r="B196" i="5"/>
  <c r="C196" i="5"/>
  <c r="A195" i="5"/>
  <c r="B195" i="5"/>
  <c r="C195" i="5"/>
  <c r="A194" i="5"/>
  <c r="B194" i="5"/>
  <c r="C194" i="5"/>
  <c r="A193" i="5"/>
  <c r="B193" i="5"/>
  <c r="C193" i="5"/>
  <c r="A192" i="5"/>
  <c r="B192" i="5"/>
  <c r="C192" i="5"/>
  <c r="A191" i="5"/>
  <c r="B191" i="5"/>
  <c r="C191" i="5"/>
  <c r="A190" i="5"/>
  <c r="B190" i="5"/>
  <c r="C190" i="5"/>
  <c r="A189" i="5"/>
  <c r="B189" i="5"/>
  <c r="C189" i="5"/>
  <c r="A188" i="5"/>
  <c r="B188" i="5"/>
  <c r="C188" i="5"/>
  <c r="A187" i="5"/>
  <c r="B187" i="5"/>
  <c r="C187" i="5"/>
  <c r="A186" i="5"/>
  <c r="B186" i="5"/>
  <c r="C186" i="5"/>
  <c r="A185" i="5"/>
  <c r="B185" i="5"/>
  <c r="C185" i="5"/>
  <c r="A184" i="5"/>
  <c r="B184" i="5"/>
  <c r="C184" i="5"/>
  <c r="A183" i="5"/>
  <c r="B183" i="5"/>
  <c r="C183" i="5"/>
  <c r="A182" i="5"/>
  <c r="B182" i="5"/>
  <c r="C182" i="5"/>
  <c r="A181" i="5"/>
  <c r="B181" i="5"/>
  <c r="C181" i="5"/>
  <c r="A180" i="5"/>
  <c r="B180" i="5"/>
  <c r="C180" i="5"/>
  <c r="A179" i="5"/>
  <c r="B179" i="5"/>
  <c r="C179" i="5"/>
  <c r="A178" i="5"/>
  <c r="B178" i="5"/>
  <c r="C178" i="5"/>
  <c r="A177" i="5"/>
  <c r="B177" i="5"/>
  <c r="C177" i="5"/>
  <c r="A176" i="5"/>
  <c r="B176" i="5"/>
  <c r="C176" i="5"/>
  <c r="A175" i="5"/>
  <c r="B175" i="5"/>
  <c r="C175" i="5"/>
  <c r="A174" i="5"/>
  <c r="B174" i="5"/>
  <c r="C174" i="5"/>
  <c r="A173" i="5"/>
  <c r="B173" i="5"/>
  <c r="C173" i="5"/>
  <c r="A172" i="5"/>
  <c r="B172" i="5"/>
  <c r="C172" i="5"/>
  <c r="A171" i="5"/>
  <c r="B171" i="5"/>
  <c r="C171" i="5"/>
  <c r="A170" i="5"/>
  <c r="B170" i="5"/>
  <c r="C170" i="5"/>
  <c r="A169" i="5"/>
  <c r="B169" i="5"/>
  <c r="C169" i="5"/>
  <c r="A168" i="5"/>
  <c r="B168" i="5"/>
  <c r="C168" i="5"/>
  <c r="A167" i="5"/>
  <c r="B167" i="5"/>
  <c r="C167" i="5"/>
  <c r="A166" i="5"/>
  <c r="B166" i="5"/>
  <c r="C166" i="5"/>
  <c r="A165" i="5"/>
  <c r="B165" i="5"/>
  <c r="C165" i="5"/>
  <c r="A164" i="5"/>
  <c r="B164" i="5"/>
  <c r="C164" i="5"/>
  <c r="A163" i="5"/>
  <c r="B163" i="5"/>
  <c r="C163" i="5"/>
  <c r="A162" i="5"/>
  <c r="B162" i="5"/>
  <c r="C162" i="5"/>
  <c r="A161" i="5"/>
  <c r="B161" i="5"/>
  <c r="C161" i="5"/>
  <c r="A160" i="5"/>
  <c r="B160" i="5"/>
  <c r="C160" i="5"/>
  <c r="A159" i="5"/>
  <c r="B159" i="5"/>
  <c r="C159" i="5"/>
  <c r="A158" i="5"/>
  <c r="B158" i="5"/>
  <c r="C158" i="5"/>
  <c r="A157" i="5"/>
  <c r="B157" i="5"/>
  <c r="C157" i="5"/>
  <c r="A156" i="5"/>
  <c r="B156" i="5"/>
  <c r="C156" i="5"/>
  <c r="A155" i="5"/>
  <c r="B155" i="5"/>
  <c r="C155" i="5"/>
  <c r="A154" i="5"/>
  <c r="B154" i="5"/>
  <c r="C154" i="5"/>
  <c r="A153" i="5"/>
  <c r="B153" i="5"/>
  <c r="C153" i="5"/>
  <c r="A152" i="5"/>
  <c r="B152" i="5"/>
  <c r="C152" i="5"/>
  <c r="A151" i="5"/>
  <c r="B151" i="5"/>
  <c r="C151" i="5"/>
  <c r="A150" i="5"/>
  <c r="B150" i="5"/>
  <c r="C150" i="5"/>
  <c r="A149" i="5"/>
  <c r="B149" i="5"/>
  <c r="C149" i="5"/>
  <c r="A148" i="5"/>
  <c r="B148" i="5"/>
  <c r="C148" i="5"/>
  <c r="A147" i="5"/>
  <c r="B147" i="5"/>
  <c r="C147" i="5"/>
  <c r="A146" i="5"/>
  <c r="B146" i="5"/>
  <c r="C146" i="5"/>
  <c r="A145" i="5"/>
  <c r="B145" i="5"/>
  <c r="C145" i="5"/>
  <c r="A144" i="5"/>
  <c r="B144" i="5"/>
  <c r="C144" i="5"/>
  <c r="A143" i="5"/>
  <c r="B143" i="5"/>
  <c r="C143" i="5"/>
  <c r="A142" i="5"/>
  <c r="B142" i="5"/>
  <c r="C142" i="5"/>
  <c r="A141" i="5"/>
  <c r="B141" i="5"/>
  <c r="C141" i="5"/>
  <c r="A140" i="5"/>
  <c r="B140" i="5"/>
  <c r="C140" i="5"/>
  <c r="A139" i="5"/>
  <c r="B139" i="5"/>
  <c r="C139" i="5"/>
  <c r="A138" i="5"/>
  <c r="B138" i="5"/>
  <c r="C138" i="5"/>
  <c r="A137" i="5"/>
  <c r="B137" i="5"/>
  <c r="C137" i="5"/>
  <c r="A136" i="5"/>
  <c r="B136" i="5"/>
  <c r="C136" i="5"/>
  <c r="A135" i="5"/>
  <c r="B135" i="5"/>
  <c r="C135" i="5"/>
  <c r="A134" i="5"/>
  <c r="B134" i="5"/>
  <c r="C134" i="5"/>
  <c r="A133" i="5"/>
  <c r="B133" i="5"/>
  <c r="C133" i="5"/>
  <c r="A132" i="5"/>
  <c r="B132" i="5"/>
  <c r="C132" i="5"/>
  <c r="A131" i="5"/>
  <c r="B131" i="5"/>
  <c r="C131" i="5"/>
  <c r="A130" i="5"/>
  <c r="B130" i="5"/>
  <c r="C130" i="5"/>
  <c r="A129" i="5"/>
  <c r="B129" i="5"/>
  <c r="C129" i="5"/>
  <c r="A128" i="5"/>
  <c r="B128" i="5"/>
  <c r="C128" i="5"/>
  <c r="A127" i="5"/>
  <c r="B127" i="5"/>
  <c r="C127" i="5"/>
  <c r="A126" i="5"/>
  <c r="B126" i="5"/>
  <c r="C126" i="5"/>
  <c r="A125" i="5"/>
  <c r="B125" i="5"/>
  <c r="C125" i="5"/>
  <c r="A124" i="5"/>
  <c r="B124" i="5"/>
  <c r="C124" i="5"/>
  <c r="A123" i="5"/>
  <c r="B123" i="5"/>
  <c r="C123" i="5"/>
  <c r="A122" i="5"/>
  <c r="B122" i="5"/>
  <c r="C122" i="5"/>
  <c r="A121" i="5"/>
  <c r="B121" i="5"/>
  <c r="C121" i="5"/>
  <c r="A120" i="5"/>
  <c r="B120" i="5"/>
  <c r="C120" i="5"/>
  <c r="A119" i="5"/>
  <c r="B119" i="5"/>
  <c r="C119" i="5"/>
  <c r="A118" i="5"/>
  <c r="B118" i="5"/>
  <c r="C118" i="5"/>
  <c r="A117" i="5"/>
  <c r="B117" i="5"/>
  <c r="C117" i="5"/>
  <c r="A116" i="5"/>
  <c r="B116" i="5"/>
  <c r="C116" i="5"/>
  <c r="A115" i="5"/>
  <c r="B115" i="5"/>
  <c r="C115" i="5"/>
  <c r="A114" i="5"/>
  <c r="B114" i="5"/>
  <c r="C114" i="5"/>
  <c r="A113" i="5"/>
  <c r="B113" i="5"/>
  <c r="C113" i="5"/>
  <c r="A112" i="5"/>
  <c r="B112" i="5"/>
  <c r="C112" i="5"/>
  <c r="A111" i="5"/>
  <c r="B111" i="5"/>
  <c r="C111" i="5"/>
  <c r="A110" i="5"/>
  <c r="B110" i="5"/>
  <c r="C110" i="5"/>
  <c r="A109" i="5"/>
  <c r="B109" i="5"/>
  <c r="C109" i="5"/>
  <c r="A108" i="5"/>
  <c r="B108" i="5"/>
  <c r="C108" i="5"/>
  <c r="A107" i="5"/>
  <c r="B107" i="5"/>
  <c r="C107" i="5"/>
  <c r="A106" i="5"/>
  <c r="B106" i="5"/>
  <c r="C106" i="5"/>
  <c r="A105" i="5"/>
  <c r="B105" i="5"/>
  <c r="C105" i="5"/>
  <c r="A104" i="5"/>
  <c r="B104" i="5"/>
  <c r="C104" i="5"/>
  <c r="A103" i="5"/>
  <c r="B103" i="5"/>
  <c r="C103" i="5"/>
  <c r="A102" i="5"/>
  <c r="B102" i="5"/>
  <c r="C102" i="5"/>
  <c r="A101" i="5"/>
  <c r="B101" i="5"/>
  <c r="C101" i="5"/>
  <c r="A100" i="5"/>
  <c r="B100" i="5"/>
  <c r="C100" i="5"/>
  <c r="A99" i="5"/>
  <c r="B99" i="5"/>
  <c r="C99" i="5"/>
  <c r="A98" i="5"/>
  <c r="B98" i="5"/>
  <c r="C98" i="5"/>
  <c r="A97" i="5"/>
  <c r="B97" i="5"/>
  <c r="C97" i="5"/>
  <c r="A96" i="5"/>
  <c r="B96" i="5"/>
  <c r="C96" i="5"/>
  <c r="A95" i="5"/>
  <c r="B95" i="5"/>
  <c r="C95" i="5"/>
  <c r="A94" i="5"/>
  <c r="B94" i="5"/>
  <c r="C94" i="5"/>
  <c r="A93" i="5"/>
  <c r="B93" i="5"/>
  <c r="C93" i="5"/>
  <c r="A92" i="5"/>
  <c r="B92" i="5"/>
  <c r="C92" i="5"/>
  <c r="A91" i="5"/>
  <c r="B91" i="5"/>
  <c r="C91" i="5"/>
  <c r="A90" i="5"/>
  <c r="B90" i="5"/>
  <c r="C90" i="5"/>
  <c r="A89" i="5"/>
  <c r="B89" i="5"/>
  <c r="C89" i="5"/>
  <c r="A88" i="5"/>
  <c r="B88" i="5"/>
  <c r="C88" i="5"/>
  <c r="A87" i="5"/>
  <c r="B87" i="5"/>
  <c r="C87" i="5"/>
  <c r="A86" i="5"/>
  <c r="B86" i="5"/>
  <c r="C86" i="5"/>
  <c r="A85" i="5"/>
  <c r="B85" i="5"/>
  <c r="C85" i="5"/>
  <c r="A84" i="5"/>
  <c r="B84" i="5"/>
  <c r="C84" i="5"/>
  <c r="A83" i="5"/>
  <c r="B83" i="5"/>
  <c r="C83" i="5"/>
  <c r="A82" i="5"/>
  <c r="B82" i="5"/>
  <c r="C82" i="5"/>
  <c r="A81" i="5"/>
  <c r="B81" i="5"/>
  <c r="C81" i="5"/>
  <c r="A80" i="5"/>
  <c r="B80" i="5"/>
  <c r="C80" i="5"/>
  <c r="A79" i="5"/>
  <c r="B79" i="5"/>
  <c r="C79" i="5"/>
  <c r="A78" i="5"/>
  <c r="B78" i="5"/>
  <c r="C78" i="5"/>
  <c r="A77" i="5"/>
  <c r="B77" i="5"/>
  <c r="C77" i="5"/>
  <c r="A76" i="5"/>
  <c r="B76" i="5"/>
  <c r="C76" i="5"/>
  <c r="A75" i="5"/>
  <c r="B75" i="5"/>
  <c r="C75" i="5"/>
  <c r="A74" i="5"/>
  <c r="B74" i="5"/>
  <c r="C74" i="5"/>
  <c r="A73" i="5"/>
  <c r="B73" i="5"/>
  <c r="C73" i="5"/>
  <c r="A72" i="5"/>
  <c r="B72" i="5"/>
  <c r="C72" i="5"/>
  <c r="A71" i="5"/>
  <c r="B71" i="5"/>
  <c r="C71" i="5"/>
  <c r="A70" i="5"/>
  <c r="B70" i="5"/>
  <c r="C70" i="5"/>
  <c r="A69" i="5"/>
  <c r="B69" i="5"/>
  <c r="C69" i="5"/>
  <c r="A68" i="5"/>
  <c r="B68" i="5"/>
  <c r="C68" i="5"/>
  <c r="A67" i="5"/>
  <c r="B67" i="5"/>
  <c r="C67" i="5"/>
  <c r="A66" i="5"/>
  <c r="B66" i="5"/>
  <c r="C66" i="5"/>
  <c r="A65" i="5"/>
  <c r="B65" i="5"/>
  <c r="C65" i="5"/>
  <c r="A64" i="5"/>
  <c r="B64" i="5"/>
  <c r="C64" i="5"/>
  <c r="A63" i="5"/>
  <c r="B63" i="5"/>
  <c r="C63" i="5"/>
  <c r="A62" i="5"/>
  <c r="B62" i="5"/>
  <c r="C62" i="5"/>
  <c r="A61" i="5"/>
  <c r="B61" i="5"/>
  <c r="C61" i="5"/>
  <c r="A60" i="5"/>
  <c r="B60" i="5"/>
  <c r="C60" i="5"/>
  <c r="A59" i="5"/>
  <c r="B59" i="5"/>
  <c r="C59" i="5"/>
  <c r="A58" i="5"/>
  <c r="B58" i="5"/>
  <c r="C58" i="5"/>
  <c r="A57" i="5"/>
  <c r="B57" i="5"/>
  <c r="C57" i="5"/>
  <c r="A56" i="5"/>
  <c r="B56" i="5"/>
  <c r="C56" i="5"/>
  <c r="A55" i="5"/>
  <c r="B55" i="5"/>
  <c r="C55" i="5"/>
  <c r="A54" i="5"/>
  <c r="B54" i="5"/>
  <c r="C54" i="5"/>
  <c r="A53" i="5"/>
  <c r="B53" i="5"/>
  <c r="C53" i="5"/>
  <c r="A52" i="5"/>
  <c r="B52" i="5"/>
  <c r="C52" i="5"/>
  <c r="A51" i="5"/>
  <c r="B51" i="5"/>
  <c r="C51" i="5"/>
  <c r="A50" i="5"/>
  <c r="B50" i="5"/>
  <c r="C50" i="5"/>
  <c r="A49" i="5"/>
  <c r="B49" i="5"/>
  <c r="C49" i="5"/>
  <c r="A48" i="5"/>
  <c r="B48" i="5"/>
  <c r="C48" i="5"/>
  <c r="A47" i="5"/>
  <c r="B47" i="5"/>
  <c r="C47" i="5"/>
  <c r="A46" i="5"/>
  <c r="B46" i="5"/>
  <c r="C46" i="5"/>
  <c r="A45" i="5"/>
  <c r="B45" i="5"/>
  <c r="C45" i="5"/>
  <c r="A44" i="5"/>
  <c r="B44" i="5"/>
  <c r="C44" i="5"/>
  <c r="A43" i="5"/>
  <c r="B43" i="5"/>
  <c r="C43" i="5"/>
  <c r="A42" i="5"/>
  <c r="B42" i="5"/>
  <c r="C42" i="5"/>
  <c r="A41" i="5"/>
  <c r="B41" i="5"/>
  <c r="C41" i="5"/>
  <c r="A40" i="5"/>
  <c r="B40" i="5"/>
  <c r="C40" i="5"/>
  <c r="A39" i="5"/>
  <c r="B39" i="5"/>
  <c r="C39" i="5"/>
  <c r="A38" i="5"/>
  <c r="B38" i="5"/>
  <c r="C38" i="5"/>
  <c r="A37" i="5"/>
  <c r="B37" i="5"/>
  <c r="C37" i="5"/>
  <c r="A36" i="5"/>
  <c r="B36" i="5"/>
  <c r="C36" i="5"/>
  <c r="A35" i="5"/>
  <c r="B35" i="5"/>
  <c r="C35" i="5"/>
  <c r="A34" i="5"/>
  <c r="B34" i="5"/>
  <c r="C34" i="5"/>
  <c r="A33" i="5"/>
  <c r="B33" i="5"/>
  <c r="C33" i="5"/>
  <c r="A32" i="5"/>
  <c r="B32" i="5"/>
  <c r="C32" i="5"/>
  <c r="A31" i="5"/>
  <c r="B31" i="5"/>
  <c r="C31" i="5"/>
  <c r="A30" i="5"/>
  <c r="B30" i="5"/>
  <c r="C30" i="5"/>
  <c r="A29" i="5"/>
  <c r="B29" i="5"/>
  <c r="C29" i="5"/>
  <c r="A28" i="5"/>
  <c r="B28" i="5"/>
  <c r="C28" i="5"/>
  <c r="A27" i="5"/>
  <c r="B27" i="5"/>
  <c r="C27" i="5"/>
  <c r="A26" i="5"/>
  <c r="B26" i="5"/>
  <c r="C26" i="5"/>
  <c r="A25" i="5"/>
  <c r="B25" i="5"/>
  <c r="C25" i="5"/>
  <c r="A24" i="5"/>
  <c r="B24" i="5"/>
  <c r="C24" i="5"/>
  <c r="A23" i="5"/>
  <c r="B23" i="5"/>
  <c r="C23" i="5"/>
  <c r="A22" i="5"/>
  <c r="B22" i="5"/>
  <c r="C22" i="5"/>
  <c r="A21" i="5"/>
  <c r="B21" i="5"/>
  <c r="C21" i="5"/>
  <c r="A20" i="5"/>
  <c r="B20" i="5"/>
  <c r="C20" i="5"/>
  <c r="A19" i="5"/>
  <c r="B19" i="5"/>
  <c r="C19" i="5"/>
  <c r="A18" i="5"/>
  <c r="B18" i="5"/>
  <c r="C18" i="5"/>
  <c r="A17" i="5"/>
  <c r="B17" i="5"/>
  <c r="C17" i="5"/>
  <c r="A16" i="5"/>
  <c r="B16" i="5"/>
  <c r="C16" i="5"/>
  <c r="A15" i="5"/>
  <c r="B15" i="5"/>
  <c r="C15" i="5"/>
  <c r="A14" i="5"/>
  <c r="B14" i="5"/>
  <c r="C14" i="5"/>
  <c r="A13" i="5"/>
  <c r="B13" i="5"/>
  <c r="C13" i="5"/>
  <c r="A12" i="5"/>
  <c r="B12" i="5"/>
  <c r="C12" i="5"/>
  <c r="A11" i="5"/>
  <c r="B11" i="5"/>
  <c r="C11" i="5"/>
  <c r="A10" i="5"/>
  <c r="B10" i="5"/>
  <c r="C10" i="5"/>
  <c r="A9" i="5"/>
  <c r="B9" i="5"/>
  <c r="C9" i="5"/>
  <c r="A8" i="5"/>
  <c r="B8" i="5"/>
  <c r="C8" i="5"/>
  <c r="A7" i="5"/>
  <c r="B7" i="5"/>
  <c r="C7" i="5"/>
  <c r="A6" i="5"/>
  <c r="B6" i="5"/>
  <c r="C6" i="5"/>
  <c r="A5" i="5"/>
  <c r="B5" i="5"/>
  <c r="C5" i="5"/>
  <c r="A4" i="5"/>
  <c r="B4" i="5"/>
  <c r="C4" i="5"/>
  <c r="A3" i="5"/>
  <c r="B3" i="5"/>
  <c r="C3" i="5"/>
  <c r="A2" i="5"/>
  <c r="B2" i="5"/>
  <c r="C2" i="5"/>
  <c r="A2612" i="4"/>
  <c r="B2612" i="4"/>
  <c r="C2612" i="4"/>
  <c r="A2611" i="4"/>
  <c r="B2611" i="4"/>
  <c r="C2611" i="4"/>
  <c r="A2610" i="4"/>
  <c r="B2610" i="4"/>
  <c r="C2610" i="4"/>
  <c r="A2609" i="4"/>
  <c r="B2609" i="4"/>
  <c r="C2609" i="4"/>
  <c r="A2608" i="4"/>
  <c r="B2608" i="4"/>
  <c r="C2608" i="4"/>
  <c r="A2607" i="4"/>
  <c r="B2607" i="4"/>
  <c r="C2607" i="4"/>
  <c r="A2606" i="4"/>
  <c r="B2606" i="4"/>
  <c r="C2606" i="4"/>
  <c r="A2605" i="4"/>
  <c r="B2605" i="4"/>
  <c r="C2605" i="4"/>
  <c r="A2604" i="4"/>
  <c r="B2604" i="4"/>
  <c r="C2604" i="4"/>
  <c r="A2603" i="4"/>
  <c r="B2603" i="4"/>
  <c r="C2603" i="4"/>
  <c r="A2602" i="4"/>
  <c r="B2602" i="4"/>
  <c r="C2602" i="4"/>
  <c r="A2601" i="4"/>
  <c r="B2601" i="4"/>
  <c r="C2601" i="4"/>
  <c r="A2600" i="4"/>
  <c r="B2600" i="4"/>
  <c r="C2600" i="4"/>
  <c r="A2599" i="4"/>
  <c r="B2599" i="4"/>
  <c r="C2599" i="4"/>
  <c r="A2598" i="4"/>
  <c r="B2598" i="4"/>
  <c r="C2598" i="4"/>
  <c r="A2597" i="4"/>
  <c r="B2597" i="4"/>
  <c r="C2597" i="4"/>
  <c r="A2596" i="4"/>
  <c r="B2596" i="4"/>
  <c r="C2596" i="4"/>
  <c r="A2595" i="4"/>
  <c r="B2595" i="4"/>
  <c r="C2595" i="4"/>
  <c r="A2594" i="4"/>
  <c r="B2594" i="4"/>
  <c r="C2594" i="4"/>
  <c r="A2593" i="4"/>
  <c r="B2593" i="4"/>
  <c r="C2593" i="4"/>
  <c r="A2592" i="4"/>
  <c r="B2592" i="4"/>
  <c r="C2592" i="4"/>
  <c r="A2591" i="4"/>
  <c r="B2591" i="4"/>
  <c r="C2591" i="4"/>
  <c r="A2590" i="4"/>
  <c r="B2590" i="4"/>
  <c r="C2590" i="4"/>
  <c r="A2589" i="4"/>
  <c r="B2589" i="4"/>
  <c r="C2589" i="4"/>
  <c r="A2588" i="4"/>
  <c r="B2588" i="4"/>
  <c r="C2588" i="4"/>
  <c r="A2587" i="4"/>
  <c r="B2587" i="4"/>
  <c r="C2587" i="4"/>
  <c r="A2586" i="4"/>
  <c r="B2586" i="4"/>
  <c r="C2586" i="4"/>
  <c r="A2585" i="4"/>
  <c r="B2585" i="4"/>
  <c r="C2585" i="4"/>
  <c r="A2584" i="4"/>
  <c r="B2584" i="4"/>
  <c r="C2584" i="4"/>
  <c r="A2583" i="4"/>
  <c r="B2583" i="4"/>
  <c r="C2583" i="4"/>
  <c r="A2582" i="4"/>
  <c r="B2582" i="4"/>
  <c r="C2582" i="4"/>
  <c r="A2581" i="4"/>
  <c r="B2581" i="4"/>
  <c r="C2581" i="4"/>
  <c r="A2580" i="4"/>
  <c r="B2580" i="4"/>
  <c r="C2580" i="4"/>
  <c r="A2579" i="4"/>
  <c r="B2579" i="4"/>
  <c r="C2579" i="4"/>
  <c r="A2578" i="4"/>
  <c r="B2578" i="4"/>
  <c r="C2578" i="4"/>
  <c r="A2577" i="4"/>
  <c r="B2577" i="4"/>
  <c r="C2577" i="4"/>
  <c r="A2576" i="4"/>
  <c r="B2576" i="4"/>
  <c r="C2576" i="4"/>
  <c r="A2575" i="4"/>
  <c r="B2575" i="4"/>
  <c r="C2575" i="4"/>
  <c r="A2574" i="4"/>
  <c r="B2574" i="4"/>
  <c r="C2574" i="4"/>
  <c r="A2573" i="4"/>
  <c r="B2573" i="4"/>
  <c r="C2573" i="4"/>
  <c r="A2572" i="4"/>
  <c r="B2572" i="4"/>
  <c r="C2572" i="4"/>
  <c r="A2571" i="4"/>
  <c r="B2571" i="4"/>
  <c r="C2571" i="4"/>
  <c r="A2570" i="4"/>
  <c r="B2570" i="4"/>
  <c r="C2570" i="4"/>
  <c r="A2569" i="4"/>
  <c r="B2569" i="4"/>
  <c r="C2569" i="4"/>
  <c r="A2568" i="4"/>
  <c r="B2568" i="4"/>
  <c r="C2568" i="4"/>
  <c r="A2567" i="4"/>
  <c r="B2567" i="4"/>
  <c r="C2567" i="4"/>
  <c r="A2566" i="4"/>
  <c r="B2566" i="4"/>
  <c r="C2566" i="4"/>
  <c r="A2565" i="4"/>
  <c r="B2565" i="4"/>
  <c r="C2565" i="4"/>
  <c r="A2564" i="4"/>
  <c r="B2564" i="4"/>
  <c r="C2564" i="4"/>
  <c r="A2563" i="4"/>
  <c r="B2563" i="4"/>
  <c r="C2563" i="4"/>
  <c r="A2562" i="4"/>
  <c r="B2562" i="4"/>
  <c r="C2562" i="4"/>
  <c r="A2561" i="4"/>
  <c r="B2561" i="4"/>
  <c r="C2561" i="4"/>
  <c r="A2560" i="4"/>
  <c r="B2560" i="4"/>
  <c r="C2560" i="4"/>
  <c r="A2559" i="4"/>
  <c r="B2559" i="4"/>
  <c r="C2559" i="4"/>
  <c r="A2558" i="4"/>
  <c r="B2558" i="4"/>
  <c r="C2558" i="4"/>
  <c r="A2557" i="4"/>
  <c r="B2557" i="4"/>
  <c r="C2557" i="4"/>
  <c r="A2556" i="4"/>
  <c r="B2556" i="4"/>
  <c r="C2556" i="4"/>
  <c r="A2555" i="4"/>
  <c r="B2555" i="4"/>
  <c r="C2555" i="4"/>
  <c r="A2554" i="4"/>
  <c r="B2554" i="4"/>
  <c r="C2554" i="4"/>
  <c r="A2553" i="4"/>
  <c r="B2553" i="4"/>
  <c r="C2553" i="4"/>
  <c r="A2552" i="4"/>
  <c r="B2552" i="4"/>
  <c r="C2552" i="4"/>
  <c r="A2551" i="4"/>
  <c r="B2551" i="4"/>
  <c r="C2551" i="4"/>
  <c r="A2550" i="4"/>
  <c r="B2550" i="4"/>
  <c r="C2550" i="4"/>
  <c r="A2549" i="4"/>
  <c r="B2549" i="4"/>
  <c r="C2549" i="4"/>
  <c r="A2548" i="4"/>
  <c r="B2548" i="4"/>
  <c r="C2548" i="4"/>
  <c r="A2547" i="4"/>
  <c r="B2547" i="4"/>
  <c r="C2547" i="4"/>
  <c r="A2546" i="4"/>
  <c r="B2546" i="4"/>
  <c r="C2546" i="4"/>
  <c r="A2545" i="4"/>
  <c r="B2545" i="4"/>
  <c r="C2545" i="4"/>
  <c r="A2544" i="4"/>
  <c r="B2544" i="4"/>
  <c r="C2544" i="4"/>
  <c r="A2543" i="4"/>
  <c r="B2543" i="4"/>
  <c r="C2543" i="4"/>
  <c r="A2542" i="4"/>
  <c r="B2542" i="4"/>
  <c r="C2542" i="4"/>
  <c r="A2541" i="4"/>
  <c r="B2541" i="4"/>
  <c r="C2541" i="4"/>
  <c r="A2540" i="4"/>
  <c r="B2540" i="4"/>
  <c r="C2540" i="4"/>
  <c r="A2539" i="4"/>
  <c r="B2539" i="4"/>
  <c r="C2539" i="4"/>
  <c r="A2538" i="4"/>
  <c r="B2538" i="4"/>
  <c r="C2538" i="4"/>
  <c r="A2537" i="4"/>
  <c r="B2537" i="4"/>
  <c r="C2537" i="4"/>
  <c r="A2536" i="4"/>
  <c r="B2536" i="4"/>
  <c r="C2536" i="4"/>
  <c r="A2535" i="4"/>
  <c r="B2535" i="4"/>
  <c r="C2535" i="4"/>
  <c r="A2534" i="4"/>
  <c r="B2534" i="4"/>
  <c r="C2534" i="4"/>
  <c r="A2533" i="4"/>
  <c r="B2533" i="4"/>
  <c r="C2533" i="4"/>
  <c r="A2532" i="4"/>
  <c r="B2532" i="4"/>
  <c r="C2532" i="4"/>
  <c r="A2531" i="4"/>
  <c r="B2531" i="4"/>
  <c r="C2531" i="4"/>
  <c r="A2530" i="4"/>
  <c r="B2530" i="4"/>
  <c r="C2530" i="4"/>
  <c r="A2529" i="4"/>
  <c r="B2529" i="4"/>
  <c r="C2529" i="4"/>
  <c r="A2528" i="4"/>
  <c r="B2528" i="4"/>
  <c r="C2528" i="4"/>
  <c r="A2527" i="4"/>
  <c r="B2527" i="4"/>
  <c r="C2527" i="4"/>
  <c r="A2526" i="4"/>
  <c r="B2526" i="4"/>
  <c r="C2526" i="4"/>
  <c r="A2525" i="4"/>
  <c r="B2525" i="4"/>
  <c r="C2525" i="4"/>
  <c r="A2524" i="4"/>
  <c r="B2524" i="4"/>
  <c r="C2524" i="4"/>
  <c r="A2523" i="4"/>
  <c r="B2523" i="4"/>
  <c r="C2523" i="4"/>
  <c r="A2522" i="4"/>
  <c r="B2522" i="4"/>
  <c r="C2522" i="4"/>
  <c r="A2521" i="4"/>
  <c r="B2521" i="4"/>
  <c r="C2521" i="4"/>
  <c r="A2520" i="4"/>
  <c r="B2520" i="4"/>
  <c r="C2520" i="4"/>
  <c r="A2519" i="4"/>
  <c r="B2519" i="4"/>
  <c r="C2519" i="4"/>
  <c r="A2518" i="4"/>
  <c r="B2518" i="4"/>
  <c r="C2518" i="4"/>
  <c r="A2517" i="4"/>
  <c r="B2517" i="4"/>
  <c r="C2517" i="4"/>
  <c r="A2516" i="4"/>
  <c r="B2516" i="4"/>
  <c r="C2516" i="4"/>
  <c r="A2515" i="4"/>
  <c r="B2515" i="4"/>
  <c r="C2515" i="4"/>
  <c r="A2514" i="4"/>
  <c r="B2514" i="4"/>
  <c r="C2514" i="4"/>
  <c r="A2513" i="4"/>
  <c r="B2513" i="4"/>
  <c r="C2513" i="4"/>
  <c r="A2512" i="4"/>
  <c r="B2512" i="4"/>
  <c r="C2512" i="4"/>
  <c r="A2511" i="4"/>
  <c r="B2511" i="4"/>
  <c r="C2511" i="4"/>
  <c r="A2510" i="4"/>
  <c r="B2510" i="4"/>
  <c r="C2510" i="4"/>
  <c r="A2509" i="4"/>
  <c r="B2509" i="4"/>
  <c r="C2509" i="4"/>
  <c r="A2508" i="4"/>
  <c r="B2508" i="4"/>
  <c r="C2508" i="4"/>
  <c r="A2507" i="4"/>
  <c r="B2507" i="4"/>
  <c r="C2507" i="4"/>
  <c r="A2506" i="4"/>
  <c r="B2506" i="4"/>
  <c r="C2506" i="4"/>
  <c r="A2505" i="4"/>
  <c r="B2505" i="4"/>
  <c r="C2505" i="4"/>
  <c r="A2504" i="4"/>
  <c r="B2504" i="4"/>
  <c r="C2504" i="4"/>
  <c r="A2503" i="4"/>
  <c r="B2503" i="4"/>
  <c r="C2503" i="4"/>
  <c r="A2502" i="4"/>
  <c r="B2502" i="4"/>
  <c r="C2502" i="4"/>
  <c r="A2501" i="4"/>
  <c r="B2501" i="4"/>
  <c r="C2501" i="4"/>
  <c r="A2500" i="4"/>
  <c r="B2500" i="4"/>
  <c r="C2500" i="4"/>
  <c r="A2499" i="4"/>
  <c r="B2499" i="4"/>
  <c r="C2499" i="4"/>
  <c r="A2498" i="4"/>
  <c r="B2498" i="4"/>
  <c r="C2498" i="4"/>
  <c r="A2497" i="4"/>
  <c r="B2497" i="4"/>
  <c r="C2497" i="4"/>
  <c r="A2496" i="4"/>
  <c r="B2496" i="4"/>
  <c r="C2496" i="4"/>
  <c r="A2495" i="4"/>
  <c r="B2495" i="4"/>
  <c r="C2495" i="4"/>
  <c r="A2494" i="4"/>
  <c r="B2494" i="4"/>
  <c r="C2494" i="4"/>
  <c r="A2493" i="4"/>
  <c r="B2493" i="4"/>
  <c r="C2493" i="4"/>
  <c r="A2492" i="4"/>
  <c r="B2492" i="4"/>
  <c r="C2492" i="4"/>
  <c r="A2491" i="4"/>
  <c r="B2491" i="4"/>
  <c r="C2491" i="4"/>
  <c r="A2490" i="4"/>
  <c r="B2490" i="4"/>
  <c r="C2490" i="4"/>
  <c r="A2489" i="4"/>
  <c r="B2489" i="4"/>
  <c r="C2489" i="4"/>
  <c r="A2488" i="4"/>
  <c r="B2488" i="4"/>
  <c r="C2488" i="4"/>
  <c r="A2487" i="4"/>
  <c r="B2487" i="4"/>
  <c r="C2487" i="4"/>
  <c r="A2486" i="4"/>
  <c r="B2486" i="4"/>
  <c r="C2486" i="4"/>
  <c r="A2485" i="4"/>
  <c r="B2485" i="4"/>
  <c r="C2485" i="4"/>
  <c r="A2484" i="4"/>
  <c r="B2484" i="4"/>
  <c r="C2484" i="4"/>
  <c r="A2483" i="4"/>
  <c r="B2483" i="4"/>
  <c r="C2483" i="4"/>
  <c r="A2482" i="4"/>
  <c r="B2482" i="4"/>
  <c r="C2482" i="4"/>
  <c r="A2481" i="4"/>
  <c r="B2481" i="4"/>
  <c r="C2481" i="4"/>
  <c r="A2480" i="4"/>
  <c r="B2480" i="4"/>
  <c r="C2480" i="4"/>
  <c r="A2479" i="4"/>
  <c r="B2479" i="4"/>
  <c r="C2479" i="4"/>
  <c r="A2478" i="4"/>
  <c r="B2478" i="4"/>
  <c r="C2478" i="4"/>
  <c r="A2477" i="4"/>
  <c r="B2477" i="4"/>
  <c r="C2477" i="4"/>
  <c r="A2476" i="4"/>
  <c r="B2476" i="4"/>
  <c r="C2476" i="4"/>
  <c r="A2475" i="4"/>
  <c r="B2475" i="4"/>
  <c r="C2475" i="4"/>
  <c r="A2474" i="4"/>
  <c r="B2474" i="4"/>
  <c r="C2474" i="4"/>
  <c r="A2473" i="4"/>
  <c r="B2473" i="4"/>
  <c r="C2473" i="4"/>
  <c r="A2472" i="4"/>
  <c r="B2472" i="4"/>
  <c r="C2472" i="4"/>
  <c r="A2471" i="4"/>
  <c r="B2471" i="4"/>
  <c r="C2471" i="4"/>
  <c r="A2470" i="4"/>
  <c r="B2470" i="4"/>
  <c r="C2470" i="4"/>
  <c r="A2469" i="4"/>
  <c r="B2469" i="4"/>
  <c r="C2469" i="4"/>
  <c r="A2468" i="4"/>
  <c r="B2468" i="4"/>
  <c r="C2468" i="4"/>
  <c r="A2467" i="4"/>
  <c r="B2467" i="4"/>
  <c r="C2467" i="4"/>
  <c r="A2466" i="4"/>
  <c r="B2466" i="4"/>
  <c r="C2466" i="4"/>
  <c r="A2465" i="4"/>
  <c r="B2465" i="4"/>
  <c r="C2465" i="4"/>
  <c r="A2464" i="4"/>
  <c r="B2464" i="4"/>
  <c r="C2464" i="4"/>
  <c r="A2463" i="4"/>
  <c r="B2463" i="4"/>
  <c r="C2463" i="4"/>
  <c r="A2462" i="4"/>
  <c r="B2462" i="4"/>
  <c r="C2462" i="4"/>
  <c r="A2461" i="4"/>
  <c r="B2461" i="4"/>
  <c r="C2461" i="4"/>
  <c r="A2460" i="4"/>
  <c r="B2460" i="4"/>
  <c r="C2460" i="4"/>
  <c r="A2459" i="4"/>
  <c r="B2459" i="4"/>
  <c r="C2459" i="4"/>
  <c r="A2458" i="4"/>
  <c r="B2458" i="4"/>
  <c r="C2458" i="4"/>
  <c r="A2457" i="4"/>
  <c r="B2457" i="4"/>
  <c r="C2457" i="4"/>
  <c r="A2456" i="4"/>
  <c r="B2456" i="4"/>
  <c r="C2456" i="4"/>
  <c r="A2455" i="4"/>
  <c r="B2455" i="4"/>
  <c r="C2455" i="4"/>
  <c r="A2454" i="4"/>
  <c r="B2454" i="4"/>
  <c r="C2454" i="4"/>
  <c r="A2453" i="4"/>
  <c r="B2453" i="4"/>
  <c r="C2453" i="4"/>
  <c r="A2452" i="4"/>
  <c r="B2452" i="4"/>
  <c r="C2452" i="4"/>
  <c r="A2451" i="4"/>
  <c r="B2451" i="4"/>
  <c r="C2451" i="4"/>
  <c r="A2450" i="4"/>
  <c r="B2450" i="4"/>
  <c r="C2450" i="4"/>
  <c r="A2449" i="4"/>
  <c r="B2449" i="4"/>
  <c r="C2449" i="4"/>
  <c r="A2448" i="4"/>
  <c r="B2448" i="4"/>
  <c r="C2448" i="4"/>
  <c r="A2447" i="4"/>
  <c r="B2447" i="4"/>
  <c r="C2447" i="4"/>
  <c r="A2446" i="4"/>
  <c r="B2446" i="4"/>
  <c r="C2446" i="4"/>
  <c r="A2445" i="4"/>
  <c r="B2445" i="4"/>
  <c r="C2445" i="4"/>
  <c r="A2444" i="4"/>
  <c r="B2444" i="4"/>
  <c r="C2444" i="4"/>
  <c r="A2443" i="4"/>
  <c r="B2443" i="4"/>
  <c r="C2443" i="4"/>
  <c r="A2442" i="4"/>
  <c r="B2442" i="4"/>
  <c r="C2442" i="4"/>
  <c r="A2441" i="4"/>
  <c r="B2441" i="4"/>
  <c r="C2441" i="4"/>
  <c r="A2440" i="4"/>
  <c r="B2440" i="4"/>
  <c r="C2440" i="4"/>
  <c r="A2439" i="4"/>
  <c r="B2439" i="4"/>
  <c r="C2439" i="4"/>
  <c r="A2438" i="4"/>
  <c r="B2438" i="4"/>
  <c r="C2438" i="4"/>
  <c r="A2437" i="4"/>
  <c r="B2437" i="4"/>
  <c r="C2437" i="4"/>
  <c r="A2436" i="4"/>
  <c r="B2436" i="4"/>
  <c r="C2436" i="4"/>
  <c r="A2435" i="4"/>
  <c r="B2435" i="4"/>
  <c r="C2435" i="4"/>
  <c r="A2434" i="4"/>
  <c r="B2434" i="4"/>
  <c r="C2434" i="4"/>
  <c r="A2433" i="4"/>
  <c r="B2433" i="4"/>
  <c r="C2433" i="4"/>
  <c r="A2432" i="4"/>
  <c r="B2432" i="4"/>
  <c r="C2432" i="4"/>
  <c r="A2431" i="4"/>
  <c r="B2431" i="4"/>
  <c r="C2431" i="4"/>
  <c r="A2430" i="4"/>
  <c r="B2430" i="4"/>
  <c r="C2430" i="4"/>
  <c r="A2429" i="4"/>
  <c r="B2429" i="4"/>
  <c r="C2429" i="4"/>
  <c r="A2428" i="4"/>
  <c r="B2428" i="4"/>
  <c r="C2428" i="4"/>
  <c r="A2427" i="4"/>
  <c r="B2427" i="4"/>
  <c r="C2427" i="4"/>
  <c r="A2426" i="4"/>
  <c r="B2426" i="4"/>
  <c r="C2426" i="4"/>
  <c r="A2425" i="4"/>
  <c r="B2425" i="4"/>
  <c r="C2425" i="4"/>
  <c r="A2424" i="4"/>
  <c r="B2424" i="4"/>
  <c r="C2424" i="4"/>
  <c r="A2423" i="4"/>
  <c r="B2423" i="4"/>
  <c r="C2423" i="4"/>
  <c r="A2422" i="4"/>
  <c r="B2422" i="4"/>
  <c r="C2422" i="4"/>
  <c r="A2421" i="4"/>
  <c r="B2421" i="4"/>
  <c r="C2421" i="4"/>
  <c r="A2420" i="4"/>
  <c r="B2420" i="4"/>
  <c r="C2420" i="4"/>
  <c r="A2419" i="4"/>
  <c r="B2419" i="4"/>
  <c r="C2419" i="4"/>
  <c r="A2418" i="4"/>
  <c r="B2418" i="4"/>
  <c r="C2418" i="4"/>
  <c r="A2417" i="4"/>
  <c r="B2417" i="4"/>
  <c r="C2417" i="4"/>
  <c r="A2416" i="4"/>
  <c r="B2416" i="4"/>
  <c r="C2416" i="4"/>
  <c r="A2415" i="4"/>
  <c r="B2415" i="4"/>
  <c r="C2415" i="4"/>
  <c r="A2414" i="4"/>
  <c r="B2414" i="4"/>
  <c r="C2414" i="4"/>
  <c r="A2413" i="4"/>
  <c r="B2413" i="4"/>
  <c r="C2413" i="4"/>
  <c r="A2412" i="4"/>
  <c r="B2412" i="4"/>
  <c r="C2412" i="4"/>
  <c r="A2411" i="4"/>
  <c r="B2411" i="4"/>
  <c r="C2411" i="4"/>
  <c r="A2410" i="4"/>
  <c r="B2410" i="4"/>
  <c r="C2410" i="4"/>
  <c r="A2409" i="4"/>
  <c r="B2409" i="4"/>
  <c r="C2409" i="4"/>
  <c r="A2408" i="4"/>
  <c r="B2408" i="4"/>
  <c r="C2408" i="4"/>
  <c r="A2407" i="4"/>
  <c r="B2407" i="4"/>
  <c r="C2407" i="4"/>
  <c r="A2406" i="4"/>
  <c r="B2406" i="4"/>
  <c r="C2406" i="4"/>
  <c r="A2405" i="4"/>
  <c r="B2405" i="4"/>
  <c r="C2405" i="4"/>
  <c r="A2404" i="4"/>
  <c r="B2404" i="4"/>
  <c r="C2404" i="4"/>
  <c r="A2403" i="4"/>
  <c r="B2403" i="4"/>
  <c r="C2403" i="4"/>
  <c r="A2402" i="4"/>
  <c r="B2402" i="4"/>
  <c r="C2402" i="4"/>
  <c r="A2401" i="4"/>
  <c r="B2401" i="4"/>
  <c r="C2401" i="4"/>
  <c r="A2400" i="4"/>
  <c r="B2400" i="4"/>
  <c r="C2400" i="4"/>
  <c r="A2399" i="4"/>
  <c r="B2399" i="4"/>
  <c r="C2399" i="4"/>
  <c r="A2398" i="4"/>
  <c r="B2398" i="4"/>
  <c r="C2398" i="4"/>
  <c r="A2397" i="4"/>
  <c r="B2397" i="4"/>
  <c r="C2397" i="4"/>
  <c r="A2396" i="4"/>
  <c r="B2396" i="4"/>
  <c r="C2396" i="4"/>
  <c r="A2395" i="4"/>
  <c r="B2395" i="4"/>
  <c r="C2395" i="4"/>
  <c r="A2394" i="4"/>
  <c r="B2394" i="4"/>
  <c r="C2394" i="4"/>
  <c r="A2393" i="4"/>
  <c r="B2393" i="4"/>
  <c r="C2393" i="4"/>
  <c r="A2392" i="4"/>
  <c r="B2392" i="4"/>
  <c r="C2392" i="4"/>
  <c r="A2391" i="4"/>
  <c r="B2391" i="4"/>
  <c r="C2391" i="4"/>
  <c r="A2390" i="4"/>
  <c r="B2390" i="4"/>
  <c r="C2390" i="4"/>
  <c r="A2389" i="4"/>
  <c r="B2389" i="4"/>
  <c r="C2389" i="4"/>
  <c r="A2388" i="4"/>
  <c r="B2388" i="4"/>
  <c r="C2388" i="4"/>
  <c r="A2387" i="4"/>
  <c r="B2387" i="4"/>
  <c r="C2387" i="4"/>
  <c r="A2386" i="4"/>
  <c r="B2386" i="4"/>
  <c r="C2386" i="4"/>
  <c r="A2385" i="4"/>
  <c r="B2385" i="4"/>
  <c r="C2385" i="4"/>
  <c r="A2384" i="4"/>
  <c r="B2384" i="4"/>
  <c r="C2384" i="4"/>
  <c r="A2383" i="4"/>
  <c r="B2383" i="4"/>
  <c r="C2383" i="4"/>
  <c r="A2382" i="4"/>
  <c r="B2382" i="4"/>
  <c r="C2382" i="4"/>
  <c r="A2381" i="4"/>
  <c r="B2381" i="4"/>
  <c r="C2381" i="4"/>
  <c r="A2380" i="4"/>
  <c r="B2380" i="4"/>
  <c r="C2380" i="4"/>
  <c r="A2379" i="4"/>
  <c r="B2379" i="4"/>
  <c r="C2379" i="4"/>
  <c r="A2378" i="4"/>
  <c r="B2378" i="4"/>
  <c r="C2378" i="4"/>
  <c r="A2377" i="4"/>
  <c r="B2377" i="4"/>
  <c r="C2377" i="4"/>
  <c r="A2376" i="4"/>
  <c r="B2376" i="4"/>
  <c r="C2376" i="4"/>
  <c r="A2375" i="4"/>
  <c r="B2375" i="4"/>
  <c r="C2375" i="4"/>
  <c r="A2374" i="4"/>
  <c r="B2374" i="4"/>
  <c r="C2374" i="4"/>
  <c r="A2373" i="4"/>
  <c r="B2373" i="4"/>
  <c r="C2373" i="4"/>
  <c r="A2372" i="4"/>
  <c r="B2372" i="4"/>
  <c r="C2372" i="4"/>
  <c r="A2371" i="4"/>
  <c r="B2371" i="4"/>
  <c r="C2371" i="4"/>
  <c r="A2370" i="4"/>
  <c r="B2370" i="4"/>
  <c r="C2370" i="4"/>
  <c r="A2369" i="4"/>
  <c r="B2369" i="4"/>
  <c r="C2369" i="4"/>
  <c r="A2368" i="4"/>
  <c r="B2368" i="4"/>
  <c r="C2368" i="4"/>
  <c r="A2367" i="4"/>
  <c r="B2367" i="4"/>
  <c r="C2367" i="4"/>
  <c r="A2366" i="4"/>
  <c r="B2366" i="4"/>
  <c r="C2366" i="4"/>
  <c r="A2365" i="4"/>
  <c r="B2365" i="4"/>
  <c r="C2365" i="4"/>
  <c r="A2364" i="4"/>
  <c r="B2364" i="4"/>
  <c r="C2364" i="4"/>
  <c r="A2363" i="4"/>
  <c r="B2363" i="4"/>
  <c r="C2363" i="4"/>
  <c r="A2362" i="4"/>
  <c r="B2362" i="4"/>
  <c r="C2362" i="4"/>
  <c r="A2361" i="4"/>
  <c r="B2361" i="4"/>
  <c r="C2361" i="4"/>
  <c r="A2360" i="4"/>
  <c r="B2360" i="4"/>
  <c r="C2360" i="4"/>
  <c r="A2359" i="4"/>
  <c r="B2359" i="4"/>
  <c r="C2359" i="4"/>
  <c r="A2358" i="4"/>
  <c r="B2358" i="4"/>
  <c r="C2358" i="4"/>
  <c r="A2357" i="4"/>
  <c r="B2357" i="4"/>
  <c r="C2357" i="4"/>
  <c r="A2356" i="4"/>
  <c r="B2356" i="4"/>
  <c r="C2356" i="4"/>
  <c r="A2355" i="4"/>
  <c r="B2355" i="4"/>
  <c r="C2355" i="4"/>
  <c r="A2354" i="4"/>
  <c r="B2354" i="4"/>
  <c r="C2354" i="4"/>
  <c r="A2353" i="4"/>
  <c r="B2353" i="4"/>
  <c r="C2353" i="4"/>
  <c r="A2352" i="4"/>
  <c r="B2352" i="4"/>
  <c r="C2352" i="4"/>
  <c r="A2351" i="4"/>
  <c r="B2351" i="4"/>
  <c r="C2351" i="4"/>
  <c r="A2350" i="4"/>
  <c r="B2350" i="4"/>
  <c r="C2350" i="4"/>
  <c r="A2349" i="4"/>
  <c r="B2349" i="4"/>
  <c r="C2349" i="4"/>
  <c r="A2348" i="4"/>
  <c r="B2348" i="4"/>
  <c r="C2348" i="4"/>
  <c r="A2347" i="4"/>
  <c r="B2347" i="4"/>
  <c r="C2347" i="4"/>
  <c r="A2346" i="4"/>
  <c r="B2346" i="4"/>
  <c r="C2346" i="4"/>
  <c r="A2345" i="4"/>
  <c r="B2345" i="4"/>
  <c r="C2345" i="4"/>
  <c r="A2344" i="4"/>
  <c r="B2344" i="4"/>
  <c r="C2344" i="4"/>
  <c r="A2343" i="4"/>
  <c r="B2343" i="4"/>
  <c r="C2343" i="4"/>
  <c r="A2342" i="4"/>
  <c r="B2342" i="4"/>
  <c r="C2342" i="4"/>
  <c r="A2341" i="4"/>
  <c r="B2341" i="4"/>
  <c r="C2341" i="4"/>
  <c r="A2340" i="4"/>
  <c r="B2340" i="4"/>
  <c r="C2340" i="4"/>
  <c r="A2339" i="4"/>
  <c r="B2339" i="4"/>
  <c r="C2339" i="4"/>
  <c r="A2338" i="4"/>
  <c r="B2338" i="4"/>
  <c r="C2338" i="4"/>
  <c r="A2337" i="4"/>
  <c r="B2337" i="4"/>
  <c r="C2337" i="4"/>
  <c r="A2336" i="4"/>
  <c r="B2336" i="4"/>
  <c r="C2336" i="4"/>
  <c r="A2335" i="4"/>
  <c r="B2335" i="4"/>
  <c r="C2335" i="4"/>
  <c r="A2334" i="4"/>
  <c r="B2334" i="4"/>
  <c r="C2334" i="4"/>
  <c r="A2333" i="4"/>
  <c r="B2333" i="4"/>
  <c r="C2333" i="4"/>
  <c r="A2332" i="4"/>
  <c r="B2332" i="4"/>
  <c r="C2332" i="4"/>
  <c r="A2331" i="4"/>
  <c r="B2331" i="4"/>
  <c r="C2331" i="4"/>
  <c r="A2330" i="4"/>
  <c r="B2330" i="4"/>
  <c r="C2330" i="4"/>
  <c r="A2329" i="4"/>
  <c r="B2329" i="4"/>
  <c r="C2329" i="4"/>
  <c r="A2328" i="4"/>
  <c r="B2328" i="4"/>
  <c r="C2328" i="4"/>
  <c r="A2327" i="4"/>
  <c r="B2327" i="4"/>
  <c r="C2327" i="4"/>
  <c r="A2326" i="4"/>
  <c r="B2326" i="4"/>
  <c r="C2326" i="4"/>
  <c r="A2325" i="4"/>
  <c r="B2325" i="4"/>
  <c r="C2325" i="4"/>
  <c r="A2324" i="4"/>
  <c r="B2324" i="4"/>
  <c r="C2324" i="4"/>
  <c r="A2323" i="4"/>
  <c r="B2323" i="4"/>
  <c r="C2323" i="4"/>
  <c r="A2322" i="4"/>
  <c r="B2322" i="4"/>
  <c r="C2322" i="4"/>
  <c r="A2321" i="4"/>
  <c r="B2321" i="4"/>
  <c r="C2321" i="4"/>
  <c r="A2320" i="4"/>
  <c r="B2320" i="4"/>
  <c r="C2320" i="4"/>
  <c r="A2319" i="4"/>
  <c r="B2319" i="4"/>
  <c r="C2319" i="4"/>
  <c r="A2318" i="4"/>
  <c r="B2318" i="4"/>
  <c r="C2318" i="4"/>
  <c r="A2317" i="4"/>
  <c r="B2317" i="4"/>
  <c r="C2317" i="4"/>
  <c r="A2316" i="4"/>
  <c r="B2316" i="4"/>
  <c r="C2316" i="4"/>
  <c r="A2315" i="4"/>
  <c r="B2315" i="4"/>
  <c r="C2315" i="4"/>
  <c r="A2314" i="4"/>
  <c r="B2314" i="4"/>
  <c r="C2314" i="4"/>
  <c r="A2313" i="4"/>
  <c r="B2313" i="4"/>
  <c r="C2313" i="4"/>
  <c r="A2312" i="4"/>
  <c r="B2312" i="4"/>
  <c r="C2312" i="4"/>
  <c r="A2311" i="4"/>
  <c r="B2311" i="4"/>
  <c r="C2311" i="4"/>
  <c r="A2310" i="4"/>
  <c r="B2310" i="4"/>
  <c r="C2310" i="4"/>
  <c r="A2309" i="4"/>
  <c r="B2309" i="4"/>
  <c r="C2309" i="4"/>
  <c r="A2308" i="4"/>
  <c r="B2308" i="4"/>
  <c r="C2308" i="4"/>
  <c r="A2307" i="4"/>
  <c r="B2307" i="4"/>
  <c r="C2307" i="4"/>
  <c r="A2306" i="4"/>
  <c r="B2306" i="4"/>
  <c r="C2306" i="4"/>
  <c r="A2305" i="4"/>
  <c r="B2305" i="4"/>
  <c r="C2305" i="4"/>
  <c r="A2304" i="4"/>
  <c r="B2304" i="4"/>
  <c r="C2304" i="4"/>
  <c r="A2303" i="4"/>
  <c r="B2303" i="4"/>
  <c r="C2303" i="4"/>
  <c r="A2302" i="4"/>
  <c r="B2302" i="4"/>
  <c r="C2302" i="4"/>
  <c r="A2301" i="4"/>
  <c r="B2301" i="4"/>
  <c r="C2301" i="4"/>
  <c r="A2300" i="4"/>
  <c r="B2300" i="4"/>
  <c r="C2300" i="4"/>
  <c r="A2299" i="4"/>
  <c r="B2299" i="4"/>
  <c r="C2299" i="4"/>
  <c r="A2298" i="4"/>
  <c r="B2298" i="4"/>
  <c r="C2298" i="4"/>
  <c r="A2297" i="4"/>
  <c r="B2297" i="4"/>
  <c r="C2297" i="4"/>
  <c r="A2296" i="4"/>
  <c r="B2296" i="4"/>
  <c r="C2296" i="4"/>
  <c r="A2295" i="4"/>
  <c r="B2295" i="4"/>
  <c r="C2295" i="4"/>
  <c r="A2294" i="4"/>
  <c r="B2294" i="4"/>
  <c r="C2294" i="4"/>
  <c r="A2293" i="4"/>
  <c r="B2293" i="4"/>
  <c r="C2293" i="4"/>
  <c r="A2292" i="4"/>
  <c r="B2292" i="4"/>
  <c r="C2292" i="4"/>
  <c r="A2291" i="4"/>
  <c r="B2291" i="4"/>
  <c r="C2291" i="4"/>
  <c r="A2290" i="4"/>
  <c r="B2290" i="4"/>
  <c r="C2290" i="4"/>
  <c r="A2289" i="4"/>
  <c r="B2289" i="4"/>
  <c r="C2289" i="4"/>
  <c r="A2288" i="4"/>
  <c r="B2288" i="4"/>
  <c r="C2288" i="4"/>
  <c r="A2287" i="4"/>
  <c r="B2287" i="4"/>
  <c r="C2287" i="4"/>
  <c r="A2286" i="4"/>
  <c r="B2286" i="4"/>
  <c r="C2286" i="4"/>
  <c r="A2285" i="4"/>
  <c r="B2285" i="4"/>
  <c r="C2285" i="4"/>
  <c r="A2284" i="4"/>
  <c r="B2284" i="4"/>
  <c r="C2284" i="4"/>
  <c r="A2283" i="4"/>
  <c r="B2283" i="4"/>
  <c r="C2283" i="4"/>
  <c r="A2282" i="4"/>
  <c r="B2282" i="4"/>
  <c r="C2282" i="4"/>
  <c r="A2281" i="4"/>
  <c r="B2281" i="4"/>
  <c r="C2281" i="4"/>
  <c r="A2280" i="4"/>
  <c r="B2280" i="4"/>
  <c r="C2280" i="4"/>
  <c r="A2279" i="4"/>
  <c r="B2279" i="4"/>
  <c r="C2279" i="4"/>
  <c r="A2278" i="4"/>
  <c r="B2278" i="4"/>
  <c r="C2278" i="4"/>
  <c r="A2277" i="4"/>
  <c r="B2277" i="4"/>
  <c r="C2277" i="4"/>
  <c r="A2276" i="4"/>
  <c r="B2276" i="4"/>
  <c r="C2276" i="4"/>
  <c r="A2275" i="4"/>
  <c r="B2275" i="4"/>
  <c r="C2275" i="4"/>
  <c r="A2274" i="4"/>
  <c r="B2274" i="4"/>
  <c r="C2274" i="4"/>
  <c r="A2273" i="4"/>
  <c r="B2273" i="4"/>
  <c r="C2273" i="4"/>
  <c r="A2272" i="4"/>
  <c r="B2272" i="4"/>
  <c r="C2272" i="4"/>
  <c r="A2271" i="4"/>
  <c r="B2271" i="4"/>
  <c r="C2271" i="4"/>
  <c r="A2270" i="4"/>
  <c r="B2270" i="4"/>
  <c r="C2270" i="4"/>
  <c r="A2269" i="4"/>
  <c r="B2269" i="4"/>
  <c r="C2269" i="4"/>
  <c r="A2268" i="4"/>
  <c r="B2268" i="4"/>
  <c r="C2268" i="4"/>
  <c r="A2267" i="4"/>
  <c r="B2267" i="4"/>
  <c r="C2267" i="4"/>
  <c r="A2266" i="4"/>
  <c r="B2266" i="4"/>
  <c r="C2266" i="4"/>
  <c r="A2265" i="4"/>
  <c r="B2265" i="4"/>
  <c r="C2265" i="4"/>
  <c r="A2264" i="4"/>
  <c r="B2264" i="4"/>
  <c r="C2264" i="4"/>
  <c r="A2263" i="4"/>
  <c r="B2263" i="4"/>
  <c r="C2263" i="4"/>
  <c r="A2262" i="4"/>
  <c r="B2262" i="4"/>
  <c r="C2262" i="4"/>
  <c r="A2261" i="4"/>
  <c r="B2261" i="4"/>
  <c r="C2261" i="4"/>
  <c r="A2260" i="4"/>
  <c r="B2260" i="4"/>
  <c r="C2260" i="4"/>
  <c r="A2259" i="4"/>
  <c r="B2259" i="4"/>
  <c r="C2259" i="4"/>
  <c r="A2258" i="4"/>
  <c r="B2258" i="4"/>
  <c r="C2258" i="4"/>
  <c r="A2257" i="4"/>
  <c r="B2257" i="4"/>
  <c r="C2257" i="4"/>
  <c r="A2256" i="4"/>
  <c r="B2256" i="4"/>
  <c r="C2256" i="4"/>
  <c r="A2255" i="4"/>
  <c r="B2255" i="4"/>
  <c r="C2255" i="4"/>
  <c r="A2254" i="4"/>
  <c r="B2254" i="4"/>
  <c r="C2254" i="4"/>
  <c r="A2253" i="4"/>
  <c r="B2253" i="4"/>
  <c r="C2253" i="4"/>
  <c r="A2252" i="4"/>
  <c r="B2252" i="4"/>
  <c r="C2252" i="4"/>
  <c r="A2251" i="4"/>
  <c r="B2251" i="4"/>
  <c r="C2251" i="4"/>
  <c r="A2250" i="4"/>
  <c r="B2250" i="4"/>
  <c r="C2250" i="4"/>
  <c r="A2249" i="4"/>
  <c r="B2249" i="4"/>
  <c r="C2249" i="4"/>
  <c r="A2248" i="4"/>
  <c r="B2248" i="4"/>
  <c r="C2248" i="4"/>
  <c r="A2247" i="4"/>
  <c r="B2247" i="4"/>
  <c r="C2247" i="4"/>
  <c r="A2246" i="4"/>
  <c r="B2246" i="4"/>
  <c r="C2246" i="4"/>
  <c r="A2245" i="4"/>
  <c r="B2245" i="4"/>
  <c r="C2245" i="4"/>
  <c r="A2244" i="4"/>
  <c r="B2244" i="4"/>
  <c r="C2244" i="4"/>
  <c r="A2243" i="4"/>
  <c r="B2243" i="4"/>
  <c r="C2243" i="4"/>
  <c r="A2242" i="4"/>
  <c r="B2242" i="4"/>
  <c r="C2242" i="4"/>
  <c r="A2241" i="4"/>
  <c r="B2241" i="4"/>
  <c r="C2241" i="4"/>
  <c r="A2240" i="4"/>
  <c r="B2240" i="4"/>
  <c r="C2240" i="4"/>
  <c r="A2239" i="4"/>
  <c r="B2239" i="4"/>
  <c r="C2239" i="4"/>
  <c r="A2238" i="4"/>
  <c r="B2238" i="4"/>
  <c r="C2238" i="4"/>
  <c r="A2237" i="4"/>
  <c r="B2237" i="4"/>
  <c r="C2237" i="4"/>
  <c r="A2236" i="4"/>
  <c r="B2236" i="4"/>
  <c r="C2236" i="4"/>
  <c r="A2235" i="4"/>
  <c r="B2235" i="4"/>
  <c r="C2235" i="4"/>
  <c r="A2234" i="4"/>
  <c r="B2234" i="4"/>
  <c r="C2234" i="4"/>
  <c r="A2233" i="4"/>
  <c r="B2233" i="4"/>
  <c r="C2233" i="4"/>
  <c r="A2232" i="4"/>
  <c r="B2232" i="4"/>
  <c r="C2232" i="4"/>
  <c r="A2231" i="4"/>
  <c r="B2231" i="4"/>
  <c r="C2231" i="4"/>
  <c r="A2230" i="4"/>
  <c r="B2230" i="4"/>
  <c r="C2230" i="4"/>
  <c r="A2229" i="4"/>
  <c r="B2229" i="4"/>
  <c r="C2229" i="4"/>
  <c r="A2228" i="4"/>
  <c r="B2228" i="4"/>
  <c r="C2228" i="4"/>
  <c r="A2227" i="4"/>
  <c r="B2227" i="4"/>
  <c r="C2227" i="4"/>
  <c r="A2226" i="4"/>
  <c r="B2226" i="4"/>
  <c r="C2226" i="4"/>
  <c r="A2225" i="4"/>
  <c r="B2225" i="4"/>
  <c r="C2225" i="4"/>
  <c r="A2224" i="4"/>
  <c r="B2224" i="4"/>
  <c r="C2224" i="4"/>
  <c r="A2223" i="4"/>
  <c r="B2223" i="4"/>
  <c r="C2223" i="4"/>
  <c r="A2222" i="4"/>
  <c r="B2222" i="4"/>
  <c r="C2222" i="4"/>
  <c r="A2221" i="4"/>
  <c r="B2221" i="4"/>
  <c r="C2221" i="4"/>
  <c r="A2220" i="4"/>
  <c r="B2220" i="4"/>
  <c r="C2220" i="4"/>
  <c r="A2219" i="4"/>
  <c r="B2219" i="4"/>
  <c r="C2219" i="4"/>
  <c r="A2218" i="4"/>
  <c r="B2218" i="4"/>
  <c r="C2218" i="4"/>
  <c r="A2217" i="4"/>
  <c r="B2217" i="4"/>
  <c r="C2217" i="4"/>
  <c r="A2216" i="4"/>
  <c r="B2216" i="4"/>
  <c r="C2216" i="4"/>
  <c r="A2215" i="4"/>
  <c r="B2215" i="4"/>
  <c r="C2215" i="4"/>
  <c r="A2214" i="4"/>
  <c r="B2214" i="4"/>
  <c r="C2214" i="4"/>
  <c r="A2213" i="4"/>
  <c r="B2213" i="4"/>
  <c r="C2213" i="4"/>
  <c r="A2212" i="4"/>
  <c r="B2212" i="4"/>
  <c r="C2212" i="4"/>
  <c r="A2211" i="4"/>
  <c r="B2211" i="4"/>
  <c r="C2211" i="4"/>
  <c r="A2210" i="4"/>
  <c r="B2210" i="4"/>
  <c r="C2210" i="4"/>
  <c r="A2209" i="4"/>
  <c r="B2209" i="4"/>
  <c r="C2209" i="4"/>
  <c r="A2208" i="4"/>
  <c r="B2208" i="4"/>
  <c r="C2208" i="4"/>
  <c r="A2207" i="4"/>
  <c r="B2207" i="4"/>
  <c r="C2207" i="4"/>
  <c r="A2206" i="4"/>
  <c r="B2206" i="4"/>
  <c r="C2206" i="4"/>
  <c r="A2205" i="4"/>
  <c r="B2205" i="4"/>
  <c r="C2205" i="4"/>
  <c r="A2204" i="4"/>
  <c r="B2204" i="4"/>
  <c r="C2204" i="4"/>
  <c r="A2203" i="4"/>
  <c r="B2203" i="4"/>
  <c r="C2203" i="4"/>
  <c r="A2202" i="4"/>
  <c r="B2202" i="4"/>
  <c r="C2202" i="4"/>
  <c r="A2201" i="4"/>
  <c r="B2201" i="4"/>
  <c r="C2201" i="4"/>
  <c r="A2200" i="4"/>
  <c r="B2200" i="4"/>
  <c r="C2200" i="4"/>
  <c r="A2199" i="4"/>
  <c r="B2199" i="4"/>
  <c r="C2199" i="4"/>
  <c r="A2198" i="4"/>
  <c r="B2198" i="4"/>
  <c r="C2198" i="4"/>
  <c r="A2197" i="4"/>
  <c r="B2197" i="4"/>
  <c r="C2197" i="4"/>
  <c r="A2196" i="4"/>
  <c r="B2196" i="4"/>
  <c r="C2196" i="4"/>
  <c r="A2195" i="4"/>
  <c r="B2195" i="4"/>
  <c r="C2195" i="4"/>
  <c r="A2194" i="4"/>
  <c r="B2194" i="4"/>
  <c r="C2194" i="4"/>
  <c r="A2193" i="4"/>
  <c r="B2193" i="4"/>
  <c r="C2193" i="4"/>
  <c r="A2192" i="4"/>
  <c r="B2192" i="4"/>
  <c r="C2192" i="4"/>
  <c r="A2191" i="4"/>
  <c r="B2191" i="4"/>
  <c r="C2191" i="4"/>
  <c r="A2190" i="4"/>
  <c r="B2190" i="4"/>
  <c r="C2190" i="4"/>
  <c r="A2189" i="4"/>
  <c r="B2189" i="4"/>
  <c r="C2189" i="4"/>
  <c r="A2188" i="4"/>
  <c r="B2188" i="4"/>
  <c r="C2188" i="4"/>
  <c r="A2187" i="4"/>
  <c r="B2187" i="4"/>
  <c r="C2187" i="4"/>
  <c r="A2186" i="4"/>
  <c r="B2186" i="4"/>
  <c r="C2186" i="4"/>
  <c r="A2185" i="4"/>
  <c r="B2185" i="4"/>
  <c r="C2185" i="4"/>
  <c r="A2184" i="4"/>
  <c r="B2184" i="4"/>
  <c r="C2184" i="4"/>
  <c r="A2183" i="4"/>
  <c r="B2183" i="4"/>
  <c r="C2183" i="4"/>
  <c r="A2182" i="4"/>
  <c r="B2182" i="4"/>
  <c r="C2182" i="4"/>
  <c r="A2181" i="4"/>
  <c r="B2181" i="4"/>
  <c r="C2181" i="4"/>
  <c r="A2180" i="4"/>
  <c r="B2180" i="4"/>
  <c r="C2180" i="4"/>
  <c r="A2179" i="4"/>
  <c r="B2179" i="4"/>
  <c r="C2179" i="4"/>
  <c r="A2178" i="4"/>
  <c r="B2178" i="4"/>
  <c r="C2178" i="4"/>
  <c r="A2177" i="4"/>
  <c r="B2177" i="4"/>
  <c r="C2177" i="4"/>
  <c r="A2176" i="4"/>
  <c r="B2176" i="4"/>
  <c r="C2176" i="4"/>
  <c r="A2175" i="4"/>
  <c r="B2175" i="4"/>
  <c r="C2175" i="4"/>
  <c r="A2174" i="4"/>
  <c r="B2174" i="4"/>
  <c r="C2174" i="4"/>
  <c r="A2173" i="4"/>
  <c r="B2173" i="4"/>
  <c r="C2173" i="4"/>
  <c r="A2172" i="4"/>
  <c r="B2172" i="4"/>
  <c r="C2172" i="4"/>
  <c r="A2171" i="4"/>
  <c r="B2171" i="4"/>
  <c r="C2171" i="4"/>
  <c r="A2170" i="4"/>
  <c r="B2170" i="4"/>
  <c r="C2170" i="4"/>
  <c r="A2169" i="4"/>
  <c r="B2169" i="4"/>
  <c r="C2169" i="4"/>
  <c r="A2168" i="4"/>
  <c r="B2168" i="4"/>
  <c r="C2168" i="4"/>
  <c r="A2167" i="4"/>
  <c r="B2167" i="4"/>
  <c r="C2167" i="4"/>
  <c r="A2166" i="4"/>
  <c r="B2166" i="4"/>
  <c r="C2166" i="4"/>
  <c r="A2165" i="4"/>
  <c r="B2165" i="4"/>
  <c r="C2165" i="4"/>
  <c r="A2164" i="4"/>
  <c r="B2164" i="4"/>
  <c r="C2164" i="4"/>
  <c r="A2163" i="4"/>
  <c r="B2163" i="4"/>
  <c r="C2163" i="4"/>
  <c r="A2162" i="4"/>
  <c r="B2162" i="4"/>
  <c r="C2162" i="4"/>
  <c r="A2161" i="4"/>
  <c r="B2161" i="4"/>
  <c r="C2161" i="4"/>
  <c r="A2160" i="4"/>
  <c r="B2160" i="4"/>
  <c r="C2160" i="4"/>
  <c r="A2159" i="4"/>
  <c r="B2159" i="4"/>
  <c r="C2159" i="4"/>
  <c r="A2158" i="4"/>
  <c r="B2158" i="4"/>
  <c r="C2158" i="4"/>
  <c r="A2157" i="4"/>
  <c r="B2157" i="4"/>
  <c r="C2157" i="4"/>
  <c r="A2156" i="4"/>
  <c r="B2156" i="4"/>
  <c r="C2156" i="4"/>
  <c r="A2155" i="4"/>
  <c r="B2155" i="4"/>
  <c r="C2155" i="4"/>
  <c r="A2154" i="4"/>
  <c r="B2154" i="4"/>
  <c r="C2154" i="4"/>
  <c r="A2153" i="4"/>
  <c r="B2153" i="4"/>
  <c r="C2153" i="4"/>
  <c r="A2152" i="4"/>
  <c r="B2152" i="4"/>
  <c r="C2152" i="4"/>
  <c r="A2151" i="4"/>
  <c r="B2151" i="4"/>
  <c r="C2151" i="4"/>
  <c r="A2150" i="4"/>
  <c r="B2150" i="4"/>
  <c r="C2150" i="4"/>
  <c r="A2149" i="4"/>
  <c r="B2149" i="4"/>
  <c r="C2149" i="4"/>
  <c r="A2148" i="4"/>
  <c r="B2148" i="4"/>
  <c r="C2148" i="4"/>
  <c r="A2147" i="4"/>
  <c r="B2147" i="4"/>
  <c r="C2147" i="4"/>
  <c r="A2146" i="4"/>
  <c r="B2146" i="4"/>
  <c r="C2146" i="4"/>
  <c r="A2145" i="4"/>
  <c r="B2145" i="4"/>
  <c r="C2145" i="4"/>
  <c r="A2144" i="4"/>
  <c r="B2144" i="4"/>
  <c r="C2144" i="4"/>
  <c r="A2143" i="4"/>
  <c r="B2143" i="4"/>
  <c r="C2143" i="4"/>
  <c r="A2142" i="4"/>
  <c r="B2142" i="4"/>
  <c r="C2142" i="4"/>
  <c r="A2141" i="4"/>
  <c r="B2141" i="4"/>
  <c r="C2141" i="4"/>
  <c r="A2140" i="4"/>
  <c r="B2140" i="4"/>
  <c r="C2140" i="4"/>
  <c r="A2139" i="4"/>
  <c r="B2139" i="4"/>
  <c r="C2139" i="4"/>
  <c r="A2138" i="4"/>
  <c r="B2138" i="4"/>
  <c r="C2138" i="4"/>
  <c r="A2137" i="4"/>
  <c r="B2137" i="4"/>
  <c r="C2137" i="4"/>
  <c r="A2136" i="4"/>
  <c r="B2136" i="4"/>
  <c r="C2136" i="4"/>
  <c r="A2135" i="4"/>
  <c r="B2135" i="4"/>
  <c r="C2135" i="4"/>
  <c r="A2134" i="4"/>
  <c r="B2134" i="4"/>
  <c r="C2134" i="4"/>
  <c r="A2133" i="4"/>
  <c r="B2133" i="4"/>
  <c r="C2133" i="4"/>
  <c r="A2132" i="4"/>
  <c r="B2132" i="4"/>
  <c r="C2132" i="4"/>
  <c r="A2131" i="4"/>
  <c r="B2131" i="4"/>
  <c r="C2131" i="4"/>
  <c r="A2130" i="4"/>
  <c r="B2130" i="4"/>
  <c r="C2130" i="4"/>
  <c r="A2129" i="4"/>
  <c r="B2129" i="4"/>
  <c r="C2129" i="4"/>
  <c r="A2128" i="4"/>
  <c r="B2128" i="4"/>
  <c r="C2128" i="4"/>
  <c r="A2127" i="4"/>
  <c r="B2127" i="4"/>
  <c r="C2127" i="4"/>
  <c r="A2126" i="4"/>
  <c r="B2126" i="4"/>
  <c r="C2126" i="4"/>
  <c r="A2125" i="4"/>
  <c r="B2125" i="4"/>
  <c r="C2125" i="4"/>
  <c r="A2124" i="4"/>
  <c r="B2124" i="4"/>
  <c r="C2124" i="4"/>
  <c r="A2123" i="4"/>
  <c r="B2123" i="4"/>
  <c r="C2123" i="4"/>
  <c r="A2122" i="4"/>
  <c r="B2122" i="4"/>
  <c r="C2122" i="4"/>
  <c r="A2121" i="4"/>
  <c r="B2121" i="4"/>
  <c r="C2121" i="4"/>
  <c r="A2120" i="4"/>
  <c r="B2120" i="4"/>
  <c r="C2120" i="4"/>
  <c r="A2119" i="4"/>
  <c r="B2119" i="4"/>
  <c r="C2119" i="4"/>
  <c r="A2118" i="4"/>
  <c r="B2118" i="4"/>
  <c r="C2118" i="4"/>
  <c r="A2117" i="4"/>
  <c r="B2117" i="4"/>
  <c r="C2117" i="4"/>
  <c r="A2116" i="4"/>
  <c r="B2116" i="4"/>
  <c r="C2116" i="4"/>
  <c r="A2115" i="4"/>
  <c r="B2115" i="4"/>
  <c r="C2115" i="4"/>
  <c r="A2114" i="4"/>
  <c r="B2114" i="4"/>
  <c r="C2114" i="4"/>
  <c r="A2113" i="4"/>
  <c r="B2113" i="4"/>
  <c r="C2113" i="4"/>
  <c r="A2112" i="4"/>
  <c r="B2112" i="4"/>
  <c r="C2112" i="4"/>
  <c r="A2111" i="4"/>
  <c r="B2111" i="4"/>
  <c r="C2111" i="4"/>
  <c r="A2110" i="4"/>
  <c r="B2110" i="4"/>
  <c r="C2110" i="4"/>
  <c r="A2109" i="4"/>
  <c r="B2109" i="4"/>
  <c r="C2109" i="4"/>
  <c r="A2108" i="4"/>
  <c r="B2108" i="4"/>
  <c r="C2108" i="4"/>
  <c r="A2107" i="4"/>
  <c r="B2107" i="4"/>
  <c r="C2107" i="4"/>
  <c r="A2106" i="4"/>
  <c r="B2106" i="4"/>
  <c r="C2106" i="4"/>
  <c r="A2105" i="4"/>
  <c r="B2105" i="4"/>
  <c r="C2105" i="4"/>
  <c r="A2104" i="4"/>
  <c r="B2104" i="4"/>
  <c r="C2104" i="4"/>
  <c r="A2103" i="4"/>
  <c r="B2103" i="4"/>
  <c r="C2103" i="4"/>
  <c r="A2102" i="4"/>
  <c r="B2102" i="4"/>
  <c r="C2102" i="4"/>
  <c r="A2101" i="4"/>
  <c r="B2101" i="4"/>
  <c r="C2101" i="4"/>
  <c r="A2100" i="4"/>
  <c r="B2100" i="4"/>
  <c r="C2100" i="4"/>
  <c r="A2099" i="4"/>
  <c r="B2099" i="4"/>
  <c r="C2099" i="4"/>
  <c r="A2098" i="4"/>
  <c r="B2098" i="4"/>
  <c r="C2098" i="4"/>
  <c r="A2097" i="4"/>
  <c r="B2097" i="4"/>
  <c r="C2097" i="4"/>
  <c r="A2096" i="4"/>
  <c r="B2096" i="4"/>
  <c r="C2096" i="4"/>
  <c r="A2095" i="4"/>
  <c r="B2095" i="4"/>
  <c r="C2095" i="4"/>
  <c r="A2094" i="4"/>
  <c r="B2094" i="4"/>
  <c r="C2094" i="4"/>
  <c r="A2093" i="4"/>
  <c r="B2093" i="4"/>
  <c r="C2093" i="4"/>
  <c r="A2092" i="4"/>
  <c r="B2092" i="4"/>
  <c r="C2092" i="4"/>
  <c r="A2091" i="4"/>
  <c r="B2091" i="4"/>
  <c r="C2091" i="4"/>
  <c r="A2090" i="4"/>
  <c r="B2090" i="4"/>
  <c r="C2090" i="4"/>
  <c r="A2089" i="4"/>
  <c r="B2089" i="4"/>
  <c r="C2089" i="4"/>
  <c r="A2088" i="4"/>
  <c r="B2088" i="4"/>
  <c r="C2088" i="4"/>
  <c r="A2087" i="4"/>
  <c r="B2087" i="4"/>
  <c r="C2087" i="4"/>
  <c r="A2086" i="4"/>
  <c r="B2086" i="4"/>
  <c r="C2086" i="4"/>
  <c r="A2085" i="4"/>
  <c r="B2085" i="4"/>
  <c r="C2085" i="4"/>
  <c r="A2084" i="4"/>
  <c r="B2084" i="4"/>
  <c r="C2084" i="4"/>
  <c r="A2083" i="4"/>
  <c r="B2083" i="4"/>
  <c r="C2083" i="4"/>
  <c r="A2082" i="4"/>
  <c r="B2082" i="4"/>
  <c r="C2082" i="4"/>
  <c r="A2081" i="4"/>
  <c r="B2081" i="4"/>
  <c r="C2081" i="4"/>
  <c r="A2080" i="4"/>
  <c r="B2080" i="4"/>
  <c r="C2080" i="4"/>
  <c r="A2079" i="4"/>
  <c r="B2079" i="4"/>
  <c r="C2079" i="4"/>
  <c r="A2078" i="4"/>
  <c r="B2078" i="4"/>
  <c r="C2078" i="4"/>
  <c r="A2077" i="4"/>
  <c r="B2077" i="4"/>
  <c r="C2077" i="4"/>
  <c r="A2076" i="4"/>
  <c r="B2076" i="4"/>
  <c r="C2076" i="4"/>
  <c r="A2075" i="4"/>
  <c r="B2075" i="4"/>
  <c r="C2075" i="4"/>
  <c r="A2074" i="4"/>
  <c r="B2074" i="4"/>
  <c r="C2074" i="4"/>
  <c r="A2073" i="4"/>
  <c r="B2073" i="4"/>
  <c r="C2073" i="4"/>
  <c r="A2072" i="4"/>
  <c r="B2072" i="4"/>
  <c r="C2072" i="4"/>
  <c r="A2071" i="4"/>
  <c r="B2071" i="4"/>
  <c r="C2071" i="4"/>
  <c r="A2070" i="4"/>
  <c r="B2070" i="4"/>
  <c r="C2070" i="4"/>
  <c r="A2069" i="4"/>
  <c r="B2069" i="4"/>
  <c r="C2069" i="4"/>
  <c r="A2068" i="4"/>
  <c r="B2068" i="4"/>
  <c r="C2068" i="4"/>
  <c r="A2067" i="4"/>
  <c r="B2067" i="4"/>
  <c r="C2067" i="4"/>
  <c r="A2066" i="4"/>
  <c r="B2066" i="4"/>
  <c r="C2066" i="4"/>
  <c r="A2065" i="4"/>
  <c r="B2065" i="4"/>
  <c r="C2065" i="4"/>
  <c r="A2064" i="4"/>
  <c r="B2064" i="4"/>
  <c r="C2064" i="4"/>
  <c r="A2063" i="4"/>
  <c r="B2063" i="4"/>
  <c r="C2063" i="4"/>
  <c r="A2062" i="4"/>
  <c r="B2062" i="4"/>
  <c r="C2062" i="4"/>
  <c r="A2061" i="4"/>
  <c r="B2061" i="4"/>
  <c r="C2061" i="4"/>
  <c r="A2060" i="4"/>
  <c r="B2060" i="4"/>
  <c r="C2060" i="4"/>
  <c r="A2059" i="4"/>
  <c r="B2059" i="4"/>
  <c r="C2059" i="4"/>
  <c r="A2058" i="4"/>
  <c r="B2058" i="4"/>
  <c r="C2058" i="4"/>
  <c r="A2057" i="4"/>
  <c r="B2057" i="4"/>
  <c r="C2057" i="4"/>
  <c r="A2056" i="4"/>
  <c r="B2056" i="4"/>
  <c r="C2056" i="4"/>
  <c r="A2055" i="4"/>
  <c r="B2055" i="4"/>
  <c r="C2055" i="4"/>
  <c r="A2054" i="4"/>
  <c r="B2054" i="4"/>
  <c r="C2054" i="4"/>
  <c r="A2053" i="4"/>
  <c r="B2053" i="4"/>
  <c r="C2053" i="4"/>
  <c r="A2052" i="4"/>
  <c r="B2052" i="4"/>
  <c r="C2052" i="4"/>
  <c r="A2051" i="4"/>
  <c r="B2051" i="4"/>
  <c r="C2051" i="4"/>
  <c r="A2050" i="4"/>
  <c r="B2050" i="4"/>
  <c r="C2050" i="4"/>
  <c r="A2049" i="4"/>
  <c r="B2049" i="4"/>
  <c r="C2049" i="4"/>
  <c r="A2048" i="4"/>
  <c r="B2048" i="4"/>
  <c r="C2048" i="4"/>
  <c r="A2047" i="4"/>
  <c r="B2047" i="4"/>
  <c r="C2047" i="4"/>
  <c r="A2046" i="4"/>
  <c r="B2046" i="4"/>
  <c r="C2046" i="4"/>
  <c r="A2045" i="4"/>
  <c r="B2045" i="4"/>
  <c r="C2045" i="4"/>
  <c r="A2044" i="4"/>
  <c r="B2044" i="4"/>
  <c r="C2044" i="4"/>
  <c r="A2043" i="4"/>
  <c r="B2043" i="4"/>
  <c r="C2043" i="4"/>
  <c r="A2042" i="4"/>
  <c r="B2042" i="4"/>
  <c r="C2042" i="4"/>
  <c r="A2041" i="4"/>
  <c r="B2041" i="4"/>
  <c r="C2041" i="4"/>
  <c r="A2040" i="4"/>
  <c r="B2040" i="4"/>
  <c r="C2040" i="4"/>
  <c r="A2039" i="4"/>
  <c r="B2039" i="4"/>
  <c r="C2039" i="4"/>
  <c r="A2038" i="4"/>
  <c r="B2038" i="4"/>
  <c r="C2038" i="4"/>
  <c r="A2037" i="4"/>
  <c r="B2037" i="4"/>
  <c r="C2037" i="4"/>
  <c r="A2036" i="4"/>
  <c r="B2036" i="4"/>
  <c r="C2036" i="4"/>
  <c r="A2035" i="4"/>
  <c r="B2035" i="4"/>
  <c r="C2035" i="4"/>
  <c r="A2034" i="4"/>
  <c r="B2034" i="4"/>
  <c r="C2034" i="4"/>
  <c r="A2033" i="4"/>
  <c r="B2033" i="4"/>
  <c r="C2033" i="4"/>
  <c r="A2032" i="4"/>
  <c r="B2032" i="4"/>
  <c r="C2032" i="4"/>
  <c r="A2031" i="4"/>
  <c r="B2031" i="4"/>
  <c r="C2031" i="4"/>
  <c r="A2030" i="4"/>
  <c r="B2030" i="4"/>
  <c r="C2030" i="4"/>
  <c r="A2029" i="4"/>
  <c r="B2029" i="4"/>
  <c r="C2029" i="4"/>
  <c r="A2028" i="4"/>
  <c r="B2028" i="4"/>
  <c r="C2028" i="4"/>
  <c r="A2027" i="4"/>
  <c r="B2027" i="4"/>
  <c r="C2027" i="4"/>
  <c r="A2026" i="4"/>
  <c r="B2026" i="4"/>
  <c r="C2026" i="4"/>
  <c r="A2025" i="4"/>
  <c r="B2025" i="4"/>
  <c r="C2025" i="4"/>
  <c r="A2024" i="4"/>
  <c r="B2024" i="4"/>
  <c r="C2024" i="4"/>
  <c r="A2023" i="4"/>
  <c r="B2023" i="4"/>
  <c r="C2023" i="4"/>
  <c r="A2022" i="4"/>
  <c r="B2022" i="4"/>
  <c r="C2022" i="4"/>
  <c r="A2021" i="4"/>
  <c r="B2021" i="4"/>
  <c r="C2021" i="4"/>
  <c r="A2020" i="4"/>
  <c r="B2020" i="4"/>
  <c r="C2020" i="4"/>
  <c r="A2019" i="4"/>
  <c r="B2019" i="4"/>
  <c r="C2019" i="4"/>
  <c r="A2018" i="4"/>
  <c r="B2018" i="4"/>
  <c r="C2018" i="4"/>
  <c r="A2017" i="4"/>
  <c r="B2017" i="4"/>
  <c r="C2017" i="4"/>
  <c r="A2016" i="4"/>
  <c r="B2016" i="4"/>
  <c r="C2016" i="4"/>
  <c r="A2015" i="4"/>
  <c r="B2015" i="4"/>
  <c r="C2015" i="4"/>
  <c r="A2014" i="4"/>
  <c r="B2014" i="4"/>
  <c r="C2014" i="4"/>
  <c r="A2013" i="4"/>
  <c r="B2013" i="4"/>
  <c r="C2013" i="4"/>
  <c r="A2012" i="4"/>
  <c r="B2012" i="4"/>
  <c r="C2012" i="4"/>
  <c r="A2011" i="4"/>
  <c r="B2011" i="4"/>
  <c r="C2011" i="4"/>
  <c r="A2010" i="4"/>
  <c r="B2010" i="4"/>
  <c r="C2010" i="4"/>
  <c r="A2009" i="4"/>
  <c r="B2009" i="4"/>
  <c r="C2009" i="4"/>
  <c r="A2008" i="4"/>
  <c r="B2008" i="4"/>
  <c r="C2008" i="4"/>
  <c r="A2007" i="4"/>
  <c r="B2007" i="4"/>
  <c r="C2007" i="4"/>
  <c r="A2006" i="4"/>
  <c r="B2006" i="4"/>
  <c r="C2006" i="4"/>
  <c r="A2005" i="4"/>
  <c r="B2005" i="4"/>
  <c r="C2005" i="4"/>
  <c r="A2004" i="4"/>
  <c r="B2004" i="4"/>
  <c r="C2004" i="4"/>
  <c r="A2003" i="4"/>
  <c r="B2003" i="4"/>
  <c r="C2003" i="4"/>
  <c r="A2002" i="4"/>
  <c r="B2002" i="4"/>
  <c r="C2002" i="4"/>
  <c r="A2001" i="4"/>
  <c r="B2001" i="4"/>
  <c r="C2001" i="4"/>
  <c r="A2000" i="4"/>
  <c r="B2000" i="4"/>
  <c r="C2000" i="4"/>
  <c r="A1999" i="4"/>
  <c r="B1999" i="4"/>
  <c r="C1999" i="4"/>
  <c r="A1998" i="4"/>
  <c r="B1998" i="4"/>
  <c r="C1998" i="4"/>
  <c r="A1997" i="4"/>
  <c r="B1997" i="4"/>
  <c r="C1997" i="4"/>
  <c r="A1996" i="4"/>
  <c r="B1996" i="4"/>
  <c r="C1996" i="4"/>
  <c r="A1995" i="4"/>
  <c r="B1995" i="4"/>
  <c r="C1995" i="4"/>
  <c r="A1994" i="4"/>
  <c r="B1994" i="4"/>
  <c r="C1994" i="4"/>
  <c r="A1993" i="4"/>
  <c r="B1993" i="4"/>
  <c r="C1993" i="4"/>
  <c r="A1992" i="4"/>
  <c r="B1992" i="4"/>
  <c r="C1992" i="4"/>
  <c r="A1991" i="4"/>
  <c r="B1991" i="4"/>
  <c r="C1991" i="4"/>
  <c r="A1990" i="4"/>
  <c r="B1990" i="4"/>
  <c r="C1990" i="4"/>
  <c r="A1989" i="4"/>
  <c r="B1989" i="4"/>
  <c r="C1989" i="4"/>
  <c r="A1988" i="4"/>
  <c r="B1988" i="4"/>
  <c r="C1988" i="4"/>
  <c r="A1987" i="4"/>
  <c r="B1987" i="4"/>
  <c r="C1987" i="4"/>
  <c r="A1986" i="4"/>
  <c r="B1986" i="4"/>
  <c r="C1986" i="4"/>
  <c r="A1985" i="4"/>
  <c r="B1985" i="4"/>
  <c r="C1985" i="4"/>
  <c r="A1984" i="4"/>
  <c r="B1984" i="4"/>
  <c r="C1984" i="4"/>
  <c r="A1983" i="4"/>
  <c r="B1983" i="4"/>
  <c r="C1983" i="4"/>
  <c r="A1982" i="4"/>
  <c r="B1982" i="4"/>
  <c r="C1982" i="4"/>
  <c r="A1981" i="4"/>
  <c r="B1981" i="4"/>
  <c r="C1981" i="4"/>
  <c r="A1980" i="4"/>
  <c r="B1980" i="4"/>
  <c r="C1980" i="4"/>
  <c r="A1979" i="4"/>
  <c r="B1979" i="4"/>
  <c r="C1979" i="4"/>
  <c r="A1978" i="4"/>
  <c r="B1978" i="4"/>
  <c r="C1978" i="4"/>
  <c r="A1977" i="4"/>
  <c r="B1977" i="4"/>
  <c r="C1977" i="4"/>
  <c r="A1976" i="4"/>
  <c r="B1976" i="4"/>
  <c r="C1976" i="4"/>
  <c r="A1975" i="4"/>
  <c r="B1975" i="4"/>
  <c r="C1975" i="4"/>
  <c r="A1974" i="4"/>
  <c r="B1974" i="4"/>
  <c r="C1974" i="4"/>
  <c r="A1973" i="4"/>
  <c r="B1973" i="4"/>
  <c r="C1973" i="4"/>
  <c r="A1972" i="4"/>
  <c r="B1972" i="4"/>
  <c r="C1972" i="4"/>
  <c r="A1971" i="4"/>
  <c r="B1971" i="4"/>
  <c r="C1971" i="4"/>
  <c r="A1970" i="4"/>
  <c r="B1970" i="4"/>
  <c r="C1970" i="4"/>
  <c r="A1969" i="4"/>
  <c r="B1969" i="4"/>
  <c r="C1969" i="4"/>
  <c r="A1968" i="4"/>
  <c r="B1968" i="4"/>
  <c r="C1968" i="4"/>
  <c r="A1967" i="4"/>
  <c r="B1967" i="4"/>
  <c r="C1967" i="4"/>
  <c r="A1966" i="4"/>
  <c r="B1966" i="4"/>
  <c r="C1966" i="4"/>
  <c r="A1965" i="4"/>
  <c r="B1965" i="4"/>
  <c r="C1965" i="4"/>
  <c r="A1964" i="4"/>
  <c r="B1964" i="4"/>
  <c r="C1964" i="4"/>
  <c r="A1963" i="4"/>
  <c r="B1963" i="4"/>
  <c r="C1963" i="4"/>
  <c r="A1962" i="4"/>
  <c r="B1962" i="4"/>
  <c r="C1962" i="4"/>
  <c r="A1961" i="4"/>
  <c r="B1961" i="4"/>
  <c r="C1961" i="4"/>
  <c r="A1960" i="4"/>
  <c r="B1960" i="4"/>
  <c r="C1960" i="4"/>
  <c r="A1959" i="4"/>
  <c r="B1959" i="4"/>
  <c r="C1959" i="4"/>
  <c r="A1958" i="4"/>
  <c r="B1958" i="4"/>
  <c r="C1958" i="4"/>
  <c r="A1957" i="4"/>
  <c r="B1957" i="4"/>
  <c r="C1957" i="4"/>
  <c r="A1956" i="4"/>
  <c r="B1956" i="4"/>
  <c r="C1956" i="4"/>
  <c r="A1955" i="4"/>
  <c r="B1955" i="4"/>
  <c r="C1955" i="4"/>
  <c r="A1954" i="4"/>
  <c r="B1954" i="4"/>
  <c r="C1954" i="4"/>
  <c r="A1953" i="4"/>
  <c r="B1953" i="4"/>
  <c r="C1953" i="4"/>
  <c r="A1952" i="4"/>
  <c r="B1952" i="4"/>
  <c r="C1952" i="4"/>
  <c r="A1951" i="4"/>
  <c r="B1951" i="4"/>
  <c r="C1951" i="4"/>
  <c r="A1950" i="4"/>
  <c r="B1950" i="4"/>
  <c r="C1950" i="4"/>
  <c r="A1949" i="4"/>
  <c r="B1949" i="4"/>
  <c r="C1949" i="4"/>
  <c r="A1948" i="4"/>
  <c r="B1948" i="4"/>
  <c r="C1948" i="4"/>
  <c r="A1947" i="4"/>
  <c r="B1947" i="4"/>
  <c r="C1947" i="4"/>
  <c r="A1946" i="4"/>
  <c r="B1946" i="4"/>
  <c r="C1946" i="4"/>
  <c r="A1945" i="4"/>
  <c r="B1945" i="4"/>
  <c r="C1945" i="4"/>
  <c r="A1944" i="4"/>
  <c r="B1944" i="4"/>
  <c r="C1944" i="4"/>
  <c r="A1943" i="4"/>
  <c r="B1943" i="4"/>
  <c r="C1943" i="4"/>
  <c r="A1942" i="4"/>
  <c r="B1942" i="4"/>
  <c r="C1942" i="4"/>
  <c r="A1941" i="4"/>
  <c r="B1941" i="4"/>
  <c r="C1941" i="4"/>
  <c r="A1940" i="4"/>
  <c r="B1940" i="4"/>
  <c r="C1940" i="4"/>
  <c r="A1939" i="4"/>
  <c r="B1939" i="4"/>
  <c r="C1939" i="4"/>
  <c r="A1938" i="4"/>
  <c r="B1938" i="4"/>
  <c r="C1938" i="4"/>
  <c r="A1937" i="4"/>
  <c r="B1937" i="4"/>
  <c r="C1937" i="4"/>
  <c r="A1936" i="4"/>
  <c r="B1936" i="4"/>
  <c r="C1936" i="4"/>
  <c r="A1935" i="4"/>
  <c r="B1935" i="4"/>
  <c r="C1935" i="4"/>
  <c r="A1934" i="4"/>
  <c r="B1934" i="4"/>
  <c r="C1934" i="4"/>
  <c r="A1933" i="4"/>
  <c r="B1933" i="4"/>
  <c r="C1933" i="4"/>
  <c r="A1932" i="4"/>
  <c r="B1932" i="4"/>
  <c r="C1932" i="4"/>
  <c r="A1931" i="4"/>
  <c r="B1931" i="4"/>
  <c r="C1931" i="4"/>
  <c r="A1930" i="4"/>
  <c r="B1930" i="4"/>
  <c r="C1930" i="4"/>
  <c r="A1929" i="4"/>
  <c r="B1929" i="4"/>
  <c r="C1929" i="4"/>
  <c r="A1928" i="4"/>
  <c r="B1928" i="4"/>
  <c r="C1928" i="4"/>
  <c r="A1927" i="4"/>
  <c r="B1927" i="4"/>
  <c r="C1927" i="4"/>
  <c r="A1926" i="4"/>
  <c r="B1926" i="4"/>
  <c r="C1926" i="4"/>
  <c r="A1925" i="4"/>
  <c r="B1925" i="4"/>
  <c r="C1925" i="4"/>
  <c r="A1924" i="4"/>
  <c r="B1924" i="4"/>
  <c r="C1924" i="4"/>
  <c r="A1923" i="4"/>
  <c r="B1923" i="4"/>
  <c r="C1923" i="4"/>
  <c r="A1922" i="4"/>
  <c r="B1922" i="4"/>
  <c r="C1922" i="4"/>
  <c r="A1921" i="4"/>
  <c r="B1921" i="4"/>
  <c r="C1921" i="4"/>
  <c r="A1920" i="4"/>
  <c r="B1920" i="4"/>
  <c r="C1920" i="4"/>
  <c r="A1919" i="4"/>
  <c r="B1919" i="4"/>
  <c r="C1919" i="4"/>
  <c r="A1918" i="4"/>
  <c r="B1918" i="4"/>
  <c r="C1918" i="4"/>
  <c r="A1917" i="4"/>
  <c r="B1917" i="4"/>
  <c r="C1917" i="4"/>
  <c r="A1916" i="4"/>
  <c r="B1916" i="4"/>
  <c r="C1916" i="4"/>
  <c r="A1915" i="4"/>
  <c r="B1915" i="4"/>
  <c r="C1915" i="4"/>
  <c r="A1914" i="4"/>
  <c r="B1914" i="4"/>
  <c r="C1914" i="4"/>
  <c r="A1913" i="4"/>
  <c r="B1913" i="4"/>
  <c r="C1913" i="4"/>
  <c r="A1912" i="4"/>
  <c r="B1912" i="4"/>
  <c r="C1912" i="4"/>
  <c r="A1911" i="4"/>
  <c r="B1911" i="4"/>
  <c r="C1911" i="4"/>
  <c r="A1910" i="4"/>
  <c r="B1910" i="4"/>
  <c r="C1910" i="4"/>
  <c r="A1909" i="4"/>
  <c r="B1909" i="4"/>
  <c r="C1909" i="4"/>
  <c r="A1908" i="4"/>
  <c r="B1908" i="4"/>
  <c r="C1908" i="4"/>
  <c r="A1907" i="4"/>
  <c r="B1907" i="4"/>
  <c r="C1907" i="4"/>
  <c r="A1906" i="4"/>
  <c r="B1906" i="4"/>
  <c r="C1906" i="4"/>
  <c r="A1905" i="4"/>
  <c r="B1905" i="4"/>
  <c r="C1905" i="4"/>
  <c r="A1904" i="4"/>
  <c r="B1904" i="4"/>
  <c r="C1904" i="4"/>
  <c r="A1903" i="4"/>
  <c r="B1903" i="4"/>
  <c r="C1903" i="4"/>
  <c r="A1902" i="4"/>
  <c r="B1902" i="4"/>
  <c r="C1902" i="4"/>
  <c r="A1901" i="4"/>
  <c r="B1901" i="4"/>
  <c r="C1901" i="4"/>
  <c r="A1900" i="4"/>
  <c r="B1900" i="4"/>
  <c r="C1900" i="4"/>
  <c r="A1899" i="4"/>
  <c r="B1899" i="4"/>
  <c r="C1899" i="4"/>
  <c r="A1898" i="4"/>
  <c r="B1898" i="4"/>
  <c r="C1898" i="4"/>
  <c r="A1897" i="4"/>
  <c r="B1897" i="4"/>
  <c r="C1897" i="4"/>
  <c r="A1896" i="4"/>
  <c r="B1896" i="4"/>
  <c r="C1896" i="4"/>
  <c r="A1895" i="4"/>
  <c r="B1895" i="4"/>
  <c r="C1895" i="4"/>
  <c r="A1894" i="4"/>
  <c r="B1894" i="4"/>
  <c r="C1894" i="4"/>
  <c r="A1893" i="4"/>
  <c r="B1893" i="4"/>
  <c r="C1893" i="4"/>
  <c r="A1892" i="4"/>
  <c r="B1892" i="4"/>
  <c r="C1892" i="4"/>
  <c r="A1891" i="4"/>
  <c r="B1891" i="4"/>
  <c r="C1891" i="4"/>
  <c r="A1890" i="4"/>
  <c r="B1890" i="4"/>
  <c r="C1890" i="4"/>
  <c r="A1889" i="4"/>
  <c r="B1889" i="4"/>
  <c r="C1889" i="4"/>
  <c r="A1888" i="4"/>
  <c r="B1888" i="4"/>
  <c r="C1888" i="4"/>
  <c r="A1887" i="4"/>
  <c r="B1887" i="4"/>
  <c r="C1887" i="4"/>
  <c r="A1886" i="4"/>
  <c r="B1886" i="4"/>
  <c r="C1886" i="4"/>
  <c r="A1885" i="4"/>
  <c r="B1885" i="4"/>
  <c r="C1885" i="4"/>
  <c r="A1884" i="4"/>
  <c r="B1884" i="4"/>
  <c r="C1884" i="4"/>
  <c r="A1883" i="4"/>
  <c r="B1883" i="4"/>
  <c r="C1883" i="4"/>
  <c r="A1882" i="4"/>
  <c r="B1882" i="4"/>
  <c r="C1882" i="4"/>
  <c r="A1881" i="4"/>
  <c r="B1881" i="4"/>
  <c r="C1881" i="4"/>
  <c r="A1880" i="4"/>
  <c r="B1880" i="4"/>
  <c r="C1880" i="4"/>
  <c r="A1879" i="4"/>
  <c r="B1879" i="4"/>
  <c r="C1879" i="4"/>
  <c r="A1878" i="4"/>
  <c r="B1878" i="4"/>
  <c r="C1878" i="4"/>
  <c r="A1877" i="4"/>
  <c r="B1877" i="4"/>
  <c r="C1877" i="4"/>
  <c r="A1876" i="4"/>
  <c r="B1876" i="4"/>
  <c r="C1876" i="4"/>
  <c r="A1875" i="4"/>
  <c r="B1875" i="4"/>
  <c r="C1875" i="4"/>
  <c r="A1874" i="4"/>
  <c r="B1874" i="4"/>
  <c r="C1874" i="4"/>
  <c r="A1873" i="4"/>
  <c r="B1873" i="4"/>
  <c r="C1873" i="4"/>
  <c r="A1872" i="4"/>
  <c r="B1872" i="4"/>
  <c r="C1872" i="4"/>
  <c r="A1871" i="4"/>
  <c r="B1871" i="4"/>
  <c r="C1871" i="4"/>
  <c r="A1870" i="4"/>
  <c r="B1870" i="4"/>
  <c r="C1870" i="4"/>
  <c r="A1869" i="4"/>
  <c r="B1869" i="4"/>
  <c r="C1869" i="4"/>
  <c r="A1868" i="4"/>
  <c r="B1868" i="4"/>
  <c r="C1868" i="4"/>
  <c r="A1867" i="4"/>
  <c r="B1867" i="4"/>
  <c r="C1867" i="4"/>
  <c r="A1866" i="4"/>
  <c r="B1866" i="4"/>
  <c r="C1866" i="4"/>
  <c r="A1865" i="4"/>
  <c r="B1865" i="4"/>
  <c r="C1865" i="4"/>
  <c r="A1864" i="4"/>
  <c r="B1864" i="4"/>
  <c r="C1864" i="4"/>
  <c r="A1863" i="4"/>
  <c r="B1863" i="4"/>
  <c r="C1863" i="4"/>
  <c r="A1862" i="4"/>
  <c r="B1862" i="4"/>
  <c r="C1862" i="4"/>
  <c r="A1861" i="4"/>
  <c r="B1861" i="4"/>
  <c r="C1861" i="4"/>
  <c r="A1860" i="4"/>
  <c r="B1860" i="4"/>
  <c r="C1860" i="4"/>
  <c r="A1859" i="4"/>
  <c r="B1859" i="4"/>
  <c r="C1859" i="4"/>
  <c r="A1858" i="4"/>
  <c r="B1858" i="4"/>
  <c r="C1858" i="4"/>
  <c r="A1857" i="4"/>
  <c r="B1857" i="4"/>
  <c r="C1857" i="4"/>
  <c r="A1856" i="4"/>
  <c r="B1856" i="4"/>
  <c r="C1856" i="4"/>
  <c r="A1855" i="4"/>
  <c r="B1855" i="4"/>
  <c r="C1855" i="4"/>
  <c r="A1854" i="4"/>
  <c r="B1854" i="4"/>
  <c r="C1854" i="4"/>
  <c r="A1853" i="4"/>
  <c r="B1853" i="4"/>
  <c r="C1853" i="4"/>
  <c r="A1852" i="4"/>
  <c r="B1852" i="4"/>
  <c r="C1852" i="4"/>
  <c r="A1851" i="4"/>
  <c r="B1851" i="4"/>
  <c r="C1851" i="4"/>
  <c r="A1850" i="4"/>
  <c r="B1850" i="4"/>
  <c r="C1850" i="4"/>
  <c r="A1849" i="4"/>
  <c r="B1849" i="4"/>
  <c r="C1849" i="4"/>
  <c r="A1848" i="4"/>
  <c r="B1848" i="4"/>
  <c r="C1848" i="4"/>
  <c r="A1847" i="4"/>
  <c r="B1847" i="4"/>
  <c r="C1847" i="4"/>
  <c r="A1846" i="4"/>
  <c r="B1846" i="4"/>
  <c r="C1846" i="4"/>
  <c r="A1845" i="4"/>
  <c r="B1845" i="4"/>
  <c r="C1845" i="4"/>
  <c r="A1844" i="4"/>
  <c r="B1844" i="4"/>
  <c r="C1844" i="4"/>
  <c r="A1843" i="4"/>
  <c r="B1843" i="4"/>
  <c r="C1843" i="4"/>
  <c r="A1842" i="4"/>
  <c r="B1842" i="4"/>
  <c r="C1842" i="4"/>
  <c r="A1841" i="4"/>
  <c r="B1841" i="4"/>
  <c r="C1841" i="4"/>
  <c r="A1840" i="4"/>
  <c r="B1840" i="4"/>
  <c r="C1840" i="4"/>
  <c r="A1839" i="4"/>
  <c r="B1839" i="4"/>
  <c r="C1839" i="4"/>
  <c r="A1838" i="4"/>
  <c r="B1838" i="4"/>
  <c r="C1838" i="4"/>
  <c r="A1837" i="4"/>
  <c r="B1837" i="4"/>
  <c r="C1837" i="4"/>
  <c r="A1836" i="4"/>
  <c r="B1836" i="4"/>
  <c r="C1836" i="4"/>
  <c r="A1835" i="4"/>
  <c r="B1835" i="4"/>
  <c r="C1835" i="4"/>
  <c r="A1834" i="4"/>
  <c r="B1834" i="4"/>
  <c r="C1834" i="4"/>
  <c r="A1833" i="4"/>
  <c r="B1833" i="4"/>
  <c r="C1833" i="4"/>
  <c r="A1832" i="4"/>
  <c r="B1832" i="4"/>
  <c r="C1832" i="4"/>
  <c r="A1831" i="4"/>
  <c r="B1831" i="4"/>
  <c r="C1831" i="4"/>
  <c r="A1830" i="4"/>
  <c r="B1830" i="4"/>
  <c r="C1830" i="4"/>
  <c r="A1829" i="4"/>
  <c r="B1829" i="4"/>
  <c r="C1829" i="4"/>
  <c r="A1828" i="4"/>
  <c r="B1828" i="4"/>
  <c r="C1828" i="4"/>
  <c r="A1827" i="4"/>
  <c r="B1827" i="4"/>
  <c r="C1827" i="4"/>
  <c r="A1826" i="4"/>
  <c r="B1826" i="4"/>
  <c r="C1826" i="4"/>
  <c r="A1825" i="4"/>
  <c r="B1825" i="4"/>
  <c r="C1825" i="4"/>
  <c r="A1824" i="4"/>
  <c r="B1824" i="4"/>
  <c r="C1824" i="4"/>
  <c r="A1823" i="4"/>
  <c r="B1823" i="4"/>
  <c r="C1823" i="4"/>
  <c r="A1822" i="4"/>
  <c r="B1822" i="4"/>
  <c r="C1822" i="4"/>
  <c r="A1821" i="4"/>
  <c r="B1821" i="4"/>
  <c r="C1821" i="4"/>
  <c r="A1820" i="4"/>
  <c r="B1820" i="4"/>
  <c r="C1820" i="4"/>
  <c r="A1819" i="4"/>
  <c r="B1819" i="4"/>
  <c r="C1819" i="4"/>
  <c r="A1818" i="4"/>
  <c r="B1818" i="4"/>
  <c r="C1818" i="4"/>
  <c r="A1817" i="4"/>
  <c r="B1817" i="4"/>
  <c r="C1817" i="4"/>
  <c r="A1816" i="4"/>
  <c r="B1816" i="4"/>
  <c r="C1816" i="4"/>
  <c r="A1815" i="4"/>
  <c r="B1815" i="4"/>
  <c r="C1815" i="4"/>
  <c r="A1814" i="4"/>
  <c r="B1814" i="4"/>
  <c r="C1814" i="4"/>
  <c r="A1813" i="4"/>
  <c r="B1813" i="4"/>
  <c r="C1813" i="4"/>
  <c r="A1812" i="4"/>
  <c r="B1812" i="4"/>
  <c r="C1812" i="4"/>
  <c r="A1811" i="4"/>
  <c r="B1811" i="4"/>
  <c r="C1811" i="4"/>
  <c r="A1810" i="4"/>
  <c r="B1810" i="4"/>
  <c r="C1810" i="4"/>
  <c r="A1809" i="4"/>
  <c r="B1809" i="4"/>
  <c r="C1809" i="4"/>
  <c r="A1808" i="4"/>
  <c r="B1808" i="4"/>
  <c r="C1808" i="4"/>
  <c r="A1807" i="4"/>
  <c r="B1807" i="4"/>
  <c r="C1807" i="4"/>
  <c r="A1806" i="4"/>
  <c r="B1806" i="4"/>
  <c r="C1806" i="4"/>
  <c r="A1805" i="4"/>
  <c r="B1805" i="4"/>
  <c r="C1805" i="4"/>
  <c r="A1804" i="4"/>
  <c r="B1804" i="4"/>
  <c r="C1804" i="4"/>
  <c r="A1803" i="4"/>
  <c r="B1803" i="4"/>
  <c r="C1803" i="4"/>
  <c r="A1802" i="4"/>
  <c r="B1802" i="4"/>
  <c r="C1802" i="4"/>
  <c r="A1801" i="4"/>
  <c r="B1801" i="4"/>
  <c r="C1801" i="4"/>
  <c r="A1800" i="4"/>
  <c r="B1800" i="4"/>
  <c r="C1800" i="4"/>
  <c r="A1799" i="4"/>
  <c r="B1799" i="4"/>
  <c r="C1799" i="4"/>
  <c r="A1798" i="4"/>
  <c r="B1798" i="4"/>
  <c r="C1798" i="4"/>
  <c r="A1797" i="4"/>
  <c r="B1797" i="4"/>
  <c r="C1797" i="4"/>
  <c r="A1796" i="4"/>
  <c r="B1796" i="4"/>
  <c r="C1796" i="4"/>
  <c r="A1795" i="4"/>
  <c r="B1795" i="4"/>
  <c r="C1795" i="4"/>
  <c r="A1794" i="4"/>
  <c r="B1794" i="4"/>
  <c r="C1794" i="4"/>
  <c r="A1793" i="4"/>
  <c r="B1793" i="4"/>
  <c r="C1793" i="4"/>
  <c r="A1792" i="4"/>
  <c r="B1792" i="4"/>
  <c r="C1792" i="4"/>
  <c r="A1791" i="4"/>
  <c r="B1791" i="4"/>
  <c r="C1791" i="4"/>
  <c r="A1790" i="4"/>
  <c r="B1790" i="4"/>
  <c r="C1790" i="4"/>
  <c r="A1789" i="4"/>
  <c r="B1789" i="4"/>
  <c r="C1789" i="4"/>
  <c r="A1788" i="4"/>
  <c r="B1788" i="4"/>
  <c r="C1788" i="4"/>
  <c r="A1787" i="4"/>
  <c r="B1787" i="4"/>
  <c r="C1787" i="4"/>
  <c r="A1786" i="4"/>
  <c r="B1786" i="4"/>
  <c r="C1786" i="4"/>
  <c r="A1785" i="4"/>
  <c r="B1785" i="4"/>
  <c r="C1785" i="4"/>
  <c r="A1784" i="4"/>
  <c r="B1784" i="4"/>
  <c r="C1784" i="4"/>
  <c r="A1783" i="4"/>
  <c r="B1783" i="4"/>
  <c r="C1783" i="4"/>
  <c r="A1782" i="4"/>
  <c r="B1782" i="4"/>
  <c r="C1782" i="4"/>
  <c r="A1781" i="4"/>
  <c r="B1781" i="4"/>
  <c r="C1781" i="4"/>
  <c r="A1780" i="4"/>
  <c r="B1780" i="4"/>
  <c r="C1780" i="4"/>
  <c r="A1779" i="4"/>
  <c r="B1779" i="4"/>
  <c r="C1779" i="4"/>
  <c r="A1778" i="4"/>
  <c r="B1778" i="4"/>
  <c r="C1778" i="4"/>
  <c r="A1777" i="4"/>
  <c r="B1777" i="4"/>
  <c r="C1777" i="4"/>
  <c r="A1776" i="4"/>
  <c r="B1776" i="4"/>
  <c r="C1776" i="4"/>
  <c r="A1775" i="4"/>
  <c r="B1775" i="4"/>
  <c r="C1775" i="4"/>
  <c r="A1774" i="4"/>
  <c r="B1774" i="4"/>
  <c r="C1774" i="4"/>
  <c r="A1773" i="4"/>
  <c r="B1773" i="4"/>
  <c r="C1773" i="4"/>
  <c r="A1772" i="4"/>
  <c r="B1772" i="4"/>
  <c r="C1772" i="4"/>
  <c r="A1771" i="4"/>
  <c r="B1771" i="4"/>
  <c r="C1771" i="4"/>
  <c r="A1770" i="4"/>
  <c r="B1770" i="4"/>
  <c r="C1770" i="4"/>
  <c r="A1769" i="4"/>
  <c r="B1769" i="4"/>
  <c r="C1769" i="4"/>
  <c r="A1768" i="4"/>
  <c r="B1768" i="4"/>
  <c r="C1768" i="4"/>
  <c r="A1767" i="4"/>
  <c r="B1767" i="4"/>
  <c r="C1767" i="4"/>
  <c r="A1766" i="4"/>
  <c r="B1766" i="4"/>
  <c r="C1766" i="4"/>
  <c r="A1765" i="4"/>
  <c r="B1765" i="4"/>
  <c r="C1765" i="4"/>
  <c r="A1764" i="4"/>
  <c r="B1764" i="4"/>
  <c r="C1764" i="4"/>
  <c r="A1763" i="4"/>
  <c r="B1763" i="4"/>
  <c r="C1763" i="4"/>
  <c r="A1762" i="4"/>
  <c r="B1762" i="4"/>
  <c r="C1762" i="4"/>
  <c r="A1761" i="4"/>
  <c r="B1761" i="4"/>
  <c r="C1761" i="4"/>
  <c r="A1760" i="4"/>
  <c r="B1760" i="4"/>
  <c r="C1760" i="4"/>
  <c r="A1759" i="4"/>
  <c r="B1759" i="4"/>
  <c r="C1759" i="4"/>
  <c r="A1758" i="4"/>
  <c r="B1758" i="4"/>
  <c r="C1758" i="4"/>
  <c r="A1757" i="4"/>
  <c r="B1757" i="4"/>
  <c r="C1757" i="4"/>
  <c r="A1756" i="4"/>
  <c r="B1756" i="4"/>
  <c r="C1756" i="4"/>
  <c r="A1755" i="4"/>
  <c r="B1755" i="4"/>
  <c r="C1755" i="4"/>
  <c r="A1754" i="4"/>
  <c r="B1754" i="4"/>
  <c r="C1754" i="4"/>
  <c r="A1753" i="4"/>
  <c r="B1753" i="4"/>
  <c r="C1753" i="4"/>
  <c r="A1752" i="4"/>
  <c r="B1752" i="4"/>
  <c r="C1752" i="4"/>
  <c r="A1751" i="4"/>
  <c r="B1751" i="4"/>
  <c r="C1751" i="4"/>
  <c r="A1750" i="4"/>
  <c r="B1750" i="4"/>
  <c r="C1750" i="4"/>
  <c r="A1749" i="4"/>
  <c r="B1749" i="4"/>
  <c r="C1749" i="4"/>
  <c r="A1748" i="4"/>
  <c r="B1748" i="4"/>
  <c r="C1748" i="4"/>
  <c r="A1747" i="4"/>
  <c r="B1747" i="4"/>
  <c r="C1747" i="4"/>
  <c r="A1746" i="4"/>
  <c r="B1746" i="4"/>
  <c r="C1746" i="4"/>
  <c r="A1745" i="4"/>
  <c r="B1745" i="4"/>
  <c r="C1745" i="4"/>
  <c r="A1744" i="4"/>
  <c r="B1744" i="4"/>
  <c r="C1744" i="4"/>
  <c r="A1743" i="4"/>
  <c r="B1743" i="4"/>
  <c r="C1743" i="4"/>
  <c r="A1742" i="4"/>
  <c r="B1742" i="4"/>
  <c r="C1742" i="4"/>
  <c r="A1741" i="4"/>
  <c r="B1741" i="4"/>
  <c r="C1741" i="4"/>
  <c r="A1740" i="4"/>
  <c r="B1740" i="4"/>
  <c r="C1740" i="4"/>
  <c r="A1739" i="4"/>
  <c r="B1739" i="4"/>
  <c r="C1739" i="4"/>
  <c r="A1738" i="4"/>
  <c r="B1738" i="4"/>
  <c r="C1738" i="4"/>
  <c r="A1737" i="4"/>
  <c r="B1737" i="4"/>
  <c r="C1737" i="4"/>
  <c r="A1736" i="4"/>
  <c r="B1736" i="4"/>
  <c r="C1736" i="4"/>
  <c r="A1735" i="4"/>
  <c r="B1735" i="4"/>
  <c r="C1735" i="4"/>
  <c r="A1734" i="4"/>
  <c r="B1734" i="4"/>
  <c r="C1734" i="4"/>
  <c r="A1733" i="4"/>
  <c r="B1733" i="4"/>
  <c r="C1733" i="4"/>
  <c r="A1732" i="4"/>
  <c r="B1732" i="4"/>
  <c r="C1732" i="4"/>
  <c r="A1731" i="4"/>
  <c r="B1731" i="4"/>
  <c r="C1731" i="4"/>
  <c r="A1730" i="4"/>
  <c r="B1730" i="4"/>
  <c r="C1730" i="4"/>
  <c r="A1729" i="4"/>
  <c r="B1729" i="4"/>
  <c r="C1729" i="4"/>
  <c r="A1728" i="4"/>
  <c r="B1728" i="4"/>
  <c r="C1728" i="4"/>
  <c r="A1727" i="4"/>
  <c r="B1727" i="4"/>
  <c r="C1727" i="4"/>
  <c r="A1726" i="4"/>
  <c r="B1726" i="4"/>
  <c r="C1726" i="4"/>
  <c r="A1725" i="4"/>
  <c r="B1725" i="4"/>
  <c r="C1725" i="4"/>
  <c r="A1724" i="4"/>
  <c r="B1724" i="4"/>
  <c r="C1724" i="4"/>
  <c r="A1723" i="4"/>
  <c r="B1723" i="4"/>
  <c r="C1723" i="4"/>
  <c r="A1722" i="4"/>
  <c r="B1722" i="4"/>
  <c r="C1722" i="4"/>
  <c r="A1721" i="4"/>
  <c r="B1721" i="4"/>
  <c r="C1721" i="4"/>
  <c r="A1720" i="4"/>
  <c r="B1720" i="4"/>
  <c r="C1720" i="4"/>
  <c r="A1719" i="4"/>
  <c r="B1719" i="4"/>
  <c r="C1719" i="4"/>
  <c r="A1718" i="4"/>
  <c r="B1718" i="4"/>
  <c r="C1718" i="4"/>
  <c r="A1717" i="4"/>
  <c r="B1717" i="4"/>
  <c r="C1717" i="4"/>
  <c r="A1716" i="4"/>
  <c r="B1716" i="4"/>
  <c r="C1716" i="4"/>
  <c r="A1715" i="4"/>
  <c r="B1715" i="4"/>
  <c r="C1715" i="4"/>
  <c r="A1714" i="4"/>
  <c r="B1714" i="4"/>
  <c r="C1714" i="4"/>
  <c r="A1713" i="4"/>
  <c r="B1713" i="4"/>
  <c r="C1713" i="4"/>
  <c r="A1712" i="4"/>
  <c r="B1712" i="4"/>
  <c r="C1712" i="4"/>
  <c r="A1711" i="4"/>
  <c r="B1711" i="4"/>
  <c r="C1711" i="4"/>
  <c r="A1710" i="4"/>
  <c r="B1710" i="4"/>
  <c r="C1710" i="4"/>
  <c r="A1709" i="4"/>
  <c r="B1709" i="4"/>
  <c r="C1709" i="4"/>
  <c r="A1708" i="4"/>
  <c r="B1708" i="4"/>
  <c r="C1708" i="4"/>
  <c r="A1707" i="4"/>
  <c r="B1707" i="4"/>
  <c r="C1707" i="4"/>
  <c r="A1706" i="4"/>
  <c r="B1706" i="4"/>
  <c r="C1706" i="4"/>
  <c r="A1705" i="4"/>
  <c r="B1705" i="4"/>
  <c r="C1705" i="4"/>
  <c r="A1704" i="4"/>
  <c r="B1704" i="4"/>
  <c r="C1704" i="4"/>
  <c r="A1703" i="4"/>
  <c r="B1703" i="4"/>
  <c r="C1703" i="4"/>
  <c r="A1702" i="4"/>
  <c r="B1702" i="4"/>
  <c r="C1702" i="4"/>
  <c r="A1701" i="4"/>
  <c r="B1701" i="4"/>
  <c r="C1701" i="4"/>
  <c r="A1700" i="4"/>
  <c r="B1700" i="4"/>
  <c r="C1700" i="4"/>
  <c r="A1699" i="4"/>
  <c r="B1699" i="4"/>
  <c r="C1699" i="4"/>
  <c r="A1698" i="4"/>
  <c r="B1698" i="4"/>
  <c r="C1698" i="4"/>
  <c r="A1697" i="4"/>
  <c r="B1697" i="4"/>
  <c r="C1697" i="4"/>
  <c r="A1696" i="4"/>
  <c r="B1696" i="4"/>
  <c r="C1696" i="4"/>
  <c r="A1695" i="4"/>
  <c r="B1695" i="4"/>
  <c r="C1695" i="4"/>
  <c r="A1694" i="4"/>
  <c r="B1694" i="4"/>
  <c r="C1694" i="4"/>
  <c r="A1693" i="4"/>
  <c r="B1693" i="4"/>
  <c r="C1693" i="4"/>
  <c r="A1692" i="4"/>
  <c r="B1692" i="4"/>
  <c r="C1692" i="4"/>
  <c r="A1691" i="4"/>
  <c r="B1691" i="4"/>
  <c r="C1691" i="4"/>
  <c r="A1690" i="4"/>
  <c r="B1690" i="4"/>
  <c r="C1690" i="4"/>
  <c r="A1689" i="4"/>
  <c r="B1689" i="4"/>
  <c r="C1689" i="4"/>
  <c r="A1688" i="4"/>
  <c r="B1688" i="4"/>
  <c r="C1688" i="4"/>
  <c r="A1687" i="4"/>
  <c r="B1687" i="4"/>
  <c r="C1687" i="4"/>
  <c r="A1686" i="4"/>
  <c r="B1686" i="4"/>
  <c r="C1686" i="4"/>
  <c r="A1685" i="4"/>
  <c r="B1685" i="4"/>
  <c r="C1685" i="4"/>
  <c r="A1684" i="4"/>
  <c r="B1684" i="4"/>
  <c r="C1684" i="4"/>
  <c r="A1683" i="4"/>
  <c r="B1683" i="4"/>
  <c r="C1683" i="4"/>
  <c r="A1682" i="4"/>
  <c r="B1682" i="4"/>
  <c r="C1682" i="4"/>
  <c r="A1681" i="4"/>
  <c r="B1681" i="4"/>
  <c r="C1681" i="4"/>
  <c r="A1680" i="4"/>
  <c r="B1680" i="4"/>
  <c r="C1680" i="4"/>
  <c r="A1679" i="4"/>
  <c r="B1679" i="4"/>
  <c r="C1679" i="4"/>
  <c r="A1678" i="4"/>
  <c r="B1678" i="4"/>
  <c r="C1678" i="4"/>
  <c r="A1677" i="4"/>
  <c r="B1677" i="4"/>
  <c r="C1677" i="4"/>
  <c r="A1676" i="4"/>
  <c r="B1676" i="4"/>
  <c r="C1676" i="4"/>
  <c r="A1675" i="4"/>
  <c r="B1675" i="4"/>
  <c r="C1675" i="4"/>
  <c r="A1674" i="4"/>
  <c r="B1674" i="4"/>
  <c r="C1674" i="4"/>
  <c r="A1673" i="4"/>
  <c r="B1673" i="4"/>
  <c r="C1673" i="4"/>
  <c r="A1672" i="4"/>
  <c r="B1672" i="4"/>
  <c r="C1672" i="4"/>
  <c r="A1671" i="4"/>
  <c r="B1671" i="4"/>
  <c r="C1671" i="4"/>
  <c r="A1670" i="4"/>
  <c r="B1670" i="4"/>
  <c r="C1670" i="4"/>
  <c r="A1669" i="4"/>
  <c r="B1669" i="4"/>
  <c r="C1669" i="4"/>
  <c r="A1668" i="4"/>
  <c r="B1668" i="4"/>
  <c r="C1668" i="4"/>
  <c r="A1667" i="4"/>
  <c r="B1667" i="4"/>
  <c r="C1667" i="4"/>
  <c r="A1666" i="4"/>
  <c r="B1666" i="4"/>
  <c r="C1666" i="4"/>
  <c r="A1665" i="4"/>
  <c r="B1665" i="4"/>
  <c r="C1665" i="4"/>
  <c r="A1664" i="4"/>
  <c r="B1664" i="4"/>
  <c r="C1664" i="4"/>
  <c r="A1663" i="4"/>
  <c r="B1663" i="4"/>
  <c r="C1663" i="4"/>
  <c r="A1662" i="4"/>
  <c r="B1662" i="4"/>
  <c r="C1662" i="4"/>
  <c r="A1661" i="4"/>
  <c r="B1661" i="4"/>
  <c r="C1661" i="4"/>
  <c r="A1660" i="4"/>
  <c r="B1660" i="4"/>
  <c r="C1660" i="4"/>
  <c r="A1659" i="4"/>
  <c r="B1659" i="4"/>
  <c r="C1659" i="4"/>
  <c r="A1658" i="4"/>
  <c r="B1658" i="4"/>
  <c r="C1658" i="4"/>
  <c r="A1657" i="4"/>
  <c r="B1657" i="4"/>
  <c r="C1657" i="4"/>
  <c r="A1656" i="4"/>
  <c r="B1656" i="4"/>
  <c r="C1656" i="4"/>
  <c r="A1655" i="4"/>
  <c r="B1655" i="4"/>
  <c r="C1655" i="4"/>
  <c r="A1654" i="4"/>
  <c r="B1654" i="4"/>
  <c r="C1654" i="4"/>
  <c r="A1653" i="4"/>
  <c r="B1653" i="4"/>
  <c r="C1653" i="4"/>
  <c r="A1652" i="4"/>
  <c r="B1652" i="4"/>
  <c r="C1652" i="4"/>
  <c r="A1651" i="4"/>
  <c r="B1651" i="4"/>
  <c r="C1651" i="4"/>
  <c r="A1650" i="4"/>
  <c r="B1650" i="4"/>
  <c r="C1650" i="4"/>
  <c r="A1649" i="4"/>
  <c r="B1649" i="4"/>
  <c r="C1649" i="4"/>
  <c r="A1648" i="4"/>
  <c r="B1648" i="4"/>
  <c r="C1648" i="4"/>
  <c r="A1647" i="4"/>
  <c r="B1647" i="4"/>
  <c r="C1647" i="4"/>
  <c r="A1646" i="4"/>
  <c r="B1646" i="4"/>
  <c r="C1646" i="4"/>
  <c r="A1645" i="4"/>
  <c r="B1645" i="4"/>
  <c r="C1645" i="4"/>
  <c r="A1644" i="4"/>
  <c r="B1644" i="4"/>
  <c r="C1644" i="4"/>
  <c r="A1643" i="4"/>
  <c r="B1643" i="4"/>
  <c r="C1643" i="4"/>
  <c r="A1642" i="4"/>
  <c r="B1642" i="4"/>
  <c r="C1642" i="4"/>
  <c r="A1641" i="4"/>
  <c r="B1641" i="4"/>
  <c r="C1641" i="4"/>
  <c r="A1640" i="4"/>
  <c r="B1640" i="4"/>
  <c r="C1640" i="4"/>
  <c r="A1639" i="4"/>
  <c r="B1639" i="4"/>
  <c r="C1639" i="4"/>
  <c r="A1638" i="4"/>
  <c r="B1638" i="4"/>
  <c r="C1638" i="4"/>
  <c r="A1637" i="4"/>
  <c r="B1637" i="4"/>
  <c r="C1637" i="4"/>
  <c r="A1636" i="4"/>
  <c r="B1636" i="4"/>
  <c r="C1636" i="4"/>
  <c r="A1635" i="4"/>
  <c r="B1635" i="4"/>
  <c r="C1635" i="4"/>
  <c r="A1634" i="4"/>
  <c r="B1634" i="4"/>
  <c r="C1634" i="4"/>
  <c r="A1633" i="4"/>
  <c r="B1633" i="4"/>
  <c r="C1633" i="4"/>
  <c r="A1632" i="4"/>
  <c r="B1632" i="4"/>
  <c r="C1632" i="4"/>
  <c r="A1631" i="4"/>
  <c r="B1631" i="4"/>
  <c r="C1631" i="4"/>
  <c r="A1630" i="4"/>
  <c r="B1630" i="4"/>
  <c r="C1630" i="4"/>
  <c r="A1629" i="4"/>
  <c r="B1629" i="4"/>
  <c r="C1629" i="4"/>
  <c r="A1628" i="4"/>
  <c r="B1628" i="4"/>
  <c r="C1628" i="4"/>
  <c r="A1627" i="4"/>
  <c r="B1627" i="4"/>
  <c r="C1627" i="4"/>
  <c r="A1626" i="4"/>
  <c r="B1626" i="4"/>
  <c r="C1626" i="4"/>
  <c r="A1625" i="4"/>
  <c r="B1625" i="4"/>
  <c r="C1625" i="4"/>
  <c r="A1624" i="4"/>
  <c r="B1624" i="4"/>
  <c r="C1624" i="4"/>
  <c r="A1623" i="4"/>
  <c r="B1623" i="4"/>
  <c r="C1623" i="4"/>
  <c r="A1622" i="4"/>
  <c r="B1622" i="4"/>
  <c r="C1622" i="4"/>
  <c r="A1621" i="4"/>
  <c r="B1621" i="4"/>
  <c r="C1621" i="4"/>
  <c r="A1620" i="4"/>
  <c r="B1620" i="4"/>
  <c r="C1620" i="4"/>
  <c r="A1619" i="4"/>
  <c r="B1619" i="4"/>
  <c r="C1619" i="4"/>
  <c r="A1618" i="4"/>
  <c r="B1618" i="4"/>
  <c r="C1618" i="4"/>
  <c r="A1617" i="4"/>
  <c r="B1617" i="4"/>
  <c r="C1617" i="4"/>
  <c r="A1616" i="4"/>
  <c r="B1616" i="4"/>
  <c r="C1616" i="4"/>
  <c r="A1615" i="4"/>
  <c r="B1615" i="4"/>
  <c r="C1615" i="4"/>
  <c r="A1614" i="4"/>
  <c r="B1614" i="4"/>
  <c r="C1614" i="4"/>
  <c r="A1613" i="4"/>
  <c r="B1613" i="4"/>
  <c r="C1613" i="4"/>
  <c r="A1612" i="4"/>
  <c r="B1612" i="4"/>
  <c r="C1612" i="4"/>
  <c r="A1611" i="4"/>
  <c r="B1611" i="4"/>
  <c r="C1611" i="4"/>
  <c r="A1610" i="4"/>
  <c r="B1610" i="4"/>
  <c r="C1610" i="4"/>
  <c r="A1609" i="4"/>
  <c r="B1609" i="4"/>
  <c r="C1609" i="4"/>
  <c r="A1608" i="4"/>
  <c r="B1608" i="4"/>
  <c r="C1608" i="4"/>
  <c r="A1607" i="4"/>
  <c r="B1607" i="4"/>
  <c r="C1607" i="4"/>
  <c r="A1606" i="4"/>
  <c r="B1606" i="4"/>
  <c r="C1606" i="4"/>
  <c r="A1605" i="4"/>
  <c r="B1605" i="4"/>
  <c r="C1605" i="4"/>
  <c r="A1604" i="4"/>
  <c r="B1604" i="4"/>
  <c r="C1604" i="4"/>
  <c r="A1603" i="4"/>
  <c r="B1603" i="4"/>
  <c r="C1603" i="4"/>
  <c r="A1602" i="4"/>
  <c r="B1602" i="4"/>
  <c r="C1602" i="4"/>
  <c r="A1601" i="4"/>
  <c r="B1601" i="4"/>
  <c r="C1601" i="4"/>
  <c r="A1600" i="4"/>
  <c r="B1600" i="4"/>
  <c r="C1600" i="4"/>
  <c r="A1599" i="4"/>
  <c r="B1599" i="4"/>
  <c r="C1599" i="4"/>
  <c r="A1598" i="4"/>
  <c r="B1598" i="4"/>
  <c r="C1598" i="4"/>
  <c r="A1597" i="4"/>
  <c r="B1597" i="4"/>
  <c r="C1597" i="4"/>
  <c r="A1596" i="4"/>
  <c r="B1596" i="4"/>
  <c r="C1596" i="4"/>
  <c r="A1595" i="4"/>
  <c r="B1595" i="4"/>
  <c r="C1595" i="4"/>
  <c r="A1594" i="4"/>
  <c r="B1594" i="4"/>
  <c r="C1594" i="4"/>
  <c r="A1593" i="4"/>
  <c r="B1593" i="4"/>
  <c r="C1593" i="4"/>
  <c r="A1592" i="4"/>
  <c r="B1592" i="4"/>
  <c r="C1592" i="4"/>
  <c r="A1591" i="4"/>
  <c r="B1591" i="4"/>
  <c r="C1591" i="4"/>
  <c r="A1590" i="4"/>
  <c r="B1590" i="4"/>
  <c r="C1590" i="4"/>
  <c r="A1589" i="4"/>
  <c r="B1589" i="4"/>
  <c r="C1589" i="4"/>
  <c r="A1588" i="4"/>
  <c r="B1588" i="4"/>
  <c r="C1588" i="4"/>
  <c r="A1587" i="4"/>
  <c r="B1587" i="4"/>
  <c r="C1587" i="4"/>
  <c r="A1586" i="4"/>
  <c r="B1586" i="4"/>
  <c r="C1586" i="4"/>
  <c r="A1585" i="4"/>
  <c r="B1585" i="4"/>
  <c r="C1585" i="4"/>
  <c r="A1584" i="4"/>
  <c r="B1584" i="4"/>
  <c r="C1584" i="4"/>
  <c r="A1583" i="4"/>
  <c r="B1583" i="4"/>
  <c r="C1583" i="4"/>
  <c r="A1582" i="4"/>
  <c r="B1582" i="4"/>
  <c r="C1582" i="4"/>
  <c r="A1581" i="4"/>
  <c r="B1581" i="4"/>
  <c r="C1581" i="4"/>
  <c r="A1580" i="4"/>
  <c r="B1580" i="4"/>
  <c r="C1580" i="4"/>
  <c r="A1579" i="4"/>
  <c r="B1579" i="4"/>
  <c r="C1579" i="4"/>
  <c r="A1578" i="4"/>
  <c r="B1578" i="4"/>
  <c r="C1578" i="4"/>
  <c r="A1577" i="4"/>
  <c r="B1577" i="4"/>
  <c r="C1577" i="4"/>
  <c r="A1576" i="4"/>
  <c r="B1576" i="4"/>
  <c r="C1576" i="4"/>
  <c r="A1575" i="4"/>
  <c r="B1575" i="4"/>
  <c r="C1575" i="4"/>
  <c r="A1574" i="4"/>
  <c r="B1574" i="4"/>
  <c r="C1574" i="4"/>
  <c r="A1573" i="4"/>
  <c r="B1573" i="4"/>
  <c r="C1573" i="4"/>
  <c r="A1572" i="4"/>
  <c r="B1572" i="4"/>
  <c r="C1572" i="4"/>
  <c r="A1571" i="4"/>
  <c r="B1571" i="4"/>
  <c r="C1571" i="4"/>
  <c r="A1570" i="4"/>
  <c r="B1570" i="4"/>
  <c r="C1570" i="4"/>
  <c r="A1569" i="4"/>
  <c r="B1569" i="4"/>
  <c r="C1569" i="4"/>
  <c r="A1568" i="4"/>
  <c r="B1568" i="4"/>
  <c r="C1568" i="4"/>
  <c r="A1567" i="4"/>
  <c r="B1567" i="4"/>
  <c r="C1567" i="4"/>
  <c r="A1566" i="4"/>
  <c r="B1566" i="4"/>
  <c r="C1566" i="4"/>
  <c r="A1565" i="4"/>
  <c r="B1565" i="4"/>
  <c r="C1565" i="4"/>
  <c r="A1564" i="4"/>
  <c r="B1564" i="4"/>
  <c r="C1564" i="4"/>
  <c r="A1563" i="4"/>
  <c r="B1563" i="4"/>
  <c r="C1563" i="4"/>
  <c r="A1562" i="4"/>
  <c r="B1562" i="4"/>
  <c r="C1562" i="4"/>
  <c r="A1561" i="4"/>
  <c r="B1561" i="4"/>
  <c r="C1561" i="4"/>
  <c r="A1560" i="4"/>
  <c r="B1560" i="4"/>
  <c r="C1560" i="4"/>
  <c r="A1559" i="4"/>
  <c r="B1559" i="4"/>
  <c r="C1559" i="4"/>
  <c r="A1558" i="4"/>
  <c r="B1558" i="4"/>
  <c r="C1558" i="4"/>
  <c r="A1557" i="4"/>
  <c r="B1557" i="4"/>
  <c r="C1557" i="4"/>
  <c r="A1556" i="4"/>
  <c r="B1556" i="4"/>
  <c r="C1556" i="4"/>
  <c r="A1555" i="4"/>
  <c r="B1555" i="4"/>
  <c r="C1555" i="4"/>
  <c r="A1554" i="4"/>
  <c r="B1554" i="4"/>
  <c r="C1554" i="4"/>
  <c r="A1553" i="4"/>
  <c r="B1553" i="4"/>
  <c r="C1553" i="4"/>
  <c r="A1552" i="4"/>
  <c r="B1552" i="4"/>
  <c r="C1552" i="4"/>
  <c r="A1551" i="4"/>
  <c r="B1551" i="4"/>
  <c r="C1551" i="4"/>
  <c r="A1550" i="4"/>
  <c r="B1550" i="4"/>
  <c r="C1550" i="4"/>
  <c r="A1549" i="4"/>
  <c r="B1549" i="4"/>
  <c r="C1549" i="4"/>
  <c r="A1548" i="4"/>
  <c r="B1548" i="4"/>
  <c r="C1548" i="4"/>
  <c r="A1547" i="4"/>
  <c r="B1547" i="4"/>
  <c r="C1547" i="4"/>
  <c r="A1546" i="4"/>
  <c r="B1546" i="4"/>
  <c r="C1546" i="4"/>
  <c r="A1545" i="4"/>
  <c r="B1545" i="4"/>
  <c r="C1545" i="4"/>
  <c r="A1544" i="4"/>
  <c r="B1544" i="4"/>
  <c r="C1544" i="4"/>
  <c r="A1543" i="4"/>
  <c r="B1543" i="4"/>
  <c r="C1543" i="4"/>
  <c r="A1542" i="4"/>
  <c r="B1542" i="4"/>
  <c r="C1542" i="4"/>
  <c r="A1541" i="4"/>
  <c r="B1541" i="4"/>
  <c r="C1541" i="4"/>
  <c r="A1540" i="4"/>
  <c r="B1540" i="4"/>
  <c r="C1540" i="4"/>
  <c r="A1539" i="4"/>
  <c r="B1539" i="4"/>
  <c r="C1539" i="4"/>
  <c r="A1538" i="4"/>
  <c r="B1538" i="4"/>
  <c r="C1538" i="4"/>
  <c r="A1537" i="4"/>
  <c r="B1537" i="4"/>
  <c r="C1537" i="4"/>
  <c r="A1536" i="4"/>
  <c r="B1536" i="4"/>
  <c r="C1536" i="4"/>
  <c r="A1535" i="4"/>
  <c r="B1535" i="4"/>
  <c r="C1535" i="4"/>
  <c r="A1534" i="4"/>
  <c r="B1534" i="4"/>
  <c r="C1534" i="4"/>
  <c r="A1533" i="4"/>
  <c r="B1533" i="4"/>
  <c r="C1533" i="4"/>
  <c r="A1532" i="4"/>
  <c r="B1532" i="4"/>
  <c r="C1532" i="4"/>
  <c r="A1531" i="4"/>
  <c r="B1531" i="4"/>
  <c r="C1531" i="4"/>
  <c r="A1530" i="4"/>
  <c r="B1530" i="4"/>
  <c r="C1530" i="4"/>
  <c r="A1529" i="4"/>
  <c r="B1529" i="4"/>
  <c r="C1529" i="4"/>
  <c r="A1528" i="4"/>
  <c r="B1528" i="4"/>
  <c r="C1528" i="4"/>
  <c r="A1527" i="4"/>
  <c r="B1527" i="4"/>
  <c r="C1527" i="4"/>
  <c r="A1526" i="4"/>
  <c r="B1526" i="4"/>
  <c r="C1526" i="4"/>
  <c r="A1525" i="4"/>
  <c r="B1525" i="4"/>
  <c r="C1525" i="4"/>
  <c r="A1524" i="4"/>
  <c r="B1524" i="4"/>
  <c r="C1524" i="4"/>
  <c r="A1523" i="4"/>
  <c r="B1523" i="4"/>
  <c r="C1523" i="4"/>
  <c r="A1522" i="4"/>
  <c r="B1522" i="4"/>
  <c r="C1522" i="4"/>
  <c r="A1521" i="4"/>
  <c r="B1521" i="4"/>
  <c r="C1521" i="4"/>
  <c r="A1520" i="4"/>
  <c r="B1520" i="4"/>
  <c r="C1520" i="4"/>
  <c r="A1519" i="4"/>
  <c r="B1519" i="4"/>
  <c r="C1519" i="4"/>
  <c r="A1518" i="4"/>
  <c r="B1518" i="4"/>
  <c r="C1518" i="4"/>
  <c r="A1517" i="4"/>
  <c r="B1517" i="4"/>
  <c r="C1517" i="4"/>
  <c r="A1516" i="4"/>
  <c r="B1516" i="4"/>
  <c r="C1516" i="4"/>
  <c r="A1515" i="4"/>
  <c r="B1515" i="4"/>
  <c r="C1515" i="4"/>
  <c r="A1514" i="4"/>
  <c r="B1514" i="4"/>
  <c r="C1514" i="4"/>
  <c r="A1513" i="4"/>
  <c r="B1513" i="4"/>
  <c r="C1513" i="4"/>
  <c r="A1512" i="4"/>
  <c r="B1512" i="4"/>
  <c r="C1512" i="4"/>
  <c r="A1511" i="4"/>
  <c r="B1511" i="4"/>
  <c r="C1511" i="4"/>
  <c r="A1510" i="4"/>
  <c r="B1510" i="4"/>
  <c r="C1510" i="4"/>
  <c r="A1509" i="4"/>
  <c r="B1509" i="4"/>
  <c r="C1509" i="4"/>
  <c r="A1508" i="4"/>
  <c r="B1508" i="4"/>
  <c r="C1508" i="4"/>
  <c r="A1507" i="4"/>
  <c r="B1507" i="4"/>
  <c r="C1507" i="4"/>
  <c r="A1506" i="4"/>
  <c r="B1506" i="4"/>
  <c r="C1506" i="4"/>
  <c r="A1505" i="4"/>
  <c r="B1505" i="4"/>
  <c r="C1505" i="4"/>
  <c r="A1504" i="4"/>
  <c r="B1504" i="4"/>
  <c r="C1504" i="4"/>
  <c r="A1503" i="4"/>
  <c r="B1503" i="4"/>
  <c r="C1503" i="4"/>
  <c r="A1502" i="4"/>
  <c r="B1502" i="4"/>
  <c r="C1502" i="4"/>
  <c r="A1501" i="4"/>
  <c r="B1501" i="4"/>
  <c r="C1501" i="4"/>
  <c r="A1500" i="4"/>
  <c r="B1500" i="4"/>
  <c r="C1500" i="4"/>
  <c r="A1499" i="4"/>
  <c r="B1499" i="4"/>
  <c r="C1499" i="4"/>
  <c r="A1498" i="4"/>
  <c r="B1498" i="4"/>
  <c r="C1498" i="4"/>
  <c r="A1497" i="4"/>
  <c r="B1497" i="4"/>
  <c r="C1497" i="4"/>
  <c r="A1496" i="4"/>
  <c r="B1496" i="4"/>
  <c r="C1496" i="4"/>
  <c r="A1495" i="4"/>
  <c r="B1495" i="4"/>
  <c r="C1495" i="4"/>
  <c r="A1494" i="4"/>
  <c r="B1494" i="4"/>
  <c r="C1494" i="4"/>
  <c r="A1493" i="4"/>
  <c r="B1493" i="4"/>
  <c r="C1493" i="4"/>
  <c r="A1492" i="4"/>
  <c r="B1492" i="4"/>
  <c r="C1492" i="4"/>
  <c r="A1491" i="4"/>
  <c r="B1491" i="4"/>
  <c r="C1491" i="4"/>
  <c r="A1490" i="4"/>
  <c r="B1490" i="4"/>
  <c r="C1490" i="4"/>
  <c r="A1489" i="4"/>
  <c r="B1489" i="4"/>
  <c r="C1489" i="4"/>
  <c r="A1488" i="4"/>
  <c r="B1488" i="4"/>
  <c r="C1488" i="4"/>
  <c r="A1487" i="4"/>
  <c r="B1487" i="4"/>
  <c r="C1487" i="4"/>
  <c r="A1486" i="4"/>
  <c r="B1486" i="4"/>
  <c r="C1486" i="4"/>
  <c r="A1485" i="4"/>
  <c r="B1485" i="4"/>
  <c r="C1485" i="4"/>
  <c r="A1484" i="4"/>
  <c r="B1484" i="4"/>
  <c r="C1484" i="4"/>
  <c r="A1483" i="4"/>
  <c r="B1483" i="4"/>
  <c r="C1483" i="4"/>
  <c r="A1482" i="4"/>
  <c r="B1482" i="4"/>
  <c r="C1482" i="4"/>
  <c r="A1481" i="4"/>
  <c r="B1481" i="4"/>
  <c r="C1481" i="4"/>
  <c r="A1480" i="4"/>
  <c r="B1480" i="4"/>
  <c r="C1480" i="4"/>
  <c r="A1479" i="4"/>
  <c r="B1479" i="4"/>
  <c r="C1479" i="4"/>
  <c r="A1478" i="4"/>
  <c r="B1478" i="4"/>
  <c r="C1478" i="4"/>
  <c r="A1477" i="4"/>
  <c r="B1477" i="4"/>
  <c r="C1477" i="4"/>
  <c r="A1476" i="4"/>
  <c r="B1476" i="4"/>
  <c r="C1476" i="4"/>
  <c r="A1475" i="4"/>
  <c r="B1475" i="4"/>
  <c r="C1475" i="4"/>
  <c r="A1474" i="4"/>
  <c r="B1474" i="4"/>
  <c r="C1474" i="4"/>
  <c r="A1473" i="4"/>
  <c r="B1473" i="4"/>
  <c r="C1473" i="4"/>
  <c r="A1472" i="4"/>
  <c r="B1472" i="4"/>
  <c r="C1472" i="4"/>
  <c r="A1471" i="4"/>
  <c r="B1471" i="4"/>
  <c r="C1471" i="4"/>
  <c r="A1470" i="4"/>
  <c r="B1470" i="4"/>
  <c r="C1470" i="4"/>
  <c r="A1469" i="4"/>
  <c r="B1469" i="4"/>
  <c r="C1469" i="4"/>
  <c r="A1468" i="4"/>
  <c r="B1468" i="4"/>
  <c r="C1468" i="4"/>
  <c r="A1467" i="4"/>
  <c r="B1467" i="4"/>
  <c r="C1467" i="4"/>
  <c r="A1466" i="4"/>
  <c r="B1466" i="4"/>
  <c r="C1466" i="4"/>
  <c r="A1465" i="4"/>
  <c r="B1465" i="4"/>
  <c r="C1465" i="4"/>
  <c r="A1464" i="4"/>
  <c r="B1464" i="4"/>
  <c r="C1464" i="4"/>
  <c r="A1463" i="4"/>
  <c r="B1463" i="4"/>
  <c r="C1463" i="4"/>
  <c r="A1462" i="4"/>
  <c r="B1462" i="4"/>
  <c r="C1462" i="4"/>
  <c r="A1461" i="4"/>
  <c r="B1461" i="4"/>
  <c r="C1461" i="4"/>
  <c r="A1460" i="4"/>
  <c r="B1460" i="4"/>
  <c r="C1460" i="4"/>
  <c r="A1459" i="4"/>
  <c r="B1459" i="4"/>
  <c r="C1459" i="4"/>
  <c r="A1458" i="4"/>
  <c r="B1458" i="4"/>
  <c r="C1458" i="4"/>
  <c r="A1457" i="4"/>
  <c r="B1457" i="4"/>
  <c r="C1457" i="4"/>
  <c r="A1456" i="4"/>
  <c r="B1456" i="4"/>
  <c r="C1456" i="4"/>
  <c r="A1455" i="4"/>
  <c r="B1455" i="4"/>
  <c r="C1455" i="4"/>
  <c r="A1454" i="4"/>
  <c r="B1454" i="4"/>
  <c r="C1454" i="4"/>
  <c r="A1453" i="4"/>
  <c r="B1453" i="4"/>
  <c r="C1453" i="4"/>
  <c r="A1452" i="4"/>
  <c r="B1452" i="4"/>
  <c r="C1452" i="4"/>
  <c r="A1451" i="4"/>
  <c r="B1451" i="4"/>
  <c r="C1451" i="4"/>
  <c r="A1450" i="4"/>
  <c r="B1450" i="4"/>
  <c r="C1450" i="4"/>
  <c r="A1449" i="4"/>
  <c r="B1449" i="4"/>
  <c r="C1449" i="4"/>
  <c r="A1448" i="4"/>
  <c r="B1448" i="4"/>
  <c r="C1448" i="4"/>
  <c r="A1447" i="4"/>
  <c r="B1447" i="4"/>
  <c r="C1447" i="4"/>
  <c r="A1446" i="4"/>
  <c r="B1446" i="4"/>
  <c r="C1446" i="4"/>
  <c r="A1445" i="4"/>
  <c r="B1445" i="4"/>
  <c r="C1445" i="4"/>
  <c r="A1444" i="4"/>
  <c r="B1444" i="4"/>
  <c r="C1444" i="4"/>
  <c r="A1443" i="4"/>
  <c r="B1443" i="4"/>
  <c r="C1443" i="4"/>
  <c r="A1442" i="4"/>
  <c r="B1442" i="4"/>
  <c r="C1442" i="4"/>
  <c r="A1441" i="4"/>
  <c r="B1441" i="4"/>
  <c r="C1441" i="4"/>
  <c r="A1440" i="4"/>
  <c r="B1440" i="4"/>
  <c r="C1440" i="4"/>
  <c r="A1439" i="4"/>
  <c r="B1439" i="4"/>
  <c r="C1439" i="4"/>
  <c r="A1438" i="4"/>
  <c r="B1438" i="4"/>
  <c r="C1438" i="4"/>
  <c r="A1437" i="4"/>
  <c r="B1437" i="4"/>
  <c r="C1437" i="4"/>
  <c r="A1436" i="4"/>
  <c r="B1436" i="4"/>
  <c r="C1436" i="4"/>
  <c r="A1435" i="4"/>
  <c r="B1435" i="4"/>
  <c r="C1435" i="4"/>
  <c r="A1434" i="4"/>
  <c r="B1434" i="4"/>
  <c r="C1434" i="4"/>
  <c r="A1433" i="4"/>
  <c r="B1433" i="4"/>
  <c r="C1433" i="4"/>
  <c r="A1432" i="4"/>
  <c r="B1432" i="4"/>
  <c r="C1432" i="4"/>
  <c r="A1431" i="4"/>
  <c r="B1431" i="4"/>
  <c r="C1431" i="4"/>
  <c r="A1430" i="4"/>
  <c r="B1430" i="4"/>
  <c r="C1430" i="4"/>
  <c r="A1429" i="4"/>
  <c r="B1429" i="4"/>
  <c r="C1429" i="4"/>
  <c r="A1428" i="4"/>
  <c r="B1428" i="4"/>
  <c r="C1428" i="4"/>
  <c r="A1427" i="4"/>
  <c r="B1427" i="4"/>
  <c r="C1427" i="4"/>
  <c r="A1426" i="4"/>
  <c r="B1426" i="4"/>
  <c r="C1426" i="4"/>
  <c r="A1425" i="4"/>
  <c r="B1425" i="4"/>
  <c r="C1425" i="4"/>
  <c r="A1424" i="4"/>
  <c r="B1424" i="4"/>
  <c r="C1424" i="4"/>
  <c r="A1423" i="4"/>
  <c r="B1423" i="4"/>
  <c r="C1423" i="4"/>
  <c r="A1422" i="4"/>
  <c r="B1422" i="4"/>
  <c r="C1422" i="4"/>
  <c r="A1421" i="4"/>
  <c r="B1421" i="4"/>
  <c r="C1421" i="4"/>
  <c r="A1420" i="4"/>
  <c r="B1420" i="4"/>
  <c r="C1420" i="4"/>
  <c r="A1419" i="4"/>
  <c r="B1419" i="4"/>
  <c r="C1419" i="4"/>
  <c r="A1418" i="4"/>
  <c r="B1418" i="4"/>
  <c r="C1418" i="4"/>
  <c r="A1417" i="4"/>
  <c r="B1417" i="4"/>
  <c r="C1417" i="4"/>
  <c r="A1416" i="4"/>
  <c r="B1416" i="4"/>
  <c r="C1416" i="4"/>
  <c r="A1415" i="4"/>
  <c r="B1415" i="4"/>
  <c r="C1415" i="4"/>
  <c r="A1414" i="4"/>
  <c r="B1414" i="4"/>
  <c r="C1414" i="4"/>
  <c r="A1413" i="4"/>
  <c r="B1413" i="4"/>
  <c r="C1413" i="4"/>
  <c r="A1412" i="4"/>
  <c r="B1412" i="4"/>
  <c r="C1412" i="4"/>
  <c r="A1411" i="4"/>
  <c r="B1411" i="4"/>
  <c r="C1411" i="4"/>
  <c r="A1410" i="4"/>
  <c r="B1410" i="4"/>
  <c r="C1410" i="4"/>
  <c r="A1409" i="4"/>
  <c r="B1409" i="4"/>
  <c r="C1409" i="4"/>
  <c r="A1408" i="4"/>
  <c r="B1408" i="4"/>
  <c r="C1408" i="4"/>
  <c r="A1407" i="4"/>
  <c r="B1407" i="4"/>
  <c r="C1407" i="4"/>
  <c r="A1406" i="4"/>
  <c r="B1406" i="4"/>
  <c r="C1406" i="4"/>
  <c r="A1405" i="4"/>
  <c r="B1405" i="4"/>
  <c r="C1405" i="4"/>
  <c r="A1404" i="4"/>
  <c r="B1404" i="4"/>
  <c r="C1404" i="4"/>
  <c r="A1403" i="4"/>
  <c r="B1403" i="4"/>
  <c r="C1403" i="4"/>
  <c r="A1402" i="4"/>
  <c r="B1402" i="4"/>
  <c r="C1402" i="4"/>
  <c r="A1401" i="4"/>
  <c r="B1401" i="4"/>
  <c r="C1401" i="4"/>
  <c r="A1400" i="4"/>
  <c r="B1400" i="4"/>
  <c r="C1400" i="4"/>
  <c r="A1399" i="4"/>
  <c r="B1399" i="4"/>
  <c r="C1399" i="4"/>
  <c r="A1398" i="4"/>
  <c r="B1398" i="4"/>
  <c r="C1398" i="4"/>
  <c r="A1397" i="4"/>
  <c r="B1397" i="4"/>
  <c r="C1397" i="4"/>
  <c r="A1396" i="4"/>
  <c r="B1396" i="4"/>
  <c r="C1396" i="4"/>
  <c r="A1395" i="4"/>
  <c r="B1395" i="4"/>
  <c r="C1395" i="4"/>
  <c r="A1394" i="4"/>
  <c r="B1394" i="4"/>
  <c r="C1394" i="4"/>
  <c r="A1393" i="4"/>
  <c r="B1393" i="4"/>
  <c r="C1393" i="4"/>
  <c r="A1392" i="4"/>
  <c r="B1392" i="4"/>
  <c r="C1392" i="4"/>
  <c r="A1391" i="4"/>
  <c r="B1391" i="4"/>
  <c r="C1391" i="4"/>
  <c r="A1390" i="4"/>
  <c r="B1390" i="4"/>
  <c r="C1390" i="4"/>
  <c r="A1389" i="4"/>
  <c r="B1389" i="4"/>
  <c r="C1389" i="4"/>
  <c r="A1388" i="4"/>
  <c r="B1388" i="4"/>
  <c r="C1388" i="4"/>
  <c r="A1387" i="4"/>
  <c r="B1387" i="4"/>
  <c r="C1387" i="4"/>
  <c r="A1386" i="4"/>
  <c r="B1386" i="4"/>
  <c r="C1386" i="4"/>
  <c r="A1385" i="4"/>
  <c r="B1385" i="4"/>
  <c r="C1385" i="4"/>
  <c r="A1384" i="4"/>
  <c r="B1384" i="4"/>
  <c r="C1384" i="4"/>
  <c r="A1383" i="4"/>
  <c r="B1383" i="4"/>
  <c r="C1383" i="4"/>
  <c r="A1382" i="4"/>
  <c r="B1382" i="4"/>
  <c r="C1382" i="4"/>
  <c r="A1381" i="4"/>
  <c r="B1381" i="4"/>
  <c r="C1381" i="4"/>
  <c r="A1380" i="4"/>
  <c r="B1380" i="4"/>
  <c r="C1380" i="4"/>
  <c r="A1379" i="4"/>
  <c r="B1379" i="4"/>
  <c r="C1379" i="4"/>
  <c r="A1378" i="4"/>
  <c r="B1378" i="4"/>
  <c r="C1378" i="4"/>
  <c r="A1377" i="4"/>
  <c r="B1377" i="4"/>
  <c r="C1377" i="4"/>
  <c r="A1376" i="4"/>
  <c r="B1376" i="4"/>
  <c r="C1376" i="4"/>
  <c r="A1375" i="4"/>
  <c r="B1375" i="4"/>
  <c r="C1375" i="4"/>
  <c r="A1374" i="4"/>
  <c r="B1374" i="4"/>
  <c r="C1374" i="4"/>
  <c r="A1373" i="4"/>
  <c r="B1373" i="4"/>
  <c r="C1373" i="4"/>
  <c r="A1372" i="4"/>
  <c r="B1372" i="4"/>
  <c r="C1372" i="4"/>
  <c r="A1371" i="4"/>
  <c r="B1371" i="4"/>
  <c r="C1371" i="4"/>
  <c r="A1370" i="4"/>
  <c r="B1370" i="4"/>
  <c r="C1370" i="4"/>
  <c r="A1369" i="4"/>
  <c r="B1369" i="4"/>
  <c r="C1369" i="4"/>
  <c r="A1368" i="4"/>
  <c r="B1368" i="4"/>
  <c r="C1368" i="4"/>
  <c r="A1367" i="4"/>
  <c r="B1367" i="4"/>
  <c r="C1367" i="4"/>
  <c r="A1366" i="4"/>
  <c r="B1366" i="4"/>
  <c r="C1366" i="4"/>
  <c r="A1365" i="4"/>
  <c r="B1365" i="4"/>
  <c r="C1365" i="4"/>
  <c r="A1364" i="4"/>
  <c r="B1364" i="4"/>
  <c r="C1364" i="4"/>
  <c r="A1363" i="4"/>
  <c r="B1363" i="4"/>
  <c r="C1363" i="4"/>
  <c r="A1362" i="4"/>
  <c r="B1362" i="4"/>
  <c r="C1362" i="4"/>
  <c r="A1361" i="4"/>
  <c r="B1361" i="4"/>
  <c r="C1361" i="4"/>
  <c r="A1360" i="4"/>
  <c r="B1360" i="4"/>
  <c r="C1360" i="4"/>
  <c r="A1359" i="4"/>
  <c r="B1359" i="4"/>
  <c r="C1359" i="4"/>
  <c r="A1358" i="4"/>
  <c r="B1358" i="4"/>
  <c r="C1358" i="4"/>
  <c r="A1357" i="4"/>
  <c r="B1357" i="4"/>
  <c r="C1357" i="4"/>
  <c r="A1356" i="4"/>
  <c r="B1356" i="4"/>
  <c r="C1356" i="4"/>
  <c r="A1355" i="4"/>
  <c r="B1355" i="4"/>
  <c r="C1355" i="4"/>
  <c r="A1354" i="4"/>
  <c r="B1354" i="4"/>
  <c r="C1354" i="4"/>
  <c r="A1353" i="4"/>
  <c r="B1353" i="4"/>
  <c r="C1353" i="4"/>
  <c r="A1352" i="4"/>
  <c r="B1352" i="4"/>
  <c r="C1352" i="4"/>
  <c r="A1351" i="4"/>
  <c r="B1351" i="4"/>
  <c r="C1351" i="4"/>
  <c r="A1350" i="4"/>
  <c r="B1350" i="4"/>
  <c r="C1350" i="4"/>
  <c r="A1349" i="4"/>
  <c r="B1349" i="4"/>
  <c r="C1349" i="4"/>
  <c r="A1348" i="4"/>
  <c r="B1348" i="4"/>
  <c r="C1348" i="4"/>
  <c r="A1347" i="4"/>
  <c r="B1347" i="4"/>
  <c r="C1347" i="4"/>
  <c r="A1346" i="4"/>
  <c r="B1346" i="4"/>
  <c r="C1346" i="4"/>
  <c r="A1345" i="4"/>
  <c r="B1345" i="4"/>
  <c r="C1345" i="4"/>
  <c r="A1344" i="4"/>
  <c r="B1344" i="4"/>
  <c r="C1344" i="4"/>
  <c r="A1343" i="4"/>
  <c r="B1343" i="4"/>
  <c r="C1343" i="4"/>
  <c r="A1342" i="4"/>
  <c r="B1342" i="4"/>
  <c r="C1342" i="4"/>
  <c r="A1341" i="4"/>
  <c r="B1341" i="4"/>
  <c r="C1341" i="4"/>
  <c r="A1340" i="4"/>
  <c r="B1340" i="4"/>
  <c r="C1340" i="4"/>
  <c r="A1339" i="4"/>
  <c r="B1339" i="4"/>
  <c r="C1339" i="4"/>
  <c r="A1338" i="4"/>
  <c r="B1338" i="4"/>
  <c r="C1338" i="4"/>
  <c r="A1337" i="4"/>
  <c r="B1337" i="4"/>
  <c r="C1337" i="4"/>
  <c r="A1336" i="4"/>
  <c r="B1336" i="4"/>
  <c r="C1336" i="4"/>
  <c r="A1335" i="4"/>
  <c r="B1335" i="4"/>
  <c r="C1335" i="4"/>
  <c r="A1334" i="4"/>
  <c r="B1334" i="4"/>
  <c r="C1334" i="4"/>
  <c r="A1333" i="4"/>
  <c r="B1333" i="4"/>
  <c r="C1333" i="4"/>
  <c r="A1332" i="4"/>
  <c r="B1332" i="4"/>
  <c r="C1332" i="4"/>
  <c r="A1331" i="4"/>
  <c r="B1331" i="4"/>
  <c r="C1331" i="4"/>
  <c r="A1330" i="4"/>
  <c r="B1330" i="4"/>
  <c r="C1330" i="4"/>
  <c r="A1329" i="4"/>
  <c r="B1329" i="4"/>
  <c r="C1329" i="4"/>
  <c r="A1328" i="4"/>
  <c r="B1328" i="4"/>
  <c r="C1328" i="4"/>
  <c r="A1327" i="4"/>
  <c r="B1327" i="4"/>
  <c r="C1327" i="4"/>
  <c r="A1326" i="4"/>
  <c r="B1326" i="4"/>
  <c r="C1326" i="4"/>
  <c r="A1325" i="4"/>
  <c r="B1325" i="4"/>
  <c r="C1325" i="4"/>
  <c r="A1324" i="4"/>
  <c r="B1324" i="4"/>
  <c r="C1324" i="4"/>
  <c r="A1323" i="4"/>
  <c r="B1323" i="4"/>
  <c r="C1323" i="4"/>
  <c r="A1322" i="4"/>
  <c r="B1322" i="4"/>
  <c r="C1322" i="4"/>
  <c r="A1321" i="4"/>
  <c r="B1321" i="4"/>
  <c r="C1321" i="4"/>
  <c r="A1320" i="4"/>
  <c r="B1320" i="4"/>
  <c r="C1320" i="4"/>
  <c r="A1319" i="4"/>
  <c r="B1319" i="4"/>
  <c r="C1319" i="4"/>
  <c r="A1318" i="4"/>
  <c r="B1318" i="4"/>
  <c r="C1318" i="4"/>
  <c r="A1317" i="4"/>
  <c r="B1317" i="4"/>
  <c r="C1317" i="4"/>
  <c r="A1316" i="4"/>
  <c r="B1316" i="4"/>
  <c r="C1316" i="4"/>
  <c r="A1315" i="4"/>
  <c r="B1315" i="4"/>
  <c r="C1315" i="4"/>
  <c r="A1314" i="4"/>
  <c r="B1314" i="4"/>
  <c r="C1314" i="4"/>
  <c r="A1313" i="4"/>
  <c r="B1313" i="4"/>
  <c r="C1313" i="4"/>
  <c r="A1312" i="4"/>
  <c r="B1312" i="4"/>
  <c r="C1312" i="4"/>
  <c r="A1311" i="4"/>
  <c r="B1311" i="4"/>
  <c r="C1311" i="4"/>
  <c r="A1310" i="4"/>
  <c r="B1310" i="4"/>
  <c r="C1310" i="4"/>
  <c r="A1309" i="4"/>
  <c r="B1309" i="4"/>
  <c r="C1309" i="4"/>
  <c r="A1308" i="4"/>
  <c r="B1308" i="4"/>
  <c r="C1308" i="4"/>
  <c r="A1307" i="4"/>
  <c r="B1307" i="4"/>
  <c r="C1307" i="4"/>
  <c r="A1306" i="4"/>
  <c r="B1306" i="4"/>
  <c r="C1306" i="4"/>
  <c r="A1305" i="4"/>
  <c r="B1305" i="4"/>
  <c r="C1305" i="4"/>
  <c r="A1304" i="4"/>
  <c r="B1304" i="4"/>
  <c r="C1304" i="4"/>
  <c r="A1303" i="4"/>
  <c r="B1303" i="4"/>
  <c r="C1303" i="4"/>
  <c r="A1302" i="4"/>
  <c r="B1302" i="4"/>
  <c r="C1302" i="4"/>
  <c r="A1301" i="4"/>
  <c r="B1301" i="4"/>
  <c r="C1301" i="4"/>
  <c r="A1300" i="4"/>
  <c r="B1300" i="4"/>
  <c r="C1300" i="4"/>
  <c r="A1299" i="4"/>
  <c r="B1299" i="4"/>
  <c r="C1299" i="4"/>
  <c r="A1298" i="4"/>
  <c r="B1298" i="4"/>
  <c r="C1298" i="4"/>
  <c r="A1297" i="4"/>
  <c r="B1297" i="4"/>
  <c r="C1297" i="4"/>
  <c r="A1296" i="4"/>
  <c r="B1296" i="4"/>
  <c r="C1296" i="4"/>
  <c r="A1295" i="4"/>
  <c r="B1295" i="4"/>
  <c r="C1295" i="4"/>
  <c r="A1294" i="4"/>
  <c r="B1294" i="4"/>
  <c r="C1294" i="4"/>
  <c r="A1293" i="4"/>
  <c r="B1293" i="4"/>
  <c r="C1293" i="4"/>
  <c r="A1292" i="4"/>
  <c r="B1292" i="4"/>
  <c r="C1292" i="4"/>
  <c r="A1291" i="4"/>
  <c r="B1291" i="4"/>
  <c r="C1291" i="4"/>
  <c r="A1290" i="4"/>
  <c r="B1290" i="4"/>
  <c r="C1290" i="4"/>
  <c r="A1289" i="4"/>
  <c r="B1289" i="4"/>
  <c r="C1289" i="4"/>
  <c r="A1288" i="4"/>
  <c r="B1288" i="4"/>
  <c r="C1288" i="4"/>
  <c r="A1287" i="4"/>
  <c r="B1287" i="4"/>
  <c r="C1287" i="4"/>
  <c r="A1286" i="4"/>
  <c r="B1286" i="4"/>
  <c r="C1286" i="4"/>
  <c r="A1285" i="4"/>
  <c r="B1285" i="4"/>
  <c r="C1285" i="4"/>
  <c r="A1284" i="4"/>
  <c r="B1284" i="4"/>
  <c r="C1284" i="4"/>
  <c r="A1283" i="4"/>
  <c r="B1283" i="4"/>
  <c r="C1283" i="4"/>
  <c r="A1282" i="4"/>
  <c r="B1282" i="4"/>
  <c r="C1282" i="4"/>
  <c r="A1281" i="4"/>
  <c r="B1281" i="4"/>
  <c r="C1281" i="4"/>
  <c r="A1280" i="4"/>
  <c r="B1280" i="4"/>
  <c r="C1280" i="4"/>
  <c r="A1279" i="4"/>
  <c r="B1279" i="4"/>
  <c r="C1279" i="4"/>
  <c r="A1278" i="4"/>
  <c r="B1278" i="4"/>
  <c r="C1278" i="4"/>
  <c r="A1277" i="4"/>
  <c r="B1277" i="4"/>
  <c r="C1277" i="4"/>
  <c r="A1276" i="4"/>
  <c r="B1276" i="4"/>
  <c r="C1276" i="4"/>
  <c r="A1275" i="4"/>
  <c r="B1275" i="4"/>
  <c r="C1275" i="4"/>
  <c r="A1274" i="4"/>
  <c r="B1274" i="4"/>
  <c r="C1274" i="4"/>
  <c r="A1273" i="4"/>
  <c r="B1273" i="4"/>
  <c r="C1273" i="4"/>
  <c r="A1272" i="4"/>
  <c r="B1272" i="4"/>
  <c r="C1272" i="4"/>
  <c r="A1271" i="4"/>
  <c r="B1271" i="4"/>
  <c r="C1271" i="4"/>
  <c r="A1270" i="4"/>
  <c r="B1270" i="4"/>
  <c r="C1270" i="4"/>
  <c r="A1269" i="4"/>
  <c r="B1269" i="4"/>
  <c r="C1269" i="4"/>
  <c r="A1268" i="4"/>
  <c r="B1268" i="4"/>
  <c r="C1268" i="4"/>
  <c r="A1267" i="4"/>
  <c r="B1267" i="4"/>
  <c r="C1267" i="4"/>
  <c r="A1266" i="4"/>
  <c r="B1266" i="4"/>
  <c r="C1266" i="4"/>
  <c r="A1265" i="4"/>
  <c r="B1265" i="4"/>
  <c r="C1265" i="4"/>
  <c r="A1264" i="4"/>
  <c r="B1264" i="4"/>
  <c r="C1264" i="4"/>
  <c r="A1263" i="4"/>
  <c r="B1263" i="4"/>
  <c r="C1263" i="4"/>
  <c r="A1262" i="4"/>
  <c r="B1262" i="4"/>
  <c r="C1262" i="4"/>
  <c r="A1261" i="4"/>
  <c r="B1261" i="4"/>
  <c r="C1261" i="4"/>
  <c r="A1260" i="4"/>
  <c r="B1260" i="4"/>
  <c r="C1260" i="4"/>
  <c r="A1259" i="4"/>
  <c r="B1259" i="4"/>
  <c r="C1259" i="4"/>
  <c r="A1258" i="4"/>
  <c r="B1258" i="4"/>
  <c r="C1258" i="4"/>
  <c r="A1257" i="4"/>
  <c r="B1257" i="4"/>
  <c r="C1257" i="4"/>
  <c r="A1256" i="4"/>
  <c r="B1256" i="4"/>
  <c r="C1256" i="4"/>
  <c r="A1255" i="4"/>
  <c r="B1255" i="4"/>
  <c r="C1255" i="4"/>
  <c r="A1254" i="4"/>
  <c r="B1254" i="4"/>
  <c r="C1254" i="4"/>
  <c r="A1253" i="4"/>
  <c r="B1253" i="4"/>
  <c r="C1253" i="4"/>
  <c r="A1252" i="4"/>
  <c r="B1252" i="4"/>
  <c r="C1252" i="4"/>
  <c r="A1251" i="4"/>
  <c r="B1251" i="4"/>
  <c r="C1251" i="4"/>
  <c r="A1250" i="4"/>
  <c r="B1250" i="4"/>
  <c r="C1250" i="4"/>
  <c r="A1249" i="4"/>
  <c r="B1249" i="4"/>
  <c r="C1249" i="4"/>
  <c r="A1248" i="4"/>
  <c r="B1248" i="4"/>
  <c r="C1248" i="4"/>
  <c r="A1247" i="4"/>
  <c r="B1247" i="4"/>
  <c r="C1247" i="4"/>
  <c r="A1246" i="4"/>
  <c r="B1246" i="4"/>
  <c r="C1246" i="4"/>
  <c r="A1245" i="4"/>
  <c r="B1245" i="4"/>
  <c r="C1245" i="4"/>
  <c r="A1244" i="4"/>
  <c r="B1244" i="4"/>
  <c r="C1244" i="4"/>
  <c r="A1243" i="4"/>
  <c r="B1243" i="4"/>
  <c r="C1243" i="4"/>
  <c r="A1242" i="4"/>
  <c r="B1242" i="4"/>
  <c r="C1242" i="4"/>
  <c r="A1241" i="4"/>
  <c r="B1241" i="4"/>
  <c r="C1241" i="4"/>
  <c r="A1240" i="4"/>
  <c r="B1240" i="4"/>
  <c r="C1240" i="4"/>
  <c r="A1239" i="4"/>
  <c r="B1239" i="4"/>
  <c r="C1239" i="4"/>
  <c r="A1238" i="4"/>
  <c r="B1238" i="4"/>
  <c r="C1238" i="4"/>
  <c r="A1237" i="4"/>
  <c r="B1237" i="4"/>
  <c r="C1237" i="4"/>
  <c r="A1236" i="4"/>
  <c r="B1236" i="4"/>
  <c r="C1236" i="4"/>
  <c r="A1235" i="4"/>
  <c r="B1235" i="4"/>
  <c r="C1235" i="4"/>
  <c r="A1234" i="4"/>
  <c r="B1234" i="4"/>
  <c r="C1234" i="4"/>
  <c r="A1233" i="4"/>
  <c r="B1233" i="4"/>
  <c r="C1233" i="4"/>
  <c r="A1232" i="4"/>
  <c r="B1232" i="4"/>
  <c r="C1232" i="4"/>
  <c r="A1231" i="4"/>
  <c r="B1231" i="4"/>
  <c r="C1231" i="4"/>
  <c r="A1230" i="4"/>
  <c r="B1230" i="4"/>
  <c r="C1230" i="4"/>
  <c r="A1229" i="4"/>
  <c r="B1229" i="4"/>
  <c r="C1229" i="4"/>
  <c r="A1228" i="4"/>
  <c r="B1228" i="4"/>
  <c r="C1228" i="4"/>
  <c r="A1227" i="4"/>
  <c r="B1227" i="4"/>
  <c r="C1227" i="4"/>
  <c r="A1226" i="4"/>
  <c r="B1226" i="4"/>
  <c r="C1226" i="4"/>
  <c r="A1225" i="4"/>
  <c r="B1225" i="4"/>
  <c r="C1225" i="4"/>
  <c r="A1224" i="4"/>
  <c r="B1224" i="4"/>
  <c r="C1224" i="4"/>
  <c r="A1223" i="4"/>
  <c r="B1223" i="4"/>
  <c r="C1223" i="4"/>
  <c r="A1222" i="4"/>
  <c r="B1222" i="4"/>
  <c r="C1222" i="4"/>
  <c r="A1221" i="4"/>
  <c r="B1221" i="4"/>
  <c r="C1221" i="4"/>
  <c r="A1220" i="4"/>
  <c r="B1220" i="4"/>
  <c r="C1220" i="4"/>
  <c r="A1219" i="4"/>
  <c r="B1219" i="4"/>
  <c r="C1219" i="4"/>
  <c r="A1218" i="4"/>
  <c r="B1218" i="4"/>
  <c r="C1218" i="4"/>
  <c r="A1217" i="4"/>
  <c r="B1217" i="4"/>
  <c r="C1217" i="4"/>
  <c r="A1216" i="4"/>
  <c r="B1216" i="4"/>
  <c r="C1216" i="4"/>
  <c r="A1215" i="4"/>
  <c r="B1215" i="4"/>
  <c r="C1215" i="4"/>
  <c r="A1214" i="4"/>
  <c r="B1214" i="4"/>
  <c r="C1214" i="4"/>
  <c r="A1213" i="4"/>
  <c r="B1213" i="4"/>
  <c r="C1213" i="4"/>
  <c r="A1212" i="4"/>
  <c r="B1212" i="4"/>
  <c r="C1212" i="4"/>
  <c r="A1211" i="4"/>
  <c r="B1211" i="4"/>
  <c r="C1211" i="4"/>
  <c r="A1210" i="4"/>
  <c r="B1210" i="4"/>
  <c r="C1210" i="4"/>
  <c r="A1209" i="4"/>
  <c r="B1209" i="4"/>
  <c r="C1209" i="4"/>
  <c r="A1208" i="4"/>
  <c r="B1208" i="4"/>
  <c r="C1208" i="4"/>
  <c r="A1207" i="4"/>
  <c r="B1207" i="4"/>
  <c r="C1207" i="4"/>
  <c r="A1206" i="4"/>
  <c r="B1206" i="4"/>
  <c r="C1206" i="4"/>
  <c r="A1205" i="4"/>
  <c r="B1205" i="4"/>
  <c r="C1205" i="4"/>
  <c r="A1204" i="4"/>
  <c r="B1204" i="4"/>
  <c r="C1204" i="4"/>
  <c r="A1203" i="4"/>
  <c r="B1203" i="4"/>
  <c r="C1203" i="4"/>
  <c r="A1202" i="4"/>
  <c r="B1202" i="4"/>
  <c r="C1202" i="4"/>
  <c r="A1201" i="4"/>
  <c r="B1201" i="4"/>
  <c r="C1201" i="4"/>
  <c r="A1200" i="4"/>
  <c r="B1200" i="4"/>
  <c r="C1200" i="4"/>
  <c r="A1199" i="4"/>
  <c r="B1199" i="4"/>
  <c r="C1199" i="4"/>
  <c r="A1198" i="4"/>
  <c r="B1198" i="4"/>
  <c r="C1198" i="4"/>
  <c r="A1197" i="4"/>
  <c r="B1197" i="4"/>
  <c r="C1197" i="4"/>
  <c r="A1196" i="4"/>
  <c r="B1196" i="4"/>
  <c r="C1196" i="4"/>
  <c r="A1195" i="4"/>
  <c r="B1195" i="4"/>
  <c r="C1195" i="4"/>
  <c r="A1194" i="4"/>
  <c r="B1194" i="4"/>
  <c r="C1194" i="4"/>
  <c r="A1193" i="4"/>
  <c r="B1193" i="4"/>
  <c r="C1193" i="4"/>
  <c r="A1192" i="4"/>
  <c r="B1192" i="4"/>
  <c r="C1192" i="4"/>
  <c r="A1191" i="4"/>
  <c r="B1191" i="4"/>
  <c r="C1191" i="4"/>
  <c r="A1190" i="4"/>
  <c r="B1190" i="4"/>
  <c r="C1190" i="4"/>
  <c r="A1189" i="4"/>
  <c r="B1189" i="4"/>
  <c r="C1189" i="4"/>
  <c r="A1188" i="4"/>
  <c r="B1188" i="4"/>
  <c r="C1188" i="4"/>
  <c r="A1187" i="4"/>
  <c r="B1187" i="4"/>
  <c r="C1187" i="4"/>
  <c r="A1186" i="4"/>
  <c r="B1186" i="4"/>
  <c r="C1186" i="4"/>
  <c r="A1185" i="4"/>
  <c r="B1185" i="4"/>
  <c r="C1185" i="4"/>
  <c r="A1184" i="4"/>
  <c r="B1184" i="4"/>
  <c r="C1184" i="4"/>
  <c r="A1183" i="4"/>
  <c r="B1183" i="4"/>
  <c r="C1183" i="4"/>
  <c r="A1182" i="4"/>
  <c r="B1182" i="4"/>
  <c r="C1182" i="4"/>
  <c r="A1181" i="4"/>
  <c r="B1181" i="4"/>
  <c r="C1181" i="4"/>
  <c r="A1180" i="4"/>
  <c r="B1180" i="4"/>
  <c r="C1180" i="4"/>
  <c r="A1179" i="4"/>
  <c r="B1179" i="4"/>
  <c r="C1179" i="4"/>
  <c r="A1178" i="4"/>
  <c r="B1178" i="4"/>
  <c r="C1178" i="4"/>
  <c r="A1177" i="4"/>
  <c r="B1177" i="4"/>
  <c r="C1177" i="4"/>
  <c r="A1176" i="4"/>
  <c r="B1176" i="4"/>
  <c r="C1176" i="4"/>
  <c r="A1175" i="4"/>
  <c r="B1175" i="4"/>
  <c r="C1175" i="4"/>
  <c r="A1174" i="4"/>
  <c r="B1174" i="4"/>
  <c r="C1174" i="4"/>
  <c r="A1173" i="4"/>
  <c r="B1173" i="4"/>
  <c r="C1173" i="4"/>
  <c r="A1172" i="4"/>
  <c r="B1172" i="4"/>
  <c r="C1172" i="4"/>
  <c r="A1171" i="4"/>
  <c r="B1171" i="4"/>
  <c r="C1171" i="4"/>
  <c r="A1170" i="4"/>
  <c r="B1170" i="4"/>
  <c r="C1170" i="4"/>
  <c r="A1169" i="4"/>
  <c r="B1169" i="4"/>
  <c r="C1169" i="4"/>
  <c r="A1168" i="4"/>
  <c r="B1168" i="4"/>
  <c r="C1168" i="4"/>
  <c r="A1167" i="4"/>
  <c r="B1167" i="4"/>
  <c r="C1167" i="4"/>
  <c r="A1166" i="4"/>
  <c r="B1166" i="4"/>
  <c r="C1166" i="4"/>
  <c r="A1165" i="4"/>
  <c r="B1165" i="4"/>
  <c r="C1165" i="4"/>
  <c r="A1164" i="4"/>
  <c r="B1164" i="4"/>
  <c r="C1164" i="4"/>
  <c r="A1163" i="4"/>
  <c r="B1163" i="4"/>
  <c r="C1163" i="4"/>
  <c r="A1162" i="4"/>
  <c r="B1162" i="4"/>
  <c r="C1162" i="4"/>
  <c r="A1161" i="4"/>
  <c r="B1161" i="4"/>
  <c r="C1161" i="4"/>
  <c r="A1160" i="4"/>
  <c r="B1160" i="4"/>
  <c r="C1160" i="4"/>
  <c r="A1159" i="4"/>
  <c r="B1159" i="4"/>
  <c r="C1159" i="4"/>
  <c r="A1158" i="4"/>
  <c r="B1158" i="4"/>
  <c r="C1158" i="4"/>
  <c r="A1157" i="4"/>
  <c r="B1157" i="4"/>
  <c r="C1157" i="4"/>
  <c r="A1156" i="4"/>
  <c r="B1156" i="4"/>
  <c r="C1156" i="4"/>
  <c r="A1155" i="4"/>
  <c r="B1155" i="4"/>
  <c r="C1155" i="4"/>
  <c r="A1154" i="4"/>
  <c r="B1154" i="4"/>
  <c r="C1154" i="4"/>
  <c r="A1153" i="4"/>
  <c r="B1153" i="4"/>
  <c r="C1153" i="4"/>
  <c r="A1152" i="4"/>
  <c r="B1152" i="4"/>
  <c r="C1152" i="4"/>
  <c r="A1151" i="4"/>
  <c r="B1151" i="4"/>
  <c r="C1151" i="4"/>
  <c r="A1150" i="4"/>
  <c r="B1150" i="4"/>
  <c r="C1150" i="4"/>
  <c r="A1149" i="4"/>
  <c r="B1149" i="4"/>
  <c r="C1149" i="4"/>
  <c r="A1148" i="4"/>
  <c r="B1148" i="4"/>
  <c r="C1148" i="4"/>
  <c r="A1147" i="4"/>
  <c r="B1147" i="4"/>
  <c r="C1147" i="4"/>
  <c r="A1146" i="4"/>
  <c r="B1146" i="4"/>
  <c r="C1146" i="4"/>
  <c r="A1145" i="4"/>
  <c r="B1145" i="4"/>
  <c r="C1145" i="4"/>
  <c r="A1144" i="4"/>
  <c r="B1144" i="4"/>
  <c r="C1144" i="4"/>
  <c r="A1143" i="4"/>
  <c r="B1143" i="4"/>
  <c r="C1143" i="4"/>
  <c r="A1142" i="4"/>
  <c r="B1142" i="4"/>
  <c r="C1142" i="4"/>
  <c r="A1141" i="4"/>
  <c r="B1141" i="4"/>
  <c r="C1141" i="4"/>
  <c r="A1140" i="4"/>
  <c r="B1140" i="4"/>
  <c r="C1140" i="4"/>
  <c r="A1139" i="4"/>
  <c r="B1139" i="4"/>
  <c r="C1139" i="4"/>
  <c r="A1138" i="4"/>
  <c r="B1138" i="4"/>
  <c r="C1138" i="4"/>
  <c r="A1137" i="4"/>
  <c r="B1137" i="4"/>
  <c r="C1137" i="4"/>
  <c r="A1136" i="4"/>
  <c r="B1136" i="4"/>
  <c r="C1136" i="4"/>
  <c r="A1135" i="4"/>
  <c r="B1135" i="4"/>
  <c r="C1135" i="4"/>
  <c r="A1134" i="4"/>
  <c r="B1134" i="4"/>
  <c r="C1134" i="4"/>
  <c r="A1133" i="4"/>
  <c r="B1133" i="4"/>
  <c r="C1133" i="4"/>
  <c r="A1132" i="4"/>
  <c r="B1132" i="4"/>
  <c r="C1132" i="4"/>
  <c r="A1131" i="4"/>
  <c r="B1131" i="4"/>
  <c r="C1131" i="4"/>
  <c r="A1130" i="4"/>
  <c r="B1130" i="4"/>
  <c r="C1130" i="4"/>
  <c r="A1129" i="4"/>
  <c r="B1129" i="4"/>
  <c r="C1129" i="4"/>
  <c r="A1128" i="4"/>
  <c r="B1128" i="4"/>
  <c r="C1128" i="4"/>
  <c r="A1127" i="4"/>
  <c r="B1127" i="4"/>
  <c r="C1127" i="4"/>
  <c r="A1126" i="4"/>
  <c r="B1126" i="4"/>
  <c r="C1126" i="4"/>
  <c r="A1125" i="4"/>
  <c r="B1125" i="4"/>
  <c r="C1125" i="4"/>
  <c r="A1124" i="4"/>
  <c r="B1124" i="4"/>
  <c r="C1124" i="4"/>
  <c r="A1123" i="4"/>
  <c r="B1123" i="4"/>
  <c r="C1123" i="4"/>
  <c r="A1122" i="4"/>
  <c r="B1122" i="4"/>
  <c r="C1122" i="4"/>
  <c r="A1121" i="4"/>
  <c r="B1121" i="4"/>
  <c r="C1121" i="4"/>
  <c r="A1120" i="4"/>
  <c r="B1120" i="4"/>
  <c r="C1120" i="4"/>
  <c r="A1119" i="4"/>
  <c r="B1119" i="4"/>
  <c r="C1119" i="4"/>
  <c r="A1118" i="4"/>
  <c r="B1118" i="4"/>
  <c r="C1118" i="4"/>
  <c r="A1117" i="4"/>
  <c r="B1117" i="4"/>
  <c r="C1117" i="4"/>
  <c r="A1116" i="4"/>
  <c r="B1116" i="4"/>
  <c r="C1116" i="4"/>
  <c r="A1115" i="4"/>
  <c r="B1115" i="4"/>
  <c r="C1115" i="4"/>
  <c r="A1114" i="4"/>
  <c r="B1114" i="4"/>
  <c r="C1114" i="4"/>
  <c r="A1113" i="4"/>
  <c r="B1113" i="4"/>
  <c r="C1113" i="4"/>
  <c r="A1112" i="4"/>
  <c r="B1112" i="4"/>
  <c r="C1112" i="4"/>
  <c r="A1111" i="4"/>
  <c r="B1111" i="4"/>
  <c r="C1111" i="4"/>
  <c r="A1110" i="4"/>
  <c r="B1110" i="4"/>
  <c r="C1110" i="4"/>
  <c r="A1109" i="4"/>
  <c r="B1109" i="4"/>
  <c r="C1109" i="4"/>
  <c r="A1108" i="4"/>
  <c r="B1108" i="4"/>
  <c r="C1108" i="4"/>
  <c r="A1107" i="4"/>
  <c r="B1107" i="4"/>
  <c r="C1107" i="4"/>
  <c r="A1106" i="4"/>
  <c r="B1106" i="4"/>
  <c r="C1106" i="4"/>
  <c r="A1105" i="4"/>
  <c r="B1105" i="4"/>
  <c r="C1105" i="4"/>
  <c r="A1104" i="4"/>
  <c r="B1104" i="4"/>
  <c r="C1104" i="4"/>
  <c r="A1103" i="4"/>
  <c r="B1103" i="4"/>
  <c r="C1103" i="4"/>
  <c r="A1102" i="4"/>
  <c r="B1102" i="4"/>
  <c r="C1102" i="4"/>
  <c r="A1101" i="4"/>
  <c r="B1101" i="4"/>
  <c r="C1101" i="4"/>
  <c r="A1100" i="4"/>
  <c r="B1100" i="4"/>
  <c r="C1100" i="4"/>
  <c r="A1099" i="4"/>
  <c r="B1099" i="4"/>
  <c r="C1099" i="4"/>
  <c r="A1098" i="4"/>
  <c r="B1098" i="4"/>
  <c r="C1098" i="4"/>
  <c r="A1097" i="4"/>
  <c r="B1097" i="4"/>
  <c r="C1097" i="4"/>
  <c r="A1096" i="4"/>
  <c r="B1096" i="4"/>
  <c r="C1096" i="4"/>
  <c r="A1095" i="4"/>
  <c r="B1095" i="4"/>
  <c r="C1095" i="4"/>
  <c r="A1094" i="4"/>
  <c r="B1094" i="4"/>
  <c r="C1094" i="4"/>
  <c r="A1093" i="4"/>
  <c r="B1093" i="4"/>
  <c r="C1093" i="4"/>
  <c r="A1092" i="4"/>
  <c r="B1092" i="4"/>
  <c r="C1092" i="4"/>
  <c r="A1091" i="4"/>
  <c r="B1091" i="4"/>
  <c r="C1091" i="4"/>
  <c r="A1090" i="4"/>
  <c r="B1090" i="4"/>
  <c r="C1090" i="4"/>
  <c r="A1089" i="4"/>
  <c r="B1089" i="4"/>
  <c r="C1089" i="4"/>
  <c r="A1088" i="4"/>
  <c r="B1088" i="4"/>
  <c r="C1088" i="4"/>
  <c r="A1087" i="4"/>
  <c r="B1087" i="4"/>
  <c r="C1087" i="4"/>
  <c r="A1086" i="4"/>
  <c r="B1086" i="4"/>
  <c r="C1086" i="4"/>
  <c r="A1085" i="4"/>
  <c r="B1085" i="4"/>
  <c r="C1085" i="4"/>
  <c r="A1084" i="4"/>
  <c r="B1084" i="4"/>
  <c r="C1084" i="4"/>
  <c r="A1083" i="4"/>
  <c r="B1083" i="4"/>
  <c r="C1083" i="4"/>
  <c r="A1082" i="4"/>
  <c r="B1082" i="4"/>
  <c r="C1082" i="4"/>
  <c r="A1081" i="4"/>
  <c r="B1081" i="4"/>
  <c r="C1081" i="4"/>
  <c r="A1080" i="4"/>
  <c r="B1080" i="4"/>
  <c r="C1080" i="4"/>
  <c r="A1079" i="4"/>
  <c r="B1079" i="4"/>
  <c r="C1079" i="4"/>
  <c r="A1078" i="4"/>
  <c r="B1078" i="4"/>
  <c r="C1078" i="4"/>
  <c r="A1077" i="4"/>
  <c r="B1077" i="4"/>
  <c r="C1077" i="4"/>
  <c r="A1076" i="4"/>
  <c r="B1076" i="4"/>
  <c r="C1076" i="4"/>
  <c r="A1075" i="4"/>
  <c r="B1075" i="4"/>
  <c r="C1075" i="4"/>
  <c r="A1074" i="4"/>
  <c r="B1074" i="4"/>
  <c r="C1074" i="4"/>
  <c r="A1073" i="4"/>
  <c r="B1073" i="4"/>
  <c r="C1073" i="4"/>
  <c r="A1072" i="4"/>
  <c r="B1072" i="4"/>
  <c r="C1072" i="4"/>
  <c r="A1071" i="4"/>
  <c r="B1071" i="4"/>
  <c r="C1071" i="4"/>
  <c r="A1070" i="4"/>
  <c r="B1070" i="4"/>
  <c r="C1070" i="4"/>
  <c r="A1069" i="4"/>
  <c r="B1069" i="4"/>
  <c r="C1069" i="4"/>
  <c r="A1068" i="4"/>
  <c r="B1068" i="4"/>
  <c r="C1068" i="4"/>
  <c r="A1067" i="4"/>
  <c r="B1067" i="4"/>
  <c r="C1067" i="4"/>
  <c r="A1066" i="4"/>
  <c r="B1066" i="4"/>
  <c r="C1066" i="4"/>
  <c r="A1065" i="4"/>
  <c r="B1065" i="4"/>
  <c r="C1065" i="4"/>
  <c r="A1064" i="4"/>
  <c r="B1064" i="4"/>
  <c r="C1064" i="4"/>
  <c r="A1063" i="4"/>
  <c r="B1063" i="4"/>
  <c r="C1063" i="4"/>
  <c r="A1062" i="4"/>
  <c r="B1062" i="4"/>
  <c r="C1062" i="4"/>
  <c r="A1061" i="4"/>
  <c r="B1061" i="4"/>
  <c r="C1061" i="4"/>
  <c r="A1060" i="4"/>
  <c r="B1060" i="4"/>
  <c r="C1060" i="4"/>
  <c r="A1059" i="4"/>
  <c r="B1059" i="4"/>
  <c r="C1059" i="4"/>
  <c r="A1058" i="4"/>
  <c r="B1058" i="4"/>
  <c r="C1058" i="4"/>
  <c r="A1057" i="4"/>
  <c r="B1057" i="4"/>
  <c r="C1057" i="4"/>
  <c r="A1056" i="4"/>
  <c r="B1056" i="4"/>
  <c r="C1056" i="4"/>
  <c r="A1055" i="4"/>
  <c r="B1055" i="4"/>
  <c r="C1055" i="4"/>
  <c r="A1054" i="4"/>
  <c r="B1054" i="4"/>
  <c r="C1054" i="4"/>
  <c r="A1053" i="4"/>
  <c r="B1053" i="4"/>
  <c r="C1053" i="4"/>
  <c r="A1052" i="4"/>
  <c r="B1052" i="4"/>
  <c r="C1052" i="4"/>
  <c r="A1051" i="4"/>
  <c r="B1051" i="4"/>
  <c r="C1051" i="4"/>
  <c r="A1050" i="4"/>
  <c r="B1050" i="4"/>
  <c r="C1050" i="4"/>
  <c r="A1049" i="4"/>
  <c r="B1049" i="4"/>
  <c r="C1049" i="4"/>
  <c r="A1048" i="4"/>
  <c r="B1048" i="4"/>
  <c r="C1048" i="4"/>
  <c r="A1047" i="4"/>
  <c r="B1047" i="4"/>
  <c r="C1047" i="4"/>
  <c r="A1046" i="4"/>
  <c r="B1046" i="4"/>
  <c r="C1046" i="4"/>
  <c r="A1045" i="4"/>
  <c r="B1045" i="4"/>
  <c r="C1045" i="4"/>
  <c r="A1044" i="4"/>
  <c r="B1044" i="4"/>
  <c r="C1044" i="4"/>
  <c r="A1043" i="4"/>
  <c r="B1043" i="4"/>
  <c r="C1043" i="4"/>
  <c r="A1042" i="4"/>
  <c r="B1042" i="4"/>
  <c r="C1042" i="4"/>
  <c r="A1041" i="4"/>
  <c r="B1041" i="4"/>
  <c r="C1041" i="4"/>
  <c r="A1040" i="4"/>
  <c r="B1040" i="4"/>
  <c r="C1040" i="4"/>
  <c r="A1039" i="4"/>
  <c r="B1039" i="4"/>
  <c r="C1039" i="4"/>
  <c r="A1038" i="4"/>
  <c r="B1038" i="4"/>
  <c r="C1038" i="4"/>
  <c r="A1037" i="4"/>
  <c r="B1037" i="4"/>
  <c r="C1037" i="4"/>
  <c r="A1036" i="4"/>
  <c r="B1036" i="4"/>
  <c r="C1036" i="4"/>
  <c r="A1035" i="4"/>
  <c r="B1035" i="4"/>
  <c r="C1035" i="4"/>
  <c r="A1034" i="4"/>
  <c r="B1034" i="4"/>
  <c r="C1034" i="4"/>
  <c r="A1033" i="4"/>
  <c r="B1033" i="4"/>
  <c r="C1033" i="4"/>
  <c r="A1032" i="4"/>
  <c r="B1032" i="4"/>
  <c r="C1032" i="4"/>
  <c r="A1031" i="4"/>
  <c r="B1031" i="4"/>
  <c r="C1031" i="4"/>
  <c r="A1030" i="4"/>
  <c r="B1030" i="4"/>
  <c r="C1030" i="4"/>
  <c r="A1029" i="4"/>
  <c r="B1029" i="4"/>
  <c r="C1029" i="4"/>
  <c r="A1028" i="4"/>
  <c r="B1028" i="4"/>
  <c r="C1028" i="4"/>
  <c r="A1027" i="4"/>
  <c r="B1027" i="4"/>
  <c r="C1027" i="4"/>
  <c r="A1026" i="4"/>
  <c r="B1026" i="4"/>
  <c r="C1026" i="4"/>
  <c r="A1025" i="4"/>
  <c r="B1025" i="4"/>
  <c r="C1025" i="4"/>
  <c r="A1024" i="4"/>
  <c r="B1024" i="4"/>
  <c r="C1024" i="4"/>
  <c r="A1023" i="4"/>
  <c r="B1023" i="4"/>
  <c r="C1023" i="4"/>
  <c r="A1022" i="4"/>
  <c r="B1022" i="4"/>
  <c r="C1022" i="4"/>
  <c r="A1021" i="4"/>
  <c r="B1021" i="4"/>
  <c r="C1021" i="4"/>
  <c r="A1020" i="4"/>
  <c r="B1020" i="4"/>
  <c r="C1020" i="4"/>
  <c r="A1019" i="4"/>
  <c r="B1019" i="4"/>
  <c r="C1019" i="4"/>
  <c r="A1018" i="4"/>
  <c r="B1018" i="4"/>
  <c r="C1018" i="4"/>
  <c r="A1017" i="4"/>
  <c r="B1017" i="4"/>
  <c r="C1017" i="4"/>
  <c r="A1016" i="4"/>
  <c r="B1016" i="4"/>
  <c r="C1016" i="4"/>
  <c r="A1015" i="4"/>
  <c r="B1015" i="4"/>
  <c r="C1015" i="4"/>
  <c r="A1014" i="4"/>
  <c r="B1014" i="4"/>
  <c r="C1014" i="4"/>
  <c r="A1013" i="4"/>
  <c r="B1013" i="4"/>
  <c r="C1013" i="4"/>
  <c r="A1012" i="4"/>
  <c r="B1012" i="4"/>
  <c r="C1012" i="4"/>
  <c r="A1011" i="4"/>
  <c r="B1011" i="4"/>
  <c r="C1011" i="4"/>
  <c r="A1010" i="4"/>
  <c r="B1010" i="4"/>
  <c r="C1010" i="4"/>
  <c r="A1009" i="4"/>
  <c r="B1009" i="4"/>
  <c r="C1009" i="4"/>
  <c r="A1008" i="4"/>
  <c r="B1008" i="4"/>
  <c r="C1008" i="4"/>
  <c r="A1007" i="4"/>
  <c r="B1007" i="4"/>
  <c r="C1007" i="4"/>
  <c r="A1006" i="4"/>
  <c r="B1006" i="4"/>
  <c r="C1006" i="4"/>
  <c r="A1005" i="4"/>
  <c r="B1005" i="4"/>
  <c r="C1005" i="4"/>
  <c r="A1004" i="4"/>
  <c r="B1004" i="4"/>
  <c r="C1004" i="4"/>
  <c r="A1003" i="4"/>
  <c r="B1003" i="4"/>
  <c r="C1003" i="4"/>
  <c r="A1002" i="4"/>
  <c r="B1002" i="4"/>
  <c r="C1002" i="4"/>
  <c r="A1001" i="4"/>
  <c r="B1001" i="4"/>
  <c r="C1001" i="4"/>
  <c r="A1000" i="4"/>
  <c r="B1000" i="4"/>
  <c r="C1000" i="4"/>
  <c r="A999" i="4"/>
  <c r="B999" i="4"/>
  <c r="C999" i="4"/>
  <c r="A998" i="4"/>
  <c r="B998" i="4"/>
  <c r="C998" i="4"/>
  <c r="A997" i="4"/>
  <c r="B997" i="4"/>
  <c r="C997" i="4"/>
  <c r="A996" i="4"/>
  <c r="B996" i="4"/>
  <c r="C996" i="4"/>
  <c r="A995" i="4"/>
  <c r="B995" i="4"/>
  <c r="C995" i="4"/>
  <c r="A994" i="4"/>
  <c r="B994" i="4"/>
  <c r="C994" i="4"/>
  <c r="A993" i="4"/>
  <c r="B993" i="4"/>
  <c r="C993" i="4"/>
  <c r="A992" i="4"/>
  <c r="B992" i="4"/>
  <c r="C992" i="4"/>
  <c r="A991" i="4"/>
  <c r="B991" i="4"/>
  <c r="C991" i="4"/>
  <c r="A990" i="4"/>
  <c r="B990" i="4"/>
  <c r="C990" i="4"/>
  <c r="A989" i="4"/>
  <c r="B989" i="4"/>
  <c r="C989" i="4"/>
  <c r="A988" i="4"/>
  <c r="B988" i="4"/>
  <c r="C988" i="4"/>
  <c r="A987" i="4"/>
  <c r="B987" i="4"/>
  <c r="C987" i="4"/>
  <c r="A986" i="4"/>
  <c r="B986" i="4"/>
  <c r="C986" i="4"/>
  <c r="A985" i="4"/>
  <c r="B985" i="4"/>
  <c r="C985" i="4"/>
  <c r="A984" i="4"/>
  <c r="B984" i="4"/>
  <c r="C984" i="4"/>
  <c r="A983" i="4"/>
  <c r="B983" i="4"/>
  <c r="C983" i="4"/>
  <c r="A982" i="4"/>
  <c r="B982" i="4"/>
  <c r="C982" i="4"/>
  <c r="A981" i="4"/>
  <c r="B981" i="4"/>
  <c r="C981" i="4"/>
  <c r="A980" i="4"/>
  <c r="B980" i="4"/>
  <c r="C980" i="4"/>
  <c r="A979" i="4"/>
  <c r="B979" i="4"/>
  <c r="C979" i="4"/>
  <c r="A978" i="4"/>
  <c r="B978" i="4"/>
  <c r="C978" i="4"/>
  <c r="A977" i="4"/>
  <c r="B977" i="4"/>
  <c r="C977" i="4"/>
  <c r="A976" i="4"/>
  <c r="B976" i="4"/>
  <c r="C976" i="4"/>
  <c r="A975" i="4"/>
  <c r="B975" i="4"/>
  <c r="C975" i="4"/>
  <c r="A974" i="4"/>
  <c r="B974" i="4"/>
  <c r="C974" i="4"/>
  <c r="A973" i="4"/>
  <c r="B973" i="4"/>
  <c r="C973" i="4"/>
  <c r="A972" i="4"/>
  <c r="B972" i="4"/>
  <c r="C972" i="4"/>
  <c r="A971" i="4"/>
  <c r="B971" i="4"/>
  <c r="C971" i="4"/>
  <c r="A970" i="4"/>
  <c r="B970" i="4"/>
  <c r="C970" i="4"/>
  <c r="A969" i="4"/>
  <c r="B969" i="4"/>
  <c r="C969" i="4"/>
  <c r="A968" i="4"/>
  <c r="B968" i="4"/>
  <c r="C968" i="4"/>
  <c r="A967" i="4"/>
  <c r="B967" i="4"/>
  <c r="C967" i="4"/>
  <c r="A966" i="4"/>
  <c r="B966" i="4"/>
  <c r="C966" i="4"/>
  <c r="A965" i="4"/>
  <c r="B965" i="4"/>
  <c r="C965" i="4"/>
  <c r="A964" i="4"/>
  <c r="B964" i="4"/>
  <c r="C964" i="4"/>
  <c r="A963" i="4"/>
  <c r="B963" i="4"/>
  <c r="C963" i="4"/>
  <c r="A962" i="4"/>
  <c r="B962" i="4"/>
  <c r="C962" i="4"/>
  <c r="A961" i="4"/>
  <c r="B961" i="4"/>
  <c r="C961" i="4"/>
  <c r="A960" i="4"/>
  <c r="B960" i="4"/>
  <c r="C960" i="4"/>
  <c r="A959" i="4"/>
  <c r="B959" i="4"/>
  <c r="C959" i="4"/>
  <c r="A958" i="4"/>
  <c r="B958" i="4"/>
  <c r="C958" i="4"/>
  <c r="A957" i="4"/>
  <c r="B957" i="4"/>
  <c r="C957" i="4"/>
  <c r="A956" i="4"/>
  <c r="B956" i="4"/>
  <c r="C956" i="4"/>
  <c r="A955" i="4"/>
  <c r="B955" i="4"/>
  <c r="C955" i="4"/>
  <c r="A954" i="4"/>
  <c r="B954" i="4"/>
  <c r="C954" i="4"/>
  <c r="A953" i="4"/>
  <c r="B953" i="4"/>
  <c r="C953" i="4"/>
  <c r="A952" i="4"/>
  <c r="B952" i="4"/>
  <c r="C952" i="4"/>
  <c r="A951" i="4"/>
  <c r="B951" i="4"/>
  <c r="C951" i="4"/>
  <c r="A950" i="4"/>
  <c r="B950" i="4"/>
  <c r="C950" i="4"/>
  <c r="A949" i="4"/>
  <c r="B949" i="4"/>
  <c r="C949" i="4"/>
  <c r="A948" i="4"/>
  <c r="B948" i="4"/>
  <c r="C948" i="4"/>
  <c r="A947" i="4"/>
  <c r="B947" i="4"/>
  <c r="C947" i="4"/>
  <c r="A946" i="4"/>
  <c r="B946" i="4"/>
  <c r="C946" i="4"/>
  <c r="A945" i="4"/>
  <c r="B945" i="4"/>
  <c r="C945" i="4"/>
  <c r="A944" i="4"/>
  <c r="B944" i="4"/>
  <c r="C944" i="4"/>
  <c r="A943" i="4"/>
  <c r="B943" i="4"/>
  <c r="C943" i="4"/>
  <c r="A942" i="4"/>
  <c r="B942" i="4"/>
  <c r="C942" i="4"/>
  <c r="A941" i="4"/>
  <c r="B941" i="4"/>
  <c r="C941" i="4"/>
  <c r="A940" i="4"/>
  <c r="B940" i="4"/>
  <c r="C940" i="4"/>
  <c r="A939" i="4"/>
  <c r="B939" i="4"/>
  <c r="C939" i="4"/>
  <c r="A938" i="4"/>
  <c r="B938" i="4"/>
  <c r="C938" i="4"/>
  <c r="A937" i="4"/>
  <c r="B937" i="4"/>
  <c r="C937" i="4"/>
  <c r="A936" i="4"/>
  <c r="B936" i="4"/>
  <c r="C936" i="4"/>
  <c r="A935" i="4"/>
  <c r="B935" i="4"/>
  <c r="C935" i="4"/>
  <c r="A934" i="4"/>
  <c r="B934" i="4"/>
  <c r="C934" i="4"/>
  <c r="A933" i="4"/>
  <c r="B933" i="4"/>
  <c r="C933" i="4"/>
  <c r="A932" i="4"/>
  <c r="B932" i="4"/>
  <c r="C932" i="4"/>
  <c r="A931" i="4"/>
  <c r="B931" i="4"/>
  <c r="C931" i="4"/>
  <c r="A930" i="4"/>
  <c r="B930" i="4"/>
  <c r="C930" i="4"/>
  <c r="A929" i="4"/>
  <c r="B929" i="4"/>
  <c r="C929" i="4"/>
  <c r="A928" i="4"/>
  <c r="B928" i="4"/>
  <c r="C928" i="4"/>
  <c r="A927" i="4"/>
  <c r="B927" i="4"/>
  <c r="C927" i="4"/>
  <c r="A926" i="4"/>
  <c r="B926" i="4"/>
  <c r="C926" i="4"/>
  <c r="A925" i="4"/>
  <c r="B925" i="4"/>
  <c r="C925" i="4"/>
  <c r="A924" i="4"/>
  <c r="B924" i="4"/>
  <c r="C924" i="4"/>
  <c r="A923" i="4"/>
  <c r="B923" i="4"/>
  <c r="C923" i="4"/>
  <c r="A922" i="4"/>
  <c r="B922" i="4"/>
  <c r="C922" i="4"/>
  <c r="A921" i="4"/>
  <c r="B921" i="4"/>
  <c r="C921" i="4"/>
  <c r="A920" i="4"/>
  <c r="B920" i="4"/>
  <c r="C920" i="4"/>
  <c r="A919" i="4"/>
  <c r="B919" i="4"/>
  <c r="C919" i="4"/>
  <c r="A918" i="4"/>
  <c r="B918" i="4"/>
  <c r="C918" i="4"/>
  <c r="A917" i="4"/>
  <c r="B917" i="4"/>
  <c r="C917" i="4"/>
  <c r="A916" i="4"/>
  <c r="B916" i="4"/>
  <c r="C916" i="4"/>
  <c r="A915" i="4"/>
  <c r="B915" i="4"/>
  <c r="C915" i="4"/>
  <c r="A914" i="4"/>
  <c r="B914" i="4"/>
  <c r="C914" i="4"/>
  <c r="A913" i="4"/>
  <c r="B913" i="4"/>
  <c r="C913" i="4"/>
  <c r="A912" i="4"/>
  <c r="B912" i="4"/>
  <c r="C912" i="4"/>
  <c r="A911" i="4"/>
  <c r="B911" i="4"/>
  <c r="C911" i="4"/>
  <c r="A910" i="4"/>
  <c r="B910" i="4"/>
  <c r="C910" i="4"/>
  <c r="A909" i="4"/>
  <c r="B909" i="4"/>
  <c r="C909" i="4"/>
  <c r="A908" i="4"/>
  <c r="B908" i="4"/>
  <c r="C908" i="4"/>
  <c r="A907" i="4"/>
  <c r="B907" i="4"/>
  <c r="C907" i="4"/>
  <c r="A906" i="4"/>
  <c r="B906" i="4"/>
  <c r="C906" i="4"/>
  <c r="A905" i="4"/>
  <c r="B905" i="4"/>
  <c r="C905" i="4"/>
  <c r="A904" i="4"/>
  <c r="B904" i="4"/>
  <c r="C904" i="4"/>
  <c r="A903" i="4"/>
  <c r="B903" i="4"/>
  <c r="C903" i="4"/>
  <c r="A902" i="4"/>
  <c r="B902" i="4"/>
  <c r="C902" i="4"/>
  <c r="A901" i="4"/>
  <c r="B901" i="4"/>
  <c r="C901" i="4"/>
  <c r="A900" i="4"/>
  <c r="B900" i="4"/>
  <c r="C900" i="4"/>
  <c r="A899" i="4"/>
  <c r="B899" i="4"/>
  <c r="C899" i="4"/>
  <c r="A898" i="4"/>
  <c r="B898" i="4"/>
  <c r="C898" i="4"/>
  <c r="A897" i="4"/>
  <c r="B897" i="4"/>
  <c r="C897" i="4"/>
  <c r="A896" i="4"/>
  <c r="B896" i="4"/>
  <c r="C896" i="4"/>
  <c r="A895" i="4"/>
  <c r="B895" i="4"/>
  <c r="C895" i="4"/>
  <c r="A894" i="4"/>
  <c r="B894" i="4"/>
  <c r="C894" i="4"/>
  <c r="A893" i="4"/>
  <c r="B893" i="4"/>
  <c r="C893" i="4"/>
  <c r="A892" i="4"/>
  <c r="B892" i="4"/>
  <c r="C892" i="4"/>
  <c r="A891" i="4"/>
  <c r="B891" i="4"/>
  <c r="C891" i="4"/>
  <c r="A890" i="4"/>
  <c r="B890" i="4"/>
  <c r="C890" i="4"/>
  <c r="A889" i="4"/>
  <c r="B889" i="4"/>
  <c r="C889" i="4"/>
  <c r="A888" i="4"/>
  <c r="B888" i="4"/>
  <c r="C888" i="4"/>
  <c r="A887" i="4"/>
  <c r="B887" i="4"/>
  <c r="C887" i="4"/>
  <c r="A886" i="4"/>
  <c r="B886" i="4"/>
  <c r="C886" i="4"/>
  <c r="A885" i="4"/>
  <c r="B885" i="4"/>
  <c r="C885" i="4"/>
  <c r="A884" i="4"/>
  <c r="B884" i="4"/>
  <c r="C884" i="4"/>
  <c r="A883" i="4"/>
  <c r="B883" i="4"/>
  <c r="C883" i="4"/>
  <c r="A882" i="4"/>
  <c r="B882" i="4"/>
  <c r="C882" i="4"/>
  <c r="A881" i="4"/>
  <c r="B881" i="4"/>
  <c r="C881" i="4"/>
  <c r="A880" i="4"/>
  <c r="B880" i="4"/>
  <c r="C880" i="4"/>
  <c r="A879" i="4"/>
  <c r="B879" i="4"/>
  <c r="C879" i="4"/>
  <c r="A878" i="4"/>
  <c r="B878" i="4"/>
  <c r="C878" i="4"/>
  <c r="A877" i="4"/>
  <c r="B877" i="4"/>
  <c r="C877" i="4"/>
  <c r="A876" i="4"/>
  <c r="B876" i="4"/>
  <c r="C876" i="4"/>
  <c r="A875" i="4"/>
  <c r="B875" i="4"/>
  <c r="C875" i="4"/>
  <c r="A874" i="4"/>
  <c r="B874" i="4"/>
  <c r="C874" i="4"/>
  <c r="A873" i="4"/>
  <c r="B873" i="4"/>
  <c r="C873" i="4"/>
  <c r="A872" i="4"/>
  <c r="B872" i="4"/>
  <c r="C872" i="4"/>
  <c r="A871" i="4"/>
  <c r="B871" i="4"/>
  <c r="C871" i="4"/>
  <c r="A870" i="4"/>
  <c r="B870" i="4"/>
  <c r="C870" i="4"/>
  <c r="A869" i="4"/>
  <c r="B869" i="4"/>
  <c r="C869" i="4"/>
  <c r="A868" i="4"/>
  <c r="B868" i="4"/>
  <c r="C868" i="4"/>
  <c r="A867" i="4"/>
  <c r="B867" i="4"/>
  <c r="C867" i="4"/>
  <c r="A866" i="4"/>
  <c r="B866" i="4"/>
  <c r="C866" i="4"/>
  <c r="A865" i="4"/>
  <c r="B865" i="4"/>
  <c r="C865" i="4"/>
  <c r="A864" i="4"/>
  <c r="B864" i="4"/>
  <c r="C864" i="4"/>
  <c r="A863" i="4"/>
  <c r="B863" i="4"/>
  <c r="C863" i="4"/>
  <c r="A862" i="4"/>
  <c r="B862" i="4"/>
  <c r="C862" i="4"/>
  <c r="A861" i="4"/>
  <c r="B861" i="4"/>
  <c r="C861" i="4"/>
  <c r="A860" i="4"/>
  <c r="B860" i="4"/>
  <c r="C860" i="4"/>
  <c r="A859" i="4"/>
  <c r="B859" i="4"/>
  <c r="C859" i="4"/>
  <c r="A858" i="4"/>
  <c r="B858" i="4"/>
  <c r="C858" i="4"/>
  <c r="A857" i="4"/>
  <c r="B857" i="4"/>
  <c r="C857" i="4"/>
  <c r="A856" i="4"/>
  <c r="B856" i="4"/>
  <c r="C856" i="4"/>
  <c r="A855" i="4"/>
  <c r="B855" i="4"/>
  <c r="C855" i="4"/>
  <c r="A854" i="4"/>
  <c r="B854" i="4"/>
  <c r="C854" i="4"/>
  <c r="A853" i="4"/>
  <c r="B853" i="4"/>
  <c r="C853" i="4"/>
  <c r="A852" i="4"/>
  <c r="B852" i="4"/>
  <c r="C852" i="4"/>
  <c r="A851" i="4"/>
  <c r="B851" i="4"/>
  <c r="C851" i="4"/>
  <c r="A850" i="4"/>
  <c r="B850" i="4"/>
  <c r="C850" i="4"/>
  <c r="A849" i="4"/>
  <c r="B849" i="4"/>
  <c r="C849" i="4"/>
  <c r="A848" i="4"/>
  <c r="B848" i="4"/>
  <c r="C848" i="4"/>
  <c r="A847" i="4"/>
  <c r="B847" i="4"/>
  <c r="C847" i="4"/>
  <c r="A846" i="4"/>
  <c r="B846" i="4"/>
  <c r="C846" i="4"/>
  <c r="A845" i="4"/>
  <c r="B845" i="4"/>
  <c r="C845" i="4"/>
  <c r="A844" i="4"/>
  <c r="B844" i="4"/>
  <c r="C844" i="4"/>
  <c r="A843" i="4"/>
  <c r="B843" i="4"/>
  <c r="C843" i="4"/>
  <c r="A842" i="4"/>
  <c r="B842" i="4"/>
  <c r="C842" i="4"/>
  <c r="A841" i="4"/>
  <c r="B841" i="4"/>
  <c r="C841" i="4"/>
  <c r="A840" i="4"/>
  <c r="B840" i="4"/>
  <c r="C840" i="4"/>
  <c r="A839" i="4"/>
  <c r="B839" i="4"/>
  <c r="C839" i="4"/>
  <c r="A838" i="4"/>
  <c r="B838" i="4"/>
  <c r="C838" i="4"/>
  <c r="A837" i="4"/>
  <c r="B837" i="4"/>
  <c r="C837" i="4"/>
  <c r="A836" i="4"/>
  <c r="B836" i="4"/>
  <c r="C836" i="4"/>
  <c r="A835" i="4"/>
  <c r="B835" i="4"/>
  <c r="C835" i="4"/>
  <c r="A834" i="4"/>
  <c r="B834" i="4"/>
  <c r="C834" i="4"/>
  <c r="A833" i="4"/>
  <c r="B833" i="4"/>
  <c r="C833" i="4"/>
  <c r="A832" i="4"/>
  <c r="B832" i="4"/>
  <c r="C832" i="4"/>
  <c r="A831" i="4"/>
  <c r="B831" i="4"/>
  <c r="C831" i="4"/>
  <c r="A830" i="4"/>
  <c r="B830" i="4"/>
  <c r="C830" i="4"/>
  <c r="A829" i="4"/>
  <c r="B829" i="4"/>
  <c r="C829" i="4"/>
  <c r="A828" i="4"/>
  <c r="B828" i="4"/>
  <c r="C828" i="4"/>
  <c r="A827" i="4"/>
  <c r="B827" i="4"/>
  <c r="C827" i="4"/>
  <c r="A826" i="4"/>
  <c r="B826" i="4"/>
  <c r="C826" i="4"/>
  <c r="A825" i="4"/>
  <c r="B825" i="4"/>
  <c r="C825" i="4"/>
  <c r="A824" i="4"/>
  <c r="B824" i="4"/>
  <c r="C824" i="4"/>
  <c r="A823" i="4"/>
  <c r="B823" i="4"/>
  <c r="C823" i="4"/>
  <c r="A822" i="4"/>
  <c r="B822" i="4"/>
  <c r="C822" i="4"/>
  <c r="A821" i="4"/>
  <c r="B821" i="4"/>
  <c r="C821" i="4"/>
  <c r="A820" i="4"/>
  <c r="B820" i="4"/>
  <c r="C820" i="4"/>
  <c r="A819" i="4"/>
  <c r="B819" i="4"/>
  <c r="C819" i="4"/>
  <c r="A818" i="4"/>
  <c r="B818" i="4"/>
  <c r="C818" i="4"/>
  <c r="A817" i="4"/>
  <c r="B817" i="4"/>
  <c r="C817" i="4"/>
  <c r="A816" i="4"/>
  <c r="B816" i="4"/>
  <c r="C816" i="4"/>
  <c r="A815" i="4"/>
  <c r="B815" i="4"/>
  <c r="C815" i="4"/>
  <c r="A814" i="4"/>
  <c r="B814" i="4"/>
  <c r="C814" i="4"/>
  <c r="A813" i="4"/>
  <c r="B813" i="4"/>
  <c r="C813" i="4"/>
  <c r="A812" i="4"/>
  <c r="B812" i="4"/>
  <c r="C812" i="4"/>
  <c r="A811" i="4"/>
  <c r="B811" i="4"/>
  <c r="C811" i="4"/>
  <c r="A810" i="4"/>
  <c r="B810" i="4"/>
  <c r="C810" i="4"/>
  <c r="A809" i="4"/>
  <c r="B809" i="4"/>
  <c r="C809" i="4"/>
  <c r="A808" i="4"/>
  <c r="B808" i="4"/>
  <c r="C808" i="4"/>
  <c r="A807" i="4"/>
  <c r="B807" i="4"/>
  <c r="C807" i="4"/>
  <c r="A806" i="4"/>
  <c r="B806" i="4"/>
  <c r="C806" i="4"/>
  <c r="A805" i="4"/>
  <c r="B805" i="4"/>
  <c r="C805" i="4"/>
  <c r="A804" i="4"/>
  <c r="B804" i="4"/>
  <c r="C804" i="4"/>
  <c r="A803" i="4"/>
  <c r="B803" i="4"/>
  <c r="C803" i="4"/>
  <c r="A802" i="4"/>
  <c r="B802" i="4"/>
  <c r="C802" i="4"/>
  <c r="A801" i="4"/>
  <c r="B801" i="4"/>
  <c r="C801" i="4"/>
  <c r="A800" i="4"/>
  <c r="B800" i="4"/>
  <c r="C800" i="4"/>
  <c r="A799" i="4"/>
  <c r="B799" i="4"/>
  <c r="C799" i="4"/>
  <c r="A798" i="4"/>
  <c r="B798" i="4"/>
  <c r="C798" i="4"/>
  <c r="A797" i="4"/>
  <c r="B797" i="4"/>
  <c r="C797" i="4"/>
  <c r="A796" i="4"/>
  <c r="B796" i="4"/>
  <c r="C796" i="4"/>
  <c r="A795" i="4"/>
  <c r="B795" i="4"/>
  <c r="C795" i="4"/>
  <c r="A794" i="4"/>
  <c r="B794" i="4"/>
  <c r="C794" i="4"/>
  <c r="A793" i="4"/>
  <c r="B793" i="4"/>
  <c r="C793" i="4"/>
  <c r="A792" i="4"/>
  <c r="B792" i="4"/>
  <c r="C792" i="4"/>
  <c r="A791" i="4"/>
  <c r="B791" i="4"/>
  <c r="C791" i="4"/>
  <c r="A790" i="4"/>
  <c r="B790" i="4"/>
  <c r="C790" i="4"/>
  <c r="A789" i="4"/>
  <c r="B789" i="4"/>
  <c r="C789" i="4"/>
  <c r="A788" i="4"/>
  <c r="B788" i="4"/>
  <c r="C788" i="4"/>
  <c r="A787" i="4"/>
  <c r="B787" i="4"/>
  <c r="C787" i="4"/>
  <c r="A786" i="4"/>
  <c r="B786" i="4"/>
  <c r="C786" i="4"/>
  <c r="A785" i="4"/>
  <c r="B785" i="4"/>
  <c r="C785" i="4"/>
  <c r="A784" i="4"/>
  <c r="B784" i="4"/>
  <c r="C784" i="4"/>
  <c r="A783" i="4"/>
  <c r="B783" i="4"/>
  <c r="C783" i="4"/>
  <c r="A782" i="4"/>
  <c r="B782" i="4"/>
  <c r="C782" i="4"/>
  <c r="A781" i="4"/>
  <c r="B781" i="4"/>
  <c r="C781" i="4"/>
  <c r="A780" i="4"/>
  <c r="B780" i="4"/>
  <c r="C780" i="4"/>
  <c r="A779" i="4"/>
  <c r="B779" i="4"/>
  <c r="C779" i="4"/>
  <c r="A778" i="4"/>
  <c r="B778" i="4"/>
  <c r="C778" i="4"/>
  <c r="A777" i="4"/>
  <c r="B777" i="4"/>
  <c r="C777" i="4"/>
  <c r="A776" i="4"/>
  <c r="B776" i="4"/>
  <c r="C776" i="4"/>
  <c r="A775" i="4"/>
  <c r="B775" i="4"/>
  <c r="C775" i="4"/>
  <c r="A774" i="4"/>
  <c r="B774" i="4"/>
  <c r="C774" i="4"/>
  <c r="A773" i="4"/>
  <c r="B773" i="4"/>
  <c r="C773" i="4"/>
  <c r="A772" i="4"/>
  <c r="B772" i="4"/>
  <c r="C772" i="4"/>
  <c r="A771" i="4"/>
  <c r="B771" i="4"/>
  <c r="C771" i="4"/>
  <c r="A770" i="4"/>
  <c r="B770" i="4"/>
  <c r="C770" i="4"/>
  <c r="A769" i="4"/>
  <c r="B769" i="4"/>
  <c r="C769" i="4"/>
  <c r="A768" i="4"/>
  <c r="B768" i="4"/>
  <c r="C768" i="4"/>
  <c r="A767" i="4"/>
  <c r="B767" i="4"/>
  <c r="C767" i="4"/>
  <c r="A766" i="4"/>
  <c r="B766" i="4"/>
  <c r="C766" i="4"/>
  <c r="A765" i="4"/>
  <c r="B765" i="4"/>
  <c r="C765" i="4"/>
  <c r="A764" i="4"/>
  <c r="B764" i="4"/>
  <c r="C764" i="4"/>
  <c r="A763" i="4"/>
  <c r="B763" i="4"/>
  <c r="C763" i="4"/>
  <c r="A762" i="4"/>
  <c r="B762" i="4"/>
  <c r="C762" i="4"/>
  <c r="A761" i="4"/>
  <c r="B761" i="4"/>
  <c r="C761" i="4"/>
  <c r="A760" i="4"/>
  <c r="B760" i="4"/>
  <c r="C760" i="4"/>
  <c r="A759" i="4"/>
  <c r="B759" i="4"/>
  <c r="C759" i="4"/>
  <c r="A758" i="4"/>
  <c r="B758" i="4"/>
  <c r="C758" i="4"/>
  <c r="A757" i="4"/>
  <c r="B757" i="4"/>
  <c r="C757" i="4"/>
  <c r="A756" i="4"/>
  <c r="B756" i="4"/>
  <c r="C756" i="4"/>
  <c r="A755" i="4"/>
  <c r="B755" i="4"/>
  <c r="C755" i="4"/>
  <c r="A754" i="4"/>
  <c r="B754" i="4"/>
  <c r="C754" i="4"/>
  <c r="A753" i="4"/>
  <c r="B753" i="4"/>
  <c r="C753" i="4"/>
  <c r="A752" i="4"/>
  <c r="B752" i="4"/>
  <c r="C752" i="4"/>
  <c r="A751" i="4"/>
  <c r="B751" i="4"/>
  <c r="C751" i="4"/>
  <c r="A750" i="4"/>
  <c r="B750" i="4"/>
  <c r="C750" i="4"/>
  <c r="A749" i="4"/>
  <c r="B749" i="4"/>
  <c r="C749" i="4"/>
  <c r="A748" i="4"/>
  <c r="B748" i="4"/>
  <c r="C748" i="4"/>
  <c r="A747" i="4"/>
  <c r="B747" i="4"/>
  <c r="C747" i="4"/>
  <c r="A746" i="4"/>
  <c r="B746" i="4"/>
  <c r="C746" i="4"/>
  <c r="A745" i="4"/>
  <c r="B745" i="4"/>
  <c r="C745" i="4"/>
  <c r="A744" i="4"/>
  <c r="B744" i="4"/>
  <c r="C744" i="4"/>
  <c r="A743" i="4"/>
  <c r="B743" i="4"/>
  <c r="C743" i="4"/>
  <c r="A742" i="4"/>
  <c r="B742" i="4"/>
  <c r="C742" i="4"/>
  <c r="A741" i="4"/>
  <c r="B741" i="4"/>
  <c r="C741" i="4"/>
  <c r="A740" i="4"/>
  <c r="B740" i="4"/>
  <c r="C740" i="4"/>
  <c r="A739" i="4"/>
  <c r="B739" i="4"/>
  <c r="C739" i="4"/>
  <c r="A738" i="4"/>
  <c r="B738" i="4"/>
  <c r="C738" i="4"/>
  <c r="A737" i="4"/>
  <c r="B737" i="4"/>
  <c r="C737" i="4"/>
  <c r="A736" i="4"/>
  <c r="B736" i="4"/>
  <c r="C736" i="4"/>
  <c r="A735" i="4"/>
  <c r="B735" i="4"/>
  <c r="C735" i="4"/>
  <c r="A734" i="4"/>
  <c r="B734" i="4"/>
  <c r="C734" i="4"/>
  <c r="A733" i="4"/>
  <c r="B733" i="4"/>
  <c r="C733" i="4"/>
  <c r="A732" i="4"/>
  <c r="B732" i="4"/>
  <c r="C732" i="4"/>
  <c r="A731" i="4"/>
  <c r="B731" i="4"/>
  <c r="C731" i="4"/>
  <c r="A730" i="4"/>
  <c r="B730" i="4"/>
  <c r="C730" i="4"/>
  <c r="A729" i="4"/>
  <c r="B729" i="4"/>
  <c r="C729" i="4"/>
  <c r="A728" i="4"/>
  <c r="B728" i="4"/>
  <c r="C728" i="4"/>
  <c r="A727" i="4"/>
  <c r="B727" i="4"/>
  <c r="C727" i="4"/>
  <c r="A726" i="4"/>
  <c r="B726" i="4"/>
  <c r="C726" i="4"/>
  <c r="A725" i="4"/>
  <c r="B725" i="4"/>
  <c r="C725" i="4"/>
  <c r="A724" i="4"/>
  <c r="B724" i="4"/>
  <c r="C724" i="4"/>
  <c r="A723" i="4"/>
  <c r="B723" i="4"/>
  <c r="C723" i="4"/>
  <c r="A722" i="4"/>
  <c r="B722" i="4"/>
  <c r="C722" i="4"/>
  <c r="A721" i="4"/>
  <c r="B721" i="4"/>
  <c r="C721" i="4"/>
  <c r="A720" i="4"/>
  <c r="B720" i="4"/>
  <c r="C720" i="4"/>
  <c r="A719" i="4"/>
  <c r="B719" i="4"/>
  <c r="C719" i="4"/>
  <c r="A718" i="4"/>
  <c r="B718" i="4"/>
  <c r="C718" i="4"/>
  <c r="A717" i="4"/>
  <c r="B717" i="4"/>
  <c r="C717" i="4"/>
  <c r="A716" i="4"/>
  <c r="B716" i="4"/>
  <c r="C716" i="4"/>
  <c r="A715" i="4"/>
  <c r="B715" i="4"/>
  <c r="C715" i="4"/>
  <c r="A714" i="4"/>
  <c r="B714" i="4"/>
  <c r="C714" i="4"/>
  <c r="A713" i="4"/>
  <c r="B713" i="4"/>
  <c r="C713" i="4"/>
  <c r="A712" i="4"/>
  <c r="B712" i="4"/>
  <c r="C712" i="4"/>
  <c r="A711" i="4"/>
  <c r="B711" i="4"/>
  <c r="C711" i="4"/>
  <c r="A710" i="4"/>
  <c r="B710" i="4"/>
  <c r="C710" i="4"/>
  <c r="A709" i="4"/>
  <c r="B709" i="4"/>
  <c r="C709" i="4"/>
  <c r="A708" i="4"/>
  <c r="B708" i="4"/>
  <c r="C708" i="4"/>
  <c r="A707" i="4"/>
  <c r="B707" i="4"/>
  <c r="C707" i="4"/>
  <c r="A706" i="4"/>
  <c r="B706" i="4"/>
  <c r="C706" i="4"/>
  <c r="A705" i="4"/>
  <c r="B705" i="4"/>
  <c r="C705" i="4"/>
  <c r="A704" i="4"/>
  <c r="B704" i="4"/>
  <c r="C704" i="4"/>
  <c r="A703" i="4"/>
  <c r="B703" i="4"/>
  <c r="C703" i="4"/>
  <c r="A702" i="4"/>
  <c r="B702" i="4"/>
  <c r="C702" i="4"/>
  <c r="A701" i="4"/>
  <c r="B701" i="4"/>
  <c r="C701" i="4"/>
  <c r="A700" i="4"/>
  <c r="B700" i="4"/>
  <c r="C700" i="4"/>
  <c r="A699" i="4"/>
  <c r="B699" i="4"/>
  <c r="C699" i="4"/>
  <c r="A698" i="4"/>
  <c r="B698" i="4"/>
  <c r="C698" i="4"/>
  <c r="A697" i="4"/>
  <c r="B697" i="4"/>
  <c r="C697" i="4"/>
  <c r="A696" i="4"/>
  <c r="B696" i="4"/>
  <c r="C696" i="4"/>
  <c r="A695" i="4"/>
  <c r="B695" i="4"/>
  <c r="C695" i="4"/>
  <c r="A694" i="4"/>
  <c r="B694" i="4"/>
  <c r="C694" i="4"/>
  <c r="A693" i="4"/>
  <c r="B693" i="4"/>
  <c r="C693" i="4"/>
  <c r="A692" i="4"/>
  <c r="B692" i="4"/>
  <c r="C692" i="4"/>
  <c r="A691" i="4"/>
  <c r="B691" i="4"/>
  <c r="C691" i="4"/>
  <c r="A690" i="4"/>
  <c r="B690" i="4"/>
  <c r="C690" i="4"/>
  <c r="A689" i="4"/>
  <c r="B689" i="4"/>
  <c r="C689" i="4"/>
  <c r="A688" i="4"/>
  <c r="B688" i="4"/>
  <c r="C688" i="4"/>
  <c r="A687" i="4"/>
  <c r="B687" i="4"/>
  <c r="C687" i="4"/>
  <c r="A686" i="4"/>
  <c r="B686" i="4"/>
  <c r="C686" i="4"/>
  <c r="A685" i="4"/>
  <c r="B685" i="4"/>
  <c r="C685" i="4"/>
  <c r="A684" i="4"/>
  <c r="B684" i="4"/>
  <c r="C684" i="4"/>
  <c r="A683" i="4"/>
  <c r="B683" i="4"/>
  <c r="C683" i="4"/>
  <c r="A682" i="4"/>
  <c r="B682" i="4"/>
  <c r="C682" i="4"/>
  <c r="A681" i="4"/>
  <c r="B681" i="4"/>
  <c r="C681" i="4"/>
  <c r="A680" i="4"/>
  <c r="B680" i="4"/>
  <c r="C680" i="4"/>
  <c r="A679" i="4"/>
  <c r="B679" i="4"/>
  <c r="C679" i="4"/>
  <c r="A678" i="4"/>
  <c r="B678" i="4"/>
  <c r="C678" i="4"/>
  <c r="A677" i="4"/>
  <c r="B677" i="4"/>
  <c r="C677" i="4"/>
  <c r="A676" i="4"/>
  <c r="B676" i="4"/>
  <c r="C676" i="4"/>
  <c r="A675" i="4"/>
  <c r="B675" i="4"/>
  <c r="C675" i="4"/>
  <c r="A674" i="4"/>
  <c r="B674" i="4"/>
  <c r="C674" i="4"/>
  <c r="A673" i="4"/>
  <c r="B673" i="4"/>
  <c r="C673" i="4"/>
  <c r="A672" i="4"/>
  <c r="B672" i="4"/>
  <c r="C672" i="4"/>
  <c r="A671" i="4"/>
  <c r="B671" i="4"/>
  <c r="C671" i="4"/>
  <c r="A670" i="4"/>
  <c r="B670" i="4"/>
  <c r="C670" i="4"/>
  <c r="A669" i="4"/>
  <c r="B669" i="4"/>
  <c r="C669" i="4"/>
  <c r="A668" i="4"/>
  <c r="B668" i="4"/>
  <c r="C668" i="4"/>
  <c r="A667" i="4"/>
  <c r="B667" i="4"/>
  <c r="C667" i="4"/>
  <c r="A666" i="4"/>
  <c r="B666" i="4"/>
  <c r="C666" i="4"/>
  <c r="A665" i="4"/>
  <c r="B665" i="4"/>
  <c r="C665" i="4"/>
  <c r="A664" i="4"/>
  <c r="B664" i="4"/>
  <c r="C664" i="4"/>
  <c r="A663" i="4"/>
  <c r="B663" i="4"/>
  <c r="C663" i="4"/>
  <c r="A662" i="4"/>
  <c r="B662" i="4"/>
  <c r="C662" i="4"/>
  <c r="A661" i="4"/>
  <c r="B661" i="4"/>
  <c r="C661" i="4"/>
  <c r="A660" i="4"/>
  <c r="B660" i="4"/>
  <c r="C660" i="4"/>
  <c r="A659" i="4"/>
  <c r="B659" i="4"/>
  <c r="C659" i="4"/>
  <c r="A658" i="4"/>
  <c r="B658" i="4"/>
  <c r="C658" i="4"/>
  <c r="A657" i="4"/>
  <c r="B657" i="4"/>
  <c r="C657" i="4"/>
  <c r="A656" i="4"/>
  <c r="B656" i="4"/>
  <c r="C656" i="4"/>
  <c r="A655" i="4"/>
  <c r="B655" i="4"/>
  <c r="C655" i="4"/>
  <c r="A654" i="4"/>
  <c r="B654" i="4"/>
  <c r="C654" i="4"/>
  <c r="A653" i="4"/>
  <c r="B653" i="4"/>
  <c r="C653" i="4"/>
  <c r="A652" i="4"/>
  <c r="B652" i="4"/>
  <c r="C652" i="4"/>
  <c r="A651" i="4"/>
  <c r="B651" i="4"/>
  <c r="C651" i="4"/>
  <c r="A650" i="4"/>
  <c r="B650" i="4"/>
  <c r="C650" i="4"/>
  <c r="A649" i="4"/>
  <c r="B649" i="4"/>
  <c r="C649" i="4"/>
  <c r="A648" i="4"/>
  <c r="B648" i="4"/>
  <c r="C648" i="4"/>
  <c r="A647" i="4"/>
  <c r="B647" i="4"/>
  <c r="C647" i="4"/>
  <c r="A646" i="4"/>
  <c r="B646" i="4"/>
  <c r="C646" i="4"/>
  <c r="A645" i="4"/>
  <c r="B645" i="4"/>
  <c r="C645" i="4"/>
  <c r="A644" i="4"/>
  <c r="B644" i="4"/>
  <c r="C644" i="4"/>
  <c r="A643" i="4"/>
  <c r="B643" i="4"/>
  <c r="C643" i="4"/>
  <c r="A642" i="4"/>
  <c r="B642" i="4"/>
  <c r="C642" i="4"/>
  <c r="A641" i="4"/>
  <c r="B641" i="4"/>
  <c r="C641" i="4"/>
  <c r="A640" i="4"/>
  <c r="B640" i="4"/>
  <c r="C640" i="4"/>
  <c r="A639" i="4"/>
  <c r="B639" i="4"/>
  <c r="C639" i="4"/>
  <c r="A638" i="4"/>
  <c r="B638" i="4"/>
  <c r="C638" i="4"/>
  <c r="A637" i="4"/>
  <c r="B637" i="4"/>
  <c r="C637" i="4"/>
  <c r="A636" i="4"/>
  <c r="B636" i="4"/>
  <c r="C636" i="4"/>
  <c r="A635" i="4"/>
  <c r="B635" i="4"/>
  <c r="C635" i="4"/>
  <c r="A634" i="4"/>
  <c r="B634" i="4"/>
  <c r="C634" i="4"/>
  <c r="A633" i="4"/>
  <c r="B633" i="4"/>
  <c r="C633" i="4"/>
  <c r="A632" i="4"/>
  <c r="B632" i="4"/>
  <c r="C632" i="4"/>
  <c r="A631" i="4"/>
  <c r="B631" i="4"/>
  <c r="C631" i="4"/>
  <c r="A630" i="4"/>
  <c r="B630" i="4"/>
  <c r="C630" i="4"/>
  <c r="A629" i="4"/>
  <c r="B629" i="4"/>
  <c r="C629" i="4"/>
  <c r="A628" i="4"/>
  <c r="B628" i="4"/>
  <c r="C628" i="4"/>
  <c r="A627" i="4"/>
  <c r="B627" i="4"/>
  <c r="C627" i="4"/>
  <c r="A626" i="4"/>
  <c r="B626" i="4"/>
  <c r="C626" i="4"/>
  <c r="A625" i="4"/>
  <c r="B625" i="4"/>
  <c r="C625" i="4"/>
  <c r="A624" i="4"/>
  <c r="B624" i="4"/>
  <c r="C624" i="4"/>
  <c r="A623" i="4"/>
  <c r="B623" i="4"/>
  <c r="C623" i="4"/>
  <c r="A622" i="4"/>
  <c r="B622" i="4"/>
  <c r="C622" i="4"/>
  <c r="A621" i="4"/>
  <c r="B621" i="4"/>
  <c r="C621" i="4"/>
  <c r="A620" i="4"/>
  <c r="B620" i="4"/>
  <c r="C620" i="4"/>
  <c r="A619" i="4"/>
  <c r="B619" i="4"/>
  <c r="C619" i="4"/>
  <c r="A618" i="4"/>
  <c r="B618" i="4"/>
  <c r="C618" i="4"/>
  <c r="A617" i="4"/>
  <c r="B617" i="4"/>
  <c r="C617" i="4"/>
  <c r="A616" i="4"/>
  <c r="B616" i="4"/>
  <c r="C616" i="4"/>
  <c r="A615" i="4"/>
  <c r="B615" i="4"/>
  <c r="C615" i="4"/>
  <c r="A614" i="4"/>
  <c r="B614" i="4"/>
  <c r="C614" i="4"/>
  <c r="A613" i="4"/>
  <c r="B613" i="4"/>
  <c r="C613" i="4"/>
  <c r="A612" i="4"/>
  <c r="B612" i="4"/>
  <c r="C612" i="4"/>
  <c r="A611" i="4"/>
  <c r="B611" i="4"/>
  <c r="C611" i="4"/>
  <c r="A610" i="4"/>
  <c r="B610" i="4"/>
  <c r="C610" i="4"/>
  <c r="A609" i="4"/>
  <c r="B609" i="4"/>
  <c r="C609" i="4"/>
  <c r="A608" i="4"/>
  <c r="B608" i="4"/>
  <c r="C608" i="4"/>
  <c r="A607" i="4"/>
  <c r="B607" i="4"/>
  <c r="C607" i="4"/>
  <c r="A606" i="4"/>
  <c r="B606" i="4"/>
  <c r="C606" i="4"/>
  <c r="A605" i="4"/>
  <c r="B605" i="4"/>
  <c r="C605" i="4"/>
  <c r="A604" i="4"/>
  <c r="B604" i="4"/>
  <c r="C604" i="4"/>
  <c r="A603" i="4"/>
  <c r="B603" i="4"/>
  <c r="C603" i="4"/>
  <c r="A602" i="4"/>
  <c r="B602" i="4"/>
  <c r="C602" i="4"/>
  <c r="A601" i="4"/>
  <c r="B601" i="4"/>
  <c r="C601" i="4"/>
  <c r="A600" i="4"/>
  <c r="B600" i="4"/>
  <c r="C600" i="4"/>
  <c r="A599" i="4"/>
  <c r="B599" i="4"/>
  <c r="C599" i="4"/>
  <c r="A598" i="4"/>
  <c r="B598" i="4"/>
  <c r="C598" i="4"/>
  <c r="A597" i="4"/>
  <c r="B597" i="4"/>
  <c r="C597" i="4"/>
  <c r="A596" i="4"/>
  <c r="B596" i="4"/>
  <c r="C596" i="4"/>
  <c r="A595" i="4"/>
  <c r="B595" i="4"/>
  <c r="C595" i="4"/>
  <c r="A594" i="4"/>
  <c r="B594" i="4"/>
  <c r="C594" i="4"/>
  <c r="A593" i="4"/>
  <c r="B593" i="4"/>
  <c r="C593" i="4"/>
  <c r="A592" i="4"/>
  <c r="B592" i="4"/>
  <c r="C592" i="4"/>
  <c r="A591" i="4"/>
  <c r="B591" i="4"/>
  <c r="C591" i="4"/>
  <c r="A590" i="4"/>
  <c r="B590" i="4"/>
  <c r="C590" i="4"/>
  <c r="A589" i="4"/>
  <c r="B589" i="4"/>
  <c r="C589" i="4"/>
  <c r="A588" i="4"/>
  <c r="B588" i="4"/>
  <c r="C588" i="4"/>
  <c r="A587" i="4"/>
  <c r="B587" i="4"/>
  <c r="C587" i="4"/>
  <c r="A586" i="4"/>
  <c r="B586" i="4"/>
  <c r="C586" i="4"/>
  <c r="A585" i="4"/>
  <c r="B585" i="4"/>
  <c r="C585" i="4"/>
  <c r="A584" i="4"/>
  <c r="B584" i="4"/>
  <c r="C584" i="4"/>
  <c r="A583" i="4"/>
  <c r="B583" i="4"/>
  <c r="C583" i="4"/>
  <c r="A582" i="4"/>
  <c r="B582" i="4"/>
  <c r="C582" i="4"/>
  <c r="A581" i="4"/>
  <c r="B581" i="4"/>
  <c r="C581" i="4"/>
  <c r="A580" i="4"/>
  <c r="B580" i="4"/>
  <c r="C580" i="4"/>
  <c r="A579" i="4"/>
  <c r="B579" i="4"/>
  <c r="C579" i="4"/>
  <c r="A578" i="4"/>
  <c r="B578" i="4"/>
  <c r="C578" i="4"/>
  <c r="A577" i="4"/>
  <c r="B577" i="4"/>
  <c r="C577" i="4"/>
  <c r="A576" i="4"/>
  <c r="B576" i="4"/>
  <c r="C576" i="4"/>
  <c r="A575" i="4"/>
  <c r="B575" i="4"/>
  <c r="C575" i="4"/>
  <c r="A574" i="4"/>
  <c r="B574" i="4"/>
  <c r="C574" i="4"/>
  <c r="A573" i="4"/>
  <c r="B573" i="4"/>
  <c r="C573" i="4"/>
  <c r="A572" i="4"/>
  <c r="B572" i="4"/>
  <c r="C572" i="4"/>
  <c r="A571" i="4"/>
  <c r="B571" i="4"/>
  <c r="C571" i="4"/>
  <c r="A570" i="4"/>
  <c r="B570" i="4"/>
  <c r="C570" i="4"/>
  <c r="A569" i="4"/>
  <c r="B569" i="4"/>
  <c r="C569" i="4"/>
  <c r="A568" i="4"/>
  <c r="B568" i="4"/>
  <c r="C568" i="4"/>
  <c r="A567" i="4"/>
  <c r="B567" i="4"/>
  <c r="C567" i="4"/>
  <c r="A566" i="4"/>
  <c r="B566" i="4"/>
  <c r="C566" i="4"/>
  <c r="A565" i="4"/>
  <c r="B565" i="4"/>
  <c r="C565" i="4"/>
  <c r="A564" i="4"/>
  <c r="B564" i="4"/>
  <c r="C564" i="4"/>
  <c r="A563" i="4"/>
  <c r="B563" i="4"/>
  <c r="C563" i="4"/>
  <c r="A562" i="4"/>
  <c r="B562" i="4"/>
  <c r="C562" i="4"/>
  <c r="A561" i="4"/>
  <c r="B561" i="4"/>
  <c r="C561" i="4"/>
  <c r="A560" i="4"/>
  <c r="B560" i="4"/>
  <c r="C560" i="4"/>
  <c r="A559" i="4"/>
  <c r="B559" i="4"/>
  <c r="C559" i="4"/>
  <c r="A558" i="4"/>
  <c r="B558" i="4"/>
  <c r="C558" i="4"/>
  <c r="A557" i="4"/>
  <c r="B557" i="4"/>
  <c r="C557" i="4"/>
  <c r="A556" i="4"/>
  <c r="B556" i="4"/>
  <c r="C556" i="4"/>
  <c r="A555" i="4"/>
  <c r="B555" i="4"/>
  <c r="C555" i="4"/>
  <c r="A554" i="4"/>
  <c r="B554" i="4"/>
  <c r="C554" i="4"/>
  <c r="A553" i="4"/>
  <c r="B553" i="4"/>
  <c r="C553" i="4"/>
  <c r="A552" i="4"/>
  <c r="B552" i="4"/>
  <c r="C552" i="4"/>
  <c r="A551" i="4"/>
  <c r="B551" i="4"/>
  <c r="C551" i="4"/>
  <c r="A550" i="4"/>
  <c r="B550" i="4"/>
  <c r="C550" i="4"/>
  <c r="A549" i="4"/>
  <c r="B549" i="4"/>
  <c r="C549" i="4"/>
  <c r="A548" i="4"/>
  <c r="B548" i="4"/>
  <c r="C548" i="4"/>
  <c r="A547" i="4"/>
  <c r="B547" i="4"/>
  <c r="C547" i="4"/>
  <c r="A546" i="4"/>
  <c r="B546" i="4"/>
  <c r="C546" i="4"/>
  <c r="A545" i="4"/>
  <c r="B545" i="4"/>
  <c r="C545" i="4"/>
  <c r="A544" i="4"/>
  <c r="B544" i="4"/>
  <c r="C544" i="4"/>
  <c r="A543" i="4"/>
  <c r="B543" i="4"/>
  <c r="C543" i="4"/>
  <c r="A542" i="4"/>
  <c r="B542" i="4"/>
  <c r="C542" i="4"/>
  <c r="A541" i="4"/>
  <c r="B541" i="4"/>
  <c r="C541" i="4"/>
  <c r="A540" i="4"/>
  <c r="B540" i="4"/>
  <c r="C540" i="4"/>
  <c r="A539" i="4"/>
  <c r="B539" i="4"/>
  <c r="C539" i="4"/>
  <c r="A538" i="4"/>
  <c r="B538" i="4"/>
  <c r="C538" i="4"/>
  <c r="A537" i="4"/>
  <c r="B537" i="4"/>
  <c r="C537" i="4"/>
  <c r="A536" i="4"/>
  <c r="B536" i="4"/>
  <c r="C536" i="4"/>
  <c r="A535" i="4"/>
  <c r="B535" i="4"/>
  <c r="C535" i="4"/>
  <c r="A534" i="4"/>
  <c r="B534" i="4"/>
  <c r="C534" i="4"/>
  <c r="A533" i="4"/>
  <c r="B533" i="4"/>
  <c r="C533" i="4"/>
  <c r="A532" i="4"/>
  <c r="B532" i="4"/>
  <c r="C532" i="4"/>
  <c r="A531" i="4"/>
  <c r="B531" i="4"/>
  <c r="C531" i="4"/>
  <c r="A530" i="4"/>
  <c r="B530" i="4"/>
  <c r="C530" i="4"/>
  <c r="A529" i="4"/>
  <c r="B529" i="4"/>
  <c r="C529" i="4"/>
  <c r="A528" i="4"/>
  <c r="B528" i="4"/>
  <c r="C528" i="4"/>
  <c r="A527" i="4"/>
  <c r="B527" i="4"/>
  <c r="C527" i="4"/>
  <c r="A526" i="4"/>
  <c r="B526" i="4"/>
  <c r="C526" i="4"/>
  <c r="A525" i="4"/>
  <c r="B525" i="4"/>
  <c r="C525" i="4"/>
  <c r="A524" i="4"/>
  <c r="B524" i="4"/>
  <c r="C524" i="4"/>
  <c r="A523" i="4"/>
  <c r="B523" i="4"/>
  <c r="C523" i="4"/>
  <c r="A522" i="4"/>
  <c r="B522" i="4"/>
  <c r="C522" i="4"/>
  <c r="A521" i="4"/>
  <c r="B521" i="4"/>
  <c r="C521" i="4"/>
  <c r="A520" i="4"/>
  <c r="B520" i="4"/>
  <c r="C520" i="4"/>
  <c r="A519" i="4"/>
  <c r="B519" i="4"/>
  <c r="C519" i="4"/>
  <c r="A518" i="4"/>
  <c r="B518" i="4"/>
  <c r="C518" i="4"/>
  <c r="A517" i="4"/>
  <c r="B517" i="4"/>
  <c r="C517" i="4"/>
  <c r="A516" i="4"/>
  <c r="B516" i="4"/>
  <c r="C516" i="4"/>
  <c r="A515" i="4"/>
  <c r="B515" i="4"/>
  <c r="C515" i="4"/>
  <c r="A514" i="4"/>
  <c r="B514" i="4"/>
  <c r="C514" i="4"/>
  <c r="A513" i="4"/>
  <c r="B513" i="4"/>
  <c r="C513" i="4"/>
  <c r="A512" i="4"/>
  <c r="B512" i="4"/>
  <c r="C512" i="4"/>
  <c r="A511" i="4"/>
  <c r="B511" i="4"/>
  <c r="C511" i="4"/>
  <c r="A510" i="4"/>
  <c r="B510" i="4"/>
  <c r="C510" i="4"/>
  <c r="A509" i="4"/>
  <c r="B509" i="4"/>
  <c r="C509" i="4"/>
  <c r="A508" i="4"/>
  <c r="B508" i="4"/>
  <c r="C508" i="4"/>
  <c r="A507" i="4"/>
  <c r="B507" i="4"/>
  <c r="C507" i="4"/>
  <c r="A506" i="4"/>
  <c r="B506" i="4"/>
  <c r="C506" i="4"/>
  <c r="A505" i="4"/>
  <c r="B505" i="4"/>
  <c r="C505" i="4"/>
  <c r="A504" i="4"/>
  <c r="B504" i="4"/>
  <c r="C504" i="4"/>
  <c r="A503" i="4"/>
  <c r="B503" i="4"/>
  <c r="C503" i="4"/>
  <c r="A502" i="4"/>
  <c r="B502" i="4"/>
  <c r="C502" i="4"/>
  <c r="A501" i="4"/>
  <c r="B501" i="4"/>
  <c r="C501" i="4"/>
  <c r="A500" i="4"/>
  <c r="B500" i="4"/>
  <c r="C500" i="4"/>
  <c r="A499" i="4"/>
  <c r="B499" i="4"/>
  <c r="C499" i="4"/>
  <c r="A498" i="4"/>
  <c r="B498" i="4"/>
  <c r="C498" i="4"/>
  <c r="A497" i="4"/>
  <c r="B497" i="4"/>
  <c r="C497" i="4"/>
  <c r="A496" i="4"/>
  <c r="B496" i="4"/>
  <c r="C496" i="4"/>
  <c r="A495" i="4"/>
  <c r="B495" i="4"/>
  <c r="C495" i="4"/>
  <c r="A494" i="4"/>
  <c r="B494" i="4"/>
  <c r="C494" i="4"/>
  <c r="A493" i="4"/>
  <c r="B493" i="4"/>
  <c r="C493" i="4"/>
  <c r="A492" i="4"/>
  <c r="B492" i="4"/>
  <c r="C492" i="4"/>
  <c r="A491" i="4"/>
  <c r="B491" i="4"/>
  <c r="C491" i="4"/>
  <c r="A490" i="4"/>
  <c r="B490" i="4"/>
  <c r="C490" i="4"/>
  <c r="A489" i="4"/>
  <c r="B489" i="4"/>
  <c r="C489" i="4"/>
  <c r="A488" i="4"/>
  <c r="B488" i="4"/>
  <c r="C488" i="4"/>
  <c r="A487" i="4"/>
  <c r="B487" i="4"/>
  <c r="C487" i="4"/>
  <c r="A486" i="4"/>
  <c r="B486" i="4"/>
  <c r="C486" i="4"/>
  <c r="A485" i="4"/>
  <c r="B485" i="4"/>
  <c r="C485" i="4"/>
  <c r="A484" i="4"/>
  <c r="B484" i="4"/>
  <c r="C484" i="4"/>
  <c r="A483" i="4"/>
  <c r="B483" i="4"/>
  <c r="C483" i="4"/>
  <c r="A482" i="4"/>
  <c r="B482" i="4"/>
  <c r="C482" i="4"/>
  <c r="A481" i="4"/>
  <c r="B481" i="4"/>
  <c r="C481" i="4"/>
  <c r="A480" i="4"/>
  <c r="B480" i="4"/>
  <c r="C480" i="4"/>
  <c r="A479" i="4"/>
  <c r="B479" i="4"/>
  <c r="C479" i="4"/>
  <c r="A478" i="4"/>
  <c r="B478" i="4"/>
  <c r="C478" i="4"/>
  <c r="A477" i="4"/>
  <c r="B477" i="4"/>
  <c r="C477" i="4"/>
  <c r="A476" i="4"/>
  <c r="B476" i="4"/>
  <c r="C476" i="4"/>
  <c r="A475" i="4"/>
  <c r="B475" i="4"/>
  <c r="C475" i="4"/>
  <c r="A474" i="4"/>
  <c r="B474" i="4"/>
  <c r="C474" i="4"/>
  <c r="A473" i="4"/>
  <c r="B473" i="4"/>
  <c r="C473" i="4"/>
  <c r="A472" i="4"/>
  <c r="B472" i="4"/>
  <c r="C472" i="4"/>
  <c r="A471" i="4"/>
  <c r="B471" i="4"/>
  <c r="C471" i="4"/>
  <c r="A470" i="4"/>
  <c r="B470" i="4"/>
  <c r="C470" i="4"/>
  <c r="A469" i="4"/>
  <c r="B469" i="4"/>
  <c r="C469" i="4"/>
  <c r="A468" i="4"/>
  <c r="B468" i="4"/>
  <c r="C468" i="4"/>
  <c r="A467" i="4"/>
  <c r="B467" i="4"/>
  <c r="C467" i="4"/>
  <c r="A466" i="4"/>
  <c r="B466" i="4"/>
  <c r="C466" i="4"/>
  <c r="A465" i="4"/>
  <c r="B465" i="4"/>
  <c r="C465" i="4"/>
  <c r="A464" i="4"/>
  <c r="B464" i="4"/>
  <c r="C464" i="4"/>
  <c r="A463" i="4"/>
  <c r="B463" i="4"/>
  <c r="C463" i="4"/>
  <c r="A462" i="4"/>
  <c r="B462" i="4"/>
  <c r="C462" i="4"/>
  <c r="A461" i="4"/>
  <c r="B461" i="4"/>
  <c r="C461" i="4"/>
  <c r="A460" i="4"/>
  <c r="B460" i="4"/>
  <c r="C460" i="4"/>
  <c r="A459" i="4"/>
  <c r="B459" i="4"/>
  <c r="C459" i="4"/>
  <c r="A458" i="4"/>
  <c r="B458" i="4"/>
  <c r="C458" i="4"/>
  <c r="A457" i="4"/>
  <c r="B457" i="4"/>
  <c r="C457" i="4"/>
  <c r="A456" i="4"/>
  <c r="B456" i="4"/>
  <c r="C456" i="4"/>
  <c r="A455" i="4"/>
  <c r="B455" i="4"/>
  <c r="C455" i="4"/>
  <c r="A454" i="4"/>
  <c r="B454" i="4"/>
  <c r="C454" i="4"/>
  <c r="A453" i="4"/>
  <c r="B453" i="4"/>
  <c r="C453" i="4"/>
  <c r="A452" i="4"/>
  <c r="B452" i="4"/>
  <c r="C452" i="4"/>
  <c r="A451" i="4"/>
  <c r="B451" i="4"/>
  <c r="C451" i="4"/>
  <c r="A450" i="4"/>
  <c r="B450" i="4"/>
  <c r="C450" i="4"/>
  <c r="A449" i="4"/>
  <c r="B449" i="4"/>
  <c r="C449" i="4"/>
  <c r="A448" i="4"/>
  <c r="B448" i="4"/>
  <c r="C448" i="4"/>
  <c r="A447" i="4"/>
  <c r="B447" i="4"/>
  <c r="C447" i="4"/>
  <c r="A446" i="4"/>
  <c r="B446" i="4"/>
  <c r="C446" i="4"/>
  <c r="A445" i="4"/>
  <c r="B445" i="4"/>
  <c r="C445" i="4"/>
  <c r="A444" i="4"/>
  <c r="B444" i="4"/>
  <c r="C444" i="4"/>
  <c r="A443" i="4"/>
  <c r="B443" i="4"/>
  <c r="C443" i="4"/>
  <c r="A442" i="4"/>
  <c r="B442" i="4"/>
  <c r="C442" i="4"/>
  <c r="A441" i="4"/>
  <c r="B441" i="4"/>
  <c r="C441" i="4"/>
  <c r="A440" i="4"/>
  <c r="B440" i="4"/>
  <c r="C440" i="4"/>
  <c r="A439" i="4"/>
  <c r="B439" i="4"/>
  <c r="C439" i="4"/>
  <c r="A438" i="4"/>
  <c r="B438" i="4"/>
  <c r="C438" i="4"/>
  <c r="A437" i="4"/>
  <c r="B437" i="4"/>
  <c r="C437" i="4"/>
  <c r="A436" i="4"/>
  <c r="B436" i="4"/>
  <c r="C436" i="4"/>
  <c r="A435" i="4"/>
  <c r="B435" i="4"/>
  <c r="C435" i="4"/>
  <c r="A434" i="4"/>
  <c r="B434" i="4"/>
  <c r="C434" i="4"/>
  <c r="A433" i="4"/>
  <c r="B433" i="4"/>
  <c r="C433" i="4"/>
  <c r="A432" i="4"/>
  <c r="B432" i="4"/>
  <c r="C432" i="4"/>
  <c r="A431" i="4"/>
  <c r="B431" i="4"/>
  <c r="C431" i="4"/>
  <c r="A430" i="4"/>
  <c r="B430" i="4"/>
  <c r="C430" i="4"/>
  <c r="A429" i="4"/>
  <c r="B429" i="4"/>
  <c r="C429" i="4"/>
  <c r="A428" i="4"/>
  <c r="B428" i="4"/>
  <c r="C428" i="4"/>
  <c r="A427" i="4"/>
  <c r="B427" i="4"/>
  <c r="C427" i="4"/>
  <c r="A426" i="4"/>
  <c r="B426" i="4"/>
  <c r="C426" i="4"/>
  <c r="A425" i="4"/>
  <c r="B425" i="4"/>
  <c r="C425" i="4"/>
  <c r="A424" i="4"/>
  <c r="B424" i="4"/>
  <c r="C424" i="4"/>
  <c r="A423" i="4"/>
  <c r="B423" i="4"/>
  <c r="C423" i="4"/>
  <c r="A422" i="4"/>
  <c r="B422" i="4"/>
  <c r="C422" i="4"/>
  <c r="A421" i="4"/>
  <c r="B421" i="4"/>
  <c r="C421" i="4"/>
  <c r="A420" i="4"/>
  <c r="B420" i="4"/>
  <c r="C420" i="4"/>
  <c r="A419" i="4"/>
  <c r="B419" i="4"/>
  <c r="C419" i="4"/>
  <c r="A418" i="4"/>
  <c r="B418" i="4"/>
  <c r="C418" i="4"/>
  <c r="A417" i="4"/>
  <c r="B417" i="4"/>
  <c r="C417" i="4"/>
  <c r="A416" i="4"/>
  <c r="B416" i="4"/>
  <c r="C416" i="4"/>
  <c r="A415" i="4"/>
  <c r="B415" i="4"/>
  <c r="C415" i="4"/>
  <c r="A414" i="4"/>
  <c r="B414" i="4"/>
  <c r="C414" i="4"/>
  <c r="A413" i="4"/>
  <c r="B413" i="4"/>
  <c r="C413" i="4"/>
  <c r="A412" i="4"/>
  <c r="B412" i="4"/>
  <c r="C412" i="4"/>
  <c r="A411" i="4"/>
  <c r="B411" i="4"/>
  <c r="C411" i="4"/>
  <c r="A410" i="4"/>
  <c r="B410" i="4"/>
  <c r="C410" i="4"/>
  <c r="A409" i="4"/>
  <c r="B409" i="4"/>
  <c r="C409" i="4"/>
  <c r="A408" i="4"/>
  <c r="B408" i="4"/>
  <c r="C408" i="4"/>
  <c r="A407" i="4"/>
  <c r="B407" i="4"/>
  <c r="C407" i="4"/>
  <c r="A406" i="4"/>
  <c r="B406" i="4"/>
  <c r="C406" i="4"/>
  <c r="A405" i="4"/>
  <c r="B405" i="4"/>
  <c r="C405" i="4"/>
  <c r="A404" i="4"/>
  <c r="B404" i="4"/>
  <c r="C404" i="4"/>
  <c r="A403" i="4"/>
  <c r="B403" i="4"/>
  <c r="C403" i="4"/>
  <c r="A402" i="4"/>
  <c r="B402" i="4"/>
  <c r="C402" i="4"/>
  <c r="A401" i="4"/>
  <c r="B401" i="4"/>
  <c r="C401" i="4"/>
  <c r="A400" i="4"/>
  <c r="B400" i="4"/>
  <c r="C400" i="4"/>
  <c r="A399" i="4"/>
  <c r="B399" i="4"/>
  <c r="C399" i="4"/>
  <c r="A398" i="4"/>
  <c r="B398" i="4"/>
  <c r="C398" i="4"/>
  <c r="A397" i="4"/>
  <c r="B397" i="4"/>
  <c r="C397" i="4"/>
  <c r="A396" i="4"/>
  <c r="B396" i="4"/>
  <c r="C396" i="4"/>
  <c r="A395" i="4"/>
  <c r="B395" i="4"/>
  <c r="C395" i="4"/>
  <c r="A394" i="4"/>
  <c r="B394" i="4"/>
  <c r="C394" i="4"/>
  <c r="A393" i="4"/>
  <c r="B393" i="4"/>
  <c r="C393" i="4"/>
  <c r="A392" i="4"/>
  <c r="B392" i="4"/>
  <c r="C392" i="4"/>
  <c r="A391" i="4"/>
  <c r="B391" i="4"/>
  <c r="C391" i="4"/>
  <c r="A390" i="4"/>
  <c r="B390" i="4"/>
  <c r="C390" i="4"/>
  <c r="A389" i="4"/>
  <c r="B389" i="4"/>
  <c r="C389" i="4"/>
  <c r="A388" i="4"/>
  <c r="B388" i="4"/>
  <c r="C388" i="4"/>
  <c r="A387" i="4"/>
  <c r="B387" i="4"/>
  <c r="C387" i="4"/>
  <c r="A386" i="4"/>
  <c r="B386" i="4"/>
  <c r="C386" i="4"/>
  <c r="A385" i="4"/>
  <c r="B385" i="4"/>
  <c r="C385" i="4"/>
  <c r="A384" i="4"/>
  <c r="B384" i="4"/>
  <c r="C384" i="4"/>
  <c r="A383" i="4"/>
  <c r="B383" i="4"/>
  <c r="C383" i="4"/>
  <c r="A382" i="4"/>
  <c r="B382" i="4"/>
  <c r="C382" i="4"/>
  <c r="A381" i="4"/>
  <c r="B381" i="4"/>
  <c r="C381" i="4"/>
  <c r="A380" i="4"/>
  <c r="B380" i="4"/>
  <c r="C380" i="4"/>
  <c r="A379" i="4"/>
  <c r="B379" i="4"/>
  <c r="C379" i="4"/>
  <c r="A378" i="4"/>
  <c r="B378" i="4"/>
  <c r="C378" i="4"/>
  <c r="A377" i="4"/>
  <c r="B377" i="4"/>
  <c r="C377" i="4"/>
  <c r="A376" i="4"/>
  <c r="B376" i="4"/>
  <c r="C376" i="4"/>
  <c r="A375" i="4"/>
  <c r="B375" i="4"/>
  <c r="C375" i="4"/>
  <c r="A374" i="4"/>
  <c r="B374" i="4"/>
  <c r="C374" i="4"/>
  <c r="A373" i="4"/>
  <c r="B373" i="4"/>
  <c r="C373" i="4"/>
  <c r="A372" i="4"/>
  <c r="B372" i="4"/>
  <c r="C372" i="4"/>
  <c r="A371" i="4"/>
  <c r="B371" i="4"/>
  <c r="C371" i="4"/>
  <c r="A370" i="4"/>
  <c r="B370" i="4"/>
  <c r="C370" i="4"/>
  <c r="A369" i="4"/>
  <c r="B369" i="4"/>
  <c r="C369" i="4"/>
  <c r="A368" i="4"/>
  <c r="B368" i="4"/>
  <c r="C368" i="4"/>
  <c r="A367" i="4"/>
  <c r="B367" i="4"/>
  <c r="C367" i="4"/>
  <c r="A366" i="4"/>
  <c r="B366" i="4"/>
  <c r="C366" i="4"/>
  <c r="A365" i="4"/>
  <c r="B365" i="4"/>
  <c r="C365" i="4"/>
  <c r="A364" i="4"/>
  <c r="B364" i="4"/>
  <c r="C364" i="4"/>
  <c r="A363" i="4"/>
  <c r="B363" i="4"/>
  <c r="C363" i="4"/>
  <c r="A362" i="4"/>
  <c r="B362" i="4"/>
  <c r="C362" i="4"/>
  <c r="A361" i="4"/>
  <c r="B361" i="4"/>
  <c r="C361" i="4"/>
  <c r="A360" i="4"/>
  <c r="B360" i="4"/>
  <c r="C360" i="4"/>
  <c r="A359" i="4"/>
  <c r="B359" i="4"/>
  <c r="C359" i="4"/>
  <c r="A358" i="4"/>
  <c r="B358" i="4"/>
  <c r="C358" i="4"/>
  <c r="A357" i="4"/>
  <c r="B357" i="4"/>
  <c r="C357" i="4"/>
  <c r="A356" i="4"/>
  <c r="B356" i="4"/>
  <c r="C356" i="4"/>
  <c r="A355" i="4"/>
  <c r="B355" i="4"/>
  <c r="C355" i="4"/>
  <c r="A354" i="4"/>
  <c r="B354" i="4"/>
  <c r="C354" i="4"/>
  <c r="A353" i="4"/>
  <c r="B353" i="4"/>
  <c r="C353" i="4"/>
  <c r="A352" i="4"/>
  <c r="B352" i="4"/>
  <c r="C352" i="4"/>
  <c r="A351" i="4"/>
  <c r="B351" i="4"/>
  <c r="C351" i="4"/>
  <c r="A350" i="4"/>
  <c r="B350" i="4"/>
  <c r="C350" i="4"/>
  <c r="A349" i="4"/>
  <c r="B349" i="4"/>
  <c r="C349" i="4"/>
  <c r="A348" i="4"/>
  <c r="B348" i="4"/>
  <c r="C348" i="4"/>
  <c r="A347" i="4"/>
  <c r="B347" i="4"/>
  <c r="C347" i="4"/>
  <c r="A346" i="4"/>
  <c r="B346" i="4"/>
  <c r="C346" i="4"/>
  <c r="A345" i="4"/>
  <c r="B345" i="4"/>
  <c r="C345" i="4"/>
  <c r="A344" i="4"/>
  <c r="B344" i="4"/>
  <c r="C344" i="4"/>
  <c r="A343" i="4"/>
  <c r="B343" i="4"/>
  <c r="C343" i="4"/>
  <c r="A342" i="4"/>
  <c r="B342" i="4"/>
  <c r="C342" i="4"/>
  <c r="A341" i="4"/>
  <c r="B341" i="4"/>
  <c r="C341" i="4"/>
  <c r="A340" i="4"/>
  <c r="B340" i="4"/>
  <c r="C340" i="4"/>
  <c r="A339" i="4"/>
  <c r="B339" i="4"/>
  <c r="C339" i="4"/>
  <c r="A338" i="4"/>
  <c r="B338" i="4"/>
  <c r="C338" i="4"/>
  <c r="A337" i="4"/>
  <c r="B337" i="4"/>
  <c r="C337" i="4"/>
  <c r="A336" i="4"/>
  <c r="B336" i="4"/>
  <c r="C336" i="4"/>
  <c r="A335" i="4"/>
  <c r="B335" i="4"/>
  <c r="C335" i="4"/>
  <c r="A334" i="4"/>
  <c r="B334" i="4"/>
  <c r="C334" i="4"/>
  <c r="A333" i="4"/>
  <c r="B333" i="4"/>
  <c r="C333" i="4"/>
  <c r="A332" i="4"/>
  <c r="B332" i="4"/>
  <c r="C332" i="4"/>
  <c r="A331" i="4"/>
  <c r="B331" i="4"/>
  <c r="C331" i="4"/>
  <c r="A330" i="4"/>
  <c r="B330" i="4"/>
  <c r="C330" i="4"/>
  <c r="A329" i="4"/>
  <c r="B329" i="4"/>
  <c r="C329" i="4"/>
  <c r="A328" i="4"/>
  <c r="B328" i="4"/>
  <c r="C328" i="4"/>
  <c r="A327" i="4"/>
  <c r="B327" i="4"/>
  <c r="C327" i="4"/>
  <c r="A326" i="4"/>
  <c r="B326" i="4"/>
  <c r="C326" i="4"/>
  <c r="A325" i="4"/>
  <c r="B325" i="4"/>
  <c r="C325" i="4"/>
  <c r="A324" i="4"/>
  <c r="B324" i="4"/>
  <c r="C324" i="4"/>
  <c r="A323" i="4"/>
  <c r="B323" i="4"/>
  <c r="C323" i="4"/>
  <c r="A322" i="4"/>
  <c r="B322" i="4"/>
  <c r="C322" i="4"/>
  <c r="A321" i="4"/>
  <c r="B321" i="4"/>
  <c r="C321" i="4"/>
  <c r="A320" i="4"/>
  <c r="B320" i="4"/>
  <c r="C320" i="4"/>
  <c r="A319" i="4"/>
  <c r="B319" i="4"/>
  <c r="C319" i="4"/>
  <c r="A318" i="4"/>
  <c r="B318" i="4"/>
  <c r="C318" i="4"/>
  <c r="A317" i="4"/>
  <c r="B317" i="4"/>
  <c r="C317" i="4"/>
  <c r="A316" i="4"/>
  <c r="B316" i="4"/>
  <c r="C316" i="4"/>
  <c r="A315" i="4"/>
  <c r="B315" i="4"/>
  <c r="C315" i="4"/>
  <c r="A314" i="4"/>
  <c r="B314" i="4"/>
  <c r="C314" i="4"/>
  <c r="A313" i="4"/>
  <c r="B313" i="4"/>
  <c r="C313" i="4"/>
  <c r="A312" i="4"/>
  <c r="B312" i="4"/>
  <c r="C312" i="4"/>
  <c r="A311" i="4"/>
  <c r="B311" i="4"/>
  <c r="C311" i="4"/>
  <c r="A310" i="4"/>
  <c r="B310" i="4"/>
  <c r="C310" i="4"/>
  <c r="A309" i="4"/>
  <c r="B309" i="4"/>
  <c r="C309" i="4"/>
  <c r="A308" i="4"/>
  <c r="B308" i="4"/>
  <c r="C308" i="4"/>
  <c r="A307" i="4"/>
  <c r="B307" i="4"/>
  <c r="C307" i="4"/>
  <c r="A306" i="4"/>
  <c r="B306" i="4"/>
  <c r="C306" i="4"/>
  <c r="A305" i="4"/>
  <c r="B305" i="4"/>
  <c r="C305" i="4"/>
  <c r="A304" i="4"/>
  <c r="B304" i="4"/>
  <c r="C304" i="4"/>
  <c r="A303" i="4"/>
  <c r="B303" i="4"/>
  <c r="C303" i="4"/>
  <c r="A302" i="4"/>
  <c r="B302" i="4"/>
  <c r="C302" i="4"/>
  <c r="A301" i="4"/>
  <c r="B301" i="4"/>
  <c r="C301" i="4"/>
  <c r="A300" i="4"/>
  <c r="B300" i="4"/>
  <c r="C300" i="4"/>
  <c r="A299" i="4"/>
  <c r="B299" i="4"/>
  <c r="C299" i="4"/>
  <c r="A298" i="4"/>
  <c r="B298" i="4"/>
  <c r="C298" i="4"/>
  <c r="A297" i="4"/>
  <c r="B297" i="4"/>
  <c r="C297" i="4"/>
  <c r="A296" i="4"/>
  <c r="B296" i="4"/>
  <c r="C296" i="4"/>
  <c r="A295" i="4"/>
  <c r="B295" i="4"/>
  <c r="C295" i="4"/>
  <c r="A294" i="4"/>
  <c r="B294" i="4"/>
  <c r="C294" i="4"/>
  <c r="A293" i="4"/>
  <c r="B293" i="4"/>
  <c r="C293" i="4"/>
  <c r="A292" i="4"/>
  <c r="B292" i="4"/>
  <c r="C292" i="4"/>
  <c r="A291" i="4"/>
  <c r="B291" i="4"/>
  <c r="C291" i="4"/>
  <c r="A290" i="4"/>
  <c r="B290" i="4"/>
  <c r="C290" i="4"/>
  <c r="A289" i="4"/>
  <c r="B289" i="4"/>
  <c r="C289" i="4"/>
  <c r="A288" i="4"/>
  <c r="B288" i="4"/>
  <c r="C288" i="4"/>
  <c r="A287" i="4"/>
  <c r="B287" i="4"/>
  <c r="C287" i="4"/>
  <c r="A286" i="4"/>
  <c r="B286" i="4"/>
  <c r="C286" i="4"/>
  <c r="A285" i="4"/>
  <c r="B285" i="4"/>
  <c r="C285" i="4"/>
  <c r="A284" i="4"/>
  <c r="B284" i="4"/>
  <c r="C284" i="4"/>
  <c r="A283" i="4"/>
  <c r="B283" i="4"/>
  <c r="C283" i="4"/>
  <c r="A282" i="4"/>
  <c r="B282" i="4"/>
  <c r="C282" i="4"/>
  <c r="A281" i="4"/>
  <c r="B281" i="4"/>
  <c r="C281" i="4"/>
  <c r="A280" i="4"/>
  <c r="B280" i="4"/>
  <c r="C280" i="4"/>
  <c r="A279" i="4"/>
  <c r="B279" i="4"/>
  <c r="C279" i="4"/>
  <c r="A278" i="4"/>
  <c r="B278" i="4"/>
  <c r="C278" i="4"/>
  <c r="A277" i="4"/>
  <c r="B277" i="4"/>
  <c r="C277" i="4"/>
  <c r="A276" i="4"/>
  <c r="B276" i="4"/>
  <c r="C276" i="4"/>
  <c r="A275" i="4"/>
  <c r="B275" i="4"/>
  <c r="C275" i="4"/>
  <c r="A274" i="4"/>
  <c r="B274" i="4"/>
  <c r="C274" i="4"/>
  <c r="A273" i="4"/>
  <c r="B273" i="4"/>
  <c r="C273" i="4"/>
  <c r="A272" i="4"/>
  <c r="B272" i="4"/>
  <c r="C272" i="4"/>
  <c r="A271" i="4"/>
  <c r="B271" i="4"/>
  <c r="C271" i="4"/>
  <c r="A270" i="4"/>
  <c r="B270" i="4"/>
  <c r="C270" i="4"/>
  <c r="A269" i="4"/>
  <c r="B269" i="4"/>
  <c r="C269" i="4"/>
  <c r="A268" i="4"/>
  <c r="B268" i="4"/>
  <c r="C268" i="4"/>
  <c r="A267" i="4"/>
  <c r="B267" i="4"/>
  <c r="C267" i="4"/>
  <c r="A266" i="4"/>
  <c r="B266" i="4"/>
  <c r="C266" i="4"/>
  <c r="A265" i="4"/>
  <c r="B265" i="4"/>
  <c r="C265" i="4"/>
  <c r="A264" i="4"/>
  <c r="B264" i="4"/>
  <c r="C264" i="4"/>
  <c r="A263" i="4"/>
  <c r="B263" i="4"/>
  <c r="C263" i="4"/>
  <c r="A262" i="4"/>
  <c r="B262" i="4"/>
  <c r="C262" i="4"/>
  <c r="A261" i="4"/>
  <c r="B261" i="4"/>
  <c r="C261" i="4"/>
  <c r="A260" i="4"/>
  <c r="B260" i="4"/>
  <c r="C260" i="4"/>
  <c r="A259" i="4"/>
  <c r="B259" i="4"/>
  <c r="C259" i="4"/>
  <c r="A258" i="4"/>
  <c r="B258" i="4"/>
  <c r="C258" i="4"/>
  <c r="A257" i="4"/>
  <c r="B257" i="4"/>
  <c r="C257" i="4"/>
  <c r="A256" i="4"/>
  <c r="B256" i="4"/>
  <c r="C256" i="4"/>
  <c r="A255" i="4"/>
  <c r="B255" i="4"/>
  <c r="C255" i="4"/>
  <c r="A254" i="4"/>
  <c r="B254" i="4"/>
  <c r="C254" i="4"/>
  <c r="A253" i="4"/>
  <c r="B253" i="4"/>
  <c r="C253" i="4"/>
  <c r="A252" i="4"/>
  <c r="B252" i="4"/>
  <c r="C252" i="4"/>
  <c r="A251" i="4"/>
  <c r="B251" i="4"/>
  <c r="C251" i="4"/>
  <c r="A250" i="4"/>
  <c r="B250" i="4"/>
  <c r="C250" i="4"/>
  <c r="A249" i="4"/>
  <c r="B249" i="4"/>
  <c r="C249" i="4"/>
  <c r="A248" i="4"/>
  <c r="B248" i="4"/>
  <c r="C248" i="4"/>
  <c r="A247" i="4"/>
  <c r="B247" i="4"/>
  <c r="C247" i="4"/>
  <c r="A246" i="4"/>
  <c r="B246" i="4"/>
  <c r="C246" i="4"/>
  <c r="A245" i="4"/>
  <c r="B245" i="4"/>
  <c r="C245" i="4"/>
  <c r="A244" i="4"/>
  <c r="B244" i="4"/>
  <c r="C244" i="4"/>
  <c r="A243" i="4"/>
  <c r="B243" i="4"/>
  <c r="C243" i="4"/>
  <c r="A242" i="4"/>
  <c r="B242" i="4"/>
  <c r="C242" i="4"/>
  <c r="A241" i="4"/>
  <c r="B241" i="4"/>
  <c r="C241" i="4"/>
  <c r="A240" i="4"/>
  <c r="B240" i="4"/>
  <c r="C240" i="4"/>
  <c r="A239" i="4"/>
  <c r="B239" i="4"/>
  <c r="C239" i="4"/>
  <c r="A238" i="4"/>
  <c r="B238" i="4"/>
  <c r="C238" i="4"/>
  <c r="A237" i="4"/>
  <c r="B237" i="4"/>
  <c r="C237" i="4"/>
  <c r="A236" i="4"/>
  <c r="B236" i="4"/>
  <c r="C236" i="4"/>
  <c r="A235" i="4"/>
  <c r="B235" i="4"/>
  <c r="C235" i="4"/>
  <c r="A234" i="4"/>
  <c r="B234" i="4"/>
  <c r="C234" i="4"/>
  <c r="A233" i="4"/>
  <c r="B233" i="4"/>
  <c r="C233" i="4"/>
  <c r="A232" i="4"/>
  <c r="B232" i="4"/>
  <c r="C232" i="4"/>
  <c r="A231" i="4"/>
  <c r="B231" i="4"/>
  <c r="C231" i="4"/>
  <c r="A230" i="4"/>
  <c r="B230" i="4"/>
  <c r="C230" i="4"/>
  <c r="A229" i="4"/>
  <c r="B229" i="4"/>
  <c r="C229" i="4"/>
  <c r="A228" i="4"/>
  <c r="B228" i="4"/>
  <c r="C228" i="4"/>
  <c r="A227" i="4"/>
  <c r="B227" i="4"/>
  <c r="C227" i="4"/>
  <c r="A226" i="4"/>
  <c r="B226" i="4"/>
  <c r="C226" i="4"/>
  <c r="A225" i="4"/>
  <c r="B225" i="4"/>
  <c r="C225" i="4"/>
  <c r="A224" i="4"/>
  <c r="B224" i="4"/>
  <c r="C224" i="4"/>
  <c r="A223" i="4"/>
  <c r="B223" i="4"/>
  <c r="C223" i="4"/>
  <c r="A222" i="4"/>
  <c r="B222" i="4"/>
  <c r="C222" i="4"/>
  <c r="A221" i="4"/>
  <c r="B221" i="4"/>
  <c r="C221" i="4"/>
  <c r="A220" i="4"/>
  <c r="B220" i="4"/>
  <c r="C220" i="4"/>
  <c r="A219" i="4"/>
  <c r="B219" i="4"/>
  <c r="C219" i="4"/>
  <c r="A218" i="4"/>
  <c r="B218" i="4"/>
  <c r="C218" i="4"/>
  <c r="A217" i="4"/>
  <c r="B217" i="4"/>
  <c r="C217" i="4"/>
  <c r="A216" i="4"/>
  <c r="B216" i="4"/>
  <c r="C216" i="4"/>
  <c r="A215" i="4"/>
  <c r="B215" i="4"/>
  <c r="C215" i="4"/>
  <c r="A214" i="4"/>
  <c r="B214" i="4"/>
  <c r="C214" i="4"/>
  <c r="A213" i="4"/>
  <c r="B213" i="4"/>
  <c r="C213" i="4"/>
  <c r="A212" i="4"/>
  <c r="B212" i="4"/>
  <c r="C212" i="4"/>
  <c r="A211" i="4"/>
  <c r="B211" i="4"/>
  <c r="C211" i="4"/>
  <c r="A210" i="4"/>
  <c r="B210" i="4"/>
  <c r="C210" i="4"/>
  <c r="A209" i="4"/>
  <c r="B209" i="4"/>
  <c r="C209" i="4"/>
  <c r="A208" i="4"/>
  <c r="B208" i="4"/>
  <c r="C208" i="4"/>
  <c r="A207" i="4"/>
  <c r="B207" i="4"/>
  <c r="C207" i="4"/>
  <c r="A206" i="4"/>
  <c r="B206" i="4"/>
  <c r="C206" i="4"/>
  <c r="A205" i="4"/>
  <c r="B205" i="4"/>
  <c r="C205" i="4"/>
  <c r="A204" i="4"/>
  <c r="B204" i="4"/>
  <c r="C204" i="4"/>
  <c r="A203" i="4"/>
  <c r="B203" i="4"/>
  <c r="C203" i="4"/>
  <c r="A202" i="4"/>
  <c r="B202" i="4"/>
  <c r="C202" i="4"/>
  <c r="A201" i="4"/>
  <c r="B201" i="4"/>
  <c r="C201" i="4"/>
  <c r="A200" i="4"/>
  <c r="B200" i="4"/>
  <c r="C200" i="4"/>
  <c r="A199" i="4"/>
  <c r="B199" i="4"/>
  <c r="C199" i="4"/>
  <c r="A198" i="4"/>
  <c r="B198" i="4"/>
  <c r="C198" i="4"/>
  <c r="A197" i="4"/>
  <c r="B197" i="4"/>
  <c r="C197" i="4"/>
  <c r="A196" i="4"/>
  <c r="B196" i="4"/>
  <c r="C196" i="4"/>
  <c r="A195" i="4"/>
  <c r="B195" i="4"/>
  <c r="C195" i="4"/>
  <c r="A194" i="4"/>
  <c r="B194" i="4"/>
  <c r="C194" i="4"/>
  <c r="A193" i="4"/>
  <c r="B193" i="4"/>
  <c r="C193" i="4"/>
  <c r="A192" i="4"/>
  <c r="B192" i="4"/>
  <c r="C192" i="4"/>
  <c r="A191" i="4"/>
  <c r="B191" i="4"/>
  <c r="C191" i="4"/>
  <c r="A190" i="4"/>
  <c r="B190" i="4"/>
  <c r="C190" i="4"/>
  <c r="A189" i="4"/>
  <c r="B189" i="4"/>
  <c r="C189" i="4"/>
  <c r="A188" i="4"/>
  <c r="B188" i="4"/>
  <c r="C188" i="4"/>
  <c r="A187" i="4"/>
  <c r="B187" i="4"/>
  <c r="C187" i="4"/>
  <c r="A186" i="4"/>
  <c r="B186" i="4"/>
  <c r="C186" i="4"/>
  <c r="A185" i="4"/>
  <c r="B185" i="4"/>
  <c r="C185" i="4"/>
  <c r="A184" i="4"/>
  <c r="B184" i="4"/>
  <c r="C184" i="4"/>
  <c r="A183" i="4"/>
  <c r="B183" i="4"/>
  <c r="C183" i="4"/>
  <c r="A182" i="4"/>
  <c r="B182" i="4"/>
  <c r="C182" i="4"/>
  <c r="A181" i="4"/>
  <c r="B181" i="4"/>
  <c r="C181" i="4"/>
  <c r="A180" i="4"/>
  <c r="B180" i="4"/>
  <c r="C180" i="4"/>
  <c r="A179" i="4"/>
  <c r="B179" i="4"/>
  <c r="C179" i="4"/>
  <c r="A178" i="4"/>
  <c r="B178" i="4"/>
  <c r="C178" i="4"/>
  <c r="A177" i="4"/>
  <c r="B177" i="4"/>
  <c r="C177" i="4"/>
  <c r="A176" i="4"/>
  <c r="B176" i="4"/>
  <c r="C176" i="4"/>
  <c r="A175" i="4"/>
  <c r="B175" i="4"/>
  <c r="C175" i="4"/>
  <c r="A174" i="4"/>
  <c r="B174" i="4"/>
  <c r="C174" i="4"/>
  <c r="A173" i="4"/>
  <c r="B173" i="4"/>
  <c r="C173" i="4"/>
  <c r="A172" i="4"/>
  <c r="B172" i="4"/>
  <c r="C172" i="4"/>
  <c r="A171" i="4"/>
  <c r="B171" i="4"/>
  <c r="C171" i="4"/>
  <c r="A170" i="4"/>
  <c r="B170" i="4"/>
  <c r="C170" i="4"/>
  <c r="A169" i="4"/>
  <c r="B169" i="4"/>
  <c r="C169" i="4"/>
  <c r="A168" i="4"/>
  <c r="B168" i="4"/>
  <c r="C168" i="4"/>
  <c r="A167" i="4"/>
  <c r="B167" i="4"/>
  <c r="C167" i="4"/>
  <c r="A166" i="4"/>
  <c r="B166" i="4"/>
  <c r="C166" i="4"/>
  <c r="A165" i="4"/>
  <c r="B165" i="4"/>
  <c r="C165" i="4"/>
  <c r="A164" i="4"/>
  <c r="B164" i="4"/>
  <c r="C164" i="4"/>
  <c r="A163" i="4"/>
  <c r="B163" i="4"/>
  <c r="C163" i="4"/>
  <c r="A162" i="4"/>
  <c r="B162" i="4"/>
  <c r="C162" i="4"/>
  <c r="A161" i="4"/>
  <c r="B161" i="4"/>
  <c r="C161" i="4"/>
  <c r="A160" i="4"/>
  <c r="B160" i="4"/>
  <c r="C160" i="4"/>
  <c r="A159" i="4"/>
  <c r="B159" i="4"/>
  <c r="C159" i="4"/>
  <c r="A158" i="4"/>
  <c r="B158" i="4"/>
  <c r="C158" i="4"/>
  <c r="A157" i="4"/>
  <c r="B157" i="4"/>
  <c r="C157" i="4"/>
  <c r="A156" i="4"/>
  <c r="B156" i="4"/>
  <c r="C156" i="4"/>
  <c r="A155" i="4"/>
  <c r="B155" i="4"/>
  <c r="C155" i="4"/>
  <c r="A154" i="4"/>
  <c r="B154" i="4"/>
  <c r="C154" i="4"/>
  <c r="A153" i="4"/>
  <c r="B153" i="4"/>
  <c r="C153" i="4"/>
  <c r="A152" i="4"/>
  <c r="B152" i="4"/>
  <c r="C152" i="4"/>
  <c r="A151" i="4"/>
  <c r="B151" i="4"/>
  <c r="C151" i="4"/>
  <c r="A150" i="4"/>
  <c r="B150" i="4"/>
  <c r="C150" i="4"/>
  <c r="A149" i="4"/>
  <c r="B149" i="4"/>
  <c r="C149" i="4"/>
  <c r="A148" i="4"/>
  <c r="B148" i="4"/>
  <c r="C148" i="4"/>
  <c r="A147" i="4"/>
  <c r="B147" i="4"/>
  <c r="C147" i="4"/>
  <c r="A146" i="4"/>
  <c r="B146" i="4"/>
  <c r="C146" i="4"/>
  <c r="A145" i="4"/>
  <c r="B145" i="4"/>
  <c r="C145" i="4"/>
  <c r="A144" i="4"/>
  <c r="B144" i="4"/>
  <c r="C144" i="4"/>
  <c r="A143" i="4"/>
  <c r="B143" i="4"/>
  <c r="C143" i="4"/>
  <c r="A142" i="4"/>
  <c r="B142" i="4"/>
  <c r="C142" i="4"/>
  <c r="A141" i="4"/>
  <c r="B141" i="4"/>
  <c r="C141" i="4"/>
  <c r="A140" i="4"/>
  <c r="B140" i="4"/>
  <c r="C140" i="4"/>
  <c r="A139" i="4"/>
  <c r="B139" i="4"/>
  <c r="C139" i="4"/>
  <c r="A138" i="4"/>
  <c r="B138" i="4"/>
  <c r="C138" i="4"/>
  <c r="A137" i="4"/>
  <c r="B137" i="4"/>
  <c r="C137" i="4"/>
  <c r="A136" i="4"/>
  <c r="B136" i="4"/>
  <c r="C136" i="4"/>
  <c r="A135" i="4"/>
  <c r="B135" i="4"/>
  <c r="C135" i="4"/>
  <c r="A134" i="4"/>
  <c r="B134" i="4"/>
  <c r="C134" i="4"/>
  <c r="A133" i="4"/>
  <c r="B133" i="4"/>
  <c r="C133" i="4"/>
  <c r="A132" i="4"/>
  <c r="B132" i="4"/>
  <c r="C132" i="4"/>
  <c r="A131" i="4"/>
  <c r="B131" i="4"/>
  <c r="C131" i="4"/>
  <c r="A130" i="4"/>
  <c r="B130" i="4"/>
  <c r="C130" i="4"/>
  <c r="A129" i="4"/>
  <c r="B129" i="4"/>
  <c r="C129" i="4"/>
  <c r="A128" i="4"/>
  <c r="B128" i="4"/>
  <c r="C128" i="4"/>
  <c r="A127" i="4"/>
  <c r="B127" i="4"/>
  <c r="C127" i="4"/>
  <c r="A126" i="4"/>
  <c r="B126" i="4"/>
  <c r="C126" i="4"/>
  <c r="A125" i="4"/>
  <c r="B125" i="4"/>
  <c r="C125" i="4"/>
  <c r="A124" i="4"/>
  <c r="B124" i="4"/>
  <c r="C124" i="4"/>
  <c r="A123" i="4"/>
  <c r="B123" i="4"/>
  <c r="C123" i="4"/>
  <c r="A122" i="4"/>
  <c r="B122" i="4"/>
  <c r="C122" i="4"/>
  <c r="A121" i="4"/>
  <c r="B121" i="4"/>
  <c r="C121" i="4"/>
  <c r="A120" i="4"/>
  <c r="B120" i="4"/>
  <c r="C120" i="4"/>
  <c r="A119" i="4"/>
  <c r="B119" i="4"/>
  <c r="C119" i="4"/>
  <c r="A118" i="4"/>
  <c r="B118" i="4"/>
  <c r="C118" i="4"/>
  <c r="A117" i="4"/>
  <c r="B117" i="4"/>
  <c r="C117" i="4"/>
  <c r="A116" i="4"/>
  <c r="B116" i="4"/>
  <c r="C116" i="4"/>
  <c r="A115" i="4"/>
  <c r="B115" i="4"/>
  <c r="C115" i="4"/>
  <c r="A114" i="4"/>
  <c r="B114" i="4"/>
  <c r="C114" i="4"/>
  <c r="A113" i="4"/>
  <c r="B113" i="4"/>
  <c r="C113" i="4"/>
  <c r="A112" i="4"/>
  <c r="B112" i="4"/>
  <c r="C112" i="4"/>
  <c r="A111" i="4"/>
  <c r="B111" i="4"/>
  <c r="C111" i="4"/>
  <c r="A110" i="4"/>
  <c r="B110" i="4"/>
  <c r="C110" i="4"/>
  <c r="A109" i="4"/>
  <c r="B109" i="4"/>
  <c r="C109" i="4"/>
  <c r="A108" i="4"/>
  <c r="B108" i="4"/>
  <c r="C108" i="4"/>
  <c r="A107" i="4"/>
  <c r="B107" i="4"/>
  <c r="C107" i="4"/>
  <c r="A106" i="4"/>
  <c r="B106" i="4"/>
  <c r="C106" i="4"/>
  <c r="A105" i="4"/>
  <c r="B105" i="4"/>
  <c r="C105" i="4"/>
  <c r="A104" i="4"/>
  <c r="B104" i="4"/>
  <c r="C104" i="4"/>
  <c r="A103" i="4"/>
  <c r="B103" i="4"/>
  <c r="C103" i="4"/>
  <c r="A102" i="4"/>
  <c r="B102" i="4"/>
  <c r="C102" i="4"/>
  <c r="A101" i="4"/>
  <c r="B101" i="4"/>
  <c r="C101" i="4"/>
  <c r="A100" i="4"/>
  <c r="B100" i="4"/>
  <c r="C100" i="4"/>
  <c r="A99" i="4"/>
  <c r="B99" i="4"/>
  <c r="C99" i="4"/>
  <c r="A98" i="4"/>
  <c r="B98" i="4"/>
  <c r="C98" i="4"/>
  <c r="A97" i="4"/>
  <c r="B97" i="4"/>
  <c r="C97" i="4"/>
  <c r="A96" i="4"/>
  <c r="B96" i="4"/>
  <c r="C96" i="4"/>
  <c r="A95" i="4"/>
  <c r="B95" i="4"/>
  <c r="C95" i="4"/>
  <c r="A94" i="4"/>
  <c r="B94" i="4"/>
  <c r="C94" i="4"/>
  <c r="A93" i="4"/>
  <c r="B93" i="4"/>
  <c r="C93" i="4"/>
  <c r="A92" i="4"/>
  <c r="B92" i="4"/>
  <c r="C92" i="4"/>
  <c r="A91" i="4"/>
  <c r="B91" i="4"/>
  <c r="C91" i="4"/>
  <c r="A90" i="4"/>
  <c r="B90" i="4"/>
  <c r="C90" i="4"/>
  <c r="A89" i="4"/>
  <c r="B89" i="4"/>
  <c r="C89" i="4"/>
  <c r="A88" i="4"/>
  <c r="B88" i="4"/>
  <c r="C88" i="4"/>
  <c r="A87" i="4"/>
  <c r="B87" i="4"/>
  <c r="C87" i="4"/>
  <c r="A86" i="4"/>
  <c r="B86" i="4"/>
  <c r="C86" i="4"/>
  <c r="A85" i="4"/>
  <c r="B85" i="4"/>
  <c r="C85" i="4"/>
  <c r="A84" i="4"/>
  <c r="B84" i="4"/>
  <c r="C84" i="4"/>
  <c r="A83" i="4"/>
  <c r="B83" i="4"/>
  <c r="C83" i="4"/>
  <c r="A82" i="4"/>
  <c r="B82" i="4"/>
  <c r="C82" i="4"/>
  <c r="A81" i="4"/>
  <c r="B81" i="4"/>
  <c r="C81" i="4"/>
  <c r="A80" i="4"/>
  <c r="B80" i="4"/>
  <c r="C80" i="4"/>
  <c r="A79" i="4"/>
  <c r="B79" i="4"/>
  <c r="C79" i="4"/>
  <c r="A78" i="4"/>
  <c r="B78" i="4"/>
  <c r="C78" i="4"/>
  <c r="A77" i="4"/>
  <c r="B77" i="4"/>
  <c r="C77" i="4"/>
  <c r="A76" i="4"/>
  <c r="B76" i="4"/>
  <c r="C76" i="4"/>
  <c r="A75" i="4"/>
  <c r="B75" i="4"/>
  <c r="C75" i="4"/>
  <c r="A74" i="4"/>
  <c r="B74" i="4"/>
  <c r="C74" i="4"/>
  <c r="A73" i="4"/>
  <c r="B73" i="4"/>
  <c r="C73" i="4"/>
  <c r="A72" i="4"/>
  <c r="B72" i="4"/>
  <c r="C72" i="4"/>
  <c r="A71" i="4"/>
  <c r="B71" i="4"/>
  <c r="C71" i="4"/>
  <c r="A70" i="4"/>
  <c r="B70" i="4"/>
  <c r="C70" i="4"/>
  <c r="A69" i="4"/>
  <c r="B69" i="4"/>
  <c r="C69" i="4"/>
  <c r="A68" i="4"/>
  <c r="B68" i="4"/>
  <c r="C68" i="4"/>
  <c r="A67" i="4"/>
  <c r="B67" i="4"/>
  <c r="C67" i="4"/>
  <c r="A66" i="4"/>
  <c r="B66" i="4"/>
  <c r="C66" i="4"/>
  <c r="A65" i="4"/>
  <c r="B65" i="4"/>
  <c r="C65" i="4"/>
  <c r="A64" i="4"/>
  <c r="B64" i="4"/>
  <c r="C64" i="4"/>
  <c r="A63" i="4"/>
  <c r="B63" i="4"/>
  <c r="C63" i="4"/>
  <c r="A62" i="4"/>
  <c r="B62" i="4"/>
  <c r="C62" i="4"/>
  <c r="A61" i="4"/>
  <c r="B61" i="4"/>
  <c r="C61" i="4"/>
  <c r="A60" i="4"/>
  <c r="B60" i="4"/>
  <c r="C60" i="4"/>
  <c r="A59" i="4"/>
  <c r="B59" i="4"/>
  <c r="C59" i="4"/>
  <c r="A58" i="4"/>
  <c r="B58" i="4"/>
  <c r="C58" i="4"/>
  <c r="A57" i="4"/>
  <c r="B57" i="4"/>
  <c r="C57" i="4"/>
  <c r="A56" i="4"/>
  <c r="B56" i="4"/>
  <c r="C56" i="4"/>
  <c r="A55" i="4"/>
  <c r="B55" i="4"/>
  <c r="C55" i="4"/>
  <c r="A54" i="4"/>
  <c r="B54" i="4"/>
  <c r="C54" i="4"/>
  <c r="A53" i="4"/>
  <c r="B53" i="4"/>
  <c r="C53" i="4"/>
  <c r="A52" i="4"/>
  <c r="B52" i="4"/>
  <c r="C52" i="4"/>
  <c r="A51" i="4"/>
  <c r="B51" i="4"/>
  <c r="C51" i="4"/>
  <c r="A50" i="4"/>
  <c r="B50" i="4"/>
  <c r="C50" i="4"/>
  <c r="A49" i="4"/>
  <c r="B49" i="4"/>
  <c r="C49" i="4"/>
  <c r="A48" i="4"/>
  <c r="B48" i="4"/>
  <c r="C48" i="4"/>
  <c r="A47" i="4"/>
  <c r="B47" i="4"/>
  <c r="C47" i="4"/>
  <c r="A46" i="4"/>
  <c r="B46" i="4"/>
  <c r="C46" i="4"/>
  <c r="A45" i="4"/>
  <c r="B45" i="4"/>
  <c r="C45" i="4"/>
  <c r="A44" i="4"/>
  <c r="B44" i="4"/>
  <c r="C44" i="4"/>
  <c r="A43" i="4"/>
  <c r="B43" i="4"/>
  <c r="C43" i="4"/>
  <c r="A42" i="4"/>
  <c r="B42" i="4"/>
  <c r="C42" i="4"/>
  <c r="A41" i="4"/>
  <c r="B41" i="4"/>
  <c r="C41" i="4"/>
  <c r="A40" i="4"/>
  <c r="B40" i="4"/>
  <c r="C40" i="4"/>
  <c r="A39" i="4"/>
  <c r="B39" i="4"/>
  <c r="C39" i="4"/>
  <c r="A38" i="4"/>
  <c r="B38" i="4"/>
  <c r="C38" i="4"/>
  <c r="A37" i="4"/>
  <c r="B37" i="4"/>
  <c r="C37" i="4"/>
  <c r="A36" i="4"/>
  <c r="B36" i="4"/>
  <c r="C36" i="4"/>
  <c r="A35" i="4"/>
  <c r="B35" i="4"/>
  <c r="C35" i="4"/>
  <c r="A34" i="4"/>
  <c r="B34" i="4"/>
  <c r="C34" i="4"/>
  <c r="A33" i="4"/>
  <c r="B33" i="4"/>
  <c r="C33" i="4"/>
  <c r="A32" i="4"/>
  <c r="B32" i="4"/>
  <c r="C32" i="4"/>
  <c r="A31" i="4"/>
  <c r="B31" i="4"/>
  <c r="C31" i="4"/>
  <c r="A30" i="4"/>
  <c r="B30" i="4"/>
  <c r="C30" i="4"/>
  <c r="A29" i="4"/>
  <c r="B29" i="4"/>
  <c r="C29" i="4"/>
  <c r="A28" i="4"/>
  <c r="B28" i="4"/>
  <c r="C28" i="4"/>
  <c r="A27" i="4"/>
  <c r="B27" i="4"/>
  <c r="C27" i="4"/>
  <c r="A26" i="4"/>
  <c r="B26" i="4"/>
  <c r="C26" i="4"/>
  <c r="A25" i="4"/>
  <c r="B25" i="4"/>
  <c r="C25" i="4"/>
  <c r="A24" i="4"/>
  <c r="B24" i="4"/>
  <c r="C24" i="4"/>
  <c r="A23" i="4"/>
  <c r="B23" i="4"/>
  <c r="C23" i="4"/>
  <c r="A22" i="4"/>
  <c r="B22" i="4"/>
  <c r="C22" i="4"/>
  <c r="A21" i="4"/>
  <c r="B21" i="4"/>
  <c r="C21" i="4"/>
  <c r="A20" i="4"/>
  <c r="B20" i="4"/>
  <c r="C20" i="4"/>
  <c r="A19" i="4"/>
  <c r="B19" i="4"/>
  <c r="C19" i="4"/>
  <c r="A18" i="4"/>
  <c r="B18" i="4"/>
  <c r="C18" i="4"/>
  <c r="A17" i="4"/>
  <c r="B17" i="4"/>
  <c r="C17" i="4"/>
  <c r="A16" i="4"/>
  <c r="B16" i="4"/>
  <c r="C16" i="4"/>
  <c r="A15" i="4"/>
  <c r="B15" i="4"/>
  <c r="C15" i="4"/>
  <c r="A14" i="4"/>
  <c r="B14" i="4"/>
  <c r="C14" i="4"/>
  <c r="A13" i="4"/>
  <c r="B13" i="4"/>
  <c r="C13" i="4"/>
  <c r="A12" i="4"/>
  <c r="B12" i="4"/>
  <c r="C12" i="4"/>
  <c r="A11" i="4"/>
  <c r="B11" i="4"/>
  <c r="C11" i="4"/>
  <c r="A10" i="4"/>
  <c r="B10" i="4"/>
  <c r="C10" i="4"/>
  <c r="A9" i="4"/>
  <c r="B9" i="4"/>
  <c r="C9" i="4"/>
  <c r="A8" i="4"/>
  <c r="B8" i="4"/>
  <c r="C8" i="4"/>
  <c r="A7" i="4"/>
  <c r="B7" i="4"/>
  <c r="C7" i="4"/>
  <c r="A6" i="4"/>
  <c r="B6" i="4"/>
  <c r="C6" i="4"/>
  <c r="A5" i="4"/>
  <c r="B5" i="4"/>
  <c r="C5" i="4"/>
  <c r="A4" i="4"/>
  <c r="B4" i="4"/>
  <c r="C4" i="4"/>
  <c r="A3" i="4"/>
  <c r="B3" i="4"/>
  <c r="C3" i="4"/>
  <c r="A2" i="4"/>
  <c r="B2" i="4"/>
  <c r="C2" i="4"/>
  <c r="A2612" i="3"/>
  <c r="B2612" i="3"/>
  <c r="C2612" i="3"/>
  <c r="A2611" i="3"/>
  <c r="B2611" i="3"/>
  <c r="C2611" i="3"/>
  <c r="A2610" i="3"/>
  <c r="B2610" i="3"/>
  <c r="C2610" i="3"/>
  <c r="A2609" i="3"/>
  <c r="B2609" i="3"/>
  <c r="C2609" i="3"/>
  <c r="A2608" i="3"/>
  <c r="B2608" i="3"/>
  <c r="C2608" i="3"/>
  <c r="A2607" i="3"/>
  <c r="B2607" i="3"/>
  <c r="C2607" i="3"/>
  <c r="A2606" i="3"/>
  <c r="B2606" i="3"/>
  <c r="C2606" i="3"/>
  <c r="A2605" i="3"/>
  <c r="B2605" i="3"/>
  <c r="C2605" i="3"/>
  <c r="A2604" i="3"/>
  <c r="B2604" i="3"/>
  <c r="C2604" i="3"/>
  <c r="A2603" i="3"/>
  <c r="B2603" i="3"/>
  <c r="C2603" i="3"/>
  <c r="A2602" i="3"/>
  <c r="B2602" i="3"/>
  <c r="C2602" i="3"/>
  <c r="A2601" i="3"/>
  <c r="B2601" i="3"/>
  <c r="C2601" i="3"/>
  <c r="A2600" i="3"/>
  <c r="B2600" i="3"/>
  <c r="C2600" i="3"/>
  <c r="A2599" i="3"/>
  <c r="B2599" i="3"/>
  <c r="C2599" i="3"/>
  <c r="A2598" i="3"/>
  <c r="B2598" i="3"/>
  <c r="C2598" i="3"/>
  <c r="A2597" i="3"/>
  <c r="B2597" i="3"/>
  <c r="C2597" i="3"/>
  <c r="A2596" i="3"/>
  <c r="B2596" i="3"/>
  <c r="C2596" i="3"/>
  <c r="A2595" i="3"/>
  <c r="B2595" i="3"/>
  <c r="C2595" i="3"/>
  <c r="A2594" i="3"/>
  <c r="B2594" i="3"/>
  <c r="C2594" i="3"/>
  <c r="A2593" i="3"/>
  <c r="B2593" i="3"/>
  <c r="C2593" i="3"/>
  <c r="A2592" i="3"/>
  <c r="B2592" i="3"/>
  <c r="C2592" i="3"/>
  <c r="A2591" i="3"/>
  <c r="B2591" i="3"/>
  <c r="C2591" i="3"/>
  <c r="A2590" i="3"/>
  <c r="B2590" i="3"/>
  <c r="C2590" i="3"/>
  <c r="A2589" i="3"/>
  <c r="B2589" i="3"/>
  <c r="C2589" i="3"/>
  <c r="A2588" i="3"/>
  <c r="B2588" i="3"/>
  <c r="C2588" i="3"/>
  <c r="A2587" i="3"/>
  <c r="B2587" i="3"/>
  <c r="C2587" i="3"/>
  <c r="A2586" i="3"/>
  <c r="B2586" i="3"/>
  <c r="C2586" i="3"/>
  <c r="A2585" i="3"/>
  <c r="B2585" i="3"/>
  <c r="C2585" i="3"/>
  <c r="A2584" i="3"/>
  <c r="B2584" i="3"/>
  <c r="C2584" i="3"/>
  <c r="A2583" i="3"/>
  <c r="B2583" i="3"/>
  <c r="C2583" i="3"/>
  <c r="A2582" i="3"/>
  <c r="B2582" i="3"/>
  <c r="C2582" i="3"/>
  <c r="A2581" i="3"/>
  <c r="B2581" i="3"/>
  <c r="C2581" i="3"/>
  <c r="A2580" i="3"/>
  <c r="B2580" i="3"/>
  <c r="C2580" i="3"/>
  <c r="A2579" i="3"/>
  <c r="B2579" i="3"/>
  <c r="C2579" i="3"/>
  <c r="A2578" i="3"/>
  <c r="B2578" i="3"/>
  <c r="C2578" i="3"/>
  <c r="A2577" i="3"/>
  <c r="B2577" i="3"/>
  <c r="C2577" i="3"/>
  <c r="A2576" i="3"/>
  <c r="B2576" i="3"/>
  <c r="C2576" i="3"/>
  <c r="A2575" i="3"/>
  <c r="B2575" i="3"/>
  <c r="C2575" i="3"/>
  <c r="A2574" i="3"/>
  <c r="B2574" i="3"/>
  <c r="C2574" i="3"/>
  <c r="A2573" i="3"/>
  <c r="B2573" i="3"/>
  <c r="C2573" i="3"/>
  <c r="A2572" i="3"/>
  <c r="B2572" i="3"/>
  <c r="C2572" i="3"/>
  <c r="A2571" i="3"/>
  <c r="B2571" i="3"/>
  <c r="C2571" i="3"/>
  <c r="A2570" i="3"/>
  <c r="B2570" i="3"/>
  <c r="C2570" i="3"/>
  <c r="A2569" i="3"/>
  <c r="B2569" i="3"/>
  <c r="C2569" i="3"/>
  <c r="A2568" i="3"/>
  <c r="B2568" i="3"/>
  <c r="C2568" i="3"/>
  <c r="A2567" i="3"/>
  <c r="B2567" i="3"/>
  <c r="C2567" i="3"/>
  <c r="A2566" i="3"/>
  <c r="B2566" i="3"/>
  <c r="C2566" i="3"/>
  <c r="A2565" i="3"/>
  <c r="B2565" i="3"/>
  <c r="C2565" i="3"/>
  <c r="A2564" i="3"/>
  <c r="B2564" i="3"/>
  <c r="C2564" i="3"/>
  <c r="A2563" i="3"/>
  <c r="B2563" i="3"/>
  <c r="C2563" i="3"/>
  <c r="A2562" i="3"/>
  <c r="B2562" i="3"/>
  <c r="C2562" i="3"/>
  <c r="A2561" i="3"/>
  <c r="B2561" i="3"/>
  <c r="C2561" i="3"/>
  <c r="A2560" i="3"/>
  <c r="B2560" i="3"/>
  <c r="C2560" i="3"/>
  <c r="A2559" i="3"/>
  <c r="B2559" i="3"/>
  <c r="C2559" i="3"/>
  <c r="A2558" i="3"/>
  <c r="B2558" i="3"/>
  <c r="C2558" i="3"/>
  <c r="A2557" i="3"/>
  <c r="B2557" i="3"/>
  <c r="C2557" i="3"/>
  <c r="A2556" i="3"/>
  <c r="B2556" i="3"/>
  <c r="C2556" i="3"/>
  <c r="A2555" i="3"/>
  <c r="B2555" i="3"/>
  <c r="C2555" i="3"/>
  <c r="A2554" i="3"/>
  <c r="B2554" i="3"/>
  <c r="C2554" i="3"/>
  <c r="A2553" i="3"/>
  <c r="B2553" i="3"/>
  <c r="C2553" i="3"/>
  <c r="A2552" i="3"/>
  <c r="B2552" i="3"/>
  <c r="C2552" i="3"/>
  <c r="A2551" i="3"/>
  <c r="B2551" i="3"/>
  <c r="C2551" i="3"/>
  <c r="A2550" i="3"/>
  <c r="B2550" i="3"/>
  <c r="C2550" i="3"/>
  <c r="A2549" i="3"/>
  <c r="B2549" i="3"/>
  <c r="C2549" i="3"/>
  <c r="A2548" i="3"/>
  <c r="B2548" i="3"/>
  <c r="C2548" i="3"/>
  <c r="A2547" i="3"/>
  <c r="B2547" i="3"/>
  <c r="C2547" i="3"/>
  <c r="A2546" i="3"/>
  <c r="B2546" i="3"/>
  <c r="C2546" i="3"/>
  <c r="A2545" i="3"/>
  <c r="B2545" i="3"/>
  <c r="C2545" i="3"/>
  <c r="A2544" i="3"/>
  <c r="B2544" i="3"/>
  <c r="C2544" i="3"/>
  <c r="A2543" i="3"/>
  <c r="B2543" i="3"/>
  <c r="C2543" i="3"/>
  <c r="A2542" i="3"/>
  <c r="B2542" i="3"/>
  <c r="C2542" i="3"/>
  <c r="A2541" i="3"/>
  <c r="B2541" i="3"/>
  <c r="C2541" i="3"/>
  <c r="A2540" i="3"/>
  <c r="B2540" i="3"/>
  <c r="C2540" i="3"/>
  <c r="A2539" i="3"/>
  <c r="B2539" i="3"/>
  <c r="C2539" i="3"/>
  <c r="A2538" i="3"/>
  <c r="B2538" i="3"/>
  <c r="C2538" i="3"/>
  <c r="A2537" i="3"/>
  <c r="B2537" i="3"/>
  <c r="C2537" i="3"/>
  <c r="A2536" i="3"/>
  <c r="B2536" i="3"/>
  <c r="C2536" i="3"/>
  <c r="A2535" i="3"/>
  <c r="B2535" i="3"/>
  <c r="C2535" i="3"/>
  <c r="A2534" i="3"/>
  <c r="B2534" i="3"/>
  <c r="C2534" i="3"/>
  <c r="A2533" i="3"/>
  <c r="B2533" i="3"/>
  <c r="C2533" i="3"/>
  <c r="A2532" i="3"/>
  <c r="B2532" i="3"/>
  <c r="C2532" i="3"/>
  <c r="A2531" i="3"/>
  <c r="B2531" i="3"/>
  <c r="C2531" i="3"/>
  <c r="A2530" i="3"/>
  <c r="B2530" i="3"/>
  <c r="C2530" i="3"/>
  <c r="A2529" i="3"/>
  <c r="B2529" i="3"/>
  <c r="C2529" i="3"/>
  <c r="A2528" i="3"/>
  <c r="B2528" i="3"/>
  <c r="C2528" i="3"/>
  <c r="A2527" i="3"/>
  <c r="B2527" i="3"/>
  <c r="C2527" i="3"/>
  <c r="A2526" i="3"/>
  <c r="B2526" i="3"/>
  <c r="C2526" i="3"/>
  <c r="A2525" i="3"/>
  <c r="B2525" i="3"/>
  <c r="C2525" i="3"/>
  <c r="A2524" i="3"/>
  <c r="B2524" i="3"/>
  <c r="C2524" i="3"/>
  <c r="A2523" i="3"/>
  <c r="B2523" i="3"/>
  <c r="C2523" i="3"/>
  <c r="A2522" i="3"/>
  <c r="B2522" i="3"/>
  <c r="C2522" i="3"/>
  <c r="A2521" i="3"/>
  <c r="B2521" i="3"/>
  <c r="C2521" i="3"/>
  <c r="A2520" i="3"/>
  <c r="B2520" i="3"/>
  <c r="C2520" i="3"/>
  <c r="A2519" i="3"/>
  <c r="B2519" i="3"/>
  <c r="C2519" i="3"/>
  <c r="A2518" i="3"/>
  <c r="B2518" i="3"/>
  <c r="C2518" i="3"/>
  <c r="A2517" i="3"/>
  <c r="B2517" i="3"/>
  <c r="C2517" i="3"/>
  <c r="A2516" i="3"/>
  <c r="B2516" i="3"/>
  <c r="C2516" i="3"/>
  <c r="A2515" i="3"/>
  <c r="B2515" i="3"/>
  <c r="C2515" i="3"/>
  <c r="A2514" i="3"/>
  <c r="B2514" i="3"/>
  <c r="C2514" i="3"/>
  <c r="A2513" i="3"/>
  <c r="B2513" i="3"/>
  <c r="C2513" i="3"/>
  <c r="A2512" i="3"/>
  <c r="B2512" i="3"/>
  <c r="C2512" i="3"/>
  <c r="A2511" i="3"/>
  <c r="B2511" i="3"/>
  <c r="C2511" i="3"/>
  <c r="A2510" i="3"/>
  <c r="B2510" i="3"/>
  <c r="C2510" i="3"/>
  <c r="A2509" i="3"/>
  <c r="B2509" i="3"/>
  <c r="C2509" i="3"/>
  <c r="A2508" i="3"/>
  <c r="B2508" i="3"/>
  <c r="C2508" i="3"/>
  <c r="A2507" i="3"/>
  <c r="B2507" i="3"/>
  <c r="C2507" i="3"/>
  <c r="A2506" i="3"/>
  <c r="B2506" i="3"/>
  <c r="C2506" i="3"/>
  <c r="A2505" i="3"/>
  <c r="B2505" i="3"/>
  <c r="C2505" i="3"/>
  <c r="A2504" i="3"/>
  <c r="B2504" i="3"/>
  <c r="C2504" i="3"/>
  <c r="A2503" i="3"/>
  <c r="B2503" i="3"/>
  <c r="C2503" i="3"/>
  <c r="A2502" i="3"/>
  <c r="B2502" i="3"/>
  <c r="C2502" i="3"/>
  <c r="A2501" i="3"/>
  <c r="B2501" i="3"/>
  <c r="C2501" i="3"/>
  <c r="A2500" i="3"/>
  <c r="B2500" i="3"/>
  <c r="C2500" i="3"/>
  <c r="A2499" i="3"/>
  <c r="B2499" i="3"/>
  <c r="C2499" i="3"/>
  <c r="A2498" i="3"/>
  <c r="B2498" i="3"/>
  <c r="C2498" i="3"/>
  <c r="A2497" i="3"/>
  <c r="B2497" i="3"/>
  <c r="C2497" i="3"/>
  <c r="A2496" i="3"/>
  <c r="B2496" i="3"/>
  <c r="C2496" i="3"/>
  <c r="A2495" i="3"/>
  <c r="B2495" i="3"/>
  <c r="C2495" i="3"/>
  <c r="A2494" i="3"/>
  <c r="B2494" i="3"/>
  <c r="C2494" i="3"/>
  <c r="A2493" i="3"/>
  <c r="B2493" i="3"/>
  <c r="C2493" i="3"/>
  <c r="A2492" i="3"/>
  <c r="B2492" i="3"/>
  <c r="C2492" i="3"/>
  <c r="A2491" i="3"/>
  <c r="B2491" i="3"/>
  <c r="C2491" i="3"/>
  <c r="A2490" i="3"/>
  <c r="B2490" i="3"/>
  <c r="C2490" i="3"/>
  <c r="A2489" i="3"/>
  <c r="B2489" i="3"/>
  <c r="C2489" i="3"/>
  <c r="A2488" i="3"/>
  <c r="B2488" i="3"/>
  <c r="C2488" i="3"/>
  <c r="A2487" i="3"/>
  <c r="B2487" i="3"/>
  <c r="C2487" i="3"/>
  <c r="A2486" i="3"/>
  <c r="B2486" i="3"/>
  <c r="C2486" i="3"/>
  <c r="A2485" i="3"/>
  <c r="B2485" i="3"/>
  <c r="C2485" i="3"/>
  <c r="A2484" i="3"/>
  <c r="B2484" i="3"/>
  <c r="C2484" i="3"/>
  <c r="A2483" i="3"/>
  <c r="B2483" i="3"/>
  <c r="C2483" i="3"/>
  <c r="A2482" i="3"/>
  <c r="B2482" i="3"/>
  <c r="C2482" i="3"/>
  <c r="A2481" i="3"/>
  <c r="B2481" i="3"/>
  <c r="C2481" i="3"/>
  <c r="A2480" i="3"/>
  <c r="B2480" i="3"/>
  <c r="C2480" i="3"/>
  <c r="A2479" i="3"/>
  <c r="B2479" i="3"/>
  <c r="C2479" i="3"/>
  <c r="A2478" i="3"/>
  <c r="B2478" i="3"/>
  <c r="C2478" i="3"/>
  <c r="A2477" i="3"/>
  <c r="B2477" i="3"/>
  <c r="C2477" i="3"/>
  <c r="A2476" i="3"/>
  <c r="B2476" i="3"/>
  <c r="C2476" i="3"/>
  <c r="A2475" i="3"/>
  <c r="B2475" i="3"/>
  <c r="C2475" i="3"/>
  <c r="A2474" i="3"/>
  <c r="B2474" i="3"/>
  <c r="C2474" i="3"/>
  <c r="A2473" i="3"/>
  <c r="B2473" i="3"/>
  <c r="C2473" i="3"/>
  <c r="A2472" i="3"/>
  <c r="B2472" i="3"/>
  <c r="C2472" i="3"/>
  <c r="A2471" i="3"/>
  <c r="B2471" i="3"/>
  <c r="C2471" i="3"/>
  <c r="A2470" i="3"/>
  <c r="B2470" i="3"/>
  <c r="C2470" i="3"/>
  <c r="A2469" i="3"/>
  <c r="B2469" i="3"/>
  <c r="C2469" i="3"/>
  <c r="A2468" i="3"/>
  <c r="B2468" i="3"/>
  <c r="C2468" i="3"/>
  <c r="A2467" i="3"/>
  <c r="B2467" i="3"/>
  <c r="C2467" i="3"/>
  <c r="A2466" i="3"/>
  <c r="B2466" i="3"/>
  <c r="C2466" i="3"/>
  <c r="A2465" i="3"/>
  <c r="B2465" i="3"/>
  <c r="C2465" i="3"/>
  <c r="A2464" i="3"/>
  <c r="B2464" i="3"/>
  <c r="C2464" i="3"/>
  <c r="A2463" i="3"/>
  <c r="B2463" i="3"/>
  <c r="C2463" i="3"/>
  <c r="A2462" i="3"/>
  <c r="B2462" i="3"/>
  <c r="C2462" i="3"/>
  <c r="A2461" i="3"/>
  <c r="B2461" i="3"/>
  <c r="C2461" i="3"/>
  <c r="A2460" i="3"/>
  <c r="B2460" i="3"/>
  <c r="C2460" i="3"/>
  <c r="A2459" i="3"/>
  <c r="B2459" i="3"/>
  <c r="C2459" i="3"/>
  <c r="A2458" i="3"/>
  <c r="B2458" i="3"/>
  <c r="C2458" i="3"/>
  <c r="A2457" i="3"/>
  <c r="B2457" i="3"/>
  <c r="C2457" i="3"/>
  <c r="A2456" i="3"/>
  <c r="B2456" i="3"/>
  <c r="C2456" i="3"/>
  <c r="A2455" i="3"/>
  <c r="B2455" i="3"/>
  <c r="C2455" i="3"/>
  <c r="A2454" i="3"/>
  <c r="B2454" i="3"/>
  <c r="C2454" i="3"/>
  <c r="A2453" i="3"/>
  <c r="B2453" i="3"/>
  <c r="C2453" i="3"/>
  <c r="A2452" i="3"/>
  <c r="B2452" i="3"/>
  <c r="C2452" i="3"/>
  <c r="A2451" i="3"/>
  <c r="B2451" i="3"/>
  <c r="C2451" i="3"/>
  <c r="A2450" i="3"/>
  <c r="B2450" i="3"/>
  <c r="C2450" i="3"/>
  <c r="A2449" i="3"/>
  <c r="B2449" i="3"/>
  <c r="C2449" i="3"/>
  <c r="A2448" i="3"/>
  <c r="B2448" i="3"/>
  <c r="C2448" i="3"/>
  <c r="A2447" i="3"/>
  <c r="B2447" i="3"/>
  <c r="C2447" i="3"/>
  <c r="A2446" i="3"/>
  <c r="B2446" i="3"/>
  <c r="C2446" i="3"/>
  <c r="A2445" i="3"/>
  <c r="B2445" i="3"/>
  <c r="C2445" i="3"/>
  <c r="A2444" i="3"/>
  <c r="B2444" i="3"/>
  <c r="C2444" i="3"/>
  <c r="A2443" i="3"/>
  <c r="B2443" i="3"/>
  <c r="C2443" i="3"/>
  <c r="A2442" i="3"/>
  <c r="B2442" i="3"/>
  <c r="C2442" i="3"/>
  <c r="A2441" i="3"/>
  <c r="B2441" i="3"/>
  <c r="C2441" i="3"/>
  <c r="A2440" i="3"/>
  <c r="B2440" i="3"/>
  <c r="C2440" i="3"/>
  <c r="A2439" i="3"/>
  <c r="B2439" i="3"/>
  <c r="C2439" i="3"/>
  <c r="A2438" i="3"/>
  <c r="B2438" i="3"/>
  <c r="C2438" i="3"/>
  <c r="A2437" i="3"/>
  <c r="B2437" i="3"/>
  <c r="C2437" i="3"/>
  <c r="A2436" i="3"/>
  <c r="B2436" i="3"/>
  <c r="C2436" i="3"/>
  <c r="A2435" i="3"/>
  <c r="B2435" i="3"/>
  <c r="C2435" i="3"/>
  <c r="A2434" i="3"/>
  <c r="B2434" i="3"/>
  <c r="C2434" i="3"/>
  <c r="A2433" i="3"/>
  <c r="B2433" i="3"/>
  <c r="C2433" i="3"/>
  <c r="A2432" i="3"/>
  <c r="B2432" i="3"/>
  <c r="C2432" i="3"/>
  <c r="A2431" i="3"/>
  <c r="B2431" i="3"/>
  <c r="C2431" i="3"/>
  <c r="A2430" i="3"/>
  <c r="B2430" i="3"/>
  <c r="C2430" i="3"/>
  <c r="A2429" i="3"/>
  <c r="B2429" i="3"/>
  <c r="C2429" i="3"/>
  <c r="A2428" i="3"/>
  <c r="B2428" i="3"/>
  <c r="C2428" i="3"/>
  <c r="A2427" i="3"/>
  <c r="B2427" i="3"/>
  <c r="C2427" i="3"/>
  <c r="A2426" i="3"/>
  <c r="B2426" i="3"/>
  <c r="C2426" i="3"/>
  <c r="A2425" i="3"/>
  <c r="B2425" i="3"/>
  <c r="C2425" i="3"/>
  <c r="A2424" i="3"/>
  <c r="B2424" i="3"/>
  <c r="C2424" i="3"/>
  <c r="A2423" i="3"/>
  <c r="B2423" i="3"/>
  <c r="C2423" i="3"/>
  <c r="A2422" i="3"/>
  <c r="B2422" i="3"/>
  <c r="C2422" i="3"/>
  <c r="A2421" i="3"/>
  <c r="B2421" i="3"/>
  <c r="C2421" i="3"/>
  <c r="A2420" i="3"/>
  <c r="B2420" i="3"/>
  <c r="C2420" i="3"/>
  <c r="A2419" i="3"/>
  <c r="B2419" i="3"/>
  <c r="C2419" i="3"/>
  <c r="A2418" i="3"/>
  <c r="B2418" i="3"/>
  <c r="C2418" i="3"/>
  <c r="A2417" i="3"/>
  <c r="B2417" i="3"/>
  <c r="C2417" i="3"/>
  <c r="A2416" i="3"/>
  <c r="B2416" i="3"/>
  <c r="C2416" i="3"/>
  <c r="A2415" i="3"/>
  <c r="B2415" i="3"/>
  <c r="C2415" i="3"/>
  <c r="A2414" i="3"/>
  <c r="B2414" i="3"/>
  <c r="C2414" i="3"/>
  <c r="A2413" i="3"/>
  <c r="B2413" i="3"/>
  <c r="C2413" i="3"/>
  <c r="A2412" i="3"/>
  <c r="B2412" i="3"/>
  <c r="C2412" i="3"/>
  <c r="A2411" i="3"/>
  <c r="B2411" i="3"/>
  <c r="C2411" i="3"/>
  <c r="A2410" i="3"/>
  <c r="B2410" i="3"/>
  <c r="C2410" i="3"/>
  <c r="A2409" i="3"/>
  <c r="B2409" i="3"/>
  <c r="C2409" i="3"/>
  <c r="A2408" i="3"/>
  <c r="B2408" i="3"/>
  <c r="C2408" i="3"/>
  <c r="A2407" i="3"/>
  <c r="B2407" i="3"/>
  <c r="C2407" i="3"/>
  <c r="A2406" i="3"/>
  <c r="B2406" i="3"/>
  <c r="C2406" i="3"/>
  <c r="A2405" i="3"/>
  <c r="B2405" i="3"/>
  <c r="C2405" i="3"/>
  <c r="A2404" i="3"/>
  <c r="B2404" i="3"/>
  <c r="C2404" i="3"/>
  <c r="A2403" i="3"/>
  <c r="B2403" i="3"/>
  <c r="C2403" i="3"/>
  <c r="A2402" i="3"/>
  <c r="B2402" i="3"/>
  <c r="C2402" i="3"/>
  <c r="A2401" i="3"/>
  <c r="B2401" i="3"/>
  <c r="C2401" i="3"/>
  <c r="A2400" i="3"/>
  <c r="B2400" i="3"/>
  <c r="C2400" i="3"/>
  <c r="A2399" i="3"/>
  <c r="B2399" i="3"/>
  <c r="C2399" i="3"/>
  <c r="A2398" i="3"/>
  <c r="B2398" i="3"/>
  <c r="C2398" i="3"/>
  <c r="A2397" i="3"/>
  <c r="B2397" i="3"/>
  <c r="C2397" i="3"/>
  <c r="A2396" i="3"/>
  <c r="B2396" i="3"/>
  <c r="C2396" i="3"/>
  <c r="A2395" i="3"/>
  <c r="B2395" i="3"/>
  <c r="C2395" i="3"/>
  <c r="A2394" i="3"/>
  <c r="B2394" i="3"/>
  <c r="C2394" i="3"/>
  <c r="A2393" i="3"/>
  <c r="B2393" i="3"/>
  <c r="C2393" i="3"/>
  <c r="A2392" i="3"/>
  <c r="B2392" i="3"/>
  <c r="C2392" i="3"/>
  <c r="A2391" i="3"/>
  <c r="B2391" i="3"/>
  <c r="C2391" i="3"/>
  <c r="A2390" i="3"/>
  <c r="B2390" i="3"/>
  <c r="C2390" i="3"/>
  <c r="A2389" i="3"/>
  <c r="B2389" i="3"/>
  <c r="C2389" i="3"/>
  <c r="A2388" i="3"/>
  <c r="B2388" i="3"/>
  <c r="C2388" i="3"/>
  <c r="A2387" i="3"/>
  <c r="B2387" i="3"/>
  <c r="C2387" i="3"/>
  <c r="A2386" i="3"/>
  <c r="B2386" i="3"/>
  <c r="C2386" i="3"/>
  <c r="A2385" i="3"/>
  <c r="B2385" i="3"/>
  <c r="C2385" i="3"/>
  <c r="A2384" i="3"/>
  <c r="B2384" i="3"/>
  <c r="C2384" i="3"/>
  <c r="A2383" i="3"/>
  <c r="B2383" i="3"/>
  <c r="C2383" i="3"/>
  <c r="A2382" i="3"/>
  <c r="B2382" i="3"/>
  <c r="C2382" i="3"/>
  <c r="A2381" i="3"/>
  <c r="B2381" i="3"/>
  <c r="C2381" i="3"/>
  <c r="A2380" i="3"/>
  <c r="B2380" i="3"/>
  <c r="C2380" i="3"/>
  <c r="A2379" i="3"/>
  <c r="B2379" i="3"/>
  <c r="C2379" i="3"/>
  <c r="A2378" i="3"/>
  <c r="B2378" i="3"/>
  <c r="C2378" i="3"/>
  <c r="A2377" i="3"/>
  <c r="B2377" i="3"/>
  <c r="C2377" i="3"/>
  <c r="A2376" i="3"/>
  <c r="B2376" i="3"/>
  <c r="C2376" i="3"/>
  <c r="A2375" i="3"/>
  <c r="B2375" i="3"/>
  <c r="C2375" i="3"/>
  <c r="A2374" i="3"/>
  <c r="B2374" i="3"/>
  <c r="C2374" i="3"/>
  <c r="A2373" i="3"/>
  <c r="B2373" i="3"/>
  <c r="C2373" i="3"/>
  <c r="A2372" i="3"/>
  <c r="B2372" i="3"/>
  <c r="C2372" i="3"/>
  <c r="A2371" i="3"/>
  <c r="B2371" i="3"/>
  <c r="C2371" i="3"/>
  <c r="A2370" i="3"/>
  <c r="B2370" i="3"/>
  <c r="C2370" i="3"/>
  <c r="A2369" i="3"/>
  <c r="B2369" i="3"/>
  <c r="C2369" i="3"/>
  <c r="A2368" i="3"/>
  <c r="B2368" i="3"/>
  <c r="C2368" i="3"/>
  <c r="A2367" i="3"/>
  <c r="B2367" i="3"/>
  <c r="C2367" i="3"/>
  <c r="A2366" i="3"/>
  <c r="B2366" i="3"/>
  <c r="C2366" i="3"/>
  <c r="A2365" i="3"/>
  <c r="B2365" i="3"/>
  <c r="C2365" i="3"/>
  <c r="A2364" i="3"/>
  <c r="B2364" i="3"/>
  <c r="C2364" i="3"/>
  <c r="A2363" i="3"/>
  <c r="B2363" i="3"/>
  <c r="C2363" i="3"/>
  <c r="A2362" i="3"/>
  <c r="B2362" i="3"/>
  <c r="C2362" i="3"/>
  <c r="A2361" i="3"/>
  <c r="B2361" i="3"/>
  <c r="C2361" i="3"/>
  <c r="A2360" i="3"/>
  <c r="B2360" i="3"/>
  <c r="C2360" i="3"/>
  <c r="A2359" i="3"/>
  <c r="B2359" i="3"/>
  <c r="C2359" i="3"/>
  <c r="A2358" i="3"/>
  <c r="B2358" i="3"/>
  <c r="C2358" i="3"/>
  <c r="A2357" i="3"/>
  <c r="B2357" i="3"/>
  <c r="C2357" i="3"/>
  <c r="A2356" i="3"/>
  <c r="B2356" i="3"/>
  <c r="C2356" i="3"/>
  <c r="A2355" i="3"/>
  <c r="B2355" i="3"/>
  <c r="C2355" i="3"/>
  <c r="A2354" i="3"/>
  <c r="B2354" i="3"/>
  <c r="C2354" i="3"/>
  <c r="A2353" i="3"/>
  <c r="B2353" i="3"/>
  <c r="C2353" i="3"/>
  <c r="A2352" i="3"/>
  <c r="B2352" i="3"/>
  <c r="C2352" i="3"/>
  <c r="A2351" i="3"/>
  <c r="B2351" i="3"/>
  <c r="C2351" i="3"/>
  <c r="A2350" i="3"/>
  <c r="B2350" i="3"/>
  <c r="C2350" i="3"/>
  <c r="A2349" i="3"/>
  <c r="B2349" i="3"/>
  <c r="C2349" i="3"/>
  <c r="A2348" i="3"/>
  <c r="B2348" i="3"/>
  <c r="C2348" i="3"/>
  <c r="A2347" i="3"/>
  <c r="B2347" i="3"/>
  <c r="C2347" i="3"/>
  <c r="A2346" i="3"/>
  <c r="B2346" i="3"/>
  <c r="C2346" i="3"/>
  <c r="A2345" i="3"/>
  <c r="B2345" i="3"/>
  <c r="C2345" i="3"/>
  <c r="A2344" i="3"/>
  <c r="B2344" i="3"/>
  <c r="C2344" i="3"/>
  <c r="A2343" i="3"/>
  <c r="B2343" i="3"/>
  <c r="C2343" i="3"/>
  <c r="A2342" i="3"/>
  <c r="B2342" i="3"/>
  <c r="C2342" i="3"/>
  <c r="A2341" i="3"/>
  <c r="B2341" i="3"/>
  <c r="C2341" i="3"/>
  <c r="A2340" i="3"/>
  <c r="B2340" i="3"/>
  <c r="C2340" i="3"/>
  <c r="A2339" i="3"/>
  <c r="B2339" i="3"/>
  <c r="C2339" i="3"/>
  <c r="A2338" i="3"/>
  <c r="B2338" i="3"/>
  <c r="C2338" i="3"/>
  <c r="A2337" i="3"/>
  <c r="B2337" i="3"/>
  <c r="C2337" i="3"/>
  <c r="A2336" i="3"/>
  <c r="B2336" i="3"/>
  <c r="C2336" i="3"/>
  <c r="A2335" i="3"/>
  <c r="B2335" i="3"/>
  <c r="C2335" i="3"/>
  <c r="A2334" i="3"/>
  <c r="B2334" i="3"/>
  <c r="C2334" i="3"/>
  <c r="A2333" i="3"/>
  <c r="B2333" i="3"/>
  <c r="C2333" i="3"/>
  <c r="A2332" i="3"/>
  <c r="B2332" i="3"/>
  <c r="C2332" i="3"/>
  <c r="A2331" i="3"/>
  <c r="B2331" i="3"/>
  <c r="C2331" i="3"/>
  <c r="A2330" i="3"/>
  <c r="B2330" i="3"/>
  <c r="C2330" i="3"/>
  <c r="A2329" i="3"/>
  <c r="B2329" i="3"/>
  <c r="C2329" i="3"/>
  <c r="A2328" i="3"/>
  <c r="B2328" i="3"/>
  <c r="C2328" i="3"/>
  <c r="A2327" i="3"/>
  <c r="B2327" i="3"/>
  <c r="C2327" i="3"/>
  <c r="A2326" i="3"/>
  <c r="B2326" i="3"/>
  <c r="C2326" i="3"/>
  <c r="A2325" i="3"/>
  <c r="B2325" i="3"/>
  <c r="C2325" i="3"/>
  <c r="A2324" i="3"/>
  <c r="B2324" i="3"/>
  <c r="C2324" i="3"/>
  <c r="A2323" i="3"/>
  <c r="B2323" i="3"/>
  <c r="C2323" i="3"/>
  <c r="A2322" i="3"/>
  <c r="B2322" i="3"/>
  <c r="C2322" i="3"/>
  <c r="A2321" i="3"/>
  <c r="B2321" i="3"/>
  <c r="C2321" i="3"/>
  <c r="A2320" i="3"/>
  <c r="B2320" i="3"/>
  <c r="C2320" i="3"/>
  <c r="A2319" i="3"/>
  <c r="B2319" i="3"/>
  <c r="C2319" i="3"/>
  <c r="A2318" i="3"/>
  <c r="B2318" i="3"/>
  <c r="C2318" i="3"/>
  <c r="A2317" i="3"/>
  <c r="B2317" i="3"/>
  <c r="C2317" i="3"/>
  <c r="A2316" i="3"/>
  <c r="B2316" i="3"/>
  <c r="C2316" i="3"/>
  <c r="A2315" i="3"/>
  <c r="B2315" i="3"/>
  <c r="C2315" i="3"/>
  <c r="A2314" i="3"/>
  <c r="B2314" i="3"/>
  <c r="C2314" i="3"/>
  <c r="A2313" i="3"/>
  <c r="B2313" i="3"/>
  <c r="C2313" i="3"/>
  <c r="A2312" i="3"/>
  <c r="B2312" i="3"/>
  <c r="C2312" i="3"/>
  <c r="A2311" i="3"/>
  <c r="B2311" i="3"/>
  <c r="C2311" i="3"/>
  <c r="A2310" i="3"/>
  <c r="B2310" i="3"/>
  <c r="C2310" i="3"/>
  <c r="A2309" i="3"/>
  <c r="B2309" i="3"/>
  <c r="C2309" i="3"/>
  <c r="A2308" i="3"/>
  <c r="B2308" i="3"/>
  <c r="C2308" i="3"/>
  <c r="A2307" i="3"/>
  <c r="B2307" i="3"/>
  <c r="C2307" i="3"/>
  <c r="A2306" i="3"/>
  <c r="B2306" i="3"/>
  <c r="C2306" i="3"/>
  <c r="A2305" i="3"/>
  <c r="B2305" i="3"/>
  <c r="C2305" i="3"/>
  <c r="A2304" i="3"/>
  <c r="B2304" i="3"/>
  <c r="C2304" i="3"/>
  <c r="A2303" i="3"/>
  <c r="B2303" i="3"/>
  <c r="C2303" i="3"/>
  <c r="A2302" i="3"/>
  <c r="B2302" i="3"/>
  <c r="C2302" i="3"/>
  <c r="A2301" i="3"/>
  <c r="B2301" i="3"/>
  <c r="C2301" i="3"/>
  <c r="A2300" i="3"/>
  <c r="B2300" i="3"/>
  <c r="C2300" i="3"/>
  <c r="A2299" i="3"/>
  <c r="B2299" i="3"/>
  <c r="C2299" i="3"/>
  <c r="A2298" i="3"/>
  <c r="B2298" i="3"/>
  <c r="C2298" i="3"/>
  <c r="A2297" i="3"/>
  <c r="B2297" i="3"/>
  <c r="C2297" i="3"/>
  <c r="A2296" i="3"/>
  <c r="B2296" i="3"/>
  <c r="C2296" i="3"/>
  <c r="A2295" i="3"/>
  <c r="B2295" i="3"/>
  <c r="C2295" i="3"/>
  <c r="A2294" i="3"/>
  <c r="B2294" i="3"/>
  <c r="C2294" i="3"/>
  <c r="A2293" i="3"/>
  <c r="B2293" i="3"/>
  <c r="C2293" i="3"/>
  <c r="A2292" i="3"/>
  <c r="B2292" i="3"/>
  <c r="C2292" i="3"/>
  <c r="A2291" i="3"/>
  <c r="B2291" i="3"/>
  <c r="C2291" i="3"/>
  <c r="A2290" i="3"/>
  <c r="B2290" i="3"/>
  <c r="C2290" i="3"/>
  <c r="A2289" i="3"/>
  <c r="B2289" i="3"/>
  <c r="C2289" i="3"/>
  <c r="A2288" i="3"/>
  <c r="B2288" i="3"/>
  <c r="C2288" i="3"/>
  <c r="A2287" i="3"/>
  <c r="B2287" i="3"/>
  <c r="C2287" i="3"/>
  <c r="A2286" i="3"/>
  <c r="B2286" i="3"/>
  <c r="C2286" i="3"/>
  <c r="A2285" i="3"/>
  <c r="B2285" i="3"/>
  <c r="C2285" i="3"/>
  <c r="A2284" i="3"/>
  <c r="B2284" i="3"/>
  <c r="C2284" i="3"/>
  <c r="A2283" i="3"/>
  <c r="B2283" i="3"/>
  <c r="C2283" i="3"/>
  <c r="A2282" i="3"/>
  <c r="B2282" i="3"/>
  <c r="C2282" i="3"/>
  <c r="A2281" i="3"/>
  <c r="B2281" i="3"/>
  <c r="C2281" i="3"/>
  <c r="A2280" i="3"/>
  <c r="B2280" i="3"/>
  <c r="C2280" i="3"/>
  <c r="A2279" i="3"/>
  <c r="B2279" i="3"/>
  <c r="C2279" i="3"/>
  <c r="A2278" i="3"/>
  <c r="B2278" i="3"/>
  <c r="C2278" i="3"/>
  <c r="A2277" i="3"/>
  <c r="B2277" i="3"/>
  <c r="C2277" i="3"/>
  <c r="A2276" i="3"/>
  <c r="B2276" i="3"/>
  <c r="C2276" i="3"/>
  <c r="A2275" i="3"/>
  <c r="B2275" i="3"/>
  <c r="C2275" i="3"/>
  <c r="A2274" i="3"/>
  <c r="B2274" i="3"/>
  <c r="C2274" i="3"/>
  <c r="A2273" i="3"/>
  <c r="B2273" i="3"/>
  <c r="C2273" i="3"/>
  <c r="A2272" i="3"/>
  <c r="B2272" i="3"/>
  <c r="C2272" i="3"/>
  <c r="A2271" i="3"/>
  <c r="B2271" i="3"/>
  <c r="C2271" i="3"/>
  <c r="A2270" i="3"/>
  <c r="B2270" i="3"/>
  <c r="C2270" i="3"/>
  <c r="A2269" i="3"/>
  <c r="B2269" i="3"/>
  <c r="C2269" i="3"/>
  <c r="A2268" i="3"/>
  <c r="B2268" i="3"/>
  <c r="C2268" i="3"/>
  <c r="A2267" i="3"/>
  <c r="B2267" i="3"/>
  <c r="C2267" i="3"/>
  <c r="A2266" i="3"/>
  <c r="B2266" i="3"/>
  <c r="C2266" i="3"/>
  <c r="A2265" i="3"/>
  <c r="B2265" i="3"/>
  <c r="C2265" i="3"/>
  <c r="A2264" i="3"/>
  <c r="B2264" i="3"/>
  <c r="C2264" i="3"/>
  <c r="A2263" i="3"/>
  <c r="B2263" i="3"/>
  <c r="C2263" i="3"/>
  <c r="A2262" i="3"/>
  <c r="B2262" i="3"/>
  <c r="C2262" i="3"/>
  <c r="A2261" i="3"/>
  <c r="B2261" i="3"/>
  <c r="C2261" i="3"/>
  <c r="A2260" i="3"/>
  <c r="B2260" i="3"/>
  <c r="C2260" i="3"/>
  <c r="A2259" i="3"/>
  <c r="B2259" i="3"/>
  <c r="C2259" i="3"/>
  <c r="A2258" i="3"/>
  <c r="B2258" i="3"/>
  <c r="C2258" i="3"/>
  <c r="A2257" i="3"/>
  <c r="B2257" i="3"/>
  <c r="C2257" i="3"/>
  <c r="A2256" i="3"/>
  <c r="B2256" i="3"/>
  <c r="C2256" i="3"/>
  <c r="A2255" i="3"/>
  <c r="B2255" i="3"/>
  <c r="C2255" i="3"/>
  <c r="A2254" i="3"/>
  <c r="B2254" i="3"/>
  <c r="C2254" i="3"/>
  <c r="A2253" i="3"/>
  <c r="B2253" i="3"/>
  <c r="C2253" i="3"/>
  <c r="A2252" i="3"/>
  <c r="B2252" i="3"/>
  <c r="C2252" i="3"/>
  <c r="A2251" i="3"/>
  <c r="B2251" i="3"/>
  <c r="C2251" i="3"/>
  <c r="A2250" i="3"/>
  <c r="B2250" i="3"/>
  <c r="C2250" i="3"/>
  <c r="A2249" i="3"/>
  <c r="B2249" i="3"/>
  <c r="C2249" i="3"/>
  <c r="A2248" i="3"/>
  <c r="B2248" i="3"/>
  <c r="C2248" i="3"/>
  <c r="A2247" i="3"/>
  <c r="B2247" i="3"/>
  <c r="C2247" i="3"/>
  <c r="A2246" i="3"/>
  <c r="B2246" i="3"/>
  <c r="C2246" i="3"/>
  <c r="A2245" i="3"/>
  <c r="B2245" i="3"/>
  <c r="C2245" i="3"/>
  <c r="A2244" i="3"/>
  <c r="B2244" i="3"/>
  <c r="C2244" i="3"/>
  <c r="A2243" i="3"/>
  <c r="B2243" i="3"/>
  <c r="C2243" i="3"/>
  <c r="A2242" i="3"/>
  <c r="B2242" i="3"/>
  <c r="C2242" i="3"/>
  <c r="A2241" i="3"/>
  <c r="B2241" i="3"/>
  <c r="C2241" i="3"/>
  <c r="A2240" i="3"/>
  <c r="B2240" i="3"/>
  <c r="C2240" i="3"/>
  <c r="A2239" i="3"/>
  <c r="B2239" i="3"/>
  <c r="C2239" i="3"/>
  <c r="A2238" i="3"/>
  <c r="B2238" i="3"/>
  <c r="C2238" i="3"/>
  <c r="A2237" i="3"/>
  <c r="B2237" i="3"/>
  <c r="C2237" i="3"/>
  <c r="A2236" i="3"/>
  <c r="B2236" i="3"/>
  <c r="C2236" i="3"/>
  <c r="A2235" i="3"/>
  <c r="B2235" i="3"/>
  <c r="C2235" i="3"/>
  <c r="A2234" i="3"/>
  <c r="B2234" i="3"/>
  <c r="C2234" i="3"/>
  <c r="A2233" i="3"/>
  <c r="B2233" i="3"/>
  <c r="C2233" i="3"/>
  <c r="A2232" i="3"/>
  <c r="B2232" i="3"/>
  <c r="C2232" i="3"/>
  <c r="A2231" i="3"/>
  <c r="B2231" i="3"/>
  <c r="C2231" i="3"/>
  <c r="A2230" i="3"/>
  <c r="B2230" i="3"/>
  <c r="C2230" i="3"/>
  <c r="A2229" i="3"/>
  <c r="B2229" i="3"/>
  <c r="C2229" i="3"/>
  <c r="A2228" i="3"/>
  <c r="B2228" i="3"/>
  <c r="C2228" i="3"/>
  <c r="A2227" i="3"/>
  <c r="B2227" i="3"/>
  <c r="C2227" i="3"/>
  <c r="A2226" i="3"/>
  <c r="B2226" i="3"/>
  <c r="C2226" i="3"/>
  <c r="A2225" i="3"/>
  <c r="B2225" i="3"/>
  <c r="C2225" i="3"/>
  <c r="A2224" i="3"/>
  <c r="B2224" i="3"/>
  <c r="C2224" i="3"/>
  <c r="A2223" i="3"/>
  <c r="B2223" i="3"/>
  <c r="C2223" i="3"/>
  <c r="A2222" i="3"/>
  <c r="B2222" i="3"/>
  <c r="C2222" i="3"/>
  <c r="A2221" i="3"/>
  <c r="B2221" i="3"/>
  <c r="C2221" i="3"/>
  <c r="A2220" i="3"/>
  <c r="B2220" i="3"/>
  <c r="C2220" i="3"/>
  <c r="A2219" i="3"/>
  <c r="B2219" i="3"/>
  <c r="C2219" i="3"/>
  <c r="A2218" i="3"/>
  <c r="B2218" i="3"/>
  <c r="C2218" i="3"/>
  <c r="A2217" i="3"/>
  <c r="B2217" i="3"/>
  <c r="C2217" i="3"/>
  <c r="A2216" i="3"/>
  <c r="B2216" i="3"/>
  <c r="C2216" i="3"/>
  <c r="A2215" i="3"/>
  <c r="B2215" i="3"/>
  <c r="C2215" i="3"/>
  <c r="A2214" i="3"/>
  <c r="B2214" i="3"/>
  <c r="C2214" i="3"/>
  <c r="A2213" i="3"/>
  <c r="B2213" i="3"/>
  <c r="C2213" i="3"/>
  <c r="A2212" i="3"/>
  <c r="B2212" i="3"/>
  <c r="C2212" i="3"/>
  <c r="A2211" i="3"/>
  <c r="B2211" i="3"/>
  <c r="C2211" i="3"/>
  <c r="A2210" i="3"/>
  <c r="B2210" i="3"/>
  <c r="C2210" i="3"/>
  <c r="A2209" i="3"/>
  <c r="B2209" i="3"/>
  <c r="C2209" i="3"/>
  <c r="A2208" i="3"/>
  <c r="B2208" i="3"/>
  <c r="C2208" i="3"/>
  <c r="A2207" i="3"/>
  <c r="B2207" i="3"/>
  <c r="C2207" i="3"/>
  <c r="A2206" i="3"/>
  <c r="B2206" i="3"/>
  <c r="C2206" i="3"/>
  <c r="A2205" i="3"/>
  <c r="B2205" i="3"/>
  <c r="C2205" i="3"/>
  <c r="A2204" i="3"/>
  <c r="B2204" i="3"/>
  <c r="C2204" i="3"/>
  <c r="A2203" i="3"/>
  <c r="B2203" i="3"/>
  <c r="C2203" i="3"/>
  <c r="A2202" i="3"/>
  <c r="B2202" i="3"/>
  <c r="C2202" i="3"/>
  <c r="A2201" i="3"/>
  <c r="B2201" i="3"/>
  <c r="C2201" i="3"/>
  <c r="A2200" i="3"/>
  <c r="B2200" i="3"/>
  <c r="C2200" i="3"/>
  <c r="A2199" i="3"/>
  <c r="B2199" i="3"/>
  <c r="C2199" i="3"/>
  <c r="A2198" i="3"/>
  <c r="B2198" i="3"/>
  <c r="C2198" i="3"/>
  <c r="A2197" i="3"/>
  <c r="B2197" i="3"/>
  <c r="C2197" i="3"/>
  <c r="A2196" i="3"/>
  <c r="B2196" i="3"/>
  <c r="C2196" i="3"/>
  <c r="A2195" i="3"/>
  <c r="B2195" i="3"/>
  <c r="C2195" i="3"/>
  <c r="A2194" i="3"/>
  <c r="B2194" i="3"/>
  <c r="C2194" i="3"/>
  <c r="A2193" i="3"/>
  <c r="B2193" i="3"/>
  <c r="C2193" i="3"/>
  <c r="A2192" i="3"/>
  <c r="B2192" i="3"/>
  <c r="C2192" i="3"/>
  <c r="A2191" i="3"/>
  <c r="B2191" i="3"/>
  <c r="C2191" i="3"/>
  <c r="A2190" i="3"/>
  <c r="B2190" i="3"/>
  <c r="C2190" i="3"/>
  <c r="A2189" i="3"/>
  <c r="B2189" i="3"/>
  <c r="C2189" i="3"/>
  <c r="A2188" i="3"/>
  <c r="B2188" i="3"/>
  <c r="C2188" i="3"/>
  <c r="A2187" i="3"/>
  <c r="B2187" i="3"/>
  <c r="C2187" i="3"/>
  <c r="A2186" i="3"/>
  <c r="B2186" i="3"/>
  <c r="C2186" i="3"/>
  <c r="A2185" i="3"/>
  <c r="B2185" i="3"/>
  <c r="C2185" i="3"/>
  <c r="A2184" i="3"/>
  <c r="B2184" i="3"/>
  <c r="C2184" i="3"/>
  <c r="A2183" i="3"/>
  <c r="B2183" i="3"/>
  <c r="C2183" i="3"/>
  <c r="A2182" i="3"/>
  <c r="B2182" i="3"/>
  <c r="C2182" i="3"/>
  <c r="A2181" i="3"/>
  <c r="B2181" i="3"/>
  <c r="C2181" i="3"/>
  <c r="A2180" i="3"/>
  <c r="B2180" i="3"/>
  <c r="C2180" i="3"/>
  <c r="A2179" i="3"/>
  <c r="B2179" i="3"/>
  <c r="C2179" i="3"/>
  <c r="A2178" i="3"/>
  <c r="B2178" i="3"/>
  <c r="C2178" i="3"/>
  <c r="A2177" i="3"/>
  <c r="B2177" i="3"/>
  <c r="C2177" i="3"/>
  <c r="A2176" i="3"/>
  <c r="B2176" i="3"/>
  <c r="C2176" i="3"/>
  <c r="A2175" i="3"/>
  <c r="B2175" i="3"/>
  <c r="C2175" i="3"/>
  <c r="A2174" i="3"/>
  <c r="B2174" i="3"/>
  <c r="C2174" i="3"/>
  <c r="A2173" i="3"/>
  <c r="B2173" i="3"/>
  <c r="C2173" i="3"/>
  <c r="A2172" i="3"/>
  <c r="B2172" i="3"/>
  <c r="C2172" i="3"/>
  <c r="A2171" i="3"/>
  <c r="B2171" i="3"/>
  <c r="C2171" i="3"/>
  <c r="A2170" i="3"/>
  <c r="B2170" i="3"/>
  <c r="C2170" i="3"/>
  <c r="A2169" i="3"/>
  <c r="B2169" i="3"/>
  <c r="C2169" i="3"/>
  <c r="A2168" i="3"/>
  <c r="B2168" i="3"/>
  <c r="C2168" i="3"/>
  <c r="A2167" i="3"/>
  <c r="B2167" i="3"/>
  <c r="C2167" i="3"/>
  <c r="A2166" i="3"/>
  <c r="B2166" i="3"/>
  <c r="C2166" i="3"/>
  <c r="A2165" i="3"/>
  <c r="B2165" i="3"/>
  <c r="C2165" i="3"/>
  <c r="A2164" i="3"/>
  <c r="B2164" i="3"/>
  <c r="C2164" i="3"/>
  <c r="A2163" i="3"/>
  <c r="B2163" i="3"/>
  <c r="C2163" i="3"/>
  <c r="A2162" i="3"/>
  <c r="B2162" i="3"/>
  <c r="C2162" i="3"/>
  <c r="A2161" i="3"/>
  <c r="B2161" i="3"/>
  <c r="C2161" i="3"/>
  <c r="A2160" i="3"/>
  <c r="B2160" i="3"/>
  <c r="C2160" i="3"/>
  <c r="A2159" i="3"/>
  <c r="B2159" i="3"/>
  <c r="C2159" i="3"/>
  <c r="A2158" i="3"/>
  <c r="B2158" i="3"/>
  <c r="C2158" i="3"/>
  <c r="A2157" i="3"/>
  <c r="B2157" i="3"/>
  <c r="C2157" i="3"/>
  <c r="A2156" i="3"/>
  <c r="B2156" i="3"/>
  <c r="C2156" i="3"/>
  <c r="A2155" i="3"/>
  <c r="B2155" i="3"/>
  <c r="C2155" i="3"/>
  <c r="A2154" i="3"/>
  <c r="B2154" i="3"/>
  <c r="C2154" i="3"/>
  <c r="A2153" i="3"/>
  <c r="B2153" i="3"/>
  <c r="C2153" i="3"/>
  <c r="A2152" i="3"/>
  <c r="B2152" i="3"/>
  <c r="C2152" i="3"/>
  <c r="A2151" i="3"/>
  <c r="B2151" i="3"/>
  <c r="C2151" i="3"/>
  <c r="A2150" i="3"/>
  <c r="B2150" i="3"/>
  <c r="C2150" i="3"/>
  <c r="A2149" i="3"/>
  <c r="B2149" i="3"/>
  <c r="C2149" i="3"/>
  <c r="A2148" i="3"/>
  <c r="B2148" i="3"/>
  <c r="C2148" i="3"/>
  <c r="A2147" i="3"/>
  <c r="B2147" i="3"/>
  <c r="C2147" i="3"/>
  <c r="A2146" i="3"/>
  <c r="B2146" i="3"/>
  <c r="C2146" i="3"/>
  <c r="A2145" i="3"/>
  <c r="B2145" i="3"/>
  <c r="C2145" i="3"/>
  <c r="A2144" i="3"/>
  <c r="B2144" i="3"/>
  <c r="C2144" i="3"/>
  <c r="A2143" i="3"/>
  <c r="B2143" i="3"/>
  <c r="C2143" i="3"/>
  <c r="A2142" i="3"/>
  <c r="B2142" i="3"/>
  <c r="C2142" i="3"/>
  <c r="A2141" i="3"/>
  <c r="B2141" i="3"/>
  <c r="C2141" i="3"/>
  <c r="A2140" i="3"/>
  <c r="B2140" i="3"/>
  <c r="C2140" i="3"/>
  <c r="A2139" i="3"/>
  <c r="B2139" i="3"/>
  <c r="C2139" i="3"/>
  <c r="A2138" i="3"/>
  <c r="B2138" i="3"/>
  <c r="C2138" i="3"/>
  <c r="A2137" i="3"/>
  <c r="B2137" i="3"/>
  <c r="C2137" i="3"/>
  <c r="A2136" i="3"/>
  <c r="B2136" i="3"/>
  <c r="C2136" i="3"/>
  <c r="A2135" i="3"/>
  <c r="B2135" i="3"/>
  <c r="C2135" i="3"/>
  <c r="A2134" i="3"/>
  <c r="B2134" i="3"/>
  <c r="C2134" i="3"/>
  <c r="A2133" i="3"/>
  <c r="B2133" i="3"/>
  <c r="C2133" i="3"/>
  <c r="A2132" i="3"/>
  <c r="B2132" i="3"/>
  <c r="C2132" i="3"/>
  <c r="A2131" i="3"/>
  <c r="B2131" i="3"/>
  <c r="C2131" i="3"/>
  <c r="A2130" i="3"/>
  <c r="B2130" i="3"/>
  <c r="C2130" i="3"/>
  <c r="A2129" i="3"/>
  <c r="B2129" i="3"/>
  <c r="C2129" i="3"/>
  <c r="A2128" i="3"/>
  <c r="B2128" i="3"/>
  <c r="C2128" i="3"/>
  <c r="A2127" i="3"/>
  <c r="B2127" i="3"/>
  <c r="C2127" i="3"/>
  <c r="A2126" i="3"/>
  <c r="B2126" i="3"/>
  <c r="C2126" i="3"/>
  <c r="A2125" i="3"/>
  <c r="B2125" i="3"/>
  <c r="C2125" i="3"/>
  <c r="A2124" i="3"/>
  <c r="B2124" i="3"/>
  <c r="C2124" i="3"/>
  <c r="A2123" i="3"/>
  <c r="B2123" i="3"/>
  <c r="C2123" i="3"/>
  <c r="A2122" i="3"/>
  <c r="B2122" i="3"/>
  <c r="C2122" i="3"/>
  <c r="A2121" i="3"/>
  <c r="B2121" i="3"/>
  <c r="C2121" i="3"/>
  <c r="A2120" i="3"/>
  <c r="B2120" i="3"/>
  <c r="C2120" i="3"/>
  <c r="A2119" i="3"/>
  <c r="B2119" i="3"/>
  <c r="C2119" i="3"/>
  <c r="A2118" i="3"/>
  <c r="B2118" i="3"/>
  <c r="C2118" i="3"/>
  <c r="A2117" i="3"/>
  <c r="B2117" i="3"/>
  <c r="C2117" i="3"/>
  <c r="A2116" i="3"/>
  <c r="B2116" i="3"/>
  <c r="C2116" i="3"/>
  <c r="A2115" i="3"/>
  <c r="B2115" i="3"/>
  <c r="C2115" i="3"/>
  <c r="A2114" i="3"/>
  <c r="B2114" i="3"/>
  <c r="C2114" i="3"/>
  <c r="A2113" i="3"/>
  <c r="B2113" i="3"/>
  <c r="C2113" i="3"/>
  <c r="A2112" i="3"/>
  <c r="B2112" i="3"/>
  <c r="C2112" i="3"/>
  <c r="A2111" i="3"/>
  <c r="B2111" i="3"/>
  <c r="C2111" i="3"/>
  <c r="A2110" i="3"/>
  <c r="B2110" i="3"/>
  <c r="C2110" i="3"/>
  <c r="A2109" i="3"/>
  <c r="B2109" i="3"/>
  <c r="C2109" i="3"/>
  <c r="A2108" i="3"/>
  <c r="B2108" i="3"/>
  <c r="C2108" i="3"/>
  <c r="A2107" i="3"/>
  <c r="B2107" i="3"/>
  <c r="C2107" i="3"/>
  <c r="A2106" i="3"/>
  <c r="B2106" i="3"/>
  <c r="C2106" i="3"/>
  <c r="A2105" i="3"/>
  <c r="B2105" i="3"/>
  <c r="C2105" i="3"/>
  <c r="A2104" i="3"/>
  <c r="B2104" i="3"/>
  <c r="C2104" i="3"/>
  <c r="A2103" i="3"/>
  <c r="B2103" i="3"/>
  <c r="C2103" i="3"/>
  <c r="A2102" i="3"/>
  <c r="B2102" i="3"/>
  <c r="C2102" i="3"/>
  <c r="A2101" i="3"/>
  <c r="B2101" i="3"/>
  <c r="C2101" i="3"/>
  <c r="A2100" i="3"/>
  <c r="B2100" i="3"/>
  <c r="C2100" i="3"/>
  <c r="A2099" i="3"/>
  <c r="B2099" i="3"/>
  <c r="C2099" i="3"/>
  <c r="A2098" i="3"/>
  <c r="B2098" i="3"/>
  <c r="C2098" i="3"/>
  <c r="A2097" i="3"/>
  <c r="B2097" i="3"/>
  <c r="C2097" i="3"/>
  <c r="A2096" i="3"/>
  <c r="B2096" i="3"/>
  <c r="C2096" i="3"/>
  <c r="A2095" i="3"/>
  <c r="B2095" i="3"/>
  <c r="C2095" i="3"/>
  <c r="A2094" i="3"/>
  <c r="B2094" i="3"/>
  <c r="C2094" i="3"/>
  <c r="A2093" i="3"/>
  <c r="B2093" i="3"/>
  <c r="C2093" i="3"/>
  <c r="A2092" i="3"/>
  <c r="B2092" i="3"/>
  <c r="C2092" i="3"/>
  <c r="A2091" i="3"/>
  <c r="B2091" i="3"/>
  <c r="C2091" i="3"/>
  <c r="A2090" i="3"/>
  <c r="B2090" i="3"/>
  <c r="C2090" i="3"/>
  <c r="A2089" i="3"/>
  <c r="B2089" i="3"/>
  <c r="C2089" i="3"/>
  <c r="A2088" i="3"/>
  <c r="B2088" i="3"/>
  <c r="C2088" i="3"/>
  <c r="A2087" i="3"/>
  <c r="B2087" i="3"/>
  <c r="C2087" i="3"/>
  <c r="A2086" i="3"/>
  <c r="B2086" i="3"/>
  <c r="C2086" i="3"/>
  <c r="A2085" i="3"/>
  <c r="B2085" i="3"/>
  <c r="C2085" i="3"/>
  <c r="A2084" i="3"/>
  <c r="B2084" i="3"/>
  <c r="C2084" i="3"/>
  <c r="A2083" i="3"/>
  <c r="B2083" i="3"/>
  <c r="C2083" i="3"/>
  <c r="A2082" i="3"/>
  <c r="B2082" i="3"/>
  <c r="C2082" i="3"/>
  <c r="A2081" i="3"/>
  <c r="B2081" i="3"/>
  <c r="C2081" i="3"/>
  <c r="A2080" i="3"/>
  <c r="B2080" i="3"/>
  <c r="C2080" i="3"/>
  <c r="A2079" i="3"/>
  <c r="B2079" i="3"/>
  <c r="C2079" i="3"/>
  <c r="A2078" i="3"/>
  <c r="B2078" i="3"/>
  <c r="C2078" i="3"/>
  <c r="A2077" i="3"/>
  <c r="B2077" i="3"/>
  <c r="C2077" i="3"/>
  <c r="A2076" i="3"/>
  <c r="B2076" i="3"/>
  <c r="C2076" i="3"/>
  <c r="A2075" i="3"/>
  <c r="B2075" i="3"/>
  <c r="C2075" i="3"/>
  <c r="A2074" i="3"/>
  <c r="B2074" i="3"/>
  <c r="C2074" i="3"/>
  <c r="A2073" i="3"/>
  <c r="B2073" i="3"/>
  <c r="C2073" i="3"/>
  <c r="A2072" i="3"/>
  <c r="B2072" i="3"/>
  <c r="C2072" i="3"/>
  <c r="A2071" i="3"/>
  <c r="B2071" i="3"/>
  <c r="C2071" i="3"/>
  <c r="A2070" i="3"/>
  <c r="B2070" i="3"/>
  <c r="C2070" i="3"/>
  <c r="A2069" i="3"/>
  <c r="B2069" i="3"/>
  <c r="C2069" i="3"/>
  <c r="A2068" i="3"/>
  <c r="B2068" i="3"/>
  <c r="C2068" i="3"/>
  <c r="A2067" i="3"/>
  <c r="B2067" i="3"/>
  <c r="C2067" i="3"/>
  <c r="A2066" i="3"/>
  <c r="B2066" i="3"/>
  <c r="C2066" i="3"/>
  <c r="A2065" i="3"/>
  <c r="B2065" i="3"/>
  <c r="C2065" i="3"/>
  <c r="A2064" i="3"/>
  <c r="B2064" i="3"/>
  <c r="C2064" i="3"/>
  <c r="A2063" i="3"/>
  <c r="B2063" i="3"/>
  <c r="C2063" i="3"/>
  <c r="A2062" i="3"/>
  <c r="B2062" i="3"/>
  <c r="C2062" i="3"/>
  <c r="A2061" i="3"/>
  <c r="B2061" i="3"/>
  <c r="C2061" i="3"/>
  <c r="A2060" i="3"/>
  <c r="B2060" i="3"/>
  <c r="C2060" i="3"/>
  <c r="A2059" i="3"/>
  <c r="B2059" i="3"/>
  <c r="C2059" i="3"/>
  <c r="A2058" i="3"/>
  <c r="B2058" i="3"/>
  <c r="C2058" i="3"/>
  <c r="A2057" i="3"/>
  <c r="B2057" i="3"/>
  <c r="C2057" i="3"/>
  <c r="A2056" i="3"/>
  <c r="B2056" i="3"/>
  <c r="C2056" i="3"/>
  <c r="A2055" i="3"/>
  <c r="B2055" i="3"/>
  <c r="C2055" i="3"/>
  <c r="A2054" i="3"/>
  <c r="B2054" i="3"/>
  <c r="C2054" i="3"/>
  <c r="A2053" i="3"/>
  <c r="B2053" i="3"/>
  <c r="C2053" i="3"/>
  <c r="A2052" i="3"/>
  <c r="B2052" i="3"/>
  <c r="C2052" i="3"/>
  <c r="A2051" i="3"/>
  <c r="B2051" i="3"/>
  <c r="C2051" i="3"/>
  <c r="A2050" i="3"/>
  <c r="B2050" i="3"/>
  <c r="C2050" i="3"/>
  <c r="A2049" i="3"/>
  <c r="B2049" i="3"/>
  <c r="C2049" i="3"/>
  <c r="A2048" i="3"/>
  <c r="B2048" i="3"/>
  <c r="C2048" i="3"/>
  <c r="A2047" i="3"/>
  <c r="B2047" i="3"/>
  <c r="C2047" i="3"/>
  <c r="A2046" i="3"/>
  <c r="B2046" i="3"/>
  <c r="C2046" i="3"/>
  <c r="A2045" i="3"/>
  <c r="B2045" i="3"/>
  <c r="C2045" i="3"/>
  <c r="A2044" i="3"/>
  <c r="B2044" i="3"/>
  <c r="C2044" i="3"/>
  <c r="A2043" i="3"/>
  <c r="B2043" i="3"/>
  <c r="C2043" i="3"/>
  <c r="A2042" i="3"/>
  <c r="B2042" i="3"/>
  <c r="C2042" i="3"/>
  <c r="A2041" i="3"/>
  <c r="B2041" i="3"/>
  <c r="C2041" i="3"/>
  <c r="A2040" i="3"/>
  <c r="B2040" i="3"/>
  <c r="C2040" i="3"/>
  <c r="A2039" i="3"/>
  <c r="B2039" i="3"/>
  <c r="C2039" i="3"/>
  <c r="A2038" i="3"/>
  <c r="B2038" i="3"/>
  <c r="C2038" i="3"/>
  <c r="A2037" i="3"/>
  <c r="B2037" i="3"/>
  <c r="C2037" i="3"/>
  <c r="A2036" i="3"/>
  <c r="B2036" i="3"/>
  <c r="C2036" i="3"/>
  <c r="A2035" i="3"/>
  <c r="B2035" i="3"/>
  <c r="C2035" i="3"/>
  <c r="A2034" i="3"/>
  <c r="B2034" i="3"/>
  <c r="C2034" i="3"/>
  <c r="A2033" i="3"/>
  <c r="B2033" i="3"/>
  <c r="C2033" i="3"/>
  <c r="A2032" i="3"/>
  <c r="B2032" i="3"/>
  <c r="C2032" i="3"/>
  <c r="A2031" i="3"/>
  <c r="B2031" i="3"/>
  <c r="C2031" i="3"/>
  <c r="A2030" i="3"/>
  <c r="B2030" i="3"/>
  <c r="C2030" i="3"/>
  <c r="A2029" i="3"/>
  <c r="B2029" i="3"/>
  <c r="C2029" i="3"/>
  <c r="A2028" i="3"/>
  <c r="B2028" i="3"/>
  <c r="C2028" i="3"/>
  <c r="A2027" i="3"/>
  <c r="B2027" i="3"/>
  <c r="C2027" i="3"/>
  <c r="A2026" i="3"/>
  <c r="B2026" i="3"/>
  <c r="C2026" i="3"/>
  <c r="A2025" i="3"/>
  <c r="B2025" i="3"/>
  <c r="C2025" i="3"/>
  <c r="A2024" i="3"/>
  <c r="B2024" i="3"/>
  <c r="C2024" i="3"/>
  <c r="A2023" i="3"/>
  <c r="B2023" i="3"/>
  <c r="C2023" i="3"/>
  <c r="A2022" i="3"/>
  <c r="B2022" i="3"/>
  <c r="C2022" i="3"/>
  <c r="A2021" i="3"/>
  <c r="B2021" i="3"/>
  <c r="C2021" i="3"/>
  <c r="A2020" i="3"/>
  <c r="B2020" i="3"/>
  <c r="C2020" i="3"/>
  <c r="A2019" i="3"/>
  <c r="B2019" i="3"/>
  <c r="C2019" i="3"/>
  <c r="A2018" i="3"/>
  <c r="B2018" i="3"/>
  <c r="C2018" i="3"/>
  <c r="A2017" i="3"/>
  <c r="B2017" i="3"/>
  <c r="C2017" i="3"/>
  <c r="A2016" i="3"/>
  <c r="B2016" i="3"/>
  <c r="C2016" i="3"/>
  <c r="A2015" i="3"/>
  <c r="B2015" i="3"/>
  <c r="C2015" i="3"/>
  <c r="A2014" i="3"/>
  <c r="B2014" i="3"/>
  <c r="C2014" i="3"/>
  <c r="A2013" i="3"/>
  <c r="B2013" i="3"/>
  <c r="C2013" i="3"/>
  <c r="A2012" i="3"/>
  <c r="B2012" i="3"/>
  <c r="C2012" i="3"/>
  <c r="A2011" i="3"/>
  <c r="B2011" i="3"/>
  <c r="C2011" i="3"/>
  <c r="A2010" i="3"/>
  <c r="B2010" i="3"/>
  <c r="C2010" i="3"/>
  <c r="A2009" i="3"/>
  <c r="B2009" i="3"/>
  <c r="C2009" i="3"/>
  <c r="A2008" i="3"/>
  <c r="B2008" i="3"/>
  <c r="C2008" i="3"/>
  <c r="A2007" i="3"/>
  <c r="B2007" i="3"/>
  <c r="C2007" i="3"/>
  <c r="A2006" i="3"/>
  <c r="B2006" i="3"/>
  <c r="C2006" i="3"/>
  <c r="A2005" i="3"/>
  <c r="B2005" i="3"/>
  <c r="C2005" i="3"/>
  <c r="A2004" i="3"/>
  <c r="B2004" i="3"/>
  <c r="C2004" i="3"/>
  <c r="A2003" i="3"/>
  <c r="B2003" i="3"/>
  <c r="C2003" i="3"/>
  <c r="A2002" i="3"/>
  <c r="B2002" i="3"/>
  <c r="C2002" i="3"/>
  <c r="A2001" i="3"/>
  <c r="B2001" i="3"/>
  <c r="C2001" i="3"/>
  <c r="A2000" i="3"/>
  <c r="B2000" i="3"/>
  <c r="C2000" i="3"/>
  <c r="A1999" i="3"/>
  <c r="B1999" i="3"/>
  <c r="C1999" i="3"/>
  <c r="A1998" i="3"/>
  <c r="B1998" i="3"/>
  <c r="C1998" i="3"/>
  <c r="A1997" i="3"/>
  <c r="B1997" i="3"/>
  <c r="C1997" i="3"/>
  <c r="A1996" i="3"/>
  <c r="B1996" i="3"/>
  <c r="C1996" i="3"/>
  <c r="A1995" i="3"/>
  <c r="B1995" i="3"/>
  <c r="C1995" i="3"/>
  <c r="A1994" i="3"/>
  <c r="B1994" i="3"/>
  <c r="C1994" i="3"/>
  <c r="A1993" i="3"/>
  <c r="B1993" i="3"/>
  <c r="C1993" i="3"/>
  <c r="A1992" i="3"/>
  <c r="B1992" i="3"/>
  <c r="C1992" i="3"/>
  <c r="A1991" i="3"/>
  <c r="B1991" i="3"/>
  <c r="C1991" i="3"/>
  <c r="A1990" i="3"/>
  <c r="B1990" i="3"/>
  <c r="C1990" i="3"/>
  <c r="A1989" i="3"/>
  <c r="B1989" i="3"/>
  <c r="C1989" i="3"/>
  <c r="A1988" i="3"/>
  <c r="B1988" i="3"/>
  <c r="C1988" i="3"/>
  <c r="A1987" i="3"/>
  <c r="B1987" i="3"/>
  <c r="C1987" i="3"/>
  <c r="A1986" i="3"/>
  <c r="B1986" i="3"/>
  <c r="C1986" i="3"/>
  <c r="A1985" i="3"/>
  <c r="B1985" i="3"/>
  <c r="C1985" i="3"/>
  <c r="A1984" i="3"/>
  <c r="B1984" i="3"/>
  <c r="C1984" i="3"/>
  <c r="A1983" i="3"/>
  <c r="B1983" i="3"/>
  <c r="C1983" i="3"/>
  <c r="A1982" i="3"/>
  <c r="B1982" i="3"/>
  <c r="C1982" i="3"/>
  <c r="A1981" i="3"/>
  <c r="B1981" i="3"/>
  <c r="C1981" i="3"/>
  <c r="A1980" i="3"/>
  <c r="B1980" i="3"/>
  <c r="C1980" i="3"/>
  <c r="A1979" i="3"/>
  <c r="B1979" i="3"/>
  <c r="C1979" i="3"/>
  <c r="A1978" i="3"/>
  <c r="B1978" i="3"/>
  <c r="C1978" i="3"/>
  <c r="A1977" i="3"/>
  <c r="B1977" i="3"/>
  <c r="C1977" i="3"/>
  <c r="A1976" i="3"/>
  <c r="B1976" i="3"/>
  <c r="C1976" i="3"/>
  <c r="A1975" i="3"/>
  <c r="B1975" i="3"/>
  <c r="C1975" i="3"/>
  <c r="A1974" i="3"/>
  <c r="B1974" i="3"/>
  <c r="C1974" i="3"/>
  <c r="A1973" i="3"/>
  <c r="B1973" i="3"/>
  <c r="C1973" i="3"/>
  <c r="A1972" i="3"/>
  <c r="B1972" i="3"/>
  <c r="C1972" i="3"/>
  <c r="A1971" i="3"/>
  <c r="B1971" i="3"/>
  <c r="C1971" i="3"/>
  <c r="A1970" i="3"/>
  <c r="B1970" i="3"/>
  <c r="C1970" i="3"/>
  <c r="A1969" i="3"/>
  <c r="B1969" i="3"/>
  <c r="C1969" i="3"/>
  <c r="A1968" i="3"/>
  <c r="B1968" i="3"/>
  <c r="C1968" i="3"/>
  <c r="A1967" i="3"/>
  <c r="B1967" i="3"/>
  <c r="C1967" i="3"/>
  <c r="A1966" i="3"/>
  <c r="B1966" i="3"/>
  <c r="C1966" i="3"/>
  <c r="A1965" i="3"/>
  <c r="B1965" i="3"/>
  <c r="C1965" i="3"/>
  <c r="A1964" i="3"/>
  <c r="B1964" i="3"/>
  <c r="C1964" i="3"/>
  <c r="A1963" i="3"/>
  <c r="B1963" i="3"/>
  <c r="C1963" i="3"/>
  <c r="A1962" i="3"/>
  <c r="B1962" i="3"/>
  <c r="C1962" i="3"/>
  <c r="A1961" i="3"/>
  <c r="B1961" i="3"/>
  <c r="C1961" i="3"/>
  <c r="A1960" i="3"/>
  <c r="B1960" i="3"/>
  <c r="C1960" i="3"/>
  <c r="A1959" i="3"/>
  <c r="B1959" i="3"/>
  <c r="C1959" i="3"/>
  <c r="A1958" i="3"/>
  <c r="B1958" i="3"/>
  <c r="C1958" i="3"/>
  <c r="A1957" i="3"/>
  <c r="B1957" i="3"/>
  <c r="C1957" i="3"/>
  <c r="A1956" i="3"/>
  <c r="B1956" i="3"/>
  <c r="C1956" i="3"/>
  <c r="A1955" i="3"/>
  <c r="B1955" i="3"/>
  <c r="C1955" i="3"/>
  <c r="A1954" i="3"/>
  <c r="B1954" i="3"/>
  <c r="C1954" i="3"/>
  <c r="A1953" i="3"/>
  <c r="B1953" i="3"/>
  <c r="C1953" i="3"/>
  <c r="A1952" i="3"/>
  <c r="B1952" i="3"/>
  <c r="C1952" i="3"/>
  <c r="A1951" i="3"/>
  <c r="B1951" i="3"/>
  <c r="C1951" i="3"/>
  <c r="A1950" i="3"/>
  <c r="B1950" i="3"/>
  <c r="C1950" i="3"/>
  <c r="A1949" i="3"/>
  <c r="B1949" i="3"/>
  <c r="C1949" i="3"/>
  <c r="A1948" i="3"/>
  <c r="B1948" i="3"/>
  <c r="C1948" i="3"/>
  <c r="A1947" i="3"/>
  <c r="B1947" i="3"/>
  <c r="C1947" i="3"/>
  <c r="A1946" i="3"/>
  <c r="B1946" i="3"/>
  <c r="C1946" i="3"/>
  <c r="A1945" i="3"/>
  <c r="B1945" i="3"/>
  <c r="C1945" i="3"/>
  <c r="A1944" i="3"/>
  <c r="B1944" i="3"/>
  <c r="C1944" i="3"/>
  <c r="A1943" i="3"/>
  <c r="B1943" i="3"/>
  <c r="C1943" i="3"/>
  <c r="A1942" i="3"/>
  <c r="B1942" i="3"/>
  <c r="C1942" i="3"/>
  <c r="A1941" i="3"/>
  <c r="B1941" i="3"/>
  <c r="C1941" i="3"/>
  <c r="A1940" i="3"/>
  <c r="B1940" i="3"/>
  <c r="C1940" i="3"/>
  <c r="A1939" i="3"/>
  <c r="B1939" i="3"/>
  <c r="C1939" i="3"/>
  <c r="A1938" i="3"/>
  <c r="B1938" i="3"/>
  <c r="C1938" i="3"/>
  <c r="A1937" i="3"/>
  <c r="B1937" i="3"/>
  <c r="C1937" i="3"/>
  <c r="A1936" i="3"/>
  <c r="B1936" i="3"/>
  <c r="C1936" i="3"/>
  <c r="A1935" i="3"/>
  <c r="B1935" i="3"/>
  <c r="C1935" i="3"/>
  <c r="A1934" i="3"/>
  <c r="B1934" i="3"/>
  <c r="C1934" i="3"/>
  <c r="A1933" i="3"/>
  <c r="B1933" i="3"/>
  <c r="C1933" i="3"/>
  <c r="A1932" i="3"/>
  <c r="B1932" i="3"/>
  <c r="C1932" i="3"/>
  <c r="A1931" i="3"/>
  <c r="B1931" i="3"/>
  <c r="C1931" i="3"/>
  <c r="A1930" i="3"/>
  <c r="B1930" i="3"/>
  <c r="C1930" i="3"/>
  <c r="A1929" i="3"/>
  <c r="B1929" i="3"/>
  <c r="C1929" i="3"/>
  <c r="A1928" i="3"/>
  <c r="B1928" i="3"/>
  <c r="C1928" i="3"/>
  <c r="A1927" i="3"/>
  <c r="B1927" i="3"/>
  <c r="C1927" i="3"/>
  <c r="A1926" i="3"/>
  <c r="B1926" i="3"/>
  <c r="C1926" i="3"/>
  <c r="A1925" i="3"/>
  <c r="B1925" i="3"/>
  <c r="C1925" i="3"/>
  <c r="A1924" i="3"/>
  <c r="B1924" i="3"/>
  <c r="C1924" i="3"/>
  <c r="A1923" i="3"/>
  <c r="B1923" i="3"/>
  <c r="C1923" i="3"/>
  <c r="A1922" i="3"/>
  <c r="B1922" i="3"/>
  <c r="C1922" i="3"/>
  <c r="A1921" i="3"/>
  <c r="B1921" i="3"/>
  <c r="C1921" i="3"/>
  <c r="A1920" i="3"/>
  <c r="B1920" i="3"/>
  <c r="C1920" i="3"/>
  <c r="A1919" i="3"/>
  <c r="B1919" i="3"/>
  <c r="C1919" i="3"/>
  <c r="A1918" i="3"/>
  <c r="B1918" i="3"/>
  <c r="C1918" i="3"/>
  <c r="A1917" i="3"/>
  <c r="B1917" i="3"/>
  <c r="C1917" i="3"/>
  <c r="A1916" i="3"/>
  <c r="B1916" i="3"/>
  <c r="C1916" i="3"/>
  <c r="A1915" i="3"/>
  <c r="B1915" i="3"/>
  <c r="C1915" i="3"/>
  <c r="A1914" i="3"/>
  <c r="B1914" i="3"/>
  <c r="C1914" i="3"/>
  <c r="A1913" i="3"/>
  <c r="B1913" i="3"/>
  <c r="C1913" i="3"/>
  <c r="A1912" i="3"/>
  <c r="B1912" i="3"/>
  <c r="C1912" i="3"/>
  <c r="A1911" i="3"/>
  <c r="B1911" i="3"/>
  <c r="C1911" i="3"/>
  <c r="A1910" i="3"/>
  <c r="B1910" i="3"/>
  <c r="C1910" i="3"/>
  <c r="A1909" i="3"/>
  <c r="B1909" i="3"/>
  <c r="C1909" i="3"/>
  <c r="A1908" i="3"/>
  <c r="B1908" i="3"/>
  <c r="C1908" i="3"/>
  <c r="A1907" i="3"/>
  <c r="B1907" i="3"/>
  <c r="C1907" i="3"/>
  <c r="A1906" i="3"/>
  <c r="B1906" i="3"/>
  <c r="C1906" i="3"/>
  <c r="A1905" i="3"/>
  <c r="B1905" i="3"/>
  <c r="C1905" i="3"/>
  <c r="A1904" i="3"/>
  <c r="B1904" i="3"/>
  <c r="C1904" i="3"/>
  <c r="A1903" i="3"/>
  <c r="B1903" i="3"/>
  <c r="C1903" i="3"/>
  <c r="A1902" i="3"/>
  <c r="B1902" i="3"/>
  <c r="C1902" i="3"/>
  <c r="A1901" i="3"/>
  <c r="B1901" i="3"/>
  <c r="C1901" i="3"/>
  <c r="A1900" i="3"/>
  <c r="B1900" i="3"/>
  <c r="C1900" i="3"/>
  <c r="A1899" i="3"/>
  <c r="B1899" i="3"/>
  <c r="C1899" i="3"/>
  <c r="A1898" i="3"/>
  <c r="B1898" i="3"/>
  <c r="C1898" i="3"/>
  <c r="A1897" i="3"/>
  <c r="B1897" i="3"/>
  <c r="C1897" i="3"/>
  <c r="A1896" i="3"/>
  <c r="B1896" i="3"/>
  <c r="C1896" i="3"/>
  <c r="A1895" i="3"/>
  <c r="B1895" i="3"/>
  <c r="C1895" i="3"/>
  <c r="A1894" i="3"/>
  <c r="B1894" i="3"/>
  <c r="C1894" i="3"/>
  <c r="A1893" i="3"/>
  <c r="B1893" i="3"/>
  <c r="C1893" i="3"/>
  <c r="A1892" i="3"/>
  <c r="B1892" i="3"/>
  <c r="C1892" i="3"/>
  <c r="A1891" i="3"/>
  <c r="B1891" i="3"/>
  <c r="C1891" i="3"/>
  <c r="A1890" i="3"/>
  <c r="B1890" i="3"/>
  <c r="C1890" i="3"/>
  <c r="A1889" i="3"/>
  <c r="B1889" i="3"/>
  <c r="C1889" i="3"/>
  <c r="A1888" i="3"/>
  <c r="B1888" i="3"/>
  <c r="C1888" i="3"/>
  <c r="A1887" i="3"/>
  <c r="B1887" i="3"/>
  <c r="C1887" i="3"/>
  <c r="A1886" i="3"/>
  <c r="B1886" i="3"/>
  <c r="C1886" i="3"/>
  <c r="A1885" i="3"/>
  <c r="B1885" i="3"/>
  <c r="C1885" i="3"/>
  <c r="A1884" i="3"/>
  <c r="B1884" i="3"/>
  <c r="C1884" i="3"/>
  <c r="A1883" i="3"/>
  <c r="B1883" i="3"/>
  <c r="C1883" i="3"/>
  <c r="A1882" i="3"/>
  <c r="B1882" i="3"/>
  <c r="C1882" i="3"/>
  <c r="A1881" i="3"/>
  <c r="B1881" i="3"/>
  <c r="C1881" i="3"/>
  <c r="A1880" i="3"/>
  <c r="B1880" i="3"/>
  <c r="C1880" i="3"/>
  <c r="A1879" i="3"/>
  <c r="B1879" i="3"/>
  <c r="C1879" i="3"/>
  <c r="A1878" i="3"/>
  <c r="B1878" i="3"/>
  <c r="C1878" i="3"/>
  <c r="A1877" i="3"/>
  <c r="B1877" i="3"/>
  <c r="C1877" i="3"/>
  <c r="A1876" i="3"/>
  <c r="B1876" i="3"/>
  <c r="C1876" i="3"/>
  <c r="A1875" i="3"/>
  <c r="B1875" i="3"/>
  <c r="C1875" i="3"/>
  <c r="A1874" i="3"/>
  <c r="B1874" i="3"/>
  <c r="C1874" i="3"/>
  <c r="A1873" i="3"/>
  <c r="B1873" i="3"/>
  <c r="C1873" i="3"/>
  <c r="A1872" i="3"/>
  <c r="B1872" i="3"/>
  <c r="C1872" i="3"/>
  <c r="A1871" i="3"/>
  <c r="B1871" i="3"/>
  <c r="C1871" i="3"/>
  <c r="A1870" i="3"/>
  <c r="B1870" i="3"/>
  <c r="C1870" i="3"/>
  <c r="A1869" i="3"/>
  <c r="B1869" i="3"/>
  <c r="C1869" i="3"/>
  <c r="A1868" i="3"/>
  <c r="B1868" i="3"/>
  <c r="C1868" i="3"/>
  <c r="A1867" i="3"/>
  <c r="B1867" i="3"/>
  <c r="C1867" i="3"/>
  <c r="A1866" i="3"/>
  <c r="B1866" i="3"/>
  <c r="C1866" i="3"/>
  <c r="A1865" i="3"/>
  <c r="B1865" i="3"/>
  <c r="C1865" i="3"/>
  <c r="A1864" i="3"/>
  <c r="B1864" i="3"/>
  <c r="C1864" i="3"/>
  <c r="A1863" i="3"/>
  <c r="B1863" i="3"/>
  <c r="C1863" i="3"/>
  <c r="A1862" i="3"/>
  <c r="B1862" i="3"/>
  <c r="C1862" i="3"/>
  <c r="A1861" i="3"/>
  <c r="B1861" i="3"/>
  <c r="C1861" i="3"/>
  <c r="A1860" i="3"/>
  <c r="B1860" i="3"/>
  <c r="C1860" i="3"/>
  <c r="A1859" i="3"/>
  <c r="B1859" i="3"/>
  <c r="C1859" i="3"/>
  <c r="A1858" i="3"/>
  <c r="B1858" i="3"/>
  <c r="C1858" i="3"/>
  <c r="A1857" i="3"/>
  <c r="B1857" i="3"/>
  <c r="C1857" i="3"/>
  <c r="A1856" i="3"/>
  <c r="B1856" i="3"/>
  <c r="C1856" i="3"/>
  <c r="A1855" i="3"/>
  <c r="B1855" i="3"/>
  <c r="C1855" i="3"/>
  <c r="A1854" i="3"/>
  <c r="B1854" i="3"/>
  <c r="C1854" i="3"/>
  <c r="A1853" i="3"/>
  <c r="B1853" i="3"/>
  <c r="C1853" i="3"/>
  <c r="A1852" i="3"/>
  <c r="B1852" i="3"/>
  <c r="C1852" i="3"/>
  <c r="A1851" i="3"/>
  <c r="B1851" i="3"/>
  <c r="C1851" i="3"/>
  <c r="A1850" i="3"/>
  <c r="B1850" i="3"/>
  <c r="C1850" i="3"/>
  <c r="A1849" i="3"/>
  <c r="B1849" i="3"/>
  <c r="C1849" i="3"/>
  <c r="A1848" i="3"/>
  <c r="B1848" i="3"/>
  <c r="C1848" i="3"/>
  <c r="A1847" i="3"/>
  <c r="B1847" i="3"/>
  <c r="C1847" i="3"/>
  <c r="A1846" i="3"/>
  <c r="B1846" i="3"/>
  <c r="C1846" i="3"/>
  <c r="A1845" i="3"/>
  <c r="B1845" i="3"/>
  <c r="C1845" i="3"/>
  <c r="A1844" i="3"/>
  <c r="B1844" i="3"/>
  <c r="C1844" i="3"/>
  <c r="A1843" i="3"/>
  <c r="B1843" i="3"/>
  <c r="C1843" i="3"/>
  <c r="A1842" i="3"/>
  <c r="B1842" i="3"/>
  <c r="C1842" i="3"/>
  <c r="A1841" i="3"/>
  <c r="B1841" i="3"/>
  <c r="C1841" i="3"/>
  <c r="A1840" i="3"/>
  <c r="B1840" i="3"/>
  <c r="C1840" i="3"/>
  <c r="A1839" i="3"/>
  <c r="B1839" i="3"/>
  <c r="C1839" i="3"/>
  <c r="A1838" i="3"/>
  <c r="B1838" i="3"/>
  <c r="C1838" i="3"/>
  <c r="A1837" i="3"/>
  <c r="B1837" i="3"/>
  <c r="C1837" i="3"/>
  <c r="A1836" i="3"/>
  <c r="B1836" i="3"/>
  <c r="C1836" i="3"/>
  <c r="A1835" i="3"/>
  <c r="B1835" i="3"/>
  <c r="C1835" i="3"/>
  <c r="A1834" i="3"/>
  <c r="B1834" i="3"/>
  <c r="C1834" i="3"/>
  <c r="A1833" i="3"/>
  <c r="B1833" i="3"/>
  <c r="C1833" i="3"/>
  <c r="A1832" i="3"/>
  <c r="B1832" i="3"/>
  <c r="C1832" i="3"/>
  <c r="A1831" i="3"/>
  <c r="B1831" i="3"/>
  <c r="C1831" i="3"/>
  <c r="A1830" i="3"/>
  <c r="B1830" i="3"/>
  <c r="C1830" i="3"/>
  <c r="A1829" i="3"/>
  <c r="B1829" i="3"/>
  <c r="C1829" i="3"/>
  <c r="A1828" i="3"/>
  <c r="B1828" i="3"/>
  <c r="C1828" i="3"/>
  <c r="A1827" i="3"/>
  <c r="B1827" i="3"/>
  <c r="C1827" i="3"/>
  <c r="A1826" i="3"/>
  <c r="B1826" i="3"/>
  <c r="C1826" i="3"/>
  <c r="A1825" i="3"/>
  <c r="B1825" i="3"/>
  <c r="C1825" i="3"/>
  <c r="A1824" i="3"/>
  <c r="B1824" i="3"/>
  <c r="C1824" i="3"/>
  <c r="A1823" i="3"/>
  <c r="B1823" i="3"/>
  <c r="C1823" i="3"/>
  <c r="A1822" i="3"/>
  <c r="B1822" i="3"/>
  <c r="C1822" i="3"/>
  <c r="A1821" i="3"/>
  <c r="B1821" i="3"/>
  <c r="C1821" i="3"/>
  <c r="A1820" i="3"/>
  <c r="B1820" i="3"/>
  <c r="C1820" i="3"/>
  <c r="A1819" i="3"/>
  <c r="B1819" i="3"/>
  <c r="C1819" i="3"/>
  <c r="A1818" i="3"/>
  <c r="B1818" i="3"/>
  <c r="C1818" i="3"/>
  <c r="A1817" i="3"/>
  <c r="B1817" i="3"/>
  <c r="C1817" i="3"/>
  <c r="A1816" i="3"/>
  <c r="B1816" i="3"/>
  <c r="C1816" i="3"/>
  <c r="A1815" i="3"/>
  <c r="B1815" i="3"/>
  <c r="C1815" i="3"/>
  <c r="A1814" i="3"/>
  <c r="B1814" i="3"/>
  <c r="C1814" i="3"/>
  <c r="A1813" i="3"/>
  <c r="B1813" i="3"/>
  <c r="C1813" i="3"/>
  <c r="A1812" i="3"/>
  <c r="B1812" i="3"/>
  <c r="C1812" i="3"/>
  <c r="A1811" i="3"/>
  <c r="B1811" i="3"/>
  <c r="C1811" i="3"/>
  <c r="A1810" i="3"/>
  <c r="B1810" i="3"/>
  <c r="C1810" i="3"/>
  <c r="A1809" i="3"/>
  <c r="B1809" i="3"/>
  <c r="C1809" i="3"/>
  <c r="A1808" i="3"/>
  <c r="B1808" i="3"/>
  <c r="C1808" i="3"/>
  <c r="A1807" i="3"/>
  <c r="B1807" i="3"/>
  <c r="C1807" i="3"/>
  <c r="A1806" i="3"/>
  <c r="B1806" i="3"/>
  <c r="C1806" i="3"/>
  <c r="A1805" i="3"/>
  <c r="B1805" i="3"/>
  <c r="C1805" i="3"/>
  <c r="A1804" i="3"/>
  <c r="B1804" i="3"/>
  <c r="C1804" i="3"/>
  <c r="A1803" i="3"/>
  <c r="B1803" i="3"/>
  <c r="C1803" i="3"/>
  <c r="A1802" i="3"/>
  <c r="B1802" i="3"/>
  <c r="C1802" i="3"/>
  <c r="A1801" i="3"/>
  <c r="B1801" i="3"/>
  <c r="C1801" i="3"/>
  <c r="A1800" i="3"/>
  <c r="B1800" i="3"/>
  <c r="C1800" i="3"/>
  <c r="A1799" i="3"/>
  <c r="B1799" i="3"/>
  <c r="C1799" i="3"/>
  <c r="A1798" i="3"/>
  <c r="B1798" i="3"/>
  <c r="C1798" i="3"/>
  <c r="A1797" i="3"/>
  <c r="B1797" i="3"/>
  <c r="C1797" i="3"/>
  <c r="A1796" i="3"/>
  <c r="B1796" i="3"/>
  <c r="C1796" i="3"/>
  <c r="A1795" i="3"/>
  <c r="B1795" i="3"/>
  <c r="C1795" i="3"/>
  <c r="A1794" i="3"/>
  <c r="B1794" i="3"/>
  <c r="C1794" i="3"/>
  <c r="A1793" i="3"/>
  <c r="B1793" i="3"/>
  <c r="C1793" i="3"/>
  <c r="A1792" i="3"/>
  <c r="B1792" i="3"/>
  <c r="C1792" i="3"/>
  <c r="A1791" i="3"/>
  <c r="B1791" i="3"/>
  <c r="C1791" i="3"/>
  <c r="A1790" i="3"/>
  <c r="B1790" i="3"/>
  <c r="C1790" i="3"/>
  <c r="A1789" i="3"/>
  <c r="B1789" i="3"/>
  <c r="C1789" i="3"/>
  <c r="A1788" i="3"/>
  <c r="B1788" i="3"/>
  <c r="C1788" i="3"/>
  <c r="A1787" i="3"/>
  <c r="B1787" i="3"/>
  <c r="C1787" i="3"/>
  <c r="A1786" i="3"/>
  <c r="B1786" i="3"/>
  <c r="C1786" i="3"/>
  <c r="A1785" i="3"/>
  <c r="B1785" i="3"/>
  <c r="C1785" i="3"/>
  <c r="A1784" i="3"/>
  <c r="B1784" i="3"/>
  <c r="C1784" i="3"/>
  <c r="A1783" i="3"/>
  <c r="B1783" i="3"/>
  <c r="C1783" i="3"/>
  <c r="A1782" i="3"/>
  <c r="B1782" i="3"/>
  <c r="C1782" i="3"/>
  <c r="A1781" i="3"/>
  <c r="B1781" i="3"/>
  <c r="C1781" i="3"/>
  <c r="A1780" i="3"/>
  <c r="B1780" i="3"/>
  <c r="C1780" i="3"/>
  <c r="A1779" i="3"/>
  <c r="B1779" i="3"/>
  <c r="C1779" i="3"/>
  <c r="A1778" i="3"/>
  <c r="B1778" i="3"/>
  <c r="C1778" i="3"/>
  <c r="A1777" i="3"/>
  <c r="B1777" i="3"/>
  <c r="C1777" i="3"/>
  <c r="A1776" i="3"/>
  <c r="B1776" i="3"/>
  <c r="C1776" i="3"/>
  <c r="A1775" i="3"/>
  <c r="B1775" i="3"/>
  <c r="C1775" i="3"/>
  <c r="A1774" i="3"/>
  <c r="B1774" i="3"/>
  <c r="C1774" i="3"/>
  <c r="A1773" i="3"/>
  <c r="B1773" i="3"/>
  <c r="C1773" i="3"/>
  <c r="A1772" i="3"/>
  <c r="B1772" i="3"/>
  <c r="C1772" i="3"/>
  <c r="A1771" i="3"/>
  <c r="B1771" i="3"/>
  <c r="C1771" i="3"/>
  <c r="A1770" i="3"/>
  <c r="B1770" i="3"/>
  <c r="C1770" i="3"/>
  <c r="A1769" i="3"/>
  <c r="B1769" i="3"/>
  <c r="C1769" i="3"/>
  <c r="A1768" i="3"/>
  <c r="B1768" i="3"/>
  <c r="C1768" i="3"/>
  <c r="A1767" i="3"/>
  <c r="B1767" i="3"/>
  <c r="C1767" i="3"/>
  <c r="A1766" i="3"/>
  <c r="B1766" i="3"/>
  <c r="C1766" i="3"/>
  <c r="A1765" i="3"/>
  <c r="B1765" i="3"/>
  <c r="C1765" i="3"/>
  <c r="A1764" i="3"/>
  <c r="B1764" i="3"/>
  <c r="C1764" i="3"/>
  <c r="A1763" i="3"/>
  <c r="B1763" i="3"/>
  <c r="C1763" i="3"/>
  <c r="A1762" i="3"/>
  <c r="B1762" i="3"/>
  <c r="C1762" i="3"/>
  <c r="A1761" i="3"/>
  <c r="B1761" i="3"/>
  <c r="C1761" i="3"/>
  <c r="A1760" i="3"/>
  <c r="B1760" i="3"/>
  <c r="C1760" i="3"/>
  <c r="A1759" i="3"/>
  <c r="B1759" i="3"/>
  <c r="C1759" i="3"/>
  <c r="A1758" i="3"/>
  <c r="B1758" i="3"/>
  <c r="C1758" i="3"/>
  <c r="A1757" i="3"/>
  <c r="B1757" i="3"/>
  <c r="C1757" i="3"/>
  <c r="A1756" i="3"/>
  <c r="B1756" i="3"/>
  <c r="C1756" i="3"/>
  <c r="A1755" i="3"/>
  <c r="B1755" i="3"/>
  <c r="C1755" i="3"/>
  <c r="A1754" i="3"/>
  <c r="B1754" i="3"/>
  <c r="C1754" i="3"/>
  <c r="A1753" i="3"/>
  <c r="B1753" i="3"/>
  <c r="C1753" i="3"/>
  <c r="A1752" i="3"/>
  <c r="B1752" i="3"/>
  <c r="C1752" i="3"/>
  <c r="A1751" i="3"/>
  <c r="B1751" i="3"/>
  <c r="C1751" i="3"/>
  <c r="A1750" i="3"/>
  <c r="B1750" i="3"/>
  <c r="C1750" i="3"/>
  <c r="A1749" i="3"/>
  <c r="B1749" i="3"/>
  <c r="C1749" i="3"/>
  <c r="A1748" i="3"/>
  <c r="B1748" i="3"/>
  <c r="C1748" i="3"/>
  <c r="A1747" i="3"/>
  <c r="B1747" i="3"/>
  <c r="C1747" i="3"/>
  <c r="A1746" i="3"/>
  <c r="B1746" i="3"/>
  <c r="C1746" i="3"/>
  <c r="A1745" i="3"/>
  <c r="B1745" i="3"/>
  <c r="C1745" i="3"/>
  <c r="A1744" i="3"/>
  <c r="B1744" i="3"/>
  <c r="C1744" i="3"/>
  <c r="A1743" i="3"/>
  <c r="B1743" i="3"/>
  <c r="C1743" i="3"/>
  <c r="A1742" i="3"/>
  <c r="B1742" i="3"/>
  <c r="C1742" i="3"/>
  <c r="A1741" i="3"/>
  <c r="B1741" i="3"/>
  <c r="C1741" i="3"/>
  <c r="A1740" i="3"/>
  <c r="B1740" i="3"/>
  <c r="C1740" i="3"/>
  <c r="A1739" i="3"/>
  <c r="B1739" i="3"/>
  <c r="C1739" i="3"/>
  <c r="A1738" i="3"/>
  <c r="B1738" i="3"/>
  <c r="C1738" i="3"/>
  <c r="A1737" i="3"/>
  <c r="B1737" i="3"/>
  <c r="C1737" i="3"/>
  <c r="A1736" i="3"/>
  <c r="B1736" i="3"/>
  <c r="C1736" i="3"/>
  <c r="A1735" i="3"/>
  <c r="B1735" i="3"/>
  <c r="C1735" i="3"/>
  <c r="A1734" i="3"/>
  <c r="B1734" i="3"/>
  <c r="C1734" i="3"/>
  <c r="A1733" i="3"/>
  <c r="B1733" i="3"/>
  <c r="C1733" i="3"/>
  <c r="A1732" i="3"/>
  <c r="B1732" i="3"/>
  <c r="C1732" i="3"/>
  <c r="A1731" i="3"/>
  <c r="B1731" i="3"/>
  <c r="C1731" i="3"/>
  <c r="A1730" i="3"/>
  <c r="B1730" i="3"/>
  <c r="C1730" i="3"/>
  <c r="A1729" i="3"/>
  <c r="B1729" i="3"/>
  <c r="C1729" i="3"/>
  <c r="A1728" i="3"/>
  <c r="B1728" i="3"/>
  <c r="C1728" i="3"/>
  <c r="A1727" i="3"/>
  <c r="B1727" i="3"/>
  <c r="C1727" i="3"/>
  <c r="A1726" i="3"/>
  <c r="B1726" i="3"/>
  <c r="C1726" i="3"/>
  <c r="A1725" i="3"/>
  <c r="B1725" i="3"/>
  <c r="C1725" i="3"/>
  <c r="A1724" i="3"/>
  <c r="B1724" i="3"/>
  <c r="C1724" i="3"/>
  <c r="A1723" i="3"/>
  <c r="B1723" i="3"/>
  <c r="C1723" i="3"/>
  <c r="A1722" i="3"/>
  <c r="B1722" i="3"/>
  <c r="C1722" i="3"/>
  <c r="A1721" i="3"/>
  <c r="B1721" i="3"/>
  <c r="C1721" i="3"/>
  <c r="A1720" i="3"/>
  <c r="B1720" i="3"/>
  <c r="C1720" i="3"/>
  <c r="A1719" i="3"/>
  <c r="B1719" i="3"/>
  <c r="C1719" i="3"/>
  <c r="A1718" i="3"/>
  <c r="B1718" i="3"/>
  <c r="C1718" i="3"/>
  <c r="A1717" i="3"/>
  <c r="B1717" i="3"/>
  <c r="C1717" i="3"/>
  <c r="A1716" i="3"/>
  <c r="B1716" i="3"/>
  <c r="C1716" i="3"/>
  <c r="A1715" i="3"/>
  <c r="B1715" i="3"/>
  <c r="C1715" i="3"/>
  <c r="A1714" i="3"/>
  <c r="B1714" i="3"/>
  <c r="C1714" i="3"/>
  <c r="A1713" i="3"/>
  <c r="B1713" i="3"/>
  <c r="C1713" i="3"/>
  <c r="A1712" i="3"/>
  <c r="B1712" i="3"/>
  <c r="C1712" i="3"/>
  <c r="A1711" i="3"/>
  <c r="B1711" i="3"/>
  <c r="C1711" i="3"/>
  <c r="A1710" i="3"/>
  <c r="B1710" i="3"/>
  <c r="C1710" i="3"/>
  <c r="A1709" i="3"/>
  <c r="B1709" i="3"/>
  <c r="C1709" i="3"/>
  <c r="A1708" i="3"/>
  <c r="B1708" i="3"/>
  <c r="C1708" i="3"/>
  <c r="A1707" i="3"/>
  <c r="B1707" i="3"/>
  <c r="C1707" i="3"/>
  <c r="A1706" i="3"/>
  <c r="B1706" i="3"/>
  <c r="C1706" i="3"/>
  <c r="A1705" i="3"/>
  <c r="B1705" i="3"/>
  <c r="C1705" i="3"/>
  <c r="A1704" i="3"/>
  <c r="B1704" i="3"/>
  <c r="C1704" i="3"/>
  <c r="A1703" i="3"/>
  <c r="B1703" i="3"/>
  <c r="C1703" i="3"/>
  <c r="A1702" i="3"/>
  <c r="B1702" i="3"/>
  <c r="C1702" i="3"/>
  <c r="A1701" i="3"/>
  <c r="B1701" i="3"/>
  <c r="C1701" i="3"/>
  <c r="A1700" i="3"/>
  <c r="B1700" i="3"/>
  <c r="C1700" i="3"/>
  <c r="A1699" i="3"/>
  <c r="B1699" i="3"/>
  <c r="C1699" i="3"/>
  <c r="A1698" i="3"/>
  <c r="B1698" i="3"/>
  <c r="C1698" i="3"/>
  <c r="A1697" i="3"/>
  <c r="B1697" i="3"/>
  <c r="C1697" i="3"/>
  <c r="A1696" i="3"/>
  <c r="B1696" i="3"/>
  <c r="C1696" i="3"/>
  <c r="A1695" i="3"/>
  <c r="B1695" i="3"/>
  <c r="C1695" i="3"/>
  <c r="A1694" i="3"/>
  <c r="B1694" i="3"/>
  <c r="C1694" i="3"/>
  <c r="A1693" i="3"/>
  <c r="B1693" i="3"/>
  <c r="C1693" i="3"/>
  <c r="A1692" i="3"/>
  <c r="B1692" i="3"/>
  <c r="C1692" i="3"/>
  <c r="A1691" i="3"/>
  <c r="B1691" i="3"/>
  <c r="C1691" i="3"/>
  <c r="A1690" i="3"/>
  <c r="B1690" i="3"/>
  <c r="C1690" i="3"/>
  <c r="A1689" i="3"/>
  <c r="B1689" i="3"/>
  <c r="C1689" i="3"/>
  <c r="A1688" i="3"/>
  <c r="B1688" i="3"/>
  <c r="C1688" i="3"/>
  <c r="A1687" i="3"/>
  <c r="B1687" i="3"/>
  <c r="C1687" i="3"/>
  <c r="A1686" i="3"/>
  <c r="B1686" i="3"/>
  <c r="C1686" i="3"/>
  <c r="A1685" i="3"/>
  <c r="B1685" i="3"/>
  <c r="C1685" i="3"/>
  <c r="A1684" i="3"/>
  <c r="B1684" i="3"/>
  <c r="C1684" i="3"/>
  <c r="A1683" i="3"/>
  <c r="B1683" i="3"/>
  <c r="C1683" i="3"/>
  <c r="A1682" i="3"/>
  <c r="B1682" i="3"/>
  <c r="C1682" i="3"/>
  <c r="A1681" i="3"/>
  <c r="B1681" i="3"/>
  <c r="C1681" i="3"/>
  <c r="A1680" i="3"/>
  <c r="B1680" i="3"/>
  <c r="C1680" i="3"/>
  <c r="A1679" i="3"/>
  <c r="B1679" i="3"/>
  <c r="C1679" i="3"/>
  <c r="A1678" i="3"/>
  <c r="B1678" i="3"/>
  <c r="C1678" i="3"/>
  <c r="A1677" i="3"/>
  <c r="B1677" i="3"/>
  <c r="C1677" i="3"/>
  <c r="A1676" i="3"/>
  <c r="B1676" i="3"/>
  <c r="C1676" i="3"/>
  <c r="A1675" i="3"/>
  <c r="B1675" i="3"/>
  <c r="C1675" i="3"/>
  <c r="A1674" i="3"/>
  <c r="B1674" i="3"/>
  <c r="C1674" i="3"/>
  <c r="A1673" i="3"/>
  <c r="B1673" i="3"/>
  <c r="C1673" i="3"/>
  <c r="A1672" i="3"/>
  <c r="B1672" i="3"/>
  <c r="C1672" i="3"/>
  <c r="A1671" i="3"/>
  <c r="B1671" i="3"/>
  <c r="C1671" i="3"/>
  <c r="A1670" i="3"/>
  <c r="B1670" i="3"/>
  <c r="C1670" i="3"/>
  <c r="A1669" i="3"/>
  <c r="B1669" i="3"/>
  <c r="C1669" i="3"/>
  <c r="A1668" i="3"/>
  <c r="B1668" i="3"/>
  <c r="C1668" i="3"/>
  <c r="A1667" i="3"/>
  <c r="B1667" i="3"/>
  <c r="C1667" i="3"/>
  <c r="A1666" i="3"/>
  <c r="B1666" i="3"/>
  <c r="C1666" i="3"/>
  <c r="A1665" i="3"/>
  <c r="B1665" i="3"/>
  <c r="C1665" i="3"/>
  <c r="A1664" i="3"/>
  <c r="B1664" i="3"/>
  <c r="C1664" i="3"/>
  <c r="A1663" i="3"/>
  <c r="B1663" i="3"/>
  <c r="C1663" i="3"/>
  <c r="A1662" i="3"/>
  <c r="B1662" i="3"/>
  <c r="C1662" i="3"/>
  <c r="A1661" i="3"/>
  <c r="B1661" i="3"/>
  <c r="C1661" i="3"/>
  <c r="A1660" i="3"/>
  <c r="B1660" i="3"/>
  <c r="C1660" i="3"/>
  <c r="A1659" i="3"/>
  <c r="B1659" i="3"/>
  <c r="C1659" i="3"/>
  <c r="A1658" i="3"/>
  <c r="B1658" i="3"/>
  <c r="C1658" i="3"/>
  <c r="A1657" i="3"/>
  <c r="B1657" i="3"/>
  <c r="C1657" i="3"/>
  <c r="A1656" i="3"/>
  <c r="B1656" i="3"/>
  <c r="C1656" i="3"/>
  <c r="A1655" i="3"/>
  <c r="B1655" i="3"/>
  <c r="C1655" i="3"/>
  <c r="A1654" i="3"/>
  <c r="B1654" i="3"/>
  <c r="C1654" i="3"/>
  <c r="A1653" i="3"/>
  <c r="B1653" i="3"/>
  <c r="C1653" i="3"/>
  <c r="A1652" i="3"/>
  <c r="B1652" i="3"/>
  <c r="C1652" i="3"/>
  <c r="A1651" i="3"/>
  <c r="B1651" i="3"/>
  <c r="C1651" i="3"/>
  <c r="A1650" i="3"/>
  <c r="B1650" i="3"/>
  <c r="C1650" i="3"/>
  <c r="A1649" i="3"/>
  <c r="B1649" i="3"/>
  <c r="C1649" i="3"/>
  <c r="A1648" i="3"/>
  <c r="B1648" i="3"/>
  <c r="C1648" i="3"/>
  <c r="A1647" i="3"/>
  <c r="B1647" i="3"/>
  <c r="C1647" i="3"/>
  <c r="A1646" i="3"/>
  <c r="B1646" i="3"/>
  <c r="C1646" i="3"/>
  <c r="A1645" i="3"/>
  <c r="B1645" i="3"/>
  <c r="C1645" i="3"/>
  <c r="A1644" i="3"/>
  <c r="B1644" i="3"/>
  <c r="C1644" i="3"/>
  <c r="A1643" i="3"/>
  <c r="B1643" i="3"/>
  <c r="C1643" i="3"/>
  <c r="A1642" i="3"/>
  <c r="B1642" i="3"/>
  <c r="C1642" i="3"/>
  <c r="A1641" i="3"/>
  <c r="B1641" i="3"/>
  <c r="C1641" i="3"/>
  <c r="A1640" i="3"/>
  <c r="B1640" i="3"/>
  <c r="C1640" i="3"/>
  <c r="A1639" i="3"/>
  <c r="B1639" i="3"/>
  <c r="C1639" i="3"/>
  <c r="A1638" i="3"/>
  <c r="B1638" i="3"/>
  <c r="C1638" i="3"/>
  <c r="A1637" i="3"/>
  <c r="B1637" i="3"/>
  <c r="C1637" i="3"/>
  <c r="A1636" i="3"/>
  <c r="B1636" i="3"/>
  <c r="C1636" i="3"/>
  <c r="A1635" i="3"/>
  <c r="B1635" i="3"/>
  <c r="C1635" i="3"/>
  <c r="A1634" i="3"/>
  <c r="B1634" i="3"/>
  <c r="C1634" i="3"/>
  <c r="A1633" i="3"/>
  <c r="B1633" i="3"/>
  <c r="C1633" i="3"/>
  <c r="A1632" i="3"/>
  <c r="B1632" i="3"/>
  <c r="C1632" i="3"/>
  <c r="A1631" i="3"/>
  <c r="B1631" i="3"/>
  <c r="C1631" i="3"/>
  <c r="A1630" i="3"/>
  <c r="B1630" i="3"/>
  <c r="C1630" i="3"/>
  <c r="A1629" i="3"/>
  <c r="B1629" i="3"/>
  <c r="C1629" i="3"/>
  <c r="A1628" i="3"/>
  <c r="B1628" i="3"/>
  <c r="C1628" i="3"/>
  <c r="A1627" i="3"/>
  <c r="B1627" i="3"/>
  <c r="C1627" i="3"/>
  <c r="A1626" i="3"/>
  <c r="B1626" i="3"/>
  <c r="C1626" i="3"/>
  <c r="A1625" i="3"/>
  <c r="B1625" i="3"/>
  <c r="C1625" i="3"/>
  <c r="A1624" i="3"/>
  <c r="B1624" i="3"/>
  <c r="C1624" i="3"/>
  <c r="A1623" i="3"/>
  <c r="B1623" i="3"/>
  <c r="C1623" i="3"/>
  <c r="A1622" i="3"/>
  <c r="B1622" i="3"/>
  <c r="C1622" i="3"/>
  <c r="A1621" i="3"/>
  <c r="B1621" i="3"/>
  <c r="C1621" i="3"/>
  <c r="A1620" i="3"/>
  <c r="B1620" i="3"/>
  <c r="C1620" i="3"/>
  <c r="A1619" i="3"/>
  <c r="B1619" i="3"/>
  <c r="C1619" i="3"/>
  <c r="A1618" i="3"/>
  <c r="B1618" i="3"/>
  <c r="C1618" i="3"/>
  <c r="A1617" i="3"/>
  <c r="B1617" i="3"/>
  <c r="C1617" i="3"/>
  <c r="A1616" i="3"/>
  <c r="B1616" i="3"/>
  <c r="C1616" i="3"/>
  <c r="A1615" i="3"/>
  <c r="B1615" i="3"/>
  <c r="C1615" i="3"/>
  <c r="A1614" i="3"/>
  <c r="B1614" i="3"/>
  <c r="C1614" i="3"/>
  <c r="A1613" i="3"/>
  <c r="B1613" i="3"/>
  <c r="C1613" i="3"/>
  <c r="A1612" i="3"/>
  <c r="B1612" i="3"/>
  <c r="C1612" i="3"/>
  <c r="A1611" i="3"/>
  <c r="B1611" i="3"/>
  <c r="C1611" i="3"/>
  <c r="A1610" i="3"/>
  <c r="B1610" i="3"/>
  <c r="C1610" i="3"/>
  <c r="A1609" i="3"/>
  <c r="B1609" i="3"/>
  <c r="C1609" i="3"/>
  <c r="A1608" i="3"/>
  <c r="B1608" i="3"/>
  <c r="C1608" i="3"/>
  <c r="A1607" i="3"/>
  <c r="B1607" i="3"/>
  <c r="C1607" i="3"/>
  <c r="A1606" i="3"/>
  <c r="B1606" i="3"/>
  <c r="C1606" i="3"/>
  <c r="A1605" i="3"/>
  <c r="B1605" i="3"/>
  <c r="C1605" i="3"/>
  <c r="A1604" i="3"/>
  <c r="B1604" i="3"/>
  <c r="C1604" i="3"/>
  <c r="A1603" i="3"/>
  <c r="B1603" i="3"/>
  <c r="C1603" i="3"/>
  <c r="A1602" i="3"/>
  <c r="B1602" i="3"/>
  <c r="C1602" i="3"/>
  <c r="A1601" i="3"/>
  <c r="B1601" i="3"/>
  <c r="C1601" i="3"/>
  <c r="A1600" i="3"/>
  <c r="B1600" i="3"/>
  <c r="C1600" i="3"/>
  <c r="A1599" i="3"/>
  <c r="B1599" i="3"/>
  <c r="C1599" i="3"/>
  <c r="A1598" i="3"/>
  <c r="B1598" i="3"/>
  <c r="C1598" i="3"/>
  <c r="A1597" i="3"/>
  <c r="B1597" i="3"/>
  <c r="C1597" i="3"/>
  <c r="A1596" i="3"/>
  <c r="B1596" i="3"/>
  <c r="C1596" i="3"/>
  <c r="A1595" i="3"/>
  <c r="B1595" i="3"/>
  <c r="C1595" i="3"/>
  <c r="A1594" i="3"/>
  <c r="B1594" i="3"/>
  <c r="C1594" i="3"/>
  <c r="A1593" i="3"/>
  <c r="B1593" i="3"/>
  <c r="C1593" i="3"/>
  <c r="A1592" i="3"/>
  <c r="B1592" i="3"/>
  <c r="C1592" i="3"/>
  <c r="A1591" i="3"/>
  <c r="B1591" i="3"/>
  <c r="C1591" i="3"/>
  <c r="A1590" i="3"/>
  <c r="B1590" i="3"/>
  <c r="C1590" i="3"/>
  <c r="A1589" i="3"/>
  <c r="B1589" i="3"/>
  <c r="C1589" i="3"/>
  <c r="A1588" i="3"/>
  <c r="B1588" i="3"/>
  <c r="C1588" i="3"/>
  <c r="A1587" i="3"/>
  <c r="B1587" i="3"/>
  <c r="C1587" i="3"/>
  <c r="A1586" i="3"/>
  <c r="B1586" i="3"/>
  <c r="C1586" i="3"/>
  <c r="A1585" i="3"/>
  <c r="B1585" i="3"/>
  <c r="C1585" i="3"/>
  <c r="A1584" i="3"/>
  <c r="B1584" i="3"/>
  <c r="C1584" i="3"/>
  <c r="A1583" i="3"/>
  <c r="B1583" i="3"/>
  <c r="C1583" i="3"/>
  <c r="A1582" i="3"/>
  <c r="B1582" i="3"/>
  <c r="C1582" i="3"/>
  <c r="A1581" i="3"/>
  <c r="B1581" i="3"/>
  <c r="C1581" i="3"/>
  <c r="A1580" i="3"/>
  <c r="B1580" i="3"/>
  <c r="C1580" i="3"/>
  <c r="A1579" i="3"/>
  <c r="B1579" i="3"/>
  <c r="C1579" i="3"/>
  <c r="A1578" i="3"/>
  <c r="B1578" i="3"/>
  <c r="C1578" i="3"/>
  <c r="A1577" i="3"/>
  <c r="B1577" i="3"/>
  <c r="C1577" i="3"/>
  <c r="A1576" i="3"/>
  <c r="B1576" i="3"/>
  <c r="C1576" i="3"/>
  <c r="A1575" i="3"/>
  <c r="B1575" i="3"/>
  <c r="C1575" i="3"/>
  <c r="A1574" i="3"/>
  <c r="B1574" i="3"/>
  <c r="C1574" i="3"/>
  <c r="A1573" i="3"/>
  <c r="B1573" i="3"/>
  <c r="C1573" i="3"/>
  <c r="A1572" i="3"/>
  <c r="B1572" i="3"/>
  <c r="C1572" i="3"/>
  <c r="A1571" i="3"/>
  <c r="B1571" i="3"/>
  <c r="C1571" i="3"/>
  <c r="A1570" i="3"/>
  <c r="B1570" i="3"/>
  <c r="C1570" i="3"/>
  <c r="A1569" i="3"/>
  <c r="B1569" i="3"/>
  <c r="C1569" i="3"/>
  <c r="A1568" i="3"/>
  <c r="B1568" i="3"/>
  <c r="C1568" i="3"/>
  <c r="A1567" i="3"/>
  <c r="B1567" i="3"/>
  <c r="C1567" i="3"/>
  <c r="A1566" i="3"/>
  <c r="B1566" i="3"/>
  <c r="C1566" i="3"/>
  <c r="A1565" i="3"/>
  <c r="B1565" i="3"/>
  <c r="C1565" i="3"/>
  <c r="A1564" i="3"/>
  <c r="B1564" i="3"/>
  <c r="C1564" i="3"/>
  <c r="A1563" i="3"/>
  <c r="B1563" i="3"/>
  <c r="C1563" i="3"/>
  <c r="A1562" i="3"/>
  <c r="B1562" i="3"/>
  <c r="C1562" i="3"/>
  <c r="A1561" i="3"/>
  <c r="B1561" i="3"/>
  <c r="C1561" i="3"/>
  <c r="A1560" i="3"/>
  <c r="B1560" i="3"/>
  <c r="C1560" i="3"/>
  <c r="A1559" i="3"/>
  <c r="B1559" i="3"/>
  <c r="C1559" i="3"/>
  <c r="A1558" i="3"/>
  <c r="B1558" i="3"/>
  <c r="C1558" i="3"/>
  <c r="A1557" i="3"/>
  <c r="B1557" i="3"/>
  <c r="C1557" i="3"/>
  <c r="A1556" i="3"/>
  <c r="B1556" i="3"/>
  <c r="C1556" i="3"/>
  <c r="A1555" i="3"/>
  <c r="B1555" i="3"/>
  <c r="C1555" i="3"/>
  <c r="A1554" i="3"/>
  <c r="B1554" i="3"/>
  <c r="C1554" i="3"/>
  <c r="A1553" i="3"/>
  <c r="B1553" i="3"/>
  <c r="C1553" i="3"/>
  <c r="A1552" i="3"/>
  <c r="B1552" i="3"/>
  <c r="C1552" i="3"/>
  <c r="A1551" i="3"/>
  <c r="B1551" i="3"/>
  <c r="C1551" i="3"/>
  <c r="A1550" i="3"/>
  <c r="B1550" i="3"/>
  <c r="C1550" i="3"/>
  <c r="A1549" i="3"/>
  <c r="B1549" i="3"/>
  <c r="C1549" i="3"/>
  <c r="A1548" i="3"/>
  <c r="B1548" i="3"/>
  <c r="C1548" i="3"/>
  <c r="A1547" i="3"/>
  <c r="B1547" i="3"/>
  <c r="C1547" i="3"/>
  <c r="A1546" i="3"/>
  <c r="B1546" i="3"/>
  <c r="C1546" i="3"/>
  <c r="A1545" i="3"/>
  <c r="B1545" i="3"/>
  <c r="C1545" i="3"/>
  <c r="A1544" i="3"/>
  <c r="B1544" i="3"/>
  <c r="C1544" i="3"/>
  <c r="A1543" i="3"/>
  <c r="B1543" i="3"/>
  <c r="C1543" i="3"/>
  <c r="A1542" i="3"/>
  <c r="B1542" i="3"/>
  <c r="C1542" i="3"/>
  <c r="A1541" i="3"/>
  <c r="B1541" i="3"/>
  <c r="C1541" i="3"/>
  <c r="A1540" i="3"/>
  <c r="B1540" i="3"/>
  <c r="C1540" i="3"/>
  <c r="A1539" i="3"/>
  <c r="B1539" i="3"/>
  <c r="C1539" i="3"/>
  <c r="A1538" i="3"/>
  <c r="B1538" i="3"/>
  <c r="C1538" i="3"/>
  <c r="A1537" i="3"/>
  <c r="B1537" i="3"/>
  <c r="C1537" i="3"/>
  <c r="A1536" i="3"/>
  <c r="B1536" i="3"/>
  <c r="C1536" i="3"/>
  <c r="A1535" i="3"/>
  <c r="B1535" i="3"/>
  <c r="C1535" i="3"/>
  <c r="A1534" i="3"/>
  <c r="B1534" i="3"/>
  <c r="C1534" i="3"/>
  <c r="A1533" i="3"/>
  <c r="B1533" i="3"/>
  <c r="C1533" i="3"/>
  <c r="A1532" i="3"/>
  <c r="B1532" i="3"/>
  <c r="C1532" i="3"/>
  <c r="A1531" i="3"/>
  <c r="B1531" i="3"/>
  <c r="C1531" i="3"/>
  <c r="A1530" i="3"/>
  <c r="B1530" i="3"/>
  <c r="C1530" i="3"/>
  <c r="A1529" i="3"/>
  <c r="B1529" i="3"/>
  <c r="C1529" i="3"/>
  <c r="A1528" i="3"/>
  <c r="B1528" i="3"/>
  <c r="C1528" i="3"/>
  <c r="A1527" i="3"/>
  <c r="B1527" i="3"/>
  <c r="C1527" i="3"/>
  <c r="A1526" i="3"/>
  <c r="B1526" i="3"/>
  <c r="C1526" i="3"/>
  <c r="A1525" i="3"/>
  <c r="B1525" i="3"/>
  <c r="C1525" i="3"/>
  <c r="A1524" i="3"/>
  <c r="B1524" i="3"/>
  <c r="C1524" i="3"/>
  <c r="A1523" i="3"/>
  <c r="B1523" i="3"/>
  <c r="C1523" i="3"/>
  <c r="A1522" i="3"/>
  <c r="B1522" i="3"/>
  <c r="C1522" i="3"/>
  <c r="A1521" i="3"/>
  <c r="B1521" i="3"/>
  <c r="C1521" i="3"/>
  <c r="A1520" i="3"/>
  <c r="B1520" i="3"/>
  <c r="C1520" i="3"/>
  <c r="A1519" i="3"/>
  <c r="B1519" i="3"/>
  <c r="C1519" i="3"/>
  <c r="A1518" i="3"/>
  <c r="B1518" i="3"/>
  <c r="C1518" i="3"/>
  <c r="A1517" i="3"/>
  <c r="B1517" i="3"/>
  <c r="C1517" i="3"/>
  <c r="A1516" i="3"/>
  <c r="B1516" i="3"/>
  <c r="C1516" i="3"/>
  <c r="A1515" i="3"/>
  <c r="B1515" i="3"/>
  <c r="C1515" i="3"/>
  <c r="A1514" i="3"/>
  <c r="B1514" i="3"/>
  <c r="C1514" i="3"/>
  <c r="A1513" i="3"/>
  <c r="B1513" i="3"/>
  <c r="C1513" i="3"/>
  <c r="A1512" i="3"/>
  <c r="B1512" i="3"/>
  <c r="C1512" i="3"/>
  <c r="A1511" i="3"/>
  <c r="B1511" i="3"/>
  <c r="C1511" i="3"/>
  <c r="A1510" i="3"/>
  <c r="B1510" i="3"/>
  <c r="C1510" i="3"/>
  <c r="A1509" i="3"/>
  <c r="B1509" i="3"/>
  <c r="C1509" i="3"/>
  <c r="A1508" i="3"/>
  <c r="B1508" i="3"/>
  <c r="C1508" i="3"/>
  <c r="A1507" i="3"/>
  <c r="B1507" i="3"/>
  <c r="C1507" i="3"/>
  <c r="A1506" i="3"/>
  <c r="B1506" i="3"/>
  <c r="C1506" i="3"/>
  <c r="A1505" i="3"/>
  <c r="B1505" i="3"/>
  <c r="C1505" i="3"/>
  <c r="A1504" i="3"/>
  <c r="B1504" i="3"/>
  <c r="C1504" i="3"/>
  <c r="A1503" i="3"/>
  <c r="B1503" i="3"/>
  <c r="C1503" i="3"/>
  <c r="A1502" i="3"/>
  <c r="B1502" i="3"/>
  <c r="C1502" i="3"/>
  <c r="A1501" i="3"/>
  <c r="B1501" i="3"/>
  <c r="C1501" i="3"/>
  <c r="A1500" i="3"/>
  <c r="B1500" i="3"/>
  <c r="C1500" i="3"/>
  <c r="A1499" i="3"/>
  <c r="B1499" i="3"/>
  <c r="C1499" i="3"/>
  <c r="A1498" i="3"/>
  <c r="B1498" i="3"/>
  <c r="C1498" i="3"/>
  <c r="A1497" i="3"/>
  <c r="B1497" i="3"/>
  <c r="C1497" i="3"/>
  <c r="A1496" i="3"/>
  <c r="B1496" i="3"/>
  <c r="C1496" i="3"/>
  <c r="A1495" i="3"/>
  <c r="B1495" i="3"/>
  <c r="C1495" i="3"/>
  <c r="A1494" i="3"/>
  <c r="B1494" i="3"/>
  <c r="C1494" i="3"/>
  <c r="A1493" i="3"/>
  <c r="B1493" i="3"/>
  <c r="C1493" i="3"/>
  <c r="A1492" i="3"/>
  <c r="B1492" i="3"/>
  <c r="C1492" i="3"/>
  <c r="A1491" i="3"/>
  <c r="B1491" i="3"/>
  <c r="C1491" i="3"/>
  <c r="A1490" i="3"/>
  <c r="B1490" i="3"/>
  <c r="C1490" i="3"/>
  <c r="A1489" i="3"/>
  <c r="B1489" i="3"/>
  <c r="C1489" i="3"/>
  <c r="A1488" i="3"/>
  <c r="B1488" i="3"/>
  <c r="C1488" i="3"/>
  <c r="A1487" i="3"/>
  <c r="B1487" i="3"/>
  <c r="C1487" i="3"/>
  <c r="A1486" i="3"/>
  <c r="B1486" i="3"/>
  <c r="C1486" i="3"/>
  <c r="A1485" i="3"/>
  <c r="B1485" i="3"/>
  <c r="C1485" i="3"/>
  <c r="A1484" i="3"/>
  <c r="B1484" i="3"/>
  <c r="C1484" i="3"/>
  <c r="A1483" i="3"/>
  <c r="B1483" i="3"/>
  <c r="C1483" i="3"/>
  <c r="A1482" i="3"/>
  <c r="B1482" i="3"/>
  <c r="C1482" i="3"/>
  <c r="A1481" i="3"/>
  <c r="B1481" i="3"/>
  <c r="C1481" i="3"/>
  <c r="A1480" i="3"/>
  <c r="B1480" i="3"/>
  <c r="C1480" i="3"/>
  <c r="A1479" i="3"/>
  <c r="B1479" i="3"/>
  <c r="C1479" i="3"/>
  <c r="A1478" i="3"/>
  <c r="B1478" i="3"/>
  <c r="C1478" i="3"/>
  <c r="A1477" i="3"/>
  <c r="B1477" i="3"/>
  <c r="C1477" i="3"/>
  <c r="A1476" i="3"/>
  <c r="B1476" i="3"/>
  <c r="C1476" i="3"/>
  <c r="A1475" i="3"/>
  <c r="B1475" i="3"/>
  <c r="C1475" i="3"/>
  <c r="A1474" i="3"/>
  <c r="B1474" i="3"/>
  <c r="C1474" i="3"/>
  <c r="A1473" i="3"/>
  <c r="B1473" i="3"/>
  <c r="C1473" i="3"/>
  <c r="A1472" i="3"/>
  <c r="B1472" i="3"/>
  <c r="C1472" i="3"/>
  <c r="A1471" i="3"/>
  <c r="B1471" i="3"/>
  <c r="C1471" i="3"/>
  <c r="A1470" i="3"/>
  <c r="B1470" i="3"/>
  <c r="C1470" i="3"/>
  <c r="A1469" i="3"/>
  <c r="B1469" i="3"/>
  <c r="C1469" i="3"/>
  <c r="A1468" i="3"/>
  <c r="B1468" i="3"/>
  <c r="C1468" i="3"/>
  <c r="A1467" i="3"/>
  <c r="B1467" i="3"/>
  <c r="C1467" i="3"/>
  <c r="A1466" i="3"/>
  <c r="B1466" i="3"/>
  <c r="C1466" i="3"/>
  <c r="A1465" i="3"/>
  <c r="B1465" i="3"/>
  <c r="C1465" i="3"/>
  <c r="A1464" i="3"/>
  <c r="B1464" i="3"/>
  <c r="C1464" i="3"/>
  <c r="A1463" i="3"/>
  <c r="B1463" i="3"/>
  <c r="C1463" i="3"/>
  <c r="A1462" i="3"/>
  <c r="B1462" i="3"/>
  <c r="C1462" i="3"/>
  <c r="A1461" i="3"/>
  <c r="B1461" i="3"/>
  <c r="C1461" i="3"/>
  <c r="A1460" i="3"/>
  <c r="B1460" i="3"/>
  <c r="C1460" i="3"/>
  <c r="A1459" i="3"/>
  <c r="B1459" i="3"/>
  <c r="C1459" i="3"/>
  <c r="A1458" i="3"/>
  <c r="B1458" i="3"/>
  <c r="C1458" i="3"/>
  <c r="A1457" i="3"/>
  <c r="B1457" i="3"/>
  <c r="C1457" i="3"/>
  <c r="A1456" i="3"/>
  <c r="B1456" i="3"/>
  <c r="C1456" i="3"/>
  <c r="A1455" i="3"/>
  <c r="B1455" i="3"/>
  <c r="C1455" i="3"/>
  <c r="A1454" i="3"/>
  <c r="B1454" i="3"/>
  <c r="C1454" i="3"/>
  <c r="A1453" i="3"/>
  <c r="B1453" i="3"/>
  <c r="C1453" i="3"/>
  <c r="A1452" i="3"/>
  <c r="B1452" i="3"/>
  <c r="C1452" i="3"/>
  <c r="A1451" i="3"/>
  <c r="B1451" i="3"/>
  <c r="C1451" i="3"/>
  <c r="A1450" i="3"/>
  <c r="B1450" i="3"/>
  <c r="C1450" i="3"/>
  <c r="A1449" i="3"/>
  <c r="B1449" i="3"/>
  <c r="C1449" i="3"/>
  <c r="A1448" i="3"/>
  <c r="B1448" i="3"/>
  <c r="C1448" i="3"/>
  <c r="A1447" i="3"/>
  <c r="B1447" i="3"/>
  <c r="C1447" i="3"/>
  <c r="A1446" i="3"/>
  <c r="B1446" i="3"/>
  <c r="C1446" i="3"/>
  <c r="A1445" i="3"/>
  <c r="B1445" i="3"/>
  <c r="C1445" i="3"/>
  <c r="A1444" i="3"/>
  <c r="B1444" i="3"/>
  <c r="C1444" i="3"/>
  <c r="A1443" i="3"/>
  <c r="B1443" i="3"/>
  <c r="C1443" i="3"/>
  <c r="A1442" i="3"/>
  <c r="B1442" i="3"/>
  <c r="C1442" i="3"/>
  <c r="A1441" i="3"/>
  <c r="B1441" i="3"/>
  <c r="C1441" i="3"/>
  <c r="A1440" i="3"/>
  <c r="B1440" i="3"/>
  <c r="C1440" i="3"/>
  <c r="A1439" i="3"/>
  <c r="B1439" i="3"/>
  <c r="C1439" i="3"/>
  <c r="A1438" i="3"/>
  <c r="B1438" i="3"/>
  <c r="C1438" i="3"/>
  <c r="A1437" i="3"/>
  <c r="B1437" i="3"/>
  <c r="C1437" i="3"/>
  <c r="A1436" i="3"/>
  <c r="B1436" i="3"/>
  <c r="C1436" i="3"/>
  <c r="A1435" i="3"/>
  <c r="B1435" i="3"/>
  <c r="C1435" i="3"/>
  <c r="A1434" i="3"/>
  <c r="B1434" i="3"/>
  <c r="C1434" i="3"/>
  <c r="A1433" i="3"/>
  <c r="B1433" i="3"/>
  <c r="C1433" i="3"/>
  <c r="A1432" i="3"/>
  <c r="B1432" i="3"/>
  <c r="C1432" i="3"/>
  <c r="A1431" i="3"/>
  <c r="B1431" i="3"/>
  <c r="C1431" i="3"/>
  <c r="A1430" i="3"/>
  <c r="B1430" i="3"/>
  <c r="C1430" i="3"/>
  <c r="A1429" i="3"/>
  <c r="B1429" i="3"/>
  <c r="C1429" i="3"/>
  <c r="A1428" i="3"/>
  <c r="B1428" i="3"/>
  <c r="C1428" i="3"/>
  <c r="A1427" i="3"/>
  <c r="B1427" i="3"/>
  <c r="C1427" i="3"/>
  <c r="A1426" i="3"/>
  <c r="B1426" i="3"/>
  <c r="C1426" i="3"/>
  <c r="A1425" i="3"/>
  <c r="B1425" i="3"/>
  <c r="C1425" i="3"/>
  <c r="A1424" i="3"/>
  <c r="B1424" i="3"/>
  <c r="C1424" i="3"/>
  <c r="A1423" i="3"/>
  <c r="B1423" i="3"/>
  <c r="C1423" i="3"/>
  <c r="A1422" i="3"/>
  <c r="B1422" i="3"/>
  <c r="C1422" i="3"/>
  <c r="A1421" i="3"/>
  <c r="B1421" i="3"/>
  <c r="C1421" i="3"/>
  <c r="A1420" i="3"/>
  <c r="B1420" i="3"/>
  <c r="C1420" i="3"/>
  <c r="A1419" i="3"/>
  <c r="B1419" i="3"/>
  <c r="C1419" i="3"/>
  <c r="A1418" i="3"/>
  <c r="B1418" i="3"/>
  <c r="C1418" i="3"/>
  <c r="A1417" i="3"/>
  <c r="B1417" i="3"/>
  <c r="C1417" i="3"/>
  <c r="A1416" i="3"/>
  <c r="B1416" i="3"/>
  <c r="C1416" i="3"/>
  <c r="A1415" i="3"/>
  <c r="B1415" i="3"/>
  <c r="C1415" i="3"/>
  <c r="A1414" i="3"/>
  <c r="B1414" i="3"/>
  <c r="C1414" i="3"/>
  <c r="A1413" i="3"/>
  <c r="B1413" i="3"/>
  <c r="C1413" i="3"/>
  <c r="A1412" i="3"/>
  <c r="B1412" i="3"/>
  <c r="C1412" i="3"/>
  <c r="A1411" i="3"/>
  <c r="B1411" i="3"/>
  <c r="C1411" i="3"/>
  <c r="A1410" i="3"/>
  <c r="B1410" i="3"/>
  <c r="C1410" i="3"/>
  <c r="A1409" i="3"/>
  <c r="B1409" i="3"/>
  <c r="C1409" i="3"/>
  <c r="A1408" i="3"/>
  <c r="B1408" i="3"/>
  <c r="C1408" i="3"/>
  <c r="A1407" i="3"/>
  <c r="B1407" i="3"/>
  <c r="C1407" i="3"/>
  <c r="A1406" i="3"/>
  <c r="B1406" i="3"/>
  <c r="C1406" i="3"/>
  <c r="A1405" i="3"/>
  <c r="B1405" i="3"/>
  <c r="C1405" i="3"/>
  <c r="A1404" i="3"/>
  <c r="B1404" i="3"/>
  <c r="C1404" i="3"/>
  <c r="A1403" i="3"/>
  <c r="B1403" i="3"/>
  <c r="C1403" i="3"/>
  <c r="A1402" i="3"/>
  <c r="B1402" i="3"/>
  <c r="C1402" i="3"/>
  <c r="A1401" i="3"/>
  <c r="B1401" i="3"/>
  <c r="C1401" i="3"/>
  <c r="A1400" i="3"/>
  <c r="B1400" i="3"/>
  <c r="C1400" i="3"/>
  <c r="A1399" i="3"/>
  <c r="B1399" i="3"/>
  <c r="C1399" i="3"/>
  <c r="A1398" i="3"/>
  <c r="B1398" i="3"/>
  <c r="C1398" i="3"/>
  <c r="A1397" i="3"/>
  <c r="B1397" i="3"/>
  <c r="C1397" i="3"/>
  <c r="A1396" i="3"/>
  <c r="B1396" i="3"/>
  <c r="C1396" i="3"/>
  <c r="A1395" i="3"/>
  <c r="B1395" i="3"/>
  <c r="C1395" i="3"/>
  <c r="A1394" i="3"/>
  <c r="B1394" i="3"/>
  <c r="C1394" i="3"/>
  <c r="A1393" i="3"/>
  <c r="B1393" i="3"/>
  <c r="C1393" i="3"/>
  <c r="A1392" i="3"/>
  <c r="B1392" i="3"/>
  <c r="C1392" i="3"/>
  <c r="A1391" i="3"/>
  <c r="B1391" i="3"/>
  <c r="C1391" i="3"/>
  <c r="A1390" i="3"/>
  <c r="B1390" i="3"/>
  <c r="C1390" i="3"/>
  <c r="A1389" i="3"/>
  <c r="B1389" i="3"/>
  <c r="C1389" i="3"/>
  <c r="A1388" i="3"/>
  <c r="B1388" i="3"/>
  <c r="C1388" i="3"/>
  <c r="A1387" i="3"/>
  <c r="B1387" i="3"/>
  <c r="C1387" i="3"/>
  <c r="A1386" i="3"/>
  <c r="B1386" i="3"/>
  <c r="C1386" i="3"/>
  <c r="A1385" i="3"/>
  <c r="B1385" i="3"/>
  <c r="C1385" i="3"/>
  <c r="A1384" i="3"/>
  <c r="B1384" i="3"/>
  <c r="C1384" i="3"/>
  <c r="A1383" i="3"/>
  <c r="B1383" i="3"/>
  <c r="C1383" i="3"/>
  <c r="A1382" i="3"/>
  <c r="B1382" i="3"/>
  <c r="C1382" i="3"/>
  <c r="A1381" i="3"/>
  <c r="B1381" i="3"/>
  <c r="C1381" i="3"/>
  <c r="A1380" i="3"/>
  <c r="B1380" i="3"/>
  <c r="C1380" i="3"/>
  <c r="A1379" i="3"/>
  <c r="B1379" i="3"/>
  <c r="C1379" i="3"/>
  <c r="A1378" i="3"/>
  <c r="B1378" i="3"/>
  <c r="C1378" i="3"/>
  <c r="A1377" i="3"/>
  <c r="B1377" i="3"/>
  <c r="C1377" i="3"/>
  <c r="A1376" i="3"/>
  <c r="B1376" i="3"/>
  <c r="C1376" i="3"/>
  <c r="A1375" i="3"/>
  <c r="B1375" i="3"/>
  <c r="C1375" i="3"/>
  <c r="A1374" i="3"/>
  <c r="B1374" i="3"/>
  <c r="C1374" i="3"/>
  <c r="A1373" i="3"/>
  <c r="B1373" i="3"/>
  <c r="C1373" i="3"/>
  <c r="A1372" i="3"/>
  <c r="B1372" i="3"/>
  <c r="C1372" i="3"/>
  <c r="A1371" i="3"/>
  <c r="B1371" i="3"/>
  <c r="C1371" i="3"/>
  <c r="A1370" i="3"/>
  <c r="B1370" i="3"/>
  <c r="C1370" i="3"/>
  <c r="A1369" i="3"/>
  <c r="B1369" i="3"/>
  <c r="C1369" i="3"/>
  <c r="A1368" i="3"/>
  <c r="B1368" i="3"/>
  <c r="C1368" i="3"/>
  <c r="A1367" i="3"/>
  <c r="B1367" i="3"/>
  <c r="C1367" i="3"/>
  <c r="A1366" i="3"/>
  <c r="B1366" i="3"/>
  <c r="C1366" i="3"/>
  <c r="A1365" i="3"/>
  <c r="B1365" i="3"/>
  <c r="C1365" i="3"/>
  <c r="A1364" i="3"/>
  <c r="B1364" i="3"/>
  <c r="C1364" i="3"/>
  <c r="A1363" i="3"/>
  <c r="B1363" i="3"/>
  <c r="C1363" i="3"/>
  <c r="A1362" i="3"/>
  <c r="B1362" i="3"/>
  <c r="C1362" i="3"/>
  <c r="A1361" i="3"/>
  <c r="B1361" i="3"/>
  <c r="C1361" i="3"/>
  <c r="A1360" i="3"/>
  <c r="B1360" i="3"/>
  <c r="C1360" i="3"/>
  <c r="A1359" i="3"/>
  <c r="B1359" i="3"/>
  <c r="C1359" i="3"/>
  <c r="A1357" i="3"/>
  <c r="B1357" i="3"/>
  <c r="C1357" i="3"/>
  <c r="A1356" i="3"/>
  <c r="B1356" i="3"/>
  <c r="C1356" i="3"/>
  <c r="A1355" i="3"/>
  <c r="B1355" i="3"/>
  <c r="C1355" i="3"/>
  <c r="A1354" i="3"/>
  <c r="B1354" i="3"/>
  <c r="C1354" i="3"/>
  <c r="A1353" i="3"/>
  <c r="B1353" i="3"/>
  <c r="C1353" i="3"/>
  <c r="A1352" i="3"/>
  <c r="B1352" i="3"/>
  <c r="C1352" i="3"/>
  <c r="A1351" i="3"/>
  <c r="B1351" i="3"/>
  <c r="C1351" i="3"/>
  <c r="A1350" i="3"/>
  <c r="B1350" i="3"/>
  <c r="C1350" i="3"/>
  <c r="A1349" i="3"/>
  <c r="B1349" i="3"/>
  <c r="C1349" i="3"/>
  <c r="A1348" i="3"/>
  <c r="B1348" i="3"/>
  <c r="C1348" i="3"/>
  <c r="A1347" i="3"/>
  <c r="B1347" i="3"/>
  <c r="C1347" i="3"/>
  <c r="A1346" i="3"/>
  <c r="B1346" i="3"/>
  <c r="C1346" i="3"/>
  <c r="A1345" i="3"/>
  <c r="B1345" i="3"/>
  <c r="C1345" i="3"/>
  <c r="A1344" i="3"/>
  <c r="B1344" i="3"/>
  <c r="C1344" i="3"/>
  <c r="A1343" i="3"/>
  <c r="B1343" i="3"/>
  <c r="C1343" i="3"/>
  <c r="A1342" i="3"/>
  <c r="B1342" i="3"/>
  <c r="C1342" i="3"/>
  <c r="A1341" i="3"/>
  <c r="B1341" i="3"/>
  <c r="C1341" i="3"/>
  <c r="A1340" i="3"/>
  <c r="B1340" i="3"/>
  <c r="C1340" i="3"/>
  <c r="A1339" i="3"/>
  <c r="B1339" i="3"/>
  <c r="C1339" i="3"/>
  <c r="A1338" i="3"/>
  <c r="B1338" i="3"/>
  <c r="C1338" i="3"/>
  <c r="A1337" i="3"/>
  <c r="B1337" i="3"/>
  <c r="C1337" i="3"/>
  <c r="A1336" i="3"/>
  <c r="B1336" i="3"/>
  <c r="C1336" i="3"/>
  <c r="A1335" i="3"/>
  <c r="B1335" i="3"/>
  <c r="C1335" i="3"/>
  <c r="A1334" i="3"/>
  <c r="B1334" i="3"/>
  <c r="C1334" i="3"/>
  <c r="A1333" i="3"/>
  <c r="B1333" i="3"/>
  <c r="C1333" i="3"/>
  <c r="A1332" i="3"/>
  <c r="B1332" i="3"/>
  <c r="C1332" i="3"/>
  <c r="A1331" i="3"/>
  <c r="B1331" i="3"/>
  <c r="C1331" i="3"/>
  <c r="A1330" i="3"/>
  <c r="B1330" i="3"/>
  <c r="C1330" i="3"/>
  <c r="A1329" i="3"/>
  <c r="B1329" i="3"/>
  <c r="C1329" i="3"/>
  <c r="A1328" i="3"/>
  <c r="B1328" i="3"/>
  <c r="C1328" i="3"/>
  <c r="A1327" i="3"/>
  <c r="B1327" i="3"/>
  <c r="C1327" i="3"/>
  <c r="A1326" i="3"/>
  <c r="B1326" i="3"/>
  <c r="C1326" i="3"/>
  <c r="A1325" i="3"/>
  <c r="B1325" i="3"/>
  <c r="C1325" i="3"/>
  <c r="A1324" i="3"/>
  <c r="B1324" i="3"/>
  <c r="C1324" i="3"/>
  <c r="A1323" i="3"/>
  <c r="B1323" i="3"/>
  <c r="C1323" i="3"/>
  <c r="A1322" i="3"/>
  <c r="B1322" i="3"/>
  <c r="C1322" i="3"/>
  <c r="A1321" i="3"/>
  <c r="B1321" i="3"/>
  <c r="C1321" i="3"/>
  <c r="A1320" i="3"/>
  <c r="B1320" i="3"/>
  <c r="C1320" i="3"/>
  <c r="A1319" i="3"/>
  <c r="B1319" i="3"/>
  <c r="C1319" i="3"/>
  <c r="A1318" i="3"/>
  <c r="B1318" i="3"/>
  <c r="C1318" i="3"/>
  <c r="A1317" i="3"/>
  <c r="B1317" i="3"/>
  <c r="C1317" i="3"/>
  <c r="A1316" i="3"/>
  <c r="B1316" i="3"/>
  <c r="C1316" i="3"/>
  <c r="A1315" i="3"/>
  <c r="B1315" i="3"/>
  <c r="C1315" i="3"/>
  <c r="A1314" i="3"/>
  <c r="B1314" i="3"/>
  <c r="C1314" i="3"/>
  <c r="A1313" i="3"/>
  <c r="B1313" i="3"/>
  <c r="C1313" i="3"/>
  <c r="A1312" i="3"/>
  <c r="B1312" i="3"/>
  <c r="C1312" i="3"/>
  <c r="A1311" i="3"/>
  <c r="B1311" i="3"/>
  <c r="C1311" i="3"/>
  <c r="A1310" i="3"/>
  <c r="B1310" i="3"/>
  <c r="C1310" i="3"/>
  <c r="A1309" i="3"/>
  <c r="B1309" i="3"/>
  <c r="C1309" i="3"/>
  <c r="A1308" i="3"/>
  <c r="B1308" i="3"/>
  <c r="C1308" i="3"/>
  <c r="A1307" i="3"/>
  <c r="B1307" i="3"/>
  <c r="C1307" i="3"/>
  <c r="A1306" i="3"/>
  <c r="B1306" i="3"/>
  <c r="C1306" i="3"/>
  <c r="A1305" i="3"/>
  <c r="B1305" i="3"/>
  <c r="C1305" i="3"/>
  <c r="A1304" i="3"/>
  <c r="B1304" i="3"/>
  <c r="C1304" i="3"/>
  <c r="A1303" i="3"/>
  <c r="B1303" i="3"/>
  <c r="C1303" i="3"/>
  <c r="A1302" i="3"/>
  <c r="B1302" i="3"/>
  <c r="C1302" i="3"/>
  <c r="A1301" i="3"/>
  <c r="B1301" i="3"/>
  <c r="C1301" i="3"/>
  <c r="A1300" i="3"/>
  <c r="B1300" i="3"/>
  <c r="C1300" i="3"/>
  <c r="A1299" i="3"/>
  <c r="B1299" i="3"/>
  <c r="C1299" i="3"/>
  <c r="A1298" i="3"/>
  <c r="B1298" i="3"/>
  <c r="C1298" i="3"/>
  <c r="A1297" i="3"/>
  <c r="B1297" i="3"/>
  <c r="C1297" i="3"/>
  <c r="A1296" i="3"/>
  <c r="B1296" i="3"/>
  <c r="C1296" i="3"/>
  <c r="A1295" i="3"/>
  <c r="B1295" i="3"/>
  <c r="C1295" i="3"/>
  <c r="A1294" i="3"/>
  <c r="B1294" i="3"/>
  <c r="C1294" i="3"/>
  <c r="A1293" i="3"/>
  <c r="B1293" i="3"/>
  <c r="C1293" i="3"/>
  <c r="A1292" i="3"/>
  <c r="B1292" i="3"/>
  <c r="C1292" i="3"/>
  <c r="A1291" i="3"/>
  <c r="B1291" i="3"/>
  <c r="C1291" i="3"/>
  <c r="A1290" i="3"/>
  <c r="B1290" i="3"/>
  <c r="C1290" i="3"/>
  <c r="A1289" i="3"/>
  <c r="B1289" i="3"/>
  <c r="C1289" i="3"/>
  <c r="A1288" i="3"/>
  <c r="B1288" i="3"/>
  <c r="C1288" i="3"/>
  <c r="A1287" i="3"/>
  <c r="B1287" i="3"/>
  <c r="C1287" i="3"/>
  <c r="A1286" i="3"/>
  <c r="B1286" i="3"/>
  <c r="C1286" i="3"/>
  <c r="A1285" i="3"/>
  <c r="B1285" i="3"/>
  <c r="C1285" i="3"/>
  <c r="A1284" i="3"/>
  <c r="B1284" i="3"/>
  <c r="C1284" i="3"/>
  <c r="A1283" i="3"/>
  <c r="B1283" i="3"/>
  <c r="C1283" i="3"/>
  <c r="A1282" i="3"/>
  <c r="B1282" i="3"/>
  <c r="C1282" i="3"/>
  <c r="A1281" i="3"/>
  <c r="B1281" i="3"/>
  <c r="C1281" i="3"/>
  <c r="A1280" i="3"/>
  <c r="B1280" i="3"/>
  <c r="C1280" i="3"/>
  <c r="A1279" i="3"/>
  <c r="B1279" i="3"/>
  <c r="C1279" i="3"/>
  <c r="A1278" i="3"/>
  <c r="B1278" i="3"/>
  <c r="C1278" i="3"/>
  <c r="A1277" i="3"/>
  <c r="B1277" i="3"/>
  <c r="C1277" i="3"/>
  <c r="A1276" i="3"/>
  <c r="B1276" i="3"/>
  <c r="C1276" i="3"/>
  <c r="A1275" i="3"/>
  <c r="B1275" i="3"/>
  <c r="C1275" i="3"/>
  <c r="A1274" i="3"/>
  <c r="B1274" i="3"/>
  <c r="C1274" i="3"/>
  <c r="A1273" i="3"/>
  <c r="B1273" i="3"/>
  <c r="C1273" i="3"/>
  <c r="A1272" i="3"/>
  <c r="B1272" i="3"/>
  <c r="C1272" i="3"/>
  <c r="A1271" i="3"/>
  <c r="B1271" i="3"/>
  <c r="C1271" i="3"/>
  <c r="A1270" i="3"/>
  <c r="B1270" i="3"/>
  <c r="C1270" i="3"/>
  <c r="A1269" i="3"/>
  <c r="B1269" i="3"/>
  <c r="C1269" i="3"/>
  <c r="A1268" i="3"/>
  <c r="B1268" i="3"/>
  <c r="C1268" i="3"/>
  <c r="A1267" i="3"/>
  <c r="B1267" i="3"/>
  <c r="C1267" i="3"/>
  <c r="A1266" i="3"/>
  <c r="B1266" i="3"/>
  <c r="C1266" i="3"/>
  <c r="A1265" i="3"/>
  <c r="B1265" i="3"/>
  <c r="C1265" i="3"/>
  <c r="A1264" i="3"/>
  <c r="B1264" i="3"/>
  <c r="C1264" i="3"/>
  <c r="A1263" i="3"/>
  <c r="B1263" i="3"/>
  <c r="C1263" i="3"/>
  <c r="A1262" i="3"/>
  <c r="B1262" i="3"/>
  <c r="C1262" i="3"/>
  <c r="A1261" i="3"/>
  <c r="B1261" i="3"/>
  <c r="C1261" i="3"/>
  <c r="A1260" i="3"/>
  <c r="B1260" i="3"/>
  <c r="C1260" i="3"/>
  <c r="A1259" i="3"/>
  <c r="B1259" i="3"/>
  <c r="C1259" i="3"/>
  <c r="A1258" i="3"/>
  <c r="B1258" i="3"/>
  <c r="C1258" i="3"/>
  <c r="A1257" i="3"/>
  <c r="B1257" i="3"/>
  <c r="C1257" i="3"/>
  <c r="A1256" i="3"/>
  <c r="B1256" i="3"/>
  <c r="C1256" i="3"/>
  <c r="A1255" i="3"/>
  <c r="B1255" i="3"/>
  <c r="C1255" i="3"/>
  <c r="A1254" i="3"/>
  <c r="B1254" i="3"/>
  <c r="C1254" i="3"/>
  <c r="A1253" i="3"/>
  <c r="B1253" i="3"/>
  <c r="C1253" i="3"/>
  <c r="A1252" i="3"/>
  <c r="B1252" i="3"/>
  <c r="C1252" i="3"/>
  <c r="A1251" i="3"/>
  <c r="B1251" i="3"/>
  <c r="C1251" i="3"/>
  <c r="A1250" i="3"/>
  <c r="B1250" i="3"/>
  <c r="C1250" i="3"/>
  <c r="A1249" i="3"/>
  <c r="B1249" i="3"/>
  <c r="C1249" i="3"/>
  <c r="A1248" i="3"/>
  <c r="B1248" i="3"/>
  <c r="C1248" i="3"/>
  <c r="A1247" i="3"/>
  <c r="B1247" i="3"/>
  <c r="C1247" i="3"/>
  <c r="A1246" i="3"/>
  <c r="B1246" i="3"/>
  <c r="C1246" i="3"/>
  <c r="A1245" i="3"/>
  <c r="B1245" i="3"/>
  <c r="C1245" i="3"/>
  <c r="A1244" i="3"/>
  <c r="B1244" i="3"/>
  <c r="C1244" i="3"/>
  <c r="A1243" i="3"/>
  <c r="B1243" i="3"/>
  <c r="C1243" i="3"/>
  <c r="A1242" i="3"/>
  <c r="B1242" i="3"/>
  <c r="C1242" i="3"/>
  <c r="A1241" i="3"/>
  <c r="B1241" i="3"/>
  <c r="C1241" i="3"/>
  <c r="A1240" i="3"/>
  <c r="B1240" i="3"/>
  <c r="C1240" i="3"/>
  <c r="A1239" i="3"/>
  <c r="B1239" i="3"/>
  <c r="C1239" i="3"/>
  <c r="A1238" i="3"/>
  <c r="B1238" i="3"/>
  <c r="C1238" i="3"/>
  <c r="A1237" i="3"/>
  <c r="B1237" i="3"/>
  <c r="C1237" i="3"/>
  <c r="A1236" i="3"/>
  <c r="B1236" i="3"/>
  <c r="C1236" i="3"/>
  <c r="A1235" i="3"/>
  <c r="B1235" i="3"/>
  <c r="C1235" i="3"/>
  <c r="A1234" i="3"/>
  <c r="B1234" i="3"/>
  <c r="C1234" i="3"/>
  <c r="A1233" i="3"/>
  <c r="B1233" i="3"/>
  <c r="C1233" i="3"/>
  <c r="A1232" i="3"/>
  <c r="B1232" i="3"/>
  <c r="C1232" i="3"/>
  <c r="A1231" i="3"/>
  <c r="B1231" i="3"/>
  <c r="C1231" i="3"/>
  <c r="A1230" i="3"/>
  <c r="B1230" i="3"/>
  <c r="C1230" i="3"/>
  <c r="A1229" i="3"/>
  <c r="B1229" i="3"/>
  <c r="C1229" i="3"/>
  <c r="A1228" i="3"/>
  <c r="B1228" i="3"/>
  <c r="C1228" i="3"/>
  <c r="A1227" i="3"/>
  <c r="B1227" i="3"/>
  <c r="C1227" i="3"/>
  <c r="A1226" i="3"/>
  <c r="B1226" i="3"/>
  <c r="C1226" i="3"/>
  <c r="A1225" i="3"/>
  <c r="B1225" i="3"/>
  <c r="C1225" i="3"/>
  <c r="A1224" i="3"/>
  <c r="B1224" i="3"/>
  <c r="C1224" i="3"/>
  <c r="A1223" i="3"/>
  <c r="B1223" i="3"/>
  <c r="C1223" i="3"/>
  <c r="A1222" i="3"/>
  <c r="B1222" i="3"/>
  <c r="C1222" i="3"/>
  <c r="A1221" i="3"/>
  <c r="B1221" i="3"/>
  <c r="C1221" i="3"/>
  <c r="A1220" i="3"/>
  <c r="B1220" i="3"/>
  <c r="C1220" i="3"/>
  <c r="A1219" i="3"/>
  <c r="B1219" i="3"/>
  <c r="C1219" i="3"/>
  <c r="A1218" i="3"/>
  <c r="B1218" i="3"/>
  <c r="C1218" i="3"/>
  <c r="A1217" i="3"/>
  <c r="B1217" i="3"/>
  <c r="C1217" i="3"/>
  <c r="A1216" i="3"/>
  <c r="B1216" i="3"/>
  <c r="C1216" i="3"/>
  <c r="A1215" i="3"/>
  <c r="B1215" i="3"/>
  <c r="C1215" i="3"/>
  <c r="A1214" i="3"/>
  <c r="B1214" i="3"/>
  <c r="C1214" i="3"/>
  <c r="A1213" i="3"/>
  <c r="B1213" i="3"/>
  <c r="C1213" i="3"/>
  <c r="A1212" i="3"/>
  <c r="B1212" i="3"/>
  <c r="C1212" i="3"/>
  <c r="A1211" i="3"/>
  <c r="B1211" i="3"/>
  <c r="C1211" i="3"/>
  <c r="A1210" i="3"/>
  <c r="B1210" i="3"/>
  <c r="C1210" i="3"/>
  <c r="A1209" i="3"/>
  <c r="B1209" i="3"/>
  <c r="C1209" i="3"/>
  <c r="A1208" i="3"/>
  <c r="B1208" i="3"/>
  <c r="C1208" i="3"/>
  <c r="A1207" i="3"/>
  <c r="B1207" i="3"/>
  <c r="C1207" i="3"/>
  <c r="A1206" i="3"/>
  <c r="B1206" i="3"/>
  <c r="C1206" i="3"/>
  <c r="A1205" i="3"/>
  <c r="B1205" i="3"/>
  <c r="C1205" i="3"/>
  <c r="A1204" i="3"/>
  <c r="B1204" i="3"/>
  <c r="C1204" i="3"/>
  <c r="A1203" i="3"/>
  <c r="B1203" i="3"/>
  <c r="C1203" i="3"/>
  <c r="A1202" i="3"/>
  <c r="B1202" i="3"/>
  <c r="C1202" i="3"/>
  <c r="A1201" i="3"/>
  <c r="B1201" i="3"/>
  <c r="C1201" i="3"/>
  <c r="A1200" i="3"/>
  <c r="B1200" i="3"/>
  <c r="C1200" i="3"/>
  <c r="A1199" i="3"/>
  <c r="B1199" i="3"/>
  <c r="C1199" i="3"/>
  <c r="A1198" i="3"/>
  <c r="B1198" i="3"/>
  <c r="C1198" i="3"/>
  <c r="A1197" i="3"/>
  <c r="B1197" i="3"/>
  <c r="C1197" i="3"/>
  <c r="A1196" i="3"/>
  <c r="B1196" i="3"/>
  <c r="C1196" i="3"/>
  <c r="A1195" i="3"/>
  <c r="B1195" i="3"/>
  <c r="C1195" i="3"/>
  <c r="A1194" i="3"/>
  <c r="B1194" i="3"/>
  <c r="C1194" i="3"/>
  <c r="A1193" i="3"/>
  <c r="B1193" i="3"/>
  <c r="C1193" i="3"/>
  <c r="A1192" i="3"/>
  <c r="B1192" i="3"/>
  <c r="C1192" i="3"/>
  <c r="A1191" i="3"/>
  <c r="B1191" i="3"/>
  <c r="C1191" i="3"/>
  <c r="A1190" i="3"/>
  <c r="B1190" i="3"/>
  <c r="C1190" i="3"/>
  <c r="A1189" i="3"/>
  <c r="B1189" i="3"/>
  <c r="C1189" i="3"/>
  <c r="A1188" i="3"/>
  <c r="B1188" i="3"/>
  <c r="C1188" i="3"/>
  <c r="A1187" i="3"/>
  <c r="B1187" i="3"/>
  <c r="C1187" i="3"/>
  <c r="A1186" i="3"/>
  <c r="B1186" i="3"/>
  <c r="C1186" i="3"/>
  <c r="A1185" i="3"/>
  <c r="B1185" i="3"/>
  <c r="C1185" i="3"/>
  <c r="A1184" i="3"/>
  <c r="B1184" i="3"/>
  <c r="C1184" i="3"/>
  <c r="A1183" i="3"/>
  <c r="B1183" i="3"/>
  <c r="C1183" i="3"/>
  <c r="A1182" i="3"/>
  <c r="B1182" i="3"/>
  <c r="C1182" i="3"/>
  <c r="A1181" i="3"/>
  <c r="B1181" i="3"/>
  <c r="C1181" i="3"/>
  <c r="A1180" i="3"/>
  <c r="B1180" i="3"/>
  <c r="C1180" i="3"/>
  <c r="A1179" i="3"/>
  <c r="B1179" i="3"/>
  <c r="C1179" i="3"/>
  <c r="A1178" i="3"/>
  <c r="B1178" i="3"/>
  <c r="C1178" i="3"/>
  <c r="A1177" i="3"/>
  <c r="B1177" i="3"/>
  <c r="C1177" i="3"/>
  <c r="A1176" i="3"/>
  <c r="B1176" i="3"/>
  <c r="C1176" i="3"/>
  <c r="A1175" i="3"/>
  <c r="B1175" i="3"/>
  <c r="C1175" i="3"/>
  <c r="A1174" i="3"/>
  <c r="B1174" i="3"/>
  <c r="C1174" i="3"/>
  <c r="A1173" i="3"/>
  <c r="B1173" i="3"/>
  <c r="C1173" i="3"/>
  <c r="A1172" i="3"/>
  <c r="B1172" i="3"/>
  <c r="C1172" i="3"/>
  <c r="A1171" i="3"/>
  <c r="B1171" i="3"/>
  <c r="C1171" i="3"/>
  <c r="A1170" i="3"/>
  <c r="B1170" i="3"/>
  <c r="C1170" i="3"/>
  <c r="A1169" i="3"/>
  <c r="B1169" i="3"/>
  <c r="C1169" i="3"/>
  <c r="A1168" i="3"/>
  <c r="B1168" i="3"/>
  <c r="C1168" i="3"/>
  <c r="A1167" i="3"/>
  <c r="B1167" i="3"/>
  <c r="C1167" i="3"/>
  <c r="A1166" i="3"/>
  <c r="B1166" i="3"/>
  <c r="C1166" i="3"/>
  <c r="A1165" i="3"/>
  <c r="B1165" i="3"/>
  <c r="C1165" i="3"/>
  <c r="A1164" i="3"/>
  <c r="B1164" i="3"/>
  <c r="C1164" i="3"/>
  <c r="A1163" i="3"/>
  <c r="B1163" i="3"/>
  <c r="C1163" i="3"/>
  <c r="A1162" i="3"/>
  <c r="B1162" i="3"/>
  <c r="C1162" i="3"/>
  <c r="A1161" i="3"/>
  <c r="B1161" i="3"/>
  <c r="C1161" i="3"/>
  <c r="A1160" i="3"/>
  <c r="B1160" i="3"/>
  <c r="C1160" i="3"/>
  <c r="A1159" i="3"/>
  <c r="B1159" i="3"/>
  <c r="C1159" i="3"/>
  <c r="A1158" i="3"/>
  <c r="B1158" i="3"/>
  <c r="C1158" i="3"/>
  <c r="A1157" i="3"/>
  <c r="B1157" i="3"/>
  <c r="C1157" i="3"/>
  <c r="A1156" i="3"/>
  <c r="B1156" i="3"/>
  <c r="C1156" i="3"/>
  <c r="A1155" i="3"/>
  <c r="B1155" i="3"/>
  <c r="C1155" i="3"/>
  <c r="A1154" i="3"/>
  <c r="B1154" i="3"/>
  <c r="C1154" i="3"/>
  <c r="A1153" i="3"/>
  <c r="B1153" i="3"/>
  <c r="C1153" i="3"/>
  <c r="A1152" i="3"/>
  <c r="B1152" i="3"/>
  <c r="C1152" i="3"/>
  <c r="A1151" i="3"/>
  <c r="B1151" i="3"/>
  <c r="C1151" i="3"/>
  <c r="A1150" i="3"/>
  <c r="B1150" i="3"/>
  <c r="C1150" i="3"/>
  <c r="A1149" i="3"/>
  <c r="B1149" i="3"/>
  <c r="C1149" i="3"/>
  <c r="A1148" i="3"/>
  <c r="B1148" i="3"/>
  <c r="C1148" i="3"/>
  <c r="A1147" i="3"/>
  <c r="B1147" i="3"/>
  <c r="C1147" i="3"/>
  <c r="A1146" i="3"/>
  <c r="B1146" i="3"/>
  <c r="C1146" i="3"/>
  <c r="A1145" i="3"/>
  <c r="B1145" i="3"/>
  <c r="C1145" i="3"/>
  <c r="A1144" i="3"/>
  <c r="B1144" i="3"/>
  <c r="C1144" i="3"/>
  <c r="A1143" i="3"/>
  <c r="B1143" i="3"/>
  <c r="C1143" i="3"/>
  <c r="A1142" i="3"/>
  <c r="B1142" i="3"/>
  <c r="C1142" i="3"/>
  <c r="A1141" i="3"/>
  <c r="B1141" i="3"/>
  <c r="C1141" i="3"/>
  <c r="A1140" i="3"/>
  <c r="B1140" i="3"/>
  <c r="C1140" i="3"/>
  <c r="A1139" i="3"/>
  <c r="B1139" i="3"/>
  <c r="C1139" i="3"/>
  <c r="A1138" i="3"/>
  <c r="B1138" i="3"/>
  <c r="C1138" i="3"/>
  <c r="A1137" i="3"/>
  <c r="B1137" i="3"/>
  <c r="C1137" i="3"/>
  <c r="A1136" i="3"/>
  <c r="B1136" i="3"/>
  <c r="C1136" i="3"/>
  <c r="A1135" i="3"/>
  <c r="B1135" i="3"/>
  <c r="C1135" i="3"/>
  <c r="A1134" i="3"/>
  <c r="B1134" i="3"/>
  <c r="C1134" i="3"/>
  <c r="A1133" i="3"/>
  <c r="B1133" i="3"/>
  <c r="C1133" i="3"/>
  <c r="A1132" i="3"/>
  <c r="B1132" i="3"/>
  <c r="C1132" i="3"/>
  <c r="A1131" i="3"/>
  <c r="B1131" i="3"/>
  <c r="C1131" i="3"/>
  <c r="A1130" i="3"/>
  <c r="B1130" i="3"/>
  <c r="C1130" i="3"/>
  <c r="A1129" i="3"/>
  <c r="B1129" i="3"/>
  <c r="C1129" i="3"/>
  <c r="A1128" i="3"/>
  <c r="B1128" i="3"/>
  <c r="C1128" i="3"/>
  <c r="A1127" i="3"/>
  <c r="B1127" i="3"/>
  <c r="C1127" i="3"/>
  <c r="A1126" i="3"/>
  <c r="B1126" i="3"/>
  <c r="C1126" i="3"/>
  <c r="A1125" i="3"/>
  <c r="B1125" i="3"/>
  <c r="C1125" i="3"/>
  <c r="A1124" i="3"/>
  <c r="B1124" i="3"/>
  <c r="C1124" i="3"/>
  <c r="A1123" i="3"/>
  <c r="B1123" i="3"/>
  <c r="C1123" i="3"/>
  <c r="A1122" i="3"/>
  <c r="B1122" i="3"/>
  <c r="C1122" i="3"/>
  <c r="A1121" i="3"/>
  <c r="B1121" i="3"/>
  <c r="C1121" i="3"/>
  <c r="A1120" i="3"/>
  <c r="B1120" i="3"/>
  <c r="C1120" i="3"/>
  <c r="A1119" i="3"/>
  <c r="B1119" i="3"/>
  <c r="C1119" i="3"/>
  <c r="A1118" i="3"/>
  <c r="B1118" i="3"/>
  <c r="C1118" i="3"/>
  <c r="A1117" i="3"/>
  <c r="B1117" i="3"/>
  <c r="C1117" i="3"/>
  <c r="A1116" i="3"/>
  <c r="B1116" i="3"/>
  <c r="C1116" i="3"/>
  <c r="A1115" i="3"/>
  <c r="B1115" i="3"/>
  <c r="C1115" i="3"/>
  <c r="A1114" i="3"/>
  <c r="B1114" i="3"/>
  <c r="C1114" i="3"/>
  <c r="A1113" i="3"/>
  <c r="B1113" i="3"/>
  <c r="C1113" i="3"/>
  <c r="A1112" i="3"/>
  <c r="B1112" i="3"/>
  <c r="C1112" i="3"/>
  <c r="A1111" i="3"/>
  <c r="B1111" i="3"/>
  <c r="C1111" i="3"/>
  <c r="A1110" i="3"/>
  <c r="B1110" i="3"/>
  <c r="C1110" i="3"/>
  <c r="A1109" i="3"/>
  <c r="B1109" i="3"/>
  <c r="C1109" i="3"/>
  <c r="A1108" i="3"/>
  <c r="B1108" i="3"/>
  <c r="C1108" i="3"/>
  <c r="A1107" i="3"/>
  <c r="B1107" i="3"/>
  <c r="C1107" i="3"/>
  <c r="A1106" i="3"/>
  <c r="B1106" i="3"/>
  <c r="C1106" i="3"/>
  <c r="A1105" i="3"/>
  <c r="B1105" i="3"/>
  <c r="C1105" i="3"/>
  <c r="A1104" i="3"/>
  <c r="B1104" i="3"/>
  <c r="C1104" i="3"/>
  <c r="A1103" i="3"/>
  <c r="B1103" i="3"/>
  <c r="C1103" i="3"/>
  <c r="A1102" i="3"/>
  <c r="B1102" i="3"/>
  <c r="C1102" i="3"/>
  <c r="A1101" i="3"/>
  <c r="B1101" i="3"/>
  <c r="C1101" i="3"/>
  <c r="A1100" i="3"/>
  <c r="B1100" i="3"/>
  <c r="C1100" i="3"/>
  <c r="A1099" i="3"/>
  <c r="B1099" i="3"/>
  <c r="C1099" i="3"/>
  <c r="A1098" i="3"/>
  <c r="B1098" i="3"/>
  <c r="C1098" i="3"/>
  <c r="A1097" i="3"/>
  <c r="B1097" i="3"/>
  <c r="C1097" i="3"/>
  <c r="A1096" i="3"/>
  <c r="B1096" i="3"/>
  <c r="C1096" i="3"/>
  <c r="A1095" i="3"/>
  <c r="B1095" i="3"/>
  <c r="C1095" i="3"/>
  <c r="A1094" i="3"/>
  <c r="B1094" i="3"/>
  <c r="C1094" i="3"/>
  <c r="A1093" i="3"/>
  <c r="B1093" i="3"/>
  <c r="C1093" i="3"/>
  <c r="A1092" i="3"/>
  <c r="B1092" i="3"/>
  <c r="C1092" i="3"/>
  <c r="A1091" i="3"/>
  <c r="B1091" i="3"/>
  <c r="C1091" i="3"/>
  <c r="A1090" i="3"/>
  <c r="B1090" i="3"/>
  <c r="C1090" i="3"/>
  <c r="A1089" i="3"/>
  <c r="B1089" i="3"/>
  <c r="C1089" i="3"/>
  <c r="A1088" i="3"/>
  <c r="B1088" i="3"/>
  <c r="C1088" i="3"/>
  <c r="A1087" i="3"/>
  <c r="B1087" i="3"/>
  <c r="C1087" i="3"/>
  <c r="A1086" i="3"/>
  <c r="B1086" i="3"/>
  <c r="C1086" i="3"/>
  <c r="A1085" i="3"/>
  <c r="B1085" i="3"/>
  <c r="C1085" i="3"/>
  <c r="A1084" i="3"/>
  <c r="B1084" i="3"/>
  <c r="C1084" i="3"/>
  <c r="A1083" i="3"/>
  <c r="B1083" i="3"/>
  <c r="C1083" i="3"/>
  <c r="A1082" i="3"/>
  <c r="B1082" i="3"/>
  <c r="C1082" i="3"/>
  <c r="A1081" i="3"/>
  <c r="B1081" i="3"/>
  <c r="C1081" i="3"/>
  <c r="A1080" i="3"/>
  <c r="B1080" i="3"/>
  <c r="C1080" i="3"/>
  <c r="A1079" i="3"/>
  <c r="B1079" i="3"/>
  <c r="C1079" i="3"/>
  <c r="A1078" i="3"/>
  <c r="B1078" i="3"/>
  <c r="C1078" i="3"/>
  <c r="A1077" i="3"/>
  <c r="B1077" i="3"/>
  <c r="C1077" i="3"/>
  <c r="A1076" i="3"/>
  <c r="B1076" i="3"/>
  <c r="C1076" i="3"/>
  <c r="A1075" i="3"/>
  <c r="B1075" i="3"/>
  <c r="C1075" i="3"/>
  <c r="A1074" i="3"/>
  <c r="B1074" i="3"/>
  <c r="C1074" i="3"/>
  <c r="A1073" i="3"/>
  <c r="B1073" i="3"/>
  <c r="C1073" i="3"/>
  <c r="A1072" i="3"/>
  <c r="B1072" i="3"/>
  <c r="C1072" i="3"/>
  <c r="A1071" i="3"/>
  <c r="B1071" i="3"/>
  <c r="C1071" i="3"/>
  <c r="A1070" i="3"/>
  <c r="B1070" i="3"/>
  <c r="C1070" i="3"/>
  <c r="A1069" i="3"/>
  <c r="B1069" i="3"/>
  <c r="C1069" i="3"/>
  <c r="A1068" i="3"/>
  <c r="B1068" i="3"/>
  <c r="C1068" i="3"/>
  <c r="A1067" i="3"/>
  <c r="B1067" i="3"/>
  <c r="C1067" i="3"/>
  <c r="A1066" i="3"/>
  <c r="B1066" i="3"/>
  <c r="C1066" i="3"/>
  <c r="A1065" i="3"/>
  <c r="B1065" i="3"/>
  <c r="C1065" i="3"/>
  <c r="A1064" i="3"/>
  <c r="B1064" i="3"/>
  <c r="C1064" i="3"/>
  <c r="A1063" i="3"/>
  <c r="B1063" i="3"/>
  <c r="C1063" i="3"/>
  <c r="A1062" i="3"/>
  <c r="B1062" i="3"/>
  <c r="C1062" i="3"/>
  <c r="A1061" i="3"/>
  <c r="B1061" i="3"/>
  <c r="C1061" i="3"/>
  <c r="A1060" i="3"/>
  <c r="B1060" i="3"/>
  <c r="C1060" i="3"/>
  <c r="A1059" i="3"/>
  <c r="B1059" i="3"/>
  <c r="C1059" i="3"/>
  <c r="A1058" i="3"/>
  <c r="B1058" i="3"/>
  <c r="C1058" i="3"/>
  <c r="A1057" i="3"/>
  <c r="B1057" i="3"/>
  <c r="C1057" i="3"/>
  <c r="A1056" i="3"/>
  <c r="B1056" i="3"/>
  <c r="C1056" i="3"/>
  <c r="A1055" i="3"/>
  <c r="B1055" i="3"/>
  <c r="C1055" i="3"/>
  <c r="A1054" i="3"/>
  <c r="B1054" i="3"/>
  <c r="C1054" i="3"/>
  <c r="A1053" i="3"/>
  <c r="B1053" i="3"/>
  <c r="C1053" i="3"/>
  <c r="A1052" i="3"/>
  <c r="B1052" i="3"/>
  <c r="C1052" i="3"/>
  <c r="A1051" i="3"/>
  <c r="B1051" i="3"/>
  <c r="C1051" i="3"/>
  <c r="A1050" i="3"/>
  <c r="B1050" i="3"/>
  <c r="C1050" i="3"/>
  <c r="A1049" i="3"/>
  <c r="B1049" i="3"/>
  <c r="C1049" i="3"/>
  <c r="A1048" i="3"/>
  <c r="B1048" i="3"/>
  <c r="C1048" i="3"/>
  <c r="A1047" i="3"/>
  <c r="B1047" i="3"/>
  <c r="C1047" i="3"/>
  <c r="A1046" i="3"/>
  <c r="B1046" i="3"/>
  <c r="C1046" i="3"/>
  <c r="A1045" i="3"/>
  <c r="B1045" i="3"/>
  <c r="C1045" i="3"/>
  <c r="A1044" i="3"/>
  <c r="B1044" i="3"/>
  <c r="C1044" i="3"/>
  <c r="A1043" i="3"/>
  <c r="B1043" i="3"/>
  <c r="C1043" i="3"/>
  <c r="A1042" i="3"/>
  <c r="B1042" i="3"/>
  <c r="C1042" i="3"/>
  <c r="A1041" i="3"/>
  <c r="B1041" i="3"/>
  <c r="C1041" i="3"/>
  <c r="A1040" i="3"/>
  <c r="B1040" i="3"/>
  <c r="C1040" i="3"/>
  <c r="A1039" i="3"/>
  <c r="B1039" i="3"/>
  <c r="C1039" i="3"/>
  <c r="A1038" i="3"/>
  <c r="B1038" i="3"/>
  <c r="C1038" i="3"/>
  <c r="A1037" i="3"/>
  <c r="B1037" i="3"/>
  <c r="C1037" i="3"/>
  <c r="A1036" i="3"/>
  <c r="B1036" i="3"/>
  <c r="C1036" i="3"/>
  <c r="A1035" i="3"/>
  <c r="B1035" i="3"/>
  <c r="C1035" i="3"/>
  <c r="A1034" i="3"/>
  <c r="B1034" i="3"/>
  <c r="C1034" i="3"/>
  <c r="A1033" i="3"/>
  <c r="B1033" i="3"/>
  <c r="C1033" i="3"/>
  <c r="A1032" i="3"/>
  <c r="B1032" i="3"/>
  <c r="C1032" i="3"/>
  <c r="A1031" i="3"/>
  <c r="B1031" i="3"/>
  <c r="C1031" i="3"/>
  <c r="A1030" i="3"/>
  <c r="B1030" i="3"/>
  <c r="C1030" i="3"/>
  <c r="A1029" i="3"/>
  <c r="B1029" i="3"/>
  <c r="C1029" i="3"/>
  <c r="A1028" i="3"/>
  <c r="B1028" i="3"/>
  <c r="C1028" i="3"/>
  <c r="A1027" i="3"/>
  <c r="B1027" i="3"/>
  <c r="C1027" i="3"/>
  <c r="A1026" i="3"/>
  <c r="B1026" i="3"/>
  <c r="C1026" i="3"/>
  <c r="A1025" i="3"/>
  <c r="B1025" i="3"/>
  <c r="C1025" i="3"/>
  <c r="A1024" i="3"/>
  <c r="B1024" i="3"/>
  <c r="C1024" i="3"/>
  <c r="A1023" i="3"/>
  <c r="B1023" i="3"/>
  <c r="C1023" i="3"/>
  <c r="A1022" i="3"/>
  <c r="B1022" i="3"/>
  <c r="C1022" i="3"/>
  <c r="A1021" i="3"/>
  <c r="B1021" i="3"/>
  <c r="C1021" i="3"/>
  <c r="A1020" i="3"/>
  <c r="B1020" i="3"/>
  <c r="C1020" i="3"/>
  <c r="A1019" i="3"/>
  <c r="B1019" i="3"/>
  <c r="C1019" i="3"/>
  <c r="A1018" i="3"/>
  <c r="B1018" i="3"/>
  <c r="C1018" i="3"/>
  <c r="A1017" i="3"/>
  <c r="B1017" i="3"/>
  <c r="C1017" i="3"/>
  <c r="A1016" i="3"/>
  <c r="B1016" i="3"/>
  <c r="C1016" i="3"/>
  <c r="A1015" i="3"/>
  <c r="B1015" i="3"/>
  <c r="C1015" i="3"/>
  <c r="A1014" i="3"/>
  <c r="B1014" i="3"/>
  <c r="C1014" i="3"/>
  <c r="A1013" i="3"/>
  <c r="B1013" i="3"/>
  <c r="C1013" i="3"/>
  <c r="A1012" i="3"/>
  <c r="B1012" i="3"/>
  <c r="C1012" i="3"/>
  <c r="A1011" i="3"/>
  <c r="B1011" i="3"/>
  <c r="C1011" i="3"/>
  <c r="A1010" i="3"/>
  <c r="B1010" i="3"/>
  <c r="C1010" i="3"/>
  <c r="A1009" i="3"/>
  <c r="B1009" i="3"/>
  <c r="C1009" i="3"/>
  <c r="A1008" i="3"/>
  <c r="B1008" i="3"/>
  <c r="C1008" i="3"/>
  <c r="A1007" i="3"/>
  <c r="B1007" i="3"/>
  <c r="C1007" i="3"/>
  <c r="A1006" i="3"/>
  <c r="B1006" i="3"/>
  <c r="C1006" i="3"/>
  <c r="A1005" i="3"/>
  <c r="B1005" i="3"/>
  <c r="C1005" i="3"/>
  <c r="A1004" i="3"/>
  <c r="B1004" i="3"/>
  <c r="C1004" i="3"/>
  <c r="A1003" i="3"/>
  <c r="B1003" i="3"/>
  <c r="C1003" i="3"/>
  <c r="A1002" i="3"/>
  <c r="B1002" i="3"/>
  <c r="C1002" i="3"/>
  <c r="A1001" i="3"/>
  <c r="B1001" i="3"/>
  <c r="C1001" i="3"/>
  <c r="A1000" i="3"/>
  <c r="B1000" i="3"/>
  <c r="C1000" i="3"/>
  <c r="A999" i="3"/>
  <c r="B999" i="3"/>
  <c r="C999" i="3"/>
  <c r="A998" i="3"/>
  <c r="B998" i="3"/>
  <c r="C998" i="3"/>
  <c r="A997" i="3"/>
  <c r="B997" i="3"/>
  <c r="C997" i="3"/>
  <c r="A996" i="3"/>
  <c r="B996" i="3"/>
  <c r="C996" i="3"/>
  <c r="A995" i="3"/>
  <c r="B995" i="3"/>
  <c r="C995" i="3"/>
  <c r="A994" i="3"/>
  <c r="B994" i="3"/>
  <c r="C994" i="3"/>
  <c r="A993" i="3"/>
  <c r="B993" i="3"/>
  <c r="C993" i="3"/>
  <c r="A992" i="3"/>
  <c r="B992" i="3"/>
  <c r="C992" i="3"/>
  <c r="A991" i="3"/>
  <c r="B991" i="3"/>
  <c r="C991" i="3"/>
  <c r="A990" i="3"/>
  <c r="B990" i="3"/>
  <c r="C990" i="3"/>
  <c r="A989" i="3"/>
  <c r="B989" i="3"/>
  <c r="C989" i="3"/>
  <c r="A988" i="3"/>
  <c r="B988" i="3"/>
  <c r="C988" i="3"/>
  <c r="A987" i="3"/>
  <c r="B987" i="3"/>
  <c r="C987" i="3"/>
  <c r="A986" i="3"/>
  <c r="B986" i="3"/>
  <c r="C986" i="3"/>
  <c r="A985" i="3"/>
  <c r="B985" i="3"/>
  <c r="C985" i="3"/>
  <c r="A984" i="3"/>
  <c r="B984" i="3"/>
  <c r="C984" i="3"/>
  <c r="A983" i="3"/>
  <c r="B983" i="3"/>
  <c r="C983" i="3"/>
  <c r="A982" i="3"/>
  <c r="B982" i="3"/>
  <c r="C982" i="3"/>
  <c r="A981" i="3"/>
  <c r="B981" i="3"/>
  <c r="C981" i="3"/>
  <c r="A980" i="3"/>
  <c r="B980" i="3"/>
  <c r="C980" i="3"/>
  <c r="A979" i="3"/>
  <c r="B979" i="3"/>
  <c r="C979" i="3"/>
  <c r="A978" i="3"/>
  <c r="B978" i="3"/>
  <c r="C978" i="3"/>
  <c r="A977" i="3"/>
  <c r="B977" i="3"/>
  <c r="C977" i="3"/>
  <c r="A976" i="3"/>
  <c r="B976" i="3"/>
  <c r="C976" i="3"/>
  <c r="A975" i="3"/>
  <c r="B975" i="3"/>
  <c r="C975" i="3"/>
  <c r="A974" i="3"/>
  <c r="B974" i="3"/>
  <c r="C974" i="3"/>
  <c r="A973" i="3"/>
  <c r="B973" i="3"/>
  <c r="C973" i="3"/>
  <c r="A972" i="3"/>
  <c r="B972" i="3"/>
  <c r="C972" i="3"/>
  <c r="A971" i="3"/>
  <c r="B971" i="3"/>
  <c r="C971" i="3"/>
  <c r="A970" i="3"/>
  <c r="B970" i="3"/>
  <c r="C970" i="3"/>
  <c r="A969" i="3"/>
  <c r="B969" i="3"/>
  <c r="C969" i="3"/>
  <c r="A968" i="3"/>
  <c r="B968" i="3"/>
  <c r="C968" i="3"/>
  <c r="A967" i="3"/>
  <c r="B967" i="3"/>
  <c r="C967" i="3"/>
  <c r="A966" i="3"/>
  <c r="B966" i="3"/>
  <c r="C966" i="3"/>
  <c r="A965" i="3"/>
  <c r="B965" i="3"/>
  <c r="C965" i="3"/>
  <c r="A964" i="3"/>
  <c r="B964" i="3"/>
  <c r="C964" i="3"/>
  <c r="A963" i="3"/>
  <c r="B963" i="3"/>
  <c r="C963" i="3"/>
  <c r="A962" i="3"/>
  <c r="B962" i="3"/>
  <c r="C962" i="3"/>
  <c r="A961" i="3"/>
  <c r="B961" i="3"/>
  <c r="C961" i="3"/>
  <c r="A960" i="3"/>
  <c r="B960" i="3"/>
  <c r="C960" i="3"/>
  <c r="A959" i="3"/>
  <c r="B959" i="3"/>
  <c r="C959" i="3"/>
  <c r="A958" i="3"/>
  <c r="B958" i="3"/>
  <c r="C958" i="3"/>
  <c r="A957" i="3"/>
  <c r="B957" i="3"/>
  <c r="C957" i="3"/>
  <c r="A956" i="3"/>
  <c r="B956" i="3"/>
  <c r="C956" i="3"/>
  <c r="A955" i="3"/>
  <c r="B955" i="3"/>
  <c r="C955" i="3"/>
  <c r="A954" i="3"/>
  <c r="B954" i="3"/>
  <c r="C954" i="3"/>
  <c r="A953" i="3"/>
  <c r="B953" i="3"/>
  <c r="C953" i="3"/>
  <c r="A952" i="3"/>
  <c r="B952" i="3"/>
  <c r="C952" i="3"/>
  <c r="A951" i="3"/>
  <c r="B951" i="3"/>
  <c r="C951" i="3"/>
  <c r="A950" i="3"/>
  <c r="B950" i="3"/>
  <c r="C950" i="3"/>
  <c r="A949" i="3"/>
  <c r="B949" i="3"/>
  <c r="C949" i="3"/>
  <c r="A948" i="3"/>
  <c r="B948" i="3"/>
  <c r="C948" i="3"/>
  <c r="A947" i="3"/>
  <c r="B947" i="3"/>
  <c r="C947" i="3"/>
  <c r="A946" i="3"/>
  <c r="B946" i="3"/>
  <c r="C946" i="3"/>
  <c r="A945" i="3"/>
  <c r="B945" i="3"/>
  <c r="C945" i="3"/>
  <c r="A944" i="3"/>
  <c r="B944" i="3"/>
  <c r="C944" i="3"/>
  <c r="A943" i="3"/>
  <c r="B943" i="3"/>
  <c r="C943" i="3"/>
  <c r="A942" i="3"/>
  <c r="B942" i="3"/>
  <c r="C942" i="3"/>
  <c r="A941" i="3"/>
  <c r="B941" i="3"/>
  <c r="C941" i="3"/>
  <c r="A940" i="3"/>
  <c r="B940" i="3"/>
  <c r="C940" i="3"/>
  <c r="A939" i="3"/>
  <c r="B939" i="3"/>
  <c r="C939" i="3"/>
  <c r="A938" i="3"/>
  <c r="B938" i="3"/>
  <c r="C938" i="3"/>
  <c r="A937" i="3"/>
  <c r="B937" i="3"/>
  <c r="C937" i="3"/>
  <c r="A936" i="3"/>
  <c r="B936" i="3"/>
  <c r="C936" i="3"/>
  <c r="A935" i="3"/>
  <c r="B935" i="3"/>
  <c r="C935" i="3"/>
  <c r="A934" i="3"/>
  <c r="B934" i="3"/>
  <c r="C934" i="3"/>
  <c r="A933" i="3"/>
  <c r="B933" i="3"/>
  <c r="C933" i="3"/>
  <c r="A932" i="3"/>
  <c r="B932" i="3"/>
  <c r="C932" i="3"/>
  <c r="A931" i="3"/>
  <c r="B931" i="3"/>
  <c r="C931" i="3"/>
  <c r="A930" i="3"/>
  <c r="B930" i="3"/>
  <c r="C930" i="3"/>
  <c r="A929" i="3"/>
  <c r="B929" i="3"/>
  <c r="C929" i="3"/>
  <c r="A928" i="3"/>
  <c r="B928" i="3"/>
  <c r="C928" i="3"/>
  <c r="A927" i="3"/>
  <c r="B927" i="3"/>
  <c r="C927" i="3"/>
  <c r="A926" i="3"/>
  <c r="B926" i="3"/>
  <c r="C926" i="3"/>
  <c r="A925" i="3"/>
  <c r="B925" i="3"/>
  <c r="C925" i="3"/>
  <c r="A924" i="3"/>
  <c r="B924" i="3"/>
  <c r="C924" i="3"/>
  <c r="A923" i="3"/>
  <c r="B923" i="3"/>
  <c r="C923" i="3"/>
  <c r="A922" i="3"/>
  <c r="B922" i="3"/>
  <c r="C922" i="3"/>
  <c r="A921" i="3"/>
  <c r="B921" i="3"/>
  <c r="C921" i="3"/>
  <c r="A920" i="3"/>
  <c r="B920" i="3"/>
  <c r="C920" i="3"/>
  <c r="A919" i="3"/>
  <c r="B919" i="3"/>
  <c r="C919" i="3"/>
  <c r="A918" i="3"/>
  <c r="B918" i="3"/>
  <c r="C918" i="3"/>
  <c r="A917" i="3"/>
  <c r="B917" i="3"/>
  <c r="C917" i="3"/>
  <c r="A916" i="3"/>
  <c r="B916" i="3"/>
  <c r="C916" i="3"/>
  <c r="A915" i="3"/>
  <c r="B915" i="3"/>
  <c r="C915" i="3"/>
  <c r="A914" i="3"/>
  <c r="B914" i="3"/>
  <c r="C914" i="3"/>
  <c r="A913" i="3"/>
  <c r="B913" i="3"/>
  <c r="C913" i="3"/>
  <c r="A912" i="3"/>
  <c r="B912" i="3"/>
  <c r="C912" i="3"/>
  <c r="A911" i="3"/>
  <c r="B911" i="3"/>
  <c r="C911" i="3"/>
  <c r="A910" i="3"/>
  <c r="B910" i="3"/>
  <c r="C910" i="3"/>
  <c r="A909" i="3"/>
  <c r="B909" i="3"/>
  <c r="C909" i="3"/>
  <c r="A908" i="3"/>
  <c r="B908" i="3"/>
  <c r="C908" i="3"/>
  <c r="A907" i="3"/>
  <c r="B907" i="3"/>
  <c r="C907" i="3"/>
  <c r="A906" i="3"/>
  <c r="B906" i="3"/>
  <c r="C906" i="3"/>
  <c r="A905" i="3"/>
  <c r="B905" i="3"/>
  <c r="C905" i="3"/>
  <c r="A904" i="3"/>
  <c r="B904" i="3"/>
  <c r="C904" i="3"/>
  <c r="A903" i="3"/>
  <c r="B903" i="3"/>
  <c r="C903" i="3"/>
  <c r="A902" i="3"/>
  <c r="B902" i="3"/>
  <c r="C902" i="3"/>
  <c r="A901" i="3"/>
  <c r="B901" i="3"/>
  <c r="C901" i="3"/>
  <c r="A900" i="3"/>
  <c r="B900" i="3"/>
  <c r="C900" i="3"/>
  <c r="A899" i="3"/>
  <c r="B899" i="3"/>
  <c r="C899" i="3"/>
  <c r="A898" i="3"/>
  <c r="B898" i="3"/>
  <c r="C898" i="3"/>
  <c r="A897" i="3"/>
  <c r="B897" i="3"/>
  <c r="C897" i="3"/>
  <c r="A896" i="3"/>
  <c r="B896" i="3"/>
  <c r="C896" i="3"/>
  <c r="A895" i="3"/>
  <c r="B895" i="3"/>
  <c r="C895" i="3"/>
  <c r="A894" i="3"/>
  <c r="B894" i="3"/>
  <c r="C894" i="3"/>
  <c r="A893" i="3"/>
  <c r="B893" i="3"/>
  <c r="C893" i="3"/>
  <c r="A892" i="3"/>
  <c r="B892" i="3"/>
  <c r="C892" i="3"/>
  <c r="A891" i="3"/>
  <c r="B891" i="3"/>
  <c r="C891" i="3"/>
  <c r="A890" i="3"/>
  <c r="B890" i="3"/>
  <c r="C890" i="3"/>
  <c r="A889" i="3"/>
  <c r="B889" i="3"/>
  <c r="C889" i="3"/>
  <c r="A888" i="3"/>
  <c r="B888" i="3"/>
  <c r="C888" i="3"/>
  <c r="A887" i="3"/>
  <c r="B887" i="3"/>
  <c r="C887" i="3"/>
  <c r="A886" i="3"/>
  <c r="B886" i="3"/>
  <c r="C886" i="3"/>
  <c r="A885" i="3"/>
  <c r="B885" i="3"/>
  <c r="C885" i="3"/>
  <c r="A884" i="3"/>
  <c r="B884" i="3"/>
  <c r="C884" i="3"/>
  <c r="A883" i="3"/>
  <c r="B883" i="3"/>
  <c r="C883" i="3"/>
  <c r="A882" i="3"/>
  <c r="B882" i="3"/>
  <c r="C882" i="3"/>
  <c r="A881" i="3"/>
  <c r="B881" i="3"/>
  <c r="C881" i="3"/>
  <c r="A880" i="3"/>
  <c r="B880" i="3"/>
  <c r="C880" i="3"/>
  <c r="A879" i="3"/>
  <c r="B879" i="3"/>
  <c r="C879" i="3"/>
  <c r="A878" i="3"/>
  <c r="B878" i="3"/>
  <c r="C878" i="3"/>
  <c r="A877" i="3"/>
  <c r="B877" i="3"/>
  <c r="C877" i="3"/>
  <c r="A876" i="3"/>
  <c r="B876" i="3"/>
  <c r="C876" i="3"/>
  <c r="A875" i="3"/>
  <c r="B875" i="3"/>
  <c r="C875" i="3"/>
  <c r="A874" i="3"/>
  <c r="B874" i="3"/>
  <c r="C874" i="3"/>
  <c r="A873" i="3"/>
  <c r="B873" i="3"/>
  <c r="C873" i="3"/>
  <c r="A872" i="3"/>
  <c r="B872" i="3"/>
  <c r="C872" i="3"/>
  <c r="A871" i="3"/>
  <c r="B871" i="3"/>
  <c r="C871" i="3"/>
  <c r="A870" i="3"/>
  <c r="B870" i="3"/>
  <c r="C870" i="3"/>
  <c r="A869" i="3"/>
  <c r="B869" i="3"/>
  <c r="C869" i="3"/>
  <c r="A868" i="3"/>
  <c r="B868" i="3"/>
  <c r="C868" i="3"/>
  <c r="A867" i="3"/>
  <c r="B867" i="3"/>
  <c r="C867" i="3"/>
  <c r="A866" i="3"/>
  <c r="B866" i="3"/>
  <c r="C866" i="3"/>
  <c r="A865" i="3"/>
  <c r="B865" i="3"/>
  <c r="C865" i="3"/>
  <c r="A864" i="3"/>
  <c r="B864" i="3"/>
  <c r="C864" i="3"/>
  <c r="A863" i="3"/>
  <c r="B863" i="3"/>
  <c r="C863" i="3"/>
  <c r="A862" i="3"/>
  <c r="B862" i="3"/>
  <c r="C862" i="3"/>
  <c r="A861" i="3"/>
  <c r="B861" i="3"/>
  <c r="C861" i="3"/>
  <c r="A860" i="3"/>
  <c r="B860" i="3"/>
  <c r="C860" i="3"/>
  <c r="A859" i="3"/>
  <c r="B859" i="3"/>
  <c r="C859" i="3"/>
  <c r="A858" i="3"/>
  <c r="B858" i="3"/>
  <c r="C858" i="3"/>
  <c r="A857" i="3"/>
  <c r="B857" i="3"/>
  <c r="C857" i="3"/>
  <c r="A856" i="3"/>
  <c r="B856" i="3"/>
  <c r="C856" i="3"/>
  <c r="A855" i="3"/>
  <c r="B855" i="3"/>
  <c r="C855" i="3"/>
  <c r="A854" i="3"/>
  <c r="B854" i="3"/>
  <c r="C854" i="3"/>
  <c r="A853" i="3"/>
  <c r="B853" i="3"/>
  <c r="C853" i="3"/>
  <c r="A852" i="3"/>
  <c r="B852" i="3"/>
  <c r="C852" i="3"/>
  <c r="A851" i="3"/>
  <c r="B851" i="3"/>
  <c r="C851" i="3"/>
  <c r="A850" i="3"/>
  <c r="B850" i="3"/>
  <c r="C850" i="3"/>
  <c r="A849" i="3"/>
  <c r="B849" i="3"/>
  <c r="C849" i="3"/>
  <c r="A848" i="3"/>
  <c r="B848" i="3"/>
  <c r="C848" i="3"/>
  <c r="A847" i="3"/>
  <c r="B847" i="3"/>
  <c r="C847" i="3"/>
  <c r="A846" i="3"/>
  <c r="B846" i="3"/>
  <c r="C846" i="3"/>
  <c r="A845" i="3"/>
  <c r="B845" i="3"/>
  <c r="C845" i="3"/>
  <c r="A844" i="3"/>
  <c r="B844" i="3"/>
  <c r="C844" i="3"/>
  <c r="A843" i="3"/>
  <c r="B843" i="3"/>
  <c r="C843" i="3"/>
  <c r="A842" i="3"/>
  <c r="B842" i="3"/>
  <c r="C842" i="3"/>
  <c r="A841" i="3"/>
  <c r="B841" i="3"/>
  <c r="C841" i="3"/>
  <c r="A840" i="3"/>
  <c r="B840" i="3"/>
  <c r="C840" i="3"/>
  <c r="A839" i="3"/>
  <c r="B839" i="3"/>
  <c r="C839" i="3"/>
  <c r="A838" i="3"/>
  <c r="B838" i="3"/>
  <c r="C838" i="3"/>
  <c r="A837" i="3"/>
  <c r="B837" i="3"/>
  <c r="C837" i="3"/>
  <c r="A836" i="3"/>
  <c r="B836" i="3"/>
  <c r="C836" i="3"/>
  <c r="A835" i="3"/>
  <c r="B835" i="3"/>
  <c r="C835" i="3"/>
  <c r="A834" i="3"/>
  <c r="B834" i="3"/>
  <c r="C834" i="3"/>
  <c r="A833" i="3"/>
  <c r="B833" i="3"/>
  <c r="C833" i="3"/>
  <c r="A832" i="3"/>
  <c r="B832" i="3"/>
  <c r="C832" i="3"/>
  <c r="A831" i="3"/>
  <c r="B831" i="3"/>
  <c r="C831" i="3"/>
  <c r="A830" i="3"/>
  <c r="B830" i="3"/>
  <c r="C830" i="3"/>
  <c r="A829" i="3"/>
  <c r="B829" i="3"/>
  <c r="C829" i="3"/>
  <c r="A828" i="3"/>
  <c r="B828" i="3"/>
  <c r="C828" i="3"/>
  <c r="A827" i="3"/>
  <c r="B827" i="3"/>
  <c r="C827" i="3"/>
  <c r="A826" i="3"/>
  <c r="B826" i="3"/>
  <c r="C826" i="3"/>
  <c r="A825" i="3"/>
  <c r="B825" i="3"/>
  <c r="C825" i="3"/>
  <c r="A824" i="3"/>
  <c r="B824" i="3"/>
  <c r="C824" i="3"/>
  <c r="A823" i="3"/>
  <c r="B823" i="3"/>
  <c r="C823" i="3"/>
  <c r="A822" i="3"/>
  <c r="B822" i="3"/>
  <c r="C822" i="3"/>
  <c r="A821" i="3"/>
  <c r="B821" i="3"/>
  <c r="C821" i="3"/>
  <c r="A820" i="3"/>
  <c r="B820" i="3"/>
  <c r="C820" i="3"/>
  <c r="A819" i="3"/>
  <c r="B819" i="3"/>
  <c r="C819" i="3"/>
  <c r="A818" i="3"/>
  <c r="B818" i="3"/>
  <c r="C818" i="3"/>
  <c r="A817" i="3"/>
  <c r="B817" i="3"/>
  <c r="C817" i="3"/>
  <c r="A816" i="3"/>
  <c r="B816" i="3"/>
  <c r="C816" i="3"/>
  <c r="A815" i="3"/>
  <c r="B815" i="3"/>
  <c r="C815" i="3"/>
  <c r="A814" i="3"/>
  <c r="B814" i="3"/>
  <c r="C814" i="3"/>
  <c r="A813" i="3"/>
  <c r="B813" i="3"/>
  <c r="C813" i="3"/>
  <c r="A812" i="3"/>
  <c r="B812" i="3"/>
  <c r="C812" i="3"/>
  <c r="A811" i="3"/>
  <c r="B811" i="3"/>
  <c r="C811" i="3"/>
  <c r="A810" i="3"/>
  <c r="B810" i="3"/>
  <c r="C810" i="3"/>
  <c r="A809" i="3"/>
  <c r="B809" i="3"/>
  <c r="C809" i="3"/>
  <c r="A808" i="3"/>
  <c r="B808" i="3"/>
  <c r="C808" i="3"/>
  <c r="A807" i="3"/>
  <c r="B807" i="3"/>
  <c r="C807" i="3"/>
  <c r="A806" i="3"/>
  <c r="B806" i="3"/>
  <c r="C806" i="3"/>
  <c r="A805" i="3"/>
  <c r="B805" i="3"/>
  <c r="C805" i="3"/>
  <c r="A804" i="3"/>
  <c r="B804" i="3"/>
  <c r="C804" i="3"/>
  <c r="A803" i="3"/>
  <c r="B803" i="3"/>
  <c r="C803" i="3"/>
  <c r="A802" i="3"/>
  <c r="B802" i="3"/>
  <c r="C802" i="3"/>
  <c r="A801" i="3"/>
  <c r="B801" i="3"/>
  <c r="C801" i="3"/>
  <c r="A800" i="3"/>
  <c r="B800" i="3"/>
  <c r="C800" i="3"/>
  <c r="A799" i="3"/>
  <c r="B799" i="3"/>
  <c r="C799" i="3"/>
  <c r="A798" i="3"/>
  <c r="B798" i="3"/>
  <c r="C798" i="3"/>
  <c r="A797" i="3"/>
  <c r="B797" i="3"/>
  <c r="C797" i="3"/>
  <c r="A796" i="3"/>
  <c r="B796" i="3"/>
  <c r="C796" i="3"/>
  <c r="A795" i="3"/>
  <c r="B795" i="3"/>
  <c r="C795" i="3"/>
  <c r="A794" i="3"/>
  <c r="B794" i="3"/>
  <c r="C794" i="3"/>
  <c r="A793" i="3"/>
  <c r="B793" i="3"/>
  <c r="C793" i="3"/>
  <c r="A792" i="3"/>
  <c r="B792" i="3"/>
  <c r="C792" i="3"/>
  <c r="A791" i="3"/>
  <c r="B791" i="3"/>
  <c r="C791" i="3"/>
  <c r="A790" i="3"/>
  <c r="B790" i="3"/>
  <c r="C790" i="3"/>
  <c r="A789" i="3"/>
  <c r="B789" i="3"/>
  <c r="C789" i="3"/>
  <c r="A788" i="3"/>
  <c r="B788" i="3"/>
  <c r="C788" i="3"/>
  <c r="A787" i="3"/>
  <c r="B787" i="3"/>
  <c r="C787" i="3"/>
  <c r="A786" i="3"/>
  <c r="B786" i="3"/>
  <c r="C786" i="3"/>
  <c r="A785" i="3"/>
  <c r="B785" i="3"/>
  <c r="C785" i="3"/>
  <c r="A784" i="3"/>
  <c r="B784" i="3"/>
  <c r="C784" i="3"/>
  <c r="A783" i="3"/>
  <c r="B783" i="3"/>
  <c r="C783" i="3"/>
  <c r="A782" i="3"/>
  <c r="B782" i="3"/>
  <c r="C782" i="3"/>
  <c r="A781" i="3"/>
  <c r="B781" i="3"/>
  <c r="C781" i="3"/>
  <c r="A780" i="3"/>
  <c r="B780" i="3"/>
  <c r="C780" i="3"/>
  <c r="A779" i="3"/>
  <c r="B779" i="3"/>
  <c r="C779" i="3"/>
  <c r="A778" i="3"/>
  <c r="B778" i="3"/>
  <c r="C778" i="3"/>
  <c r="A777" i="3"/>
  <c r="B777" i="3"/>
  <c r="C777" i="3"/>
  <c r="A776" i="3"/>
  <c r="B776" i="3"/>
  <c r="C776" i="3"/>
  <c r="A775" i="3"/>
  <c r="B775" i="3"/>
  <c r="C775" i="3"/>
  <c r="A774" i="3"/>
  <c r="B774" i="3"/>
  <c r="C774" i="3"/>
  <c r="A773" i="3"/>
  <c r="B773" i="3"/>
  <c r="C773" i="3"/>
  <c r="A772" i="3"/>
  <c r="B772" i="3"/>
  <c r="C772" i="3"/>
  <c r="A771" i="3"/>
  <c r="B771" i="3"/>
  <c r="C771" i="3"/>
  <c r="A770" i="3"/>
  <c r="B770" i="3"/>
  <c r="C770" i="3"/>
  <c r="A769" i="3"/>
  <c r="B769" i="3"/>
  <c r="C769" i="3"/>
  <c r="A768" i="3"/>
  <c r="B768" i="3"/>
  <c r="C768" i="3"/>
  <c r="A767" i="3"/>
  <c r="B767" i="3"/>
  <c r="C767" i="3"/>
  <c r="A766" i="3"/>
  <c r="B766" i="3"/>
  <c r="C766" i="3"/>
  <c r="A765" i="3"/>
  <c r="B765" i="3"/>
  <c r="C765" i="3"/>
  <c r="A764" i="3"/>
  <c r="B764" i="3"/>
  <c r="C764" i="3"/>
  <c r="A763" i="3"/>
  <c r="B763" i="3"/>
  <c r="C763" i="3"/>
  <c r="A762" i="3"/>
  <c r="B762" i="3"/>
  <c r="C762" i="3"/>
  <c r="A761" i="3"/>
  <c r="B761" i="3"/>
  <c r="C761" i="3"/>
  <c r="A760" i="3"/>
  <c r="B760" i="3"/>
  <c r="C760" i="3"/>
  <c r="A759" i="3"/>
  <c r="B759" i="3"/>
  <c r="C759" i="3"/>
  <c r="A758" i="3"/>
  <c r="B758" i="3"/>
  <c r="C758" i="3"/>
  <c r="A757" i="3"/>
  <c r="B757" i="3"/>
  <c r="C757" i="3"/>
  <c r="A756" i="3"/>
  <c r="B756" i="3"/>
  <c r="C756" i="3"/>
  <c r="A755" i="3"/>
  <c r="B755" i="3"/>
  <c r="C755" i="3"/>
  <c r="A754" i="3"/>
  <c r="B754" i="3"/>
  <c r="C754" i="3"/>
  <c r="A753" i="3"/>
  <c r="B753" i="3"/>
  <c r="C753" i="3"/>
  <c r="A752" i="3"/>
  <c r="B752" i="3"/>
  <c r="C752" i="3"/>
  <c r="A751" i="3"/>
  <c r="B751" i="3"/>
  <c r="C751" i="3"/>
  <c r="A750" i="3"/>
  <c r="B750" i="3"/>
  <c r="C750" i="3"/>
  <c r="A749" i="3"/>
  <c r="B749" i="3"/>
  <c r="C749" i="3"/>
  <c r="A748" i="3"/>
  <c r="B748" i="3"/>
  <c r="C748" i="3"/>
  <c r="A747" i="3"/>
  <c r="B747" i="3"/>
  <c r="C747" i="3"/>
  <c r="A746" i="3"/>
  <c r="B746" i="3"/>
  <c r="C746" i="3"/>
  <c r="A745" i="3"/>
  <c r="B745" i="3"/>
  <c r="C745" i="3"/>
  <c r="A744" i="3"/>
  <c r="B744" i="3"/>
  <c r="C744" i="3"/>
  <c r="A743" i="3"/>
  <c r="B743" i="3"/>
  <c r="C743" i="3"/>
  <c r="A742" i="3"/>
  <c r="B742" i="3"/>
  <c r="C742" i="3"/>
  <c r="A741" i="3"/>
  <c r="B741" i="3"/>
  <c r="C741" i="3"/>
  <c r="A740" i="3"/>
  <c r="B740" i="3"/>
  <c r="C740" i="3"/>
  <c r="A739" i="3"/>
  <c r="B739" i="3"/>
  <c r="C739" i="3"/>
  <c r="A738" i="3"/>
  <c r="B738" i="3"/>
  <c r="C738" i="3"/>
  <c r="A737" i="3"/>
  <c r="B737" i="3"/>
  <c r="C737" i="3"/>
  <c r="A736" i="3"/>
  <c r="B736" i="3"/>
  <c r="C736" i="3"/>
  <c r="A735" i="3"/>
  <c r="B735" i="3"/>
  <c r="C735" i="3"/>
  <c r="A734" i="3"/>
  <c r="B734" i="3"/>
  <c r="C734" i="3"/>
  <c r="A733" i="3"/>
  <c r="B733" i="3"/>
  <c r="C733" i="3"/>
  <c r="A732" i="3"/>
  <c r="B732" i="3"/>
  <c r="C732" i="3"/>
  <c r="A731" i="3"/>
  <c r="B731" i="3"/>
  <c r="C731" i="3"/>
  <c r="A730" i="3"/>
  <c r="B730" i="3"/>
  <c r="C730" i="3"/>
  <c r="A729" i="3"/>
  <c r="B729" i="3"/>
  <c r="C729" i="3"/>
  <c r="A728" i="3"/>
  <c r="B728" i="3"/>
  <c r="C728" i="3"/>
  <c r="A727" i="3"/>
  <c r="B727" i="3"/>
  <c r="C727" i="3"/>
  <c r="A726" i="3"/>
  <c r="B726" i="3"/>
  <c r="C726" i="3"/>
  <c r="A725" i="3"/>
  <c r="B725" i="3"/>
  <c r="C725" i="3"/>
  <c r="A724" i="3"/>
  <c r="B724" i="3"/>
  <c r="C724" i="3"/>
  <c r="A723" i="3"/>
  <c r="B723" i="3"/>
  <c r="C723" i="3"/>
  <c r="A722" i="3"/>
  <c r="B722" i="3"/>
  <c r="C722" i="3"/>
  <c r="A721" i="3"/>
  <c r="B721" i="3"/>
  <c r="C721" i="3"/>
  <c r="A720" i="3"/>
  <c r="B720" i="3"/>
  <c r="C720" i="3"/>
  <c r="A719" i="3"/>
  <c r="B719" i="3"/>
  <c r="C719" i="3"/>
  <c r="A718" i="3"/>
  <c r="B718" i="3"/>
  <c r="C718" i="3"/>
  <c r="A717" i="3"/>
  <c r="B717" i="3"/>
  <c r="C717" i="3"/>
  <c r="A716" i="3"/>
  <c r="B716" i="3"/>
  <c r="C716" i="3"/>
  <c r="A715" i="3"/>
  <c r="B715" i="3"/>
  <c r="C715" i="3"/>
  <c r="A714" i="3"/>
  <c r="B714" i="3"/>
  <c r="C714" i="3"/>
  <c r="A713" i="3"/>
  <c r="B713" i="3"/>
  <c r="C713" i="3"/>
  <c r="A712" i="3"/>
  <c r="B712" i="3"/>
  <c r="C712" i="3"/>
  <c r="A711" i="3"/>
  <c r="B711" i="3"/>
  <c r="C711" i="3"/>
  <c r="A710" i="3"/>
  <c r="B710" i="3"/>
  <c r="C710" i="3"/>
  <c r="A709" i="3"/>
  <c r="B709" i="3"/>
  <c r="C709" i="3"/>
  <c r="A708" i="3"/>
  <c r="B708" i="3"/>
  <c r="C708" i="3"/>
  <c r="A707" i="3"/>
  <c r="B707" i="3"/>
  <c r="C707" i="3"/>
  <c r="A706" i="3"/>
  <c r="B706" i="3"/>
  <c r="C706" i="3"/>
  <c r="A705" i="3"/>
  <c r="B705" i="3"/>
  <c r="C705" i="3"/>
  <c r="A704" i="3"/>
  <c r="B704" i="3"/>
  <c r="C704" i="3"/>
  <c r="A703" i="3"/>
  <c r="B703" i="3"/>
  <c r="C703" i="3"/>
  <c r="A702" i="3"/>
  <c r="B702" i="3"/>
  <c r="C702" i="3"/>
  <c r="A701" i="3"/>
  <c r="B701" i="3"/>
  <c r="C701" i="3"/>
  <c r="A700" i="3"/>
  <c r="B700" i="3"/>
  <c r="C700" i="3"/>
  <c r="A699" i="3"/>
  <c r="B699" i="3"/>
  <c r="C699" i="3"/>
  <c r="A698" i="3"/>
  <c r="B698" i="3"/>
  <c r="C698" i="3"/>
  <c r="A697" i="3"/>
  <c r="B697" i="3"/>
  <c r="C697" i="3"/>
  <c r="A696" i="3"/>
  <c r="B696" i="3"/>
  <c r="C696" i="3"/>
  <c r="A695" i="3"/>
  <c r="B695" i="3"/>
  <c r="C695" i="3"/>
  <c r="A694" i="3"/>
  <c r="B694" i="3"/>
  <c r="C694" i="3"/>
  <c r="A693" i="3"/>
  <c r="B693" i="3"/>
  <c r="C693" i="3"/>
  <c r="A692" i="3"/>
  <c r="B692" i="3"/>
  <c r="C692" i="3"/>
  <c r="A691" i="3"/>
  <c r="B691" i="3"/>
  <c r="C691" i="3"/>
  <c r="A690" i="3"/>
  <c r="B690" i="3"/>
  <c r="C690" i="3"/>
  <c r="A689" i="3"/>
  <c r="B689" i="3"/>
  <c r="C689" i="3"/>
  <c r="A688" i="3"/>
  <c r="B688" i="3"/>
  <c r="C688" i="3"/>
  <c r="A687" i="3"/>
  <c r="B687" i="3"/>
  <c r="C687" i="3"/>
  <c r="A686" i="3"/>
  <c r="B686" i="3"/>
  <c r="C686" i="3"/>
  <c r="A685" i="3"/>
  <c r="B685" i="3"/>
  <c r="C685" i="3"/>
  <c r="A684" i="3"/>
  <c r="B684" i="3"/>
  <c r="C684" i="3"/>
  <c r="A683" i="3"/>
  <c r="B683" i="3"/>
  <c r="C683" i="3"/>
  <c r="A682" i="3"/>
  <c r="B682" i="3"/>
  <c r="C682" i="3"/>
  <c r="A681" i="3"/>
  <c r="B681" i="3"/>
  <c r="C681" i="3"/>
  <c r="A680" i="3"/>
  <c r="B680" i="3"/>
  <c r="C680" i="3"/>
  <c r="A679" i="3"/>
  <c r="B679" i="3"/>
  <c r="C679" i="3"/>
  <c r="A678" i="3"/>
  <c r="B678" i="3"/>
  <c r="C678" i="3"/>
  <c r="A677" i="3"/>
  <c r="B677" i="3"/>
  <c r="C677" i="3"/>
  <c r="A676" i="3"/>
  <c r="B676" i="3"/>
  <c r="C676" i="3"/>
  <c r="A675" i="3"/>
  <c r="B675" i="3"/>
  <c r="C675" i="3"/>
  <c r="A674" i="3"/>
  <c r="B674" i="3"/>
  <c r="C674" i="3"/>
  <c r="A673" i="3"/>
  <c r="B673" i="3"/>
  <c r="C673" i="3"/>
  <c r="A672" i="3"/>
  <c r="B672" i="3"/>
  <c r="C672" i="3"/>
  <c r="A671" i="3"/>
  <c r="B671" i="3"/>
  <c r="C671" i="3"/>
  <c r="A670" i="3"/>
  <c r="B670" i="3"/>
  <c r="C670" i="3"/>
  <c r="A669" i="3"/>
  <c r="B669" i="3"/>
  <c r="C669" i="3"/>
  <c r="A668" i="3"/>
  <c r="B668" i="3"/>
  <c r="C668" i="3"/>
  <c r="A667" i="3"/>
  <c r="B667" i="3"/>
  <c r="C667" i="3"/>
  <c r="A666" i="3"/>
  <c r="B666" i="3"/>
  <c r="C666" i="3"/>
  <c r="A665" i="3"/>
  <c r="B665" i="3"/>
  <c r="C665" i="3"/>
  <c r="A664" i="3"/>
  <c r="B664" i="3"/>
  <c r="C664" i="3"/>
  <c r="A663" i="3"/>
  <c r="B663" i="3"/>
  <c r="C663" i="3"/>
  <c r="A662" i="3"/>
  <c r="B662" i="3"/>
  <c r="C662" i="3"/>
  <c r="A661" i="3"/>
  <c r="B661" i="3"/>
  <c r="C661" i="3"/>
  <c r="A660" i="3"/>
  <c r="B660" i="3"/>
  <c r="C660" i="3"/>
  <c r="A659" i="3"/>
  <c r="B659" i="3"/>
  <c r="C659" i="3"/>
  <c r="A658" i="3"/>
  <c r="B658" i="3"/>
  <c r="C658" i="3"/>
  <c r="A657" i="3"/>
  <c r="B657" i="3"/>
  <c r="C657" i="3"/>
  <c r="A656" i="3"/>
  <c r="B656" i="3"/>
  <c r="C656" i="3"/>
  <c r="A655" i="3"/>
  <c r="B655" i="3"/>
  <c r="C655" i="3"/>
  <c r="A654" i="3"/>
  <c r="B654" i="3"/>
  <c r="C654" i="3"/>
  <c r="A653" i="3"/>
  <c r="B653" i="3"/>
  <c r="C653" i="3"/>
  <c r="A652" i="3"/>
  <c r="B652" i="3"/>
  <c r="C652" i="3"/>
  <c r="A651" i="3"/>
  <c r="B651" i="3"/>
  <c r="C651" i="3"/>
  <c r="A650" i="3"/>
  <c r="B650" i="3"/>
  <c r="C650" i="3"/>
  <c r="A649" i="3"/>
  <c r="B649" i="3"/>
  <c r="C649" i="3"/>
  <c r="A648" i="3"/>
  <c r="B648" i="3"/>
  <c r="C648" i="3"/>
  <c r="A647" i="3"/>
  <c r="B647" i="3"/>
  <c r="C647" i="3"/>
  <c r="A646" i="3"/>
  <c r="B646" i="3"/>
  <c r="C646" i="3"/>
  <c r="A645" i="3"/>
  <c r="B645" i="3"/>
  <c r="C645" i="3"/>
  <c r="A644" i="3"/>
  <c r="B644" i="3"/>
  <c r="C644" i="3"/>
  <c r="A643" i="3"/>
  <c r="B643" i="3"/>
  <c r="C643" i="3"/>
  <c r="A642" i="3"/>
  <c r="B642" i="3"/>
  <c r="C642" i="3"/>
  <c r="A641" i="3"/>
  <c r="B641" i="3"/>
  <c r="C641" i="3"/>
  <c r="A640" i="3"/>
  <c r="B640" i="3"/>
  <c r="C640" i="3"/>
  <c r="A639" i="3"/>
  <c r="B639" i="3"/>
  <c r="C639" i="3"/>
  <c r="A638" i="3"/>
  <c r="B638" i="3"/>
  <c r="C638" i="3"/>
  <c r="A637" i="3"/>
  <c r="B637" i="3"/>
  <c r="C637" i="3"/>
  <c r="A636" i="3"/>
  <c r="B636" i="3"/>
  <c r="C636" i="3"/>
  <c r="A635" i="3"/>
  <c r="B635" i="3"/>
  <c r="C635" i="3"/>
  <c r="A634" i="3"/>
  <c r="B634" i="3"/>
  <c r="C634" i="3"/>
  <c r="A633" i="3"/>
  <c r="B633" i="3"/>
  <c r="C633" i="3"/>
  <c r="A632" i="3"/>
  <c r="B632" i="3"/>
  <c r="C632" i="3"/>
  <c r="A631" i="3"/>
  <c r="B631" i="3"/>
  <c r="C631" i="3"/>
  <c r="A630" i="3"/>
  <c r="B630" i="3"/>
  <c r="C630" i="3"/>
  <c r="A629" i="3"/>
  <c r="B629" i="3"/>
  <c r="C629" i="3"/>
  <c r="A628" i="3"/>
  <c r="B628" i="3"/>
  <c r="C628" i="3"/>
  <c r="A627" i="3"/>
  <c r="B627" i="3"/>
  <c r="C627" i="3"/>
  <c r="A626" i="3"/>
  <c r="B626" i="3"/>
  <c r="C626" i="3"/>
  <c r="A625" i="3"/>
  <c r="B625" i="3"/>
  <c r="C625" i="3"/>
  <c r="A624" i="3"/>
  <c r="B624" i="3"/>
  <c r="C624" i="3"/>
  <c r="A623" i="3"/>
  <c r="B623" i="3"/>
  <c r="C623" i="3"/>
  <c r="A622" i="3"/>
  <c r="B622" i="3"/>
  <c r="C622" i="3"/>
  <c r="A621" i="3"/>
  <c r="B621" i="3"/>
  <c r="C621" i="3"/>
  <c r="A620" i="3"/>
  <c r="B620" i="3"/>
  <c r="C620" i="3"/>
  <c r="A619" i="3"/>
  <c r="B619" i="3"/>
  <c r="C619" i="3"/>
  <c r="A618" i="3"/>
  <c r="B618" i="3"/>
  <c r="C618" i="3"/>
  <c r="A617" i="3"/>
  <c r="B617" i="3"/>
  <c r="C617" i="3"/>
  <c r="A616" i="3"/>
  <c r="B616" i="3"/>
  <c r="C616" i="3"/>
  <c r="A615" i="3"/>
  <c r="B615" i="3"/>
  <c r="C615" i="3"/>
  <c r="A614" i="3"/>
  <c r="B614" i="3"/>
  <c r="C614" i="3"/>
  <c r="A613" i="3"/>
  <c r="B613" i="3"/>
  <c r="C613" i="3"/>
  <c r="A612" i="3"/>
  <c r="B612" i="3"/>
  <c r="C612" i="3"/>
  <c r="A611" i="3"/>
  <c r="B611" i="3"/>
  <c r="C611" i="3"/>
  <c r="A610" i="3"/>
  <c r="B610" i="3"/>
  <c r="C610" i="3"/>
  <c r="A609" i="3"/>
  <c r="B609" i="3"/>
  <c r="C609" i="3"/>
  <c r="A608" i="3"/>
  <c r="B608" i="3"/>
  <c r="C608" i="3"/>
  <c r="A607" i="3"/>
  <c r="B607" i="3"/>
  <c r="C607" i="3"/>
  <c r="A606" i="3"/>
  <c r="B606" i="3"/>
  <c r="C606" i="3"/>
  <c r="A605" i="3"/>
  <c r="B605" i="3"/>
  <c r="C605" i="3"/>
  <c r="A604" i="3"/>
  <c r="B604" i="3"/>
  <c r="C604" i="3"/>
  <c r="A603" i="3"/>
  <c r="B603" i="3"/>
  <c r="C603" i="3"/>
  <c r="A602" i="3"/>
  <c r="B602" i="3"/>
  <c r="C602" i="3"/>
  <c r="A601" i="3"/>
  <c r="B601" i="3"/>
  <c r="C601" i="3"/>
  <c r="A600" i="3"/>
  <c r="B600" i="3"/>
  <c r="C600" i="3"/>
  <c r="A599" i="3"/>
  <c r="B599" i="3"/>
  <c r="C599" i="3"/>
  <c r="A598" i="3"/>
  <c r="B598" i="3"/>
  <c r="C598" i="3"/>
  <c r="A597" i="3"/>
  <c r="B597" i="3"/>
  <c r="C597" i="3"/>
  <c r="A596" i="3"/>
  <c r="B596" i="3"/>
  <c r="C596" i="3"/>
  <c r="A595" i="3"/>
  <c r="B595" i="3"/>
  <c r="C595" i="3"/>
  <c r="A594" i="3"/>
  <c r="B594" i="3"/>
  <c r="C594" i="3"/>
  <c r="A593" i="3"/>
  <c r="B593" i="3"/>
  <c r="C593" i="3"/>
  <c r="A592" i="3"/>
  <c r="B592" i="3"/>
  <c r="C592" i="3"/>
  <c r="A591" i="3"/>
  <c r="B591" i="3"/>
  <c r="C591" i="3"/>
  <c r="A590" i="3"/>
  <c r="B590" i="3"/>
  <c r="C590" i="3"/>
  <c r="A589" i="3"/>
  <c r="B589" i="3"/>
  <c r="C589" i="3"/>
  <c r="A588" i="3"/>
  <c r="B588" i="3"/>
  <c r="C588" i="3"/>
  <c r="A587" i="3"/>
  <c r="B587" i="3"/>
  <c r="C587" i="3"/>
  <c r="A586" i="3"/>
  <c r="B586" i="3"/>
  <c r="C586" i="3"/>
  <c r="A585" i="3"/>
  <c r="B585" i="3"/>
  <c r="C585" i="3"/>
  <c r="A584" i="3"/>
  <c r="B584" i="3"/>
  <c r="C584" i="3"/>
  <c r="A583" i="3"/>
  <c r="B583" i="3"/>
  <c r="C583" i="3"/>
  <c r="A582" i="3"/>
  <c r="B582" i="3"/>
  <c r="C582" i="3"/>
  <c r="A581" i="3"/>
  <c r="B581" i="3"/>
  <c r="C581" i="3"/>
  <c r="A580" i="3"/>
  <c r="B580" i="3"/>
  <c r="C580" i="3"/>
  <c r="A579" i="3"/>
  <c r="B579" i="3"/>
  <c r="C579" i="3"/>
  <c r="A578" i="3"/>
  <c r="B578" i="3"/>
  <c r="C578" i="3"/>
  <c r="A577" i="3"/>
  <c r="B577" i="3"/>
  <c r="C577" i="3"/>
  <c r="A576" i="3"/>
  <c r="B576" i="3"/>
  <c r="C576" i="3"/>
  <c r="A575" i="3"/>
  <c r="B575" i="3"/>
  <c r="C575" i="3"/>
  <c r="A574" i="3"/>
  <c r="B574" i="3"/>
  <c r="C574" i="3"/>
  <c r="A573" i="3"/>
  <c r="B573" i="3"/>
  <c r="C573" i="3"/>
  <c r="A572" i="3"/>
  <c r="B572" i="3"/>
  <c r="C572" i="3"/>
  <c r="A571" i="3"/>
  <c r="B571" i="3"/>
  <c r="C571" i="3"/>
  <c r="A570" i="3"/>
  <c r="B570" i="3"/>
  <c r="C570" i="3"/>
  <c r="A569" i="3"/>
  <c r="B569" i="3"/>
  <c r="C569" i="3"/>
  <c r="A568" i="3"/>
  <c r="B568" i="3"/>
  <c r="C568" i="3"/>
  <c r="A567" i="3"/>
  <c r="B567" i="3"/>
  <c r="C567" i="3"/>
  <c r="A566" i="3"/>
  <c r="B566" i="3"/>
  <c r="C566" i="3"/>
  <c r="A565" i="3"/>
  <c r="B565" i="3"/>
  <c r="C565" i="3"/>
  <c r="A564" i="3"/>
  <c r="B564" i="3"/>
  <c r="C564" i="3"/>
  <c r="A563" i="3"/>
  <c r="B563" i="3"/>
  <c r="C563" i="3"/>
  <c r="A562" i="3"/>
  <c r="B562" i="3"/>
  <c r="C562" i="3"/>
  <c r="A561" i="3"/>
  <c r="B561" i="3"/>
  <c r="C561" i="3"/>
  <c r="A560" i="3"/>
  <c r="B560" i="3"/>
  <c r="C560" i="3"/>
  <c r="A559" i="3"/>
  <c r="B559" i="3"/>
  <c r="C559" i="3"/>
  <c r="A558" i="3"/>
  <c r="B558" i="3"/>
  <c r="C558" i="3"/>
  <c r="A557" i="3"/>
  <c r="B557" i="3"/>
  <c r="C557" i="3"/>
  <c r="A556" i="3"/>
  <c r="B556" i="3"/>
  <c r="C556" i="3"/>
  <c r="A555" i="3"/>
  <c r="B555" i="3"/>
  <c r="C555" i="3"/>
  <c r="A554" i="3"/>
  <c r="B554" i="3"/>
  <c r="C554" i="3"/>
  <c r="A553" i="3"/>
  <c r="B553" i="3"/>
  <c r="C553" i="3"/>
  <c r="A552" i="3"/>
  <c r="B552" i="3"/>
  <c r="C552" i="3"/>
  <c r="A551" i="3"/>
  <c r="B551" i="3"/>
  <c r="C551" i="3"/>
  <c r="A550" i="3"/>
  <c r="B550" i="3"/>
  <c r="C550" i="3"/>
  <c r="A549" i="3"/>
  <c r="B549" i="3"/>
  <c r="C549" i="3"/>
  <c r="A548" i="3"/>
  <c r="B548" i="3"/>
  <c r="C548" i="3"/>
  <c r="A547" i="3"/>
  <c r="B547" i="3"/>
  <c r="C547" i="3"/>
  <c r="A546" i="3"/>
  <c r="B546" i="3"/>
  <c r="C546" i="3"/>
  <c r="A545" i="3"/>
  <c r="B545" i="3"/>
  <c r="C545" i="3"/>
  <c r="A544" i="3"/>
  <c r="B544" i="3"/>
  <c r="C544" i="3"/>
  <c r="A543" i="3"/>
  <c r="B543" i="3"/>
  <c r="C543" i="3"/>
  <c r="A542" i="3"/>
  <c r="B542" i="3"/>
  <c r="C542" i="3"/>
  <c r="A541" i="3"/>
  <c r="B541" i="3"/>
  <c r="C541" i="3"/>
  <c r="A540" i="3"/>
  <c r="B540" i="3"/>
  <c r="C540" i="3"/>
  <c r="A539" i="3"/>
  <c r="B539" i="3"/>
  <c r="C539" i="3"/>
  <c r="A538" i="3"/>
  <c r="B538" i="3"/>
  <c r="C538" i="3"/>
  <c r="A537" i="3"/>
  <c r="B537" i="3"/>
  <c r="C537" i="3"/>
  <c r="A536" i="3"/>
  <c r="B536" i="3"/>
  <c r="C536" i="3"/>
  <c r="A535" i="3"/>
  <c r="B535" i="3"/>
  <c r="C535" i="3"/>
  <c r="A534" i="3"/>
  <c r="B534" i="3"/>
  <c r="C534" i="3"/>
  <c r="A533" i="3"/>
  <c r="B533" i="3"/>
  <c r="C533" i="3"/>
  <c r="A532" i="3"/>
  <c r="B532" i="3"/>
  <c r="C532" i="3"/>
  <c r="A531" i="3"/>
  <c r="B531" i="3"/>
  <c r="C531" i="3"/>
  <c r="A530" i="3"/>
  <c r="B530" i="3"/>
  <c r="C530" i="3"/>
  <c r="A529" i="3"/>
  <c r="B529" i="3"/>
  <c r="C529" i="3"/>
  <c r="A528" i="3"/>
  <c r="B528" i="3"/>
  <c r="C528" i="3"/>
  <c r="A527" i="3"/>
  <c r="B527" i="3"/>
  <c r="C527" i="3"/>
  <c r="A526" i="3"/>
  <c r="B526" i="3"/>
  <c r="C526" i="3"/>
  <c r="A525" i="3"/>
  <c r="B525" i="3"/>
  <c r="C525" i="3"/>
  <c r="A524" i="3"/>
  <c r="B524" i="3"/>
  <c r="C524" i="3"/>
  <c r="A523" i="3"/>
  <c r="B523" i="3"/>
  <c r="C523" i="3"/>
  <c r="A522" i="3"/>
  <c r="B522" i="3"/>
  <c r="C522" i="3"/>
  <c r="A521" i="3"/>
  <c r="B521" i="3"/>
  <c r="C521" i="3"/>
  <c r="A520" i="3"/>
  <c r="B520" i="3"/>
  <c r="C520" i="3"/>
  <c r="A519" i="3"/>
  <c r="B519" i="3"/>
  <c r="C519" i="3"/>
  <c r="A518" i="3"/>
  <c r="B518" i="3"/>
  <c r="C518" i="3"/>
  <c r="A517" i="3"/>
  <c r="B517" i="3"/>
  <c r="C517" i="3"/>
  <c r="A516" i="3"/>
  <c r="B516" i="3"/>
  <c r="C516" i="3"/>
  <c r="A515" i="3"/>
  <c r="B515" i="3"/>
  <c r="C515" i="3"/>
  <c r="A514" i="3"/>
  <c r="B514" i="3"/>
  <c r="C514" i="3"/>
  <c r="A513" i="3"/>
  <c r="B513" i="3"/>
  <c r="C513" i="3"/>
  <c r="A512" i="3"/>
  <c r="B512" i="3"/>
  <c r="C512" i="3"/>
  <c r="A511" i="3"/>
  <c r="B511" i="3"/>
  <c r="C511" i="3"/>
  <c r="A510" i="3"/>
  <c r="B510" i="3"/>
  <c r="C510" i="3"/>
  <c r="A509" i="3"/>
  <c r="B509" i="3"/>
  <c r="C509" i="3"/>
  <c r="A508" i="3"/>
  <c r="B508" i="3"/>
  <c r="C508" i="3"/>
  <c r="A507" i="3"/>
  <c r="B507" i="3"/>
  <c r="C507" i="3"/>
  <c r="A506" i="3"/>
  <c r="B506" i="3"/>
  <c r="C506" i="3"/>
  <c r="A505" i="3"/>
  <c r="B505" i="3"/>
  <c r="C505" i="3"/>
  <c r="A504" i="3"/>
  <c r="B504" i="3"/>
  <c r="C504" i="3"/>
  <c r="A503" i="3"/>
  <c r="B503" i="3"/>
  <c r="C503" i="3"/>
  <c r="A502" i="3"/>
  <c r="B502" i="3"/>
  <c r="C502" i="3"/>
  <c r="A501" i="3"/>
  <c r="B501" i="3"/>
  <c r="C501" i="3"/>
  <c r="A500" i="3"/>
  <c r="B500" i="3"/>
  <c r="C500" i="3"/>
  <c r="A499" i="3"/>
  <c r="B499" i="3"/>
  <c r="C499" i="3"/>
  <c r="A498" i="3"/>
  <c r="B498" i="3"/>
  <c r="C498" i="3"/>
  <c r="A497" i="3"/>
  <c r="B497" i="3"/>
  <c r="C497" i="3"/>
  <c r="A496" i="3"/>
  <c r="B496" i="3"/>
  <c r="C496" i="3"/>
  <c r="A495" i="3"/>
  <c r="B495" i="3"/>
  <c r="C495" i="3"/>
  <c r="A494" i="3"/>
  <c r="B494" i="3"/>
  <c r="C494" i="3"/>
  <c r="A493" i="3"/>
  <c r="B493" i="3"/>
  <c r="C493" i="3"/>
  <c r="A492" i="3"/>
  <c r="B492" i="3"/>
  <c r="C492" i="3"/>
  <c r="A491" i="3"/>
  <c r="B491" i="3"/>
  <c r="C491" i="3"/>
  <c r="A490" i="3"/>
  <c r="B490" i="3"/>
  <c r="C490" i="3"/>
  <c r="A489" i="3"/>
  <c r="B489" i="3"/>
  <c r="C489" i="3"/>
  <c r="A488" i="3"/>
  <c r="B488" i="3"/>
  <c r="C488" i="3"/>
  <c r="A487" i="3"/>
  <c r="B487" i="3"/>
  <c r="C487" i="3"/>
  <c r="A486" i="3"/>
  <c r="B486" i="3"/>
  <c r="C486" i="3"/>
  <c r="A485" i="3"/>
  <c r="B485" i="3"/>
  <c r="C485" i="3"/>
  <c r="A484" i="3"/>
  <c r="B484" i="3"/>
  <c r="C484" i="3"/>
  <c r="A483" i="3"/>
  <c r="B483" i="3"/>
  <c r="C483" i="3"/>
  <c r="A482" i="3"/>
  <c r="B482" i="3"/>
  <c r="C482" i="3"/>
  <c r="A481" i="3"/>
  <c r="B481" i="3"/>
  <c r="C481" i="3"/>
  <c r="A480" i="3"/>
  <c r="B480" i="3"/>
  <c r="C480" i="3"/>
  <c r="A479" i="3"/>
  <c r="B479" i="3"/>
  <c r="C479" i="3"/>
  <c r="A478" i="3"/>
  <c r="B478" i="3"/>
  <c r="C478" i="3"/>
  <c r="A477" i="3"/>
  <c r="B477" i="3"/>
  <c r="C477" i="3"/>
  <c r="A476" i="3"/>
  <c r="B476" i="3"/>
  <c r="C476" i="3"/>
  <c r="A475" i="3"/>
  <c r="B475" i="3"/>
  <c r="C475" i="3"/>
  <c r="A474" i="3"/>
  <c r="B474" i="3"/>
  <c r="C474" i="3"/>
  <c r="A473" i="3"/>
  <c r="B473" i="3"/>
  <c r="C473" i="3"/>
  <c r="A472" i="3"/>
  <c r="B472" i="3"/>
  <c r="C472" i="3"/>
  <c r="A471" i="3"/>
  <c r="B471" i="3"/>
  <c r="C471" i="3"/>
  <c r="A470" i="3"/>
  <c r="B470" i="3"/>
  <c r="C470" i="3"/>
  <c r="A469" i="3"/>
  <c r="B469" i="3"/>
  <c r="C469" i="3"/>
  <c r="A468" i="3"/>
  <c r="B468" i="3"/>
  <c r="C468" i="3"/>
  <c r="A467" i="3"/>
  <c r="B467" i="3"/>
  <c r="C467" i="3"/>
  <c r="A466" i="3"/>
  <c r="B466" i="3"/>
  <c r="C466" i="3"/>
  <c r="A465" i="3"/>
  <c r="B465" i="3"/>
  <c r="C465" i="3"/>
  <c r="A464" i="3"/>
  <c r="B464" i="3"/>
  <c r="C464" i="3"/>
  <c r="A463" i="3"/>
  <c r="B463" i="3"/>
  <c r="C463" i="3"/>
  <c r="A462" i="3"/>
  <c r="B462" i="3"/>
  <c r="C462" i="3"/>
  <c r="A461" i="3"/>
  <c r="B461" i="3"/>
  <c r="C461" i="3"/>
  <c r="A460" i="3"/>
  <c r="B460" i="3"/>
  <c r="C460" i="3"/>
  <c r="A459" i="3"/>
  <c r="B459" i="3"/>
  <c r="C459" i="3"/>
  <c r="A458" i="3"/>
  <c r="B458" i="3"/>
  <c r="C458" i="3"/>
  <c r="A457" i="3"/>
  <c r="B457" i="3"/>
  <c r="C457" i="3"/>
  <c r="A456" i="3"/>
  <c r="B456" i="3"/>
  <c r="C456" i="3"/>
  <c r="A455" i="3"/>
  <c r="B455" i="3"/>
  <c r="C455" i="3"/>
  <c r="A454" i="3"/>
  <c r="B454" i="3"/>
  <c r="C454" i="3"/>
  <c r="A453" i="3"/>
  <c r="B453" i="3"/>
  <c r="C453" i="3"/>
  <c r="A452" i="3"/>
  <c r="B452" i="3"/>
  <c r="C452" i="3"/>
  <c r="A451" i="3"/>
  <c r="B451" i="3"/>
  <c r="C451" i="3"/>
  <c r="A450" i="3"/>
  <c r="B450" i="3"/>
  <c r="C450" i="3"/>
  <c r="A449" i="3"/>
  <c r="B449" i="3"/>
  <c r="C449" i="3"/>
  <c r="A448" i="3"/>
  <c r="B448" i="3"/>
  <c r="C448" i="3"/>
  <c r="A447" i="3"/>
  <c r="B447" i="3"/>
  <c r="C447" i="3"/>
  <c r="A446" i="3"/>
  <c r="B446" i="3"/>
  <c r="C446" i="3"/>
  <c r="A445" i="3"/>
  <c r="B445" i="3"/>
  <c r="C445" i="3"/>
  <c r="A444" i="3"/>
  <c r="B444" i="3"/>
  <c r="C444" i="3"/>
  <c r="A443" i="3"/>
  <c r="B443" i="3"/>
  <c r="C443" i="3"/>
  <c r="A442" i="3"/>
  <c r="B442" i="3"/>
  <c r="C442" i="3"/>
  <c r="A441" i="3"/>
  <c r="B441" i="3"/>
  <c r="C441" i="3"/>
  <c r="A440" i="3"/>
  <c r="B440" i="3"/>
  <c r="C440" i="3"/>
  <c r="A439" i="3"/>
  <c r="B439" i="3"/>
  <c r="C439" i="3"/>
  <c r="A438" i="3"/>
  <c r="B438" i="3"/>
  <c r="C438" i="3"/>
  <c r="A437" i="3"/>
  <c r="B437" i="3"/>
  <c r="C437" i="3"/>
  <c r="A436" i="3"/>
  <c r="B436" i="3"/>
  <c r="C436" i="3"/>
  <c r="A435" i="3"/>
  <c r="B435" i="3"/>
  <c r="C435" i="3"/>
  <c r="A434" i="3"/>
  <c r="B434" i="3"/>
  <c r="C434" i="3"/>
  <c r="A433" i="3"/>
  <c r="B433" i="3"/>
  <c r="C433" i="3"/>
  <c r="A432" i="3"/>
  <c r="B432" i="3"/>
  <c r="C432" i="3"/>
  <c r="A431" i="3"/>
  <c r="B431" i="3"/>
  <c r="C431" i="3"/>
  <c r="A430" i="3"/>
  <c r="B430" i="3"/>
  <c r="C430" i="3"/>
  <c r="A429" i="3"/>
  <c r="B429" i="3"/>
  <c r="C429" i="3"/>
  <c r="A428" i="3"/>
  <c r="B428" i="3"/>
  <c r="C428" i="3"/>
  <c r="A427" i="3"/>
  <c r="B427" i="3"/>
  <c r="C427" i="3"/>
  <c r="A426" i="3"/>
  <c r="B426" i="3"/>
  <c r="C426" i="3"/>
  <c r="A425" i="3"/>
  <c r="B425" i="3"/>
  <c r="C425" i="3"/>
  <c r="A424" i="3"/>
  <c r="B424" i="3"/>
  <c r="C424" i="3"/>
  <c r="A423" i="3"/>
  <c r="B423" i="3"/>
  <c r="C423" i="3"/>
  <c r="A422" i="3"/>
  <c r="B422" i="3"/>
  <c r="C422" i="3"/>
  <c r="A421" i="3"/>
  <c r="B421" i="3"/>
  <c r="C421" i="3"/>
  <c r="A420" i="3"/>
  <c r="B420" i="3"/>
  <c r="C420" i="3"/>
  <c r="A419" i="3"/>
  <c r="B419" i="3"/>
  <c r="C419" i="3"/>
  <c r="A418" i="3"/>
  <c r="B418" i="3"/>
  <c r="C418" i="3"/>
  <c r="A417" i="3"/>
  <c r="B417" i="3"/>
  <c r="C417" i="3"/>
  <c r="A416" i="3"/>
  <c r="B416" i="3"/>
  <c r="C416" i="3"/>
  <c r="A415" i="3"/>
  <c r="B415" i="3"/>
  <c r="C415" i="3"/>
  <c r="A414" i="3"/>
  <c r="B414" i="3"/>
  <c r="C414" i="3"/>
  <c r="A413" i="3"/>
  <c r="B413" i="3"/>
  <c r="C413" i="3"/>
  <c r="A412" i="3"/>
  <c r="B412" i="3"/>
  <c r="C412" i="3"/>
  <c r="A411" i="3"/>
  <c r="B411" i="3"/>
  <c r="C411" i="3"/>
  <c r="A410" i="3"/>
  <c r="B410" i="3"/>
  <c r="C410" i="3"/>
  <c r="A409" i="3"/>
  <c r="B409" i="3"/>
  <c r="C409" i="3"/>
  <c r="A408" i="3"/>
  <c r="B408" i="3"/>
  <c r="C408" i="3"/>
  <c r="A407" i="3"/>
  <c r="B407" i="3"/>
  <c r="C407" i="3"/>
  <c r="A406" i="3"/>
  <c r="B406" i="3"/>
  <c r="C406" i="3"/>
  <c r="A405" i="3"/>
  <c r="B405" i="3"/>
  <c r="C405" i="3"/>
  <c r="A404" i="3"/>
  <c r="B404" i="3"/>
  <c r="C404" i="3"/>
  <c r="A403" i="3"/>
  <c r="B403" i="3"/>
  <c r="C403" i="3"/>
  <c r="A402" i="3"/>
  <c r="B402" i="3"/>
  <c r="C402" i="3"/>
  <c r="A401" i="3"/>
  <c r="B401" i="3"/>
  <c r="C401" i="3"/>
  <c r="A400" i="3"/>
  <c r="B400" i="3"/>
  <c r="C400" i="3"/>
  <c r="A399" i="3"/>
  <c r="B399" i="3"/>
  <c r="C399" i="3"/>
  <c r="A398" i="3"/>
  <c r="B398" i="3"/>
  <c r="C398" i="3"/>
  <c r="A397" i="3"/>
  <c r="B397" i="3"/>
  <c r="C397" i="3"/>
  <c r="A396" i="3"/>
  <c r="B396" i="3"/>
  <c r="C396" i="3"/>
  <c r="A395" i="3"/>
  <c r="B395" i="3"/>
  <c r="C395" i="3"/>
  <c r="A394" i="3"/>
  <c r="B394" i="3"/>
  <c r="C394" i="3"/>
  <c r="A393" i="3"/>
  <c r="B393" i="3"/>
  <c r="C393" i="3"/>
  <c r="A392" i="3"/>
  <c r="B392" i="3"/>
  <c r="C392" i="3"/>
  <c r="A391" i="3"/>
  <c r="B391" i="3"/>
  <c r="C391" i="3"/>
  <c r="A390" i="3"/>
  <c r="B390" i="3"/>
  <c r="C390" i="3"/>
  <c r="A389" i="3"/>
  <c r="B389" i="3"/>
  <c r="C389" i="3"/>
  <c r="A388" i="3"/>
  <c r="B388" i="3"/>
  <c r="C388" i="3"/>
  <c r="A387" i="3"/>
  <c r="B387" i="3"/>
  <c r="C387" i="3"/>
  <c r="A386" i="3"/>
  <c r="B386" i="3"/>
  <c r="C386" i="3"/>
  <c r="A385" i="3"/>
  <c r="B385" i="3"/>
  <c r="C385" i="3"/>
  <c r="A384" i="3"/>
  <c r="B384" i="3"/>
  <c r="C384" i="3"/>
  <c r="A383" i="3"/>
  <c r="B383" i="3"/>
  <c r="C383" i="3"/>
  <c r="A382" i="3"/>
  <c r="B382" i="3"/>
  <c r="C382" i="3"/>
  <c r="A381" i="3"/>
  <c r="B381" i="3"/>
  <c r="C381" i="3"/>
  <c r="A380" i="3"/>
  <c r="B380" i="3"/>
  <c r="C380" i="3"/>
  <c r="A379" i="3"/>
  <c r="B379" i="3"/>
  <c r="C379" i="3"/>
  <c r="A378" i="3"/>
  <c r="B378" i="3"/>
  <c r="C378" i="3"/>
  <c r="A377" i="3"/>
  <c r="B377" i="3"/>
  <c r="C377" i="3"/>
  <c r="A376" i="3"/>
  <c r="B376" i="3"/>
  <c r="C376" i="3"/>
  <c r="A375" i="3"/>
  <c r="B375" i="3"/>
  <c r="C375" i="3"/>
  <c r="A374" i="3"/>
  <c r="B374" i="3"/>
  <c r="C374" i="3"/>
  <c r="A373" i="3"/>
  <c r="B373" i="3"/>
  <c r="C373" i="3"/>
  <c r="A372" i="3"/>
  <c r="B372" i="3"/>
  <c r="C372" i="3"/>
  <c r="A371" i="3"/>
  <c r="B371" i="3"/>
  <c r="C371" i="3"/>
  <c r="A370" i="3"/>
  <c r="B370" i="3"/>
  <c r="C370" i="3"/>
  <c r="A369" i="3"/>
  <c r="B369" i="3"/>
  <c r="C369" i="3"/>
  <c r="A368" i="3"/>
  <c r="B368" i="3"/>
  <c r="C368" i="3"/>
  <c r="A367" i="3"/>
  <c r="B367" i="3"/>
  <c r="C367" i="3"/>
  <c r="A366" i="3"/>
  <c r="B366" i="3"/>
  <c r="C366" i="3"/>
  <c r="A365" i="3"/>
  <c r="B365" i="3"/>
  <c r="C365" i="3"/>
  <c r="A364" i="3"/>
  <c r="B364" i="3"/>
  <c r="C364" i="3"/>
  <c r="A363" i="3"/>
  <c r="B363" i="3"/>
  <c r="C363" i="3"/>
  <c r="A362" i="3"/>
  <c r="B362" i="3"/>
  <c r="C362" i="3"/>
  <c r="A361" i="3"/>
  <c r="B361" i="3"/>
  <c r="C361" i="3"/>
  <c r="A360" i="3"/>
  <c r="B360" i="3"/>
  <c r="C360" i="3"/>
  <c r="A359" i="3"/>
  <c r="B359" i="3"/>
  <c r="C359" i="3"/>
  <c r="A358" i="3"/>
  <c r="B358" i="3"/>
  <c r="C358" i="3"/>
  <c r="A357" i="3"/>
  <c r="B357" i="3"/>
  <c r="C357" i="3"/>
  <c r="A356" i="3"/>
  <c r="B356" i="3"/>
  <c r="C356" i="3"/>
  <c r="A355" i="3"/>
  <c r="B355" i="3"/>
  <c r="C355" i="3"/>
  <c r="A354" i="3"/>
  <c r="B354" i="3"/>
  <c r="C354" i="3"/>
  <c r="A353" i="3"/>
  <c r="B353" i="3"/>
  <c r="C353" i="3"/>
  <c r="A352" i="3"/>
  <c r="B352" i="3"/>
  <c r="C352" i="3"/>
  <c r="A351" i="3"/>
  <c r="B351" i="3"/>
  <c r="C351" i="3"/>
  <c r="A350" i="3"/>
  <c r="B350" i="3"/>
  <c r="C350" i="3"/>
  <c r="A349" i="3"/>
  <c r="B349" i="3"/>
  <c r="C349" i="3"/>
  <c r="A348" i="3"/>
  <c r="B348" i="3"/>
  <c r="C348" i="3"/>
  <c r="A347" i="3"/>
  <c r="B347" i="3"/>
  <c r="C347" i="3"/>
  <c r="A346" i="3"/>
  <c r="B346" i="3"/>
  <c r="C346" i="3"/>
  <c r="A345" i="3"/>
  <c r="B345" i="3"/>
  <c r="C345" i="3"/>
  <c r="A344" i="3"/>
  <c r="B344" i="3"/>
  <c r="C344" i="3"/>
  <c r="A343" i="3"/>
  <c r="B343" i="3"/>
  <c r="C343" i="3"/>
  <c r="A342" i="3"/>
  <c r="B342" i="3"/>
  <c r="C342" i="3"/>
  <c r="A341" i="3"/>
  <c r="B341" i="3"/>
  <c r="C341" i="3"/>
  <c r="A340" i="3"/>
  <c r="B340" i="3"/>
  <c r="C340" i="3"/>
  <c r="A339" i="3"/>
  <c r="B339" i="3"/>
  <c r="C339" i="3"/>
  <c r="A338" i="3"/>
  <c r="B338" i="3"/>
  <c r="C338" i="3"/>
  <c r="A337" i="3"/>
  <c r="B337" i="3"/>
  <c r="C337" i="3"/>
  <c r="A336" i="3"/>
  <c r="B336" i="3"/>
  <c r="C336" i="3"/>
  <c r="A335" i="3"/>
  <c r="B335" i="3"/>
  <c r="C335" i="3"/>
  <c r="A334" i="3"/>
  <c r="B334" i="3"/>
  <c r="C334" i="3"/>
  <c r="A333" i="3"/>
  <c r="B333" i="3"/>
  <c r="C333" i="3"/>
  <c r="A332" i="3"/>
  <c r="B332" i="3"/>
  <c r="C332" i="3"/>
  <c r="A331" i="3"/>
  <c r="B331" i="3"/>
  <c r="C331" i="3"/>
  <c r="A330" i="3"/>
  <c r="B330" i="3"/>
  <c r="C330" i="3"/>
  <c r="A329" i="3"/>
  <c r="B329" i="3"/>
  <c r="C329" i="3"/>
  <c r="A328" i="3"/>
  <c r="B328" i="3"/>
  <c r="C328" i="3"/>
  <c r="A327" i="3"/>
  <c r="B327" i="3"/>
  <c r="C327" i="3"/>
  <c r="A326" i="3"/>
  <c r="B326" i="3"/>
  <c r="C326" i="3"/>
  <c r="A325" i="3"/>
  <c r="B325" i="3"/>
  <c r="C325" i="3"/>
  <c r="A324" i="3"/>
  <c r="B324" i="3"/>
  <c r="C324" i="3"/>
  <c r="A323" i="3"/>
  <c r="B323" i="3"/>
  <c r="C323" i="3"/>
  <c r="A322" i="3"/>
  <c r="B322" i="3"/>
  <c r="C322" i="3"/>
  <c r="A321" i="3"/>
  <c r="B321" i="3"/>
  <c r="C321" i="3"/>
  <c r="A320" i="3"/>
  <c r="B320" i="3"/>
  <c r="C320" i="3"/>
  <c r="A319" i="3"/>
  <c r="B319" i="3"/>
  <c r="C319" i="3"/>
  <c r="A318" i="3"/>
  <c r="B318" i="3"/>
  <c r="C318" i="3"/>
  <c r="A317" i="3"/>
  <c r="B317" i="3"/>
  <c r="C317" i="3"/>
  <c r="A316" i="3"/>
  <c r="B316" i="3"/>
  <c r="C316" i="3"/>
  <c r="A315" i="3"/>
  <c r="B315" i="3"/>
  <c r="C315" i="3"/>
  <c r="A314" i="3"/>
  <c r="B314" i="3"/>
  <c r="C314" i="3"/>
  <c r="A313" i="3"/>
  <c r="B313" i="3"/>
  <c r="C313" i="3"/>
  <c r="A312" i="3"/>
  <c r="B312" i="3"/>
  <c r="C312" i="3"/>
  <c r="A311" i="3"/>
  <c r="B311" i="3"/>
  <c r="C311" i="3"/>
  <c r="A310" i="3"/>
  <c r="B310" i="3"/>
  <c r="C310" i="3"/>
  <c r="A309" i="3"/>
  <c r="B309" i="3"/>
  <c r="C309" i="3"/>
  <c r="A308" i="3"/>
  <c r="B308" i="3"/>
  <c r="C308" i="3"/>
  <c r="A307" i="3"/>
  <c r="B307" i="3"/>
  <c r="C307" i="3"/>
  <c r="A306" i="3"/>
  <c r="B306" i="3"/>
  <c r="C306" i="3"/>
  <c r="A305" i="3"/>
  <c r="B305" i="3"/>
  <c r="C305" i="3"/>
  <c r="A304" i="3"/>
  <c r="B304" i="3"/>
  <c r="C304" i="3"/>
  <c r="A303" i="3"/>
  <c r="B303" i="3"/>
  <c r="C303" i="3"/>
  <c r="A302" i="3"/>
  <c r="B302" i="3"/>
  <c r="C302" i="3"/>
  <c r="A301" i="3"/>
  <c r="B301" i="3"/>
  <c r="C301" i="3"/>
  <c r="A300" i="3"/>
  <c r="B300" i="3"/>
  <c r="C300" i="3"/>
  <c r="A299" i="3"/>
  <c r="B299" i="3"/>
  <c r="C299" i="3"/>
  <c r="A298" i="3"/>
  <c r="B298" i="3"/>
  <c r="C298" i="3"/>
  <c r="A297" i="3"/>
  <c r="B297" i="3"/>
  <c r="C297" i="3"/>
  <c r="A296" i="3"/>
  <c r="B296" i="3"/>
  <c r="C296" i="3"/>
  <c r="A295" i="3"/>
  <c r="B295" i="3"/>
  <c r="C295" i="3"/>
  <c r="A294" i="3"/>
  <c r="B294" i="3"/>
  <c r="C294" i="3"/>
  <c r="A293" i="3"/>
  <c r="B293" i="3"/>
  <c r="C293" i="3"/>
  <c r="A292" i="3"/>
  <c r="B292" i="3"/>
  <c r="C292" i="3"/>
  <c r="A291" i="3"/>
  <c r="B291" i="3"/>
  <c r="C291" i="3"/>
  <c r="A290" i="3"/>
  <c r="B290" i="3"/>
  <c r="C290" i="3"/>
  <c r="A289" i="3"/>
  <c r="B289" i="3"/>
  <c r="C289" i="3"/>
  <c r="A288" i="3"/>
  <c r="B288" i="3"/>
  <c r="C288" i="3"/>
  <c r="A287" i="3"/>
  <c r="B287" i="3"/>
  <c r="C287" i="3"/>
  <c r="A286" i="3"/>
  <c r="B286" i="3"/>
  <c r="C286" i="3"/>
  <c r="A285" i="3"/>
  <c r="B285" i="3"/>
  <c r="C285" i="3"/>
  <c r="A284" i="3"/>
  <c r="B284" i="3"/>
  <c r="C284" i="3"/>
  <c r="A283" i="3"/>
  <c r="B283" i="3"/>
  <c r="C283" i="3"/>
  <c r="A282" i="3"/>
  <c r="B282" i="3"/>
  <c r="C282" i="3"/>
  <c r="A281" i="3"/>
  <c r="B281" i="3"/>
  <c r="C281" i="3"/>
  <c r="A280" i="3"/>
  <c r="B280" i="3"/>
  <c r="C280" i="3"/>
  <c r="A279" i="3"/>
  <c r="B279" i="3"/>
  <c r="C279" i="3"/>
  <c r="A278" i="3"/>
  <c r="B278" i="3"/>
  <c r="C278" i="3"/>
  <c r="A277" i="3"/>
  <c r="B277" i="3"/>
  <c r="C277" i="3"/>
  <c r="A276" i="3"/>
  <c r="B276" i="3"/>
  <c r="C276" i="3"/>
  <c r="A275" i="3"/>
  <c r="B275" i="3"/>
  <c r="C275" i="3"/>
  <c r="A274" i="3"/>
  <c r="B274" i="3"/>
  <c r="C274" i="3"/>
  <c r="A273" i="3"/>
  <c r="B273" i="3"/>
  <c r="C273" i="3"/>
  <c r="A272" i="3"/>
  <c r="B272" i="3"/>
  <c r="C272" i="3"/>
  <c r="A271" i="3"/>
  <c r="B271" i="3"/>
  <c r="C271" i="3"/>
  <c r="A270" i="3"/>
  <c r="B270" i="3"/>
  <c r="C270" i="3"/>
  <c r="A269" i="3"/>
  <c r="B269" i="3"/>
  <c r="C269" i="3"/>
  <c r="A268" i="3"/>
  <c r="B268" i="3"/>
  <c r="C268" i="3"/>
  <c r="A267" i="3"/>
  <c r="B267" i="3"/>
  <c r="C267" i="3"/>
  <c r="A266" i="3"/>
  <c r="B266" i="3"/>
  <c r="C266" i="3"/>
  <c r="A265" i="3"/>
  <c r="B265" i="3"/>
  <c r="C265" i="3"/>
  <c r="A264" i="3"/>
  <c r="B264" i="3"/>
  <c r="C264" i="3"/>
  <c r="A263" i="3"/>
  <c r="B263" i="3"/>
  <c r="C263" i="3"/>
  <c r="A262" i="3"/>
  <c r="B262" i="3"/>
  <c r="C262" i="3"/>
  <c r="A261" i="3"/>
  <c r="B261" i="3"/>
  <c r="C261" i="3"/>
  <c r="A260" i="3"/>
  <c r="B260" i="3"/>
  <c r="C260" i="3"/>
  <c r="A259" i="3"/>
  <c r="B259" i="3"/>
  <c r="C259" i="3"/>
  <c r="A258" i="3"/>
  <c r="B258" i="3"/>
  <c r="C258" i="3"/>
  <c r="A257" i="3"/>
  <c r="B257" i="3"/>
  <c r="C257" i="3"/>
  <c r="A256" i="3"/>
  <c r="B256" i="3"/>
  <c r="C256" i="3"/>
  <c r="A255" i="3"/>
  <c r="B255" i="3"/>
  <c r="C255" i="3"/>
  <c r="A254" i="3"/>
  <c r="B254" i="3"/>
  <c r="C254" i="3"/>
  <c r="A253" i="3"/>
  <c r="B253" i="3"/>
  <c r="C253" i="3"/>
  <c r="A252" i="3"/>
  <c r="B252" i="3"/>
  <c r="C252" i="3"/>
  <c r="A251" i="3"/>
  <c r="B251" i="3"/>
  <c r="C251" i="3"/>
  <c r="A250" i="3"/>
  <c r="B250" i="3"/>
  <c r="C250" i="3"/>
  <c r="A249" i="3"/>
  <c r="B249" i="3"/>
  <c r="C249" i="3"/>
  <c r="A248" i="3"/>
  <c r="B248" i="3"/>
  <c r="C248" i="3"/>
  <c r="A247" i="3"/>
  <c r="B247" i="3"/>
  <c r="C247" i="3"/>
  <c r="A246" i="3"/>
  <c r="B246" i="3"/>
  <c r="C246" i="3"/>
  <c r="A245" i="3"/>
  <c r="B245" i="3"/>
  <c r="C245" i="3"/>
  <c r="A244" i="3"/>
  <c r="B244" i="3"/>
  <c r="C244" i="3"/>
  <c r="A243" i="3"/>
  <c r="B243" i="3"/>
  <c r="C243" i="3"/>
  <c r="A242" i="3"/>
  <c r="B242" i="3"/>
  <c r="C242" i="3"/>
  <c r="A241" i="3"/>
  <c r="B241" i="3"/>
  <c r="C241" i="3"/>
  <c r="A240" i="3"/>
  <c r="B240" i="3"/>
  <c r="C240" i="3"/>
  <c r="A239" i="3"/>
  <c r="B239" i="3"/>
  <c r="C239" i="3"/>
  <c r="A238" i="3"/>
  <c r="B238" i="3"/>
  <c r="C238" i="3"/>
  <c r="A237" i="3"/>
  <c r="B237" i="3"/>
  <c r="C237" i="3"/>
  <c r="A236" i="3"/>
  <c r="B236" i="3"/>
  <c r="C236" i="3"/>
  <c r="A235" i="3"/>
  <c r="B235" i="3"/>
  <c r="C235" i="3"/>
  <c r="A234" i="3"/>
  <c r="B234" i="3"/>
  <c r="C234" i="3"/>
  <c r="A233" i="3"/>
  <c r="B233" i="3"/>
  <c r="C233" i="3"/>
  <c r="A232" i="3"/>
  <c r="B232" i="3"/>
  <c r="C232" i="3"/>
  <c r="A231" i="3"/>
  <c r="B231" i="3"/>
  <c r="C231" i="3"/>
  <c r="A230" i="3"/>
  <c r="B230" i="3"/>
  <c r="C230" i="3"/>
  <c r="A229" i="3"/>
  <c r="B229" i="3"/>
  <c r="C229" i="3"/>
  <c r="A228" i="3"/>
  <c r="B228" i="3"/>
  <c r="C228" i="3"/>
  <c r="A227" i="3"/>
  <c r="B227" i="3"/>
  <c r="C227" i="3"/>
  <c r="A226" i="3"/>
  <c r="B226" i="3"/>
  <c r="C226" i="3"/>
  <c r="A225" i="3"/>
  <c r="B225" i="3"/>
  <c r="C225" i="3"/>
  <c r="A224" i="3"/>
  <c r="B224" i="3"/>
  <c r="C224" i="3"/>
  <c r="A223" i="3"/>
  <c r="B223" i="3"/>
  <c r="C223" i="3"/>
  <c r="A222" i="3"/>
  <c r="B222" i="3"/>
  <c r="C222" i="3"/>
  <c r="A221" i="3"/>
  <c r="B221" i="3"/>
  <c r="C221" i="3"/>
  <c r="A220" i="3"/>
  <c r="B220" i="3"/>
  <c r="C220" i="3"/>
  <c r="A219" i="3"/>
  <c r="B219" i="3"/>
  <c r="C219" i="3"/>
  <c r="A218" i="3"/>
  <c r="B218" i="3"/>
  <c r="C218" i="3"/>
  <c r="A217" i="3"/>
  <c r="B217" i="3"/>
  <c r="C217" i="3"/>
  <c r="A216" i="3"/>
  <c r="B216" i="3"/>
  <c r="C216" i="3"/>
  <c r="A215" i="3"/>
  <c r="B215" i="3"/>
  <c r="C215" i="3"/>
  <c r="A214" i="3"/>
  <c r="B214" i="3"/>
  <c r="C214" i="3"/>
  <c r="A213" i="3"/>
  <c r="B213" i="3"/>
  <c r="C213" i="3"/>
  <c r="A212" i="3"/>
  <c r="B212" i="3"/>
  <c r="C212" i="3"/>
  <c r="A211" i="3"/>
  <c r="B211" i="3"/>
  <c r="C211" i="3"/>
  <c r="A210" i="3"/>
  <c r="B210" i="3"/>
  <c r="C210" i="3"/>
  <c r="A209" i="3"/>
  <c r="B209" i="3"/>
  <c r="C209" i="3"/>
  <c r="A208" i="3"/>
  <c r="B208" i="3"/>
  <c r="C208" i="3"/>
  <c r="A207" i="3"/>
  <c r="B207" i="3"/>
  <c r="C207" i="3"/>
  <c r="A206" i="3"/>
  <c r="B206" i="3"/>
  <c r="C206" i="3"/>
  <c r="A205" i="3"/>
  <c r="B205" i="3"/>
  <c r="C205" i="3"/>
  <c r="A204" i="3"/>
  <c r="B204" i="3"/>
  <c r="C204" i="3"/>
  <c r="A203" i="3"/>
  <c r="B203" i="3"/>
  <c r="C203" i="3"/>
  <c r="A202" i="3"/>
  <c r="B202" i="3"/>
  <c r="C202" i="3"/>
  <c r="A201" i="3"/>
  <c r="B201" i="3"/>
  <c r="C201" i="3"/>
  <c r="A200" i="3"/>
  <c r="B200" i="3"/>
  <c r="C200" i="3"/>
  <c r="A199" i="3"/>
  <c r="B199" i="3"/>
  <c r="C199" i="3"/>
  <c r="A198" i="3"/>
  <c r="B198" i="3"/>
  <c r="C198" i="3"/>
  <c r="A197" i="3"/>
  <c r="B197" i="3"/>
  <c r="C197" i="3"/>
  <c r="A196" i="3"/>
  <c r="B196" i="3"/>
  <c r="C196" i="3"/>
  <c r="A195" i="3"/>
  <c r="B195" i="3"/>
  <c r="C195" i="3"/>
  <c r="A194" i="3"/>
  <c r="B194" i="3"/>
  <c r="C194" i="3"/>
  <c r="A193" i="3"/>
  <c r="B193" i="3"/>
  <c r="C193" i="3"/>
  <c r="A192" i="3"/>
  <c r="B192" i="3"/>
  <c r="C192" i="3"/>
  <c r="A191" i="3"/>
  <c r="B191" i="3"/>
  <c r="C191" i="3"/>
  <c r="A190" i="3"/>
  <c r="B190" i="3"/>
  <c r="C190" i="3"/>
  <c r="A189" i="3"/>
  <c r="B189" i="3"/>
  <c r="C189" i="3"/>
  <c r="A188" i="3"/>
  <c r="B188" i="3"/>
  <c r="C188" i="3"/>
  <c r="A187" i="3"/>
  <c r="B187" i="3"/>
  <c r="C187" i="3"/>
  <c r="A186" i="3"/>
  <c r="B186" i="3"/>
  <c r="C186" i="3"/>
  <c r="A185" i="3"/>
  <c r="B185" i="3"/>
  <c r="C185" i="3"/>
  <c r="A184" i="3"/>
  <c r="B184" i="3"/>
  <c r="C184" i="3"/>
  <c r="A183" i="3"/>
  <c r="B183" i="3"/>
  <c r="C183" i="3"/>
  <c r="A182" i="3"/>
  <c r="B182" i="3"/>
  <c r="C182" i="3"/>
  <c r="A181" i="3"/>
  <c r="B181" i="3"/>
  <c r="C181" i="3"/>
  <c r="A180" i="3"/>
  <c r="B180" i="3"/>
  <c r="C180" i="3"/>
  <c r="A179" i="3"/>
  <c r="B179" i="3"/>
  <c r="C179" i="3"/>
  <c r="A178" i="3"/>
  <c r="B178" i="3"/>
  <c r="C178" i="3"/>
  <c r="A177" i="3"/>
  <c r="B177" i="3"/>
  <c r="C177" i="3"/>
  <c r="A176" i="3"/>
  <c r="B176" i="3"/>
  <c r="C176" i="3"/>
  <c r="A175" i="3"/>
  <c r="B175" i="3"/>
  <c r="C175" i="3"/>
  <c r="A174" i="3"/>
  <c r="B174" i="3"/>
  <c r="C174" i="3"/>
  <c r="A173" i="3"/>
  <c r="B173" i="3"/>
  <c r="C173" i="3"/>
  <c r="A172" i="3"/>
  <c r="B172" i="3"/>
  <c r="C172" i="3"/>
  <c r="A171" i="3"/>
  <c r="B171" i="3"/>
  <c r="C171" i="3"/>
  <c r="A170" i="3"/>
  <c r="B170" i="3"/>
  <c r="C170" i="3"/>
  <c r="A169" i="3"/>
  <c r="B169" i="3"/>
  <c r="C169" i="3"/>
  <c r="A168" i="3"/>
  <c r="B168" i="3"/>
  <c r="C168" i="3"/>
  <c r="A167" i="3"/>
  <c r="B167" i="3"/>
  <c r="C167" i="3"/>
  <c r="A166" i="3"/>
  <c r="B166" i="3"/>
  <c r="C166" i="3"/>
  <c r="A165" i="3"/>
  <c r="B165" i="3"/>
  <c r="C165" i="3"/>
  <c r="A164" i="3"/>
  <c r="B164" i="3"/>
  <c r="C164" i="3"/>
  <c r="A163" i="3"/>
  <c r="B163" i="3"/>
  <c r="C163" i="3"/>
  <c r="A162" i="3"/>
  <c r="B162" i="3"/>
  <c r="C162" i="3"/>
  <c r="A161" i="3"/>
  <c r="B161" i="3"/>
  <c r="C161" i="3"/>
  <c r="A160" i="3"/>
  <c r="B160" i="3"/>
  <c r="C160" i="3"/>
  <c r="A159" i="3"/>
  <c r="B159" i="3"/>
  <c r="C159" i="3"/>
  <c r="A158" i="3"/>
  <c r="B158" i="3"/>
  <c r="C158" i="3"/>
  <c r="A157" i="3"/>
  <c r="B157" i="3"/>
  <c r="C157" i="3"/>
  <c r="A156" i="3"/>
  <c r="B156" i="3"/>
  <c r="C156" i="3"/>
  <c r="A155" i="3"/>
  <c r="B155" i="3"/>
  <c r="C155" i="3"/>
  <c r="A154" i="3"/>
  <c r="B154" i="3"/>
  <c r="C154" i="3"/>
  <c r="A153" i="3"/>
  <c r="B153" i="3"/>
  <c r="C153" i="3"/>
  <c r="A152" i="3"/>
  <c r="B152" i="3"/>
  <c r="C152" i="3"/>
  <c r="A151" i="3"/>
  <c r="B151" i="3"/>
  <c r="C151" i="3"/>
  <c r="A150" i="3"/>
  <c r="B150" i="3"/>
  <c r="C150" i="3"/>
  <c r="A149" i="3"/>
  <c r="B149" i="3"/>
  <c r="C149" i="3"/>
  <c r="A148" i="3"/>
  <c r="B148" i="3"/>
  <c r="C148" i="3"/>
  <c r="A147" i="3"/>
  <c r="B147" i="3"/>
  <c r="C147" i="3"/>
  <c r="A146" i="3"/>
  <c r="B146" i="3"/>
  <c r="C146" i="3"/>
  <c r="A145" i="3"/>
  <c r="B145" i="3"/>
  <c r="C145" i="3"/>
  <c r="A144" i="3"/>
  <c r="B144" i="3"/>
  <c r="C144" i="3"/>
  <c r="A143" i="3"/>
  <c r="B143" i="3"/>
  <c r="C143" i="3"/>
  <c r="A142" i="3"/>
  <c r="B142" i="3"/>
  <c r="C142" i="3"/>
  <c r="A141" i="3"/>
  <c r="B141" i="3"/>
  <c r="C141" i="3"/>
  <c r="A140" i="3"/>
  <c r="B140" i="3"/>
  <c r="C140" i="3"/>
  <c r="A139" i="3"/>
  <c r="B139" i="3"/>
  <c r="C139" i="3"/>
  <c r="A138" i="3"/>
  <c r="B138" i="3"/>
  <c r="C138" i="3"/>
  <c r="A137" i="3"/>
  <c r="B137" i="3"/>
  <c r="C137" i="3"/>
  <c r="A136" i="3"/>
  <c r="B136" i="3"/>
  <c r="C136" i="3"/>
  <c r="A135" i="3"/>
  <c r="B135" i="3"/>
  <c r="C135" i="3"/>
  <c r="A134" i="3"/>
  <c r="B134" i="3"/>
  <c r="C134" i="3"/>
  <c r="A133" i="3"/>
  <c r="B133" i="3"/>
  <c r="C133" i="3"/>
  <c r="A132" i="3"/>
  <c r="B132" i="3"/>
  <c r="C132" i="3"/>
  <c r="A131" i="3"/>
  <c r="B131" i="3"/>
  <c r="C131" i="3"/>
  <c r="A130" i="3"/>
  <c r="B130" i="3"/>
  <c r="C130" i="3"/>
  <c r="A129" i="3"/>
  <c r="B129" i="3"/>
  <c r="C129" i="3"/>
  <c r="A128" i="3"/>
  <c r="B128" i="3"/>
  <c r="C128" i="3"/>
  <c r="A127" i="3"/>
  <c r="B127" i="3"/>
  <c r="C127" i="3"/>
  <c r="A126" i="3"/>
  <c r="B126" i="3"/>
  <c r="C126" i="3"/>
  <c r="A125" i="3"/>
  <c r="B125" i="3"/>
  <c r="C125" i="3"/>
  <c r="A124" i="3"/>
  <c r="B124" i="3"/>
  <c r="C124" i="3"/>
  <c r="A123" i="3"/>
  <c r="B123" i="3"/>
  <c r="C123" i="3"/>
  <c r="A122" i="3"/>
  <c r="B122" i="3"/>
  <c r="C122" i="3"/>
  <c r="A121" i="3"/>
  <c r="B121" i="3"/>
  <c r="C121" i="3"/>
  <c r="A120" i="3"/>
  <c r="B120" i="3"/>
  <c r="C120" i="3"/>
  <c r="A119" i="3"/>
  <c r="B119" i="3"/>
  <c r="C119" i="3"/>
  <c r="A118" i="3"/>
  <c r="B118" i="3"/>
  <c r="C118" i="3"/>
  <c r="A117" i="3"/>
  <c r="B117" i="3"/>
  <c r="C117" i="3"/>
  <c r="A116" i="3"/>
  <c r="B116" i="3"/>
  <c r="C116" i="3"/>
  <c r="A115" i="3"/>
  <c r="B115" i="3"/>
  <c r="C115" i="3"/>
  <c r="A114" i="3"/>
  <c r="B114" i="3"/>
  <c r="C114" i="3"/>
  <c r="A113" i="3"/>
  <c r="B113" i="3"/>
  <c r="C113" i="3"/>
  <c r="A112" i="3"/>
  <c r="B112" i="3"/>
  <c r="C112" i="3"/>
  <c r="A111" i="3"/>
  <c r="B111" i="3"/>
  <c r="C111" i="3"/>
  <c r="A110" i="3"/>
  <c r="B110" i="3"/>
  <c r="C110" i="3"/>
  <c r="A109" i="3"/>
  <c r="B109" i="3"/>
  <c r="C109" i="3"/>
  <c r="A108" i="3"/>
  <c r="B108" i="3"/>
  <c r="C108" i="3"/>
  <c r="A107" i="3"/>
  <c r="B107" i="3"/>
  <c r="C107" i="3"/>
  <c r="A106" i="3"/>
  <c r="B106" i="3"/>
  <c r="C106" i="3"/>
  <c r="A105" i="3"/>
  <c r="B105" i="3"/>
  <c r="C105" i="3"/>
  <c r="A104" i="3"/>
  <c r="B104" i="3"/>
  <c r="C104" i="3"/>
  <c r="A103" i="3"/>
  <c r="B103" i="3"/>
  <c r="C103" i="3"/>
  <c r="A102" i="3"/>
  <c r="B102" i="3"/>
  <c r="C102" i="3"/>
  <c r="A101" i="3"/>
  <c r="B101" i="3"/>
  <c r="C101" i="3"/>
  <c r="A100" i="3"/>
  <c r="B100" i="3"/>
  <c r="C100" i="3"/>
  <c r="A99" i="3"/>
  <c r="B99" i="3"/>
  <c r="C99" i="3"/>
  <c r="A98" i="3"/>
  <c r="B98" i="3"/>
  <c r="C98" i="3"/>
  <c r="A97" i="3"/>
  <c r="B97" i="3"/>
  <c r="C97" i="3"/>
  <c r="A96" i="3"/>
  <c r="B96" i="3"/>
  <c r="C96" i="3"/>
  <c r="A95" i="3"/>
  <c r="B95" i="3"/>
  <c r="C95" i="3"/>
  <c r="A94" i="3"/>
  <c r="B94" i="3"/>
  <c r="C94" i="3"/>
  <c r="A93" i="3"/>
  <c r="B93" i="3"/>
  <c r="C93" i="3"/>
  <c r="A92" i="3"/>
  <c r="B92" i="3"/>
  <c r="C92" i="3"/>
  <c r="A91" i="3"/>
  <c r="B91" i="3"/>
  <c r="C91" i="3"/>
  <c r="A90" i="3"/>
  <c r="B90" i="3"/>
  <c r="C90" i="3"/>
  <c r="A89" i="3"/>
  <c r="B89" i="3"/>
  <c r="C89" i="3"/>
  <c r="A88" i="3"/>
  <c r="B88" i="3"/>
  <c r="C88" i="3"/>
  <c r="A87" i="3"/>
  <c r="B87" i="3"/>
  <c r="C87" i="3"/>
  <c r="A86" i="3"/>
  <c r="B86" i="3"/>
  <c r="C86" i="3"/>
  <c r="A85" i="3"/>
  <c r="B85" i="3"/>
  <c r="C85" i="3"/>
  <c r="A84" i="3"/>
  <c r="B84" i="3"/>
  <c r="C84" i="3"/>
  <c r="A83" i="3"/>
  <c r="B83" i="3"/>
  <c r="C83" i="3"/>
  <c r="A82" i="3"/>
  <c r="B82" i="3"/>
  <c r="C82" i="3"/>
  <c r="A81" i="3"/>
  <c r="B81" i="3"/>
  <c r="C81" i="3"/>
  <c r="A80" i="3"/>
  <c r="B80" i="3"/>
  <c r="C80" i="3"/>
  <c r="A79" i="3"/>
  <c r="B79" i="3"/>
  <c r="C79" i="3"/>
  <c r="A78" i="3"/>
  <c r="B78" i="3"/>
  <c r="C78" i="3"/>
  <c r="A77" i="3"/>
  <c r="B77" i="3"/>
  <c r="C77" i="3"/>
  <c r="A76" i="3"/>
  <c r="B76" i="3"/>
  <c r="C76" i="3"/>
  <c r="A75" i="3"/>
  <c r="B75" i="3"/>
  <c r="C75" i="3"/>
  <c r="A74" i="3"/>
  <c r="B74" i="3"/>
  <c r="C74" i="3"/>
  <c r="A73" i="3"/>
  <c r="B73" i="3"/>
  <c r="C73" i="3"/>
  <c r="A72" i="3"/>
  <c r="B72" i="3"/>
  <c r="C72" i="3"/>
  <c r="A71" i="3"/>
  <c r="B71" i="3"/>
  <c r="C71" i="3"/>
  <c r="A70" i="3"/>
  <c r="B70" i="3"/>
  <c r="C70" i="3"/>
  <c r="A69" i="3"/>
  <c r="B69" i="3"/>
  <c r="C69" i="3"/>
  <c r="A68" i="3"/>
  <c r="B68" i="3"/>
  <c r="C68" i="3"/>
  <c r="A67" i="3"/>
  <c r="B67" i="3"/>
  <c r="C67" i="3"/>
  <c r="A66" i="3"/>
  <c r="B66" i="3"/>
  <c r="C66" i="3"/>
  <c r="A65" i="3"/>
  <c r="B65" i="3"/>
  <c r="C65" i="3"/>
  <c r="A64" i="3"/>
  <c r="B64" i="3"/>
  <c r="C64" i="3"/>
  <c r="A63" i="3"/>
  <c r="B63" i="3"/>
  <c r="C63" i="3"/>
  <c r="A62" i="3"/>
  <c r="B62" i="3"/>
  <c r="C62" i="3"/>
  <c r="A61" i="3"/>
  <c r="B61" i="3"/>
  <c r="C61" i="3"/>
  <c r="A60" i="3"/>
  <c r="B60" i="3"/>
  <c r="C60" i="3"/>
  <c r="A59" i="3"/>
  <c r="B59" i="3"/>
  <c r="C59" i="3"/>
  <c r="A58" i="3"/>
  <c r="B58" i="3"/>
  <c r="C58" i="3"/>
  <c r="A57" i="3"/>
  <c r="B57" i="3"/>
  <c r="C57" i="3"/>
  <c r="A56" i="3"/>
  <c r="B56" i="3"/>
  <c r="C56" i="3"/>
  <c r="A55" i="3"/>
  <c r="B55" i="3"/>
  <c r="C55" i="3"/>
  <c r="A54" i="3"/>
  <c r="B54" i="3"/>
  <c r="C54" i="3"/>
  <c r="A53" i="3"/>
  <c r="B53" i="3"/>
  <c r="C53" i="3"/>
  <c r="A52" i="3"/>
  <c r="B52" i="3"/>
  <c r="C52" i="3"/>
  <c r="A51" i="3"/>
  <c r="B51" i="3"/>
  <c r="C51" i="3"/>
  <c r="A50" i="3"/>
  <c r="B50" i="3"/>
  <c r="C50" i="3"/>
  <c r="A49" i="3"/>
  <c r="B49" i="3"/>
  <c r="C49" i="3"/>
  <c r="A48" i="3"/>
  <c r="B48" i="3"/>
  <c r="C48" i="3"/>
  <c r="A47" i="3"/>
  <c r="B47" i="3"/>
  <c r="C47" i="3"/>
  <c r="A46" i="3"/>
  <c r="B46" i="3"/>
  <c r="C46" i="3"/>
  <c r="A45" i="3"/>
  <c r="B45" i="3"/>
  <c r="C45" i="3"/>
  <c r="A44" i="3"/>
  <c r="B44" i="3"/>
  <c r="C44" i="3"/>
  <c r="A43" i="3"/>
  <c r="B43" i="3"/>
  <c r="C43" i="3"/>
  <c r="A42" i="3"/>
  <c r="B42" i="3"/>
  <c r="C42" i="3"/>
  <c r="A41" i="3"/>
  <c r="B41" i="3"/>
  <c r="C41" i="3"/>
  <c r="A40" i="3"/>
  <c r="B40" i="3"/>
  <c r="C40" i="3"/>
  <c r="A39" i="3"/>
  <c r="B39" i="3"/>
  <c r="C39" i="3"/>
  <c r="A38" i="3"/>
  <c r="B38" i="3"/>
  <c r="C38" i="3"/>
  <c r="A37" i="3"/>
  <c r="B37" i="3"/>
  <c r="C37" i="3"/>
  <c r="A36" i="3"/>
  <c r="B36" i="3"/>
  <c r="C36" i="3"/>
  <c r="A35" i="3"/>
  <c r="B35" i="3"/>
  <c r="C35" i="3"/>
  <c r="A34" i="3"/>
  <c r="B34" i="3"/>
  <c r="C34" i="3"/>
  <c r="A33" i="3"/>
  <c r="B33" i="3"/>
  <c r="C33" i="3"/>
  <c r="A32" i="3"/>
  <c r="B32" i="3"/>
  <c r="C32" i="3"/>
  <c r="A31" i="3"/>
  <c r="B31" i="3"/>
  <c r="C31" i="3"/>
  <c r="A30" i="3"/>
  <c r="B30" i="3"/>
  <c r="C30" i="3"/>
  <c r="A29" i="3"/>
  <c r="B29" i="3"/>
  <c r="C29" i="3"/>
  <c r="A28" i="3"/>
  <c r="B28" i="3"/>
  <c r="C28" i="3"/>
  <c r="A27" i="3"/>
  <c r="B27" i="3"/>
  <c r="C27" i="3"/>
  <c r="A26" i="3"/>
  <c r="B26" i="3"/>
  <c r="C26" i="3"/>
  <c r="A25" i="3"/>
  <c r="B25" i="3"/>
  <c r="C25" i="3"/>
  <c r="A24" i="3"/>
  <c r="B24" i="3"/>
  <c r="C24" i="3"/>
  <c r="A23" i="3"/>
  <c r="B23" i="3"/>
  <c r="C23" i="3"/>
  <c r="A22" i="3"/>
  <c r="B22" i="3"/>
  <c r="C22" i="3"/>
  <c r="A21" i="3"/>
  <c r="B21" i="3"/>
  <c r="C21" i="3"/>
  <c r="A20" i="3"/>
  <c r="B20" i="3"/>
  <c r="C20" i="3"/>
  <c r="A19" i="3"/>
  <c r="B19" i="3"/>
  <c r="C19" i="3"/>
  <c r="A18" i="3"/>
  <c r="B18" i="3"/>
  <c r="C18" i="3"/>
  <c r="A17" i="3"/>
  <c r="B17" i="3"/>
  <c r="C17" i="3"/>
  <c r="A16" i="3"/>
  <c r="B16" i="3"/>
  <c r="C16" i="3"/>
  <c r="A15" i="3"/>
  <c r="B15" i="3"/>
  <c r="C15" i="3"/>
  <c r="A14" i="3"/>
  <c r="B14" i="3"/>
  <c r="C14" i="3"/>
  <c r="A13" i="3"/>
  <c r="B13" i="3"/>
  <c r="C13" i="3"/>
  <c r="A12" i="3"/>
  <c r="B12" i="3"/>
  <c r="C12" i="3"/>
  <c r="A11" i="3"/>
  <c r="B11" i="3"/>
  <c r="C11" i="3"/>
  <c r="A10" i="3"/>
  <c r="B10" i="3"/>
  <c r="C10" i="3"/>
  <c r="A9" i="3"/>
  <c r="B9" i="3"/>
  <c r="C9" i="3"/>
  <c r="A8" i="3"/>
  <c r="B8" i="3"/>
  <c r="C8" i="3"/>
  <c r="A7" i="3"/>
  <c r="B7" i="3"/>
  <c r="C7" i="3"/>
  <c r="A6" i="3"/>
  <c r="B6" i="3"/>
  <c r="C6" i="3"/>
  <c r="A5" i="3"/>
  <c r="B5" i="3"/>
  <c r="C5" i="3"/>
  <c r="A4" i="3"/>
  <c r="B4" i="3"/>
  <c r="C4" i="3"/>
  <c r="A3" i="3"/>
  <c r="B3" i="3"/>
  <c r="C3" i="3"/>
  <c r="A2" i="3"/>
  <c r="B2" i="3"/>
  <c r="C2" i="3"/>
</calcChain>
</file>

<file path=xl/sharedStrings.xml><?xml version="1.0" encoding="utf-8"?>
<sst xmlns="http://schemas.openxmlformats.org/spreadsheetml/2006/main" count="38" uniqueCount="30">
  <si>
    <t>Date</t>
  </si>
  <si>
    <t>S</t>
  </si>
  <si>
    <t>F</t>
  </si>
  <si>
    <t>NA</t>
  </si>
  <si>
    <t>SAUD</t>
  </si>
  <si>
    <t>FAUD</t>
  </si>
  <si>
    <t>SCAD</t>
  </si>
  <si>
    <t>FCAD</t>
  </si>
  <si>
    <t>SEUR</t>
  </si>
  <si>
    <t>FEUR</t>
  </si>
  <si>
    <t>SGBP</t>
  </si>
  <si>
    <t>FGBP</t>
  </si>
  <si>
    <t>SINR</t>
  </si>
  <si>
    <t>FINR</t>
  </si>
  <si>
    <t>FJPY</t>
  </si>
  <si>
    <t>SKRW</t>
  </si>
  <si>
    <t>FKRW</t>
  </si>
  <si>
    <t>SNOK</t>
  </si>
  <si>
    <t>SPHP</t>
  </si>
  <si>
    <t>FPHP</t>
  </si>
  <si>
    <t>STHB</t>
  </si>
  <si>
    <t>FTHB</t>
  </si>
  <si>
    <t>STWD</t>
  </si>
  <si>
    <t>FTWD</t>
  </si>
  <si>
    <t>SZAR</t>
  </si>
  <si>
    <t>FZAR</t>
  </si>
  <si>
    <t>SJPY</t>
  </si>
  <si>
    <t>FNOK</t>
  </si>
  <si>
    <t>SNZD</t>
  </si>
  <si>
    <t>FNZD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</si>
</sst>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00"/>
    <numFmt numFmtId="166" formatCode="0.0000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A5405-98E0-409A-BF96-AB563247D877}">
  <dimension ref="A1:AA2612"/>
  <sheetViews>
    <sheetView tabSelected="1" workbookViewId="0">
      <selection sqref="A1:XFD1048576"/>
    </sheetView>
  </sheetViews>
  <sheetFormatPr defaultRowHeight="15" x14ac:dyDescent="0.25"/>
  <cols>
    <col min="1" max="1" width="10.7109375" bestFit="1" customWidth="1"/>
    <col min="2" max="9" width="9.140625" style="3"/>
    <col min="10" max="13" width="9.140625" style="4"/>
    <col min="14" max="15" width="11.5703125" style="5" bestFit="1" customWidth="1"/>
    <col min="16" max="19" width="9.140625" style="3"/>
    <col min="20" max="27" width="9.140625" style="4"/>
  </cols>
  <sheetData>
    <row r="1" spans="1:27" x14ac:dyDescent="0.25">
      <c r="A1" t="s">
        <v>0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4" t="s">
        <v>12</v>
      </c>
      <c r="K1" s="4" t="s">
        <v>13</v>
      </c>
      <c r="L1" s="4" t="s">
        <v>26</v>
      </c>
      <c r="M1" s="4" t="s">
        <v>14</v>
      </c>
      <c r="N1" s="5" t="s">
        <v>15</v>
      </c>
      <c r="O1" s="5" t="s">
        <v>16</v>
      </c>
      <c r="P1" s="3" t="s">
        <v>17</v>
      </c>
      <c r="Q1" s="3" t="s">
        <v>27</v>
      </c>
      <c r="R1" s="3" t="s">
        <v>28</v>
      </c>
      <c r="S1" s="3" t="s">
        <v>29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</row>
    <row r="2" spans="1:27" x14ac:dyDescent="0.25">
      <c r="A2" t="str">
        <f>"29/05/2009"</f>
        <v>29/05/2009</v>
      </c>
      <c r="B2" s="3">
        <f>AUD!B2</f>
        <v>0.78700000000000003</v>
      </c>
      <c r="C2" s="3">
        <f>AUD!C2</f>
        <v>0.78610000000000002</v>
      </c>
      <c r="D2" s="3">
        <f>1/CAD!B2</f>
        <v>0.89871483778197181</v>
      </c>
      <c r="E2" s="3">
        <f>1/CAD!C2</f>
        <v>0.898876404494382</v>
      </c>
      <c r="F2" s="3">
        <f>EUR!B2/1</f>
        <v>1.3980999999999999</v>
      </c>
      <c r="G2" s="3">
        <f>EUR!C2/1</f>
        <v>1.3976999999999999</v>
      </c>
      <c r="H2" s="3">
        <f>GBP!B2/1</f>
        <v>1.5958000000000001</v>
      </c>
      <c r="I2" s="3">
        <f>GBP!C2/1</f>
        <v>1.5955999999999999</v>
      </c>
      <c r="J2" s="4">
        <f>1/INR!B2</f>
        <v>2.1058173203474601E-2</v>
      </c>
      <c r="K2" s="4">
        <f>1/INR!C2</f>
        <v>2.0994069175457934E-2</v>
      </c>
      <c r="L2" s="4">
        <f>1/JPY!B2</f>
        <v>1.0375596596804317E-2</v>
      </c>
      <c r="M2" s="4">
        <f>1/JPY!C2</f>
        <v>1.0379096499649706E-2</v>
      </c>
      <c r="N2" s="5">
        <f>1/KRW!B2</f>
        <v>7.9295852826897161E-4</v>
      </c>
      <c r="O2" s="5">
        <f>1/KRW!C2</f>
        <v>7.929336921093979E-4</v>
      </c>
      <c r="P2" s="3">
        <f>1/NOK!B2</f>
        <v>0.15586277840988794</v>
      </c>
      <c r="Q2" s="3">
        <f>1/NOK!C2</f>
        <v>0.1557026080186843</v>
      </c>
      <c r="R2" s="3">
        <f>NZD!B2/1</f>
        <v>0.62539999999999996</v>
      </c>
      <c r="S2" s="3">
        <f>NZD!C2/1</f>
        <v>0.62419999999999998</v>
      </c>
      <c r="T2" s="4">
        <f>1/PHP!B2</f>
        <v>2.1031599978968401E-2</v>
      </c>
      <c r="U2" s="4">
        <f>1/PHP!C2</f>
        <v>2.1031599978968401E-2</v>
      </c>
      <c r="V2" s="4">
        <f>1/TWD!B2</f>
        <v>3.0721966205837177E-2</v>
      </c>
      <c r="W2" s="4">
        <f>1/TWD!C2</f>
        <v>3.0721966205837177E-2</v>
      </c>
      <c r="X2" s="4">
        <f>1/TWD!B2</f>
        <v>3.0721966205837177E-2</v>
      </c>
      <c r="Y2" s="4">
        <f>1/TWD!C2</f>
        <v>3.0721966205837177E-2</v>
      </c>
      <c r="Z2" s="4">
        <f>1/ZAR!B2</f>
        <v>0.12389577887081386</v>
      </c>
      <c r="AA2" s="4">
        <f>1/ZAR!C2</f>
        <v>0.12314512653161751</v>
      </c>
    </row>
    <row r="3" spans="1:27" x14ac:dyDescent="0.25">
      <c r="A3" t="str">
        <f>"01/06/2009"</f>
        <v>01/06/2009</v>
      </c>
      <c r="B3" s="3">
        <f>AUD!B3</f>
        <v>0.80600000000000005</v>
      </c>
      <c r="C3" s="3">
        <f>AUD!C3</f>
        <v>0.80420000000000003</v>
      </c>
      <c r="D3" s="3">
        <f>1/CAD!B3</f>
        <v>0.9197093718384991</v>
      </c>
      <c r="E3" s="3">
        <f>1/CAD!C3</f>
        <v>0.9198785760279643</v>
      </c>
      <c r="F3" s="3">
        <f>EUR!B3/1</f>
        <v>1.4151</v>
      </c>
      <c r="G3" s="3">
        <f>EUR!C3/1</f>
        <v>1.4148000000000001</v>
      </c>
      <c r="H3" s="3">
        <f>GBP!B3/1</f>
        <v>1.6217999999999999</v>
      </c>
      <c r="I3" s="3">
        <f>GBP!C3/1</f>
        <v>1.6215999999999999</v>
      </c>
      <c r="J3" s="4">
        <f>1/INR!B3</f>
        <v>2.1266415014089001E-2</v>
      </c>
      <c r="K3" s="4">
        <f>1/INR!C3</f>
        <v>2.119317579739324E-2</v>
      </c>
      <c r="L3" s="4">
        <f>1/JPY!B3</f>
        <v>1.0530749789385004E-2</v>
      </c>
      <c r="M3" s="4">
        <f>1/JPY!C3</f>
        <v>1.0534455042106218E-2</v>
      </c>
      <c r="N3" s="5">
        <f>1/KRW!B3</f>
        <v>8.0025608194622287E-4</v>
      </c>
      <c r="O3" s="5">
        <f>1/KRW!C3</f>
        <v>8.0023014619004431E-4</v>
      </c>
      <c r="P3" s="3">
        <f>1/NOK!B3</f>
        <v>0.1590786166523496</v>
      </c>
      <c r="Q3" s="3">
        <f>1/NOK!C3</f>
        <v>0.15891429751934782</v>
      </c>
      <c r="R3" s="3">
        <f>NZD!B3/1</f>
        <v>0.64270000000000005</v>
      </c>
      <c r="S3" s="3">
        <f>NZD!C3/1</f>
        <v>0.64149999999999996</v>
      </c>
      <c r="T3" s="4">
        <f>1/PHP!B3</f>
        <v>2.1190930281839375E-2</v>
      </c>
      <c r="U3" s="4">
        <f>1/PHP!C3</f>
        <v>2.1190930281839375E-2</v>
      </c>
      <c r="V3" s="4">
        <f>1/TWD!B3</f>
        <v>3.0898529230008655E-2</v>
      </c>
      <c r="W3" s="4">
        <f>1/TWD!C3</f>
        <v>3.0898529230008655E-2</v>
      </c>
      <c r="X3" s="4">
        <f>1/TWD!B3</f>
        <v>3.0898529230008655E-2</v>
      </c>
      <c r="Y3" s="4">
        <f>1/TWD!C3</f>
        <v>3.0898529230008655E-2</v>
      </c>
      <c r="Z3" s="4">
        <f>1/ZAR!B3</f>
        <v>0.12544533092478299</v>
      </c>
      <c r="AA3" s="4">
        <f>1/ZAR!C3</f>
        <v>0.1246758428086974</v>
      </c>
    </row>
    <row r="4" spans="1:27" x14ac:dyDescent="0.25">
      <c r="A4" t="str">
        <f>"02/06/2009"</f>
        <v>02/06/2009</v>
      </c>
      <c r="B4" s="3">
        <f>AUD!B4</f>
        <v>0.81120000000000003</v>
      </c>
      <c r="C4" s="3">
        <f>AUD!C4</f>
        <v>0.80940000000000001</v>
      </c>
      <c r="D4" s="3">
        <f>1/CAD!B4</f>
        <v>0.9164222873900294</v>
      </c>
      <c r="E4" s="3">
        <f>1/CAD!C4</f>
        <v>0.91659028414298815</v>
      </c>
      <c r="F4" s="3">
        <f>EUR!B4/1</f>
        <v>1.4168000000000001</v>
      </c>
      <c r="G4" s="3">
        <f>EUR!C4/1</f>
        <v>1.4164000000000001</v>
      </c>
      <c r="H4" s="3">
        <f>GBP!B4/1</f>
        <v>1.6440999999999999</v>
      </c>
      <c r="I4" s="3">
        <f>GBP!C4/1</f>
        <v>1.6438999999999999</v>
      </c>
      <c r="J4" s="4">
        <f>1/INR!B4</f>
        <v>2.1231422505307854E-2</v>
      </c>
      <c r="K4" s="4">
        <f>1/INR!C4</f>
        <v>2.1157304559399133E-2</v>
      </c>
      <c r="L4" s="4">
        <f>1/JPY!B4</f>
        <v>1.0376673238559717E-2</v>
      </c>
      <c r="M4" s="4">
        <f>1/JPY!C4</f>
        <v>1.0380895829786527E-2</v>
      </c>
      <c r="N4" s="5">
        <f>1/KRW!B4</f>
        <v>8.0703736583003795E-4</v>
      </c>
      <c r="O4" s="5">
        <f>1/KRW!C4</f>
        <v>8.0701378912180922E-4</v>
      </c>
      <c r="P4" s="3">
        <f>1/NOK!B4</f>
        <v>0.16174686615446826</v>
      </c>
      <c r="Q4" s="3">
        <f>1/NOK!C4</f>
        <v>0.16156915967880051</v>
      </c>
      <c r="R4" s="3">
        <f>NZD!B4/1</f>
        <v>0.64729999999999999</v>
      </c>
      <c r="S4" s="3">
        <f>NZD!C4/1</f>
        <v>0.64610000000000001</v>
      </c>
      <c r="T4" s="4">
        <f>1/PHP!B4</f>
        <v>2.12021626205873E-2</v>
      </c>
      <c r="U4" s="4">
        <f>1/PHP!C4</f>
        <v>2.12021626205873E-2</v>
      </c>
      <c r="V4" s="4">
        <f>1/TWD!B4</f>
        <v>3.094059405940594E-2</v>
      </c>
      <c r="W4" s="4">
        <f>1/TWD!C4</f>
        <v>3.0940689791738221E-2</v>
      </c>
      <c r="X4" s="4">
        <f>1/TWD!B4</f>
        <v>3.094059405940594E-2</v>
      </c>
      <c r="Y4" s="4">
        <f>1/TWD!C4</f>
        <v>3.0940689791738221E-2</v>
      </c>
      <c r="Z4" s="4">
        <f>1/ZAR!B4</f>
        <v>0.12473493825620557</v>
      </c>
      <c r="AA4" s="4">
        <f>1/ZAR!C4</f>
        <v>0.12397565118210782</v>
      </c>
    </row>
    <row r="5" spans="1:27" x14ac:dyDescent="0.25">
      <c r="A5" t="str">
        <f>"03/06/2009"</f>
        <v>03/06/2009</v>
      </c>
      <c r="B5" s="3">
        <f>AUD!B5</f>
        <v>0.82299999999999995</v>
      </c>
      <c r="C5" s="3">
        <f>AUD!C5</f>
        <v>0.82110000000000005</v>
      </c>
      <c r="D5" s="3">
        <f>1/CAD!B5</f>
        <v>0.92302012183865612</v>
      </c>
      <c r="E5" s="3">
        <f>1/CAD!C5</f>
        <v>0.92319054652880361</v>
      </c>
      <c r="F5" s="3">
        <f>EUR!B5/1</f>
        <v>1.4292</v>
      </c>
      <c r="G5" s="3">
        <f>EUR!C5/1</f>
        <v>1.4288000000000001</v>
      </c>
      <c r="H5" s="3">
        <f>GBP!B5/1</f>
        <v>1.657</v>
      </c>
      <c r="I5" s="3">
        <f>GBP!C5/1</f>
        <v>1.6569</v>
      </c>
      <c r="J5" s="4">
        <f>1/INR!B5</f>
        <v>2.1343578250893763E-2</v>
      </c>
      <c r="K5" s="4">
        <f>1/INR!C5</f>
        <v>2.1272069772388855E-2</v>
      </c>
      <c r="L5" s="4">
        <f>1/JPY!B5</f>
        <v>1.0451505016722408E-2</v>
      </c>
      <c r="M5" s="4">
        <f>1/JPY!C5</f>
        <v>1.0455154704924169E-2</v>
      </c>
      <c r="N5" s="5">
        <f>1/KRW!B5</f>
        <v>8.0638658172728014E-4</v>
      </c>
      <c r="O5" s="5">
        <f>1/KRW!C5</f>
        <v>8.0635758120464339E-4</v>
      </c>
      <c r="P5" s="3">
        <f>1/NOK!B5</f>
        <v>0.16151174997981105</v>
      </c>
      <c r="Q5" s="3">
        <f>1/NOK!C5</f>
        <v>0.16133195663397004</v>
      </c>
      <c r="R5" s="3">
        <f>NZD!B5/1</f>
        <v>0.65300000000000002</v>
      </c>
      <c r="S5" s="3">
        <f>NZD!C5/1</f>
        <v>0.65169999999999995</v>
      </c>
      <c r="T5" s="4">
        <f>1/PHP!B5</f>
        <v>2.1164021164021163E-2</v>
      </c>
      <c r="U5" s="4">
        <f>1/PHP!C5</f>
        <v>2.1164021164021163E-2</v>
      </c>
      <c r="V5" s="4">
        <f>1/TWD!B5</f>
        <v>3.0769230769230771E-2</v>
      </c>
      <c r="W5" s="4">
        <f>1/TWD!C5</f>
        <v>3.0769325444078292E-2</v>
      </c>
      <c r="X5" s="4">
        <f>1/TWD!B5</f>
        <v>3.0769230769230771E-2</v>
      </c>
      <c r="Y5" s="4">
        <f>1/TWD!C5</f>
        <v>3.0769325444078292E-2</v>
      </c>
      <c r="Z5" s="4">
        <f>1/ZAR!B5</f>
        <v>0.12497969080024496</v>
      </c>
      <c r="AA5" s="4">
        <f>1/ZAR!C5</f>
        <v>0.12417115752353043</v>
      </c>
    </row>
    <row r="6" spans="1:27" x14ac:dyDescent="0.25">
      <c r="A6" t="str">
        <f>"04/06/2009"</f>
        <v>04/06/2009</v>
      </c>
      <c r="B6" s="3">
        <f>AUD!B6</f>
        <v>0.80169999999999997</v>
      </c>
      <c r="C6" s="3">
        <f>AUD!C6</f>
        <v>0.79979999999999996</v>
      </c>
      <c r="D6" s="3">
        <f>1/CAD!B6</f>
        <v>0.90000900009000095</v>
      </c>
      <c r="E6" s="3">
        <f>1/CAD!C6</f>
        <v>0.90017103249617425</v>
      </c>
      <c r="F6" s="3">
        <f>EUR!B6/1</f>
        <v>1.4179999999999999</v>
      </c>
      <c r="G6" s="3">
        <f>EUR!C6/1</f>
        <v>1.4176</v>
      </c>
      <c r="H6" s="3">
        <f>GBP!B6/1</f>
        <v>1.6302000000000001</v>
      </c>
      <c r="I6" s="3">
        <f>GBP!C6/1</f>
        <v>1.6301000000000001</v>
      </c>
      <c r="J6" s="4">
        <f>1/INR!B6</f>
        <v>2.1175224986765485E-2</v>
      </c>
      <c r="K6" s="4">
        <f>1/INR!C6</f>
        <v>2.1105951878429716E-2</v>
      </c>
      <c r="L6" s="4">
        <f>1/JPY!B6</f>
        <v>1.0403662089055347E-2</v>
      </c>
      <c r="M6" s="4">
        <f>1/JPY!C6</f>
        <v>1.0406834376271585E-2</v>
      </c>
      <c r="N6" s="5">
        <f>1/KRW!B6</f>
        <v>7.9942441442161635E-4</v>
      </c>
      <c r="O6" s="5">
        <f>1/KRW!C6</f>
        <v>7.9939981062218484E-4</v>
      </c>
      <c r="P6" s="3">
        <f>1/NOK!B6</f>
        <v>0.15770631929221404</v>
      </c>
      <c r="Q6" s="3">
        <f>1/NOK!C6</f>
        <v>0.15753241229382944</v>
      </c>
      <c r="R6" s="3">
        <f>NZD!B6/1</f>
        <v>0.63180000000000003</v>
      </c>
      <c r="S6" s="3">
        <f>NZD!C6/1</f>
        <v>0.63060000000000005</v>
      </c>
      <c r="T6" s="4">
        <f>1/PHP!B6</f>
        <v>2.1121554546414616E-2</v>
      </c>
      <c r="U6" s="4">
        <f>1/PHP!C6</f>
        <v>2.1121554546414616E-2</v>
      </c>
      <c r="V6" s="4">
        <f>1/TWD!B6</f>
        <v>3.0610995469572671E-2</v>
      </c>
      <c r="W6" s="4">
        <f>1/TWD!C6</f>
        <v>3.0611089173163866E-2</v>
      </c>
      <c r="X6" s="4">
        <f>1/TWD!B6</f>
        <v>3.0610995469572671E-2</v>
      </c>
      <c r="Y6" s="4">
        <f>1/TWD!C6</f>
        <v>3.0611089173163866E-2</v>
      </c>
      <c r="Z6" s="4">
        <f>1/ZAR!B6</f>
        <v>0.12358953443822376</v>
      </c>
      <c r="AA6" s="4">
        <f>1/ZAR!C6</f>
        <v>0.1228380503144654</v>
      </c>
    </row>
    <row r="7" spans="1:27" x14ac:dyDescent="0.25">
      <c r="A7" t="str">
        <f>"05/06/2009"</f>
        <v>05/06/2009</v>
      </c>
      <c r="B7" s="3">
        <f>AUD!B7</f>
        <v>0.80379999999999996</v>
      </c>
      <c r="C7" s="3">
        <f>AUD!C7</f>
        <v>0.80200000000000005</v>
      </c>
      <c r="D7" s="3">
        <f>1/CAD!B7</f>
        <v>0.91041514930808443</v>
      </c>
      <c r="E7" s="3">
        <f>1/CAD!C7</f>
        <v>0.91058095064651245</v>
      </c>
      <c r="F7" s="3">
        <f>EUR!B7/1</f>
        <v>1.4201999999999999</v>
      </c>
      <c r="G7" s="3">
        <f>EUR!C7/1</f>
        <v>1.4198</v>
      </c>
      <c r="H7" s="3">
        <f>GBP!B7/1</f>
        <v>1.6126</v>
      </c>
      <c r="I7" s="3">
        <f>GBP!C7/1</f>
        <v>1.6124000000000001</v>
      </c>
      <c r="J7" s="4">
        <f>1/INR!B7</f>
        <v>2.1235931195582924E-2</v>
      </c>
      <c r="K7" s="4">
        <f>1/INR!C7</f>
        <v>2.1169621593014026E-2</v>
      </c>
      <c r="L7" s="4">
        <f>1/JPY!B7</f>
        <v>1.0330578512396695E-2</v>
      </c>
      <c r="M7" s="4">
        <f>1/JPY!C7</f>
        <v>1.0334026746528025E-2</v>
      </c>
      <c r="N7" s="5">
        <f>1/KRW!B7</f>
        <v>8.037939072421832E-4</v>
      </c>
      <c r="O7" s="5">
        <f>1/KRW!C7</f>
        <v>8.0376716022792906E-4</v>
      </c>
      <c r="P7" s="3">
        <f>1/NOK!B7</f>
        <v>0.15842086085895793</v>
      </c>
      <c r="Q7" s="3">
        <f>1/NOK!C7</f>
        <v>0.15826040166489944</v>
      </c>
      <c r="R7" s="3">
        <f>NZD!B7/1</f>
        <v>0.63570000000000004</v>
      </c>
      <c r="S7" s="3">
        <f>NZD!C7/1</f>
        <v>0.63449999999999995</v>
      </c>
      <c r="T7" s="4">
        <f>1/PHP!B7</f>
        <v>2.1146119687037428E-2</v>
      </c>
      <c r="U7" s="4">
        <f>1/PHP!C7</f>
        <v>2.1146119687037428E-2</v>
      </c>
      <c r="V7" s="4">
        <f>1/TWD!B7</f>
        <v>3.0718191312895493E-2</v>
      </c>
      <c r="W7" s="4">
        <f>1/TWD!C7</f>
        <v>3.0718285673913111E-2</v>
      </c>
      <c r="X7" s="4">
        <f>1/TWD!B7</f>
        <v>3.0718191312895493E-2</v>
      </c>
      <c r="Y7" s="4">
        <f>1/TWD!C7</f>
        <v>3.0718285673913111E-2</v>
      </c>
      <c r="Z7" s="4">
        <f>1/ZAR!B7</f>
        <v>0.12437037497668056</v>
      </c>
      <c r="AA7" s="4">
        <f>1/ZAR!C7</f>
        <v>0.12362314719808136</v>
      </c>
    </row>
    <row r="8" spans="1:27" x14ac:dyDescent="0.25">
      <c r="A8" t="str">
        <f>"08/06/2009"</f>
        <v>08/06/2009</v>
      </c>
      <c r="B8" s="3">
        <f>AUD!B8</f>
        <v>0.78510000000000002</v>
      </c>
      <c r="C8" s="3">
        <f>AUD!C8</f>
        <v>0.7833</v>
      </c>
      <c r="D8" s="3">
        <f>1/CAD!B8</f>
        <v>0.88857295183934604</v>
      </c>
      <c r="E8" s="3">
        <f>1/CAD!C8</f>
        <v>0.88873089228581592</v>
      </c>
      <c r="F8" s="3">
        <f>EUR!B8/1</f>
        <v>1.3868</v>
      </c>
      <c r="G8" s="3">
        <f>EUR!C8/1</f>
        <v>1.3864000000000001</v>
      </c>
      <c r="H8" s="3">
        <f>GBP!B8/1</f>
        <v>1.5835999999999999</v>
      </c>
      <c r="I8" s="3">
        <f>GBP!C8/1</f>
        <v>1.5833999999999999</v>
      </c>
      <c r="J8" s="4">
        <f>1/INR!B8</f>
        <v>2.0995171110644549E-2</v>
      </c>
      <c r="K8" s="4">
        <f>1/INR!C8</f>
        <v>2.0932544874143075E-2</v>
      </c>
      <c r="L8" s="4">
        <f>1/JPY!B8</f>
        <v>1.0164667615368978E-2</v>
      </c>
      <c r="M8" s="4">
        <f>1/JPY!C8</f>
        <v>1.0168264439952331E-2</v>
      </c>
      <c r="N8" s="5">
        <f>1/KRW!B8</f>
        <v>7.9897730904442317E-4</v>
      </c>
      <c r="O8" s="5">
        <f>1/KRW!C8</f>
        <v>7.9896160558045909E-4</v>
      </c>
      <c r="P8" s="3">
        <f>1/NOK!B8</f>
        <v>0.15578022525820573</v>
      </c>
      <c r="Q8" s="3">
        <f>1/NOK!C8</f>
        <v>0.15562264620747612</v>
      </c>
      <c r="R8" s="3">
        <f>NZD!B8/1</f>
        <v>0.61919999999999997</v>
      </c>
      <c r="S8" s="3">
        <f>NZD!C8/1</f>
        <v>0.61799999999999999</v>
      </c>
      <c r="T8" s="4">
        <f>1/PHP!B8</f>
        <v>2.1065936380872129E-2</v>
      </c>
      <c r="U8" s="4">
        <f>1/PHP!C8</f>
        <v>2.1065936380872129E-2</v>
      </c>
      <c r="V8" s="4">
        <f>1/TWD!B8</f>
        <v>3.0465513039239583E-2</v>
      </c>
      <c r="W8" s="4">
        <f>1/TWD!C8</f>
        <v>3.0465605854270821E-2</v>
      </c>
      <c r="X8" s="4">
        <f>1/TWD!B8</f>
        <v>3.0465513039239583E-2</v>
      </c>
      <c r="Y8" s="4">
        <f>1/TWD!C8</f>
        <v>3.0465605854270821E-2</v>
      </c>
      <c r="Z8" s="4">
        <f>1/ZAR!B8</f>
        <v>0.1232468140698563</v>
      </c>
      <c r="AA8" s="4">
        <f>1/ZAR!C8</f>
        <v>0.1225114854517611</v>
      </c>
    </row>
    <row r="9" spans="1:27" x14ac:dyDescent="0.25">
      <c r="A9" t="str">
        <f>"09/06/2009"</f>
        <v>09/06/2009</v>
      </c>
      <c r="B9" s="3">
        <f>AUD!B9</f>
        <v>0.78779999999999994</v>
      </c>
      <c r="C9" s="3">
        <f>AUD!C9</f>
        <v>0.78600000000000003</v>
      </c>
      <c r="D9" s="3">
        <f>1/CAD!B9</f>
        <v>0.89325591782045566</v>
      </c>
      <c r="E9" s="3">
        <f>1/CAD!C9</f>
        <v>0.89349535382416012</v>
      </c>
      <c r="F9" s="3">
        <f>EUR!B9/1</f>
        <v>1.3859999999999999</v>
      </c>
      <c r="G9" s="3">
        <f>EUR!C9/1</f>
        <v>1.3855</v>
      </c>
      <c r="H9" s="3">
        <f>GBP!B9/1</f>
        <v>1.5995999999999999</v>
      </c>
      <c r="I9" s="3">
        <f>GBP!C9/1</f>
        <v>1.5993999999999999</v>
      </c>
      <c r="J9" s="4">
        <f>1/INR!B9</f>
        <v>2.097535395909806E-2</v>
      </c>
      <c r="K9" s="4">
        <f>1/INR!C9</f>
        <v>2.0906287565985469E-2</v>
      </c>
      <c r="L9" s="4">
        <f>1/JPY!B9</f>
        <v>1.0179153094462542E-2</v>
      </c>
      <c r="M9" s="4">
        <f>1/JPY!C9</f>
        <v>1.018278091746856E-2</v>
      </c>
      <c r="N9" s="5">
        <f>1/KRW!B9</f>
        <v>7.9428117553613975E-4</v>
      </c>
      <c r="O9" s="5">
        <f>1/KRW!C9</f>
        <v>7.9425537327659497E-4</v>
      </c>
      <c r="P9" s="3">
        <f>1/NOK!B9</f>
        <v>0.15488987330008364</v>
      </c>
      <c r="Q9" s="3">
        <f>1/NOK!C9</f>
        <v>0.15473408946725054</v>
      </c>
      <c r="R9" s="3">
        <f>NZD!B9/1</f>
        <v>0.61860000000000004</v>
      </c>
      <c r="S9" s="3">
        <f>NZD!C9/1</f>
        <v>0.61750000000000005</v>
      </c>
      <c r="T9" s="4">
        <f>1/PHP!B9</f>
        <v>2.0959966464053657E-2</v>
      </c>
      <c r="U9" s="4">
        <f>1/PHP!C9</f>
        <v>2.0959966464053657E-2</v>
      </c>
      <c r="V9" s="4">
        <f>1/TWD!B9</f>
        <v>3.0373902742763415E-2</v>
      </c>
      <c r="W9" s="4">
        <f>1/TWD!C9</f>
        <v>3.0373995000440423E-2</v>
      </c>
      <c r="X9" s="4">
        <f>1/TWD!B9</f>
        <v>3.0373902742763415E-2</v>
      </c>
      <c r="Y9" s="4">
        <f>1/TWD!C9</f>
        <v>3.0373995000440423E-2</v>
      </c>
      <c r="Z9" s="4">
        <f>1/ZAR!B9</f>
        <v>0.12230022258640511</v>
      </c>
      <c r="AA9" s="4">
        <f>1/ZAR!C9</f>
        <v>0.12157906894749002</v>
      </c>
    </row>
    <row r="10" spans="1:27" x14ac:dyDescent="0.25">
      <c r="A10" t="str">
        <f>"10/06/2009"</f>
        <v>10/06/2009</v>
      </c>
      <c r="B10" s="3">
        <f>AUD!B10</f>
        <v>0.80430000000000001</v>
      </c>
      <c r="C10" s="3">
        <f>AUD!C10</f>
        <v>0.8024</v>
      </c>
      <c r="D10" s="3">
        <f>1/CAD!B10</f>
        <v>0.90645395213923141</v>
      </c>
      <c r="E10" s="3">
        <f>1/CAD!C10</f>
        <v>0.90661831368993651</v>
      </c>
      <c r="F10" s="3">
        <f>EUR!B10/1</f>
        <v>1.4074</v>
      </c>
      <c r="G10" s="3">
        <f>EUR!C10/1</f>
        <v>1.4069</v>
      </c>
      <c r="H10" s="3">
        <f>GBP!B10/1</f>
        <v>1.6322000000000001</v>
      </c>
      <c r="I10" s="3">
        <f>GBP!C10/1</f>
        <v>1.6319999999999999</v>
      </c>
      <c r="J10" s="4">
        <f>1/INR!B10</f>
        <v>2.1123785382340513E-2</v>
      </c>
      <c r="K10" s="4">
        <f>1/INR!C10</f>
        <v>2.1053739670508973E-2</v>
      </c>
      <c r="L10" s="4">
        <f>1/JPY!B10</f>
        <v>1.0241704219582138E-2</v>
      </c>
      <c r="M10" s="4">
        <f>1/JPY!C10</f>
        <v>1.0245082872475355E-2</v>
      </c>
      <c r="N10" s="5">
        <f>1/KRW!B10</f>
        <v>7.9795722949249919E-4</v>
      </c>
      <c r="O10" s="5">
        <f>1/KRW!C10</f>
        <v>7.9793271591959553E-4</v>
      </c>
      <c r="P10" s="3">
        <f>1/NOK!B10</f>
        <v>0.15787811809283234</v>
      </c>
      <c r="Q10" s="3">
        <f>1/NOK!C10</f>
        <v>0.15772124347428354</v>
      </c>
      <c r="R10" s="3">
        <f>NZD!B10/1</f>
        <v>0.62939999999999996</v>
      </c>
      <c r="S10" s="3">
        <f>NZD!C10/1</f>
        <v>0.62809999999999999</v>
      </c>
      <c r="T10" s="4">
        <f>1/PHP!B10</f>
        <v>2.103270585760858E-2</v>
      </c>
      <c r="U10" s="4">
        <f>1/PHP!C10</f>
        <v>2.103270585760858E-2</v>
      </c>
      <c r="V10" s="4">
        <f>1/TWD!B10</f>
        <v>3.0554876558298704E-2</v>
      </c>
      <c r="W10" s="4">
        <f>1/TWD!C10</f>
        <v>3.0554969918632116E-2</v>
      </c>
      <c r="X10" s="4">
        <f>1/TWD!B10</f>
        <v>3.0554876558298704E-2</v>
      </c>
      <c r="Y10" s="4">
        <f>1/TWD!C10</f>
        <v>3.0554969918632116E-2</v>
      </c>
      <c r="Z10" s="4">
        <f>1/ZAR!B10</f>
        <v>0.12313754463735993</v>
      </c>
      <c r="AA10" s="4">
        <f>1/ZAR!C10</f>
        <v>0.12235858406646517</v>
      </c>
    </row>
    <row r="11" spans="1:27" x14ac:dyDescent="0.25">
      <c r="A11" t="str">
        <f>"11/06/2009"</f>
        <v>11/06/2009</v>
      </c>
      <c r="B11" s="3">
        <f>AUD!B11</f>
        <v>0.80940000000000001</v>
      </c>
      <c r="C11" s="3">
        <f>AUD!C11</f>
        <v>0.8075</v>
      </c>
      <c r="D11" s="3">
        <f>1/CAD!B11</f>
        <v>0.90481360839667035</v>
      </c>
      <c r="E11" s="3">
        <f>1/CAD!C11</f>
        <v>0.90497737556561086</v>
      </c>
      <c r="F11" s="3">
        <f>EUR!B11/1</f>
        <v>1.4029</v>
      </c>
      <c r="G11" s="3">
        <f>EUR!C11/1</f>
        <v>1.4025000000000001</v>
      </c>
      <c r="H11" s="3">
        <f>GBP!B11/1</f>
        <v>1.641</v>
      </c>
      <c r="I11" s="3">
        <f>GBP!C11/1</f>
        <v>1.6409</v>
      </c>
      <c r="J11" s="4">
        <f>1/INR!B11</f>
        <v>2.1112635912593686E-2</v>
      </c>
      <c r="K11" s="4">
        <f>1/INR!C11</f>
        <v>2.1042664001262559E-2</v>
      </c>
      <c r="L11" s="4">
        <f>1/JPY!B11</f>
        <v>1.0215548064153642E-2</v>
      </c>
      <c r="M11" s="4">
        <f>1/JPY!C11</f>
        <v>1.021860665210856E-2</v>
      </c>
      <c r="N11" s="5">
        <f>1/KRW!B11</f>
        <v>8.0000000000000004E-4</v>
      </c>
      <c r="O11" s="5">
        <f>1/KRW!C11</f>
        <v>7.9997580873154394E-4</v>
      </c>
      <c r="P11" s="3">
        <f>1/NOK!B11</f>
        <v>0.15744064487688142</v>
      </c>
      <c r="Q11" s="3">
        <f>1/NOK!C11</f>
        <v>0.15728958585652042</v>
      </c>
      <c r="R11" s="3">
        <f>NZD!B11/1</f>
        <v>0.63629999999999998</v>
      </c>
      <c r="S11" s="3">
        <f>NZD!C11/1</f>
        <v>0.6351</v>
      </c>
      <c r="T11" s="4">
        <f>1/PHP!B11</f>
        <v>2.0964360587002094E-2</v>
      </c>
      <c r="U11" s="4">
        <f>1/PHP!C11</f>
        <v>2.0964360587002094E-2</v>
      </c>
      <c r="V11" s="4">
        <f>1/TWD!B11</f>
        <v>3.0563281273877561E-2</v>
      </c>
      <c r="W11" s="4">
        <f>1/TWD!C11</f>
        <v>3.0563374685579285E-2</v>
      </c>
      <c r="X11" s="4">
        <f>1/TWD!B11</f>
        <v>3.0563281273877561E-2</v>
      </c>
      <c r="Y11" s="4">
        <f>1/TWD!C11</f>
        <v>3.0563374685579285E-2</v>
      </c>
      <c r="Z11" s="4">
        <f>1/ZAR!B11</f>
        <v>0.12370725914196644</v>
      </c>
      <c r="AA11" s="4">
        <f>1/ZAR!C11</f>
        <v>0.12295132357099824</v>
      </c>
    </row>
    <row r="12" spans="1:27" x14ac:dyDescent="0.25">
      <c r="A12" t="str">
        <f>"12/06/2009"</f>
        <v>12/06/2009</v>
      </c>
      <c r="B12" s="3">
        <f>AUD!B12</f>
        <v>0.81340000000000001</v>
      </c>
      <c r="C12" s="3">
        <f>AUD!C12</f>
        <v>0.8115</v>
      </c>
      <c r="D12" s="3">
        <f>1/CAD!B12</f>
        <v>0.90228277542181712</v>
      </c>
      <c r="E12" s="3">
        <f>1/CAD!C12</f>
        <v>0.90244562765093395</v>
      </c>
      <c r="F12" s="3">
        <f>EUR!B12/1</f>
        <v>1.4095</v>
      </c>
      <c r="G12" s="3">
        <f>EUR!C12/1</f>
        <v>1.4091</v>
      </c>
      <c r="H12" s="3">
        <f>GBP!B12/1</f>
        <v>1.6547000000000001</v>
      </c>
      <c r="I12" s="3">
        <f>GBP!C12/1</f>
        <v>1.6546000000000001</v>
      </c>
      <c r="J12" s="4">
        <f>1/INR!B12</f>
        <v>2.1070375052675939E-2</v>
      </c>
      <c r="K12" s="4">
        <f>1/INR!C12</f>
        <v>2.1003990758244065E-2</v>
      </c>
      <c r="L12" s="4">
        <f>1/JPY!B12</f>
        <v>1.0230179028132993E-2</v>
      </c>
      <c r="M12" s="4">
        <f>1/JPY!C12</f>
        <v>1.0233162610070455E-2</v>
      </c>
      <c r="N12" s="5">
        <f>1/KRW!B12</f>
        <v>7.9776625448743513E-4</v>
      </c>
      <c r="O12" s="5">
        <f>1/KRW!C12</f>
        <v>7.9774716201447119E-4</v>
      </c>
      <c r="P12" s="3">
        <f>1/NOK!B12</f>
        <v>0.15865209182783077</v>
      </c>
      <c r="Q12" s="3">
        <f>1/NOK!C12</f>
        <v>0.15850623722043461</v>
      </c>
      <c r="R12" s="3">
        <f>NZD!B12/1</f>
        <v>0.64259999999999995</v>
      </c>
      <c r="S12" s="3">
        <f>NZD!C12/1</f>
        <v>0.64129999999999998</v>
      </c>
      <c r="T12" s="4">
        <f>1/PHP!B12</f>
        <v>2.0881186051367719E-2</v>
      </c>
      <c r="U12" s="4">
        <f>1/PHP!C12</f>
        <v>2.0881186051367719E-2</v>
      </c>
      <c r="V12" s="4">
        <f>1/TWD!B12</f>
        <v>3.0527826113502458E-2</v>
      </c>
      <c r="W12" s="4">
        <f>1/TWD!C12</f>
        <v>3.0527919308603681E-2</v>
      </c>
      <c r="X12" s="4">
        <f>1/TWD!B12</f>
        <v>3.0527826113502458E-2</v>
      </c>
      <c r="Y12" s="4">
        <f>1/TWD!C12</f>
        <v>3.0527919308603681E-2</v>
      </c>
      <c r="Z12" s="4">
        <f>1/ZAR!B12</f>
        <v>0.12534155573938985</v>
      </c>
      <c r="AA12" s="4">
        <f>1/ZAR!C12</f>
        <v>0.12461059190031153</v>
      </c>
    </row>
    <row r="13" spans="1:27" x14ac:dyDescent="0.25">
      <c r="A13" t="str">
        <f>"15/06/2009"</f>
        <v>15/06/2009</v>
      </c>
      <c r="B13" s="3">
        <f>AUD!B13</f>
        <v>0.80710000000000004</v>
      </c>
      <c r="C13" s="3">
        <f>AUD!C13</f>
        <v>0.80530000000000002</v>
      </c>
      <c r="D13" s="3">
        <f>1/CAD!B13</f>
        <v>0.89007565643079667</v>
      </c>
      <c r="E13" s="3">
        <f>1/CAD!C13</f>
        <v>0.89023413157660469</v>
      </c>
      <c r="F13" s="3">
        <f>EUR!B13/1</f>
        <v>1.395</v>
      </c>
      <c r="G13" s="3">
        <f>EUR!C13/1</f>
        <v>1.3946000000000001</v>
      </c>
      <c r="H13" s="3">
        <f>GBP!B13/1</f>
        <v>1.6374</v>
      </c>
      <c r="I13" s="3">
        <f>GBP!C13/1</f>
        <v>1.6373</v>
      </c>
      <c r="J13" s="4">
        <f>1/INR!B13</f>
        <v>2.0920502092050212E-2</v>
      </c>
      <c r="K13" s="4">
        <f>1/INR!C13</f>
        <v>2.0856144741644506E-2</v>
      </c>
      <c r="L13" s="4">
        <f>1/JPY!B13</f>
        <v>1.0172939979654121E-2</v>
      </c>
      <c r="M13" s="4">
        <f>1/JPY!C13</f>
        <v>1.0175859198671439E-2</v>
      </c>
      <c r="N13" s="5">
        <f>1/KRW!B13</f>
        <v>7.9339892097746742E-4</v>
      </c>
      <c r="O13" s="5">
        <f>1/KRW!C13</f>
        <v>7.9338009991670295E-4</v>
      </c>
      <c r="P13" s="3">
        <f>1/NOK!B13</f>
        <v>0.15636972056730933</v>
      </c>
      <c r="Q13" s="3">
        <f>1/NOK!C13</f>
        <v>0.1562231491462405</v>
      </c>
      <c r="R13" s="3">
        <f>NZD!B13/1</f>
        <v>0.63719999999999999</v>
      </c>
      <c r="S13" s="3">
        <f>NZD!C13/1</f>
        <v>0.63600000000000001</v>
      </c>
      <c r="T13" s="4">
        <f>1/PHP!B13</f>
        <v>2.0746887966804978E-2</v>
      </c>
      <c r="U13" s="4">
        <f>1/PHP!C13</f>
        <v>2.0746887966804978E-2</v>
      </c>
      <c r="V13" s="4">
        <f>1/TWD!B13</f>
        <v>3.0403453832355359E-2</v>
      </c>
      <c r="W13" s="4">
        <f>1/TWD!C13</f>
        <v>3.0403546269636889E-2</v>
      </c>
      <c r="X13" s="4">
        <f>1/TWD!B13</f>
        <v>3.0403453832355359E-2</v>
      </c>
      <c r="Y13" s="4">
        <f>1/TWD!C13</f>
        <v>3.0403546269636889E-2</v>
      </c>
      <c r="Z13" s="4">
        <f>1/ZAR!B13</f>
        <v>0.12434099273848602</v>
      </c>
      <c r="AA13" s="4">
        <f>1/ZAR!C13</f>
        <v>0.12361703442734411</v>
      </c>
    </row>
    <row r="14" spans="1:27" x14ac:dyDescent="0.25">
      <c r="A14" t="str">
        <f>"16/06/2009"</f>
        <v>16/06/2009</v>
      </c>
      <c r="B14" s="3">
        <f>AUD!B14</f>
        <v>0.78949999999999998</v>
      </c>
      <c r="C14" s="3">
        <f>AUD!C14</f>
        <v>0.78759999999999997</v>
      </c>
      <c r="D14" s="3">
        <f>1/CAD!B14</f>
        <v>0.8806693086745927</v>
      </c>
      <c r="E14" s="3">
        <f>1/CAD!C14</f>
        <v>0.88074687334859969</v>
      </c>
      <c r="F14" s="3">
        <f>EUR!B14/1</f>
        <v>1.3795999999999999</v>
      </c>
      <c r="G14" s="3">
        <f>EUR!C14/1</f>
        <v>1.3792</v>
      </c>
      <c r="H14" s="3">
        <f>GBP!B14/1</f>
        <v>1.6245000000000001</v>
      </c>
      <c r="I14" s="3">
        <f>GBP!C14/1</f>
        <v>1.6244000000000001</v>
      </c>
      <c r="J14" s="4">
        <f>1/INR!B14</f>
        <v>2.0865936358894107E-2</v>
      </c>
      <c r="K14" s="4">
        <f>1/INR!C14</f>
        <v>2.0797587479852334E-2</v>
      </c>
      <c r="L14" s="4">
        <f>1/JPY!B14</f>
        <v>1.0346611484738748E-2</v>
      </c>
      <c r="M14" s="4">
        <f>1/JPY!C14</f>
        <v>1.0349824052991098E-2</v>
      </c>
      <c r="N14" s="5">
        <f>1/KRW!B14</f>
        <v>7.9020150138285259E-4</v>
      </c>
      <c r="O14" s="5">
        <f>1/KRW!C14</f>
        <v>7.9018988737107458E-4</v>
      </c>
      <c r="P14" s="3">
        <f>1/NOK!B14</f>
        <v>0.15411645038991462</v>
      </c>
      <c r="Q14" s="3">
        <f>1/NOK!C14</f>
        <v>0.15397644160443452</v>
      </c>
      <c r="R14" s="3">
        <f>NZD!B14/1</f>
        <v>0.62719999999999998</v>
      </c>
      <c r="S14" s="3">
        <f>NZD!C14/1</f>
        <v>0.62590000000000001</v>
      </c>
      <c r="T14" s="4">
        <f>1/PHP!B14</f>
        <v>2.0648358455502787E-2</v>
      </c>
      <c r="U14" s="4">
        <f>1/PHP!C14</f>
        <v>2.0648358455502787E-2</v>
      </c>
      <c r="V14" s="4">
        <f>1/TWD!B14</f>
        <v>3.0362835888872019E-2</v>
      </c>
      <c r="W14" s="4">
        <f>1/TWD!C14</f>
        <v>3.036292807933226E-2</v>
      </c>
      <c r="X14" s="4">
        <f>1/TWD!B14</f>
        <v>3.0362835888872019E-2</v>
      </c>
      <c r="Y14" s="4">
        <f>1/TWD!C14</f>
        <v>3.036292807933226E-2</v>
      </c>
      <c r="Z14" s="4">
        <f>1/ZAR!B14</f>
        <v>0.12276867925454857</v>
      </c>
      <c r="AA14" s="4">
        <f>1/ZAR!C14</f>
        <v>0.12201669188344964</v>
      </c>
    </row>
    <row r="15" spans="1:27" x14ac:dyDescent="0.25">
      <c r="A15" t="str">
        <f>"17/06/2009"</f>
        <v>17/06/2009</v>
      </c>
      <c r="B15" s="3">
        <f>AUD!B15</f>
        <v>0.79110000000000003</v>
      </c>
      <c r="C15" s="3">
        <f>AUD!C15</f>
        <v>0.78920000000000001</v>
      </c>
      <c r="D15" s="3">
        <f>1/CAD!B15</f>
        <v>0.88198976891868064</v>
      </c>
      <c r="E15" s="3">
        <f>1/CAD!C15</f>
        <v>0.88214537755822164</v>
      </c>
      <c r="F15" s="3">
        <f>EUR!B15/1</f>
        <v>1.385</v>
      </c>
      <c r="G15" s="3">
        <f>EUR!C15/1</f>
        <v>1.3846000000000001</v>
      </c>
      <c r="H15" s="3">
        <f>GBP!B15/1</f>
        <v>1.6385000000000001</v>
      </c>
      <c r="I15" s="3">
        <f>GBP!C15/1</f>
        <v>1.6384000000000001</v>
      </c>
      <c r="J15" s="4">
        <f>1/INR!B15</f>
        <v>2.0889910173386254E-2</v>
      </c>
      <c r="K15" s="4">
        <f>1/INR!C15</f>
        <v>2.0822488287350338E-2</v>
      </c>
      <c r="L15" s="4">
        <f>1/JPY!B15</f>
        <v>1.0369141435089175E-2</v>
      </c>
      <c r="M15" s="4">
        <f>1/JPY!C15</f>
        <v>1.0372368011617053E-2</v>
      </c>
      <c r="N15" s="5">
        <f>1/KRW!B15</f>
        <v>7.9352483732740835E-4</v>
      </c>
      <c r="O15" s="5">
        <f>1/KRW!C15</f>
        <v>7.9351671451704706E-4</v>
      </c>
      <c r="P15" s="3">
        <f>1/NOK!B15</f>
        <v>0.15588950551848851</v>
      </c>
      <c r="Q15" s="3">
        <f>1/NOK!C15</f>
        <v>0.15573170541790604</v>
      </c>
      <c r="R15" s="3">
        <f>NZD!B15/1</f>
        <v>0.62890000000000001</v>
      </c>
      <c r="S15" s="3">
        <f>NZD!C15/1</f>
        <v>0.62760000000000005</v>
      </c>
      <c r="T15" s="4">
        <f>1/PHP!B15</f>
        <v>2.0648358455502787E-2</v>
      </c>
      <c r="U15" s="4">
        <f>1/PHP!C15</f>
        <v>2.0648358455502787E-2</v>
      </c>
      <c r="V15" s="4">
        <f>1/TWD!B15</f>
        <v>3.0393289161753084E-2</v>
      </c>
      <c r="W15" s="4">
        <f>1/TWD!C15</f>
        <v>3.0393381537236454E-2</v>
      </c>
      <c r="X15" s="4">
        <f>1/TWD!B15</f>
        <v>3.0393289161753084E-2</v>
      </c>
      <c r="Y15" s="4">
        <f>1/TWD!C15</f>
        <v>3.0393381537236454E-2</v>
      </c>
      <c r="Z15" s="4">
        <f>1/ZAR!B15</f>
        <v>0.12361245024598877</v>
      </c>
      <c r="AA15" s="4">
        <f>1/ZAR!C15</f>
        <v>0.12284408628568622</v>
      </c>
    </row>
    <row r="16" spans="1:27" x14ac:dyDescent="0.25">
      <c r="A16" t="str">
        <f>"18/06/2009"</f>
        <v>18/06/2009</v>
      </c>
      <c r="B16" s="3">
        <f>AUD!B16</f>
        <v>0.79579999999999995</v>
      </c>
      <c r="C16" s="3">
        <f>AUD!C16</f>
        <v>0.79390000000000005</v>
      </c>
      <c r="D16" s="3">
        <f>1/CAD!B16</f>
        <v>0.88323617735382431</v>
      </c>
      <c r="E16" s="3">
        <f>1/CAD!C16</f>
        <v>0.88331419485911133</v>
      </c>
      <c r="F16" s="3">
        <f>EUR!B16/1</f>
        <v>1.395</v>
      </c>
      <c r="G16" s="3">
        <f>EUR!C16/1</f>
        <v>1.3947000000000001</v>
      </c>
      <c r="H16" s="3">
        <f>GBP!B16/1</f>
        <v>1.6379999999999999</v>
      </c>
      <c r="I16" s="3">
        <f>GBP!C16/1</f>
        <v>1.6378999999999999</v>
      </c>
      <c r="J16" s="4">
        <f>1/INR!B16</f>
        <v>2.0785699438786116E-2</v>
      </c>
      <c r="K16" s="4">
        <f>1/INR!C16</f>
        <v>2.0715728416800454E-2</v>
      </c>
      <c r="L16" s="4">
        <f>1/JPY!B16</f>
        <v>1.0437323870159691E-2</v>
      </c>
      <c r="M16" s="4">
        <f>1/JPY!C16</f>
        <v>1.0440484020839205E-2</v>
      </c>
      <c r="N16" s="5">
        <f>1/KRW!B16</f>
        <v>7.9132705547202658E-4</v>
      </c>
      <c r="O16" s="5">
        <f>1/KRW!C16</f>
        <v>7.9131127558428049E-4</v>
      </c>
      <c r="P16" s="3">
        <f>1/NOK!B16</f>
        <v>0.15720057221008285</v>
      </c>
      <c r="Q16" s="3">
        <f>1/NOK!C16</f>
        <v>0.15706970753620456</v>
      </c>
      <c r="R16" s="3">
        <f>NZD!B16/1</f>
        <v>0.63300000000000001</v>
      </c>
      <c r="S16" s="3">
        <f>NZD!C16/1</f>
        <v>0.63180000000000003</v>
      </c>
      <c r="T16" s="4">
        <f>1/PHP!B16</f>
        <v>2.0618556701030927E-2</v>
      </c>
      <c r="U16" s="4">
        <f>1/PHP!C16</f>
        <v>2.0618556701030927E-2</v>
      </c>
      <c r="V16" s="4">
        <f>1/TWD!B16</f>
        <v>3.0376670716889428E-2</v>
      </c>
      <c r="W16" s="4">
        <f>1/TWD!C16</f>
        <v>3.0376762991382113E-2</v>
      </c>
      <c r="X16" s="4">
        <f>1/TWD!B16</f>
        <v>3.0376670716889428E-2</v>
      </c>
      <c r="Y16" s="4">
        <f>1/TWD!C16</f>
        <v>3.0376762991382113E-2</v>
      </c>
      <c r="Z16" s="4">
        <f>1/ZAR!B16</f>
        <v>0.12405254865961221</v>
      </c>
      <c r="AA16" s="4">
        <f>1/ZAR!C16</f>
        <v>0.1233015215407758</v>
      </c>
    </row>
    <row r="17" spans="1:27" x14ac:dyDescent="0.25">
      <c r="A17" t="str">
        <f>"19/06/2009"</f>
        <v>19/06/2009</v>
      </c>
      <c r="B17" s="3">
        <f>AUD!B17</f>
        <v>0.80220000000000002</v>
      </c>
      <c r="C17" s="3">
        <f>AUD!C17</f>
        <v>0.8004</v>
      </c>
      <c r="D17" s="3">
        <f>1/CAD!B17</f>
        <v>0.88401697312588401</v>
      </c>
      <c r="E17" s="3">
        <f>1/CAD!C17</f>
        <v>0.88417329796640143</v>
      </c>
      <c r="F17" s="3">
        <f>EUR!B17/1</f>
        <v>1.3923000000000001</v>
      </c>
      <c r="G17" s="3">
        <f>EUR!C17/1</f>
        <v>1.3919999999999999</v>
      </c>
      <c r="H17" s="3">
        <f>GBP!B17/1</f>
        <v>1.6356999999999999</v>
      </c>
      <c r="I17" s="3">
        <f>GBP!C17/1</f>
        <v>1.6355999999999999</v>
      </c>
      <c r="J17" s="4">
        <f>1/INR!B17</f>
        <v>2.0781379883624274E-2</v>
      </c>
      <c r="K17" s="4">
        <f>1/INR!C17</f>
        <v>2.0723241114910369E-2</v>
      </c>
      <c r="L17" s="4">
        <f>1/JPY!B17</f>
        <v>1.0345541071798055E-2</v>
      </c>
      <c r="M17" s="4">
        <f>1/JPY!C17</f>
        <v>1.0349127827252358E-2</v>
      </c>
      <c r="N17" s="5">
        <f>1/KRW!B17</f>
        <v>7.8907914463820727E-4</v>
      </c>
      <c r="O17" s="5">
        <f>1/KRW!C17</f>
        <v>7.8905978082602086E-4</v>
      </c>
      <c r="P17" s="3">
        <f>1/NOK!B17</f>
        <v>0.15596244424342617</v>
      </c>
      <c r="Q17" s="3">
        <f>1/NOK!C17</f>
        <v>0.15583848899001077</v>
      </c>
      <c r="R17" s="3">
        <f>NZD!B17/1</f>
        <v>0.63939999999999997</v>
      </c>
      <c r="S17" s="3">
        <f>NZD!C17/1</f>
        <v>0.63819999999999999</v>
      </c>
      <c r="T17" s="4">
        <f>1/PHP!B17</f>
        <v>2.0635575732562937E-2</v>
      </c>
      <c r="U17" s="4">
        <f>1/PHP!C17</f>
        <v>2.0571898786257974E-2</v>
      </c>
      <c r="V17" s="4">
        <f>1/TWD!B17</f>
        <v>3.0422878004259205E-2</v>
      </c>
      <c r="W17" s="4">
        <f>1/TWD!C17</f>
        <v>3.0422970559691388E-2</v>
      </c>
      <c r="X17" s="4">
        <f>1/TWD!B17</f>
        <v>3.0422878004259205E-2</v>
      </c>
      <c r="Y17" s="4">
        <f>1/TWD!C17</f>
        <v>3.0422970559691388E-2</v>
      </c>
      <c r="Z17" s="4">
        <f>1/ZAR!B17</f>
        <v>0.12243648607284971</v>
      </c>
      <c r="AA17" s="4">
        <f>1/ZAR!C17</f>
        <v>0.12173595471422485</v>
      </c>
    </row>
    <row r="18" spans="1:27" x14ac:dyDescent="0.25">
      <c r="A18" t="str">
        <f>"22/06/2009"</f>
        <v>22/06/2009</v>
      </c>
      <c r="B18" s="3">
        <f>AUD!B18</f>
        <v>0.8004</v>
      </c>
      <c r="C18" s="3">
        <f>AUD!C18</f>
        <v>0.79859999999999998</v>
      </c>
      <c r="D18" s="3">
        <f>1/CAD!B18</f>
        <v>0.8790436005625879</v>
      </c>
      <c r="E18" s="3">
        <f>1/CAD!C18</f>
        <v>0.87919817126780375</v>
      </c>
      <c r="F18" s="3">
        <f>EUR!B18/1</f>
        <v>1.3912</v>
      </c>
      <c r="G18" s="3">
        <f>EUR!C18/1</f>
        <v>1.3909</v>
      </c>
      <c r="H18" s="3">
        <f>GBP!B18/1</f>
        <v>1.6469</v>
      </c>
      <c r="I18" s="3">
        <f>GBP!C18/1</f>
        <v>1.6468</v>
      </c>
      <c r="J18" s="4">
        <f>1/INR!B18</f>
        <v>2.0751193193608634E-2</v>
      </c>
      <c r="K18" s="4">
        <f>1/INR!C18</f>
        <v>2.0687871735195242E-2</v>
      </c>
      <c r="L18" s="4">
        <f>1/JPY!B18</f>
        <v>1.0423181154888472E-2</v>
      </c>
      <c r="M18" s="4">
        <f>1/JPY!C18</f>
        <v>1.0426952420773409E-2</v>
      </c>
      <c r="N18" s="5">
        <f>1/KRW!B18</f>
        <v>7.8548425104076666E-4</v>
      </c>
      <c r="O18" s="5">
        <f>1/KRW!C18</f>
        <v>7.8546907349052867E-4</v>
      </c>
      <c r="P18" s="3">
        <f>1/NOK!B18</f>
        <v>0.15573898146706119</v>
      </c>
      <c r="Q18" s="3">
        <f>1/NOK!C18</f>
        <v>0.1556178026766262</v>
      </c>
      <c r="R18" s="3">
        <f>NZD!B18/1</f>
        <v>0.63839999999999997</v>
      </c>
      <c r="S18" s="3">
        <f>NZD!C18/1</f>
        <v>0.63719999999999999</v>
      </c>
      <c r="T18" s="4">
        <f>1/PHP!B18</f>
        <v>2.0663291662361812E-2</v>
      </c>
      <c r="U18" s="4">
        <f>1/PHP!C18</f>
        <v>2.0603688060162769E-2</v>
      </c>
      <c r="V18" s="4">
        <f>1/TWD!B18</f>
        <v>3.0395136778115502E-2</v>
      </c>
      <c r="W18" s="4">
        <f>1/TWD!C18</f>
        <v>3.0395229164830288E-2</v>
      </c>
      <c r="X18" s="4">
        <f>1/TWD!B18</f>
        <v>3.0395136778115502E-2</v>
      </c>
      <c r="Y18" s="4">
        <f>1/TWD!C18</f>
        <v>3.0395229164830288E-2</v>
      </c>
      <c r="Z18" s="4">
        <f>1/ZAR!B18</f>
        <v>0.12300576897056473</v>
      </c>
      <c r="AA18" s="4">
        <f>1/ZAR!C18</f>
        <v>0.12229124883823315</v>
      </c>
    </row>
    <row r="19" spans="1:27" x14ac:dyDescent="0.25">
      <c r="A19" t="str">
        <f>"23/06/2009"</f>
        <v>23/06/2009</v>
      </c>
      <c r="B19" s="3">
        <f>AUD!B19</f>
        <v>0.78310000000000002</v>
      </c>
      <c r="C19" s="3">
        <f>AUD!C19</f>
        <v>0.78129999999999999</v>
      </c>
      <c r="D19" s="3">
        <f>1/CAD!B19</f>
        <v>0.86625086625086622</v>
      </c>
      <c r="E19" s="3">
        <f>1/CAD!C19</f>
        <v>0.86640097036908692</v>
      </c>
      <c r="F19" s="3">
        <f>EUR!B19/1</f>
        <v>1.3855</v>
      </c>
      <c r="G19" s="3">
        <f>EUR!C19/1</f>
        <v>1.3852</v>
      </c>
      <c r="H19" s="3">
        <f>GBP!B19/1</f>
        <v>1.6313</v>
      </c>
      <c r="I19" s="3">
        <f>GBP!C19/1</f>
        <v>1.6312</v>
      </c>
      <c r="J19" s="4">
        <f>1/INR!B19</f>
        <v>2.0458265139116201E-2</v>
      </c>
      <c r="K19" s="4">
        <f>1/INR!C19</f>
        <v>2.0394636210676591E-2</v>
      </c>
      <c r="L19" s="4">
        <f>1/JPY!B19</f>
        <v>1.0496538766341799E-2</v>
      </c>
      <c r="M19" s="4">
        <f>1/JPY!C19</f>
        <v>1.0500705122348965E-2</v>
      </c>
      <c r="N19" s="5">
        <f>1/KRW!B19</f>
        <v>7.7573500892095268E-4</v>
      </c>
      <c r="O19" s="5">
        <f>1/KRW!C19</f>
        <v>7.7570462098878296E-4</v>
      </c>
      <c r="P19" s="3">
        <f>1/NOK!B19</f>
        <v>0.15144401871848071</v>
      </c>
      <c r="Q19" s="3">
        <f>1/NOK!C19</f>
        <v>0.15132484905346308</v>
      </c>
      <c r="R19" s="3">
        <f>NZD!B19/1</f>
        <v>0.62660000000000005</v>
      </c>
      <c r="S19" s="3">
        <f>NZD!C19/1</f>
        <v>0.62529999999999997</v>
      </c>
      <c r="T19" s="4">
        <f>1/PHP!B19</f>
        <v>2.0571898786257974E-2</v>
      </c>
      <c r="U19" s="4">
        <f>1/PHP!C19</f>
        <v>2.0513662098957906E-2</v>
      </c>
      <c r="V19" s="4">
        <f>1/TWD!B19</f>
        <v>3.0344409042633896E-2</v>
      </c>
      <c r="W19" s="4">
        <f>1/TWD!C19</f>
        <v>3.0344501121229314E-2</v>
      </c>
      <c r="X19" s="4">
        <f>1/TWD!B19</f>
        <v>3.0344409042633896E-2</v>
      </c>
      <c r="Y19" s="4">
        <f>1/TWD!C19</f>
        <v>3.0344501121229314E-2</v>
      </c>
      <c r="Z19" s="4">
        <f>1/ZAR!B19</f>
        <v>0.12137395314965407</v>
      </c>
      <c r="AA19" s="4">
        <f>1/ZAR!C19</f>
        <v>0.12066947424310072</v>
      </c>
    </row>
    <row r="20" spans="1:27" x14ac:dyDescent="0.25">
      <c r="A20" t="str">
        <f>"24/06/2009"</f>
        <v>24/06/2009</v>
      </c>
      <c r="B20" s="3">
        <f>AUD!B20</f>
        <v>0.79479999999999995</v>
      </c>
      <c r="C20" s="3">
        <f>AUD!C20</f>
        <v>0.79300000000000004</v>
      </c>
      <c r="D20" s="3">
        <f>1/CAD!B20</f>
        <v>0.87130783305741921</v>
      </c>
      <c r="E20" s="3">
        <f>1/CAD!C20</f>
        <v>0.8714596949891068</v>
      </c>
      <c r="F20" s="3">
        <f>EUR!B20/1</f>
        <v>1.4087000000000001</v>
      </c>
      <c r="G20" s="3">
        <f>EUR!C20/1</f>
        <v>1.4085000000000001</v>
      </c>
      <c r="H20" s="3">
        <f>GBP!B20/1</f>
        <v>1.6460999999999999</v>
      </c>
      <c r="I20" s="3">
        <f>GBP!C20/1</f>
        <v>1.6459999999999999</v>
      </c>
      <c r="J20" s="4">
        <f>1/INR!B20</f>
        <v>2.0661157024793389E-2</v>
      </c>
      <c r="K20" s="4">
        <f>1/INR!C20</f>
        <v>2.0600504712365453E-2</v>
      </c>
      <c r="L20" s="4">
        <f>1/JPY!B20</f>
        <v>1.0466820180029306E-2</v>
      </c>
      <c r="M20" s="4">
        <f>1/JPY!C20</f>
        <v>1.0470853332663198E-2</v>
      </c>
      <c r="N20" s="5">
        <f>1/KRW!B20</f>
        <v>7.8189139528519482E-4</v>
      </c>
      <c r="O20" s="5">
        <f>1/KRW!C20</f>
        <v>7.8185850581522908E-4</v>
      </c>
      <c r="P20" s="3">
        <f>1/NOK!B20</f>
        <v>0.15413545423718364</v>
      </c>
      <c r="Q20" s="3">
        <f>1/NOK!C20</f>
        <v>0.1540025256414205</v>
      </c>
      <c r="R20" s="3">
        <f>NZD!B20/1</f>
        <v>0.63949999999999996</v>
      </c>
      <c r="S20" s="3">
        <f>NZD!C20/1</f>
        <v>0.63819999999999999</v>
      </c>
      <c r="T20" s="4">
        <f>1/PHP!B20</f>
        <v>2.073828287017835E-2</v>
      </c>
      <c r="U20" s="4">
        <f>1/PHP!C20</f>
        <v>2.0676108756332058E-2</v>
      </c>
      <c r="V20" s="4">
        <f>1/TWD!B20</f>
        <v>3.0426580660865333E-2</v>
      </c>
      <c r="W20" s="4">
        <f>1/TWD!C20</f>
        <v>3.0426673238828084E-2</v>
      </c>
      <c r="X20" s="4">
        <f>1/TWD!B20</f>
        <v>3.0426580660865333E-2</v>
      </c>
      <c r="Y20" s="4">
        <f>1/TWD!C20</f>
        <v>3.0426673238828084E-2</v>
      </c>
      <c r="Z20" s="4">
        <f>1/ZAR!B20</f>
        <v>0.12216426206677497</v>
      </c>
      <c r="AA20" s="4">
        <f>1/ZAR!C20</f>
        <v>0.12141521575483839</v>
      </c>
    </row>
    <row r="21" spans="1:27" x14ac:dyDescent="0.25">
      <c r="A21" t="str">
        <f>"25/06/2009"</f>
        <v>25/06/2009</v>
      </c>
      <c r="B21" s="3">
        <f>AUD!B21</f>
        <v>0.79890000000000005</v>
      </c>
      <c r="C21" s="3">
        <f>AUD!C21</f>
        <v>0.79710000000000003</v>
      </c>
      <c r="D21" s="3">
        <f>1/CAD!B21</f>
        <v>0.86595081399376517</v>
      </c>
      <c r="E21" s="3">
        <f>1/CAD!C21</f>
        <v>0.86610081413476525</v>
      </c>
      <c r="F21" s="3">
        <f>EUR!B21/1</f>
        <v>1.3956999999999999</v>
      </c>
      <c r="G21" s="3">
        <f>EUR!C21/1</f>
        <v>1.3956</v>
      </c>
      <c r="H21" s="3">
        <f>GBP!B21/1</f>
        <v>1.6440999999999999</v>
      </c>
      <c r="I21" s="3">
        <f>GBP!C21/1</f>
        <v>1.6439999999999999</v>
      </c>
      <c r="J21" s="4">
        <f>1/INR!B21</f>
        <v>2.0588840848260244E-2</v>
      </c>
      <c r="K21" s="4">
        <f>1/INR!C21</f>
        <v>2.052439837857253E-2</v>
      </c>
      <c r="L21" s="4">
        <f>1/JPY!B21</f>
        <v>1.0406910188365074E-2</v>
      </c>
      <c r="M21" s="4">
        <f>1/JPY!C21</f>
        <v>1.0410463765339819E-2</v>
      </c>
      <c r="N21" s="5">
        <f>1/KRW!B21</f>
        <v>7.7712154180913898E-4</v>
      </c>
      <c r="O21" s="5">
        <f>1/KRW!C21</f>
        <v>7.7709013934780372E-4</v>
      </c>
      <c r="P21" s="3">
        <f>1/NOK!B21</f>
        <v>0.15413545423718364</v>
      </c>
      <c r="Q21" s="3">
        <f>1/NOK!C21</f>
        <v>0.15400489735573591</v>
      </c>
      <c r="R21" s="3">
        <f>NZD!B21/1</f>
        <v>0.63959999999999995</v>
      </c>
      <c r="S21" s="3">
        <f>NZD!C21/1</f>
        <v>0.63839999999999997</v>
      </c>
      <c r="T21" s="4">
        <f>1/PHP!B21</f>
        <v>2.0721094073767096E-2</v>
      </c>
      <c r="U21" s="4">
        <f>1/PHP!C21</f>
        <v>2.0659022828220224E-2</v>
      </c>
      <c r="V21" s="4">
        <f>1/TWD!B21</f>
        <v>3.0427506465845123E-2</v>
      </c>
      <c r="W21" s="4">
        <f>1/TWD!C21</f>
        <v>3.0427599049441808E-2</v>
      </c>
      <c r="X21" s="4">
        <f>1/TWD!B21</f>
        <v>3.0427506465845123E-2</v>
      </c>
      <c r="Y21" s="4">
        <f>1/TWD!C21</f>
        <v>3.0427599049441808E-2</v>
      </c>
      <c r="Z21" s="4">
        <f>1/ZAR!B21</f>
        <v>0.12374399841607681</v>
      </c>
      <c r="AA21" s="4">
        <f>1/ZAR!C21</f>
        <v>0.12300123001230011</v>
      </c>
    </row>
    <row r="22" spans="1:27" x14ac:dyDescent="0.25">
      <c r="A22" t="str">
        <f>"26/06/2009"</f>
        <v>26/06/2009</v>
      </c>
      <c r="B22" s="3">
        <f>AUD!B22</f>
        <v>0.80600000000000005</v>
      </c>
      <c r="C22" s="3">
        <f>AUD!C22</f>
        <v>0.80420000000000003</v>
      </c>
      <c r="D22" s="3">
        <f>1/CAD!B22</f>
        <v>0.86775425199583467</v>
      </c>
      <c r="E22" s="3">
        <f>1/CAD!C22</f>
        <v>0.86790487762541235</v>
      </c>
      <c r="F22" s="3">
        <f>EUR!B22/1</f>
        <v>1.4040999999999999</v>
      </c>
      <c r="G22" s="3">
        <f>EUR!C22/1</f>
        <v>1.4040999999999999</v>
      </c>
      <c r="H22" s="3">
        <f>GBP!B22/1</f>
        <v>1.6427</v>
      </c>
      <c r="I22" s="3">
        <f>GBP!C22/1</f>
        <v>1.6426000000000001</v>
      </c>
      <c r="J22" s="4">
        <f>1/INR!B22</f>
        <v>2.0607934054611025E-2</v>
      </c>
      <c r="K22" s="4">
        <f>1/INR!C22</f>
        <v>2.0551816266762574E-2</v>
      </c>
      <c r="L22" s="4">
        <f>1/JPY!B22</f>
        <v>1.0427528675703858E-2</v>
      </c>
      <c r="M22" s="4">
        <f>1/JPY!C22</f>
        <v>1.0431183396894011E-2</v>
      </c>
      <c r="N22" s="5">
        <f>1/KRW!B22</f>
        <v>7.7441338186323868E-4</v>
      </c>
      <c r="O22" s="5">
        <f>1/KRW!C22</f>
        <v>7.7438387695597747E-4</v>
      </c>
      <c r="P22" s="3">
        <f>1/NOK!B22</f>
        <v>0.15485149741397999</v>
      </c>
      <c r="Q22" s="3">
        <f>1/NOK!C22</f>
        <v>0.15472690700912889</v>
      </c>
      <c r="R22" s="3">
        <f>NZD!B22/1</f>
        <v>0.64380000000000004</v>
      </c>
      <c r="S22" s="3">
        <f>NZD!C22/1</f>
        <v>0.64259999999999995</v>
      </c>
      <c r="T22" s="4">
        <f>1/PHP!B22</f>
        <v>2.0703933747412008E-2</v>
      </c>
      <c r="U22" s="4">
        <f>1/PHP!C22</f>
        <v>2.0644095788604461E-2</v>
      </c>
      <c r="V22" s="4">
        <f>1/TWD!B22</f>
        <v>3.0354541039339482E-2</v>
      </c>
      <c r="W22" s="4">
        <f>1/TWD!C22</f>
        <v>3.0354541039339482E-2</v>
      </c>
      <c r="X22" s="4">
        <f>1/TWD!B22</f>
        <v>3.0354541039339482E-2</v>
      </c>
      <c r="Y22" s="4">
        <f>1/TWD!C22</f>
        <v>3.0354541039339482E-2</v>
      </c>
      <c r="Z22" s="4">
        <f>1/ZAR!B22</f>
        <v>0.12458730455366597</v>
      </c>
      <c r="AA22" s="4">
        <f>1/ZAR!C22</f>
        <v>0.12378995320739768</v>
      </c>
    </row>
    <row r="23" spans="1:27" x14ac:dyDescent="0.25">
      <c r="A23" t="str">
        <f>"29/06/2009"</f>
        <v>29/06/2009</v>
      </c>
      <c r="B23" s="3">
        <f>AUD!B23</f>
        <v>0.80230000000000001</v>
      </c>
      <c r="C23" s="3">
        <f>AUD!C23</f>
        <v>0.80030000000000001</v>
      </c>
      <c r="D23" s="3">
        <f>1/CAD!B23</f>
        <v>0.86535133264105235</v>
      </c>
      <c r="E23" s="3">
        <f>1/CAD!C23</f>
        <v>0.86550112515146271</v>
      </c>
      <c r="F23" s="3">
        <f>EUR!B23/1</f>
        <v>1.4027000000000001</v>
      </c>
      <c r="G23" s="3">
        <f>EUR!C23/1</f>
        <v>1.4027000000000001</v>
      </c>
      <c r="H23" s="3">
        <f>GBP!B23/1</f>
        <v>1.6473</v>
      </c>
      <c r="I23" s="3">
        <f>GBP!C23/1</f>
        <v>1.6472</v>
      </c>
      <c r="J23" s="4">
        <f>1/INR!B23</f>
        <v>2.0780300275338979E-2</v>
      </c>
      <c r="K23" s="4">
        <f>1/INR!C23</f>
        <v>2.0720020720020719E-2</v>
      </c>
      <c r="L23" s="4">
        <f>1/JPY!B23</f>
        <v>1.0468682934999947E-2</v>
      </c>
      <c r="M23" s="4">
        <f>1/JPY!C23</f>
        <v>1.0472684620339E-2</v>
      </c>
      <c r="N23" s="5">
        <f>1/KRW!B23</f>
        <v>7.7603600807077454E-4</v>
      </c>
      <c r="O23" s="5">
        <f>1/KRW!C23</f>
        <v>7.7600354912983225E-4</v>
      </c>
      <c r="P23" s="3">
        <f>1/NOK!B23</f>
        <v>0.15457861868546344</v>
      </c>
      <c r="Q23" s="3">
        <f>1/NOK!C23</f>
        <v>0.15444969573409942</v>
      </c>
      <c r="R23" s="3">
        <f>NZD!B23/1</f>
        <v>0.64339999999999997</v>
      </c>
      <c r="S23" s="3">
        <f>NZD!C23/1</f>
        <v>0.64219999999999999</v>
      </c>
      <c r="T23" s="4">
        <f>1/PHP!B23</f>
        <v>2.070822116380203E-2</v>
      </c>
      <c r="U23" s="4">
        <f>1/PHP!C23</f>
        <v>2.0647079470608884E-2</v>
      </c>
      <c r="V23" s="4">
        <f>1/TWD!B23</f>
        <v>3.0372057706909646E-2</v>
      </c>
      <c r="W23" s="4">
        <f>1/TWD!C23</f>
        <v>3.0372057706909646E-2</v>
      </c>
      <c r="X23" s="4">
        <f>1/TWD!B23</f>
        <v>3.0372057706909646E-2</v>
      </c>
      <c r="Y23" s="4">
        <f>1/TWD!C23</f>
        <v>3.0372057706909646E-2</v>
      </c>
      <c r="Z23" s="4">
        <f>1/ZAR!B23</f>
        <v>0.12584631647831668</v>
      </c>
      <c r="AA23" s="4">
        <f>1/ZAR!C23</f>
        <v>0.12504376531786124</v>
      </c>
    </row>
    <row r="24" spans="1:27" x14ac:dyDescent="0.25">
      <c r="A24" t="str">
        <f>"30/06/2009"</f>
        <v>30/06/2009</v>
      </c>
      <c r="B24" s="3">
        <f>AUD!B24</f>
        <v>0.8105</v>
      </c>
      <c r="C24" s="3">
        <f>AUD!C24</f>
        <v>0.8085</v>
      </c>
      <c r="D24" s="3">
        <f>1/CAD!B24</f>
        <v>0.86512674106756648</v>
      </c>
      <c r="E24" s="3">
        <f>1/CAD!C24</f>
        <v>0.86527645582763701</v>
      </c>
      <c r="F24" s="3">
        <f>EUR!B24/1</f>
        <v>1.4107000000000001</v>
      </c>
      <c r="G24" s="3">
        <f>EUR!C24/1</f>
        <v>1.4106000000000001</v>
      </c>
      <c r="H24" s="3">
        <f>GBP!B24/1</f>
        <v>1.6625000000000001</v>
      </c>
      <c r="I24" s="3">
        <f>GBP!C24/1</f>
        <v>1.6624000000000001</v>
      </c>
      <c r="J24" s="4">
        <f>1/INR!B24</f>
        <v>2.0889910173386254E-2</v>
      </c>
      <c r="K24" s="4">
        <f>1/INR!C24</f>
        <v>2.0832248320399979E-2</v>
      </c>
      <c r="L24" s="4">
        <f>1/JPY!B24</f>
        <v>1.0425354462051709E-2</v>
      </c>
      <c r="M24" s="4">
        <f>1/JPY!C24</f>
        <v>1.0429181684688293E-2</v>
      </c>
      <c r="N24" s="5">
        <f>1/KRW!B24</f>
        <v>7.8228897754830642E-4</v>
      </c>
      <c r="O24" s="5">
        <f>1/KRW!C24</f>
        <v>7.8225342335610029E-4</v>
      </c>
      <c r="P24" s="3">
        <f>1/NOK!B24</f>
        <v>0.15618654921438166</v>
      </c>
      <c r="Q24" s="3">
        <f>1/NOK!C24</f>
        <v>0.15604762573537445</v>
      </c>
      <c r="R24" s="3">
        <f>NZD!B24/1</f>
        <v>0.6532</v>
      </c>
      <c r="S24" s="3">
        <f>NZD!C24/1</f>
        <v>0.65190000000000003</v>
      </c>
      <c r="T24" s="4">
        <f>1/PHP!B24</f>
        <v>2.0749040356883495E-2</v>
      </c>
      <c r="U24" s="4">
        <f>1/PHP!C24</f>
        <v>2.0686801820438559E-2</v>
      </c>
      <c r="V24" s="4">
        <f>1/TWD!B24</f>
        <v>3.0433988678556213E-2</v>
      </c>
      <c r="W24" s="4">
        <f>1/TWD!C24</f>
        <v>3.0434081301604788E-2</v>
      </c>
      <c r="X24" s="4">
        <f>1/TWD!B24</f>
        <v>3.0433988678556213E-2</v>
      </c>
      <c r="Y24" s="4">
        <f>1/TWD!C24</f>
        <v>3.0434081301604788E-2</v>
      </c>
      <c r="Z24" s="4">
        <f>1/ZAR!B24</f>
        <v>0.12760961666071155</v>
      </c>
      <c r="AA24" s="4">
        <f>1/ZAR!C24</f>
        <v>0.12675556456928461</v>
      </c>
    </row>
    <row r="25" spans="1:27" x14ac:dyDescent="0.25">
      <c r="A25" t="str">
        <f>"01/07/2009"</f>
        <v>01/07/2009</v>
      </c>
      <c r="B25" s="3">
        <f>AUD!B25</f>
        <v>0.80620000000000003</v>
      </c>
      <c r="C25" s="3">
        <f>AUD!C25</f>
        <v>0.80420000000000003</v>
      </c>
      <c r="D25" s="3">
        <f>1/CAD!B25</f>
        <v>0.8608815426997245</v>
      </c>
      <c r="E25" s="3">
        <f>1/CAD!C25</f>
        <v>0.86102979163079041</v>
      </c>
      <c r="F25" s="3">
        <f>EUR!B25/1</f>
        <v>1.4039999999999999</v>
      </c>
      <c r="G25" s="3">
        <f>EUR!C25/1</f>
        <v>1.4039999999999999</v>
      </c>
      <c r="H25" s="3">
        <f>GBP!B25/1</f>
        <v>1.6456</v>
      </c>
      <c r="I25" s="3">
        <f>GBP!C25/1</f>
        <v>1.6455</v>
      </c>
      <c r="J25" s="4">
        <f>1/INR!B25</f>
        <v>2.0872469213107911E-2</v>
      </c>
      <c r="K25" s="4">
        <f>1/INR!C25</f>
        <v>2.0814903470885156E-2</v>
      </c>
      <c r="L25" s="4">
        <f>1/JPY!B25</f>
        <v>1.0328444536252842E-2</v>
      </c>
      <c r="M25" s="4">
        <f>1/JPY!C25</f>
        <v>1.0331912695337725E-2</v>
      </c>
      <c r="N25" s="5">
        <f>1/KRW!B25</f>
        <v>7.8920369347328556E-4</v>
      </c>
      <c r="O25" s="5">
        <f>1/KRW!C25</f>
        <v>7.8916918950903731E-4</v>
      </c>
      <c r="P25" s="3">
        <f>1/NOK!B25</f>
        <v>0.15526262673311908</v>
      </c>
      <c r="Q25" s="3">
        <f>1/NOK!C25</f>
        <v>0.15513015419937326</v>
      </c>
      <c r="R25" s="3">
        <f>NZD!B25/1</f>
        <v>0.64549999999999996</v>
      </c>
      <c r="S25" s="3">
        <f>NZD!C25/1</f>
        <v>0.64429999999999998</v>
      </c>
      <c r="T25" s="4">
        <f>1/PHP!B25</f>
        <v>2.0749040356883495E-2</v>
      </c>
      <c r="U25" s="4">
        <f>1/PHP!C25</f>
        <v>2.0685945968309132E-2</v>
      </c>
      <c r="V25" s="4">
        <f>1/TWD!B25</f>
        <v>3.0525962330962483E-2</v>
      </c>
      <c r="W25" s="4">
        <f>1/TWD!C25</f>
        <v>3.0526055514684562E-2</v>
      </c>
      <c r="X25" s="4">
        <f>1/TWD!B25</f>
        <v>3.0525962330962483E-2</v>
      </c>
      <c r="Y25" s="4">
        <f>1/TWD!C25</f>
        <v>3.0526055514684562E-2</v>
      </c>
      <c r="Z25" s="4">
        <f>1/ZAR!B25</f>
        <v>0.12850992739189102</v>
      </c>
      <c r="AA25" s="4">
        <f>1/ZAR!C25</f>
        <v>0.12768293772903128</v>
      </c>
    </row>
    <row r="26" spans="1:27" x14ac:dyDescent="0.25">
      <c r="A26" t="str">
        <f>"03/07/2009"</f>
        <v>03/07/2009</v>
      </c>
      <c r="B26" s="3">
        <f>AUD!B26</f>
        <v>0.79600000000000004</v>
      </c>
      <c r="C26" s="3">
        <f>AUD!C26</f>
        <v>0.79420000000000002</v>
      </c>
      <c r="D26" s="3">
        <f>1/CAD!B26</f>
        <v>0.86147484493452786</v>
      </c>
      <c r="E26" s="3">
        <f>1/CAD!C26</f>
        <v>0.86162329829398576</v>
      </c>
      <c r="F26" s="3">
        <f>EUR!B26/1</f>
        <v>1.3984000000000001</v>
      </c>
      <c r="G26" s="3">
        <f>EUR!C26/1</f>
        <v>1.3985000000000001</v>
      </c>
      <c r="H26" s="3">
        <f>GBP!B26/1</f>
        <v>1.6371</v>
      </c>
      <c r="I26" s="3">
        <f>GBP!C26/1</f>
        <v>1.637</v>
      </c>
      <c r="J26" s="4">
        <f>1/INR!B26</f>
        <v>2.0790020790020788E-2</v>
      </c>
      <c r="K26" s="4">
        <f>1/INR!C26</f>
        <v>2.0735057798973614E-2</v>
      </c>
      <c r="L26" s="4">
        <f>1/JPY!B26</f>
        <v>1.041655816085249E-2</v>
      </c>
      <c r="M26" s="4">
        <f>1/JPY!C26</f>
        <v>1.0419792604448001E-2</v>
      </c>
      <c r="N26" s="5">
        <f>1/KRW!B26</f>
        <v>7.8603993082848611E-4</v>
      </c>
      <c r="O26" s="5">
        <f>1/KRW!C26</f>
        <v>7.8599983383963515E-4</v>
      </c>
      <c r="P26" s="3">
        <f>1/NOK!B26</f>
        <v>0.15575110972665682</v>
      </c>
      <c r="Q26" s="3">
        <f>1/NOK!C26</f>
        <v>0.15562506808596729</v>
      </c>
      <c r="R26" s="3">
        <f>NZD!B26/1</f>
        <v>0.62960000000000005</v>
      </c>
      <c r="S26" s="3">
        <f>NZD!C26/1</f>
        <v>0.62849999999999995</v>
      </c>
      <c r="T26" s="4">
        <f>1/PHP!B26</f>
        <v>2.0742584526031942E-2</v>
      </c>
      <c r="U26" s="4">
        <f>1/PHP!C26</f>
        <v>2.0679529333912362E-2</v>
      </c>
      <c r="V26" s="4">
        <f>1/TWD!B26</f>
        <v>3.0390518158334597E-2</v>
      </c>
      <c r="W26" s="4">
        <f>1/TWD!C26</f>
        <v>3.0391349406304991E-2</v>
      </c>
      <c r="X26" s="4">
        <f>1/TWD!B26</f>
        <v>3.0390518158334597E-2</v>
      </c>
      <c r="Y26" s="4">
        <f>1/TWD!C26</f>
        <v>3.0391349406304991E-2</v>
      </c>
      <c r="Z26" s="4">
        <f>1/ZAR!B26</f>
        <v>0.12692288165710514</v>
      </c>
      <c r="AA26" s="4">
        <f>1/ZAR!C26</f>
        <v>0.12612726240776945</v>
      </c>
    </row>
    <row r="27" spans="1:27" x14ac:dyDescent="0.25">
      <c r="A27" t="str">
        <f>"06/07/2009"</f>
        <v>06/07/2009</v>
      </c>
      <c r="B27" s="3">
        <f>AUD!B27</f>
        <v>0.79239999999999999</v>
      </c>
      <c r="C27" s="3">
        <f>AUD!C27</f>
        <v>0.79049999999999998</v>
      </c>
      <c r="D27" s="3">
        <f>1/CAD!B27</f>
        <v>0.85962348491360785</v>
      </c>
      <c r="E27" s="3">
        <f>1/CAD!C27</f>
        <v>0.85977130083397812</v>
      </c>
      <c r="F27" s="3">
        <f>EUR!B27/1</f>
        <v>1.3962000000000001</v>
      </c>
      <c r="G27" s="3">
        <f>EUR!C27/1</f>
        <v>1.3962000000000001</v>
      </c>
      <c r="H27" s="3">
        <f>GBP!B27/1</f>
        <v>1.6266</v>
      </c>
      <c r="I27" s="3">
        <f>GBP!C27/1</f>
        <v>1.6265000000000001</v>
      </c>
      <c r="J27" s="4">
        <f>1/INR!B27</f>
        <v>2.0850708924103418E-2</v>
      </c>
      <c r="K27" s="4">
        <f>1/INR!C27</f>
        <v>2.0797587479852334E-2</v>
      </c>
      <c r="L27" s="4">
        <f>1/JPY!B27</f>
        <v>1.0479983232026828E-2</v>
      </c>
      <c r="M27" s="4">
        <f>1/JPY!C27</f>
        <v>1.0483235210251766E-2</v>
      </c>
      <c r="N27" s="5">
        <f>1/KRW!B27</f>
        <v>7.8802206461780935E-4</v>
      </c>
      <c r="O27" s="5">
        <f>1/KRW!C27</f>
        <v>7.8799629484142158E-4</v>
      </c>
      <c r="P27" s="3">
        <f>1/NOK!B27</f>
        <v>0.15540015540015542</v>
      </c>
      <c r="Q27" s="3">
        <f>1/NOK!C27</f>
        <v>0.1552819143154397</v>
      </c>
      <c r="R27" s="3">
        <f>NZD!B27/1</f>
        <v>0.62619999999999998</v>
      </c>
      <c r="S27" s="3">
        <f>NZD!C27/1</f>
        <v>0.62509999999999999</v>
      </c>
      <c r="T27" s="4">
        <f>1/PHP!B27</f>
        <v>2.0768431983385256E-2</v>
      </c>
      <c r="U27" s="4">
        <f>1/PHP!C27</f>
        <v>2.069108214359611E-2</v>
      </c>
      <c r="V27" s="4">
        <f>1/TWD!B27</f>
        <v>3.036560184622859E-2</v>
      </c>
      <c r="W27" s="4">
        <f>1/TWD!C27</f>
        <v>3.0365694053486134E-2</v>
      </c>
      <c r="X27" s="4">
        <f>1/TWD!B27</f>
        <v>3.036560184622859E-2</v>
      </c>
      <c r="Y27" s="4">
        <f>1/TWD!C27</f>
        <v>3.0365694053486134E-2</v>
      </c>
      <c r="Z27" s="4">
        <f>1/ZAR!B27</f>
        <v>0.1255130345286358</v>
      </c>
      <c r="AA27" s="4">
        <f>1/ZAR!C27</f>
        <v>0.12473027078941787</v>
      </c>
    </row>
    <row r="28" spans="1:27" x14ac:dyDescent="0.25">
      <c r="A28" t="str">
        <f>"07/07/2009"</f>
        <v>07/07/2009</v>
      </c>
      <c r="B28" s="3">
        <f>AUD!B28</f>
        <v>0.7964</v>
      </c>
      <c r="C28" s="3">
        <f>AUD!C28</f>
        <v>0.79449999999999998</v>
      </c>
      <c r="D28" s="3">
        <f>1/CAD!B28</f>
        <v>0.86125226078718453</v>
      </c>
      <c r="E28" s="3">
        <f>1/CAD!C28</f>
        <v>0.86147484493452786</v>
      </c>
      <c r="F28" s="3">
        <f>EUR!B28/1</f>
        <v>1.3964000000000001</v>
      </c>
      <c r="G28" s="3">
        <f>EUR!C28/1</f>
        <v>1.3964000000000001</v>
      </c>
      <c r="H28" s="3">
        <f>GBP!B28/1</f>
        <v>1.6262000000000001</v>
      </c>
      <c r="I28" s="3">
        <f>GBP!C28/1</f>
        <v>1.6259999999999999</v>
      </c>
      <c r="J28" s="4">
        <f>1/INR!B28</f>
        <v>2.0665426741062202E-2</v>
      </c>
      <c r="K28" s="4">
        <f>1/INR!C28</f>
        <v>2.0611119699077654E-2</v>
      </c>
      <c r="L28" s="4">
        <f>1/JPY!B28</f>
        <v>1.0484378276368212E-2</v>
      </c>
      <c r="M28" s="4">
        <f>1/JPY!C28</f>
        <v>1.0487709977063378E-2</v>
      </c>
      <c r="N28" s="5">
        <f>1/KRW!B28</f>
        <v>7.8783581501615067E-4</v>
      </c>
      <c r="O28" s="5">
        <f>1/KRW!C28</f>
        <v>7.8780900232498189E-4</v>
      </c>
      <c r="P28" s="3">
        <f>1/NOK!B28</f>
        <v>0.1544329992432783</v>
      </c>
      <c r="Q28" s="3">
        <f>1/NOK!C28</f>
        <v>0.15430431897788821</v>
      </c>
      <c r="R28" s="3">
        <f>NZD!B28/1</f>
        <v>0.63560000000000005</v>
      </c>
      <c r="S28" s="3">
        <f>NZD!C28/1</f>
        <v>0.63429999999999997</v>
      </c>
      <c r="T28" s="4">
        <f>1/PHP!B28</f>
        <v>2.073828287017835E-2</v>
      </c>
      <c r="U28" s="4">
        <f>1/PHP!C28</f>
        <v>2.0671834625322998E-2</v>
      </c>
      <c r="V28" s="4">
        <f>1/TWD!B28</f>
        <v>3.032140691328078E-2</v>
      </c>
      <c r="W28" s="4">
        <f>1/TWD!C28</f>
        <v>3.0321498852331267E-2</v>
      </c>
      <c r="X28" s="4">
        <f>1/TWD!B28</f>
        <v>3.032140691328078E-2</v>
      </c>
      <c r="Y28" s="4">
        <f>1/TWD!C28</f>
        <v>3.0321498852331267E-2</v>
      </c>
      <c r="Z28" s="4">
        <f>1/ZAR!B28</f>
        <v>0.12520032051282051</v>
      </c>
      <c r="AA28" s="4">
        <f>1/ZAR!C28</f>
        <v>0.12437192179493557</v>
      </c>
    </row>
    <row r="29" spans="1:27" x14ac:dyDescent="0.25">
      <c r="A29" t="str">
        <f>"08/07/2009"</f>
        <v>08/07/2009</v>
      </c>
      <c r="B29" s="3">
        <f>AUD!B29</f>
        <v>0.78639999999999999</v>
      </c>
      <c r="C29" s="3">
        <f>AUD!C29</f>
        <v>0.78459999999999996</v>
      </c>
      <c r="D29" s="3">
        <f>1/CAD!B29</f>
        <v>0.85918034195377613</v>
      </c>
      <c r="E29" s="3">
        <f>1/CAD!C29</f>
        <v>0.85932800549969923</v>
      </c>
      <c r="F29" s="3">
        <f>EUR!B29/1</f>
        <v>1.3902000000000001</v>
      </c>
      <c r="G29" s="3">
        <f>EUR!C29/1</f>
        <v>1.3903000000000001</v>
      </c>
      <c r="H29" s="3">
        <f>GBP!B29/1</f>
        <v>1.6081000000000001</v>
      </c>
      <c r="I29" s="3">
        <f>GBP!C29/1</f>
        <v>1.6080000000000001</v>
      </c>
      <c r="J29" s="4">
        <f>1/INR!B29</f>
        <v>2.0487604998975621E-2</v>
      </c>
      <c r="K29" s="4">
        <f>1/INR!C29</f>
        <v>2.0438403760666291E-2</v>
      </c>
      <c r="L29" s="4">
        <f>1/JPY!B29</f>
        <v>1.0575631629599078E-2</v>
      </c>
      <c r="M29" s="4">
        <f>1/JPY!C29</f>
        <v>1.0578842526523803E-2</v>
      </c>
      <c r="N29" s="5">
        <f>1/KRW!B29</f>
        <v>7.8186082877247849E-4</v>
      </c>
      <c r="O29" s="5">
        <f>1/KRW!C29</f>
        <v>7.8183601052226172E-4</v>
      </c>
      <c r="P29" s="3">
        <f>1/NOK!B29</f>
        <v>0.15280940083433933</v>
      </c>
      <c r="Q29" s="3">
        <f>1/NOK!C29</f>
        <v>0.15268574220539285</v>
      </c>
      <c r="R29" s="3">
        <f>NZD!B29/1</f>
        <v>0.628</v>
      </c>
      <c r="S29" s="3">
        <f>NZD!C29/1</f>
        <v>0.62670000000000003</v>
      </c>
      <c r="T29" s="4">
        <f>1/PHP!B29</f>
        <v>2.0682523267838676E-2</v>
      </c>
      <c r="U29" s="4">
        <f>1/PHP!C29</f>
        <v>2.0619406985855088E-2</v>
      </c>
      <c r="V29" s="4">
        <f>1/TWD!B29</f>
        <v>3.0258101606705196E-2</v>
      </c>
      <c r="W29" s="4">
        <f>1/TWD!C29</f>
        <v>3.0258193162253505E-2</v>
      </c>
      <c r="X29" s="4">
        <f>1/TWD!B29</f>
        <v>3.0258101606705196E-2</v>
      </c>
      <c r="Y29" s="4">
        <f>1/TWD!C29</f>
        <v>3.0258193162253505E-2</v>
      </c>
      <c r="Z29" s="4">
        <f>1/ZAR!B29</f>
        <v>0.12300123001230011</v>
      </c>
      <c r="AA29" s="4">
        <f>1/ZAR!C29</f>
        <v>0.12220606386488897</v>
      </c>
    </row>
    <row r="30" spans="1:27" x14ac:dyDescent="0.25">
      <c r="A30" t="str">
        <f>"09/07/2009"</f>
        <v>09/07/2009</v>
      </c>
      <c r="B30" s="3">
        <f>AUD!B30</f>
        <v>0.77980000000000005</v>
      </c>
      <c r="C30" s="3">
        <f>AUD!C30</f>
        <v>0.77800000000000002</v>
      </c>
      <c r="D30" s="3">
        <f>1/CAD!B30</f>
        <v>0.8595495960116899</v>
      </c>
      <c r="E30" s="3">
        <f>1/CAD!C30</f>
        <v>0.85969738651994498</v>
      </c>
      <c r="F30" s="3">
        <f>EUR!B30/1</f>
        <v>1.3893</v>
      </c>
      <c r="G30" s="3">
        <f>EUR!C30/1</f>
        <v>1.3894</v>
      </c>
      <c r="H30" s="3">
        <f>GBP!B30/1</f>
        <v>1.6076999999999999</v>
      </c>
      <c r="I30" s="3">
        <f>GBP!C30/1</f>
        <v>1.6075999999999999</v>
      </c>
      <c r="J30" s="4">
        <f>1/INR!B30</f>
        <v>2.0403999183840033E-2</v>
      </c>
      <c r="K30" s="4">
        <f>1/INR!C30</f>
        <v>2.0352091177368477E-2</v>
      </c>
      <c r="L30" s="4">
        <f>1/JPY!B30</f>
        <v>1.0731916720326249E-2</v>
      </c>
      <c r="M30" s="4">
        <f>1/JPY!C30</f>
        <v>1.0735142562693232E-2</v>
      </c>
      <c r="N30" s="5">
        <f>1/KRW!B30</f>
        <v>7.8247261345852897E-4</v>
      </c>
      <c r="O30" s="5">
        <f>1/KRW!C30</f>
        <v>7.8245253173470986E-4</v>
      </c>
      <c r="P30" s="3">
        <f>1/NOK!B30</f>
        <v>0.1525669387443741</v>
      </c>
      <c r="Q30" s="3">
        <f>1/NOK!C30</f>
        <v>0.15244367206317266</v>
      </c>
      <c r="R30" s="3">
        <f>NZD!B30/1</f>
        <v>0.626</v>
      </c>
      <c r="S30" s="3">
        <f>NZD!C30/1</f>
        <v>0.62470000000000003</v>
      </c>
      <c r="T30" s="4">
        <f>1/PHP!B30</f>
        <v>2.072538860103627E-2</v>
      </c>
      <c r="U30" s="4">
        <f>1/PHP!C30</f>
        <v>2.0663291662361812E-2</v>
      </c>
      <c r="V30" s="4">
        <f>1/TWD!B30</f>
        <v>3.0300275732509166E-2</v>
      </c>
      <c r="W30" s="4">
        <f>1/TWD!C30</f>
        <v>3.0300367543458304E-2</v>
      </c>
      <c r="X30" s="4">
        <f>1/TWD!B30</f>
        <v>3.0300275732509166E-2</v>
      </c>
      <c r="Y30" s="4">
        <f>1/TWD!C30</f>
        <v>3.0300367543458304E-2</v>
      </c>
      <c r="Z30" s="4">
        <f>1/ZAR!B30</f>
        <v>0.12195419400473183</v>
      </c>
      <c r="AA30" s="4">
        <f>1/ZAR!C30</f>
        <v>0.12118127506937627</v>
      </c>
    </row>
    <row r="31" spans="1:27" x14ac:dyDescent="0.25">
      <c r="A31" t="str">
        <f>"10/07/2009"</f>
        <v>10/07/2009</v>
      </c>
      <c r="B31" s="3">
        <f>AUD!B31</f>
        <v>0.78190000000000004</v>
      </c>
      <c r="C31" s="3">
        <f>AUD!C31</f>
        <v>0.78010000000000002</v>
      </c>
      <c r="D31" s="3">
        <f>1/CAD!B31</f>
        <v>0.8608815426997245</v>
      </c>
      <c r="E31" s="3">
        <f>1/CAD!C31</f>
        <v>0.86102979163079041</v>
      </c>
      <c r="F31" s="3">
        <f>EUR!B31/1</f>
        <v>1.3969</v>
      </c>
      <c r="G31" s="3">
        <f>EUR!C31/1</f>
        <v>1.397</v>
      </c>
      <c r="H31" s="3">
        <f>GBP!B31/1</f>
        <v>1.6293</v>
      </c>
      <c r="I31" s="3">
        <f>GBP!C31/1</f>
        <v>1.6292</v>
      </c>
      <c r="J31" s="4">
        <f>1/INR!B31</f>
        <v>2.0521239482864766E-2</v>
      </c>
      <c r="K31" s="4">
        <f>1/INR!C31</f>
        <v>2.0472924557273006E-2</v>
      </c>
      <c r="L31" s="4">
        <f>1/JPY!B31</f>
        <v>1.0768899418479432E-2</v>
      </c>
      <c r="M31" s="4">
        <f>1/JPY!C31</f>
        <v>1.0772263575745171E-2</v>
      </c>
      <c r="N31" s="5">
        <f>1/KRW!B31</f>
        <v>7.8250322782581479E-4</v>
      </c>
      <c r="O31" s="5">
        <f>1/KRW!C31</f>
        <v>7.8248302207462852E-4</v>
      </c>
      <c r="P31" s="3">
        <f>1/NOK!B31</f>
        <v>0.15364523315664133</v>
      </c>
      <c r="Q31" s="3">
        <f>1/NOK!C31</f>
        <v>0.1535202186127913</v>
      </c>
      <c r="R31" s="3">
        <f>NZD!B31/1</f>
        <v>0.62919999999999998</v>
      </c>
      <c r="S31" s="3">
        <f>NZD!C31/1</f>
        <v>0.62790000000000001</v>
      </c>
      <c r="T31" s="4">
        <f>1/PHP!B31</f>
        <v>2.0751193193608634E-2</v>
      </c>
      <c r="U31" s="4">
        <f>1/PHP!C31</f>
        <v>2.0686801820438559E-2</v>
      </c>
      <c r="V31" s="4">
        <f>1/TWD!B31</f>
        <v>3.030578537442798E-2</v>
      </c>
      <c r="W31" s="4">
        <f>1/TWD!C31</f>
        <v>3.030587721876904E-2</v>
      </c>
      <c r="X31" s="4">
        <f>1/TWD!B31</f>
        <v>3.030578537442798E-2</v>
      </c>
      <c r="Y31" s="4">
        <f>1/TWD!C31</f>
        <v>3.030587721876904E-2</v>
      </c>
      <c r="Z31" s="4">
        <f>1/ZAR!B31</f>
        <v>0.12267981794315017</v>
      </c>
      <c r="AA31" s="4">
        <f>1/ZAR!C31</f>
        <v>0.12190067532974132</v>
      </c>
    </row>
    <row r="32" spans="1:27" x14ac:dyDescent="0.25">
      <c r="A32" t="str">
        <f>"13/07/2009"</f>
        <v>13/07/2009</v>
      </c>
      <c r="B32" s="3">
        <f>AUD!B32</f>
        <v>0.77749999999999997</v>
      </c>
      <c r="C32" s="3">
        <f>AUD!C32</f>
        <v>0.77569999999999995</v>
      </c>
      <c r="D32" s="3">
        <f>1/CAD!B32</f>
        <v>0.85910652920962205</v>
      </c>
      <c r="E32" s="3">
        <f>1/CAD!C32</f>
        <v>0.85925416738271188</v>
      </c>
      <c r="F32" s="3">
        <f>EUR!B32/1</f>
        <v>1.3932</v>
      </c>
      <c r="G32" s="3">
        <f>EUR!C32/1</f>
        <v>1.3933</v>
      </c>
      <c r="H32" s="3">
        <f>GBP!B32/1</f>
        <v>1.613</v>
      </c>
      <c r="I32" s="3">
        <f>GBP!C32/1</f>
        <v>1.6129</v>
      </c>
      <c r="J32" s="4">
        <f>1/INR!B32</f>
        <v>2.0312817387771687E-2</v>
      </c>
      <c r="K32" s="4">
        <f>1/INR!C32</f>
        <v>2.0263424518743668E-2</v>
      </c>
      <c r="L32" s="4">
        <f>1/JPY!B32</f>
        <v>1.0809642200843151E-2</v>
      </c>
      <c r="M32" s="4">
        <f>1/JPY!C32</f>
        <v>1.081307863487045E-2</v>
      </c>
      <c r="N32" s="5">
        <f>1/KRW!B32</f>
        <v>7.7465334262917344E-4</v>
      </c>
      <c r="O32" s="5">
        <f>1/KRW!C32</f>
        <v>7.7463516039556898E-4</v>
      </c>
      <c r="P32" s="3">
        <f>1/NOK!B32</f>
        <v>0.15329194450831607</v>
      </c>
      <c r="Q32" s="3">
        <f>1/NOK!C32</f>
        <v>0.1531675039823551</v>
      </c>
      <c r="R32" s="3">
        <f>NZD!B32/1</f>
        <v>0.62619999999999998</v>
      </c>
      <c r="S32" s="3">
        <f>NZD!C32/1</f>
        <v>0.62490000000000001</v>
      </c>
      <c r="T32" s="4">
        <f>1/PHP!B32</f>
        <v>2.0726462511010933E-2</v>
      </c>
      <c r="U32" s="4">
        <f>1/PHP!C32</f>
        <v>2.066222428844465E-2</v>
      </c>
      <c r="V32" s="4">
        <f>1/TWD!B32</f>
        <v>3.0175015087507542E-2</v>
      </c>
      <c r="W32" s="4">
        <f>1/TWD!C32</f>
        <v>3.0175106140935853E-2</v>
      </c>
      <c r="X32" s="4">
        <f>1/TWD!B32</f>
        <v>3.0175015087507542E-2</v>
      </c>
      <c r="Y32" s="4">
        <f>1/TWD!C32</f>
        <v>3.0175106140935853E-2</v>
      </c>
      <c r="Z32" s="4">
        <f>1/ZAR!B32</f>
        <v>0.12134449702705982</v>
      </c>
      <c r="AA32" s="4">
        <f>1/ZAR!C32</f>
        <v>0.12058071673178025</v>
      </c>
    </row>
    <row r="33" spans="1:27" x14ac:dyDescent="0.25">
      <c r="A33" t="str">
        <f>"14/07/2009"</f>
        <v>14/07/2009</v>
      </c>
      <c r="B33" s="3">
        <f>AUD!B33</f>
        <v>0.78490000000000004</v>
      </c>
      <c r="C33" s="3">
        <f>AUD!C33</f>
        <v>0.78300000000000003</v>
      </c>
      <c r="D33" s="3">
        <f>1/CAD!B33</f>
        <v>0.86843247937472867</v>
      </c>
      <c r="E33" s="3">
        <f>1/CAD!C33</f>
        <v>0.86850790342192119</v>
      </c>
      <c r="F33" s="3">
        <f>EUR!B33/1</f>
        <v>1.3983000000000001</v>
      </c>
      <c r="G33" s="3">
        <f>EUR!C33/1</f>
        <v>1.3983000000000001</v>
      </c>
      <c r="H33" s="3">
        <f>GBP!B33/1</f>
        <v>1.6255999999999999</v>
      </c>
      <c r="I33" s="3">
        <f>GBP!C33/1</f>
        <v>1.6254999999999999</v>
      </c>
      <c r="J33" s="4">
        <f>1/INR!B33</f>
        <v>2.0483408439164276E-2</v>
      </c>
      <c r="K33" s="4">
        <f>1/INR!C33</f>
        <v>2.0433183489987742E-2</v>
      </c>
      <c r="L33" s="4">
        <f>1/JPY!B33</f>
        <v>1.0743735059493434E-2</v>
      </c>
      <c r="M33" s="4">
        <f>1/JPY!C33</f>
        <v>1.0747245212370939E-2</v>
      </c>
      <c r="N33" s="5">
        <f>1/KRW!B33</f>
        <v>7.7339520494972935E-4</v>
      </c>
      <c r="O33" s="5">
        <f>1/KRW!C33</f>
        <v>7.7337791908595394E-4</v>
      </c>
      <c r="P33" s="3">
        <f>1/NOK!B33</f>
        <v>0.15415208644849007</v>
      </c>
      <c r="Q33" s="3">
        <f>1/NOK!C33</f>
        <v>0.15402150140159565</v>
      </c>
      <c r="R33" s="3">
        <f>NZD!B33/1</f>
        <v>0.63370000000000004</v>
      </c>
      <c r="S33" s="3">
        <f>NZD!C33/1</f>
        <v>0.63239999999999996</v>
      </c>
      <c r="T33" s="4">
        <f>1/PHP!B33</f>
        <v>2.070822116380203E-2</v>
      </c>
      <c r="U33" s="4">
        <f>1/PHP!C33</f>
        <v>2.063983488132095E-2</v>
      </c>
      <c r="V33" s="4">
        <f>1/TWD!B33</f>
        <v>3.022517757291824E-2</v>
      </c>
      <c r="W33" s="4">
        <f>1/TWD!C33</f>
        <v>3.02252689293303E-2</v>
      </c>
      <c r="X33" s="4">
        <f>1/TWD!B33</f>
        <v>3.022517757291824E-2</v>
      </c>
      <c r="Y33" s="4">
        <f>1/TWD!C33</f>
        <v>3.02252689293303E-2</v>
      </c>
      <c r="Z33" s="4">
        <f>1/ZAR!B33</f>
        <v>0.1210580473336965</v>
      </c>
      <c r="AA33" s="4">
        <f>1/ZAR!C33</f>
        <v>0.12023421625326135</v>
      </c>
    </row>
    <row r="34" spans="1:27" x14ac:dyDescent="0.25">
      <c r="A34" t="str">
        <f>"15/07/2009"</f>
        <v>15/07/2009</v>
      </c>
      <c r="B34" s="3">
        <f>AUD!B34</f>
        <v>0.7944</v>
      </c>
      <c r="C34" s="3">
        <f>AUD!C34</f>
        <v>0.79249999999999998</v>
      </c>
      <c r="D34" s="3">
        <f>1/CAD!B34</f>
        <v>0.88167871627578898</v>
      </c>
      <c r="E34" s="3">
        <f>1/CAD!C34</f>
        <v>0.88175645886606113</v>
      </c>
      <c r="F34" s="3">
        <f>EUR!B34/1</f>
        <v>1.3986000000000001</v>
      </c>
      <c r="G34" s="3">
        <f>EUR!C34/1</f>
        <v>1.3987000000000001</v>
      </c>
      <c r="H34" s="3">
        <f>GBP!B34/1</f>
        <v>1.6331</v>
      </c>
      <c r="I34" s="3">
        <f>GBP!C34/1</f>
        <v>1.633</v>
      </c>
      <c r="J34" s="4">
        <f>1/INR!B34</f>
        <v>2.0512820512820513E-2</v>
      </c>
      <c r="K34" s="4">
        <f>1/INR!C34</f>
        <v>2.0464545175483476E-2</v>
      </c>
      <c r="L34" s="4">
        <f>1/JPY!B34</f>
        <v>1.0685929836184695E-2</v>
      </c>
      <c r="M34" s="4">
        <f>1/JPY!C34</f>
        <v>1.0689470871191877E-2</v>
      </c>
      <c r="N34" s="5">
        <f>1/KRW!B34</f>
        <v>7.7972709551656918E-4</v>
      </c>
      <c r="O34" s="5">
        <f>1/KRW!C34</f>
        <v>7.7970855274007121E-4</v>
      </c>
      <c r="P34" s="3">
        <f>1/NOK!B34</f>
        <v>0.15519997516800399</v>
      </c>
      <c r="Q34" s="3">
        <f>1/NOK!C34</f>
        <v>0.15507241881958875</v>
      </c>
      <c r="R34" s="3">
        <f>NZD!B34/1</f>
        <v>0.64070000000000005</v>
      </c>
      <c r="S34" s="3">
        <f>NZD!C34/1</f>
        <v>0.63939999999999997</v>
      </c>
      <c r="T34" s="4">
        <f>1/PHP!B34</f>
        <v>2.0764119601328904E-2</v>
      </c>
      <c r="U34" s="4">
        <f>1/PHP!C34</f>
        <v>2.0697505950532963E-2</v>
      </c>
      <c r="V34" s="4">
        <f>1/TWD!B34</f>
        <v>3.0316810671517355E-2</v>
      </c>
      <c r="W34" s="4">
        <f>1/TWD!C34</f>
        <v>3.0316902582696929E-2</v>
      </c>
      <c r="X34" s="4">
        <f>1/TWD!B34</f>
        <v>3.0316810671517355E-2</v>
      </c>
      <c r="Y34" s="4">
        <f>1/TWD!C34</f>
        <v>3.0316902582696929E-2</v>
      </c>
      <c r="Z34" s="4">
        <f>1/ZAR!B34</f>
        <v>0.12185462742947663</v>
      </c>
      <c r="AA34" s="4">
        <f>1/ZAR!C34</f>
        <v>0.12108296604833631</v>
      </c>
    </row>
    <row r="35" spans="1:27" x14ac:dyDescent="0.25">
      <c r="A35" t="str">
        <f>"16/07/2009"</f>
        <v>16/07/2009</v>
      </c>
      <c r="B35" s="3">
        <f>AUD!B35</f>
        <v>0.79910000000000003</v>
      </c>
      <c r="C35" s="3">
        <f>AUD!C35</f>
        <v>0.79720000000000002</v>
      </c>
      <c r="D35" s="3">
        <f>1/CAD!B35</f>
        <v>0.8926977325477593</v>
      </c>
      <c r="E35" s="3">
        <f>1/CAD!C35</f>
        <v>0.89277743058655468</v>
      </c>
      <c r="F35" s="3">
        <f>EUR!B35/1</f>
        <v>1.4069</v>
      </c>
      <c r="G35" s="3">
        <f>EUR!C35/1</f>
        <v>1.407</v>
      </c>
      <c r="H35" s="3">
        <f>GBP!B35/1</f>
        <v>1.6395999999999999</v>
      </c>
      <c r="I35" s="3">
        <f>GBP!C35/1</f>
        <v>1.6395</v>
      </c>
      <c r="J35" s="4">
        <f>1/INR!B35</f>
        <v>2.0610057708161583E-2</v>
      </c>
      <c r="K35" s="4">
        <f>1/INR!C35</f>
        <v>2.0559210526315791E-2</v>
      </c>
      <c r="L35" s="4">
        <f>1/JPY!B35</f>
        <v>1.0630381630700543E-2</v>
      </c>
      <c r="M35" s="4">
        <f>1/JPY!C35</f>
        <v>1.0633716324349616E-2</v>
      </c>
      <c r="N35" s="5">
        <f>1/KRW!B35</f>
        <v>7.8802206461780935E-4</v>
      </c>
      <c r="O35" s="5">
        <f>1/KRW!C35</f>
        <v>7.8800343569497967E-4</v>
      </c>
      <c r="P35" s="3">
        <f>1/NOK!B35</f>
        <v>0.15609877930754582</v>
      </c>
      <c r="Q35" s="3">
        <f>1/NOK!C35</f>
        <v>0.15597460733392604</v>
      </c>
      <c r="R35" s="3">
        <f>NZD!B35/1</f>
        <v>0.64639999999999997</v>
      </c>
      <c r="S35" s="3">
        <f>NZD!C35/1</f>
        <v>0.64510000000000001</v>
      </c>
      <c r="T35" s="4">
        <f>1/PHP!B35</f>
        <v>2.0818153429790778E-2</v>
      </c>
      <c r="U35" s="4">
        <f>1/PHP!C35</f>
        <v>2.0751193193608634E-2</v>
      </c>
      <c r="V35" s="4">
        <f>1/TWD!B35</f>
        <v>3.0372980196816911E-2</v>
      </c>
      <c r="W35" s="4">
        <f>1/TWD!C35</f>
        <v>3.0373072448889708E-2</v>
      </c>
      <c r="X35" s="4">
        <f>1/TWD!B35</f>
        <v>3.0372980196816911E-2</v>
      </c>
      <c r="Y35" s="4">
        <f>1/TWD!C35</f>
        <v>3.0373072448889708E-2</v>
      </c>
      <c r="Z35" s="4">
        <f>1/ZAR!B35</f>
        <v>0.12241400416207614</v>
      </c>
      <c r="AA35" s="4">
        <f>1/ZAR!C35</f>
        <v>0.12164562197406517</v>
      </c>
    </row>
    <row r="36" spans="1:27" x14ac:dyDescent="0.25">
      <c r="A36" t="str">
        <f>"17/07/2009"</f>
        <v>17/07/2009</v>
      </c>
      <c r="B36" s="3">
        <f>AUD!B36</f>
        <v>0.80069999999999997</v>
      </c>
      <c r="C36" s="3">
        <f>AUD!C36</f>
        <v>0.79879999999999995</v>
      </c>
      <c r="D36" s="3">
        <f>1/CAD!B36</f>
        <v>0.89437438511761014</v>
      </c>
      <c r="E36" s="3">
        <f>1/CAD!C36</f>
        <v>0.89445438282647571</v>
      </c>
      <c r="F36" s="3">
        <f>EUR!B36/1</f>
        <v>1.4121999999999999</v>
      </c>
      <c r="G36" s="3">
        <f>EUR!C36/1</f>
        <v>1.4123000000000001</v>
      </c>
      <c r="H36" s="3">
        <f>GBP!B36/1</f>
        <v>1.6392</v>
      </c>
      <c r="I36" s="3">
        <f>GBP!C36/1</f>
        <v>1.6391</v>
      </c>
      <c r="J36" s="4">
        <f>1/INR!B36</f>
        <v>2.0546537908362441E-2</v>
      </c>
      <c r="K36" s="4">
        <f>1/INR!C36</f>
        <v>2.0502306509482319E-2</v>
      </c>
      <c r="L36" s="4">
        <f>1/JPY!B36</f>
        <v>1.0675776662752216E-2</v>
      </c>
      <c r="M36" s="4">
        <f>1/JPY!C36</f>
        <v>1.067933378044144E-2</v>
      </c>
      <c r="N36" s="5">
        <f>1/KRW!B36</f>
        <v>7.9207920792079213E-4</v>
      </c>
      <c r="O36" s="5">
        <f>1/KRW!C36</f>
        <v>7.9205988479647384E-4</v>
      </c>
      <c r="P36" s="3">
        <f>1/NOK!B36</f>
        <v>0.15671279246524894</v>
      </c>
      <c r="Q36" s="3">
        <f>1/NOK!C36</f>
        <v>0.15658519017271347</v>
      </c>
      <c r="R36" s="3">
        <f>NZD!B36/1</f>
        <v>0.64429999999999998</v>
      </c>
      <c r="S36" s="3">
        <f>NZD!C36/1</f>
        <v>0.64300000000000002</v>
      </c>
      <c r="T36" s="4">
        <f>1/PHP!B36</f>
        <v>2.079866888519135E-2</v>
      </c>
      <c r="U36" s="4">
        <f>1/PHP!C36</f>
        <v>2.073183373069348E-2</v>
      </c>
      <c r="V36" s="4">
        <f>1/TWD!B36</f>
        <v>3.0351777096549001E-2</v>
      </c>
      <c r="W36" s="4">
        <f>1/TWD!C36</f>
        <v>3.0351869219865907E-2</v>
      </c>
      <c r="X36" s="4">
        <f>1/TWD!B36</f>
        <v>3.0351777096549001E-2</v>
      </c>
      <c r="Y36" s="4">
        <f>1/TWD!C36</f>
        <v>3.0351869219865907E-2</v>
      </c>
      <c r="Z36" s="4">
        <f>1/ZAR!B36</f>
        <v>0.12300123001230011</v>
      </c>
      <c r="AA36" s="4">
        <f>1/ZAR!C36</f>
        <v>0.12221950623319482</v>
      </c>
    </row>
    <row r="37" spans="1:27" x14ac:dyDescent="0.25">
      <c r="A37" t="str">
        <f>"20/07/2009"</f>
        <v>20/07/2009</v>
      </c>
      <c r="B37" s="3">
        <f>AUD!B37</f>
        <v>0.80649999999999999</v>
      </c>
      <c r="C37" s="3">
        <f>AUD!C37</f>
        <v>0.80459999999999998</v>
      </c>
      <c r="D37" s="3">
        <f>1/CAD!B37</f>
        <v>0.90260853867677582</v>
      </c>
      <c r="E37" s="3">
        <f>1/CAD!C37</f>
        <v>0.90269001624842038</v>
      </c>
      <c r="F37" s="3">
        <f>EUR!B37/1</f>
        <v>1.4158999999999999</v>
      </c>
      <c r="G37" s="3">
        <f>EUR!C37/1</f>
        <v>1.4159999999999999</v>
      </c>
      <c r="H37" s="3">
        <f>GBP!B37/1</f>
        <v>1.6396999999999999</v>
      </c>
      <c r="I37" s="3">
        <f>GBP!C37/1</f>
        <v>1.6395999999999999</v>
      </c>
      <c r="J37" s="4">
        <f>1/INR!B37</f>
        <v>2.0623872131992783E-2</v>
      </c>
      <c r="K37" s="4">
        <f>1/INR!C37</f>
        <v>2.0576131687242798E-2</v>
      </c>
      <c r="L37" s="4">
        <f>1/JPY!B37</f>
        <v>1.0571942065757478E-2</v>
      </c>
      <c r="M37" s="4">
        <f>1/JPY!C37</f>
        <v>1.0575463866283835E-2</v>
      </c>
      <c r="N37" s="5">
        <f>1/KRW!B37</f>
        <v>7.9814829595338803E-4</v>
      </c>
      <c r="O37" s="5">
        <f>1/KRW!C37</f>
        <v>7.9812498094476605E-4</v>
      </c>
      <c r="P37" s="3">
        <f>1/NOK!B37</f>
        <v>0.15715857300015715</v>
      </c>
      <c r="Q37" s="3">
        <f>1/NOK!C37</f>
        <v>0.15703024402499921</v>
      </c>
      <c r="R37" s="3">
        <f>NZD!B37/1</f>
        <v>0.64780000000000004</v>
      </c>
      <c r="S37" s="3">
        <f>NZD!C37/1</f>
        <v>0.64649999999999996</v>
      </c>
      <c r="T37" s="4">
        <f>1/PHP!B37</f>
        <v>2.0842017507294707E-2</v>
      </c>
      <c r="U37" s="4">
        <f>1/PHP!C37</f>
        <v>2.0769294674752845E-2</v>
      </c>
      <c r="V37" s="4">
        <f>1/TWD!B37</f>
        <v>3.0459945172098692E-2</v>
      </c>
      <c r="W37" s="4">
        <f>1/TWD!C37</f>
        <v>3.0460037953207286E-2</v>
      </c>
      <c r="X37" s="4">
        <f>1/TWD!B37</f>
        <v>3.0459945172098692E-2</v>
      </c>
      <c r="Y37" s="4">
        <f>1/TWD!C37</f>
        <v>3.0460037953207286E-2</v>
      </c>
      <c r="Z37" s="4">
        <f>1/ZAR!B37</f>
        <v>0.12400486099055083</v>
      </c>
      <c r="AA37" s="4">
        <f>1/ZAR!C37</f>
        <v>0.12320429736589213</v>
      </c>
    </row>
    <row r="38" spans="1:27" x14ac:dyDescent="0.25">
      <c r="A38" t="str">
        <f>"21/07/2009"</f>
        <v>21/07/2009</v>
      </c>
      <c r="B38" s="3">
        <f>AUD!B38</f>
        <v>0.81259999999999999</v>
      </c>
      <c r="C38" s="3">
        <f>AUD!C38</f>
        <v>0.81059999999999999</v>
      </c>
      <c r="D38" s="3">
        <f>1/CAD!B38</f>
        <v>0.90211998195760035</v>
      </c>
      <c r="E38" s="3">
        <f>1/CAD!C38</f>
        <v>0.90220137134608436</v>
      </c>
      <c r="F38" s="3">
        <f>EUR!B38/1</f>
        <v>1.4213</v>
      </c>
      <c r="G38" s="3">
        <f>EUR!C38/1</f>
        <v>1.4214</v>
      </c>
      <c r="H38" s="3">
        <f>GBP!B38/1</f>
        <v>1.6512</v>
      </c>
      <c r="I38" s="3">
        <f>GBP!C38/1</f>
        <v>1.651</v>
      </c>
      <c r="J38" s="4">
        <f>1/INR!B38</f>
        <v>2.070822116380203E-2</v>
      </c>
      <c r="K38" s="4">
        <f>1/INR!C38</f>
        <v>2.0660089871390938E-2</v>
      </c>
      <c r="L38" s="4">
        <f>1/JPY!B38</f>
        <v>1.065757220505169E-2</v>
      </c>
      <c r="M38" s="4">
        <f>1/JPY!C38</f>
        <v>1.0660798962917478E-2</v>
      </c>
      <c r="N38" s="5">
        <f>1/KRW!B38</f>
        <v>7.977980773066337E-4</v>
      </c>
      <c r="O38" s="5">
        <f>1/KRW!C38</f>
        <v>7.9777936518143021E-4</v>
      </c>
      <c r="P38" s="3">
        <f>1/NOK!B38</f>
        <v>0.15828294659533382</v>
      </c>
      <c r="Q38" s="3">
        <f>1/NOK!C38</f>
        <v>0.15814777327935223</v>
      </c>
      <c r="R38" s="3">
        <f>NZD!B38/1</f>
        <v>0.65439999999999998</v>
      </c>
      <c r="S38" s="3">
        <f>NZD!C38/1</f>
        <v>0.65300000000000002</v>
      </c>
      <c r="T38" s="4">
        <f>1/PHP!B38</f>
        <v>2.0787859889824345E-2</v>
      </c>
      <c r="U38" s="4">
        <f>1/PHP!C38</f>
        <v>2.0716801325875285E-2</v>
      </c>
      <c r="V38" s="4">
        <f>1/TWD!B38</f>
        <v>3.0487804878048783E-2</v>
      </c>
      <c r="W38" s="4">
        <f>1/TWD!C38</f>
        <v>3.0487897828956795E-2</v>
      </c>
      <c r="X38" s="4">
        <f>1/TWD!B38</f>
        <v>3.0487804878048783E-2</v>
      </c>
      <c r="Y38" s="4">
        <f>1/TWD!C38</f>
        <v>3.0487897828956795E-2</v>
      </c>
      <c r="Z38" s="4">
        <f>1/ZAR!B38</f>
        <v>0.12646221941195068</v>
      </c>
      <c r="AA38" s="4">
        <f>1/ZAR!C38</f>
        <v>0.12559185160066816</v>
      </c>
    </row>
    <row r="39" spans="1:27" x14ac:dyDescent="0.25">
      <c r="A39" t="str">
        <f>"22/07/2009"</f>
        <v>22/07/2009</v>
      </c>
      <c r="B39" s="3">
        <f>AUD!B39</f>
        <v>0.81589999999999996</v>
      </c>
      <c r="C39" s="3">
        <f>AUD!C39</f>
        <v>0.81399999999999995</v>
      </c>
      <c r="D39" s="3">
        <f>1/CAD!B39</f>
        <v>0.90399566082082805</v>
      </c>
      <c r="E39" s="3">
        <f>1/CAD!C39</f>
        <v>0.90407738902450041</v>
      </c>
      <c r="F39" s="3">
        <f>EUR!B39/1</f>
        <v>1.4194</v>
      </c>
      <c r="G39" s="3">
        <f>EUR!C39/1</f>
        <v>1.4194</v>
      </c>
      <c r="H39" s="3">
        <f>GBP!B39/1</f>
        <v>1.6402000000000001</v>
      </c>
      <c r="I39" s="3">
        <f>GBP!C39/1</f>
        <v>1.6400999999999999</v>
      </c>
      <c r="J39" s="4">
        <f>1/INR!B39</f>
        <v>2.0665426741062202E-2</v>
      </c>
      <c r="K39" s="4">
        <f>1/INR!C39</f>
        <v>2.0617493943611155E-2</v>
      </c>
      <c r="L39" s="4">
        <f>1/JPY!B39</f>
        <v>1.0688328345446772E-2</v>
      </c>
      <c r="M39" s="4">
        <f>1/JPY!C39</f>
        <v>1.0691322281357114E-2</v>
      </c>
      <c r="N39" s="5">
        <f>1/KRW!B39</f>
        <v>7.9878584551481744E-4</v>
      </c>
      <c r="O39" s="5">
        <f>1/KRW!C39</f>
        <v>7.9876695942008246E-4</v>
      </c>
      <c r="P39" s="3">
        <f>1/NOK!B39</f>
        <v>0.15869489319833688</v>
      </c>
      <c r="Q39" s="3">
        <f>1/NOK!C39</f>
        <v>0.15856404401737861</v>
      </c>
      <c r="R39" s="3">
        <f>NZD!B39/1</f>
        <v>0.65529999999999999</v>
      </c>
      <c r="S39" s="3">
        <f>NZD!C39/1</f>
        <v>0.65400000000000003</v>
      </c>
      <c r="T39" s="4">
        <f>1/PHP!B39</f>
        <v>2.0779220779220779E-2</v>
      </c>
      <c r="U39" s="4">
        <f>1/PHP!C39</f>
        <v>2.070822116380203E-2</v>
      </c>
      <c r="V39" s="4">
        <f>1/TWD!B39</f>
        <v>3.0485016614334056E-2</v>
      </c>
      <c r="W39" s="4">
        <f>1/TWD!C39</f>
        <v>3.0486131858617514E-2</v>
      </c>
      <c r="X39" s="4">
        <f>1/TWD!B39</f>
        <v>3.0485016614334056E-2</v>
      </c>
      <c r="Y39" s="4">
        <f>1/TWD!C39</f>
        <v>3.0486131858617514E-2</v>
      </c>
      <c r="Z39" s="4">
        <f>1/ZAR!B39</f>
        <v>0.12725884448969205</v>
      </c>
      <c r="AA39" s="4">
        <f>1/ZAR!C39</f>
        <v>0.12642384859479891</v>
      </c>
    </row>
    <row r="40" spans="1:27" x14ac:dyDescent="0.25">
      <c r="A40" t="str">
        <f>"23/07/2009"</f>
        <v>23/07/2009</v>
      </c>
      <c r="B40" s="3">
        <f>AUD!B40</f>
        <v>0.81820000000000004</v>
      </c>
      <c r="C40" s="3">
        <f>AUD!C40</f>
        <v>0.81630000000000003</v>
      </c>
      <c r="D40" s="3">
        <f>1/CAD!B40</f>
        <v>0.90950432014552074</v>
      </c>
      <c r="E40" s="3">
        <f>1/CAD!C40</f>
        <v>0.90958704748044394</v>
      </c>
      <c r="F40" s="3">
        <f>EUR!B40/1</f>
        <v>1.4231</v>
      </c>
      <c r="G40" s="3">
        <f>EUR!C40/1</f>
        <v>1.4231</v>
      </c>
      <c r="H40" s="3">
        <f>GBP!B40/1</f>
        <v>1.6477999999999999</v>
      </c>
      <c r="I40" s="3">
        <f>GBP!C40/1</f>
        <v>1.6476999999999999</v>
      </c>
      <c r="J40" s="4">
        <f>1/INR!B40</f>
        <v>2.0667562261031312E-2</v>
      </c>
      <c r="K40" s="4">
        <f>1/INR!C40</f>
        <v>2.0616431295742706E-2</v>
      </c>
      <c r="L40" s="4">
        <f>1/JPY!B40</f>
        <v>1.0617965597791462E-2</v>
      </c>
      <c r="M40" s="4">
        <f>1/JPY!C40</f>
        <v>1.0620728475766152E-2</v>
      </c>
      <c r="N40" s="5">
        <f>1/KRW!B40</f>
        <v>8.0080080080080084E-4</v>
      </c>
      <c r="O40" s="5">
        <f>1/KRW!C40</f>
        <v>8.0077963905658559E-4</v>
      </c>
      <c r="P40" s="3">
        <f>1/NOK!B40</f>
        <v>0.15911658472162554</v>
      </c>
      <c r="Q40" s="3">
        <f>1/NOK!C40</f>
        <v>0.15898503950778231</v>
      </c>
      <c r="R40" s="3">
        <f>NZD!B40/1</f>
        <v>0.65980000000000005</v>
      </c>
      <c r="S40" s="3">
        <f>NZD!C40/1</f>
        <v>0.65849999999999997</v>
      </c>
      <c r="T40" s="4">
        <f>1/PHP!B40</f>
        <v>2.0768431983385256E-2</v>
      </c>
      <c r="U40" s="4">
        <f>1/PHP!C40</f>
        <v>2.0701790704895973E-2</v>
      </c>
      <c r="V40" s="4">
        <f>1/TWD!B40</f>
        <v>3.0469226081657527E-2</v>
      </c>
      <c r="W40" s="4">
        <f>1/TWD!C40</f>
        <v>3.04693189193142E-2</v>
      </c>
      <c r="X40" s="4">
        <f>1/TWD!B40</f>
        <v>3.0469226081657527E-2</v>
      </c>
      <c r="Y40" s="4">
        <f>1/TWD!C40</f>
        <v>3.04693189193142E-2</v>
      </c>
      <c r="Z40" s="4">
        <f>1/ZAR!B40</f>
        <v>0.12888258796236629</v>
      </c>
      <c r="AA40" s="4">
        <f>1/ZAR!C40</f>
        <v>0.12805572985363231</v>
      </c>
    </row>
    <row r="41" spans="1:27" x14ac:dyDescent="0.25">
      <c r="A41" t="str">
        <f>"24/07/2009"</f>
        <v>24/07/2009</v>
      </c>
      <c r="B41" s="3">
        <f>AUD!B41</f>
        <v>0.81459999999999999</v>
      </c>
      <c r="C41" s="3">
        <f>AUD!C41</f>
        <v>0.81269999999999998</v>
      </c>
      <c r="D41" s="3">
        <f>1/CAD!B41</f>
        <v>0.91600256480718156</v>
      </c>
      <c r="E41" s="3">
        <f>1/CAD!C41</f>
        <v>0.9160864785635765</v>
      </c>
      <c r="F41" s="3">
        <f>EUR!B41/1</f>
        <v>1.4159999999999999</v>
      </c>
      <c r="G41" s="3">
        <f>EUR!C41/1</f>
        <v>1.4159999999999999</v>
      </c>
      <c r="H41" s="3">
        <f>GBP!B41/1</f>
        <v>1.6488</v>
      </c>
      <c r="I41" s="3">
        <f>GBP!C41/1</f>
        <v>1.6487000000000001</v>
      </c>
      <c r="J41" s="4">
        <f>1/INR!B41</f>
        <v>2.0661157024793389E-2</v>
      </c>
      <c r="K41" s="4">
        <f>1/INR!C41</f>
        <v>2.061218179944347E-2</v>
      </c>
      <c r="L41" s="4">
        <f>1/JPY!B41</f>
        <v>1.0569986523267183E-2</v>
      </c>
      <c r="M41" s="4">
        <f>1/JPY!C41</f>
        <v>1.0572724485372637E-2</v>
      </c>
      <c r="N41" s="5">
        <f>1/KRW!B41</f>
        <v>8.0205325633622075E-4</v>
      </c>
      <c r="O41" s="5">
        <f>1/KRW!C41</f>
        <v>8.0203241430043038E-4</v>
      </c>
      <c r="P41" s="3">
        <f>1/NOK!B41</f>
        <v>0.15889157239100038</v>
      </c>
      <c r="Q41" s="3">
        <f>1/NOK!C41</f>
        <v>0.15875787835971361</v>
      </c>
      <c r="R41" s="3">
        <f>NZD!B41/1</f>
        <v>0.6552</v>
      </c>
      <c r="S41" s="3">
        <f>NZD!C41/1</f>
        <v>0.65390000000000004</v>
      </c>
      <c r="T41" s="4">
        <f>1/PHP!B41</f>
        <v>2.0779220779220779E-2</v>
      </c>
      <c r="U41" s="4">
        <f>1/PHP!C41</f>
        <v>2.071165237562653E-2</v>
      </c>
      <c r="V41" s="4">
        <f>1/TWD!B41</f>
        <v>3.0491523356506893E-2</v>
      </c>
      <c r="W41" s="4">
        <f>1/TWD!C41</f>
        <v>3.0491616330090038E-2</v>
      </c>
      <c r="X41" s="4">
        <f>1/TWD!B41</f>
        <v>3.0491523356506893E-2</v>
      </c>
      <c r="Y41" s="4">
        <f>1/TWD!C41</f>
        <v>3.0491616330090038E-2</v>
      </c>
      <c r="Z41" s="4">
        <f>1/ZAR!B41</f>
        <v>0.1290822253775655</v>
      </c>
      <c r="AA41" s="4">
        <f>1/ZAR!C41</f>
        <v>0.12826268197268004</v>
      </c>
    </row>
    <row r="42" spans="1:27" x14ac:dyDescent="0.25">
      <c r="A42" t="str">
        <f>"27/07/2009"</f>
        <v>27/07/2009</v>
      </c>
      <c r="B42" s="3">
        <f>AUD!B42</f>
        <v>0.82010000000000005</v>
      </c>
      <c r="C42" s="3">
        <f>AUD!C42</f>
        <v>0.81820000000000004</v>
      </c>
      <c r="D42" s="3">
        <f>1/CAD!B42</f>
        <v>0.92216894135005534</v>
      </c>
      <c r="E42" s="3">
        <f>1/CAD!C42</f>
        <v>0.92225398874850129</v>
      </c>
      <c r="F42" s="3">
        <f>EUR!B42/1</f>
        <v>1.4225000000000001</v>
      </c>
      <c r="G42" s="3">
        <f>EUR!C42/1</f>
        <v>1.4225000000000001</v>
      </c>
      <c r="H42" s="3">
        <f>GBP!B42/1</f>
        <v>1.6445000000000001</v>
      </c>
      <c r="I42" s="3">
        <f>GBP!C42/1</f>
        <v>1.6444000000000001</v>
      </c>
      <c r="J42" s="4">
        <f>1/INR!B42</f>
        <v>2.0751193193608634E-2</v>
      </c>
      <c r="K42" s="4">
        <f>1/INR!C42</f>
        <v>2.0701790704895973E-2</v>
      </c>
      <c r="L42" s="4">
        <f>1/JPY!B42</f>
        <v>1.054474133749499E-2</v>
      </c>
      <c r="M42" s="4">
        <f>1/JPY!C42</f>
        <v>1.0547688737705349E-2</v>
      </c>
      <c r="N42" s="5">
        <f>1/KRW!B42</f>
        <v>8.0224628961091051E-4</v>
      </c>
      <c r="O42" s="5">
        <f>1/KRW!C42</f>
        <v>8.0222691774550813E-4</v>
      </c>
      <c r="P42" s="3">
        <f>1/NOK!B42</f>
        <v>0.16025897850927098</v>
      </c>
      <c r="Q42" s="3">
        <f>1/NOK!C42</f>
        <v>0.16012553842212296</v>
      </c>
      <c r="R42" s="3">
        <f>NZD!B42/1</f>
        <v>0.65690000000000004</v>
      </c>
      <c r="S42" s="3">
        <f>NZD!C42/1</f>
        <v>0.65559999999999996</v>
      </c>
      <c r="T42" s="4">
        <f>1/PHP!B42</f>
        <v>2.0799750402995164E-2</v>
      </c>
      <c r="U42" s="4">
        <f>1/PHP!C42</f>
        <v>2.0679315514656463E-2</v>
      </c>
      <c r="V42" s="4">
        <f>1/TWD!B42</f>
        <v>3.0444180594879286E-2</v>
      </c>
      <c r="W42" s="4">
        <f>1/TWD!C42</f>
        <v>3.0444273279974673E-2</v>
      </c>
      <c r="X42" s="4">
        <f>1/TWD!B42</f>
        <v>3.0444180594879286E-2</v>
      </c>
      <c r="Y42" s="4">
        <f>1/TWD!C42</f>
        <v>3.0444273279974673E-2</v>
      </c>
      <c r="Z42" s="4">
        <f>1/ZAR!B42</f>
        <v>0.12882945556672076</v>
      </c>
      <c r="AA42" s="4">
        <f>1/ZAR!C42</f>
        <v>0.12802130274477672</v>
      </c>
    </row>
    <row r="43" spans="1:27" x14ac:dyDescent="0.25">
      <c r="A43" t="str">
        <f>"28/07/2009"</f>
        <v>28/07/2009</v>
      </c>
      <c r="B43" s="3">
        <f>AUD!B43</f>
        <v>0.8246</v>
      </c>
      <c r="C43" s="3">
        <f>AUD!C43</f>
        <v>0.82269999999999999</v>
      </c>
      <c r="D43" s="3">
        <f>1/CAD!B43</f>
        <v>0.92489826119126906</v>
      </c>
      <c r="E43" s="3">
        <f>1/CAD!C43</f>
        <v>0.92498381278327635</v>
      </c>
      <c r="F43" s="3">
        <f>EUR!B43/1</f>
        <v>1.4242999999999999</v>
      </c>
      <c r="G43" s="3">
        <f>EUR!C43/1</f>
        <v>1.4242999999999999</v>
      </c>
      <c r="H43" s="3">
        <f>GBP!B43/1</f>
        <v>1.6485000000000001</v>
      </c>
      <c r="I43" s="3">
        <f>GBP!C43/1</f>
        <v>1.6484000000000001</v>
      </c>
      <c r="J43" s="4">
        <f>1/INR!B43</f>
        <v>2.0718947477468143E-2</v>
      </c>
      <c r="K43" s="4">
        <f>1/INR!C43</f>
        <v>2.0669698222405952E-2</v>
      </c>
      <c r="L43" s="4">
        <f>1/JPY!B43</f>
        <v>1.0515247108307046E-2</v>
      </c>
      <c r="M43" s="4">
        <f>1/JPY!C43</f>
        <v>1.0517901468299045E-2</v>
      </c>
      <c r="N43" s="5">
        <f>1/KRW!B43</f>
        <v>8.045052292839903E-4</v>
      </c>
      <c r="O43" s="5">
        <f>1/KRW!C43</f>
        <v>8.0448413018290911E-4</v>
      </c>
      <c r="P43" s="3">
        <f>1/NOK!B43</f>
        <v>0.16160049126549345</v>
      </c>
      <c r="Q43" s="3">
        <f>1/NOK!C43</f>
        <v>0.16145959473641722</v>
      </c>
      <c r="R43" s="3">
        <f>NZD!B43/1</f>
        <v>0.65639999999999998</v>
      </c>
      <c r="S43" s="3">
        <f>NZD!C43/1</f>
        <v>0.65510000000000002</v>
      </c>
      <c r="T43" s="4">
        <f>1/PHP!B43</f>
        <v>2.0785699438786116E-2</v>
      </c>
      <c r="U43" s="4">
        <f>1/PHP!C43</f>
        <v>2.0716801325875285E-2</v>
      </c>
      <c r="V43" s="4">
        <f>1/TWD!B43</f>
        <v>3.0517578125E-2</v>
      </c>
      <c r="W43" s="4">
        <f>1/TWD!C43</f>
        <v>3.0517671257541682E-2</v>
      </c>
      <c r="X43" s="4">
        <f>1/TWD!B43</f>
        <v>3.0517578125E-2</v>
      </c>
      <c r="Y43" s="4">
        <f>1/TWD!C43</f>
        <v>3.0517671257541682E-2</v>
      </c>
      <c r="Z43" s="4">
        <f>1/ZAR!B43</f>
        <v>0.12802294171115464</v>
      </c>
      <c r="AA43" s="4">
        <f>1/ZAR!C43</f>
        <v>0.12718439193142217</v>
      </c>
    </row>
    <row r="44" spans="1:27" x14ac:dyDescent="0.25">
      <c r="A44" t="str">
        <f>"29/07/2009"</f>
        <v>29/07/2009</v>
      </c>
      <c r="B44" s="3">
        <f>AUD!B44</f>
        <v>0.8256</v>
      </c>
      <c r="C44" s="3">
        <f>AUD!C44</f>
        <v>0.82369999999999999</v>
      </c>
      <c r="D44" s="3">
        <f>1/CAD!B44</f>
        <v>0.9241290084095739</v>
      </c>
      <c r="E44" s="3">
        <f>1/CAD!C44</f>
        <v>0.92421441774491675</v>
      </c>
      <c r="F44" s="3">
        <f>EUR!B44/1</f>
        <v>1.4179999999999999</v>
      </c>
      <c r="G44" s="3">
        <f>EUR!C44/1</f>
        <v>1.4179999999999999</v>
      </c>
      <c r="H44" s="3">
        <f>GBP!B44/1</f>
        <v>1.6443000000000001</v>
      </c>
      <c r="I44" s="3">
        <f>GBP!C44/1</f>
        <v>1.6442000000000001</v>
      </c>
      <c r="J44" s="4">
        <f>1/INR!B44</f>
        <v>2.0681453906209606E-2</v>
      </c>
      <c r="K44" s="4">
        <f>1/INR!C44</f>
        <v>2.0636640354950213E-2</v>
      </c>
      <c r="L44" s="4">
        <f>1/JPY!B44</f>
        <v>1.0604228966511845E-2</v>
      </c>
      <c r="M44" s="4">
        <f>1/JPY!C44</f>
        <v>1.0606725937051203E-2</v>
      </c>
      <c r="N44" s="5">
        <f>1/KRW!B44</f>
        <v>8.0690712498991365E-4</v>
      </c>
      <c r="O44" s="5">
        <f>1/KRW!C44</f>
        <v>8.0688244908833984E-4</v>
      </c>
      <c r="P44" s="3">
        <f>1/NOK!B44</f>
        <v>0.16139705288981424</v>
      </c>
      <c r="Q44" s="3">
        <f>1/NOK!C44</f>
        <v>0.16125911113977939</v>
      </c>
      <c r="R44" s="3">
        <f>NZD!B44/1</f>
        <v>0.65769999999999995</v>
      </c>
      <c r="S44" s="3">
        <f>NZD!C44/1</f>
        <v>0.65639999999999998</v>
      </c>
      <c r="T44" s="4">
        <f>1/PHP!B44</f>
        <v>2.0794343938448742E-2</v>
      </c>
      <c r="U44" s="4">
        <f>1/PHP!C44</f>
        <v>2.0670552730580015E-2</v>
      </c>
      <c r="V44" s="4">
        <f>1/TWD!B44</f>
        <v>3.0450669914738122E-2</v>
      </c>
      <c r="W44" s="4">
        <f>1/TWD!C44</f>
        <v>3.0450762639350301E-2</v>
      </c>
      <c r="X44" s="4">
        <f>1/TWD!B44</f>
        <v>3.0450669914738122E-2</v>
      </c>
      <c r="Y44" s="4">
        <f>1/TWD!C44</f>
        <v>3.0450762639350301E-2</v>
      </c>
      <c r="Z44" s="4">
        <f>1/ZAR!B44</f>
        <v>0.12672986262482891</v>
      </c>
      <c r="AA44" s="4">
        <f>1/ZAR!C44</f>
        <v>0.12593031016635395</v>
      </c>
    </row>
    <row r="45" spans="1:27" x14ac:dyDescent="0.25">
      <c r="A45" t="str">
        <f>"30/07/2009"</f>
        <v>30/07/2009</v>
      </c>
      <c r="B45" s="3">
        <f>AUD!B45</f>
        <v>0.81720000000000004</v>
      </c>
      <c r="C45" s="3">
        <f>AUD!C45</f>
        <v>0.81530000000000002</v>
      </c>
      <c r="D45" s="3">
        <f>1/CAD!B45</f>
        <v>0.91675834250091681</v>
      </c>
      <c r="E45" s="3">
        <f>1/CAD!C45</f>
        <v>0.9168423947923352</v>
      </c>
      <c r="F45" s="3">
        <f>EUR!B45/1</f>
        <v>1.4049</v>
      </c>
      <c r="G45" s="3">
        <f>EUR!C45/1</f>
        <v>1.4049</v>
      </c>
      <c r="H45" s="3">
        <f>GBP!B45/1</f>
        <v>1.637</v>
      </c>
      <c r="I45" s="3">
        <f>GBP!C45/1</f>
        <v>1.6369</v>
      </c>
      <c r="J45" s="4">
        <f>1/INR!B45</f>
        <v>2.0599443815016993E-2</v>
      </c>
      <c r="K45" s="4">
        <f>1/INR!C45</f>
        <v>2.0549704597996404E-2</v>
      </c>
      <c r="L45" s="4">
        <f>1/JPY!B45</f>
        <v>1.0533689372034109E-2</v>
      </c>
      <c r="M45" s="4">
        <f>1/JPY!C45</f>
        <v>1.053643076300617E-2</v>
      </c>
      <c r="N45" s="5">
        <f>1/KRW!B45</f>
        <v>8.0580177276390005E-4</v>
      </c>
      <c r="O45" s="5">
        <f>1/KRW!C45</f>
        <v>8.0578203402591902E-4</v>
      </c>
      <c r="P45" s="3">
        <f>1/NOK!B45</f>
        <v>0.15998976065531806</v>
      </c>
      <c r="Q45" s="3">
        <f>1/NOK!C45</f>
        <v>0.15985932379506035</v>
      </c>
      <c r="R45" s="3">
        <f>NZD!B45/1</f>
        <v>0.64939999999999998</v>
      </c>
      <c r="S45" s="3">
        <f>NZD!C45/1</f>
        <v>0.64810000000000001</v>
      </c>
      <c r="T45" s="4">
        <f>1/PHP!B45</f>
        <v>2.0764119601328904E-2</v>
      </c>
      <c r="U45" s="4">
        <f>1/PHP!C45</f>
        <v>2.0703933747412008E-2</v>
      </c>
      <c r="V45" s="4">
        <f>1/TWD!B45</f>
        <v>3.0424729219909942E-2</v>
      </c>
      <c r="W45" s="4">
        <f>1/TWD!C45</f>
        <v>3.0424821786606385E-2</v>
      </c>
      <c r="X45" s="4">
        <f>1/TWD!B45</f>
        <v>3.0424729219909942E-2</v>
      </c>
      <c r="Y45" s="4">
        <f>1/TWD!C45</f>
        <v>3.0424821786606385E-2</v>
      </c>
      <c r="Z45" s="4">
        <f>1/ZAR!B45</f>
        <v>0.126184557533849</v>
      </c>
      <c r="AA45" s="4">
        <f>1/ZAR!C45</f>
        <v>0.12539027723790297</v>
      </c>
    </row>
    <row r="46" spans="1:27" x14ac:dyDescent="0.25">
      <c r="A46" t="str">
        <f>"31/07/2009"</f>
        <v>31/07/2009</v>
      </c>
      <c r="B46" s="3">
        <f>AUD!B46</f>
        <v>0.82779999999999998</v>
      </c>
      <c r="C46" s="3">
        <f>AUD!C46</f>
        <v>0.82579999999999998</v>
      </c>
      <c r="D46" s="3">
        <f>1/CAD!B46</f>
        <v>0.92506938020351526</v>
      </c>
      <c r="E46" s="3">
        <f>1/CAD!C46</f>
        <v>0.92515496345637893</v>
      </c>
      <c r="F46" s="3">
        <f>EUR!B46/1</f>
        <v>1.4125000000000001</v>
      </c>
      <c r="G46" s="3">
        <f>EUR!C46/1</f>
        <v>1.4125000000000001</v>
      </c>
      <c r="H46" s="3">
        <f>GBP!B46/1</f>
        <v>1.6517999999999999</v>
      </c>
      <c r="I46" s="3">
        <f>GBP!C46/1</f>
        <v>1.6516999999999999</v>
      </c>
      <c r="J46" s="4">
        <f>1/INR!B46</f>
        <v>2.0727536532283139E-2</v>
      </c>
      <c r="K46" s="4">
        <f>1/INR!C46</f>
        <v>2.0676108756332058E-2</v>
      </c>
      <c r="L46" s="4">
        <f>1/JPY!B46</f>
        <v>1.0493179433368312E-2</v>
      </c>
      <c r="M46" s="4">
        <f>1/JPY!C46</f>
        <v>1.0495580311130983E-2</v>
      </c>
      <c r="N46" s="5">
        <f>1/KRW!B46</f>
        <v>8.1188601120402691E-4</v>
      </c>
      <c r="O46" s="5">
        <f>1/KRW!C46</f>
        <v>8.118628753861118E-4</v>
      </c>
      <c r="P46" s="3">
        <f>1/NOK!B46</f>
        <v>0.16126951361114694</v>
      </c>
      <c r="Q46" s="3">
        <f>1/NOK!C46</f>
        <v>0.1611369825488648</v>
      </c>
      <c r="R46" s="3">
        <f>NZD!B46/1</f>
        <v>0.65529999999999999</v>
      </c>
      <c r="S46" s="3">
        <f>NZD!C46/1</f>
        <v>0.65400000000000003</v>
      </c>
      <c r="T46" s="4">
        <f>1/PHP!B46</f>
        <v>2.0805159679600543E-2</v>
      </c>
      <c r="U46" s="4">
        <f>1/PHP!C46</f>
        <v>2.0739143058608817E-2</v>
      </c>
      <c r="V46" s="4">
        <f>1/TWD!B46</f>
        <v>3.052037234854265E-2</v>
      </c>
      <c r="W46" s="4">
        <f>1/TWD!C46</f>
        <v>3.052046549813978E-2</v>
      </c>
      <c r="X46" s="4">
        <f>1/TWD!B46</f>
        <v>3.052037234854265E-2</v>
      </c>
      <c r="Y46" s="4">
        <f>1/TWD!C46</f>
        <v>3.052046549813978E-2</v>
      </c>
      <c r="Z46" s="4">
        <f>1/ZAR!B46</f>
        <v>0.12779716034709709</v>
      </c>
      <c r="AA46" s="4">
        <f>1/ZAR!C46</f>
        <v>0.12699864111454007</v>
      </c>
    </row>
    <row r="47" spans="1:27" x14ac:dyDescent="0.25">
      <c r="A47" t="str">
        <f>"03/08/2009"</f>
        <v>03/08/2009</v>
      </c>
      <c r="B47" s="3">
        <f>AUD!B47</f>
        <v>0.83730000000000004</v>
      </c>
      <c r="C47" s="3">
        <f>AUD!C47</f>
        <v>0.83520000000000005</v>
      </c>
      <c r="D47" s="3">
        <f>1/CAD!B47</f>
        <v>0.92755774046934414</v>
      </c>
      <c r="E47" s="3">
        <f>1/CAD!C47</f>
        <v>0.92764378478664189</v>
      </c>
      <c r="F47" s="3">
        <f>EUR!B47/1</f>
        <v>1.4240999999999999</v>
      </c>
      <c r="G47" s="3">
        <f>EUR!C47/1</f>
        <v>1.4241999999999999</v>
      </c>
      <c r="H47" s="3">
        <f>GBP!B47/1</f>
        <v>1.6728000000000001</v>
      </c>
      <c r="I47" s="3">
        <f>GBP!C47/1</f>
        <v>1.6726000000000001</v>
      </c>
      <c r="J47" s="4">
        <f>1/INR!B47</f>
        <v>2.0903010033444816E-2</v>
      </c>
      <c r="K47" s="4">
        <f>1/INR!C47</f>
        <v>2.0844189682126108E-2</v>
      </c>
      <c r="L47" s="4">
        <f>1/JPY!B47</f>
        <v>1.055386693684566E-2</v>
      </c>
      <c r="M47" s="4">
        <f>1/JPY!C47</f>
        <v>1.0556685707408787E-2</v>
      </c>
      <c r="N47" s="5">
        <f>1/KRW!B47</f>
        <v>8.1719375663969927E-4</v>
      </c>
      <c r="O47" s="5">
        <f>1/KRW!C47</f>
        <v>8.1717278808078316E-4</v>
      </c>
      <c r="P47" s="3">
        <f>1/NOK!B47</f>
        <v>0.16313479828382191</v>
      </c>
      <c r="Q47" s="3">
        <f>1/NOK!C47</f>
        <v>0.16299918500407498</v>
      </c>
      <c r="R47" s="3">
        <f>NZD!B47/1</f>
        <v>0.6623</v>
      </c>
      <c r="S47" s="3">
        <f>NZD!C47/1</f>
        <v>0.66069999999999995</v>
      </c>
      <c r="T47" s="4">
        <f>1/PHP!B47</f>
        <v>2.0805159679600543E-2</v>
      </c>
      <c r="U47" s="4">
        <f>1/PHP!C47</f>
        <v>2.073828287017835E-2</v>
      </c>
      <c r="V47" s="4">
        <f>1/TWD!B47</f>
        <v>3.0518509475997189E-2</v>
      </c>
      <c r="W47" s="4">
        <f>1/TWD!C47</f>
        <v>3.0518602614223501E-2</v>
      </c>
      <c r="X47" s="4">
        <f>1/TWD!B47</f>
        <v>3.0518509475997189E-2</v>
      </c>
      <c r="Y47" s="4">
        <f>1/TWD!C47</f>
        <v>3.0518602614223501E-2</v>
      </c>
      <c r="Z47" s="4">
        <f>1/ZAR!B47</f>
        <v>0.12824294343203765</v>
      </c>
      <c r="AA47" s="4">
        <f>1/ZAR!C47</f>
        <v>0.12744860634948957</v>
      </c>
    </row>
    <row r="48" spans="1:27" x14ac:dyDescent="0.25">
      <c r="A48" t="str">
        <f>"04/08/2009"</f>
        <v>04/08/2009</v>
      </c>
      <c r="B48" s="3">
        <f>AUD!B48</f>
        <v>0.84499999999999997</v>
      </c>
      <c r="C48" s="3">
        <f>AUD!C48</f>
        <v>0.84289999999999998</v>
      </c>
      <c r="D48" s="3">
        <f>1/CAD!B48</f>
        <v>0.93782237644190192</v>
      </c>
      <c r="E48" s="3">
        <f>1/CAD!C48</f>
        <v>0.93791033577190019</v>
      </c>
      <c r="F48" s="3">
        <f>EUR!B48/1</f>
        <v>1.4402999999999999</v>
      </c>
      <c r="G48" s="3">
        <f>EUR!C48/1</f>
        <v>1.4402999999999999</v>
      </c>
      <c r="H48" s="3">
        <f>GBP!B48/1</f>
        <v>1.6963999999999999</v>
      </c>
      <c r="I48" s="3">
        <f>GBP!C48/1</f>
        <v>1.6961999999999999</v>
      </c>
      <c r="J48" s="4">
        <f>1/INR!B48</f>
        <v>2.1062608604075616E-2</v>
      </c>
      <c r="K48" s="4">
        <f>1/INR!C48</f>
        <v>2.1003990758244065E-2</v>
      </c>
      <c r="L48" s="4">
        <f>1/JPY!B48</f>
        <v>1.0490977759127152E-2</v>
      </c>
      <c r="M48" s="4">
        <f>1/JPY!C48</f>
        <v>1.0493741008175675E-2</v>
      </c>
      <c r="N48" s="5">
        <f>1/KRW!B48</f>
        <v>8.2061381913671428E-4</v>
      </c>
      <c r="O48" s="5">
        <f>1/KRW!C48</f>
        <v>8.2058883649611524E-4</v>
      </c>
      <c r="P48" s="3">
        <f>1/NOK!B48</f>
        <v>0.16592553262095971</v>
      </c>
      <c r="Q48" s="3">
        <f>1/NOK!C48</f>
        <v>0.16577699678392627</v>
      </c>
      <c r="R48" s="3">
        <f>NZD!B48/1</f>
        <v>0.66839999999999999</v>
      </c>
      <c r="S48" s="3">
        <f>NZD!C48/1</f>
        <v>0.66690000000000005</v>
      </c>
      <c r="T48" s="4">
        <f>1/PHP!B48</f>
        <v>2.0874647740319382E-2</v>
      </c>
      <c r="U48" s="4">
        <f>1/PHP!C48</f>
        <v>2.0803428405001143E-2</v>
      </c>
      <c r="V48" s="4">
        <f>1/TWD!B48</f>
        <v>3.0594138163127945E-2</v>
      </c>
      <c r="W48" s="4">
        <f>1/TWD!C48</f>
        <v>3.0594231763543304E-2</v>
      </c>
      <c r="X48" s="4">
        <f>1/TWD!B48</f>
        <v>3.0594138163127945E-2</v>
      </c>
      <c r="Y48" s="4">
        <f>1/TWD!C48</f>
        <v>3.0594231763543304E-2</v>
      </c>
      <c r="Z48" s="4">
        <f>1/ZAR!B48</f>
        <v>0.12877802531775978</v>
      </c>
      <c r="AA48" s="4">
        <f>1/ZAR!C48</f>
        <v>0.12792467794962326</v>
      </c>
    </row>
    <row r="49" spans="1:27" x14ac:dyDescent="0.25">
      <c r="A49" t="str">
        <f>"05/08/2009"</f>
        <v>05/08/2009</v>
      </c>
      <c r="B49" s="3">
        <f>AUD!B49</f>
        <v>0.84340000000000004</v>
      </c>
      <c r="C49" s="3">
        <f>AUD!C49</f>
        <v>0.84140000000000004</v>
      </c>
      <c r="D49" s="3">
        <f>1/CAD!B49</f>
        <v>0.93214019388516034</v>
      </c>
      <c r="E49" s="3">
        <f>1/CAD!C49</f>
        <v>0.93231400335633041</v>
      </c>
      <c r="F49" s="3">
        <f>EUR!B49/1</f>
        <v>1.4414</v>
      </c>
      <c r="G49" s="3">
        <f>EUR!C49/1</f>
        <v>1.4414</v>
      </c>
      <c r="H49" s="3">
        <f>GBP!B49/1</f>
        <v>1.6942999999999999</v>
      </c>
      <c r="I49" s="3">
        <f>GBP!C49/1</f>
        <v>1.6941999999999999</v>
      </c>
      <c r="J49" s="4">
        <f>1/INR!B49</f>
        <v>2.0986358866736624E-2</v>
      </c>
      <c r="K49" s="4">
        <f>1/INR!C49</f>
        <v>2.0929259104227708E-2</v>
      </c>
      <c r="L49" s="4">
        <f>1/JPY!B49</f>
        <v>1.0515247108307046E-2</v>
      </c>
      <c r="M49" s="4">
        <f>1/JPY!C49</f>
        <v>1.0518078473279874E-2</v>
      </c>
      <c r="N49" s="5">
        <f>1/KRW!B49</f>
        <v>8.1960495041390061E-4</v>
      </c>
      <c r="O49" s="5">
        <f>1/KRW!C49</f>
        <v>8.1958143975871523E-4</v>
      </c>
      <c r="P49" s="3">
        <f>1/NOK!B49</f>
        <v>0.16542597187758479</v>
      </c>
      <c r="Q49" s="3">
        <f>1/NOK!C49</f>
        <v>0.16528379227132986</v>
      </c>
      <c r="R49" s="3">
        <f>NZD!B49/1</f>
        <v>0.67259999999999998</v>
      </c>
      <c r="S49" s="3">
        <f>NZD!C49/1</f>
        <v>0.67110000000000003</v>
      </c>
      <c r="T49" s="4">
        <f>1/PHP!B49</f>
        <v>2.0894274968658588E-2</v>
      </c>
      <c r="U49" s="4">
        <f>1/PHP!C49</f>
        <v>2.0807324178110695E-2</v>
      </c>
      <c r="V49" s="4">
        <f>1/TWD!B49</f>
        <v>3.0599755201958383E-2</v>
      </c>
      <c r="W49" s="4">
        <f>1/TWD!C49</f>
        <v>3.0599848836746744E-2</v>
      </c>
      <c r="X49" s="4">
        <f>1/TWD!B49</f>
        <v>3.0599755201958383E-2</v>
      </c>
      <c r="Y49" s="4">
        <f>1/TWD!C49</f>
        <v>3.0599848836746744E-2</v>
      </c>
      <c r="Z49" s="4">
        <f>1/ZAR!B49</f>
        <v>0.12728800183294722</v>
      </c>
      <c r="AA49" s="4">
        <f>1/ZAR!C49</f>
        <v>0.12647661447398376</v>
      </c>
    </row>
    <row r="50" spans="1:27" x14ac:dyDescent="0.25">
      <c r="A50" t="str">
        <f>"06/08/2009"</f>
        <v>06/08/2009</v>
      </c>
      <c r="B50" s="3">
        <f>AUD!B50</f>
        <v>0.84140000000000004</v>
      </c>
      <c r="C50" s="3">
        <f>AUD!C50</f>
        <v>0.83940000000000003</v>
      </c>
      <c r="D50" s="3">
        <f>1/CAD!B50</f>
        <v>0.93283582089552231</v>
      </c>
      <c r="E50" s="3">
        <f>1/CAD!C50</f>
        <v>0.93292284728052988</v>
      </c>
      <c r="F50" s="3">
        <f>EUR!B50/1</f>
        <v>1.4390000000000001</v>
      </c>
      <c r="G50" s="3">
        <f>EUR!C50/1</f>
        <v>1.4390000000000001</v>
      </c>
      <c r="H50" s="3">
        <f>GBP!B50/1</f>
        <v>1.6972</v>
      </c>
      <c r="I50" s="3">
        <f>GBP!C50/1</f>
        <v>1.6971000000000001</v>
      </c>
      <c r="J50" s="4">
        <f>1/INR!B50</f>
        <v>2.0979754536871918E-2</v>
      </c>
      <c r="K50" s="4">
        <f>1/INR!C50</f>
        <v>2.0919407980754142E-2</v>
      </c>
      <c r="L50" s="4">
        <f>1/JPY!B50</f>
        <v>1.0518565267697486E-2</v>
      </c>
      <c r="M50" s="4">
        <f>1/JPY!C50</f>
        <v>1.0521298791207983E-2</v>
      </c>
      <c r="N50" s="5">
        <f>1/KRW!B50</f>
        <v>8.1712698153293029E-4</v>
      </c>
      <c r="O50" s="5">
        <f>1/KRW!C50</f>
        <v>8.1710621669934679E-4</v>
      </c>
      <c r="P50" s="3">
        <f>1/NOK!B50</f>
        <v>0.16569733724379049</v>
      </c>
      <c r="Q50" s="3">
        <f>1/NOK!C50</f>
        <v>0.16556291390728478</v>
      </c>
      <c r="R50" s="3">
        <f>NZD!B50/1</f>
        <v>0.66959999999999997</v>
      </c>
      <c r="S50" s="3">
        <f>NZD!C50/1</f>
        <v>0.66820000000000002</v>
      </c>
      <c r="T50" s="4">
        <f>1/PHP!B50</f>
        <v>2.0933640360058611E-2</v>
      </c>
      <c r="U50" s="4">
        <f>1/PHP!C50</f>
        <v>2.0864194955037659E-2</v>
      </c>
      <c r="V50" s="4">
        <f>1/TWD!B50</f>
        <v>3.0543677458766034E-2</v>
      </c>
      <c r="W50" s="4">
        <f>1/TWD!C50</f>
        <v>3.0543677458766034E-2</v>
      </c>
      <c r="X50" s="4">
        <f>1/TWD!B50</f>
        <v>3.0543677458766034E-2</v>
      </c>
      <c r="Y50" s="4">
        <f>1/TWD!C50</f>
        <v>3.0543677458766034E-2</v>
      </c>
      <c r="Z50" s="4">
        <f>1/ZAR!B50</f>
        <v>0.12594458438287154</v>
      </c>
      <c r="AA50" s="4">
        <f>1/ZAR!C50</f>
        <v>0.12515487916296417</v>
      </c>
    </row>
    <row r="51" spans="1:27" x14ac:dyDescent="0.25">
      <c r="A51" t="str">
        <f>"07/08/2009"</f>
        <v>07/08/2009</v>
      </c>
      <c r="B51" s="3">
        <f>AUD!B51</f>
        <v>0.8377</v>
      </c>
      <c r="C51" s="3">
        <f>AUD!C51</f>
        <v>0.8357</v>
      </c>
      <c r="D51" s="3">
        <f>1/CAD!B51</f>
        <v>0.92816038611472074</v>
      </c>
      <c r="E51" s="3">
        <f>1/CAD!C51</f>
        <v>0.92824654228163006</v>
      </c>
      <c r="F51" s="3">
        <f>EUR!B51/1</f>
        <v>1.4357</v>
      </c>
      <c r="G51" s="3">
        <f>EUR!C51/1</f>
        <v>1.4357</v>
      </c>
      <c r="H51" s="3">
        <f>GBP!B51/1</f>
        <v>1.6760999999999999</v>
      </c>
      <c r="I51" s="3">
        <f>GBP!C51/1</f>
        <v>1.6759999999999999</v>
      </c>
      <c r="J51" s="4">
        <f>1/INR!B51</f>
        <v>2.0907380305247754E-2</v>
      </c>
      <c r="K51" s="4">
        <f>1/INR!C51</f>
        <v>2.0850708924103418E-2</v>
      </c>
      <c r="L51" s="4">
        <f>1/JPY!B51</f>
        <v>1.0493069327709048E-2</v>
      </c>
      <c r="M51" s="4">
        <f>1/JPY!C51</f>
        <v>1.0495723517452813E-2</v>
      </c>
      <c r="N51" s="5">
        <f>1/KRW!B51</f>
        <v>8.1426593925576095E-4</v>
      </c>
      <c r="O51" s="5">
        <f>1/KRW!C51</f>
        <v>8.14246446669219E-4</v>
      </c>
      <c r="P51" s="3">
        <f>1/NOK!B51</f>
        <v>0.16469038208168643</v>
      </c>
      <c r="Q51" s="3">
        <f>1/NOK!C51</f>
        <v>0.16456300294567777</v>
      </c>
      <c r="R51" s="3">
        <f>NZD!B51/1</f>
        <v>0.67090000000000005</v>
      </c>
      <c r="S51" s="3">
        <f>NZD!C51/1</f>
        <v>0.66949999999999998</v>
      </c>
      <c r="T51" s="4">
        <f>1/PHP!B51</f>
        <v>2.0916126333403052E-2</v>
      </c>
      <c r="U51" s="4">
        <f>1/PHP!C51</f>
        <v>2.0848535390388823E-2</v>
      </c>
      <c r="V51" s="4">
        <f>1/TWD!B51</f>
        <v>3.0494312810660812E-2</v>
      </c>
      <c r="W51" s="4">
        <f>1/TWD!C51</f>
        <v>3.0494312810660812E-2</v>
      </c>
      <c r="X51" s="4">
        <f>1/TWD!B51</f>
        <v>3.0494312810660812E-2</v>
      </c>
      <c r="Y51" s="4">
        <f>1/TWD!C51</f>
        <v>3.0494312810660812E-2</v>
      </c>
      <c r="Z51" s="4">
        <f>1/ZAR!B51</f>
        <v>0.12405100977521957</v>
      </c>
      <c r="AA51" s="4">
        <f>1/ZAR!C51</f>
        <v>0.12325289028027707</v>
      </c>
    </row>
    <row r="52" spans="1:27" x14ac:dyDescent="0.25">
      <c r="A52" t="str">
        <f>"10/08/2009"</f>
        <v>10/08/2009</v>
      </c>
      <c r="B52" s="3">
        <f>AUD!B52</f>
        <v>0.83889999999999998</v>
      </c>
      <c r="C52" s="3">
        <f>AUD!C52</f>
        <v>0.83689999999999998</v>
      </c>
      <c r="D52" s="3">
        <f>1/CAD!B52</f>
        <v>0.92370219841123224</v>
      </c>
      <c r="E52" s="3">
        <f>1/CAD!C52</f>
        <v>0.92378752886836024</v>
      </c>
      <c r="F52" s="3">
        <f>EUR!B52/1</f>
        <v>1.4195</v>
      </c>
      <c r="G52" s="3">
        <f>EUR!C52/1</f>
        <v>1.4195</v>
      </c>
      <c r="H52" s="3">
        <f>GBP!B52/1</f>
        <v>1.6707000000000001</v>
      </c>
      <c r="I52" s="3">
        <f>GBP!C52/1</f>
        <v>1.6706000000000001</v>
      </c>
      <c r="J52" s="4">
        <f>1/INR!B52</f>
        <v>2.092487968194183E-2</v>
      </c>
      <c r="K52" s="4">
        <f>1/INR!C52</f>
        <v>2.0867024883927176E-2</v>
      </c>
      <c r="L52" s="4">
        <f>1/JPY!B52</f>
        <v>1.0281719103434093E-2</v>
      </c>
      <c r="M52" s="4">
        <f>1/JPY!C52</f>
        <v>1.0284320319554402E-2</v>
      </c>
      <c r="N52" s="5">
        <f>1/KRW!B52</f>
        <v>8.1712698153293029E-4</v>
      </c>
      <c r="O52" s="5">
        <f>1/KRW!C52</f>
        <v>8.1710034131098357E-4</v>
      </c>
      <c r="P52" s="3">
        <f>1/NOK!B52</f>
        <v>0.16340670294295473</v>
      </c>
      <c r="Q52" s="3">
        <f>1/NOK!C52</f>
        <v>0.16326797172198729</v>
      </c>
      <c r="R52" s="3">
        <f>NZD!B52/1</f>
        <v>0.67279999999999995</v>
      </c>
      <c r="S52" s="3">
        <f>NZD!C52/1</f>
        <v>0.6714</v>
      </c>
      <c r="T52" s="4">
        <f>1/PHP!B52</f>
        <v>2.0959966464053657E-2</v>
      </c>
      <c r="U52" s="4">
        <f>1/PHP!C52</f>
        <v>2.0892092343048157E-2</v>
      </c>
      <c r="V52" s="4">
        <f>1/TWD!B52</f>
        <v>3.0476654882360114E-2</v>
      </c>
      <c r="W52" s="4">
        <f>1/TWD!C52</f>
        <v>3.047674776529247E-2</v>
      </c>
      <c r="X52" s="4">
        <f>1/TWD!B52</f>
        <v>3.0476654882360114E-2</v>
      </c>
      <c r="Y52" s="4">
        <f>1/TWD!C52</f>
        <v>3.047674776529247E-2</v>
      </c>
      <c r="Z52" s="4">
        <f>1/ZAR!B52</f>
        <v>0.125</v>
      </c>
      <c r="AA52" s="4">
        <f>1/ZAR!C52</f>
        <v>0.12416961569503943</v>
      </c>
    </row>
    <row r="53" spans="1:27" x14ac:dyDescent="0.25">
      <c r="A53" t="str">
        <f>"11/08/2009"</f>
        <v>11/08/2009</v>
      </c>
      <c r="B53" s="3">
        <f>AUD!B53</f>
        <v>0.83450000000000002</v>
      </c>
      <c r="C53" s="3">
        <f>AUD!C53</f>
        <v>0.83240000000000003</v>
      </c>
      <c r="D53" s="3">
        <f>1/CAD!B53</f>
        <v>0.91776798825256989</v>
      </c>
      <c r="E53" s="3">
        <f>1/CAD!C53</f>
        <v>0.9178522257916476</v>
      </c>
      <c r="F53" s="3">
        <f>EUR!B53/1</f>
        <v>1.4145000000000001</v>
      </c>
      <c r="G53" s="3">
        <f>EUR!C53/1</f>
        <v>1.4145000000000001</v>
      </c>
      <c r="H53" s="3">
        <f>GBP!B53/1</f>
        <v>1.6488</v>
      </c>
      <c r="I53" s="3">
        <f>GBP!C53/1</f>
        <v>1.6487000000000001</v>
      </c>
      <c r="J53" s="4">
        <f>1/INR!B53</f>
        <v>2.0820320632937747E-2</v>
      </c>
      <c r="K53" s="4">
        <f>1/INR!C53</f>
        <v>2.0760886489853119E-2</v>
      </c>
      <c r="L53" s="4">
        <f>1/JPY!B53</f>
        <v>1.0339123242349049E-2</v>
      </c>
      <c r="M53" s="4">
        <f>1/JPY!C53</f>
        <v>1.0341849846682075E-2</v>
      </c>
      <c r="N53" s="5">
        <f>1/KRW!B53</f>
        <v>8.0466706900020118E-4</v>
      </c>
      <c r="O53" s="5">
        <f>1/KRW!C53</f>
        <v>8.0464686784769519E-4</v>
      </c>
      <c r="P53" s="3">
        <f>1/NOK!B53</f>
        <v>0.16088810232483308</v>
      </c>
      <c r="Q53" s="3">
        <f>1/NOK!C53</f>
        <v>0.16075361293745077</v>
      </c>
      <c r="R53" s="3">
        <f>NZD!B53/1</f>
        <v>0.6744</v>
      </c>
      <c r="S53" s="3">
        <f>NZD!C53/1</f>
        <v>0.67300000000000004</v>
      </c>
      <c r="T53" s="4">
        <f>1/PHP!B53</f>
        <v>2.0933640360058611E-2</v>
      </c>
      <c r="U53" s="4">
        <f>1/PHP!C53</f>
        <v>2.0859407592824366E-2</v>
      </c>
      <c r="V53" s="4">
        <f>1/TWD!B53</f>
        <v>3.0413625304136251E-2</v>
      </c>
      <c r="W53" s="4">
        <f>1/TWD!C53</f>
        <v>3.0413717803277993E-2</v>
      </c>
      <c r="X53" s="4">
        <f>1/TWD!B53</f>
        <v>3.0413625304136251E-2</v>
      </c>
      <c r="Y53" s="4">
        <f>1/TWD!C53</f>
        <v>3.0413717803277993E-2</v>
      </c>
      <c r="Z53" s="4">
        <f>1/ZAR!B53</f>
        <v>0.12312541554827747</v>
      </c>
      <c r="AA53" s="4">
        <f>1/ZAR!C53</f>
        <v>0.12231967022616907</v>
      </c>
    </row>
    <row r="54" spans="1:27" x14ac:dyDescent="0.25">
      <c r="A54" t="str">
        <f>"12/08/2009"</f>
        <v>12/08/2009</v>
      </c>
      <c r="B54" s="3">
        <f>AUD!B54</f>
        <v>0.8246</v>
      </c>
      <c r="C54" s="3">
        <f>AUD!C54</f>
        <v>0.8226</v>
      </c>
      <c r="D54" s="3">
        <f>1/CAD!B54</f>
        <v>0.9071940488070398</v>
      </c>
      <c r="E54" s="3">
        <f>1/CAD!C54</f>
        <v>0.9071940488070398</v>
      </c>
      <c r="F54" s="3">
        <f>EUR!B54/1</f>
        <v>1.4141999999999999</v>
      </c>
      <c r="G54" s="3">
        <f>EUR!C54/1</f>
        <v>1.4141999999999999</v>
      </c>
      <c r="H54" s="3">
        <f>GBP!B54/1</f>
        <v>1.6479999999999999</v>
      </c>
      <c r="I54" s="3">
        <f>GBP!C54/1</f>
        <v>1.6477999999999999</v>
      </c>
      <c r="J54" s="4">
        <f>1/INR!B54</f>
        <v>2.0770588846193788E-2</v>
      </c>
      <c r="K54" s="4">
        <f>1/INR!C54</f>
        <v>2.0713582932007663E-2</v>
      </c>
      <c r="L54" s="4">
        <f>1/JPY!B54</f>
        <v>1.0462439840970915E-2</v>
      </c>
      <c r="M54" s="4">
        <f>1/JPY!C54</f>
        <v>1.0464979990958257E-2</v>
      </c>
      <c r="N54" s="5">
        <f>1/KRW!B54</f>
        <v>7.9875394384759776E-4</v>
      </c>
      <c r="O54" s="5">
        <f>1/KRW!C54</f>
        <v>7.9873289014307711E-4</v>
      </c>
      <c r="P54" s="3">
        <f>1/NOK!B54</f>
        <v>0.16006146360202317</v>
      </c>
      <c r="Q54" s="3">
        <f>1/NOK!C54</f>
        <v>0.15992579443138383</v>
      </c>
      <c r="R54" s="3">
        <f>NZD!B54/1</f>
        <v>0.66490000000000005</v>
      </c>
      <c r="S54" s="3">
        <f>NZD!C54/1</f>
        <v>0.66359999999999997</v>
      </c>
      <c r="T54" s="4">
        <f>1/PHP!B54</f>
        <v>2.0876826722338204E-2</v>
      </c>
      <c r="U54" s="4">
        <f>1/PHP!C54</f>
        <v>2.0790020790020788E-2</v>
      </c>
      <c r="V54" s="4">
        <f>1/TWD!B54</f>
        <v>3.0401605204754812E-2</v>
      </c>
      <c r="W54" s="4">
        <f>1/TWD!C54</f>
        <v>3.0401697630795706E-2</v>
      </c>
      <c r="X54" s="4">
        <f>1/TWD!B54</f>
        <v>3.0401605204754812E-2</v>
      </c>
      <c r="Y54" s="4">
        <f>1/TWD!C54</f>
        <v>3.0401697630795706E-2</v>
      </c>
      <c r="Z54" s="4">
        <f>1/ZAR!B54</f>
        <v>0.12290598920885415</v>
      </c>
      <c r="AA54" s="4">
        <f>1/ZAR!C54</f>
        <v>0.12212994626282364</v>
      </c>
    </row>
    <row r="55" spans="1:27" x14ac:dyDescent="0.25">
      <c r="A55" t="str">
        <f>"13/08/2009"</f>
        <v>13/08/2009</v>
      </c>
      <c r="B55" s="3">
        <f>AUD!B55</f>
        <v>0.83479999999999999</v>
      </c>
      <c r="C55" s="3">
        <f>AUD!C55</f>
        <v>0.83279999999999998</v>
      </c>
      <c r="D55" s="3">
        <f>1/CAD!B55</f>
        <v>0.91717875813996141</v>
      </c>
      <c r="E55" s="3">
        <f>1/CAD!C55</f>
        <v>0.91717875813996141</v>
      </c>
      <c r="F55" s="3">
        <f>EUR!B55/1</f>
        <v>1.4218999999999999</v>
      </c>
      <c r="G55" s="3">
        <f>EUR!C55/1</f>
        <v>1.4218999999999999</v>
      </c>
      <c r="H55" s="3">
        <f>GBP!B55/1</f>
        <v>1.6491</v>
      </c>
      <c r="I55" s="3">
        <f>GBP!C55/1</f>
        <v>1.6489</v>
      </c>
      <c r="J55" s="4">
        <f>1/INR!B55</f>
        <v>2.0759809009757109E-2</v>
      </c>
      <c r="K55" s="4">
        <f>1/INR!C55</f>
        <v>2.0697505950532963E-2</v>
      </c>
      <c r="L55" s="4">
        <f>1/JPY!B55</f>
        <v>1.0427528675703858E-2</v>
      </c>
      <c r="M55" s="4">
        <f>1/JPY!C55</f>
        <v>1.0429986628757142E-2</v>
      </c>
      <c r="N55" s="5">
        <f>1/KRW!B55</f>
        <v>8.0736315194574523E-4</v>
      </c>
      <c r="O55" s="5">
        <f>1/KRW!C55</f>
        <v>8.0733896958197038E-4</v>
      </c>
      <c r="P55" s="3">
        <f>1/NOK!B55</f>
        <v>0.16412545749971277</v>
      </c>
      <c r="Q55" s="3">
        <f>1/NOK!C55</f>
        <v>0.16398550368147458</v>
      </c>
      <c r="R55" s="3">
        <f>NZD!B55/1</f>
        <v>0.6724</v>
      </c>
      <c r="S55" s="3">
        <f>NZD!C55/1</f>
        <v>0.67110000000000003</v>
      </c>
      <c r="T55" s="4">
        <f>1/PHP!B55</f>
        <v>2.0850708924103418E-2</v>
      </c>
      <c r="U55" s="4">
        <f>1/PHP!C55</f>
        <v>2.0780516188022111E-2</v>
      </c>
      <c r="V55" s="4">
        <f>1/TWD!B55</f>
        <v>3.0382208178890441E-2</v>
      </c>
      <c r="W55" s="4">
        <f>1/TWD!C55</f>
        <v>3.0382208178890441E-2</v>
      </c>
      <c r="X55" s="4">
        <f>1/TWD!B55</f>
        <v>3.0382208178890441E-2</v>
      </c>
      <c r="Y55" s="4">
        <f>1/TWD!C55</f>
        <v>3.0382208178890441E-2</v>
      </c>
      <c r="Z55" s="4">
        <f>1/ZAR!B55</f>
        <v>0.12412646003748619</v>
      </c>
      <c r="AA55" s="4">
        <f>1/ZAR!C55</f>
        <v>0.12334714821393328</v>
      </c>
    </row>
    <row r="56" spans="1:27" x14ac:dyDescent="0.25">
      <c r="A56" t="str">
        <f>"14/08/2009"</f>
        <v>14/08/2009</v>
      </c>
      <c r="B56" s="3">
        <f>AUD!B56</f>
        <v>0.8427</v>
      </c>
      <c r="C56" s="3">
        <f>AUD!C56</f>
        <v>0.8407</v>
      </c>
      <c r="D56" s="3">
        <f>1/CAD!B56</f>
        <v>0.91945568223611629</v>
      </c>
      <c r="E56" s="3">
        <f>1/CAD!C56</f>
        <v>0.91945568223611629</v>
      </c>
      <c r="F56" s="3">
        <f>EUR!B56/1</f>
        <v>1.4261999999999999</v>
      </c>
      <c r="G56" s="3">
        <f>EUR!C56/1</f>
        <v>1.4261999999999999</v>
      </c>
      <c r="H56" s="3">
        <f>GBP!B56/1</f>
        <v>1.6564000000000001</v>
      </c>
      <c r="I56" s="3">
        <f>GBP!C56/1</f>
        <v>1.6563000000000001</v>
      </c>
      <c r="J56" s="4">
        <f>1/INR!B56</f>
        <v>2.072431480234185E-2</v>
      </c>
      <c r="K56" s="4">
        <f>1/INR!C56</f>
        <v>2.0668630186534389E-2</v>
      </c>
      <c r="L56" s="4">
        <f>1/JPY!B56</f>
        <v>1.0508617065994116E-2</v>
      </c>
      <c r="M56" s="4">
        <f>1/JPY!C56</f>
        <v>1.051092558159579E-2</v>
      </c>
      <c r="N56" s="5">
        <f>1/KRW!B56</f>
        <v>8.0808080808080808E-4</v>
      </c>
      <c r="O56" s="5">
        <f>1/KRW!C56</f>
        <v>8.0805514620828616E-4</v>
      </c>
      <c r="P56" s="3">
        <f>1/NOK!B56</f>
        <v>0.16513640266860427</v>
      </c>
      <c r="Q56" s="3">
        <f>1/NOK!C56</f>
        <v>0.16499199788810243</v>
      </c>
      <c r="R56" s="3">
        <f>NZD!B56/1</f>
        <v>0.67889999999999995</v>
      </c>
      <c r="S56" s="3">
        <f>NZD!C56/1</f>
        <v>0.67759999999999998</v>
      </c>
      <c r="T56" s="4">
        <f>1/PHP!B56</f>
        <v>2.0846362309776944E-2</v>
      </c>
      <c r="U56" s="4">
        <f>1/PHP!C56</f>
        <v>2.0777062123415749E-2</v>
      </c>
      <c r="V56" s="4">
        <f>1/TWD!B56</f>
        <v>3.0402529490453602E-2</v>
      </c>
      <c r="W56" s="4">
        <f>1/TWD!C56</f>
        <v>3.0402621922114563E-2</v>
      </c>
      <c r="X56" s="4">
        <f>1/TWD!B56</f>
        <v>3.0402529490453602E-2</v>
      </c>
      <c r="Y56" s="4">
        <f>1/TWD!C56</f>
        <v>3.0402621922114563E-2</v>
      </c>
      <c r="Z56" s="4">
        <f>1/ZAR!B56</f>
        <v>0.12480031948881788</v>
      </c>
      <c r="AA56" s="4">
        <f>1/ZAR!C56</f>
        <v>0.12405100977521957</v>
      </c>
    </row>
    <row r="57" spans="1:27" x14ac:dyDescent="0.25">
      <c r="A57" t="str">
        <f>"17/08/2009"</f>
        <v>17/08/2009</v>
      </c>
      <c r="B57" s="3">
        <f>AUD!B57</f>
        <v>0.82150000000000001</v>
      </c>
      <c r="C57" s="3">
        <f>AUD!C57</f>
        <v>0.8196</v>
      </c>
      <c r="D57" s="3">
        <f>1/CAD!B57</f>
        <v>0.90538705296514255</v>
      </c>
      <c r="E57" s="3">
        <f>1/CAD!C57</f>
        <v>0.90538705296514255</v>
      </c>
      <c r="F57" s="3">
        <f>EUR!B57/1</f>
        <v>1.4147000000000001</v>
      </c>
      <c r="G57" s="3">
        <f>EUR!C57/1</f>
        <v>1.4147000000000001</v>
      </c>
      <c r="H57" s="3">
        <f>GBP!B57/1</f>
        <v>1.6448</v>
      </c>
      <c r="I57" s="3">
        <f>GBP!C57/1</f>
        <v>1.6447000000000001</v>
      </c>
      <c r="J57" s="4">
        <f>1/INR!B57</f>
        <v>2.0580366330520683E-2</v>
      </c>
      <c r="K57" s="4">
        <f>1/INR!C57</f>
        <v>2.0525451559934318E-2</v>
      </c>
      <c r="L57" s="4">
        <f>1/JPY!B57</f>
        <v>1.0573059843518714E-2</v>
      </c>
      <c r="M57" s="4">
        <f>1/JPY!C57</f>
        <v>1.0575900061974775E-2</v>
      </c>
      <c r="N57" s="5">
        <f>1/KRW!B57</f>
        <v>7.9884965649464773E-4</v>
      </c>
      <c r="O57" s="5">
        <f>1/KRW!C57</f>
        <v>7.9882929968472607E-4</v>
      </c>
      <c r="P57" s="3">
        <f>1/NOK!B57</f>
        <v>0.16336399130903567</v>
      </c>
      <c r="Q57" s="3">
        <f>1/NOK!C57</f>
        <v>0.16322266836418242</v>
      </c>
      <c r="R57" s="3">
        <f>NZD!B57/1</f>
        <v>0.6694</v>
      </c>
      <c r="S57" s="3">
        <f>NZD!C57/1</f>
        <v>0.66800000000000004</v>
      </c>
      <c r="T57" s="4">
        <f>1/PHP!B57</f>
        <v>2.0692152501163932E-2</v>
      </c>
      <c r="U57" s="4">
        <f>1/PHP!C57</f>
        <v>2.0624722855286631E-2</v>
      </c>
      <c r="V57" s="4">
        <f>1/TWD!B57</f>
        <v>3.0370212895192397E-2</v>
      </c>
      <c r="W57" s="4">
        <f>1/TWD!C57</f>
        <v>3.0370212895192397E-2</v>
      </c>
      <c r="X57" s="4">
        <f>1/TWD!B57</f>
        <v>3.0370212895192397E-2</v>
      </c>
      <c r="Y57" s="4">
        <f>1/TWD!C57</f>
        <v>3.0370212895192397E-2</v>
      </c>
      <c r="Z57" s="4">
        <f>1/ZAR!B57</f>
        <v>0.12287729473347915</v>
      </c>
      <c r="AA57" s="4">
        <f>1/ZAR!C57</f>
        <v>0.12214635576347581</v>
      </c>
    </row>
    <row r="58" spans="1:27" x14ac:dyDescent="0.25">
      <c r="A58" t="str">
        <f>"18/08/2009"</f>
        <v>18/08/2009</v>
      </c>
      <c r="B58" s="3">
        <f>AUD!B58</f>
        <v>0.82289999999999996</v>
      </c>
      <c r="C58" s="3">
        <f>AUD!C58</f>
        <v>0.82079999999999997</v>
      </c>
      <c r="D58" s="3">
        <f>1/CAD!B58</f>
        <v>0.90375056484410299</v>
      </c>
      <c r="E58" s="3">
        <f>1/CAD!C58</f>
        <v>0.90375056484410299</v>
      </c>
      <c r="F58" s="3">
        <f>EUR!B58/1</f>
        <v>1.4100999999999999</v>
      </c>
      <c r="G58" s="3">
        <f>EUR!C58/1</f>
        <v>1.4100999999999999</v>
      </c>
      <c r="H58" s="3">
        <f>GBP!B58/1</f>
        <v>1.6343000000000001</v>
      </c>
      <c r="I58" s="3">
        <f>GBP!C58/1</f>
        <v>1.6341000000000001</v>
      </c>
      <c r="J58" s="4">
        <f>1/INR!B58</f>
        <v>2.0470829068577275E-2</v>
      </c>
      <c r="K58" s="4">
        <f>1/INR!C58</f>
        <v>2.0420665713702268E-2</v>
      </c>
      <c r="L58" s="4">
        <f>1/JPY!B58</f>
        <v>1.0539629005059023E-2</v>
      </c>
      <c r="M58" s="4">
        <f>1/JPY!C58</f>
        <v>1.0542340146496359E-2</v>
      </c>
      <c r="N58" s="5">
        <f>1/KRW!B58</f>
        <v>7.9611495900007965E-4</v>
      </c>
      <c r="O58" s="5">
        <f>1/KRW!C58</f>
        <v>7.960827633115388E-4</v>
      </c>
      <c r="P58" s="3">
        <f>1/NOK!B58</f>
        <v>0.16211133806698441</v>
      </c>
      <c r="Q58" s="3">
        <f>1/NOK!C58</f>
        <v>0.16196167986654358</v>
      </c>
      <c r="R58" s="3">
        <f>NZD!B58/1</f>
        <v>0.66920000000000002</v>
      </c>
      <c r="S58" s="3">
        <f>NZD!C58/1</f>
        <v>0.66790000000000005</v>
      </c>
      <c r="T58" s="4">
        <f>1/PHP!B58</f>
        <v>2.0678246484698098E-2</v>
      </c>
      <c r="U58" s="4">
        <f>1/PHP!C58</f>
        <v>2.0605810838656501E-2</v>
      </c>
      <c r="V58" s="4">
        <f>1/TWD!B58</f>
        <v>3.0314053595246755E-2</v>
      </c>
      <c r="W58" s="4">
        <f>1/TWD!C58</f>
        <v>3.0314053595246755E-2</v>
      </c>
      <c r="X58" s="4">
        <f>1/TWD!B58</f>
        <v>3.0314053595246755E-2</v>
      </c>
      <c r="Y58" s="4">
        <f>1/TWD!C58</f>
        <v>3.0314053595246755E-2</v>
      </c>
      <c r="Z58" s="4">
        <f>1/ZAR!B58</f>
        <v>0.12313602837054094</v>
      </c>
      <c r="AA58" s="4">
        <f>1/ZAR!C58</f>
        <v>0.12233912405187179</v>
      </c>
    </row>
    <row r="59" spans="1:27" x14ac:dyDescent="0.25">
      <c r="A59" t="str">
        <f>"20/08/2009"</f>
        <v>20/08/2009</v>
      </c>
      <c r="B59" s="3">
        <f>AUD!B59</f>
        <v>0.83</v>
      </c>
      <c r="C59" s="3">
        <f>AUD!C59</f>
        <v>0.82799999999999996</v>
      </c>
      <c r="D59" s="3">
        <f>1/CAD!B59</f>
        <v>0.91182638825567608</v>
      </c>
      <c r="E59" s="3">
        <f>1/CAD!C59</f>
        <v>0.91190953857377344</v>
      </c>
      <c r="F59" s="3">
        <f>EUR!B59/1</f>
        <v>1.4221999999999999</v>
      </c>
      <c r="G59" s="3">
        <f>EUR!C59/1</f>
        <v>1.4221999999999999</v>
      </c>
      <c r="H59" s="3">
        <f>GBP!B59/1</f>
        <v>1.6515</v>
      </c>
      <c r="I59" s="3">
        <f>GBP!C59/1</f>
        <v>1.6514</v>
      </c>
      <c r="J59" s="4">
        <f>1/INR!B59</f>
        <v>2.052650484938677E-2</v>
      </c>
      <c r="K59" s="4">
        <f>1/INR!C59</f>
        <v>2.0472924557273006E-2</v>
      </c>
      <c r="L59" s="4">
        <f>1/JPY!B59</f>
        <v>1.0595465140919687E-2</v>
      </c>
      <c r="M59" s="4">
        <f>1/JPY!C59</f>
        <v>1.0597598584160829E-2</v>
      </c>
      <c r="N59" s="5">
        <f>1/KRW!B59</f>
        <v>7.9993600511959052E-4</v>
      </c>
      <c r="O59" s="5">
        <f>1/KRW!C59</f>
        <v>7.9991041003407617E-4</v>
      </c>
      <c r="P59" s="3">
        <f>1/NOK!B59</f>
        <v>0.16492125010307576</v>
      </c>
      <c r="Q59" s="3">
        <f>1/NOK!C59</f>
        <v>0.16477179106936893</v>
      </c>
      <c r="R59" s="3">
        <f>NZD!B59/1</f>
        <v>0.67510000000000003</v>
      </c>
      <c r="S59" s="3">
        <f>NZD!C59/1</f>
        <v>0.67379999999999995</v>
      </c>
      <c r="T59" s="4">
        <f>1/PHP!B59</f>
        <v>2.0614306328592045E-2</v>
      </c>
      <c r="U59" s="4">
        <f>1/PHP!C59</f>
        <v>2.054780446709269E-2</v>
      </c>
      <c r="V59" s="4">
        <f>1/TWD!B59</f>
        <v>3.0313134681257393E-2</v>
      </c>
      <c r="W59" s="4">
        <f>1/TWD!C59</f>
        <v>3.0313134681257393E-2</v>
      </c>
      <c r="X59" s="4">
        <f>1/TWD!B59</f>
        <v>3.0313134681257393E-2</v>
      </c>
      <c r="Y59" s="4">
        <f>1/TWD!C59</f>
        <v>3.0313134681257393E-2</v>
      </c>
      <c r="Z59" s="4">
        <f>1/ZAR!B59</f>
        <v>0.12456868094223751</v>
      </c>
      <c r="AA59" s="4">
        <f>1/ZAR!C59</f>
        <v>0.12378075951874042</v>
      </c>
    </row>
    <row r="60" spans="1:27" x14ac:dyDescent="0.25">
      <c r="A60" t="str">
        <f>"21/08/2009"</f>
        <v>21/08/2009</v>
      </c>
      <c r="B60" s="3">
        <f>AUD!B60</f>
        <v>0.82399999999999995</v>
      </c>
      <c r="C60" s="3">
        <f>AUD!C60</f>
        <v>0.82210000000000005</v>
      </c>
      <c r="D60" s="3">
        <f>1/CAD!B60</f>
        <v>0.91633831210482919</v>
      </c>
      <c r="E60" s="3">
        <f>1/CAD!C60</f>
        <v>0.91633831210482919</v>
      </c>
      <c r="F60" s="3">
        <f>EUR!B60/1</f>
        <v>1.4233</v>
      </c>
      <c r="G60" s="3">
        <f>EUR!C60/1</f>
        <v>1.4233</v>
      </c>
      <c r="H60" s="3">
        <f>GBP!B60/1</f>
        <v>1.6459999999999999</v>
      </c>
      <c r="I60" s="3">
        <f>GBP!C60/1</f>
        <v>1.6458999999999999</v>
      </c>
      <c r="J60" s="4">
        <f>1/INR!B60</f>
        <v>2.0546537908362441E-2</v>
      </c>
      <c r="K60" s="4">
        <f>1/INR!C60</f>
        <v>2.0493903063838508E-2</v>
      </c>
      <c r="L60" s="4">
        <f>1/JPY!B60</f>
        <v>1.0689470871191877E-2</v>
      </c>
      <c r="M60" s="4">
        <f>1/JPY!C60</f>
        <v>1.0691619480986025E-2</v>
      </c>
      <c r="N60" s="5">
        <f>1/KRW!B60</f>
        <v>8.0019204609106187E-4</v>
      </c>
      <c r="O60" s="5">
        <f>1/KRW!C60</f>
        <v>8.0016822736812181E-4</v>
      </c>
      <c r="P60" s="3">
        <f>1/NOK!B60</f>
        <v>0.16562324025307232</v>
      </c>
      <c r="Q60" s="3">
        <f>1/NOK!C60</f>
        <v>0.16546703069413421</v>
      </c>
      <c r="R60" s="3">
        <f>NZD!B60/1</f>
        <v>0.67359999999999998</v>
      </c>
      <c r="S60" s="3">
        <f>NZD!C60/1</f>
        <v>0.67220000000000002</v>
      </c>
      <c r="T60" s="4">
        <f>1/PHP!B60</f>
        <v>2.0652622883106153E-2</v>
      </c>
      <c r="U60" s="4">
        <f>1/PHP!C60</f>
        <v>2.0600716904948291E-2</v>
      </c>
      <c r="V60" s="4">
        <f>1/TWD!B60</f>
        <v>3.0376670716889428E-2</v>
      </c>
      <c r="W60" s="4">
        <f>1/TWD!C60</f>
        <v>3.0376762991382113E-2</v>
      </c>
      <c r="X60" s="4">
        <f>1/TWD!B60</f>
        <v>3.0376670716889428E-2</v>
      </c>
      <c r="Y60" s="4">
        <f>1/TWD!C60</f>
        <v>3.0376762991382113E-2</v>
      </c>
      <c r="Z60" s="4">
        <f>1/ZAR!B60</f>
        <v>0.12532113540948681</v>
      </c>
      <c r="AA60" s="4">
        <f>1/ZAR!C60</f>
        <v>0.12456092274731571</v>
      </c>
    </row>
    <row r="61" spans="1:27" x14ac:dyDescent="0.25">
      <c r="A61" t="str">
        <f>"24/08/2009"</f>
        <v>24/08/2009</v>
      </c>
      <c r="B61" s="3">
        <f>AUD!B61</f>
        <v>0.83960000000000001</v>
      </c>
      <c r="C61" s="3">
        <f>AUD!C61</f>
        <v>0.83760000000000001</v>
      </c>
      <c r="D61" s="3">
        <f>1/CAD!B61</f>
        <v>0.92669817440459645</v>
      </c>
      <c r="E61" s="3">
        <f>1/CAD!C61</f>
        <v>0.92669817440459645</v>
      </c>
      <c r="F61" s="3">
        <f>EUR!B61/1</f>
        <v>1.4339999999999999</v>
      </c>
      <c r="G61" s="3">
        <f>EUR!C61/1</f>
        <v>1.4339999999999999</v>
      </c>
      <c r="H61" s="3">
        <f>GBP!B61/1</f>
        <v>1.6524000000000001</v>
      </c>
      <c r="I61" s="3">
        <f>GBP!C61/1</f>
        <v>1.6521999999999999</v>
      </c>
      <c r="J61" s="4">
        <f>1/INR!B61</f>
        <v>2.0648358455502787E-2</v>
      </c>
      <c r="K61" s="4">
        <f>1/INR!C61</f>
        <v>2.059308072487644E-2</v>
      </c>
      <c r="L61" s="4">
        <f>1/JPY!B61</f>
        <v>1.0539629005059023E-2</v>
      </c>
      <c r="M61" s="4">
        <f>1/JPY!C61</f>
        <v>1.0541873375233764E-2</v>
      </c>
      <c r="N61" s="5">
        <f>1/KRW!B61</f>
        <v>8.0431110753639509E-4</v>
      </c>
      <c r="O61" s="5">
        <f>1/KRW!C61</f>
        <v>8.0428141517175549E-4</v>
      </c>
      <c r="P61" s="3">
        <f>1/NOK!B61</f>
        <v>0.16695605716575396</v>
      </c>
      <c r="Q61" s="3">
        <f>1/NOK!C61</f>
        <v>0.1667722891164404</v>
      </c>
      <c r="R61" s="3">
        <f>NZD!B61/1</f>
        <v>0.68540000000000001</v>
      </c>
      <c r="S61" s="3">
        <f>NZD!C61/1</f>
        <v>0.68400000000000005</v>
      </c>
      <c r="T61" s="4">
        <f>1/PHP!B61</f>
        <v>2.069108214359611E-2</v>
      </c>
      <c r="U61" s="4">
        <f>1/PHP!C61</f>
        <v>2.0624084806236724E-2</v>
      </c>
      <c r="V61" s="4">
        <f>1/TWD!B61</f>
        <v>3.0455306837216384E-2</v>
      </c>
      <c r="W61" s="4">
        <f>1/TWD!C61</f>
        <v>3.0455399590070324E-2</v>
      </c>
      <c r="X61" s="4">
        <f>1/TWD!B61</f>
        <v>3.0455306837216384E-2</v>
      </c>
      <c r="Y61" s="4">
        <f>1/TWD!C61</f>
        <v>3.0455399590070324E-2</v>
      </c>
      <c r="Z61" s="4">
        <f>1/ZAR!B61</f>
        <v>0.12744860634948957</v>
      </c>
      <c r="AA61" s="4">
        <f>1/ZAR!C61</f>
        <v>0.12667207134171057</v>
      </c>
    </row>
    <row r="62" spans="1:27" x14ac:dyDescent="0.25">
      <c r="A62" t="str">
        <f>"25/08/2009"</f>
        <v>25/08/2009</v>
      </c>
      <c r="B62" s="3">
        <f>AUD!B62</f>
        <v>0.83640000000000003</v>
      </c>
      <c r="C62" s="3">
        <f>AUD!C62</f>
        <v>0.83430000000000004</v>
      </c>
      <c r="D62" s="3">
        <f>1/CAD!B62</f>
        <v>0.92841890260885718</v>
      </c>
      <c r="E62" s="3">
        <f>1/CAD!C62</f>
        <v>0.92841890260885718</v>
      </c>
      <c r="F62" s="3">
        <f>EUR!B62/1</f>
        <v>1.43</v>
      </c>
      <c r="G62" s="3">
        <f>EUR!C62/1</f>
        <v>1.43</v>
      </c>
      <c r="H62" s="3">
        <f>GBP!B62/1</f>
        <v>1.6404000000000001</v>
      </c>
      <c r="I62" s="3">
        <f>GBP!C62/1</f>
        <v>1.6402000000000001</v>
      </c>
      <c r="J62" s="4">
        <f>1/INR!B62</f>
        <v>2.0479213598197831E-2</v>
      </c>
      <c r="K62" s="4">
        <f>1/INR!C62</f>
        <v>2.042483660130719E-2</v>
      </c>
      <c r="L62" s="4">
        <f>1/JPY!B62</f>
        <v>1.0640561821664183E-2</v>
      </c>
      <c r="M62" s="4">
        <f>1/JPY!C62</f>
        <v>1.0642815407816723E-2</v>
      </c>
      <c r="N62" s="5">
        <f>1/KRW!B62</f>
        <v>8.014747134727899E-4</v>
      </c>
      <c r="O62" s="5">
        <f>1/KRW!C62</f>
        <v>8.0145589271647308E-4</v>
      </c>
      <c r="P62" s="3">
        <f>1/NOK!B62</f>
        <v>0.16626209556745253</v>
      </c>
      <c r="Q62" s="3">
        <f>1/NOK!C62</f>
        <v>0.16609364359625958</v>
      </c>
      <c r="R62" s="3">
        <f>NZD!B62/1</f>
        <v>0.68510000000000004</v>
      </c>
      <c r="S62" s="3">
        <f>NZD!C62/1</f>
        <v>0.68369999999999997</v>
      </c>
      <c r="T62" s="4">
        <f>1/PHP!B62</f>
        <v>2.0576131687242798E-2</v>
      </c>
      <c r="U62" s="4">
        <f>1/PHP!C62</f>
        <v>2.0505249343832022E-2</v>
      </c>
      <c r="V62" s="4">
        <f>1/TWD!B62</f>
        <v>3.0389594602808E-2</v>
      </c>
      <c r="W62" s="4">
        <f>1/TWD!C62</f>
        <v>3.0389594602808E-2</v>
      </c>
      <c r="X62" s="4">
        <f>1/TWD!B62</f>
        <v>3.0389594602808E-2</v>
      </c>
      <c r="Y62" s="4">
        <f>1/TWD!C62</f>
        <v>3.0389594602808E-2</v>
      </c>
      <c r="Z62" s="4">
        <f>1/ZAR!B62</f>
        <v>0.12719895188063651</v>
      </c>
      <c r="AA62" s="4">
        <f>1/ZAR!C62</f>
        <v>0.12639508575906569</v>
      </c>
    </row>
    <row r="63" spans="1:27" x14ac:dyDescent="0.25">
      <c r="A63" t="str">
        <f>"26/08/2009"</f>
        <v>26/08/2009</v>
      </c>
      <c r="B63" s="3">
        <f>AUD!B63</f>
        <v>0.83650000000000002</v>
      </c>
      <c r="C63" s="3">
        <f>AUD!C63</f>
        <v>0.83450000000000002</v>
      </c>
      <c r="D63" s="3">
        <f>1/CAD!B63</f>
        <v>0.92030185900975514</v>
      </c>
      <c r="E63" s="3">
        <f>1/CAD!C63</f>
        <v>0.92038656235618954</v>
      </c>
      <c r="F63" s="3">
        <f>EUR!B63/1</f>
        <v>1.43</v>
      </c>
      <c r="G63" s="3">
        <f>EUR!C63/1</f>
        <v>1.43</v>
      </c>
      <c r="H63" s="3">
        <f>GBP!B63/1</f>
        <v>1.6323000000000001</v>
      </c>
      <c r="I63" s="3">
        <f>GBP!C63/1</f>
        <v>1.6321000000000001</v>
      </c>
      <c r="J63" s="4">
        <f>1/INR!B63</f>
        <v>2.0478165156401985E-2</v>
      </c>
      <c r="K63" s="4">
        <f>1/INR!C63</f>
        <v>2.0423793719683433E-2</v>
      </c>
      <c r="L63" s="4">
        <f>1/JPY!B63</f>
        <v>1.0623605651758208E-2</v>
      </c>
      <c r="M63" s="4">
        <f>1/JPY!C63</f>
        <v>1.0625705281188039E-2</v>
      </c>
      <c r="N63" s="5">
        <f>1/KRW!B63</f>
        <v>8.016996031586965E-4</v>
      </c>
      <c r="O63" s="5">
        <f>1/KRW!C63</f>
        <v>8.0167935791896868E-4</v>
      </c>
      <c r="P63" s="3">
        <f>1/NOK!B63</f>
        <v>0.16541229013315689</v>
      </c>
      <c r="Q63" s="3">
        <f>1/NOK!C63</f>
        <v>0.1652592090694254</v>
      </c>
      <c r="R63" s="3">
        <f>NZD!B63/1</f>
        <v>0.68620000000000003</v>
      </c>
      <c r="S63" s="3">
        <f>NZD!C63/1</f>
        <v>0.68489999999999995</v>
      </c>
      <c r="T63" s="4">
        <f>1/PHP!B63</f>
        <v>2.0525451559934318E-2</v>
      </c>
      <c r="U63" s="4">
        <f>1/PHP!C63</f>
        <v>2.045659111365682E-2</v>
      </c>
      <c r="V63" s="4">
        <f>1/TWD!B63</f>
        <v>3.0369290573372208E-2</v>
      </c>
      <c r="W63" s="4">
        <f>1/TWD!C63</f>
        <v>3.0369290573372208E-2</v>
      </c>
      <c r="X63" s="4">
        <f>1/TWD!B63</f>
        <v>3.0369290573372208E-2</v>
      </c>
      <c r="Y63" s="4">
        <f>1/TWD!C63</f>
        <v>3.0369290573372208E-2</v>
      </c>
      <c r="Z63" s="4">
        <f>1/ZAR!B63</f>
        <v>0.12742424628558321</v>
      </c>
      <c r="AA63" s="4">
        <f>1/ZAR!C63</f>
        <v>0.12665121521841002</v>
      </c>
    </row>
    <row r="64" spans="1:27" x14ac:dyDescent="0.25">
      <c r="A64" t="str">
        <f>"27/08/2009"</f>
        <v>27/08/2009</v>
      </c>
      <c r="B64" s="3">
        <f>AUD!B64</f>
        <v>0.8266</v>
      </c>
      <c r="C64" s="3">
        <f>AUD!C64</f>
        <v>0.82469999999999999</v>
      </c>
      <c r="D64" s="3">
        <f>1/CAD!B64</f>
        <v>0.91082976591675002</v>
      </c>
      <c r="E64" s="3">
        <f>1/CAD!C64</f>
        <v>0.91082976591675002</v>
      </c>
      <c r="F64" s="3">
        <f>EUR!B64/1</f>
        <v>1.4246000000000001</v>
      </c>
      <c r="G64" s="3">
        <f>EUR!C64/1</f>
        <v>1.4246000000000001</v>
      </c>
      <c r="H64" s="3">
        <f>GBP!B64/1</f>
        <v>1.6229</v>
      </c>
      <c r="I64" s="3">
        <f>GBP!C64/1</f>
        <v>1.6228</v>
      </c>
      <c r="J64" s="4">
        <f>1/INR!B64</f>
        <v>2.0391517128874388E-2</v>
      </c>
      <c r="K64" s="4">
        <f>1/INR!C64</f>
        <v>2.0341741253051264E-2</v>
      </c>
      <c r="L64" s="4">
        <f>1/JPY!B64</f>
        <v>1.067566269176159E-2</v>
      </c>
      <c r="M64" s="4">
        <f>1/JPY!C64</f>
        <v>1.0677589128505853E-2</v>
      </c>
      <c r="N64" s="5">
        <f>1/KRW!B64</f>
        <v>8.0032012805122054E-4</v>
      </c>
      <c r="O64" s="5">
        <f>1/KRW!C64</f>
        <v>8.0029854336861829E-4</v>
      </c>
      <c r="P64" s="3">
        <f>1/NOK!B64</f>
        <v>0.16480166120074491</v>
      </c>
      <c r="Q64" s="3">
        <f>1/NOK!C64</f>
        <v>0.16464970774676874</v>
      </c>
      <c r="R64" s="3">
        <f>NZD!B64/1</f>
        <v>0.67889999999999995</v>
      </c>
      <c r="S64" s="3">
        <f>NZD!C64/1</f>
        <v>0.67769999999999997</v>
      </c>
      <c r="T64" s="4">
        <f>1/PHP!B64</f>
        <v>2.0441537203597711E-2</v>
      </c>
      <c r="U64" s="4">
        <f>1/PHP!C64</f>
        <v>2.0374067886394197E-2</v>
      </c>
      <c r="V64" s="4">
        <f>1/TWD!B64</f>
        <v>3.0360992197225007E-2</v>
      </c>
      <c r="W64" s="4">
        <f>1/TWD!C64</f>
        <v>3.0361084376489589E-2</v>
      </c>
      <c r="X64" s="4">
        <f>1/TWD!B64</f>
        <v>3.0360992197225007E-2</v>
      </c>
      <c r="Y64" s="4">
        <f>1/TWD!C64</f>
        <v>3.0361084376489589E-2</v>
      </c>
      <c r="Z64" s="4">
        <f>1/ZAR!B64</f>
        <v>0.12680860776829531</v>
      </c>
      <c r="AA64" s="4">
        <f>1/ZAR!C64</f>
        <v>0.12606684063890675</v>
      </c>
    </row>
    <row r="65" spans="1:27" x14ac:dyDescent="0.25">
      <c r="A65" t="str">
        <f>"28/08/2009"</f>
        <v>28/08/2009</v>
      </c>
      <c r="B65" s="3">
        <f>AUD!B65</f>
        <v>0.83850000000000002</v>
      </c>
      <c r="C65" s="3">
        <f>AUD!C65</f>
        <v>0.83660000000000001</v>
      </c>
      <c r="D65" s="3">
        <f>1/CAD!B65</f>
        <v>0.91844232182218954</v>
      </c>
      <c r="E65" s="3">
        <f>1/CAD!C65</f>
        <v>0.91844232182218954</v>
      </c>
      <c r="F65" s="3">
        <f>EUR!B65/1</f>
        <v>1.4357</v>
      </c>
      <c r="G65" s="3">
        <f>EUR!C65/1</f>
        <v>1.4357</v>
      </c>
      <c r="H65" s="3">
        <f>GBP!B65/1</f>
        <v>1.6266</v>
      </c>
      <c r="I65" s="3">
        <f>GBP!C65/1</f>
        <v>1.6265000000000001</v>
      </c>
      <c r="J65" s="4">
        <f>1/INR!B65</f>
        <v>2.0470829068577275E-2</v>
      </c>
      <c r="K65" s="4">
        <f>1/INR!C65</f>
        <v>2.042692268409764E-2</v>
      </c>
      <c r="L65" s="4">
        <f>1/JPY!B65</f>
        <v>1.0672358591248666E-2</v>
      </c>
      <c r="M65" s="4">
        <f>1/JPY!C65</f>
        <v>1.0674261047593328E-2</v>
      </c>
      <c r="N65" s="5">
        <f>1/KRW!B65</f>
        <v>8.0314834149867488E-4</v>
      </c>
      <c r="O65" s="5">
        <f>1/KRW!C65</f>
        <v>8.0312841003303342E-4</v>
      </c>
      <c r="P65" s="3">
        <f>1/NOK!B65</f>
        <v>0.16583747927031509</v>
      </c>
      <c r="Q65" s="3">
        <f>1/NOK!C65</f>
        <v>0.16568635572860577</v>
      </c>
      <c r="R65" s="3">
        <f>NZD!B65/1</f>
        <v>0.68610000000000004</v>
      </c>
      <c r="S65" s="3">
        <f>NZD!C65/1</f>
        <v>0.68479999999999996</v>
      </c>
      <c r="T65" s="4">
        <f>1/PHP!B65</f>
        <v>2.0479213598197831E-2</v>
      </c>
      <c r="U65" s="4">
        <f>1/PHP!C65</f>
        <v>2.0416913371036568E-2</v>
      </c>
      <c r="V65" s="4">
        <f>1/TWD!B65</f>
        <v>3.0428432327166507E-2</v>
      </c>
      <c r="W65" s="4">
        <f>1/TWD!C65</f>
        <v>3.0428524916397626E-2</v>
      </c>
      <c r="X65" s="4">
        <f>1/TWD!B65</f>
        <v>3.0428432327166507E-2</v>
      </c>
      <c r="Y65" s="4">
        <f>1/TWD!C65</f>
        <v>3.0428524916397626E-2</v>
      </c>
      <c r="Z65" s="4">
        <f>1/ZAR!B65</f>
        <v>0.12826761755727151</v>
      </c>
      <c r="AA65" s="4">
        <f>1/ZAR!C65</f>
        <v>0.12751198612669593</v>
      </c>
    </row>
    <row r="66" spans="1:27" x14ac:dyDescent="0.25">
      <c r="A66" t="str">
        <f>"31/08/2009"</f>
        <v>31/08/2009</v>
      </c>
      <c r="B66" s="3">
        <f>AUD!B66</f>
        <v>0.83819999999999995</v>
      </c>
      <c r="C66" s="3">
        <f>AUD!C66</f>
        <v>0.83630000000000004</v>
      </c>
      <c r="D66" s="3">
        <f>1/CAD!B66</f>
        <v>0.9124920156948626</v>
      </c>
      <c r="E66" s="3">
        <f>1/CAD!C66</f>
        <v>0.9124920156948626</v>
      </c>
      <c r="F66" s="3">
        <f>EUR!B66/1</f>
        <v>1.4280999999999999</v>
      </c>
      <c r="G66" s="3">
        <f>EUR!C66/1</f>
        <v>1.4280999999999999</v>
      </c>
      <c r="H66" s="3">
        <f>GBP!B66/1</f>
        <v>1.6229</v>
      </c>
      <c r="I66" s="3">
        <f>GBP!C66/1</f>
        <v>1.6228</v>
      </c>
      <c r="J66" s="4">
        <f>1/INR!B66</f>
        <v>2.0458265139116201E-2</v>
      </c>
      <c r="K66" s="4">
        <f>1/INR!C66</f>
        <v>2.0412329046744233E-2</v>
      </c>
      <c r="L66" s="4">
        <f>1/JPY!B66</f>
        <v>1.0801468999783971E-2</v>
      </c>
      <c r="M66" s="4">
        <f>1/JPY!C66</f>
        <v>1.0803534484341898E-2</v>
      </c>
      <c r="N66" s="5">
        <f>1/KRW!B66</f>
        <v>8.0108948169510541E-4</v>
      </c>
      <c r="O66" s="5">
        <f>1/KRW!C66</f>
        <v>8.0106503198131983E-4</v>
      </c>
      <c r="P66" s="3">
        <f>1/NOK!B66</f>
        <v>0.16522917286276065</v>
      </c>
      <c r="Q66" s="3">
        <f>1/NOK!C66</f>
        <v>0.1650846058605035</v>
      </c>
      <c r="R66" s="3">
        <f>NZD!B66/1</f>
        <v>0.68149999999999999</v>
      </c>
      <c r="S66" s="3">
        <f>NZD!C66/1</f>
        <v>0.68020000000000003</v>
      </c>
      <c r="T66" s="4">
        <f>1/PHP!B66</f>
        <v>2.0489703923778302E-2</v>
      </c>
      <c r="U66" s="4">
        <f>1/PHP!C66</f>
        <v>2.042483660130719E-2</v>
      </c>
      <c r="V66" s="4">
        <f>1/TWD!B66</f>
        <v>3.038128512836093E-2</v>
      </c>
      <c r="W66" s="4">
        <f>1/TWD!C66</f>
        <v>3.038137743088996E-2</v>
      </c>
      <c r="X66" s="4">
        <f>1/TWD!B66</f>
        <v>3.038128512836093E-2</v>
      </c>
      <c r="Y66" s="4">
        <f>1/TWD!C66</f>
        <v>3.038137743088996E-2</v>
      </c>
      <c r="Z66" s="4">
        <f>1/ZAR!B66</f>
        <v>0.12789522822903476</v>
      </c>
      <c r="AA66" s="4">
        <f>1/ZAR!C66</f>
        <v>0.12714881497304445</v>
      </c>
    </row>
    <row r="67" spans="1:27" x14ac:dyDescent="0.25">
      <c r="A67" t="str">
        <f>"01/09/2009"</f>
        <v>01/09/2009</v>
      </c>
      <c r="B67" s="3">
        <f>AUD!B67</f>
        <v>0.84389999999999998</v>
      </c>
      <c r="C67" s="3">
        <f>AUD!C67</f>
        <v>0.8417</v>
      </c>
      <c r="D67" s="3">
        <f>1/CAD!B67</f>
        <v>0.91441111923921004</v>
      </c>
      <c r="E67" s="3">
        <f>1/CAD!C67</f>
        <v>0.91441111923921004</v>
      </c>
      <c r="F67" s="3">
        <f>EUR!B67/1</f>
        <v>1.4345000000000001</v>
      </c>
      <c r="G67" s="3">
        <f>EUR!C67/1</f>
        <v>1.4345000000000001</v>
      </c>
      <c r="H67" s="3">
        <f>GBP!B67/1</f>
        <v>1.6291</v>
      </c>
      <c r="I67" s="3">
        <f>GBP!C67/1</f>
        <v>1.629</v>
      </c>
      <c r="J67" s="4">
        <f>1/INR!B67</f>
        <v>2.0512820512820513E-2</v>
      </c>
      <c r="K67" s="4">
        <f>1/INR!C67</f>
        <v>2.0466639377814164E-2</v>
      </c>
      <c r="L67" s="4">
        <f>1/JPY!B67</f>
        <v>1.0737678513905294E-2</v>
      </c>
      <c r="M67" s="4">
        <f>1/JPY!C67</f>
        <v>1.0739927290692243E-2</v>
      </c>
      <c r="N67" s="5">
        <f>1/KRW!B67</f>
        <v>8.0192461908580592E-4</v>
      </c>
      <c r="O67" s="5">
        <f>1/KRW!C67</f>
        <v>8.0190191889515879E-4</v>
      </c>
      <c r="P67" s="3">
        <f>1/NOK!B67</f>
        <v>0.16655285554870838</v>
      </c>
      <c r="Q67" s="3">
        <f>1/NOK!C67</f>
        <v>0.16639211966921247</v>
      </c>
      <c r="R67" s="3">
        <f>NZD!B67/1</f>
        <v>0.68720000000000003</v>
      </c>
      <c r="S67" s="3">
        <f>NZD!C67/1</f>
        <v>0.68579999999999997</v>
      </c>
      <c r="T67" s="4">
        <f>1/PHP!B67</f>
        <v>2.0466639377814164E-2</v>
      </c>
      <c r="U67" s="4">
        <f>1/PHP!C67</f>
        <v>2.0399420656453355E-2</v>
      </c>
      <c r="V67" s="4">
        <f>1/TWD!B67</f>
        <v>3.0415475393880405E-2</v>
      </c>
      <c r="W67" s="4">
        <f>1/TWD!C67</f>
        <v>3.0415567904276127E-2</v>
      </c>
      <c r="X67" s="4">
        <f>1/TWD!B67</f>
        <v>3.0415475393880405E-2</v>
      </c>
      <c r="Y67" s="4">
        <f>1/TWD!C67</f>
        <v>3.0415567904276127E-2</v>
      </c>
      <c r="Z67" s="4">
        <f>1/ZAR!B67</f>
        <v>0.12834334411417425</v>
      </c>
      <c r="AA67" s="4">
        <f>1/ZAR!C67</f>
        <v>0.12761124510291846</v>
      </c>
    </row>
    <row r="68" spans="1:27" x14ac:dyDescent="0.25">
      <c r="A68" t="str">
        <f>"02/09/2009"</f>
        <v>02/09/2009</v>
      </c>
      <c r="B68" s="3">
        <f>AUD!B68</f>
        <v>0.83009999999999995</v>
      </c>
      <c r="C68" s="3">
        <f>AUD!C68</f>
        <v>0.82809999999999995</v>
      </c>
      <c r="D68" s="3">
        <f>1/CAD!B68</f>
        <v>0.90735867888576349</v>
      </c>
      <c r="E68" s="3">
        <f>1/CAD!C68</f>
        <v>0.90744101633393826</v>
      </c>
      <c r="F68" s="3">
        <f>EUR!B68/1</f>
        <v>1.4216</v>
      </c>
      <c r="G68" s="3">
        <f>EUR!C68/1</f>
        <v>1.4216</v>
      </c>
      <c r="H68" s="3">
        <f>GBP!B68/1</f>
        <v>1.6165</v>
      </c>
      <c r="I68" s="3">
        <f>GBP!C68/1</f>
        <v>1.6164000000000001</v>
      </c>
      <c r="J68" s="4">
        <f>1/INR!B68</f>
        <v>2.032520325203252E-2</v>
      </c>
      <c r="K68" s="4">
        <f>1/INR!C68</f>
        <v>2.0280890331085537E-2</v>
      </c>
      <c r="L68" s="4">
        <f>1/JPY!B68</f>
        <v>1.0768899418479432E-2</v>
      </c>
      <c r="M68" s="4">
        <f>1/JPY!C68</f>
        <v>1.0771219302024989E-2</v>
      </c>
      <c r="N68" s="5">
        <f>1/KRW!B68</f>
        <v>8.0134626171968898E-4</v>
      </c>
      <c r="O68" s="5">
        <f>1/KRW!C68</f>
        <v>8.0132442901627808E-4</v>
      </c>
      <c r="P68" s="3">
        <f>1/NOK!B68</f>
        <v>0.16414701006221172</v>
      </c>
      <c r="Q68" s="3">
        <f>1/NOK!C68</f>
        <v>0.16399357145199908</v>
      </c>
      <c r="R68" s="3">
        <f>NZD!B68/1</f>
        <v>0.67449999999999999</v>
      </c>
      <c r="S68" s="3">
        <f>NZD!C68/1</f>
        <v>0.67310000000000003</v>
      </c>
      <c r="T68" s="4">
        <f>1/PHP!B68</f>
        <v>2.0447806972702178E-2</v>
      </c>
      <c r="U68" s="4">
        <f>1/PHP!C68</f>
        <v>2.0379880981495069E-2</v>
      </c>
      <c r="V68" s="4">
        <f>1/TWD!B68</f>
        <v>3.0402991654378791E-2</v>
      </c>
      <c r="W68" s="4">
        <f>1/TWD!C68</f>
        <v>3.0402991654378791E-2</v>
      </c>
      <c r="X68" s="4">
        <f>1/TWD!B68</f>
        <v>3.0402991654378791E-2</v>
      </c>
      <c r="Y68" s="4">
        <f>1/TWD!C68</f>
        <v>3.0402991654378791E-2</v>
      </c>
      <c r="Z68" s="4">
        <f>1/ZAR!B68</f>
        <v>0.12656785935779469</v>
      </c>
      <c r="AA68" s="4">
        <f>1/ZAR!C68</f>
        <v>0.12581464985782945</v>
      </c>
    </row>
    <row r="69" spans="1:27" x14ac:dyDescent="0.25">
      <c r="A69" t="str">
        <f>"03/09/2009"</f>
        <v>03/09/2009</v>
      </c>
      <c r="B69" s="3">
        <f>AUD!B69</f>
        <v>0.83620000000000005</v>
      </c>
      <c r="C69" s="3">
        <f>AUD!C69</f>
        <v>0.83430000000000004</v>
      </c>
      <c r="D69" s="3">
        <f>1/CAD!B69</f>
        <v>0.90670051681929464</v>
      </c>
      <c r="E69" s="3">
        <f>1/CAD!C69</f>
        <v>0.90670051681929464</v>
      </c>
      <c r="F69" s="3">
        <f>EUR!B69/1</f>
        <v>1.4277</v>
      </c>
      <c r="G69" s="3">
        <f>EUR!C69/1</f>
        <v>1.4277</v>
      </c>
      <c r="H69" s="3">
        <f>GBP!B69/1</f>
        <v>1.6277999999999999</v>
      </c>
      <c r="I69" s="3">
        <f>GBP!C69/1</f>
        <v>1.6276999999999999</v>
      </c>
      <c r="J69" s="4">
        <f>1/INR!B69</f>
        <v>2.0470829068577275E-2</v>
      </c>
      <c r="K69" s="4">
        <f>1/INR!C69</f>
        <v>2.0423793719683433E-2</v>
      </c>
      <c r="L69" s="4">
        <f>1/JPY!B69</f>
        <v>1.0828370330265296E-2</v>
      </c>
      <c r="M69" s="4">
        <f>1/JPY!C69</f>
        <v>1.0830891869791017E-2</v>
      </c>
      <c r="N69" s="5">
        <f>1/KRW!B69</f>
        <v>8.0237503008906365E-4</v>
      </c>
      <c r="O69" s="5">
        <f>1/KRW!C69</f>
        <v>8.0235533011866996E-4</v>
      </c>
      <c r="P69" s="3">
        <f>1/NOK!B69</f>
        <v>0.16430613519108803</v>
      </c>
      <c r="Q69" s="3">
        <f>1/NOK!C69</f>
        <v>0.16415778846627377</v>
      </c>
      <c r="R69" s="3">
        <f>NZD!B69/1</f>
        <v>0.67549999999999999</v>
      </c>
      <c r="S69" s="3">
        <f>NZD!C69/1</f>
        <v>0.67420000000000002</v>
      </c>
      <c r="T69" s="4">
        <f>1/PHP!B69</f>
        <v>2.0489703923778302E-2</v>
      </c>
      <c r="U69" s="4">
        <f>1/PHP!C69</f>
        <v>2.0422750944552228E-2</v>
      </c>
      <c r="V69" s="4">
        <f>1/TWD!B69</f>
        <v>3.0411775439450155E-2</v>
      </c>
      <c r="W69" s="4">
        <f>1/TWD!C69</f>
        <v>3.0411867927339964E-2</v>
      </c>
      <c r="X69" s="4">
        <f>1/TWD!B69</f>
        <v>3.0411775439450155E-2</v>
      </c>
      <c r="Y69" s="4">
        <f>1/TWD!C69</f>
        <v>3.0411867927339964E-2</v>
      </c>
      <c r="Z69" s="4">
        <f>1/ZAR!B69</f>
        <v>0.12783310110319965</v>
      </c>
      <c r="AA69" s="4">
        <f>1/ZAR!C69</f>
        <v>0.12706318852365281</v>
      </c>
    </row>
    <row r="70" spans="1:27" x14ac:dyDescent="0.25">
      <c r="A70" t="str">
        <f>"04/09/2009"</f>
        <v>04/09/2009</v>
      </c>
      <c r="B70" s="3">
        <f>AUD!B70</f>
        <v>0.83950000000000002</v>
      </c>
      <c r="C70" s="3">
        <f>AUD!C70</f>
        <v>0.83760000000000001</v>
      </c>
      <c r="D70" s="3">
        <f>1/CAD!B70</f>
        <v>0.90653612546459983</v>
      </c>
      <c r="E70" s="3">
        <f>1/CAD!C70</f>
        <v>0.90653612546459983</v>
      </c>
      <c r="F70" s="3">
        <f>EUR!B70/1</f>
        <v>1.4248000000000001</v>
      </c>
      <c r="G70" s="3">
        <f>EUR!C70/1</f>
        <v>1.4248000000000001</v>
      </c>
      <c r="H70" s="3">
        <f>GBP!B70/1</f>
        <v>1.6319999999999999</v>
      </c>
      <c r="I70" s="3">
        <f>GBP!C70/1</f>
        <v>1.6318999999999999</v>
      </c>
      <c r="J70" s="4">
        <f>1/INR!B70</f>
        <v>2.042692268409764E-2</v>
      </c>
      <c r="K70" s="4">
        <f>1/INR!C70</f>
        <v>2.0383204239706482E-2</v>
      </c>
      <c r="L70" s="4">
        <f>1/JPY!B70</f>
        <v>1.0801468999783971E-2</v>
      </c>
      <c r="M70" s="4">
        <f>1/JPY!C70</f>
        <v>1.080372123374175E-2</v>
      </c>
      <c r="N70" s="5">
        <f>1/KRW!B70</f>
        <v>8.0463469584808503E-4</v>
      </c>
      <c r="O70" s="5">
        <f>1/KRW!C70</f>
        <v>8.046123598918441E-4</v>
      </c>
      <c r="P70" s="3">
        <f>1/NOK!B70</f>
        <v>0.16504101269165389</v>
      </c>
      <c r="Q70" s="3">
        <f>1/NOK!C70</f>
        <v>0.16489405556929673</v>
      </c>
      <c r="R70" s="3">
        <f>NZD!B70/1</f>
        <v>0.67930000000000001</v>
      </c>
      <c r="S70" s="3">
        <f>NZD!C70/1</f>
        <v>0.67800000000000005</v>
      </c>
      <c r="T70" s="4">
        <f>1/PHP!B70</f>
        <v>2.0535989321285551E-2</v>
      </c>
      <c r="U70" s="4">
        <f>1/PHP!C70</f>
        <v>2.0469571981249872E-2</v>
      </c>
      <c r="V70" s="4">
        <f>1/TWD!B70</f>
        <v>3.038128512836093E-2</v>
      </c>
      <c r="W70" s="4">
        <f>1/TWD!C70</f>
        <v>3.038137743088996E-2</v>
      </c>
      <c r="X70" s="4">
        <f>1/TWD!B70</f>
        <v>3.038128512836093E-2</v>
      </c>
      <c r="Y70" s="4">
        <f>1/TWD!C70</f>
        <v>3.038137743088996E-2</v>
      </c>
      <c r="Z70" s="4">
        <f>1/ZAR!B70</f>
        <v>0.12989205969839066</v>
      </c>
      <c r="AA70" s="4">
        <f>1/ZAR!C70</f>
        <v>0.1291338989398107</v>
      </c>
    </row>
    <row r="71" spans="1:27" x14ac:dyDescent="0.25">
      <c r="A71" t="str">
        <f>"07/09/2009"</f>
        <v>07/09/2009</v>
      </c>
      <c r="B71" s="3">
        <f>AUD!B71</f>
        <v>0.8518</v>
      </c>
      <c r="C71" s="3">
        <f>AUD!C71</f>
        <v>0.84989999999999999</v>
      </c>
      <c r="D71" s="3">
        <f>1/CAD!B71</f>
        <v>0.92148912642830816</v>
      </c>
      <c r="E71" s="3">
        <f>1/CAD!C71</f>
        <v>0.92157404847479496</v>
      </c>
      <c r="F71" s="3">
        <f>EUR!B71/1</f>
        <v>1.4330000000000001</v>
      </c>
      <c r="G71" s="3">
        <f>EUR!C71/1</f>
        <v>1.4330000000000001</v>
      </c>
      <c r="H71" s="3">
        <f>GBP!B71/1</f>
        <v>1.6385000000000001</v>
      </c>
      <c r="I71" s="3">
        <f>GBP!C71/1</f>
        <v>1.6384000000000001</v>
      </c>
      <c r="J71" s="4">
        <f>1/INR!B71</f>
        <v>2.0512820512820513E-2</v>
      </c>
      <c r="K71" s="4">
        <f>1/INR!C71</f>
        <v>2.0469781485082647E-2</v>
      </c>
      <c r="L71" s="4">
        <f>1/JPY!B71</f>
        <v>1.0730707529200937E-2</v>
      </c>
      <c r="M71" s="4">
        <f>1/JPY!C71</f>
        <v>1.0732792114402978E-2</v>
      </c>
      <c r="N71" s="5">
        <f>1/KRW!B71</f>
        <v>8.1037277147487841E-4</v>
      </c>
      <c r="O71" s="5">
        <f>1/KRW!C71</f>
        <v>8.1034972181909574E-4</v>
      </c>
      <c r="P71" s="3">
        <f>1/NOK!B71</f>
        <v>0.16659725114535609</v>
      </c>
      <c r="Q71" s="3">
        <f>1/NOK!C71</f>
        <v>0.16644751077747633</v>
      </c>
      <c r="R71" s="3">
        <f>NZD!B71/1</f>
        <v>0.68840000000000001</v>
      </c>
      <c r="S71" s="3">
        <f>NZD!C71/1</f>
        <v>0.68710000000000004</v>
      </c>
      <c r="T71" s="4">
        <f>1/PHP!B71</f>
        <v>2.0567667626491155E-2</v>
      </c>
      <c r="U71" s="4">
        <f>1/PHP!C71</f>
        <v>2.0491803278688527E-2</v>
      </c>
      <c r="V71" s="4">
        <f>1/TWD!B71</f>
        <v>3.0452524514282233E-2</v>
      </c>
      <c r="W71" s="4">
        <f>1/TWD!C71</f>
        <v>3.0452524514282233E-2</v>
      </c>
      <c r="X71" s="4">
        <f>1/TWD!B71</f>
        <v>3.0452524514282233E-2</v>
      </c>
      <c r="Y71" s="4">
        <f>1/TWD!C71</f>
        <v>3.0452524514282233E-2</v>
      </c>
      <c r="Z71" s="4">
        <f>1/ZAR!B71</f>
        <v>0.1306796649373391</v>
      </c>
      <c r="AA71" s="4">
        <f>1/ZAR!C71</f>
        <v>0.12991737255105754</v>
      </c>
    </row>
    <row r="72" spans="1:27" x14ac:dyDescent="0.25">
      <c r="A72" t="str">
        <f>"08/09/2009"</f>
        <v>08/09/2009</v>
      </c>
      <c r="B72" s="3">
        <f>AUD!B72</f>
        <v>0.85429999999999995</v>
      </c>
      <c r="C72" s="3">
        <f>AUD!C72</f>
        <v>0.85219999999999996</v>
      </c>
      <c r="D72" s="3">
        <f>1/CAD!B72</f>
        <v>0.92738569971251039</v>
      </c>
      <c r="E72" s="3">
        <f>1/CAD!C72</f>
        <v>0.92738569971251039</v>
      </c>
      <c r="F72" s="3">
        <f>EUR!B72/1</f>
        <v>1.4340999999999999</v>
      </c>
      <c r="G72" s="3">
        <f>EUR!C72/1</f>
        <v>1.4340999999999999</v>
      </c>
      <c r="H72" s="3">
        <f>GBP!B72/1</f>
        <v>1.6345000000000001</v>
      </c>
      <c r="I72" s="3">
        <f>GBP!C72/1</f>
        <v>1.6344000000000001</v>
      </c>
      <c r="J72" s="4">
        <f>1/INR!B72</f>
        <v>2.0559210526315791E-2</v>
      </c>
      <c r="K72" s="4">
        <f>1/INR!C72</f>
        <v>2.0511768627249887E-2</v>
      </c>
      <c r="L72" s="4">
        <f>1/JPY!B72</f>
        <v>1.0775862068965518E-2</v>
      </c>
      <c r="M72" s="4">
        <f>1/JPY!C72</f>
        <v>1.0778243038602277E-2</v>
      </c>
      <c r="N72" s="5">
        <f>1/KRW!B72</f>
        <v>8.1135902636916835E-4</v>
      </c>
      <c r="O72" s="5">
        <f>1/KRW!C72</f>
        <v>8.1134138421979946E-4</v>
      </c>
      <c r="P72" s="3">
        <f>1/NOK!B72</f>
        <v>0.16692818749374019</v>
      </c>
      <c r="Q72" s="3">
        <f>1/NOK!C72</f>
        <v>0.16675282229151728</v>
      </c>
      <c r="R72" s="3">
        <f>NZD!B72/1</f>
        <v>0.69189999999999996</v>
      </c>
      <c r="S72" s="3">
        <f>NZD!C72/1</f>
        <v>0.69040000000000001</v>
      </c>
      <c r="T72" s="4">
        <f>1/PHP!B72</f>
        <v>2.0648358455502787E-2</v>
      </c>
      <c r="U72" s="4">
        <f>1/PHP!C72</f>
        <v>2.0580366330520683E-2</v>
      </c>
      <c r="V72" s="4">
        <f>1/TWD!B72</f>
        <v>3.0483158055174518E-2</v>
      </c>
      <c r="W72" s="4">
        <f>1/TWD!C72</f>
        <v>3.0483250977750273E-2</v>
      </c>
      <c r="X72" s="4">
        <f>1/TWD!B72</f>
        <v>3.0483158055174518E-2</v>
      </c>
      <c r="Y72" s="4">
        <f>1/TWD!C72</f>
        <v>3.0483250977750273E-2</v>
      </c>
      <c r="Z72" s="4">
        <f>1/ZAR!B72</f>
        <v>0.13132148813510355</v>
      </c>
      <c r="AA72" s="4">
        <f>1/ZAR!C72</f>
        <v>0.13056534795665231</v>
      </c>
    </row>
    <row r="73" spans="1:27" x14ac:dyDescent="0.25">
      <c r="A73" t="str">
        <f>"09/09/2009"</f>
        <v>09/09/2009</v>
      </c>
      <c r="B73" s="3">
        <f>AUD!B73</f>
        <v>0.85909999999999997</v>
      </c>
      <c r="C73" s="3">
        <f>AUD!C73</f>
        <v>0.85699999999999998</v>
      </c>
      <c r="D73" s="3">
        <f>1/CAD!B73</f>
        <v>0.92652645233021413</v>
      </c>
      <c r="E73" s="3">
        <f>1/CAD!C73</f>
        <v>0.92652645233021413</v>
      </c>
      <c r="F73" s="3">
        <f>EUR!B73/1</f>
        <v>1.4489000000000001</v>
      </c>
      <c r="G73" s="3">
        <f>EUR!C73/1</f>
        <v>1.4489000000000001</v>
      </c>
      <c r="H73" s="3">
        <f>GBP!B73/1</f>
        <v>1.6520999999999999</v>
      </c>
      <c r="I73" s="3">
        <f>GBP!C73/1</f>
        <v>1.6519999999999999</v>
      </c>
      <c r="J73" s="4">
        <f>1/INR!B73</f>
        <v>2.0601565718994644E-2</v>
      </c>
      <c r="K73" s="4">
        <f>1/INR!C73</f>
        <v>2.0553928369559632E-2</v>
      </c>
      <c r="L73" s="4">
        <f>1/JPY!B73</f>
        <v>1.0835410120273052E-2</v>
      </c>
      <c r="M73" s="4">
        <f>1/JPY!C73</f>
        <v>1.0837030566928417E-2</v>
      </c>
      <c r="N73" s="5">
        <f>1/KRW!B73</f>
        <v>8.1559416034581204E-4</v>
      </c>
      <c r="O73" s="5">
        <f>1/KRW!C73</f>
        <v>8.1557367289036376E-4</v>
      </c>
      <c r="P73" s="3">
        <f>1/NOK!B73</f>
        <v>0.16844374821028518</v>
      </c>
      <c r="Q73" s="3">
        <f>1/NOK!C73</f>
        <v>0.16827934371055953</v>
      </c>
      <c r="R73" s="3">
        <f>NZD!B73/1</f>
        <v>0.69550000000000001</v>
      </c>
      <c r="S73" s="3">
        <f>NZD!C73/1</f>
        <v>0.69410000000000005</v>
      </c>
      <c r="T73" s="4">
        <f>1/PHP!B73</f>
        <v>2.0706077233668081E-2</v>
      </c>
      <c r="U73" s="4">
        <f>1/PHP!C73</f>
        <v>2.0633021086947551E-2</v>
      </c>
      <c r="V73" s="4">
        <f>1/TWD!B73</f>
        <v>3.059039461609055E-2</v>
      </c>
      <c r="W73" s="4">
        <f>1/TWD!C73</f>
        <v>3.059039461609055E-2</v>
      </c>
      <c r="X73" s="4">
        <f>1/TWD!B73</f>
        <v>3.059039461609055E-2</v>
      </c>
      <c r="Y73" s="4">
        <f>1/TWD!C73</f>
        <v>3.059039461609055E-2</v>
      </c>
      <c r="Z73" s="4">
        <f>1/ZAR!B73</f>
        <v>0.13252054068380598</v>
      </c>
      <c r="AA73" s="4">
        <f>1/ZAR!C73</f>
        <v>0.1316655694535879</v>
      </c>
    </row>
    <row r="74" spans="1:27" x14ac:dyDescent="0.25">
      <c r="A74" t="str">
        <f>"10/09/2009"</f>
        <v>10/09/2009</v>
      </c>
      <c r="B74" s="3">
        <f>AUD!B74</f>
        <v>0.85940000000000005</v>
      </c>
      <c r="C74" s="3">
        <f>AUD!C74</f>
        <v>0.85740000000000005</v>
      </c>
      <c r="D74" s="3">
        <f>1/CAD!B74</f>
        <v>0.92652645233021413</v>
      </c>
      <c r="E74" s="3">
        <f>1/CAD!C74</f>
        <v>0.92661230541141593</v>
      </c>
      <c r="F74" s="3">
        <f>EUR!B74/1</f>
        <v>1.4564999999999999</v>
      </c>
      <c r="G74" s="3">
        <f>EUR!C74/1</f>
        <v>1.4564999999999999</v>
      </c>
      <c r="H74" s="3">
        <f>GBP!B74/1</f>
        <v>1.6536999999999999</v>
      </c>
      <c r="I74" s="3">
        <f>GBP!C74/1</f>
        <v>1.6536</v>
      </c>
      <c r="J74" s="4">
        <f>1/INR!B74</f>
        <v>2.0647292623754712E-2</v>
      </c>
      <c r="K74" s="4">
        <f>1/INR!C74</f>
        <v>2.0603688060162769E-2</v>
      </c>
      <c r="L74" s="4">
        <f>1/JPY!B74</f>
        <v>1.085894233901618E-2</v>
      </c>
      <c r="M74" s="4">
        <f>1/JPY!C74</f>
        <v>1.0860652399389631E-2</v>
      </c>
      <c r="N74" s="5">
        <f>1/KRW!B74</f>
        <v>8.1492950859750639E-4</v>
      </c>
      <c r="O74" s="5">
        <f>1/KRW!C74</f>
        <v>8.1490653103579661E-4</v>
      </c>
      <c r="P74" s="3">
        <f>1/NOK!B74</f>
        <v>0.16943983191568676</v>
      </c>
      <c r="Q74" s="3">
        <f>1/NOK!C74</f>
        <v>0.16927634363097757</v>
      </c>
      <c r="R74" s="3">
        <f>NZD!B74/1</f>
        <v>0.69610000000000005</v>
      </c>
      <c r="S74" s="3">
        <f>NZD!C74/1</f>
        <v>0.69469999999999998</v>
      </c>
      <c r="T74" s="4">
        <f>1/PHP!B74</f>
        <v>2.0699648105982196E-2</v>
      </c>
      <c r="U74" s="4">
        <f>1/PHP!C74</f>
        <v>2.0629190304280558E-2</v>
      </c>
      <c r="V74" s="4">
        <f>1/TWD!B74</f>
        <v>3.0606311021332596E-2</v>
      </c>
      <c r="W74" s="4">
        <f>1/TWD!C74</f>
        <v>3.0606404696246738E-2</v>
      </c>
      <c r="X74" s="4">
        <f>1/TWD!B74</f>
        <v>3.0606311021332596E-2</v>
      </c>
      <c r="Y74" s="4">
        <f>1/TWD!C74</f>
        <v>3.0606404696246738E-2</v>
      </c>
      <c r="Z74" s="4">
        <f>1/ZAR!B74</f>
        <v>0.13222615962341988</v>
      </c>
      <c r="AA74" s="4">
        <f>1/ZAR!C74</f>
        <v>0.13144231653938671</v>
      </c>
    </row>
    <row r="75" spans="1:27" x14ac:dyDescent="0.25">
      <c r="A75" t="str">
        <f>"11/09/2009"</f>
        <v>11/09/2009</v>
      </c>
      <c r="B75" s="3">
        <f>AUD!B75</f>
        <v>0.86380000000000001</v>
      </c>
      <c r="C75" s="3">
        <f>AUD!C75</f>
        <v>0.8619</v>
      </c>
      <c r="D75" s="3">
        <f>1/CAD!B75</f>
        <v>0.92893636785880163</v>
      </c>
      <c r="E75" s="3">
        <f>1/CAD!C75</f>
        <v>0.92893636785880163</v>
      </c>
      <c r="F75" s="3">
        <f>EUR!B75/1</f>
        <v>1.46</v>
      </c>
      <c r="G75" s="3">
        <f>EUR!C75/1</f>
        <v>1.4599</v>
      </c>
      <c r="H75" s="3">
        <f>GBP!B75/1</f>
        <v>1.6693</v>
      </c>
      <c r="I75" s="3">
        <f>GBP!C75/1</f>
        <v>1.6691</v>
      </c>
      <c r="J75" s="4">
        <f>1/INR!B75</f>
        <v>2.0644095788604461E-2</v>
      </c>
      <c r="K75" s="4">
        <f>1/INR!C75</f>
        <v>2.0600504712365453E-2</v>
      </c>
      <c r="L75" s="4">
        <f>1/JPY!B75</f>
        <v>1.0938286189319857E-2</v>
      </c>
      <c r="M75" s="4">
        <f>1/JPY!C75</f>
        <v>1.093992558662616E-2</v>
      </c>
      <c r="N75" s="5">
        <f>1/KRW!B75</f>
        <v>8.1866557511256651E-4</v>
      </c>
      <c r="O75" s="5">
        <f>1/KRW!C75</f>
        <v>8.1864292252903695E-4</v>
      </c>
      <c r="P75" s="3">
        <f>1/NOK!B75</f>
        <v>0.16843239965639789</v>
      </c>
      <c r="Q75" s="3">
        <f>1/NOK!C75</f>
        <v>0.16828783952071624</v>
      </c>
      <c r="R75" s="3">
        <f>NZD!B75/1</f>
        <v>0.7036</v>
      </c>
      <c r="S75" s="3">
        <f>NZD!C75/1</f>
        <v>0.70220000000000005</v>
      </c>
      <c r="T75" s="4">
        <f>1/PHP!B75</f>
        <v>2.0712510356255178E-2</v>
      </c>
      <c r="U75" s="4">
        <f>1/PHP!C75</f>
        <v>2.0646226902033653E-2</v>
      </c>
      <c r="V75" s="4">
        <f>1/TWD!B75</f>
        <v>3.0644765873988726E-2</v>
      </c>
      <c r="W75" s="4">
        <f>1/TWD!C75</f>
        <v>3.0644859784444055E-2</v>
      </c>
      <c r="X75" s="4">
        <f>1/TWD!B75</f>
        <v>3.0644765873988726E-2</v>
      </c>
      <c r="Y75" s="4">
        <f>1/TWD!C75</f>
        <v>3.0644859784444055E-2</v>
      </c>
      <c r="Z75" s="4">
        <f>1/ZAR!B75</f>
        <v>0.13196442239172321</v>
      </c>
      <c r="AA75" s="4">
        <f>1/ZAR!C75</f>
        <v>0.13113378268509535</v>
      </c>
    </row>
    <row r="76" spans="1:27" x14ac:dyDescent="0.25">
      <c r="A76" t="str">
        <f>"14/09/2009"</f>
        <v>14/09/2009</v>
      </c>
      <c r="B76" s="3">
        <f>AUD!B76</f>
        <v>0.85699999999999998</v>
      </c>
      <c r="C76" s="3">
        <f>AUD!C76</f>
        <v>0.85499999999999998</v>
      </c>
      <c r="D76" s="3">
        <f>1/CAD!B76</f>
        <v>0.92225398874850129</v>
      </c>
      <c r="E76" s="3">
        <f>1/CAD!C76</f>
        <v>0.92225398874850129</v>
      </c>
      <c r="F76" s="3">
        <f>EUR!B76/1</f>
        <v>1.4544999999999999</v>
      </c>
      <c r="G76" s="3">
        <f>EUR!C76/1</f>
        <v>1.4544999999999999</v>
      </c>
      <c r="H76" s="3">
        <f>GBP!B76/1</f>
        <v>1.6613</v>
      </c>
      <c r="I76" s="3">
        <f>GBP!C76/1</f>
        <v>1.6611</v>
      </c>
      <c r="J76" s="4">
        <f>1/INR!B76</f>
        <v>2.0538098172109262E-2</v>
      </c>
      <c r="K76" s="4">
        <f>1/INR!C76</f>
        <v>2.0496003279360527E-2</v>
      </c>
      <c r="L76" s="4">
        <f>1/JPY!B76</f>
        <v>1.1049662709045806E-2</v>
      </c>
      <c r="M76" s="4">
        <f>1/JPY!C76</f>
        <v>1.1051384517452346E-2</v>
      </c>
      <c r="N76" s="5">
        <f>1/KRW!B76</f>
        <v>8.1712698153293029E-4</v>
      </c>
      <c r="O76" s="5">
        <f>1/KRW!C76</f>
        <v>8.1710448078035447E-4</v>
      </c>
      <c r="P76" s="3">
        <f>1/NOK!B76</f>
        <v>0.16779086546528404</v>
      </c>
      <c r="Q76" s="3">
        <f>1/NOK!C76</f>
        <v>0.16764459346186086</v>
      </c>
      <c r="R76" s="3">
        <f>NZD!B76/1</f>
        <v>0.69830000000000003</v>
      </c>
      <c r="S76" s="3">
        <f>NZD!C76/1</f>
        <v>0.69689999999999996</v>
      </c>
      <c r="T76" s="4">
        <f>1/PHP!B76</f>
        <v>2.0652622883106153E-2</v>
      </c>
      <c r="U76" s="4">
        <f>1/PHP!C76</f>
        <v>2.0586721564590838E-2</v>
      </c>
      <c r="V76" s="4">
        <f>1/TWD!B76</f>
        <v>3.0635377734207461E-2</v>
      </c>
      <c r="W76" s="4">
        <f>1/TWD!C76</f>
        <v>3.0635377734207461E-2</v>
      </c>
      <c r="X76" s="4">
        <f>1/TWD!B76</f>
        <v>3.0635377734207461E-2</v>
      </c>
      <c r="Y76" s="4">
        <f>1/TWD!C76</f>
        <v>3.0635377734207461E-2</v>
      </c>
      <c r="Z76" s="4">
        <f>1/ZAR!B76</f>
        <v>0.1327192854393672</v>
      </c>
      <c r="AA76" s="4">
        <f>1/ZAR!C76</f>
        <v>0.13190697919826938</v>
      </c>
    </row>
    <row r="77" spans="1:27" x14ac:dyDescent="0.25">
      <c r="A77" t="str">
        <f>"15/09/2009"</f>
        <v>15/09/2009</v>
      </c>
      <c r="B77" s="3">
        <f>AUD!B77</f>
        <v>0.86019999999999996</v>
      </c>
      <c r="C77" s="3">
        <f>AUD!C77</f>
        <v>0.85809999999999997</v>
      </c>
      <c r="D77" s="3">
        <f>1/CAD!B77</f>
        <v>0.92259433527078138</v>
      </c>
      <c r="E77" s="3">
        <f>1/CAD!C77</f>
        <v>0.92259433527078138</v>
      </c>
      <c r="F77" s="3">
        <f>EUR!B77/1</f>
        <v>1.4612000000000001</v>
      </c>
      <c r="G77" s="3">
        <f>EUR!C77/1</f>
        <v>1.4612000000000001</v>
      </c>
      <c r="H77" s="3">
        <f>GBP!B77/1</f>
        <v>1.6612</v>
      </c>
      <c r="I77" s="3">
        <f>GBP!C77/1</f>
        <v>1.661</v>
      </c>
      <c r="J77" s="4">
        <f>1/INR!B77</f>
        <v>2.0546537908362441E-2</v>
      </c>
      <c r="K77" s="4">
        <f>1/INR!C77</f>
        <v>2.0494953117794746E-2</v>
      </c>
      <c r="L77" s="4">
        <f>1/JPY!B77</f>
        <v>1.0971769636724707E-2</v>
      </c>
      <c r="M77" s="4">
        <f>1/JPY!C77</f>
        <v>1.0973852601406629E-2</v>
      </c>
      <c r="N77" s="5">
        <f>1/KRW!B77</f>
        <v>8.1866557511256651E-4</v>
      </c>
      <c r="O77" s="5">
        <f>1/KRW!C77</f>
        <v>8.1863407629833315E-4</v>
      </c>
      <c r="P77" s="3">
        <f>1/NOK!B77</f>
        <v>0.16905027555194915</v>
      </c>
      <c r="Q77" s="3">
        <f>1/NOK!C77</f>
        <v>0.16890465332319907</v>
      </c>
      <c r="R77" s="3">
        <f>NZD!B77/1</f>
        <v>0.70120000000000005</v>
      </c>
      <c r="S77" s="3">
        <f>NZD!C77/1</f>
        <v>0.6996</v>
      </c>
      <c r="T77" s="4">
        <f>1/PHP!B77</f>
        <v>2.0673971469919374E-2</v>
      </c>
      <c r="U77" s="4">
        <f>1/PHP!C77</f>
        <v>2.0608358750309124E-2</v>
      </c>
      <c r="V77" s="4">
        <f>1/TWD!B77</f>
        <v>3.0636316289329373E-2</v>
      </c>
      <c r="W77" s="4">
        <f>1/TWD!C77</f>
        <v>3.0636410148004497E-2</v>
      </c>
      <c r="X77" s="4">
        <f>1/TWD!B77</f>
        <v>3.0636316289329373E-2</v>
      </c>
      <c r="Y77" s="4">
        <f>1/TWD!C77</f>
        <v>3.0636410148004497E-2</v>
      </c>
      <c r="Z77" s="4">
        <f>1/ZAR!B77</f>
        <v>0.13363981397337896</v>
      </c>
      <c r="AA77" s="4">
        <f>1/ZAR!C77</f>
        <v>0.13286741160995444</v>
      </c>
    </row>
    <row r="78" spans="1:27" x14ac:dyDescent="0.25">
      <c r="A78" t="str">
        <f>"16/09/2009"</f>
        <v>16/09/2009</v>
      </c>
      <c r="B78" s="3">
        <f>AUD!B78</f>
        <v>0.86570000000000003</v>
      </c>
      <c r="C78" s="3">
        <f>AUD!C78</f>
        <v>0.86360000000000003</v>
      </c>
      <c r="D78" s="3">
        <f>1/CAD!B78</f>
        <v>0.93248787765759045</v>
      </c>
      <c r="E78" s="3">
        <f>1/CAD!C78</f>
        <v>0.93248787765759045</v>
      </c>
      <c r="F78" s="3">
        <f>EUR!B78/1</f>
        <v>1.4675</v>
      </c>
      <c r="G78" s="3">
        <f>EUR!C78/1</f>
        <v>1.4675</v>
      </c>
      <c r="H78" s="3">
        <f>GBP!B78/1</f>
        <v>1.6466000000000001</v>
      </c>
      <c r="I78" s="3">
        <f>GBP!C78/1</f>
        <v>1.6465000000000001</v>
      </c>
      <c r="J78" s="4">
        <f>1/INR!B78</f>
        <v>2.0631318341242006E-2</v>
      </c>
      <c r="K78" s="4">
        <f>1/INR!C78</f>
        <v>2.0582484305855717E-2</v>
      </c>
      <c r="L78" s="4">
        <f>1/JPY!B78</f>
        <v>1.0987682807572712E-2</v>
      </c>
      <c r="M78" s="4">
        <f>1/JPY!C78</f>
        <v>1.098938535268784E-2</v>
      </c>
      <c r="N78" s="5">
        <f>1/KRW!B78</f>
        <v>8.2508250825082509E-4</v>
      </c>
      <c r="O78" s="5">
        <f>1/KRW!C78</f>
        <v>8.250588184431669E-4</v>
      </c>
      <c r="P78" s="3">
        <f>1/NOK!B78</f>
        <v>0.17030552811744268</v>
      </c>
      <c r="Q78" s="3">
        <f>1/NOK!C78</f>
        <v>0.17014615554761539</v>
      </c>
      <c r="R78" s="3">
        <f>NZD!B78/1</f>
        <v>0.70540000000000003</v>
      </c>
      <c r="S78" s="3">
        <f>NZD!C78/1</f>
        <v>0.70389999999999997</v>
      </c>
      <c r="T78" s="4">
        <f>1/PHP!B78</f>
        <v>2.0777062123415749E-2</v>
      </c>
      <c r="U78" s="4">
        <f>1/PHP!C78</f>
        <v>2.0706934752448596E-2</v>
      </c>
      <c r="V78" s="4">
        <f>1/TWD!B78</f>
        <v>3.0707815138952866E-2</v>
      </c>
      <c r="W78" s="4">
        <f>1/TWD!C78</f>
        <v>3.0707909436233489E-2</v>
      </c>
      <c r="X78" s="4">
        <f>1/TWD!B78</f>
        <v>3.0707815138952866E-2</v>
      </c>
      <c r="Y78" s="4">
        <f>1/TWD!C78</f>
        <v>3.0707909436233489E-2</v>
      </c>
      <c r="Z78" s="4">
        <f>1/ZAR!B78</f>
        <v>0.13482903678136124</v>
      </c>
      <c r="AA78" s="4">
        <f>1/ZAR!C78</f>
        <v>0.13399616770960349</v>
      </c>
    </row>
    <row r="79" spans="1:27" x14ac:dyDescent="0.25">
      <c r="A79" t="str">
        <f>"17/09/2009"</f>
        <v>17/09/2009</v>
      </c>
      <c r="B79" s="3">
        <f>AUD!B79</f>
        <v>0.87529999999999997</v>
      </c>
      <c r="C79" s="3">
        <f>AUD!C79</f>
        <v>0.87319999999999998</v>
      </c>
      <c r="D79" s="3">
        <f>1/CAD!B79</f>
        <v>0.93782237644190192</v>
      </c>
      <c r="E79" s="3">
        <f>1/CAD!C79</f>
        <v>0.93782237644190192</v>
      </c>
      <c r="F79" s="3">
        <f>EUR!B79/1</f>
        <v>1.4730000000000001</v>
      </c>
      <c r="G79" s="3">
        <f>EUR!C79/1</f>
        <v>1.4730000000000001</v>
      </c>
      <c r="H79" s="3">
        <f>GBP!B79/1</f>
        <v>1.6491</v>
      </c>
      <c r="I79" s="3">
        <f>GBP!C79/1</f>
        <v>1.649</v>
      </c>
      <c r="J79" s="4">
        <f>1/INR!B79</f>
        <v>2.0833333333333332E-2</v>
      </c>
      <c r="K79" s="4">
        <f>1/INR!C79</f>
        <v>2.0779220779220779E-2</v>
      </c>
      <c r="L79" s="4">
        <f>1/JPY!B79</f>
        <v>1.098357954857488E-2</v>
      </c>
      <c r="M79" s="4">
        <f>1/JPY!C79</f>
        <v>1.098571527442866E-2</v>
      </c>
      <c r="N79" s="5">
        <f>1/KRW!B79</f>
        <v>8.2891246684350126E-4</v>
      </c>
      <c r="O79" s="5">
        <f>1/KRW!C79</f>
        <v>8.2888697637033867E-4</v>
      </c>
      <c r="P79" s="3">
        <f>1/NOK!B79</f>
        <v>0.17095478246003931</v>
      </c>
      <c r="Q79" s="3">
        <f>1/NOK!C79</f>
        <v>0.17080294464276563</v>
      </c>
      <c r="R79" s="3">
        <f>NZD!B79/1</f>
        <v>0.71450000000000002</v>
      </c>
      <c r="S79" s="3">
        <f>NZD!C79/1</f>
        <v>0.71299999999999997</v>
      </c>
      <c r="T79" s="4">
        <f>1/PHP!B79</f>
        <v>2.0931449502878074E-2</v>
      </c>
      <c r="U79" s="4">
        <f>1/PHP!C79</f>
        <v>2.0863759649488837E-2</v>
      </c>
      <c r="V79" s="4">
        <f>1/TWD!B79</f>
        <v>3.089566533815306E-2</v>
      </c>
      <c r="W79" s="4">
        <f>1/TWD!C79</f>
        <v>3.0895760792661639E-2</v>
      </c>
      <c r="X79" s="4">
        <f>1/TWD!B79</f>
        <v>3.089566533815306E-2</v>
      </c>
      <c r="Y79" s="4">
        <f>1/TWD!C79</f>
        <v>3.0895760792661639E-2</v>
      </c>
      <c r="Z79" s="4">
        <f>1/ZAR!B79</f>
        <v>0.13596193065941536</v>
      </c>
      <c r="AA79" s="4">
        <f>1/ZAR!C79</f>
        <v>0.13521187701127665</v>
      </c>
    </row>
    <row r="80" spans="1:27" x14ac:dyDescent="0.25">
      <c r="A80" t="str">
        <f>"18/09/2009"</f>
        <v>18/09/2009</v>
      </c>
      <c r="B80" s="3">
        <f>AUD!B80</f>
        <v>0.87</v>
      </c>
      <c r="C80" s="3">
        <f>AUD!C80</f>
        <v>0.86799999999999999</v>
      </c>
      <c r="D80" s="3">
        <f>1/CAD!B80</f>
        <v>0.93580385551188472</v>
      </c>
      <c r="E80" s="3">
        <f>1/CAD!C80</f>
        <v>0.93580385551188472</v>
      </c>
      <c r="F80" s="3">
        <f>EUR!B80/1</f>
        <v>1.4714</v>
      </c>
      <c r="G80" s="3">
        <f>EUR!C80/1</f>
        <v>1.4714</v>
      </c>
      <c r="H80" s="3">
        <f>GBP!B80/1</f>
        <v>1.6386000000000001</v>
      </c>
      <c r="I80" s="3">
        <f>GBP!C80/1</f>
        <v>1.6384000000000001</v>
      </c>
      <c r="J80" s="4">
        <f>1/INR!B80</f>
        <v>2.0751193193608634E-2</v>
      </c>
      <c r="K80" s="4">
        <f>1/INR!C80</f>
        <v>2.0700719349997412E-2</v>
      </c>
      <c r="L80" s="4">
        <f>1/JPY!B80</f>
        <v>1.0960826007847951E-2</v>
      </c>
      <c r="M80" s="4">
        <f>1/JPY!C80</f>
        <v>1.0962928856073188E-2</v>
      </c>
      <c r="N80" s="5">
        <f>1/KRW!B80</f>
        <v>8.2836315440689193E-4</v>
      </c>
      <c r="O80" s="5">
        <f>1/KRW!C80</f>
        <v>8.2834202043221563E-4</v>
      </c>
      <c r="P80" s="3">
        <f>1/NOK!B80</f>
        <v>0.17032003133888576</v>
      </c>
      <c r="Q80" s="3">
        <f>1/NOK!C80</f>
        <v>0.17017511018838385</v>
      </c>
      <c r="R80" s="3">
        <f>NZD!B80/1</f>
        <v>0.7097</v>
      </c>
      <c r="S80" s="3">
        <f>NZD!C80/1</f>
        <v>0.70830000000000004</v>
      </c>
      <c r="T80" s="4">
        <f>1/PHP!B80</f>
        <v>2.0990764063811923E-2</v>
      </c>
      <c r="U80" s="4">
        <f>1/PHP!C80</f>
        <v>2.092356621262528E-2</v>
      </c>
      <c r="V80" s="4">
        <f>1/TWD!B80</f>
        <v>3.0827090847436726E-2</v>
      </c>
      <c r="W80" s="4">
        <f>1/TWD!C80</f>
        <v>3.0827185878682696E-2</v>
      </c>
      <c r="X80" s="4">
        <f>1/TWD!B80</f>
        <v>3.0827090847436726E-2</v>
      </c>
      <c r="Y80" s="4">
        <f>1/TWD!C80</f>
        <v>3.0827185878682696E-2</v>
      </c>
      <c r="Z80" s="4">
        <f>1/ZAR!B80</f>
        <v>0.13460218324741227</v>
      </c>
      <c r="AA80" s="4">
        <f>1/ZAR!C80</f>
        <v>0.13382760328145285</v>
      </c>
    </row>
    <row r="81" spans="1:27" x14ac:dyDescent="0.25">
      <c r="A81" t="str">
        <f>"22/09/2009"</f>
        <v>22/09/2009</v>
      </c>
      <c r="B81" s="3">
        <f>AUD!B81</f>
        <v>0.86919999999999997</v>
      </c>
      <c r="C81" s="3">
        <f>AUD!C81</f>
        <v>0.86709999999999998</v>
      </c>
      <c r="D81" s="3">
        <f>1/CAD!B81</f>
        <v>0.93014603292716957</v>
      </c>
      <c r="E81" s="3">
        <f>1/CAD!C81</f>
        <v>0.93023255813953487</v>
      </c>
      <c r="F81" s="3">
        <f>EUR!B81/1</f>
        <v>1.4718</v>
      </c>
      <c r="G81" s="3">
        <f>EUR!C81/1</f>
        <v>1.4718</v>
      </c>
      <c r="H81" s="3">
        <f>GBP!B81/1</f>
        <v>1.6241000000000001</v>
      </c>
      <c r="I81" s="3">
        <f>GBP!C81/1</f>
        <v>1.6240000000000001</v>
      </c>
      <c r="J81" s="4">
        <f>1/INR!B81</f>
        <v>2.0759809009757109E-2</v>
      </c>
      <c r="K81" s="4">
        <f>1/INR!C81</f>
        <v>2.0683592740058949E-2</v>
      </c>
      <c r="L81" s="4">
        <f>1/JPY!B81</f>
        <v>1.0906017395097745E-2</v>
      </c>
      <c r="M81" s="4">
        <f>1/JPY!C81</f>
        <v>1.0908277746567982E-2</v>
      </c>
      <c r="N81" s="5">
        <f>1/KRW!B81</f>
        <v>8.3077178699011382E-4</v>
      </c>
      <c r="O81" s="5">
        <f>1/KRW!C81</f>
        <v>8.3075087500912787E-4</v>
      </c>
      <c r="P81" s="3">
        <f>1/NOK!B81</f>
        <v>0.16953750169537501</v>
      </c>
      <c r="Q81" s="3">
        <f>1/NOK!C81</f>
        <v>0.16938816993021208</v>
      </c>
      <c r="R81" s="3">
        <f>NZD!B81/1</f>
        <v>0.71719999999999995</v>
      </c>
      <c r="S81" s="3">
        <f>NZD!C81/1</f>
        <v>0.7157</v>
      </c>
      <c r="T81" s="4">
        <f>1/PHP!B81</f>
        <v>2.0998477610373247E-2</v>
      </c>
      <c r="U81" s="4">
        <f>1/PHP!C81</f>
        <v>2.0930792335143847E-2</v>
      </c>
      <c r="V81" s="4">
        <f>1/TWD!B81</f>
        <v>3.0890893364636105E-2</v>
      </c>
      <c r="W81" s="4">
        <f>1/TWD!C81</f>
        <v>3.0890988789660172E-2</v>
      </c>
      <c r="X81" s="4">
        <f>1/TWD!B81</f>
        <v>3.0890893364636105E-2</v>
      </c>
      <c r="Y81" s="4">
        <f>1/TWD!C81</f>
        <v>3.0890988789660172E-2</v>
      </c>
      <c r="Z81" s="4">
        <f>1/ZAR!B81</f>
        <v>0.13381864896692003</v>
      </c>
      <c r="AA81" s="4">
        <f>1/ZAR!C81</f>
        <v>0.13307782391142339</v>
      </c>
    </row>
    <row r="82" spans="1:27" x14ac:dyDescent="0.25">
      <c r="A82" t="str">
        <f>"23/09/2009"</f>
        <v>23/09/2009</v>
      </c>
      <c r="B82" s="3">
        <f>AUD!B82</f>
        <v>0.87619999999999998</v>
      </c>
      <c r="C82" s="3">
        <f>AUD!C82</f>
        <v>0.87409999999999999</v>
      </c>
      <c r="D82" s="3">
        <f>1/CAD!B82</f>
        <v>0.93676814988290402</v>
      </c>
      <c r="E82" s="3">
        <f>1/CAD!C82</f>
        <v>0.93676814988290402</v>
      </c>
      <c r="F82" s="3">
        <f>EUR!B82/1</f>
        <v>1.4816</v>
      </c>
      <c r="G82" s="3">
        <f>EUR!C82/1</f>
        <v>1.4816</v>
      </c>
      <c r="H82" s="3">
        <f>GBP!B82/1</f>
        <v>1.6393</v>
      </c>
      <c r="I82" s="3">
        <f>GBP!C82/1</f>
        <v>1.6392</v>
      </c>
      <c r="J82" s="4">
        <f>1/INR!B82</f>
        <v>2.0872469213107911E-2</v>
      </c>
      <c r="K82" s="4">
        <f>1/INR!C82</f>
        <v>2.0819236974964867E-2</v>
      </c>
      <c r="L82" s="4">
        <f>1/JPY!B82</f>
        <v>1.1022927689594356E-2</v>
      </c>
      <c r="M82" s="4">
        <f>1/JPY!C82</f>
        <v>1.1025163833934572E-2</v>
      </c>
      <c r="N82" s="5">
        <f>1/KRW!B82</f>
        <v>8.3647009619406104E-4</v>
      </c>
      <c r="O82" s="5">
        <f>1/KRW!C82</f>
        <v>8.3644343915095635E-4</v>
      </c>
      <c r="P82" s="3">
        <f>1/NOK!B82</f>
        <v>0.17143836790673753</v>
      </c>
      <c r="Q82" s="3">
        <f>1/NOK!C82</f>
        <v>0.17128567024082766</v>
      </c>
      <c r="R82" s="3">
        <f>NZD!B82/1</f>
        <v>0.72629999999999995</v>
      </c>
      <c r="S82" s="3">
        <f>NZD!C82/1</f>
        <v>0.7248</v>
      </c>
      <c r="T82" s="4">
        <f>1/PHP!B82</f>
        <v>2.1121554546414616E-2</v>
      </c>
      <c r="U82" s="4">
        <f>1/PHP!C82</f>
        <v>2.1048200378867607E-2</v>
      </c>
      <c r="V82" s="4">
        <f>1/TWD!B82</f>
        <v>3.0916679548616481E-2</v>
      </c>
      <c r="W82" s="4">
        <f>1/TWD!C82</f>
        <v>3.0916775133019422E-2</v>
      </c>
      <c r="X82" s="4">
        <f>1/TWD!B82</f>
        <v>3.0916679548616481E-2</v>
      </c>
      <c r="Y82" s="4">
        <f>1/TWD!C82</f>
        <v>3.0916775133019422E-2</v>
      </c>
      <c r="Z82" s="4">
        <f>1/ZAR!B82</f>
        <v>0.13534913308880256</v>
      </c>
      <c r="AA82" s="4">
        <f>1/ZAR!C82</f>
        <v>0.1345659575040706</v>
      </c>
    </row>
    <row r="83" spans="1:27" x14ac:dyDescent="0.25">
      <c r="A83" t="str">
        <f>"24/09/2009"</f>
        <v>24/09/2009</v>
      </c>
      <c r="B83" s="3">
        <f>AUD!B83</f>
        <v>0.871</v>
      </c>
      <c r="C83" s="3">
        <f>AUD!C83</f>
        <v>0.86899999999999999</v>
      </c>
      <c r="D83" s="3">
        <f>1/CAD!B83</f>
        <v>0.93005952380952384</v>
      </c>
      <c r="E83" s="3">
        <f>1/CAD!C83</f>
        <v>0.93014603292716957</v>
      </c>
      <c r="F83" s="3">
        <f>EUR!B83/1</f>
        <v>1.4722</v>
      </c>
      <c r="G83" s="3">
        <f>EUR!C83/1</f>
        <v>1.4722</v>
      </c>
      <c r="H83" s="3">
        <f>GBP!B83/1</f>
        <v>1.6342000000000001</v>
      </c>
      <c r="I83" s="3">
        <f>GBP!C83/1</f>
        <v>1.6339999999999999</v>
      </c>
      <c r="J83" s="4">
        <f>1/INR!B83</f>
        <v>2.0751193193608634E-2</v>
      </c>
      <c r="K83" s="4">
        <f>1/INR!C83</f>
        <v>2.0694293548553986E-2</v>
      </c>
      <c r="L83" s="4">
        <f>1/JPY!B83</f>
        <v>1.0986596352450011E-2</v>
      </c>
      <c r="M83" s="4">
        <f>1/JPY!C83</f>
        <v>1.098867287599942E-2</v>
      </c>
      <c r="N83" s="5">
        <f>1/KRW!B83</f>
        <v>8.3493362277698921E-4</v>
      </c>
      <c r="O83" s="5">
        <f>1/KRW!C83</f>
        <v>8.3490796976430886E-4</v>
      </c>
      <c r="P83" s="3">
        <f>1/NOK!B83</f>
        <v>0.17233950883239982</v>
      </c>
      <c r="Q83" s="3">
        <f>1/NOK!C83</f>
        <v>0.17218816722914801</v>
      </c>
      <c r="R83" s="3">
        <f>NZD!B83/1</f>
        <v>0.72070000000000001</v>
      </c>
      <c r="S83" s="3">
        <f>NZD!C83/1</f>
        <v>0.71930000000000005</v>
      </c>
      <c r="T83" s="4">
        <f>1/PHP!B83</f>
        <v>2.1034917963819941E-2</v>
      </c>
      <c r="U83" s="4">
        <f>1/PHP!C83</f>
        <v>2.0964360587002094E-2</v>
      </c>
      <c r="V83" s="4">
        <f>1/TWD!B83</f>
        <v>3.0840400925212029E-2</v>
      </c>
      <c r="W83" s="4">
        <f>1/TWD!C83</f>
        <v>3.0840496038538282E-2</v>
      </c>
      <c r="X83" s="4">
        <f>1/TWD!B83</f>
        <v>3.0840400925212029E-2</v>
      </c>
      <c r="Y83" s="4">
        <f>1/TWD!C83</f>
        <v>3.0840496038538282E-2</v>
      </c>
      <c r="Z83" s="4">
        <f>1/ZAR!B83</f>
        <v>0.13388314678948215</v>
      </c>
      <c r="AA83" s="4">
        <f>1/ZAR!C83</f>
        <v>0.13305480527429248</v>
      </c>
    </row>
    <row r="84" spans="1:27" x14ac:dyDescent="0.25">
      <c r="A84" t="str">
        <f>"25/09/2009"</f>
        <v>25/09/2009</v>
      </c>
      <c r="B84" s="3">
        <f>AUD!B84</f>
        <v>0.86370000000000002</v>
      </c>
      <c r="C84" s="3">
        <f>AUD!C84</f>
        <v>0.86170000000000002</v>
      </c>
      <c r="D84" s="3">
        <f>1/CAD!B84</f>
        <v>0.91692646249770771</v>
      </c>
      <c r="E84" s="3">
        <f>1/CAD!C84</f>
        <v>0.91692646249770771</v>
      </c>
      <c r="F84" s="3">
        <f>EUR!B84/1</f>
        <v>1.4649000000000001</v>
      </c>
      <c r="G84" s="3">
        <f>EUR!C84/1</f>
        <v>1.4648000000000001</v>
      </c>
      <c r="H84" s="3">
        <f>GBP!B84/1</f>
        <v>1.5945</v>
      </c>
      <c r="I84" s="3">
        <f>GBP!C84/1</f>
        <v>1.5943000000000001</v>
      </c>
      <c r="J84" s="4">
        <f>1/INR!B84</f>
        <v>2.0730759264058048E-2</v>
      </c>
      <c r="K84" s="4">
        <f>1/INR!C84</f>
        <v>2.0675040057890112E-2</v>
      </c>
      <c r="L84" s="4">
        <f>1/JPY!B84</f>
        <v>1.1019162323280183E-2</v>
      </c>
      <c r="M84" s="4">
        <f>1/JPY!C84</f>
        <v>1.1021275470167612E-2</v>
      </c>
      <c r="N84" s="5">
        <f>1/KRW!B84</f>
        <v>8.3626024418799135E-4</v>
      </c>
      <c r="O84" s="5">
        <f>1/KRW!C84</f>
        <v>8.3623975428600043E-4</v>
      </c>
      <c r="P84" s="3">
        <f>1/NOK!B84</f>
        <v>0.17125047093879506</v>
      </c>
      <c r="Q84" s="3">
        <f>1/NOK!C84</f>
        <v>0.17109810765492933</v>
      </c>
      <c r="R84" s="3">
        <f>NZD!B84/1</f>
        <v>0.71450000000000002</v>
      </c>
      <c r="S84" s="3">
        <f>NZD!C84/1</f>
        <v>0.71299999999999997</v>
      </c>
      <c r="T84" s="4">
        <f>1/PHP!B84</f>
        <v>2.1110407430863416E-2</v>
      </c>
      <c r="U84" s="4">
        <f>1/PHP!C84</f>
        <v>2.1039343572480537E-2</v>
      </c>
      <c r="V84" s="4">
        <f>1/TWD!B84</f>
        <v>3.0818540433925051E-2</v>
      </c>
      <c r="W84" s="4">
        <f>1/TWD!C84</f>
        <v>3.0818635412461211E-2</v>
      </c>
      <c r="X84" s="4">
        <f>1/TWD!B84</f>
        <v>3.0818540433925051E-2</v>
      </c>
      <c r="Y84" s="4">
        <f>1/TWD!C84</f>
        <v>3.0818635412461211E-2</v>
      </c>
      <c r="Z84" s="4">
        <f>1/ZAR!B84</f>
        <v>0.13342406169528612</v>
      </c>
      <c r="AA84" s="4">
        <f>1/ZAR!C84</f>
        <v>0.13262951271917028</v>
      </c>
    </row>
    <row r="85" spans="1:27" x14ac:dyDescent="0.25">
      <c r="A85" t="str">
        <f>"29/09/2009"</f>
        <v>29/09/2009</v>
      </c>
      <c r="B85" s="3">
        <f>AUD!B85</f>
        <v>0.87539999999999996</v>
      </c>
      <c r="C85" s="3">
        <f>AUD!C85</f>
        <v>0.87319999999999998</v>
      </c>
      <c r="D85" s="3">
        <f>1/CAD!B85</f>
        <v>0.92182890855457233</v>
      </c>
      <c r="E85" s="3">
        <f>1/CAD!C85</f>
        <v>0.92182890855457233</v>
      </c>
      <c r="F85" s="3">
        <f>EUR!B85/1</f>
        <v>1.4635</v>
      </c>
      <c r="G85" s="3">
        <f>EUR!C85/1</f>
        <v>1.4635</v>
      </c>
      <c r="H85" s="3">
        <f>GBP!B85/1</f>
        <v>1.5938000000000001</v>
      </c>
      <c r="I85" s="3">
        <f>GBP!C85/1</f>
        <v>1.5935999999999999</v>
      </c>
      <c r="J85" s="4">
        <f>1/INR!B85</f>
        <v>2.0824656393169511E-2</v>
      </c>
      <c r="K85" s="4">
        <f>1/INR!C85</f>
        <v>2.077598296369397E-2</v>
      </c>
      <c r="L85" s="4">
        <f>1/JPY!B85</f>
        <v>1.1120934603344065E-2</v>
      </c>
      <c r="M85" s="4">
        <f>1/JPY!C85</f>
        <v>1.1123148829955973E-2</v>
      </c>
      <c r="N85" s="5">
        <f>1/KRW!B85</f>
        <v>8.4231805929919131E-4</v>
      </c>
      <c r="O85" s="5">
        <f>1/KRW!C85</f>
        <v>8.4228989310246272E-4</v>
      </c>
      <c r="P85" s="3">
        <f>1/NOK!B85</f>
        <v>0.17150305275433902</v>
      </c>
      <c r="Q85" s="3">
        <f>1/NOK!C85</f>
        <v>0.17133556069562236</v>
      </c>
      <c r="R85" s="3">
        <f>NZD!B85/1</f>
        <v>0.72040000000000004</v>
      </c>
      <c r="S85" s="3">
        <f>NZD!C85/1</f>
        <v>0.71889999999999998</v>
      </c>
      <c r="T85" s="4">
        <f>1/PHP!B85</f>
        <v>2.1026072329688814E-2</v>
      </c>
      <c r="U85" s="4">
        <f>1/PHP!C85</f>
        <v>2.0952500680956273E-2</v>
      </c>
      <c r="V85" s="4">
        <f>1/TWD!B85</f>
        <v>3.0876586284620373E-2</v>
      </c>
      <c r="W85" s="4">
        <f>1/TWD!C85</f>
        <v>3.0876586284620373E-2</v>
      </c>
      <c r="X85" s="4">
        <f>1/TWD!B85</f>
        <v>3.0876586284620373E-2</v>
      </c>
      <c r="Y85" s="4">
        <f>1/TWD!C85</f>
        <v>3.0876586284620373E-2</v>
      </c>
      <c r="Z85" s="4">
        <f>1/ZAR!B85</f>
        <v>0.13439776362121333</v>
      </c>
      <c r="AA85" s="4">
        <f>1/ZAR!C85</f>
        <v>0.13361481521071056</v>
      </c>
    </row>
    <row r="86" spans="1:27" x14ac:dyDescent="0.25">
      <c r="A86" t="str">
        <f>"01/10/2009"</f>
        <v>01/10/2009</v>
      </c>
      <c r="B86" s="3">
        <f>AUD!B86</f>
        <v>0.88180000000000003</v>
      </c>
      <c r="C86" s="3">
        <f>AUD!C86</f>
        <v>0.87960000000000005</v>
      </c>
      <c r="D86" s="3">
        <f>1/CAD!B86</f>
        <v>0.93388121031004856</v>
      </c>
      <c r="E86" s="3">
        <f>1/CAD!C86</f>
        <v>0.93388121031004856</v>
      </c>
      <c r="F86" s="3">
        <f>EUR!B86/1</f>
        <v>1.4624999999999999</v>
      </c>
      <c r="G86" s="3">
        <f>EUR!C86/1</f>
        <v>1.4624999999999999</v>
      </c>
      <c r="H86" s="3">
        <f>GBP!B86/1</f>
        <v>1.5958000000000001</v>
      </c>
      <c r="I86" s="3">
        <f>GBP!C86/1</f>
        <v>1.5955999999999999</v>
      </c>
      <c r="J86" s="4">
        <f>1/INR!B86</f>
        <v>2.0881186051367719E-2</v>
      </c>
      <c r="K86" s="4">
        <f>1/INR!C86</f>
        <v>2.0830078633546842E-2</v>
      </c>
      <c r="L86" s="4">
        <f>1/JPY!B86</f>
        <v>1.1119759813188034E-2</v>
      </c>
      <c r="M86" s="4">
        <f>1/JPY!C86</f>
        <v>1.1121825135992115E-2</v>
      </c>
      <c r="N86" s="5">
        <f>1/KRW!B86</f>
        <v>8.4817642069550466E-4</v>
      </c>
      <c r="O86" s="5">
        <f>1/KRW!C86</f>
        <v>8.481508826494198E-4</v>
      </c>
      <c r="P86" s="3">
        <f>1/NOK!B86</f>
        <v>0.172869811744775</v>
      </c>
      <c r="Q86" s="3">
        <f>1/NOK!C86</f>
        <v>0.17270262335284872</v>
      </c>
      <c r="R86" s="3">
        <f>NZD!B86/1</f>
        <v>0.72189999999999999</v>
      </c>
      <c r="S86" s="3">
        <f>NZD!C86/1</f>
        <v>0.72040000000000004</v>
      </c>
      <c r="T86" s="4">
        <f>1/PHP!B86</f>
        <v>2.1181952976064393E-2</v>
      </c>
      <c r="U86" s="4">
        <f>1/PHP!C86</f>
        <v>2.1103724807428514E-2</v>
      </c>
      <c r="V86" s="4">
        <f>1/TWD!B86</f>
        <v>3.1124529241495225E-2</v>
      </c>
      <c r="W86" s="4">
        <f>1/TWD!C86</f>
        <v>3.1124626115428787E-2</v>
      </c>
      <c r="X86" s="4">
        <f>1/TWD!B86</f>
        <v>3.1124529241495225E-2</v>
      </c>
      <c r="Y86" s="4">
        <f>1/TWD!C86</f>
        <v>3.1124626115428787E-2</v>
      </c>
      <c r="Z86" s="4">
        <f>1/ZAR!B86</f>
        <v>0.13256094489441519</v>
      </c>
      <c r="AA86" s="4">
        <f>1/ZAR!C86</f>
        <v>0.1317731393632722</v>
      </c>
    </row>
    <row r="87" spans="1:27" x14ac:dyDescent="0.25">
      <c r="A87" t="str">
        <f>"05/10/2009"</f>
        <v>05/10/2009</v>
      </c>
      <c r="B87" s="3">
        <f>AUD!B87</f>
        <v>0.87250000000000005</v>
      </c>
      <c r="C87" s="3">
        <f>AUD!C87</f>
        <v>0.87019999999999997</v>
      </c>
      <c r="D87" s="3">
        <f>1/CAD!B87</f>
        <v>0.93075204765450481</v>
      </c>
      <c r="E87" s="3">
        <f>1/CAD!C87</f>
        <v>0.93075204765450481</v>
      </c>
      <c r="F87" s="3">
        <f>EUR!B87/1</f>
        <v>1.4629000000000001</v>
      </c>
      <c r="G87" s="3">
        <f>EUR!C87/1</f>
        <v>1.4628000000000001</v>
      </c>
      <c r="H87" s="3">
        <f>GBP!B87/1</f>
        <v>1.5975999999999999</v>
      </c>
      <c r="I87" s="3">
        <f>GBP!C87/1</f>
        <v>1.5972999999999999</v>
      </c>
      <c r="J87" s="4">
        <f>1/INR!B87</f>
        <v>2.1009506801827827E-2</v>
      </c>
      <c r="K87" s="4">
        <f>1/INR!C87</f>
        <v>2.095667208047362E-2</v>
      </c>
      <c r="L87" s="4">
        <f>1/JPY!B87</f>
        <v>1.1128421989761852E-2</v>
      </c>
      <c r="M87" s="4">
        <f>1/JPY!C87</f>
        <v>1.1130304703221554E-2</v>
      </c>
      <c r="N87" s="5">
        <f>1/KRW!B87</f>
        <v>8.5273300929478981E-4</v>
      </c>
      <c r="O87" s="5">
        <f>1/KRW!C87</f>
        <v>8.5270450582704152E-4</v>
      </c>
      <c r="P87" s="3">
        <f>1/NOK!B87</f>
        <v>0.1731511782937683</v>
      </c>
      <c r="Q87" s="3">
        <f>1/NOK!C87</f>
        <v>0.17296549338406986</v>
      </c>
      <c r="R87" s="3">
        <f>NZD!B87/1</f>
        <v>0.71989999999999998</v>
      </c>
      <c r="S87" s="3">
        <f>NZD!C87/1</f>
        <v>0.71830000000000005</v>
      </c>
      <c r="T87" s="4">
        <f>1/PHP!B87</f>
        <v>2.137208805300278E-2</v>
      </c>
      <c r="U87" s="4">
        <f>1/PHP!C87</f>
        <v>2.129698647641359E-2</v>
      </c>
      <c r="V87" s="4">
        <f>1/TWD!B87</f>
        <v>3.0996218461347716E-2</v>
      </c>
      <c r="W87" s="4">
        <f>1/TWD!C87</f>
        <v>3.0996314538201411E-2</v>
      </c>
      <c r="X87" s="4">
        <f>1/TWD!B87</f>
        <v>3.0996218461347716E-2</v>
      </c>
      <c r="Y87" s="4">
        <f>1/TWD!C87</f>
        <v>3.0996314538201411E-2</v>
      </c>
      <c r="Z87" s="4">
        <f>1/ZAR!B87</f>
        <v>0.13123359580052493</v>
      </c>
      <c r="AA87" s="4">
        <f>1/ZAR!C87</f>
        <v>0.13046484624717869</v>
      </c>
    </row>
    <row r="88" spans="1:27" x14ac:dyDescent="0.25">
      <c r="A88" t="str">
        <f>"06/10/2009"</f>
        <v>06/10/2009</v>
      </c>
      <c r="B88" s="3">
        <f>AUD!B88</f>
        <v>0.88349999999999995</v>
      </c>
      <c r="C88" s="3">
        <f>AUD!C88</f>
        <v>0.88109999999999999</v>
      </c>
      <c r="D88" s="3">
        <f>1/CAD!B88</f>
        <v>0.93545369504209541</v>
      </c>
      <c r="E88" s="3">
        <f>1/CAD!C88</f>
        <v>0.93545369504209541</v>
      </c>
      <c r="F88" s="3">
        <f>EUR!B88/1</f>
        <v>1.4704999999999999</v>
      </c>
      <c r="G88" s="3">
        <f>EUR!C88/1</f>
        <v>1.4703999999999999</v>
      </c>
      <c r="H88" s="3">
        <f>GBP!B88/1</f>
        <v>1.5965</v>
      </c>
      <c r="I88" s="3">
        <f>GBP!C88/1</f>
        <v>1.5962000000000001</v>
      </c>
      <c r="J88" s="4">
        <f>1/INR!B88</f>
        <v>2.1190930281839375E-2</v>
      </c>
      <c r="K88" s="4">
        <f>1/INR!C88</f>
        <v>2.1141649048625793E-2</v>
      </c>
      <c r="L88" s="4">
        <f>1/JPY!B88</f>
        <v>1.121830827911151E-2</v>
      </c>
      <c r="M88" s="4">
        <f>1/JPY!C88</f>
        <v>1.1220397785542293E-2</v>
      </c>
      <c r="N88" s="5">
        <f>1/KRW!B88</f>
        <v>8.5477391230019651E-4</v>
      </c>
      <c r="O88" s="5">
        <f>1/KRW!C88</f>
        <v>8.5474746400701163E-4</v>
      </c>
      <c r="P88" s="3">
        <f>1/NOK!B88</f>
        <v>0.17481600615352341</v>
      </c>
      <c r="Q88" s="3">
        <f>1/NOK!C88</f>
        <v>0.17463283446553621</v>
      </c>
      <c r="R88" s="3">
        <f>NZD!B88/1</f>
        <v>0.73229999999999995</v>
      </c>
      <c r="S88" s="3">
        <f>NZD!C88/1</f>
        <v>0.73060000000000003</v>
      </c>
      <c r="T88" s="4">
        <f>1/PHP!B88</f>
        <v>2.1496130696474634E-2</v>
      </c>
      <c r="U88" s="4">
        <f>1/PHP!C88</f>
        <v>2.1422450728363324E-2</v>
      </c>
      <c r="V88" s="4">
        <f>1/TWD!B88</f>
        <v>3.1115813056195159E-2</v>
      </c>
      <c r="W88" s="4">
        <f>1/TWD!C88</f>
        <v>3.1115909875878634E-2</v>
      </c>
      <c r="X88" s="4">
        <f>1/TWD!B88</f>
        <v>3.1115813056195159E-2</v>
      </c>
      <c r="Y88" s="4">
        <f>1/TWD!C88</f>
        <v>3.1115909875878634E-2</v>
      </c>
      <c r="Z88" s="4">
        <f>1/ZAR!B88</f>
        <v>0.13342228152101401</v>
      </c>
      <c r="AA88" s="4">
        <f>1/ZAR!C88</f>
        <v>0.13259082471492972</v>
      </c>
    </row>
    <row r="89" spans="1:27" x14ac:dyDescent="0.25">
      <c r="A89" t="str">
        <f>"07/10/2009"</f>
        <v>07/10/2009</v>
      </c>
      <c r="B89" s="3">
        <f>AUD!B89</f>
        <v>0.88859999999999995</v>
      </c>
      <c r="C89" s="3">
        <f>AUD!C89</f>
        <v>0.88629999999999998</v>
      </c>
      <c r="D89" s="3">
        <f>1/CAD!B89</f>
        <v>0.94215187488223107</v>
      </c>
      <c r="E89" s="3">
        <f>1/CAD!C89</f>
        <v>0.94215187488223107</v>
      </c>
      <c r="F89" s="3">
        <f>EUR!B89/1</f>
        <v>1.4697</v>
      </c>
      <c r="G89" s="3">
        <f>EUR!C89/1</f>
        <v>1.4697</v>
      </c>
      <c r="H89" s="3">
        <f>GBP!B89/1</f>
        <v>1.5892999999999999</v>
      </c>
      <c r="I89" s="3">
        <f>GBP!C89/1</f>
        <v>1.5891</v>
      </c>
      <c r="J89" s="4">
        <f>1/INR!B89</f>
        <v>2.1319688732544504E-2</v>
      </c>
      <c r="K89" s="4">
        <f>1/INR!C89</f>
        <v>2.127093858016485E-2</v>
      </c>
      <c r="L89" s="4">
        <f>1/JPY!B89</f>
        <v>1.1245937405112403E-2</v>
      </c>
      <c r="M89" s="4">
        <f>1/JPY!C89</f>
        <v>1.1248138433089324E-2</v>
      </c>
      <c r="N89" s="5">
        <f>1/KRW!B89</f>
        <v>8.5280573085451145E-4</v>
      </c>
      <c r="O89" s="5">
        <f>1/KRW!C89</f>
        <v>8.5277962238747762E-4</v>
      </c>
      <c r="P89" s="3">
        <f>1/NOK!B89</f>
        <v>0.17545706565603397</v>
      </c>
      <c r="Q89" s="3">
        <f>1/NOK!C89</f>
        <v>0.17527254881340484</v>
      </c>
      <c r="R89" s="3">
        <f>NZD!B89/1</f>
        <v>0.73380000000000001</v>
      </c>
      <c r="S89" s="3">
        <f>NZD!C89/1</f>
        <v>0.73219999999999996</v>
      </c>
      <c r="T89" s="4">
        <f>1/PHP!B89</f>
        <v>2.1417862497322769E-2</v>
      </c>
      <c r="U89" s="4">
        <f>1/PHP!C89</f>
        <v>2.135383301302584E-2</v>
      </c>
      <c r="V89" s="4">
        <f>1/TWD!B89</f>
        <v>3.1072305254326818E-2</v>
      </c>
      <c r="W89" s="4">
        <f>1/TWD!C89</f>
        <v>3.1072401803442205E-2</v>
      </c>
      <c r="X89" s="4">
        <f>1/TWD!B89</f>
        <v>3.1072305254326818E-2</v>
      </c>
      <c r="Y89" s="4">
        <f>1/TWD!C89</f>
        <v>3.1072401803442205E-2</v>
      </c>
      <c r="Z89" s="4">
        <f>1/ZAR!B89</f>
        <v>0.13418316001341832</v>
      </c>
      <c r="AA89" s="4">
        <f>1/ZAR!C89</f>
        <v>0.13338668800853676</v>
      </c>
    </row>
    <row r="90" spans="1:27" x14ac:dyDescent="0.25">
      <c r="A90" t="str">
        <f>"08/10/2009"</f>
        <v>08/10/2009</v>
      </c>
      <c r="B90" s="3">
        <f>AUD!B90</f>
        <v>0.90210000000000001</v>
      </c>
      <c r="C90" s="3">
        <f>AUD!C90</f>
        <v>0.89970000000000006</v>
      </c>
      <c r="D90" s="3">
        <f>1/CAD!B90</f>
        <v>0.94732853353543001</v>
      </c>
      <c r="E90" s="3">
        <f>1/CAD!C90</f>
        <v>0.94732853353543001</v>
      </c>
      <c r="F90" s="3">
        <f>EUR!B90/1</f>
        <v>1.4762999999999999</v>
      </c>
      <c r="G90" s="3">
        <f>EUR!C90/1</f>
        <v>1.4762</v>
      </c>
      <c r="H90" s="3">
        <f>GBP!B90/1</f>
        <v>1.5999000000000001</v>
      </c>
      <c r="I90" s="3">
        <f>GBP!C90/1</f>
        <v>1.5996999999999999</v>
      </c>
      <c r="J90" s="4">
        <f>1/INR!B90</f>
        <v>2.1537798836958864E-2</v>
      </c>
      <c r="K90" s="4">
        <f>1/INR!C90</f>
        <v>2.14799699280421E-2</v>
      </c>
      <c r="L90" s="4">
        <f>1/JPY!B90</f>
        <v>1.1325028312570783E-2</v>
      </c>
      <c r="M90" s="4">
        <f>1/JPY!C90</f>
        <v>1.1327183427877559E-2</v>
      </c>
      <c r="N90" s="5">
        <f>1/KRW!B90</f>
        <v>8.5572479890467232E-4</v>
      </c>
      <c r="O90" s="5">
        <f>1/KRW!C90</f>
        <v>8.5570180640362741E-4</v>
      </c>
      <c r="P90" s="3">
        <f>1/NOK!B90</f>
        <v>0.17696609329652438</v>
      </c>
      <c r="Q90" s="3">
        <f>1/NOK!C90</f>
        <v>0.17678464095039423</v>
      </c>
      <c r="R90" s="3">
        <f>NZD!B90/1</f>
        <v>0.74039999999999995</v>
      </c>
      <c r="S90" s="3">
        <f>NZD!C90/1</f>
        <v>0.73880000000000001</v>
      </c>
      <c r="T90" s="4">
        <f>1/PHP!B90</f>
        <v>2.151694459386767E-2</v>
      </c>
      <c r="U90" s="4">
        <f>1/PHP!C90</f>
        <v>2.1448641228578171E-2</v>
      </c>
      <c r="V90" s="4">
        <f>1/TWD!B90</f>
        <v>3.1120654778576538E-2</v>
      </c>
      <c r="W90" s="4">
        <f>1/TWD!C90</f>
        <v>3.1120751628393329E-2</v>
      </c>
      <c r="X90" s="4">
        <f>1/TWD!B90</f>
        <v>3.1120654778576538E-2</v>
      </c>
      <c r="Y90" s="4">
        <f>1/TWD!C90</f>
        <v>3.1120751628393329E-2</v>
      </c>
      <c r="Z90" s="4">
        <f>1/ZAR!B90</f>
        <v>0.13541511503514023</v>
      </c>
      <c r="AA90" s="4">
        <f>1/ZAR!C90</f>
        <v>0.134603995046573</v>
      </c>
    </row>
    <row r="91" spans="1:27" x14ac:dyDescent="0.25">
      <c r="A91" t="str">
        <f>"09/10/2009"</f>
        <v>09/10/2009</v>
      </c>
      <c r="B91" s="3">
        <f>AUD!B91</f>
        <v>0.90300000000000002</v>
      </c>
      <c r="C91" s="3">
        <f>AUD!C91</f>
        <v>0.90059999999999996</v>
      </c>
      <c r="D91" s="3">
        <f>1/CAD!B91</f>
        <v>0.94822681585435242</v>
      </c>
      <c r="E91" s="3">
        <f>1/CAD!C91</f>
        <v>0.94822681585435242</v>
      </c>
      <c r="F91" s="3">
        <f>EUR!B91/1</f>
        <v>1.4718</v>
      </c>
      <c r="G91" s="3">
        <f>EUR!C91/1</f>
        <v>1.4717</v>
      </c>
      <c r="H91" s="3">
        <f>GBP!B91/1</f>
        <v>1.601</v>
      </c>
      <c r="I91" s="3">
        <f>GBP!C91/1</f>
        <v>1.6008</v>
      </c>
      <c r="J91" s="4">
        <f>1/INR!B91</f>
        <v>2.1558693543171286E-2</v>
      </c>
      <c r="K91" s="4">
        <f>1/INR!C91</f>
        <v>2.1507688998817078E-2</v>
      </c>
      <c r="L91" s="4">
        <f>1/JPY!B91</f>
        <v>1.1222085063404781E-2</v>
      </c>
      <c r="M91" s="4">
        <f>1/JPY!C91</f>
        <v>1.1224528738160929E-2</v>
      </c>
      <c r="N91" s="5">
        <f>1/KRW!B91</f>
        <v>8.5616438356164379E-4</v>
      </c>
      <c r="O91" s="5">
        <f>1/KRW!C91</f>
        <v>8.5613975488376358E-4</v>
      </c>
      <c r="P91" s="3">
        <f>1/NOK!B91</f>
        <v>0.17609354088892021</v>
      </c>
      <c r="Q91" s="3">
        <f>1/NOK!C91</f>
        <v>0.17590768364762172</v>
      </c>
      <c r="R91" s="3">
        <f>NZD!B91/1</f>
        <v>0.73899999999999999</v>
      </c>
      <c r="S91" s="3">
        <f>NZD!C91/1</f>
        <v>0.73729999999999996</v>
      </c>
      <c r="T91" s="4">
        <f>1/PHP!B91</f>
        <v>2.1473051320592657E-2</v>
      </c>
      <c r="U91" s="4">
        <f>1/PHP!C91</f>
        <v>2.1408691928923144E-2</v>
      </c>
      <c r="V91" s="4">
        <f>1/TWD!B91</f>
        <v>3.1026993484331373E-2</v>
      </c>
      <c r="W91" s="4">
        <f>1/TWD!C91</f>
        <v>3.1027089752062524E-2</v>
      </c>
      <c r="X91" s="4">
        <f>1/TWD!B91</f>
        <v>3.1026993484331373E-2</v>
      </c>
      <c r="Y91" s="4">
        <f>1/TWD!C91</f>
        <v>3.1027089752062524E-2</v>
      </c>
      <c r="Z91" s="4">
        <f>1/ZAR!B91</f>
        <v>0.13504571297384166</v>
      </c>
      <c r="AA91" s="4">
        <f>1/ZAR!C91</f>
        <v>0.1342480097732551</v>
      </c>
    </row>
    <row r="92" spans="1:27" x14ac:dyDescent="0.25">
      <c r="A92" t="str">
        <f>"12/10/2009"</f>
        <v>12/10/2009</v>
      </c>
      <c r="B92" s="3">
        <f>AUD!B92</f>
        <v>0.90249999999999997</v>
      </c>
      <c r="C92" s="3">
        <f>AUD!C92</f>
        <v>0.89990000000000003</v>
      </c>
      <c r="D92" s="3">
        <f>1/CAD!B92</f>
        <v>0.95812973076554564</v>
      </c>
      <c r="E92" s="3">
        <f>1/CAD!C92</f>
        <v>0.95812973076554564</v>
      </c>
      <c r="F92" s="3">
        <f>EUR!B92/1</f>
        <v>1.47</v>
      </c>
      <c r="G92" s="3">
        <f>EUR!C92/1</f>
        <v>1.4699</v>
      </c>
      <c r="H92" s="3">
        <f>GBP!B92/1</f>
        <v>1.5827</v>
      </c>
      <c r="I92" s="3">
        <f>GBP!C92/1</f>
        <v>1.5824</v>
      </c>
      <c r="J92" s="4">
        <f>1/INR!B92</f>
        <v>2.1488047273704E-2</v>
      </c>
      <c r="K92" s="4">
        <f>1/INR!C92</f>
        <v>2.1436227224008574E-2</v>
      </c>
      <c r="L92" s="4">
        <f>1/JPY!B92</f>
        <v>1.1095084877399313E-2</v>
      </c>
      <c r="M92" s="4">
        <f>1/JPY!C92</f>
        <v>1.1097485864577379E-2</v>
      </c>
      <c r="N92" s="5">
        <f>1/KRW!B92</f>
        <v>8.5524909129784047E-4</v>
      </c>
      <c r="O92" s="5">
        <f>1/KRW!C92</f>
        <v>8.5522495409580065E-4</v>
      </c>
      <c r="P92" s="3">
        <f>1/NOK!B92</f>
        <v>0.17695356738391846</v>
      </c>
      <c r="Q92" s="3">
        <f>1/NOK!C92</f>
        <v>0.17676276669082425</v>
      </c>
      <c r="R92" s="3">
        <f>NZD!B92/1</f>
        <v>0.72770000000000001</v>
      </c>
      <c r="S92" s="3">
        <f>NZD!C92/1</f>
        <v>0.72589999999999999</v>
      </c>
      <c r="T92" s="4">
        <f>1/PHP!B92</f>
        <v>2.1489201676157733E-2</v>
      </c>
      <c r="U92" s="4">
        <f>1/PHP!C92</f>
        <v>2.142015636714148E-2</v>
      </c>
      <c r="V92" s="4">
        <f>1/TWD!B92</f>
        <v>3.0986613782845812E-2</v>
      </c>
      <c r="W92" s="4">
        <f>1/TWD!C92</f>
        <v>3.0986709800166705E-2</v>
      </c>
      <c r="X92" s="4">
        <f>1/TWD!B92</f>
        <v>3.0986613782845812E-2</v>
      </c>
      <c r="Y92" s="4">
        <f>1/TWD!C92</f>
        <v>3.0986709800166705E-2</v>
      </c>
      <c r="Z92" s="4">
        <f>1/ZAR!B92</f>
        <v>0.13458950201884254</v>
      </c>
      <c r="AA92" s="4">
        <f>1/ZAR!C92</f>
        <v>0.13377926421404682</v>
      </c>
    </row>
    <row r="93" spans="1:27" x14ac:dyDescent="0.25">
      <c r="A93" t="str">
        <f>"14/10/2009"</f>
        <v>14/10/2009</v>
      </c>
      <c r="B93" s="3">
        <f>AUD!B93</f>
        <v>0.9123</v>
      </c>
      <c r="C93" s="3">
        <f>AUD!C93</f>
        <v>0.90980000000000005</v>
      </c>
      <c r="D93" s="3">
        <f>1/CAD!B93</f>
        <v>0.97266802840190647</v>
      </c>
      <c r="E93" s="3">
        <f>1/CAD!C93</f>
        <v>0.97266802840190647</v>
      </c>
      <c r="F93" s="3">
        <f>EUR!B93/1</f>
        <v>1.4883999999999999</v>
      </c>
      <c r="G93" s="3">
        <f>EUR!C93/1</f>
        <v>1.4883</v>
      </c>
      <c r="H93" s="3">
        <f>GBP!B93/1</f>
        <v>1.5935999999999999</v>
      </c>
      <c r="I93" s="3">
        <f>GBP!C93/1</f>
        <v>1.5932999999999999</v>
      </c>
      <c r="J93" s="4">
        <f>1/INR!B93</f>
        <v>2.16485360177518E-2</v>
      </c>
      <c r="K93" s="4">
        <f>1/INR!C93</f>
        <v>2.1602937999567941E-2</v>
      </c>
      <c r="L93" s="4">
        <f>1/JPY!B93</f>
        <v>1.1211893576706169E-2</v>
      </c>
      <c r="M93" s="4">
        <f>1/JPY!C93</f>
        <v>1.1214131600077153E-2</v>
      </c>
      <c r="N93" s="5">
        <f>1/KRW!B93</f>
        <v>8.5770649283815068E-4</v>
      </c>
      <c r="O93" s="5">
        <f>1/KRW!C93</f>
        <v>8.5768530634117634E-4</v>
      </c>
      <c r="P93" s="3">
        <f>1/NOK!B93</f>
        <v>0.1782848992690319</v>
      </c>
      <c r="Q93" s="3">
        <f>1/NOK!C93</f>
        <v>0.17809121832202454</v>
      </c>
      <c r="R93" s="3">
        <f>NZD!B93/1</f>
        <v>0.73909999999999998</v>
      </c>
      <c r="S93" s="3">
        <f>NZD!C93/1</f>
        <v>0.73750000000000004</v>
      </c>
      <c r="T93" s="4">
        <f>1/PHP!B93</f>
        <v>2.1523891519586742E-2</v>
      </c>
      <c r="U93" s="4">
        <f>1/PHP!C93</f>
        <v>2.1450941696340469E-2</v>
      </c>
      <c r="V93" s="4">
        <f>1/TWD!B93</f>
        <v>3.1009675018605808E-2</v>
      </c>
      <c r="W93" s="4">
        <f>1/TWD!C93</f>
        <v>3.1009771178898471E-2</v>
      </c>
      <c r="X93" s="4">
        <f>1/TWD!B93</f>
        <v>3.1009675018605808E-2</v>
      </c>
      <c r="Y93" s="4">
        <f>1/TWD!C93</f>
        <v>3.1009771178898471E-2</v>
      </c>
      <c r="Z93" s="4">
        <f>1/ZAR!B93</f>
        <v>0.13645357167223851</v>
      </c>
      <c r="AA93" s="4">
        <f>1/ZAR!C93</f>
        <v>0.1356391997287216</v>
      </c>
    </row>
    <row r="94" spans="1:27" x14ac:dyDescent="0.25">
      <c r="A94" t="str">
        <f>"15/10/2009"</f>
        <v>15/10/2009</v>
      </c>
      <c r="B94" s="3">
        <f>AUD!B94</f>
        <v>0.92169999999999996</v>
      </c>
      <c r="C94" s="3">
        <f>AUD!C94</f>
        <v>0.91920000000000002</v>
      </c>
      <c r="D94" s="3">
        <f>1/CAD!B94</f>
        <v>0.97924010967489217</v>
      </c>
      <c r="E94" s="3">
        <f>1/CAD!C94</f>
        <v>0.97924010967489217</v>
      </c>
      <c r="F94" s="3">
        <f>EUR!B94/1</f>
        <v>1.4956</v>
      </c>
      <c r="G94" s="3">
        <f>EUR!C94/1</f>
        <v>1.4955000000000001</v>
      </c>
      <c r="H94" s="3">
        <f>GBP!B94/1</f>
        <v>1.6055999999999999</v>
      </c>
      <c r="I94" s="3">
        <f>GBP!C94/1</f>
        <v>1.6052999999999999</v>
      </c>
      <c r="J94" s="4">
        <f>1/INR!B94</f>
        <v>2.1798365122615803E-2</v>
      </c>
      <c r="K94" s="4">
        <f>1/INR!C94</f>
        <v>2.1747403903659E-2</v>
      </c>
      <c r="L94" s="4">
        <f>1/JPY!B94</f>
        <v>1.1179304870823133E-2</v>
      </c>
      <c r="M94" s="4">
        <f>1/JPY!C94</f>
        <v>1.1181417378829776E-2</v>
      </c>
      <c r="N94" s="5">
        <f>1/KRW!B94</f>
        <v>8.6318515321536469E-4</v>
      </c>
      <c r="O94" s="5">
        <f>1/KRW!C94</f>
        <v>8.6315967193717708E-4</v>
      </c>
      <c r="P94" s="3">
        <f>1/NOK!B94</f>
        <v>0.1810610175629187</v>
      </c>
      <c r="Q94" s="3">
        <f>1/NOK!C94</f>
        <v>0.18085799030601171</v>
      </c>
      <c r="R94" s="3">
        <f>NZD!B94/1</f>
        <v>0.74770000000000003</v>
      </c>
      <c r="S94" s="3">
        <f>NZD!C94/1</f>
        <v>0.746</v>
      </c>
      <c r="T94" s="4">
        <f>1/PHP!B94</f>
        <v>2.1619284401686301E-2</v>
      </c>
      <c r="U94" s="4">
        <f>1/PHP!C94</f>
        <v>2.1551724137931036E-2</v>
      </c>
      <c r="V94" s="4">
        <f>1/TWD!B94</f>
        <v>3.1040476781723367E-2</v>
      </c>
      <c r="W94" s="4">
        <f>1/TWD!C94</f>
        <v>3.1040573133142332E-2</v>
      </c>
      <c r="X94" s="4">
        <f>1/TWD!B94</f>
        <v>3.1040476781723367E-2</v>
      </c>
      <c r="Y94" s="4">
        <f>1/TWD!C94</f>
        <v>3.1040573133142332E-2</v>
      </c>
      <c r="Z94" s="4">
        <f>1/ZAR!B94</f>
        <v>0.13783597518952448</v>
      </c>
      <c r="AA94" s="4">
        <f>1/ZAR!C94</f>
        <v>0.13702759735810793</v>
      </c>
    </row>
    <row r="95" spans="1:27" x14ac:dyDescent="0.25">
      <c r="A95" t="str">
        <f>"16/10/2009"</f>
        <v>16/10/2009</v>
      </c>
      <c r="B95" s="3">
        <f>AUD!B95</f>
        <v>0.92369999999999997</v>
      </c>
      <c r="C95" s="3">
        <f>AUD!C95</f>
        <v>0.92100000000000004</v>
      </c>
      <c r="D95" s="3">
        <f>1/CAD!B95</f>
        <v>0.96936797208220238</v>
      </c>
      <c r="E95" s="3">
        <f>1/CAD!C95</f>
        <v>0.96936797208220238</v>
      </c>
      <c r="F95" s="3">
        <f>EUR!B95/1</f>
        <v>1.4934000000000001</v>
      </c>
      <c r="G95" s="3">
        <f>EUR!C95/1</f>
        <v>1.4933000000000001</v>
      </c>
      <c r="H95" s="3">
        <f>GBP!B95/1</f>
        <v>1.6366000000000001</v>
      </c>
      <c r="I95" s="3">
        <f>GBP!C95/1</f>
        <v>1.6363000000000001</v>
      </c>
      <c r="J95" s="4">
        <f>1/INR!B95</f>
        <v>2.1675517502980385E-2</v>
      </c>
      <c r="K95" s="4">
        <f>1/INR!C95</f>
        <v>2.1622790421103842E-2</v>
      </c>
      <c r="L95" s="4">
        <f>1/JPY!B95</f>
        <v>1.1021469823215625E-2</v>
      </c>
      <c r="M95" s="4">
        <f>1/JPY!C95</f>
        <v>1.1023498792375708E-2</v>
      </c>
      <c r="N95" s="5">
        <f>1/KRW!B95</f>
        <v>8.6370703057522889E-4</v>
      </c>
      <c r="O95" s="5">
        <f>1/KRW!C95</f>
        <v>8.6368092172027966E-4</v>
      </c>
      <c r="P95" s="3">
        <f>1/NOK!B95</f>
        <v>0.17979144192736424</v>
      </c>
      <c r="Q95" s="3">
        <f>1/NOK!C95</f>
        <v>0.17958157493041213</v>
      </c>
      <c r="R95" s="3">
        <f>NZD!B95/1</f>
        <v>0.74619999999999997</v>
      </c>
      <c r="S95" s="3">
        <f>NZD!C95/1</f>
        <v>0.74450000000000005</v>
      </c>
      <c r="T95" s="4">
        <f>1/PHP!B95</f>
        <v>2.1570319240724764E-2</v>
      </c>
      <c r="U95" s="4">
        <f>1/PHP!C95</f>
        <v>2.1499365768709824E-2</v>
      </c>
      <c r="V95" s="4">
        <f>1/TWD!B95</f>
        <v>3.0993336432666975E-2</v>
      </c>
      <c r="W95" s="4">
        <f>1/TWD!C95</f>
        <v>3.099343249165502E-2</v>
      </c>
      <c r="X95" s="4">
        <f>1/TWD!B95</f>
        <v>3.0993336432666975E-2</v>
      </c>
      <c r="Y95" s="4">
        <f>1/TWD!C95</f>
        <v>3.099343249165502E-2</v>
      </c>
      <c r="Z95" s="4">
        <f>1/ZAR!B95</f>
        <v>0.137221269296741</v>
      </c>
      <c r="AA95" s="4">
        <f>1/ZAR!C95</f>
        <v>0.13641076008075517</v>
      </c>
    </row>
    <row r="96" spans="1:27" x14ac:dyDescent="0.25">
      <c r="A96" t="str">
        <f>"20/10/2009"</f>
        <v>20/10/2009</v>
      </c>
      <c r="B96" s="3">
        <f>AUD!B96</f>
        <v>0.92869999999999997</v>
      </c>
      <c r="C96" s="3">
        <f>AUD!C96</f>
        <v>0.92589999999999995</v>
      </c>
      <c r="D96" s="3">
        <f>1/CAD!B96</f>
        <v>0.97219521679953336</v>
      </c>
      <c r="E96" s="3">
        <f>1/CAD!C96</f>
        <v>0.97219521679953336</v>
      </c>
      <c r="F96" s="3">
        <f>EUR!B96/1</f>
        <v>1.4978</v>
      </c>
      <c r="G96" s="3">
        <f>EUR!C96/1</f>
        <v>1.4977</v>
      </c>
      <c r="H96" s="3">
        <f>GBP!B96/1</f>
        <v>1.6397999999999999</v>
      </c>
      <c r="I96" s="3">
        <f>GBP!C96/1</f>
        <v>1.6395</v>
      </c>
      <c r="J96" s="4">
        <f>1/INR!B96</f>
        <v>2.1717884678032359E-2</v>
      </c>
      <c r="K96" s="4">
        <f>1/INR!C96</f>
        <v>2.1666125013541329E-2</v>
      </c>
      <c r="L96" s="4">
        <f>1/JPY!B96</f>
        <v>1.1059500110595E-2</v>
      </c>
      <c r="M96" s="4">
        <f>1/JPY!C96</f>
        <v>1.1061751119449213E-2</v>
      </c>
      <c r="N96" s="5">
        <f>1/KRW!B96</f>
        <v>8.5667780347811187E-4</v>
      </c>
      <c r="O96" s="5">
        <f>1/KRW!C96</f>
        <v>8.5665042999996666E-4</v>
      </c>
      <c r="P96" s="3">
        <f>1/NOK!B96</f>
        <v>0.17968160419736226</v>
      </c>
      <c r="Q96" s="3">
        <f>1/NOK!C96</f>
        <v>0.17945266935845672</v>
      </c>
      <c r="R96" s="3">
        <f>NZD!B96/1</f>
        <v>0.75419999999999998</v>
      </c>
      <c r="S96" s="3">
        <f>NZD!C96/1</f>
        <v>0.75239999999999996</v>
      </c>
      <c r="T96" s="4">
        <f>1/PHP!B96</f>
        <v>2.1496130696474634E-2</v>
      </c>
      <c r="U96" s="4">
        <f>1/PHP!C96</f>
        <v>2.141923876025446E-2</v>
      </c>
      <c r="V96" s="4">
        <f>1/TWD!B96</f>
        <v>3.0993336432666975E-2</v>
      </c>
      <c r="W96" s="4">
        <f>1/TWD!C96</f>
        <v>3.099343249165502E-2</v>
      </c>
      <c r="X96" s="4">
        <f>1/TWD!B96</f>
        <v>3.0993336432666975E-2</v>
      </c>
      <c r="Y96" s="4">
        <f>1/TWD!C96</f>
        <v>3.099343249165502E-2</v>
      </c>
      <c r="Z96" s="4">
        <f>1/ZAR!B96</f>
        <v>0.13635124079629124</v>
      </c>
      <c r="AA96" s="4">
        <f>1/ZAR!C96</f>
        <v>0.13542061643464601</v>
      </c>
    </row>
    <row r="97" spans="1:27" x14ac:dyDescent="0.25">
      <c r="A97" t="str">
        <f>"21/10/2009"</f>
        <v>21/10/2009</v>
      </c>
      <c r="B97" s="3">
        <f>AUD!B97</f>
        <v>0.92249999999999999</v>
      </c>
      <c r="C97" s="3">
        <f>AUD!C97</f>
        <v>0.91990000000000005</v>
      </c>
      <c r="D97" s="3">
        <f>1/CAD!B97</f>
        <v>0.95265313899209292</v>
      </c>
      <c r="E97" s="3">
        <f>1/CAD!C97</f>
        <v>0.95265313899209292</v>
      </c>
      <c r="F97" s="3">
        <f>EUR!B97/1</f>
        <v>1.4921</v>
      </c>
      <c r="G97" s="3">
        <f>EUR!C97/1</f>
        <v>1.492</v>
      </c>
      <c r="H97" s="3">
        <f>GBP!B97/1</f>
        <v>1.6379999999999999</v>
      </c>
      <c r="I97" s="3">
        <f>GBP!C97/1</f>
        <v>1.6376999999999999</v>
      </c>
      <c r="J97" s="4">
        <f>1/INR!B97</f>
        <v>2.1508845512717104E-2</v>
      </c>
      <c r="K97" s="4">
        <f>1/INR!C97</f>
        <v>2.1455774285254518E-2</v>
      </c>
      <c r="L97" s="4">
        <f>1/JPY!B97</f>
        <v>1.1027790030877812E-2</v>
      </c>
      <c r="M97" s="4">
        <f>1/JPY!C97</f>
        <v>1.1029809162241876E-2</v>
      </c>
      <c r="N97" s="5">
        <f>1/KRW!B97</f>
        <v>8.4745762711864404E-4</v>
      </c>
      <c r="O97" s="5">
        <f>1/KRW!C97</f>
        <v>8.4742064223468209E-4</v>
      </c>
      <c r="P97" s="3">
        <f>1/NOK!B97</f>
        <v>0.17848218747768971</v>
      </c>
      <c r="Q97" s="3">
        <f>1/NOK!C97</f>
        <v>0.17826900793297087</v>
      </c>
      <c r="R97" s="3">
        <f>NZD!B97/1</f>
        <v>0.74919999999999998</v>
      </c>
      <c r="S97" s="3">
        <f>NZD!C97/1</f>
        <v>0.74750000000000005</v>
      </c>
      <c r="T97" s="4">
        <f>1/PHP!B97</f>
        <v>2.1281123643328365E-2</v>
      </c>
      <c r="U97" s="4">
        <f>1/PHP!C97</f>
        <v>2.1208907741251327E-2</v>
      </c>
      <c r="V97" s="4">
        <f>1/TWD!B97</f>
        <v>3.0896619909781872E-2</v>
      </c>
      <c r="W97" s="4">
        <f>1/TWD!C97</f>
        <v>3.0896715370188992E-2</v>
      </c>
      <c r="X97" s="4">
        <f>1/TWD!B97</f>
        <v>3.0896619909781872E-2</v>
      </c>
      <c r="Y97" s="4">
        <f>1/TWD!C97</f>
        <v>3.0896715370188992E-2</v>
      </c>
      <c r="Z97" s="4">
        <f>1/ZAR!B97</f>
        <v>0.13494184006693116</v>
      </c>
      <c r="AA97" s="4">
        <f>1/ZAR!C97</f>
        <v>0.13405364827003768</v>
      </c>
    </row>
    <row r="98" spans="1:27" x14ac:dyDescent="0.25">
      <c r="A98" t="str">
        <f>"22/10/2009"</f>
        <v>22/10/2009</v>
      </c>
      <c r="B98" s="3">
        <f>AUD!B98</f>
        <v>0.92369999999999997</v>
      </c>
      <c r="C98" s="3">
        <f>AUD!C98</f>
        <v>0.92100000000000004</v>
      </c>
      <c r="D98" s="3">
        <f>1/CAD!B98</f>
        <v>0.95510983763132762</v>
      </c>
      <c r="E98" s="3">
        <f>1/CAD!C98</f>
        <v>0.95510983763132762</v>
      </c>
      <c r="F98" s="3">
        <f>EUR!B98/1</f>
        <v>1.4986999999999999</v>
      </c>
      <c r="G98" s="3">
        <f>EUR!C98/1</f>
        <v>1.4984999999999999</v>
      </c>
      <c r="H98" s="3">
        <f>GBP!B98/1</f>
        <v>1.6598999999999999</v>
      </c>
      <c r="I98" s="3">
        <f>GBP!C98/1</f>
        <v>1.6595</v>
      </c>
      <c r="J98" s="4">
        <f>1/INR!B98</f>
        <v>2.14799699280421E-2</v>
      </c>
      <c r="K98" s="4">
        <f>1/INR!C98</f>
        <v>2.1427040925648167E-2</v>
      </c>
      <c r="L98" s="4">
        <f>1/JPY!B98</f>
        <v>1.0978153474585575E-2</v>
      </c>
      <c r="M98" s="4">
        <f>1/JPY!C98</f>
        <v>1.0979877179093874E-2</v>
      </c>
      <c r="N98" s="5">
        <f>1/KRW!B98</f>
        <v>8.4309923277969823E-4</v>
      </c>
      <c r="O98" s="5">
        <f>1/KRW!C98</f>
        <v>8.4306163227354579E-4</v>
      </c>
      <c r="P98" s="3">
        <f>1/NOK!B98</f>
        <v>0.17953966031096269</v>
      </c>
      <c r="Q98" s="3">
        <f>1/NOK!C98</f>
        <v>0.17932394871335067</v>
      </c>
      <c r="R98" s="3">
        <f>NZD!B98/1</f>
        <v>0.75149999999999995</v>
      </c>
      <c r="S98" s="3">
        <f>NZD!C98/1</f>
        <v>0.74980000000000002</v>
      </c>
      <c r="T98" s="4">
        <f>1/PHP!B98</f>
        <v>2.1231422505307854E-2</v>
      </c>
      <c r="U98" s="4">
        <f>1/PHP!C98</f>
        <v>2.1162677501957546E-2</v>
      </c>
      <c r="V98" s="4">
        <f>1/TWD!B98</f>
        <v>3.0875632950475487E-2</v>
      </c>
      <c r="W98" s="4">
        <f>1/TWD!C98</f>
        <v>3.0875632950475487E-2</v>
      </c>
      <c r="X98" s="4">
        <f>1/TWD!B98</f>
        <v>3.0875632950475487E-2</v>
      </c>
      <c r="Y98" s="4">
        <f>1/TWD!C98</f>
        <v>3.0875632950475487E-2</v>
      </c>
      <c r="Z98" s="4">
        <f>1/ZAR!B98</f>
        <v>0.13467469327838605</v>
      </c>
      <c r="AA98" s="4">
        <f>1/ZAR!C98</f>
        <v>0.13389210973797314</v>
      </c>
    </row>
    <row r="99" spans="1:27" x14ac:dyDescent="0.25">
      <c r="A99" t="str">
        <f>"23/10/2009"</f>
        <v>23/10/2009</v>
      </c>
      <c r="B99" s="3">
        <f>AUD!B99</f>
        <v>0.92859999999999998</v>
      </c>
      <c r="C99" s="3">
        <f>AUD!C99</f>
        <v>0.92579999999999996</v>
      </c>
      <c r="D99" s="3">
        <f>1/CAD!B99</f>
        <v>0.9549274255156609</v>
      </c>
      <c r="E99" s="3">
        <f>1/CAD!C99</f>
        <v>0.9549274255156609</v>
      </c>
      <c r="F99" s="3">
        <f>EUR!B99/1</f>
        <v>1.5033000000000001</v>
      </c>
      <c r="G99" s="3">
        <f>EUR!C99/1</f>
        <v>1.5032000000000001</v>
      </c>
      <c r="H99" s="3">
        <f>GBP!B99/1</f>
        <v>1.6644000000000001</v>
      </c>
      <c r="I99" s="3">
        <f>GBP!C99/1</f>
        <v>1.6640999999999999</v>
      </c>
      <c r="J99" s="4">
        <f>1/INR!B99</f>
        <v>2.1503064186646596E-2</v>
      </c>
      <c r="K99" s="4">
        <f>1/INR!C99</f>
        <v>2.145347278090641E-2</v>
      </c>
      <c r="L99" s="4">
        <f>1/JPY!B99</f>
        <v>1.0908694229300752E-2</v>
      </c>
      <c r="M99" s="4">
        <f>1/JPY!C99</f>
        <v>1.0910265250368766E-2</v>
      </c>
      <c r="N99" s="5">
        <f>1/KRW!B99</f>
        <v>8.4466593462285662E-4</v>
      </c>
      <c r="O99" s="5">
        <f>1/KRW!C99</f>
        <v>8.4463475754801513E-4</v>
      </c>
      <c r="P99" s="3">
        <f>1/NOK!B99</f>
        <v>0.18091034083508215</v>
      </c>
      <c r="Q99" s="3">
        <f>1/NOK!C99</f>
        <v>0.18068806013298641</v>
      </c>
      <c r="R99" s="3">
        <f>NZD!B99/1</f>
        <v>0.75700000000000001</v>
      </c>
      <c r="S99" s="3">
        <f>NZD!C99/1</f>
        <v>0.75519999999999998</v>
      </c>
      <c r="T99" s="4">
        <f>1/PHP!B99</f>
        <v>2.1226915729144556E-2</v>
      </c>
      <c r="U99" s="4">
        <f>1/PHP!C99</f>
        <v>2.1158199860355883E-2</v>
      </c>
      <c r="V99" s="4">
        <f>1/TWD!B99</f>
        <v>3.0855626523496559E-2</v>
      </c>
      <c r="W99" s="4">
        <f>1/TWD!C99</f>
        <v>3.085572173075914E-2</v>
      </c>
      <c r="X99" s="4">
        <f>1/TWD!B99</f>
        <v>3.0855626523496559E-2</v>
      </c>
      <c r="Y99" s="4">
        <f>1/TWD!C99</f>
        <v>3.085572173075914E-2</v>
      </c>
      <c r="Z99" s="4">
        <f>1/ZAR!B99</f>
        <v>0.13458950201884254</v>
      </c>
      <c r="AA99" s="4">
        <f>1/ZAR!C99</f>
        <v>0.1337703163667982</v>
      </c>
    </row>
    <row r="100" spans="1:27" x14ac:dyDescent="0.25">
      <c r="A100" t="str">
        <f>"26/10/2009"</f>
        <v>26/10/2009</v>
      </c>
      <c r="B100" s="3">
        <f>AUD!B100</f>
        <v>0.92420000000000002</v>
      </c>
      <c r="C100" s="3">
        <f>AUD!C100</f>
        <v>0.9214</v>
      </c>
      <c r="D100" s="3">
        <f>1/CAD!B100</f>
        <v>0.95066070919288903</v>
      </c>
      <c r="E100" s="3">
        <f>1/CAD!C100</f>
        <v>0.95066070919288903</v>
      </c>
      <c r="F100" s="3">
        <f>EUR!B100/1</f>
        <v>1.5036</v>
      </c>
      <c r="G100" s="3">
        <f>EUR!C100/1</f>
        <v>1.5035000000000001</v>
      </c>
      <c r="H100" s="3">
        <f>GBP!B100/1</f>
        <v>1.6276999999999999</v>
      </c>
      <c r="I100" s="3">
        <f>GBP!C100/1</f>
        <v>1.6274</v>
      </c>
      <c r="J100" s="4">
        <f>1/INR!B100</f>
        <v>2.1505376344086023E-2</v>
      </c>
      <c r="K100" s="4">
        <f>1/INR!C100</f>
        <v>2.1452322213879653E-2</v>
      </c>
      <c r="L100" s="4">
        <f>1/JPY!B100</f>
        <v>1.0898826196418646E-2</v>
      </c>
      <c r="M100" s="4">
        <f>1/JPY!C100</f>
        <v>1.0900643901035234E-2</v>
      </c>
      <c r="N100" s="5">
        <f>1/KRW!B100</f>
        <v>8.4860828241683627E-4</v>
      </c>
      <c r="O100" s="5">
        <f>1/KRW!C100</f>
        <v>8.4857062097464626E-4</v>
      </c>
      <c r="P100" s="3">
        <f>1/NOK!B100</f>
        <v>0.1802321389950256</v>
      </c>
      <c r="Q100" s="3">
        <f>1/NOK!C100</f>
        <v>0.18000828038089753</v>
      </c>
      <c r="R100" s="3">
        <f>NZD!B100/1</f>
        <v>0.75380000000000003</v>
      </c>
      <c r="S100" s="3">
        <f>NZD!C100/1</f>
        <v>0.752</v>
      </c>
      <c r="T100" s="4">
        <f>1/PHP!B100</f>
        <v>2.1285653469561516E-2</v>
      </c>
      <c r="U100" s="4">
        <f>1/PHP!C100</f>
        <v>2.121790791427965E-2</v>
      </c>
      <c r="V100" s="4">
        <f>1/TWD!B100</f>
        <v>3.0882307526018345E-2</v>
      </c>
      <c r="W100" s="4">
        <f>1/TWD!C100</f>
        <v>3.0882402898004691E-2</v>
      </c>
      <c r="X100" s="4">
        <f>1/TWD!B100</f>
        <v>3.0882307526018345E-2</v>
      </c>
      <c r="Y100" s="4">
        <f>1/TWD!C100</f>
        <v>3.0882402898004691E-2</v>
      </c>
      <c r="Z100" s="4">
        <f>1/ZAR!B100</f>
        <v>0.13345789403443212</v>
      </c>
      <c r="AA100" s="4">
        <f>1/ZAR!C100</f>
        <v>0.13259609902276676</v>
      </c>
    </row>
    <row r="101" spans="1:27" x14ac:dyDescent="0.25">
      <c r="A101" t="str">
        <f>"27/10/2009"</f>
        <v>27/10/2009</v>
      </c>
      <c r="B101" s="3">
        <f>AUD!B101</f>
        <v>0.91849999999999998</v>
      </c>
      <c r="C101" s="3">
        <f>AUD!C101</f>
        <v>0.91569999999999996</v>
      </c>
      <c r="D101" s="3">
        <f>1/CAD!B101</f>
        <v>0.93554121059032658</v>
      </c>
      <c r="E101" s="3">
        <f>1/CAD!C101</f>
        <v>0.93554121059032658</v>
      </c>
      <c r="F101" s="3">
        <f>EUR!B101/1</f>
        <v>1.4884999999999999</v>
      </c>
      <c r="G101" s="3">
        <f>EUR!C101/1</f>
        <v>1.4883999999999999</v>
      </c>
      <c r="H101" s="3">
        <f>GBP!B101/1</f>
        <v>1.6321000000000001</v>
      </c>
      <c r="I101" s="3">
        <f>GBP!C101/1</f>
        <v>1.6317999999999999</v>
      </c>
      <c r="J101" s="4">
        <f>1/INR!B101</f>
        <v>2.1326508850501174E-2</v>
      </c>
      <c r="K101" s="4">
        <f>1/INR!C101</f>
        <v>2.1273201084933257E-2</v>
      </c>
      <c r="L101" s="4">
        <f>1/JPY!B101</f>
        <v>1.0857763300760045E-2</v>
      </c>
      <c r="M101" s="4">
        <f>1/JPY!C101</f>
        <v>1.0859414026019157E-2</v>
      </c>
      <c r="N101" s="5">
        <f>1/KRW!B101</f>
        <v>8.4238901524724122E-4</v>
      </c>
      <c r="O101" s="5">
        <f>1/KRW!C101</f>
        <v>8.4234892366760402E-4</v>
      </c>
      <c r="P101" s="3">
        <f>1/NOK!B101</f>
        <v>0.17751269215748927</v>
      </c>
      <c r="Q101" s="3">
        <f>1/NOK!C101</f>
        <v>0.17727981846546589</v>
      </c>
      <c r="R101" s="3">
        <f>NZD!B101/1</f>
        <v>0.74790000000000001</v>
      </c>
      <c r="S101" s="3">
        <f>NZD!C101/1</f>
        <v>0.74619999999999997</v>
      </c>
      <c r="T101" s="4">
        <f>1/PHP!B101</f>
        <v>2.1199915200339196E-2</v>
      </c>
      <c r="U101" s="4">
        <f>1/PHP!C101</f>
        <v>2.113360666131282E-2</v>
      </c>
      <c r="V101" s="4">
        <f>1/TWD!B101</f>
        <v>3.0797659377887282E-2</v>
      </c>
      <c r="W101" s="4">
        <f>1/TWD!C101</f>
        <v>3.0797659377887282E-2</v>
      </c>
      <c r="X101" s="4">
        <f>1/TWD!B101</f>
        <v>3.0797659377887282E-2</v>
      </c>
      <c r="Y101" s="4">
        <f>1/TWD!C101</f>
        <v>3.0797659377887282E-2</v>
      </c>
      <c r="Z101" s="4">
        <f>1/ZAR!B101</f>
        <v>0.1316655694535879</v>
      </c>
      <c r="AA101" s="4">
        <f>1/ZAR!C101</f>
        <v>0.13083867591259976</v>
      </c>
    </row>
    <row r="102" spans="1:27" x14ac:dyDescent="0.25">
      <c r="A102" t="str">
        <f>"28/10/2009"</f>
        <v>28/10/2009</v>
      </c>
      <c r="B102" s="3">
        <f>AUD!B102</f>
        <v>0.91220000000000001</v>
      </c>
      <c r="C102" s="3">
        <f>AUD!C102</f>
        <v>0.90959999999999996</v>
      </c>
      <c r="D102" s="3">
        <f>1/CAD!B102</f>
        <v>0.93879083740142699</v>
      </c>
      <c r="E102" s="3">
        <f>1/CAD!C102</f>
        <v>0.93879083740142699</v>
      </c>
      <c r="F102" s="3">
        <f>EUR!B102/1</f>
        <v>1.4816</v>
      </c>
      <c r="G102" s="3">
        <f>EUR!C102/1</f>
        <v>1.4815</v>
      </c>
      <c r="H102" s="3">
        <f>GBP!B102/1</f>
        <v>1.6356999999999999</v>
      </c>
      <c r="I102" s="3">
        <f>GBP!C102/1</f>
        <v>1.6354</v>
      </c>
      <c r="J102" s="4">
        <f>1/INR!B102</f>
        <v>2.1243826013064952E-2</v>
      </c>
      <c r="K102" s="4">
        <f>1/INR!C102</f>
        <v>2.1195421788893599E-2</v>
      </c>
      <c r="L102" s="4">
        <f>1/JPY!B102</f>
        <v>1.094558947472116E-2</v>
      </c>
      <c r="M102" s="4">
        <f>1/JPY!C102</f>
        <v>1.0947267014789758E-2</v>
      </c>
      <c r="N102" s="5">
        <f>1/KRW!B102</f>
        <v>8.3794201441260256E-4</v>
      </c>
      <c r="O102" s="5">
        <f>1/KRW!C102</f>
        <v>8.3790662770736018E-4</v>
      </c>
      <c r="P102" s="3">
        <f>1/NOK!B102</f>
        <v>0.1768033946251768</v>
      </c>
      <c r="Q102" s="3">
        <f>1/NOK!C102</f>
        <v>0.17658484901995408</v>
      </c>
      <c r="R102" s="3">
        <f>NZD!B102/1</f>
        <v>0.74150000000000005</v>
      </c>
      <c r="S102" s="3">
        <f>NZD!C102/1</f>
        <v>0.7399</v>
      </c>
      <c r="T102" s="4">
        <f>1/PHP!B102</f>
        <v>2.1105951878429716E-2</v>
      </c>
      <c r="U102" s="4">
        <f>1/PHP!C102</f>
        <v>2.1042885400446111E-2</v>
      </c>
      <c r="V102" s="4">
        <f>1/TWD!B102</f>
        <v>3.0773018217626784E-2</v>
      </c>
      <c r="W102" s="4">
        <f>1/TWD!C102</f>
        <v>3.0773112915783222E-2</v>
      </c>
      <c r="X102" s="4">
        <f>1/TWD!B102</f>
        <v>3.0773018217626784E-2</v>
      </c>
      <c r="Y102" s="4">
        <f>1/TWD!C102</f>
        <v>3.0773112915783222E-2</v>
      </c>
      <c r="Z102" s="4">
        <f>1/ZAR!B102</f>
        <v>0.12991399693402966</v>
      </c>
      <c r="AA102" s="4">
        <f>1/ZAR!C102</f>
        <v>0.12905224034689242</v>
      </c>
    </row>
    <row r="103" spans="1:27" x14ac:dyDescent="0.25">
      <c r="A103" t="str">
        <f>"29/10/2009"</f>
        <v>29/10/2009</v>
      </c>
      <c r="B103" s="3">
        <f>AUD!B103</f>
        <v>0.89739999999999998</v>
      </c>
      <c r="C103" s="3">
        <f>AUD!C103</f>
        <v>0.89490000000000003</v>
      </c>
      <c r="D103" s="3">
        <f>1/CAD!B103</f>
        <v>0.92661230541141593</v>
      </c>
      <c r="E103" s="3">
        <f>1/CAD!C103</f>
        <v>0.92661230541141593</v>
      </c>
      <c r="F103" s="3">
        <f>EUR!B103/1</f>
        <v>1.4716</v>
      </c>
      <c r="G103" s="3">
        <f>EUR!C103/1</f>
        <v>1.4715</v>
      </c>
      <c r="H103" s="3">
        <f>GBP!B103/1</f>
        <v>1.6366000000000001</v>
      </c>
      <c r="I103" s="3">
        <f>GBP!C103/1</f>
        <v>1.6363000000000001</v>
      </c>
      <c r="J103" s="4">
        <f>1/INR!B103</f>
        <v>2.1008403361344536E-2</v>
      </c>
      <c r="K103" s="4">
        <f>1/INR!C103</f>
        <v>2.0955574182732608E-2</v>
      </c>
      <c r="L103" s="4">
        <f>1/JPY!B103</f>
        <v>1.1070519207350825E-2</v>
      </c>
      <c r="M103" s="4">
        <f>1/JPY!C103</f>
        <v>1.1072100410664205E-2</v>
      </c>
      <c r="N103" s="5">
        <f>1/KRW!B103</f>
        <v>8.3205058867579158E-4</v>
      </c>
      <c r="O103" s="5">
        <f>1/KRW!C103</f>
        <v>8.3200891381069895E-4</v>
      </c>
      <c r="P103" s="3">
        <f>1/NOK!B103</f>
        <v>0.17385559554234253</v>
      </c>
      <c r="Q103" s="3">
        <f>1/NOK!C103</f>
        <v>0.17365030301977877</v>
      </c>
      <c r="R103" s="3">
        <f>NZD!B103/1</f>
        <v>0.71799999999999997</v>
      </c>
      <c r="S103" s="3">
        <f>NZD!C103/1</f>
        <v>0.71650000000000003</v>
      </c>
      <c r="T103" s="4">
        <f>1/PHP!B103</f>
        <v>2.0920502092050212E-2</v>
      </c>
      <c r="U103" s="4">
        <f>1/PHP!C103</f>
        <v>2.0859842716785915E-2</v>
      </c>
      <c r="V103" s="4">
        <f>1/TWD!B103</f>
        <v>3.0683317480285969E-2</v>
      </c>
      <c r="W103" s="4">
        <f>1/TWD!C103</f>
        <v>3.0683411627172003E-2</v>
      </c>
      <c r="X103" s="4">
        <f>1/TWD!B103</f>
        <v>3.0683317480285969E-2</v>
      </c>
      <c r="Y103" s="4">
        <f>1/TWD!C103</f>
        <v>3.0683411627172003E-2</v>
      </c>
      <c r="Z103" s="4">
        <f>1/ZAR!B103</f>
        <v>0.12796887796887796</v>
      </c>
      <c r="AA103" s="4">
        <f>1/ZAR!C103</f>
        <v>0.12714881497304445</v>
      </c>
    </row>
    <row r="104" spans="1:27" x14ac:dyDescent="0.25">
      <c r="A104" t="str">
        <f>"30/10/2009"</f>
        <v>30/10/2009</v>
      </c>
      <c r="B104" s="3">
        <f>AUD!B104</f>
        <v>0.91579999999999995</v>
      </c>
      <c r="C104" s="3">
        <f>AUD!C104</f>
        <v>0.91320000000000001</v>
      </c>
      <c r="D104" s="3">
        <f>1/CAD!B104</f>
        <v>0.93729496672602874</v>
      </c>
      <c r="E104" s="3">
        <f>1/CAD!C104</f>
        <v>0.93729496672602874</v>
      </c>
      <c r="F104" s="3">
        <f>EUR!B104/1</f>
        <v>1.4855</v>
      </c>
      <c r="G104" s="3">
        <f>EUR!C104/1</f>
        <v>1.4853000000000001</v>
      </c>
      <c r="H104" s="3">
        <f>GBP!B104/1</f>
        <v>1.6575</v>
      </c>
      <c r="I104" s="3">
        <f>GBP!C104/1</f>
        <v>1.6572</v>
      </c>
      <c r="J104" s="4">
        <f>1/INR!B104</f>
        <v>2.1333333333333333E-2</v>
      </c>
      <c r="K104" s="4">
        <f>1/INR!C104</f>
        <v>2.1286786227449311E-2</v>
      </c>
      <c r="L104" s="4">
        <f>1/JPY!B104</f>
        <v>1.0948105977665863E-2</v>
      </c>
      <c r="M104" s="4">
        <f>1/JPY!C104</f>
        <v>1.0949652403284457E-2</v>
      </c>
      <c r="N104" s="5">
        <f>1/KRW!B104</f>
        <v>8.4530853761622987E-4</v>
      </c>
      <c r="O104" s="5">
        <f>1/KRW!C104</f>
        <v>8.4526659581642062E-4</v>
      </c>
      <c r="P104" s="3">
        <f>1/NOK!B104</f>
        <v>0.17731125217206284</v>
      </c>
      <c r="Q104" s="3">
        <f>1/NOK!C104</f>
        <v>0.17710713210420984</v>
      </c>
      <c r="R104" s="3">
        <f>NZD!B104/1</f>
        <v>0.73170000000000002</v>
      </c>
      <c r="S104" s="3">
        <f>NZD!C104/1</f>
        <v>0.73019999999999996</v>
      </c>
      <c r="T104" s="4">
        <f>1/PHP!B104</f>
        <v>2.1052631578947368E-2</v>
      </c>
      <c r="U104" s="4">
        <f>1/PHP!C104</f>
        <v>2.0982836040119184E-2</v>
      </c>
      <c r="V104" s="4">
        <f>1/TWD!B104</f>
        <v>3.0771124376884732E-2</v>
      </c>
      <c r="W104" s="4">
        <f>1/TWD!C104</f>
        <v>3.0771219063385633E-2</v>
      </c>
      <c r="X104" s="4">
        <f>1/TWD!B104</f>
        <v>3.0771124376884732E-2</v>
      </c>
      <c r="Y104" s="4">
        <f>1/TWD!C104</f>
        <v>3.0771219063385633E-2</v>
      </c>
      <c r="Z104" s="4">
        <f>1/ZAR!B104</f>
        <v>0.12894906511927789</v>
      </c>
      <c r="AA104" s="4">
        <f>1/ZAR!C104</f>
        <v>0.1281443417865884</v>
      </c>
    </row>
    <row r="105" spans="1:27" x14ac:dyDescent="0.25">
      <c r="A105" t="str">
        <f>"03/11/2009"</f>
        <v>03/11/2009</v>
      </c>
      <c r="B105" s="3">
        <f>AUD!B105</f>
        <v>0.90459999999999996</v>
      </c>
      <c r="C105" s="3">
        <f>AUD!C105</f>
        <v>0.90190000000000003</v>
      </c>
      <c r="D105" s="3">
        <f>1/CAD!B105</f>
        <v>0.92686996014459178</v>
      </c>
      <c r="E105" s="3">
        <f>1/CAD!C105</f>
        <v>0.92686996014459178</v>
      </c>
      <c r="F105" s="3">
        <f>EUR!B105/1</f>
        <v>1.4782999999999999</v>
      </c>
      <c r="G105" s="3">
        <f>EUR!C105/1</f>
        <v>1.4782</v>
      </c>
      <c r="H105" s="3">
        <f>GBP!B105/1</f>
        <v>1.6367</v>
      </c>
      <c r="I105" s="3">
        <f>GBP!C105/1</f>
        <v>1.6364000000000001</v>
      </c>
      <c r="J105" s="4">
        <f>1/INR!B105</f>
        <v>2.1278859453133313E-2</v>
      </c>
      <c r="K105" s="4">
        <f>1/INR!C105</f>
        <v>2.1224663058473946E-2</v>
      </c>
      <c r="L105" s="4">
        <f>1/JPY!B105</f>
        <v>1.1071744906997343E-2</v>
      </c>
      <c r="M105" s="4">
        <f>1/JPY!C105</f>
        <v>1.107352265365897E-2</v>
      </c>
      <c r="N105" s="5">
        <f>1/KRW!B105</f>
        <v>8.4889643463497452E-4</v>
      </c>
      <c r="O105" s="5">
        <f>1/KRW!C105</f>
        <v>8.4889059761134066E-4</v>
      </c>
      <c r="P105" s="3">
        <f>1/NOK!B105</f>
        <v>0.17370761534185658</v>
      </c>
      <c r="Q105" s="3">
        <f>1/NOK!C105</f>
        <v>0.17350267194114788</v>
      </c>
      <c r="R105" s="3">
        <f>NZD!B105/1</f>
        <v>0.72050000000000003</v>
      </c>
      <c r="S105" s="3">
        <f>NZD!C105/1</f>
        <v>0.71889999999999998</v>
      </c>
      <c r="T105" s="4">
        <f>1/PHP!B105</f>
        <v>2.0999580008399833E-2</v>
      </c>
      <c r="U105" s="4">
        <f>1/PHP!C105</f>
        <v>2.0926193316173854E-2</v>
      </c>
      <c r="V105" s="4">
        <f>1/TWD!B105</f>
        <v>3.0748416456552487E-2</v>
      </c>
      <c r="W105" s="4">
        <f>1/TWD!C105</f>
        <v>3.0748416456552487E-2</v>
      </c>
      <c r="X105" s="4">
        <f>1/TWD!B105</f>
        <v>3.0748416456552487E-2</v>
      </c>
      <c r="Y105" s="4">
        <f>1/TWD!C105</f>
        <v>3.0748416456552487E-2</v>
      </c>
      <c r="Z105" s="4">
        <f>1/ZAR!B105</f>
        <v>0.12594458438287154</v>
      </c>
      <c r="AA105" s="4">
        <f>1/ZAR!C105</f>
        <v>0.12523952058311522</v>
      </c>
    </row>
    <row r="106" spans="1:27" x14ac:dyDescent="0.25">
      <c r="A106" t="str">
        <f>"04/11/2009"</f>
        <v>04/11/2009</v>
      </c>
      <c r="B106" s="3">
        <f>AUD!B106</f>
        <v>0.90169999999999995</v>
      </c>
      <c r="C106" s="3">
        <f>AUD!C106</f>
        <v>0.89910000000000001</v>
      </c>
      <c r="D106" s="3">
        <f>1/CAD!B106</f>
        <v>0.93703148425787108</v>
      </c>
      <c r="E106" s="3">
        <f>1/CAD!C106</f>
        <v>0.93703148425787108</v>
      </c>
      <c r="F106" s="3">
        <f>EUR!B106/1</f>
        <v>1.4725999999999999</v>
      </c>
      <c r="G106" s="3">
        <f>EUR!C106/1</f>
        <v>1.4724999999999999</v>
      </c>
      <c r="H106" s="3">
        <f>GBP!B106/1</f>
        <v>1.6406000000000001</v>
      </c>
      <c r="I106" s="3">
        <f>GBP!C106/1</f>
        <v>1.6403000000000001</v>
      </c>
      <c r="J106" s="4">
        <f>1/INR!B106</f>
        <v>2.1195421788893599E-2</v>
      </c>
      <c r="K106" s="4">
        <f>1/INR!C106</f>
        <v>2.114947390683657E-2</v>
      </c>
      <c r="L106" s="4">
        <f>1/JPY!B106</f>
        <v>1.1079104808331486E-2</v>
      </c>
      <c r="M106" s="4">
        <f>1/JPY!C106</f>
        <v>1.1080811248353115E-2</v>
      </c>
      <c r="N106" s="5">
        <f>1/KRW!B106</f>
        <v>8.4652501481418784E-4</v>
      </c>
      <c r="O106" s="5">
        <f>1/KRW!C106</f>
        <v>8.4649728312464491E-4</v>
      </c>
      <c r="P106" s="3">
        <f>1/NOK!B106</f>
        <v>0.17322316340141003</v>
      </c>
      <c r="Q106" s="3">
        <f>1/NOK!C106</f>
        <v>0.17301636734835116</v>
      </c>
      <c r="R106" s="3">
        <f>NZD!B106/1</f>
        <v>0.71950000000000003</v>
      </c>
      <c r="S106" s="3">
        <f>NZD!C106/1</f>
        <v>0.71789999999999998</v>
      </c>
      <c r="T106" s="4">
        <f>1/PHP!B106</f>
        <v>2.0951183741881419E-2</v>
      </c>
      <c r="U106" s="4">
        <f>1/PHP!C106</f>
        <v>2.0872469213107911E-2</v>
      </c>
      <c r="V106" s="4">
        <f>1/TWD!B106</f>
        <v>3.071441734750292E-2</v>
      </c>
      <c r="W106" s="4">
        <f>1/TWD!C106</f>
        <v>3.0714511685335975E-2</v>
      </c>
      <c r="X106" s="4">
        <f>1/TWD!B106</f>
        <v>3.071441734750292E-2</v>
      </c>
      <c r="Y106" s="4">
        <f>1/TWD!C106</f>
        <v>3.0714511685335975E-2</v>
      </c>
      <c r="Z106" s="4">
        <f>1/ZAR!B106</f>
        <v>0.12787233226346817</v>
      </c>
      <c r="AA106" s="4">
        <f>1/ZAR!C106</f>
        <v>0.12710679512926762</v>
      </c>
    </row>
    <row r="107" spans="1:27" x14ac:dyDescent="0.25">
      <c r="A107" t="str">
        <f>"05/11/2009"</f>
        <v>05/11/2009</v>
      </c>
      <c r="B107" s="3">
        <f>AUD!B107</f>
        <v>0.90690000000000004</v>
      </c>
      <c r="C107" s="3">
        <f>AUD!C107</f>
        <v>0.90429999999999999</v>
      </c>
      <c r="D107" s="3">
        <f>1/CAD!B107</f>
        <v>0.93879083740142699</v>
      </c>
      <c r="E107" s="3">
        <f>1/CAD!C107</f>
        <v>0.93879083740142699</v>
      </c>
      <c r="F107" s="3">
        <f>EUR!B107/1</f>
        <v>1.4831000000000001</v>
      </c>
      <c r="G107" s="3">
        <f>EUR!C107/1</f>
        <v>1.4830000000000001</v>
      </c>
      <c r="H107" s="3">
        <f>GBP!B107/1</f>
        <v>1.651</v>
      </c>
      <c r="I107" s="3">
        <f>GBP!C107/1</f>
        <v>1.6507000000000001</v>
      </c>
      <c r="J107" s="4">
        <f>1/INR!B107</f>
        <v>2.1226915729144556E-2</v>
      </c>
      <c r="K107" s="4">
        <f>1/INR!C107</f>
        <v>2.1178588447080003E-2</v>
      </c>
      <c r="L107" s="4">
        <f>1/JPY!B107</f>
        <v>1.1063048312331979E-2</v>
      </c>
      <c r="M107" s="4">
        <f>1/JPY!C107</f>
        <v>1.1064700838151089E-2</v>
      </c>
      <c r="N107" s="5">
        <f>1/KRW!B107</f>
        <v>8.4781687155574396E-4</v>
      </c>
      <c r="O107" s="5">
        <f>1/KRW!C107</f>
        <v>8.4780213654616428E-4</v>
      </c>
      <c r="P107" s="3">
        <f>1/NOK!B107</f>
        <v>0.1753063478428554</v>
      </c>
      <c r="Q107" s="3">
        <f>1/NOK!C107</f>
        <v>0.17510374897126549</v>
      </c>
      <c r="R107" s="3">
        <f>NZD!B107/1</f>
        <v>0.71889999999999998</v>
      </c>
      <c r="S107" s="3">
        <f>NZD!C107/1</f>
        <v>0.71730000000000005</v>
      </c>
      <c r="T107" s="4">
        <f>1/PHP!B107</f>
        <v>2.101281781886951E-2</v>
      </c>
      <c r="U107" s="4">
        <f>1/PHP!C107</f>
        <v>2.0938023450586266E-2</v>
      </c>
      <c r="V107" s="4">
        <f>1/TWD!B107</f>
        <v>3.0719134949159833E-2</v>
      </c>
      <c r="W107" s="4">
        <f>1/TWD!C107</f>
        <v>3.0719229315974921E-2</v>
      </c>
      <c r="X107" s="4">
        <f>1/TWD!B107</f>
        <v>3.0719134949159833E-2</v>
      </c>
      <c r="Y107" s="4">
        <f>1/TWD!C107</f>
        <v>3.0719229315974921E-2</v>
      </c>
      <c r="Z107" s="4">
        <f>1/ZAR!B107</f>
        <v>0.13000520020800832</v>
      </c>
      <c r="AA107" s="4">
        <f>1/ZAR!C107</f>
        <v>0.12926075772656179</v>
      </c>
    </row>
    <row r="108" spans="1:27" x14ac:dyDescent="0.25">
      <c r="A108" t="str">
        <f>"06/11/2009"</f>
        <v>06/11/2009</v>
      </c>
      <c r="B108" s="3">
        <f>AUD!B108</f>
        <v>0.91300000000000003</v>
      </c>
      <c r="C108" s="3">
        <f>AUD!C108</f>
        <v>0.91039999999999999</v>
      </c>
      <c r="D108" s="3">
        <f>1/CAD!B108</f>
        <v>0.93870271285084017</v>
      </c>
      <c r="E108" s="3">
        <f>1/CAD!C108</f>
        <v>0.93879083740142699</v>
      </c>
      <c r="F108" s="3">
        <f>EUR!B108/1</f>
        <v>1.4873000000000001</v>
      </c>
      <c r="G108" s="3">
        <f>EUR!C108/1</f>
        <v>1.4872000000000001</v>
      </c>
      <c r="H108" s="3">
        <f>GBP!B108/1</f>
        <v>1.6603000000000001</v>
      </c>
      <c r="I108" s="3">
        <f>GBP!C108/1</f>
        <v>1.66</v>
      </c>
      <c r="J108" s="4">
        <f>1/INR!B108</f>
        <v>2.137208805300278E-2</v>
      </c>
      <c r="K108" s="4">
        <f>1/INR!C108</f>
        <v>2.1332195616233802E-2</v>
      </c>
      <c r="L108" s="4">
        <f>1/JPY!B108</f>
        <v>1.1031439602868174E-2</v>
      </c>
      <c r="M108" s="4">
        <f>1/JPY!C108</f>
        <v>1.1032973143536774E-2</v>
      </c>
      <c r="N108" s="5">
        <f>1/KRW!B108</f>
        <v>8.5360648740930435E-4</v>
      </c>
      <c r="O108" s="5">
        <f>1/KRW!C108</f>
        <v>8.5357792551883887E-4</v>
      </c>
      <c r="P108" s="3">
        <f>1/NOK!B108</f>
        <v>0.17602224921230045</v>
      </c>
      <c r="Q108" s="3">
        <f>1/NOK!C108</f>
        <v>0.17582417582417584</v>
      </c>
      <c r="R108" s="3">
        <f>NZD!B108/1</f>
        <v>0.72189999999999999</v>
      </c>
      <c r="S108" s="3">
        <f>NZD!C108/1</f>
        <v>0.72030000000000005</v>
      </c>
      <c r="T108" s="4">
        <f>1/PHP!B108</f>
        <v>2.1123785382340513E-2</v>
      </c>
      <c r="U108" s="4">
        <f>1/PHP!C108</f>
        <v>2.1053518042864965E-2</v>
      </c>
      <c r="V108" s="4">
        <f>1/TWD!B108</f>
        <v>3.0783438510081577E-2</v>
      </c>
      <c r="W108" s="4">
        <f>1/TWD!C108</f>
        <v>3.0783533272381935E-2</v>
      </c>
      <c r="X108" s="4">
        <f>1/TWD!B108</f>
        <v>3.0783438510081577E-2</v>
      </c>
      <c r="Y108" s="4">
        <f>1/TWD!C108</f>
        <v>3.0783533272381935E-2</v>
      </c>
      <c r="Z108" s="4">
        <f>1/ZAR!B108</f>
        <v>0.13132838663077026</v>
      </c>
      <c r="AA108" s="4">
        <f>1/ZAR!C108</f>
        <v>0.13058921855411618</v>
      </c>
    </row>
    <row r="109" spans="1:27" x14ac:dyDescent="0.25">
      <c r="A109" t="str">
        <f>"09/11/2009"</f>
        <v>09/11/2009</v>
      </c>
      <c r="B109" s="3">
        <f>AUD!B109</f>
        <v>0.92569999999999997</v>
      </c>
      <c r="C109" s="3">
        <f>AUD!C109</f>
        <v>0.92290000000000005</v>
      </c>
      <c r="D109" s="3">
        <f>1/CAD!B109</f>
        <v>0.9351912466099318</v>
      </c>
      <c r="E109" s="3">
        <f>1/CAD!C109</f>
        <v>0.93527871305649091</v>
      </c>
      <c r="F109" s="3">
        <f>EUR!B109/1</f>
        <v>1.4921</v>
      </c>
      <c r="G109" s="3">
        <f>EUR!C109/1</f>
        <v>1.4919</v>
      </c>
      <c r="H109" s="3">
        <f>GBP!B109/1</f>
        <v>1.6711</v>
      </c>
      <c r="I109" s="3">
        <f>GBP!C109/1</f>
        <v>1.6707000000000001</v>
      </c>
      <c r="J109" s="4">
        <f>1/INR!B109</f>
        <v>2.1481123462757101E-2</v>
      </c>
      <c r="K109" s="4">
        <f>1/INR!C109</f>
        <v>2.1439674116953421E-2</v>
      </c>
      <c r="L109" s="4">
        <f>1/JPY!B109</f>
        <v>1.1085245538188671E-2</v>
      </c>
      <c r="M109" s="4">
        <f>1/JPY!C109</f>
        <v>1.1086953870511031E-2</v>
      </c>
      <c r="N109" s="5">
        <f>1/KRW!B109</f>
        <v>8.6125226078718467E-4</v>
      </c>
      <c r="O109" s="5">
        <f>1/KRW!C109</f>
        <v>8.6124187633600149E-4</v>
      </c>
      <c r="P109" s="3">
        <f>1/NOK!B109</f>
        <v>0.17694730509254344</v>
      </c>
      <c r="Q109" s="3">
        <f>1/NOK!C109</f>
        <v>0.17672215742409783</v>
      </c>
      <c r="R109" s="3">
        <f>NZD!B109/1</f>
        <v>0.73640000000000005</v>
      </c>
      <c r="S109" s="3">
        <f>NZD!C109/1</f>
        <v>0.73470000000000002</v>
      </c>
      <c r="T109" s="4">
        <f>1/PHP!B109</f>
        <v>2.1272069772388855E-2</v>
      </c>
      <c r="U109" s="4">
        <f>1/PHP!C109</f>
        <v>2.1203061722112674E-2</v>
      </c>
      <c r="V109" s="4">
        <f>1/TWD!B109</f>
        <v>3.0905213709552803E-2</v>
      </c>
      <c r="W109" s="4">
        <f>1/TWD!C109</f>
        <v>3.0905213709552803E-2</v>
      </c>
      <c r="X109" s="4">
        <f>1/TWD!B109</f>
        <v>3.0905213709552803E-2</v>
      </c>
      <c r="Y109" s="4">
        <f>1/TWD!C109</f>
        <v>3.0905213709552803E-2</v>
      </c>
      <c r="Z109" s="4">
        <f>1/ZAR!B109</f>
        <v>0.13267878466233249</v>
      </c>
      <c r="AA109" s="4">
        <f>1/ZAR!C109</f>
        <v>0.13192960236417847</v>
      </c>
    </row>
    <row r="110" spans="1:27" x14ac:dyDescent="0.25">
      <c r="A110" t="str">
        <f>"10/11/2009"</f>
        <v>10/11/2009</v>
      </c>
      <c r="B110" s="3">
        <f>AUD!B110</f>
        <v>0.92810000000000004</v>
      </c>
      <c r="C110" s="3">
        <f>AUD!C110</f>
        <v>0.92530000000000001</v>
      </c>
      <c r="D110" s="3">
        <f>1/CAD!B110</f>
        <v>0.94562647754137108</v>
      </c>
      <c r="E110" s="3">
        <f>1/CAD!C110</f>
        <v>0.94562647754137108</v>
      </c>
      <c r="F110" s="3">
        <f>EUR!B110/1</f>
        <v>1.4979</v>
      </c>
      <c r="G110" s="3">
        <f>EUR!C110/1</f>
        <v>1.4978</v>
      </c>
      <c r="H110" s="3">
        <f>GBP!B110/1</f>
        <v>1.6756</v>
      </c>
      <c r="I110" s="3">
        <f>GBP!C110/1</f>
        <v>1.6751</v>
      </c>
      <c r="J110" s="4">
        <f>1/INR!B110</f>
        <v>2.1537798836958864E-2</v>
      </c>
      <c r="K110" s="4">
        <f>1/INR!C110</f>
        <v>2.1500752526338422E-2</v>
      </c>
      <c r="L110" s="4">
        <f>1/JPY!B110</f>
        <v>1.1116051578479325E-2</v>
      </c>
      <c r="M110" s="4">
        <f>1/JPY!C110</f>
        <v>1.111767053672778E-2</v>
      </c>
      <c r="N110" s="5">
        <f>1/KRW!B110</f>
        <v>8.6251509401414521E-4</v>
      </c>
      <c r="O110" s="5">
        <f>1/KRW!C110</f>
        <v>8.624927766229957E-4</v>
      </c>
      <c r="P110" s="3">
        <f>1/NOK!B110</f>
        <v>0.17866395097461185</v>
      </c>
      <c r="Q110" s="3">
        <f>1/NOK!C110</f>
        <v>0.17844715287567586</v>
      </c>
      <c r="R110" s="3">
        <f>NZD!B110/1</f>
        <v>0.74019999999999997</v>
      </c>
      <c r="S110" s="3">
        <f>NZD!C110/1</f>
        <v>0.73850000000000005</v>
      </c>
      <c r="T110" s="4">
        <f>1/PHP!B110</f>
        <v>2.1367521367521368E-2</v>
      </c>
      <c r="U110" s="4">
        <f>1/PHP!C110</f>
        <v>2.1293358601452206E-2</v>
      </c>
      <c r="V110" s="4">
        <f>1/TWD!B110</f>
        <v>3.0934851203365712E-2</v>
      </c>
      <c r="W110" s="4">
        <f>1/TWD!C110</f>
        <v>3.0934851203365712E-2</v>
      </c>
      <c r="X110" s="4">
        <f>1/TWD!B110</f>
        <v>3.0934851203365712E-2</v>
      </c>
      <c r="Y110" s="4">
        <f>1/TWD!C110</f>
        <v>3.0934851203365712E-2</v>
      </c>
      <c r="Z110" s="4">
        <f>1/ZAR!B110</f>
        <v>0.13428586775527745</v>
      </c>
      <c r="AA110" s="4">
        <f>1/ZAR!C110</f>
        <v>0.13347570742124934</v>
      </c>
    </row>
    <row r="111" spans="1:27" x14ac:dyDescent="0.25">
      <c r="A111" t="str">
        <f>"11/11/2009"</f>
        <v>11/11/2009</v>
      </c>
      <c r="B111" s="3">
        <f>AUD!B111</f>
        <v>0.93030000000000002</v>
      </c>
      <c r="C111" s="3">
        <f>AUD!C111</f>
        <v>0.92749999999999999</v>
      </c>
      <c r="D111" s="3">
        <f>1/CAD!B111</f>
        <v>0.95256239283673072</v>
      </c>
      <c r="E111" s="3">
        <f>1/CAD!C111</f>
        <v>0.95256239283673072</v>
      </c>
      <c r="F111" s="3">
        <f>EUR!B111/1</f>
        <v>1.4984</v>
      </c>
      <c r="G111" s="3">
        <f>EUR!C111/1</f>
        <v>1.4983</v>
      </c>
      <c r="H111" s="3">
        <f>GBP!B111/1</f>
        <v>1.6717</v>
      </c>
      <c r="I111" s="3">
        <f>GBP!C111/1</f>
        <v>1.6713</v>
      </c>
      <c r="J111" s="4">
        <f>1/INR!B111</f>
        <v>2.1463833440652499E-2</v>
      </c>
      <c r="K111" s="4">
        <f>1/INR!C111</f>
        <v>2.1427040925648167E-2</v>
      </c>
      <c r="L111" s="4">
        <f>1/JPY!B111</f>
        <v>1.118662080152138E-2</v>
      </c>
      <c r="M111" s="4">
        <f>1/JPY!C111</f>
        <v>1.1188348006851746E-2</v>
      </c>
      <c r="N111" s="5">
        <f>1/KRW!B111</f>
        <v>8.6288722064026225E-4</v>
      </c>
      <c r="O111" s="5">
        <f>1/KRW!C111</f>
        <v>8.6287999832946433E-4</v>
      </c>
      <c r="P111" s="3">
        <f>1/NOK!B111</f>
        <v>0.17872781540991223</v>
      </c>
      <c r="Q111" s="3">
        <f>1/NOK!C111</f>
        <v>0.17851086238597619</v>
      </c>
      <c r="R111" s="3">
        <f>NZD!B111/1</f>
        <v>0.74109999999999998</v>
      </c>
      <c r="S111" s="3">
        <f>NZD!C111/1</f>
        <v>0.73939999999999995</v>
      </c>
      <c r="T111" s="4">
        <f>1/PHP!B111</f>
        <v>2.1321961620469083E-2</v>
      </c>
      <c r="U111" s="4">
        <f>1/PHP!C111</f>
        <v>2.1240441801189464E-2</v>
      </c>
      <c r="V111" s="4">
        <f>1/TWD!B111</f>
        <v>3.0907124092103232E-2</v>
      </c>
      <c r="W111" s="4">
        <f>1/TWD!C111</f>
        <v>3.0907124092103232E-2</v>
      </c>
      <c r="X111" s="4">
        <f>1/TWD!B111</f>
        <v>3.0907124092103232E-2</v>
      </c>
      <c r="Y111" s="4">
        <f>1/TWD!C111</f>
        <v>3.0907124092103232E-2</v>
      </c>
      <c r="Z111" s="4">
        <f>1/ZAR!B111</f>
        <v>0.13534730117481458</v>
      </c>
      <c r="AA111" s="4">
        <f>1/ZAR!C111</f>
        <v>0.13452613170108293</v>
      </c>
    </row>
    <row r="112" spans="1:27" x14ac:dyDescent="0.25">
      <c r="A112" t="str">
        <f>"12/11/2009"</f>
        <v>12/11/2009</v>
      </c>
      <c r="B112" s="3">
        <f>AUD!B112</f>
        <v>0.93420000000000003</v>
      </c>
      <c r="C112" s="3">
        <f>AUD!C112</f>
        <v>0.93149999999999999</v>
      </c>
      <c r="D112" s="3">
        <f>1/CAD!B112</f>
        <v>0.9574875526618154</v>
      </c>
      <c r="E112" s="3">
        <f>1/CAD!C112</f>
        <v>0.9574875526618154</v>
      </c>
      <c r="F112" s="3">
        <f>EUR!B112/1</f>
        <v>1.4996</v>
      </c>
      <c r="G112" s="3">
        <f>EUR!C112/1</f>
        <v>1.4994000000000001</v>
      </c>
      <c r="H112" s="3">
        <f>GBP!B112/1</f>
        <v>1.6588000000000001</v>
      </c>
      <c r="I112" s="3">
        <f>GBP!C112/1</f>
        <v>1.6584000000000001</v>
      </c>
      <c r="J112" s="4">
        <f>1/INR!B112</f>
        <v>2.1533161068044791E-2</v>
      </c>
      <c r="K112" s="4">
        <f>1/INR!C112</f>
        <v>2.1493820526598605E-2</v>
      </c>
      <c r="L112" s="4">
        <f>1/JPY!B112</f>
        <v>1.1139578923916676E-2</v>
      </c>
      <c r="M112" s="4">
        <f>1/JPY!C112</f>
        <v>1.1141142680157846E-2</v>
      </c>
      <c r="N112" s="5">
        <f>1/KRW!B112</f>
        <v>8.6370703057522889E-4</v>
      </c>
      <c r="O112" s="5">
        <f>1/KRW!C112</f>
        <v>8.6369994372994857E-4</v>
      </c>
      <c r="P112" s="3">
        <f>1/NOK!B112</f>
        <v>0.1789260856340246</v>
      </c>
      <c r="Q112" s="3">
        <f>1/NOK!C112</f>
        <v>0.17871823283411375</v>
      </c>
      <c r="R112" s="3">
        <f>NZD!B112/1</f>
        <v>0.74050000000000005</v>
      </c>
      <c r="S112" s="3">
        <f>NZD!C112/1</f>
        <v>0.73880000000000001</v>
      </c>
      <c r="T112" s="4">
        <f>1/PHP!B112</f>
        <v>2.1427040925648167E-2</v>
      </c>
      <c r="U112" s="4">
        <f>1/PHP!C112</f>
        <v>2.1374372127818748E-2</v>
      </c>
      <c r="V112" s="4">
        <f>1/TWD!B112</f>
        <v>3.0959752321981428E-2</v>
      </c>
      <c r="W112" s="4">
        <f>1/TWD!C112</f>
        <v>3.095984817290456E-2</v>
      </c>
      <c r="X112" s="4">
        <f>1/TWD!B112</f>
        <v>3.0959752321981428E-2</v>
      </c>
      <c r="Y112" s="4">
        <f>1/TWD!C112</f>
        <v>3.095984817290456E-2</v>
      </c>
      <c r="Z112" s="4">
        <f>1/ZAR!B112</f>
        <v>0.13567048352960329</v>
      </c>
      <c r="AA112" s="4">
        <f>1/ZAR!C112</f>
        <v>0.13487631841601253</v>
      </c>
    </row>
    <row r="113" spans="1:27" x14ac:dyDescent="0.25">
      <c r="A113" t="str">
        <f>"13/11/2009"</f>
        <v>13/11/2009</v>
      </c>
      <c r="B113" s="3">
        <f>AUD!B113</f>
        <v>0.92549999999999999</v>
      </c>
      <c r="C113" s="3">
        <f>AUD!C113</f>
        <v>0.92279999999999995</v>
      </c>
      <c r="D113" s="3">
        <f>1/CAD!B113</f>
        <v>0.94732853353543001</v>
      </c>
      <c r="E113" s="3">
        <f>1/CAD!C113</f>
        <v>0.94741828517290372</v>
      </c>
      <c r="F113" s="3">
        <f>EUR!B113/1</f>
        <v>1.4859</v>
      </c>
      <c r="G113" s="3">
        <f>EUR!C113/1</f>
        <v>1.4857</v>
      </c>
      <c r="H113" s="3">
        <f>GBP!B113/1</f>
        <v>1.6593</v>
      </c>
      <c r="I113" s="3">
        <f>GBP!C113/1</f>
        <v>1.6589</v>
      </c>
      <c r="J113" s="4">
        <f>1/INR!B113</f>
        <v>2.1440823327615779E-2</v>
      </c>
      <c r="K113" s="4">
        <f>1/INR!C113</f>
        <v>2.1402964310557014E-2</v>
      </c>
      <c r="L113" s="4">
        <f>1/JPY!B113</f>
        <v>1.1083893993637845E-2</v>
      </c>
      <c r="M113" s="4">
        <f>1/JPY!C113</f>
        <v>1.108545444266215E-2</v>
      </c>
      <c r="N113" s="5">
        <f>1/KRW!B113</f>
        <v>8.6106686184182204E-4</v>
      </c>
      <c r="O113" s="5">
        <f>1/KRW!C113</f>
        <v>8.6103238644166737E-4</v>
      </c>
      <c r="P113" s="3">
        <f>1/NOK!B113</f>
        <v>0.17659732278458656</v>
      </c>
      <c r="Q113" s="3">
        <f>1/NOK!C113</f>
        <v>0.17639484221481364</v>
      </c>
      <c r="R113" s="3">
        <f>NZD!B113/1</f>
        <v>0.73309999999999997</v>
      </c>
      <c r="S113" s="3">
        <f>NZD!C113/1</f>
        <v>0.73150000000000004</v>
      </c>
      <c r="T113" s="4">
        <f>1/PHP!B113</f>
        <v>2.1367521367521368E-2</v>
      </c>
      <c r="U113" s="4">
        <f>1/PHP!C113</f>
        <v>2.1294265454313153E-2</v>
      </c>
      <c r="V113" s="4">
        <f>1/TWD!B113</f>
        <v>3.0961669453216916E-2</v>
      </c>
      <c r="W113" s="4">
        <f>1/TWD!C113</f>
        <v>3.0961669453216916E-2</v>
      </c>
      <c r="X113" s="4">
        <f>1/TWD!B113</f>
        <v>3.0961669453216916E-2</v>
      </c>
      <c r="Y113" s="4">
        <f>1/TWD!C113</f>
        <v>3.0961669453216916E-2</v>
      </c>
      <c r="Z113" s="4">
        <f>1/ZAR!B113</f>
        <v>0.13395847287340926</v>
      </c>
      <c r="AA113" s="4">
        <f>1/ZAR!C113</f>
        <v>0.13317884587212167</v>
      </c>
    </row>
    <row r="114" spans="1:27" x14ac:dyDescent="0.25">
      <c r="A114" t="str">
        <f>"16/11/2009"</f>
        <v>16/11/2009</v>
      </c>
      <c r="B114" s="3">
        <f>AUD!B114</f>
        <v>0.93220000000000003</v>
      </c>
      <c r="C114" s="3">
        <f>AUD!C114</f>
        <v>0.92949999999999999</v>
      </c>
      <c r="D114" s="3">
        <f>1/CAD!B114</f>
        <v>0.95265313899209292</v>
      </c>
      <c r="E114" s="3">
        <f>1/CAD!C114</f>
        <v>0.95265313899209292</v>
      </c>
      <c r="F114" s="3">
        <f>EUR!B114/1</f>
        <v>1.4946999999999999</v>
      </c>
      <c r="G114" s="3">
        <f>EUR!C114/1</f>
        <v>1.4944999999999999</v>
      </c>
      <c r="H114" s="3">
        <f>GBP!B114/1</f>
        <v>1.6697</v>
      </c>
      <c r="I114" s="3">
        <f>GBP!C114/1</f>
        <v>1.6693</v>
      </c>
      <c r="J114" s="4">
        <f>1/INR!B114</f>
        <v>2.1673168617251843E-2</v>
      </c>
      <c r="K114" s="4">
        <f>1/INR!C114</f>
        <v>2.1632145368016872E-2</v>
      </c>
      <c r="L114" s="4">
        <f>1/JPY!B114</f>
        <v>1.1150758251561105E-2</v>
      </c>
      <c r="M114" s="4">
        <f>1/JPY!C114</f>
        <v>1.1152300273454404E-2</v>
      </c>
      <c r="N114" s="5">
        <f>1/KRW!B114</f>
        <v>8.6647604193744053E-4</v>
      </c>
      <c r="O114" s="5">
        <f>1/KRW!C114</f>
        <v>8.6647341421285009E-4</v>
      </c>
      <c r="P114" s="3">
        <f>1/NOK!B114</f>
        <v>0.17854592201114128</v>
      </c>
      <c r="Q114" s="3">
        <f>1/NOK!C114</f>
        <v>0.17833895101029015</v>
      </c>
      <c r="R114" s="3">
        <f>NZD!B114/1</f>
        <v>0.74209999999999998</v>
      </c>
      <c r="S114" s="3">
        <f>NZD!C114/1</f>
        <v>0.74050000000000005</v>
      </c>
      <c r="T114" s="4">
        <f>1/PHP!B114</f>
        <v>2.1486892995272885E-2</v>
      </c>
      <c r="U114" s="4">
        <f>1/PHP!C114</f>
        <v>2.1414651904833285E-2</v>
      </c>
      <c r="V114" s="4">
        <f>1/TWD!B114</f>
        <v>3.1060723714862556E-2</v>
      </c>
      <c r="W114" s="4">
        <f>1/TWD!C114</f>
        <v>3.1060820192017995E-2</v>
      </c>
      <c r="X114" s="4">
        <f>1/TWD!B114</f>
        <v>3.1060723714862556E-2</v>
      </c>
      <c r="Y114" s="4">
        <f>1/TWD!C114</f>
        <v>3.1060820192017995E-2</v>
      </c>
      <c r="Z114" s="4">
        <f>1/ZAR!B114</f>
        <v>0.1344935644829395</v>
      </c>
      <c r="AA114" s="4">
        <f>1/ZAR!C114</f>
        <v>0.13373274847544667</v>
      </c>
    </row>
    <row r="115" spans="1:27" x14ac:dyDescent="0.25">
      <c r="A115" t="str">
        <f>"17/11/2009"</f>
        <v>17/11/2009</v>
      </c>
      <c r="B115" s="3">
        <f>AUD!B115</f>
        <v>0.93340000000000001</v>
      </c>
      <c r="C115" s="3">
        <f>AUD!C115</f>
        <v>0.93059999999999998</v>
      </c>
      <c r="D115" s="3">
        <f>1/CAD!B115</f>
        <v>0.95319797922028415</v>
      </c>
      <c r="E115" s="3">
        <f>1/CAD!C115</f>
        <v>0.95319797922028415</v>
      </c>
      <c r="F115" s="3">
        <f>EUR!B115/1</f>
        <v>1.4946999999999999</v>
      </c>
      <c r="G115" s="3">
        <f>EUR!C115/1</f>
        <v>1.4944999999999999</v>
      </c>
      <c r="H115" s="3">
        <f>GBP!B115/1</f>
        <v>1.6802999999999999</v>
      </c>
      <c r="I115" s="3">
        <f>GBP!C115/1</f>
        <v>1.6798999999999999</v>
      </c>
      <c r="J115" s="4">
        <f>1/INR!B115</f>
        <v>2.166729862954336E-2</v>
      </c>
      <c r="K115" s="4">
        <f>1/INR!C115</f>
        <v>2.1622790421103842E-2</v>
      </c>
      <c r="L115" s="4">
        <f>1/JPY!B115</f>
        <v>1.1223344556677891E-2</v>
      </c>
      <c r="M115" s="4">
        <f>1/JPY!C115</f>
        <v>1.1225108322295309E-2</v>
      </c>
      <c r="N115" s="5">
        <f>1/KRW!B115</f>
        <v>8.6640097036908676E-4</v>
      </c>
      <c r="O115" s="5">
        <f>1/KRW!C115</f>
        <v>8.6639406443823181E-4</v>
      </c>
      <c r="P115" s="3">
        <f>1/NOK!B115</f>
        <v>0.17929822674053753</v>
      </c>
      <c r="Q115" s="3">
        <f>1/NOK!C115</f>
        <v>0.17907026717283864</v>
      </c>
      <c r="R115" s="3">
        <f>NZD!B115/1</f>
        <v>0.747</v>
      </c>
      <c r="S115" s="3">
        <f>NZD!C115/1</f>
        <v>0.74529999999999996</v>
      </c>
      <c r="T115" s="4">
        <f>1/PHP!B115</f>
        <v>2.1427040925648167E-2</v>
      </c>
      <c r="U115" s="4">
        <f>1/PHP!C115</f>
        <v>2.135611318739989E-2</v>
      </c>
      <c r="V115" s="4">
        <f>1/TWD!B115</f>
        <v>3.1139067073550478E-2</v>
      </c>
      <c r="W115" s="4">
        <f>1/TWD!C115</f>
        <v>3.1139164038002234E-2</v>
      </c>
      <c r="X115" s="4">
        <f>1/TWD!B115</f>
        <v>3.1139067073550478E-2</v>
      </c>
      <c r="Y115" s="4">
        <f>1/TWD!C115</f>
        <v>3.1139164038002234E-2</v>
      </c>
      <c r="Z115" s="4">
        <f>1/ZAR!B115</f>
        <v>0.13525759809557303</v>
      </c>
      <c r="AA115" s="4">
        <f>1/ZAR!C115</f>
        <v>0.13443209162891365</v>
      </c>
    </row>
    <row r="116" spans="1:27" x14ac:dyDescent="0.25">
      <c r="A116" t="str">
        <f>"18/11/2009"</f>
        <v>18/11/2009</v>
      </c>
      <c r="B116" s="3">
        <f>AUD!B116</f>
        <v>0.92720000000000002</v>
      </c>
      <c r="C116" s="3">
        <f>AUD!C116</f>
        <v>0.9244</v>
      </c>
      <c r="D116" s="3">
        <f>1/CAD!B116</f>
        <v>0.94966761633428309</v>
      </c>
      <c r="E116" s="3">
        <f>1/CAD!C116</f>
        <v>0.94966761633428309</v>
      </c>
      <c r="F116" s="3">
        <f>EUR!B116/1</f>
        <v>1.4875</v>
      </c>
      <c r="G116" s="3">
        <f>EUR!C116/1</f>
        <v>1.4873000000000001</v>
      </c>
      <c r="H116" s="3">
        <f>GBP!B116/1</f>
        <v>1.6792</v>
      </c>
      <c r="I116" s="3">
        <f>GBP!C116/1</f>
        <v>1.6788000000000001</v>
      </c>
      <c r="J116" s="4">
        <f>1/INR!B116</f>
        <v>2.1619284401686301E-2</v>
      </c>
      <c r="K116" s="4">
        <f>1/INR!C116</f>
        <v>2.1577300679684972E-2</v>
      </c>
      <c r="L116" s="4">
        <f>1/JPY!B116</f>
        <v>1.1201971546992271E-2</v>
      </c>
      <c r="M116" s="4">
        <f>1/JPY!C116</f>
        <v>1.1203590526691995E-2</v>
      </c>
      <c r="N116" s="5">
        <f>1/KRW!B116</f>
        <v>8.6685159500693486E-4</v>
      </c>
      <c r="O116" s="5">
        <f>1/KRW!C116</f>
        <v>8.6684483217450636E-4</v>
      </c>
      <c r="P116" s="3">
        <f>1/NOK!B116</f>
        <v>0.17784101013693757</v>
      </c>
      <c r="Q116" s="3">
        <f>1/NOK!C116</f>
        <v>0.17761673860144581</v>
      </c>
      <c r="R116" s="3">
        <f>NZD!B116/1</f>
        <v>0.74360000000000004</v>
      </c>
      <c r="S116" s="3">
        <f>NZD!C116/1</f>
        <v>0.74199999999999999</v>
      </c>
      <c r="T116" s="4">
        <f>1/PHP!B116</f>
        <v>2.1404109589041095E-2</v>
      </c>
      <c r="U116" s="4">
        <f>1/PHP!C116</f>
        <v>2.1331058020477814E-2</v>
      </c>
      <c r="V116" s="4">
        <f>1/TWD!B116</f>
        <v>3.1121623303871533E-2</v>
      </c>
      <c r="W116" s="4">
        <f>1/TWD!C116</f>
        <v>3.1121720159716666E-2</v>
      </c>
      <c r="X116" s="4">
        <f>1/TWD!B116</f>
        <v>3.1121623303871533E-2</v>
      </c>
      <c r="Y116" s="4">
        <f>1/TWD!C116</f>
        <v>3.1121720159716666E-2</v>
      </c>
      <c r="Z116" s="4">
        <f>1/ZAR!B116</f>
        <v>0.13416515730864695</v>
      </c>
      <c r="AA116" s="4">
        <f>1/ZAR!C116</f>
        <v>0.13333155557925894</v>
      </c>
    </row>
    <row r="117" spans="1:27" x14ac:dyDescent="0.25">
      <c r="A117" t="str">
        <f>"19/11/2009"</f>
        <v>19/11/2009</v>
      </c>
      <c r="B117" s="3">
        <f>AUD!B117</f>
        <v>0.92520000000000002</v>
      </c>
      <c r="C117" s="3">
        <f>AUD!C117</f>
        <v>0.92249999999999999</v>
      </c>
      <c r="D117" s="3">
        <f>1/CAD!B117</f>
        <v>0.945000945000945</v>
      </c>
      <c r="E117" s="3">
        <f>1/CAD!C117</f>
        <v>0.945000945000945</v>
      </c>
      <c r="F117" s="3">
        <f>EUR!B117/1</f>
        <v>1.4922</v>
      </c>
      <c r="G117" s="3">
        <f>EUR!C117/1</f>
        <v>1.492</v>
      </c>
      <c r="H117" s="3">
        <f>GBP!B117/1</f>
        <v>1.6695</v>
      </c>
      <c r="I117" s="3">
        <f>GBP!C117/1</f>
        <v>1.6691</v>
      </c>
      <c r="J117" s="4">
        <f>1/INR!B117</f>
        <v>2.1555208277199978E-2</v>
      </c>
      <c r="K117" s="4">
        <f>1/INR!C117</f>
        <v>2.1512315800795954E-2</v>
      </c>
      <c r="L117" s="4">
        <f>1/JPY!B117</f>
        <v>1.1215791834903545E-2</v>
      </c>
      <c r="M117" s="4">
        <f>1/JPY!C117</f>
        <v>1.1217301565935299E-2</v>
      </c>
      <c r="N117" s="5">
        <f>1/KRW!B117</f>
        <v>8.6393088552915766E-4</v>
      </c>
      <c r="O117" s="5">
        <f>1/KRW!C117</f>
        <v>8.6390998749058339E-4</v>
      </c>
      <c r="P117" s="3">
        <f>1/NOK!B117</f>
        <v>0.17826583000570451</v>
      </c>
      <c r="Q117" s="3">
        <f>1/NOK!C117</f>
        <v>0.17804682631532093</v>
      </c>
      <c r="R117" s="3">
        <f>NZD!B117/1</f>
        <v>0.73870000000000002</v>
      </c>
      <c r="S117" s="3">
        <f>NZD!C117/1</f>
        <v>0.73709999999999998</v>
      </c>
      <c r="T117" s="4">
        <f>1/PHP!B117</f>
        <v>2.1335609131640711E-2</v>
      </c>
      <c r="U117" s="4">
        <f>1/PHP!C117</f>
        <v>2.1263927872756657E-2</v>
      </c>
      <c r="V117" s="4">
        <f>1/TWD!B117</f>
        <v>3.1069409059839681E-2</v>
      </c>
      <c r="W117" s="4">
        <f>1/TWD!C117</f>
        <v>3.1069409059839681E-2</v>
      </c>
      <c r="X117" s="4">
        <f>1/TWD!B117</f>
        <v>3.1069409059839681E-2</v>
      </c>
      <c r="Y117" s="4">
        <f>1/TWD!C117</f>
        <v>3.1069409059839681E-2</v>
      </c>
      <c r="Z117" s="4">
        <f>1/ZAR!B117</f>
        <v>0.13334044482372392</v>
      </c>
      <c r="AA117" s="4">
        <f>1/ZAR!C117</f>
        <v>0.13256094489441519</v>
      </c>
    </row>
    <row r="118" spans="1:27" x14ac:dyDescent="0.25">
      <c r="A118" t="str">
        <f>"20/11/2009"</f>
        <v>20/11/2009</v>
      </c>
      <c r="B118" s="3">
        <f>AUD!B118</f>
        <v>0.91700000000000004</v>
      </c>
      <c r="C118" s="3">
        <f>AUD!C118</f>
        <v>0.9143</v>
      </c>
      <c r="D118" s="3">
        <f>1/CAD!B118</f>
        <v>0.9391435011269722</v>
      </c>
      <c r="E118" s="3">
        <f>1/CAD!C118</f>
        <v>0.9391435011269722</v>
      </c>
      <c r="F118" s="3">
        <f>EUR!B118/1</f>
        <v>1.4901</v>
      </c>
      <c r="G118" s="3">
        <f>EUR!C118/1</f>
        <v>1.4898</v>
      </c>
      <c r="H118" s="3">
        <f>GBP!B118/1</f>
        <v>1.6631</v>
      </c>
      <c r="I118" s="3">
        <f>GBP!C118/1</f>
        <v>1.6627000000000001</v>
      </c>
      <c r="J118" s="4">
        <f>1/INR!B118</f>
        <v>2.1413276231263382E-2</v>
      </c>
      <c r="K118" s="4">
        <f>1/INR!C118</f>
        <v>2.1367521367521368E-2</v>
      </c>
      <c r="L118" s="4">
        <f>1/JPY!B118</f>
        <v>1.1251125112511251E-2</v>
      </c>
      <c r="M118" s="4">
        <f>1/JPY!C118</f>
        <v>1.1252745669943467E-2</v>
      </c>
      <c r="N118" s="5">
        <f>1/KRW!B118</f>
        <v>8.5903272914698056E-4</v>
      </c>
      <c r="O118" s="5">
        <f>1/KRW!C118</f>
        <v>8.5901214119170246E-4</v>
      </c>
      <c r="P118" s="3">
        <f>1/NOK!B118</f>
        <v>0.17688470654827182</v>
      </c>
      <c r="Q118" s="3">
        <f>1/NOK!C118</f>
        <v>0.17666908114410895</v>
      </c>
      <c r="R118" s="3">
        <f>NZD!B118/1</f>
        <v>0.72729999999999995</v>
      </c>
      <c r="S118" s="3">
        <f>NZD!C118/1</f>
        <v>0.72570000000000001</v>
      </c>
      <c r="T118" s="4">
        <f>1/PHP!B118</f>
        <v>2.1195421788893599E-2</v>
      </c>
      <c r="U118" s="4">
        <f>1/PHP!C118</f>
        <v>2.1126463007563271E-2</v>
      </c>
      <c r="V118" s="4">
        <f>1/TWD!B118</f>
        <v>3.0921459492888062E-2</v>
      </c>
      <c r="W118" s="4">
        <f>1/TWD!C118</f>
        <v>3.0921555106849432E-2</v>
      </c>
      <c r="X118" s="4">
        <f>1/TWD!B118</f>
        <v>3.0921459492888062E-2</v>
      </c>
      <c r="Y118" s="4">
        <f>1/TWD!C118</f>
        <v>3.0921555106849432E-2</v>
      </c>
      <c r="Z118" s="4">
        <f>1/ZAR!B118</f>
        <v>0.13221392212599986</v>
      </c>
      <c r="AA118" s="4">
        <f>1/ZAR!C118</f>
        <v>0.13137151865475566</v>
      </c>
    </row>
    <row r="119" spans="1:27" x14ac:dyDescent="0.25">
      <c r="A119" t="str">
        <f>"23/11/2009"</f>
        <v>23/11/2009</v>
      </c>
      <c r="B119" s="3">
        <f>AUD!B119</f>
        <v>0.91739999999999999</v>
      </c>
      <c r="C119" s="3">
        <f>AUD!C119</f>
        <v>0.91439999999999999</v>
      </c>
      <c r="D119" s="3">
        <f>1/CAD!B119</f>
        <v>0.9373828271466067</v>
      </c>
      <c r="E119" s="3">
        <f>1/CAD!C119</f>
        <v>0.9373828271466067</v>
      </c>
      <c r="F119" s="3">
        <f>EUR!B119/1</f>
        <v>1.4917</v>
      </c>
      <c r="G119" s="3">
        <f>EUR!C119/1</f>
        <v>1.4914000000000001</v>
      </c>
      <c r="H119" s="3">
        <f>GBP!B119/1</f>
        <v>1.6516</v>
      </c>
      <c r="I119" s="3">
        <f>GBP!C119/1</f>
        <v>1.6512</v>
      </c>
      <c r="J119" s="4">
        <f>1/INR!B119</f>
        <v>2.1512315800795954E-2</v>
      </c>
      <c r="K119" s="4">
        <f>1/INR!C119</f>
        <v>2.1461530207103768E-2</v>
      </c>
      <c r="L119" s="4">
        <f>1/JPY!B119</f>
        <v>1.1241007194244606E-2</v>
      </c>
      <c r="M119" s="4">
        <f>1/JPY!C119</f>
        <v>1.124254900064982E-2</v>
      </c>
      <c r="N119" s="5">
        <f>1/KRW!B119</f>
        <v>8.6550112515146262E-4</v>
      </c>
      <c r="O119" s="5">
        <f>1/KRW!C119</f>
        <v>8.6547116250086545E-4</v>
      </c>
      <c r="P119" s="3">
        <f>1/NOK!B119</f>
        <v>0.17719500310091255</v>
      </c>
      <c r="Q119" s="3">
        <f>1/NOK!C119</f>
        <v>0.17695356738391846</v>
      </c>
      <c r="R119" s="3">
        <f>NZD!B119/1</f>
        <v>0.72499999999999998</v>
      </c>
      <c r="S119" s="3">
        <f>NZD!C119/1</f>
        <v>0.72330000000000005</v>
      </c>
      <c r="T119" s="4">
        <f>1/PHP!B119</f>
        <v>2.1272069772388855E-2</v>
      </c>
      <c r="U119" s="4">
        <f>1/PHP!C119</f>
        <v>2.119407413687133E-2</v>
      </c>
      <c r="V119" s="4">
        <f>1/TWD!B119</f>
        <v>3.0956877070241157E-2</v>
      </c>
      <c r="W119" s="4">
        <f>1/TWD!C119</f>
        <v>3.0956877070241157E-2</v>
      </c>
      <c r="X119" s="4">
        <f>1/TWD!B119</f>
        <v>3.0956877070241157E-2</v>
      </c>
      <c r="Y119" s="4">
        <f>1/TWD!C119</f>
        <v>3.0956877070241157E-2</v>
      </c>
      <c r="Z119" s="4">
        <f>1/ZAR!B119</f>
        <v>0.13210039630118889</v>
      </c>
      <c r="AA119" s="4">
        <f>1/ZAR!C119</f>
        <v>0.13134046074233627</v>
      </c>
    </row>
    <row r="120" spans="1:27" x14ac:dyDescent="0.25">
      <c r="A120" t="str">
        <f>"24/11/2009"</f>
        <v>24/11/2009</v>
      </c>
      <c r="B120" s="3">
        <f>AUD!B120</f>
        <v>0.91969999999999996</v>
      </c>
      <c r="C120" s="3">
        <f>AUD!C120</f>
        <v>0.91679999999999995</v>
      </c>
      <c r="D120" s="3">
        <f>1/CAD!B120</f>
        <v>0.94348523445608068</v>
      </c>
      <c r="E120" s="3">
        <f>1/CAD!C120</f>
        <v>0.94348523445608068</v>
      </c>
      <c r="F120" s="3">
        <f>EUR!B120/1</f>
        <v>1.4939</v>
      </c>
      <c r="G120" s="3">
        <f>EUR!C120/1</f>
        <v>1.4937</v>
      </c>
      <c r="H120" s="3">
        <f>GBP!B120/1</f>
        <v>1.6563000000000001</v>
      </c>
      <c r="I120" s="3">
        <f>GBP!C120/1</f>
        <v>1.6558999999999999</v>
      </c>
      <c r="J120" s="4">
        <f>1/INR!B120</f>
        <v>2.1473051320592657E-2</v>
      </c>
      <c r="K120" s="4">
        <f>1/INR!C120</f>
        <v>2.142015636714148E-2</v>
      </c>
      <c r="L120" s="4">
        <f>1/JPY!B120</f>
        <v>1.1248593925759279E-2</v>
      </c>
      <c r="M120" s="4">
        <f>1/JPY!C120</f>
        <v>1.1250074531743773E-2</v>
      </c>
      <c r="N120" s="5">
        <f>1/KRW!B120</f>
        <v>8.6430423509075197E-4</v>
      </c>
      <c r="O120" s="5">
        <f>1/KRW!C120</f>
        <v>8.6429751194675233E-4</v>
      </c>
      <c r="P120" s="3">
        <f>1/NOK!B120</f>
        <v>0.17825311942959002</v>
      </c>
      <c r="Q120" s="3">
        <f>1/NOK!C120</f>
        <v>0.17802146938920832</v>
      </c>
      <c r="R120" s="3">
        <f>NZD!B120/1</f>
        <v>0.72740000000000005</v>
      </c>
      <c r="S120" s="3">
        <f>NZD!C120/1</f>
        <v>0.72570000000000001</v>
      </c>
      <c r="T120" s="4">
        <f>1/PHP!B120</f>
        <v>2.1238186258893489E-2</v>
      </c>
      <c r="U120" s="4">
        <f>1/PHP!C120</f>
        <v>2.1161781822029414E-2</v>
      </c>
      <c r="V120" s="4">
        <f>1/TWD!B120</f>
        <v>3.097893432465923E-2</v>
      </c>
      <c r="W120" s="4">
        <f>1/TWD!C120</f>
        <v>3.097893432465923E-2</v>
      </c>
      <c r="X120" s="4">
        <f>1/TWD!B120</f>
        <v>3.097893432465923E-2</v>
      </c>
      <c r="Y120" s="4">
        <f>1/TWD!C120</f>
        <v>3.097893432465923E-2</v>
      </c>
      <c r="Z120" s="4">
        <f>1/ZAR!B120</f>
        <v>0.13295043607743032</v>
      </c>
      <c r="AA120" s="4">
        <f>1/ZAR!C120</f>
        <v>0.13211086743995562</v>
      </c>
    </row>
    <row r="121" spans="1:27" x14ac:dyDescent="0.25">
      <c r="A121" t="str">
        <f>"25/11/2009"</f>
        <v>25/11/2009</v>
      </c>
      <c r="B121" s="3">
        <f>AUD!B121</f>
        <v>0.92559999999999998</v>
      </c>
      <c r="C121" s="3">
        <f>AUD!C121</f>
        <v>0.92269999999999996</v>
      </c>
      <c r="D121" s="3">
        <f>1/CAD!B121</f>
        <v>0.94768764215314638</v>
      </c>
      <c r="E121" s="3">
        <f>1/CAD!C121</f>
        <v>0.94768764215314638</v>
      </c>
      <c r="F121" s="3">
        <f>EUR!B121/1</f>
        <v>1.4988999999999999</v>
      </c>
      <c r="G121" s="3">
        <f>EUR!C121/1</f>
        <v>1.4985999999999999</v>
      </c>
      <c r="H121" s="3">
        <f>GBP!B121/1</f>
        <v>1.6614</v>
      </c>
      <c r="I121" s="3">
        <f>GBP!C121/1</f>
        <v>1.661</v>
      </c>
      <c r="J121" s="4">
        <f>1/INR!B121</f>
        <v>2.1584286639326572E-2</v>
      </c>
      <c r="K121" s="4">
        <f>1/INR!C121</f>
        <v>2.1530842932500807E-2</v>
      </c>
      <c r="L121" s="4">
        <f>1/JPY!B121</f>
        <v>1.1327594019030357E-2</v>
      </c>
      <c r="M121" s="4">
        <f>1/JPY!C121</f>
        <v>1.132876180032151E-2</v>
      </c>
      <c r="N121" s="5">
        <f>1/KRW!B121</f>
        <v>8.6512674106756628E-4</v>
      </c>
      <c r="O121" s="5">
        <f>1/KRW!C121</f>
        <v>8.6509732820745861E-4</v>
      </c>
      <c r="P121" s="3">
        <f>1/NOK!B121</f>
        <v>0.17833259028087384</v>
      </c>
      <c r="Q121" s="3">
        <f>1/NOK!C121</f>
        <v>0.17810073377502317</v>
      </c>
      <c r="R121" s="3">
        <f>NZD!B121/1</f>
        <v>0.72840000000000005</v>
      </c>
      <c r="S121" s="3">
        <f>NZD!C121/1</f>
        <v>0.72670000000000001</v>
      </c>
      <c r="T121" s="4">
        <f>1/PHP!B121</f>
        <v>2.1376656690893545E-2</v>
      </c>
      <c r="U121" s="4">
        <f>1/PHP!C121</f>
        <v>2.1300161881230299E-2</v>
      </c>
      <c r="V121" s="4">
        <f>1/TWD!B121</f>
        <v>3.1001023033760115E-2</v>
      </c>
      <c r="W121" s="4">
        <f>1/TWD!C121</f>
        <v>3.1001023033760115E-2</v>
      </c>
      <c r="X121" s="4">
        <f>1/TWD!B121</f>
        <v>3.1001023033760115E-2</v>
      </c>
      <c r="Y121" s="4">
        <f>1/TWD!C121</f>
        <v>3.1001023033760115E-2</v>
      </c>
      <c r="Z121" s="4">
        <f>1/ZAR!B121</f>
        <v>0.1341381623071764</v>
      </c>
      <c r="AA121" s="4">
        <f>1/ZAR!C121</f>
        <v>0.13333511113481514</v>
      </c>
    </row>
    <row r="122" spans="1:27" x14ac:dyDescent="0.25">
      <c r="A122" t="str">
        <f>"26/11/2009"</f>
        <v>26/11/2009</v>
      </c>
      <c r="B122" s="3">
        <f>AUD!B122</f>
        <v>0.92320000000000002</v>
      </c>
      <c r="C122" s="3">
        <f>AUD!C122</f>
        <v>0.9204</v>
      </c>
      <c r="D122" s="3">
        <f>1/CAD!B122</f>
        <v>0.95274390243902429</v>
      </c>
      <c r="E122" s="3">
        <f>1/CAD!C122</f>
        <v>0.95274390243902429</v>
      </c>
      <c r="F122" s="3">
        <f>EUR!B122/1</f>
        <v>1.5111000000000001</v>
      </c>
      <c r="G122" s="3">
        <f>EUR!C122/1</f>
        <v>1.5107999999999999</v>
      </c>
      <c r="H122" s="3">
        <f>GBP!B122/1</f>
        <v>1.6686000000000001</v>
      </c>
      <c r="I122" s="3">
        <f>GBP!C122/1</f>
        <v>1.6681999999999999</v>
      </c>
      <c r="J122" s="4">
        <f>1/INR!B122</f>
        <v>2.1612275772638856E-2</v>
      </c>
      <c r="K122" s="4">
        <f>1/INR!C122</f>
        <v>2.1566830215129132E-2</v>
      </c>
      <c r="L122" s="4">
        <f>1/JPY!B122</f>
        <v>1.1551345731777752E-2</v>
      </c>
      <c r="M122" s="4">
        <f>1/JPY!C122</f>
        <v>1.1552413299138191E-2</v>
      </c>
      <c r="N122" s="5">
        <f>1/KRW!B122</f>
        <v>8.6655112651646442E-4</v>
      </c>
      <c r="O122" s="5">
        <f>1/KRW!C122</f>
        <v>8.6654436837147711E-4</v>
      </c>
      <c r="P122" s="3">
        <f>1/NOK!B122</f>
        <v>0.1791472590469366</v>
      </c>
      <c r="Q122" s="3">
        <f>1/NOK!C122</f>
        <v>0.17891648178630215</v>
      </c>
      <c r="R122" s="3">
        <f>NZD!B122/1</f>
        <v>0.72419999999999995</v>
      </c>
      <c r="S122" s="3">
        <f>NZD!C122/1</f>
        <v>0.72250000000000003</v>
      </c>
      <c r="T122" s="4">
        <f>1/PHP!B122</f>
        <v>2.1394950791613177E-2</v>
      </c>
      <c r="U122" s="4">
        <f>1/PHP!C122</f>
        <v>2.1315598755169033E-2</v>
      </c>
      <c r="V122" s="4">
        <f>1/TWD!B122</f>
        <v>3.1065548306927621E-2</v>
      </c>
      <c r="W122" s="4">
        <f>1/TWD!C122</f>
        <v>3.1065548306927621E-2</v>
      </c>
      <c r="X122" s="4">
        <f>1/TWD!B122</f>
        <v>3.1065548306927621E-2</v>
      </c>
      <c r="Y122" s="4">
        <f>1/TWD!C122</f>
        <v>3.1065548306927621E-2</v>
      </c>
      <c r="Z122" s="4">
        <f>1/ZAR!B122</f>
        <v>0.13577732518669383</v>
      </c>
      <c r="AA122" s="4">
        <f>1/ZAR!C122</f>
        <v>0.13487086115044844</v>
      </c>
    </row>
    <row r="123" spans="1:27" x14ac:dyDescent="0.25">
      <c r="A123" t="str">
        <f>"27/11/2009"</f>
        <v>27/11/2009</v>
      </c>
      <c r="B123" s="3">
        <f>AUD!B123</f>
        <v>0.90429999999999999</v>
      </c>
      <c r="C123" s="3">
        <f>AUD!C123</f>
        <v>0.90139999999999998</v>
      </c>
      <c r="D123" s="3">
        <f>1/CAD!B123</f>
        <v>0.94073377234242717</v>
      </c>
      <c r="E123" s="3">
        <f>1/CAD!C123</f>
        <v>0.94073377234242717</v>
      </c>
      <c r="F123" s="3">
        <f>EUR!B123/1</f>
        <v>1.4941</v>
      </c>
      <c r="G123" s="3">
        <f>EUR!C123/1</f>
        <v>1.4939</v>
      </c>
      <c r="H123" s="3">
        <f>GBP!B123/1</f>
        <v>1.6400999999999999</v>
      </c>
      <c r="I123" s="3">
        <f>GBP!C123/1</f>
        <v>1.6396999999999999</v>
      </c>
      <c r="J123" s="4">
        <f>1/INR!B123</f>
        <v>2.1369804466289131E-2</v>
      </c>
      <c r="K123" s="4">
        <f>1/INR!C123</f>
        <v>2.1317416329140911E-2</v>
      </c>
      <c r="L123" s="4">
        <f>1/JPY!B123</f>
        <v>1.1624460189129968E-2</v>
      </c>
      <c r="M123" s="4">
        <f>1/JPY!C123</f>
        <v>1.1626257670423497E-2</v>
      </c>
      <c r="N123" s="5">
        <f>1/KRW!B123</f>
        <v>8.5535882302625963E-4</v>
      </c>
      <c r="O123" s="5">
        <f>1/KRW!C123</f>
        <v>8.5535223832850491E-4</v>
      </c>
      <c r="P123" s="3">
        <f>1/NOK!B123</f>
        <v>0.17548477669562165</v>
      </c>
      <c r="Q123" s="3">
        <f>1/NOK!C123</f>
        <v>0.17523876281433454</v>
      </c>
      <c r="R123" s="3">
        <f>NZD!B123/1</f>
        <v>0.71050000000000002</v>
      </c>
      <c r="S123" s="3">
        <f>NZD!C123/1</f>
        <v>0.7087</v>
      </c>
      <c r="T123" s="4">
        <f>1/PHP!B123</f>
        <v>2.1203286509408958E-2</v>
      </c>
      <c r="U123" s="4">
        <f>1/PHP!C123</f>
        <v>2.1118209175861886E-2</v>
      </c>
      <c r="V123" s="4">
        <f>1/TWD!B123</f>
        <v>3.0939636768664337E-2</v>
      </c>
      <c r="W123" s="4">
        <f>1/TWD!C123</f>
        <v>3.0939732495072845E-2</v>
      </c>
      <c r="X123" s="4">
        <f>1/TWD!B123</f>
        <v>3.0939636768664337E-2</v>
      </c>
      <c r="Y123" s="4">
        <f>1/TWD!C123</f>
        <v>3.0939732495072845E-2</v>
      </c>
      <c r="Z123" s="4">
        <f>1/ZAR!B123</f>
        <v>0.13250122563633712</v>
      </c>
      <c r="AA123" s="4">
        <f>1/ZAR!C123</f>
        <v>0.1317037193130334</v>
      </c>
    </row>
    <row r="124" spans="1:27" x14ac:dyDescent="0.25">
      <c r="A124" t="str">
        <f>"30/11/2009"</f>
        <v>30/11/2009</v>
      </c>
      <c r="B124" s="3">
        <f>AUD!B124</f>
        <v>0.91790000000000005</v>
      </c>
      <c r="C124" s="3">
        <f>AUD!C124</f>
        <v>0.91500000000000004</v>
      </c>
      <c r="D124" s="3">
        <f>1/CAD!B124</f>
        <v>0.94661113214691406</v>
      </c>
      <c r="E124" s="3">
        <f>1/CAD!C124</f>
        <v>0.94661113214691406</v>
      </c>
      <c r="F124" s="3">
        <f>EUR!B124/1</f>
        <v>1.5062</v>
      </c>
      <c r="G124" s="3">
        <f>EUR!C124/1</f>
        <v>1.5061</v>
      </c>
      <c r="H124" s="3">
        <f>GBP!B124/1</f>
        <v>1.6577999999999999</v>
      </c>
      <c r="I124" s="3">
        <f>GBP!C124/1</f>
        <v>1.6575</v>
      </c>
      <c r="J124" s="4">
        <f>1/INR!B124</f>
        <v>2.1542438604049977E-2</v>
      </c>
      <c r="K124" s="4">
        <f>1/INR!C124</f>
        <v>2.1496130696474634E-2</v>
      </c>
      <c r="L124" s="4">
        <f>1/JPY!B124</f>
        <v>1.1534025374855825E-2</v>
      </c>
      <c r="M124" s="4">
        <f>1/JPY!C124</f>
        <v>1.1535741765499135E-2</v>
      </c>
      <c r="N124" s="5">
        <f>1/KRW!B124</f>
        <v>8.6154906521926421E-4</v>
      </c>
      <c r="O124" s="5">
        <f>1/KRW!C124</f>
        <v>8.6154238486993722E-4</v>
      </c>
      <c r="P124" s="3">
        <f>1/NOK!B124</f>
        <v>0.17729867735186694</v>
      </c>
      <c r="Q124" s="3">
        <f>1/NOK!C124</f>
        <v>0.17705382436260625</v>
      </c>
      <c r="R124" s="3">
        <f>NZD!B124/1</f>
        <v>0.72040000000000004</v>
      </c>
      <c r="S124" s="3">
        <f>NZD!C124/1</f>
        <v>0.71860000000000002</v>
      </c>
      <c r="T124" s="4">
        <f>1/PHP!B124</f>
        <v>2.1177467174925878E-2</v>
      </c>
      <c r="U124" s="4">
        <f>1/PHP!C124</f>
        <v>2.1090372245070127E-2</v>
      </c>
      <c r="V124" s="4">
        <f>1/TWD!B124</f>
        <v>3.1061688513387586E-2</v>
      </c>
      <c r="W124" s="4">
        <f>1/TWD!C124</f>
        <v>3.1061688513387586E-2</v>
      </c>
      <c r="X124" s="4">
        <f>1/TWD!B124</f>
        <v>3.1061688513387586E-2</v>
      </c>
      <c r="Y124" s="4">
        <f>1/TWD!C124</f>
        <v>3.1061688513387586E-2</v>
      </c>
      <c r="Z124" s="4">
        <f>1/ZAR!B124</f>
        <v>0.13536379018612521</v>
      </c>
      <c r="AA124" s="4">
        <f>1/ZAR!C124</f>
        <v>0.13443932081255125</v>
      </c>
    </row>
    <row r="125" spans="1:27" x14ac:dyDescent="0.25">
      <c r="A125" t="str">
        <f>"01/12/2009"</f>
        <v>01/12/2009</v>
      </c>
      <c r="B125" s="3">
        <f>AUD!B125</f>
        <v>0.91579999999999995</v>
      </c>
      <c r="C125" s="3">
        <f>AUD!C125</f>
        <v>0.91300000000000003</v>
      </c>
      <c r="D125" s="3">
        <f>1/CAD!B125</f>
        <v>0.9475080538184576</v>
      </c>
      <c r="E125" s="3">
        <f>1/CAD!C125</f>
        <v>0.9475080538184576</v>
      </c>
      <c r="F125" s="3">
        <f>EUR!B125/1</f>
        <v>1.502</v>
      </c>
      <c r="G125" s="3">
        <f>EUR!C125/1</f>
        <v>1.5019</v>
      </c>
      <c r="H125" s="3">
        <f>GBP!B125/1</f>
        <v>1.6442000000000001</v>
      </c>
      <c r="I125" s="3">
        <f>GBP!C125/1</f>
        <v>1.6438999999999999</v>
      </c>
      <c r="J125" s="4">
        <f>1/INR!B125</f>
        <v>2.1537798836958864E-2</v>
      </c>
      <c r="K125" s="4">
        <f>1/INR!C125</f>
        <v>2.1494975549465313E-2</v>
      </c>
      <c r="L125" s="4">
        <f>1/JPY!B125</f>
        <v>1.1453441759248654E-2</v>
      </c>
      <c r="M125" s="4">
        <f>1/JPY!C125</f>
        <v>1.1455488553675838E-2</v>
      </c>
      <c r="N125" s="5">
        <f>1/KRW!B125</f>
        <v>8.5947571981091536E-4</v>
      </c>
      <c r="O125" s="5">
        <f>1/KRW!C125</f>
        <v>8.5944765018417966E-4</v>
      </c>
      <c r="P125" s="3">
        <f>1/NOK!B125</f>
        <v>0.17608113818847726</v>
      </c>
      <c r="Q125" s="3">
        <f>1/NOK!C125</f>
        <v>0.17585509540138927</v>
      </c>
      <c r="R125" s="3">
        <f>NZD!B125/1</f>
        <v>0.71689999999999998</v>
      </c>
      <c r="S125" s="3">
        <f>NZD!C125/1</f>
        <v>0.71519999999999995</v>
      </c>
      <c r="T125" s="4">
        <f>1/PHP!B125</f>
        <v>2.1276595744680851E-2</v>
      </c>
      <c r="U125" s="4">
        <f>1/PHP!C125</f>
        <v>2.1172983273343216E-2</v>
      </c>
      <c r="V125" s="4">
        <f>1/TWD!B125</f>
        <v>3.1053971802993605E-2</v>
      </c>
      <c r="W125" s="4">
        <f>1/TWD!C125</f>
        <v>3.1053971802993605E-2</v>
      </c>
      <c r="X125" s="4">
        <f>1/TWD!B125</f>
        <v>3.1053971802993605E-2</v>
      </c>
      <c r="Y125" s="4">
        <f>1/TWD!C125</f>
        <v>3.1053971802993605E-2</v>
      </c>
      <c r="Z125" s="4">
        <f>1/ZAR!B125</f>
        <v>0.1347963227563152</v>
      </c>
      <c r="AA125" s="4">
        <f>1/ZAR!C125</f>
        <v>0.13392079923932987</v>
      </c>
    </row>
    <row r="126" spans="1:27" x14ac:dyDescent="0.25">
      <c r="A126" t="str">
        <f>"02/12/2009"</f>
        <v>02/12/2009</v>
      </c>
      <c r="B126" s="3">
        <f>AUD!B126</f>
        <v>0.92720000000000002</v>
      </c>
      <c r="C126" s="3">
        <f>AUD!C126</f>
        <v>0.9244</v>
      </c>
      <c r="D126" s="3">
        <f>1/CAD!B126</f>
        <v>0.95684623481006614</v>
      </c>
      <c r="E126" s="3">
        <f>1/CAD!C126</f>
        <v>0.95684623481006614</v>
      </c>
      <c r="F126" s="3">
        <f>EUR!B126/1</f>
        <v>1.5098</v>
      </c>
      <c r="G126" s="3">
        <f>EUR!C126/1</f>
        <v>1.5096000000000001</v>
      </c>
      <c r="H126" s="3">
        <f>GBP!B126/1</f>
        <v>1.6613</v>
      </c>
      <c r="I126" s="3">
        <f>GBP!C126/1</f>
        <v>1.661</v>
      </c>
      <c r="J126" s="4">
        <f>1/INR!B126</f>
        <v>2.1661431820643343E-2</v>
      </c>
      <c r="K126" s="4">
        <f>1/INR!C126</f>
        <v>2.1614611477358693E-2</v>
      </c>
      <c r="L126" s="4">
        <f>1/JPY!B126</f>
        <v>1.1495574203931488E-2</v>
      </c>
      <c r="M126" s="4">
        <f>1/JPY!C126</f>
        <v>1.1497358481888785E-2</v>
      </c>
      <c r="N126" s="5">
        <f>1/KRW!B126</f>
        <v>8.661758336942399E-4</v>
      </c>
      <c r="O126" s="5">
        <f>1/KRW!C126</f>
        <v>8.6617320779018862E-4</v>
      </c>
      <c r="P126" s="3">
        <f>1/NOK!B126</f>
        <v>0.1783771249175006</v>
      </c>
      <c r="Q126" s="3">
        <f>1/NOK!C126</f>
        <v>0.17814832629647445</v>
      </c>
      <c r="R126" s="3">
        <f>NZD!B126/1</f>
        <v>0.72770000000000001</v>
      </c>
      <c r="S126" s="3">
        <f>NZD!C126/1</f>
        <v>0.72609999999999997</v>
      </c>
      <c r="T126" s="4">
        <f>1/PHP!B126</f>
        <v>2.1491510853212981E-2</v>
      </c>
      <c r="U126" s="4">
        <f>1/PHP!C126</f>
        <v>2.1394950791613177E-2</v>
      </c>
      <c r="V126" s="4">
        <f>1/TWD!B126</f>
        <v>3.1114844892498206E-2</v>
      </c>
      <c r="W126" s="4">
        <f>1/TWD!C126</f>
        <v>3.1114844892498206E-2</v>
      </c>
      <c r="X126" s="4">
        <f>1/TWD!B126</f>
        <v>3.1114844892498206E-2</v>
      </c>
      <c r="Y126" s="4">
        <f>1/TWD!C126</f>
        <v>3.1114844892498206E-2</v>
      </c>
      <c r="Z126" s="4">
        <f>1/ZAR!B126</f>
        <v>0.13683634373289547</v>
      </c>
      <c r="AA126" s="4">
        <f>1/ZAR!C126</f>
        <v>0.13595638519163053</v>
      </c>
    </row>
    <row r="127" spans="1:27" x14ac:dyDescent="0.25">
      <c r="A127" t="str">
        <f>"03/12/2009"</f>
        <v>03/12/2009</v>
      </c>
      <c r="B127" s="3">
        <f>AUD!B127</f>
        <v>0.9304</v>
      </c>
      <c r="C127" s="3">
        <f>AUD!C127</f>
        <v>0.92759999999999998</v>
      </c>
      <c r="D127" s="3">
        <f>1/CAD!B127</f>
        <v>0.95347063310450042</v>
      </c>
      <c r="E127" s="3">
        <f>1/CAD!C127</f>
        <v>0.95347063310450042</v>
      </c>
      <c r="F127" s="3">
        <f>EUR!B127/1</f>
        <v>1.5092000000000001</v>
      </c>
      <c r="G127" s="3">
        <f>EUR!C127/1</f>
        <v>1.5089999999999999</v>
      </c>
      <c r="H127" s="3">
        <f>GBP!B127/1</f>
        <v>1.6681999999999999</v>
      </c>
      <c r="I127" s="3">
        <f>GBP!C127/1</f>
        <v>1.6678999999999999</v>
      </c>
      <c r="J127" s="4">
        <f>1/INR!B127</f>
        <v>2.1625128399199871E-2</v>
      </c>
      <c r="K127" s="4">
        <f>1/INR!C127</f>
        <v>2.1574973031283709E-2</v>
      </c>
      <c r="L127" s="4">
        <f>1/JPY!B127</f>
        <v>1.1375270162666365E-2</v>
      </c>
      <c r="M127" s="4">
        <f>1/JPY!C127</f>
        <v>1.1377327943513843E-2</v>
      </c>
      <c r="N127" s="5">
        <f>1/KRW!B127</f>
        <v>8.6482746692034948E-4</v>
      </c>
      <c r="O127" s="5">
        <f>1/KRW!C127</f>
        <v>8.6481938938908127E-4</v>
      </c>
      <c r="P127" s="3">
        <f>1/NOK!B127</f>
        <v>0.17873420436468926</v>
      </c>
      <c r="Q127" s="3">
        <f>1/NOK!C127</f>
        <v>0.17851086238597619</v>
      </c>
      <c r="R127" s="3">
        <f>NZD!B127/1</f>
        <v>0.72770000000000001</v>
      </c>
      <c r="S127" s="3">
        <f>NZD!C127/1</f>
        <v>0.72609999999999997</v>
      </c>
      <c r="T127" s="4">
        <f>1/PHP!B127</f>
        <v>2.1484584810398537E-2</v>
      </c>
      <c r="U127" s="4">
        <f>1/PHP!C127</f>
        <v>2.1394950791613177E-2</v>
      </c>
      <c r="V127" s="4">
        <f>1/TWD!B127</f>
        <v>3.1088727227507308E-2</v>
      </c>
      <c r="W127" s="4" t="e">
        <f>1/TWD!C127</f>
        <v>#VALUE!</v>
      </c>
      <c r="X127" s="4">
        <f>1/TWD!B127</f>
        <v>3.1088727227507308E-2</v>
      </c>
      <c r="Y127" s="4" t="e">
        <f>1/TWD!C127</f>
        <v>#VALUE!</v>
      </c>
      <c r="Z127" s="4">
        <f>1/ZAR!B127</f>
        <v>0.13652809065465221</v>
      </c>
      <c r="AA127" s="4">
        <f>1/ZAR!C127</f>
        <v>0.13565760021705217</v>
      </c>
    </row>
    <row r="128" spans="1:27" x14ac:dyDescent="0.25">
      <c r="A128" t="str">
        <f>"04/12/2009"</f>
        <v>04/12/2009</v>
      </c>
      <c r="B128" s="3">
        <f>AUD!B128</f>
        <v>0.92330000000000001</v>
      </c>
      <c r="C128" s="3">
        <f>AUD!C128</f>
        <v>0.92049999999999998</v>
      </c>
      <c r="D128" s="3">
        <f>1/CAD!B128</f>
        <v>0.94643195154268411</v>
      </c>
      <c r="E128" s="3">
        <f>1/CAD!C128</f>
        <v>0.94643195154268411</v>
      </c>
      <c r="F128" s="3">
        <f>EUR!B128/1</f>
        <v>1.5056</v>
      </c>
      <c r="G128" s="3">
        <f>EUR!C128/1</f>
        <v>1.5055000000000001</v>
      </c>
      <c r="H128" s="3">
        <f>GBP!B128/1</f>
        <v>1.6536</v>
      </c>
      <c r="I128" s="3">
        <f>GBP!C128/1</f>
        <v>1.6533</v>
      </c>
      <c r="J128" s="4">
        <f>1/INR!B128</f>
        <v>2.1645021645021644E-2</v>
      </c>
      <c r="K128" s="4">
        <f>1/INR!C128</f>
        <v>2.1594774064676348E-2</v>
      </c>
      <c r="L128" s="4">
        <f>1/JPY!B128</f>
        <v>1.1335169630813526E-2</v>
      </c>
      <c r="M128" s="4">
        <f>1/JPY!C128</f>
        <v>1.1337110102612184E-2</v>
      </c>
      <c r="N128" s="5">
        <f>1/KRW!B128</f>
        <v>8.6737791655824435E-4</v>
      </c>
      <c r="O128" s="5">
        <f>1/KRW!C128</f>
        <v>8.6737438055374387E-4</v>
      </c>
      <c r="P128" s="3">
        <f>1/NOK!B128</f>
        <v>0.17764198035279699</v>
      </c>
      <c r="Q128" s="3">
        <f>1/NOK!C128</f>
        <v>0.17741821020509546</v>
      </c>
      <c r="R128" s="3">
        <f>NZD!B128/1</f>
        <v>0.72230000000000005</v>
      </c>
      <c r="S128" s="3">
        <f>NZD!C128/1</f>
        <v>0.72070000000000001</v>
      </c>
      <c r="T128" s="4">
        <f>1/PHP!B128</f>
        <v>2.1535711593750336E-2</v>
      </c>
      <c r="U128" s="4">
        <f>1/PHP!C128</f>
        <v>2.1441053184532426E-2</v>
      </c>
      <c r="V128" s="4">
        <f>1/TWD!B128</f>
        <v>3.1091627024842212E-2</v>
      </c>
      <c r="W128" s="4">
        <f>1/TWD!C128</f>
        <v>3.109752494798939E-2</v>
      </c>
      <c r="X128" s="4">
        <f>1/TWD!B128</f>
        <v>3.1091627024842212E-2</v>
      </c>
      <c r="Y128" s="4">
        <f>1/TWD!C128</f>
        <v>3.109752494798939E-2</v>
      </c>
      <c r="Z128" s="4">
        <f>1/ZAR!B128</f>
        <v>0.13460761879122357</v>
      </c>
      <c r="AA128" s="4">
        <f>1/ZAR!C128</f>
        <v>0.1337703163667982</v>
      </c>
    </row>
    <row r="129" spans="1:27" x14ac:dyDescent="0.25">
      <c r="A129" t="str">
        <f>"07/12/2009"</f>
        <v>07/12/2009</v>
      </c>
      <c r="B129" s="3">
        <f>AUD!B129</f>
        <v>0.91479999999999995</v>
      </c>
      <c r="C129" s="3">
        <f>AUD!C129</f>
        <v>0.91180000000000005</v>
      </c>
      <c r="D129" s="3">
        <f>1/CAD!B129</f>
        <v>0.94759783947692611</v>
      </c>
      <c r="E129" s="3">
        <f>1/CAD!C129</f>
        <v>0.94759783947692611</v>
      </c>
      <c r="F129" s="3">
        <f>EUR!B129/1</f>
        <v>1.4883999999999999</v>
      </c>
      <c r="G129" s="3">
        <f>EUR!C129/1</f>
        <v>1.4882</v>
      </c>
      <c r="H129" s="3">
        <f>GBP!B129/1</f>
        <v>1.6473</v>
      </c>
      <c r="I129" s="3">
        <f>GBP!C129/1</f>
        <v>1.6469</v>
      </c>
      <c r="J129" s="4">
        <f>1/INR!B129</f>
        <v>2.1523891519586742E-2</v>
      </c>
      <c r="K129" s="4">
        <f>1/INR!C129</f>
        <v>2.1475357027810588E-2</v>
      </c>
      <c r="L129" s="4">
        <f>1/JPY!B129</f>
        <v>1.1132138483802739E-2</v>
      </c>
      <c r="M129" s="4">
        <f>1/JPY!C129</f>
        <v>1.1134555536379376E-2</v>
      </c>
      <c r="N129" s="5">
        <f>1/KRW!B129</f>
        <v>8.6460314715545571E-4</v>
      </c>
      <c r="O129" s="5">
        <f>1/KRW!C129</f>
        <v>8.645999327514173E-4</v>
      </c>
      <c r="P129" s="3">
        <f>1/NOK!B129</f>
        <v>0.17624561589030474</v>
      </c>
      <c r="Q129" s="3">
        <f>1/NOK!C129</f>
        <v>0.17601605266400294</v>
      </c>
      <c r="R129" s="3">
        <f>NZD!B129/1</f>
        <v>0.71719999999999995</v>
      </c>
      <c r="S129" s="3">
        <f>NZD!C129/1</f>
        <v>0.71550000000000002</v>
      </c>
      <c r="T129" s="4">
        <f>1/PHP!B129</f>
        <v>2.1703743895822029E-2</v>
      </c>
      <c r="U129" s="4">
        <f>1/PHP!C129</f>
        <v>2.1609940572663425E-2</v>
      </c>
      <c r="V129" s="4">
        <f>1/TWD!B129</f>
        <v>3.1036623215394167E-2</v>
      </c>
      <c r="W129" s="4">
        <f>1/TWD!C129</f>
        <v>3.1036623215394167E-2</v>
      </c>
      <c r="X129" s="4">
        <f>1/TWD!B129</f>
        <v>3.1036623215394167E-2</v>
      </c>
      <c r="Y129" s="4">
        <f>1/TWD!C129</f>
        <v>3.1036623215394167E-2</v>
      </c>
      <c r="Z129" s="4">
        <f>1/ZAR!B129</f>
        <v>0.13404825737265416</v>
      </c>
      <c r="AA129" s="4">
        <f>1/ZAR!C129</f>
        <v>0.13319658483956473</v>
      </c>
    </row>
    <row r="130" spans="1:27" x14ac:dyDescent="0.25">
      <c r="A130" t="str">
        <f>"08/12/2009"</f>
        <v>08/12/2009</v>
      </c>
      <c r="B130" s="3">
        <f>AUD!B130</f>
        <v>0.91339999999999999</v>
      </c>
      <c r="C130" s="3">
        <f>AUD!C130</f>
        <v>0.91049999999999998</v>
      </c>
      <c r="D130" s="3">
        <f>1/CAD!B130</f>
        <v>0.95111280197831471</v>
      </c>
      <c r="E130" s="3">
        <f>1/CAD!C130</f>
        <v>0.95111280197831471</v>
      </c>
      <c r="F130" s="3">
        <f>EUR!B130/1</f>
        <v>1.4837</v>
      </c>
      <c r="G130" s="3">
        <f>EUR!C130/1</f>
        <v>1.4836</v>
      </c>
      <c r="H130" s="3">
        <f>GBP!B130/1</f>
        <v>1.6447000000000001</v>
      </c>
      <c r="I130" s="3">
        <f>GBP!C130/1</f>
        <v>1.6444000000000001</v>
      </c>
      <c r="J130" s="4">
        <f>1/INR!B130</f>
        <v>2.1493820526598605E-2</v>
      </c>
      <c r="K130" s="4">
        <f>1/INR!C130</f>
        <v>2.1447721179624665E-2</v>
      </c>
      <c r="L130" s="4">
        <f>1/JPY!B130</f>
        <v>1.1235828810912236E-2</v>
      </c>
      <c r="M130" s="4">
        <f>1/JPY!C130</f>
        <v>1.1238303735387397E-2</v>
      </c>
      <c r="N130" s="5">
        <f>1/KRW!B130</f>
        <v>8.6587583340548958E-4</v>
      </c>
      <c r="O130" s="5">
        <f>1/KRW!C130</f>
        <v>8.6584232128170287E-4</v>
      </c>
      <c r="P130" s="3">
        <f>1/NOK!B130</f>
        <v>0.17513134851138354</v>
      </c>
      <c r="Q130" s="3">
        <f>1/NOK!C130</f>
        <v>0.17490161783996502</v>
      </c>
      <c r="R130" s="3">
        <f>NZD!B130/1</f>
        <v>0.71430000000000005</v>
      </c>
      <c r="S130" s="3">
        <f>NZD!C130/1</f>
        <v>0.7127</v>
      </c>
      <c r="T130" s="4">
        <f>1/PHP!B130</f>
        <v>2.1708219817433871E-2</v>
      </c>
      <c r="U130" s="4">
        <f>1/PHP!C130</f>
        <v>2.1616714043298277E-2</v>
      </c>
      <c r="V130" s="4">
        <f>1/TWD!B130</f>
        <v>3.1021218513463213E-2</v>
      </c>
      <c r="W130" s="4">
        <f>1/TWD!C130</f>
        <v>3.1021218513463213E-2</v>
      </c>
      <c r="X130" s="4">
        <f>1/TWD!B130</f>
        <v>3.1021218513463213E-2</v>
      </c>
      <c r="Y130" s="4">
        <f>1/TWD!C130</f>
        <v>3.1021218513463213E-2</v>
      </c>
      <c r="Z130" s="4">
        <f>1/ZAR!B130</f>
        <v>0.13360053440213759</v>
      </c>
      <c r="AA130" s="4">
        <f>1/ZAR!C130</f>
        <v>0.13272280841462605</v>
      </c>
    </row>
    <row r="131" spans="1:27" x14ac:dyDescent="0.25">
      <c r="A131" t="str">
        <f>"09/12/2009"</f>
        <v>09/12/2009</v>
      </c>
      <c r="B131" s="3">
        <f>AUD!B131</f>
        <v>0.90639999999999998</v>
      </c>
      <c r="C131" s="3">
        <f>AUD!C131</f>
        <v>0.90359999999999996</v>
      </c>
      <c r="D131" s="3">
        <f>1/CAD!B131</f>
        <v>0.9417082587814295</v>
      </c>
      <c r="E131" s="3">
        <f>1/CAD!C131</f>
        <v>0.9417082587814295</v>
      </c>
      <c r="F131" s="3">
        <f>EUR!B131/1</f>
        <v>1.4729000000000001</v>
      </c>
      <c r="G131" s="3">
        <f>EUR!C131/1</f>
        <v>1.4728000000000001</v>
      </c>
      <c r="H131" s="3">
        <f>GBP!B131/1</f>
        <v>1.6262000000000001</v>
      </c>
      <c r="I131" s="3">
        <f>GBP!C131/1</f>
        <v>1.6258999999999999</v>
      </c>
      <c r="J131" s="4">
        <f>1/INR!B131</f>
        <v>2.1344717182497332E-2</v>
      </c>
      <c r="K131" s="4">
        <f>1/INR!C131</f>
        <v>2.1300388732094361E-2</v>
      </c>
      <c r="L131" s="4">
        <f>1/JPY!B131</f>
        <v>1.1312217194570135E-2</v>
      </c>
      <c r="M131" s="4">
        <f>1/JPY!C131</f>
        <v>1.1314892321827219E-2</v>
      </c>
      <c r="N131" s="5">
        <f>1/KRW!B131</f>
        <v>8.585164835164835E-4</v>
      </c>
      <c r="O131" s="5">
        <f>1/KRW!C131</f>
        <v>8.5850933418566138E-4</v>
      </c>
      <c r="P131" s="3">
        <f>1/NOK!B131</f>
        <v>0.17284889549555779</v>
      </c>
      <c r="Q131" s="3">
        <f>1/NOK!C131</f>
        <v>0.17263107014000381</v>
      </c>
      <c r="R131" s="3">
        <f>NZD!B131/1</f>
        <v>0.70840000000000003</v>
      </c>
      <c r="S131" s="3">
        <f>NZD!C131/1</f>
        <v>0.70689999999999997</v>
      </c>
      <c r="T131" s="4">
        <f>1/PHP!B131</f>
        <v>2.1584286639326572E-2</v>
      </c>
      <c r="U131" s="4">
        <f>1/PHP!C131</f>
        <v>2.1500752526338422E-2</v>
      </c>
      <c r="V131" s="4">
        <f>1/TWD!B131</f>
        <v>3.0971258671952433E-2</v>
      </c>
      <c r="W131" s="4">
        <f>1/TWD!C131</f>
        <v>3.0971258671952433E-2</v>
      </c>
      <c r="X131" s="4">
        <f>1/TWD!B131</f>
        <v>3.0971258671952433E-2</v>
      </c>
      <c r="Y131" s="4">
        <f>1/TWD!C131</f>
        <v>3.0971258671952433E-2</v>
      </c>
      <c r="Z131" s="4">
        <f>1/ZAR!B131</f>
        <v>0.13218770654329146</v>
      </c>
      <c r="AA131" s="4">
        <f>1/ZAR!C131</f>
        <v>0.13134218579665605</v>
      </c>
    </row>
    <row r="132" spans="1:27" x14ac:dyDescent="0.25">
      <c r="A132" t="str">
        <f>"10/12/2009"</f>
        <v>10/12/2009</v>
      </c>
      <c r="B132" s="3">
        <f>AUD!B132</f>
        <v>0.9163</v>
      </c>
      <c r="C132" s="3">
        <f>AUD!C132</f>
        <v>0.91349999999999998</v>
      </c>
      <c r="D132" s="3">
        <f>1/CAD!B132</f>
        <v>0.94804702313234746</v>
      </c>
      <c r="E132" s="3">
        <f>1/CAD!C132</f>
        <v>0.94804702313234746</v>
      </c>
      <c r="F132" s="3">
        <f>EUR!B132/1</f>
        <v>1.474</v>
      </c>
      <c r="G132" s="3">
        <f>EUR!C132/1</f>
        <v>1.4739</v>
      </c>
      <c r="H132" s="3">
        <f>GBP!B132/1</f>
        <v>1.6305000000000001</v>
      </c>
      <c r="I132" s="3">
        <f>GBP!C132/1</f>
        <v>1.6302000000000001</v>
      </c>
      <c r="J132" s="4">
        <f>1/INR!B132</f>
        <v>2.1436227224008574E-2</v>
      </c>
      <c r="K132" s="4">
        <f>1/INR!C132</f>
        <v>2.1390374331550801E-2</v>
      </c>
      <c r="L132" s="4">
        <f>1/JPY!B132</f>
        <v>1.1336583153837435E-2</v>
      </c>
      <c r="M132" s="4">
        <f>1/JPY!C132</f>
        <v>1.1339166956760356E-2</v>
      </c>
      <c r="N132" s="5">
        <f>1/KRW!B132</f>
        <v>8.602890571231933E-4</v>
      </c>
      <c r="O132" s="5">
        <f>1/KRW!C132</f>
        <v>8.6028683683713825E-4</v>
      </c>
      <c r="P132" s="3">
        <f>1/NOK!B132</f>
        <v>0.17454443901417302</v>
      </c>
      <c r="Q132" s="3">
        <f>1/NOK!C132</f>
        <v>0.17432839983961787</v>
      </c>
      <c r="R132" s="3">
        <f>NZD!B132/1</f>
        <v>0.72450000000000003</v>
      </c>
      <c r="S132" s="3">
        <f>NZD!C132/1</f>
        <v>0.72289999999999999</v>
      </c>
      <c r="T132" s="4">
        <f>1/PHP!B132</f>
        <v>2.1646661543623436E-2</v>
      </c>
      <c r="U132" s="4">
        <f>1/PHP!C132</f>
        <v>2.1561250121282034E-2</v>
      </c>
      <c r="V132" s="4">
        <f>1/TWD!B132</f>
        <v>3.0948254518445163E-2</v>
      </c>
      <c r="W132" s="4">
        <f>1/TWD!C132</f>
        <v>3.0948350298187353E-2</v>
      </c>
      <c r="X132" s="4">
        <f>1/TWD!B132</f>
        <v>3.0948254518445163E-2</v>
      </c>
      <c r="Y132" s="4">
        <f>1/TWD!C132</f>
        <v>3.0948350298187353E-2</v>
      </c>
      <c r="Z132" s="4">
        <f>1/ZAR!B132</f>
        <v>0.13230313293818799</v>
      </c>
      <c r="AA132" s="4">
        <f>1/ZAR!C132</f>
        <v>0.13146650890685599</v>
      </c>
    </row>
    <row r="133" spans="1:27" x14ac:dyDescent="0.25">
      <c r="A133" t="str">
        <f>"11/12/2009"</f>
        <v>11/12/2009</v>
      </c>
      <c r="B133" s="3">
        <f>AUD!B133</f>
        <v>0.91679999999999995</v>
      </c>
      <c r="C133" s="3">
        <f>AUD!C133</f>
        <v>0.91400000000000003</v>
      </c>
      <c r="D133" s="3">
        <f>1/CAD!B133</f>
        <v>0.95066070919288903</v>
      </c>
      <c r="E133" s="3">
        <f>1/CAD!C133</f>
        <v>0.95066070919288903</v>
      </c>
      <c r="F133" s="3">
        <f>EUR!B133/1</f>
        <v>1.4722999999999999</v>
      </c>
      <c r="G133" s="3">
        <f>EUR!C133/1</f>
        <v>1.4722</v>
      </c>
      <c r="H133" s="3">
        <f>GBP!B133/1</f>
        <v>1.6312</v>
      </c>
      <c r="I133" s="3">
        <f>GBP!C133/1</f>
        <v>1.6309</v>
      </c>
      <c r="J133" s="4">
        <f>1/INR!B133</f>
        <v>2.1459227467811159E-2</v>
      </c>
      <c r="K133" s="4">
        <f>1/INR!C133</f>
        <v>2.1410983834707204E-2</v>
      </c>
      <c r="L133" s="4">
        <f>1/JPY!B133</f>
        <v>1.1263798152737103E-2</v>
      </c>
      <c r="M133" s="4">
        <f>1/JPY!C133</f>
        <v>1.1266196565837962E-2</v>
      </c>
      <c r="N133" s="5">
        <f>1/KRW!B133</f>
        <v>8.5778006519128503E-4</v>
      </c>
      <c r="O133" s="5">
        <f>1/KRW!C133</f>
        <v>8.5777557691626418E-4</v>
      </c>
      <c r="P133" s="3">
        <f>1/NOK!B133</f>
        <v>0.17409167667693806</v>
      </c>
      <c r="Q133" s="3">
        <f>1/NOK!C133</f>
        <v>0.17387070974023716</v>
      </c>
      <c r="R133" s="3">
        <f>NZD!B133/1</f>
        <v>0.72740000000000005</v>
      </c>
      <c r="S133" s="3">
        <f>NZD!C133/1</f>
        <v>0.7258</v>
      </c>
      <c r="T133" s="4">
        <f>1/PHP!B133</f>
        <v>2.1677866897897247E-2</v>
      </c>
      <c r="U133" s="4">
        <f>1/PHP!C133</f>
        <v>2.1593608291945583E-2</v>
      </c>
      <c r="V133" s="4">
        <f>1/TWD!B133</f>
        <v>3.1023143264875597E-2</v>
      </c>
      <c r="W133" s="4" t="e">
        <f>1/TWD!C133</f>
        <v>#VALUE!</v>
      </c>
      <c r="X133" s="4">
        <f>1/TWD!B133</f>
        <v>3.1023143264875597E-2</v>
      </c>
      <c r="Y133" s="4" t="e">
        <f>1/TWD!C133</f>
        <v>#VALUE!</v>
      </c>
      <c r="Z133" s="4">
        <f>1/ZAR!B133</f>
        <v>0.13254161806807338</v>
      </c>
      <c r="AA133" s="4">
        <f>1/ZAR!C133</f>
        <v>0.13171759747102213</v>
      </c>
    </row>
    <row r="134" spans="1:27" x14ac:dyDescent="0.25">
      <c r="A134" t="str">
        <f>"14/12/2009"</f>
        <v>14/12/2009</v>
      </c>
      <c r="B134" s="3">
        <f>AUD!B134</f>
        <v>0.90559999999999996</v>
      </c>
      <c r="C134" s="3">
        <f>AUD!C134</f>
        <v>0.90259999999999996</v>
      </c>
      <c r="D134" s="3">
        <f>1/CAD!B134</f>
        <v>0.94161958568738224</v>
      </c>
      <c r="E134" s="3">
        <f>1/CAD!C134</f>
        <v>0.94161958568738224</v>
      </c>
      <c r="F134" s="3">
        <f>EUR!B134/1</f>
        <v>1.4609000000000001</v>
      </c>
      <c r="G134" s="3">
        <f>EUR!C134/1</f>
        <v>1.4607000000000001</v>
      </c>
      <c r="H134" s="3">
        <f>GBP!B134/1</f>
        <v>1.6192</v>
      </c>
      <c r="I134" s="3">
        <f>GBP!C134/1</f>
        <v>1.6189</v>
      </c>
      <c r="J134" s="4">
        <f>1/INR!B134</f>
        <v>2.1394950791613177E-2</v>
      </c>
      <c r="K134" s="4">
        <f>1/INR!C134</f>
        <v>2.1337885415555317E-2</v>
      </c>
      <c r="L134" s="4">
        <f>1/JPY!B134</f>
        <v>1.1292608423156623E-2</v>
      </c>
      <c r="M134" s="4">
        <f>1/JPY!C134</f>
        <v>1.1295350833596892E-2</v>
      </c>
      <c r="N134" s="5">
        <f>1/KRW!B134</f>
        <v>8.5722858000085726E-4</v>
      </c>
      <c r="O134" s="5">
        <f>1/KRW!C134</f>
        <v>8.572193945888026E-4</v>
      </c>
      <c r="P134" s="3">
        <f>1/NOK!B134</f>
        <v>0.17273245470091375</v>
      </c>
      <c r="Q134" s="3">
        <f>1/NOK!C134</f>
        <v>0.17250004312501077</v>
      </c>
      <c r="R134" s="3">
        <f>NZD!B134/1</f>
        <v>0.72109999999999996</v>
      </c>
      <c r="S134" s="3">
        <f>NZD!C134/1</f>
        <v>0.71930000000000005</v>
      </c>
      <c r="T134" s="4">
        <f>1/PHP!B134</f>
        <v>2.1574973031283709E-2</v>
      </c>
      <c r="U134" s="4">
        <f>1/PHP!C134</f>
        <v>2.1492434662998626E-2</v>
      </c>
      <c r="V134" s="4">
        <f>1/TWD!B134</f>
        <v>3.0977015054829322E-2</v>
      </c>
      <c r="W134" s="4">
        <f>1/TWD!C134</f>
        <v>3.0977015054829322E-2</v>
      </c>
      <c r="X134" s="4">
        <f>1/TWD!B134</f>
        <v>3.0977015054829322E-2</v>
      </c>
      <c r="Y134" s="4">
        <f>1/TWD!C134</f>
        <v>3.0977015054829322E-2</v>
      </c>
      <c r="Z134" s="4">
        <f>1/ZAR!B134</f>
        <v>0.13249420337860218</v>
      </c>
      <c r="AA134" s="4">
        <f>1/ZAR!C134</f>
        <v>0.1316655694535879</v>
      </c>
    </row>
    <row r="135" spans="1:27" x14ac:dyDescent="0.25">
      <c r="A135" t="str">
        <f>"15/12/2009"</f>
        <v>15/12/2009</v>
      </c>
      <c r="B135" s="3">
        <f>AUD!B135</f>
        <v>0.91349999999999998</v>
      </c>
      <c r="C135" s="3">
        <f>AUD!C135</f>
        <v>0.91049999999999998</v>
      </c>
      <c r="D135" s="3">
        <f>1/CAD!B135</f>
        <v>0.94464386926128852</v>
      </c>
      <c r="E135" s="3">
        <f>1/CAD!C135</f>
        <v>0.94464386926128852</v>
      </c>
      <c r="F135" s="3">
        <f>EUR!B135/1</f>
        <v>1.4649000000000001</v>
      </c>
      <c r="G135" s="3">
        <f>EUR!C135/1</f>
        <v>1.4646999999999999</v>
      </c>
      <c r="H135" s="3">
        <f>GBP!B135/1</f>
        <v>1.63</v>
      </c>
      <c r="I135" s="3">
        <f>GBP!C135/1</f>
        <v>1.6295999999999999</v>
      </c>
      <c r="J135" s="4">
        <f>1/INR!B135</f>
        <v>2.1436227224008574E-2</v>
      </c>
      <c r="K135" s="4">
        <f>1/INR!C135</f>
        <v>2.1383513311237036E-2</v>
      </c>
      <c r="L135" s="4">
        <f>1/JPY!B135</f>
        <v>1.1270018370129944E-2</v>
      </c>
      <c r="M135" s="4">
        <f>1/JPY!C135</f>
        <v>1.127286418678685E-2</v>
      </c>
      <c r="N135" s="5">
        <f>1/KRW!B135</f>
        <v>8.5999312005503956E-4</v>
      </c>
      <c r="O135" s="5">
        <f>1/KRW!C135</f>
        <v>8.599860940248596E-4</v>
      </c>
      <c r="P135" s="3">
        <f>1/NOK!B135</f>
        <v>0.17289372222894586</v>
      </c>
      <c r="Q135" s="3">
        <f>1/NOK!C135</f>
        <v>0.17265789564556785</v>
      </c>
      <c r="R135" s="3">
        <f>NZD!B135/1</f>
        <v>0.72629999999999995</v>
      </c>
      <c r="S135" s="3">
        <f>NZD!C135/1</f>
        <v>0.72460000000000002</v>
      </c>
      <c r="T135" s="4">
        <f>1/PHP!B135</f>
        <v>2.1682567215958369E-2</v>
      </c>
      <c r="U135" s="4">
        <f>1/PHP!C135</f>
        <v>2.1592209530801286E-2</v>
      </c>
      <c r="V135" s="4">
        <f>1/TWD!B135</f>
        <v>3.0977974660016731E-2</v>
      </c>
      <c r="W135" s="4">
        <f>1/TWD!C135</f>
        <v>3.0977974660016731E-2</v>
      </c>
      <c r="X135" s="4">
        <f>1/TWD!B135</f>
        <v>3.0977974660016731E-2</v>
      </c>
      <c r="Y135" s="4">
        <f>1/TWD!C135</f>
        <v>3.0977974660016731E-2</v>
      </c>
      <c r="Z135" s="4">
        <f>1/ZAR!B135</f>
        <v>0.13476180850347011</v>
      </c>
      <c r="AA135" s="4">
        <f>1/ZAR!C135</f>
        <v>0.13386522449198146</v>
      </c>
    </row>
    <row r="136" spans="1:27" x14ac:dyDescent="0.25">
      <c r="A136" t="str">
        <f>"16/12/2009"</f>
        <v>16/12/2009</v>
      </c>
      <c r="B136" s="3">
        <f>AUD!B136</f>
        <v>0.89949999999999997</v>
      </c>
      <c r="C136" s="3">
        <f>AUD!C136</f>
        <v>0.89649999999999996</v>
      </c>
      <c r="D136" s="3">
        <f>1/CAD!B136</f>
        <v>0.94250706880301605</v>
      </c>
      <c r="E136" s="3">
        <f>1/CAD!C136</f>
        <v>0.94250706880301605</v>
      </c>
      <c r="F136" s="3">
        <f>EUR!B136/1</f>
        <v>1.4540999999999999</v>
      </c>
      <c r="G136" s="3">
        <f>EUR!C136/1</f>
        <v>1.454</v>
      </c>
      <c r="H136" s="3">
        <f>GBP!B136/1</f>
        <v>1.6244000000000001</v>
      </c>
      <c r="I136" s="3">
        <f>GBP!C136/1</f>
        <v>1.6240000000000001</v>
      </c>
      <c r="J136" s="4">
        <f>1/INR!B136</f>
        <v>2.1390374331550801E-2</v>
      </c>
      <c r="K136" s="4">
        <f>1/INR!C136</f>
        <v>2.1333333333333333E-2</v>
      </c>
      <c r="L136" s="4">
        <f>1/JPY!B136</f>
        <v>1.116270762636185E-2</v>
      </c>
      <c r="M136" s="4">
        <f>1/JPY!C136</f>
        <v>1.1165811179433469E-2</v>
      </c>
      <c r="N136" s="5">
        <f>1/KRW!B136</f>
        <v>8.5667780347811187E-4</v>
      </c>
      <c r="O136" s="5">
        <f>1/KRW!C136</f>
        <v>8.5666862986561007E-4</v>
      </c>
      <c r="P136" s="3">
        <f>1/NOK!B136</f>
        <v>0.17140898183064793</v>
      </c>
      <c r="Q136" s="3">
        <f>1/NOK!C136</f>
        <v>0.17118304603112106</v>
      </c>
      <c r="R136" s="3">
        <f>NZD!B136/1</f>
        <v>0.71799999999999997</v>
      </c>
      <c r="S136" s="3">
        <f>NZD!C136/1</f>
        <v>0.71630000000000005</v>
      </c>
      <c r="T136" s="4">
        <f>1/PHP!B136</f>
        <v>2.1579628830384116E-2</v>
      </c>
      <c r="U136" s="4">
        <f>1/PHP!C136</f>
        <v>2.1486892995272885E-2</v>
      </c>
      <c r="V136" s="4">
        <f>1/TWD!B136</f>
        <v>3.095112816862175E-2</v>
      </c>
      <c r="W136" s="4">
        <f>1/TWD!C136</f>
        <v>3.095112816862175E-2</v>
      </c>
      <c r="X136" s="4">
        <f>1/TWD!B136</f>
        <v>3.095112816862175E-2</v>
      </c>
      <c r="Y136" s="4">
        <f>1/TWD!C136</f>
        <v>3.095112816862175E-2</v>
      </c>
      <c r="Z136" s="4">
        <f>1/ZAR!B136</f>
        <v>0.13400335008375208</v>
      </c>
      <c r="AA136" s="4">
        <f>1/ZAR!C136</f>
        <v>0.13309907895437362</v>
      </c>
    </row>
    <row r="137" spans="1:27" x14ac:dyDescent="0.25">
      <c r="A137" t="str">
        <f>"17/12/2009"</f>
        <v>17/12/2009</v>
      </c>
      <c r="B137" s="3">
        <f>AUD!B137</f>
        <v>0.89349999999999996</v>
      </c>
      <c r="C137" s="3">
        <f>AUD!C137</f>
        <v>0.89059999999999995</v>
      </c>
      <c r="D137" s="3">
        <f>1/CAD!B137</f>
        <v>0.93685591156080206</v>
      </c>
      <c r="E137" s="3">
        <f>1/CAD!C137</f>
        <v>0.93685591156080206</v>
      </c>
      <c r="F137" s="3">
        <f>EUR!B137/1</f>
        <v>1.4406000000000001</v>
      </c>
      <c r="G137" s="3">
        <f>EUR!C137/1</f>
        <v>1.4404999999999999</v>
      </c>
      <c r="H137" s="3">
        <f>GBP!B137/1</f>
        <v>1.6263000000000001</v>
      </c>
      <c r="I137" s="3">
        <f>GBP!C137/1</f>
        <v>1.6259999999999999</v>
      </c>
      <c r="J137" s="4">
        <f>1/INR!B137</f>
        <v>2.135383301302584E-2</v>
      </c>
      <c r="K137" s="4">
        <f>1/INR!C137</f>
        <v>2.1299254526091587E-2</v>
      </c>
      <c r="L137" s="4">
        <f>1/JPY!B137</f>
        <v>1.1093361732339367E-2</v>
      </c>
      <c r="M137" s="4">
        <f>1/JPY!C137</f>
        <v>1.1096229833989306E-2</v>
      </c>
      <c r="N137" s="5">
        <f>1/KRW!B137</f>
        <v>8.4990651028386886E-4</v>
      </c>
      <c r="O137" s="5">
        <f>1/KRW!C137</f>
        <v>8.4989748111634041E-4</v>
      </c>
      <c r="P137" s="3">
        <f>1/NOK!B137</f>
        <v>0.171777033410633</v>
      </c>
      <c r="Q137" s="3">
        <f>1/NOK!C137</f>
        <v>0.17152952880838435</v>
      </c>
      <c r="R137" s="3">
        <f>NZD!B137/1</f>
        <v>0.71389999999999998</v>
      </c>
      <c r="S137" s="3">
        <f>NZD!C137/1</f>
        <v>0.71230000000000004</v>
      </c>
      <c r="T137" s="4">
        <f>1/PHP!B137</f>
        <v>2.151462994836489E-2</v>
      </c>
      <c r="U137" s="4">
        <f>1/PHP!C137</f>
        <v>2.1424745581146227E-2</v>
      </c>
      <c r="V137" s="4">
        <f>1/TWD!B137</f>
        <v>3.0924328168970526E-2</v>
      </c>
      <c r="W137" s="4">
        <f>1/TWD!C137</f>
        <v>3.0924328168970526E-2</v>
      </c>
      <c r="X137" s="4">
        <f>1/TWD!B137</f>
        <v>3.0924328168970526E-2</v>
      </c>
      <c r="Y137" s="4">
        <f>1/TWD!C137</f>
        <v>3.0924328168970526E-2</v>
      </c>
      <c r="Z137" s="4">
        <f>1/ZAR!B137</f>
        <v>0.13376852694098132</v>
      </c>
      <c r="AA137" s="4">
        <f>1/ZAR!C137</f>
        <v>0.13287623907092933</v>
      </c>
    </row>
    <row r="138" spans="1:27" x14ac:dyDescent="0.25">
      <c r="A138" t="str">
        <f>"18/12/2009"</f>
        <v>18/12/2009</v>
      </c>
      <c r="B138" s="3">
        <f>AUD!B138</f>
        <v>0.88880000000000003</v>
      </c>
      <c r="C138" s="3">
        <f>AUD!C138</f>
        <v>0.88590000000000002</v>
      </c>
      <c r="D138" s="3">
        <f>1/CAD!B138</f>
        <v>0.9373828271466067</v>
      </c>
      <c r="E138" s="3">
        <f>1/CAD!C138</f>
        <v>0.9373828271466067</v>
      </c>
      <c r="F138" s="3">
        <f>EUR!B138/1</f>
        <v>1.4395</v>
      </c>
      <c r="G138" s="3">
        <f>EUR!C138/1</f>
        <v>1.4394</v>
      </c>
      <c r="H138" s="3">
        <f>GBP!B138/1</f>
        <v>1.6209</v>
      </c>
      <c r="I138" s="3">
        <f>GBP!C138/1</f>
        <v>1.6206</v>
      </c>
      <c r="J138" s="4">
        <f>1/INR!B138</f>
        <v>2.1340162185232606E-2</v>
      </c>
      <c r="K138" s="4">
        <f>1/INR!C138</f>
        <v>2.1292451825827743E-2</v>
      </c>
      <c r="L138" s="4">
        <f>1/JPY!B138</f>
        <v>1.1191941801902631E-2</v>
      </c>
      <c r="M138" s="4">
        <f>1/JPY!C138</f>
        <v>1.1194397427975247E-2</v>
      </c>
      <c r="N138" s="5">
        <f>1/KRW!B138</f>
        <v>8.5244224703776321E-4</v>
      </c>
      <c r="O138" s="5">
        <f>1/KRW!C138</f>
        <v>8.5243243727056251E-4</v>
      </c>
      <c r="P138" s="3">
        <f>1/NOK!B138</f>
        <v>0.17082628674900494</v>
      </c>
      <c r="Q138" s="3">
        <f>1/NOK!C138</f>
        <v>0.17059606264287422</v>
      </c>
      <c r="R138" s="3">
        <f>NZD!B138/1</f>
        <v>0.71150000000000002</v>
      </c>
      <c r="S138" s="3">
        <f>NZD!C138/1</f>
        <v>0.70979999999999999</v>
      </c>
      <c r="T138" s="4">
        <f>1/PHP!B138</f>
        <v>2.1427040925648167E-2</v>
      </c>
      <c r="U138" s="4">
        <f>1/PHP!C138</f>
        <v>2.1346995410395989E-2</v>
      </c>
      <c r="V138" s="4">
        <f>1/TWD!B138</f>
        <v>3.0910945565824858E-2</v>
      </c>
      <c r="W138" s="4">
        <f>1/TWD!C138</f>
        <v>3.0910945565824858E-2</v>
      </c>
      <c r="X138" s="4">
        <f>1/TWD!B138</f>
        <v>3.0910945565824858E-2</v>
      </c>
      <c r="Y138" s="4">
        <f>1/TWD!C138</f>
        <v>3.0910945565824858E-2</v>
      </c>
      <c r="Z138" s="4">
        <f>1/ZAR!B138</f>
        <v>0.13235741797149023</v>
      </c>
      <c r="AA138" s="4">
        <f>1/ZAR!C138</f>
        <v>0.13146650890685599</v>
      </c>
    </row>
    <row r="139" spans="1:27" x14ac:dyDescent="0.25">
      <c r="A139" t="str">
        <f>"21/12/2009"</f>
        <v>21/12/2009</v>
      </c>
      <c r="B139" s="3">
        <f>AUD!B139</f>
        <v>0.88890000000000002</v>
      </c>
      <c r="C139" s="3">
        <f>AUD!C139</f>
        <v>0.88580000000000003</v>
      </c>
      <c r="D139" s="3">
        <f>1/CAD!B139</f>
        <v>0.93764650726676046</v>
      </c>
      <c r="E139" s="3">
        <f>1/CAD!C139</f>
        <v>0.93764650726676046</v>
      </c>
      <c r="F139" s="3">
        <f>EUR!B139/1</f>
        <v>1.4356</v>
      </c>
      <c r="G139" s="3">
        <f>EUR!C139/1</f>
        <v>1.4355</v>
      </c>
      <c r="H139" s="3">
        <f>GBP!B139/1</f>
        <v>1.6153</v>
      </c>
      <c r="I139" s="3">
        <f>GBP!C139/1</f>
        <v>1.615</v>
      </c>
      <c r="J139" s="4">
        <f>1/INR!B139</f>
        <v>2.137208805300278E-2</v>
      </c>
      <c r="K139" s="4">
        <f>1/INR!C139</f>
        <v>2.1317416329140911E-2</v>
      </c>
      <c r="L139" s="4">
        <f>1/JPY!B139</f>
        <v>1.1061824537339188E-2</v>
      </c>
      <c r="M139" s="4">
        <f>1/JPY!C139</f>
        <v>1.1064284599954195E-2</v>
      </c>
      <c r="N139" s="5">
        <f>1/KRW!B139</f>
        <v>8.4857227714370568E-4</v>
      </c>
      <c r="O139" s="5">
        <f>1/KRW!C139</f>
        <v>8.4855240354165412E-4</v>
      </c>
      <c r="P139" s="3">
        <f>1/NOK!B139</f>
        <v>0.17125926940795669</v>
      </c>
      <c r="Q139" s="3">
        <f>1/NOK!C139</f>
        <v>0.17100740462062008</v>
      </c>
      <c r="R139" s="3">
        <f>NZD!B139/1</f>
        <v>0.71060000000000001</v>
      </c>
      <c r="S139" s="3">
        <f>NZD!C139/1</f>
        <v>0.70879999999999999</v>
      </c>
      <c r="T139" s="4">
        <f>1/PHP!B139</f>
        <v>2.1431633090441493E-2</v>
      </c>
      <c r="U139" s="4">
        <f>1/PHP!C139</f>
        <v>2.1344717182497332E-2</v>
      </c>
      <c r="V139" s="4">
        <f>1/TWD!B139</f>
        <v>3.0882307526018345E-2</v>
      </c>
      <c r="W139" s="4">
        <f>1/TWD!C139</f>
        <v>3.0882307526018345E-2</v>
      </c>
      <c r="X139" s="4">
        <f>1/TWD!B139</f>
        <v>3.0882307526018345E-2</v>
      </c>
      <c r="Y139" s="4">
        <f>1/TWD!C139</f>
        <v>3.0882307526018345E-2</v>
      </c>
      <c r="Z139" s="4">
        <f>1/ZAR!B139</f>
        <v>0.13184437090458423</v>
      </c>
      <c r="AA139" s="4">
        <f>1/ZAR!C139</f>
        <v>0.13095861707700365</v>
      </c>
    </row>
    <row r="140" spans="1:27" x14ac:dyDescent="0.25">
      <c r="A140" t="str">
        <f>"22/12/2009"</f>
        <v>22/12/2009</v>
      </c>
      <c r="B140" s="3">
        <f>AUD!B140</f>
        <v>0.878</v>
      </c>
      <c r="C140" s="3">
        <f>AUD!C140</f>
        <v>0.875</v>
      </c>
      <c r="D140" s="3">
        <f>1/CAD!B140</f>
        <v>0.94117647058823528</v>
      </c>
      <c r="E140" s="3">
        <f>1/CAD!C140</f>
        <v>0.94117647058823528</v>
      </c>
      <c r="F140" s="3">
        <f>EUR!B140/1</f>
        <v>1.4289000000000001</v>
      </c>
      <c r="G140" s="3">
        <f>EUR!C140/1</f>
        <v>1.4288000000000001</v>
      </c>
      <c r="H140" s="3">
        <f>GBP!B140/1</f>
        <v>1.6052999999999999</v>
      </c>
      <c r="I140" s="3">
        <f>GBP!C140/1</f>
        <v>1.605</v>
      </c>
      <c r="J140" s="4">
        <f>1/INR!B140</f>
        <v>2.1342439440828087E-2</v>
      </c>
      <c r="K140" s="4">
        <f>1/INR!C140</f>
        <v>2.1287919105907396E-2</v>
      </c>
      <c r="L140" s="4">
        <f>1/JPY!B140</f>
        <v>1.0941517588489524E-2</v>
      </c>
      <c r="M140" s="4">
        <f>1/JPY!C140</f>
        <v>1.0943852564418252E-2</v>
      </c>
      <c r="N140" s="5">
        <f>1/KRW!B140</f>
        <v>8.4402430790006761E-4</v>
      </c>
      <c r="O140" s="5">
        <f>1/KRW!C140</f>
        <v>8.4401305249305419E-4</v>
      </c>
      <c r="P140" s="3">
        <f>1/NOK!B140</f>
        <v>0.17052042834731601</v>
      </c>
      <c r="Q140" s="3">
        <f>1/NOK!C140</f>
        <v>0.17027942854223782</v>
      </c>
      <c r="R140" s="3">
        <f>NZD!B140/1</f>
        <v>0.70340000000000003</v>
      </c>
      <c r="S140" s="3">
        <f>NZD!C140/1</f>
        <v>0.70169999999999999</v>
      </c>
      <c r="T140" s="4">
        <f>1/PHP!B140</f>
        <v>2.145002145002145E-2</v>
      </c>
      <c r="U140" s="4">
        <f>1/PHP!C140</f>
        <v>2.1358393848782572E-2</v>
      </c>
      <c r="V140" s="4">
        <f>1/TWD!B140</f>
        <v>3.0885168941874111E-2</v>
      </c>
      <c r="W140" s="4">
        <f>1/TWD!C140</f>
        <v>3.0885264331534785E-2</v>
      </c>
      <c r="X140" s="4">
        <f>1/TWD!B140</f>
        <v>3.0885168941874111E-2</v>
      </c>
      <c r="Y140" s="4">
        <f>1/TWD!C140</f>
        <v>3.0885264331534785E-2</v>
      </c>
      <c r="Z140" s="4">
        <f>1/ZAR!B140</f>
        <v>0.12901727541317784</v>
      </c>
      <c r="AA140" s="4">
        <f>1/ZAR!C140</f>
        <v>0.12812956461573943</v>
      </c>
    </row>
    <row r="141" spans="1:27" x14ac:dyDescent="0.25">
      <c r="A141" t="str">
        <f>"23/12/2009"</f>
        <v>23/12/2009</v>
      </c>
      <c r="B141" s="3">
        <f>AUD!B141</f>
        <v>0.876</v>
      </c>
      <c r="C141" s="3">
        <f>AUD!C141</f>
        <v>0.87319999999999998</v>
      </c>
      <c r="D141" s="3">
        <f>1/CAD!B141</f>
        <v>0.94571590694155483</v>
      </c>
      <c r="E141" s="3">
        <f>1/CAD!C141</f>
        <v>0.94571590694155483</v>
      </c>
      <c r="F141" s="3">
        <f>EUR!B141/1</f>
        <v>1.4254</v>
      </c>
      <c r="G141" s="3">
        <f>EUR!C141/1</f>
        <v>1.4254</v>
      </c>
      <c r="H141" s="3">
        <f>GBP!B141/1</f>
        <v>1.5955999999999999</v>
      </c>
      <c r="I141" s="3">
        <f>GBP!C141/1</f>
        <v>1.5952</v>
      </c>
      <c r="J141" s="4">
        <f>1/INR!B141</f>
        <v>2.1349274124679761E-2</v>
      </c>
      <c r="K141" s="4">
        <f>1/INR!C141</f>
        <v>2.1290185224611454E-2</v>
      </c>
      <c r="L141" s="4">
        <f>1/JPY!B141</f>
        <v>1.0903936321011887E-2</v>
      </c>
      <c r="M141" s="4">
        <f>1/JPY!C141</f>
        <v>1.0906005500989175E-2</v>
      </c>
      <c r="N141" s="5">
        <f>1/KRW!B141</f>
        <v>8.4473728670383518E-4</v>
      </c>
      <c r="O141" s="5">
        <f>1/KRW!C141</f>
        <v>8.4472751075612661E-4</v>
      </c>
      <c r="P141" s="3">
        <f>1/NOK!B141</f>
        <v>0.17007381203442293</v>
      </c>
      <c r="Q141" s="3">
        <f>1/NOK!C141</f>
        <v>0.16984561034020076</v>
      </c>
      <c r="R141" s="3">
        <f>NZD!B141/1</f>
        <v>0.69889999999999997</v>
      </c>
      <c r="S141" s="3">
        <f>NZD!C141/1</f>
        <v>0.69730000000000003</v>
      </c>
      <c r="T141" s="4">
        <f>1/PHP!B141</f>
        <v>2.1484584810398537E-2</v>
      </c>
      <c r="U141" s="4">
        <f>1/PHP!C141</f>
        <v>2.1397239756071468E-2</v>
      </c>
      <c r="V141" s="4">
        <f>1/TWD!B141</f>
        <v>3.0908079371947828E-2</v>
      </c>
      <c r="W141" s="4">
        <f>1/TWD!C141</f>
        <v>3.0908079371947828E-2</v>
      </c>
      <c r="X141" s="4">
        <f>1/TWD!B141</f>
        <v>3.0908079371947828E-2</v>
      </c>
      <c r="Y141" s="4">
        <f>1/TWD!C141</f>
        <v>3.0908079371947828E-2</v>
      </c>
      <c r="Z141" s="4">
        <f>1/ZAR!B141</f>
        <v>0.12935606550591158</v>
      </c>
      <c r="AA141" s="4">
        <f>1/ZAR!C141</f>
        <v>0.12847360509783265</v>
      </c>
    </row>
    <row r="142" spans="1:27" x14ac:dyDescent="0.25">
      <c r="A142" t="str">
        <f>"24/12/2009"</f>
        <v>24/12/2009</v>
      </c>
      <c r="B142" s="3">
        <f>AUD!B142</f>
        <v>0.88190000000000002</v>
      </c>
      <c r="C142" s="3">
        <f>AUD!C142</f>
        <v>0.87909999999999999</v>
      </c>
      <c r="D142" s="3">
        <f>1/CAD!B142</f>
        <v>0.95347063310450042</v>
      </c>
      <c r="E142" s="3">
        <f>1/CAD!C142</f>
        <v>0.95347063310450042</v>
      </c>
      <c r="F142" s="3">
        <f>EUR!B142/1</f>
        <v>1.4349000000000001</v>
      </c>
      <c r="G142" s="3">
        <f>EUR!C142/1</f>
        <v>1.4348000000000001</v>
      </c>
      <c r="H142" s="3">
        <f>GBP!B142/1</f>
        <v>1.5985</v>
      </c>
      <c r="I142" s="3">
        <f>GBP!C142/1</f>
        <v>1.5982000000000001</v>
      </c>
      <c r="J142" s="4">
        <f>1/INR!B142</f>
        <v>2.1385799828913601E-2</v>
      </c>
      <c r="K142" s="4">
        <f>1/INR!C142</f>
        <v>2.1333333333333333E-2</v>
      </c>
      <c r="L142" s="4">
        <f>1/JPY!B142</f>
        <v>1.0930156301235108E-2</v>
      </c>
      <c r="M142" s="4">
        <f>1/JPY!C142</f>
        <v>1.0932187640068654E-2</v>
      </c>
      <c r="N142" s="5">
        <f>1/KRW!B142</f>
        <v>8.5026783436782595E-4</v>
      </c>
      <c r="O142" s="5">
        <f>1/KRW!C142</f>
        <v>8.5023870026390558E-4</v>
      </c>
      <c r="P142" s="3">
        <f>1/NOK!B142</f>
        <v>0.1715707300334563</v>
      </c>
      <c r="Q142" s="3">
        <f>1/NOK!C142</f>
        <v>0.17134436791062679</v>
      </c>
      <c r="R142" s="3">
        <f>NZD!B142/1</f>
        <v>0.7056</v>
      </c>
      <c r="S142" s="3">
        <f>NZD!C142/1</f>
        <v>0.70399999999999996</v>
      </c>
      <c r="T142" s="4">
        <f>1/PHP!B142</f>
        <v>2.1500752526338422E-2</v>
      </c>
      <c r="U142" s="4">
        <f>1/PHP!C142</f>
        <v>2.1413276231263382E-2</v>
      </c>
      <c r="V142" s="4">
        <f>1/TWD!B142</f>
        <v>3.0996218461347716E-2</v>
      </c>
      <c r="W142" s="4">
        <f>1/TWD!C142</f>
        <v>3.0996218461347716E-2</v>
      </c>
      <c r="X142" s="4">
        <f>1/TWD!B142</f>
        <v>3.0996218461347716E-2</v>
      </c>
      <c r="Y142" s="4">
        <f>1/TWD!C142</f>
        <v>3.0996218461347716E-2</v>
      </c>
      <c r="Z142" s="4">
        <f>1/ZAR!B142</f>
        <v>0.13192090022822314</v>
      </c>
      <c r="AA142" s="4">
        <f>1/ZAR!C142</f>
        <v>0.13104957605462147</v>
      </c>
    </row>
    <row r="143" spans="1:27" x14ac:dyDescent="0.25">
      <c r="A143" t="str">
        <f>"29/12/2009"</f>
        <v>29/12/2009</v>
      </c>
      <c r="B143" s="3">
        <f>AUD!B143</f>
        <v>0.88629999999999998</v>
      </c>
      <c r="C143" s="3">
        <f>AUD!C143</f>
        <v>0.88360000000000005</v>
      </c>
      <c r="D143" s="3">
        <f>1/CAD!B143</f>
        <v>0.9573958831977023</v>
      </c>
      <c r="E143" s="3">
        <f>1/CAD!C143</f>
        <v>0.9573958831977023</v>
      </c>
      <c r="F143" s="3">
        <f>EUR!B143/1</f>
        <v>1.4354</v>
      </c>
      <c r="G143" s="3">
        <f>EUR!C143/1</f>
        <v>1.4353</v>
      </c>
      <c r="H143" s="3">
        <f>GBP!B143/1</f>
        <v>1.5994999999999999</v>
      </c>
      <c r="I143" s="3">
        <f>GBP!C143/1</f>
        <v>1.5992</v>
      </c>
      <c r="J143" s="4">
        <f>1/INR!B143</f>
        <v>2.1408691928923144E-2</v>
      </c>
      <c r="K143" s="4">
        <f>1/INR!C143</f>
        <v>2.1358393848782572E-2</v>
      </c>
      <c r="L143" s="4">
        <f>1/JPY!B143</f>
        <v>1.0900192388395655E-2</v>
      </c>
      <c r="M143" s="4">
        <f>1/JPY!C143</f>
        <v>1.0901535154180412E-2</v>
      </c>
      <c r="N143" s="5">
        <f>1/KRW!B143</f>
        <v>8.5357005676240879E-4</v>
      </c>
      <c r="O143" s="5">
        <f>1/KRW!C143</f>
        <v>8.5354098733695131E-4</v>
      </c>
      <c r="P143" s="3">
        <f>1/NOK!B143</f>
        <v>0.17212000206544004</v>
      </c>
      <c r="Q143" s="3">
        <f>1/NOK!C143</f>
        <v>0.17189514396218308</v>
      </c>
      <c r="R143" s="3">
        <f>NZD!B143/1</f>
        <v>0.70699999999999996</v>
      </c>
      <c r="S143" s="3">
        <f>NZD!C143/1</f>
        <v>0.70550000000000002</v>
      </c>
      <c r="T143" s="4">
        <f>1/PHP!B143</f>
        <v>2.1486892995272885E-2</v>
      </c>
      <c r="U143" s="4">
        <f>1/PHP!C143</f>
        <v>2.1401819154628143E-2</v>
      </c>
      <c r="V143" s="4">
        <f>1/TWD!B143</f>
        <v>3.0968381282710355E-2</v>
      </c>
      <c r="W143" s="4">
        <f>1/TWD!C143</f>
        <v>3.0968381282710355E-2</v>
      </c>
      <c r="X143" s="4">
        <f>1/TWD!B143</f>
        <v>3.0968381282710355E-2</v>
      </c>
      <c r="Y143" s="4">
        <f>1/TWD!C143</f>
        <v>3.0968381282710355E-2</v>
      </c>
      <c r="Z143" s="4">
        <f>1/ZAR!B143</f>
        <v>0.13304949441192124</v>
      </c>
      <c r="AA143" s="4">
        <f>1/ZAR!C143</f>
        <v>0.13261720045089848</v>
      </c>
    </row>
    <row r="144" spans="1:27" x14ac:dyDescent="0.25">
      <c r="A144" t="str">
        <f>"30/12/2009"</f>
        <v>30/12/2009</v>
      </c>
      <c r="B144" s="3">
        <f>AUD!B144</f>
        <v>0.89039999999999997</v>
      </c>
      <c r="C144" s="3">
        <f>AUD!C144</f>
        <v>0.88759999999999994</v>
      </c>
      <c r="D144" s="3">
        <f>1/CAD!B144</f>
        <v>0.95274390243902429</v>
      </c>
      <c r="E144" s="3">
        <f>1/CAD!C144</f>
        <v>0.95274390243902429</v>
      </c>
      <c r="F144" s="3">
        <f>EUR!B144/1</f>
        <v>1.4308000000000001</v>
      </c>
      <c r="G144" s="3">
        <f>EUR!C144/1</f>
        <v>1.4307000000000001</v>
      </c>
      <c r="H144" s="3">
        <f>GBP!B144/1</f>
        <v>1.5879000000000001</v>
      </c>
      <c r="I144" s="3">
        <f>GBP!C144/1</f>
        <v>1.5875999999999999</v>
      </c>
      <c r="J144" s="4">
        <f>1/INR!B144</f>
        <v>2.1380084451333582E-2</v>
      </c>
      <c r="K144" s="4">
        <f>1/INR!C144</f>
        <v>2.1319688732544504E-2</v>
      </c>
      <c r="L144" s="4">
        <f>1/JPY!B144</f>
        <v>1.083981463916967E-2</v>
      </c>
      <c r="M144" s="4">
        <f>1/JPY!C144</f>
        <v>1.0841412896294297E-2</v>
      </c>
      <c r="N144" s="5">
        <f>1/KRW!B144</f>
        <v>8.5484698239015223E-4</v>
      </c>
      <c r="O144" s="5">
        <f>1/KRW!C144</f>
        <v>8.548038695261566E-4</v>
      </c>
      <c r="P144" s="3">
        <f>1/NOK!B144</f>
        <v>0.17148834736679644</v>
      </c>
      <c r="Q144" s="3">
        <f>1/NOK!C144</f>
        <v>0.17126513555635481</v>
      </c>
      <c r="R144" s="3">
        <f>NZD!B144/1</f>
        <v>0.71430000000000005</v>
      </c>
      <c r="S144" s="3">
        <f>NZD!C144/1</f>
        <v>0.7127</v>
      </c>
      <c r="T144" s="4">
        <f>1/PHP!B144</f>
        <v>2.1640337589266392E-2</v>
      </c>
      <c r="U144" s="4">
        <f>1/PHP!C144</f>
        <v>2.1551724137931036E-2</v>
      </c>
      <c r="V144" s="4">
        <f>1/TWD!B144</f>
        <v>3.0979894048762349E-2</v>
      </c>
      <c r="W144" s="4">
        <f>1/TWD!C144</f>
        <v>3.0979894048762349E-2</v>
      </c>
      <c r="X144" s="4">
        <f>1/TWD!B144</f>
        <v>3.0979894048762349E-2</v>
      </c>
      <c r="Y144" s="4">
        <f>1/TWD!C144</f>
        <v>3.0979894048762349E-2</v>
      </c>
      <c r="Z144" s="4">
        <f>1/ZAR!B144</f>
        <v>0.13436345314074571</v>
      </c>
      <c r="AA144" s="4">
        <f>1/ZAR!C144</f>
        <v>0.13347748902147652</v>
      </c>
    </row>
    <row r="145" spans="1:27" x14ac:dyDescent="0.25">
      <c r="A145" t="str">
        <f>"31/12/2009"</f>
        <v>31/12/2009</v>
      </c>
      <c r="B145" s="3">
        <f>AUD!B145</f>
        <v>0.89590000000000003</v>
      </c>
      <c r="C145" s="3">
        <f>AUD!C145</f>
        <v>0.89300000000000002</v>
      </c>
      <c r="D145" s="3">
        <f>1/CAD!B145</f>
        <v>0.95029934429345242</v>
      </c>
      <c r="E145" s="3">
        <f>1/CAD!C145</f>
        <v>0.95029934429345242</v>
      </c>
      <c r="F145" s="3">
        <f>EUR!B145/1</f>
        <v>1.4363999999999999</v>
      </c>
      <c r="G145" s="3">
        <f>EUR!C145/1</f>
        <v>1.4362999999999999</v>
      </c>
      <c r="H145" s="3">
        <f>GBP!B145/1</f>
        <v>1.6060000000000001</v>
      </c>
      <c r="I145" s="3">
        <f>GBP!C145/1</f>
        <v>1.6056999999999999</v>
      </c>
      <c r="J145" s="4">
        <f>1/INR!B145</f>
        <v>2.1417862497322769E-2</v>
      </c>
      <c r="K145" s="4">
        <f>1/INR!C145</f>
        <v>2.1362956633198035E-2</v>
      </c>
      <c r="L145" s="4">
        <f>1/JPY!B145</f>
        <v>1.0821339681852614E-2</v>
      </c>
      <c r="M145" s="4">
        <f>1/JPY!C145</f>
        <v>1.0822885641061162E-2</v>
      </c>
      <c r="N145" s="5">
        <f>1/KRW!B145</f>
        <v>8.5836909871244631E-4</v>
      </c>
      <c r="O145" s="5">
        <f>1/KRW!C145</f>
        <v>8.5831531586432776E-4</v>
      </c>
      <c r="P145" s="3">
        <f>1/NOK!B145</f>
        <v>0.17262213015708613</v>
      </c>
      <c r="Q145" s="3">
        <f>1/NOK!C145</f>
        <v>0.17238110013618108</v>
      </c>
      <c r="R145" s="3">
        <f>NZD!B145/1</f>
        <v>0.72599999999999998</v>
      </c>
      <c r="S145" s="3">
        <f>NZD!C145/1</f>
        <v>0.72430000000000005</v>
      </c>
      <c r="T145" s="4">
        <f>1/PHP!B145</f>
        <v>2.1640337589266392E-2</v>
      </c>
      <c r="U145" s="4">
        <f>1/PHP!C145</f>
        <v>2.1551724137931036E-2</v>
      </c>
      <c r="V145" s="4">
        <f>1/TWD!B145</f>
        <v>3.1098395322801346E-2</v>
      </c>
      <c r="W145" s="4">
        <f>1/TWD!C145</f>
        <v>3.1098395322801346E-2</v>
      </c>
      <c r="X145" s="4">
        <f>1/TWD!B145</f>
        <v>3.1098395322801346E-2</v>
      </c>
      <c r="Y145" s="4">
        <f>1/TWD!C145</f>
        <v>3.1098395322801346E-2</v>
      </c>
      <c r="Z145" s="4">
        <f>1/ZAR!B145</f>
        <v>0.13494184006693116</v>
      </c>
      <c r="AA145" s="4">
        <f>1/ZAR!C145</f>
        <v>0.13413996163597097</v>
      </c>
    </row>
    <row r="146" spans="1:27" x14ac:dyDescent="0.25">
      <c r="A146" t="str">
        <f>"01/01/2010"</f>
        <v>01/01/2010</v>
      </c>
      <c r="B146" s="3">
        <f>AUD!B146</f>
        <v>0.89749999999999996</v>
      </c>
      <c r="C146" s="3">
        <f>AUD!C146</f>
        <v>0.89470000000000005</v>
      </c>
      <c r="D146" s="3">
        <f>1/CAD!B146</f>
        <v>0.94894666919719106</v>
      </c>
      <c r="E146" s="3">
        <f>1/CAD!C146</f>
        <v>0.94894666919719106</v>
      </c>
      <c r="F146" s="3">
        <f>EUR!B146/1</f>
        <v>1.4322999999999999</v>
      </c>
      <c r="G146" s="3">
        <f>EUR!C146/1</f>
        <v>1.4321999999999999</v>
      </c>
      <c r="H146" s="3">
        <f>GBP!B146/1</f>
        <v>1.6168</v>
      </c>
      <c r="I146" s="3">
        <f>GBP!C146/1</f>
        <v>1.6165</v>
      </c>
      <c r="J146" s="4">
        <f>1/INR!B146</f>
        <v>2.145002145002145E-2</v>
      </c>
      <c r="K146" s="4">
        <f>1/INR!C146</f>
        <v>2.1398384421976141E-2</v>
      </c>
      <c r="L146" s="4">
        <f>1/JPY!B146</f>
        <v>1.0746910263299303E-2</v>
      </c>
      <c r="M146" s="4">
        <f>1/JPY!C146</f>
        <v>1.0748423474986807E-2</v>
      </c>
      <c r="N146" s="5">
        <f>1/KRW!B146</f>
        <v>8.6355785837651119E-4</v>
      </c>
      <c r="O146" s="5">
        <f>1/KRW!C146</f>
        <v>8.6352184101474874E-4</v>
      </c>
      <c r="P146" s="3">
        <f>1/NOK!B146</f>
        <v>0.17208149779735682</v>
      </c>
      <c r="Q146" s="3">
        <f>1/NOK!C146</f>
        <v>0.17184197412059871</v>
      </c>
      <c r="R146" s="3">
        <f>NZD!B146/1</f>
        <v>0.72270000000000001</v>
      </c>
      <c r="S146" s="3">
        <f>NZD!C146/1</f>
        <v>0.72099999999999997</v>
      </c>
      <c r="T146" s="4">
        <f>1/PHP!B146</f>
        <v>2.1505376344086023E-2</v>
      </c>
      <c r="U146" s="4">
        <f>1/PHP!C146</f>
        <v>2.142015636714148E-2</v>
      </c>
      <c r="V146" s="4">
        <f>1/TWD!B146</f>
        <v>3.1220730565095223E-2</v>
      </c>
      <c r="W146" s="4">
        <f>1/TWD!C146</f>
        <v>3.1220730565095223E-2</v>
      </c>
      <c r="X146" s="4">
        <f>1/TWD!B146</f>
        <v>3.1220730565095223E-2</v>
      </c>
      <c r="Y146" s="4">
        <f>1/TWD!C146</f>
        <v>3.1220730565095223E-2</v>
      </c>
      <c r="Z146" s="4">
        <f>1/ZAR!B146</f>
        <v>0.13497098123903362</v>
      </c>
      <c r="AA146" s="4">
        <f>1/ZAR!C146</f>
        <v>0.13417955908596885</v>
      </c>
    </row>
    <row r="147" spans="1:27" x14ac:dyDescent="0.25">
      <c r="A147" t="str">
        <f>"04/01/2010"</f>
        <v>04/01/2010</v>
      </c>
      <c r="B147" s="3">
        <f>AUD!B147</f>
        <v>0.89559999999999995</v>
      </c>
      <c r="C147" s="3">
        <f>AUD!C147</f>
        <v>0.89259999999999995</v>
      </c>
      <c r="D147" s="3">
        <f>1/CAD!B147</f>
        <v>0.95520106982519826</v>
      </c>
      <c r="E147" s="3">
        <f>1/CAD!C147</f>
        <v>0.95520106982519826</v>
      </c>
      <c r="F147" s="3">
        <f>EUR!B147/1</f>
        <v>1.4285000000000001</v>
      </c>
      <c r="G147" s="3">
        <f>EUR!C147/1</f>
        <v>1.4283999999999999</v>
      </c>
      <c r="H147" s="3">
        <f>GBP!B147/1</f>
        <v>1.6091</v>
      </c>
      <c r="I147" s="3">
        <f>GBP!C147/1</f>
        <v>1.6088</v>
      </c>
      <c r="J147" s="4">
        <f>1/INR!B147</f>
        <v>2.1463833440652499E-2</v>
      </c>
      <c r="K147" s="4">
        <f>1/INR!C147</f>
        <v>2.140525499010007E-2</v>
      </c>
      <c r="L147" s="4">
        <f>1/JPY!B147</f>
        <v>1.0766348700501711E-2</v>
      </c>
      <c r="M147" s="4">
        <f>1/JPY!C147</f>
        <v>1.0767960149933078E-2</v>
      </c>
      <c r="N147" s="5">
        <f>1/KRW!B147</f>
        <v>8.6565096952908585E-4</v>
      </c>
      <c r="O147" s="5">
        <f>1/KRW!C147</f>
        <v>8.656138782141867E-4</v>
      </c>
      <c r="P147" s="3">
        <f>1/NOK!B147</f>
        <v>0.17237812866303526</v>
      </c>
      <c r="Q147" s="3">
        <f>1/NOK!C147</f>
        <v>0.17213777907837433</v>
      </c>
      <c r="R147" s="3">
        <f>NZD!B147/1</f>
        <v>0.71970000000000001</v>
      </c>
      <c r="S147" s="3">
        <f>NZD!C147/1</f>
        <v>0.71799999999999997</v>
      </c>
      <c r="T147" s="4">
        <f>1/PHP!B147</f>
        <v>2.1687269572760789E-2</v>
      </c>
      <c r="U147" s="4">
        <f>1/PHP!C147</f>
        <v>2.1607605877268798E-2</v>
      </c>
      <c r="V147" s="4">
        <f>1/TWD!B147</f>
        <v>3.137550200803213E-2</v>
      </c>
      <c r="W147" s="4">
        <f>1/TWD!C147</f>
        <v>3.137550200803213E-2</v>
      </c>
      <c r="X147" s="4">
        <f>1/TWD!B147</f>
        <v>3.137550200803213E-2</v>
      </c>
      <c r="Y147" s="4">
        <f>1/TWD!C147</f>
        <v>3.137550200803213E-2</v>
      </c>
      <c r="Z147" s="4">
        <f>1/ZAR!B147</f>
        <v>0.13426242934439656</v>
      </c>
      <c r="AA147" s="4">
        <f>1/ZAR!C147</f>
        <v>0.13347036290591674</v>
      </c>
    </row>
    <row r="148" spans="1:27" x14ac:dyDescent="0.25">
      <c r="A148" t="str">
        <f>"05/01/2010"</f>
        <v>05/01/2010</v>
      </c>
      <c r="B148" s="3">
        <f>AUD!B148</f>
        <v>0.91290000000000004</v>
      </c>
      <c r="C148" s="3">
        <f>AUD!C148</f>
        <v>0.90990000000000004</v>
      </c>
      <c r="D148" s="3">
        <f>1/CAD!B148</f>
        <v>0.96227867590454208</v>
      </c>
      <c r="E148" s="3">
        <f>1/CAD!C148</f>
        <v>0.96227867590454208</v>
      </c>
      <c r="F148" s="3">
        <f>EUR!B148/1</f>
        <v>1.4423999999999999</v>
      </c>
      <c r="G148" s="3">
        <f>EUR!C148/1</f>
        <v>1.4422999999999999</v>
      </c>
      <c r="H148" s="3">
        <f>GBP!B148/1</f>
        <v>1.6093</v>
      </c>
      <c r="I148" s="3">
        <f>GBP!C148/1</f>
        <v>1.6089</v>
      </c>
      <c r="J148" s="4">
        <f>1/INR!B148</f>
        <v>2.1630975556997622E-2</v>
      </c>
      <c r="K148" s="4">
        <f>1/INR!C148</f>
        <v>2.1585451405752524E-2</v>
      </c>
      <c r="L148" s="4">
        <f>1/JPY!B148</f>
        <v>1.0850694444444444E-2</v>
      </c>
      <c r="M148" s="4">
        <f>1/JPY!C148</f>
        <v>1.08525432392454E-2</v>
      </c>
      <c r="N148" s="5">
        <f>1/KRW!B148</f>
        <v>8.7237197941202136E-4</v>
      </c>
      <c r="O148" s="5">
        <f>1/KRW!C148</f>
        <v>8.723498339176769E-4</v>
      </c>
      <c r="P148" s="3">
        <f>1/NOK!B148</f>
        <v>0.17512828146617399</v>
      </c>
      <c r="Q148" s="3">
        <f>1/NOK!C148</f>
        <v>0.17487103261344758</v>
      </c>
      <c r="R148" s="3">
        <f>NZD!B148/1</f>
        <v>0.73319999999999996</v>
      </c>
      <c r="S148" s="3">
        <f>NZD!C148/1</f>
        <v>0.73150000000000004</v>
      </c>
      <c r="T148" s="4">
        <f>1/PHP!B148</f>
        <v>2.181500872600349E-2</v>
      </c>
      <c r="U148" s="4">
        <f>1/PHP!C148</f>
        <v>2.1732043898728674E-2</v>
      </c>
      <c r="V148" s="4">
        <f>1/TWD!B148</f>
        <v>3.1443574505549791E-2</v>
      </c>
      <c r="W148" s="4">
        <f>1/TWD!C148</f>
        <v>3.1443574505549791E-2</v>
      </c>
      <c r="X148" s="4">
        <f>1/TWD!B148</f>
        <v>3.1443574505549791E-2</v>
      </c>
      <c r="Y148" s="4">
        <f>1/TWD!C148</f>
        <v>3.1443574505549791E-2</v>
      </c>
      <c r="Z148" s="4">
        <f>1/ZAR!B148</f>
        <v>0.13691315598515863</v>
      </c>
      <c r="AA148" s="4">
        <f>1/ZAR!C148</f>
        <v>0.13604701784936876</v>
      </c>
    </row>
    <row r="149" spans="1:27" x14ac:dyDescent="0.25">
      <c r="A149" t="str">
        <f>"06/01/2010"</f>
        <v>06/01/2010</v>
      </c>
      <c r="B149" s="3">
        <f>AUD!B149</f>
        <v>0.91369999999999996</v>
      </c>
      <c r="C149" s="3">
        <f>AUD!C149</f>
        <v>0.91080000000000005</v>
      </c>
      <c r="D149" s="3">
        <f>1/CAD!B149</f>
        <v>0.96339113680154143</v>
      </c>
      <c r="E149" s="3">
        <f>1/CAD!C149</f>
        <v>0.96339113680154143</v>
      </c>
      <c r="F149" s="3">
        <f>EUR!B149/1</f>
        <v>1.4355</v>
      </c>
      <c r="G149" s="3">
        <f>EUR!C149/1</f>
        <v>1.4354</v>
      </c>
      <c r="H149" s="3">
        <f>GBP!B149/1</f>
        <v>1.5976999999999999</v>
      </c>
      <c r="I149" s="3">
        <f>GBP!C149/1</f>
        <v>1.5973999999999999</v>
      </c>
      <c r="J149" s="4">
        <f>1/INR!B149</f>
        <v>2.1682567215958369E-2</v>
      </c>
      <c r="K149" s="4">
        <f>1/INR!C149</f>
        <v>2.1633315305570579E-2</v>
      </c>
      <c r="L149" s="4">
        <f>1/JPY!B149</f>
        <v>1.0876658690450293E-2</v>
      </c>
      <c r="M149" s="4">
        <f>1/JPY!C149</f>
        <v>1.0878161329659415E-2</v>
      </c>
      <c r="N149" s="5">
        <f>1/KRW!B149</f>
        <v>8.8020420737611128E-4</v>
      </c>
      <c r="O149" s="5">
        <f>1/KRW!C149</f>
        <v>8.8019181139954022E-4</v>
      </c>
      <c r="P149" s="3">
        <f>1/NOK!B149</f>
        <v>0.1747243723026925</v>
      </c>
      <c r="Q149" s="3">
        <f>1/NOK!C149</f>
        <v>0.17448048435782457</v>
      </c>
      <c r="R149" s="3">
        <f>NZD!B149/1</f>
        <v>0.7339</v>
      </c>
      <c r="S149" s="3">
        <f>NZD!C149/1</f>
        <v>0.73229999999999995</v>
      </c>
      <c r="T149" s="4">
        <f>1/PHP!B149</f>
        <v>2.1734405564007825E-2</v>
      </c>
      <c r="U149" s="4">
        <f>1/PHP!C149</f>
        <v>2.1649707728945661E-2</v>
      </c>
      <c r="V149" s="4">
        <f>1/TWD!B149</f>
        <v>3.1411967959792682E-2</v>
      </c>
      <c r="W149" s="4">
        <f>1/TWD!C149</f>
        <v>3.1412066631275735E-2</v>
      </c>
      <c r="X149" s="4">
        <f>1/TWD!B149</f>
        <v>3.1411967959792682E-2</v>
      </c>
      <c r="Y149" s="4">
        <f>1/TWD!C149</f>
        <v>3.1412066631275735E-2</v>
      </c>
      <c r="Z149" s="4">
        <f>1/ZAR!B149</f>
        <v>0.13559322033898305</v>
      </c>
      <c r="AA149" s="4">
        <f>1/ZAR!C149</f>
        <v>0.13477270583161499</v>
      </c>
    </row>
    <row r="150" spans="1:27" x14ac:dyDescent="0.25">
      <c r="A150" t="str">
        <f>"07/01/2010"</f>
        <v>07/01/2010</v>
      </c>
      <c r="B150" s="3">
        <f>AUD!B150</f>
        <v>0.92210000000000003</v>
      </c>
      <c r="C150" s="3">
        <f>AUD!C150</f>
        <v>0.91920000000000002</v>
      </c>
      <c r="D150" s="3">
        <f>1/CAD!B150</f>
        <v>0.96702446571898271</v>
      </c>
      <c r="E150" s="3">
        <f>1/CAD!C150</f>
        <v>0.96702446571898271</v>
      </c>
      <c r="F150" s="3">
        <f>EUR!B150/1</f>
        <v>1.4397</v>
      </c>
      <c r="G150" s="3">
        <f>EUR!C150/1</f>
        <v>1.4396</v>
      </c>
      <c r="H150" s="3">
        <f>GBP!B150/1</f>
        <v>1.6002000000000001</v>
      </c>
      <c r="I150" s="3">
        <f>GBP!C150/1</f>
        <v>1.5999000000000001</v>
      </c>
      <c r="J150" s="4">
        <f>1/INR!B150</f>
        <v>2.1843599825251202E-2</v>
      </c>
      <c r="K150" s="4">
        <f>1/INR!C150</f>
        <v>2.1792427131571777E-2</v>
      </c>
      <c r="L150" s="4">
        <f>1/JPY!B150</f>
        <v>1.0834236186348862E-2</v>
      </c>
      <c r="M150" s="4">
        <f>1/JPY!C150</f>
        <v>1.0835774091447432E-2</v>
      </c>
      <c r="N150" s="5">
        <f>1/KRW!B150</f>
        <v>8.8179533530267625E-4</v>
      </c>
      <c r="O150" s="5">
        <f>1/KRW!C150</f>
        <v>8.8178250569962173E-4</v>
      </c>
      <c r="P150" s="3">
        <f>1/NOK!B150</f>
        <v>0.17600985655196691</v>
      </c>
      <c r="Q150" s="3">
        <f>1/NOK!C150</f>
        <v>0.17576545857208142</v>
      </c>
      <c r="R150" s="3">
        <f>NZD!B150/1</f>
        <v>0.73829999999999996</v>
      </c>
      <c r="S150" s="3">
        <f>NZD!C150/1</f>
        <v>0.73660000000000003</v>
      </c>
      <c r="T150" s="4">
        <f>1/PHP!B150</f>
        <v>2.1810250817884406E-2</v>
      </c>
      <c r="U150" s="4">
        <f>1/PHP!C150</f>
        <v>2.1724961981316532E-2</v>
      </c>
      <c r="V150" s="4">
        <f>1/TWD!B150</f>
        <v>3.1416902293433871E-2</v>
      </c>
      <c r="W150" s="4">
        <f>1/TWD!C150</f>
        <v>3.1416902293433871E-2</v>
      </c>
      <c r="X150" s="4">
        <f>1/TWD!B150</f>
        <v>3.1416902293433871E-2</v>
      </c>
      <c r="Y150" s="4">
        <f>1/TWD!C150</f>
        <v>3.1416902293433871E-2</v>
      </c>
      <c r="Z150" s="4">
        <f>1/ZAR!B150</f>
        <v>0.13679890560875513</v>
      </c>
      <c r="AA150" s="4">
        <f>1/ZAR!C150</f>
        <v>0.13598041881968997</v>
      </c>
    </row>
    <row r="151" spans="1:27" x14ac:dyDescent="0.25">
      <c r="A151" t="str">
        <f>"08/01/2010"</f>
        <v>08/01/2010</v>
      </c>
      <c r="B151" s="3">
        <f>AUD!B151</f>
        <v>0.91539999999999999</v>
      </c>
      <c r="C151" s="3">
        <f>AUD!C151</f>
        <v>0.91249999999999998</v>
      </c>
      <c r="D151" s="3">
        <f>1/CAD!B151</f>
        <v>0.9660902328277462</v>
      </c>
      <c r="E151" s="3">
        <f>1/CAD!C151</f>
        <v>0.9660902328277462</v>
      </c>
      <c r="F151" s="3">
        <f>EUR!B151/1</f>
        <v>1.4314</v>
      </c>
      <c r="G151" s="3">
        <f>EUR!C151/1</f>
        <v>1.4313</v>
      </c>
      <c r="H151" s="3">
        <f>GBP!B151/1</f>
        <v>1.5934999999999999</v>
      </c>
      <c r="I151" s="3">
        <f>GBP!C151/1</f>
        <v>1.5931999999999999</v>
      </c>
      <c r="J151" s="4">
        <f>1/INR!B151</f>
        <v>2.1861507350931848E-2</v>
      </c>
      <c r="K151" s="4">
        <f>1/INR!C151</f>
        <v>2.1817388458601504E-2</v>
      </c>
      <c r="L151" s="4">
        <f>1/JPY!B151</f>
        <v>1.0723860589812333E-2</v>
      </c>
      <c r="M151" s="4">
        <f>1/JPY!C151</f>
        <v>1.0725804462149173E-2</v>
      </c>
      <c r="N151" s="5">
        <f>1/KRW!B151</f>
        <v>8.827683615819209E-4</v>
      </c>
      <c r="O151" s="5">
        <f>1/KRW!C151</f>
        <v>8.827301785145241E-4</v>
      </c>
      <c r="P151" s="3">
        <f>1/NOK!B151</f>
        <v>0.1750608336396898</v>
      </c>
      <c r="Q151" s="3">
        <f>1/NOK!C151</f>
        <v>0.17481295014334663</v>
      </c>
      <c r="R151" s="3">
        <f>NZD!B151/1</f>
        <v>0.73150000000000004</v>
      </c>
      <c r="S151" s="3">
        <f>NZD!C151/1</f>
        <v>0.72989999999999999</v>
      </c>
      <c r="T151" s="4">
        <f>1/PHP!B151</f>
        <v>2.1803117845851955E-2</v>
      </c>
      <c r="U151" s="4">
        <f>1/PHP!C151</f>
        <v>2.1717884678032359E-2</v>
      </c>
      <c r="V151" s="4">
        <f>1/TWD!B151</f>
        <v>3.1380424890953024E-2</v>
      </c>
      <c r="W151" s="4">
        <f>1/TWD!C151</f>
        <v>3.1380424890953024E-2</v>
      </c>
      <c r="X151" s="4">
        <f>1/TWD!B151</f>
        <v>3.1380424890953024E-2</v>
      </c>
      <c r="Y151" s="4">
        <f>1/TWD!C151</f>
        <v>3.1380424890953024E-2</v>
      </c>
      <c r="Z151" s="4">
        <f>1/ZAR!B151</f>
        <v>0.13449899125756556</v>
      </c>
      <c r="AA151" s="4">
        <f>1/ZAR!C151</f>
        <v>0.13369877665619359</v>
      </c>
    </row>
    <row r="152" spans="1:27" x14ac:dyDescent="0.25">
      <c r="A152" t="str">
        <f>"11/01/2010"</f>
        <v>11/01/2010</v>
      </c>
      <c r="B152" s="3">
        <f>AUD!B152</f>
        <v>0.93079999999999996</v>
      </c>
      <c r="C152" s="3">
        <f>AUD!C152</f>
        <v>0.92769999999999997</v>
      </c>
      <c r="D152" s="3">
        <f>1/CAD!B152</f>
        <v>0.97408922657315411</v>
      </c>
      <c r="E152" s="3">
        <f>1/CAD!C152</f>
        <v>0.97408922657315411</v>
      </c>
      <c r="F152" s="3">
        <f>EUR!B152/1</f>
        <v>1.4514</v>
      </c>
      <c r="G152" s="3">
        <f>EUR!C152/1</f>
        <v>1.4513</v>
      </c>
      <c r="H152" s="3">
        <f>GBP!B152/1</f>
        <v>1.6083000000000001</v>
      </c>
      <c r="I152" s="3">
        <f>GBP!C152/1</f>
        <v>1.6079000000000001</v>
      </c>
      <c r="J152" s="4">
        <f>1/INR!B152</f>
        <v>2.203128442388191E-2</v>
      </c>
      <c r="K152" s="4">
        <f>1/INR!C152</f>
        <v>2.197802197802198E-2</v>
      </c>
      <c r="L152" s="4">
        <f>1/JPY!B152</f>
        <v>1.0836232025400128E-2</v>
      </c>
      <c r="M152" s="4">
        <f>1/JPY!C152</f>
        <v>1.083816986663632E-2</v>
      </c>
      <c r="N152" s="5">
        <f>1/KRW!B152</f>
        <v>8.9389469920443372E-4</v>
      </c>
      <c r="O152" s="5">
        <f>1/KRW!C152</f>
        <v>8.9385562747815877E-4</v>
      </c>
      <c r="P152" s="3">
        <f>1/NOK!B152</f>
        <v>0.17778093832779249</v>
      </c>
      <c r="Q152" s="3">
        <f>1/NOK!C152</f>
        <v>0.17749693817781645</v>
      </c>
      <c r="R152" s="3">
        <f>NZD!B152/1</f>
        <v>0.74</v>
      </c>
      <c r="S152" s="3">
        <f>NZD!C152/1</f>
        <v>0.73819999999999997</v>
      </c>
      <c r="T152" s="4">
        <f>1/PHP!B152</f>
        <v>2.1973192704900023E-2</v>
      </c>
      <c r="U152" s="4">
        <f>1/PHP!C152</f>
        <v>2.188662727073758E-2</v>
      </c>
      <c r="V152" s="4">
        <f>1/TWD!B152</f>
        <v>3.1510950055144163E-2</v>
      </c>
      <c r="W152" s="4">
        <f>1/TWD!C152</f>
        <v>3.1510950055144163E-2</v>
      </c>
      <c r="X152" s="4">
        <f>1/TWD!B152</f>
        <v>3.1510950055144163E-2</v>
      </c>
      <c r="Y152" s="4">
        <f>1/TWD!C152</f>
        <v>3.1510950055144163E-2</v>
      </c>
      <c r="Z152" s="4">
        <f>1/ZAR!B152</f>
        <v>0.13688691771727377</v>
      </c>
      <c r="AA152" s="4">
        <f>1/ZAR!C152</f>
        <v>0.13606923202525445</v>
      </c>
    </row>
    <row r="153" spans="1:27" x14ac:dyDescent="0.25">
      <c r="A153" t="str">
        <f>"12/01/2010"</f>
        <v>12/01/2010</v>
      </c>
      <c r="B153" s="3">
        <f>AUD!B153</f>
        <v>0.92630000000000001</v>
      </c>
      <c r="C153" s="3">
        <f>AUD!C153</f>
        <v>0.92310000000000003</v>
      </c>
      <c r="D153" s="3">
        <f>1/CAD!B153</f>
        <v>0.9664637092877163</v>
      </c>
      <c r="E153" s="3">
        <f>1/CAD!C153</f>
        <v>0.9664637092877163</v>
      </c>
      <c r="F153" s="3">
        <f>EUR!B153/1</f>
        <v>1.4478</v>
      </c>
      <c r="G153" s="3">
        <f>EUR!C153/1</f>
        <v>1.4477</v>
      </c>
      <c r="H153" s="3">
        <f>GBP!B153/1</f>
        <v>1.6079000000000001</v>
      </c>
      <c r="I153" s="3">
        <f>GBP!C153/1</f>
        <v>1.6074999999999999</v>
      </c>
      <c r="J153" s="4">
        <f>1/INR!B153</f>
        <v>2.197802197802198E-2</v>
      </c>
      <c r="K153" s="4">
        <f>1/INR!C153</f>
        <v>2.1916607309188537E-2</v>
      </c>
      <c r="L153" s="4">
        <f>1/JPY!B153</f>
        <v>1.0842341512072948E-2</v>
      </c>
      <c r="M153" s="4">
        <f>1/JPY!C153</f>
        <v>1.0844281539237322E-2</v>
      </c>
      <c r="N153" s="5">
        <f>1/KRW!B153</f>
        <v>8.8880988356590529E-4</v>
      </c>
      <c r="O153" s="5">
        <f>1/KRW!C153</f>
        <v>8.8880000888800017E-4</v>
      </c>
      <c r="P153" s="3">
        <f>1/NOK!B153</f>
        <v>0.17735842363833071</v>
      </c>
      <c r="Q153" s="3">
        <f>1/NOK!C153</f>
        <v>0.17707577072229205</v>
      </c>
      <c r="R153" s="3">
        <f>NZD!B153/1</f>
        <v>0.73980000000000001</v>
      </c>
      <c r="S153" s="3">
        <f>NZD!C153/1</f>
        <v>0.73799999999999999</v>
      </c>
      <c r="T153" s="4">
        <f>1/PHP!B153</f>
        <v>2.1867483052700636E-2</v>
      </c>
      <c r="U153" s="4">
        <f>1/PHP!C153</f>
        <v>2.1779374931939453E-2</v>
      </c>
      <c r="V153" s="4">
        <f>1/TWD!B153</f>
        <v>3.1464350890441133E-2</v>
      </c>
      <c r="W153" s="4">
        <f>1/TWD!C153</f>
        <v>3.1464350890441133E-2</v>
      </c>
      <c r="X153" s="4">
        <f>1/TWD!B153</f>
        <v>3.1464350890441133E-2</v>
      </c>
      <c r="Y153" s="4">
        <f>1/TWD!C153</f>
        <v>3.1464350890441133E-2</v>
      </c>
      <c r="Z153" s="4">
        <f>1/ZAR!B153</f>
        <v>0.13458950201884254</v>
      </c>
      <c r="AA153" s="4">
        <f>1/ZAR!C153</f>
        <v>0.13373632546072164</v>
      </c>
    </row>
    <row r="154" spans="1:27" x14ac:dyDescent="0.25">
      <c r="A154" t="str">
        <f>"13/01/2010"</f>
        <v>13/01/2010</v>
      </c>
      <c r="B154" s="3">
        <f>AUD!B154</f>
        <v>0.92179999999999995</v>
      </c>
      <c r="C154" s="3">
        <f>AUD!C154</f>
        <v>0.91869999999999996</v>
      </c>
      <c r="D154" s="3">
        <f>1/CAD!B154</f>
        <v>0.96237128284092011</v>
      </c>
      <c r="E154" s="3">
        <f>1/CAD!C154</f>
        <v>0.96237128284092011</v>
      </c>
      <c r="F154" s="3">
        <f>EUR!B154/1</f>
        <v>1.4475</v>
      </c>
      <c r="G154" s="3">
        <f>EUR!C154/1</f>
        <v>1.4474</v>
      </c>
      <c r="H154" s="3">
        <f>GBP!B154/1</f>
        <v>1.6152</v>
      </c>
      <c r="I154" s="3">
        <f>GBP!C154/1</f>
        <v>1.6149</v>
      </c>
      <c r="J154" s="4">
        <f>1/INR!B154</f>
        <v>2.1891418563922942E-2</v>
      </c>
      <c r="K154" s="4">
        <f>1/INR!C154</f>
        <v>2.1836445026749644E-2</v>
      </c>
      <c r="L154" s="4">
        <f>1/JPY!B154</f>
        <v>1.0979177988943966E-2</v>
      </c>
      <c r="M154" s="4">
        <f>1/JPY!C154</f>
        <v>1.0981070830103069E-2</v>
      </c>
      <c r="N154" s="5">
        <f>1/KRW!B154</f>
        <v>8.882572392965003E-4</v>
      </c>
      <c r="O154" s="5">
        <f>1/KRW!C154</f>
        <v>8.8824777138634162E-4</v>
      </c>
      <c r="P154" s="3">
        <f>1/NOK!B154</f>
        <v>0.17619592987401989</v>
      </c>
      <c r="Q154" s="3">
        <f>1/NOK!C154</f>
        <v>0.17592315676512499</v>
      </c>
      <c r="R154" s="3">
        <f>NZD!B154/1</f>
        <v>0.73950000000000005</v>
      </c>
      <c r="S154" s="3">
        <f>NZD!C154/1</f>
        <v>0.73780000000000001</v>
      </c>
      <c r="T154" s="4">
        <f>1/PHP!B154</f>
        <v>2.1843599825251202E-2</v>
      </c>
      <c r="U154" s="4">
        <f>1/PHP!C154</f>
        <v>2.1755683672359402E-2</v>
      </c>
      <c r="V154" s="4">
        <f>1/TWD!B154</f>
        <v>3.1438631790744465E-2</v>
      </c>
      <c r="W154" s="4">
        <f>1/TWD!C154</f>
        <v>3.1438631790744465E-2</v>
      </c>
      <c r="X154" s="4">
        <f>1/TWD!B154</f>
        <v>3.1438631790744465E-2</v>
      </c>
      <c r="Y154" s="4">
        <f>1/TWD!C154</f>
        <v>3.1438631790744465E-2</v>
      </c>
      <c r="Z154" s="4">
        <f>1/ZAR!B154</f>
        <v>0.13439776362121333</v>
      </c>
      <c r="AA154" s="4">
        <f>1/ZAR!C154</f>
        <v>0.13353987500667699</v>
      </c>
    </row>
    <row r="155" spans="1:27" x14ac:dyDescent="0.25">
      <c r="A155" t="str">
        <f>"14/01/2010"</f>
        <v>14/01/2010</v>
      </c>
      <c r="B155" s="3">
        <f>AUD!B155</f>
        <v>0.92969999999999997</v>
      </c>
      <c r="C155" s="3">
        <f>AUD!C155</f>
        <v>0.92669999999999997</v>
      </c>
      <c r="D155" s="3">
        <f>1/CAD!B155</f>
        <v>0.97021441738624237</v>
      </c>
      <c r="E155" s="3">
        <f>1/CAD!C155</f>
        <v>0.97021441738624237</v>
      </c>
      <c r="F155" s="3">
        <f>EUR!B155/1</f>
        <v>1.4542999999999999</v>
      </c>
      <c r="G155" s="3">
        <f>EUR!C155/1</f>
        <v>1.4541999999999999</v>
      </c>
      <c r="H155" s="3">
        <f>GBP!B155/1</f>
        <v>1.6294999999999999</v>
      </c>
      <c r="I155" s="3">
        <f>GBP!C155/1</f>
        <v>1.6292</v>
      </c>
      <c r="J155" s="4">
        <f>1/INR!B155</f>
        <v>2.1980437410704476E-2</v>
      </c>
      <c r="K155" s="4">
        <f>1/INR!C155</f>
        <v>2.1914205883964279E-2</v>
      </c>
      <c r="L155" s="4">
        <f>1/JPY!B155</f>
        <v>1.0905125408942203E-2</v>
      </c>
      <c r="M155" s="4">
        <f>1/JPY!C155</f>
        <v>1.0906885735102286E-2</v>
      </c>
      <c r="N155" s="5">
        <f>1/KRW!B155</f>
        <v>8.9098765982091154E-4</v>
      </c>
      <c r="O155" s="5">
        <f>1/KRW!C155</f>
        <v>8.9097733977331749E-4</v>
      </c>
      <c r="P155" s="3">
        <f>1/NOK!B155</f>
        <v>0.17738673856742468</v>
      </c>
      <c r="Q155" s="3">
        <f>1/NOK!C155</f>
        <v>0.17711967976761897</v>
      </c>
      <c r="R155" s="3">
        <f>NZD!B155/1</f>
        <v>0.74080000000000001</v>
      </c>
      <c r="S155" s="3">
        <f>NZD!C155/1</f>
        <v>0.73919999999999997</v>
      </c>
      <c r="T155" s="4">
        <f>1/PHP!B155</f>
        <v>2.1848372296263928E-2</v>
      </c>
      <c r="U155" s="4">
        <f>1/PHP!C155</f>
        <v>2.1767522855898998E-2</v>
      </c>
      <c r="V155" s="4">
        <f>1/TWD!B155</f>
        <v>3.1493087267344816E-2</v>
      </c>
      <c r="W155" s="4">
        <f>1/TWD!C155</f>
        <v>3.1493087267344816E-2</v>
      </c>
      <c r="X155" s="4">
        <f>1/TWD!B155</f>
        <v>3.1493087267344816E-2</v>
      </c>
      <c r="Y155" s="4">
        <f>1/TWD!C155</f>
        <v>3.1493087267344816E-2</v>
      </c>
      <c r="Z155" s="4">
        <f>1/ZAR!B155</f>
        <v>0.13478905512872355</v>
      </c>
      <c r="AA155" s="4">
        <f>1/ZAR!C155</f>
        <v>0.13396206194405744</v>
      </c>
    </row>
    <row r="156" spans="1:27" x14ac:dyDescent="0.25">
      <c r="A156" t="str">
        <f>"15/01/2010"</f>
        <v>15/01/2010</v>
      </c>
      <c r="B156" s="3">
        <f>AUD!B156</f>
        <v>0.9274</v>
      </c>
      <c r="C156" s="3">
        <f>AUD!C156</f>
        <v>0.9244</v>
      </c>
      <c r="D156" s="3">
        <f>1/CAD!B156</f>
        <v>0.97446891444162931</v>
      </c>
      <c r="E156" s="3">
        <f>1/CAD!C156</f>
        <v>0.97437396472766247</v>
      </c>
      <c r="F156" s="3">
        <f>EUR!B156/1</f>
        <v>1.4426000000000001</v>
      </c>
      <c r="G156" s="3">
        <f>EUR!C156/1</f>
        <v>1.4424999999999999</v>
      </c>
      <c r="H156" s="3">
        <f>GBP!B156/1</f>
        <v>1.6318999999999999</v>
      </c>
      <c r="I156" s="3">
        <f>GBP!C156/1</f>
        <v>1.6315</v>
      </c>
      <c r="J156" s="4">
        <f>1/INR!B156</f>
        <v>2.1893814997263273E-2</v>
      </c>
      <c r="K156" s="4">
        <f>1/INR!C156</f>
        <v>2.1831677764436196E-2</v>
      </c>
      <c r="L156" s="4">
        <f>1/JPY!B156</f>
        <v>1.0972853161278997E-2</v>
      </c>
      <c r="M156" s="4">
        <f>1/JPY!C156</f>
        <v>1.097438249893274E-2</v>
      </c>
      <c r="N156" s="5">
        <f>1/KRW!B156</f>
        <v>8.8936321593738874E-4</v>
      </c>
      <c r="O156" s="5">
        <f>1/KRW!C156</f>
        <v>8.8935372443552714E-4</v>
      </c>
      <c r="P156" s="3">
        <f>1/NOK!B156</f>
        <v>0.17665347654041832</v>
      </c>
      <c r="Q156" s="3">
        <f>1/NOK!C156</f>
        <v>0.17639484221481364</v>
      </c>
      <c r="R156" s="3">
        <f>NZD!B156/1</f>
        <v>0.73839999999999995</v>
      </c>
      <c r="S156" s="3">
        <f>NZD!C156/1</f>
        <v>0.73680000000000001</v>
      </c>
      <c r="T156" s="4">
        <f>1/PHP!B156</f>
        <v>2.1817388458601504E-2</v>
      </c>
      <c r="U156" s="4">
        <f>1/PHP!C156</f>
        <v>2.1734405564007825E-2</v>
      </c>
      <c r="V156" s="4">
        <f>1/TWD!B156</f>
        <v>3.1512936060252732E-2</v>
      </c>
      <c r="W156" s="4">
        <f>1/TWD!C156</f>
        <v>3.1512936060252732E-2</v>
      </c>
      <c r="X156" s="4">
        <f>1/TWD!B156</f>
        <v>3.1512936060252732E-2</v>
      </c>
      <c r="Y156" s="4">
        <f>1/TWD!C156</f>
        <v>3.1512936060252732E-2</v>
      </c>
      <c r="Z156" s="4">
        <f>1/ZAR!B156</f>
        <v>0.13476544075037397</v>
      </c>
      <c r="AA156" s="4">
        <f>1/ZAR!C156</f>
        <v>0.13395847287340926</v>
      </c>
    </row>
    <row r="157" spans="1:27" x14ac:dyDescent="0.25">
      <c r="A157" t="str">
        <f>"18/01/2010"</f>
        <v>18/01/2010</v>
      </c>
      <c r="B157" s="3">
        <f>AUD!B157</f>
        <v>0.91910000000000003</v>
      </c>
      <c r="C157" s="3">
        <f>AUD!C157</f>
        <v>0.91600000000000004</v>
      </c>
      <c r="D157" s="3">
        <f>1/CAD!B157</f>
        <v>0.97162844928099501</v>
      </c>
      <c r="E157" s="3">
        <f>1/CAD!C157</f>
        <v>0.97162844928099501</v>
      </c>
      <c r="F157" s="3">
        <f>EUR!B157/1</f>
        <v>1.4358</v>
      </c>
      <c r="G157" s="3">
        <f>EUR!C157/1</f>
        <v>1.4357</v>
      </c>
      <c r="H157" s="3">
        <f>GBP!B157/1</f>
        <v>1.6286</v>
      </c>
      <c r="I157" s="3">
        <f>GBP!C157/1</f>
        <v>1.6282000000000001</v>
      </c>
      <c r="J157" s="4">
        <f>1/INR!B157</f>
        <v>2.181500872600349E-2</v>
      </c>
      <c r="K157" s="4">
        <f>1/INR!C157</f>
        <v>2.1756867011150396E-2</v>
      </c>
      <c r="L157" s="4">
        <f>1/JPY!B157</f>
        <v>1.100715465052284E-2</v>
      </c>
      <c r="M157" s="4">
        <f>1/JPY!C157</f>
        <v>1.1008802638589816E-2</v>
      </c>
      <c r="N157" s="5">
        <f>1/KRW!B157</f>
        <v>8.8723272114275581E-4</v>
      </c>
      <c r="O157" s="5">
        <f>1/KRW!C157</f>
        <v>8.872108380256436E-4</v>
      </c>
      <c r="P157" s="3">
        <f>1/NOK!B157</f>
        <v>0.17566974088713219</v>
      </c>
      <c r="Q157" s="3">
        <f>1/NOK!C157</f>
        <v>0.1753955168905883</v>
      </c>
      <c r="R157" s="3">
        <f>NZD!B157/1</f>
        <v>0.73460000000000003</v>
      </c>
      <c r="S157" s="3">
        <f>NZD!C157/1</f>
        <v>0.7329</v>
      </c>
      <c r="T157" s="4">
        <f>1/PHP!B157</f>
        <v>2.1767522855898998E-2</v>
      </c>
      <c r="U157" s="4">
        <f>1/PHP!C157</f>
        <v>2.1688210288886962E-2</v>
      </c>
      <c r="V157" s="4">
        <f>1/TWD!B157</f>
        <v>3.1473263462688444E-2</v>
      </c>
      <c r="W157" s="4">
        <f>1/TWD!C157</f>
        <v>3.1473263462688444E-2</v>
      </c>
      <c r="X157" s="4">
        <f>1/TWD!B157</f>
        <v>3.1473263462688444E-2</v>
      </c>
      <c r="Y157" s="4">
        <f>1/TWD!C157</f>
        <v>3.1473263462688444E-2</v>
      </c>
      <c r="Z157" s="4">
        <f>1/ZAR!B157</f>
        <v>0.13458950201884254</v>
      </c>
      <c r="AA157" s="4">
        <f>1/ZAR!C157</f>
        <v>0.13379537335598934</v>
      </c>
    </row>
    <row r="158" spans="1:27" x14ac:dyDescent="0.25">
      <c r="A158" t="str">
        <f>"19/01/2010"</f>
        <v>19/01/2010</v>
      </c>
      <c r="B158" s="3">
        <f>AUD!B158</f>
        <v>0.92400000000000004</v>
      </c>
      <c r="C158" s="3">
        <f>AUD!C158</f>
        <v>0.92090000000000005</v>
      </c>
      <c r="D158" s="3">
        <f>1/CAD!B158</f>
        <v>0.97380465478625</v>
      </c>
      <c r="E158" s="3">
        <f>1/CAD!C158</f>
        <v>0.97380465478625</v>
      </c>
      <c r="F158" s="3">
        <f>EUR!B158/1</f>
        <v>1.4390000000000001</v>
      </c>
      <c r="G158" s="3">
        <f>EUR!C158/1</f>
        <v>1.4389000000000001</v>
      </c>
      <c r="H158" s="3">
        <f>GBP!B158/1</f>
        <v>1.6409</v>
      </c>
      <c r="I158" s="3">
        <f>GBP!C158/1</f>
        <v>1.6405000000000001</v>
      </c>
      <c r="J158" s="4">
        <f>1/INR!B158</f>
        <v>2.1939447125932428E-2</v>
      </c>
      <c r="K158" s="4">
        <f>1/INR!C158</f>
        <v>2.187465820846549E-2</v>
      </c>
      <c r="L158" s="4">
        <f>1/JPY!B158</f>
        <v>1.1049723756906077E-2</v>
      </c>
      <c r="M158" s="4">
        <f>1/JPY!C158</f>
        <v>1.1051250172675784E-2</v>
      </c>
      <c r="N158" s="5">
        <f>1/KRW!B158</f>
        <v>8.8952143746664288E-4</v>
      </c>
      <c r="O158" s="5">
        <f>1/KRW!C158</f>
        <v>8.8951075574168065E-4</v>
      </c>
      <c r="P158" s="3">
        <f>1/NOK!B158</f>
        <v>0.1768377866982617</v>
      </c>
      <c r="Q158" s="3">
        <f>1/NOK!C158</f>
        <v>0.17655990677636921</v>
      </c>
      <c r="R158" s="3">
        <f>NZD!B158/1</f>
        <v>0.73839999999999995</v>
      </c>
      <c r="S158" s="3">
        <f>NZD!C158/1</f>
        <v>0.73670000000000002</v>
      </c>
      <c r="T158" s="4">
        <f>1/PHP!B158</f>
        <v>2.1801929470758163E-2</v>
      </c>
      <c r="U158" s="4">
        <f>1/PHP!C158</f>
        <v>2.1716705575764158E-2</v>
      </c>
      <c r="V158" s="4">
        <f>1/TWD!B158</f>
        <v>3.1468311410409719E-2</v>
      </c>
      <c r="W158" s="4">
        <f>1/TWD!C158</f>
        <v>3.1468311410409719E-2</v>
      </c>
      <c r="X158" s="4">
        <f>1/TWD!B158</f>
        <v>3.1468311410409719E-2</v>
      </c>
      <c r="Y158" s="4">
        <f>1/TWD!C158</f>
        <v>3.1468311410409719E-2</v>
      </c>
      <c r="Z158" s="4">
        <f>1/ZAR!B158</f>
        <v>0.13512235329090491</v>
      </c>
      <c r="AA158" s="4">
        <f>1/ZAR!C158</f>
        <v>0.13422638622300373</v>
      </c>
    </row>
    <row r="159" spans="1:27" x14ac:dyDescent="0.25">
      <c r="A159" t="str">
        <f>"20/01/2010"</f>
        <v>20/01/2010</v>
      </c>
      <c r="B159" s="3">
        <f>AUD!B159</f>
        <v>0.91759999999999997</v>
      </c>
      <c r="C159" s="3">
        <f>AUD!C159</f>
        <v>0.91459999999999997</v>
      </c>
      <c r="D159" s="3">
        <f>1/CAD!B159</f>
        <v>0.96618357487922713</v>
      </c>
      <c r="E159" s="3">
        <f>1/CAD!C159</f>
        <v>0.96618357487922713</v>
      </c>
      <c r="F159" s="3">
        <f>EUR!B159/1</f>
        <v>1.4202999999999999</v>
      </c>
      <c r="G159" s="3">
        <f>EUR!C159/1</f>
        <v>1.4201999999999999</v>
      </c>
      <c r="H159" s="3">
        <f>GBP!B159/1</f>
        <v>1.6314</v>
      </c>
      <c r="I159" s="3">
        <f>GBP!C159/1</f>
        <v>1.631</v>
      </c>
      <c r="J159" s="4">
        <f>1/INR!B159</f>
        <v>2.1795989537925022E-2</v>
      </c>
      <c r="K159" s="4">
        <f>1/INR!C159</f>
        <v>2.1734405564007825E-2</v>
      </c>
      <c r="L159" s="4">
        <f>1/JPY!B159</f>
        <v>1.0948105977665863E-2</v>
      </c>
      <c r="M159" s="4">
        <f>1/JPY!C159</f>
        <v>1.0949508531309573E-2</v>
      </c>
      <c r="N159" s="5">
        <f>1/KRW!B159</f>
        <v>8.8300220750551876E-4</v>
      </c>
      <c r="O159" s="5">
        <f>1/KRW!C159</f>
        <v>8.8299168177686182E-4</v>
      </c>
      <c r="P159" s="3">
        <f>1/NOK!B159</f>
        <v>0.17469995283101275</v>
      </c>
      <c r="Q159" s="3">
        <f>1/NOK!C159</f>
        <v>0.17443787395119228</v>
      </c>
      <c r="R159" s="3">
        <f>NZD!B159/1</f>
        <v>0.72960000000000003</v>
      </c>
      <c r="S159" s="3">
        <f>NZD!C159/1</f>
        <v>0.72799999999999998</v>
      </c>
      <c r="T159" s="4">
        <f>1/PHP!B159</f>
        <v>2.1762785636561477E-2</v>
      </c>
      <c r="U159" s="4">
        <f>1/PHP!C159</f>
        <v>2.1680216802168022E-2</v>
      </c>
      <c r="V159" s="4">
        <f>1/TWD!B159</f>
        <v>3.142578800163414E-2</v>
      </c>
      <c r="W159" s="4">
        <f>1/TWD!C159</f>
        <v>3.142578800163414E-2</v>
      </c>
      <c r="X159" s="4">
        <f>1/TWD!B159</f>
        <v>3.142578800163414E-2</v>
      </c>
      <c r="Y159" s="4">
        <f>1/TWD!C159</f>
        <v>3.142578800163414E-2</v>
      </c>
      <c r="Z159" s="4">
        <f>1/ZAR!B159</f>
        <v>0.13433998764072114</v>
      </c>
      <c r="AA159" s="4">
        <f>1/ZAR!C159</f>
        <v>0.13351313101643547</v>
      </c>
    </row>
    <row r="160" spans="1:27" x14ac:dyDescent="0.25">
      <c r="A160" t="str">
        <f>"21/01/2010"</f>
        <v>21/01/2010</v>
      </c>
      <c r="B160" s="3">
        <f>AUD!B160</f>
        <v>0.91249999999999998</v>
      </c>
      <c r="C160" s="3">
        <f>AUD!C160</f>
        <v>0.90949999999999998</v>
      </c>
      <c r="D160" s="3">
        <f>1/CAD!B160</f>
        <v>0.95620577548288388</v>
      </c>
      <c r="E160" s="3">
        <f>1/CAD!C160</f>
        <v>0.95611435127641264</v>
      </c>
      <c r="F160" s="3">
        <f>EUR!B160/1</f>
        <v>1.4097999999999999</v>
      </c>
      <c r="G160" s="3">
        <f>EUR!C160/1</f>
        <v>1.4097</v>
      </c>
      <c r="H160" s="3">
        <f>GBP!B160/1</f>
        <v>1.6267</v>
      </c>
      <c r="I160" s="3">
        <f>GBP!C160/1</f>
        <v>1.6263000000000001</v>
      </c>
      <c r="J160" s="4">
        <f>1/INR!B160</f>
        <v>2.1741493640613112E-2</v>
      </c>
      <c r="K160" s="4">
        <f>1/INR!C160</f>
        <v>2.1684918139434024E-2</v>
      </c>
      <c r="L160" s="4">
        <f>1/JPY!B160</f>
        <v>1.0921799912625601E-2</v>
      </c>
      <c r="M160" s="4">
        <f>1/JPY!C160</f>
        <v>1.0923183802229203E-2</v>
      </c>
      <c r="N160" s="5">
        <f>1/KRW!B160</f>
        <v>8.7904360056258797E-4</v>
      </c>
      <c r="O160" s="5">
        <f>1/KRW!C160</f>
        <v>8.7903347807791589E-4</v>
      </c>
      <c r="P160" s="3">
        <f>1/NOK!B160</f>
        <v>0.17287578874578613</v>
      </c>
      <c r="Q160" s="3">
        <f>1/NOK!C160</f>
        <v>0.17262511004850764</v>
      </c>
      <c r="R160" s="3">
        <f>NZD!B160/1</f>
        <v>0.72060000000000002</v>
      </c>
      <c r="S160" s="3">
        <f>NZD!C160/1</f>
        <v>0.71909999999999996</v>
      </c>
      <c r="T160" s="4">
        <f>1/PHP!B160</f>
        <v>2.1710811984368215E-2</v>
      </c>
      <c r="U160" s="4">
        <f>1/PHP!C160</f>
        <v>2.1633315305570579E-2</v>
      </c>
      <c r="V160" s="4">
        <f>1/TWD!B160</f>
        <v>3.1339120624275282E-2</v>
      </c>
      <c r="W160" s="4">
        <f>1/TWD!C160</f>
        <v>3.1339120624275282E-2</v>
      </c>
      <c r="X160" s="4">
        <f>1/TWD!B160</f>
        <v>3.1339120624275282E-2</v>
      </c>
      <c r="Y160" s="4">
        <f>1/TWD!C160</f>
        <v>3.1339120624275282E-2</v>
      </c>
      <c r="Z160" s="4">
        <f>1/ZAR!B160</f>
        <v>0.13289036544850497</v>
      </c>
      <c r="AA160" s="4">
        <f>1/ZAR!C160</f>
        <v>0.13209865127277051</v>
      </c>
    </row>
    <row r="161" spans="1:27" x14ac:dyDescent="0.25">
      <c r="A161" t="str">
        <f>"22/01/2010"</f>
        <v>22/01/2010</v>
      </c>
      <c r="B161" s="3">
        <f>AUD!B161</f>
        <v>0.9022</v>
      </c>
      <c r="C161" s="3">
        <f>AUD!C161</f>
        <v>0.89929999999999999</v>
      </c>
      <c r="D161" s="3">
        <f>1/CAD!B161</f>
        <v>0.95201827875095202</v>
      </c>
      <c r="E161" s="3">
        <f>1/CAD!C161</f>
        <v>0.95201827875095202</v>
      </c>
      <c r="F161" s="3">
        <f>EUR!B161/1</f>
        <v>1.4118999999999999</v>
      </c>
      <c r="G161" s="3">
        <f>EUR!C161/1</f>
        <v>1.4117999999999999</v>
      </c>
      <c r="H161" s="3">
        <f>GBP!B161/1</f>
        <v>1.6207</v>
      </c>
      <c r="I161" s="3">
        <f>GBP!C161/1</f>
        <v>1.6203000000000001</v>
      </c>
      <c r="J161" s="4">
        <f>1/INR!B161</f>
        <v>2.1621621621621623E-2</v>
      </c>
      <c r="K161" s="4">
        <f>1/INR!C161</f>
        <v>2.15726458850178E-2</v>
      </c>
      <c r="L161" s="4">
        <f>1/JPY!B161</f>
        <v>1.1123470522803113E-2</v>
      </c>
      <c r="M161" s="4">
        <f>1/JPY!C161</f>
        <v>1.1124806984598817E-2</v>
      </c>
      <c r="N161" s="5">
        <f>1/KRW!B161</f>
        <v>8.6813091414185254E-4</v>
      </c>
      <c r="O161" s="5">
        <f>1/KRW!C161</f>
        <v>8.6812217187499463E-4</v>
      </c>
      <c r="P161" s="3">
        <f>1/NOK!B161</f>
        <v>0.17222078704899682</v>
      </c>
      <c r="Q161" s="3">
        <f>1/NOK!C161</f>
        <v>0.17196608828738971</v>
      </c>
      <c r="R161" s="3">
        <f>NZD!B161/1</f>
        <v>0.71220000000000006</v>
      </c>
      <c r="S161" s="3">
        <f>NZD!C161/1</f>
        <v>0.7107</v>
      </c>
      <c r="T161" s="4">
        <f>1/PHP!B161</f>
        <v>2.1598272138228944E-2</v>
      </c>
      <c r="U161" s="4">
        <f>1/PHP!C161</f>
        <v>2.1519259737465032E-2</v>
      </c>
      <c r="V161" s="4">
        <f>1/TWD!B161</f>
        <v>3.1280302793331036E-2</v>
      </c>
      <c r="W161" s="4">
        <f>1/TWD!C161</f>
        <v>3.1280302793331036E-2</v>
      </c>
      <c r="X161" s="4">
        <f>1/TWD!B161</f>
        <v>3.1280302793331036E-2</v>
      </c>
      <c r="Y161" s="4">
        <f>1/TWD!C161</f>
        <v>3.1280302793331036E-2</v>
      </c>
      <c r="Z161" s="4">
        <f>1/ZAR!B161</f>
        <v>0.13207945900253593</v>
      </c>
      <c r="AA161" s="4">
        <f>1/ZAR!C161</f>
        <v>0.13129045387109903</v>
      </c>
    </row>
    <row r="162" spans="1:27" x14ac:dyDescent="0.25">
      <c r="A162" t="str">
        <f>"25/01/2010"</f>
        <v>25/01/2010</v>
      </c>
      <c r="B162" s="3">
        <f>AUD!B162</f>
        <v>0.90580000000000005</v>
      </c>
      <c r="C162" s="3">
        <f>AUD!C162</f>
        <v>0.90310000000000001</v>
      </c>
      <c r="D162" s="3">
        <f>1/CAD!B162</f>
        <v>0.94661113214691406</v>
      </c>
      <c r="E162" s="3">
        <f>1/CAD!C162</f>
        <v>0.94661113214691406</v>
      </c>
      <c r="F162" s="3">
        <f>EUR!B162/1</f>
        <v>1.4157</v>
      </c>
      <c r="G162" s="3">
        <f>EUR!C162/1</f>
        <v>1.4156</v>
      </c>
      <c r="H162" s="3">
        <f>GBP!B162/1</f>
        <v>1.6111</v>
      </c>
      <c r="I162" s="3">
        <f>GBP!C162/1</f>
        <v>1.6107</v>
      </c>
      <c r="J162" s="4">
        <f>1/INR!B162</f>
        <v>2.1675517502980385E-2</v>
      </c>
      <c r="K162" s="4">
        <f>1/INR!C162</f>
        <v>2.162395934695643E-2</v>
      </c>
      <c r="L162" s="4">
        <f>1/JPY!B162</f>
        <v>1.1097547442015314E-2</v>
      </c>
      <c r="M162" s="4">
        <f>1/JPY!C162</f>
        <v>1.1098914637137634E-2</v>
      </c>
      <c r="N162" s="5">
        <f>1/KRW!B162</f>
        <v>8.7145969498910673E-4</v>
      </c>
      <c r="O162" s="5">
        <f>1/KRW!C162</f>
        <v>8.7144860727697928E-4</v>
      </c>
      <c r="P162" s="3">
        <f>1/NOK!B162</f>
        <v>0.17242865764290025</v>
      </c>
      <c r="Q162" s="3">
        <f>1/NOK!C162</f>
        <v>0.17217334412286292</v>
      </c>
      <c r="R162" s="3">
        <f>NZD!B162/1</f>
        <v>0.71499999999999997</v>
      </c>
      <c r="S162" s="3">
        <f>NZD!C162/1</f>
        <v>0.71350000000000002</v>
      </c>
      <c r="T162" s="4">
        <f>1/PHP!B162</f>
        <v>2.1652051531882644E-2</v>
      </c>
      <c r="U162" s="4">
        <f>1/PHP!C162</f>
        <v>2.1473051320592657E-2</v>
      </c>
      <c r="V162" s="4">
        <f>1/TWD!B162</f>
        <v>3.1300863903843748E-2</v>
      </c>
      <c r="W162" s="4">
        <f>1/TWD!C162</f>
        <v>3.1300863903843748E-2</v>
      </c>
      <c r="X162" s="4">
        <f>1/TWD!B162</f>
        <v>3.1300863903843748E-2</v>
      </c>
      <c r="Y162" s="4">
        <f>1/TWD!C162</f>
        <v>3.1300863903843748E-2</v>
      </c>
      <c r="Z162" s="4">
        <f>1/ZAR!B162</f>
        <v>0.13175230566534915</v>
      </c>
      <c r="AA162" s="4">
        <f>1/ZAR!C162</f>
        <v>0.13095518713496243</v>
      </c>
    </row>
    <row r="163" spans="1:27" x14ac:dyDescent="0.25">
      <c r="A163" t="str">
        <f>"27/01/2010"</f>
        <v>27/01/2010</v>
      </c>
      <c r="B163" s="3">
        <f>AUD!B163</f>
        <v>0.90349999999999997</v>
      </c>
      <c r="C163" s="3">
        <f>AUD!C163</f>
        <v>0.90080000000000005</v>
      </c>
      <c r="D163" s="3">
        <f>1/CAD!B163</f>
        <v>0.94091080165600305</v>
      </c>
      <c r="E163" s="3">
        <f>1/CAD!C163</f>
        <v>0.94082227867155899</v>
      </c>
      <c r="F163" s="3">
        <f>EUR!B163/1</f>
        <v>1.4079999999999999</v>
      </c>
      <c r="G163" s="3">
        <f>EUR!C163/1</f>
        <v>1.4078999999999999</v>
      </c>
      <c r="H163" s="3">
        <f>GBP!B163/1</f>
        <v>1.6135999999999999</v>
      </c>
      <c r="I163" s="3">
        <f>GBP!C163/1</f>
        <v>1.6133</v>
      </c>
      <c r="J163" s="4">
        <f>1/INR!B163</f>
        <v>2.1584286639326572E-2</v>
      </c>
      <c r="K163" s="4">
        <f>1/INR!C163</f>
        <v>2.1530842932500807E-2</v>
      </c>
      <c r="L163" s="4">
        <f>1/JPY!B163</f>
        <v>1.1183180496533213E-2</v>
      </c>
      <c r="M163" s="4">
        <f>1/JPY!C163</f>
        <v>1.1184206111497588E-2</v>
      </c>
      <c r="N163" s="5">
        <f>1/KRW!B163</f>
        <v>8.6385625431928132E-4</v>
      </c>
      <c r="O163" s="5">
        <f>1/KRW!C163</f>
        <v>8.6384692632465526E-4</v>
      </c>
      <c r="P163" s="3">
        <f>1/NOK!B163</f>
        <v>0.17122701277353514</v>
      </c>
      <c r="Q163" s="3">
        <f>1/NOK!C163</f>
        <v>0.17098986030128413</v>
      </c>
      <c r="R163" s="3">
        <f>NZD!B163/1</f>
        <v>0.7087</v>
      </c>
      <c r="S163" s="3">
        <f>NZD!C163/1</f>
        <v>0.70730000000000004</v>
      </c>
      <c r="T163" s="4">
        <f>1/PHP!B163</f>
        <v>2.145002145002145E-2</v>
      </c>
      <c r="U163" s="4">
        <f>1/PHP!C163</f>
        <v>2.1374372127818748E-2</v>
      </c>
      <c r="V163" s="4">
        <f>1/TWD!B163</f>
        <v>3.1237309842876333E-2</v>
      </c>
      <c r="W163" s="4">
        <f>1/TWD!C163</f>
        <v>3.1237309842876333E-2</v>
      </c>
      <c r="X163" s="4">
        <f>1/TWD!B163</f>
        <v>3.1237309842876333E-2</v>
      </c>
      <c r="Y163" s="4">
        <f>1/TWD!C163</f>
        <v>3.1237309842876333E-2</v>
      </c>
      <c r="Z163" s="4">
        <f>1/ZAR!B163</f>
        <v>0.13192612137203166</v>
      </c>
      <c r="AA163" s="4">
        <f>1/ZAR!C163</f>
        <v>0.13118022851595806</v>
      </c>
    </row>
    <row r="164" spans="1:27" x14ac:dyDescent="0.25">
      <c r="A164" t="str">
        <f>"28/01/2010"</f>
        <v>28/01/2010</v>
      </c>
      <c r="B164" s="3">
        <f>AUD!B164</f>
        <v>0.89890000000000003</v>
      </c>
      <c r="C164" s="3">
        <f>AUD!C164</f>
        <v>0.89629999999999999</v>
      </c>
      <c r="D164" s="3">
        <f>1/CAD!B164</f>
        <v>0.94188565508147304</v>
      </c>
      <c r="E164" s="3">
        <f>1/CAD!C164</f>
        <v>0.94179694857788654</v>
      </c>
      <c r="F164" s="3">
        <f>EUR!B164/1</f>
        <v>1.4015</v>
      </c>
      <c r="G164" s="3">
        <f>EUR!C164/1</f>
        <v>1.4014</v>
      </c>
      <c r="H164" s="3">
        <f>GBP!B164/1</f>
        <v>1.6217999999999999</v>
      </c>
      <c r="I164" s="3">
        <f>GBP!C164/1</f>
        <v>1.6214</v>
      </c>
      <c r="J164" s="4">
        <f>1/INR!B164</f>
        <v>2.1602937999567941E-2</v>
      </c>
      <c r="K164" s="4">
        <f>1/INR!C164</f>
        <v>2.1554046772281496E-2</v>
      </c>
      <c r="L164" s="4">
        <f>1/JPY!B164</f>
        <v>1.1075423634954036E-2</v>
      </c>
      <c r="M164" s="4">
        <f>1/JPY!C164</f>
        <v>1.1076343698944979E-2</v>
      </c>
      <c r="N164" s="5">
        <f>1/KRW!B164</f>
        <v>8.661758336942399E-4</v>
      </c>
      <c r="O164" s="5">
        <f>1/KRW!C164</f>
        <v>8.6616570529491428E-4</v>
      </c>
      <c r="P164" s="3">
        <f>1/NOK!B164</f>
        <v>0.17107469121018237</v>
      </c>
      <c r="Q164" s="3">
        <f>1/NOK!C164</f>
        <v>0.1708467163261122</v>
      </c>
      <c r="R164" s="3">
        <f>NZD!B164/1</f>
        <v>0.70820000000000005</v>
      </c>
      <c r="S164" s="3">
        <f>NZD!C164/1</f>
        <v>0.70679999999999998</v>
      </c>
      <c r="T164" s="4">
        <f>1/PHP!B164</f>
        <v>2.1413276231263382E-2</v>
      </c>
      <c r="U164" s="4">
        <f>1/PHP!C164</f>
        <v>2.1340617597473271E-2</v>
      </c>
      <c r="V164" s="4">
        <f>1/TWD!B164</f>
        <v>3.1261723146179816E-2</v>
      </c>
      <c r="W164" s="4">
        <f>1/TWD!C164</f>
        <v>3.1261723146179816E-2</v>
      </c>
      <c r="X164" s="4">
        <f>1/TWD!B164</f>
        <v>3.1261723146179816E-2</v>
      </c>
      <c r="Y164" s="4">
        <f>1/TWD!C164</f>
        <v>3.1261723146179816E-2</v>
      </c>
      <c r="Z164" s="4">
        <f>1/ZAR!B164</f>
        <v>0.13183915622940012</v>
      </c>
      <c r="AA164" s="4">
        <f>1/ZAR!C164</f>
        <v>0.13111658887082392</v>
      </c>
    </row>
    <row r="165" spans="1:27" x14ac:dyDescent="0.25">
      <c r="A165" t="str">
        <f>"29/01/2010"</f>
        <v>29/01/2010</v>
      </c>
      <c r="B165" s="3">
        <f>AUD!B165</f>
        <v>0.89370000000000005</v>
      </c>
      <c r="C165" s="3">
        <f>AUD!C165</f>
        <v>0.8911</v>
      </c>
      <c r="D165" s="3">
        <f>1/CAD!B165</f>
        <v>0.93729496672602874</v>
      </c>
      <c r="E165" s="3">
        <f>1/CAD!C165</f>
        <v>0.93729496672602874</v>
      </c>
      <c r="F165" s="3">
        <f>EUR!B165/1</f>
        <v>1.3955</v>
      </c>
      <c r="G165" s="3">
        <f>EUR!C165/1</f>
        <v>1.3954</v>
      </c>
      <c r="H165" s="3">
        <f>GBP!B165/1</f>
        <v>1.6152</v>
      </c>
      <c r="I165" s="3">
        <f>GBP!C165/1</f>
        <v>1.6149</v>
      </c>
      <c r="J165" s="4">
        <f>1/INR!B165</f>
        <v>2.1558693543171286E-2</v>
      </c>
      <c r="K165" s="4">
        <f>1/INR!C165</f>
        <v>2.1505376344086023E-2</v>
      </c>
      <c r="L165" s="4">
        <f>1/JPY!B165</f>
        <v>1.1111049383058983E-2</v>
      </c>
      <c r="M165" s="4">
        <f>1/JPY!C165</f>
        <v>1.1112098853231398E-2</v>
      </c>
      <c r="N165" s="5">
        <f>1/KRW!B165</f>
        <v>8.6572591117652163E-4</v>
      </c>
      <c r="O165" s="5">
        <f>1/KRW!C165</f>
        <v>8.6570709960332435E-4</v>
      </c>
      <c r="P165" s="3">
        <f>1/NOK!B165</f>
        <v>0.16976775770745622</v>
      </c>
      <c r="Q165" s="3">
        <f>1/NOK!C165</f>
        <v>0.16954325048319827</v>
      </c>
      <c r="R165" s="3">
        <f>NZD!B165/1</f>
        <v>0.70530000000000004</v>
      </c>
      <c r="S165" s="3">
        <f>NZD!C165/1</f>
        <v>0.70389999999999997</v>
      </c>
      <c r="T165" s="4">
        <f>1/PHP!B165</f>
        <v>2.1431633090441493E-2</v>
      </c>
      <c r="U165" s="4">
        <f>1/PHP!C165</f>
        <v>2.1358393848782572E-2</v>
      </c>
      <c r="V165" s="4">
        <f>1/TWD!B165</f>
        <v>3.1281281281281284E-2</v>
      </c>
      <c r="W165" s="4">
        <f>1/TWD!C165</f>
        <v>3.1281281281281284E-2</v>
      </c>
      <c r="X165" s="4">
        <f>1/TWD!B165</f>
        <v>3.1281281281281284E-2</v>
      </c>
      <c r="Y165" s="4">
        <f>1/TWD!C165</f>
        <v>3.1281281281281284E-2</v>
      </c>
      <c r="Z165" s="4">
        <f>1/ZAR!B165</f>
        <v>0.13090204599897895</v>
      </c>
      <c r="AA165" s="4">
        <f>1/ZAR!C165</f>
        <v>0.13019138133055591</v>
      </c>
    </row>
    <row r="166" spans="1:27" x14ac:dyDescent="0.25">
      <c r="A166" t="str">
        <f>"01/02/2010"</f>
        <v>01/02/2010</v>
      </c>
      <c r="B166" s="3">
        <f>AUD!B166</f>
        <v>0.88200000000000001</v>
      </c>
      <c r="C166" s="3">
        <f>AUD!C166</f>
        <v>0.87939999999999996</v>
      </c>
      <c r="D166" s="3">
        <f>1/CAD!B166</f>
        <v>0.93475415965601039</v>
      </c>
      <c r="E166" s="3">
        <f>1/CAD!C166</f>
        <v>0.9346667912889054</v>
      </c>
      <c r="F166" s="3">
        <f>EUR!B166/1</f>
        <v>1.3866000000000001</v>
      </c>
      <c r="G166" s="3">
        <f>EUR!C166/1</f>
        <v>1.3865000000000001</v>
      </c>
      <c r="H166" s="3">
        <f>GBP!B166/1</f>
        <v>1.5939000000000001</v>
      </c>
      <c r="I166" s="3">
        <f>GBP!C166/1</f>
        <v>1.5935999999999999</v>
      </c>
      <c r="J166" s="4">
        <f>1/INR!B166</f>
        <v>2.1547080370609786E-2</v>
      </c>
      <c r="K166" s="4">
        <f>1/INR!C166</f>
        <v>2.1494975549465313E-2</v>
      </c>
      <c r="L166" s="4">
        <f>1/JPY!B166</f>
        <v>1.1096316023080336E-2</v>
      </c>
      <c r="M166" s="4">
        <f>1/JPY!C166</f>
        <v>1.1097165672915481E-2</v>
      </c>
      <c r="N166" s="5">
        <f>1/KRW!B166</f>
        <v>8.5222430543719101E-4</v>
      </c>
      <c r="O166" s="5">
        <f>1/KRW!C166</f>
        <v>8.5220542241266179E-4</v>
      </c>
      <c r="P166" s="3">
        <f>1/NOK!B166</f>
        <v>0.16863122038414191</v>
      </c>
      <c r="Q166" s="3">
        <f>1/NOK!C166</f>
        <v>0.16841254336622991</v>
      </c>
      <c r="R166" s="3">
        <f>NZD!B166/1</f>
        <v>0.70109999999999995</v>
      </c>
      <c r="S166" s="3">
        <f>NZD!C166/1</f>
        <v>0.69969999999999999</v>
      </c>
      <c r="T166" s="4">
        <f>1/PHP!B166</f>
        <v>2.1406400513753612E-2</v>
      </c>
      <c r="U166" s="4">
        <f>1/PHP!C166</f>
        <v>2.1331968087375742E-2</v>
      </c>
      <c r="V166" s="4">
        <f>1/TWD!B166</f>
        <v>3.1213908917813778E-2</v>
      </c>
      <c r="W166" s="4">
        <f>1/TWD!C166</f>
        <v>3.1213908917813778E-2</v>
      </c>
      <c r="X166" s="4">
        <f>1/TWD!B166</f>
        <v>3.1213908917813778E-2</v>
      </c>
      <c r="Y166" s="4">
        <f>1/TWD!C166</f>
        <v>3.1213908917813778E-2</v>
      </c>
      <c r="Z166" s="4">
        <f>1/ZAR!B166</f>
        <v>0.13155125236792253</v>
      </c>
      <c r="AA166" s="4">
        <f>1/ZAR!C166</f>
        <v>0.13083354048643911</v>
      </c>
    </row>
    <row r="167" spans="1:27" x14ac:dyDescent="0.25">
      <c r="A167" t="str">
        <f>"02/02/2010"</f>
        <v>02/02/2010</v>
      </c>
      <c r="B167" s="3">
        <f>AUD!B167</f>
        <v>0.88180000000000003</v>
      </c>
      <c r="C167" s="3">
        <f>AUD!C167</f>
        <v>0.87929999999999997</v>
      </c>
      <c r="D167" s="3">
        <f>1/CAD!B167</f>
        <v>0.94126506024096379</v>
      </c>
      <c r="E167" s="3">
        <f>1/CAD!C167</f>
        <v>0.94117647058823528</v>
      </c>
      <c r="F167" s="3">
        <f>EUR!B167/1</f>
        <v>1.3892</v>
      </c>
      <c r="G167" s="3">
        <f>EUR!C167/1</f>
        <v>1.3891</v>
      </c>
      <c r="H167" s="3">
        <f>GBP!B167/1</f>
        <v>1.593</v>
      </c>
      <c r="I167" s="3">
        <f>GBP!C167/1</f>
        <v>1.5926</v>
      </c>
      <c r="J167" s="4">
        <f>1/INR!B167</f>
        <v>2.1628636314480372E-2</v>
      </c>
      <c r="K167" s="4">
        <f>1/INR!C167</f>
        <v>2.1579628830384116E-2</v>
      </c>
      <c r="L167" s="4">
        <f>1/JPY!B167</f>
        <v>1.1013215859030838E-2</v>
      </c>
      <c r="M167" s="4">
        <f>1/JPY!C167</f>
        <v>1.101425905977879E-2</v>
      </c>
      <c r="N167" s="5">
        <f>1/KRW!B167</f>
        <v>8.6188321482439127E-4</v>
      </c>
      <c r="O167" s="5">
        <f>1/KRW!C167</f>
        <v>8.6187170091672988E-4</v>
      </c>
      <c r="P167" s="3">
        <f>1/NOK!B167</f>
        <v>0.1702127659574468</v>
      </c>
      <c r="Q167" s="3">
        <f>1/NOK!C167</f>
        <v>0.1699870809818454</v>
      </c>
      <c r="R167" s="3">
        <f>NZD!B167/1</f>
        <v>0.70609999999999995</v>
      </c>
      <c r="S167" s="3">
        <f>NZD!C167/1</f>
        <v>0.70469999999999999</v>
      </c>
      <c r="T167" s="4">
        <f>1/PHP!B167</f>
        <v>2.1486892995272885E-2</v>
      </c>
      <c r="U167" s="4">
        <f>1/PHP!C167</f>
        <v>2.1415569118749332E-2</v>
      </c>
      <c r="V167" s="4">
        <f>1/TWD!B167</f>
        <v>3.1208064163779921E-2</v>
      </c>
      <c r="W167" s="4">
        <f>1/TWD!C167</f>
        <v>3.1208161558410753E-2</v>
      </c>
      <c r="X167" s="4">
        <f>1/TWD!B167</f>
        <v>3.1208064163779921E-2</v>
      </c>
      <c r="Y167" s="4">
        <f>1/TWD!C167</f>
        <v>3.1208161558410753E-2</v>
      </c>
      <c r="Z167" s="4">
        <f>1/ZAR!B167</f>
        <v>0.13295043607743032</v>
      </c>
      <c r="AA167" s="4">
        <f>1/ZAR!C167</f>
        <v>0.13221916649037443</v>
      </c>
    </row>
    <row r="168" spans="1:27" x14ac:dyDescent="0.25">
      <c r="A168" t="str">
        <f>"03/02/2010"</f>
        <v>03/02/2010</v>
      </c>
      <c r="B168" s="3">
        <f>AUD!B168</f>
        <v>0.88549999999999995</v>
      </c>
      <c r="C168" s="3">
        <f>AUD!C168</f>
        <v>0.88300000000000001</v>
      </c>
      <c r="D168" s="3">
        <f>1/CAD!B168</f>
        <v>0.94571590694155483</v>
      </c>
      <c r="E168" s="3">
        <f>1/CAD!C168</f>
        <v>0.94562647754137108</v>
      </c>
      <c r="F168" s="3">
        <f>EUR!B168/1</f>
        <v>1.3960999999999999</v>
      </c>
      <c r="G168" s="3">
        <f>EUR!C168/1</f>
        <v>1.3959999999999999</v>
      </c>
      <c r="H168" s="3">
        <f>GBP!B168/1</f>
        <v>1.5991</v>
      </c>
      <c r="I168" s="3">
        <f>GBP!C168/1</f>
        <v>1.5988</v>
      </c>
      <c r="J168" s="4">
        <f>1/INR!B168</f>
        <v>2.1682567215958369E-2</v>
      </c>
      <c r="K168" s="4">
        <f>1/INR!C168</f>
        <v>2.1632145368016872E-2</v>
      </c>
      <c r="L168" s="4">
        <f>1/JPY!B168</f>
        <v>1.1056993271819594E-2</v>
      </c>
      <c r="M168" s="4">
        <f>1/JPY!C168</f>
        <v>1.1058044782869762E-2</v>
      </c>
      <c r="N168" s="5">
        <f>1/KRW!B168</f>
        <v>8.6782955827475485E-4</v>
      </c>
      <c r="O168" s="5">
        <f>1/KRW!C168</f>
        <v>8.6781750839179524E-4</v>
      </c>
      <c r="P168" s="3">
        <f>1/NOK!B168</f>
        <v>0.17102787754403967</v>
      </c>
      <c r="Q168" s="3">
        <f>1/NOK!C168</f>
        <v>0.17080294464276563</v>
      </c>
      <c r="R168" s="3">
        <f>NZD!B168/1</f>
        <v>0.71089999999999998</v>
      </c>
      <c r="S168" s="3">
        <f>NZD!C168/1</f>
        <v>0.70950000000000002</v>
      </c>
      <c r="T168" s="4">
        <f>1/PHP!B168</f>
        <v>2.1612275772638856E-2</v>
      </c>
      <c r="U168" s="4">
        <f>1/PHP!C168</f>
        <v>2.1544759237315525E-2</v>
      </c>
      <c r="V168" s="4">
        <f>1/TWD!B168</f>
        <v>3.125E-2</v>
      </c>
      <c r="W168" s="4">
        <f>1/TWD!C168</f>
        <v>3.125E-2</v>
      </c>
      <c r="X168" s="4">
        <f>1/TWD!B168</f>
        <v>3.125E-2</v>
      </c>
      <c r="Y168" s="4">
        <f>1/TWD!C168</f>
        <v>3.125E-2</v>
      </c>
      <c r="Z168" s="4">
        <f>1/ZAR!B168</f>
        <v>0.13364517206815904</v>
      </c>
      <c r="AA168" s="4">
        <f>1/ZAR!C168</f>
        <v>0.13291509383805625</v>
      </c>
    </row>
    <row r="169" spans="1:27" x14ac:dyDescent="0.25">
      <c r="A169" t="str">
        <f>"04/02/2010"</f>
        <v>04/02/2010</v>
      </c>
      <c r="B169" s="3">
        <f>AUD!B169</f>
        <v>0.88180000000000003</v>
      </c>
      <c r="C169" s="3">
        <f>AUD!C169</f>
        <v>0.87929999999999997</v>
      </c>
      <c r="D169" s="3">
        <f>1/CAD!B169</f>
        <v>0.94232943837165484</v>
      </c>
      <c r="E169" s="3">
        <f>1/CAD!C169</f>
        <v>0.94232943837165484</v>
      </c>
      <c r="F169" s="3">
        <f>EUR!B169/1</f>
        <v>1.389</v>
      </c>
      <c r="G169" s="3">
        <f>EUR!C169/1</f>
        <v>1.3889</v>
      </c>
      <c r="H169" s="3">
        <f>GBP!B169/1</f>
        <v>1.5908</v>
      </c>
      <c r="I169" s="3">
        <f>GBP!C169/1</f>
        <v>1.5905</v>
      </c>
      <c r="J169" s="4">
        <f>1/INR!B169</f>
        <v>2.1706099413935316E-2</v>
      </c>
      <c r="K169" s="4">
        <f>1/INR!C169</f>
        <v>2.166260492824262E-2</v>
      </c>
      <c r="L169" s="4">
        <f>1/JPY!B169</f>
        <v>1.0997470581766193E-2</v>
      </c>
      <c r="M169" s="4">
        <f>1/JPY!C169</f>
        <v>1.0998607576280843E-2</v>
      </c>
      <c r="N169" s="5">
        <f>1/KRW!B169</f>
        <v>8.6707708315269226E-4</v>
      </c>
      <c r="O169" s="5">
        <f>1/KRW!C169</f>
        <v>8.6706543005795039E-4</v>
      </c>
      <c r="P169" s="3">
        <f>1/NOK!B169</f>
        <v>0.16993797263998639</v>
      </c>
      <c r="Q169" s="3">
        <f>1/NOK!C169</f>
        <v>0.16971877598818758</v>
      </c>
      <c r="R169" s="3">
        <f>NZD!B169/1</f>
        <v>0.69840000000000002</v>
      </c>
      <c r="S169" s="3">
        <f>NZD!C169/1</f>
        <v>0.69710000000000005</v>
      </c>
      <c r="T169" s="4">
        <f>1/PHP!B169</f>
        <v>2.1680216802168022E-2</v>
      </c>
      <c r="U169" s="4">
        <f>1/PHP!C169</f>
        <v>2.1612275772638856E-2</v>
      </c>
      <c r="V169" s="4">
        <f>1/TWD!B169</f>
        <v>3.1256837433188508E-2</v>
      </c>
      <c r="W169" s="4">
        <f>1/TWD!C169</f>
        <v>3.1256837433188508E-2</v>
      </c>
      <c r="X169" s="4">
        <f>1/TWD!B169</f>
        <v>3.1256837433188508E-2</v>
      </c>
      <c r="Y169" s="4">
        <f>1/TWD!C169</f>
        <v>3.1256837433188508E-2</v>
      </c>
      <c r="Z169" s="4">
        <f>1/ZAR!B169</f>
        <v>0.13245033112582782</v>
      </c>
      <c r="AA169" s="4">
        <f>1/ZAR!C169</f>
        <v>0.1317280080090629</v>
      </c>
    </row>
    <row r="170" spans="1:27" x14ac:dyDescent="0.25">
      <c r="A170" t="str">
        <f>"05/02/2010"</f>
        <v>05/02/2010</v>
      </c>
      <c r="B170" s="3">
        <f>AUD!B170</f>
        <v>0.86819999999999997</v>
      </c>
      <c r="C170" s="3">
        <f>AUD!C170</f>
        <v>0.86570000000000003</v>
      </c>
      <c r="D170" s="3">
        <f>1/CAD!B170</f>
        <v>0.93205331344952935</v>
      </c>
      <c r="E170" s="3">
        <f>1/CAD!C170</f>
        <v>0.93196644920782856</v>
      </c>
      <c r="F170" s="3">
        <f>EUR!B170/1</f>
        <v>1.3714999999999999</v>
      </c>
      <c r="G170" s="3">
        <f>EUR!C170/1</f>
        <v>1.3714</v>
      </c>
      <c r="H170" s="3">
        <f>GBP!B170/1</f>
        <v>1.5741000000000001</v>
      </c>
      <c r="I170" s="3">
        <f>GBP!C170/1</f>
        <v>1.5738000000000001</v>
      </c>
      <c r="J170" s="4">
        <f>1/INR!B170</f>
        <v>2.1491510853212981E-2</v>
      </c>
      <c r="K170" s="4">
        <f>1/INR!C170</f>
        <v>2.1455774285254518E-2</v>
      </c>
      <c r="L170" s="4">
        <f>1/JPY!B170</f>
        <v>1.1155734047300312E-2</v>
      </c>
      <c r="M170" s="4">
        <f>1/JPY!C170</f>
        <v>1.1156891556129762E-2</v>
      </c>
      <c r="N170" s="5">
        <f>1/KRW!B170</f>
        <v>8.5389804457347801E-4</v>
      </c>
      <c r="O170" s="5">
        <f>1/KRW!C170</f>
        <v>8.538862326385717E-4</v>
      </c>
      <c r="P170" s="3">
        <f>1/NOK!B170</f>
        <v>0.16754347753241966</v>
      </c>
      <c r="Q170" s="3">
        <f>1/NOK!C170</f>
        <v>0.16731921159187496</v>
      </c>
      <c r="R170" s="3">
        <f>NZD!B170/1</f>
        <v>0.68930000000000002</v>
      </c>
      <c r="S170" s="3">
        <f>NZD!C170/1</f>
        <v>0.68789999999999996</v>
      </c>
      <c r="T170" s="4">
        <f>1/PHP!B170</f>
        <v>2.1511158913686476E-2</v>
      </c>
      <c r="U170" s="4">
        <f>1/PHP!C170</f>
        <v>2.1441972661484857E-2</v>
      </c>
      <c r="V170" s="4">
        <f>1/TWD!B170</f>
        <v>3.1178873195522712E-2</v>
      </c>
      <c r="W170" s="4">
        <f>1/TWD!C170</f>
        <v>3.1178873195522712E-2</v>
      </c>
      <c r="X170" s="4">
        <f>1/TWD!B170</f>
        <v>3.1178873195522712E-2</v>
      </c>
      <c r="Y170" s="4">
        <f>1/TWD!C170</f>
        <v>3.1178873195522712E-2</v>
      </c>
      <c r="Z170" s="4">
        <f>1/ZAR!B170</f>
        <v>0.13053126223730585</v>
      </c>
      <c r="AA170" s="4">
        <f>1/ZAR!C170</f>
        <v>0.12981449508652138</v>
      </c>
    </row>
    <row r="171" spans="1:27" x14ac:dyDescent="0.25">
      <c r="A171" t="str">
        <f>"08/02/2010"</f>
        <v>08/02/2010</v>
      </c>
      <c r="B171" s="3">
        <f>AUD!B171</f>
        <v>0.86499999999999999</v>
      </c>
      <c r="C171" s="3">
        <f>AUD!C171</f>
        <v>0.86250000000000004</v>
      </c>
      <c r="D171" s="3">
        <f>1/CAD!B171</f>
        <v>0.93266181682521909</v>
      </c>
      <c r="E171" s="3">
        <f>1/CAD!C171</f>
        <v>0.93266181682521909</v>
      </c>
      <c r="F171" s="3">
        <f>EUR!B171/1</f>
        <v>1.3636999999999999</v>
      </c>
      <c r="G171" s="3">
        <f>EUR!C171/1</f>
        <v>1.3635999999999999</v>
      </c>
      <c r="H171" s="3">
        <f>GBP!B171/1</f>
        <v>1.5604</v>
      </c>
      <c r="I171" s="3">
        <f>GBP!C171/1</f>
        <v>1.5601</v>
      </c>
      <c r="J171" s="4">
        <f>1/INR!B171</f>
        <v>2.1393806493020272E-2</v>
      </c>
      <c r="K171" s="4">
        <f>1/INR!C171</f>
        <v>2.1354973039346539E-2</v>
      </c>
      <c r="L171" s="4">
        <f>1/JPY!B171</f>
        <v>1.1199462425803561E-2</v>
      </c>
      <c r="M171" s="4">
        <f>1/JPY!C171</f>
        <v>1.1200955217460945E-2</v>
      </c>
      <c r="N171" s="5">
        <f>1/KRW!B171</f>
        <v>8.5331512927724201E-4</v>
      </c>
      <c r="O171" s="5">
        <f>1/KRW!C171</f>
        <v>8.5330420721639372E-4</v>
      </c>
      <c r="P171" s="3">
        <f>1/NOK!B171</f>
        <v>0.16652789342214822</v>
      </c>
      <c r="Q171" s="3">
        <f>1/NOK!C171</f>
        <v>0.16631186801490153</v>
      </c>
      <c r="R171" s="3">
        <f>NZD!B171/1</f>
        <v>0.68710000000000004</v>
      </c>
      <c r="S171" s="3">
        <f>NZD!C171/1</f>
        <v>0.68579999999999997</v>
      </c>
      <c r="T171" s="4">
        <f>1/PHP!B171</f>
        <v>2.1510002151000213E-2</v>
      </c>
      <c r="U171" s="4">
        <f>1/PHP!C171</f>
        <v>2.1443122118580467E-2</v>
      </c>
      <c r="V171" s="4">
        <f>1/TWD!B171</f>
        <v>3.1141976269814086E-2</v>
      </c>
      <c r="W171" s="4">
        <f>1/TWD!C171</f>
        <v>3.1141976269814086E-2</v>
      </c>
      <c r="X171" s="4">
        <f>1/TWD!B171</f>
        <v>3.1141976269814086E-2</v>
      </c>
      <c r="Y171" s="4">
        <f>1/TWD!C171</f>
        <v>3.1141976269814086E-2</v>
      </c>
      <c r="Z171" s="4">
        <f>1/ZAR!B171</f>
        <v>0.1288244766505636</v>
      </c>
      <c r="AA171" s="4">
        <f>1/ZAR!C171</f>
        <v>0.12811479085260394</v>
      </c>
    </row>
    <row r="172" spans="1:27" x14ac:dyDescent="0.25">
      <c r="A172" t="str">
        <f>"09/02/2010"</f>
        <v>09/02/2010</v>
      </c>
      <c r="B172" s="3">
        <f>AUD!B172</f>
        <v>0.86529999999999996</v>
      </c>
      <c r="C172" s="3">
        <f>AUD!C172</f>
        <v>0.8629</v>
      </c>
      <c r="D172" s="3">
        <f>1/CAD!B172</f>
        <v>0.93083868565577588</v>
      </c>
      <c r="E172" s="3">
        <f>1/CAD!C172</f>
        <v>0.93083868565577588</v>
      </c>
      <c r="F172" s="3">
        <f>EUR!B172/1</f>
        <v>1.3671</v>
      </c>
      <c r="G172" s="3">
        <f>EUR!C172/1</f>
        <v>1.367</v>
      </c>
      <c r="H172" s="3">
        <f>GBP!B172/1</f>
        <v>1.5591999999999999</v>
      </c>
      <c r="I172" s="3">
        <f>GBP!C172/1</f>
        <v>1.5589</v>
      </c>
      <c r="J172" s="4">
        <f>1/INR!B172</f>
        <v>2.137208805300278E-2</v>
      </c>
      <c r="K172" s="4">
        <f>1/INR!C172</f>
        <v>2.1333333333333333E-2</v>
      </c>
      <c r="L172" s="4">
        <f>1/JPY!B172</f>
        <v>1.11781801922647E-2</v>
      </c>
      <c r="M172" s="4">
        <f>1/JPY!C172</f>
        <v>1.1178954946575774E-2</v>
      </c>
      <c r="N172" s="5">
        <f>1/KRW!B172</f>
        <v>8.5631101215961642E-4</v>
      </c>
      <c r="O172" s="5">
        <f>1/KRW!C172</f>
        <v>8.5629825347695635E-4</v>
      </c>
      <c r="P172" s="3">
        <f>1/NOK!B172</f>
        <v>0.16738923017693041</v>
      </c>
      <c r="Q172" s="3">
        <f>1/NOK!C172</f>
        <v>0.16717655515990437</v>
      </c>
      <c r="R172" s="3">
        <f>NZD!B172/1</f>
        <v>0.68459999999999999</v>
      </c>
      <c r="S172" s="3">
        <f>NZD!C172/1</f>
        <v>0.68330000000000002</v>
      </c>
      <c r="T172" s="4">
        <f>1/PHP!B172</f>
        <v>2.1436227224008574E-2</v>
      </c>
      <c r="U172" s="4">
        <f>1/PHP!C172</f>
        <v>2.1362956633198035E-2</v>
      </c>
      <c r="V172" s="4">
        <f>1/TWD!B172</f>
        <v>3.114294612270321E-2</v>
      </c>
      <c r="W172" s="4">
        <f>1/TWD!C172</f>
        <v>3.114294612270321E-2</v>
      </c>
      <c r="X172" s="4">
        <f>1/TWD!B172</f>
        <v>3.114294612270321E-2</v>
      </c>
      <c r="Y172" s="4">
        <f>1/TWD!C172</f>
        <v>3.114294612270321E-2</v>
      </c>
      <c r="Z172" s="4">
        <f>1/ZAR!B172</f>
        <v>0.12903225806451613</v>
      </c>
      <c r="AA172" s="4">
        <f>1/ZAR!C172</f>
        <v>0.12832358074119701</v>
      </c>
    </row>
    <row r="173" spans="1:27" x14ac:dyDescent="0.25">
      <c r="A173" t="str">
        <f>"10/02/2010"</f>
        <v>10/02/2010</v>
      </c>
      <c r="B173" s="3">
        <f>AUD!B173</f>
        <v>0.87439999999999996</v>
      </c>
      <c r="C173" s="3">
        <f>AUD!C173</f>
        <v>0.87190000000000001</v>
      </c>
      <c r="D173" s="3">
        <f>1/CAD!B173</f>
        <v>0.93562874251497008</v>
      </c>
      <c r="E173" s="3">
        <f>1/CAD!C173</f>
        <v>0.93554121059032658</v>
      </c>
      <c r="F173" s="3">
        <f>EUR!B173/1</f>
        <v>1.3754</v>
      </c>
      <c r="G173" s="3">
        <f>EUR!C173/1</f>
        <v>1.3754</v>
      </c>
      <c r="H173" s="3">
        <f>GBP!B173/1</f>
        <v>1.5669</v>
      </c>
      <c r="I173" s="3">
        <f>GBP!C173/1</f>
        <v>1.5666</v>
      </c>
      <c r="J173" s="4">
        <f>1/INR!B173</f>
        <v>2.1486892995272885E-2</v>
      </c>
      <c r="K173" s="4">
        <f>1/INR!C173</f>
        <v>2.1440823327615779E-2</v>
      </c>
      <c r="L173" s="4">
        <f>1/JPY!B173</f>
        <v>1.1143302874972142E-2</v>
      </c>
      <c r="M173" s="4">
        <f>1/JPY!C173</f>
        <v>1.1144731049777942E-2</v>
      </c>
      <c r="N173" s="5">
        <f>1/KRW!B173</f>
        <v>8.6206896551724137E-4</v>
      </c>
      <c r="O173" s="5">
        <f>1/KRW!C173</f>
        <v>8.6205744664618711E-4</v>
      </c>
      <c r="P173" s="3">
        <f>1/NOK!B173</f>
        <v>0.16888753778858659</v>
      </c>
      <c r="Q173" s="3">
        <f>1/NOK!C173</f>
        <v>0.16867104086899321</v>
      </c>
      <c r="R173" s="3">
        <f>NZD!B173/1</f>
        <v>0.69320000000000004</v>
      </c>
      <c r="S173" s="3">
        <f>NZD!C173/1</f>
        <v>0.69179999999999997</v>
      </c>
      <c r="T173" s="4">
        <f>1/PHP!B173</f>
        <v>2.1561017680034496E-2</v>
      </c>
      <c r="U173" s="4">
        <f>1/PHP!C173</f>
        <v>2.1497517036782252E-2</v>
      </c>
      <c r="V173" s="4">
        <f>1/TWD!B173</f>
        <v>3.1203195207189213E-2</v>
      </c>
      <c r="W173" s="4">
        <f>1/TWD!C173</f>
        <v>3.1203195207189213E-2</v>
      </c>
      <c r="X173" s="4">
        <f>1/TWD!B173</f>
        <v>3.1203195207189213E-2</v>
      </c>
      <c r="Y173" s="4">
        <f>1/TWD!C173</f>
        <v>3.1203195207189213E-2</v>
      </c>
      <c r="Z173" s="4">
        <f>1/ZAR!B173</f>
        <v>0.12965964343598055</v>
      </c>
      <c r="AA173" s="4">
        <f>1/ZAR!C173</f>
        <v>0.12894740235457958</v>
      </c>
    </row>
    <row r="174" spans="1:27" x14ac:dyDescent="0.25">
      <c r="A174" t="str">
        <f>"11/02/2010"</f>
        <v>11/02/2010</v>
      </c>
      <c r="B174" s="3">
        <f>AUD!B174</f>
        <v>0.88700000000000001</v>
      </c>
      <c r="C174" s="3">
        <f>AUD!C174</f>
        <v>0.88439999999999996</v>
      </c>
      <c r="D174" s="3">
        <f>1/CAD!B174</f>
        <v>0.94384143463898051</v>
      </c>
      <c r="E174" s="3">
        <f>1/CAD!C174</f>
        <v>0.94375235938089841</v>
      </c>
      <c r="F174" s="3">
        <f>EUR!B174/1</f>
        <v>1.3779999999999999</v>
      </c>
      <c r="G174" s="3">
        <f>EUR!C174/1</f>
        <v>1.3778999999999999</v>
      </c>
      <c r="H174" s="3">
        <f>GBP!B174/1</f>
        <v>1.5631999999999999</v>
      </c>
      <c r="I174" s="3">
        <f>GBP!C174/1</f>
        <v>1.5628</v>
      </c>
      <c r="J174" s="4">
        <f>1/INR!B174</f>
        <v>2.1528525296017221E-2</v>
      </c>
      <c r="K174" s="4">
        <f>1/INR!C174</f>
        <v>2.1481123462757101E-2</v>
      </c>
      <c r="L174" s="4">
        <f>1/JPY!B174</f>
        <v>1.1122233344455567E-2</v>
      </c>
      <c r="M174" s="4">
        <f>1/JPY!C174</f>
        <v>1.1123668496880923E-2</v>
      </c>
      <c r="N174" s="5">
        <f>1/KRW!B174</f>
        <v>8.6400552963538963E-4</v>
      </c>
      <c r="O174" s="5">
        <f>1/KRW!C174</f>
        <v>8.639939589542389E-4</v>
      </c>
      <c r="P174" s="3">
        <f>1/NOK!B174</f>
        <v>0.16956912485374662</v>
      </c>
      <c r="Q174" s="3">
        <f>1/NOK!C174</f>
        <v>0.16935087808430288</v>
      </c>
      <c r="R174" s="3">
        <f>NZD!B174/1</f>
        <v>0.69769999999999999</v>
      </c>
      <c r="S174" s="3">
        <f>NZD!C174/1</f>
        <v>0.69630000000000003</v>
      </c>
      <c r="T174" s="4">
        <f>1/PHP!B174</f>
        <v>2.1561017680034496E-2</v>
      </c>
      <c r="U174" s="4">
        <f>1/PHP!C174</f>
        <v>2.1497517036782252E-2</v>
      </c>
      <c r="V174" s="4">
        <f>1/TWD!B174</f>
        <v>3.1188597448772726E-2</v>
      </c>
      <c r="W174" s="4">
        <f>1/TWD!C174</f>
        <v>3.1188694721937193E-2</v>
      </c>
      <c r="X174" s="4">
        <f>1/TWD!B174</f>
        <v>3.1188597448772726E-2</v>
      </c>
      <c r="Y174" s="4">
        <f>1/TWD!C174</f>
        <v>3.1188694721937193E-2</v>
      </c>
      <c r="Z174" s="4">
        <f>1/ZAR!B174</f>
        <v>0.12990049621989555</v>
      </c>
      <c r="AA174" s="4">
        <f>1/ZAR!C174</f>
        <v>0.1291822761917065</v>
      </c>
    </row>
    <row r="175" spans="1:27" x14ac:dyDescent="0.25">
      <c r="A175" t="str">
        <f>"15/02/2010"</f>
        <v>15/02/2010</v>
      </c>
      <c r="B175" s="3">
        <f>AUD!B175</f>
        <v>0.88780000000000003</v>
      </c>
      <c r="C175" s="3">
        <f>AUD!C175</f>
        <v>0.88519999999999999</v>
      </c>
      <c r="D175" s="3">
        <f>1/CAD!B175</f>
        <v>0.9516558812333461</v>
      </c>
      <c r="E175" s="3">
        <f>1/CAD!C175</f>
        <v>0.95156532495955848</v>
      </c>
      <c r="F175" s="3">
        <f>EUR!B175/1</f>
        <v>1.3608</v>
      </c>
      <c r="G175" s="3">
        <f>EUR!C175/1</f>
        <v>1.3608</v>
      </c>
      <c r="H175" s="3">
        <f>GBP!B175/1</f>
        <v>1.5657000000000001</v>
      </c>
      <c r="I175" s="3">
        <f>GBP!C175/1</f>
        <v>1.5652999999999999</v>
      </c>
      <c r="J175" s="4">
        <f>1/INR!B175</f>
        <v>2.1552885392531924E-2</v>
      </c>
      <c r="K175" s="4">
        <f>1/INR!C175</f>
        <v>2.1511158913686476E-2</v>
      </c>
      <c r="L175" s="4">
        <f>1/JPY!B175</f>
        <v>1.1091393078970719E-2</v>
      </c>
      <c r="M175" s="4">
        <f>1/JPY!C175</f>
        <v>1.109291872440309E-2</v>
      </c>
      <c r="N175" s="5">
        <f>1/KRW!B175</f>
        <v>8.649770781074302E-4</v>
      </c>
      <c r="O175" s="5">
        <f>1/KRW!C175</f>
        <v>8.6495612942511565E-4</v>
      </c>
      <c r="P175" s="3">
        <f>1/NOK!B175</f>
        <v>0.1686226898691488</v>
      </c>
      <c r="Q175" s="3">
        <f>1/NOK!C175</f>
        <v>0.16840970713551928</v>
      </c>
      <c r="R175" s="3">
        <f>NZD!B175/1</f>
        <v>0.69740000000000002</v>
      </c>
      <c r="S175" s="3">
        <f>NZD!C175/1</f>
        <v>0.69599999999999995</v>
      </c>
      <c r="T175" s="4">
        <f>1/PHP!B175</f>
        <v>2.159057787181674E-2</v>
      </c>
      <c r="U175" s="4">
        <f>1/PHP!C175</f>
        <v>2.1526903247333355E-2</v>
      </c>
      <c r="V175" s="4">
        <f>1/TWD!B175</f>
        <v>3.1133250311332506E-2</v>
      </c>
      <c r="W175" s="4">
        <f>1/TWD!C175</f>
        <v>3.1133250311332506E-2</v>
      </c>
      <c r="X175" s="4">
        <f>1/TWD!B175</f>
        <v>3.1133250311332506E-2</v>
      </c>
      <c r="Y175" s="4">
        <f>1/TWD!C175</f>
        <v>3.1133250311332506E-2</v>
      </c>
      <c r="Z175" s="4">
        <f>1/ZAR!B175</f>
        <v>0.12976059170829818</v>
      </c>
      <c r="AA175" s="4">
        <f>1/ZAR!C175</f>
        <v>0.12904890953671441</v>
      </c>
    </row>
    <row r="176" spans="1:27" x14ac:dyDescent="0.25">
      <c r="A176" t="str">
        <f>"16/02/2010"</f>
        <v>16/02/2010</v>
      </c>
      <c r="B176" s="3">
        <f>AUD!B176</f>
        <v>0.89119999999999999</v>
      </c>
      <c r="C176" s="3">
        <f>AUD!C176</f>
        <v>0.88859999999999995</v>
      </c>
      <c r="D176" s="3">
        <f>1/CAD!B176</f>
        <v>0.95365248903299638</v>
      </c>
      <c r="E176" s="3">
        <f>1/CAD!C176</f>
        <v>0.95356155239820739</v>
      </c>
      <c r="F176" s="3">
        <f>EUR!B176/1</f>
        <v>1.3627</v>
      </c>
      <c r="G176" s="3">
        <f>EUR!C176/1</f>
        <v>1.3626</v>
      </c>
      <c r="H176" s="3">
        <f>GBP!B176/1</f>
        <v>1.5683</v>
      </c>
      <c r="I176" s="3">
        <f>GBP!C176/1</f>
        <v>1.5680000000000001</v>
      </c>
      <c r="J176" s="4">
        <f>1/INR!B176</f>
        <v>2.1628636314480372E-2</v>
      </c>
      <c r="K176" s="4">
        <f>1/INR!C176</f>
        <v>2.1591277124041887E-2</v>
      </c>
      <c r="L176" s="4">
        <f>1/JPY!B176</f>
        <v>1.1112345816201801E-2</v>
      </c>
      <c r="M176" s="4">
        <f>1/JPY!C176</f>
        <v>1.1113704308783161E-2</v>
      </c>
      <c r="N176" s="5">
        <f>1/KRW!B176</f>
        <v>8.6737791655824435E-4</v>
      </c>
      <c r="O176" s="5">
        <f>1/KRW!C176</f>
        <v>8.6736550305247602E-4</v>
      </c>
      <c r="P176" s="3">
        <f>1/NOK!B176</f>
        <v>0.16904456014605448</v>
      </c>
      <c r="Q176" s="3">
        <f>1/NOK!C176</f>
        <v>0.16882481049415021</v>
      </c>
      <c r="R176" s="3">
        <f>NZD!B176/1</f>
        <v>0.69930000000000003</v>
      </c>
      <c r="S176" s="3">
        <f>NZD!C176/1</f>
        <v>0.69789999999999996</v>
      </c>
      <c r="T176" s="4">
        <f>1/PHP!B176</f>
        <v>2.1659085986571364E-2</v>
      </c>
      <c r="U176" s="4">
        <f>1/PHP!C176</f>
        <v>2.1592209530801286E-2</v>
      </c>
      <c r="V176" s="4">
        <f>1/TWD!B176</f>
        <v>3.1133250311332506E-2</v>
      </c>
      <c r="W176" s="4">
        <f>1/TWD!C176</f>
        <v>3.1133250311332506E-2</v>
      </c>
      <c r="X176" s="4">
        <f>1/TWD!B176</f>
        <v>3.1133250311332506E-2</v>
      </c>
      <c r="Y176" s="4">
        <f>1/TWD!C176</f>
        <v>3.1133250311332506E-2</v>
      </c>
      <c r="Z176" s="4">
        <f>1/ZAR!B176</f>
        <v>0.12940795858945325</v>
      </c>
      <c r="AA176" s="4">
        <f>1/ZAR!C176</f>
        <v>0.12863887209436947</v>
      </c>
    </row>
    <row r="177" spans="1:27" x14ac:dyDescent="0.25">
      <c r="A177" t="str">
        <f>"17/02/2010"</f>
        <v>17/02/2010</v>
      </c>
      <c r="B177" s="3">
        <f>AUD!B177</f>
        <v>0.90029999999999999</v>
      </c>
      <c r="C177" s="3">
        <f>AUD!C177</f>
        <v>0.89770000000000005</v>
      </c>
      <c r="D177" s="3">
        <f>1/CAD!B177</f>
        <v>0.95702938080199063</v>
      </c>
      <c r="E177" s="3">
        <f>1/CAD!C177</f>
        <v>0.95693779904306231</v>
      </c>
      <c r="F177" s="3">
        <f>EUR!B177/1</f>
        <v>1.3766</v>
      </c>
      <c r="G177" s="3">
        <f>EUR!C177/1</f>
        <v>1.3765000000000001</v>
      </c>
      <c r="H177" s="3">
        <f>GBP!B177/1</f>
        <v>1.5769</v>
      </c>
      <c r="I177" s="3">
        <f>GBP!C177/1</f>
        <v>1.5766</v>
      </c>
      <c r="J177" s="4">
        <f>1/INR!B177</f>
        <v>2.1739130434782608E-2</v>
      </c>
      <c r="K177" s="4">
        <f>1/INR!C177</f>
        <v>2.1702566328468342E-2</v>
      </c>
      <c r="L177" s="4">
        <f>1/JPY!B177</f>
        <v>1.1074074484224981E-2</v>
      </c>
      <c r="M177" s="4">
        <f>1/JPY!C177</f>
        <v>1.10753868355737E-2</v>
      </c>
      <c r="N177" s="5">
        <f>1/KRW!B177</f>
        <v>8.7535014005602233E-4</v>
      </c>
      <c r="O177" s="5">
        <f>1/KRW!C177</f>
        <v>8.7533749731380798E-4</v>
      </c>
      <c r="P177" s="3">
        <f>1/NOK!B177</f>
        <v>0.17081461489845071</v>
      </c>
      <c r="Q177" s="3">
        <f>1/NOK!C177</f>
        <v>0.17059606264287422</v>
      </c>
      <c r="R177" s="3">
        <f>NZD!B177/1</f>
        <v>0.7046</v>
      </c>
      <c r="S177" s="3">
        <f>NZD!C177/1</f>
        <v>0.70320000000000005</v>
      </c>
      <c r="T177" s="4">
        <f>1/PHP!B177</f>
        <v>2.1758050478677109E-2</v>
      </c>
      <c r="U177" s="4">
        <f>1/PHP!C177</f>
        <v>2.169432693350689E-2</v>
      </c>
      <c r="V177" s="4">
        <f>1/TWD!B177</f>
        <v>3.119151590767311E-2</v>
      </c>
      <c r="W177" s="4">
        <f>1/TWD!C177</f>
        <v>3.119151590767311E-2</v>
      </c>
      <c r="X177" s="4">
        <f>1/TWD!B177</f>
        <v>3.119151590767311E-2</v>
      </c>
      <c r="Y177" s="4">
        <f>1/TWD!C177</f>
        <v>3.119151590767311E-2</v>
      </c>
      <c r="Z177" s="4">
        <f>1/ZAR!B177</f>
        <v>0.13046314416177429</v>
      </c>
      <c r="AA177" s="4">
        <f>1/ZAR!C177</f>
        <v>0.12975048980809903</v>
      </c>
    </row>
    <row r="178" spans="1:27" x14ac:dyDescent="0.25">
      <c r="A178" t="str">
        <f>"18/02/2010"</f>
        <v>18/02/2010</v>
      </c>
      <c r="B178" s="3">
        <f>AUD!B178</f>
        <v>0.89549999999999996</v>
      </c>
      <c r="C178" s="3">
        <f>AUD!C178</f>
        <v>0.89290000000000003</v>
      </c>
      <c r="D178" s="3">
        <f>1/CAD!B178</f>
        <v>0.95401640908223617</v>
      </c>
      <c r="E178" s="3">
        <f>1/CAD!C178</f>
        <v>0.95392540303348272</v>
      </c>
      <c r="F178" s="3">
        <f>EUR!B178/1</f>
        <v>1.3572</v>
      </c>
      <c r="G178" s="3">
        <f>EUR!C178/1</f>
        <v>1.3571</v>
      </c>
      <c r="H178" s="3">
        <f>GBP!B178/1</f>
        <v>1.5661</v>
      </c>
      <c r="I178" s="3">
        <f>GBP!C178/1</f>
        <v>1.5658000000000001</v>
      </c>
      <c r="J178" s="4">
        <f>1/INR!B178</f>
        <v>2.1646192975810382E-2</v>
      </c>
      <c r="K178" s="4">
        <f>1/INR!C178</f>
        <v>2.1614611477358693E-2</v>
      </c>
      <c r="L178" s="4">
        <f>1/JPY!B178</f>
        <v>1.0996261271167804E-2</v>
      </c>
      <c r="M178" s="4">
        <f>1/JPY!C178</f>
        <v>1.0997555243469377E-2</v>
      </c>
      <c r="N178" s="5">
        <f>1/KRW!B178</f>
        <v>8.6998129540214885E-4</v>
      </c>
      <c r="O178" s="5">
        <f>1/KRW!C178</f>
        <v>8.6996472032069684E-4</v>
      </c>
      <c r="P178" s="3">
        <f>1/NOK!B178</f>
        <v>0.1693623507494284</v>
      </c>
      <c r="Q178" s="3">
        <f>1/NOK!C178</f>
        <v>0.16914749661705006</v>
      </c>
      <c r="R178" s="3">
        <f>NZD!B178/1</f>
        <v>0.70020000000000004</v>
      </c>
      <c r="S178" s="3">
        <f>NZD!C178/1</f>
        <v>0.69879999999999998</v>
      </c>
      <c r="T178" s="4">
        <f>1/PHP!B178</f>
        <v>2.1680216802168022E-2</v>
      </c>
      <c r="U178" s="4">
        <f>1/PHP!C178</f>
        <v>2.161601314253599E-2</v>
      </c>
      <c r="V178" s="4">
        <f>1/TWD!B178</f>
        <v>3.1201248049921998E-2</v>
      </c>
      <c r="W178" s="4">
        <f>1/TWD!C178</f>
        <v>3.1201248049921998E-2</v>
      </c>
      <c r="X178" s="4">
        <f>1/TWD!B178</f>
        <v>3.1201248049921998E-2</v>
      </c>
      <c r="Y178" s="4">
        <f>1/TWD!C178</f>
        <v>3.1201248049921998E-2</v>
      </c>
      <c r="Z178" s="4">
        <f>1/ZAR!B178</f>
        <v>0.13060798014758701</v>
      </c>
      <c r="AA178" s="4">
        <f>1/ZAR!C178</f>
        <v>0.12990555865885503</v>
      </c>
    </row>
    <row r="179" spans="1:27" x14ac:dyDescent="0.25">
      <c r="A179" t="str">
        <f>"19/02/2010"</f>
        <v>19/02/2010</v>
      </c>
      <c r="B179" s="3">
        <f>AUD!B179</f>
        <v>0.8911</v>
      </c>
      <c r="C179" s="3">
        <f>AUD!C179</f>
        <v>0.88849999999999996</v>
      </c>
      <c r="D179" s="3">
        <f>1/CAD!B179</f>
        <v>0.95292548122736787</v>
      </c>
      <c r="E179" s="3">
        <f>1/CAD!C179</f>
        <v>0.95283468318246778</v>
      </c>
      <c r="F179" s="3">
        <f>EUR!B179/1</f>
        <v>1.3482000000000001</v>
      </c>
      <c r="G179" s="3">
        <f>EUR!C179/1</f>
        <v>1.3481000000000001</v>
      </c>
      <c r="H179" s="3">
        <f>GBP!B179/1</f>
        <v>1.5424</v>
      </c>
      <c r="I179" s="3">
        <f>GBP!C179/1</f>
        <v>1.5421</v>
      </c>
      <c r="J179" s="4">
        <f>1/INR!B179</f>
        <v>2.1537798836958864E-2</v>
      </c>
      <c r="K179" s="4">
        <f>1/INR!C179</f>
        <v>2.1504220203214883E-2</v>
      </c>
      <c r="L179" s="4">
        <f>1/JPY!B179</f>
        <v>1.0903936321011887E-2</v>
      </c>
      <c r="M179" s="4">
        <f>1/JPY!C179</f>
        <v>1.0905470292953648E-2</v>
      </c>
      <c r="N179" s="5">
        <f>1/KRW!B179</f>
        <v>8.6490226604393696E-4</v>
      </c>
      <c r="O179" s="5">
        <f>1/KRW!C179</f>
        <v>8.6489141936898389E-4</v>
      </c>
      <c r="P179" s="3">
        <f>1/NOK!B179</f>
        <v>0.16663611671193615</v>
      </c>
      <c r="Q179" s="3">
        <f>1/NOK!C179</f>
        <v>0.16642811969510368</v>
      </c>
      <c r="R179" s="3">
        <f>NZD!B179/1</f>
        <v>0.69620000000000004</v>
      </c>
      <c r="S179" s="3">
        <f>NZD!C179/1</f>
        <v>0.69489999999999996</v>
      </c>
      <c r="T179" s="4">
        <f>1/PHP!B179</f>
        <v>2.1591277124041887E-2</v>
      </c>
      <c r="U179" s="4">
        <f>1/PHP!C179</f>
        <v>2.152667154604555E-2</v>
      </c>
      <c r="V179" s="4">
        <f>1/TWD!B179</f>
        <v>3.116235587410408E-2</v>
      </c>
      <c r="W179" s="4">
        <f>1/TWD!C179</f>
        <v>3.116235587410408E-2</v>
      </c>
      <c r="X179" s="4">
        <f>1/TWD!B179</f>
        <v>3.116235587410408E-2</v>
      </c>
      <c r="Y179" s="4">
        <f>1/TWD!C179</f>
        <v>3.116235587410408E-2</v>
      </c>
      <c r="Z179" s="4">
        <f>1/ZAR!B179</f>
        <v>0.13020833333333334</v>
      </c>
      <c r="AA179" s="4">
        <f>1/ZAR!C179</f>
        <v>0.12948671466307557</v>
      </c>
    </row>
    <row r="180" spans="1:27" x14ac:dyDescent="0.25">
      <c r="A180" t="str">
        <f>"22/02/2010"</f>
        <v>22/02/2010</v>
      </c>
      <c r="B180" s="3">
        <f>AUD!B180</f>
        <v>0.90200000000000002</v>
      </c>
      <c r="C180" s="3">
        <f>AUD!C180</f>
        <v>0.89939999999999998</v>
      </c>
      <c r="D180" s="3">
        <f>1/CAD!B180</f>
        <v>0.9634839579920994</v>
      </c>
      <c r="E180" s="3">
        <f>1/CAD!C180</f>
        <v>0.9634839579920994</v>
      </c>
      <c r="F180" s="3">
        <f>EUR!B180/1</f>
        <v>1.3648</v>
      </c>
      <c r="G180" s="3">
        <f>EUR!C180/1</f>
        <v>1.3647</v>
      </c>
      <c r="H180" s="3">
        <f>GBP!B180/1</f>
        <v>1.5492999999999999</v>
      </c>
      <c r="I180" s="3">
        <f>GBP!C180/1</f>
        <v>1.5489999999999999</v>
      </c>
      <c r="J180" s="4">
        <f>1/INR!B180</f>
        <v>2.169668040789759E-2</v>
      </c>
      <c r="K180" s="4">
        <f>1/INR!C180</f>
        <v>2.165087956698241E-2</v>
      </c>
      <c r="L180" s="4">
        <f>1/JPY!B180</f>
        <v>1.0912265386294195E-2</v>
      </c>
      <c r="M180" s="4">
        <f>1/JPY!C180</f>
        <v>1.0913670682169899E-2</v>
      </c>
      <c r="N180" s="5">
        <f>1/KRW!B180</f>
        <v>8.7100426792091287E-4</v>
      </c>
      <c r="O180" s="5">
        <f>1/KRW!C180</f>
        <v>8.7098378489487661E-4</v>
      </c>
      <c r="P180" s="3">
        <f>1/NOK!B180</f>
        <v>0.1689388948017502</v>
      </c>
      <c r="Q180" s="3">
        <f>1/NOK!C180</f>
        <v>0.16872226627748063</v>
      </c>
      <c r="R180" s="3">
        <f>NZD!B180/1</f>
        <v>0.70299999999999996</v>
      </c>
      <c r="S180" s="3">
        <f>NZD!C180/1</f>
        <v>0.7016</v>
      </c>
      <c r="T180" s="4">
        <f>1/PHP!B180</f>
        <v>2.1682567215958369E-2</v>
      </c>
      <c r="U180" s="4">
        <f>1/PHP!C180</f>
        <v>2.1619284401686301E-2</v>
      </c>
      <c r="V180" s="4">
        <f>1/TWD!B180</f>
        <v>3.1238285642883917E-2</v>
      </c>
      <c r="W180" s="4">
        <f>1/TWD!C180</f>
        <v>3.1238383226237745E-2</v>
      </c>
      <c r="X180" s="4">
        <f>1/TWD!B180</f>
        <v>3.1238285642883917E-2</v>
      </c>
      <c r="Y180" s="4">
        <f>1/TWD!C180</f>
        <v>3.1238383226237745E-2</v>
      </c>
      <c r="Z180" s="4">
        <f>1/ZAR!B180</f>
        <v>0.13089861901956934</v>
      </c>
      <c r="AA180" s="4">
        <f>1/ZAR!C180</f>
        <v>0.13019646646790006</v>
      </c>
    </row>
    <row r="181" spans="1:27" x14ac:dyDescent="0.25">
      <c r="A181" t="str">
        <f>"23/02/2010"</f>
        <v>23/02/2010</v>
      </c>
      <c r="B181" s="3">
        <f>AUD!B181</f>
        <v>0.89910000000000001</v>
      </c>
      <c r="C181" s="3">
        <f>AUD!C181</f>
        <v>0.89649999999999996</v>
      </c>
      <c r="D181" s="3">
        <f>1/CAD!B181</f>
        <v>0.9584052137243626</v>
      </c>
      <c r="E181" s="3">
        <f>1/CAD!C181</f>
        <v>0.95831336847149007</v>
      </c>
      <c r="F181" s="3">
        <f>EUR!B181/1</f>
        <v>1.3608</v>
      </c>
      <c r="G181" s="3">
        <f>EUR!C181/1</f>
        <v>1.3607</v>
      </c>
      <c r="H181" s="3">
        <f>GBP!B181/1</f>
        <v>1.5508</v>
      </c>
      <c r="I181" s="3">
        <f>GBP!C181/1</f>
        <v>1.5505</v>
      </c>
      <c r="J181" s="4">
        <f>1/INR!B181</f>
        <v>2.1628636314480372E-2</v>
      </c>
      <c r="K181" s="4">
        <f>1/INR!C181</f>
        <v>2.158894645941278E-2</v>
      </c>
      <c r="L181" s="4">
        <f>1/JPY!B181</f>
        <v>1.0986596352450011E-2</v>
      </c>
      <c r="M181" s="4">
        <f>1/JPY!C181</f>
        <v>1.09880208596588E-2</v>
      </c>
      <c r="N181" s="5">
        <f>1/KRW!B181</f>
        <v>8.6805555555555551E-4</v>
      </c>
      <c r="O181" s="5">
        <f>1/KRW!C181</f>
        <v>8.6801697702324333E-4</v>
      </c>
      <c r="P181" s="3">
        <f>1/NOK!B181</f>
        <v>0.16927920912753497</v>
      </c>
      <c r="Q181" s="3">
        <f>1/NOK!C181</f>
        <v>0.16906170752324598</v>
      </c>
      <c r="R181" s="3">
        <f>NZD!B181/1</f>
        <v>0.70079999999999998</v>
      </c>
      <c r="S181" s="3">
        <f>NZD!C181/1</f>
        <v>0.69950000000000001</v>
      </c>
      <c r="T181" s="4">
        <f>1/PHP!B181</f>
        <v>2.1647364433380237E-2</v>
      </c>
      <c r="U181" s="4">
        <f>1/PHP!C181</f>
        <v>2.1585684374123084E-2</v>
      </c>
      <c r="V181" s="4">
        <f>1/TWD!B181</f>
        <v>3.1198327769631551E-2</v>
      </c>
      <c r="W181" s="4">
        <f>1/TWD!C181</f>
        <v>3.1198327769631551E-2</v>
      </c>
      <c r="X181" s="4">
        <f>1/TWD!B181</f>
        <v>3.1198327769631551E-2</v>
      </c>
      <c r="Y181" s="4">
        <f>1/TWD!C181</f>
        <v>3.1198327769631551E-2</v>
      </c>
      <c r="Z181" s="4">
        <f>1/ZAR!B181</f>
        <v>0.12919896640826872</v>
      </c>
      <c r="AA181" s="4">
        <f>1/ZAR!C181</f>
        <v>0.12851653365205434</v>
      </c>
    </row>
    <row r="182" spans="1:27" x14ac:dyDescent="0.25">
      <c r="A182" t="str">
        <f>"24/02/2010"</f>
        <v>24/02/2010</v>
      </c>
      <c r="B182" s="3">
        <f>AUD!B182</f>
        <v>0.89339999999999997</v>
      </c>
      <c r="C182" s="3">
        <f>AUD!C182</f>
        <v>0.89049999999999996</v>
      </c>
      <c r="D182" s="3">
        <f>1/CAD!B182</f>
        <v>0.94885662776354485</v>
      </c>
      <c r="E182" s="3">
        <f>1/CAD!C182</f>
        <v>0.94876660341555974</v>
      </c>
      <c r="F182" s="3">
        <f>EUR!B182/1</f>
        <v>1.3545</v>
      </c>
      <c r="G182" s="3">
        <f>EUR!C182/1</f>
        <v>1.3544</v>
      </c>
      <c r="H182" s="3">
        <f>GBP!B182/1</f>
        <v>1.5455000000000001</v>
      </c>
      <c r="I182" s="3">
        <f>GBP!C182/1</f>
        <v>1.5450999999999999</v>
      </c>
      <c r="J182" s="4">
        <f>1/INR!B182</f>
        <v>2.1605271686291457E-2</v>
      </c>
      <c r="K182" s="4">
        <f>1/INR!C182</f>
        <v>2.1595939963286903E-2</v>
      </c>
      <c r="L182" s="4">
        <f>1/JPY!B182</f>
        <v>1.1079104808331486E-2</v>
      </c>
      <c r="M182" s="4">
        <f>1/JPY!C182</f>
        <v>1.1080921755395301E-2</v>
      </c>
      <c r="N182" s="5">
        <f>1/KRW!B182</f>
        <v>8.6636343946285466E-4</v>
      </c>
      <c r="O182" s="5">
        <f>1/KRW!C182</f>
        <v>8.663506796954257E-4</v>
      </c>
      <c r="P182" s="3">
        <f>1/NOK!B182</f>
        <v>0.16821140809769719</v>
      </c>
      <c r="Q182" s="3">
        <f>1/NOK!C182</f>
        <v>0.16796277944807431</v>
      </c>
      <c r="R182" s="3">
        <f>NZD!B182/1</f>
        <v>0.69440000000000002</v>
      </c>
      <c r="S182" s="3">
        <f>NZD!C182/1</f>
        <v>0.69289999999999996</v>
      </c>
      <c r="T182" s="4">
        <f>1/PHP!B182</f>
        <v>2.1673168617251843E-2</v>
      </c>
      <c r="U182" s="4">
        <f>1/PHP!C182</f>
        <v>2.1612275772638856E-2</v>
      </c>
      <c r="V182" s="4">
        <f>1/TWD!B182</f>
        <v>3.1206116398814165E-2</v>
      </c>
      <c r="W182" s="4">
        <f>1/TWD!C182</f>
        <v>3.1206213781288131E-2</v>
      </c>
      <c r="X182" s="4">
        <f>1/TWD!B182</f>
        <v>3.1206116398814165E-2</v>
      </c>
      <c r="Y182" s="4">
        <f>1/TWD!C182</f>
        <v>3.1206213781288131E-2</v>
      </c>
      <c r="Z182" s="4">
        <f>1/ZAR!B182</f>
        <v>0.12857767377272611</v>
      </c>
      <c r="AA182" s="4">
        <f>1/ZAR!C182</f>
        <v>0.1279001355741437</v>
      </c>
    </row>
    <row r="183" spans="1:27" x14ac:dyDescent="0.25">
      <c r="A183" t="str">
        <f>"25/02/2010"</f>
        <v>25/02/2010</v>
      </c>
      <c r="B183" s="3">
        <f>AUD!B183</f>
        <v>0.89039999999999997</v>
      </c>
      <c r="C183" s="3">
        <f>AUD!C183</f>
        <v>0.88749999999999996</v>
      </c>
      <c r="D183" s="3">
        <f>1/CAD!B183</f>
        <v>0.94705938062316497</v>
      </c>
      <c r="E183" s="3">
        <f>1/CAD!C183</f>
        <v>0.94696969696969691</v>
      </c>
      <c r="F183" s="3">
        <f>EUR!B183/1</f>
        <v>1.3482000000000001</v>
      </c>
      <c r="G183" s="3">
        <f>EUR!C183/1</f>
        <v>1.3481000000000001</v>
      </c>
      <c r="H183" s="3">
        <f>GBP!B183/1</f>
        <v>1.5364</v>
      </c>
      <c r="I183" s="3">
        <f>GBP!C183/1</f>
        <v>1.5361</v>
      </c>
      <c r="J183" s="4">
        <f>1/INR!B183</f>
        <v>2.1573809395393991E-2</v>
      </c>
      <c r="K183" s="4">
        <f>1/INR!C183</f>
        <v>2.1520417496099425E-2</v>
      </c>
      <c r="L183" s="4">
        <f>1/JPY!B183</f>
        <v>1.1154489682097044E-2</v>
      </c>
      <c r="M183" s="4">
        <f>1/JPY!C183</f>
        <v>1.1156231871123209E-2</v>
      </c>
      <c r="N183" s="5">
        <f>1/KRW!B183</f>
        <v>8.6348329159830763E-4</v>
      </c>
      <c r="O183" s="5">
        <f>1/KRW!C183</f>
        <v>8.6347098931756859E-4</v>
      </c>
      <c r="P183" s="3">
        <f>1/NOK!B183</f>
        <v>0.16768113754883712</v>
      </c>
      <c r="Q183" s="3">
        <f>1/NOK!C183</f>
        <v>0.1674004385891491</v>
      </c>
      <c r="R183" s="3">
        <f>NZD!B183/1</f>
        <v>0.68879999999999997</v>
      </c>
      <c r="S183" s="3">
        <f>NZD!C183/1</f>
        <v>0.68730000000000002</v>
      </c>
      <c r="T183" s="4">
        <f>1/PHP!B183</f>
        <v>2.1639166892074655E-2</v>
      </c>
      <c r="U183" s="4">
        <f>1/PHP!C183</f>
        <v>2.1566830215129132E-2</v>
      </c>
      <c r="V183" s="4">
        <f>1/TWD!B183</f>
        <v>3.1176929072486356E-2</v>
      </c>
      <c r="W183" s="4">
        <f>1/TWD!C183</f>
        <v>3.1177026272880042E-2</v>
      </c>
      <c r="X183" s="4">
        <f>1/TWD!B183</f>
        <v>3.1176929072486356E-2</v>
      </c>
      <c r="Y183" s="4">
        <f>1/TWD!C183</f>
        <v>3.1177026272880042E-2</v>
      </c>
      <c r="Z183" s="4">
        <f>1/ZAR!B183</f>
        <v>0.12888757137149265</v>
      </c>
      <c r="AA183" s="4">
        <f>1/ZAR!C183</f>
        <v>0.1280803319842205</v>
      </c>
    </row>
    <row r="184" spans="1:27" x14ac:dyDescent="0.25">
      <c r="A184" t="str">
        <f>"26/02/2010"</f>
        <v>26/02/2010</v>
      </c>
      <c r="B184" s="3">
        <f>AUD!B184</f>
        <v>0.88949999999999996</v>
      </c>
      <c r="C184" s="3">
        <f>AUD!C184</f>
        <v>0.88649999999999995</v>
      </c>
      <c r="D184" s="3">
        <f>1/CAD!B184</f>
        <v>0.94401963560842073</v>
      </c>
      <c r="E184" s="3">
        <f>1/CAD!C184</f>
        <v>0.94393052671323396</v>
      </c>
      <c r="F184" s="3">
        <f>EUR!B184/1</f>
        <v>1.3580000000000001</v>
      </c>
      <c r="G184" s="3">
        <f>EUR!C184/1</f>
        <v>1.3579000000000001</v>
      </c>
      <c r="H184" s="3">
        <f>GBP!B184/1</f>
        <v>1.5266</v>
      </c>
      <c r="I184" s="3">
        <f>GBP!C184/1</f>
        <v>1.5262</v>
      </c>
      <c r="J184" s="4">
        <f>1/INR!B184</f>
        <v>2.1593608291945583E-2</v>
      </c>
      <c r="K184" s="4">
        <f>1/INR!C184</f>
        <v>2.1535479702810379E-2</v>
      </c>
      <c r="L184" s="4">
        <f>1/JPY!B184</f>
        <v>1.1193194537721066E-2</v>
      </c>
      <c r="M184" s="4">
        <f>1/JPY!C184</f>
        <v>1.1194723255246408E-2</v>
      </c>
      <c r="N184" s="5">
        <f>1/KRW!B184</f>
        <v>8.611039352449841E-4</v>
      </c>
      <c r="O184" s="5">
        <f>1/KRW!C184</f>
        <v>8.610924421485807E-4</v>
      </c>
      <c r="P184" s="3">
        <f>1/NOK!B184</f>
        <v>0.16867673104495237</v>
      </c>
      <c r="Q184" s="3">
        <f>1/NOK!C184</f>
        <v>0.16838702072844225</v>
      </c>
      <c r="R184" s="3">
        <f>NZD!B184/1</f>
        <v>0.69369999999999998</v>
      </c>
      <c r="S184" s="3">
        <f>NZD!C184/1</f>
        <v>0.69210000000000005</v>
      </c>
      <c r="T184" s="4">
        <f>1/PHP!B184</f>
        <v>2.1654395842355997E-2</v>
      </c>
      <c r="U184" s="4">
        <f>1/PHP!C184</f>
        <v>2.1579628830384116E-2</v>
      </c>
      <c r="V184" s="4">
        <f>1/TWD!B184</f>
        <v>3.1178873195522712E-2</v>
      </c>
      <c r="W184" s="4">
        <f>1/TWD!C184</f>
        <v>3.1178873195522712E-2</v>
      </c>
      <c r="X184" s="4">
        <f>1/TWD!B184</f>
        <v>3.1178873195522712E-2</v>
      </c>
      <c r="Y184" s="4">
        <f>1/TWD!C184</f>
        <v>3.1178873195522712E-2</v>
      </c>
      <c r="Z184" s="4">
        <f>1/ZAR!B184</f>
        <v>0.12898732054639028</v>
      </c>
      <c r="AA184" s="4">
        <f>1/ZAR!C184</f>
        <v>0.12819855392031179</v>
      </c>
    </row>
    <row r="185" spans="1:27" x14ac:dyDescent="0.25">
      <c r="A185" t="str">
        <f>"02/03/2010"</f>
        <v>02/03/2010</v>
      </c>
      <c r="B185" s="3">
        <f>AUD!B185</f>
        <v>0.89690000000000003</v>
      </c>
      <c r="C185" s="3">
        <f>AUD!C185</f>
        <v>0.89380000000000004</v>
      </c>
      <c r="D185" s="3">
        <f>1/CAD!B185</f>
        <v>0.95757923968208369</v>
      </c>
      <c r="E185" s="3">
        <f>1/CAD!C185</f>
        <v>0.9574875526618154</v>
      </c>
      <c r="F185" s="3">
        <f>EUR!B185/1</f>
        <v>1.3520000000000001</v>
      </c>
      <c r="G185" s="3">
        <f>EUR!C185/1</f>
        <v>1.3519000000000001</v>
      </c>
      <c r="H185" s="3">
        <f>GBP!B185/1</f>
        <v>1.4910000000000001</v>
      </c>
      <c r="I185" s="3">
        <f>GBP!C185/1</f>
        <v>1.4905999999999999</v>
      </c>
      <c r="J185" s="4">
        <f>1/INR!B185</f>
        <v>2.1732043898728674E-2</v>
      </c>
      <c r="K185" s="4">
        <f>1/INR!C185</f>
        <v>2.1673168617251843E-2</v>
      </c>
      <c r="L185" s="4">
        <f>1/JPY!B185</f>
        <v>1.1204481792717087E-2</v>
      </c>
      <c r="M185" s="4">
        <f>1/JPY!C185</f>
        <v>1.1205938250797864E-2</v>
      </c>
      <c r="N185" s="5">
        <f>1/KRW!B185</f>
        <v>8.6647604193744053E-4</v>
      </c>
      <c r="O185" s="5">
        <f>1/KRW!C185</f>
        <v>8.664644049923945E-4</v>
      </c>
      <c r="P185" s="3">
        <f>1/NOK!B185</f>
        <v>0.16764459346186086</v>
      </c>
      <c r="Q185" s="3">
        <f>1/NOK!C185</f>
        <v>0.16738082485270486</v>
      </c>
      <c r="R185" s="3">
        <f>NZD!B185/1</f>
        <v>0.69640000000000002</v>
      </c>
      <c r="S185" s="3">
        <f>NZD!C185/1</f>
        <v>0.69479999999999997</v>
      </c>
      <c r="T185" s="4">
        <f>1/PHP!B185</f>
        <v>2.1691973969631236E-2</v>
      </c>
      <c r="U185" s="4">
        <f>1/PHP!C185</f>
        <v>2.1621621621621623E-2</v>
      </c>
      <c r="V185" s="4">
        <f>1/TWD!B185</f>
        <v>3.1231456322808333E-2</v>
      </c>
      <c r="W185" s="4">
        <f>1/TWD!C185</f>
        <v>3.1231456322808333E-2</v>
      </c>
      <c r="X185" s="4">
        <f>1/TWD!B185</f>
        <v>3.1231456322808333E-2</v>
      </c>
      <c r="Y185" s="4">
        <f>1/TWD!C185</f>
        <v>3.1231456322808333E-2</v>
      </c>
      <c r="Z185" s="4">
        <f>1/ZAR!B185</f>
        <v>0.13085066014158042</v>
      </c>
      <c r="AA185" s="4">
        <f>1/ZAR!C185</f>
        <v>0.12998661137902795</v>
      </c>
    </row>
    <row r="186" spans="1:27" x14ac:dyDescent="0.25">
      <c r="A186" t="str">
        <f>"03/03/2010"</f>
        <v>03/03/2010</v>
      </c>
      <c r="B186" s="3">
        <f>AUD!B186</f>
        <v>0.90339999999999998</v>
      </c>
      <c r="C186" s="3">
        <f>AUD!C186</f>
        <v>0.90039999999999998</v>
      </c>
      <c r="D186" s="3">
        <f>1/CAD!B186</f>
        <v>0.96618357487922713</v>
      </c>
      <c r="E186" s="3">
        <f>1/CAD!C186</f>
        <v>0.9660902328277462</v>
      </c>
      <c r="F186" s="3">
        <f>EUR!B186/1</f>
        <v>1.3632</v>
      </c>
      <c r="G186" s="3">
        <f>EUR!C186/1</f>
        <v>1.3631</v>
      </c>
      <c r="H186" s="3">
        <f>GBP!B186/1</f>
        <v>1.5045999999999999</v>
      </c>
      <c r="I186" s="3">
        <f>GBP!C186/1</f>
        <v>1.5042</v>
      </c>
      <c r="J186" s="4">
        <f>1/INR!B186</f>
        <v>2.1795989537925022E-2</v>
      </c>
      <c r="K186" s="4">
        <f>1/INR!C186</f>
        <v>2.1736767742636668E-2</v>
      </c>
      <c r="L186" s="4">
        <f>1/JPY!B186</f>
        <v>1.126887536623845E-2</v>
      </c>
      <c r="M186" s="4">
        <f>1/JPY!C186</f>
        <v>1.1270285104402287E-2</v>
      </c>
      <c r="N186" s="5">
        <f>1/KRW!B186</f>
        <v>8.7183958151700091E-4</v>
      </c>
      <c r="O186" s="5">
        <f>1/KRW!C186</f>
        <v>8.7182780006024336E-4</v>
      </c>
      <c r="P186" s="3">
        <f>1/NOK!B186</f>
        <v>0.16879346431706163</v>
      </c>
      <c r="Q186" s="3">
        <f>1/NOK!C186</f>
        <v>0.16853743216368355</v>
      </c>
      <c r="R186" s="3">
        <f>NZD!B186/1</f>
        <v>0.69710000000000005</v>
      </c>
      <c r="S186" s="3">
        <f>NZD!C186/1</f>
        <v>0.6956</v>
      </c>
      <c r="T186" s="4">
        <f>1/PHP!B186</f>
        <v>2.172260236776366E-2</v>
      </c>
      <c r="U186" s="4">
        <f>1/PHP!C186</f>
        <v>2.1654395842355997E-2</v>
      </c>
      <c r="V186" s="4">
        <f>1/TWD!B186</f>
        <v>3.125976867771179E-2</v>
      </c>
      <c r="W186" s="4">
        <f>1/TWD!C186</f>
        <v>3.1259866395331029E-2</v>
      </c>
      <c r="X186" s="4">
        <f>1/TWD!B186</f>
        <v>3.125976867771179E-2</v>
      </c>
      <c r="Y186" s="4">
        <f>1/TWD!C186</f>
        <v>3.1259866395331029E-2</v>
      </c>
      <c r="Z186" s="4">
        <f>1/ZAR!B186</f>
        <v>0.13193134292913969</v>
      </c>
      <c r="AA186" s="4">
        <f>1/ZAR!C186</f>
        <v>0.13109424365176126</v>
      </c>
    </row>
    <row r="187" spans="1:27" x14ac:dyDescent="0.25">
      <c r="A187" t="str">
        <f>"04/03/2010"</f>
        <v>04/03/2010</v>
      </c>
      <c r="B187" s="3">
        <f>AUD!B187</f>
        <v>0.9022</v>
      </c>
      <c r="C187" s="3">
        <f>AUD!C187</f>
        <v>0.89929999999999999</v>
      </c>
      <c r="D187" s="3">
        <f>1/CAD!B187</f>
        <v>0.96918007365768555</v>
      </c>
      <c r="E187" s="3">
        <f>1/CAD!C187</f>
        <v>0.96908615175889135</v>
      </c>
      <c r="F187" s="3">
        <f>EUR!B187/1</f>
        <v>1.3684000000000001</v>
      </c>
      <c r="G187" s="3">
        <f>EUR!C187/1</f>
        <v>1.3683000000000001</v>
      </c>
      <c r="H187" s="3">
        <f>GBP!B187/1</f>
        <v>1.508</v>
      </c>
      <c r="I187" s="3">
        <f>GBP!C187/1</f>
        <v>1.5076000000000001</v>
      </c>
      <c r="J187" s="4">
        <f>1/INR!B187</f>
        <v>2.1834061135371181E-2</v>
      </c>
      <c r="K187" s="4">
        <f>1/INR!C187</f>
        <v>2.1778189143572713E-2</v>
      </c>
      <c r="L187" s="4">
        <f>1/JPY!B187</f>
        <v>1.1300584240205219E-2</v>
      </c>
      <c r="M187" s="4">
        <f>1/JPY!C187</f>
        <v>1.1301938056337901E-2</v>
      </c>
      <c r="N187" s="5">
        <f>1/KRW!B187</f>
        <v>8.7412587412587413E-4</v>
      </c>
      <c r="O187" s="5">
        <f>1/KRW!C187</f>
        <v>8.7411403079765962E-4</v>
      </c>
      <c r="P187" s="3">
        <f>1/NOK!B187</f>
        <v>0.16975623005364299</v>
      </c>
      <c r="Q187" s="3">
        <f>1/NOK!C187</f>
        <v>0.16949439821013917</v>
      </c>
      <c r="R187" s="3">
        <f>NZD!B187/1</f>
        <v>0.68989999999999996</v>
      </c>
      <c r="S187" s="3">
        <f>NZD!C187/1</f>
        <v>0.68840000000000001</v>
      </c>
      <c r="T187" s="4">
        <f>1/PHP!B187</f>
        <v>2.1732043898728674E-2</v>
      </c>
      <c r="U187" s="4">
        <f>1/PHP!C187</f>
        <v>2.1663778162911613E-2</v>
      </c>
      <c r="V187" s="4">
        <f>1/TWD!B187</f>
        <v>3.1289111389236547E-2</v>
      </c>
      <c r="W187" s="4">
        <f>1/TWD!C187</f>
        <v>3.1289111389236547E-2</v>
      </c>
      <c r="X187" s="4">
        <f>1/TWD!B187</f>
        <v>3.1289111389236547E-2</v>
      </c>
      <c r="Y187" s="4">
        <f>1/TWD!C187</f>
        <v>3.1289111389236547E-2</v>
      </c>
      <c r="Z187" s="4">
        <f>1/ZAR!B187</f>
        <v>0.13297872340425532</v>
      </c>
      <c r="AA187" s="4">
        <f>1/ZAR!C187</f>
        <v>0.13216324804398394</v>
      </c>
    </row>
    <row r="188" spans="1:27" x14ac:dyDescent="0.25">
      <c r="A188" t="str">
        <f>"05/03/2010"</f>
        <v>05/03/2010</v>
      </c>
      <c r="B188" s="3">
        <f>AUD!B188</f>
        <v>0.90049999999999997</v>
      </c>
      <c r="C188" s="3">
        <f>AUD!C188</f>
        <v>0.89759999999999995</v>
      </c>
      <c r="D188" s="3">
        <f>1/CAD!B188</f>
        <v>0.96964995636575191</v>
      </c>
      <c r="E188" s="3">
        <f>1/CAD!C188</f>
        <v>0.96964995636575191</v>
      </c>
      <c r="F188" s="3">
        <f>EUR!B188/1</f>
        <v>1.359</v>
      </c>
      <c r="G188" s="3">
        <f>EUR!C188/1</f>
        <v>1.3589</v>
      </c>
      <c r="H188" s="3">
        <f>GBP!B188/1</f>
        <v>1.5037</v>
      </c>
      <c r="I188" s="3">
        <f>GBP!C188/1</f>
        <v>1.5033000000000001</v>
      </c>
      <c r="J188" s="4">
        <f>1/INR!B188</f>
        <v>2.1829294913774284E-2</v>
      </c>
      <c r="K188" s="4">
        <f>1/INR!C188</f>
        <v>2.1704921590970754E-2</v>
      </c>
      <c r="L188" s="4">
        <f>1/JPY!B188</f>
        <v>1.1204481792717087E-2</v>
      </c>
      <c r="M188" s="4">
        <f>1/JPY!C188</f>
        <v>1.1205975922840132E-2</v>
      </c>
      <c r="N188" s="5">
        <f>1/KRW!B188</f>
        <v>8.7627059235892044E-4</v>
      </c>
      <c r="O188" s="5">
        <f>1/KRW!C188</f>
        <v>8.7625830692874976E-4</v>
      </c>
      <c r="P188" s="3">
        <f>1/NOK!B188</f>
        <v>0.16872511304582574</v>
      </c>
      <c r="Q188" s="3">
        <f>1/NOK!C188</f>
        <v>0.16848064157428314</v>
      </c>
      <c r="R188" s="3">
        <f>NZD!B188/1</f>
        <v>0.6875</v>
      </c>
      <c r="S188" s="3">
        <f>NZD!C188/1</f>
        <v>0.68610000000000004</v>
      </c>
      <c r="T188" s="4">
        <f>1/PHP!B188</f>
        <v>2.1710811984368215E-2</v>
      </c>
      <c r="U188" s="4">
        <f>1/PHP!C188</f>
        <v>2.1642679363705227E-2</v>
      </c>
      <c r="V188" s="4">
        <f>1/TWD!B188</f>
        <v>3.1323414252153486E-2</v>
      </c>
      <c r="W188" s="4">
        <f>1/TWD!C188</f>
        <v>3.1323414252153486E-2</v>
      </c>
      <c r="X188" s="4">
        <f>1/TWD!B188</f>
        <v>3.1323414252153486E-2</v>
      </c>
      <c r="Y188" s="4">
        <f>1/TWD!C188</f>
        <v>3.1323414252153486E-2</v>
      </c>
      <c r="Z188" s="4">
        <f>1/ZAR!B188</f>
        <v>0.13356484573260319</v>
      </c>
      <c r="AA188" s="4">
        <f>1/ZAR!C188</f>
        <v>0.1327703868929074</v>
      </c>
    </row>
    <row r="189" spans="1:27" x14ac:dyDescent="0.25">
      <c r="A189" t="str">
        <f>"08/03/2010"</f>
        <v>08/03/2010</v>
      </c>
      <c r="B189" s="3">
        <f>AUD!B189</f>
        <v>0.91059999999999997</v>
      </c>
      <c r="C189" s="3">
        <f>AUD!C189</f>
        <v>0.90749999999999997</v>
      </c>
      <c r="D189" s="3">
        <f>1/CAD!B189</f>
        <v>0.97380465478625</v>
      </c>
      <c r="E189" s="3">
        <f>1/CAD!C189</f>
        <v>0.97380465478625</v>
      </c>
      <c r="F189" s="3">
        <f>EUR!B189/1</f>
        <v>1.3680000000000001</v>
      </c>
      <c r="G189" s="3">
        <f>EUR!C189/1</f>
        <v>1.3678999999999999</v>
      </c>
      <c r="H189" s="3">
        <f>GBP!B189/1</f>
        <v>1.5166999999999999</v>
      </c>
      <c r="I189" s="3">
        <f>GBP!C189/1</f>
        <v>1.5163</v>
      </c>
      <c r="J189" s="4">
        <f>1/INR!B189</f>
        <v>2.1982853374367992E-2</v>
      </c>
      <c r="K189" s="4">
        <f>1/INR!C189</f>
        <v>2.1867483052700636E-2</v>
      </c>
      <c r="L189" s="4">
        <f>1/JPY!B189</f>
        <v>1.1059500110595E-2</v>
      </c>
      <c r="M189" s="4">
        <f>1/JPY!C189</f>
        <v>1.1060282966279408E-2</v>
      </c>
      <c r="N189" s="5">
        <f>1/KRW!B189</f>
        <v>8.8183421516754845E-4</v>
      </c>
      <c r="O189" s="5">
        <f>1/KRW!C189</f>
        <v>8.8182138443311899E-4</v>
      </c>
      <c r="P189" s="3">
        <f>1/NOK!B189</f>
        <v>0.17019828099736192</v>
      </c>
      <c r="Q189" s="3">
        <f>1/NOK!C189</f>
        <v>0.16993508479760733</v>
      </c>
      <c r="R189" s="3">
        <f>NZD!B189/1</f>
        <v>0.69879999999999998</v>
      </c>
      <c r="S189" s="3">
        <f>NZD!C189/1</f>
        <v>0.69730000000000003</v>
      </c>
      <c r="T189" s="4">
        <f>1/PHP!B189</f>
        <v>2.1769892239033417E-2</v>
      </c>
      <c r="U189" s="4">
        <f>1/PHP!C189</f>
        <v>2.169432693350689E-2</v>
      </c>
      <c r="V189" s="4">
        <f>1/TWD!B189</f>
        <v>3.1368612566266191E-2</v>
      </c>
      <c r="W189" s="4">
        <f>1/TWD!C189</f>
        <v>3.1368612566266191E-2</v>
      </c>
      <c r="X189" s="4">
        <f>1/TWD!B189</f>
        <v>3.1368612566266191E-2</v>
      </c>
      <c r="Y189" s="4">
        <f>1/TWD!C189</f>
        <v>3.1368612566266191E-2</v>
      </c>
      <c r="Z189" s="4">
        <f>1/ZAR!B189</f>
        <v>0.13418316001341832</v>
      </c>
      <c r="AA189" s="4">
        <f>1/ZAR!C189</f>
        <v>0.13339558460614953</v>
      </c>
    </row>
    <row r="190" spans="1:27" x14ac:dyDescent="0.25">
      <c r="A190" t="str">
        <f>"09/03/2010"</f>
        <v>09/03/2010</v>
      </c>
      <c r="B190" s="3">
        <f>AUD!B190</f>
        <v>0.90949999999999998</v>
      </c>
      <c r="C190" s="3">
        <f>AUD!C190</f>
        <v>0.90639999999999998</v>
      </c>
      <c r="D190" s="3">
        <f>1/CAD!B190</f>
        <v>0.9724788485850433</v>
      </c>
      <c r="E190" s="3">
        <f>1/CAD!C190</f>
        <v>0.9724788485850433</v>
      </c>
      <c r="F190" s="3">
        <f>EUR!B190/1</f>
        <v>1.3628</v>
      </c>
      <c r="G190" s="3">
        <f>EUR!C190/1</f>
        <v>1.3628</v>
      </c>
      <c r="H190" s="3">
        <f>GBP!B190/1</f>
        <v>1.5018</v>
      </c>
      <c r="I190" s="3">
        <f>GBP!C190/1</f>
        <v>1.5015000000000001</v>
      </c>
      <c r="J190" s="4">
        <f>1/INR!B190</f>
        <v>2.1953896816684963E-2</v>
      </c>
      <c r="K190" s="4">
        <f>1/INR!C190</f>
        <v>2.188782489740082E-2</v>
      </c>
      <c r="L190" s="4">
        <f>1/JPY!B190</f>
        <v>1.1104818380695384E-2</v>
      </c>
      <c r="M190" s="4">
        <f>1/JPY!C190</f>
        <v>1.1106643772171639E-2</v>
      </c>
      <c r="N190" s="5">
        <f>1/KRW!B190</f>
        <v>8.8152327221438639E-4</v>
      </c>
      <c r="O190" s="5">
        <f>1/KRW!C190</f>
        <v>8.8150602130317971E-4</v>
      </c>
      <c r="P190" s="3">
        <f>1/NOK!B190</f>
        <v>0.16941973739940702</v>
      </c>
      <c r="Q190" s="3">
        <f>1/NOK!C190</f>
        <v>0.16915035775300663</v>
      </c>
      <c r="R190" s="3">
        <f>NZD!B190/1</f>
        <v>0.69899999999999995</v>
      </c>
      <c r="S190" s="3">
        <f>NZD!C190/1</f>
        <v>0.69750000000000001</v>
      </c>
      <c r="T190" s="4">
        <f>1/PHP!B190</f>
        <v>2.1848372296263928E-2</v>
      </c>
      <c r="U190" s="4">
        <f>1/PHP!C190</f>
        <v>2.1774632553075667E-2</v>
      </c>
      <c r="V190" s="4">
        <f>1/TWD!B190</f>
        <v>3.1389289974260784E-2</v>
      </c>
      <c r="W190" s="4">
        <f>1/TWD!C190</f>
        <v>3.1389289974260784E-2</v>
      </c>
      <c r="X190" s="4">
        <f>1/TWD!B190</f>
        <v>3.1389289974260784E-2</v>
      </c>
      <c r="Y190" s="4">
        <f>1/TWD!C190</f>
        <v>3.1389289974260784E-2</v>
      </c>
      <c r="Z190" s="4">
        <f>1/ZAR!B190</f>
        <v>0.13476544075037397</v>
      </c>
      <c r="AA190" s="4">
        <f>1/ZAR!C190</f>
        <v>0.13392438629149983</v>
      </c>
    </row>
    <row r="191" spans="1:27" x14ac:dyDescent="0.25">
      <c r="A191" t="str">
        <f>"10/03/2010"</f>
        <v>10/03/2010</v>
      </c>
      <c r="B191" s="3">
        <f>AUD!B191</f>
        <v>0.91469999999999996</v>
      </c>
      <c r="C191" s="3">
        <f>AUD!C191</f>
        <v>0.91169999999999995</v>
      </c>
      <c r="D191" s="3">
        <f>1/CAD!B191</f>
        <v>0.97361503261610371</v>
      </c>
      <c r="E191" s="3">
        <f>1/CAD!C191</f>
        <v>0.97361503261610371</v>
      </c>
      <c r="F191" s="3">
        <f>EUR!B191/1</f>
        <v>1.3599000000000001</v>
      </c>
      <c r="G191" s="3">
        <f>EUR!C191/1</f>
        <v>1.3599000000000001</v>
      </c>
      <c r="H191" s="3">
        <f>GBP!B191/1</f>
        <v>1.4964</v>
      </c>
      <c r="I191" s="3">
        <f>GBP!C191/1</f>
        <v>1.4961</v>
      </c>
      <c r="J191" s="4">
        <f>1/INR!B191</f>
        <v>2.1963540522732264E-2</v>
      </c>
      <c r="K191" s="4">
        <f>1/INR!C191</f>
        <v>2.1897410631192864E-2</v>
      </c>
      <c r="L191" s="4">
        <f>1/JPY!B191</f>
        <v>1.1109876680368847E-2</v>
      </c>
      <c r="M191" s="4">
        <f>1/JPY!C191</f>
        <v>1.1110740753086008E-2</v>
      </c>
      <c r="N191" s="5">
        <f>1/KRW!B191</f>
        <v>8.8269044046252972E-4</v>
      </c>
      <c r="O191" s="5">
        <f>1/KRW!C191</f>
        <v>8.826771952402516E-4</v>
      </c>
      <c r="P191" s="3">
        <f>1/NOK!B191</f>
        <v>0.16912747137517548</v>
      </c>
      <c r="Q191" s="3">
        <f>1/NOK!C191</f>
        <v>0.16887042572234323</v>
      </c>
      <c r="R191" s="3">
        <f>NZD!B191/1</f>
        <v>0.70609999999999995</v>
      </c>
      <c r="S191" s="3">
        <f>NZD!C191/1</f>
        <v>0.7046</v>
      </c>
      <c r="T191" s="4">
        <f>1/PHP!B191</f>
        <v>2.1910604732690624E-2</v>
      </c>
      <c r="U191" s="4">
        <f>1/PHP!C191</f>
        <v>2.1798365122615803E-2</v>
      </c>
      <c r="V191" s="4">
        <f>1/TWD!B191</f>
        <v>3.149507102138515E-2</v>
      </c>
      <c r="W191" s="4">
        <f>1/TWD!C191</f>
        <v>3.149507102138515E-2</v>
      </c>
      <c r="X191" s="4">
        <f>1/TWD!B191</f>
        <v>3.149507102138515E-2</v>
      </c>
      <c r="Y191" s="4">
        <f>1/TWD!C191</f>
        <v>3.149507102138515E-2</v>
      </c>
      <c r="Z191" s="4">
        <f>1/ZAR!B191</f>
        <v>0.134961873270801</v>
      </c>
      <c r="AA191" s="4">
        <f>1/ZAR!C191</f>
        <v>0.13414356043838116</v>
      </c>
    </row>
    <row r="192" spans="1:27" x14ac:dyDescent="0.25">
      <c r="A192" t="str">
        <f>"11/03/2010"</f>
        <v>11/03/2010</v>
      </c>
      <c r="B192" s="3">
        <f>AUD!B192</f>
        <v>0.91190000000000004</v>
      </c>
      <c r="C192" s="3">
        <f>AUD!C192</f>
        <v>0.90890000000000004</v>
      </c>
      <c r="D192" s="3">
        <f>1/CAD!B192</f>
        <v>0.97437396472766247</v>
      </c>
      <c r="E192" s="3">
        <f>1/CAD!C192</f>
        <v>0.97437396472766247</v>
      </c>
      <c r="F192" s="3">
        <f>EUR!B192/1</f>
        <v>1.3635999999999999</v>
      </c>
      <c r="G192" s="3">
        <f>EUR!C192/1</f>
        <v>1.3634999999999999</v>
      </c>
      <c r="H192" s="3">
        <f>GBP!B192/1</f>
        <v>1.4954000000000001</v>
      </c>
      <c r="I192" s="3">
        <f>GBP!C192/1</f>
        <v>1.4951000000000001</v>
      </c>
      <c r="J192" s="4">
        <f>1/INR!B192</f>
        <v>2.1997360316761989E-2</v>
      </c>
      <c r="K192" s="4">
        <f>1/INR!C192</f>
        <v>2.1925016443762334E-2</v>
      </c>
      <c r="L192" s="4">
        <f>1/JPY!B192</f>
        <v>1.1080332409972299E-2</v>
      </c>
      <c r="M192" s="4">
        <f>1/JPY!C192</f>
        <v>1.1082088353057604E-2</v>
      </c>
      <c r="N192" s="5">
        <f>1/KRW!B192</f>
        <v>8.8167871627578911E-4</v>
      </c>
      <c r="O192" s="5">
        <f>1/KRW!C192</f>
        <v>8.8165539617185223E-4</v>
      </c>
      <c r="P192" s="3">
        <f>1/NOK!B192</f>
        <v>0.16987446277201149</v>
      </c>
      <c r="Q192" s="3">
        <f>1/NOK!C192</f>
        <v>0.16962665173952132</v>
      </c>
      <c r="R192" s="3">
        <f>NZD!B192/1</f>
        <v>0.69820000000000004</v>
      </c>
      <c r="S192" s="3">
        <f>NZD!C192/1</f>
        <v>0.69669999999999999</v>
      </c>
      <c r="T192" s="4">
        <f>1/PHP!B192</f>
        <v>2.1877050973528767E-2</v>
      </c>
      <c r="U192" s="4">
        <f>1/PHP!C192</f>
        <v>2.1806921516889462E-2</v>
      </c>
      <c r="V192" s="4">
        <f>1/TWD!B192</f>
        <v>3.1456432840515886E-2</v>
      </c>
      <c r="W192" s="4">
        <f>1/TWD!C192</f>
        <v>3.1456432840515886E-2</v>
      </c>
      <c r="X192" s="4">
        <f>1/TWD!B192</f>
        <v>3.1456432840515886E-2</v>
      </c>
      <c r="Y192" s="4">
        <f>1/TWD!C192</f>
        <v>3.1456432840515886E-2</v>
      </c>
      <c r="Z192" s="4">
        <f>1/ZAR!B192</f>
        <v>0.13458950201884254</v>
      </c>
      <c r="AA192" s="4">
        <f>1/ZAR!C192</f>
        <v>0.13380074393213626</v>
      </c>
    </row>
    <row r="193" spans="1:27" x14ac:dyDescent="0.25">
      <c r="A193" t="str">
        <f>"12/03/2010"</f>
        <v>12/03/2010</v>
      </c>
      <c r="B193" s="3">
        <f>AUD!B193</f>
        <v>0.91500000000000004</v>
      </c>
      <c r="C193" s="3">
        <f>AUD!C193</f>
        <v>0.91200000000000003</v>
      </c>
      <c r="D193" s="3">
        <f>1/CAD!B193</f>
        <v>0.9760858955588092</v>
      </c>
      <c r="E193" s="3">
        <f>1/CAD!C193</f>
        <v>0.9760858955588092</v>
      </c>
      <c r="F193" s="3">
        <f>EUR!B193/1</f>
        <v>1.3683000000000001</v>
      </c>
      <c r="G193" s="3">
        <f>EUR!C193/1</f>
        <v>1.3683000000000001</v>
      </c>
      <c r="H193" s="3">
        <f>GBP!B193/1</f>
        <v>1.5057</v>
      </c>
      <c r="I193" s="3">
        <f>GBP!C193/1</f>
        <v>1.5054000000000001</v>
      </c>
      <c r="J193" s="4">
        <f>1/INR!B193</f>
        <v>2.1971985718209283E-2</v>
      </c>
      <c r="K193" s="4">
        <f>1/INR!C193</f>
        <v>2.1889022655138448E-2</v>
      </c>
      <c r="L193" s="4">
        <f>1/JPY!B193</f>
        <v>1.1032656663724626E-2</v>
      </c>
      <c r="M193" s="4">
        <f>1/JPY!C193</f>
        <v>1.1034421879051702E-2</v>
      </c>
      <c r="N193" s="5">
        <f>1/KRW!B193</f>
        <v>8.8370448921880535E-4</v>
      </c>
      <c r="O193" s="5">
        <f>1/KRW!C193</f>
        <v>8.8369043263716201E-4</v>
      </c>
      <c r="P193" s="3">
        <f>1/NOK!B193</f>
        <v>0.17052333611854781</v>
      </c>
      <c r="Q193" s="3">
        <f>1/NOK!C193</f>
        <v>0.17027362972296481</v>
      </c>
      <c r="R193" s="3">
        <f>NZD!B193/1</f>
        <v>0.6996</v>
      </c>
      <c r="S193" s="3">
        <f>NZD!C193/1</f>
        <v>0.69810000000000005</v>
      </c>
      <c r="T193" s="4">
        <f>1/PHP!B193</f>
        <v>2.188662727073758E-2</v>
      </c>
      <c r="U193" s="4">
        <f>1/PHP!C193</f>
        <v>2.1777003484320556E-2</v>
      </c>
      <c r="V193" s="4">
        <f>1/TWD!B193</f>
        <v>3.1465340926968947E-2</v>
      </c>
      <c r="W193" s="4">
        <f>1/TWD!C193</f>
        <v>3.1465340926968947E-2</v>
      </c>
      <c r="X193" s="4">
        <f>1/TWD!B193</f>
        <v>3.1465340926968947E-2</v>
      </c>
      <c r="Y193" s="4">
        <f>1/TWD!C193</f>
        <v>3.1465340926968947E-2</v>
      </c>
      <c r="Z193" s="4">
        <f>1/ZAR!B193</f>
        <v>0.13447728678626181</v>
      </c>
      <c r="AA193" s="4">
        <f>1/ZAR!C193</f>
        <v>0.13367732966166268</v>
      </c>
    </row>
    <row r="194" spans="1:27" x14ac:dyDescent="0.25">
      <c r="A194" t="str">
        <f>"15/03/2010"</f>
        <v>15/03/2010</v>
      </c>
      <c r="B194" s="3">
        <f>AUD!B194</f>
        <v>0.91359999999999997</v>
      </c>
      <c r="C194" s="3">
        <f>AUD!C194</f>
        <v>0.91039999999999999</v>
      </c>
      <c r="D194" s="3">
        <f>1/CAD!B194</f>
        <v>0.9816432708353785</v>
      </c>
      <c r="E194" s="3">
        <f>1/CAD!C194</f>
        <v>0.98154691794267768</v>
      </c>
      <c r="F194" s="3">
        <f>EUR!B194/1</f>
        <v>1.3737999999999999</v>
      </c>
      <c r="G194" s="3">
        <f>EUR!C194/1</f>
        <v>1.3737999999999999</v>
      </c>
      <c r="H194" s="3">
        <f>GBP!B194/1</f>
        <v>1.5155000000000001</v>
      </c>
      <c r="I194" s="3">
        <f>GBP!C194/1</f>
        <v>1.5150999999999999</v>
      </c>
      <c r="J194" s="4">
        <f>1/INR!B194</f>
        <v>2.1927420239008882E-2</v>
      </c>
      <c r="K194" s="4">
        <f>1/INR!C194</f>
        <v>2.1856729140484126E-2</v>
      </c>
      <c r="L194" s="4">
        <f>1/JPY!B194</f>
        <v>1.1035091591260206E-2</v>
      </c>
      <c r="M194" s="4">
        <f>1/JPY!C194</f>
        <v>1.1037162124874452E-2</v>
      </c>
      <c r="N194" s="5">
        <f>1/KRW!B194</f>
        <v>8.8140672513331282E-4</v>
      </c>
      <c r="O194" s="5">
        <f>1/KRW!C194</f>
        <v>8.8139274155449472E-4</v>
      </c>
      <c r="P194" s="3">
        <f>1/NOK!B194</f>
        <v>0.17125926940795669</v>
      </c>
      <c r="Q194" s="3">
        <f>1/NOK!C194</f>
        <v>0.17098986030128413</v>
      </c>
      <c r="R194" s="3">
        <f>NZD!B194/1</f>
        <v>0.7016</v>
      </c>
      <c r="S194" s="3">
        <f>NZD!C194/1</f>
        <v>0.7</v>
      </c>
      <c r="T194" s="4">
        <f>1/PHP!B194</f>
        <v>2.1848372296263928E-2</v>
      </c>
      <c r="U194" s="4">
        <f>1/PHP!C194</f>
        <v>2.1774632553075667E-2</v>
      </c>
      <c r="V194" s="4">
        <f>1/TWD!B194</f>
        <v>3.1448518774765712E-2</v>
      </c>
      <c r="W194" s="4">
        <f>1/TWD!C194</f>
        <v>3.1448518774765712E-2</v>
      </c>
      <c r="X194" s="4">
        <f>1/TWD!B194</f>
        <v>3.1448518774765712E-2</v>
      </c>
      <c r="Y194" s="4">
        <f>1/TWD!C194</f>
        <v>3.1448518774765712E-2</v>
      </c>
      <c r="Z194" s="4">
        <f>1/ZAR!B194</f>
        <v>0.13468013468013468</v>
      </c>
      <c r="AA194" s="4">
        <f>1/ZAR!C194</f>
        <v>0.13388673182487615</v>
      </c>
    </row>
    <row r="195" spans="1:27" x14ac:dyDescent="0.25">
      <c r="A195" t="str">
        <f>"17/03/2010"</f>
        <v>17/03/2010</v>
      </c>
      <c r="B195" s="3">
        <f>AUD!B195</f>
        <v>0.91849999999999998</v>
      </c>
      <c r="C195" s="3">
        <f>AUD!C195</f>
        <v>0.91549999999999998</v>
      </c>
      <c r="D195" s="3">
        <f>1/CAD!B195</f>
        <v>0.98629056119932934</v>
      </c>
      <c r="E195" s="3">
        <f>1/CAD!C195</f>
        <v>0.98629056119932934</v>
      </c>
      <c r="F195" s="3">
        <f>EUR!B195/1</f>
        <v>1.3776999999999999</v>
      </c>
      <c r="G195" s="3">
        <f>EUR!C195/1</f>
        <v>1.3776999999999999</v>
      </c>
      <c r="H195" s="3">
        <f>GBP!B195/1</f>
        <v>1.5228999999999999</v>
      </c>
      <c r="I195" s="3">
        <f>GBP!C195/1</f>
        <v>1.5226</v>
      </c>
      <c r="J195" s="4">
        <f>1/INR!B195</f>
        <v>2.2007042253521129E-2</v>
      </c>
      <c r="K195" s="4">
        <f>1/INR!C195</f>
        <v>2.1933432033777484E-2</v>
      </c>
      <c r="L195" s="4">
        <f>1/JPY!B195</f>
        <v>1.1066843736166445E-2</v>
      </c>
      <c r="M195" s="4">
        <f>1/JPY!C195</f>
        <v>1.1069073230774679E-2</v>
      </c>
      <c r="N195" s="5">
        <f>1/KRW!B195</f>
        <v>8.8526912181303128E-4</v>
      </c>
      <c r="O195" s="5">
        <f>1/KRW!C195</f>
        <v>8.8525619092851416E-4</v>
      </c>
      <c r="P195" s="3">
        <f>1/NOK!B195</f>
        <v>0.17151187719749594</v>
      </c>
      <c r="Q195" s="3">
        <f>1/NOK!C195</f>
        <v>0.17126220243192325</v>
      </c>
      <c r="R195" s="3">
        <f>NZD!B195/1</f>
        <v>0.71179999999999999</v>
      </c>
      <c r="S195" s="3">
        <f>NZD!C195/1</f>
        <v>0.71030000000000004</v>
      </c>
      <c r="T195" s="4">
        <f>1/PHP!B195</f>
        <v>2.1920210434020169E-2</v>
      </c>
      <c r="U195" s="4">
        <f>1/PHP!C195</f>
        <v>2.1845031347619982E-2</v>
      </c>
      <c r="V195" s="4">
        <f>1/TWD!B195</f>
        <v>3.1504993541476324E-2</v>
      </c>
      <c r="W195" s="4">
        <f>1/TWD!C195</f>
        <v>3.1504993541476324E-2</v>
      </c>
      <c r="X195" s="4">
        <f>1/TWD!B195</f>
        <v>3.1504993541476324E-2</v>
      </c>
      <c r="Y195" s="4">
        <f>1/TWD!C195</f>
        <v>3.1504993541476324E-2</v>
      </c>
      <c r="Z195" s="4">
        <f>1/ZAR!B195</f>
        <v>0.13574046423238767</v>
      </c>
      <c r="AA195" s="4">
        <f>1/ZAR!C195</f>
        <v>0.13490907128595328</v>
      </c>
    </row>
    <row r="196" spans="1:27" x14ac:dyDescent="0.25">
      <c r="A196" t="str">
        <f>"18/03/2010"</f>
        <v>18/03/2010</v>
      </c>
      <c r="B196" s="3">
        <f>AUD!B196</f>
        <v>0.92290000000000005</v>
      </c>
      <c r="C196" s="3">
        <f>AUD!C196</f>
        <v>0.91990000000000005</v>
      </c>
      <c r="D196" s="3">
        <f>1/CAD!B196</f>
        <v>0.98892405063291133</v>
      </c>
      <c r="E196" s="3">
        <f>1/CAD!C196</f>
        <v>0.98892405063291133</v>
      </c>
      <c r="F196" s="3">
        <f>EUR!B196/1</f>
        <v>1.3726</v>
      </c>
      <c r="G196" s="3">
        <f>EUR!C196/1</f>
        <v>1.3726</v>
      </c>
      <c r="H196" s="3">
        <f>GBP!B196/1</f>
        <v>1.5309999999999999</v>
      </c>
      <c r="I196" s="3">
        <f>GBP!C196/1</f>
        <v>1.5306999999999999</v>
      </c>
      <c r="J196" s="4">
        <f>1/INR!B196</f>
        <v>2.2011886418666079E-2</v>
      </c>
      <c r="K196" s="4">
        <f>1/INR!C196</f>
        <v>2.1946669592889281E-2</v>
      </c>
      <c r="L196" s="4">
        <f>1/JPY!B196</f>
        <v>1.1082788429568878E-2</v>
      </c>
      <c r="M196" s="4">
        <f>1/JPY!C196</f>
        <v>1.1084803178234768E-2</v>
      </c>
      <c r="N196" s="5">
        <f>1/KRW!B196</f>
        <v>8.8386070355311994E-4</v>
      </c>
      <c r="O196" s="5">
        <f>1/KRW!C196</f>
        <v>8.8384742318703012E-4</v>
      </c>
      <c r="P196" s="3">
        <f>1/NOK!B196</f>
        <v>0.17151776066411675</v>
      </c>
      <c r="Q196" s="3">
        <f>1/NOK!C196</f>
        <v>0.1712768690588336</v>
      </c>
      <c r="R196" s="3">
        <f>NZD!B196/1</f>
        <v>0.71379999999999999</v>
      </c>
      <c r="S196" s="3">
        <f>NZD!C196/1</f>
        <v>0.71230000000000004</v>
      </c>
      <c r="T196" s="4">
        <f>1/PHP!B196</f>
        <v>2.1910604732690624E-2</v>
      </c>
      <c r="U196" s="4">
        <f>1/PHP!C196</f>
        <v>2.1836445026749644E-2</v>
      </c>
      <c r="V196" s="4">
        <f>1/TWD!B196</f>
        <v>3.1555695803092455E-2</v>
      </c>
      <c r="W196" s="4">
        <f>1/TWD!C196</f>
        <v>3.1555695803092455E-2</v>
      </c>
      <c r="X196" s="4">
        <f>1/TWD!B196</f>
        <v>3.1555695803092455E-2</v>
      </c>
      <c r="Y196" s="4">
        <f>1/TWD!C196</f>
        <v>3.1555695803092455E-2</v>
      </c>
      <c r="Z196" s="4">
        <f>1/ZAR!B196</f>
        <v>0.13652436277253677</v>
      </c>
      <c r="AA196" s="4">
        <f>1/ZAR!C196</f>
        <v>0.13572019923725248</v>
      </c>
    </row>
    <row r="197" spans="1:27" x14ac:dyDescent="0.25">
      <c r="A197" t="str">
        <f>"19/03/2010"</f>
        <v>19/03/2010</v>
      </c>
      <c r="B197" s="3">
        <f>AUD!B197</f>
        <v>0.92179999999999995</v>
      </c>
      <c r="C197" s="3">
        <f>AUD!C197</f>
        <v>0.91879999999999995</v>
      </c>
      <c r="D197" s="3">
        <f>1/CAD!B197</f>
        <v>0.9838646202282566</v>
      </c>
      <c r="E197" s="3">
        <f>1/CAD!C197</f>
        <v>0.9838646202282566</v>
      </c>
      <c r="F197" s="3">
        <f>EUR!B197/1</f>
        <v>1.3624000000000001</v>
      </c>
      <c r="G197" s="3">
        <f>EUR!C197/1</f>
        <v>1.3624000000000001</v>
      </c>
      <c r="H197" s="3">
        <f>GBP!B197/1</f>
        <v>1.5250999999999999</v>
      </c>
      <c r="I197" s="3">
        <f>GBP!C197/1</f>
        <v>1.5247999999999999</v>
      </c>
      <c r="J197" s="4">
        <f>1/INR!B197</f>
        <v>2.2002200220022E-2</v>
      </c>
      <c r="K197" s="4">
        <f>1/INR!C197</f>
        <v>2.193824384358032E-2</v>
      </c>
      <c r="L197" s="4">
        <f>1/JPY!B197</f>
        <v>1.1054487569228728E-2</v>
      </c>
      <c r="M197" s="4">
        <f>1/JPY!C197</f>
        <v>1.1056895467004566E-2</v>
      </c>
      <c r="N197" s="5">
        <f>1/KRW!B197</f>
        <v>8.8401697312588397E-4</v>
      </c>
      <c r="O197" s="5">
        <f>1/KRW!C197</f>
        <v>8.840040787948196E-4</v>
      </c>
      <c r="P197" s="3">
        <f>1/NOK!B197</f>
        <v>0.17037516611578696</v>
      </c>
      <c r="Q197" s="3">
        <f>1/NOK!C197</f>
        <v>0.17014036580178646</v>
      </c>
      <c r="R197" s="3">
        <f>NZD!B197/1</f>
        <v>0.71489999999999998</v>
      </c>
      <c r="S197" s="3">
        <f>NZD!C197/1</f>
        <v>0.71340000000000003</v>
      </c>
      <c r="T197" s="4">
        <f>1/PHP!B197</f>
        <v>2.193824384358032E-2</v>
      </c>
      <c r="U197" s="4">
        <f>1/PHP!C197</f>
        <v>2.186628765101405E-2</v>
      </c>
      <c r="V197" s="4">
        <f>1/TWD!B197</f>
        <v>3.1516908821582777E-2</v>
      </c>
      <c r="W197" s="4">
        <f>1/TWD!C197</f>
        <v>3.1516908821582777E-2</v>
      </c>
      <c r="X197" s="4">
        <f>1/TWD!B197</f>
        <v>3.1516908821582777E-2</v>
      </c>
      <c r="Y197" s="4">
        <f>1/TWD!C197</f>
        <v>3.1516908821582777E-2</v>
      </c>
      <c r="Z197" s="4">
        <f>1/ZAR!B197</f>
        <v>0.13648523229786536</v>
      </c>
      <c r="AA197" s="4">
        <f>1/ZAR!C197</f>
        <v>0.13567968739400024</v>
      </c>
    </row>
    <row r="198" spans="1:27" x14ac:dyDescent="0.25">
      <c r="A198" t="str">
        <f>"22/03/2010"</f>
        <v>22/03/2010</v>
      </c>
      <c r="B198" s="3">
        <f>AUD!B198</f>
        <v>0.91410000000000002</v>
      </c>
      <c r="C198" s="3">
        <f>AUD!C198</f>
        <v>0.91100000000000003</v>
      </c>
      <c r="D198" s="3">
        <f>1/CAD!B198</f>
        <v>0.98347757671125102</v>
      </c>
      <c r="E198" s="3">
        <f>1/CAD!C198</f>
        <v>0.98347757671125102</v>
      </c>
      <c r="F198" s="3">
        <f>EUR!B198/1</f>
        <v>1.3517999999999999</v>
      </c>
      <c r="G198" s="3">
        <f>EUR!C198/1</f>
        <v>1.3517999999999999</v>
      </c>
      <c r="H198" s="3">
        <f>GBP!B198/1</f>
        <v>1.4991000000000001</v>
      </c>
      <c r="I198" s="3">
        <f>GBP!C198/1</f>
        <v>1.4987999999999999</v>
      </c>
      <c r="J198" s="4">
        <f>1/INR!B198</f>
        <v>2.1963540522732264E-2</v>
      </c>
      <c r="K198" s="4">
        <f>1/INR!C198</f>
        <v>2.1889022655138448E-2</v>
      </c>
      <c r="L198" s="4">
        <f>1/JPY!B198</f>
        <v>1.1054609772275039E-2</v>
      </c>
      <c r="M198" s="4">
        <f>1/JPY!C198</f>
        <v>1.1057139982286461E-2</v>
      </c>
      <c r="N198" s="5">
        <f>1/KRW!B198</f>
        <v>8.7950747581354446E-4</v>
      </c>
      <c r="O198" s="5">
        <f>1/KRW!C198</f>
        <v>8.7949355243276714E-4</v>
      </c>
      <c r="P198" s="3">
        <f>1/NOK!B198</f>
        <v>0.16865966166871868</v>
      </c>
      <c r="Q198" s="3">
        <f>1/NOK!C198</f>
        <v>0.16840687100033683</v>
      </c>
      <c r="R198" s="3">
        <f>NZD!B198/1</f>
        <v>0.70630000000000004</v>
      </c>
      <c r="S198" s="3">
        <f>NZD!C198/1</f>
        <v>0.70479999999999998</v>
      </c>
      <c r="T198" s="4">
        <f>1/PHP!B198</f>
        <v>2.1898609438300669E-2</v>
      </c>
      <c r="U198" s="4">
        <f>1/PHP!C198</f>
        <v>2.1826912583215105E-2</v>
      </c>
      <c r="V198" s="4">
        <f>1/TWD!B198</f>
        <v>3.1450496917851303E-2</v>
      </c>
      <c r="W198" s="4">
        <f>1/TWD!C198</f>
        <v>3.1450496917851303E-2</v>
      </c>
      <c r="X198" s="4">
        <f>1/TWD!B198</f>
        <v>3.1450496917851303E-2</v>
      </c>
      <c r="Y198" s="4">
        <f>1/TWD!C198</f>
        <v>3.1450496917851303E-2</v>
      </c>
      <c r="Z198" s="4">
        <f>1/ZAR!B198</f>
        <v>0.13536379018612521</v>
      </c>
      <c r="AA198" s="4">
        <f>1/ZAR!C198</f>
        <v>0.13452432199741712</v>
      </c>
    </row>
    <row r="199" spans="1:27" x14ac:dyDescent="0.25">
      <c r="A199" t="str">
        <f>"23/03/2010"</f>
        <v>23/03/2010</v>
      </c>
      <c r="B199" s="3">
        <f>AUD!B199</f>
        <v>0.91720000000000002</v>
      </c>
      <c r="C199" s="3">
        <f>AUD!C199</f>
        <v>0.91400000000000003</v>
      </c>
      <c r="D199" s="3">
        <f>1/CAD!B199</f>
        <v>0.98231827111984282</v>
      </c>
      <c r="E199" s="3">
        <f>1/CAD!C199</f>
        <v>0.98222178567920637</v>
      </c>
      <c r="F199" s="3">
        <f>EUR!B199/1</f>
        <v>1.3554999999999999</v>
      </c>
      <c r="G199" s="3">
        <f>EUR!C199/1</f>
        <v>1.3555999999999999</v>
      </c>
      <c r="H199" s="3">
        <f>GBP!B199/1</f>
        <v>1.5086999999999999</v>
      </c>
      <c r="I199" s="3">
        <f>GBP!C199/1</f>
        <v>1.5084</v>
      </c>
      <c r="J199" s="4">
        <f>1/INR!B199</f>
        <v>2.1982853374367992E-2</v>
      </c>
      <c r="K199" s="4">
        <f>1/INR!C199</f>
        <v>2.1913005368686317E-2</v>
      </c>
      <c r="L199" s="4">
        <f>1/JPY!B199</f>
        <v>1.1074197120708749E-2</v>
      </c>
      <c r="M199" s="4">
        <f>1/JPY!C199</f>
        <v>1.1076503192248221E-2</v>
      </c>
      <c r="N199" s="5">
        <f>1/KRW!B199</f>
        <v>8.8160098739310593E-4</v>
      </c>
      <c r="O199" s="5">
        <f>1/KRW!C199</f>
        <v>8.8158894064305747E-4</v>
      </c>
      <c r="P199" s="3">
        <f>1/NOK!B199</f>
        <v>0.16846361185983827</v>
      </c>
      <c r="Q199" s="3">
        <f>1/NOK!C199</f>
        <v>0.16820574927251014</v>
      </c>
      <c r="R199" s="3">
        <f>NZD!B199/1</f>
        <v>0.70679999999999998</v>
      </c>
      <c r="S199" s="3">
        <f>NZD!C199/1</f>
        <v>0.70530000000000004</v>
      </c>
      <c r="T199" s="4">
        <f>1/PHP!B199</f>
        <v>2.1963540522732264E-2</v>
      </c>
      <c r="U199" s="4">
        <f>1/PHP!C199</f>
        <v>2.188662727073758E-2</v>
      </c>
      <c r="V199" s="4">
        <f>1/TWD!B199</f>
        <v>3.1439125992297416E-2</v>
      </c>
      <c r="W199" s="4">
        <f>1/TWD!C199</f>
        <v>3.1439125992297416E-2</v>
      </c>
      <c r="X199" s="4">
        <f>1/TWD!B199</f>
        <v>3.1439125992297416E-2</v>
      </c>
      <c r="Y199" s="4">
        <f>1/TWD!C199</f>
        <v>3.1439125992297416E-2</v>
      </c>
      <c r="Z199" s="4">
        <f>1/ZAR!B199</f>
        <v>0.13610071452875128</v>
      </c>
      <c r="AA199" s="4">
        <f>1/ZAR!C199</f>
        <v>0.13525028064433234</v>
      </c>
    </row>
    <row r="200" spans="1:27" x14ac:dyDescent="0.25">
      <c r="A200" t="str">
        <f>"25/03/2010"</f>
        <v>25/03/2010</v>
      </c>
      <c r="B200" s="3">
        <f>AUD!B200</f>
        <v>0.91090000000000004</v>
      </c>
      <c r="C200" s="3">
        <f>AUD!C200</f>
        <v>0.90780000000000005</v>
      </c>
      <c r="D200" s="3">
        <f>1/CAD!B200</f>
        <v>0.97723052868171589</v>
      </c>
      <c r="E200" s="3">
        <f>1/CAD!C200</f>
        <v>0.9771350400625366</v>
      </c>
      <c r="F200" s="3">
        <f>EUR!B200/1</f>
        <v>1.3326</v>
      </c>
      <c r="G200" s="3">
        <f>EUR!C200/1</f>
        <v>1.3326</v>
      </c>
      <c r="H200" s="3">
        <f>GBP!B200/1</f>
        <v>1.4897</v>
      </c>
      <c r="I200" s="3">
        <f>GBP!C200/1</f>
        <v>1.4894000000000001</v>
      </c>
      <c r="J200" s="4">
        <f>1/INR!B200</f>
        <v>2.1879444262115744E-2</v>
      </c>
      <c r="K200" s="4">
        <f>1/INR!C200</f>
        <v>2.1810250817884406E-2</v>
      </c>
      <c r="L200" s="4">
        <f>1/JPY!B200</f>
        <v>1.0887316276537834E-2</v>
      </c>
      <c r="M200" s="4">
        <f>1/JPY!C200</f>
        <v>1.0889604456897312E-2</v>
      </c>
      <c r="N200" s="5">
        <f>1/KRW!B200</f>
        <v>8.7726993595929463E-4</v>
      </c>
      <c r="O200" s="5">
        <f>1/KRW!C200</f>
        <v>8.7725800728211871E-4</v>
      </c>
      <c r="P200" s="3">
        <f>1/NOK!B200</f>
        <v>0.16552728717329052</v>
      </c>
      <c r="Q200" s="3">
        <f>1/NOK!C200</f>
        <v>0.16531384834107551</v>
      </c>
      <c r="R200" s="3">
        <f>NZD!B200/1</f>
        <v>0.70299999999999996</v>
      </c>
      <c r="S200" s="3">
        <f>NZD!C200/1</f>
        <v>0.7016</v>
      </c>
      <c r="T200" s="4">
        <f>1/PHP!B200</f>
        <v>2.1910604732690624E-2</v>
      </c>
      <c r="U200" s="4">
        <f>1/PHP!C200</f>
        <v>2.1837398729063394E-2</v>
      </c>
      <c r="V200" s="4">
        <f>1/TWD!B200</f>
        <v>3.1416902293433871E-2</v>
      </c>
      <c r="W200" s="4">
        <f>1/TWD!C200</f>
        <v>3.1416902293433871E-2</v>
      </c>
      <c r="X200" s="4">
        <f>1/TWD!B200</f>
        <v>3.1416902293433871E-2</v>
      </c>
      <c r="Y200" s="4">
        <f>1/TWD!C200</f>
        <v>3.1416902293433871E-2</v>
      </c>
      <c r="Z200" s="4">
        <f>1/ZAR!B200</f>
        <v>0.13504388926401079</v>
      </c>
      <c r="AA200" s="4">
        <f>1/ZAR!C200</f>
        <v>0.13425882416121801</v>
      </c>
    </row>
    <row r="201" spans="1:27" x14ac:dyDescent="0.25">
      <c r="A201" t="str">
        <f>"26/03/2010"</f>
        <v>26/03/2010</v>
      </c>
      <c r="B201" s="3">
        <f>AUD!B201</f>
        <v>0.90900000000000003</v>
      </c>
      <c r="C201" s="3">
        <f>AUD!C201</f>
        <v>0.90600000000000003</v>
      </c>
      <c r="D201" s="3">
        <f>1/CAD!B201</f>
        <v>0.9782821365681863</v>
      </c>
      <c r="E201" s="3">
        <f>1/CAD!C201</f>
        <v>0.9782821365681863</v>
      </c>
      <c r="F201" s="3">
        <f>EUR!B201/1</f>
        <v>1.3327</v>
      </c>
      <c r="G201" s="3">
        <f>EUR!C201/1</f>
        <v>1.3327</v>
      </c>
      <c r="H201" s="3">
        <f>GBP!B201/1</f>
        <v>1.4872000000000001</v>
      </c>
      <c r="I201" s="3">
        <f>GBP!C201/1</f>
        <v>1.4869000000000001</v>
      </c>
      <c r="J201" s="4">
        <f>1/INR!B201</f>
        <v>2.196836555360281E-2</v>
      </c>
      <c r="K201" s="4">
        <f>1/INR!C201</f>
        <v>2.1898609438300669E-2</v>
      </c>
      <c r="L201" s="4">
        <f>1/JPY!B201</f>
        <v>1.081408426334458E-2</v>
      </c>
      <c r="M201" s="4">
        <f>1/JPY!C201</f>
        <v>1.0816014190610618E-2</v>
      </c>
      <c r="N201" s="5">
        <f>1/KRW!B201</f>
        <v>8.7588683542086355E-4</v>
      </c>
      <c r="O201" s="5">
        <f>1/KRW!C201</f>
        <v>8.758749443271988E-4</v>
      </c>
      <c r="P201" s="3">
        <f>1/NOK!B201</f>
        <v>0.16469038208168643</v>
      </c>
      <c r="Q201" s="3">
        <f>1/NOK!C201</f>
        <v>0.16447368421052633</v>
      </c>
      <c r="R201" s="3">
        <f>NZD!B201/1</f>
        <v>0.70540000000000003</v>
      </c>
      <c r="S201" s="3">
        <f>NZD!C201/1</f>
        <v>0.70399999999999996</v>
      </c>
      <c r="T201" s="4">
        <f>1/PHP!B201</f>
        <v>2.195630694917115E-2</v>
      </c>
      <c r="U201" s="4">
        <f>1/PHP!C201</f>
        <v>2.1881359270037856E-2</v>
      </c>
      <c r="V201" s="4">
        <f>1/TWD!B201</f>
        <v>3.137550200803213E-2</v>
      </c>
      <c r="W201" s="4">
        <f>1/TWD!C201</f>
        <v>3.137550200803213E-2</v>
      </c>
      <c r="X201" s="4">
        <f>1/TWD!B201</f>
        <v>3.137550200803213E-2</v>
      </c>
      <c r="Y201" s="4">
        <f>1/TWD!C201</f>
        <v>3.137550200803213E-2</v>
      </c>
      <c r="Z201" s="4">
        <f>1/ZAR!B201</f>
        <v>0.13355592654424039</v>
      </c>
      <c r="AA201" s="4">
        <f>1/ZAR!C201</f>
        <v>0.13281976358082082</v>
      </c>
    </row>
    <row r="202" spans="1:27" x14ac:dyDescent="0.25">
      <c r="A202" t="str">
        <f>"29/03/2010"</f>
        <v>29/03/2010</v>
      </c>
      <c r="B202" s="3">
        <f>AUD!B202</f>
        <v>0.90780000000000005</v>
      </c>
      <c r="C202" s="3">
        <f>AUD!C202</f>
        <v>0.90490000000000004</v>
      </c>
      <c r="D202" s="3">
        <f>1/CAD!B202</f>
        <v>0.97665787674577598</v>
      </c>
      <c r="E202" s="3">
        <f>1/CAD!C202</f>
        <v>0.97665787674577598</v>
      </c>
      <c r="F202" s="3">
        <f>EUR!B202/1</f>
        <v>1.3438000000000001</v>
      </c>
      <c r="G202" s="3">
        <f>EUR!C202/1</f>
        <v>1.3438000000000001</v>
      </c>
      <c r="H202" s="3">
        <f>GBP!B202/1</f>
        <v>1.492</v>
      </c>
      <c r="I202" s="3">
        <f>GBP!C202/1</f>
        <v>1.4917</v>
      </c>
      <c r="J202" s="4">
        <f>1/INR!B202</f>
        <v>2.218770800976259E-2</v>
      </c>
      <c r="K202" s="4">
        <f>1/INR!C202</f>
        <v>2.2114108801415303E-2</v>
      </c>
      <c r="L202" s="4">
        <f>1/JPY!B202</f>
        <v>1.0792143319663286E-2</v>
      </c>
      <c r="M202" s="4">
        <f>1/JPY!C202</f>
        <v>1.079382075349504E-2</v>
      </c>
      <c r="N202" s="5">
        <f>1/KRW!B202</f>
        <v>8.7927547700694631E-4</v>
      </c>
      <c r="O202" s="5">
        <f>1/KRW!C202</f>
        <v>8.7926349372711445E-4</v>
      </c>
      <c r="P202" s="3">
        <f>1/NOK!B202</f>
        <v>0.16570557433552066</v>
      </c>
      <c r="Q202" s="3">
        <f>1/NOK!C202</f>
        <v>0.16548345992818017</v>
      </c>
      <c r="R202" s="3">
        <f>NZD!B202/1</f>
        <v>0.70709999999999995</v>
      </c>
      <c r="S202" s="3">
        <f>NZD!C202/1</f>
        <v>0.70569999999999999</v>
      </c>
      <c r="T202" s="4">
        <f>1/PHP!B202</f>
        <v>2.2055580061755623E-2</v>
      </c>
      <c r="U202" s="4">
        <f>1/PHP!C202</f>
        <v>2.1978988087388459E-2</v>
      </c>
      <c r="V202" s="4">
        <f>1/TWD!B202</f>
        <v>3.1443574505549791E-2</v>
      </c>
      <c r="W202" s="4">
        <f>1/TWD!C202</f>
        <v>3.1443574505549791E-2</v>
      </c>
      <c r="X202" s="4">
        <f>1/TWD!B202</f>
        <v>3.1443574505549791E-2</v>
      </c>
      <c r="Y202" s="4">
        <f>1/TWD!C202</f>
        <v>3.1443574505549791E-2</v>
      </c>
      <c r="Z202" s="4">
        <f>1/ZAR!B202</f>
        <v>0.13468013468013468</v>
      </c>
      <c r="AA202" s="4">
        <f>1/ZAR!C202</f>
        <v>0.13393873642196061</v>
      </c>
    </row>
    <row r="203" spans="1:27" x14ac:dyDescent="0.25">
      <c r="A203" t="str">
        <f>"30/03/2010"</f>
        <v>30/03/2010</v>
      </c>
      <c r="B203" s="3">
        <f>AUD!B203</f>
        <v>0.91839999999999999</v>
      </c>
      <c r="C203" s="3">
        <f>AUD!C203</f>
        <v>0.9153</v>
      </c>
      <c r="D203" s="3">
        <f>1/CAD!B203</f>
        <v>0.97933601018509464</v>
      </c>
      <c r="E203" s="3">
        <f>1/CAD!C203</f>
        <v>0.97933601018509464</v>
      </c>
      <c r="F203" s="3">
        <f>EUR!B203/1</f>
        <v>1.3489</v>
      </c>
      <c r="G203" s="3">
        <f>EUR!C203/1</f>
        <v>1.3489</v>
      </c>
      <c r="H203" s="3">
        <f>GBP!B203/1</f>
        <v>1.4995000000000001</v>
      </c>
      <c r="I203" s="3">
        <f>GBP!C203/1</f>
        <v>1.4992000000000001</v>
      </c>
      <c r="J203" s="4">
        <f>1/INR!B203</f>
        <v>2.2246941045606226E-2</v>
      </c>
      <c r="K203" s="4">
        <f>1/INR!C203</f>
        <v>2.2182786157941437E-2</v>
      </c>
      <c r="L203" s="4">
        <f>1/JPY!B203</f>
        <v>1.0832769126607989E-2</v>
      </c>
      <c r="M203" s="4">
        <f>1/JPY!C203</f>
        <v>1.0834647034286242E-2</v>
      </c>
      <c r="N203" s="5">
        <f>1/KRW!B203</f>
        <v>8.8401697312588397E-4</v>
      </c>
      <c r="O203" s="5">
        <f>1/KRW!C203</f>
        <v>8.8400446952659802E-4</v>
      </c>
      <c r="P203" s="3">
        <f>1/NOK!B203</f>
        <v>0.16774583151608682</v>
      </c>
      <c r="Q203" s="3">
        <f>1/NOK!C203</f>
        <v>0.16752383026485518</v>
      </c>
      <c r="R203" s="3">
        <f>NZD!B203/1</f>
        <v>0.71</v>
      </c>
      <c r="S203" s="3">
        <f>NZD!C203/1</f>
        <v>0.70850000000000002</v>
      </c>
      <c r="T203" s="4">
        <f>1/PHP!B203</f>
        <v>2.2111663902708679E-2</v>
      </c>
      <c r="U203" s="4">
        <f>1/PHP!C203</f>
        <v>2.2036139268400173E-2</v>
      </c>
      <c r="V203" s="4">
        <f>1/TWD!B203</f>
        <v>3.1473263462688444E-2</v>
      </c>
      <c r="W203" s="4">
        <f>1/TWD!C203</f>
        <v>3.1473263462688444E-2</v>
      </c>
      <c r="X203" s="4">
        <f>1/TWD!B203</f>
        <v>3.1473263462688444E-2</v>
      </c>
      <c r="Y203" s="4">
        <f>1/TWD!C203</f>
        <v>3.1473263462688444E-2</v>
      </c>
      <c r="Z203" s="4">
        <f>1/ZAR!B203</f>
        <v>0.13510409770728346</v>
      </c>
      <c r="AA203" s="4">
        <f>1/ZAR!C203</f>
        <v>0.13438331496761363</v>
      </c>
    </row>
    <row r="204" spans="1:27" x14ac:dyDescent="0.25">
      <c r="A204" t="str">
        <f>"31/03/2010"</f>
        <v>31/03/2010</v>
      </c>
      <c r="B204" s="3">
        <f>AUD!B204</f>
        <v>0.9153</v>
      </c>
      <c r="C204" s="3">
        <f>AUD!C204</f>
        <v>0.91220000000000001</v>
      </c>
      <c r="D204" s="3">
        <f>1/CAD!B204</f>
        <v>0.98193244304791838</v>
      </c>
      <c r="E204" s="3">
        <f>1/CAD!C204</f>
        <v>0.98193244304791838</v>
      </c>
      <c r="F204" s="3">
        <f>EUR!B204/1</f>
        <v>1.3402000000000001</v>
      </c>
      <c r="G204" s="3">
        <f>EUR!C204/1</f>
        <v>1.3402000000000001</v>
      </c>
      <c r="H204" s="3">
        <f>GBP!B204/1</f>
        <v>1.5072000000000001</v>
      </c>
      <c r="I204" s="3">
        <f>GBP!C204/1</f>
        <v>1.5068999999999999</v>
      </c>
      <c r="J204" s="4">
        <f>1/INR!B204</f>
        <v>2.2163120567375887E-2</v>
      </c>
      <c r="K204" s="4">
        <f>1/INR!C204</f>
        <v>2.207749199690915E-2</v>
      </c>
      <c r="L204" s="4">
        <f>1/JPY!B204</f>
        <v>1.0714668381013608E-2</v>
      </c>
      <c r="M204" s="4">
        <f>1/JPY!C204</f>
        <v>1.0716241428346387E-2</v>
      </c>
      <c r="N204" s="5">
        <f>1/KRW!B204</f>
        <v>8.8261253309797002E-4</v>
      </c>
      <c r="O204" s="5">
        <f>1/KRW!C204</f>
        <v>8.8259929021365072E-4</v>
      </c>
      <c r="P204" s="3">
        <f>1/NOK!B204</f>
        <v>0.16678897858429517</v>
      </c>
      <c r="Q204" s="3">
        <f>1/NOK!C204</f>
        <v>0.1665639522294585</v>
      </c>
      <c r="R204" s="3">
        <f>NZD!B204/1</f>
        <v>0.7097</v>
      </c>
      <c r="S204" s="3">
        <f>NZD!C204/1</f>
        <v>0.70820000000000005</v>
      </c>
      <c r="T204" s="4">
        <f>1/PHP!B204</f>
        <v>2.2070183182520412E-2</v>
      </c>
      <c r="U204" s="4">
        <f>1/PHP!C204</f>
        <v>2.1994941163532386E-2</v>
      </c>
      <c r="V204" s="4">
        <f>1/TWD!B204</f>
        <v>3.1477226226824896E-2</v>
      </c>
      <c r="W204" s="4">
        <f>1/TWD!C204</f>
        <v>3.1477325308713867E-2</v>
      </c>
      <c r="X204" s="4">
        <f>1/TWD!B204</f>
        <v>3.1477226226824896E-2</v>
      </c>
      <c r="Y204" s="4">
        <f>1/TWD!C204</f>
        <v>3.1477325308713867E-2</v>
      </c>
      <c r="Z204" s="4">
        <f>1/ZAR!B204</f>
        <v>0.13527223537368954</v>
      </c>
      <c r="AA204" s="4">
        <f>1/ZAR!C204</f>
        <v>0.13450441847014674</v>
      </c>
    </row>
    <row r="205" spans="1:27" x14ac:dyDescent="0.25">
      <c r="A205" t="str">
        <f>"05/04/2010"</f>
        <v>05/04/2010</v>
      </c>
      <c r="B205" s="3">
        <f>AUD!B205</f>
        <v>0.92110000000000003</v>
      </c>
      <c r="C205" s="3">
        <f>AUD!C205</f>
        <v>0.91810000000000003</v>
      </c>
      <c r="D205" s="3">
        <f>1/CAD!B205</f>
        <v>0.99206349206349209</v>
      </c>
      <c r="E205" s="3">
        <f>1/CAD!C205</f>
        <v>0.99206349206349209</v>
      </c>
      <c r="F205" s="3">
        <f>EUR!B205/1</f>
        <v>1.3520000000000001</v>
      </c>
      <c r="G205" s="3">
        <f>EUR!C205/1</f>
        <v>1.3520000000000001</v>
      </c>
      <c r="H205" s="3">
        <f>GBP!B205/1</f>
        <v>1.5266</v>
      </c>
      <c r="I205" s="3">
        <f>GBP!C205/1</f>
        <v>1.5263</v>
      </c>
      <c r="J205" s="4">
        <f>1/INR!B205</f>
        <v>2.2348865795060902E-2</v>
      </c>
      <c r="K205" s="4">
        <f>1/INR!C205</f>
        <v>2.2260559853080304E-2</v>
      </c>
      <c r="L205" s="4">
        <f>1/JPY!B205</f>
        <v>1.059658789869662E-2</v>
      </c>
      <c r="M205" s="4">
        <f>1/JPY!C205</f>
        <v>1.0598238784678762E-2</v>
      </c>
      <c r="N205" s="5">
        <f>1/KRW!B205</f>
        <v>8.8723272114275581E-4</v>
      </c>
      <c r="O205" s="5">
        <f>1/KRW!C205</f>
        <v>8.8722091357137467E-4</v>
      </c>
      <c r="P205" s="3">
        <f>1/NOK!B205</f>
        <v>0.168554476806904</v>
      </c>
      <c r="Q205" s="3">
        <f>1/NOK!C205</f>
        <v>0.16831899816532292</v>
      </c>
      <c r="R205" s="3">
        <f>NZD!B205/1</f>
        <v>0.70589999999999997</v>
      </c>
      <c r="S205" s="3">
        <f>NZD!C205/1</f>
        <v>0.70440000000000003</v>
      </c>
      <c r="T205" s="4">
        <f>1/PHP!B205</f>
        <v>2.2188938814001219E-2</v>
      </c>
      <c r="U205" s="4">
        <f>1/PHP!C205</f>
        <v>2.211435332102301E-2</v>
      </c>
      <c r="V205" s="4">
        <f>1/TWD!B205</f>
        <v>3.151591553734636E-2</v>
      </c>
      <c r="W205" s="4">
        <f>1/TWD!C205</f>
        <v>3.151591553734636E-2</v>
      </c>
      <c r="X205" s="4">
        <f>1/TWD!B205</f>
        <v>3.151591553734636E-2</v>
      </c>
      <c r="Y205" s="4">
        <f>1/TWD!C205</f>
        <v>3.151591553734636E-2</v>
      </c>
      <c r="Z205" s="4">
        <f>1/ZAR!B205</f>
        <v>0.13758754007237106</v>
      </c>
      <c r="AA205" s="4">
        <f>1/ZAR!C205</f>
        <v>0.13685319757496134</v>
      </c>
    </row>
    <row r="206" spans="1:27" x14ac:dyDescent="0.25">
      <c r="A206" t="str">
        <f>"06/04/2010"</f>
        <v>06/04/2010</v>
      </c>
      <c r="B206" s="3">
        <f>AUD!B206</f>
        <v>0.91779999999999995</v>
      </c>
      <c r="C206" s="3">
        <f>AUD!C206</f>
        <v>0.91459999999999997</v>
      </c>
      <c r="D206" s="3">
        <f>1/CAD!B206</f>
        <v>0.99571841083341639</v>
      </c>
      <c r="E206" s="3">
        <f>1/CAD!C206</f>
        <v>0.99571841083341639</v>
      </c>
      <c r="F206" s="3">
        <f>EUR!B206/1</f>
        <v>1.3428</v>
      </c>
      <c r="G206" s="3">
        <f>EUR!C206/1</f>
        <v>1.3428</v>
      </c>
      <c r="H206" s="3">
        <f>GBP!B206/1</f>
        <v>1.5228999999999999</v>
      </c>
      <c r="I206" s="3">
        <f>GBP!C206/1</f>
        <v>1.5226</v>
      </c>
      <c r="J206" s="4">
        <f>1/INR!B206</f>
        <v>2.2517451024544024E-2</v>
      </c>
      <c r="K206" s="4">
        <f>1/INR!C206</f>
        <v>2.2424038569346341E-2</v>
      </c>
      <c r="L206" s="4">
        <f>1/JPY!B206</f>
        <v>1.0626427926252589E-2</v>
      </c>
      <c r="M206" s="4">
        <f>1/JPY!C206</f>
        <v>1.0628415707097869E-2</v>
      </c>
      <c r="N206" s="5">
        <f>1/KRW!B206</f>
        <v>8.8979846064866312E-4</v>
      </c>
      <c r="O206" s="5">
        <f>1/KRW!C206</f>
        <v>8.8978698054792199E-4</v>
      </c>
      <c r="P206" s="3">
        <f>1/NOK!B206</f>
        <v>0.16764740397994937</v>
      </c>
      <c r="Q206" s="3">
        <f>1/NOK!C206</f>
        <v>0.16739483419541673</v>
      </c>
      <c r="R206" s="3">
        <f>NZD!B206/1</f>
        <v>0.70199999999999996</v>
      </c>
      <c r="S206" s="3">
        <f>NZD!C206/1</f>
        <v>0.70050000000000001</v>
      </c>
      <c r="T206" s="4">
        <f>1/PHP!B206</f>
        <v>2.2258082466195536E-2</v>
      </c>
      <c r="U206" s="4">
        <f>1/PHP!C206</f>
        <v>2.2184016416172146E-2</v>
      </c>
      <c r="V206" s="4">
        <f>1/TWD!B206</f>
        <v>3.156665298778371E-2</v>
      </c>
      <c r="W206" s="4">
        <f>1/TWD!C206</f>
        <v>3.156665298778371E-2</v>
      </c>
      <c r="X206" s="4">
        <f>1/TWD!B206</f>
        <v>3.156665298778371E-2</v>
      </c>
      <c r="Y206" s="4">
        <f>1/TWD!C206</f>
        <v>3.156665298778371E-2</v>
      </c>
      <c r="Z206" s="4">
        <f>1/ZAR!B206</f>
        <v>0.13831258644536651</v>
      </c>
      <c r="AA206" s="4">
        <f>1/ZAR!C206</f>
        <v>0.13757050488375291</v>
      </c>
    </row>
    <row r="207" spans="1:27" x14ac:dyDescent="0.25">
      <c r="A207" t="str">
        <f>"07/04/2010"</f>
        <v>07/04/2010</v>
      </c>
      <c r="B207" s="3">
        <f>AUD!B207</f>
        <v>0.9274</v>
      </c>
      <c r="C207" s="3">
        <f>AUD!C207</f>
        <v>0.92410000000000003</v>
      </c>
      <c r="D207" s="3">
        <f>1/CAD!B207</f>
        <v>0.99970008997300808</v>
      </c>
      <c r="E207" s="3">
        <f>1/CAD!C207</f>
        <v>0.99970008997300808</v>
      </c>
      <c r="F207" s="3">
        <f>EUR!B207/1</f>
        <v>1.3382000000000001</v>
      </c>
      <c r="G207" s="3">
        <f>EUR!C207/1</f>
        <v>1.3382000000000001</v>
      </c>
      <c r="H207" s="3">
        <f>GBP!B207/1</f>
        <v>1.5245</v>
      </c>
      <c r="I207" s="3">
        <f>GBP!C207/1</f>
        <v>1.5242</v>
      </c>
      <c r="J207" s="4">
        <f>1/INR!B207</f>
        <v>2.2540290769750927E-2</v>
      </c>
      <c r="K207" s="4">
        <f>1/INR!C207</f>
        <v>2.2458031553534329E-2</v>
      </c>
      <c r="L207" s="4">
        <f>1/JPY!B207</f>
        <v>1.0619036747176663E-2</v>
      </c>
      <c r="M207" s="4">
        <f>1/JPY!C207</f>
        <v>1.0621078166886877E-2</v>
      </c>
      <c r="N207" s="5">
        <f>1/KRW!B207</f>
        <v>8.9206066012488853E-4</v>
      </c>
      <c r="O207" s="5">
        <f>1/KRW!C207</f>
        <v>8.9204943987769634E-4</v>
      </c>
      <c r="P207" s="3">
        <f>1/NOK!B207</f>
        <v>0.16755470661170871</v>
      </c>
      <c r="Q207" s="3">
        <f>1/NOK!C207</f>
        <v>0.16731641206685963</v>
      </c>
      <c r="R207" s="3">
        <f>NZD!B207/1</f>
        <v>0.70509999999999995</v>
      </c>
      <c r="S207" s="3">
        <f>NZD!C207/1</f>
        <v>0.7036</v>
      </c>
      <c r="T207" s="4">
        <f>1/PHP!B207</f>
        <v>2.2331397945511387E-2</v>
      </c>
      <c r="U207" s="4">
        <f>1/PHP!C207</f>
        <v>2.2250901161497041E-2</v>
      </c>
      <c r="V207" s="4">
        <f>1/TWD!B207</f>
        <v>3.1670625494853527E-2</v>
      </c>
      <c r="W207" s="4">
        <f>1/TWD!C207</f>
        <v>3.1670625494853527E-2</v>
      </c>
      <c r="X207" s="4">
        <f>1/TWD!B207</f>
        <v>3.1670625494853527E-2</v>
      </c>
      <c r="Y207" s="4">
        <f>1/TWD!C207</f>
        <v>3.1670625494853527E-2</v>
      </c>
      <c r="Z207" s="4">
        <f>1/ZAR!B207</f>
        <v>0.13797861331493619</v>
      </c>
      <c r="AA207" s="4">
        <f>1/ZAR!C207</f>
        <v>0.13718550223612369</v>
      </c>
    </row>
    <row r="208" spans="1:27" x14ac:dyDescent="0.25">
      <c r="A208" t="str">
        <f>"08/04/2010"</f>
        <v>08/04/2010</v>
      </c>
      <c r="B208" s="3">
        <f>AUD!B208</f>
        <v>0.9274</v>
      </c>
      <c r="C208" s="3">
        <f>AUD!C208</f>
        <v>0.92430000000000001</v>
      </c>
      <c r="D208" s="3">
        <f>1/CAD!B208</f>
        <v>0.9942334460131238</v>
      </c>
      <c r="E208" s="3">
        <f>1/CAD!C208</f>
        <v>0.9942334460131238</v>
      </c>
      <c r="F208" s="3">
        <f>EUR!B208/1</f>
        <v>1.333</v>
      </c>
      <c r="G208" s="3">
        <f>EUR!C208/1</f>
        <v>1.333</v>
      </c>
      <c r="H208" s="3">
        <f>GBP!B208/1</f>
        <v>1.5222</v>
      </c>
      <c r="I208" s="3">
        <f>GBP!C208/1</f>
        <v>1.5219</v>
      </c>
      <c r="J208" s="4">
        <f>1/INR!B208</f>
        <v>2.2436616558223019E-2</v>
      </c>
      <c r="K208" s="4">
        <f>1/INR!C208</f>
        <v>2.2366360993066426E-2</v>
      </c>
      <c r="L208" s="4">
        <f>1/JPY!B208</f>
        <v>1.0725010725010725E-2</v>
      </c>
      <c r="M208" s="4">
        <f>1/JPY!C208</f>
        <v>1.0727093097222862E-2</v>
      </c>
      <c r="N208" s="5">
        <f>1/KRW!B208</f>
        <v>8.9070989578694218E-4</v>
      </c>
      <c r="O208" s="5">
        <f>1/KRW!C208</f>
        <v>8.9069958217282601E-4</v>
      </c>
      <c r="P208" s="3">
        <f>1/NOK!B208</f>
        <v>0.16691982840641639</v>
      </c>
      <c r="Q208" s="3">
        <f>1/NOK!C208</f>
        <v>0.16668055671305942</v>
      </c>
      <c r="R208" s="3">
        <f>NZD!B208/1</f>
        <v>0.70479999999999998</v>
      </c>
      <c r="S208" s="3">
        <f>NZD!C208/1</f>
        <v>0.70330000000000004</v>
      </c>
      <c r="T208" s="4">
        <f>1/PHP!B208</f>
        <v>2.231644722160232E-2</v>
      </c>
      <c r="U208" s="4">
        <f>1/PHP!C208</f>
        <v>2.2242982339072022E-2</v>
      </c>
      <c r="V208" s="4">
        <f>1/TWD!B208</f>
        <v>3.1670625494853527E-2</v>
      </c>
      <c r="W208" s="4">
        <f>1/TWD!C208</f>
        <v>3.1670625494853527E-2</v>
      </c>
      <c r="X208" s="4">
        <f>1/TWD!B208</f>
        <v>3.1670625494853527E-2</v>
      </c>
      <c r="Y208" s="4">
        <f>1/TWD!C208</f>
        <v>3.1670625494853527E-2</v>
      </c>
      <c r="Z208" s="4">
        <f>1/ZAR!B208</f>
        <v>0.13642564802182811</v>
      </c>
      <c r="AA208" s="4">
        <f>1/ZAR!C208</f>
        <v>0.13568889250725935</v>
      </c>
    </row>
    <row r="209" spans="1:27" x14ac:dyDescent="0.25">
      <c r="A209" t="str">
        <f>"09/04/2010"</f>
        <v>09/04/2010</v>
      </c>
      <c r="B209" s="3">
        <f>AUD!B209</f>
        <v>0.92800000000000005</v>
      </c>
      <c r="C209" s="3">
        <f>AUD!C209</f>
        <v>0.92500000000000004</v>
      </c>
      <c r="D209" s="3">
        <f>1/CAD!B209</f>
        <v>0.99790440075840736</v>
      </c>
      <c r="E209" s="3">
        <f>1/CAD!C209</f>
        <v>0.99790440075840736</v>
      </c>
      <c r="F209" s="3">
        <f>EUR!B209/1</f>
        <v>1.3360000000000001</v>
      </c>
      <c r="G209" s="3">
        <f>EUR!C209/1</f>
        <v>1.3360000000000001</v>
      </c>
      <c r="H209" s="3">
        <f>GBP!B209/1</f>
        <v>1.5276000000000001</v>
      </c>
      <c r="I209" s="3">
        <f>GBP!C209/1</f>
        <v>1.5273000000000001</v>
      </c>
      <c r="J209" s="4">
        <f>1/INR!B209</f>
        <v>2.2507314877335136E-2</v>
      </c>
      <c r="K209" s="4">
        <f>1/INR!C209</f>
        <v>2.2437875133224882E-2</v>
      </c>
      <c r="L209" s="4">
        <f>1/JPY!B209</f>
        <v>1.0687186063909374E-2</v>
      </c>
      <c r="M209" s="4">
        <f>1/JPY!C209</f>
        <v>1.0689390886439117E-2</v>
      </c>
      <c r="N209" s="5">
        <f>1/KRW!B209</f>
        <v>8.943743851176103E-4</v>
      </c>
      <c r="O209" s="5">
        <f>1/KRW!C209</f>
        <v>8.9436358652319288E-4</v>
      </c>
      <c r="P209" s="3">
        <f>1/NOK!B209</f>
        <v>0.16794867488495516</v>
      </c>
      <c r="Q209" s="3">
        <f>1/NOK!C209</f>
        <v>0.16771207191493642</v>
      </c>
      <c r="R209" s="3">
        <f>NZD!B209/1</f>
        <v>0.70720000000000005</v>
      </c>
      <c r="S209" s="3">
        <f>NZD!C209/1</f>
        <v>0.70579999999999998</v>
      </c>
      <c r="T209" s="4">
        <f>1/PHP!B209</f>
        <v>2.2306491188935983E-2</v>
      </c>
      <c r="U209" s="4">
        <f>1/PHP!C209</f>
        <v>2.2234080398434723E-2</v>
      </c>
      <c r="V209" s="4">
        <f>1/TWD!B209</f>
        <v>3.1681662653656066E-2</v>
      </c>
      <c r="W209" s="4">
        <f>1/TWD!C209</f>
        <v>3.1681662653656066E-2</v>
      </c>
      <c r="X209" s="4">
        <f>1/TWD!B209</f>
        <v>3.1681662653656066E-2</v>
      </c>
      <c r="Y209" s="4">
        <f>1/TWD!C209</f>
        <v>3.1681662653656066E-2</v>
      </c>
      <c r="Z209" s="4">
        <f>1/ZAR!B209</f>
        <v>0.13723068478111705</v>
      </c>
      <c r="AA209" s="4">
        <f>1/ZAR!C209</f>
        <v>0.13649082099228826</v>
      </c>
    </row>
    <row r="210" spans="1:27" x14ac:dyDescent="0.25">
      <c r="A210" t="str">
        <f>"12/04/2010"</f>
        <v>12/04/2010</v>
      </c>
      <c r="B210" s="3">
        <f>AUD!B210</f>
        <v>0.93379999999999996</v>
      </c>
      <c r="C210" s="3">
        <f>AUD!C210</f>
        <v>0.93069999999999997</v>
      </c>
      <c r="D210" s="3">
        <f>1/CAD!B210</f>
        <v>0.99641291351135908</v>
      </c>
      <c r="E210" s="3">
        <f>1/CAD!C210</f>
        <v>0.99641291351135908</v>
      </c>
      <c r="F210" s="3">
        <f>EUR!B210/1</f>
        <v>1.3652</v>
      </c>
      <c r="G210" s="3">
        <f>EUR!C210/1</f>
        <v>1.3652</v>
      </c>
      <c r="H210" s="3">
        <f>GBP!B210/1</f>
        <v>1.5439000000000001</v>
      </c>
      <c r="I210" s="3">
        <f>GBP!C210/1</f>
        <v>1.5436000000000001</v>
      </c>
      <c r="J210" s="4">
        <f>1/INR!B210</f>
        <v>2.2609088853719195E-2</v>
      </c>
      <c r="K210" s="4">
        <f>1/INR!C210</f>
        <v>2.252886510842016E-2</v>
      </c>
      <c r="L210" s="4">
        <f>1/JPY!B210</f>
        <v>1.0736525660296328E-2</v>
      </c>
      <c r="M210" s="4">
        <f>1/JPY!C210</f>
        <v>1.073875088997398E-2</v>
      </c>
      <c r="N210" s="5">
        <f>1/KRW!B210</f>
        <v>8.9750493627714948E-4</v>
      </c>
      <c r="O210" s="5">
        <f>1/KRW!C210</f>
        <v>8.9749486745122672E-4</v>
      </c>
      <c r="P210" s="3">
        <f>1/NOK!B210</f>
        <v>0.17066885122796238</v>
      </c>
      <c r="Q210" s="3">
        <f>1/NOK!C210</f>
        <v>0.17041871879207213</v>
      </c>
      <c r="R210" s="3">
        <f>NZD!B210/1</f>
        <v>0.71589999999999998</v>
      </c>
      <c r="S210" s="3">
        <f>NZD!C210/1</f>
        <v>0.71440000000000003</v>
      </c>
      <c r="T210" s="4">
        <f>1/PHP!B210</f>
        <v>2.2295301265258347E-2</v>
      </c>
      <c r="U210" s="4">
        <f>1/PHP!C210</f>
        <v>2.2222962987655144E-2</v>
      </c>
      <c r="V210" s="4">
        <f>1/TWD!B210</f>
        <v>3.1745023967493097E-2</v>
      </c>
      <c r="W210" s="4">
        <f>1/TWD!C210</f>
        <v>3.1745124742467677E-2</v>
      </c>
      <c r="X210" s="4">
        <f>1/TWD!B210</f>
        <v>3.1745023967493097E-2</v>
      </c>
      <c r="Y210" s="4">
        <f>1/TWD!C210</f>
        <v>3.1745124742467677E-2</v>
      </c>
      <c r="Z210" s="4">
        <f>1/ZAR!B210</f>
        <v>0.1381788033715628</v>
      </c>
      <c r="AA210" s="4">
        <f>1/ZAR!C210</f>
        <v>0.13742493163109651</v>
      </c>
    </row>
    <row r="211" spans="1:27" x14ac:dyDescent="0.25">
      <c r="A211" t="str">
        <f>"13/04/2010"</f>
        <v>13/04/2010</v>
      </c>
      <c r="B211" s="3">
        <f>AUD!B211</f>
        <v>0.92500000000000004</v>
      </c>
      <c r="C211" s="3">
        <f>AUD!C211</f>
        <v>0.92179999999999995</v>
      </c>
      <c r="D211" s="3">
        <f>1/CAD!B211</f>
        <v>0.9959167413604223</v>
      </c>
      <c r="E211" s="3">
        <f>1/CAD!C211</f>
        <v>0.9959167413604223</v>
      </c>
      <c r="F211" s="3">
        <f>EUR!B211/1</f>
        <v>1.3588</v>
      </c>
      <c r="G211" s="3">
        <f>EUR!C211/1</f>
        <v>1.3588</v>
      </c>
      <c r="H211" s="3">
        <f>GBP!B211/1</f>
        <v>1.5359</v>
      </c>
      <c r="I211" s="3">
        <f>GBP!C211/1</f>
        <v>1.5356000000000001</v>
      </c>
      <c r="J211" s="4">
        <f>1/INR!B211</f>
        <v>2.2416498542927595E-2</v>
      </c>
      <c r="K211" s="4">
        <f>1/INR!C211</f>
        <v>2.2347617185317616E-2</v>
      </c>
      <c r="L211" s="4">
        <f>1/JPY!B211</f>
        <v>1.0792143319663286E-2</v>
      </c>
      <c r="M211" s="4">
        <f>1/JPY!C211</f>
        <v>1.0794461577653737E-2</v>
      </c>
      <c r="N211" s="5">
        <f>1/KRW!B211</f>
        <v>8.9277743058655489E-4</v>
      </c>
      <c r="O211" s="5">
        <f>1/KRW!C211</f>
        <v>8.9275774384762693E-4</v>
      </c>
      <c r="P211" s="3">
        <f>1/NOK!B211</f>
        <v>0.16947716295229218</v>
      </c>
      <c r="Q211" s="3">
        <f>1/NOK!C211</f>
        <v>0.16921905406548776</v>
      </c>
      <c r="R211" s="3">
        <f>NZD!B211/1</f>
        <v>0.71279999999999999</v>
      </c>
      <c r="S211" s="3">
        <f>NZD!C211/1</f>
        <v>0.71130000000000004</v>
      </c>
      <c r="T211" s="4">
        <f>1/PHP!B211</f>
        <v>2.2331397945511387E-2</v>
      </c>
      <c r="U211" s="4">
        <f>1/PHP!C211</f>
        <v>2.2258330180069893E-2</v>
      </c>
      <c r="V211" s="4">
        <f>1/TWD!B211</f>
        <v>3.1689694511344908E-2</v>
      </c>
      <c r="W211" s="4">
        <f>1/TWD!C211</f>
        <v>3.1689694511344908E-2</v>
      </c>
      <c r="X211" s="4">
        <f>1/TWD!B211</f>
        <v>3.1689694511344908E-2</v>
      </c>
      <c r="Y211" s="4">
        <f>1/TWD!C211</f>
        <v>3.1689694511344908E-2</v>
      </c>
      <c r="Z211" s="4">
        <f>1/ZAR!B211</f>
        <v>0.13689253935660506</v>
      </c>
      <c r="AA211" s="4">
        <f>1/ZAR!C211</f>
        <v>0.13617484850548103</v>
      </c>
    </row>
    <row r="212" spans="1:27" x14ac:dyDescent="0.25">
      <c r="A212" t="str">
        <f>"15/04/2010"</f>
        <v>15/04/2010</v>
      </c>
      <c r="B212" s="3">
        <f>AUD!B212</f>
        <v>0.93430000000000002</v>
      </c>
      <c r="C212" s="3">
        <f>AUD!C212</f>
        <v>0.93110000000000004</v>
      </c>
      <c r="D212" s="3">
        <f>1/CAD!B212</f>
        <v>1.002707309736288</v>
      </c>
      <c r="E212" s="3">
        <f>1/CAD!C212</f>
        <v>1.002707309736288</v>
      </c>
      <c r="F212" s="3">
        <f>EUR!B212/1</f>
        <v>1.3648</v>
      </c>
      <c r="G212" s="3">
        <f>EUR!C212/1</f>
        <v>1.3648</v>
      </c>
      <c r="H212" s="3">
        <f>GBP!B212/1</f>
        <v>1.5507</v>
      </c>
      <c r="I212" s="3">
        <f>GBP!C212/1</f>
        <v>1.5505</v>
      </c>
      <c r="J212" s="4">
        <f>1/INR!B212</f>
        <v>2.2593764121102578E-2</v>
      </c>
      <c r="K212" s="4">
        <f>1/INR!C212</f>
        <v>2.2514916131937408E-2</v>
      </c>
      <c r="L212" s="4">
        <f>1/JPY!B212</f>
        <v>1.0702054794520547E-2</v>
      </c>
      <c r="M212" s="4">
        <f>1/JPY!C212</f>
        <v>1.0704345964461572E-2</v>
      </c>
      <c r="N212" s="5">
        <f>1/KRW!B212</f>
        <v>9.0179457119668135E-4</v>
      </c>
      <c r="O212" s="5">
        <f>1/KRW!C212</f>
        <v>9.0177790021917718E-4</v>
      </c>
      <c r="P212" s="3">
        <f>1/NOK!B212</f>
        <v>0.17081169718502323</v>
      </c>
      <c r="Q212" s="3">
        <f>1/NOK!C212</f>
        <v>0.17054951052290479</v>
      </c>
      <c r="R212" s="3">
        <f>NZD!B212/1</f>
        <v>0.71430000000000005</v>
      </c>
      <c r="S212" s="3">
        <f>NZD!C212/1</f>
        <v>0.71279999999999999</v>
      </c>
      <c r="T212" s="4">
        <f>1/PHP!B212</f>
        <v>2.2552999548940009E-2</v>
      </c>
      <c r="U212" s="4">
        <f>1/PHP!C212</f>
        <v>2.2475950732715994E-2</v>
      </c>
      <c r="V212" s="4">
        <f>1/TWD!B212</f>
        <v>3.1881655295542946E-2</v>
      </c>
      <c r="W212" s="4">
        <f>1/TWD!C212</f>
        <v>3.1881655295542946E-2</v>
      </c>
      <c r="X212" s="4">
        <f>1/TWD!B212</f>
        <v>3.1881655295542946E-2</v>
      </c>
      <c r="Y212" s="4">
        <f>1/TWD!C212</f>
        <v>3.1881655295542946E-2</v>
      </c>
      <c r="Z212" s="4">
        <f>1/ZAR!B212</f>
        <v>0.13642564802182811</v>
      </c>
      <c r="AA212" s="4">
        <f>1/ZAR!C212</f>
        <v>0.13568889250725935</v>
      </c>
    </row>
    <row r="213" spans="1:27" x14ac:dyDescent="0.25">
      <c r="A213" t="str">
        <f>"16/04/2010"</f>
        <v>16/04/2010</v>
      </c>
      <c r="B213" s="3">
        <f>AUD!B213</f>
        <v>0.93089999999999995</v>
      </c>
      <c r="C213" s="3">
        <f>AUD!C213</f>
        <v>0.92779999999999996</v>
      </c>
      <c r="D213" s="3">
        <f>1/CAD!B213</f>
        <v>0.99581756622186812</v>
      </c>
      <c r="E213" s="3">
        <f>1/CAD!C213</f>
        <v>0.99581756622186812</v>
      </c>
      <c r="F213" s="3">
        <f>EUR!B213/1</f>
        <v>1.3552999999999999</v>
      </c>
      <c r="G213" s="3">
        <f>EUR!C213/1</f>
        <v>1.3552999999999999</v>
      </c>
      <c r="H213" s="3">
        <f>GBP!B213/1</f>
        <v>1.5431999999999999</v>
      </c>
      <c r="I213" s="3">
        <f>GBP!C213/1</f>
        <v>1.5429999999999999</v>
      </c>
      <c r="J213" s="4">
        <f>1/INR!B213</f>
        <v>2.2464337863641468E-2</v>
      </c>
      <c r="K213" s="4">
        <f>1/INR!C213</f>
        <v>2.2393908856790951E-2</v>
      </c>
      <c r="L213" s="4">
        <f>1/JPY!B213</f>
        <v>1.07863229425089E-2</v>
      </c>
      <c r="M213" s="4">
        <f>1/JPY!C213</f>
        <v>1.0788661979352659E-2</v>
      </c>
      <c r="N213" s="5">
        <f>1/KRW!B213</f>
        <v>8.971828458639872E-4</v>
      </c>
      <c r="O213" s="5">
        <f>1/KRW!C213</f>
        <v>8.971663449577681E-4</v>
      </c>
      <c r="P213" s="3">
        <f>1/NOK!B213</f>
        <v>0.17042162309553838</v>
      </c>
      <c r="Q213" s="3">
        <f>1/NOK!C213</f>
        <v>0.17017511018838385</v>
      </c>
      <c r="R213" s="3">
        <f>NZD!B213/1</f>
        <v>0.71099999999999997</v>
      </c>
      <c r="S213" s="3">
        <f>NZD!C213/1</f>
        <v>0.70960000000000001</v>
      </c>
      <c r="T213" s="4">
        <f>1/PHP!B213</f>
        <v>2.2487069934787499E-2</v>
      </c>
      <c r="U213" s="4">
        <f>1/PHP!C213</f>
        <v>2.2413986327468341E-2</v>
      </c>
      <c r="V213" s="4">
        <f>1/TWD!B213</f>
        <v>3.1880638888003313E-2</v>
      </c>
      <c r="W213" s="4">
        <f>1/TWD!C213</f>
        <v>3.1880638888003313E-2</v>
      </c>
      <c r="X213" s="4">
        <f>1/TWD!B213</f>
        <v>3.1880638888003313E-2</v>
      </c>
      <c r="Y213" s="4">
        <f>1/TWD!C213</f>
        <v>3.1880638888003313E-2</v>
      </c>
      <c r="Z213" s="4">
        <f>1/ZAR!B213</f>
        <v>0.13600261125013599</v>
      </c>
      <c r="AA213" s="4">
        <f>1/ZAR!C213</f>
        <v>0.13529419723188071</v>
      </c>
    </row>
    <row r="214" spans="1:27" x14ac:dyDescent="0.25">
      <c r="A214" t="str">
        <f>"19/04/2010"</f>
        <v>19/04/2010</v>
      </c>
      <c r="B214" s="3">
        <f>AUD!B214</f>
        <v>0.91859999999999997</v>
      </c>
      <c r="C214" s="3">
        <f>AUD!C214</f>
        <v>0.91549999999999998</v>
      </c>
      <c r="D214" s="3">
        <f>1/CAD!B214</f>
        <v>0.98318749385507831</v>
      </c>
      <c r="E214" s="3">
        <f>1/CAD!C214</f>
        <v>0.98318749385507831</v>
      </c>
      <c r="F214" s="3">
        <f>EUR!B214/1</f>
        <v>1.3455999999999999</v>
      </c>
      <c r="G214" s="3">
        <f>EUR!C214/1</f>
        <v>1.3456999999999999</v>
      </c>
      <c r="H214" s="3">
        <f>GBP!B214/1</f>
        <v>1.5249999999999999</v>
      </c>
      <c r="I214" s="3">
        <f>GBP!C214/1</f>
        <v>1.5247999999999999</v>
      </c>
      <c r="J214" s="4">
        <f>1/INR!B214</f>
        <v>2.2421524663677129E-2</v>
      </c>
      <c r="K214" s="4">
        <f>1/INR!C214</f>
        <v>2.2348865795060902E-2</v>
      </c>
      <c r="L214" s="4">
        <f>1/JPY!B214</f>
        <v>1.0874293170943889E-2</v>
      </c>
      <c r="M214" s="4">
        <f>1/JPY!C214</f>
        <v>1.0876540390032738E-2</v>
      </c>
      <c r="N214" s="5">
        <f>1/KRW!B214</f>
        <v>8.9461442118446953E-4</v>
      </c>
      <c r="O214" s="5">
        <f>1/KRW!C214</f>
        <v>8.946054575227014E-4</v>
      </c>
      <c r="P214" s="3">
        <f>1/NOK!B214</f>
        <v>0.16883621199074778</v>
      </c>
      <c r="Q214" s="3">
        <f>1/NOK!C214</f>
        <v>0.16859710350176182</v>
      </c>
      <c r="R214" s="3">
        <f>NZD!B214/1</f>
        <v>0.7077</v>
      </c>
      <c r="S214" s="3">
        <f>NZD!C214/1</f>
        <v>0.70620000000000005</v>
      </c>
      <c r="T214" s="4">
        <f>1/PHP!B214</f>
        <v>2.2421524663677129E-2</v>
      </c>
      <c r="U214" s="4">
        <f>1/PHP!C214</f>
        <v>2.2347367480110843E-2</v>
      </c>
      <c r="V214" s="4">
        <f>1/TWD!B214</f>
        <v>3.1811674884682679E-2</v>
      </c>
      <c r="W214" s="4">
        <f>1/TWD!C214</f>
        <v>3.1811674884682679E-2</v>
      </c>
      <c r="X214" s="4">
        <f>1/TWD!B214</f>
        <v>3.1811674884682679E-2</v>
      </c>
      <c r="Y214" s="4">
        <f>1/TWD!C214</f>
        <v>3.1811674884682679E-2</v>
      </c>
      <c r="Z214" s="4">
        <f>1/ZAR!B214</f>
        <v>0.13441763559378991</v>
      </c>
      <c r="AA214" s="4">
        <f>1/ZAR!C214</f>
        <v>0.13372201866759381</v>
      </c>
    </row>
    <row r="215" spans="1:27" x14ac:dyDescent="0.25">
      <c r="A215" t="str">
        <f>"20/04/2010"</f>
        <v>20/04/2010</v>
      </c>
      <c r="B215" s="3">
        <f>AUD!B215</f>
        <v>0.92669999999999997</v>
      </c>
      <c r="C215" s="3">
        <f>AUD!C215</f>
        <v>0.92349999999999999</v>
      </c>
      <c r="D215" s="3">
        <f>1/CAD!B215</f>
        <v>0.98590160701961949</v>
      </c>
      <c r="E215" s="3">
        <f>1/CAD!C215</f>
        <v>0.98590160701961949</v>
      </c>
      <c r="F215" s="3">
        <f>EUR!B215/1</f>
        <v>1.3473999999999999</v>
      </c>
      <c r="G215" s="3">
        <f>EUR!C215/1</f>
        <v>1.3474999999999999</v>
      </c>
      <c r="H215" s="3">
        <f>GBP!B215/1</f>
        <v>1.5317000000000001</v>
      </c>
      <c r="I215" s="3">
        <f>GBP!C215/1</f>
        <v>1.5314000000000001</v>
      </c>
      <c r="J215" s="4">
        <f>1/INR!B215</f>
        <v>2.243158366980709E-2</v>
      </c>
      <c r="K215" s="4">
        <f>1/INR!C215</f>
        <v>2.23563603845294E-2</v>
      </c>
      <c r="L215" s="4">
        <f>1/JPY!B215</f>
        <v>1.0802635843145728E-2</v>
      </c>
      <c r="M215" s="4">
        <f>1/JPY!C215</f>
        <v>1.0805110385007694E-2</v>
      </c>
      <c r="N215" s="5">
        <f>1/KRW!B215</f>
        <v>8.9621796020792266E-4</v>
      </c>
      <c r="O215" s="5">
        <f>1/KRW!C215</f>
        <v>8.9620960693680574E-4</v>
      </c>
      <c r="P215" s="3">
        <f>1/NOK!B215</f>
        <v>0.16888468553671554</v>
      </c>
      <c r="Q215" s="3">
        <f>1/NOK!C215</f>
        <v>0.16864259574683371</v>
      </c>
      <c r="R215" s="3">
        <f>NZD!B215/1</f>
        <v>0.70930000000000004</v>
      </c>
      <c r="S215" s="3">
        <f>NZD!C215/1</f>
        <v>0.70779999999999998</v>
      </c>
      <c r="T215" s="4">
        <f>1/PHP!B215</f>
        <v>2.2417754861850585E-2</v>
      </c>
      <c r="U215" s="4">
        <f>1/PHP!C215</f>
        <v>2.2342624141205386E-2</v>
      </c>
      <c r="V215" s="4">
        <f>1/TWD!B215</f>
        <v>3.1816735602927138E-2</v>
      </c>
      <c r="W215" s="4">
        <f>1/TWD!C215</f>
        <v>3.1816836833715667E-2</v>
      </c>
      <c r="X215" s="4">
        <f>1/TWD!B215</f>
        <v>3.1816735602927138E-2</v>
      </c>
      <c r="Y215" s="4">
        <f>1/TWD!C215</f>
        <v>3.1816836833715667E-2</v>
      </c>
      <c r="Z215" s="4">
        <f>1/ZAR!B215</f>
        <v>0.13422818791946309</v>
      </c>
      <c r="AA215" s="4">
        <f>1/ZAR!C215</f>
        <v>0.13352739314470363</v>
      </c>
    </row>
    <row r="216" spans="1:27" x14ac:dyDescent="0.25">
      <c r="A216" t="str">
        <f>"21/04/2010"</f>
        <v>21/04/2010</v>
      </c>
      <c r="B216" s="3">
        <f>AUD!B216</f>
        <v>0.93130000000000002</v>
      </c>
      <c r="C216" s="3">
        <f>AUD!C216</f>
        <v>0.92789999999999995</v>
      </c>
      <c r="D216" s="3">
        <f>1/CAD!B216</f>
        <v>1.0030090270812437</v>
      </c>
      <c r="E216" s="3">
        <f>1/CAD!C216</f>
        <v>1.0031096398836392</v>
      </c>
      <c r="F216" s="3">
        <f>EUR!B216/1</f>
        <v>1.3419000000000001</v>
      </c>
      <c r="G216" s="3">
        <f>EUR!C216/1</f>
        <v>1.3420000000000001</v>
      </c>
      <c r="H216" s="3">
        <f>GBP!B216/1</f>
        <v>1.5358000000000001</v>
      </c>
      <c r="I216" s="3">
        <f>GBP!C216/1</f>
        <v>1.5356000000000001</v>
      </c>
      <c r="J216" s="4">
        <f>1/INR!B216</f>
        <v>2.2519986488008105E-2</v>
      </c>
      <c r="K216" s="4">
        <f>1/INR!C216</f>
        <v>2.2444170126809562E-2</v>
      </c>
      <c r="L216" s="4">
        <f>1/JPY!B216</f>
        <v>1.0728002231424465E-2</v>
      </c>
      <c r="M216" s="4">
        <f>1/JPY!C216</f>
        <v>1.0730396638381341E-2</v>
      </c>
      <c r="N216" s="5">
        <f>1/KRW!B216</f>
        <v>9.0122566690699357E-4</v>
      </c>
      <c r="O216" s="5">
        <f>1/KRW!C216</f>
        <v>9.0120958548144158E-4</v>
      </c>
      <c r="P216" s="3">
        <f>1/NOK!B216</f>
        <v>0.16915894174166046</v>
      </c>
      <c r="Q216" s="3">
        <f>1/NOK!C216</f>
        <v>0.16889039013680121</v>
      </c>
      <c r="R216" s="3">
        <f>NZD!B216/1</f>
        <v>0.71060000000000001</v>
      </c>
      <c r="S216" s="3">
        <f>NZD!C216/1</f>
        <v>0.70899999999999996</v>
      </c>
      <c r="T216" s="4">
        <f>1/PHP!B216</f>
        <v>2.2497187851518559E-2</v>
      </c>
      <c r="U216" s="4">
        <f>1/PHP!C216</f>
        <v>2.2417503586800575E-2</v>
      </c>
      <c r="V216" s="4">
        <f>1/TWD!B216</f>
        <v>3.1887755102040817E-2</v>
      </c>
      <c r="W216" s="4">
        <f>1/TWD!C216</f>
        <v>3.1887755102040817E-2</v>
      </c>
      <c r="X216" s="4">
        <f>1/TWD!B216</f>
        <v>3.1887755102040817E-2</v>
      </c>
      <c r="Y216" s="4">
        <f>1/TWD!C216</f>
        <v>3.1887755102040817E-2</v>
      </c>
      <c r="Z216" s="4">
        <f>1/ZAR!B216</f>
        <v>0.13533081618015239</v>
      </c>
      <c r="AA216" s="4">
        <f>1/ZAR!C216</f>
        <v>0.13457682317951203</v>
      </c>
    </row>
    <row r="217" spans="1:27" x14ac:dyDescent="0.25">
      <c r="A217" t="str">
        <f>"22/04/2010"</f>
        <v>22/04/2010</v>
      </c>
      <c r="B217" s="3">
        <f>AUD!B217</f>
        <v>0.92569999999999997</v>
      </c>
      <c r="C217" s="3">
        <f>AUD!C217</f>
        <v>0.92249999999999999</v>
      </c>
      <c r="D217" s="3">
        <f>1/CAD!B217</f>
        <v>1.0002000400080016</v>
      </c>
      <c r="E217" s="3">
        <f>1/CAD!C217</f>
        <v>1.0002000400080016</v>
      </c>
      <c r="F217" s="3">
        <f>EUR!B217/1</f>
        <v>1.3387</v>
      </c>
      <c r="G217" s="3">
        <f>EUR!C217/1</f>
        <v>1.3388</v>
      </c>
      <c r="H217" s="3">
        <f>GBP!B217/1</f>
        <v>1.5422</v>
      </c>
      <c r="I217" s="3">
        <f>GBP!C217/1</f>
        <v>1.542</v>
      </c>
      <c r="J217" s="4">
        <f>1/INR!B217</f>
        <v>2.244165170556553E-2</v>
      </c>
      <c r="K217" s="4">
        <f>1/INR!C217</f>
        <v>2.2367611698260917E-2</v>
      </c>
      <c r="L217" s="4">
        <f>1/JPY!B217</f>
        <v>1.0775862068965518E-2</v>
      </c>
      <c r="M217" s="4">
        <f>1/JPY!C217</f>
        <v>1.0778266272756961E-2</v>
      </c>
      <c r="N217" s="5">
        <f>1/KRW!B217</f>
        <v>8.9952325267608161E-4</v>
      </c>
      <c r="O217" s="5">
        <f>1/KRW!C217</f>
        <v>8.9951435220124649E-4</v>
      </c>
      <c r="P217" s="3">
        <f>1/NOK!B217</f>
        <v>0.16890750624957773</v>
      </c>
      <c r="Q217" s="3">
        <f>1/NOK!C217</f>
        <v>0.16865681710854755</v>
      </c>
      <c r="R217" s="3">
        <f>NZD!B217/1</f>
        <v>0.71050000000000002</v>
      </c>
      <c r="S217" s="3">
        <f>NZD!C217/1</f>
        <v>0.70899999999999996</v>
      </c>
      <c r="T217" s="4">
        <f>1/PHP!B217</f>
        <v>2.2522522522522525E-2</v>
      </c>
      <c r="U217" s="4">
        <f>1/PHP!C217</f>
        <v>2.2445681450888849E-2</v>
      </c>
      <c r="V217" s="4">
        <f>1/TWD!B217</f>
        <v>3.1859309290174588E-2</v>
      </c>
      <c r="W217" s="4">
        <f>1/TWD!C217</f>
        <v>3.1859309290174588E-2</v>
      </c>
      <c r="X217" s="4">
        <f>1/TWD!B217</f>
        <v>3.1859309290174588E-2</v>
      </c>
      <c r="Y217" s="4">
        <f>1/TWD!C217</f>
        <v>3.1859309290174588E-2</v>
      </c>
      <c r="Z217" s="4">
        <f>1/ZAR!B217</f>
        <v>0.13428226131328053</v>
      </c>
      <c r="AA217" s="4">
        <f>1/ZAR!C217</f>
        <v>0.13356306179962871</v>
      </c>
    </row>
    <row r="218" spans="1:27" x14ac:dyDescent="0.25">
      <c r="A218" t="str">
        <f>"23/04/2010"</f>
        <v>23/04/2010</v>
      </c>
      <c r="B218" s="3">
        <f>AUD!B218</f>
        <v>0.92220000000000002</v>
      </c>
      <c r="C218" s="3">
        <f>AUD!C218</f>
        <v>0.91910000000000003</v>
      </c>
      <c r="D218" s="3">
        <f>1/CAD!B218</f>
        <v>0.99681020733652304</v>
      </c>
      <c r="E218" s="3">
        <f>1/CAD!C218</f>
        <v>0.99690958030106658</v>
      </c>
      <c r="F218" s="3">
        <f>EUR!B218/1</f>
        <v>1.3220000000000001</v>
      </c>
      <c r="G218" s="3">
        <f>EUR!C218/1</f>
        <v>1.3220000000000001</v>
      </c>
      <c r="H218" s="3">
        <f>GBP!B218/1</f>
        <v>1.5338000000000001</v>
      </c>
      <c r="I218" s="3">
        <f>GBP!C218/1</f>
        <v>1.5336000000000001</v>
      </c>
      <c r="J218" s="4">
        <f>1/INR!B218</f>
        <v>2.2421524663677129E-2</v>
      </c>
      <c r="K218" s="4">
        <f>1/INR!C218</f>
        <v>2.23563603845294E-2</v>
      </c>
      <c r="L218" s="4">
        <f>1/JPY!B218</f>
        <v>1.0698619878035734E-2</v>
      </c>
      <c r="M218" s="4">
        <f>1/JPY!C218</f>
        <v>1.0700932479256242E-2</v>
      </c>
      <c r="N218" s="5">
        <f>1/KRW!B218</f>
        <v>9.0000900009000093E-4</v>
      </c>
      <c r="O218" s="5">
        <f>1/KRW!C218</f>
        <v>8.9999895600121108E-4</v>
      </c>
      <c r="P218" s="3">
        <f>1/NOK!B218</f>
        <v>0.16783592360108759</v>
      </c>
      <c r="Q218" s="3">
        <f>1/NOK!C218</f>
        <v>0.16758840288252053</v>
      </c>
      <c r="R218" s="3">
        <f>NZD!B218/1</f>
        <v>0.71079999999999999</v>
      </c>
      <c r="S218" s="3">
        <f>NZD!C218/1</f>
        <v>0.70940000000000003</v>
      </c>
      <c r="T218" s="4">
        <f>1/PHP!B218</f>
        <v>2.2509848058525607E-2</v>
      </c>
      <c r="U218" s="4">
        <f>1/PHP!C218</f>
        <v>2.2429571146599676E-2</v>
      </c>
      <c r="V218" s="4">
        <f>1/TWD!B218</f>
        <v>3.1889788889597551E-2</v>
      </c>
      <c r="W218" s="4">
        <f>1/TWD!C218</f>
        <v>3.1889788889597551E-2</v>
      </c>
      <c r="X218" s="4">
        <f>1/TWD!B218</f>
        <v>3.1889788889597551E-2</v>
      </c>
      <c r="Y218" s="4">
        <f>1/TWD!C218</f>
        <v>3.1889788889597551E-2</v>
      </c>
      <c r="Z218" s="4">
        <f>1/ZAR!B218</f>
        <v>0.13328357413232395</v>
      </c>
      <c r="AA218" s="4">
        <f>1/ZAR!C218</f>
        <v>0.1325943408735315</v>
      </c>
    </row>
    <row r="219" spans="1:27" x14ac:dyDescent="0.25">
      <c r="A219" t="str">
        <f>"26/04/2010"</f>
        <v>26/04/2010</v>
      </c>
      <c r="B219" s="3">
        <f>AUD!B219</f>
        <v>0.92800000000000005</v>
      </c>
      <c r="C219" s="3">
        <f>AUD!C219</f>
        <v>0.92490000000000006</v>
      </c>
      <c r="D219" s="3">
        <f>1/CAD!B219</f>
        <v>1.0011012113324658</v>
      </c>
      <c r="E219" s="3">
        <f>1/CAD!C219</f>
        <v>1.0011012113324658</v>
      </c>
      <c r="F219" s="3">
        <f>EUR!B219/1</f>
        <v>1.3366</v>
      </c>
      <c r="G219" s="3">
        <f>EUR!C219/1</f>
        <v>1.3367</v>
      </c>
      <c r="H219" s="3">
        <f>GBP!B219/1</f>
        <v>1.5424</v>
      </c>
      <c r="I219" s="3">
        <f>GBP!C219/1</f>
        <v>1.5422</v>
      </c>
      <c r="J219" s="4">
        <f>1/INR!B219</f>
        <v>2.257081593499605E-2</v>
      </c>
      <c r="K219" s="4">
        <f>1/INR!C219</f>
        <v>2.2502250225022502E-2</v>
      </c>
      <c r="L219" s="4">
        <f>1/JPY!B219</f>
        <v>1.0612331529236973E-2</v>
      </c>
      <c r="M219" s="4">
        <f>1/JPY!C219</f>
        <v>1.0614606972947612E-2</v>
      </c>
      <c r="N219" s="5">
        <f>1/KRW!B219</f>
        <v>9.0571506204148184E-4</v>
      </c>
      <c r="O219" s="5">
        <f>1/KRW!C219</f>
        <v>9.0570464410019019E-4</v>
      </c>
      <c r="P219" s="3">
        <f>1/NOK!B219</f>
        <v>0.16944557408160499</v>
      </c>
      <c r="Q219" s="3">
        <f>1/NOK!C219</f>
        <v>0.16919614909564656</v>
      </c>
      <c r="R219" s="3">
        <f>NZD!B219/1</f>
        <v>0.71899999999999997</v>
      </c>
      <c r="S219" s="3">
        <f>NZD!C219/1</f>
        <v>0.71760000000000002</v>
      </c>
      <c r="T219" s="4">
        <f>1/PHP!B219</f>
        <v>2.2615480296262792E-2</v>
      </c>
      <c r="U219" s="4">
        <f>1/PHP!C219</f>
        <v>2.2539020679551474E-2</v>
      </c>
      <c r="V219" s="4">
        <f>1/TWD!B219</f>
        <v>3.1938677738741615E-2</v>
      </c>
      <c r="W219" s="4">
        <f>1/TWD!C219</f>
        <v>3.1938677738741615E-2</v>
      </c>
      <c r="X219" s="4">
        <f>1/TWD!B219</f>
        <v>3.1938677738741615E-2</v>
      </c>
      <c r="Y219" s="4">
        <f>1/TWD!C219</f>
        <v>3.1938677738741615E-2</v>
      </c>
      <c r="Z219" s="4">
        <f>1/ZAR!B219</f>
        <v>0.1340662287169862</v>
      </c>
      <c r="AA219" s="4">
        <f>1/ZAR!C219</f>
        <v>0.13336711967031648</v>
      </c>
    </row>
    <row r="220" spans="1:27" x14ac:dyDescent="0.25">
      <c r="A220" t="str">
        <f>"27/04/2010"</f>
        <v>27/04/2010</v>
      </c>
      <c r="B220" s="3">
        <f>AUD!B220</f>
        <v>0.9254</v>
      </c>
      <c r="C220" s="3">
        <f>AUD!C220</f>
        <v>0.9224</v>
      </c>
      <c r="D220" s="3">
        <f>1/CAD!B220</f>
        <v>0.99880143827407097</v>
      </c>
      <c r="E220" s="3">
        <f>1/CAD!C220</f>
        <v>0.99880143827407097</v>
      </c>
      <c r="F220" s="3">
        <f>EUR!B220/1</f>
        <v>1.3373999999999999</v>
      </c>
      <c r="G220" s="3">
        <f>EUR!C220/1</f>
        <v>1.3374999999999999</v>
      </c>
      <c r="H220" s="3">
        <f>GBP!B220/1</f>
        <v>1.5448</v>
      </c>
      <c r="I220" s="3">
        <f>GBP!C220/1</f>
        <v>1.5446</v>
      </c>
      <c r="J220" s="4">
        <f>1/INR!B220</f>
        <v>2.2487069934787499E-2</v>
      </c>
      <c r="K220" s="4">
        <f>1/INR!C220</f>
        <v>2.2416498542927595E-2</v>
      </c>
      <c r="L220" s="4">
        <f>1/JPY!B220</f>
        <v>1.0655301012253596E-2</v>
      </c>
      <c r="M220" s="4">
        <f>1/JPY!C220</f>
        <v>1.0657401832007375E-2</v>
      </c>
      <c r="N220" s="5">
        <f>1/KRW!B220</f>
        <v>9.0440444966989229E-4</v>
      </c>
      <c r="O220" s="5">
        <f>1/KRW!C220</f>
        <v>9.0439872407427997E-4</v>
      </c>
      <c r="P220" s="3">
        <f>1/NOK!B220</f>
        <v>0.17031713049698538</v>
      </c>
      <c r="Q220" s="3">
        <f>1/NOK!C220</f>
        <v>0.1700651349466846</v>
      </c>
      <c r="R220" s="3">
        <f>NZD!B220/1</f>
        <v>0.72070000000000001</v>
      </c>
      <c r="S220" s="3">
        <f>NZD!C220/1</f>
        <v>0.71930000000000005</v>
      </c>
      <c r="T220" s="4">
        <f>1/PHP!B220</f>
        <v>2.257081593499605E-2</v>
      </c>
      <c r="U220" s="4">
        <f>1/PHP!C220</f>
        <v>2.2494657518839275E-2</v>
      </c>
      <c r="V220" s="4">
        <f>1/TWD!B220</f>
        <v>3.1963178418461934E-2</v>
      </c>
      <c r="W220" s="4">
        <f>1/TWD!C220</f>
        <v>3.1963280583265939E-2</v>
      </c>
      <c r="X220" s="4">
        <f>1/TWD!B220</f>
        <v>3.1963178418461934E-2</v>
      </c>
      <c r="Y220" s="4">
        <f>1/TWD!C220</f>
        <v>3.1963280583265939E-2</v>
      </c>
      <c r="Z220" s="4">
        <f>1/ZAR!B220</f>
        <v>0.13587694983423013</v>
      </c>
      <c r="AA220" s="4">
        <f>1/ZAR!C220</f>
        <v>0.13519176952507131</v>
      </c>
    </row>
    <row r="221" spans="1:27" x14ac:dyDescent="0.25">
      <c r="A221" t="str">
        <f>"28/04/2010"</f>
        <v>28/04/2010</v>
      </c>
      <c r="B221" s="3">
        <f>AUD!B221</f>
        <v>0.92230000000000001</v>
      </c>
      <c r="C221" s="3">
        <f>AUD!C221</f>
        <v>0.9194</v>
      </c>
      <c r="D221" s="3">
        <f>1/CAD!B221</f>
        <v>0.98706939097818591</v>
      </c>
      <c r="E221" s="3">
        <f>1/CAD!C221</f>
        <v>0.98716683119447202</v>
      </c>
      <c r="F221" s="3">
        <f>EUR!B221/1</f>
        <v>1.3209</v>
      </c>
      <c r="G221" s="3">
        <f>EUR!C221/1</f>
        <v>1.321</v>
      </c>
      <c r="H221" s="3">
        <f>GBP!B221/1</f>
        <v>1.5278</v>
      </c>
      <c r="I221" s="3">
        <f>GBP!C221/1</f>
        <v>1.5276000000000001</v>
      </c>
      <c r="J221" s="4">
        <f>1/INR!B221</f>
        <v>2.2436616558223019E-2</v>
      </c>
      <c r="K221" s="4">
        <f>1/INR!C221</f>
        <v>2.2370113528326158E-2</v>
      </c>
      <c r="L221" s="4">
        <f>1/JPY!B221</f>
        <v>1.0716964955524596E-2</v>
      </c>
      <c r="M221" s="4">
        <f>1/JPY!C221</f>
        <v>1.0720020925480847E-2</v>
      </c>
      <c r="N221" s="5">
        <f>1/KRW!B221</f>
        <v>8.9533530307099997E-4</v>
      </c>
      <c r="O221" s="5">
        <f>1/KRW!C221</f>
        <v>8.9532760753421772E-4</v>
      </c>
      <c r="P221" s="3">
        <f>1/NOK!B221</f>
        <v>0.16834733421996262</v>
      </c>
      <c r="Q221" s="3">
        <f>1/NOK!C221</f>
        <v>0.1681067814275628</v>
      </c>
      <c r="R221" s="3">
        <f>NZD!B221/1</f>
        <v>0.71499999999999997</v>
      </c>
      <c r="S221" s="3">
        <f>NZD!C221/1</f>
        <v>0.71360000000000001</v>
      </c>
      <c r="T221" s="4">
        <f>1/PHP!B221</f>
        <v>2.2413986327468341E-2</v>
      </c>
      <c r="U221" s="4">
        <f>1/PHP!C221</f>
        <v>2.2338880822070813E-2</v>
      </c>
      <c r="V221" s="4">
        <f>1/TWD!B221</f>
        <v>3.1869462680859204E-2</v>
      </c>
      <c r="W221" s="4">
        <f>1/TWD!C221</f>
        <v>3.1869462680859204E-2</v>
      </c>
      <c r="X221" s="4">
        <f>1/TWD!B221</f>
        <v>3.1869462680859204E-2</v>
      </c>
      <c r="Y221" s="4">
        <f>1/TWD!C221</f>
        <v>3.1869462680859204E-2</v>
      </c>
      <c r="Z221" s="4">
        <f>1/ZAR!B221</f>
        <v>0.13405185125606583</v>
      </c>
      <c r="AA221" s="4">
        <f>1/ZAR!C221</f>
        <v>0.1333920258246962</v>
      </c>
    </row>
    <row r="222" spans="1:27" x14ac:dyDescent="0.25">
      <c r="A222" t="str">
        <f>"29/04/2010"</f>
        <v>29/04/2010</v>
      </c>
      <c r="B222" s="3">
        <f>AUD!B222</f>
        <v>0.92479999999999996</v>
      </c>
      <c r="C222" s="3">
        <f>AUD!C222</f>
        <v>0.92169999999999996</v>
      </c>
      <c r="D222" s="3">
        <f>1/CAD!B222</f>
        <v>0.98980500841334262</v>
      </c>
      <c r="E222" s="3">
        <f>1/CAD!C222</f>
        <v>0.98990298950702837</v>
      </c>
      <c r="F222" s="3">
        <f>EUR!B222/1</f>
        <v>1.3214999999999999</v>
      </c>
      <c r="G222" s="3">
        <f>EUR!C222/1</f>
        <v>1.3217000000000001</v>
      </c>
      <c r="H222" s="3">
        <f>GBP!B222/1</f>
        <v>1.5165</v>
      </c>
      <c r="I222" s="3">
        <f>GBP!C222/1</f>
        <v>1.5163</v>
      </c>
      <c r="J222" s="4">
        <f>1/INR!B222</f>
        <v>2.2436616558223019E-2</v>
      </c>
      <c r="K222" s="4">
        <f>1/INR!C222</f>
        <v>2.2361359570661897E-2</v>
      </c>
      <c r="L222" s="4">
        <f>1/JPY!B222</f>
        <v>1.0650761529449356E-2</v>
      </c>
      <c r="M222" s="4">
        <f>1/JPY!C222</f>
        <v>1.0654245237286022E-2</v>
      </c>
      <c r="N222" s="5">
        <f>1/KRW!B222</f>
        <v>8.9645898700134474E-4</v>
      </c>
      <c r="O222" s="5">
        <f>1/KRW!C222</f>
        <v>8.9644211090602515E-4</v>
      </c>
      <c r="P222" s="3">
        <f>1/NOK!B222</f>
        <v>0.16756312940900484</v>
      </c>
      <c r="Q222" s="3">
        <f>1/NOK!C222</f>
        <v>0.16733321062231221</v>
      </c>
      <c r="R222" s="3">
        <f>NZD!B222/1</f>
        <v>0.71719999999999995</v>
      </c>
      <c r="S222" s="3">
        <f>NZD!C222/1</f>
        <v>0.7157</v>
      </c>
      <c r="T222" s="4">
        <f>1/PHP!B222</f>
        <v>2.2396416573348264E-2</v>
      </c>
      <c r="U222" s="4">
        <f>1/PHP!C222</f>
        <v>2.2324916839684773E-2</v>
      </c>
      <c r="V222" s="4">
        <f>1/TWD!B222</f>
        <v>3.1841049480990896E-2</v>
      </c>
      <c r="W222" s="4">
        <f>1/TWD!C222</f>
        <v>3.1841049480990896E-2</v>
      </c>
      <c r="X222" s="4">
        <f>1/TWD!B222</f>
        <v>3.1841049480990896E-2</v>
      </c>
      <c r="Y222" s="4">
        <f>1/TWD!C222</f>
        <v>3.1841049480990896E-2</v>
      </c>
      <c r="Z222" s="4">
        <f>1/ZAR!B222</f>
        <v>0.13395847287340926</v>
      </c>
      <c r="AA222" s="4">
        <f>1/ZAR!C222</f>
        <v>0.13330311795992908</v>
      </c>
    </row>
    <row r="223" spans="1:27" x14ac:dyDescent="0.25">
      <c r="A223" t="str">
        <f>"30/04/2010"</f>
        <v>30/04/2010</v>
      </c>
      <c r="B223" s="3">
        <f>AUD!B223</f>
        <v>0.92979999999999996</v>
      </c>
      <c r="C223" s="3">
        <f>AUD!C223</f>
        <v>0.92649999999999999</v>
      </c>
      <c r="D223" s="3">
        <f>1/CAD!B223</f>
        <v>0.99601593625498008</v>
      </c>
      <c r="E223" s="3">
        <f>1/CAD!C223</f>
        <v>0.99611515091144531</v>
      </c>
      <c r="F223" s="3">
        <f>EUR!B223/1</f>
        <v>1.3246</v>
      </c>
      <c r="G223" s="3">
        <f>EUR!C223/1</f>
        <v>1.3247</v>
      </c>
      <c r="H223" s="3">
        <f>GBP!B223/1</f>
        <v>1.5337000000000001</v>
      </c>
      <c r="I223" s="3">
        <f>GBP!C223/1</f>
        <v>1.5335000000000001</v>
      </c>
      <c r="J223" s="4">
        <f>1/INR!B223</f>
        <v>2.2497187851518559E-2</v>
      </c>
      <c r="K223" s="4">
        <f>1/INR!C223</f>
        <v>2.2419011321600717E-2</v>
      </c>
      <c r="L223" s="4">
        <f>1/JPY!B223</f>
        <v>1.0638297872340425E-2</v>
      </c>
      <c r="M223" s="4">
        <f>1/JPY!C223</f>
        <v>1.0641127959563715E-2</v>
      </c>
      <c r="N223" s="5">
        <f>1/KRW!B223</f>
        <v>9.0220137134608435E-4</v>
      </c>
      <c r="O223" s="5">
        <f>1/KRW!C223</f>
        <v>9.0218818526831355E-4</v>
      </c>
      <c r="P223" s="3">
        <f>1/NOK!B223</f>
        <v>0.16909601271602015</v>
      </c>
      <c r="Q223" s="3">
        <f>1/NOK!C223</f>
        <v>0.16884761502743773</v>
      </c>
      <c r="R223" s="3">
        <f>NZD!B223/1</f>
        <v>0.72419999999999995</v>
      </c>
      <c r="S223" s="3">
        <f>NZD!C223/1</f>
        <v>0.72270000000000001</v>
      </c>
      <c r="T223" s="4">
        <f>1/PHP!B223</f>
        <v>2.2436616558223019E-2</v>
      </c>
      <c r="U223" s="4">
        <f>1/PHP!C223</f>
        <v>2.2357360042926131E-2</v>
      </c>
      <c r="V223" s="4">
        <f>1/TWD!B223</f>
        <v>3.1884704907056083E-2</v>
      </c>
      <c r="W223" s="4">
        <f>1/TWD!C223</f>
        <v>3.1884704907056083E-2</v>
      </c>
      <c r="X223" s="4">
        <f>1/TWD!B223</f>
        <v>3.1884704907056083E-2</v>
      </c>
      <c r="Y223" s="4">
        <f>1/TWD!C223</f>
        <v>3.1884704907056083E-2</v>
      </c>
      <c r="Z223" s="4">
        <f>1/ZAR!B223</f>
        <v>0.13535829340263678</v>
      </c>
      <c r="AA223" s="4">
        <f>1/ZAR!C223</f>
        <v>0.13463480309660047</v>
      </c>
    </row>
    <row r="224" spans="1:27" x14ac:dyDescent="0.25">
      <c r="A224" t="str">
        <f>"03/05/2010"</f>
        <v>03/05/2010</v>
      </c>
      <c r="B224" s="3">
        <f>AUD!B224</f>
        <v>0.92400000000000004</v>
      </c>
      <c r="C224" s="3">
        <f>AUD!C224</f>
        <v>0.92059999999999997</v>
      </c>
      <c r="D224" s="3">
        <f>1/CAD!B224</f>
        <v>0.98280098280098271</v>
      </c>
      <c r="E224" s="3">
        <f>1/CAD!C224</f>
        <v>0.98289758207194799</v>
      </c>
      <c r="F224" s="3">
        <f>EUR!B224/1</f>
        <v>1.3220000000000001</v>
      </c>
      <c r="G224" s="3">
        <f>EUR!C224/1</f>
        <v>1.3221000000000001</v>
      </c>
      <c r="H224" s="3">
        <f>GBP!B224/1</f>
        <v>1.5250999999999999</v>
      </c>
      <c r="I224" s="3">
        <f>GBP!C224/1</f>
        <v>1.5248999999999999</v>
      </c>
      <c r="J224" s="4">
        <f>1/INR!B224</f>
        <v>2.2464337863641468E-2</v>
      </c>
      <c r="K224" s="4">
        <f>1/INR!C224</f>
        <v>2.238889510802642E-2</v>
      </c>
      <c r="L224" s="4">
        <f>1/JPY!B224</f>
        <v>1.0650648091936393E-2</v>
      </c>
      <c r="M224" s="4">
        <f>1/JPY!C224</f>
        <v>1.0653393958247218E-2</v>
      </c>
      <c r="N224" s="5">
        <f>1/KRW!B224</f>
        <v>8.9621796020792266E-4</v>
      </c>
      <c r="O224" s="5">
        <f>1/KRW!C224</f>
        <v>8.9619788049201258E-4</v>
      </c>
      <c r="P224" s="3">
        <f>1/NOK!B224</f>
        <v>0.16841821611425492</v>
      </c>
      <c r="Q224" s="3">
        <f>1/NOK!C224</f>
        <v>0.16815200941651254</v>
      </c>
      <c r="R224" s="3">
        <f>NZD!B224/1</f>
        <v>0.72809999999999997</v>
      </c>
      <c r="S224" s="3">
        <f>NZD!C224/1</f>
        <v>0.72650000000000003</v>
      </c>
      <c r="T224" s="4">
        <f>1/PHP!B224</f>
        <v>2.2416498542927595E-2</v>
      </c>
      <c r="U224" s="4">
        <f>1/PHP!C224</f>
        <v>2.2338381807621856E-2</v>
      </c>
      <c r="V224" s="4">
        <f>1/TWD!B224</f>
        <v>3.1855249745158E-2</v>
      </c>
      <c r="W224" s="4">
        <f>1/TWD!C224</f>
        <v>3.1855249745158E-2</v>
      </c>
      <c r="X224" s="4">
        <f>1/TWD!B224</f>
        <v>3.1855249745158E-2</v>
      </c>
      <c r="Y224" s="4">
        <f>1/TWD!C224</f>
        <v>3.1855249745158E-2</v>
      </c>
      <c r="Z224" s="4">
        <f>1/ZAR!B224</f>
        <v>0.13514244013189902</v>
      </c>
      <c r="AA224" s="4">
        <f>1/ZAR!C224</f>
        <v>0.13442305624260673</v>
      </c>
    </row>
    <row r="225" spans="1:27" x14ac:dyDescent="0.25">
      <c r="A225" t="str">
        <f>"04/05/2010"</f>
        <v>04/05/2010</v>
      </c>
      <c r="B225" s="3">
        <f>AUD!B225</f>
        <v>0.92530000000000001</v>
      </c>
      <c r="C225" s="3">
        <f>AUD!C225</f>
        <v>0.92179999999999995</v>
      </c>
      <c r="D225" s="3">
        <f>1/CAD!B225</f>
        <v>0.98736176935229081</v>
      </c>
      <c r="E225" s="3">
        <f>1/CAD!C225</f>
        <v>0.98745926730522371</v>
      </c>
      <c r="F225" s="3">
        <f>EUR!B225/1</f>
        <v>1.3204</v>
      </c>
      <c r="G225" s="3">
        <f>EUR!C225/1</f>
        <v>1.3205</v>
      </c>
      <c r="H225" s="3">
        <f>GBP!B225/1</f>
        <v>1.5257000000000001</v>
      </c>
      <c r="I225" s="3">
        <f>GBP!C225/1</f>
        <v>1.5255000000000001</v>
      </c>
      <c r="J225" s="4">
        <f>1/INR!B225</f>
        <v>2.2461814914645103E-2</v>
      </c>
      <c r="K225" s="4">
        <f>1/INR!C225</f>
        <v>2.2424038569346341E-2</v>
      </c>
      <c r="L225" s="4">
        <f>1/JPY!B225</f>
        <v>1.0539684547241503E-2</v>
      </c>
      <c r="M225" s="4">
        <f>1/JPY!C225</f>
        <v>1.0542417945725524E-2</v>
      </c>
      <c r="N225" s="5">
        <f>1/KRW!B225</f>
        <v>8.9702188733405098E-4</v>
      </c>
      <c r="O225" s="5">
        <f>1/KRW!C225</f>
        <v>8.9700313942128762E-4</v>
      </c>
      <c r="P225" s="3">
        <f>1/NOK!B225</f>
        <v>0.16845793605336745</v>
      </c>
      <c r="Q225" s="3">
        <f>1/NOK!C225</f>
        <v>0.16820009082804907</v>
      </c>
      <c r="R225" s="3">
        <f>NZD!B225/1</f>
        <v>0.72940000000000005</v>
      </c>
      <c r="S225" s="3">
        <f>NZD!C225/1</f>
        <v>0.72770000000000001</v>
      </c>
      <c r="T225" s="4">
        <f>1/PHP!B225</f>
        <v>2.246686137946529E-2</v>
      </c>
      <c r="U225" s="4">
        <f>1/PHP!C225</f>
        <v>2.2381879630251348E-2</v>
      </c>
      <c r="V225" s="4">
        <f>1/TWD!B225</f>
        <v>3.1852205765249247E-2</v>
      </c>
      <c r="W225" s="4">
        <f>1/TWD!C225</f>
        <v>3.1852205765249247E-2</v>
      </c>
      <c r="X225" s="4">
        <f>1/TWD!B225</f>
        <v>3.1852205765249247E-2</v>
      </c>
      <c r="Y225" s="4">
        <f>1/TWD!C225</f>
        <v>3.1852205765249247E-2</v>
      </c>
      <c r="Z225" s="4">
        <f>1/ZAR!B225</f>
        <v>0.13444835838554411</v>
      </c>
      <c r="AA225" s="4">
        <f>1/ZAR!C225</f>
        <v>0.1336826907651997</v>
      </c>
    </row>
    <row r="226" spans="1:27" x14ac:dyDescent="0.25">
      <c r="A226" t="str">
        <f>"05/05/2010"</f>
        <v>05/05/2010</v>
      </c>
      <c r="B226" s="3">
        <f>AUD!B226</f>
        <v>0.90959999999999996</v>
      </c>
      <c r="C226" s="3">
        <f>AUD!C226</f>
        <v>0.90629999999999999</v>
      </c>
      <c r="D226" s="3">
        <f>1/CAD!B226</f>
        <v>0.97532429532819653</v>
      </c>
      <c r="E226" s="3">
        <f>1/CAD!C226</f>
        <v>0.97541943035505274</v>
      </c>
      <c r="F226" s="3">
        <f>EUR!B226/1</f>
        <v>1.2961</v>
      </c>
      <c r="G226" s="3">
        <f>EUR!C226/1</f>
        <v>1.2963</v>
      </c>
      <c r="H226" s="3">
        <f>GBP!B226/1</f>
        <v>1.5138</v>
      </c>
      <c r="I226" s="3">
        <f>GBP!C226/1</f>
        <v>1.5136000000000001</v>
      </c>
      <c r="J226" s="4">
        <f>1/INR!B226</f>
        <v>2.2266755733689605E-2</v>
      </c>
      <c r="K226" s="4">
        <f>1/INR!C226</f>
        <v>2.2197558268590458E-2</v>
      </c>
      <c r="L226" s="4">
        <f>1/JPY!B226</f>
        <v>1.0556317956296843E-2</v>
      </c>
      <c r="M226" s="4">
        <f>1/JPY!C226</f>
        <v>1.0559271832614422E-2</v>
      </c>
      <c r="N226" s="5">
        <f>1/KRW!B226</f>
        <v>8.8183421516754845E-4</v>
      </c>
      <c r="O226" s="5">
        <f>1/KRW!C226</f>
        <v>8.8181563016440838E-4</v>
      </c>
      <c r="P226" s="3">
        <f>1/NOK!B226</f>
        <v>0.16553824761211078</v>
      </c>
      <c r="Q226" s="3">
        <f>1/NOK!C226</f>
        <v>0.16530291759649557</v>
      </c>
      <c r="R226" s="3">
        <f>NZD!B226/1</f>
        <v>0.72019999999999995</v>
      </c>
      <c r="S226" s="3">
        <f>NZD!C226/1</f>
        <v>0.71850000000000003</v>
      </c>
      <c r="T226" s="4">
        <f>1/PHP!B226</f>
        <v>2.2202486678507993E-2</v>
      </c>
      <c r="U226" s="4">
        <f>1/PHP!C226</f>
        <v>2.2122425502732117E-2</v>
      </c>
      <c r="V226" s="4">
        <f>1/TWD!B226</f>
        <v>3.1740993493096337E-2</v>
      </c>
      <c r="W226" s="4">
        <f>1/TWD!C226</f>
        <v>3.1740993493096337E-2</v>
      </c>
      <c r="X226" s="4">
        <f>1/TWD!B226</f>
        <v>3.1740993493096337E-2</v>
      </c>
      <c r="Y226" s="4">
        <f>1/TWD!C226</f>
        <v>3.1740993493096337E-2</v>
      </c>
      <c r="Z226" s="4">
        <f>1/ZAR!B226</f>
        <v>0.13210388649634072</v>
      </c>
      <c r="AA226" s="4">
        <f>1/ZAR!C226</f>
        <v>0.13137151865475566</v>
      </c>
    </row>
    <row r="227" spans="1:27" x14ac:dyDescent="0.25">
      <c r="A227" t="str">
        <f>"06/05/2010"</f>
        <v>06/05/2010</v>
      </c>
      <c r="B227" s="3">
        <f>AUD!B227</f>
        <v>0.90810000000000002</v>
      </c>
      <c r="C227" s="3">
        <f>AUD!C227</f>
        <v>0.90490000000000004</v>
      </c>
      <c r="D227" s="3">
        <f>1/CAD!B227</f>
        <v>0.97191175041306255</v>
      </c>
      <c r="E227" s="3">
        <f>1/CAD!C227</f>
        <v>0.97200622083981347</v>
      </c>
      <c r="F227" s="3">
        <f>EUR!B227/1</f>
        <v>1.2844</v>
      </c>
      <c r="G227" s="3">
        <f>EUR!C227/1</f>
        <v>1.2846</v>
      </c>
      <c r="H227" s="3">
        <f>GBP!B227/1</f>
        <v>1.5124</v>
      </c>
      <c r="I227" s="3">
        <f>GBP!C227/1</f>
        <v>1.5122</v>
      </c>
      <c r="J227" s="4">
        <f>1/INR!B227</f>
        <v>2.2158209616662972E-2</v>
      </c>
      <c r="K227" s="4">
        <f>1/INR!C227</f>
        <v>2.2086025067638449E-2</v>
      </c>
      <c r="L227" s="4">
        <f>1/JPY!B227</f>
        <v>1.0653030787258974E-2</v>
      </c>
      <c r="M227" s="4">
        <f>1/JPY!C227</f>
        <v>1.0656947530518834E-2</v>
      </c>
      <c r="N227" s="5">
        <f>1/KRW!B227</f>
        <v>8.8039793986882079E-4</v>
      </c>
      <c r="O227" s="5">
        <f>1/KRW!C227</f>
        <v>8.8037957036948735E-4</v>
      </c>
      <c r="P227" s="3">
        <f>1/NOK!B227</f>
        <v>0.16460363444824863</v>
      </c>
      <c r="Q227" s="3">
        <f>1/NOK!C227</f>
        <v>0.16437365419070629</v>
      </c>
      <c r="R227" s="3">
        <f>NZD!B227/1</f>
        <v>0.72750000000000004</v>
      </c>
      <c r="S227" s="3">
        <f>NZD!C227/1</f>
        <v>0.72599999999999998</v>
      </c>
      <c r="T227" s="4">
        <f>1/PHP!B227</f>
        <v>2.207261891623441E-2</v>
      </c>
      <c r="U227" s="4">
        <f>1/PHP!C227</f>
        <v>2.1998328127062344E-2</v>
      </c>
      <c r="V227" s="4">
        <f>1/TWD!B227</f>
        <v>3.1660598385309484E-2</v>
      </c>
      <c r="W227" s="4">
        <f>1/TWD!C227</f>
        <v>3.1660598385309484E-2</v>
      </c>
      <c r="X227" s="4">
        <f>1/TWD!B227</f>
        <v>3.1660598385309484E-2</v>
      </c>
      <c r="Y227" s="4">
        <f>1/TWD!C227</f>
        <v>3.1660598385309484E-2</v>
      </c>
      <c r="Z227" s="4">
        <f>1/ZAR!B227</f>
        <v>0.1319557156618239</v>
      </c>
      <c r="AA227" s="4">
        <f>1/ZAR!C227</f>
        <v>0.13122670725946145</v>
      </c>
    </row>
    <row r="228" spans="1:27" x14ac:dyDescent="0.25">
      <c r="A228" t="str">
        <f>"07/05/2010"</f>
        <v>07/05/2010</v>
      </c>
      <c r="B228" s="3">
        <f>AUD!B228</f>
        <v>0.8921</v>
      </c>
      <c r="C228" s="3">
        <f>AUD!C228</f>
        <v>0.88900000000000001</v>
      </c>
      <c r="D228" s="3">
        <f>1/CAD!B228</f>
        <v>0.95565749235474007</v>
      </c>
      <c r="E228" s="3">
        <f>1/CAD!C228</f>
        <v>0.95584018352131517</v>
      </c>
      <c r="F228" s="3">
        <f>EUR!B228/1</f>
        <v>1.2701</v>
      </c>
      <c r="G228" s="3">
        <f>EUR!C228/1</f>
        <v>1.2705</v>
      </c>
      <c r="H228" s="3">
        <f>GBP!B228/1</f>
        <v>1.4841</v>
      </c>
      <c r="I228" s="3">
        <f>GBP!C228/1</f>
        <v>1.4842</v>
      </c>
      <c r="J228" s="4">
        <f>1/INR!B228</f>
        <v>2.1915406530791146E-2</v>
      </c>
      <c r="K228" s="4">
        <f>1/INR!C228</f>
        <v>2.1855534914217024E-2</v>
      </c>
      <c r="L228" s="4">
        <f>1/JPY!B228</f>
        <v>1.0813148788927335E-2</v>
      </c>
      <c r="M228" s="4">
        <f>1/JPY!C228</f>
        <v>1.0818167164482658E-2</v>
      </c>
      <c r="N228" s="5">
        <f>1/KRW!B228</f>
        <v>8.6565096952908585E-4</v>
      </c>
      <c r="O228" s="5">
        <f>1/KRW!C228</f>
        <v>8.6563448410781655E-4</v>
      </c>
      <c r="P228" s="3">
        <f>1/NOK!B228</f>
        <v>0.16036691951184312</v>
      </c>
      <c r="Q228" s="3">
        <f>1/NOK!C228</f>
        <v>0.16015631256105958</v>
      </c>
      <c r="R228" s="3">
        <f>NZD!B228/1</f>
        <v>0.71309999999999996</v>
      </c>
      <c r="S228" s="3">
        <f>NZD!C228/1</f>
        <v>0.71160000000000001</v>
      </c>
      <c r="T228" s="4">
        <f>1/PHP!B228</f>
        <v>2.1867483052700636E-2</v>
      </c>
      <c r="U228" s="4">
        <f>1/PHP!C228</f>
        <v>2.1792664589099307E-2</v>
      </c>
      <c r="V228" s="4">
        <f>1/TWD!B228</f>
        <v>3.1505986137366104E-2</v>
      </c>
      <c r="W228" s="4">
        <f>1/TWD!C228</f>
        <v>3.1505986137366104E-2</v>
      </c>
      <c r="X228" s="4">
        <f>1/TWD!B228</f>
        <v>3.1505986137366104E-2</v>
      </c>
      <c r="Y228" s="4">
        <f>1/TWD!C228</f>
        <v>3.1505986137366104E-2</v>
      </c>
      <c r="Z228" s="4">
        <f>1/ZAR!B228</f>
        <v>0.12943978461219841</v>
      </c>
      <c r="AA228" s="4">
        <f>1/ZAR!C228</f>
        <v>0.12872332209149653</v>
      </c>
    </row>
    <row r="229" spans="1:27" x14ac:dyDescent="0.25">
      <c r="A229" t="str">
        <f>"10/05/2010"</f>
        <v>10/05/2010</v>
      </c>
      <c r="B229" s="3">
        <f>AUD!B229</f>
        <v>0.90329999999999999</v>
      </c>
      <c r="C229" s="3">
        <f>AUD!C229</f>
        <v>0.89980000000000004</v>
      </c>
      <c r="D229" s="3">
        <f>1/CAD!B229</f>
        <v>0.9724788485850433</v>
      </c>
      <c r="E229" s="3">
        <f>1/CAD!C229</f>
        <v>0.97257342929391166</v>
      </c>
      <c r="F229" s="3">
        <f>EUR!B229/1</f>
        <v>1.2942</v>
      </c>
      <c r="G229" s="3">
        <f>EUR!C229/1</f>
        <v>1.2943</v>
      </c>
      <c r="H229" s="3">
        <f>GBP!B229/1</f>
        <v>1.4871000000000001</v>
      </c>
      <c r="I229" s="3">
        <f>GBP!C229/1</f>
        <v>1.4869000000000001</v>
      </c>
      <c r="J229" s="4">
        <f>1/INR!B229</f>
        <v>2.2197558268590458E-2</v>
      </c>
      <c r="K229" s="4">
        <f>1/INR!C229</f>
        <v>2.2133687472332891E-2</v>
      </c>
      <c r="L229" s="4">
        <f>1/JPY!B229</f>
        <v>1.0790978741771878E-2</v>
      </c>
      <c r="M229" s="4">
        <f>1/JPY!C229</f>
        <v>1.0794822802983689E-2</v>
      </c>
      <c r="N229" s="5">
        <f>1/KRW!B229</f>
        <v>8.8456435205661217E-4</v>
      </c>
      <c r="O229" s="5">
        <f>1/KRW!C229</f>
        <v>8.8454471289491933E-4</v>
      </c>
      <c r="P229" s="3">
        <f>1/NOK!B229</f>
        <v>0.16332130199741954</v>
      </c>
      <c r="Q229" s="3">
        <f>1/NOK!C229</f>
        <v>0.16309222865530457</v>
      </c>
      <c r="R229" s="3">
        <f>NZD!B229/1</f>
        <v>0.72270000000000001</v>
      </c>
      <c r="S229" s="3">
        <f>NZD!C229/1</f>
        <v>0.72119999999999995</v>
      </c>
      <c r="T229" s="4">
        <f>1/PHP!B229</f>
        <v>2.2021581149526539E-2</v>
      </c>
      <c r="U229" s="4">
        <f>1/PHP!C229</f>
        <v>2.194763294778658E-2</v>
      </c>
      <c r="V229" s="4">
        <f>1/TWD!B229</f>
        <v>3.1625553447185324E-2</v>
      </c>
      <c r="W229" s="4">
        <f>1/TWD!C229</f>
        <v>3.1625653465064719E-2</v>
      </c>
      <c r="X229" s="4">
        <f>1/TWD!B229</f>
        <v>3.1625553447185324E-2</v>
      </c>
      <c r="Y229" s="4">
        <f>1/TWD!C229</f>
        <v>3.1625653465064719E-2</v>
      </c>
      <c r="Z229" s="4">
        <f>1/ZAR!B229</f>
        <v>0.1316655694535879</v>
      </c>
      <c r="AA229" s="4">
        <f>1/ZAR!C229</f>
        <v>0.13093632566482918</v>
      </c>
    </row>
    <row r="230" spans="1:27" x14ac:dyDescent="0.25">
      <c r="A230" t="str">
        <f>"11/05/2010"</f>
        <v>11/05/2010</v>
      </c>
      <c r="B230" s="3">
        <f>AUD!B230</f>
        <v>0.90039999999999998</v>
      </c>
      <c r="C230" s="3">
        <f>AUD!C230</f>
        <v>0.89690000000000003</v>
      </c>
      <c r="D230" s="3">
        <f>1/CAD!B230</f>
        <v>0.97580015612802506</v>
      </c>
      <c r="E230" s="3">
        <f>1/CAD!C230</f>
        <v>0.97580015612802506</v>
      </c>
      <c r="F230" s="3">
        <f>EUR!B230/1</f>
        <v>1.2755000000000001</v>
      </c>
      <c r="G230" s="3">
        <f>EUR!C230/1</f>
        <v>1.2756000000000001</v>
      </c>
      <c r="H230" s="3">
        <f>GBP!B230/1</f>
        <v>1.4805999999999999</v>
      </c>
      <c r="I230" s="3">
        <f>GBP!C230/1</f>
        <v>1.4803999999999999</v>
      </c>
      <c r="J230" s="4">
        <f>1/INR!B230</f>
        <v>2.2239519626376068E-2</v>
      </c>
      <c r="K230" s="4">
        <f>1/INR!C230</f>
        <v>2.2174178169521594E-2</v>
      </c>
      <c r="L230" s="4">
        <f>1/JPY!B230</f>
        <v>1.0763104079216447E-2</v>
      </c>
      <c r="M230" s="4">
        <f>1/JPY!C230</f>
        <v>1.0765792340784697E-2</v>
      </c>
      <c r="N230" s="5">
        <f>1/KRW!B230</f>
        <v>8.8652482269503544E-4</v>
      </c>
      <c r="O230" s="5">
        <f>1/KRW!C230</f>
        <v>8.8650879008925719E-4</v>
      </c>
      <c r="P230" s="3">
        <f>1/NOK!B230</f>
        <v>0.16261749113734672</v>
      </c>
      <c r="Q230" s="3">
        <f>1/NOK!C230</f>
        <v>0.1623692927193609</v>
      </c>
      <c r="R230" s="3">
        <f>NZD!B230/1</f>
        <v>0.72070000000000001</v>
      </c>
      <c r="S230" s="3">
        <f>NZD!C230/1</f>
        <v>0.71919999999999995</v>
      </c>
      <c r="T230" s="4">
        <f>1/PHP!B230</f>
        <v>2.2211116663890276E-2</v>
      </c>
      <c r="U230" s="4">
        <f>1/PHP!C230</f>
        <v>2.2124138541355545E-2</v>
      </c>
      <c r="V230" s="4">
        <f>1/TWD!B230</f>
        <v>3.1725888324873094E-2</v>
      </c>
      <c r="W230" s="4">
        <f>1/TWD!C230</f>
        <v>3.1725988978391427E-2</v>
      </c>
      <c r="X230" s="4">
        <f>1/TWD!B230</f>
        <v>3.1725888324873094E-2</v>
      </c>
      <c r="Y230" s="4">
        <f>1/TWD!C230</f>
        <v>3.1725988978391427E-2</v>
      </c>
      <c r="Z230" s="4">
        <f>1/ZAR!B230</f>
        <v>0.13231363624335124</v>
      </c>
      <c r="AA230" s="4">
        <f>1/ZAR!C230</f>
        <v>0.13155471360538848</v>
      </c>
    </row>
    <row r="231" spans="1:27" x14ac:dyDescent="0.25">
      <c r="A231" t="str">
        <f>"12/05/2010"</f>
        <v>12/05/2010</v>
      </c>
      <c r="B231" s="3">
        <f>AUD!B231</f>
        <v>0.89419999999999999</v>
      </c>
      <c r="C231" s="3">
        <f>AUD!C231</f>
        <v>0.89080000000000004</v>
      </c>
      <c r="D231" s="3">
        <f>1/CAD!B231</f>
        <v>0.97981579463060953</v>
      </c>
      <c r="E231" s="3">
        <f>1/CAD!C231</f>
        <v>0.97981579463060953</v>
      </c>
      <c r="F231" s="3">
        <f>EUR!B231/1</f>
        <v>1.2639</v>
      </c>
      <c r="G231" s="3">
        <f>EUR!C231/1</f>
        <v>1.2641</v>
      </c>
      <c r="H231" s="3">
        <f>GBP!B231/1</f>
        <v>1.4902</v>
      </c>
      <c r="I231" s="3">
        <f>GBP!C231/1</f>
        <v>1.49</v>
      </c>
      <c r="J231" s="4">
        <f>1/INR!B231</f>
        <v>2.2104332449160033E-2</v>
      </c>
      <c r="K231" s="4">
        <f>1/INR!C231</f>
        <v>2.2042210833746623E-2</v>
      </c>
      <c r="L231" s="4">
        <f>1/JPY!B231</f>
        <v>1.0780508840017248E-2</v>
      </c>
      <c r="M231" s="4">
        <f>1/JPY!C231</f>
        <v>1.0783089527679113E-2</v>
      </c>
      <c r="N231" s="5">
        <f>1/KRW!B231</f>
        <v>8.7896633558934691E-4</v>
      </c>
      <c r="O231" s="5">
        <f>1/KRW!C231</f>
        <v>8.7894949362840721E-4</v>
      </c>
      <c r="P231" s="3">
        <f>1/NOK!B231</f>
        <v>0.16123571048515825</v>
      </c>
      <c r="Q231" s="3">
        <f>1/NOK!C231</f>
        <v>0.16101503880462434</v>
      </c>
      <c r="R231" s="3">
        <f>NZD!B231/1</f>
        <v>0.71660000000000001</v>
      </c>
      <c r="S231" s="3">
        <f>NZD!C231/1</f>
        <v>0.71509999999999996</v>
      </c>
      <c r="T231" s="4">
        <f>1/PHP!B231</f>
        <v>2.2170491076377342E-2</v>
      </c>
      <c r="U231" s="4">
        <f>1/PHP!C231</f>
        <v>2.209700585570655E-2</v>
      </c>
      <c r="V231" s="4">
        <f>1/TWD!B231</f>
        <v>3.1556691596453031E-2</v>
      </c>
      <c r="W231" s="4">
        <f>1/TWD!C231</f>
        <v>3.155679117924573E-2</v>
      </c>
      <c r="X231" s="4">
        <f>1/TWD!B231</f>
        <v>3.1556691596453031E-2</v>
      </c>
      <c r="Y231" s="4">
        <f>1/TWD!C231</f>
        <v>3.155679117924573E-2</v>
      </c>
      <c r="Z231" s="4">
        <f>1/ZAR!B231</f>
        <v>0.13224714346170122</v>
      </c>
      <c r="AA231" s="4">
        <f>1/ZAR!C231</f>
        <v>0.13149071018132569</v>
      </c>
    </row>
    <row r="232" spans="1:27" x14ac:dyDescent="0.25">
      <c r="A232" t="str">
        <f>"13/05/2010"</f>
        <v>13/05/2010</v>
      </c>
      <c r="B232" s="3">
        <f>AUD!B232</f>
        <v>0.89870000000000005</v>
      </c>
      <c r="C232" s="3">
        <f>AUD!C232</f>
        <v>0.89539999999999997</v>
      </c>
      <c r="D232" s="3">
        <f>1/CAD!B232</f>
        <v>0.98309083759339355</v>
      </c>
      <c r="E232" s="3">
        <f>1/CAD!C232</f>
        <v>0.98299420033421792</v>
      </c>
      <c r="F232" s="3">
        <f>EUR!B232/1</f>
        <v>1.2653000000000001</v>
      </c>
      <c r="G232" s="3">
        <f>EUR!C232/1</f>
        <v>1.2655000000000001</v>
      </c>
      <c r="H232" s="3">
        <f>GBP!B232/1</f>
        <v>1.4849000000000001</v>
      </c>
      <c r="I232" s="3">
        <f>GBP!C232/1</f>
        <v>1.4846999999999999</v>
      </c>
      <c r="J232" s="4">
        <f>1/INR!B232</f>
        <v>2.2232103156958651E-2</v>
      </c>
      <c r="K232" s="4">
        <f>1/INR!C232</f>
        <v>2.2170491076377342E-2</v>
      </c>
      <c r="L232" s="4">
        <f>1/JPY!B232</f>
        <v>1.0733068584308253E-2</v>
      </c>
      <c r="M232" s="4">
        <f>1/JPY!C232</f>
        <v>1.0735522879009583E-2</v>
      </c>
      <c r="N232" s="5">
        <f>1/KRW!B232</f>
        <v>8.8347027122537324E-4</v>
      </c>
      <c r="O232" s="5">
        <f>1/KRW!C232</f>
        <v>8.8345005622717887E-4</v>
      </c>
      <c r="P232" s="3">
        <f>1/NOK!B232</f>
        <v>0.16276041666666666</v>
      </c>
      <c r="Q232" s="3">
        <f>1/NOK!C232</f>
        <v>0.16252234682268812</v>
      </c>
      <c r="R232" s="3">
        <f>NZD!B232/1</f>
        <v>0.71689999999999998</v>
      </c>
      <c r="S232" s="3">
        <f>NZD!C232/1</f>
        <v>0.71550000000000002</v>
      </c>
      <c r="T232" s="4">
        <f>1/PHP!B232</f>
        <v>2.2305247309429541E-2</v>
      </c>
      <c r="U232" s="4">
        <f>1/PHP!C232</f>
        <v>2.2231856026500373E-2</v>
      </c>
      <c r="V232" s="4">
        <f>1/TWD!B232</f>
        <v>3.1615554852987671E-2</v>
      </c>
      <c r="W232" s="4">
        <f>1/TWD!C232</f>
        <v>3.1615554852987671E-2</v>
      </c>
      <c r="X232" s="4">
        <f>1/TWD!B232</f>
        <v>3.1615554852987671E-2</v>
      </c>
      <c r="Y232" s="4">
        <f>1/TWD!C232</f>
        <v>3.1615554852987671E-2</v>
      </c>
      <c r="Z232" s="4">
        <f>1/ZAR!B232</f>
        <v>0.13368805229876607</v>
      </c>
      <c r="AA232" s="4">
        <f>1/ZAR!C232</f>
        <v>0.13295573903447541</v>
      </c>
    </row>
    <row r="233" spans="1:27" x14ac:dyDescent="0.25">
      <c r="A233" t="str">
        <f>"14/05/2010"</f>
        <v>14/05/2010</v>
      </c>
      <c r="B233" s="3">
        <f>AUD!B233</f>
        <v>0.89580000000000004</v>
      </c>
      <c r="C233" s="3">
        <f>AUD!C233</f>
        <v>0.89259999999999995</v>
      </c>
      <c r="D233" s="3">
        <f>1/CAD!B233</f>
        <v>0.97847358121330719</v>
      </c>
      <c r="E233" s="3">
        <f>1/CAD!C233</f>
        <v>0.97837784952548679</v>
      </c>
      <c r="F233" s="3">
        <f>EUR!B233/1</f>
        <v>1.2538</v>
      </c>
      <c r="G233" s="3">
        <f>EUR!C233/1</f>
        <v>1.254</v>
      </c>
      <c r="H233" s="3">
        <f>GBP!B233/1</f>
        <v>1.4615</v>
      </c>
      <c r="I233" s="3">
        <f>GBP!C233/1</f>
        <v>1.4613</v>
      </c>
      <c r="J233" s="4">
        <f>1/INR!B233</f>
        <v>2.2174178169521594E-2</v>
      </c>
      <c r="K233" s="4">
        <f>1/INR!C233</f>
        <v>2.2107997568120267E-2</v>
      </c>
      <c r="L233" s="4">
        <f>1/JPY!B233</f>
        <v>1.078167115902965E-2</v>
      </c>
      <c r="M233" s="4">
        <f>1/JPY!C233</f>
        <v>1.0783845368284495E-2</v>
      </c>
      <c r="N233" s="5">
        <f>1/KRW!B233</f>
        <v>8.8308018368067815E-4</v>
      </c>
      <c r="O233" s="5">
        <f>1/KRW!C233</f>
        <v>8.8306380754154146E-4</v>
      </c>
      <c r="P233" s="3">
        <f>1/NOK!B233</f>
        <v>0.16154305930245708</v>
      </c>
      <c r="Q233" s="3">
        <f>1/NOK!C233</f>
        <v>0.16129032258064516</v>
      </c>
      <c r="R233" s="3">
        <f>NZD!B233/1</f>
        <v>0.71319999999999995</v>
      </c>
      <c r="S233" s="3">
        <f>NZD!C233/1</f>
        <v>0.71179999999999999</v>
      </c>
      <c r="T233" s="4">
        <f>1/PHP!B233</f>
        <v>2.2318937618569356E-2</v>
      </c>
      <c r="U233" s="4">
        <f>1/PHP!C233</f>
        <v>2.2246446130230694E-2</v>
      </c>
      <c r="V233" s="4">
        <f>1/TWD!B233</f>
        <v>3.1595576619273306E-2</v>
      </c>
      <c r="W233" s="4">
        <f>1/TWD!C233</f>
        <v>3.1595676447634904E-2</v>
      </c>
      <c r="X233" s="4">
        <f>1/TWD!B233</f>
        <v>3.1595576619273306E-2</v>
      </c>
      <c r="Y233" s="4">
        <f>1/TWD!C233</f>
        <v>3.1595676447634904E-2</v>
      </c>
      <c r="Z233" s="4">
        <f>1/ZAR!B233</f>
        <v>0.13315047334993277</v>
      </c>
      <c r="AA233" s="4">
        <f>1/ZAR!C233</f>
        <v>0.13241876109007125</v>
      </c>
    </row>
    <row r="234" spans="1:27" x14ac:dyDescent="0.25">
      <c r="A234" t="str">
        <f>"17/05/2010"</f>
        <v>17/05/2010</v>
      </c>
      <c r="B234" s="3">
        <f>AUD!B234</f>
        <v>0.87629999999999997</v>
      </c>
      <c r="C234" s="3">
        <f>AUD!C234</f>
        <v>0.873</v>
      </c>
      <c r="D234" s="3">
        <f>1/CAD!B234</f>
        <v>0.96079938508839358</v>
      </c>
      <c r="E234" s="3">
        <f>1/CAD!C234</f>
        <v>0.96070708041118269</v>
      </c>
      <c r="F234" s="3">
        <f>EUR!B234/1</f>
        <v>1.2283999999999999</v>
      </c>
      <c r="G234" s="3">
        <f>EUR!C234/1</f>
        <v>1.2285999999999999</v>
      </c>
      <c r="H234" s="3">
        <f>GBP!B234/1</f>
        <v>1.4322999999999999</v>
      </c>
      <c r="I234" s="3">
        <f>GBP!C234/1</f>
        <v>1.4321999999999999</v>
      </c>
      <c r="J234" s="4">
        <f>1/INR!B234</f>
        <v>2.1925016443762334E-2</v>
      </c>
      <c r="K234" s="4">
        <f>1/INR!C234</f>
        <v>2.1865092380015307E-2</v>
      </c>
      <c r="L234" s="4">
        <f>1/JPY!B234</f>
        <v>1.0873347251217814E-2</v>
      </c>
      <c r="M234" s="4">
        <f>1/JPY!C234</f>
        <v>1.0876516730258036E-2</v>
      </c>
      <c r="N234" s="5">
        <f>1/KRW!B234</f>
        <v>8.6775425199583467E-4</v>
      </c>
      <c r="O234" s="5">
        <f>1/KRW!C234</f>
        <v>8.6773881582287026E-4</v>
      </c>
      <c r="P234" s="3">
        <f>1/NOK!B234</f>
        <v>0.15901537678693528</v>
      </c>
      <c r="Q234" s="3">
        <f>1/NOK!C234</f>
        <v>0.15877804417205188</v>
      </c>
      <c r="R234" s="3">
        <f>NZD!B234/1</f>
        <v>0.70189999999999997</v>
      </c>
      <c r="S234" s="3">
        <f>NZD!C234/1</f>
        <v>0.70030000000000003</v>
      </c>
      <c r="T234" s="4">
        <f>1/PHP!B234</f>
        <v>2.2133687472332891E-2</v>
      </c>
      <c r="U234" s="4">
        <f>1/PHP!C234</f>
        <v>2.2061418990469466E-2</v>
      </c>
      <c r="V234" s="4">
        <f>1/TWD!B234</f>
        <v>3.1434678737583301E-2</v>
      </c>
      <c r="W234" s="4">
        <f>1/TWD!C234</f>
        <v>3.1434678737583301E-2</v>
      </c>
      <c r="X234" s="4">
        <f>1/TWD!B234</f>
        <v>3.1434678737583301E-2</v>
      </c>
      <c r="Y234" s="4">
        <f>1/TWD!C234</f>
        <v>3.1434678737583301E-2</v>
      </c>
      <c r="Z234" s="4">
        <f>1/ZAR!B234</f>
        <v>0.13092261164425709</v>
      </c>
      <c r="AA234" s="4">
        <f>1/ZAR!C234</f>
        <v>0.13021511537059222</v>
      </c>
    </row>
    <row r="235" spans="1:27" x14ac:dyDescent="0.25">
      <c r="A235" t="str">
        <f>"18/05/2010"</f>
        <v>18/05/2010</v>
      </c>
      <c r="B235" s="3">
        <f>AUD!B235</f>
        <v>0.87250000000000005</v>
      </c>
      <c r="C235" s="3">
        <f>AUD!C235</f>
        <v>0.86929999999999996</v>
      </c>
      <c r="D235" s="3">
        <f>1/CAD!B235</f>
        <v>0.967305088024763</v>
      </c>
      <c r="E235" s="3">
        <f>1/CAD!C235</f>
        <v>0.96721152916142761</v>
      </c>
      <c r="F235" s="3">
        <f>EUR!B235/1</f>
        <v>1.2339</v>
      </c>
      <c r="G235" s="3">
        <f>EUR!C235/1</f>
        <v>1.2341</v>
      </c>
      <c r="H235" s="3">
        <f>GBP!B235/1</f>
        <v>1.4439</v>
      </c>
      <c r="I235" s="3">
        <f>GBP!C235/1</f>
        <v>1.4438</v>
      </c>
      <c r="J235" s="4">
        <f>1/INR!B235</f>
        <v>2.1896211955331726E-2</v>
      </c>
      <c r="K235" s="4">
        <f>1/INR!C235</f>
        <v>2.1834061135371181E-2</v>
      </c>
      <c r="L235" s="4">
        <f>1/JPY!B235</f>
        <v>1.0813148788927335E-2</v>
      </c>
      <c r="M235" s="4">
        <f>1/JPY!C235</f>
        <v>1.0816189672702101E-2</v>
      </c>
      <c r="N235" s="5">
        <f>1/KRW!B235</f>
        <v>8.687342541916428E-4</v>
      </c>
      <c r="O235" s="5">
        <f>1/KRW!C235</f>
        <v>8.6872029248074808E-4</v>
      </c>
      <c r="P235" s="3">
        <f>1/NOK!B235</f>
        <v>0.15991300732401573</v>
      </c>
      <c r="Q235" s="3">
        <f>1/NOK!C235</f>
        <v>0.15967298971705945</v>
      </c>
      <c r="R235" s="3">
        <f>NZD!B235/1</f>
        <v>0.69589999999999996</v>
      </c>
      <c r="S235" s="3">
        <f>NZD!C235/1</f>
        <v>0.69430000000000003</v>
      </c>
      <c r="T235" s="4">
        <f>1/PHP!B235</f>
        <v>2.207749199690915E-2</v>
      </c>
      <c r="U235" s="4">
        <f>1/PHP!C235</f>
        <v>2.199978000219998E-2</v>
      </c>
      <c r="V235" s="4">
        <f>1/TWD!B235</f>
        <v>3.1371564813652907E-2</v>
      </c>
      <c r="W235" s="4">
        <f>1/TWD!C235</f>
        <v>3.1371564813652907E-2</v>
      </c>
      <c r="X235" s="4">
        <f>1/TWD!B235</f>
        <v>3.1371564813652907E-2</v>
      </c>
      <c r="Y235" s="4">
        <f>1/TWD!C235</f>
        <v>3.1371564813652907E-2</v>
      </c>
      <c r="Z235" s="4">
        <f>1/ZAR!B235</f>
        <v>0.13157894736842105</v>
      </c>
      <c r="AA235" s="4">
        <f>1/ZAR!C235</f>
        <v>0.13082155939298795</v>
      </c>
    </row>
    <row r="236" spans="1:27" x14ac:dyDescent="0.25">
      <c r="A236" t="str">
        <f>"19/05/2010"</f>
        <v>19/05/2010</v>
      </c>
      <c r="B236" s="3">
        <f>AUD!B236</f>
        <v>0.85809999999999997</v>
      </c>
      <c r="C236" s="3">
        <f>AUD!C236</f>
        <v>0.85499999999999998</v>
      </c>
      <c r="D236" s="3">
        <f>1/CAD!B236</f>
        <v>0.96126117466115546</v>
      </c>
      <c r="E236" s="3">
        <f>1/CAD!C236</f>
        <v>0.96116878123798544</v>
      </c>
      <c r="F236" s="3">
        <f>EUR!B236/1</f>
        <v>1.2218</v>
      </c>
      <c r="G236" s="3">
        <f>EUR!C236/1</f>
        <v>1.2221</v>
      </c>
      <c r="H236" s="3">
        <f>GBP!B236/1</f>
        <v>1.4297</v>
      </c>
      <c r="I236" s="3">
        <f>GBP!C236/1</f>
        <v>1.4296</v>
      </c>
      <c r="J236" s="4">
        <f>1/INR!B236</f>
        <v>2.1794801939737374E-2</v>
      </c>
      <c r="K236" s="4">
        <f>1/INR!C236</f>
        <v>2.1736767742636668E-2</v>
      </c>
      <c r="L236" s="4">
        <f>1/JPY!B236</f>
        <v>1.0866021949364337E-2</v>
      </c>
      <c r="M236" s="4">
        <f>1/JPY!C236</f>
        <v>1.0869506143988348E-2</v>
      </c>
      <c r="N236" s="5">
        <f>1/KRW!B236</f>
        <v>8.592541673827118E-4</v>
      </c>
      <c r="O236" s="5">
        <f>1/KRW!C236</f>
        <v>8.5924132084638023E-4</v>
      </c>
      <c r="P236" s="3">
        <f>1/NOK!B236</f>
        <v>0.1574877553270233</v>
      </c>
      <c r="Q236" s="3">
        <f>1/NOK!C236</f>
        <v>0.1572524845892565</v>
      </c>
      <c r="R236" s="3">
        <f>NZD!B236/1</f>
        <v>0.68810000000000004</v>
      </c>
      <c r="S236" s="3">
        <f>NZD!C236/1</f>
        <v>0.6865</v>
      </c>
      <c r="T236" s="4">
        <f>1/PHP!B236</f>
        <v>2.196836555360281E-2</v>
      </c>
      <c r="U236" s="4">
        <f>1/PHP!C236</f>
        <v>2.1893814997263273E-2</v>
      </c>
      <c r="V236" s="4">
        <f>1/TWD!B236</f>
        <v>3.1300863903843748E-2</v>
      </c>
      <c r="W236" s="4">
        <f>1/TWD!C236</f>
        <v>3.1300863903843748E-2</v>
      </c>
      <c r="X236" s="4">
        <f>1/TWD!B236</f>
        <v>3.1300863903843748E-2</v>
      </c>
      <c r="Y236" s="4">
        <f>1/TWD!C236</f>
        <v>3.1300863903843748E-2</v>
      </c>
      <c r="Z236" s="4">
        <f>1/ZAR!B236</f>
        <v>0.12971514554039329</v>
      </c>
      <c r="AA236" s="4">
        <f>1/ZAR!C236</f>
        <v>0.12899896800825594</v>
      </c>
    </row>
    <row r="237" spans="1:27" x14ac:dyDescent="0.25">
      <c r="A237" t="str">
        <f>"20/05/2010"</f>
        <v>20/05/2010</v>
      </c>
      <c r="B237" s="3">
        <f>AUD!B237</f>
        <v>0.84419999999999995</v>
      </c>
      <c r="C237" s="3">
        <f>AUD!C237</f>
        <v>0.84109999999999996</v>
      </c>
      <c r="D237" s="3">
        <f>1/CAD!B237</f>
        <v>0.95657164721637644</v>
      </c>
      <c r="E237" s="3">
        <f>1/CAD!C237</f>
        <v>0.95648015303682443</v>
      </c>
      <c r="F237" s="3">
        <f>EUR!B237/1</f>
        <v>1.2370000000000001</v>
      </c>
      <c r="G237" s="3">
        <f>EUR!C237/1</f>
        <v>1.2372000000000001</v>
      </c>
      <c r="H237" s="3">
        <f>GBP!B237/1</f>
        <v>1.4416</v>
      </c>
      <c r="I237" s="3">
        <f>GBP!C237/1</f>
        <v>1.4415</v>
      </c>
      <c r="J237" s="4">
        <f>1/INR!B237</f>
        <v>2.1579628830384116E-2</v>
      </c>
      <c r="K237" s="4">
        <f>1/INR!C237</f>
        <v>2.1530842932500807E-2</v>
      </c>
      <c r="L237" s="4">
        <f>1/JPY!B237</f>
        <v>1.0893305519093241E-2</v>
      </c>
      <c r="M237" s="4">
        <f>1/JPY!C237</f>
        <v>1.0896071094684679E-2</v>
      </c>
      <c r="N237" s="5">
        <f>1/KRW!B237</f>
        <v>8.499787505312367E-4</v>
      </c>
      <c r="O237" s="5">
        <f>1/KRW!C237</f>
        <v>8.4996191745628834E-4</v>
      </c>
      <c r="P237" s="3">
        <f>1/NOK!B237</f>
        <v>0.15590894917368259</v>
      </c>
      <c r="Q237" s="3">
        <f>1/NOK!C237</f>
        <v>0.15569291130174842</v>
      </c>
      <c r="R237" s="3">
        <f>NZD!B237/1</f>
        <v>0.68510000000000004</v>
      </c>
      <c r="S237" s="3">
        <f>NZD!C237/1</f>
        <v>0.68369999999999997</v>
      </c>
      <c r="T237" s="4">
        <f>1/PHP!B237</f>
        <v>2.1762785636561477E-2</v>
      </c>
      <c r="U237" s="4">
        <f>1/PHP!C237</f>
        <v>2.1691973969631236E-2</v>
      </c>
      <c r="V237" s="4">
        <f>1/TWD!B237</f>
        <v>3.1192488848685238E-2</v>
      </c>
      <c r="W237" s="4">
        <f>1/TWD!C237</f>
        <v>3.1192488848685238E-2</v>
      </c>
      <c r="X237" s="4">
        <f>1/TWD!B237</f>
        <v>3.1192488848685238E-2</v>
      </c>
      <c r="Y237" s="4">
        <f>1/TWD!C237</f>
        <v>3.1192488848685238E-2</v>
      </c>
      <c r="Z237" s="4">
        <f>1/ZAR!B237</f>
        <v>0.12763241863433311</v>
      </c>
      <c r="AA237" s="4">
        <f>1/ZAR!C237</f>
        <v>0.12693738178956321</v>
      </c>
    </row>
    <row r="238" spans="1:27" x14ac:dyDescent="0.25">
      <c r="A238" t="str">
        <f>"21/05/2010"</f>
        <v>21/05/2010</v>
      </c>
      <c r="B238" s="3">
        <f>AUD!B238</f>
        <v>0.82620000000000005</v>
      </c>
      <c r="C238" s="3">
        <f>AUD!C238</f>
        <v>0.82310000000000005</v>
      </c>
      <c r="D238" s="3">
        <f>1/CAD!B238</f>
        <v>0.9394964299135663</v>
      </c>
      <c r="E238" s="3">
        <f>1/CAD!C238</f>
        <v>0.9394964299135663</v>
      </c>
      <c r="F238" s="3">
        <f>EUR!B238/1</f>
        <v>1.2579</v>
      </c>
      <c r="G238" s="3">
        <f>EUR!C238/1</f>
        <v>1.2581</v>
      </c>
      <c r="H238" s="3">
        <f>GBP!B238/1</f>
        <v>1.4367000000000001</v>
      </c>
      <c r="I238" s="3">
        <f>GBP!C238/1</f>
        <v>1.4366000000000001</v>
      </c>
      <c r="J238" s="4">
        <f>1/INR!B238</f>
        <v>2.1226915729144556E-2</v>
      </c>
      <c r="K238" s="4">
        <f>1/INR!C238</f>
        <v>2.1169621593014026E-2</v>
      </c>
      <c r="L238" s="4">
        <f>1/JPY!B238</f>
        <v>1.1093854004881295E-2</v>
      </c>
      <c r="M238" s="4">
        <f>1/JPY!C238</f>
        <v>1.1097498180010299E-2</v>
      </c>
      <c r="N238" s="5">
        <f>1/KRW!B238</f>
        <v>8.1699346405228761E-4</v>
      </c>
      <c r="O238" s="5">
        <f>1/KRW!C238</f>
        <v>8.1698465343347593E-4</v>
      </c>
      <c r="P238" s="3">
        <f>1/NOK!B238</f>
        <v>0.15320504963843609</v>
      </c>
      <c r="Q238" s="3">
        <f>1/NOK!C238</f>
        <v>0.15297537096527458</v>
      </c>
      <c r="R238" s="3">
        <f>NZD!B238/1</f>
        <v>0.67079999999999995</v>
      </c>
      <c r="S238" s="3">
        <f>NZD!C238/1</f>
        <v>0.66949999999999998</v>
      </c>
      <c r="T238" s="4">
        <f>1/PHP!B238</f>
        <v>2.1505376344086023E-2</v>
      </c>
      <c r="U238" s="4">
        <f>1/PHP!C238</f>
        <v>2.1436227224008574E-2</v>
      </c>
      <c r="V238" s="4">
        <f>1/TWD!B238</f>
        <v>3.1126466834749584E-2</v>
      </c>
      <c r="W238" s="4">
        <f>1/TWD!C238</f>
        <v>3.1126466834749584E-2</v>
      </c>
      <c r="X238" s="4">
        <f>1/TWD!B238</f>
        <v>3.1126466834749584E-2</v>
      </c>
      <c r="Y238" s="4">
        <f>1/TWD!C238</f>
        <v>3.1126466834749584E-2</v>
      </c>
      <c r="Z238" s="4">
        <f>1/ZAR!B238</f>
        <v>0.12626740911903228</v>
      </c>
      <c r="AA238" s="4">
        <f>1/ZAR!C238</f>
        <v>0.12557765722322686</v>
      </c>
    </row>
    <row r="239" spans="1:27" x14ac:dyDescent="0.25">
      <c r="A239" t="str">
        <f>"24/05/2010"</f>
        <v>24/05/2010</v>
      </c>
      <c r="B239" s="3">
        <f>AUD!B239</f>
        <v>0.82589999999999997</v>
      </c>
      <c r="C239" s="3">
        <f>AUD!C239</f>
        <v>0.8226</v>
      </c>
      <c r="D239" s="3">
        <f>1/CAD!B239</f>
        <v>0.94117647058823528</v>
      </c>
      <c r="E239" s="3">
        <f>1/CAD!C239</f>
        <v>0.94117647058823528</v>
      </c>
      <c r="F239" s="3">
        <f>EUR!B239/1</f>
        <v>1.2494000000000001</v>
      </c>
      <c r="G239" s="3">
        <f>EUR!C239/1</f>
        <v>1.2497</v>
      </c>
      <c r="H239" s="3">
        <f>GBP!B239/1</f>
        <v>1.4462999999999999</v>
      </c>
      <c r="I239" s="3">
        <f>GBP!C239/1</f>
        <v>1.4462999999999999</v>
      </c>
      <c r="J239" s="4">
        <f>1/INR!B239</f>
        <v>2.1346995410395989E-2</v>
      </c>
      <c r="K239" s="4">
        <f>1/INR!C239</f>
        <v>2.1285653469561516E-2</v>
      </c>
      <c r="L239" s="4">
        <f>1/JPY!B239</f>
        <v>1.1095084877399313E-2</v>
      </c>
      <c r="M239" s="4">
        <f>1/JPY!C239</f>
        <v>1.1100195918457961E-2</v>
      </c>
      <c r="N239" s="5">
        <f>1/KRW!B239</f>
        <v>8.2230079763177377E-4</v>
      </c>
      <c r="O239" s="5">
        <f>1/KRW!C239</f>
        <v>8.222890999083724E-4</v>
      </c>
      <c r="P239" s="3">
        <f>1/NOK!B239</f>
        <v>0.15349665377294774</v>
      </c>
      <c r="Q239" s="3">
        <f>1/NOK!C239</f>
        <v>0.15326610060386842</v>
      </c>
      <c r="R239" s="3">
        <f>NZD!B239/1</f>
        <v>0.67230000000000001</v>
      </c>
      <c r="S239" s="3">
        <f>NZD!C239/1</f>
        <v>0.67079999999999995</v>
      </c>
      <c r="T239" s="4">
        <f>1/PHP!B239</f>
        <v>2.1444271698922424E-2</v>
      </c>
      <c r="U239" s="4">
        <f>1/PHP!C239</f>
        <v>2.137323002938819E-2</v>
      </c>
      <c r="V239" s="4">
        <f>1/TWD!B239</f>
        <v>3.1141006477329345E-2</v>
      </c>
      <c r="W239" s="4">
        <f>1/TWD!C239</f>
        <v>3.1141006477329345E-2</v>
      </c>
      <c r="X239" s="4">
        <f>1/TWD!B239</f>
        <v>3.1141006477329345E-2</v>
      </c>
      <c r="Y239" s="4">
        <f>1/TWD!C239</f>
        <v>3.1141006477329345E-2</v>
      </c>
      <c r="Z239" s="4">
        <f>1/ZAR!B239</f>
        <v>0.12714558169103624</v>
      </c>
      <c r="AA239" s="4">
        <f>1/ZAR!C239</f>
        <v>0.1264638187014695</v>
      </c>
    </row>
    <row r="240" spans="1:27" x14ac:dyDescent="0.25">
      <c r="A240" t="str">
        <f>"25/05/2010"</f>
        <v>25/05/2010</v>
      </c>
      <c r="B240" s="3">
        <f>AUD!B240</f>
        <v>0.82</v>
      </c>
      <c r="C240" s="3">
        <f>AUD!C240</f>
        <v>0.81689999999999996</v>
      </c>
      <c r="D240" s="3">
        <f>1/CAD!B240</f>
        <v>0.93510379652141395</v>
      </c>
      <c r="E240" s="3">
        <f>1/CAD!C240</f>
        <v>0.93510379652141395</v>
      </c>
      <c r="F240" s="3">
        <f>EUR!B240/1</f>
        <v>1.2304999999999999</v>
      </c>
      <c r="G240" s="3">
        <f>EUR!C240/1</f>
        <v>1.2309000000000001</v>
      </c>
      <c r="H240" s="3">
        <f>GBP!B240/1</f>
        <v>1.4361999999999999</v>
      </c>
      <c r="I240" s="3">
        <f>GBP!C240/1</f>
        <v>1.4361999999999999</v>
      </c>
      <c r="J240" s="4">
        <f>1/INR!B240</f>
        <v>2.115506663845991E-2</v>
      </c>
      <c r="K240" s="4">
        <f>1/INR!C240</f>
        <v>2.1083702298123549E-2</v>
      </c>
      <c r="L240" s="4">
        <f>1/JPY!B240</f>
        <v>1.1100134311625171E-2</v>
      </c>
      <c r="M240" s="4">
        <f>1/JPY!C240</f>
        <v>1.1105792670398953E-2</v>
      </c>
      <c r="N240" s="5">
        <f>1/KRW!B240</f>
        <v>7.903888713246917E-4</v>
      </c>
      <c r="O240" s="5">
        <f>1/KRW!C240</f>
        <v>7.9037550265906038E-4</v>
      </c>
      <c r="P240" s="3">
        <f>1/NOK!B240</f>
        <v>0.15257624998092797</v>
      </c>
      <c r="Q240" s="3">
        <f>1/NOK!C240</f>
        <v>0.1523391679234648</v>
      </c>
      <c r="R240" s="3">
        <f>NZD!B240/1</f>
        <v>0.66779999999999995</v>
      </c>
      <c r="S240" s="3">
        <f>NZD!C240/1</f>
        <v>0.6663</v>
      </c>
      <c r="T240" s="4">
        <f>1/PHP!B240</f>
        <v>2.1283388315419816E-2</v>
      </c>
      <c r="U240" s="4">
        <f>1/PHP!C240</f>
        <v>2.1208008143875128E-2</v>
      </c>
      <c r="V240" s="4">
        <f>1/TWD!B240</f>
        <v>3.1037586517272415E-2</v>
      </c>
      <c r="W240" s="4">
        <f>1/TWD!C240</f>
        <v>3.1037682850749097E-2</v>
      </c>
      <c r="X240" s="4">
        <f>1/TWD!B240</f>
        <v>3.1037586517272415E-2</v>
      </c>
      <c r="Y240" s="4">
        <f>1/TWD!C240</f>
        <v>3.1037682850749097E-2</v>
      </c>
      <c r="Z240" s="4">
        <f>1/ZAR!B240</f>
        <v>0.12645742178608463</v>
      </c>
      <c r="AA240" s="4">
        <f>1/ZAR!C240</f>
        <v>0.12574662055957248</v>
      </c>
    </row>
    <row r="241" spans="1:27" x14ac:dyDescent="0.25">
      <c r="A241" t="str">
        <f>"26/05/2010"</f>
        <v>26/05/2010</v>
      </c>
      <c r="B241" s="3">
        <f>AUD!B241</f>
        <v>0.82320000000000004</v>
      </c>
      <c r="C241" s="3">
        <f>AUD!C241</f>
        <v>0.82020000000000004</v>
      </c>
      <c r="D241" s="3">
        <f>1/CAD!B241</f>
        <v>0.93327111525898288</v>
      </c>
      <c r="E241" s="3">
        <f>1/CAD!C241</f>
        <v>0.93327111525898288</v>
      </c>
      <c r="F241" s="3">
        <f>EUR!B241/1</f>
        <v>1.2292000000000001</v>
      </c>
      <c r="G241" s="3">
        <f>EUR!C241/1</f>
        <v>1.2298</v>
      </c>
      <c r="H241" s="3">
        <f>GBP!B241/1</f>
        <v>1.4379999999999999</v>
      </c>
      <c r="I241" s="3">
        <f>GBP!C241/1</f>
        <v>1.4381999999999999</v>
      </c>
      <c r="J241" s="4">
        <f>1/INR!B241</f>
        <v>2.108814846056516E-2</v>
      </c>
      <c r="K241" s="4">
        <f>1/INR!C241</f>
        <v>2.1000682522181971E-2</v>
      </c>
      <c r="L241" s="4">
        <f>1/JPY!B241</f>
        <v>1.1093854004881295E-2</v>
      </c>
      <c r="M241" s="4">
        <f>1/JPY!C241</f>
        <v>1.1101822586213979E-2</v>
      </c>
      <c r="N241" s="5">
        <f>1/KRW!B241</f>
        <v>7.9693975135479759E-4</v>
      </c>
      <c r="O241" s="5">
        <f>1/KRW!C241</f>
        <v>7.9692774790051377E-4</v>
      </c>
      <c r="P241" s="3">
        <f>1/NOK!B241</f>
        <v>0.15184875863639816</v>
      </c>
      <c r="Q241" s="3">
        <f>1/NOK!C241</f>
        <v>0.15162542455118874</v>
      </c>
      <c r="R241" s="3">
        <f>NZD!B241/1</f>
        <v>0.66559999999999997</v>
      </c>
      <c r="S241" s="3">
        <f>NZD!C241/1</f>
        <v>0.66410000000000002</v>
      </c>
      <c r="T241" s="4">
        <f>1/PHP!B241</f>
        <v>2.1342439440828087E-2</v>
      </c>
      <c r="U241" s="4">
        <f>1/PHP!C241</f>
        <v>2.1267545725223307E-2</v>
      </c>
      <c r="V241" s="4">
        <f>1/TWD!B241</f>
        <v>3.0979894048762349E-2</v>
      </c>
      <c r="W241" s="4">
        <f>1/TWD!C241</f>
        <v>3.0980373933113373E-2</v>
      </c>
      <c r="X241" s="4">
        <f>1/TWD!B241</f>
        <v>3.0979894048762349E-2</v>
      </c>
      <c r="Y241" s="4">
        <f>1/TWD!C241</f>
        <v>3.0980373933113373E-2</v>
      </c>
      <c r="Z241" s="4">
        <f>1/ZAR!B241</f>
        <v>0.12682308180088778</v>
      </c>
      <c r="AA241" s="4">
        <f>1/ZAR!C241</f>
        <v>0.12609863435178997</v>
      </c>
    </row>
    <row r="242" spans="1:27" x14ac:dyDescent="0.25">
      <c r="A242" t="str">
        <f>"28/05/2010"</f>
        <v>28/05/2010</v>
      </c>
      <c r="B242" s="3">
        <f>AUD!B242</f>
        <v>0.84930000000000005</v>
      </c>
      <c r="C242" s="3">
        <f>AUD!C242</f>
        <v>0.84640000000000004</v>
      </c>
      <c r="D242" s="3">
        <f>1/CAD!B242</f>
        <v>0.95047999239615999</v>
      </c>
      <c r="E242" s="3">
        <f>1/CAD!C242</f>
        <v>0.95038965976050183</v>
      </c>
      <c r="F242" s="3">
        <f>EUR!B242/1</f>
        <v>1.2296</v>
      </c>
      <c r="G242" s="3">
        <f>EUR!C242/1</f>
        <v>1.2299</v>
      </c>
      <c r="H242" s="3">
        <f>GBP!B242/1</f>
        <v>1.4535</v>
      </c>
      <c r="I242" s="3">
        <f>GBP!C242/1</f>
        <v>1.4535</v>
      </c>
      <c r="J242" s="4">
        <f>1/INR!B242</f>
        <v>2.1436227224008574E-2</v>
      </c>
      <c r="K242" s="4">
        <f>1/INR!C242</f>
        <v>2.137323002938819E-2</v>
      </c>
      <c r="L242" s="4">
        <f>1/JPY!B242</f>
        <v>1.0975803840433764E-2</v>
      </c>
      <c r="M242" s="4">
        <f>1/JPY!C242</f>
        <v>1.0980021850243483E-2</v>
      </c>
      <c r="N242" s="5">
        <f>1/KRW!B242</f>
        <v>8.3437630371297454E-4</v>
      </c>
      <c r="O242" s="5">
        <f>1/KRW!C242</f>
        <v>8.3435437449912663E-4</v>
      </c>
      <c r="P242" s="3">
        <f>1/NOK!B242</f>
        <v>0.15445446682318054</v>
      </c>
      <c r="Q242" s="3">
        <f>1/NOK!C242</f>
        <v>0.1542424382644641</v>
      </c>
      <c r="R242" s="3">
        <f>NZD!B242/1</f>
        <v>0.68049999999999999</v>
      </c>
      <c r="S242" s="3">
        <f>NZD!C242/1</f>
        <v>0.67910000000000004</v>
      </c>
      <c r="T242" s="4">
        <f>1/PHP!B242</f>
        <v>2.1630975556997622E-2</v>
      </c>
      <c r="U242" s="4">
        <f>1/PHP!C242</f>
        <v>2.1561017680034496E-2</v>
      </c>
      <c r="V242" s="4">
        <f>1/TWD!B242</f>
        <v>3.1210986267166042E-2</v>
      </c>
      <c r="W242" s="4">
        <f>1/TWD!C242</f>
        <v>3.1211083680036451E-2</v>
      </c>
      <c r="X242" s="4">
        <f>1/TWD!B242</f>
        <v>3.1210986267166042E-2</v>
      </c>
      <c r="Y242" s="4">
        <f>1/TWD!C242</f>
        <v>3.1211083680036451E-2</v>
      </c>
      <c r="Z242" s="4">
        <f>1/ZAR!B242</f>
        <v>0.1312542657636373</v>
      </c>
      <c r="AA242" s="4">
        <f>1/ZAR!C242</f>
        <v>0.13056193858366408</v>
      </c>
    </row>
    <row r="243" spans="1:27" x14ac:dyDescent="0.25">
      <c r="A243" t="str">
        <f>"31/05/2010"</f>
        <v>31/05/2010</v>
      </c>
      <c r="B243" s="3">
        <f>AUD!B243</f>
        <v>0.84870000000000001</v>
      </c>
      <c r="C243" s="3">
        <f>AUD!C243</f>
        <v>0.8458</v>
      </c>
      <c r="D243" s="3">
        <f>1/CAD!B243</f>
        <v>0.95292548122736787</v>
      </c>
      <c r="E243" s="3">
        <f>1/CAD!C243</f>
        <v>0.95283468318246778</v>
      </c>
      <c r="F243" s="3">
        <f>EUR!B243/1</f>
        <v>1.2326999999999999</v>
      </c>
      <c r="G243" s="3">
        <f>EUR!C243/1</f>
        <v>1.2331000000000001</v>
      </c>
      <c r="H243" s="3">
        <f>GBP!B243/1</f>
        <v>1.4476</v>
      </c>
      <c r="I243" s="3">
        <f>GBP!C243/1</f>
        <v>1.4476</v>
      </c>
      <c r="J243" s="4">
        <f>1/INR!B243</f>
        <v>2.151694459386767E-2</v>
      </c>
      <c r="K243" s="4">
        <f>1/INR!C243</f>
        <v>2.1447721179624665E-2</v>
      </c>
      <c r="L243" s="4">
        <f>1/JPY!B243</f>
        <v>1.09421162052741E-2</v>
      </c>
      <c r="M243" s="4">
        <f>1/JPY!C243</f>
        <v>1.094664386845637E-2</v>
      </c>
      <c r="N243" s="5">
        <f>1/KRW!B243</f>
        <v>8.3423709018102946E-4</v>
      </c>
      <c r="O243" s="5">
        <f>1/KRW!C243</f>
        <v>8.3422226667699995E-4</v>
      </c>
      <c r="P243" s="3">
        <f>1/NOK!B243</f>
        <v>0.15469579072753431</v>
      </c>
      <c r="Q243" s="3">
        <f>1/NOK!C243</f>
        <v>0.15447594037228701</v>
      </c>
      <c r="R243" s="3">
        <f>NZD!B243/1</f>
        <v>0.68259999999999998</v>
      </c>
      <c r="S243" s="3">
        <f>NZD!C243/1</f>
        <v>0.68120000000000003</v>
      </c>
      <c r="T243" s="4">
        <f>1/PHP!B243</f>
        <v>2.1621621621621623E-2</v>
      </c>
      <c r="U243" s="4">
        <f>1/PHP!C243</f>
        <v>2.1554046772281496E-2</v>
      </c>
      <c r="V243" s="4">
        <f>1/TWD!B243</f>
        <v>3.127541127165822E-2</v>
      </c>
      <c r="W243" s="4">
        <f>1/TWD!C243</f>
        <v>3.1275509087099168E-2</v>
      </c>
      <c r="X243" s="4">
        <f>1/TWD!B243</f>
        <v>3.127541127165822E-2</v>
      </c>
      <c r="Y243" s="4">
        <f>1/TWD!C243</f>
        <v>3.1275509087099168E-2</v>
      </c>
      <c r="Z243" s="4">
        <f>1/ZAR!B243</f>
        <v>0.13131976362442546</v>
      </c>
      <c r="AA243" s="4">
        <f>1/ZAR!C243</f>
        <v>0.13063015989131571</v>
      </c>
    </row>
    <row r="244" spans="1:27" x14ac:dyDescent="0.25">
      <c r="A244" t="str">
        <f>"01/06/2010"</f>
        <v>01/06/2010</v>
      </c>
      <c r="B244" s="3">
        <f>AUD!B244</f>
        <v>0.83589999999999998</v>
      </c>
      <c r="C244" s="3">
        <f>AUD!C244</f>
        <v>0.83289999999999997</v>
      </c>
      <c r="D244" s="3">
        <f>1/CAD!B244</f>
        <v>0.95529231944975168</v>
      </c>
      <c r="E244" s="3">
        <f>1/CAD!C244</f>
        <v>0.95520106982519826</v>
      </c>
      <c r="F244" s="3">
        <f>EUR!B244/1</f>
        <v>1.2254</v>
      </c>
      <c r="G244" s="3">
        <f>EUR!C244/1</f>
        <v>1.2258</v>
      </c>
      <c r="H244" s="3">
        <f>GBP!B244/1</f>
        <v>1.4475</v>
      </c>
      <c r="I244" s="3">
        <f>GBP!C244/1</f>
        <v>1.4476</v>
      </c>
      <c r="J244" s="4">
        <f>1/INR!B244</f>
        <v>2.1458076283461188E-2</v>
      </c>
      <c r="K244" s="4">
        <f>1/INR!C244</f>
        <v>2.1377799155576933E-2</v>
      </c>
      <c r="L244" s="4">
        <f>1/JPY!B244</f>
        <v>1.0986596352450011E-2</v>
      </c>
      <c r="M244" s="4">
        <f>1/JPY!C244</f>
        <v>1.0991269634529293E-2</v>
      </c>
      <c r="N244" s="5">
        <f>1/KRW!B244</f>
        <v>8.2706145066578456E-4</v>
      </c>
      <c r="O244" s="5">
        <f>1/KRW!C244</f>
        <v>8.2703292757168169E-4</v>
      </c>
      <c r="P244" s="3">
        <f>1/NOK!B244</f>
        <v>0.15422340802887063</v>
      </c>
      <c r="Q244" s="3">
        <f>1/NOK!C244</f>
        <v>0.15398118349937637</v>
      </c>
      <c r="R244" s="3">
        <f>NZD!B244/1</f>
        <v>0.67600000000000005</v>
      </c>
      <c r="S244" s="3">
        <f>NZD!C244/1</f>
        <v>0.6744</v>
      </c>
      <c r="T244" s="4">
        <f>1/PHP!B244</f>
        <v>2.1532001937880175E-2</v>
      </c>
      <c r="U244" s="4">
        <f>1/PHP!C244</f>
        <v>2.1462681762086173E-2</v>
      </c>
      <c r="V244" s="4">
        <f>1/TWD!B244</f>
        <v>3.110419906687403E-2</v>
      </c>
      <c r="W244" s="4">
        <f>1/TWD!C244</f>
        <v>3.1104392562317652E-2</v>
      </c>
      <c r="X244" s="4">
        <f>1/TWD!B244</f>
        <v>3.110419906687403E-2</v>
      </c>
      <c r="Y244" s="4">
        <f>1/TWD!C244</f>
        <v>3.1104392562317652E-2</v>
      </c>
      <c r="Z244" s="4">
        <f>1/ZAR!B244</f>
        <v>0.12955381665543866</v>
      </c>
      <c r="AA244" s="4">
        <f>1/ZAR!C244</f>
        <v>0.12888258796236629</v>
      </c>
    </row>
    <row r="245" spans="1:27" x14ac:dyDescent="0.25">
      <c r="A245" t="str">
        <f>"02/06/2010"</f>
        <v>02/06/2010</v>
      </c>
      <c r="B245" s="3">
        <f>AUD!B245</f>
        <v>0.82950000000000002</v>
      </c>
      <c r="C245" s="3">
        <f>AUD!C245</f>
        <v>0.82650000000000001</v>
      </c>
      <c r="D245" s="3">
        <f>1/CAD!B245</f>
        <v>0.94652153336488409</v>
      </c>
      <c r="E245" s="3">
        <f>1/CAD!C245</f>
        <v>0.94643195154268411</v>
      </c>
      <c r="F245" s="3">
        <f>EUR!B245/1</f>
        <v>1.2198</v>
      </c>
      <c r="G245" s="3">
        <f>EUR!C245/1</f>
        <v>1.2202</v>
      </c>
      <c r="H245" s="3">
        <f>GBP!B245/1</f>
        <v>1.4679</v>
      </c>
      <c r="I245" s="3">
        <f>GBP!C245/1</f>
        <v>1.4679</v>
      </c>
      <c r="J245" s="4">
        <f>1/INR!B245</f>
        <v>2.1159542953872196E-2</v>
      </c>
      <c r="K245" s="4">
        <f>1/INR!C245</f>
        <v>2.1079258010118045E-2</v>
      </c>
      <c r="L245" s="4">
        <f>1/JPY!B245</f>
        <v>1.0950503723171266E-2</v>
      </c>
      <c r="M245" s="4">
        <f>1/JPY!C245</f>
        <v>1.0954990326743541E-2</v>
      </c>
      <c r="N245" s="5">
        <f>1/KRW!B245</f>
        <v>8.090614886731392E-4</v>
      </c>
      <c r="O245" s="5">
        <f>1/KRW!C245</f>
        <v>8.0904741543735283E-4</v>
      </c>
      <c r="P245" s="3">
        <f>1/NOK!B245</f>
        <v>0.15380592768045281</v>
      </c>
      <c r="Q245" s="3">
        <f>1/NOK!C245</f>
        <v>0.15357680375956015</v>
      </c>
      <c r="R245" s="3">
        <f>NZD!B245/1</f>
        <v>0.67390000000000005</v>
      </c>
      <c r="S245" s="3">
        <f>NZD!C245/1</f>
        <v>0.6724</v>
      </c>
      <c r="T245" s="4">
        <f>1/PHP!B245</f>
        <v>2.1394950791613177E-2</v>
      </c>
      <c r="U245" s="4">
        <f>1/PHP!C245</f>
        <v>2.1324234993069621E-2</v>
      </c>
      <c r="V245" s="4">
        <f>1/TWD!B245</f>
        <v>3.0962628107873799E-2</v>
      </c>
      <c r="W245" s="4">
        <f>1/TWD!C245</f>
        <v>3.096281984592901E-2</v>
      </c>
      <c r="X245" s="4">
        <f>1/TWD!B245</f>
        <v>3.0962628107873799E-2</v>
      </c>
      <c r="Y245" s="4">
        <f>1/TWD!C245</f>
        <v>3.096281984592901E-2</v>
      </c>
      <c r="Z245" s="4">
        <f>1/ZAR!B245</f>
        <v>0.12936610608020699</v>
      </c>
      <c r="AA245" s="4">
        <f>1/ZAR!C245</f>
        <v>0.12862232626339279</v>
      </c>
    </row>
    <row r="246" spans="1:27" x14ac:dyDescent="0.25">
      <c r="A246" t="str">
        <f>"03/06/2010"</f>
        <v>03/06/2010</v>
      </c>
      <c r="B246" s="3">
        <f>AUD!B246</f>
        <v>0.84660000000000002</v>
      </c>
      <c r="C246" s="3">
        <f>AUD!C246</f>
        <v>0.84360000000000002</v>
      </c>
      <c r="D246" s="3">
        <f>1/CAD!B246</f>
        <v>0.96441315459542876</v>
      </c>
      <c r="E246" s="3">
        <f>1/CAD!C246</f>
        <v>0.96422717192170482</v>
      </c>
      <c r="F246" s="3">
        <f>EUR!B246/1</f>
        <v>1.2282</v>
      </c>
      <c r="G246" s="3">
        <f>EUR!C246/1</f>
        <v>1.2284999999999999</v>
      </c>
      <c r="H246" s="3">
        <f>GBP!B246/1</f>
        <v>1.4681999999999999</v>
      </c>
      <c r="I246" s="3">
        <f>GBP!C246/1</f>
        <v>1.4681999999999999</v>
      </c>
      <c r="J246" s="4">
        <f>1/INR!B246</f>
        <v>2.1431633090441493E-2</v>
      </c>
      <c r="K246" s="4">
        <f>1/INR!C246</f>
        <v>2.1350413664264746E-2</v>
      </c>
      <c r="L246" s="4">
        <f>1/JPY!B246</f>
        <v>1.0847163466753445E-2</v>
      </c>
      <c r="M246" s="4">
        <f>1/JPY!C246</f>
        <v>1.0851153640399279E-2</v>
      </c>
      <c r="N246" s="5">
        <f>1/KRW!B246</f>
        <v>8.2911864687836836E-4</v>
      </c>
      <c r="O246" s="5">
        <f>1/KRW!C246</f>
        <v>8.29095824573936E-4</v>
      </c>
      <c r="P246" s="3">
        <f>1/NOK!B246</f>
        <v>0.15507241881958875</v>
      </c>
      <c r="Q246" s="3">
        <f>1/NOK!C246</f>
        <v>0.15482991933361201</v>
      </c>
      <c r="R246" s="3">
        <f>NZD!B246/1</f>
        <v>0.68420000000000003</v>
      </c>
      <c r="S246" s="3">
        <f>NZD!C246/1</f>
        <v>0.68279999999999996</v>
      </c>
      <c r="T246" s="4">
        <f>1/PHP!B246</f>
        <v>2.1549402004094387E-2</v>
      </c>
      <c r="U246" s="4">
        <f>1/PHP!C246</f>
        <v>2.147766323024055E-2</v>
      </c>
      <c r="V246" s="4">
        <f>1/TWD!B246</f>
        <v>3.1143916036002365E-2</v>
      </c>
      <c r="W246" s="4">
        <f>1/TWD!C246</f>
        <v>3.1144110025911897E-2</v>
      </c>
      <c r="X246" s="4">
        <f>1/TWD!B246</f>
        <v>3.1143916036002365E-2</v>
      </c>
      <c r="Y246" s="4">
        <f>1/TWD!C246</f>
        <v>3.1144110025911897E-2</v>
      </c>
      <c r="Z246" s="4">
        <f>1/ZAR!B246</f>
        <v>0.13053807795734015</v>
      </c>
      <c r="AA246" s="4">
        <f>1/ZAR!C246</f>
        <v>0.12980775471526668</v>
      </c>
    </row>
    <row r="247" spans="1:27" x14ac:dyDescent="0.25">
      <c r="A247" t="str">
        <f>"04/06/2010"</f>
        <v>04/06/2010</v>
      </c>
      <c r="B247" s="3">
        <f>AUD!B247</f>
        <v>0.84340000000000004</v>
      </c>
      <c r="C247" s="3">
        <f>AUD!C247</f>
        <v>0.84050000000000002</v>
      </c>
      <c r="D247" s="3">
        <f>1/CAD!B247</f>
        <v>0.96070708041118269</v>
      </c>
      <c r="E247" s="3">
        <f>1/CAD!C247</f>
        <v>0.96052252425319384</v>
      </c>
      <c r="F247" s="3">
        <f>EUR!B247/1</f>
        <v>1.2181</v>
      </c>
      <c r="G247" s="3">
        <f>EUR!C247/1</f>
        <v>1.2182999999999999</v>
      </c>
      <c r="H247" s="3">
        <f>GBP!B247/1</f>
        <v>1.4638</v>
      </c>
      <c r="I247" s="3">
        <f>GBP!C247/1</f>
        <v>1.4638</v>
      </c>
      <c r="J247" s="4">
        <f>1/INR!B247</f>
        <v>2.1436227224008574E-2</v>
      </c>
      <c r="K247" s="4">
        <f>1/INR!C247</f>
        <v>2.135611318739989E-2</v>
      </c>
      <c r="L247" s="4">
        <f>1/JPY!B247</f>
        <v>1.0792259791277695E-2</v>
      </c>
      <c r="M247" s="4">
        <f>1/JPY!C247</f>
        <v>1.0796023176902557E-2</v>
      </c>
      <c r="N247" s="5">
        <f>1/KRW!B247</f>
        <v>8.3437630371297454E-4</v>
      </c>
      <c r="O247" s="5">
        <f>1/KRW!C247</f>
        <v>8.3435263413470114E-4</v>
      </c>
      <c r="P247" s="3">
        <f>1/NOK!B247</f>
        <v>0.1545881770962157</v>
      </c>
      <c r="Q247" s="3">
        <f>1/NOK!C247</f>
        <v>0.15437339837599184</v>
      </c>
      <c r="R247" s="3">
        <f>NZD!B247/1</f>
        <v>0.68340000000000001</v>
      </c>
      <c r="S247" s="3">
        <f>NZD!C247/1</f>
        <v>0.68200000000000005</v>
      </c>
      <c r="T247" s="4">
        <f>1/PHP!B247</f>
        <v>2.1533161068044791E-2</v>
      </c>
      <c r="U247" s="4">
        <f>1/PHP!C247</f>
        <v>2.1464754872499357E-2</v>
      </c>
      <c r="V247" s="4">
        <f>1/TWD!B247</f>
        <v>3.1091627024842212E-2</v>
      </c>
      <c r="W247" s="4">
        <f>1/TWD!C247</f>
        <v>3.1091723694069876E-2</v>
      </c>
      <c r="X247" s="4">
        <f>1/TWD!B247</f>
        <v>3.1091627024842212E-2</v>
      </c>
      <c r="Y247" s="4">
        <f>1/TWD!C247</f>
        <v>3.1091723694069876E-2</v>
      </c>
      <c r="Z247" s="4">
        <f>1/ZAR!B247</f>
        <v>0.13010838028077387</v>
      </c>
      <c r="AA247" s="4">
        <f>1/ZAR!C247</f>
        <v>0.12943140782542292</v>
      </c>
    </row>
    <row r="248" spans="1:27" x14ac:dyDescent="0.25">
      <c r="A248" t="str">
        <f>"07/06/2010"</f>
        <v>07/06/2010</v>
      </c>
      <c r="B248" s="3">
        <f>AUD!B248</f>
        <v>0.81340000000000001</v>
      </c>
      <c r="C248" s="3">
        <f>AUD!C248</f>
        <v>0.8105</v>
      </c>
      <c r="D248" s="3">
        <f>1/CAD!B248</f>
        <v>0.93931993236896483</v>
      </c>
      <c r="E248" s="3">
        <f>1/CAD!C248</f>
        <v>0.9391435011269722</v>
      </c>
      <c r="F248" s="3">
        <f>EUR!B248/1</f>
        <v>1.1901999999999999</v>
      </c>
      <c r="G248" s="3">
        <f>EUR!C248/1</f>
        <v>1.1904999999999999</v>
      </c>
      <c r="H248" s="3">
        <f>GBP!B248/1</f>
        <v>1.4428000000000001</v>
      </c>
      <c r="I248" s="3">
        <f>GBP!C248/1</f>
        <v>1.4428000000000001</v>
      </c>
      <c r="J248" s="4">
        <f>1/INR!B248</f>
        <v>2.1101498206372651E-2</v>
      </c>
      <c r="K248" s="4">
        <f>1/INR!C248</f>
        <v>2.1027177627083005E-2</v>
      </c>
      <c r="L248" s="4">
        <f>1/JPY!B248</f>
        <v>1.0957823337972145E-2</v>
      </c>
      <c r="M248" s="4">
        <f>1/JPY!C248</f>
        <v>1.0962796653277438E-2</v>
      </c>
      <c r="N248" s="5">
        <f>1/KRW!B248</f>
        <v>8.0938891137191421E-4</v>
      </c>
      <c r="O248" s="5">
        <f>1/KRW!C248</f>
        <v>8.0936637620126161E-4</v>
      </c>
      <c r="P248" s="3">
        <f>1/NOK!B248</f>
        <v>0.15009606147934679</v>
      </c>
      <c r="Q248" s="3">
        <f>1/NOK!C248</f>
        <v>0.1498778495526146</v>
      </c>
      <c r="R248" s="3">
        <f>NZD!B248/1</f>
        <v>0.66259999999999997</v>
      </c>
      <c r="S248" s="3">
        <f>NZD!C248/1</f>
        <v>0.66110000000000002</v>
      </c>
      <c r="T248" s="4">
        <f>1/PHP!B248</f>
        <v>2.1346995410395989E-2</v>
      </c>
      <c r="U248" s="4">
        <f>1/PHP!C248</f>
        <v>2.1282482388745822E-2</v>
      </c>
      <c r="V248" s="4">
        <f>1/TWD!B248</f>
        <v>3.082234003205523E-2</v>
      </c>
      <c r="W248" s="4">
        <f>1/TWD!C248</f>
        <v>3.0822435034012559E-2</v>
      </c>
      <c r="X248" s="4">
        <f>1/TWD!B248</f>
        <v>3.082234003205523E-2</v>
      </c>
      <c r="Y248" s="4">
        <f>1/TWD!C248</f>
        <v>3.0822435034012559E-2</v>
      </c>
      <c r="Z248" s="4">
        <f>1/ZAR!B248</f>
        <v>0.12710517953606609</v>
      </c>
      <c r="AA248" s="4">
        <f>1/ZAR!C248</f>
        <v>0.12644782762632137</v>
      </c>
    </row>
    <row r="249" spans="1:27" x14ac:dyDescent="0.25">
      <c r="A249" t="str">
        <f>"08/06/2010"</f>
        <v>08/06/2010</v>
      </c>
      <c r="B249" s="3">
        <f>AUD!B249</f>
        <v>0.81910000000000005</v>
      </c>
      <c r="C249" s="3">
        <f>AUD!C249</f>
        <v>0.81610000000000005</v>
      </c>
      <c r="D249" s="3">
        <f>1/CAD!B249</f>
        <v>0.94696969696969691</v>
      </c>
      <c r="E249" s="3">
        <f>1/CAD!C249</f>
        <v>0.94679038060973297</v>
      </c>
      <c r="F249" s="3">
        <f>EUR!B249/1</f>
        <v>1.1963999999999999</v>
      </c>
      <c r="G249" s="3">
        <f>EUR!C249/1</f>
        <v>1.1967000000000001</v>
      </c>
      <c r="H249" s="3">
        <f>GBP!B249/1</f>
        <v>1.45</v>
      </c>
      <c r="I249" s="3">
        <f>GBP!C249/1</f>
        <v>1.45</v>
      </c>
      <c r="J249" s="4">
        <f>1/INR!B249</f>
        <v>2.1284520832224763E-2</v>
      </c>
      <c r="K249" s="4">
        <f>1/INR!C249</f>
        <v>2.1203286509408958E-2</v>
      </c>
      <c r="L249" s="4">
        <f>1/JPY!B249</f>
        <v>1.0911074740861974E-2</v>
      </c>
      <c r="M249" s="4">
        <f>1/JPY!C249</f>
        <v>1.0915934207481345E-2</v>
      </c>
      <c r="N249" s="5">
        <f>1/KRW!B249</f>
        <v>8.1004455245038481E-4</v>
      </c>
      <c r="O249" s="5">
        <f>1/KRW!C249</f>
        <v>8.100293951567208E-4</v>
      </c>
      <c r="P249" s="3">
        <f>1/NOK!B249</f>
        <v>0.15001500150015001</v>
      </c>
      <c r="Q249" s="3">
        <f>1/NOK!C249</f>
        <v>0.14978131927386015</v>
      </c>
      <c r="R249" s="3">
        <f>NZD!B249/1</f>
        <v>0.66339999999999999</v>
      </c>
      <c r="S249" s="3">
        <f>NZD!C249/1</f>
        <v>0.66190000000000004</v>
      </c>
      <c r="T249" s="4">
        <f>1/PHP!B249</f>
        <v>2.1413276231263382E-2</v>
      </c>
      <c r="U249" s="4">
        <f>1/PHP!C249</f>
        <v>2.1348362580590068E-2</v>
      </c>
      <c r="V249" s="4">
        <f>1/TWD!B249</f>
        <v>3.0898529230008655E-2</v>
      </c>
      <c r="W249" s="4">
        <f>1/TWD!C249</f>
        <v>3.0898624702214505E-2</v>
      </c>
      <c r="X249" s="4">
        <f>1/TWD!B249</f>
        <v>3.0898529230008655E-2</v>
      </c>
      <c r="Y249" s="4">
        <f>1/TWD!C249</f>
        <v>3.0898624702214505E-2</v>
      </c>
      <c r="Z249" s="4">
        <f>1/ZAR!B249</f>
        <v>0.12797215325945074</v>
      </c>
      <c r="AA249" s="4">
        <f>1/ZAR!C249</f>
        <v>0.12730258551551182</v>
      </c>
    </row>
    <row r="250" spans="1:27" x14ac:dyDescent="0.25">
      <c r="A250" t="str">
        <f>"09/06/2010"</f>
        <v>09/06/2010</v>
      </c>
      <c r="B250" s="3">
        <f>AUD!B250</f>
        <v>0.82189999999999996</v>
      </c>
      <c r="C250" s="3">
        <f>AUD!C250</f>
        <v>0.81889999999999996</v>
      </c>
      <c r="D250" s="3">
        <f>1/CAD!B250</f>
        <v>0.95247166396799687</v>
      </c>
      <c r="E250" s="3">
        <f>1/CAD!C250</f>
        <v>0.95238095238095233</v>
      </c>
      <c r="F250" s="3">
        <f>EUR!B250/1</f>
        <v>1.1954</v>
      </c>
      <c r="G250" s="3">
        <f>EUR!C250/1</f>
        <v>1.1957</v>
      </c>
      <c r="H250" s="3">
        <f>GBP!B250/1</f>
        <v>1.4438</v>
      </c>
      <c r="I250" s="3">
        <f>GBP!C250/1</f>
        <v>1.4438</v>
      </c>
      <c r="J250" s="4">
        <f>1/INR!B250</f>
        <v>2.1294718909710391E-2</v>
      </c>
      <c r="K250" s="4">
        <f>1/INR!C250</f>
        <v>2.1213406873143825E-2</v>
      </c>
      <c r="L250" s="4">
        <f>1/JPY!B250</f>
        <v>1.0929021470062679E-2</v>
      </c>
      <c r="M250" s="4">
        <f>1/JPY!C250</f>
        <v>1.0933717617061847E-2</v>
      </c>
      <c r="N250" s="5">
        <f>1/KRW!B250</f>
        <v>8.0405242421805899E-4</v>
      </c>
      <c r="O250" s="5">
        <f>1/KRW!C250</f>
        <v>8.04035744856302E-4</v>
      </c>
      <c r="P250" s="3">
        <f>1/NOK!B250</f>
        <v>0.15008029295673186</v>
      </c>
      <c r="Q250" s="3">
        <f>1/NOK!C250</f>
        <v>0.14984640743238181</v>
      </c>
      <c r="R250" s="3">
        <f>NZD!B250/1</f>
        <v>0.66249999999999998</v>
      </c>
      <c r="S250" s="3">
        <f>NZD!C250/1</f>
        <v>0.66110000000000002</v>
      </c>
      <c r="T250" s="4">
        <f>1/PHP!B250</f>
        <v>2.1444271698922424E-2</v>
      </c>
      <c r="U250" s="4">
        <f>1/PHP!C250</f>
        <v>2.137323002938819E-2</v>
      </c>
      <c r="V250" s="4">
        <f>1/TWD!B250</f>
        <v>3.0858482996975869E-2</v>
      </c>
      <c r="W250" s="4">
        <f>1/TWD!C250</f>
        <v>3.0858578221867002E-2</v>
      </c>
      <c r="X250" s="4">
        <f>1/TWD!B250</f>
        <v>3.0858482996975869E-2</v>
      </c>
      <c r="Y250" s="4">
        <f>1/TWD!C250</f>
        <v>3.0858578221867002E-2</v>
      </c>
      <c r="Z250" s="4">
        <f>1/ZAR!B250</f>
        <v>0.1287001287001287</v>
      </c>
      <c r="AA250" s="4">
        <f>1/ZAR!C250</f>
        <v>0.12798034221943511</v>
      </c>
    </row>
    <row r="251" spans="1:27" x14ac:dyDescent="0.25">
      <c r="A251" t="str">
        <f>"10/06/2010"</f>
        <v>10/06/2010</v>
      </c>
      <c r="B251" s="3">
        <f>AUD!B251</f>
        <v>0.83760000000000001</v>
      </c>
      <c r="C251" s="3">
        <f>AUD!C251</f>
        <v>0.8347</v>
      </c>
      <c r="D251" s="3">
        <f>1/CAD!B251</f>
        <v>0.96172340834775916</v>
      </c>
      <c r="E251" s="3">
        <f>1/CAD!C251</f>
        <v>0.96153846153846145</v>
      </c>
      <c r="F251" s="3">
        <f>EUR!B251/1</f>
        <v>1.2038</v>
      </c>
      <c r="G251" s="3">
        <f>EUR!C251/1</f>
        <v>1.2040999999999999</v>
      </c>
      <c r="H251" s="3">
        <f>GBP!B251/1</f>
        <v>1.4592000000000001</v>
      </c>
      <c r="I251" s="3">
        <f>GBP!C251/1</f>
        <v>1.4592000000000001</v>
      </c>
      <c r="J251" s="4">
        <f>1/INR!B251</f>
        <v>2.1285653469561516E-2</v>
      </c>
      <c r="K251" s="4">
        <f>1/INR!C251</f>
        <v>2.1208907741251327E-2</v>
      </c>
      <c r="L251" s="4">
        <f>1/JPY!B251</f>
        <v>1.0963890426879074E-2</v>
      </c>
      <c r="M251" s="4">
        <f>1/JPY!C251</f>
        <v>1.0967810572750036E-2</v>
      </c>
      <c r="N251" s="5">
        <f>1/KRW!B251</f>
        <v>7.9447048542146661E-4</v>
      </c>
      <c r="O251" s="5">
        <f>1/KRW!C251</f>
        <v>7.9445451680362658E-4</v>
      </c>
      <c r="P251" s="3">
        <f>1/NOK!B251</f>
        <v>0.15163232194574597</v>
      </c>
      <c r="Q251" s="3">
        <f>1/NOK!C251</f>
        <v>0.15139586992066856</v>
      </c>
      <c r="R251" s="3">
        <f>NZD!B251/1</f>
        <v>0.67730000000000001</v>
      </c>
      <c r="S251" s="3">
        <f>NZD!C251/1</f>
        <v>0.67579999999999996</v>
      </c>
      <c r="T251" s="4">
        <f>1/PHP!B251</f>
        <v>2.1436227224008574E-2</v>
      </c>
      <c r="U251" s="4">
        <f>1/PHP!C251</f>
        <v>2.1368891168237283E-2</v>
      </c>
      <c r="V251" s="4">
        <f>1/TWD!B251</f>
        <v>3.0827090847436726E-2</v>
      </c>
      <c r="W251" s="4">
        <f>1/TWD!C251</f>
        <v>3.0827185878682696E-2</v>
      </c>
      <c r="X251" s="4">
        <f>1/TWD!B251</f>
        <v>3.0827090847436726E-2</v>
      </c>
      <c r="Y251" s="4">
        <f>1/TWD!C251</f>
        <v>3.0827185878682696E-2</v>
      </c>
      <c r="Z251" s="4">
        <f>1/ZAR!B251</f>
        <v>0.12789359253101421</v>
      </c>
      <c r="AA251" s="4">
        <f>1/ZAR!C251</f>
        <v>0.12721027859051012</v>
      </c>
    </row>
    <row r="252" spans="1:27" x14ac:dyDescent="0.25">
      <c r="A252" t="str">
        <f>"11/06/2010"</f>
        <v>11/06/2010</v>
      </c>
      <c r="B252" s="3">
        <f>AUD!B252</f>
        <v>0.84560000000000002</v>
      </c>
      <c r="C252" s="3">
        <f>AUD!C252</f>
        <v>0.84260000000000002</v>
      </c>
      <c r="D252" s="3">
        <f>1/CAD!B252</f>
        <v>0.96805421103581812</v>
      </c>
      <c r="E252" s="3">
        <f>1/CAD!C252</f>
        <v>0.96786682152535819</v>
      </c>
      <c r="F252" s="3">
        <f>EUR!B252/1</f>
        <v>1.2104999999999999</v>
      </c>
      <c r="G252" s="3">
        <f>EUR!C252/1</f>
        <v>1.2107000000000001</v>
      </c>
      <c r="H252" s="3">
        <f>GBP!B252/1</f>
        <v>1.4712000000000001</v>
      </c>
      <c r="I252" s="3">
        <f>GBP!C252/1</f>
        <v>1.4712000000000001</v>
      </c>
      <c r="J252" s="4">
        <f>1/INR!B252</f>
        <v>2.138122728244601E-2</v>
      </c>
      <c r="K252" s="4">
        <f>1/INR!C252</f>
        <v>2.1304926764314249E-2</v>
      </c>
      <c r="L252" s="4">
        <f>1/JPY!B252</f>
        <v>1.0920368671646355E-2</v>
      </c>
      <c r="M252" s="4">
        <f>1/JPY!C252</f>
        <v>1.0924460632067444E-2</v>
      </c>
      <c r="N252" s="5">
        <f>1/KRW!B252</f>
        <v>8.0482897384305833E-4</v>
      </c>
      <c r="O252" s="5">
        <f>1/KRW!C252</f>
        <v>8.0480999522506238E-4</v>
      </c>
      <c r="P252" s="3">
        <f>1/NOK!B252</f>
        <v>0.15378227505497716</v>
      </c>
      <c r="Q252" s="3">
        <f>1/NOK!C252</f>
        <v>0.15354143315573707</v>
      </c>
      <c r="R252" s="3">
        <f>NZD!B252/1</f>
        <v>0.68130000000000002</v>
      </c>
      <c r="S252" s="3">
        <f>NZD!C252/1</f>
        <v>0.67979999999999996</v>
      </c>
      <c r="T252" s="4">
        <f>1/PHP!B252</f>
        <v>2.1519259737465032E-2</v>
      </c>
      <c r="U252" s="4">
        <f>1/PHP!C252</f>
        <v>2.145002145002145E-2</v>
      </c>
      <c r="V252" s="4">
        <f>1/TWD!B252</f>
        <v>3.0918591348978137E-2</v>
      </c>
      <c r="W252" s="4">
        <f>1/TWD!C252</f>
        <v>3.0918591348978137E-2</v>
      </c>
      <c r="X252" s="4">
        <f>1/TWD!B252</f>
        <v>3.0918591348978137E-2</v>
      </c>
      <c r="Y252" s="4">
        <f>1/TWD!C252</f>
        <v>3.0918591348978137E-2</v>
      </c>
      <c r="Z252" s="4">
        <f>1/ZAR!B252</f>
        <v>0.12961762799740764</v>
      </c>
      <c r="AA252" s="4">
        <f>1/ZAR!C252</f>
        <v>0.12893410178057996</v>
      </c>
    </row>
    <row r="253" spans="1:27" x14ac:dyDescent="0.25">
      <c r="A253" t="str">
        <f>"14/06/2010"</f>
        <v>14/06/2010</v>
      </c>
      <c r="B253" s="3">
        <f>AUD!B253</f>
        <v>0.85560000000000003</v>
      </c>
      <c r="C253" s="3">
        <f>AUD!C253</f>
        <v>0.85260000000000002</v>
      </c>
      <c r="D253" s="3">
        <f>1/CAD!B253</f>
        <v>0.97021441738624237</v>
      </c>
      <c r="E253" s="3">
        <f>1/CAD!C253</f>
        <v>0.9701202949165697</v>
      </c>
      <c r="F253" s="3">
        <f>EUR!B253/1</f>
        <v>1.2174</v>
      </c>
      <c r="G253" s="3">
        <f>EUR!C253/1</f>
        <v>1.2176</v>
      </c>
      <c r="H253" s="3">
        <f>GBP!B253/1</f>
        <v>1.4601</v>
      </c>
      <c r="I253" s="3">
        <f>GBP!C253/1</f>
        <v>1.4601</v>
      </c>
      <c r="J253" s="4">
        <f>1/INR!B253</f>
        <v>2.1459227467811159E-2</v>
      </c>
      <c r="K253" s="4">
        <f>1/INR!C253</f>
        <v>2.1383513311237036E-2</v>
      </c>
      <c r="L253" s="4">
        <f>1/JPY!B253</f>
        <v>1.0889687465969727E-2</v>
      </c>
      <c r="M253" s="4">
        <f>1/JPY!C253</f>
        <v>1.0894076890394691E-2</v>
      </c>
      <c r="N253" s="5">
        <f>1/KRW!B253</f>
        <v>8.1639317495305736E-4</v>
      </c>
      <c r="O253" s="5">
        <f>1/KRW!C253</f>
        <v>8.1637351374099496E-4</v>
      </c>
      <c r="P253" s="3">
        <f>1/NOK!B253</f>
        <v>0.15532050385971452</v>
      </c>
      <c r="Q253" s="3">
        <f>1/NOK!C253</f>
        <v>0.15507963339174666</v>
      </c>
      <c r="R253" s="3">
        <f>NZD!B253/1</f>
        <v>0.69240000000000002</v>
      </c>
      <c r="S253" s="3">
        <f>NZD!C253/1</f>
        <v>0.69089999999999996</v>
      </c>
      <c r="T253" s="4">
        <f>1/PHP!B253</f>
        <v>2.1528525296017221E-2</v>
      </c>
      <c r="U253" s="4">
        <f>1/PHP!C253</f>
        <v>2.1462451441203612E-2</v>
      </c>
      <c r="V253" s="4">
        <f>1/TWD!B253</f>
        <v>3.0979894048762349E-2</v>
      </c>
      <c r="W253" s="4">
        <f>1/TWD!C253</f>
        <v>3.097999002444321E-2</v>
      </c>
      <c r="X253" s="4">
        <f>1/TWD!B253</f>
        <v>3.0979894048762349E-2</v>
      </c>
      <c r="Y253" s="4">
        <f>1/TWD!C253</f>
        <v>3.097999002444321E-2</v>
      </c>
      <c r="Z253" s="4">
        <f>1/ZAR!B253</f>
        <v>0.13015749056358195</v>
      </c>
      <c r="AA253" s="4">
        <f>1/ZAR!C253</f>
        <v>0.1294598933250479</v>
      </c>
    </row>
    <row r="254" spans="1:27" x14ac:dyDescent="0.25">
      <c r="A254" t="str">
        <f>"15/06/2010"</f>
        <v>15/06/2010</v>
      </c>
      <c r="B254" s="3">
        <f>AUD!B254</f>
        <v>0.85770000000000002</v>
      </c>
      <c r="C254" s="3">
        <f>AUD!C254</f>
        <v>0.85450000000000004</v>
      </c>
      <c r="D254" s="3">
        <f>1/CAD!B254</f>
        <v>0.96936797208220238</v>
      </c>
      <c r="E254" s="3">
        <f>1/CAD!C254</f>
        <v>0.96918007365768555</v>
      </c>
      <c r="F254" s="3">
        <f>EUR!B254/1</f>
        <v>1.2217</v>
      </c>
      <c r="G254" s="3">
        <f>EUR!C254/1</f>
        <v>1.222</v>
      </c>
      <c r="H254" s="3">
        <f>GBP!B254/1</f>
        <v>1.4753000000000001</v>
      </c>
      <c r="I254" s="3">
        <f>GBP!C254/1</f>
        <v>1.4753000000000001</v>
      </c>
      <c r="J254" s="4">
        <f>1/INR!B254</f>
        <v>2.1459227467811159E-2</v>
      </c>
      <c r="K254" s="4">
        <f>1/INR!C254</f>
        <v>2.1382370235740633E-2</v>
      </c>
      <c r="L254" s="4">
        <f>1/JPY!B254</f>
        <v>1.0923112213131764E-2</v>
      </c>
      <c r="M254" s="4">
        <f>1/JPY!C254</f>
        <v>1.0927839107239256E-2</v>
      </c>
      <c r="N254" s="5">
        <f>1/KRW!B254</f>
        <v>8.1792900376247352E-4</v>
      </c>
      <c r="O254" s="5">
        <f>1/KRW!C254</f>
        <v>8.1790846573703737E-4</v>
      </c>
      <c r="P254" s="3">
        <f>1/NOK!B254</f>
        <v>0.15553067064825185</v>
      </c>
      <c r="Q254" s="3">
        <f>1/NOK!C254</f>
        <v>0.15528673695979625</v>
      </c>
      <c r="R254" s="3">
        <f>NZD!B254/1</f>
        <v>0.69359999999999999</v>
      </c>
      <c r="S254" s="3">
        <f>NZD!C254/1</f>
        <v>0.69199999999999995</v>
      </c>
      <c r="T254" s="4">
        <f>1/PHP!B254</f>
        <v>2.1558693543171286E-2</v>
      </c>
      <c r="U254" s="4">
        <f>1/PHP!C254</f>
        <v>2.1491972748178555E-2</v>
      </c>
      <c r="V254" s="4">
        <f>1/TWD!B254</f>
        <v>3.0981813675372557E-2</v>
      </c>
      <c r="W254" s="4">
        <f>1/TWD!C254</f>
        <v>3.0981909662947806E-2</v>
      </c>
      <c r="X254" s="4">
        <f>1/TWD!B254</f>
        <v>3.0981813675372557E-2</v>
      </c>
      <c r="Y254" s="4">
        <f>1/TWD!C254</f>
        <v>3.0981909662947806E-2</v>
      </c>
      <c r="Z254" s="4">
        <f>1/ZAR!B254</f>
        <v>0.12987012987012986</v>
      </c>
      <c r="AA254" s="4">
        <f>1/ZAR!C254</f>
        <v>0.12914056950991154</v>
      </c>
    </row>
    <row r="255" spans="1:27" x14ac:dyDescent="0.25">
      <c r="A255" t="str">
        <f>"16/06/2010"</f>
        <v>16/06/2010</v>
      </c>
      <c r="B255" s="3">
        <f>AUD!B255</f>
        <v>0.86399999999999999</v>
      </c>
      <c r="C255" s="3">
        <f>AUD!C255</f>
        <v>0.86080000000000001</v>
      </c>
      <c r="D255" s="3">
        <f>1/CAD!B255</f>
        <v>0.9739943508327652</v>
      </c>
      <c r="E255" s="3">
        <f>1/CAD!C255</f>
        <v>0.97380465478625</v>
      </c>
      <c r="F255" s="3">
        <f>EUR!B255/1</f>
        <v>1.2312000000000001</v>
      </c>
      <c r="G255" s="3">
        <f>EUR!C255/1</f>
        <v>1.2315</v>
      </c>
      <c r="H255" s="3">
        <f>GBP!B255/1</f>
        <v>1.4804999999999999</v>
      </c>
      <c r="I255" s="3">
        <f>GBP!C255/1</f>
        <v>1.4804999999999999</v>
      </c>
      <c r="J255" s="4">
        <f>1/INR!B255</f>
        <v>2.1547080370609786E-2</v>
      </c>
      <c r="K255" s="4">
        <f>1/INR!C255</f>
        <v>2.1475357027810588E-2</v>
      </c>
      <c r="L255" s="4">
        <f>1/JPY!B255</f>
        <v>1.0928006294531627E-2</v>
      </c>
      <c r="M255" s="4">
        <f>1/JPY!C255</f>
        <v>1.0932892810639016E-2</v>
      </c>
      <c r="N255" s="5">
        <f>1/KRW!B255</f>
        <v>8.2508250825082509E-4</v>
      </c>
      <c r="O255" s="5">
        <f>1/KRW!C255</f>
        <v>8.250626985771216E-4</v>
      </c>
      <c r="P255" s="3">
        <f>1/NOK!B255</f>
        <v>0.15659745059350436</v>
      </c>
      <c r="Q255" s="3">
        <f>1/NOK!C255</f>
        <v>0.15634038428466457</v>
      </c>
      <c r="R255" s="3">
        <f>NZD!B255/1</f>
        <v>0.69520000000000004</v>
      </c>
      <c r="S255" s="3">
        <f>NZD!C255/1</f>
        <v>0.69359999999999999</v>
      </c>
      <c r="T255" s="4">
        <f>1/PHP!B255</f>
        <v>2.1663778162911613E-2</v>
      </c>
      <c r="U255" s="4">
        <f>1/PHP!C255</f>
        <v>2.1591277124041887E-2</v>
      </c>
      <c r="V255" s="4">
        <f>1/TWD!B255</f>
        <v>3.0998140111593308E-2</v>
      </c>
      <c r="W255" s="4">
        <f>1/TWD!C255</f>
        <v>3.0998236200360199E-2</v>
      </c>
      <c r="X255" s="4">
        <f>1/TWD!B255</f>
        <v>3.0998140111593308E-2</v>
      </c>
      <c r="Y255" s="4">
        <f>1/TWD!C255</f>
        <v>3.0998236200360199E-2</v>
      </c>
      <c r="Z255" s="4">
        <f>1/ZAR!B255</f>
        <v>0.13161185033100381</v>
      </c>
      <c r="AA255" s="4">
        <f>1/ZAR!C255</f>
        <v>0.13089176559902616</v>
      </c>
    </row>
    <row r="256" spans="1:27" x14ac:dyDescent="0.25">
      <c r="A256" t="str">
        <f>"17/06/2010"</f>
        <v>17/06/2010</v>
      </c>
      <c r="B256" s="3">
        <f>AUD!B256</f>
        <v>0.85960000000000003</v>
      </c>
      <c r="C256" s="3">
        <f>AUD!C256</f>
        <v>0.85650000000000004</v>
      </c>
      <c r="D256" s="3">
        <f>1/CAD!B256</f>
        <v>0.97285728183675446</v>
      </c>
      <c r="E256" s="3">
        <f>1/CAD!C256</f>
        <v>0.97266802840190647</v>
      </c>
      <c r="F256" s="3">
        <f>EUR!B256/1</f>
        <v>1.2272000000000001</v>
      </c>
      <c r="G256" s="3">
        <f>EUR!C256/1</f>
        <v>1.2275</v>
      </c>
      <c r="H256" s="3">
        <f>GBP!B256/1</f>
        <v>1.4704999999999999</v>
      </c>
      <c r="I256" s="3">
        <f>GBP!C256/1</f>
        <v>1.4705999999999999</v>
      </c>
      <c r="J256" s="4">
        <f>1/INR!B256</f>
        <v>2.1454623471358077E-2</v>
      </c>
      <c r="K256" s="4">
        <f>1/INR!C256</f>
        <v>2.1382370235740633E-2</v>
      </c>
      <c r="L256" s="4">
        <f>1/JPY!B256</f>
        <v>1.0956982885192732E-2</v>
      </c>
      <c r="M256" s="4">
        <f>1/JPY!C256</f>
        <v>1.0961294572734219E-2</v>
      </c>
      <c r="N256" s="5">
        <f>1/KRW!B256</f>
        <v>8.2169268693508624E-4</v>
      </c>
      <c r="O256" s="5">
        <f>1/KRW!C256</f>
        <v>8.2167209449557756E-4</v>
      </c>
      <c r="P256" s="3">
        <f>1/NOK!B256</f>
        <v>0.15551373963889709</v>
      </c>
      <c r="Q256" s="3">
        <f>1/NOK!C256</f>
        <v>0.15527226992531404</v>
      </c>
      <c r="R256" s="3">
        <f>NZD!B256/1</f>
        <v>0.69630000000000003</v>
      </c>
      <c r="S256" s="3">
        <f>NZD!C256/1</f>
        <v>0.69469999999999998</v>
      </c>
      <c r="T256" s="4">
        <f>1/PHP!B256</f>
        <v>2.1645021645021644E-2</v>
      </c>
      <c r="U256" s="4">
        <f>1/PHP!C256</f>
        <v>2.1574973031283709E-2</v>
      </c>
      <c r="V256" s="4">
        <f>1/TWD!B256</f>
        <v>3.0987573982832882E-2</v>
      </c>
      <c r="W256" s="4">
        <f>1/TWD!C256</f>
        <v>3.0987670006104574E-2</v>
      </c>
      <c r="X256" s="4">
        <f>1/TWD!B256</f>
        <v>3.0987573982832882E-2</v>
      </c>
      <c r="Y256" s="4">
        <f>1/TWD!C256</f>
        <v>3.0987670006104574E-2</v>
      </c>
      <c r="Z256" s="4">
        <f>1/ZAR!B256</f>
        <v>0.13089005235602094</v>
      </c>
      <c r="AA256" s="4">
        <f>1/ZAR!C256</f>
        <v>0.13018121224744844</v>
      </c>
    </row>
    <row r="257" spans="1:27" x14ac:dyDescent="0.25">
      <c r="A257" t="str">
        <f>"18/06/2010"</f>
        <v>18/06/2010</v>
      </c>
      <c r="B257" s="3">
        <f>AUD!B257</f>
        <v>0.86970000000000003</v>
      </c>
      <c r="C257" s="3">
        <f>AUD!C257</f>
        <v>0.86670000000000003</v>
      </c>
      <c r="D257" s="3">
        <f>1/CAD!B257</f>
        <v>0.97323600973236002</v>
      </c>
      <c r="E257" s="3">
        <f>1/CAD!C257</f>
        <v>0.97304660893256778</v>
      </c>
      <c r="F257" s="3">
        <f>EUR!B257/1</f>
        <v>1.2403</v>
      </c>
      <c r="G257" s="3">
        <f>EUR!C257/1</f>
        <v>1.2405999999999999</v>
      </c>
      <c r="H257" s="3">
        <f>GBP!B257/1</f>
        <v>1.4829000000000001</v>
      </c>
      <c r="I257" s="3">
        <f>GBP!C257/1</f>
        <v>1.4829000000000001</v>
      </c>
      <c r="J257" s="4">
        <f>1/INR!B257</f>
        <v>2.1666125013541329E-2</v>
      </c>
      <c r="K257" s="4">
        <f>1/INR!C257</f>
        <v>2.1592442645074223E-2</v>
      </c>
      <c r="L257" s="4">
        <f>1/JPY!B257</f>
        <v>1.1015642211940955E-2</v>
      </c>
      <c r="M257" s="4">
        <f>1/JPY!C257</f>
        <v>1.1020024486494409E-2</v>
      </c>
      <c r="N257" s="5">
        <f>1/KRW!B257</f>
        <v>8.3022000830220008E-4</v>
      </c>
      <c r="O257" s="5">
        <f>1/KRW!C257</f>
        <v>8.3020222563933463E-4</v>
      </c>
      <c r="P257" s="3">
        <f>1/NOK!B257</f>
        <v>0.15750511891636479</v>
      </c>
      <c r="Q257" s="3">
        <f>1/NOK!C257</f>
        <v>0.15727226975339709</v>
      </c>
      <c r="R257" s="3">
        <f>NZD!B257/1</f>
        <v>0.70489999999999997</v>
      </c>
      <c r="S257" s="3">
        <f>NZD!C257/1</f>
        <v>0.70340000000000003</v>
      </c>
      <c r="T257" s="4">
        <f>1/PHP!B257</f>
        <v>2.1791239921551537E-2</v>
      </c>
      <c r="U257" s="4">
        <f>1/PHP!C257</f>
        <v>2.172260236776366E-2</v>
      </c>
      <c r="V257" s="4">
        <f>1/TWD!B257</f>
        <v>3.1100329663494429E-2</v>
      </c>
      <c r="W257" s="4">
        <f>1/TWD!C257</f>
        <v>3.1100426386845764E-2</v>
      </c>
      <c r="X257" s="4">
        <f>1/TWD!B257</f>
        <v>3.1100329663494429E-2</v>
      </c>
      <c r="Y257" s="4">
        <f>1/TWD!C257</f>
        <v>3.1100426386845764E-2</v>
      </c>
      <c r="Z257" s="4">
        <f>1/ZAR!B257</f>
        <v>0.13210039630118889</v>
      </c>
      <c r="AA257" s="4">
        <f>1/ZAR!C257</f>
        <v>0.13140431794588769</v>
      </c>
    </row>
    <row r="258" spans="1:27" x14ac:dyDescent="0.25">
      <c r="A258" t="str">
        <f>"21/06/2010"</f>
        <v>21/06/2010</v>
      </c>
      <c r="B258" s="3">
        <f>AUD!B258</f>
        <v>0.88070000000000004</v>
      </c>
      <c r="C258" s="3">
        <f>AUD!C258</f>
        <v>0.87760000000000005</v>
      </c>
      <c r="D258" s="3">
        <f>1/CAD!B258</f>
        <v>0.98318749385507831</v>
      </c>
      <c r="E258" s="3">
        <f>1/CAD!C258</f>
        <v>0.98299420033421792</v>
      </c>
      <c r="F258" s="3">
        <f>EUR!B258/1</f>
        <v>1.2435</v>
      </c>
      <c r="G258" s="3">
        <f>EUR!C258/1</f>
        <v>1.2438</v>
      </c>
      <c r="H258" s="3">
        <f>GBP!B258/1</f>
        <v>1.4882</v>
      </c>
      <c r="I258" s="3">
        <f>GBP!C258/1</f>
        <v>1.4882</v>
      </c>
      <c r="J258" s="4">
        <f>1/INR!B258</f>
        <v>2.1905805038335158E-2</v>
      </c>
      <c r="K258" s="4">
        <f>1/INR!C258</f>
        <v>2.1838829438742085E-2</v>
      </c>
      <c r="L258" s="4">
        <f>1/JPY!B258</f>
        <v>1.1012003083360863E-2</v>
      </c>
      <c r="M258" s="4">
        <f>1/JPY!C258</f>
        <v>1.1015945581228828E-2</v>
      </c>
      <c r="N258" s="5">
        <f>1/KRW!B258</f>
        <v>8.5276936852428256E-4</v>
      </c>
      <c r="O258" s="5">
        <f>1/KRW!C258</f>
        <v>8.5274784348597871E-4</v>
      </c>
      <c r="P258" s="3">
        <f>1/NOK!B258</f>
        <v>0.15823285547010982</v>
      </c>
      <c r="Q258" s="3">
        <f>1/NOK!C258</f>
        <v>0.15800284405119291</v>
      </c>
      <c r="R258" s="3">
        <f>NZD!B258/1</f>
        <v>0.71040000000000003</v>
      </c>
      <c r="S258" s="3">
        <f>NZD!C258/1</f>
        <v>0.70889999999999997</v>
      </c>
      <c r="T258" s="4">
        <f>1/PHP!B258</f>
        <v>2.1973192704900023E-2</v>
      </c>
      <c r="U258" s="4">
        <f>1/PHP!C258</f>
        <v>2.1903405979629833E-2</v>
      </c>
      <c r="V258" s="4">
        <f>1/TWD!B258</f>
        <v>3.1427763286086929E-2</v>
      </c>
      <c r="W258" s="4">
        <f>1/TWD!C258</f>
        <v>3.1427862056827863E-2</v>
      </c>
      <c r="X258" s="4">
        <f>1/TWD!B258</f>
        <v>3.1427763286086929E-2</v>
      </c>
      <c r="Y258" s="4">
        <f>1/TWD!C258</f>
        <v>3.1427862056827863E-2</v>
      </c>
      <c r="Z258" s="4">
        <f>1/ZAR!B258</f>
        <v>0.1341381623071764</v>
      </c>
      <c r="AA258" s="4">
        <f>1/ZAR!C258</f>
        <v>0.13342406169528612</v>
      </c>
    </row>
    <row r="259" spans="1:27" x14ac:dyDescent="0.25">
      <c r="A259" t="str">
        <f>"22/06/2010"</f>
        <v>22/06/2010</v>
      </c>
      <c r="B259" s="3">
        <f>AUD!B259</f>
        <v>0.87770000000000004</v>
      </c>
      <c r="C259" s="3">
        <f>AUD!C259</f>
        <v>0.87450000000000006</v>
      </c>
      <c r="D259" s="3">
        <f>1/CAD!B259</f>
        <v>0.97599063048994739</v>
      </c>
      <c r="E259" s="3">
        <f>1/CAD!C259</f>
        <v>0.97580015612802506</v>
      </c>
      <c r="F259" s="3">
        <f>EUR!B259/1</f>
        <v>1.2304999999999999</v>
      </c>
      <c r="G259" s="3">
        <f>EUR!C259/1</f>
        <v>1.2306999999999999</v>
      </c>
      <c r="H259" s="3">
        <f>GBP!B259/1</f>
        <v>1.4761</v>
      </c>
      <c r="I259" s="3">
        <f>GBP!C259/1</f>
        <v>1.4761</v>
      </c>
      <c r="J259" s="4">
        <f>1/INR!B259</f>
        <v>2.1766338357729769E-2</v>
      </c>
      <c r="K259" s="4">
        <f>1/INR!C259</f>
        <v>2.169432693350689E-2</v>
      </c>
      <c r="L259" s="4">
        <f>1/JPY!B259</f>
        <v>1.0996321730381188E-2</v>
      </c>
      <c r="M259" s="4">
        <f>1/JPY!C259</f>
        <v>1.1000652338683683E-2</v>
      </c>
      <c r="N259" s="5">
        <f>1/KRW!B259</f>
        <v>8.4466593462285662E-4</v>
      </c>
      <c r="O259" s="5">
        <f>1/KRW!C259</f>
        <v>8.4464424597932445E-4</v>
      </c>
      <c r="P259" s="3">
        <f>1/NOK!B259</f>
        <v>0.15564444582795062</v>
      </c>
      <c r="Q259" s="3">
        <f>1/NOK!C259</f>
        <v>0.15540257035851374</v>
      </c>
      <c r="R259" s="3">
        <f>NZD!B259/1</f>
        <v>0.7077</v>
      </c>
      <c r="S259" s="3">
        <f>NZD!C259/1</f>
        <v>0.70609999999999995</v>
      </c>
      <c r="T259" s="4">
        <f>1/PHP!B259</f>
        <v>2.1953896816684963E-2</v>
      </c>
      <c r="U259" s="4">
        <f>1/PHP!C259</f>
        <v>2.18842324105482E-2</v>
      </c>
      <c r="V259" s="4">
        <f>1/TWD!B259</f>
        <v>3.1446540880503145E-2</v>
      </c>
      <c r="W259" s="4">
        <f>1/TWD!C259</f>
        <v>3.144663976930745E-2</v>
      </c>
      <c r="X259" s="4">
        <f>1/TWD!B259</f>
        <v>3.1446540880503145E-2</v>
      </c>
      <c r="Y259" s="4">
        <f>1/TWD!C259</f>
        <v>3.144663976930745E-2</v>
      </c>
      <c r="Z259" s="4">
        <f>1/ZAR!B259</f>
        <v>0.13266998341625208</v>
      </c>
      <c r="AA259" s="4">
        <f>1/ZAR!C259</f>
        <v>0.13197661374404457</v>
      </c>
    </row>
    <row r="260" spans="1:27" x14ac:dyDescent="0.25">
      <c r="A260" t="str">
        <f>"23/06/2010"</f>
        <v>23/06/2010</v>
      </c>
      <c r="B260" s="3">
        <f>AUD!B260</f>
        <v>0.87160000000000004</v>
      </c>
      <c r="C260" s="3">
        <f>AUD!C260</f>
        <v>0.86839999999999995</v>
      </c>
      <c r="D260" s="3">
        <f>1/CAD!B260</f>
        <v>0.97115664756725251</v>
      </c>
      <c r="E260" s="3">
        <f>1/CAD!C260</f>
        <v>0.970873786407767</v>
      </c>
      <c r="F260" s="3">
        <f>EUR!B260/1</f>
        <v>1.2262</v>
      </c>
      <c r="G260" s="3">
        <f>EUR!C260/1</f>
        <v>1.2263999999999999</v>
      </c>
      <c r="H260" s="3">
        <f>GBP!B260/1</f>
        <v>1.4818</v>
      </c>
      <c r="I260" s="3">
        <f>GBP!C260/1</f>
        <v>1.4818</v>
      </c>
      <c r="J260" s="4">
        <f>1/INR!B260</f>
        <v>2.1635655560363478E-2</v>
      </c>
      <c r="K260" s="4">
        <f>1/INR!C260</f>
        <v>2.1559855548967822E-2</v>
      </c>
      <c r="L260" s="4">
        <f>1/JPY!B260</f>
        <v>1.1048624998618922E-2</v>
      </c>
      <c r="M260" s="4">
        <f>1/JPY!C260</f>
        <v>1.1052911392125242E-2</v>
      </c>
      <c r="N260" s="5">
        <f>1/KRW!B260</f>
        <v>8.4402430790006761E-4</v>
      </c>
      <c r="O260" s="5">
        <f>1/KRW!C260</f>
        <v>8.4400429058021167E-4</v>
      </c>
      <c r="P260" s="3">
        <f>1/NOK!B260</f>
        <v>0.15425671402347788</v>
      </c>
      <c r="Q260" s="3">
        <f>1/NOK!C260</f>
        <v>0.15401675702316411</v>
      </c>
      <c r="R260" s="3">
        <f>NZD!B260/1</f>
        <v>0.70399999999999996</v>
      </c>
      <c r="S260" s="3">
        <f>NZD!C260/1</f>
        <v>0.70250000000000001</v>
      </c>
      <c r="T260" s="4">
        <f>1/PHP!B260</f>
        <v>2.1800741225201658E-2</v>
      </c>
      <c r="U260" s="4">
        <f>1/PHP!C260</f>
        <v>2.1727322107550247E-2</v>
      </c>
      <c r="V260" s="4">
        <f>1/TWD!B260</f>
        <v>3.1245117950320259E-2</v>
      </c>
      <c r="W260" s="4">
        <f>1/TWD!C260</f>
        <v>3.1245215576364869E-2</v>
      </c>
      <c r="X260" s="4">
        <f>1/TWD!B260</f>
        <v>3.1245117950320259E-2</v>
      </c>
      <c r="Y260" s="4">
        <f>1/TWD!C260</f>
        <v>3.1245215576364869E-2</v>
      </c>
      <c r="Z260" s="4">
        <f>1/ZAR!B260</f>
        <v>0.13171759747102213</v>
      </c>
      <c r="AA260" s="4">
        <f>1/ZAR!C260</f>
        <v>0.13097920050296014</v>
      </c>
    </row>
    <row r="261" spans="1:27" x14ac:dyDescent="0.25">
      <c r="A261" t="str">
        <f>"24/06/2010"</f>
        <v>24/06/2010</v>
      </c>
      <c r="B261" s="3">
        <f>AUD!B261</f>
        <v>0.87460000000000004</v>
      </c>
      <c r="C261" s="3">
        <f>AUD!C261</f>
        <v>0.87160000000000004</v>
      </c>
      <c r="D261" s="3">
        <f>1/CAD!B261</f>
        <v>0.96237128284092011</v>
      </c>
      <c r="E261" s="3">
        <f>1/CAD!C261</f>
        <v>0.96209351548970545</v>
      </c>
      <c r="F261" s="3">
        <f>EUR!B261/1</f>
        <v>1.2338</v>
      </c>
      <c r="G261" s="3">
        <f>EUR!C261/1</f>
        <v>1.234</v>
      </c>
      <c r="H261" s="3">
        <f>GBP!B261/1</f>
        <v>1.4983</v>
      </c>
      <c r="I261" s="3">
        <f>GBP!C261/1</f>
        <v>1.4983</v>
      </c>
      <c r="J261" s="4">
        <f>1/INR!B261</f>
        <v>2.162629757785467E-2</v>
      </c>
      <c r="K261" s="4">
        <f>1/INR!C261</f>
        <v>2.1549402004094387E-2</v>
      </c>
      <c r="L261" s="4">
        <f>1/JPY!B261</f>
        <v>1.112483173691998E-2</v>
      </c>
      <c r="M261" s="4">
        <f>1/JPY!C261</f>
        <v>1.1129462357932413E-2</v>
      </c>
      <c r="N261" s="5">
        <f>1/KRW!B261</f>
        <v>8.4430935494765277E-4</v>
      </c>
      <c r="O261" s="5">
        <f>1/KRW!C261</f>
        <v>8.442865440987748E-4</v>
      </c>
      <c r="P261" s="3">
        <f>1/NOK!B261</f>
        <v>0.15464076949246899</v>
      </c>
      <c r="Q261" s="3">
        <f>1/NOK!C261</f>
        <v>0.1544020010499336</v>
      </c>
      <c r="R261" s="3">
        <f>NZD!B261/1</f>
        <v>0.71220000000000006</v>
      </c>
      <c r="S261" s="3">
        <f>NZD!C261/1</f>
        <v>0.71060000000000001</v>
      </c>
      <c r="T261" s="4">
        <f>1/PHP!B261</f>
        <v>2.1720243266724587E-2</v>
      </c>
      <c r="U261" s="4">
        <f>1/PHP!C261</f>
        <v>2.1649707728945661E-2</v>
      </c>
      <c r="V261" s="4">
        <f>1/TWD!B261</f>
        <v>3.1243165557534293E-2</v>
      </c>
      <c r="W261" s="4">
        <f>1/TWD!C261</f>
        <v>3.1243263171378668E-2</v>
      </c>
      <c r="X261" s="4">
        <f>1/TWD!B261</f>
        <v>3.1243165557534293E-2</v>
      </c>
      <c r="Y261" s="4">
        <f>1/TWD!C261</f>
        <v>3.1243263171378668E-2</v>
      </c>
      <c r="Z261" s="4">
        <f>1/ZAR!B261</f>
        <v>0.13276686139139671</v>
      </c>
      <c r="AA261" s="4">
        <f>1/ZAR!C261</f>
        <v>0.13204632184970488</v>
      </c>
    </row>
    <row r="262" spans="1:27" x14ac:dyDescent="0.25">
      <c r="A262" t="str">
        <f>"25/06/2010"</f>
        <v>25/06/2010</v>
      </c>
      <c r="B262" s="3">
        <f>AUD!B262</f>
        <v>0.86180000000000001</v>
      </c>
      <c r="C262" s="3">
        <f>AUD!C262</f>
        <v>0.85880000000000001</v>
      </c>
      <c r="D262" s="3">
        <f>1/CAD!B262</f>
        <v>0.95895665515918682</v>
      </c>
      <c r="E262" s="3">
        <f>1/CAD!C262</f>
        <v>0.95877277085330781</v>
      </c>
      <c r="F262" s="3">
        <f>EUR!B262/1</f>
        <v>1.2319</v>
      </c>
      <c r="G262" s="3">
        <f>EUR!C262/1</f>
        <v>1.2321</v>
      </c>
      <c r="H262" s="3">
        <f>GBP!B262/1</f>
        <v>1.4953000000000001</v>
      </c>
      <c r="I262" s="3">
        <f>GBP!C262/1</f>
        <v>1.4952000000000001</v>
      </c>
      <c r="J262" s="4">
        <f>1/INR!B262</f>
        <v>2.1468441391155002E-2</v>
      </c>
      <c r="K262" s="4">
        <f>1/INR!C262</f>
        <v>2.1386943271132972E-2</v>
      </c>
      <c r="L262" s="4">
        <f>1/JPY!B262</f>
        <v>1.1177243132981249E-2</v>
      </c>
      <c r="M262" s="4">
        <f>1/JPY!C262</f>
        <v>1.1181717444709202E-2</v>
      </c>
      <c r="N262" s="5">
        <f>1/KRW!B262</f>
        <v>8.2760903749068946E-4</v>
      </c>
      <c r="O262" s="5">
        <f>1/KRW!C262</f>
        <v>8.275881474480699E-4</v>
      </c>
      <c r="P262" s="3">
        <f>1/NOK!B262</f>
        <v>0.1533954073415042</v>
      </c>
      <c r="Q262" s="3">
        <f>1/NOK!C262</f>
        <v>0.15316985004671682</v>
      </c>
      <c r="R262" s="3">
        <f>NZD!B262/1</f>
        <v>0.70420000000000005</v>
      </c>
      <c r="S262" s="3">
        <f>NZD!C262/1</f>
        <v>0.70279999999999998</v>
      </c>
      <c r="T262" s="4">
        <f>1/PHP!B262</f>
        <v>2.1510002151000213E-2</v>
      </c>
      <c r="U262" s="4">
        <f>1/PHP!C262</f>
        <v>2.144220254304522E-2</v>
      </c>
      <c r="V262" s="4">
        <f>1/TWD!B262</f>
        <v>3.1157501168406296E-2</v>
      </c>
      <c r="W262" s="4">
        <f>1/TWD!C262</f>
        <v>3.1157501168406296E-2</v>
      </c>
      <c r="X262" s="4">
        <f>1/TWD!B262</f>
        <v>3.1157501168406296E-2</v>
      </c>
      <c r="Y262" s="4">
        <f>1/TWD!C262</f>
        <v>3.1157501168406296E-2</v>
      </c>
      <c r="Z262" s="4">
        <f>1/ZAR!B262</f>
        <v>0.13097576948264572</v>
      </c>
      <c r="AA262" s="4">
        <f>1/ZAR!C262</f>
        <v>0.13029655495908687</v>
      </c>
    </row>
    <row r="263" spans="1:27" x14ac:dyDescent="0.25">
      <c r="A263" t="str">
        <f>"28/06/2010"</f>
        <v>28/06/2010</v>
      </c>
      <c r="B263" s="3">
        <f>AUD!B263</f>
        <v>0.87509999999999999</v>
      </c>
      <c r="C263" s="3">
        <f>AUD!C263</f>
        <v>0.87209999999999999</v>
      </c>
      <c r="D263" s="3">
        <f>1/CAD!B263</f>
        <v>0.9654373431164317</v>
      </c>
      <c r="E263" s="3">
        <f>1/CAD!C263</f>
        <v>0.96525096525096521</v>
      </c>
      <c r="F263" s="3">
        <f>EUR!B263/1</f>
        <v>1.2374000000000001</v>
      </c>
      <c r="G263" s="3">
        <f>EUR!C263/1</f>
        <v>1.2376</v>
      </c>
      <c r="H263" s="3">
        <f>GBP!B263/1</f>
        <v>1.5038</v>
      </c>
      <c r="I263" s="3">
        <f>GBP!C263/1</f>
        <v>1.5038</v>
      </c>
      <c r="J263" s="4">
        <f>1/INR!B263</f>
        <v>2.1659085986571364E-2</v>
      </c>
      <c r="K263" s="4">
        <f>1/INR!C263</f>
        <v>2.1577300679684972E-2</v>
      </c>
      <c r="L263" s="4">
        <f>1/JPY!B263</f>
        <v>1.1181804966957767E-2</v>
      </c>
      <c r="M263" s="4">
        <f>1/JPY!C263</f>
        <v>1.1186132774921585E-2</v>
      </c>
      <c r="N263" s="5">
        <f>1/KRW!B263</f>
        <v>8.3314240486555161E-4</v>
      </c>
      <c r="O263" s="5">
        <f>1/KRW!C263</f>
        <v>8.3311984637270044E-4</v>
      </c>
      <c r="P263" s="3">
        <f>1/NOK!B263</f>
        <v>0.15500511516880058</v>
      </c>
      <c r="Q263" s="3">
        <f>1/NOK!C263</f>
        <v>0.15477719822315777</v>
      </c>
      <c r="R263" s="3">
        <f>NZD!B263/1</f>
        <v>0.71079999999999999</v>
      </c>
      <c r="S263" s="3">
        <f>NZD!C263/1</f>
        <v>0.70930000000000004</v>
      </c>
      <c r="T263" s="4">
        <f>1/PHP!B263</f>
        <v>2.1616947686986597E-2</v>
      </c>
      <c r="U263" s="4">
        <f>1/PHP!C263</f>
        <v>2.1544759237315525E-2</v>
      </c>
      <c r="V263" s="4">
        <f>1/TWD!B263</f>
        <v>3.1257814453613406E-2</v>
      </c>
      <c r="W263" s="4">
        <f>1/TWD!C263</f>
        <v>3.1257912159015251E-2</v>
      </c>
      <c r="X263" s="4">
        <f>1/TWD!B263</f>
        <v>3.1257814453613406E-2</v>
      </c>
      <c r="Y263" s="4">
        <f>1/TWD!C263</f>
        <v>3.1257912159015251E-2</v>
      </c>
      <c r="Z263" s="4">
        <f>1/ZAR!B263</f>
        <v>0.13128700652496422</v>
      </c>
      <c r="AA263" s="4">
        <f>1/ZAR!C263</f>
        <v>0.13059774588290607</v>
      </c>
    </row>
    <row r="264" spans="1:27" x14ac:dyDescent="0.25">
      <c r="A264" t="str">
        <f>"29/06/2010"</f>
        <v>29/06/2010</v>
      </c>
      <c r="B264" s="3">
        <f>AUD!B264</f>
        <v>0.86729999999999996</v>
      </c>
      <c r="C264" s="3">
        <f>AUD!C264</f>
        <v>0.86409999999999998</v>
      </c>
      <c r="D264" s="3">
        <f>1/CAD!B264</f>
        <v>0.9640412609659692</v>
      </c>
      <c r="E264" s="3">
        <f>1/CAD!C264</f>
        <v>0.96385542168674687</v>
      </c>
      <c r="F264" s="3">
        <f>EUR!B264/1</f>
        <v>1.2265999999999999</v>
      </c>
      <c r="G264" s="3">
        <f>EUR!C264/1</f>
        <v>1.2267999999999999</v>
      </c>
      <c r="H264" s="3">
        <f>GBP!B264/1</f>
        <v>1.5087999999999999</v>
      </c>
      <c r="I264" s="3">
        <f>GBP!C264/1</f>
        <v>1.5087999999999999</v>
      </c>
      <c r="J264" s="4">
        <f>1/INR!B264</f>
        <v>2.1533161068044791E-2</v>
      </c>
      <c r="K264" s="4">
        <f>1/INR!C264</f>
        <v>2.1452322213879653E-2</v>
      </c>
      <c r="L264" s="4">
        <f>1/JPY!B264</f>
        <v>1.1249859376757791E-2</v>
      </c>
      <c r="M264" s="4">
        <f>1/JPY!C264</f>
        <v>1.1254670688335659E-2</v>
      </c>
      <c r="N264" s="5">
        <f>1/KRW!B264</f>
        <v>8.2457225314368167E-4</v>
      </c>
      <c r="O264" s="5">
        <f>1/KRW!C264</f>
        <v>8.2455070026205045E-4</v>
      </c>
      <c r="P264" s="3">
        <f>1/NOK!B264</f>
        <v>0.1549858962834382</v>
      </c>
      <c r="Q264" s="3">
        <f>1/NOK!C264</f>
        <v>0.15473169524045305</v>
      </c>
      <c r="R264" s="3">
        <f>NZD!B264/1</f>
        <v>0.70369999999999999</v>
      </c>
      <c r="S264" s="3">
        <f>NZD!C264/1</f>
        <v>0.70209999999999995</v>
      </c>
      <c r="T264" s="4">
        <f>1/PHP!B264</f>
        <v>2.1533161068044791E-2</v>
      </c>
      <c r="U264" s="4">
        <f>1/PHP!C264</f>
        <v>2.1459227467811159E-2</v>
      </c>
      <c r="V264" s="4">
        <f>1/TWD!B264</f>
        <v>3.1161384811941042E-2</v>
      </c>
      <c r="W264" s="4">
        <f>1/TWD!C264</f>
        <v>3.1161481915433973E-2</v>
      </c>
      <c r="X264" s="4">
        <f>1/TWD!B264</f>
        <v>3.1161384811941042E-2</v>
      </c>
      <c r="Y264" s="4">
        <f>1/TWD!C264</f>
        <v>3.1161481915433973E-2</v>
      </c>
      <c r="Z264" s="4">
        <f>1/ZAR!B264</f>
        <v>0.13165863548990178</v>
      </c>
      <c r="AA264" s="4">
        <f>1/ZAR!C264</f>
        <v>0.13096890798124525</v>
      </c>
    </row>
    <row r="265" spans="1:27" x14ac:dyDescent="0.25">
      <c r="A265" t="str">
        <f>"30/06/2010"</f>
        <v>30/06/2010</v>
      </c>
      <c r="B265" s="3">
        <f>AUD!B265</f>
        <v>0.85219999999999996</v>
      </c>
      <c r="C265" s="3">
        <f>AUD!C265</f>
        <v>0.84899999999999998</v>
      </c>
      <c r="D265" s="3">
        <f>1/CAD!B265</f>
        <v>0.94993825401348919</v>
      </c>
      <c r="E265" s="3">
        <f>1/CAD!C265</f>
        <v>0.94975781175800178</v>
      </c>
      <c r="F265" s="3">
        <f>EUR!B265/1</f>
        <v>1.2217</v>
      </c>
      <c r="G265" s="3">
        <f>EUR!C265/1</f>
        <v>1.2219</v>
      </c>
      <c r="H265" s="3">
        <f>GBP!B265/1</f>
        <v>1.5071000000000001</v>
      </c>
      <c r="I265" s="3">
        <f>GBP!C265/1</f>
        <v>1.5071000000000001</v>
      </c>
      <c r="J265" s="4">
        <f>1/INR!B265</f>
        <v>2.1447721179624665E-2</v>
      </c>
      <c r="K265" s="4">
        <f>1/INR!C265</f>
        <v>2.135611318739989E-2</v>
      </c>
      <c r="L265" s="4">
        <f>1/JPY!B265</f>
        <v>1.128286133363421E-2</v>
      </c>
      <c r="M265" s="4">
        <f>1/JPY!C265</f>
        <v>1.1288197850501365E-2</v>
      </c>
      <c r="N265" s="5">
        <f>1/KRW!B265</f>
        <v>8.1746096623886214E-4</v>
      </c>
      <c r="O265" s="5">
        <f>1/KRW!C265</f>
        <v>8.1743677657867067E-4</v>
      </c>
      <c r="P265" s="3">
        <f>1/NOK!B265</f>
        <v>0.15431860619434884</v>
      </c>
      <c r="Q265" s="3">
        <f>1/NOK!C265</f>
        <v>0.15406184042274571</v>
      </c>
      <c r="R265" s="3">
        <f>NZD!B265/1</f>
        <v>0.69320000000000004</v>
      </c>
      <c r="S265" s="3">
        <f>NZD!C265/1</f>
        <v>0.69169999999999998</v>
      </c>
      <c r="T265" s="4">
        <f>1/PHP!B265</f>
        <v>2.1540118470651591E-2</v>
      </c>
      <c r="U265" s="4">
        <f>1/PHP!C265</f>
        <v>2.1466137168616506E-2</v>
      </c>
      <c r="V265" s="4">
        <f>1/TWD!B265</f>
        <v>3.1072305254326818E-2</v>
      </c>
      <c r="W265" s="4">
        <f>1/TWD!C265</f>
        <v>3.1072401803442205E-2</v>
      </c>
      <c r="X265" s="4">
        <f>1/TWD!B265</f>
        <v>3.1072305254326818E-2</v>
      </c>
      <c r="Y265" s="4">
        <f>1/TWD!C265</f>
        <v>3.1072401803442205E-2</v>
      </c>
      <c r="Z265" s="4">
        <f>1/ZAR!B265</f>
        <v>0.13025073266037121</v>
      </c>
      <c r="AA265" s="4">
        <f>1/ZAR!C265</f>
        <v>0.12952193453961428</v>
      </c>
    </row>
    <row r="266" spans="1:27" x14ac:dyDescent="0.25">
      <c r="A266" t="str">
        <f>"01/07/2010"</f>
        <v>01/07/2010</v>
      </c>
      <c r="B266" s="3">
        <f>AUD!B266</f>
        <v>0.83479999999999999</v>
      </c>
      <c r="C266" s="3">
        <f>AUD!C266</f>
        <v>0.83179999999999998</v>
      </c>
      <c r="D266" s="3">
        <f>1/CAD!B266</f>
        <v>0.93729496672602874</v>
      </c>
      <c r="E266" s="3">
        <f>1/CAD!C266</f>
        <v>0.93711929528629001</v>
      </c>
      <c r="F266" s="3">
        <f>EUR!B266/1</f>
        <v>1.2204999999999999</v>
      </c>
      <c r="G266" s="3">
        <f>EUR!C266/1</f>
        <v>1.2206999999999999</v>
      </c>
      <c r="H266" s="3">
        <f>GBP!B266/1</f>
        <v>1.4939</v>
      </c>
      <c r="I266" s="3">
        <f>GBP!C266/1</f>
        <v>1.4939</v>
      </c>
      <c r="J266" s="4">
        <f>1/INR!B266</f>
        <v>2.1386943271132972E-2</v>
      </c>
      <c r="K266" s="4">
        <f>1/INR!C266</f>
        <v>2.1306061574517948E-2</v>
      </c>
      <c r="L266" s="4">
        <f>1/JPY!B266</f>
        <v>1.1340440009072351E-2</v>
      </c>
      <c r="M266" s="4">
        <f>1/JPY!C266</f>
        <v>1.1345444974024604E-2</v>
      </c>
      <c r="N266" s="5">
        <f>1/KRW!B266</f>
        <v>8.0943804763542913E-4</v>
      </c>
      <c r="O266" s="5">
        <f>1/KRW!C266</f>
        <v>8.0941459251479282E-4</v>
      </c>
      <c r="P266" s="3">
        <f>1/NOK!B266</f>
        <v>0.15267175572519084</v>
      </c>
      <c r="Q266" s="3">
        <f>1/NOK!C266</f>
        <v>0.1524274064476793</v>
      </c>
      <c r="R266" s="3">
        <f>NZD!B266/1</f>
        <v>0.68179999999999996</v>
      </c>
      <c r="S266" s="3">
        <f>NZD!C266/1</f>
        <v>0.68020000000000003</v>
      </c>
      <c r="T266" s="4">
        <f>1/PHP!B266</f>
        <v>2.1454623471358077E-2</v>
      </c>
      <c r="U266" s="4">
        <f>1/PHP!C266</f>
        <v>2.1384427859632616E-2</v>
      </c>
      <c r="V266" s="4">
        <f>1/TWD!B266</f>
        <v>3.0982773577890688E-2</v>
      </c>
      <c r="W266" s="4">
        <f>1/TWD!C266</f>
        <v>3.0982869571413964E-2</v>
      </c>
      <c r="X266" s="4">
        <f>1/TWD!B266</f>
        <v>3.0982773577890688E-2</v>
      </c>
      <c r="Y266" s="4">
        <f>1/TWD!C266</f>
        <v>3.0982869571413964E-2</v>
      </c>
      <c r="Z266" s="4">
        <f>1/ZAR!B266</f>
        <v>0.13005592404734034</v>
      </c>
      <c r="AA266" s="4">
        <f>1/ZAR!C266</f>
        <v>0.12935439222838813</v>
      </c>
    </row>
    <row r="267" spans="1:27" x14ac:dyDescent="0.25">
      <c r="A267" t="str">
        <f>"02/07/2010"</f>
        <v>02/07/2010</v>
      </c>
      <c r="B267" s="3">
        <f>AUD!B267</f>
        <v>0.84740000000000004</v>
      </c>
      <c r="C267" s="3">
        <f>AUD!C267</f>
        <v>0.84440000000000004</v>
      </c>
      <c r="D267" s="3">
        <f>1/CAD!B267</f>
        <v>0.94339622641509424</v>
      </c>
      <c r="E267" s="3">
        <f>1/CAD!C267</f>
        <v>0.94321826070552728</v>
      </c>
      <c r="F267" s="3">
        <f>EUR!B267/1</f>
        <v>1.2512000000000001</v>
      </c>
      <c r="G267" s="3">
        <f>EUR!C267/1</f>
        <v>1.2513000000000001</v>
      </c>
      <c r="H267" s="3">
        <f>GBP!B267/1</f>
        <v>1.5172000000000001</v>
      </c>
      <c r="I267" s="3">
        <f>GBP!C267/1</f>
        <v>1.5170999999999999</v>
      </c>
      <c r="J267" s="4">
        <f>1/INR!B267</f>
        <v>2.1430484864720063E-2</v>
      </c>
      <c r="K267" s="4">
        <f>1/INR!C267</f>
        <v>2.1344717182497332E-2</v>
      </c>
      <c r="L267" s="4">
        <f>1/JPY!B267</f>
        <v>1.1366348787778901E-2</v>
      </c>
      <c r="M267" s="4">
        <f>1/JPY!C267</f>
        <v>1.1371699932679537E-2</v>
      </c>
      <c r="N267" s="5">
        <f>1/KRW!B267</f>
        <v>8.1826364454627286E-4</v>
      </c>
      <c r="O267" s="5">
        <f>1/KRW!C267</f>
        <v>8.1824315666427147E-4</v>
      </c>
      <c r="P267" s="3">
        <f>1/NOK!B267</f>
        <v>0.1557026080186843</v>
      </c>
      <c r="Q267" s="3">
        <f>1/NOK!C267</f>
        <v>0.1554363876583508</v>
      </c>
      <c r="R267" s="3">
        <f>NZD!B267/1</f>
        <v>0.69399999999999995</v>
      </c>
      <c r="S267" s="3">
        <f>NZD!C267/1</f>
        <v>0.6925</v>
      </c>
      <c r="T267" s="4">
        <f>1/PHP!B267</f>
        <v>2.1537798836958864E-2</v>
      </c>
      <c r="U267" s="4">
        <f>1/PHP!C267</f>
        <v>2.1466137168616506E-2</v>
      </c>
      <c r="V267" s="4">
        <f>1/TWD!B267</f>
        <v>3.1055900621118009E-2</v>
      </c>
      <c r="W267" s="4">
        <f>1/TWD!C267</f>
        <v>3.1055997068313877E-2</v>
      </c>
      <c r="X267" s="4">
        <f>1/TWD!B267</f>
        <v>3.1055900621118009E-2</v>
      </c>
      <c r="Y267" s="4">
        <f>1/TWD!C267</f>
        <v>3.1055997068313877E-2</v>
      </c>
      <c r="Z267" s="4">
        <f>1/ZAR!B267</f>
        <v>0.12952528981283595</v>
      </c>
      <c r="AA267" s="4">
        <f>1/ZAR!C267</f>
        <v>0.1288261362465217</v>
      </c>
    </row>
    <row r="268" spans="1:27" x14ac:dyDescent="0.25">
      <c r="A268" t="str">
        <f>"05/07/2010"</f>
        <v>05/07/2010</v>
      </c>
      <c r="B268" s="3">
        <f>AUD!B268</f>
        <v>0.84399999999999997</v>
      </c>
      <c r="C268" s="3">
        <f>AUD!C268</f>
        <v>0.84079999999999999</v>
      </c>
      <c r="D268" s="3">
        <f>1/CAD!B268</f>
        <v>0.94401963560842073</v>
      </c>
      <c r="E268" s="3">
        <f>1/CAD!C268</f>
        <v>0.94384143463898051</v>
      </c>
      <c r="F268" s="3">
        <f>EUR!B268/1</f>
        <v>1.2542</v>
      </c>
      <c r="G268" s="3">
        <f>EUR!C268/1</f>
        <v>1.2544</v>
      </c>
      <c r="H268" s="3">
        <f>GBP!B268/1</f>
        <v>1.5183</v>
      </c>
      <c r="I268" s="3">
        <f>GBP!C268/1</f>
        <v>1.5182</v>
      </c>
      <c r="J268" s="4">
        <f>1/INR!B268</f>
        <v>2.137208805300278E-2</v>
      </c>
      <c r="K268" s="4">
        <f>1/INR!C268</f>
        <v>2.1277727538698867E-2</v>
      </c>
      <c r="L268" s="4">
        <f>1/JPY!B268</f>
        <v>1.1372682815876264E-2</v>
      </c>
      <c r="M268" s="4">
        <f>1/JPY!C268</f>
        <v>1.1378091711970436E-2</v>
      </c>
      <c r="N268" s="5">
        <f>1/KRW!B268</f>
        <v>8.19017588402711E-4</v>
      </c>
      <c r="O268" s="5">
        <f>1/KRW!C268</f>
        <v>8.1899578831415862E-4</v>
      </c>
      <c r="P268" s="3">
        <f>1/NOK!B268</f>
        <v>0.1549426712116517</v>
      </c>
      <c r="Q268" s="3">
        <f>1/NOK!C268</f>
        <v>0.15468621900474888</v>
      </c>
      <c r="R268" s="3">
        <f>NZD!B268/1</f>
        <v>0.69069999999999998</v>
      </c>
      <c r="S268" s="3">
        <f>NZD!C268/1</f>
        <v>0.68910000000000005</v>
      </c>
      <c r="T268" s="4">
        <f>1/PHP!B268</f>
        <v>2.1510002151000213E-2</v>
      </c>
      <c r="U268" s="4">
        <f>1/PHP!C268</f>
        <v>2.1438525029477972E-2</v>
      </c>
      <c r="V268" s="4">
        <f>1/TWD!B268</f>
        <v>3.1019294000868541E-2</v>
      </c>
      <c r="W268" s="4">
        <f>1/TWD!C268</f>
        <v>3.1019390220827035E-2</v>
      </c>
      <c r="X268" s="4">
        <f>1/TWD!B268</f>
        <v>3.1019294000868541E-2</v>
      </c>
      <c r="Y268" s="4">
        <f>1/TWD!C268</f>
        <v>3.1019390220827035E-2</v>
      </c>
      <c r="Z268" s="4">
        <f>1/ZAR!B268</f>
        <v>0.12911055737027616</v>
      </c>
      <c r="AA268" s="4">
        <f>1/ZAR!C268</f>
        <v>0.12842080930794025</v>
      </c>
    </row>
    <row r="269" spans="1:27" x14ac:dyDescent="0.25">
      <c r="A269" t="str">
        <f>"06/07/2010"</f>
        <v>06/07/2010</v>
      </c>
      <c r="B269" s="3">
        <f>AUD!B269</f>
        <v>0.83709999999999996</v>
      </c>
      <c r="C269" s="3">
        <f>AUD!C269</f>
        <v>0.83399999999999996</v>
      </c>
      <c r="D269" s="3">
        <f>1/CAD!B269</f>
        <v>0.94011469399266701</v>
      </c>
      <c r="E269" s="3">
        <f>1/CAD!C269</f>
        <v>0.93993796409436969</v>
      </c>
      <c r="F269" s="3">
        <f>EUR!B269/1</f>
        <v>1.2531000000000001</v>
      </c>
      <c r="G269" s="3">
        <f>EUR!C269/1</f>
        <v>1.2532000000000001</v>
      </c>
      <c r="H269" s="3">
        <f>GBP!B269/1</f>
        <v>1.5137</v>
      </c>
      <c r="I269" s="3">
        <f>GBP!C269/1</f>
        <v>1.5136000000000001</v>
      </c>
      <c r="J269" s="4">
        <f>1/INR!B269</f>
        <v>2.1376656690893545E-2</v>
      </c>
      <c r="K269" s="4">
        <f>1/INR!C269</f>
        <v>2.1287919105907396E-2</v>
      </c>
      <c r="L269" s="4">
        <f>1/JPY!B269</f>
        <v>1.1412919424788861E-2</v>
      </c>
      <c r="M269" s="4">
        <f>1/JPY!C269</f>
        <v>1.1417923399435499E-2</v>
      </c>
      <c r="N269" s="5">
        <f>1/KRW!B269</f>
        <v>8.1539465101108932E-4</v>
      </c>
      <c r="O269" s="5">
        <f>1/KRW!C269</f>
        <v>8.1536819010602881E-4</v>
      </c>
      <c r="P269" s="3">
        <f>1/NOK!B269</f>
        <v>0.1549426712116517</v>
      </c>
      <c r="Q269" s="3">
        <f>1/NOK!C269</f>
        <v>0.15467664846638104</v>
      </c>
      <c r="R269" s="3">
        <f>NZD!B269/1</f>
        <v>0.68640000000000001</v>
      </c>
      <c r="S269" s="3">
        <f>NZD!C269/1</f>
        <v>0.68489999999999995</v>
      </c>
      <c r="T269" s="4">
        <f>1/PHP!B269</f>
        <v>2.1523891519586742E-2</v>
      </c>
      <c r="U269" s="4">
        <f>1/PHP!C269</f>
        <v>2.1447721179624665E-2</v>
      </c>
      <c r="V269" s="4">
        <f>1/TWD!B269</f>
        <v>3.1057829678862042E-2</v>
      </c>
      <c r="W269" s="4">
        <f>1/TWD!C269</f>
        <v>3.1057926138040062E-2</v>
      </c>
      <c r="X269" s="4">
        <f>1/TWD!B269</f>
        <v>3.1057829678862042E-2</v>
      </c>
      <c r="Y269" s="4">
        <f>1/TWD!C269</f>
        <v>3.1057926138040062E-2</v>
      </c>
      <c r="Z269" s="4">
        <f>1/ZAR!B269</f>
        <v>0.12886597938144331</v>
      </c>
      <c r="AA269" s="4">
        <f>1/ZAR!C269</f>
        <v>0.12810986702195803</v>
      </c>
    </row>
    <row r="270" spans="1:27" x14ac:dyDescent="0.25">
      <c r="A270" t="str">
        <f>"07/07/2010"</f>
        <v>07/07/2010</v>
      </c>
      <c r="B270" s="3">
        <f>AUD!B270</f>
        <v>0.84699999999999998</v>
      </c>
      <c r="C270" s="3">
        <f>AUD!C270</f>
        <v>0.84389999999999998</v>
      </c>
      <c r="D270" s="3">
        <f>1/CAD!B270</f>
        <v>0.94670074789359082</v>
      </c>
      <c r="E270" s="3">
        <f>1/CAD!C270</f>
        <v>0.94652153336488409</v>
      </c>
      <c r="F270" s="3">
        <f>EUR!B270/1</f>
        <v>1.2582</v>
      </c>
      <c r="G270" s="3">
        <f>EUR!C270/1</f>
        <v>1.2583</v>
      </c>
      <c r="H270" s="3">
        <f>GBP!B270/1</f>
        <v>1.5121</v>
      </c>
      <c r="I270" s="3">
        <f>GBP!C270/1</f>
        <v>1.512</v>
      </c>
      <c r="J270" s="4">
        <f>1/INR!B270</f>
        <v>2.1244954323348206E-2</v>
      </c>
      <c r="K270" s="4">
        <f>1/INR!C270</f>
        <v>2.1151710644598379E-2</v>
      </c>
      <c r="L270" s="4">
        <f>1/JPY!B270</f>
        <v>1.1425241786679311E-2</v>
      </c>
      <c r="M270" s="4">
        <f>1/JPY!C270</f>
        <v>1.1429276778224027E-2</v>
      </c>
      <c r="N270" s="5">
        <f>1/KRW!B270</f>
        <v>8.1659317328107146E-4</v>
      </c>
      <c r="O270" s="5">
        <f>1/KRW!C270</f>
        <v>8.1656890159397509E-4</v>
      </c>
      <c r="P270" s="3">
        <f>1/NOK!B270</f>
        <v>0.15566140531116715</v>
      </c>
      <c r="Q270" s="3">
        <f>1/NOK!C270</f>
        <v>0.15540498539193137</v>
      </c>
      <c r="R270" s="3">
        <f>NZD!B270/1</f>
        <v>0.69110000000000005</v>
      </c>
      <c r="S270" s="3">
        <f>NZD!C270/1</f>
        <v>0.6895</v>
      </c>
      <c r="T270" s="4">
        <f>1/PHP!B270</f>
        <v>2.1500752526338422E-2</v>
      </c>
      <c r="U270" s="4">
        <f>1/PHP!C270</f>
        <v>2.1427040925648167E-2</v>
      </c>
      <c r="V270" s="4">
        <f>1/TWD!B270</f>
        <v>3.1076167687000836E-2</v>
      </c>
      <c r="W270" s="4">
        <f>1/TWD!C270</f>
        <v>3.1076264260120764E-2</v>
      </c>
      <c r="X270" s="4">
        <f>1/TWD!B270</f>
        <v>3.1076167687000836E-2</v>
      </c>
      <c r="Y270" s="4">
        <f>1/TWD!C270</f>
        <v>3.1076264260120764E-2</v>
      </c>
      <c r="Z270" s="4">
        <f>1/ZAR!B270</f>
        <v>0.13005592404734034</v>
      </c>
      <c r="AA270" s="4">
        <f>1/ZAR!C270</f>
        <v>0.1293209357662912</v>
      </c>
    </row>
    <row r="271" spans="1:27" x14ac:dyDescent="0.25">
      <c r="A271" t="str">
        <f>"08/07/2010"</f>
        <v>08/07/2010</v>
      </c>
      <c r="B271" s="3">
        <f>AUD!B271</f>
        <v>0.87270000000000003</v>
      </c>
      <c r="C271" s="3">
        <f>AUD!C271</f>
        <v>0.86950000000000005</v>
      </c>
      <c r="D271" s="3">
        <f>1/CAD!B271</f>
        <v>0.95620577548288388</v>
      </c>
      <c r="E271" s="3">
        <f>1/CAD!C271</f>
        <v>0.95602294455066916</v>
      </c>
      <c r="F271" s="3">
        <f>EUR!B271/1</f>
        <v>1.2653000000000001</v>
      </c>
      <c r="G271" s="3">
        <f>EUR!C271/1</f>
        <v>1.2653000000000001</v>
      </c>
      <c r="H271" s="3">
        <f>GBP!B271/1</f>
        <v>1.518</v>
      </c>
      <c r="I271" s="3">
        <f>GBP!C271/1</f>
        <v>1.5179</v>
      </c>
      <c r="J271" s="4">
        <f>1/INR!B271</f>
        <v>2.1335609131640711E-2</v>
      </c>
      <c r="K271" s="4">
        <f>1/INR!C271</f>
        <v>2.1243826013064952E-2</v>
      </c>
      <c r="L271" s="4">
        <f>1/JPY!B271</f>
        <v>1.1316249568567985E-2</v>
      </c>
      <c r="M271" s="4">
        <f>1/JPY!C271</f>
        <v>1.1319797873689167E-2</v>
      </c>
      <c r="N271" s="5">
        <f>1/KRW!B271</f>
        <v>8.2569564858393199E-4</v>
      </c>
      <c r="O271" s="5">
        <f>1/KRW!C271</f>
        <v>8.2566940114611167E-4</v>
      </c>
      <c r="P271" s="3">
        <f>1/NOK!B271</f>
        <v>0.15677421377731793</v>
      </c>
      <c r="Q271" s="3">
        <f>1/NOK!C271</f>
        <v>0.15652636686649865</v>
      </c>
      <c r="R271" s="3">
        <f>NZD!B271/1</f>
        <v>0.70530000000000004</v>
      </c>
      <c r="S271" s="3">
        <f>NZD!C271/1</f>
        <v>0.70369999999999999</v>
      </c>
      <c r="T271" s="4">
        <f>1/PHP!B271</f>
        <v>2.1574973031283709E-2</v>
      </c>
      <c r="U271" s="4">
        <f>1/PHP!C271</f>
        <v>2.1503064186646596E-2</v>
      </c>
      <c r="V271" s="4">
        <f>1/TWD!B271</f>
        <v>3.1157501168406296E-2</v>
      </c>
      <c r="W271" s="4">
        <f>1/TWD!C271</f>
        <v>3.115759824769667E-2</v>
      </c>
      <c r="X271" s="4">
        <f>1/TWD!B271</f>
        <v>3.1157501168406296E-2</v>
      </c>
      <c r="Y271" s="4">
        <f>1/TWD!C271</f>
        <v>3.115759824769667E-2</v>
      </c>
      <c r="Z271" s="4">
        <f>1/ZAR!B271</f>
        <v>0.13131976362442546</v>
      </c>
      <c r="AA271" s="4">
        <f>1/ZAR!C271</f>
        <v>0.13059774588290607</v>
      </c>
    </row>
    <row r="272" spans="1:27" x14ac:dyDescent="0.25">
      <c r="A272" t="str">
        <f>"09/07/2010"</f>
        <v>09/07/2010</v>
      </c>
      <c r="B272" s="3">
        <f>AUD!B272</f>
        <v>0.87690000000000001</v>
      </c>
      <c r="C272" s="3">
        <f>AUD!C272</f>
        <v>0.87370000000000003</v>
      </c>
      <c r="D272" s="3">
        <f>1/CAD!B272</f>
        <v>0.95904862376522493</v>
      </c>
      <c r="E272" s="3">
        <f>1/CAD!C272</f>
        <v>0.95877277085330781</v>
      </c>
      <c r="F272" s="3">
        <f>EUR!B272/1</f>
        <v>1.2685999999999999</v>
      </c>
      <c r="G272" s="3">
        <f>EUR!C272/1</f>
        <v>1.2685999999999999</v>
      </c>
      <c r="H272" s="3">
        <f>GBP!B272/1</f>
        <v>1.5150999999999999</v>
      </c>
      <c r="I272" s="3">
        <f>GBP!C272/1</f>
        <v>1.5148999999999999</v>
      </c>
      <c r="J272" s="4">
        <f>1/INR!B272</f>
        <v>2.1399529210357374E-2</v>
      </c>
      <c r="K272" s="4">
        <f>1/INR!C272</f>
        <v>2.1307196505619776E-2</v>
      </c>
      <c r="L272" s="4">
        <f>1/JPY!B272</f>
        <v>1.128158844765343E-2</v>
      </c>
      <c r="M272" s="4">
        <f>1/JPY!C272</f>
        <v>1.1284758466672158E-2</v>
      </c>
      <c r="N272" s="5">
        <f>1/KRW!B272</f>
        <v>8.3570115326759154E-4</v>
      </c>
      <c r="O272" s="5">
        <f>1/KRW!C272</f>
        <v>8.3567391669501004E-4</v>
      </c>
      <c r="P272" s="3">
        <f>1/NOK!B272</f>
        <v>0.15702284682421291</v>
      </c>
      <c r="Q272" s="3">
        <f>1/NOK!C272</f>
        <v>0.15677175600043897</v>
      </c>
      <c r="R272" s="3">
        <f>NZD!B272/1</f>
        <v>0.71089999999999998</v>
      </c>
      <c r="S272" s="3">
        <f>NZD!C272/1</f>
        <v>0.70930000000000004</v>
      </c>
      <c r="T272" s="4">
        <f>1/PHP!B272</f>
        <v>2.1630975556997622E-2</v>
      </c>
      <c r="U272" s="4">
        <f>1/PHP!C272</f>
        <v>2.1558693543171286E-2</v>
      </c>
      <c r="V272" s="4">
        <f>1/TWD!B272</f>
        <v>3.1205142607501717E-2</v>
      </c>
      <c r="W272" s="4">
        <f>1/TWD!C272</f>
        <v>3.1205239983898094E-2</v>
      </c>
      <c r="X272" s="4">
        <f>1/TWD!B272</f>
        <v>3.1205142607501717E-2</v>
      </c>
      <c r="Y272" s="4">
        <f>1/TWD!C272</f>
        <v>3.1205239983898094E-2</v>
      </c>
      <c r="Z272" s="4">
        <f>1/ZAR!B272</f>
        <v>0.13203237433818774</v>
      </c>
      <c r="AA272" s="4">
        <f>1/ZAR!C272</f>
        <v>0.13133011136793443</v>
      </c>
    </row>
    <row r="273" spans="1:27" x14ac:dyDescent="0.25">
      <c r="A273" t="str">
        <f>"12/07/2010"</f>
        <v>12/07/2010</v>
      </c>
      <c r="B273" s="3">
        <f>AUD!B273</f>
        <v>0.87509999999999999</v>
      </c>
      <c r="C273" s="3">
        <f>AUD!C273</f>
        <v>0.87180000000000002</v>
      </c>
      <c r="D273" s="3">
        <f>1/CAD!B273</f>
        <v>0.96936797208220238</v>
      </c>
      <c r="E273" s="3">
        <f>1/CAD!C273</f>
        <v>0.96908615175889135</v>
      </c>
      <c r="F273" s="3">
        <f>EUR!B273/1</f>
        <v>1.2599</v>
      </c>
      <c r="G273" s="3">
        <f>EUR!C273/1</f>
        <v>1.2599</v>
      </c>
      <c r="H273" s="3">
        <f>GBP!B273/1</f>
        <v>1.5025999999999999</v>
      </c>
      <c r="I273" s="3">
        <f>GBP!C273/1</f>
        <v>1.5024</v>
      </c>
      <c r="J273" s="4">
        <f>1/INR!B273</f>
        <v>2.144542140253056E-2</v>
      </c>
      <c r="K273" s="4">
        <f>1/INR!C273</f>
        <v>2.1349274124679761E-2</v>
      </c>
      <c r="L273" s="4">
        <f>1/JPY!B273</f>
        <v>1.1222085063404781E-2</v>
      </c>
      <c r="M273" s="4">
        <f>1/JPY!C273</f>
        <v>1.1225599755730949E-2</v>
      </c>
      <c r="N273" s="5">
        <f>1/KRW!B273</f>
        <v>8.3451556371526335E-4</v>
      </c>
      <c r="O273" s="5">
        <f>1/KRW!C273</f>
        <v>8.3449425392291576E-4</v>
      </c>
      <c r="P273" s="3">
        <f>1/NOK!B273</f>
        <v>0.15702777821396605</v>
      </c>
      <c r="Q273" s="3">
        <f>1/NOK!C273</f>
        <v>0.15675209655929148</v>
      </c>
      <c r="R273" s="3">
        <f>NZD!B273/1</f>
        <v>0.70850000000000002</v>
      </c>
      <c r="S273" s="3">
        <f>NZD!C273/1</f>
        <v>0.70669999999999999</v>
      </c>
      <c r="T273" s="4">
        <f>1/PHP!B273</f>
        <v>2.1635655560363478E-2</v>
      </c>
      <c r="U273" s="4">
        <f>1/PHP!C273</f>
        <v>9.5950873152945686E-3</v>
      </c>
      <c r="V273" s="4">
        <f>1/TWD!B273</f>
        <v>3.1209038137444602E-2</v>
      </c>
      <c r="W273" s="4">
        <f>1/TWD!C273</f>
        <v>3.1209038137444602E-2</v>
      </c>
      <c r="X273" s="4">
        <f>1/TWD!B273</f>
        <v>3.1209038137444602E-2</v>
      </c>
      <c r="Y273" s="4">
        <f>1/TWD!C273</f>
        <v>3.1209038137444602E-2</v>
      </c>
      <c r="Z273" s="4">
        <f>1/ZAR!B273</f>
        <v>0.13235216263433744</v>
      </c>
      <c r="AA273" s="4">
        <f>1/ZAR!C273</f>
        <v>0.13164996906225726</v>
      </c>
    </row>
    <row r="274" spans="1:27" x14ac:dyDescent="0.25">
      <c r="A274" t="str">
        <f>"13/07/2010"</f>
        <v>13/07/2010</v>
      </c>
      <c r="B274" s="3">
        <f>AUD!B274</f>
        <v>0.87280000000000002</v>
      </c>
      <c r="C274" s="3">
        <f>AUD!C274</f>
        <v>0.86950000000000005</v>
      </c>
      <c r="D274" s="3">
        <f>1/CAD!B274</f>
        <v>0.9645992090286486</v>
      </c>
      <c r="E274" s="3">
        <f>1/CAD!C274</f>
        <v>0.96432015429122475</v>
      </c>
      <c r="F274" s="3">
        <f>EUR!B274/1</f>
        <v>1.2591000000000001</v>
      </c>
      <c r="G274" s="3">
        <f>EUR!C274/1</f>
        <v>1.2591000000000001</v>
      </c>
      <c r="H274" s="3">
        <f>GBP!B274/1</f>
        <v>1.5029999999999999</v>
      </c>
      <c r="I274" s="3">
        <f>GBP!C274/1</f>
        <v>1.5028999999999999</v>
      </c>
      <c r="J274" s="4">
        <f>1/INR!B274</f>
        <v>2.1326508850501174E-2</v>
      </c>
      <c r="K274" s="4">
        <f>1/INR!C274</f>
        <v>2.123254949838102E-2</v>
      </c>
      <c r="L274" s="4">
        <f>1/JPY!B274</f>
        <v>1.1291907090188463E-2</v>
      </c>
      <c r="M274" s="4">
        <f>1/JPY!C274</f>
        <v>1.129660130453152E-2</v>
      </c>
      <c r="N274" s="5">
        <f>1/KRW!B274</f>
        <v>8.2494637848539842E-4</v>
      </c>
      <c r="O274" s="5">
        <f>1/KRW!C274</f>
        <v>8.2492296869318335E-4</v>
      </c>
      <c r="P274" s="3">
        <f>1/NOK!B274</f>
        <v>0.157410905427528</v>
      </c>
      <c r="Q274" s="3">
        <f>1/NOK!C274</f>
        <v>0.15713140899734448</v>
      </c>
      <c r="R274" s="3">
        <f>NZD!B274/1</f>
        <v>0.71120000000000005</v>
      </c>
      <c r="S274" s="3">
        <f>NZD!C274/1</f>
        <v>0.70940000000000003</v>
      </c>
      <c r="T274" s="4">
        <f>1/PHP!B274</f>
        <v>2.158894645941278E-2</v>
      </c>
      <c r="U274" s="4">
        <f>1/PHP!C274</f>
        <v>2.151462994836489E-2</v>
      </c>
      <c r="V274" s="4">
        <f>1/TWD!B274</f>
        <v>3.1130342745073626E-2</v>
      </c>
      <c r="W274" s="4">
        <f>1/TWD!C274</f>
        <v>3.1130439655199248E-2</v>
      </c>
      <c r="X274" s="4">
        <f>1/TWD!B274</f>
        <v>3.1130342745073626E-2</v>
      </c>
      <c r="Y274" s="4">
        <f>1/TWD!C274</f>
        <v>3.1130439655199248E-2</v>
      </c>
      <c r="Z274" s="4">
        <f>1/ZAR!B274</f>
        <v>0.13124909766245357</v>
      </c>
      <c r="AA274" s="4">
        <f>1/ZAR!C274</f>
        <v>0.13051252267655081</v>
      </c>
    </row>
    <row r="275" spans="1:27" x14ac:dyDescent="0.25">
      <c r="A275" t="str">
        <f>"14/07/2010"</f>
        <v>14/07/2010</v>
      </c>
      <c r="B275" s="3">
        <f>AUD!B275</f>
        <v>0.88200000000000001</v>
      </c>
      <c r="C275" s="3">
        <f>AUD!C275</f>
        <v>0.87880000000000003</v>
      </c>
      <c r="D275" s="3">
        <f>1/CAD!B275</f>
        <v>0.96993210475266745</v>
      </c>
      <c r="E275" s="3">
        <f>1/CAD!C275</f>
        <v>0.96964995636575191</v>
      </c>
      <c r="F275" s="3">
        <f>EUR!B275/1</f>
        <v>1.2719</v>
      </c>
      <c r="G275" s="3">
        <f>EUR!C275/1</f>
        <v>1.2719</v>
      </c>
      <c r="H275" s="3">
        <f>GBP!B275/1</f>
        <v>1.5216000000000001</v>
      </c>
      <c r="I275" s="3">
        <f>GBP!C275/1</f>
        <v>1.5214000000000001</v>
      </c>
      <c r="J275" s="4">
        <f>1/INR!B275</f>
        <v>2.144542140253056E-2</v>
      </c>
      <c r="K275" s="4">
        <f>1/INR!C275</f>
        <v>2.135611318739989E-2</v>
      </c>
      <c r="L275" s="4">
        <f>1/JPY!B275</f>
        <v>1.1235386974815881E-2</v>
      </c>
      <c r="M275" s="4">
        <f>1/JPY!C275</f>
        <v>1.123947844324232E-2</v>
      </c>
      <c r="N275" s="5">
        <f>1/KRW!B275</f>
        <v>8.3423709018102946E-4</v>
      </c>
      <c r="O275" s="5">
        <f>1/KRW!C275</f>
        <v>8.3421252381572471E-4</v>
      </c>
      <c r="P275" s="3">
        <f>1/NOK!B275</f>
        <v>0.16015118271648435</v>
      </c>
      <c r="Q275" s="3">
        <f>1/NOK!C275</f>
        <v>0.15987721429941804</v>
      </c>
      <c r="R275" s="3">
        <f>NZD!B275/1</f>
        <v>0.71699999999999997</v>
      </c>
      <c r="S275" s="3">
        <f>NZD!C275/1</f>
        <v>0.71530000000000005</v>
      </c>
      <c r="T275" s="4">
        <f>1/PHP!B275</f>
        <v>2.1600604816934873E-2</v>
      </c>
      <c r="U275" s="4">
        <f>1/PHP!C275</f>
        <v>2.1526208158432893E-2</v>
      </c>
      <c r="V275" s="4">
        <f>1/TWD!B275</f>
        <v>3.1106134129650364E-2</v>
      </c>
      <c r="W275" s="4">
        <f>1/TWD!C275</f>
        <v>3.1106134129650364E-2</v>
      </c>
      <c r="X275" s="4">
        <f>1/TWD!B275</f>
        <v>3.1106134129650364E-2</v>
      </c>
      <c r="Y275" s="4">
        <f>1/TWD!C275</f>
        <v>3.1106134129650364E-2</v>
      </c>
      <c r="Z275" s="4">
        <f>1/ZAR!B275</f>
        <v>0.1324836713875015</v>
      </c>
      <c r="AA275" s="4">
        <f>1/ZAR!C275</f>
        <v>0.13176445785513816</v>
      </c>
    </row>
    <row r="276" spans="1:27" x14ac:dyDescent="0.25">
      <c r="A276" t="str">
        <f>"15/07/2010"</f>
        <v>15/07/2010</v>
      </c>
      <c r="B276" s="3">
        <f>AUD!B276</f>
        <v>0.88160000000000005</v>
      </c>
      <c r="C276" s="3">
        <f>AUD!C276</f>
        <v>0.87839999999999996</v>
      </c>
      <c r="D276" s="3">
        <f>1/CAD!B276</f>
        <v>0.96665055582406967</v>
      </c>
      <c r="E276" s="3">
        <f>1/CAD!C276</f>
        <v>0.96637031310398147</v>
      </c>
      <c r="F276" s="3">
        <f>EUR!B276/1</f>
        <v>1.2744</v>
      </c>
      <c r="G276" s="3">
        <f>EUR!C276/1</f>
        <v>1.2744</v>
      </c>
      <c r="H276" s="3">
        <f>GBP!B276/1</f>
        <v>1.5273000000000001</v>
      </c>
      <c r="I276" s="3">
        <f>GBP!C276/1</f>
        <v>1.5270999999999999</v>
      </c>
      <c r="J276" s="4">
        <f>1/INR!B276</f>
        <v>2.1399529210357374E-2</v>
      </c>
      <c r="K276" s="4">
        <f>1/INR!C276</f>
        <v>2.1306061574517948E-2</v>
      </c>
      <c r="L276" s="4">
        <f>1/JPY!B276</f>
        <v>1.1337868480725623E-2</v>
      </c>
      <c r="M276" s="4">
        <f>1/JPY!C276</f>
        <v>1.1341198832763816E-2</v>
      </c>
      <c r="N276" s="5">
        <f>1/KRW!B276</f>
        <v>8.3077178699011382E-4</v>
      </c>
      <c r="O276" s="5">
        <f>1/KRW!C276</f>
        <v>8.3075052993576302E-4</v>
      </c>
      <c r="P276" s="3">
        <f>1/NOK!B276</f>
        <v>0.16062192810562498</v>
      </c>
      <c r="Q276" s="3">
        <f>1/NOK!C276</f>
        <v>0.16036691951184312</v>
      </c>
      <c r="R276" s="3">
        <f>NZD!B276/1</f>
        <v>0.72150000000000003</v>
      </c>
      <c r="S276" s="3">
        <f>NZD!C276/1</f>
        <v>0.7198</v>
      </c>
      <c r="T276" s="4">
        <f>1/PHP!B276</f>
        <v>2.158894645941278E-2</v>
      </c>
      <c r="U276" s="4">
        <f>1/PHP!C276</f>
        <v>2.151462994836489E-2</v>
      </c>
      <c r="V276" s="4">
        <f>1/TWD!B276</f>
        <v>3.1131311873482347E-2</v>
      </c>
      <c r="W276" s="4">
        <f>1/TWD!C276</f>
        <v>3.1131408789641962E-2</v>
      </c>
      <c r="X276" s="4">
        <f>1/TWD!B276</f>
        <v>3.1131311873482347E-2</v>
      </c>
      <c r="Y276" s="4">
        <f>1/TWD!C276</f>
        <v>3.1131408789641962E-2</v>
      </c>
      <c r="Z276" s="4">
        <f>1/ZAR!B276</f>
        <v>0.132013201320132</v>
      </c>
      <c r="AA276" s="4">
        <f>1/ZAR!C276</f>
        <v>0.13131803915903928</v>
      </c>
    </row>
    <row r="277" spans="1:27" x14ac:dyDescent="0.25">
      <c r="A277" t="str">
        <f>"16/07/2010"</f>
        <v>16/07/2010</v>
      </c>
      <c r="B277" s="3">
        <f>AUD!B277</f>
        <v>0.87739999999999996</v>
      </c>
      <c r="C277" s="3">
        <f>AUD!C277</f>
        <v>0.87419999999999998</v>
      </c>
      <c r="D277" s="3">
        <f>1/CAD!B277</f>
        <v>0.96033803898972447</v>
      </c>
      <c r="E277" s="3">
        <f>1/CAD!C277</f>
        <v>0.96006144393241155</v>
      </c>
      <c r="F277" s="3">
        <f>EUR!B277/1</f>
        <v>1.2927999999999999</v>
      </c>
      <c r="G277" s="3">
        <f>EUR!C277/1</f>
        <v>1.2927</v>
      </c>
      <c r="H277" s="3">
        <f>GBP!B277/1</f>
        <v>1.5427</v>
      </c>
      <c r="I277" s="3">
        <f>GBP!C277/1</f>
        <v>1.5425</v>
      </c>
      <c r="J277" s="4">
        <f>1/INR!B277</f>
        <v>2.1413276231263382E-2</v>
      </c>
      <c r="K277" s="4">
        <f>1/INR!C277</f>
        <v>2.1324234993069621E-2</v>
      </c>
      <c r="L277" s="4">
        <f>1/JPY!B277</f>
        <v>1.148369315571888E-2</v>
      </c>
      <c r="M277" s="4">
        <f>1/JPY!C277</f>
        <v>1.1487650775416428E-2</v>
      </c>
      <c r="N277" s="5">
        <f>1/KRW!B277</f>
        <v>8.3260480412971987E-4</v>
      </c>
      <c r="O277" s="5">
        <f>1/KRW!C277</f>
        <v>8.3258345316984509E-4</v>
      </c>
      <c r="P277" s="3">
        <f>1/NOK!B277</f>
        <v>0.16174424999191278</v>
      </c>
      <c r="Q277" s="3">
        <f>1/NOK!C277</f>
        <v>0.16148566814695195</v>
      </c>
      <c r="R277" s="3">
        <f>NZD!B277/1</f>
        <v>0.72150000000000003</v>
      </c>
      <c r="S277" s="3">
        <f>NZD!C277/1</f>
        <v>0.7198</v>
      </c>
      <c r="T277" s="4">
        <f>1/PHP!B277</f>
        <v>2.158894645941278E-2</v>
      </c>
      <c r="U277" s="4">
        <f>1/PHP!C277</f>
        <v>2.151462994836489E-2</v>
      </c>
      <c r="V277" s="4">
        <f>1/TWD!B277</f>
        <v>3.1134219620785206E-2</v>
      </c>
      <c r="W277" s="4">
        <f>1/TWD!C277</f>
        <v>3.1134316555050147E-2</v>
      </c>
      <c r="X277" s="4">
        <f>1/TWD!B277</f>
        <v>3.1134219620785206E-2</v>
      </c>
      <c r="Y277" s="4">
        <f>1/TWD!C277</f>
        <v>3.1134316555050147E-2</v>
      </c>
      <c r="Z277" s="4">
        <f>1/ZAR!B277</f>
        <v>0.13210039630118889</v>
      </c>
      <c r="AA277" s="4">
        <f>1/ZAR!C277</f>
        <v>0.13140431794588769</v>
      </c>
    </row>
    <row r="278" spans="1:27" x14ac:dyDescent="0.25">
      <c r="A278" t="str">
        <f>"19/07/2010"</f>
        <v>19/07/2010</v>
      </c>
      <c r="B278" s="3">
        <f>AUD!B278</f>
        <v>0.86729999999999996</v>
      </c>
      <c r="C278" s="3">
        <f>AUD!C278</f>
        <v>0.86399999999999999</v>
      </c>
      <c r="D278" s="3">
        <f>1/CAD!B278</f>
        <v>0.94768764215314638</v>
      </c>
      <c r="E278" s="3">
        <f>1/CAD!C278</f>
        <v>0.94741828517290372</v>
      </c>
      <c r="F278" s="3">
        <f>EUR!B278/1</f>
        <v>1.2904</v>
      </c>
      <c r="G278" s="3">
        <f>EUR!C278/1</f>
        <v>1.2903</v>
      </c>
      <c r="H278" s="3">
        <f>GBP!B278/1</f>
        <v>1.5307999999999999</v>
      </c>
      <c r="I278" s="3">
        <f>GBP!C278/1</f>
        <v>1.5306</v>
      </c>
      <c r="J278" s="4">
        <f>1/INR!B278</f>
        <v>2.1258503401360544E-2</v>
      </c>
      <c r="K278" s="4">
        <f>1/INR!C278</f>
        <v>2.1167381065777636E-2</v>
      </c>
      <c r="L278" s="4">
        <f>1/JPY!B278</f>
        <v>1.153562200073828E-2</v>
      </c>
      <c r="M278" s="4">
        <f>1/JPY!C278</f>
        <v>1.1539935099404999E-2</v>
      </c>
      <c r="N278" s="5">
        <f>1/KRW!B278</f>
        <v>8.2110232987786102E-4</v>
      </c>
      <c r="O278" s="5">
        <f>1/KRW!C278</f>
        <v>8.210804186689055E-4</v>
      </c>
      <c r="P278" s="3">
        <f>1/NOK!B278</f>
        <v>0.1584459620046583</v>
      </c>
      <c r="Q278" s="3">
        <f>1/NOK!C278</f>
        <v>0.15817779183802594</v>
      </c>
      <c r="R278" s="3">
        <f>NZD!B278/1</f>
        <v>0.70620000000000005</v>
      </c>
      <c r="S278" s="3">
        <f>NZD!C278/1</f>
        <v>0.70440000000000003</v>
      </c>
      <c r="T278" s="4">
        <f>1/PHP!B278</f>
        <v>2.1521575379317766E-2</v>
      </c>
      <c r="U278" s="4">
        <f>1/PHP!C278</f>
        <v>2.1447721179624665E-2</v>
      </c>
      <c r="V278" s="4">
        <f>1/TWD!B278</f>
        <v>3.1089693766516401E-2</v>
      </c>
      <c r="W278" s="4">
        <f>1/TWD!C278</f>
        <v>3.108979042372275E-2</v>
      </c>
      <c r="X278" s="4">
        <f>1/TWD!B278</f>
        <v>3.1089693766516401E-2</v>
      </c>
      <c r="Y278" s="4">
        <f>1/TWD!C278</f>
        <v>3.108979042372275E-2</v>
      </c>
      <c r="Z278" s="4">
        <f>1/ZAR!B278</f>
        <v>0.13175230566534915</v>
      </c>
      <c r="AA278" s="4">
        <f>1/ZAR!C278</f>
        <v>0.1310633166882921</v>
      </c>
    </row>
    <row r="279" spans="1:27" x14ac:dyDescent="0.25">
      <c r="A279" t="str">
        <f>"20/07/2010"</f>
        <v>20/07/2010</v>
      </c>
      <c r="B279" s="3">
        <f>AUD!B279</f>
        <v>0.87780000000000002</v>
      </c>
      <c r="C279" s="3">
        <f>AUD!C279</f>
        <v>0.87439999999999996</v>
      </c>
      <c r="D279" s="3">
        <f>1/CAD!B279</f>
        <v>0.95093191327500948</v>
      </c>
      <c r="E279" s="3">
        <f>1/CAD!C279</f>
        <v>0.95066070919288903</v>
      </c>
      <c r="F279" s="3">
        <f>EUR!B279/1</f>
        <v>1.2968</v>
      </c>
      <c r="G279" s="3">
        <f>EUR!C279/1</f>
        <v>1.2967</v>
      </c>
      <c r="H279" s="3">
        <f>GBP!B279/1</f>
        <v>1.5261</v>
      </c>
      <c r="I279" s="3">
        <f>GBP!C279/1</f>
        <v>1.5259</v>
      </c>
      <c r="J279" s="4">
        <f>1/INR!B279</f>
        <v>2.1190930281839375E-2</v>
      </c>
      <c r="K279" s="4">
        <f>1/INR!C279</f>
        <v>2.1101498206372651E-2</v>
      </c>
      <c r="L279" s="4">
        <f>1/JPY!B279</f>
        <v>1.1485012059262664E-2</v>
      </c>
      <c r="M279" s="4">
        <f>1/JPY!C279</f>
        <v>1.1488970588235293E-2</v>
      </c>
      <c r="N279" s="5">
        <f>1/KRW!B279</f>
        <v>8.2733515347067097E-4</v>
      </c>
      <c r="O279" s="5">
        <f>1/KRW!C279</f>
        <v>8.2731687816609001E-4</v>
      </c>
      <c r="P279" s="3">
        <f>1/NOK!B279</f>
        <v>0.15872763924382155</v>
      </c>
      <c r="Q279" s="3">
        <f>1/NOK!C279</f>
        <v>0.15845851556062621</v>
      </c>
      <c r="R279" s="3">
        <f>NZD!B279/1</f>
        <v>0.71230000000000004</v>
      </c>
      <c r="S279" s="3">
        <f>NZD!C279/1</f>
        <v>0.71050000000000002</v>
      </c>
      <c r="T279" s="4">
        <f>1/PHP!B279</f>
        <v>2.1547080370609786E-2</v>
      </c>
      <c r="U279" s="4">
        <f>1/PHP!C279</f>
        <v>2.1473051320592657E-2</v>
      </c>
      <c r="V279" s="4">
        <f>1/TWD!B279</f>
        <v>3.1135188990597171E-2</v>
      </c>
      <c r="W279" s="4">
        <f>1/TWD!C279</f>
        <v>3.1135285930898347E-2</v>
      </c>
      <c r="X279" s="4">
        <f>1/TWD!B279</f>
        <v>3.1135188990597171E-2</v>
      </c>
      <c r="Y279" s="4">
        <f>1/TWD!C279</f>
        <v>3.1135285930898347E-2</v>
      </c>
      <c r="Z279" s="4">
        <f>1/ZAR!B279</f>
        <v>0.13095518713496243</v>
      </c>
      <c r="AA279" s="4">
        <f>1/ZAR!C279</f>
        <v>0.13022528975126968</v>
      </c>
    </row>
    <row r="280" spans="1:27" x14ac:dyDescent="0.25">
      <c r="A280" t="str">
        <f>"21/07/2010"</f>
        <v>21/07/2010</v>
      </c>
      <c r="B280" s="3">
        <f>AUD!B280</f>
        <v>0.88129999999999997</v>
      </c>
      <c r="C280" s="3">
        <f>AUD!C280</f>
        <v>0.878</v>
      </c>
      <c r="D280" s="3">
        <f>1/CAD!B280</f>
        <v>0.95914061001342799</v>
      </c>
      <c r="E280" s="3">
        <f>1/CAD!C280</f>
        <v>0.95886470419023884</v>
      </c>
      <c r="F280" s="3">
        <f>EUR!B280/1</f>
        <v>1.2887</v>
      </c>
      <c r="G280" s="3">
        <f>EUR!C280/1</f>
        <v>1.2887</v>
      </c>
      <c r="H280" s="3">
        <f>GBP!B280/1</f>
        <v>1.5271999999999999</v>
      </c>
      <c r="I280" s="3">
        <f>GBP!C280/1</f>
        <v>1.5269999999999999</v>
      </c>
      <c r="J280" s="4">
        <f>1/INR!B280</f>
        <v>2.1170742034508309E-2</v>
      </c>
      <c r="K280" s="4">
        <f>1/INR!C280</f>
        <v>2.1082591050440101E-2</v>
      </c>
      <c r="L280" s="4">
        <f>1/JPY!B280</f>
        <v>1.1478420569329659E-2</v>
      </c>
      <c r="M280" s="4">
        <f>1/JPY!C280</f>
        <v>1.1481979033906284E-2</v>
      </c>
      <c r="N280" s="5">
        <f>1/KRW!B280</f>
        <v>8.3090984628167843E-4</v>
      </c>
      <c r="O280" s="5">
        <f>1/KRW!C280</f>
        <v>8.3088533740799506E-4</v>
      </c>
      <c r="P280" s="3">
        <f>1/NOK!B280</f>
        <v>0.16042351808775165</v>
      </c>
      <c r="Q280" s="3">
        <f>1/NOK!C280</f>
        <v>0.16015631256105958</v>
      </c>
      <c r="R280" s="3">
        <f>NZD!B280/1</f>
        <v>0.71579999999999999</v>
      </c>
      <c r="S280" s="3">
        <f>NZD!C280/1</f>
        <v>0.71399999999999997</v>
      </c>
      <c r="T280" s="4">
        <f>1/PHP!B280</f>
        <v>2.1491510853212981E-2</v>
      </c>
      <c r="U280" s="4">
        <f>1/PHP!C280</f>
        <v>2.1417862497322769E-2</v>
      </c>
      <c r="V280" s="4">
        <f>1/TWD!B280</f>
        <v>3.1114844892498206E-2</v>
      </c>
      <c r="W280" s="4">
        <f>1/TWD!C280</f>
        <v>3.1114844892498206E-2</v>
      </c>
      <c r="X280" s="4">
        <f>1/TWD!B280</f>
        <v>3.1114844892498206E-2</v>
      </c>
      <c r="Y280" s="4">
        <f>1/TWD!C280</f>
        <v>3.1114844892498206E-2</v>
      </c>
      <c r="Z280" s="4">
        <f>1/ZAR!B280</f>
        <v>0.13171412765733254</v>
      </c>
      <c r="AA280" s="4">
        <f>1/ZAR!C280</f>
        <v>0.13100837143493468</v>
      </c>
    </row>
    <row r="281" spans="1:27" x14ac:dyDescent="0.25">
      <c r="A281" t="str">
        <f>"22/07/2010"</f>
        <v>22/07/2010</v>
      </c>
      <c r="B281" s="3">
        <f>AUD!B281</f>
        <v>0.87529999999999997</v>
      </c>
      <c r="C281" s="3">
        <f>AUD!C281</f>
        <v>0.872</v>
      </c>
      <c r="D281" s="3">
        <f>1/CAD!B281</f>
        <v>0.95247166396799687</v>
      </c>
      <c r="E281" s="3">
        <f>1/CAD!C281</f>
        <v>0.95210892126059221</v>
      </c>
      <c r="F281" s="3">
        <f>EUR!B281/1</f>
        <v>1.2775000000000001</v>
      </c>
      <c r="G281" s="3">
        <f>EUR!C281/1</f>
        <v>1.2774000000000001</v>
      </c>
      <c r="H281" s="3">
        <f>GBP!B281/1</f>
        <v>1.5178</v>
      </c>
      <c r="I281" s="3">
        <f>GBP!C281/1</f>
        <v>1.5176000000000001</v>
      </c>
      <c r="J281" s="4">
        <f>1/INR!B281</f>
        <v>2.1126016689553183E-2</v>
      </c>
      <c r="K281" s="4">
        <f>1/INR!C281</f>
        <v>2.1038236995739756E-2</v>
      </c>
      <c r="L281" s="4">
        <f>1/JPY!B281</f>
        <v>1.155535012710885E-2</v>
      </c>
      <c r="M281" s="4">
        <f>1/JPY!C281</f>
        <v>1.1558836210135018E-2</v>
      </c>
      <c r="N281" s="5">
        <f>1/KRW!B281</f>
        <v>8.280202036929701E-4</v>
      </c>
      <c r="O281" s="5">
        <f>1/KRW!C281</f>
        <v>8.2799737326113296E-4</v>
      </c>
      <c r="P281" s="3">
        <f>1/NOK!B281</f>
        <v>0.15924581183514872</v>
      </c>
      <c r="Q281" s="3">
        <f>1/NOK!C281</f>
        <v>0.15899009491708668</v>
      </c>
      <c r="R281" s="3">
        <f>NZD!B281/1</f>
        <v>0.71120000000000005</v>
      </c>
      <c r="S281" s="3">
        <f>NZD!C281/1</f>
        <v>0.70950000000000002</v>
      </c>
      <c r="T281" s="4">
        <f>1/PHP!B281</f>
        <v>2.144542140253056E-2</v>
      </c>
      <c r="U281" s="4">
        <f>1/PHP!C281</f>
        <v>2.137208805300278E-2</v>
      </c>
      <c r="V281" s="4">
        <f>1/TWD!B281</f>
        <v>3.1053007483774802E-2</v>
      </c>
      <c r="W281" s="4">
        <f>1/TWD!C281</f>
        <v>3.1053103913001624E-2</v>
      </c>
      <c r="X281" s="4">
        <f>1/TWD!B281</f>
        <v>3.1053007483774802E-2</v>
      </c>
      <c r="Y281" s="4">
        <f>1/TWD!C281</f>
        <v>3.1053103913001624E-2</v>
      </c>
      <c r="Z281" s="4">
        <f>1/ZAR!B281</f>
        <v>0.1322751322751323</v>
      </c>
      <c r="AA281" s="4">
        <f>1/ZAR!C281</f>
        <v>0.13158760444766104</v>
      </c>
    </row>
    <row r="282" spans="1:27" x14ac:dyDescent="0.25">
      <c r="A282" t="str">
        <f>"23/07/2010"</f>
        <v>23/07/2010</v>
      </c>
      <c r="B282" s="3">
        <f>AUD!B282</f>
        <v>0.89270000000000005</v>
      </c>
      <c r="C282" s="3">
        <f>AUD!C282</f>
        <v>0.88939999999999997</v>
      </c>
      <c r="D282" s="3">
        <f>1/CAD!B282</f>
        <v>0.9624639076034649</v>
      </c>
      <c r="E282" s="3">
        <f>1/CAD!C282</f>
        <v>0.96209351548970545</v>
      </c>
      <c r="F282" s="3">
        <f>EUR!B282/1</f>
        <v>1.2896000000000001</v>
      </c>
      <c r="G282" s="3">
        <f>EUR!C282/1</f>
        <v>1.2895000000000001</v>
      </c>
      <c r="H282" s="3">
        <f>GBP!B282/1</f>
        <v>1.5286999999999999</v>
      </c>
      <c r="I282" s="3">
        <f>GBP!C282/1</f>
        <v>1.5285</v>
      </c>
      <c r="J282" s="4">
        <f>1/INR!B282</f>
        <v>2.1263023601956199E-2</v>
      </c>
      <c r="K282" s="4">
        <f>1/INR!C282</f>
        <v>2.1169621593014026E-2</v>
      </c>
      <c r="L282" s="4">
        <f>1/JPY!B282</f>
        <v>1.1506155793349442E-2</v>
      </c>
      <c r="M282" s="4">
        <f>1/JPY!C282</f>
        <v>1.1509890448862707E-2</v>
      </c>
      <c r="N282" s="5">
        <f>1/KRW!B282</f>
        <v>8.3542188805346695E-4</v>
      </c>
      <c r="O282" s="5">
        <f>1/KRW!C282</f>
        <v>8.3539753101601294E-4</v>
      </c>
      <c r="P282" s="3">
        <f>1/NOK!B282</f>
        <v>0.16186206115148671</v>
      </c>
      <c r="Q282" s="3">
        <f>1/NOK!C282</f>
        <v>0.16160310277957338</v>
      </c>
      <c r="R282" s="3">
        <f>NZD!B282/1</f>
        <v>0.72450000000000003</v>
      </c>
      <c r="S282" s="3">
        <f>NZD!C282/1</f>
        <v>0.7228</v>
      </c>
      <c r="T282" s="4">
        <f>1/PHP!B282</f>
        <v>2.1551724137931036E-2</v>
      </c>
      <c r="U282" s="4">
        <f>1/PHP!C282</f>
        <v>2.147766323024055E-2</v>
      </c>
      <c r="V282" s="4">
        <f>1/TWD!B282</f>
        <v>3.1134219620785206E-2</v>
      </c>
      <c r="W282" s="4">
        <f>1/TWD!C282</f>
        <v>3.1134219620785206E-2</v>
      </c>
      <c r="X282" s="4">
        <f>1/TWD!B282</f>
        <v>3.1134219620785206E-2</v>
      </c>
      <c r="Y282" s="4">
        <f>1/TWD!C282</f>
        <v>3.1134219620785206E-2</v>
      </c>
      <c r="Z282" s="4">
        <f>1/ZAR!B282</f>
        <v>0.13417415805715818</v>
      </c>
      <c r="AA282" s="4">
        <f>1/ZAR!C282</f>
        <v>0.13345967515915066</v>
      </c>
    </row>
    <row r="283" spans="1:27" x14ac:dyDescent="0.25">
      <c r="A283" t="str">
        <f>"26/07/2010"</f>
        <v>26/07/2010</v>
      </c>
      <c r="B283" s="3">
        <f>AUD!B283</f>
        <v>0.89529999999999998</v>
      </c>
      <c r="C283" s="3">
        <f>AUD!C283</f>
        <v>0.89170000000000005</v>
      </c>
      <c r="D283" s="3">
        <f>1/CAD!B283</f>
        <v>0.9645992090286486</v>
      </c>
      <c r="E283" s="3">
        <f>1/CAD!C283</f>
        <v>0.96422717192170482</v>
      </c>
      <c r="F283" s="3">
        <f>EUR!B283/1</f>
        <v>1.2934000000000001</v>
      </c>
      <c r="G283" s="3">
        <f>EUR!C283/1</f>
        <v>1.2932999999999999</v>
      </c>
      <c r="H283" s="3">
        <f>GBP!B283/1</f>
        <v>1.5462</v>
      </c>
      <c r="I283" s="3">
        <f>GBP!C283/1</f>
        <v>1.546</v>
      </c>
      <c r="J283" s="4">
        <f>1/INR!B283</f>
        <v>2.1335609131640711E-2</v>
      </c>
      <c r="K283" s="4">
        <f>1/INR!C283</f>
        <v>2.1238186258893489E-2</v>
      </c>
      <c r="L283" s="4">
        <f>1/JPY!B283</f>
        <v>1.1410314924691922E-2</v>
      </c>
      <c r="M283" s="4">
        <f>1/JPY!C283</f>
        <v>1.1414287263367557E-2</v>
      </c>
      <c r="N283" s="5">
        <f>1/KRW!B283</f>
        <v>8.3759108803082324E-4</v>
      </c>
      <c r="O283" s="5">
        <f>1/KRW!C283</f>
        <v>8.3756583267444824E-4</v>
      </c>
      <c r="P283" s="3">
        <f>1/NOK!B283</f>
        <v>0.16192496397169551</v>
      </c>
      <c r="Q283" s="3">
        <f>1/NOK!C283</f>
        <v>0.16163706014515009</v>
      </c>
      <c r="R283" s="3">
        <f>NZD!B283/1</f>
        <v>0.72750000000000004</v>
      </c>
      <c r="S283" s="3">
        <f>NZD!C283/1</f>
        <v>0.72550000000000003</v>
      </c>
      <c r="T283" s="4">
        <f>1/PHP!B283</f>
        <v>2.1630975556997622E-2</v>
      </c>
      <c r="U283" s="4">
        <f>1/PHP!C283</f>
        <v>2.155636990730761E-2</v>
      </c>
      <c r="V283" s="4">
        <f>1/TWD!B283</f>
        <v>3.1129373677001616E-2</v>
      </c>
      <c r="W283" s="4">
        <f>1/TWD!C283</f>
        <v>3.1129470581093829E-2</v>
      </c>
      <c r="X283" s="4">
        <f>1/TWD!B283</f>
        <v>3.1129373677001616E-2</v>
      </c>
      <c r="Y283" s="4">
        <f>1/TWD!C283</f>
        <v>3.1129470581093829E-2</v>
      </c>
      <c r="Z283" s="4">
        <f>1/ZAR!B283</f>
        <v>0.13404825737265416</v>
      </c>
      <c r="AA283" s="4">
        <f>1/ZAR!C283</f>
        <v>0.13333511113481514</v>
      </c>
    </row>
    <row r="284" spans="1:27" x14ac:dyDescent="0.25">
      <c r="A284" t="str">
        <f>"27/07/2010"</f>
        <v>27/07/2010</v>
      </c>
      <c r="B284" s="3">
        <f>AUD!B284</f>
        <v>0.90149999999999997</v>
      </c>
      <c r="C284" s="3">
        <f>AUD!C284</f>
        <v>0.89800000000000002</v>
      </c>
      <c r="D284" s="3">
        <f>1/CAD!B284</f>
        <v>0.96927401376369093</v>
      </c>
      <c r="E284" s="3">
        <f>1/CAD!C284</f>
        <v>0.96880449525285794</v>
      </c>
      <c r="F284" s="3">
        <f>EUR!B284/1</f>
        <v>1.3001</v>
      </c>
      <c r="G284" s="3">
        <f>EUR!C284/1</f>
        <v>1.3</v>
      </c>
      <c r="H284" s="3">
        <f>GBP!B284/1</f>
        <v>1.5485</v>
      </c>
      <c r="I284" s="3">
        <f>GBP!C284/1</f>
        <v>1.5483</v>
      </c>
      <c r="J284" s="4">
        <f>1/INR!B284</f>
        <v>2.1337885415555317E-2</v>
      </c>
      <c r="K284" s="4">
        <f>1/INR!C284</f>
        <v>2.1246082753492324E-2</v>
      </c>
      <c r="L284" s="4">
        <f>1/JPY!B284</f>
        <v>1.1502185415228895E-2</v>
      </c>
      <c r="M284" s="4">
        <f>1/JPY!C284</f>
        <v>1.1505493873324512E-2</v>
      </c>
      <c r="N284" s="5">
        <f>1/KRW!B284</f>
        <v>8.4545147108555977E-4</v>
      </c>
      <c r="O284" s="5">
        <f>1/KRW!C284</f>
        <v>8.4542488180114729E-4</v>
      </c>
      <c r="P284" s="3">
        <f>1/NOK!B284</f>
        <v>0.16248273620927778</v>
      </c>
      <c r="Q284" s="3">
        <f>1/NOK!C284</f>
        <v>0.16219810877005172</v>
      </c>
      <c r="R284" s="3">
        <f>NZD!B284/1</f>
        <v>0.73350000000000004</v>
      </c>
      <c r="S284" s="3">
        <f>NZD!C284/1</f>
        <v>0.73150000000000004</v>
      </c>
      <c r="T284" s="4">
        <f>1/PHP!B284</f>
        <v>2.1762785636561477E-2</v>
      </c>
      <c r="U284" s="4">
        <f>1/PHP!C284</f>
        <v>2.1684918139434024E-2</v>
      </c>
      <c r="V284" s="4">
        <f>1/TWD!B284</f>
        <v>3.1235358425737936E-2</v>
      </c>
      <c r="W284" s="4">
        <f>1/TWD!C284</f>
        <v>3.1235358425737936E-2</v>
      </c>
      <c r="X284" s="4">
        <f>1/TWD!B284</f>
        <v>3.1235358425737936E-2</v>
      </c>
      <c r="Y284" s="4">
        <f>1/TWD!C284</f>
        <v>3.1235358425737936E-2</v>
      </c>
      <c r="Z284" s="4">
        <f>1/ZAR!B284</f>
        <v>0.13598966478547631</v>
      </c>
      <c r="AA284" s="4">
        <f>1/ZAR!C284</f>
        <v>0.13521919030748844</v>
      </c>
    </row>
    <row r="285" spans="1:27" x14ac:dyDescent="0.25">
      <c r="A285" t="str">
        <f>"28/07/2010"</f>
        <v>28/07/2010</v>
      </c>
      <c r="B285" s="3">
        <f>AUD!B285</f>
        <v>0.8931</v>
      </c>
      <c r="C285" s="3">
        <f>AUD!C285</f>
        <v>0.88970000000000005</v>
      </c>
      <c r="D285" s="3">
        <f>1/CAD!B285</f>
        <v>0.964785335262904</v>
      </c>
      <c r="E285" s="3">
        <f>1/CAD!C285</f>
        <v>0.96441315459542876</v>
      </c>
      <c r="F285" s="3">
        <f>EUR!B285/1</f>
        <v>1.2996000000000001</v>
      </c>
      <c r="G285" s="3">
        <f>EUR!C285/1</f>
        <v>1.2995000000000001</v>
      </c>
      <c r="H285" s="3">
        <f>GBP!B285/1</f>
        <v>1.5585</v>
      </c>
      <c r="I285" s="3">
        <f>GBP!C285/1</f>
        <v>1.5583</v>
      </c>
      <c r="J285" s="4">
        <f>1/INR!B285</f>
        <v>2.1394950791613177E-2</v>
      </c>
      <c r="K285" s="4">
        <f>1/INR!C285</f>
        <v>2.1301523058898712E-2</v>
      </c>
      <c r="L285" s="4">
        <f>1/JPY!B285</f>
        <v>1.1398609369656901E-2</v>
      </c>
      <c r="M285" s="4">
        <f>1/JPY!C285</f>
        <v>1.1401832502519804E-2</v>
      </c>
      <c r="N285" s="5">
        <f>1/KRW!B285</f>
        <v>8.4217618325753744E-4</v>
      </c>
      <c r="O285" s="5">
        <f>1/KRW!C285</f>
        <v>8.421505088020728E-4</v>
      </c>
      <c r="P285" s="3">
        <f>1/NOK!B285</f>
        <v>0.16198004405857197</v>
      </c>
      <c r="Q285" s="3">
        <f>1/NOK!C285</f>
        <v>0.16171024757838903</v>
      </c>
      <c r="R285" s="3">
        <f>NZD!B285/1</f>
        <v>0.72909999999999997</v>
      </c>
      <c r="S285" s="3">
        <f>NZD!C285/1</f>
        <v>0.72729999999999995</v>
      </c>
      <c r="T285" s="4">
        <f>1/PHP!B285</f>
        <v>2.1791239921551537E-2</v>
      </c>
      <c r="U285" s="4">
        <f>1/PHP!C285</f>
        <v>2.1715007893405368E-2</v>
      </c>
      <c r="V285" s="4">
        <f>1/TWD!B285</f>
        <v>3.1230480949406617E-2</v>
      </c>
      <c r="W285" s="4">
        <f>1/TWD!C285</f>
        <v>3.1230578484005258E-2</v>
      </c>
      <c r="X285" s="4">
        <f>1/TWD!B285</f>
        <v>3.1230480949406617E-2</v>
      </c>
      <c r="Y285" s="4">
        <f>1/TWD!C285</f>
        <v>3.1230578484005258E-2</v>
      </c>
      <c r="Z285" s="4">
        <f>1/ZAR!B285</f>
        <v>0.13604146543866572</v>
      </c>
      <c r="AA285" s="4">
        <f>1/ZAR!C285</f>
        <v>0.13529785823490414</v>
      </c>
    </row>
    <row r="286" spans="1:27" x14ac:dyDescent="0.25">
      <c r="A286" t="str">
        <f>"29/07/2010"</f>
        <v>29/07/2010</v>
      </c>
      <c r="B286" s="3">
        <f>AUD!B286</f>
        <v>0.8962</v>
      </c>
      <c r="C286" s="3">
        <f>AUD!C286</f>
        <v>0.89290000000000003</v>
      </c>
      <c r="D286" s="3">
        <f>1/CAD!B286</f>
        <v>0.96571704490584254</v>
      </c>
      <c r="E286" s="3">
        <f>1/CAD!C286</f>
        <v>0.96534414518775935</v>
      </c>
      <c r="F286" s="3">
        <f>EUR!B286/1</f>
        <v>1.3011999999999999</v>
      </c>
      <c r="G286" s="3">
        <f>EUR!C286/1</f>
        <v>1.3010999999999999</v>
      </c>
      <c r="H286" s="3">
        <f>GBP!B286/1</f>
        <v>1.5617000000000001</v>
      </c>
      <c r="I286" s="3">
        <f>GBP!C286/1</f>
        <v>1.5615000000000001</v>
      </c>
      <c r="J286" s="4">
        <f>1/INR!B286</f>
        <v>2.1424745581146227E-2</v>
      </c>
      <c r="K286" s="4">
        <f>1/INR!C286</f>
        <v>2.1331058020477814E-2</v>
      </c>
      <c r="L286" s="4">
        <f>1/JPY!B286</f>
        <v>1.1462631820265934E-2</v>
      </c>
      <c r="M286" s="4">
        <f>1/JPY!C286</f>
        <v>1.1465260261407935E-2</v>
      </c>
      <c r="N286" s="5">
        <f>1/KRW!B286</f>
        <v>8.4299262381454167E-4</v>
      </c>
      <c r="O286" s="5">
        <f>1/KRW!C286</f>
        <v>8.4296391507509454E-4</v>
      </c>
      <c r="P286" s="3">
        <f>1/NOK!B286</f>
        <v>0.16240621041348621</v>
      </c>
      <c r="Q286" s="3">
        <f>1/NOK!C286</f>
        <v>0.16212973621491916</v>
      </c>
      <c r="R286" s="3">
        <f>NZD!B286/1</f>
        <v>0.7238</v>
      </c>
      <c r="S286" s="3">
        <f>NZD!C286/1</f>
        <v>0.7218</v>
      </c>
      <c r="T286" s="4">
        <f>1/PHP!B286</f>
        <v>2.1838829438742085E-2</v>
      </c>
      <c r="U286" s="4">
        <f>1/PHP!C286</f>
        <v>2.1764348690983249E-2</v>
      </c>
      <c r="V286" s="4">
        <f>1/TWD!B286</f>
        <v>3.1216832115876881E-2</v>
      </c>
      <c r="W286" s="4">
        <f>1/TWD!C286</f>
        <v>3.1216832115876881E-2</v>
      </c>
      <c r="X286" s="4">
        <f>1/TWD!B286</f>
        <v>3.1216832115876881E-2</v>
      </c>
      <c r="Y286" s="4">
        <f>1/TWD!C286</f>
        <v>3.1216832115876881E-2</v>
      </c>
      <c r="Z286" s="4">
        <f>1/ZAR!B286</f>
        <v>0.1356391997287216</v>
      </c>
      <c r="AA286" s="4">
        <f>1/ZAR!C286</f>
        <v>0.13489633216872834</v>
      </c>
    </row>
    <row r="287" spans="1:27" x14ac:dyDescent="0.25">
      <c r="A287" t="str">
        <f>"30/07/2010"</f>
        <v>30/07/2010</v>
      </c>
      <c r="B287" s="3">
        <f>AUD!B287</f>
        <v>0.89890000000000003</v>
      </c>
      <c r="C287" s="3">
        <f>AUD!C287</f>
        <v>0.8952</v>
      </c>
      <c r="D287" s="3">
        <f>1/CAD!B287</f>
        <v>0.96515780330083967</v>
      </c>
      <c r="E287" s="3">
        <f>1/CAD!C287</f>
        <v>0.964785335262904</v>
      </c>
      <c r="F287" s="3">
        <f>EUR!B287/1</f>
        <v>1.3059000000000001</v>
      </c>
      <c r="G287" s="3">
        <f>EUR!C287/1</f>
        <v>1.3058000000000001</v>
      </c>
      <c r="H287" s="3">
        <f>GBP!B287/1</f>
        <v>1.5609</v>
      </c>
      <c r="I287" s="3">
        <f>GBP!C287/1</f>
        <v>1.5607</v>
      </c>
      <c r="J287" s="4">
        <f>1/INR!B287</f>
        <v>2.1523891519586742E-2</v>
      </c>
      <c r="K287" s="4">
        <f>1/INR!C287</f>
        <v>2.1427040925648167E-2</v>
      </c>
      <c r="L287" s="4">
        <f>1/JPY!B287</f>
        <v>1.1570257496080575E-2</v>
      </c>
      <c r="M287" s="4">
        <f>1/JPY!C287</f>
        <v>1.1573216798755647E-2</v>
      </c>
      <c r="N287" s="5">
        <f>1/KRW!B287</f>
        <v>8.449514152936206E-4</v>
      </c>
      <c r="O287" s="5">
        <f>1/KRW!C287</f>
        <v>8.4492435772441253E-4</v>
      </c>
      <c r="P287" s="3">
        <f>1/NOK!B287</f>
        <v>0.16366344249684947</v>
      </c>
      <c r="Q287" s="3">
        <f>1/NOK!C287</f>
        <v>0.16339602294080163</v>
      </c>
      <c r="R287" s="3">
        <f>NZD!B287/1</f>
        <v>0.72160000000000002</v>
      </c>
      <c r="S287" s="3">
        <f>NZD!C287/1</f>
        <v>0.71989999999999998</v>
      </c>
      <c r="T287" s="4">
        <f>1/PHP!B287</f>
        <v>2.1932229411119639E-2</v>
      </c>
      <c r="U287" s="4">
        <f>1/PHP!C287</f>
        <v>2.1856633597580034E-2</v>
      </c>
      <c r="V287" s="4">
        <f>1/TWD!B287</f>
        <v>3.127149915566952E-2</v>
      </c>
      <c r="W287" s="4">
        <f>1/TWD!C287</f>
        <v>3.127149915566952E-2</v>
      </c>
      <c r="X287" s="4">
        <f>1/TWD!B287</f>
        <v>3.127149915566952E-2</v>
      </c>
      <c r="Y287" s="4">
        <f>1/TWD!C287</f>
        <v>3.127149915566952E-2</v>
      </c>
      <c r="Z287" s="4">
        <f>1/ZAR!B287</f>
        <v>0.13573125212080081</v>
      </c>
      <c r="AA287" s="4">
        <f>1/ZAR!C287</f>
        <v>0.13501471660410985</v>
      </c>
    </row>
    <row r="288" spans="1:27" x14ac:dyDescent="0.25">
      <c r="A288" t="str">
        <f>"02/08/2010"</f>
        <v>02/08/2010</v>
      </c>
      <c r="B288" s="3">
        <f>AUD!B288</f>
        <v>0.90880000000000005</v>
      </c>
      <c r="C288" s="3">
        <f>AUD!C288</f>
        <v>0.9052</v>
      </c>
      <c r="D288" s="3">
        <f>1/CAD!B288</f>
        <v>0.97352024922118385</v>
      </c>
      <c r="E288" s="3">
        <f>1/CAD!C288</f>
        <v>0.97314130011677691</v>
      </c>
      <c r="F288" s="3">
        <f>EUR!B288/1</f>
        <v>1.3076000000000001</v>
      </c>
      <c r="G288" s="3">
        <f>EUR!C288/1</f>
        <v>1.3076000000000001</v>
      </c>
      <c r="H288" s="3">
        <f>GBP!B288/1</f>
        <v>1.5714999999999999</v>
      </c>
      <c r="I288" s="3">
        <f>GBP!C288/1</f>
        <v>1.5712999999999999</v>
      </c>
      <c r="J288" s="4">
        <f>1/INR!B288</f>
        <v>2.1654395842355997E-2</v>
      </c>
      <c r="K288" s="4">
        <f>1/INR!C288</f>
        <v>2.1536639207451677E-2</v>
      </c>
      <c r="L288" s="4">
        <f>1/JPY!B288</f>
        <v>1.156737998843262E-2</v>
      </c>
      <c r="M288" s="4">
        <f>1/JPY!C288</f>
        <v>1.1570377981107887E-2</v>
      </c>
      <c r="N288" s="5">
        <f>1/KRW!B288</f>
        <v>8.5251491901108269E-4</v>
      </c>
      <c r="O288" s="5">
        <f>1/KRW!C288</f>
        <v>8.5248388656269719E-4</v>
      </c>
      <c r="P288" s="3">
        <f>1/NOK!B288</f>
        <v>0.16488046166529266</v>
      </c>
      <c r="Q288" s="3">
        <f>1/NOK!C288</f>
        <v>0.16456571108843762</v>
      </c>
      <c r="R288" s="3">
        <f>NZD!B288/1</f>
        <v>0.72809999999999997</v>
      </c>
      <c r="S288" s="3">
        <f>NZD!C288/1</f>
        <v>0.72609999999999997</v>
      </c>
      <c r="T288" s="4">
        <f>1/PHP!B288</f>
        <v>2.2060445621001547E-2</v>
      </c>
      <c r="U288" s="4">
        <f>1/PHP!C288</f>
        <v>2.1983771579819775E-2</v>
      </c>
      <c r="V288" s="4">
        <f>1/TWD!B288</f>
        <v>3.1440608690184238E-2</v>
      </c>
      <c r="W288" s="4">
        <f>1/TWD!C288</f>
        <v>3.1440707541682517E-2</v>
      </c>
      <c r="X288" s="4">
        <f>1/TWD!B288</f>
        <v>3.1440608690184238E-2</v>
      </c>
      <c r="Y288" s="4">
        <f>1/TWD!C288</f>
        <v>3.1440707541682517E-2</v>
      </c>
      <c r="Z288" s="4">
        <f>1/ZAR!B288</f>
        <v>0.1371046245389857</v>
      </c>
      <c r="AA288" s="4">
        <f>1/ZAR!C288</f>
        <v>0.13636797534467004</v>
      </c>
    </row>
    <row r="289" spans="1:27" x14ac:dyDescent="0.25">
      <c r="A289" t="str">
        <f>"03/08/2010"</f>
        <v>03/08/2010</v>
      </c>
      <c r="B289" s="3">
        <f>AUD!B289</f>
        <v>0.90959999999999996</v>
      </c>
      <c r="C289" s="3">
        <f>AUD!C289</f>
        <v>0.90610000000000002</v>
      </c>
      <c r="D289" s="3">
        <f>1/CAD!B289</f>
        <v>0.9765625</v>
      </c>
      <c r="E289" s="3">
        <f>1/CAD!C289</f>
        <v>0.97618117922686454</v>
      </c>
      <c r="F289" s="3">
        <f>EUR!B289/1</f>
        <v>1.3169</v>
      </c>
      <c r="G289" s="3">
        <f>EUR!C289/1</f>
        <v>1.3168</v>
      </c>
      <c r="H289" s="3">
        <f>GBP!B289/1</f>
        <v>1.5875999999999999</v>
      </c>
      <c r="I289" s="3">
        <f>GBP!C289/1</f>
        <v>1.5872999999999999</v>
      </c>
      <c r="J289" s="4">
        <f>1/INR!B289</f>
        <v>2.1635655560363478E-2</v>
      </c>
      <c r="K289" s="4">
        <f>1/INR!C289</f>
        <v>2.1526208158432893E-2</v>
      </c>
      <c r="L289" s="4">
        <f>1/JPY!B289</f>
        <v>1.1575413821044102E-2</v>
      </c>
      <c r="M289" s="4">
        <f>1/JPY!C289</f>
        <v>1.1578348950596343E-2</v>
      </c>
      <c r="N289" s="5">
        <f>1/KRW!B289</f>
        <v>8.5568818722457532E-4</v>
      </c>
      <c r="O289" s="5">
        <f>1/KRW!C289</f>
        <v>8.5565911978175227E-4</v>
      </c>
      <c r="P289" s="3">
        <f>1/NOK!B289</f>
        <v>0.16712067784146933</v>
      </c>
      <c r="Q289" s="3">
        <f>1/NOK!C289</f>
        <v>0.1668168017882761</v>
      </c>
      <c r="R289" s="3">
        <f>NZD!B289/1</f>
        <v>0.73229999999999995</v>
      </c>
      <c r="S289" s="3">
        <f>NZD!C289/1</f>
        <v>0.73040000000000005</v>
      </c>
      <c r="T289" s="4">
        <f>1/PHP!B289</f>
        <v>2.2114108801415303E-2</v>
      </c>
      <c r="U289" s="4">
        <f>1/PHP!C289</f>
        <v>2.2030750521578019E-2</v>
      </c>
      <c r="V289" s="4">
        <f>1/TWD!B289</f>
        <v>3.1464350890441133E-2</v>
      </c>
      <c r="W289" s="4">
        <f>1/TWD!C289</f>
        <v>3.1464350890441133E-2</v>
      </c>
      <c r="X289" s="4">
        <f>1/TWD!B289</f>
        <v>3.1464350890441133E-2</v>
      </c>
      <c r="Y289" s="4">
        <f>1/TWD!C289</f>
        <v>3.1464350890441133E-2</v>
      </c>
      <c r="Z289" s="4">
        <f>1/ZAR!B289</f>
        <v>0.13670353105220709</v>
      </c>
      <c r="AA289" s="4">
        <f>1/ZAR!C289</f>
        <v>0.13590464929805249</v>
      </c>
    </row>
    <row r="290" spans="1:27" x14ac:dyDescent="0.25">
      <c r="A290" t="str">
        <f>"04/08/2010"</f>
        <v>04/08/2010</v>
      </c>
      <c r="B290" s="3">
        <f>AUD!B290</f>
        <v>0.91239999999999999</v>
      </c>
      <c r="C290" s="3">
        <f>AUD!C290</f>
        <v>0.90890000000000004</v>
      </c>
      <c r="D290" s="3">
        <f>1/CAD!B290</f>
        <v>0.97589538401483367</v>
      </c>
      <c r="E290" s="3">
        <f>1/CAD!C290</f>
        <v>0.97551458394303003</v>
      </c>
      <c r="F290" s="3">
        <f>EUR!B290/1</f>
        <v>1.3209</v>
      </c>
      <c r="G290" s="3">
        <f>EUR!C290/1</f>
        <v>1.3208</v>
      </c>
      <c r="H290" s="3">
        <f>GBP!B290/1</f>
        <v>1.5928</v>
      </c>
      <c r="I290" s="3">
        <f>GBP!C290/1</f>
        <v>1.5925</v>
      </c>
      <c r="J290" s="4">
        <f>1/INR!B290</f>
        <v>2.1609940572663425E-2</v>
      </c>
      <c r="K290" s="4">
        <f>1/INR!C290</f>
        <v>2.1506532609280069E-2</v>
      </c>
      <c r="L290" s="4">
        <f>1/JPY!B290</f>
        <v>1.1713716762328687E-2</v>
      </c>
      <c r="M290" s="4">
        <f>1/JPY!C290</f>
        <v>1.1716420446090992E-2</v>
      </c>
      <c r="N290" s="5">
        <f>1/KRW!B290</f>
        <v>8.5389804457347801E-4</v>
      </c>
      <c r="O290" s="5">
        <f>1/KRW!C290</f>
        <v>8.5386785916713394E-4</v>
      </c>
      <c r="P290" s="3">
        <f>1/NOK!B290</f>
        <v>0.16723526657301493</v>
      </c>
      <c r="Q290" s="3">
        <f>1/NOK!C290</f>
        <v>0.1669449081803005</v>
      </c>
      <c r="R290" s="3">
        <f>NZD!B290/1</f>
        <v>0.73409999999999997</v>
      </c>
      <c r="S290" s="3">
        <f>NZD!C290/1</f>
        <v>0.73209999999999997</v>
      </c>
      <c r="T290" s="4">
        <f>1/PHP!B290</f>
        <v>2.2126341409447949E-2</v>
      </c>
      <c r="U290" s="4">
        <f>1/PHP!C290</f>
        <v>2.2044008658886602E-2</v>
      </c>
      <c r="V290" s="4">
        <f>1/TWD!B290</f>
        <v>3.1447529796534486E-2</v>
      </c>
      <c r="W290" s="4">
        <f>1/TWD!C290</f>
        <v>3.144762869155851E-2</v>
      </c>
      <c r="X290" s="4">
        <f>1/TWD!B290</f>
        <v>3.1447529796534486E-2</v>
      </c>
      <c r="Y290" s="4">
        <f>1/TWD!C290</f>
        <v>3.144762869155851E-2</v>
      </c>
      <c r="Z290" s="4">
        <f>1/ZAR!B290</f>
        <v>0.13699568463593398</v>
      </c>
      <c r="AA290" s="4">
        <f>1/ZAR!C290</f>
        <v>0.13621194578764559</v>
      </c>
    </row>
    <row r="291" spans="1:27" x14ac:dyDescent="0.25">
      <c r="A291" t="str">
        <f>"05/08/2010"</f>
        <v>05/08/2010</v>
      </c>
      <c r="B291" s="3">
        <f>AUD!B291</f>
        <v>0.91500000000000004</v>
      </c>
      <c r="C291" s="3">
        <f>AUD!C291</f>
        <v>0.91159999999999997</v>
      </c>
      <c r="D291" s="3">
        <f>1/CAD!B291</f>
        <v>0.98280098280098271</v>
      </c>
      <c r="E291" s="3">
        <f>1/CAD!C291</f>
        <v>0.98241477551822376</v>
      </c>
      <c r="F291" s="3">
        <f>EUR!B291/1</f>
        <v>1.3149999999999999</v>
      </c>
      <c r="G291" s="3">
        <f>EUR!C291/1</f>
        <v>1.3149</v>
      </c>
      <c r="H291" s="3">
        <f>GBP!B291/1</f>
        <v>1.5881000000000001</v>
      </c>
      <c r="I291" s="3">
        <f>GBP!C291/1</f>
        <v>1.5878000000000001</v>
      </c>
      <c r="J291" s="4">
        <f>1/INR!B291</f>
        <v>2.1630975556997622E-2</v>
      </c>
      <c r="K291" s="4">
        <f>1/INR!C291</f>
        <v>2.1527366664872719E-2</v>
      </c>
      <c r="L291" s="4">
        <f>1/JPY!B291</f>
        <v>1.1621150493898896E-2</v>
      </c>
      <c r="M291" s="4">
        <f>1/JPY!C291</f>
        <v>1.1623554901536865E-2</v>
      </c>
      <c r="N291" s="5">
        <f>1/KRW!B291</f>
        <v>8.5440874914559123E-4</v>
      </c>
      <c r="O291" s="5">
        <f>1/KRW!C291</f>
        <v>8.543769947032898E-4</v>
      </c>
      <c r="P291" s="3">
        <f>1/NOK!B291</f>
        <v>0.16668611337989434</v>
      </c>
      <c r="Q291" s="3">
        <f>1/NOK!C291</f>
        <v>0.16640042598509053</v>
      </c>
      <c r="R291" s="3">
        <f>NZD!B291/1</f>
        <v>0.72929999999999995</v>
      </c>
      <c r="S291" s="3">
        <f>NZD!C291/1</f>
        <v>0.72729999999999995</v>
      </c>
      <c r="T291" s="4">
        <f>1/PHP!B291</f>
        <v>2.211044165607208E-2</v>
      </c>
      <c r="U291" s="4">
        <f>1/PHP!C291</f>
        <v>2.2032061055247597E-2</v>
      </c>
      <c r="V291" s="4">
        <f>1/TWD!B291</f>
        <v>3.1407035175879394E-2</v>
      </c>
      <c r="W291" s="4">
        <f>1/TWD!C291</f>
        <v>3.1407133816375055E-2</v>
      </c>
      <c r="X291" s="4">
        <f>1/TWD!B291</f>
        <v>3.1407035175879394E-2</v>
      </c>
      <c r="Y291" s="4">
        <f>1/TWD!C291</f>
        <v>3.1407133816375055E-2</v>
      </c>
      <c r="Z291" s="4">
        <f>1/ZAR!B291</f>
        <v>0.13721750346474196</v>
      </c>
      <c r="AA291" s="4">
        <f>1/ZAR!C291</f>
        <v>0.13645729568931403</v>
      </c>
    </row>
    <row r="292" spans="1:27" x14ac:dyDescent="0.25">
      <c r="A292" t="str">
        <f>"06/08/2010"</f>
        <v>06/08/2010</v>
      </c>
      <c r="B292" s="3">
        <f>AUD!B292</f>
        <v>0.91510000000000002</v>
      </c>
      <c r="C292" s="3">
        <f>AUD!C292</f>
        <v>0.91180000000000005</v>
      </c>
      <c r="D292" s="3">
        <f>1/CAD!B292</f>
        <v>0.98367106039740315</v>
      </c>
      <c r="E292" s="3">
        <f>1/CAD!C292</f>
        <v>0.98328416912487715</v>
      </c>
      <c r="F292" s="3">
        <f>EUR!B292/1</f>
        <v>1.319</v>
      </c>
      <c r="G292" s="3">
        <f>EUR!C292/1</f>
        <v>1.3189</v>
      </c>
      <c r="H292" s="3">
        <f>GBP!B292/1</f>
        <v>1.5883</v>
      </c>
      <c r="I292" s="3">
        <f>GBP!C292/1</f>
        <v>1.5880000000000001</v>
      </c>
      <c r="J292" s="4">
        <f>1/INR!B292</f>
        <v>2.1710811984368215E-2</v>
      </c>
      <c r="K292" s="4">
        <f>1/INR!C292</f>
        <v>2.1602937999567941E-2</v>
      </c>
      <c r="L292" s="4">
        <f>1/JPY!B292</f>
        <v>1.1617100371747213E-2</v>
      </c>
      <c r="M292" s="4">
        <f>1/JPY!C292</f>
        <v>1.1619624616407143E-2</v>
      </c>
      <c r="N292" s="5">
        <f>1/KRW!B292</f>
        <v>8.5866391894212613E-4</v>
      </c>
      <c r="O292" s="5">
        <f>1/KRW!C292</f>
        <v>8.5863265840227011E-4</v>
      </c>
      <c r="P292" s="3">
        <f>1/NOK!B292</f>
        <v>0.16715699384862262</v>
      </c>
      <c r="Q292" s="3">
        <f>1/NOK!C292</f>
        <v>0.16687804552433083</v>
      </c>
      <c r="R292" s="3">
        <f>NZD!B292/1</f>
        <v>0.72809999999999997</v>
      </c>
      <c r="S292" s="3">
        <f>NZD!C292/1</f>
        <v>0.72619999999999996</v>
      </c>
      <c r="T292" s="4">
        <f>1/PHP!B292</f>
        <v>2.2284122562674095E-2</v>
      </c>
      <c r="U292" s="4">
        <f>1/PHP!C292</f>
        <v>2.2206924118940288E-2</v>
      </c>
      <c r="V292" s="4">
        <f>1/TWD!B292</f>
        <v>3.1486146095717885E-2</v>
      </c>
      <c r="W292" s="4">
        <f>1/TWD!C292</f>
        <v>3.1486245233769632E-2</v>
      </c>
      <c r="X292" s="4">
        <f>1/TWD!B292</f>
        <v>3.1486146095717885E-2</v>
      </c>
      <c r="Y292" s="4">
        <f>1/TWD!C292</f>
        <v>3.1486245233769632E-2</v>
      </c>
      <c r="Z292" s="4">
        <f>1/ZAR!B292</f>
        <v>0.13774104683195593</v>
      </c>
      <c r="AA292" s="4">
        <f>1/ZAR!C292</f>
        <v>0.13700131521262604</v>
      </c>
    </row>
    <row r="293" spans="1:27" x14ac:dyDescent="0.25">
      <c r="A293" t="str">
        <f>"09/08/2010"</f>
        <v>09/08/2010</v>
      </c>
      <c r="B293" s="3">
        <f>AUD!B293</f>
        <v>0.91759999999999997</v>
      </c>
      <c r="C293" s="3">
        <f>AUD!C293</f>
        <v>0.91420000000000001</v>
      </c>
      <c r="D293" s="3">
        <f>1/CAD!B293</f>
        <v>0.97276264591439687</v>
      </c>
      <c r="E293" s="3">
        <f>1/CAD!C293</f>
        <v>0.9723842862699339</v>
      </c>
      <c r="F293" s="3">
        <f>EUR!B293/1</f>
        <v>1.3277000000000001</v>
      </c>
      <c r="G293" s="3">
        <f>EUR!C293/1</f>
        <v>1.3275999999999999</v>
      </c>
      <c r="H293" s="3">
        <f>GBP!B293/1</f>
        <v>1.5971</v>
      </c>
      <c r="I293" s="3">
        <f>GBP!C293/1</f>
        <v>1.5968</v>
      </c>
      <c r="J293" s="4">
        <f>1/INR!B293</f>
        <v>2.1701388888888888E-2</v>
      </c>
      <c r="K293" s="4">
        <f>1/INR!C293</f>
        <v>2.1598272138228944E-2</v>
      </c>
      <c r="L293" s="4">
        <f>1/JPY!B293</f>
        <v>1.1702750146284377E-2</v>
      </c>
      <c r="M293" s="4">
        <f>1/JPY!C293</f>
        <v>1.1705640597034493E-2</v>
      </c>
      <c r="N293" s="5">
        <f>1/KRW!B293</f>
        <v>8.6303616121515491E-4</v>
      </c>
      <c r="O293" s="5">
        <f>1/KRW!C293</f>
        <v>8.6300465599641963E-4</v>
      </c>
      <c r="P293" s="3">
        <f>1/NOK!B293</f>
        <v>0.16763616247296867</v>
      </c>
      <c r="Q293" s="3">
        <f>1/NOK!C293</f>
        <v>0.16733601070950468</v>
      </c>
      <c r="R293" s="3">
        <f>NZD!B293/1</f>
        <v>0.73180000000000001</v>
      </c>
      <c r="S293" s="3">
        <f>NZD!C293/1</f>
        <v>0.72970000000000002</v>
      </c>
      <c r="T293" s="4">
        <f>1/PHP!B293</f>
        <v>2.2266755733689605E-2</v>
      </c>
      <c r="U293" s="4">
        <f>1/PHP!C293</f>
        <v>2.2180867227546863E-2</v>
      </c>
      <c r="V293" s="4">
        <f>1/TWD!B293</f>
        <v>3.1550717778829465E-2</v>
      </c>
      <c r="W293" s="4">
        <f>1/TWD!C293</f>
        <v>3.1550817323922772E-2</v>
      </c>
      <c r="X293" s="4">
        <f>1/TWD!B293</f>
        <v>3.1550717778829465E-2</v>
      </c>
      <c r="Y293" s="4">
        <f>1/TWD!C293</f>
        <v>3.1550817323922772E-2</v>
      </c>
      <c r="Z293" s="4">
        <f>1/ZAR!B293</f>
        <v>0.13791962044520453</v>
      </c>
      <c r="AA293" s="4">
        <f>1/ZAR!C293</f>
        <v>0.13714223020694763</v>
      </c>
    </row>
    <row r="294" spans="1:27" x14ac:dyDescent="0.25">
      <c r="A294" t="str">
        <f>"10/08/2010"</f>
        <v>10/08/2010</v>
      </c>
      <c r="B294" s="3">
        <f>AUD!B294</f>
        <v>0.91239999999999999</v>
      </c>
      <c r="C294" s="3">
        <f>AUD!C294</f>
        <v>0.90890000000000004</v>
      </c>
      <c r="D294" s="3">
        <f>1/CAD!B294</f>
        <v>0.97106234220236931</v>
      </c>
      <c r="E294" s="3">
        <f>1/CAD!C294</f>
        <v>0.97059108997379406</v>
      </c>
      <c r="F294" s="3">
        <f>EUR!B294/1</f>
        <v>1.3154999999999999</v>
      </c>
      <c r="G294" s="3">
        <f>EUR!C294/1</f>
        <v>1.3152999999999999</v>
      </c>
      <c r="H294" s="3">
        <f>GBP!B294/1</f>
        <v>1.5809</v>
      </c>
      <c r="I294" s="3">
        <f>GBP!C294/1</f>
        <v>1.5806</v>
      </c>
      <c r="J294" s="4">
        <f>1/INR!B294</f>
        <v>2.162629757785467E-2</v>
      </c>
      <c r="K294" s="4">
        <f>1/INR!C294</f>
        <v>2.1522733387140166E-2</v>
      </c>
      <c r="L294" s="4">
        <f>1/JPY!B294</f>
        <v>1.1652295502213937E-2</v>
      </c>
      <c r="M294" s="4">
        <f>1/JPY!C294</f>
        <v>1.1655133911661078E-2</v>
      </c>
      <c r="N294" s="5">
        <f>1/KRW!B294</f>
        <v>8.5499316005471966E-4</v>
      </c>
      <c r="O294" s="5">
        <f>1/KRW!C294</f>
        <v>8.5496245859844288E-4</v>
      </c>
      <c r="P294" s="3">
        <f>1/NOK!B294</f>
        <v>0.16606606107909727</v>
      </c>
      <c r="Q294" s="3">
        <f>1/NOK!C294</f>
        <v>0.16577150056362311</v>
      </c>
      <c r="R294" s="3">
        <f>NZD!B294/1</f>
        <v>0.72399999999999998</v>
      </c>
      <c r="S294" s="3">
        <f>NZD!C294/1</f>
        <v>0.72199999999999998</v>
      </c>
      <c r="T294" s="4">
        <f>1/PHP!B294</f>
        <v>2.2192632046160673E-2</v>
      </c>
      <c r="U294" s="4">
        <f>1/PHP!C294</f>
        <v>2.2112641797315525E-2</v>
      </c>
      <c r="V294" s="4">
        <f>1/TWD!B294</f>
        <v>3.1473758753639156E-2</v>
      </c>
      <c r="W294" s="4">
        <f>1/TWD!C294</f>
        <v>3.1473857813699942E-2</v>
      </c>
      <c r="X294" s="4">
        <f>1/TWD!B294</f>
        <v>3.1473758753639156E-2</v>
      </c>
      <c r="Y294" s="4">
        <f>1/TWD!C294</f>
        <v>3.1473857813699942E-2</v>
      </c>
      <c r="Z294" s="4">
        <f>1/ZAR!B294</f>
        <v>0.13792532722783885</v>
      </c>
      <c r="AA294" s="4">
        <f>1/ZAR!C294</f>
        <v>0.1371478728364923</v>
      </c>
    </row>
    <row r="295" spans="1:27" x14ac:dyDescent="0.25">
      <c r="A295" t="str">
        <f>"11/08/2010"</f>
        <v>11/08/2010</v>
      </c>
      <c r="B295" s="3">
        <f>AUD!B295</f>
        <v>0.90790000000000004</v>
      </c>
      <c r="C295" s="3">
        <f>AUD!C295</f>
        <v>0.90459999999999996</v>
      </c>
      <c r="D295" s="3">
        <f>1/CAD!B295</f>
        <v>0.96842920782490804</v>
      </c>
      <c r="E295" s="3">
        <f>1/CAD!C295</f>
        <v>0.96805421103581812</v>
      </c>
      <c r="F295" s="3">
        <f>EUR!B295/1</f>
        <v>1.3118000000000001</v>
      </c>
      <c r="G295" s="3">
        <f>EUR!C295/1</f>
        <v>1.3117000000000001</v>
      </c>
      <c r="H295" s="3">
        <f>GBP!B295/1</f>
        <v>1.581</v>
      </c>
      <c r="I295" s="3">
        <f>GBP!C295/1</f>
        <v>1.5807</v>
      </c>
      <c r="J295" s="4">
        <f>1/INR!B295</f>
        <v>2.1505376344086023E-2</v>
      </c>
      <c r="K295" s="4">
        <f>1/INR!C295</f>
        <v>2.1404109589041095E-2</v>
      </c>
      <c r="L295" s="4">
        <f>1/JPY!B295</f>
        <v>1.172607879924953E-2</v>
      </c>
      <c r="M295" s="4">
        <f>1/JPY!C295</f>
        <v>1.172896702987368E-2</v>
      </c>
      <c r="N295" s="5">
        <f>1/KRW!B295</f>
        <v>8.4968986319993193E-4</v>
      </c>
      <c r="O295" s="5">
        <f>1/KRW!C295</f>
        <v>8.4966538902482124E-4</v>
      </c>
      <c r="P295" s="3">
        <f>1/NOK!B295</f>
        <v>0.16485056296467254</v>
      </c>
      <c r="Q295" s="3">
        <f>1/NOK!C295</f>
        <v>0.16456841932033242</v>
      </c>
      <c r="R295" s="3">
        <f>NZD!B295/1</f>
        <v>0.71940000000000004</v>
      </c>
      <c r="S295" s="3">
        <f>NZD!C295/1</f>
        <v>0.71740000000000004</v>
      </c>
      <c r="T295" s="4">
        <f>1/PHP!B295</f>
        <v>2.2222222222222223E-2</v>
      </c>
      <c r="U295" s="4">
        <f>1/PHP!C295</f>
        <v>2.2142460160178557E-2</v>
      </c>
      <c r="V295" s="4">
        <f>1/TWD!B295</f>
        <v>3.1446540880503145E-2</v>
      </c>
      <c r="W295" s="4">
        <f>1/TWD!C295</f>
        <v>3.144663976930745E-2</v>
      </c>
      <c r="X295" s="4">
        <f>1/TWD!B295</f>
        <v>3.1446540880503145E-2</v>
      </c>
      <c r="Y295" s="4">
        <f>1/TWD!C295</f>
        <v>3.144663976930745E-2</v>
      </c>
      <c r="Z295" s="4">
        <f>1/ZAR!B295</f>
        <v>0.13783597518952448</v>
      </c>
      <c r="AA295" s="4">
        <f>1/ZAR!C295</f>
        <v>0.13707831284012556</v>
      </c>
    </row>
    <row r="296" spans="1:27" x14ac:dyDescent="0.25">
      <c r="A296" t="str">
        <f>"12/08/2010"</f>
        <v>12/08/2010</v>
      </c>
      <c r="B296" s="3">
        <f>AUD!B296</f>
        <v>0.89600000000000002</v>
      </c>
      <c r="C296" s="3">
        <f>AUD!C296</f>
        <v>0.89270000000000005</v>
      </c>
      <c r="D296" s="3">
        <f>1/CAD!B296</f>
        <v>0.95538358650998378</v>
      </c>
      <c r="E296" s="3">
        <f>1/CAD!C296</f>
        <v>0.95501862286314587</v>
      </c>
      <c r="F296" s="3">
        <f>EUR!B296/1</f>
        <v>1.2884</v>
      </c>
      <c r="G296" s="3">
        <f>EUR!C296/1</f>
        <v>1.2883</v>
      </c>
      <c r="H296" s="3">
        <f>GBP!B296/1</f>
        <v>1.5687</v>
      </c>
      <c r="I296" s="3">
        <f>GBP!C296/1</f>
        <v>1.5684</v>
      </c>
      <c r="J296" s="4">
        <f>1/INR!B296</f>
        <v>2.1308331557639035E-2</v>
      </c>
      <c r="K296" s="4">
        <f>1/INR!C296</f>
        <v>2.1207783256455118E-2</v>
      </c>
      <c r="L296" s="4">
        <f>1/JPY!B296</f>
        <v>1.1716461628588167E-2</v>
      </c>
      <c r="M296" s="4">
        <f>1/JPY!C296</f>
        <v>1.1719276451871862E-2</v>
      </c>
      <c r="N296" s="5">
        <f>1/KRW!B296</f>
        <v>8.4081306623504928E-4</v>
      </c>
      <c r="O296" s="5">
        <f>1/KRW!C296</f>
        <v>8.4078832313176839E-4</v>
      </c>
      <c r="P296" s="3">
        <f>1/NOK!B296</f>
        <v>0.16133716240198767</v>
      </c>
      <c r="Q296" s="3">
        <f>1/NOK!C296</f>
        <v>0.16107209587011145</v>
      </c>
      <c r="R296" s="3">
        <f>NZD!B296/1</f>
        <v>0.71319999999999995</v>
      </c>
      <c r="S296" s="3">
        <f>NZD!C296/1</f>
        <v>0.71140000000000003</v>
      </c>
      <c r="T296" s="4">
        <f>1/PHP!B296</f>
        <v>2.2002200220022E-2</v>
      </c>
      <c r="U296" s="4">
        <f>1/PHP!C296</f>
        <v>2.1921363684192063E-2</v>
      </c>
      <c r="V296" s="4">
        <f>1/TWD!B296</f>
        <v>3.1308703819661866E-2</v>
      </c>
      <c r="W296" s="4">
        <f>1/TWD!C296</f>
        <v>3.1308801843462249E-2</v>
      </c>
      <c r="X296" s="4">
        <f>1/TWD!B296</f>
        <v>3.1308703819661866E-2</v>
      </c>
      <c r="Y296" s="4">
        <f>1/TWD!C296</f>
        <v>3.1308801843462249E-2</v>
      </c>
      <c r="Z296" s="4">
        <f>1/ZAR!B296</f>
        <v>0.13679890560875513</v>
      </c>
      <c r="AA296" s="4">
        <f>1/ZAR!C296</f>
        <v>0.13606738056685669</v>
      </c>
    </row>
    <row r="297" spans="1:27" x14ac:dyDescent="0.25">
      <c r="A297" t="str">
        <f>"13/08/2010"</f>
        <v>13/08/2010</v>
      </c>
      <c r="B297" s="3">
        <f>AUD!B297</f>
        <v>0.90129999999999999</v>
      </c>
      <c r="C297" s="3">
        <f>AUD!C297</f>
        <v>0.89800000000000002</v>
      </c>
      <c r="D297" s="3">
        <f>1/CAD!B297</f>
        <v>0.9613535858488752</v>
      </c>
      <c r="E297" s="3">
        <f>1/CAD!C297</f>
        <v>0.96089170750456432</v>
      </c>
      <c r="F297" s="3">
        <f>EUR!B297/1</f>
        <v>1.2861</v>
      </c>
      <c r="G297" s="3">
        <f>EUR!C297/1</f>
        <v>1.286</v>
      </c>
      <c r="H297" s="3">
        <f>GBP!B297/1</f>
        <v>1.5629999999999999</v>
      </c>
      <c r="I297" s="3">
        <f>GBP!C297/1</f>
        <v>1.5627</v>
      </c>
      <c r="J297" s="4">
        <f>1/INR!B297</f>
        <v>2.1454623471358077E-2</v>
      </c>
      <c r="K297" s="4">
        <f>1/INR!C297</f>
        <v>2.135383301302584E-2</v>
      </c>
      <c r="L297" s="4">
        <f>1/JPY!B297</f>
        <v>1.1619665121251205E-2</v>
      </c>
      <c r="M297" s="4">
        <f>1/JPY!C297</f>
        <v>1.1622609229281537E-2</v>
      </c>
      <c r="N297" s="5">
        <f>1/KRW!B297</f>
        <v>8.4459459459459464E-4</v>
      </c>
      <c r="O297" s="5">
        <f>1/KRW!C297</f>
        <v>8.4456456404717378E-4</v>
      </c>
      <c r="P297" s="3">
        <f>1/NOK!B297</f>
        <v>0.16215076778388546</v>
      </c>
      <c r="Q297" s="3">
        <f>1/NOK!C297</f>
        <v>0.16188826471969045</v>
      </c>
      <c r="R297" s="3">
        <f>NZD!B297/1</f>
        <v>0.71440000000000003</v>
      </c>
      <c r="S297" s="3">
        <f>NZD!C297/1</f>
        <v>0.71250000000000002</v>
      </c>
      <c r="T297" s="4">
        <f>1/PHP!B297</f>
        <v>2.211900022119E-2</v>
      </c>
      <c r="U297" s="4">
        <f>1/PHP!C297</f>
        <v>2.2042210833746623E-2</v>
      </c>
      <c r="V297" s="4">
        <f>1/TWD!B297</f>
        <v>3.1339120624275282E-2</v>
      </c>
      <c r="W297" s="4">
        <f>1/TWD!C297</f>
        <v>3.1339218838631229E-2</v>
      </c>
      <c r="X297" s="4">
        <f>1/TWD!B297</f>
        <v>3.1339120624275282E-2</v>
      </c>
      <c r="Y297" s="4">
        <f>1/TWD!C297</f>
        <v>3.1339218838631229E-2</v>
      </c>
      <c r="Z297" s="4">
        <f>1/ZAR!B297</f>
        <v>0.13698630136986301</v>
      </c>
      <c r="AA297" s="4">
        <f>1/ZAR!C297</f>
        <v>0.13626391595241663</v>
      </c>
    </row>
    <row r="298" spans="1:27" x14ac:dyDescent="0.25">
      <c r="A298" t="str">
        <f>"16/08/2010"</f>
        <v>16/08/2010</v>
      </c>
      <c r="B298" s="3">
        <f>AUD!B298</f>
        <v>0.89080000000000004</v>
      </c>
      <c r="C298" s="3">
        <f>AUD!C298</f>
        <v>0.88739999999999997</v>
      </c>
      <c r="D298" s="3">
        <f>1/CAD!B298</f>
        <v>0.96033803898972447</v>
      </c>
      <c r="E298" s="3">
        <f>1/CAD!C298</f>
        <v>0.95987713572662692</v>
      </c>
      <c r="F298" s="3">
        <f>EUR!B298/1</f>
        <v>1.2790999999999999</v>
      </c>
      <c r="G298" s="3">
        <f>EUR!C298/1</f>
        <v>1.2789999999999999</v>
      </c>
      <c r="H298" s="3">
        <f>GBP!B298/1</f>
        <v>1.5585</v>
      </c>
      <c r="I298" s="3">
        <f>GBP!C298/1</f>
        <v>1.5582</v>
      </c>
      <c r="J298" s="4">
        <f>1/INR!B298</f>
        <v>2.1390374331550801E-2</v>
      </c>
      <c r="K298" s="4">
        <f>1/INR!C298</f>
        <v>2.1287919105907396E-2</v>
      </c>
      <c r="L298" s="4">
        <f>1/JPY!B298</f>
        <v>1.1647138298120151E-2</v>
      </c>
      <c r="M298" s="4">
        <f>1/JPY!C298</f>
        <v>1.1650272791137404E-2</v>
      </c>
      <c r="N298" s="5">
        <f>1/KRW!B298</f>
        <v>8.3934866543562193E-4</v>
      </c>
      <c r="O298" s="5">
        <f>1/KRW!C298</f>
        <v>8.3931837276311164E-4</v>
      </c>
      <c r="P298" s="3">
        <f>1/NOK!B298</f>
        <v>0.16120971772178427</v>
      </c>
      <c r="Q298" s="3">
        <f>1/NOK!C298</f>
        <v>0.16092693916961698</v>
      </c>
      <c r="R298" s="3">
        <f>NZD!B298/1</f>
        <v>0.70399999999999996</v>
      </c>
      <c r="S298" s="3">
        <f>NZD!C298/1</f>
        <v>0.70199999999999996</v>
      </c>
      <c r="T298" s="4">
        <f>1/PHP!B298</f>
        <v>2.1997360316761989E-2</v>
      </c>
      <c r="U298" s="4">
        <f>1/PHP!C298</f>
        <v>2.1923141849304707E-2</v>
      </c>
      <c r="V298" s="4">
        <f>1/TWD!B298</f>
        <v>3.1296945418127192E-2</v>
      </c>
      <c r="W298" s="4">
        <f>1/TWD!C298</f>
        <v>3.1297043368312995E-2</v>
      </c>
      <c r="X298" s="4">
        <f>1/TWD!B298</f>
        <v>3.1296945418127192E-2</v>
      </c>
      <c r="Y298" s="4">
        <f>1/TWD!C298</f>
        <v>3.1297043368312995E-2</v>
      </c>
      <c r="Z298" s="4">
        <f>1/ZAR!B298</f>
        <v>0.13633265167007499</v>
      </c>
      <c r="AA298" s="4">
        <f>1/ZAR!C298</f>
        <v>0.13561896495605946</v>
      </c>
    </row>
    <row r="299" spans="1:27" x14ac:dyDescent="0.25">
      <c r="A299" t="str">
        <f>"17/08/2010"</f>
        <v>17/08/2010</v>
      </c>
      <c r="B299" s="3">
        <f>AUD!B299</f>
        <v>0.9002</v>
      </c>
      <c r="C299" s="3">
        <f>AUD!C299</f>
        <v>0.89680000000000004</v>
      </c>
      <c r="D299" s="3">
        <f>1/CAD!B299</f>
        <v>0.95996928098300849</v>
      </c>
      <c r="E299" s="3">
        <f>1/CAD!C299</f>
        <v>0.95950873152945693</v>
      </c>
      <c r="F299" s="3">
        <f>EUR!B299/1</f>
        <v>1.284</v>
      </c>
      <c r="G299" s="3">
        <f>EUR!C299/1</f>
        <v>1.2839</v>
      </c>
      <c r="H299" s="3">
        <f>GBP!B299/1</f>
        <v>1.5664</v>
      </c>
      <c r="I299" s="3">
        <f>GBP!C299/1</f>
        <v>1.5661</v>
      </c>
      <c r="J299" s="4">
        <f>1/INR!B299</f>
        <v>2.1436227224008574E-2</v>
      </c>
      <c r="K299" s="4">
        <f>1/INR!C299</f>
        <v>2.1337885415555317E-2</v>
      </c>
      <c r="L299" s="4">
        <f>1/JPY!B299</f>
        <v>1.1723879197148752E-2</v>
      </c>
      <c r="M299" s="4">
        <f>1/JPY!C299</f>
        <v>1.172697262338241E-2</v>
      </c>
      <c r="N299" s="5">
        <f>1/KRW!B299</f>
        <v>8.5026783436782595E-4</v>
      </c>
      <c r="O299" s="5">
        <f>1/KRW!C299</f>
        <v>8.5023609781082062E-4</v>
      </c>
      <c r="P299" s="3">
        <f>1/NOK!B299</f>
        <v>0.16223231667748217</v>
      </c>
      <c r="Q299" s="3">
        <f>1/NOK!C299</f>
        <v>0.16194594244441204</v>
      </c>
      <c r="R299" s="3">
        <f>NZD!B299/1</f>
        <v>0.70789999999999997</v>
      </c>
      <c r="S299" s="3">
        <f>NZD!C299/1</f>
        <v>0.70589999999999997</v>
      </c>
      <c r="T299" s="4">
        <f>1/PHP!B299</f>
        <v>2.2133687472332891E-2</v>
      </c>
      <c r="U299" s="4">
        <f>1/PHP!C299</f>
        <v>2.2054364007277939E-2</v>
      </c>
      <c r="V299" s="4">
        <f>1/TWD!B299</f>
        <v>3.1344032096288867E-2</v>
      </c>
      <c r="W299" s="4">
        <f>1/TWD!C299</f>
        <v>3.1344032096288867E-2</v>
      </c>
      <c r="X299" s="4">
        <f>1/TWD!B299</f>
        <v>3.1344032096288867E-2</v>
      </c>
      <c r="Y299" s="4">
        <f>1/TWD!C299</f>
        <v>3.1344032096288867E-2</v>
      </c>
      <c r="Z299" s="4">
        <f>1/ZAR!B299</f>
        <v>0.1374570446735395</v>
      </c>
      <c r="AA299" s="4">
        <f>1/ZAR!C299</f>
        <v>0.13668671405139421</v>
      </c>
    </row>
    <row r="300" spans="1:27" x14ac:dyDescent="0.25">
      <c r="A300" t="str">
        <f>"18/08/2010"</f>
        <v>18/08/2010</v>
      </c>
      <c r="B300" s="3">
        <f>AUD!B300</f>
        <v>0.90200000000000002</v>
      </c>
      <c r="C300" s="3">
        <f>AUD!C300</f>
        <v>0.89859999999999995</v>
      </c>
      <c r="D300" s="3">
        <f>1/CAD!B300</f>
        <v>0.967305088024763</v>
      </c>
      <c r="E300" s="3">
        <f>1/CAD!C300</f>
        <v>0.96683747462051628</v>
      </c>
      <c r="F300" s="3">
        <f>EUR!B300/1</f>
        <v>1.2847999999999999</v>
      </c>
      <c r="G300" s="3">
        <f>EUR!C300/1</f>
        <v>1.2847</v>
      </c>
      <c r="H300" s="3">
        <f>GBP!B300/1</f>
        <v>1.5555000000000001</v>
      </c>
      <c r="I300" s="3">
        <f>GBP!C300/1</f>
        <v>1.5551999999999999</v>
      </c>
      <c r="J300" s="4">
        <f>1/INR!B300</f>
        <v>2.1427040925648167E-2</v>
      </c>
      <c r="K300" s="4">
        <f>1/INR!C300</f>
        <v>2.1328783192918845E-2</v>
      </c>
      <c r="L300" s="4">
        <f>1/JPY!B300</f>
        <v>1.1705695406099838E-2</v>
      </c>
      <c r="M300" s="4">
        <f>1/JPY!C300</f>
        <v>1.1708587312106446E-2</v>
      </c>
      <c r="N300" s="5">
        <f>1/KRW!B300</f>
        <v>8.50087133931228E-4</v>
      </c>
      <c r="O300" s="5">
        <f>1/KRW!C300</f>
        <v>8.500614806965913E-4</v>
      </c>
      <c r="P300" s="3">
        <f>1/NOK!B300</f>
        <v>0.16227443853044268</v>
      </c>
      <c r="Q300" s="3">
        <f>1/NOK!C300</f>
        <v>0.16199578810950915</v>
      </c>
      <c r="R300" s="3">
        <f>NZD!B300/1</f>
        <v>0.71089999999999998</v>
      </c>
      <c r="S300" s="3">
        <f>NZD!C300/1</f>
        <v>0.70909999999999995</v>
      </c>
      <c r="T300" s="4">
        <f>1/PHP!B300</f>
        <v>2.2114108801415303E-2</v>
      </c>
      <c r="U300" s="4">
        <f>1/PHP!C300</f>
        <v>2.2035653687666645E-2</v>
      </c>
      <c r="V300" s="4">
        <f>1/TWD!B300</f>
        <v>3.131556696833996E-2</v>
      </c>
      <c r="W300" s="4">
        <f>1/TWD!C300</f>
        <v>3.131556696833996E-2</v>
      </c>
      <c r="X300" s="4">
        <f>1/TWD!B300</f>
        <v>3.131556696833996E-2</v>
      </c>
      <c r="Y300" s="4">
        <f>1/TWD!C300</f>
        <v>3.131556696833996E-2</v>
      </c>
      <c r="Z300" s="4">
        <f>1/ZAR!B300</f>
        <v>0.13731548232063165</v>
      </c>
      <c r="AA300" s="4">
        <f>1/ZAR!C300</f>
        <v>0.13658403332650412</v>
      </c>
    </row>
    <row r="301" spans="1:27" x14ac:dyDescent="0.25">
      <c r="A301" t="str">
        <f>"20/08/2010"</f>
        <v>20/08/2010</v>
      </c>
      <c r="B301" s="3">
        <f>AUD!B301</f>
        <v>0.88929999999999998</v>
      </c>
      <c r="C301" s="3">
        <f>AUD!C301</f>
        <v>0.88600000000000001</v>
      </c>
      <c r="D301" s="3">
        <f>1/CAD!B301</f>
        <v>0.96116878123798544</v>
      </c>
      <c r="E301" s="3">
        <f>1/CAD!C301</f>
        <v>0.96070708041118269</v>
      </c>
      <c r="F301" s="3">
        <f>EUR!B301/1</f>
        <v>1.2801</v>
      </c>
      <c r="G301" s="3">
        <f>EUR!C301/1</f>
        <v>1.28</v>
      </c>
      <c r="H301" s="3">
        <f>GBP!B301/1</f>
        <v>1.5573999999999999</v>
      </c>
      <c r="I301" s="3">
        <f>GBP!C301/1</f>
        <v>1.5570999999999999</v>
      </c>
      <c r="J301" s="4">
        <f>1/INR!B301</f>
        <v>2.1463833440652499E-2</v>
      </c>
      <c r="K301" s="4">
        <f>1/INR!C301</f>
        <v>2.1362956633198035E-2</v>
      </c>
      <c r="L301" s="4">
        <f>1/JPY!B301</f>
        <v>1.1720856091328911E-2</v>
      </c>
      <c r="M301" s="4">
        <f>1/JPY!C301</f>
        <v>1.1723631793551533E-2</v>
      </c>
      <c r="N301" s="5">
        <f>1/KRW!B301</f>
        <v>8.4595211911005848E-4</v>
      </c>
      <c r="O301" s="5">
        <f>1/KRW!C301</f>
        <v>8.4593637543333084E-4</v>
      </c>
      <c r="P301" s="3">
        <f>1/NOK!B301</f>
        <v>0.16121751467079384</v>
      </c>
      <c r="Q301" s="3">
        <f>1/NOK!C301</f>
        <v>0.16095025027763918</v>
      </c>
      <c r="R301" s="3">
        <f>NZD!B301/1</f>
        <v>0.70440000000000003</v>
      </c>
      <c r="S301" s="3">
        <f>NZD!C301/1</f>
        <v>0.7026</v>
      </c>
      <c r="T301" s="4">
        <f>1/PHP!B301</f>
        <v>2.2232103156958651E-2</v>
      </c>
      <c r="U301" s="4">
        <f>1/PHP!C301</f>
        <v>2.2155705869711155E-2</v>
      </c>
      <c r="V301" s="4">
        <f>1/TWD!B301</f>
        <v>3.1321452062517616E-2</v>
      </c>
      <c r="W301" s="4">
        <f>1/TWD!C301</f>
        <v>3.1321452062517616E-2</v>
      </c>
      <c r="X301" s="4">
        <f>1/TWD!B301</f>
        <v>3.1321452062517616E-2</v>
      </c>
      <c r="Y301" s="4">
        <f>1/TWD!C301</f>
        <v>3.1321452062517616E-2</v>
      </c>
      <c r="Z301" s="4">
        <f>1/ZAR!B301</f>
        <v>0.13679890560875513</v>
      </c>
      <c r="AA301" s="4">
        <f>1/ZAR!C301</f>
        <v>0.13608404550650482</v>
      </c>
    </row>
    <row r="302" spans="1:27" x14ac:dyDescent="0.25">
      <c r="A302" t="str">
        <f>"23/08/2010"</f>
        <v>23/08/2010</v>
      </c>
      <c r="B302" s="3">
        <f>AUD!B302</f>
        <v>0.89080000000000004</v>
      </c>
      <c r="C302" s="3">
        <f>AUD!C302</f>
        <v>0.88739999999999997</v>
      </c>
      <c r="D302" s="3">
        <f>1/CAD!B302</f>
        <v>0.9537434430138293</v>
      </c>
      <c r="E302" s="3">
        <f>1/CAD!C302</f>
        <v>0.95328884652049573</v>
      </c>
      <c r="F302" s="3">
        <f>EUR!B302/1</f>
        <v>1.2709999999999999</v>
      </c>
      <c r="G302" s="3">
        <f>EUR!C302/1</f>
        <v>1.2709999999999999</v>
      </c>
      <c r="H302" s="3">
        <f>GBP!B302/1</f>
        <v>1.5558000000000001</v>
      </c>
      <c r="I302" s="3">
        <f>GBP!C302/1</f>
        <v>1.5555000000000001</v>
      </c>
      <c r="J302" s="4">
        <f>1/INR!B302</f>
        <v>2.145002145002145E-2</v>
      </c>
      <c r="K302" s="4">
        <f>1/INR!C302</f>
        <v>2.1343578250893763E-2</v>
      </c>
      <c r="L302" s="4">
        <f>1/JPY!B302</f>
        <v>1.1715089034676664E-2</v>
      </c>
      <c r="M302" s="4">
        <f>1/JPY!C302</f>
        <v>1.1718328872556142E-2</v>
      </c>
      <c r="N302" s="5">
        <f>1/KRW!B302</f>
        <v>8.4509422800642278E-4</v>
      </c>
      <c r="O302" s="5">
        <f>1/KRW!C302</f>
        <v>8.4506966078227769E-4</v>
      </c>
      <c r="P302" s="3">
        <f>1/NOK!B302</f>
        <v>0.16030265140585426</v>
      </c>
      <c r="Q302" s="3">
        <f>1/NOK!C302</f>
        <v>0.16002304331823783</v>
      </c>
      <c r="R302" s="3">
        <f>NZD!B302/1</f>
        <v>0.70620000000000005</v>
      </c>
      <c r="S302" s="3">
        <f>NZD!C302/1</f>
        <v>0.70409999999999995</v>
      </c>
      <c r="T302" s="4">
        <f>1/PHP!B302</f>
        <v>2.220741727737064E-2</v>
      </c>
      <c r="U302" s="4">
        <f>1/PHP!C302</f>
        <v>2.2132462789796935E-2</v>
      </c>
      <c r="V302" s="4">
        <f>1/TWD!B302</f>
        <v>3.1312625250500999E-2</v>
      </c>
      <c r="W302" s="4">
        <f>1/TWD!C302</f>
        <v>3.1312821347829083E-2</v>
      </c>
      <c r="X302" s="4">
        <f>1/TWD!B302</f>
        <v>3.1312625250500999E-2</v>
      </c>
      <c r="Y302" s="4">
        <f>1/TWD!C302</f>
        <v>3.1312821347829083E-2</v>
      </c>
      <c r="Z302" s="4">
        <f>1/ZAR!B302</f>
        <v>0.13677645256592624</v>
      </c>
      <c r="AA302" s="4">
        <f>1/ZAR!C302</f>
        <v>0.13598966478547631</v>
      </c>
    </row>
    <row r="303" spans="1:27" x14ac:dyDescent="0.25">
      <c r="A303" t="str">
        <f>"24/08/2010"</f>
        <v>24/08/2010</v>
      </c>
      <c r="B303" s="3">
        <f>AUD!B303</f>
        <v>0.88719999999999999</v>
      </c>
      <c r="C303" s="3">
        <f>AUD!C303</f>
        <v>0.88380000000000003</v>
      </c>
      <c r="D303" s="3">
        <f>1/CAD!B303</f>
        <v>0.94661113214691406</v>
      </c>
      <c r="E303" s="3">
        <f>1/CAD!C303</f>
        <v>0.94616330778692403</v>
      </c>
      <c r="F303" s="3">
        <f>EUR!B303/1</f>
        <v>1.2639</v>
      </c>
      <c r="G303" s="3">
        <f>EUR!C303/1</f>
        <v>1.2639</v>
      </c>
      <c r="H303" s="3">
        <f>GBP!B303/1</f>
        <v>1.5429999999999999</v>
      </c>
      <c r="I303" s="3">
        <f>GBP!C303/1</f>
        <v>1.5427</v>
      </c>
      <c r="J303" s="4">
        <f>1/INR!B303</f>
        <v>2.137208805300278E-2</v>
      </c>
      <c r="K303" s="4">
        <f>1/INR!C303</f>
        <v>2.1272069772388855E-2</v>
      </c>
      <c r="L303" s="4">
        <f>1/JPY!B303</f>
        <v>1.177301624676242E-2</v>
      </c>
      <c r="M303" s="4">
        <f>1/JPY!C303</f>
        <v>1.1776399153983486E-2</v>
      </c>
      <c r="N303" s="5">
        <f>1/KRW!B303</f>
        <v>8.3941912196759845E-4</v>
      </c>
      <c r="O303" s="5">
        <f>1/KRW!C303</f>
        <v>8.3939143113972645E-4</v>
      </c>
      <c r="P303" s="3">
        <f>1/NOK!B303</f>
        <v>0.15969848925229166</v>
      </c>
      <c r="Q303" s="3">
        <f>1/NOK!C303</f>
        <v>0.15941081761808357</v>
      </c>
      <c r="R303" s="3">
        <f>NZD!B303/1</f>
        <v>0.70320000000000005</v>
      </c>
      <c r="S303" s="3">
        <f>NZD!C303/1</f>
        <v>0.70130000000000003</v>
      </c>
      <c r="T303" s="4">
        <f>1/PHP!B303</f>
        <v>2.2060445621001547E-2</v>
      </c>
      <c r="U303" s="4">
        <f>1/PHP!C303</f>
        <v>2.1979905969962261E-2</v>
      </c>
      <c r="V303" s="4">
        <f>1/TWD!B303</f>
        <v>3.1289111389236547E-2</v>
      </c>
      <c r="W303" s="4">
        <f>1/TWD!C303</f>
        <v>3.1289307192160151E-2</v>
      </c>
      <c r="X303" s="4">
        <f>1/TWD!B303</f>
        <v>3.1289111389236547E-2</v>
      </c>
      <c r="Y303" s="4">
        <f>1/TWD!C303</f>
        <v>3.1289307192160151E-2</v>
      </c>
      <c r="Z303" s="4">
        <f>1/ZAR!B303</f>
        <v>0.13550135501355015</v>
      </c>
      <c r="AA303" s="4">
        <f>1/ZAR!C303</f>
        <v>0.13475454459701655</v>
      </c>
    </row>
    <row r="304" spans="1:27" x14ac:dyDescent="0.25">
      <c r="A304" t="str">
        <f>"25/08/2010"</f>
        <v>25/08/2010</v>
      </c>
      <c r="B304" s="3">
        <f>AUD!B304</f>
        <v>0.88380000000000003</v>
      </c>
      <c r="C304" s="3">
        <f>AUD!C304</f>
        <v>0.88049999999999995</v>
      </c>
      <c r="D304" s="3">
        <f>1/CAD!B304</f>
        <v>0.9424182452172275</v>
      </c>
      <c r="E304" s="3">
        <f>1/CAD!C304</f>
        <v>0.94197437829691022</v>
      </c>
      <c r="F304" s="3">
        <f>EUR!B304/1</f>
        <v>1.2648999999999999</v>
      </c>
      <c r="G304" s="3">
        <f>EUR!C304/1</f>
        <v>1.2647999999999999</v>
      </c>
      <c r="H304" s="3">
        <f>GBP!B304/1</f>
        <v>1.5422</v>
      </c>
      <c r="I304" s="3">
        <f>GBP!C304/1</f>
        <v>1.5419</v>
      </c>
      <c r="J304" s="4">
        <f>1/INR!B304</f>
        <v>2.1321961620469083E-2</v>
      </c>
      <c r="K304" s="4">
        <f>1/INR!C304</f>
        <v>2.1226915729144556E-2</v>
      </c>
      <c r="L304" s="4">
        <f>1/JPY!B304</f>
        <v>1.1866619200189867E-2</v>
      </c>
      <c r="M304" s="4">
        <f>1/JPY!C304</f>
        <v>1.1870140661166834E-2</v>
      </c>
      <c r="N304" s="5">
        <f>1/KRW!B304</f>
        <v>8.3577099874634355E-4</v>
      </c>
      <c r="O304" s="5">
        <f>1/KRW!C304</f>
        <v>8.3574445608915052E-4</v>
      </c>
      <c r="P304" s="3">
        <f>1/NOK!B304</f>
        <v>0.15844345153214817</v>
      </c>
      <c r="Q304" s="3">
        <f>1/NOK!C304</f>
        <v>0.15818029389898605</v>
      </c>
      <c r="R304" s="3">
        <f>NZD!B304/1</f>
        <v>0.70209999999999995</v>
      </c>
      <c r="S304" s="3">
        <f>NZD!C304/1</f>
        <v>0.70030000000000003</v>
      </c>
      <c r="T304" s="4">
        <f>1/PHP!B304</f>
        <v>2.2067747986317998E-2</v>
      </c>
      <c r="U304" s="4">
        <f>1/PHP!C304</f>
        <v>2.1989234070998839E-2</v>
      </c>
      <c r="V304" s="4">
        <f>1/TWD!B304</f>
        <v>3.1208064163779921E-2</v>
      </c>
      <c r="W304" s="4">
        <f>1/TWD!C304</f>
        <v>3.1208064163779921E-2</v>
      </c>
      <c r="X304" s="4">
        <f>1/TWD!B304</f>
        <v>3.1208064163779921E-2</v>
      </c>
      <c r="Y304" s="4">
        <f>1/TWD!C304</f>
        <v>3.1208064163779921E-2</v>
      </c>
      <c r="Z304" s="4">
        <f>1/ZAR!B304</f>
        <v>0.13600816048962938</v>
      </c>
      <c r="AA304" s="4">
        <f>1/ZAR!C304</f>
        <v>0.13527406525620908</v>
      </c>
    </row>
    <row r="305" spans="1:27" x14ac:dyDescent="0.25">
      <c r="A305" t="str">
        <f>"26/08/2010"</f>
        <v>26/08/2010</v>
      </c>
      <c r="B305" s="3">
        <f>AUD!B305</f>
        <v>0.88649999999999995</v>
      </c>
      <c r="C305" s="3">
        <f>AUD!C305</f>
        <v>0.88329999999999997</v>
      </c>
      <c r="D305" s="3">
        <f>1/CAD!B305</f>
        <v>0.94589481649640572</v>
      </c>
      <c r="E305" s="3">
        <f>1/CAD!C305</f>
        <v>0.94544766947149472</v>
      </c>
      <c r="F305" s="3">
        <f>EUR!B305/1</f>
        <v>1.2706999999999999</v>
      </c>
      <c r="G305" s="3">
        <f>EUR!C305/1</f>
        <v>1.2706</v>
      </c>
      <c r="H305" s="3">
        <f>GBP!B305/1</f>
        <v>1.5546</v>
      </c>
      <c r="I305" s="3">
        <f>GBP!C305/1</f>
        <v>1.5543</v>
      </c>
      <c r="J305" s="4">
        <f>1/INR!B305</f>
        <v>2.1358393848782572E-2</v>
      </c>
      <c r="K305" s="4">
        <f>1/INR!C305</f>
        <v>2.126189337160474E-2</v>
      </c>
      <c r="L305" s="4">
        <f>1/JPY!B305</f>
        <v>1.1799410029498525E-2</v>
      </c>
      <c r="M305" s="4">
        <f>1/JPY!C305</f>
        <v>1.1802613098540016E-2</v>
      </c>
      <c r="N305" s="5">
        <f>1/KRW!B305</f>
        <v>8.3864475008386442E-4</v>
      </c>
      <c r="O305" s="5">
        <f>1/KRW!C305</f>
        <v>8.3861359394313002E-4</v>
      </c>
      <c r="P305" s="3">
        <f>1/NOK!B305</f>
        <v>0.15935493123834718</v>
      </c>
      <c r="Q305" s="3">
        <f>1/NOK!C305</f>
        <v>0.1590988640341108</v>
      </c>
      <c r="R305" s="3">
        <f>NZD!B305/1</f>
        <v>0.70330000000000004</v>
      </c>
      <c r="S305" s="3">
        <f>NZD!C305/1</f>
        <v>0.70150000000000001</v>
      </c>
      <c r="T305" s="4">
        <f>1/PHP!B305</f>
        <v>2.2163120567375887E-2</v>
      </c>
      <c r="U305" s="4">
        <f>1/PHP!C305</f>
        <v>2.2089488937583938E-2</v>
      </c>
      <c r="V305" s="4">
        <f>1/TWD!B305</f>
        <v>3.1268565710890837E-2</v>
      </c>
      <c r="W305" s="4">
        <f>1/TWD!C305</f>
        <v>3.1268761256754055E-2</v>
      </c>
      <c r="X305" s="4">
        <f>1/TWD!B305</f>
        <v>3.1268565710890837E-2</v>
      </c>
      <c r="Y305" s="4">
        <f>1/TWD!C305</f>
        <v>3.1268761256754055E-2</v>
      </c>
      <c r="Z305" s="4">
        <f>1/ZAR!B305</f>
        <v>0.1363419455995637</v>
      </c>
      <c r="AA305" s="4">
        <f>1/ZAR!C305</f>
        <v>0.13563368055555555</v>
      </c>
    </row>
    <row r="306" spans="1:27" x14ac:dyDescent="0.25">
      <c r="A306" t="str">
        <f>"27/08/2010"</f>
        <v>27/08/2010</v>
      </c>
      <c r="B306" s="3">
        <f>AUD!B306</f>
        <v>0.88739999999999997</v>
      </c>
      <c r="C306" s="3">
        <f>AUD!C306</f>
        <v>0.88419999999999999</v>
      </c>
      <c r="D306" s="3">
        <f>1/CAD!B306</f>
        <v>0.94598429666067552</v>
      </c>
      <c r="E306" s="3">
        <f>1/CAD!C306</f>
        <v>0.94553706505294999</v>
      </c>
      <c r="F306" s="3">
        <f>EUR!B306/1</f>
        <v>1.2722</v>
      </c>
      <c r="G306" s="3">
        <f>EUR!C306/1</f>
        <v>1.2721</v>
      </c>
      <c r="H306" s="3">
        <f>GBP!B306/1</f>
        <v>1.5525</v>
      </c>
      <c r="I306" s="3">
        <f>GBP!C306/1</f>
        <v>1.5522</v>
      </c>
      <c r="J306" s="4">
        <f>1/INR!B306</f>
        <v>2.1351553325504431E-2</v>
      </c>
      <c r="K306" s="4">
        <f>1/INR!C306</f>
        <v>2.1260763261401087E-2</v>
      </c>
      <c r="L306" s="4">
        <f>1/JPY!B306</f>
        <v>1.1802195208308745E-2</v>
      </c>
      <c r="M306" s="4">
        <f>1/JPY!C306</f>
        <v>1.180548341093471E-2</v>
      </c>
      <c r="N306" s="5">
        <f>1/KRW!B306</f>
        <v>8.3724045545880766E-4</v>
      </c>
      <c r="O306" s="5">
        <f>1/KRW!C306</f>
        <v>8.3721024467385682E-4</v>
      </c>
      <c r="P306" s="3">
        <f>1/NOK!B306</f>
        <v>0.15841333206602667</v>
      </c>
      <c r="Q306" s="3">
        <f>1/NOK!C306</f>
        <v>0.15815777819953186</v>
      </c>
      <c r="R306" s="3">
        <f>NZD!B306/1</f>
        <v>0.7056</v>
      </c>
      <c r="S306" s="3">
        <f>NZD!C306/1</f>
        <v>0.70389999999999997</v>
      </c>
      <c r="T306" s="4">
        <f>1/PHP!B306</f>
        <v>2.211900022119E-2</v>
      </c>
      <c r="U306" s="4">
        <f>1/PHP!C306</f>
        <v>2.2043717099752228E-2</v>
      </c>
      <c r="V306" s="4">
        <f>1/TWD!B306</f>
        <v>3.123340725239716E-2</v>
      </c>
      <c r="W306" s="4">
        <f>1/TWD!C306</f>
        <v>3.1233504805274714E-2</v>
      </c>
      <c r="X306" s="4">
        <f>1/TWD!B306</f>
        <v>3.123340725239716E-2</v>
      </c>
      <c r="Y306" s="4">
        <f>1/TWD!C306</f>
        <v>3.1233504805274714E-2</v>
      </c>
      <c r="Z306" s="4">
        <f>1/ZAR!B306</f>
        <v>0.13642937051488446</v>
      </c>
      <c r="AA306" s="4">
        <f>1/ZAR!C306</f>
        <v>0.13571098987596017</v>
      </c>
    </row>
    <row r="307" spans="1:27" x14ac:dyDescent="0.25">
      <c r="A307" t="str">
        <f>"30/08/2010"</f>
        <v>30/08/2010</v>
      </c>
      <c r="B307" s="3">
        <f>AUD!B307</f>
        <v>0.89829999999999999</v>
      </c>
      <c r="C307" s="3">
        <f>AUD!C307</f>
        <v>0.89510000000000001</v>
      </c>
      <c r="D307" s="3">
        <f>1/CAD!B307</f>
        <v>0.95238095238095233</v>
      </c>
      <c r="E307" s="3">
        <f>1/CAD!C307</f>
        <v>0.95192765349833408</v>
      </c>
      <c r="F307" s="3">
        <f>EUR!B307/1</f>
        <v>1.2739</v>
      </c>
      <c r="G307" s="3">
        <f>EUR!C307/1</f>
        <v>1.2739</v>
      </c>
      <c r="H307" s="3">
        <f>GBP!B307/1</f>
        <v>1.5531999999999999</v>
      </c>
      <c r="I307" s="3">
        <f>GBP!C307/1</f>
        <v>1.5528999999999999</v>
      </c>
      <c r="J307" s="4">
        <f>1/INR!B307</f>
        <v>2.1367521367521368E-2</v>
      </c>
      <c r="K307" s="4">
        <f>1/INR!C307</f>
        <v>2.1275464071060051E-2</v>
      </c>
      <c r="L307" s="4">
        <f>1/JPY!B307</f>
        <v>1.1708230886313079E-2</v>
      </c>
      <c r="M307" s="4">
        <f>1/JPY!C307</f>
        <v>1.1711412068375908E-2</v>
      </c>
      <c r="N307" s="5">
        <f>1/KRW!B307</f>
        <v>8.3998320033599333E-4</v>
      </c>
      <c r="O307" s="5">
        <f>1/KRW!C307</f>
        <v>8.3995187411742061E-4</v>
      </c>
      <c r="P307" s="3">
        <f>1/NOK!B307</f>
        <v>0.16020762908729713</v>
      </c>
      <c r="Q307" s="3">
        <f>1/NOK!C307</f>
        <v>0.1599488163787588</v>
      </c>
      <c r="R307" s="3">
        <f>NZD!B307/1</f>
        <v>0.71</v>
      </c>
      <c r="S307" s="3">
        <f>NZD!C307/1</f>
        <v>0.70830000000000004</v>
      </c>
      <c r="T307" s="4">
        <f>1/PHP!B307</f>
        <v>2.2192632046160673E-2</v>
      </c>
      <c r="U307" s="4">
        <f>1/PHP!C307</f>
        <v>2.2117287978148117E-2</v>
      </c>
      <c r="V307" s="4">
        <f>1/TWD!B307</f>
        <v>3.1242189452636838E-2</v>
      </c>
      <c r="W307" s="4">
        <f>1/TWD!C307</f>
        <v>3.1242189452636838E-2</v>
      </c>
      <c r="X307" s="4">
        <f>1/TWD!B307</f>
        <v>3.1242189452636838E-2</v>
      </c>
      <c r="Y307" s="4">
        <f>1/TWD!C307</f>
        <v>3.1242189452636838E-2</v>
      </c>
      <c r="Z307" s="4">
        <f>1/ZAR!B307</f>
        <v>0.13679890560875513</v>
      </c>
      <c r="AA307" s="4">
        <f>1/ZAR!C307</f>
        <v>0.13609886221351189</v>
      </c>
    </row>
    <row r="308" spans="1:27" x14ac:dyDescent="0.25">
      <c r="A308" t="str">
        <f>"31/08/2010"</f>
        <v>31/08/2010</v>
      </c>
      <c r="B308" s="3">
        <f>AUD!B308</f>
        <v>0.89270000000000005</v>
      </c>
      <c r="C308" s="3">
        <f>AUD!C308</f>
        <v>0.88939999999999997</v>
      </c>
      <c r="D308" s="3">
        <f>1/CAD!B308</f>
        <v>0.94348523445608068</v>
      </c>
      <c r="E308" s="3">
        <f>1/CAD!C308</f>
        <v>0.94295143800094294</v>
      </c>
      <c r="F308" s="3">
        <f>EUR!B308/1</f>
        <v>1.2649999999999999</v>
      </c>
      <c r="G308" s="3">
        <f>EUR!C308/1</f>
        <v>1.2648999999999999</v>
      </c>
      <c r="H308" s="3">
        <f>GBP!B308/1</f>
        <v>1.5457000000000001</v>
      </c>
      <c r="I308" s="3">
        <f>GBP!C308/1</f>
        <v>1.5452999999999999</v>
      </c>
      <c r="J308" s="4">
        <f>1/INR!B308</f>
        <v>2.1258503401360544E-2</v>
      </c>
      <c r="K308" s="4">
        <f>1/INR!C308</f>
        <v>2.115842369743454E-2</v>
      </c>
      <c r="L308" s="4">
        <f>1/JPY!B308</f>
        <v>1.1870845204178538E-2</v>
      </c>
      <c r="M308" s="4">
        <f>1/JPY!C308</f>
        <v>1.1874848595680405E-2</v>
      </c>
      <c r="N308" s="5">
        <f>1/KRW!B308</f>
        <v>8.3500334001336009E-4</v>
      </c>
      <c r="O308" s="5">
        <f>1/KRW!C308</f>
        <v>8.349711292032656E-4</v>
      </c>
      <c r="P308" s="3">
        <f>1/NOK!B308</f>
        <v>0.15854644618140884</v>
      </c>
      <c r="Q308" s="3">
        <f>1/NOK!C308</f>
        <v>0.15828294659533382</v>
      </c>
      <c r="R308" s="3">
        <f>NZD!B308/1</f>
        <v>0.70179999999999998</v>
      </c>
      <c r="S308" s="3">
        <f>NZD!C308/1</f>
        <v>0.70009999999999994</v>
      </c>
      <c r="T308" s="4">
        <f>1/PHP!B308</f>
        <v>2.207261891623441E-2</v>
      </c>
      <c r="U308" s="4">
        <f>1/PHP!C308</f>
        <v>2.1999441214193158E-2</v>
      </c>
      <c r="V308" s="4">
        <f>1/TWD!B308</f>
        <v>3.1212934640114865E-2</v>
      </c>
      <c r="W308" s="4">
        <f>1/TWD!C308</f>
        <v>3.121303206514784E-2</v>
      </c>
      <c r="X308" s="4">
        <f>1/TWD!B308</f>
        <v>3.1212934640114865E-2</v>
      </c>
      <c r="Y308" s="4">
        <f>1/TWD!C308</f>
        <v>3.121303206514784E-2</v>
      </c>
      <c r="Z308" s="4">
        <f>1/ZAR!B308</f>
        <v>0.13596193065941536</v>
      </c>
      <c r="AA308" s="4">
        <f>1/ZAR!C308</f>
        <v>0.13529236680466489</v>
      </c>
    </row>
    <row r="309" spans="1:27" x14ac:dyDescent="0.25">
      <c r="A309" t="str">
        <f>"01/09/2010"</f>
        <v>01/09/2010</v>
      </c>
      <c r="B309" s="3">
        <f>AUD!B309</f>
        <v>0.89890000000000003</v>
      </c>
      <c r="C309" s="3">
        <f>AUD!C309</f>
        <v>0.89549999999999996</v>
      </c>
      <c r="D309" s="3">
        <f>1/CAD!B309</f>
        <v>0.94037991348504801</v>
      </c>
      <c r="E309" s="3">
        <f>1/CAD!C309</f>
        <v>0.93993796409436969</v>
      </c>
      <c r="F309" s="3">
        <f>EUR!B309/1</f>
        <v>1.2705</v>
      </c>
      <c r="G309" s="3">
        <f>EUR!C309/1</f>
        <v>1.2705</v>
      </c>
      <c r="H309" s="3">
        <f>GBP!B309/1</f>
        <v>1.5388999999999999</v>
      </c>
      <c r="I309" s="3">
        <f>GBP!C309/1</f>
        <v>1.5386</v>
      </c>
      <c r="J309" s="4">
        <f>1/INR!B309</f>
        <v>2.1331058020477814E-2</v>
      </c>
      <c r="K309" s="4">
        <f>1/INR!C309</f>
        <v>2.1231422505307854E-2</v>
      </c>
      <c r="L309" s="4">
        <f>1/JPY!B309</f>
        <v>1.1831519167061051E-2</v>
      </c>
      <c r="M309" s="4">
        <f>1/JPY!C309</f>
        <v>1.1835047837263359E-2</v>
      </c>
      <c r="N309" s="5">
        <f>1/KRW!B309</f>
        <v>8.4132592966515234E-4</v>
      </c>
      <c r="O309" s="5">
        <f>1/KRW!C309</f>
        <v>8.4129344155395649E-4</v>
      </c>
      <c r="P309" s="3">
        <f>1/NOK!B309</f>
        <v>0.15932700274042447</v>
      </c>
      <c r="Q309" s="3">
        <f>1/NOK!C309</f>
        <v>0.15908367801463572</v>
      </c>
      <c r="R309" s="3">
        <f>NZD!B309/1</f>
        <v>0.7026</v>
      </c>
      <c r="S309" s="3">
        <f>NZD!C309/1</f>
        <v>0.70089999999999997</v>
      </c>
      <c r="T309" s="4">
        <f>1/PHP!B309</f>
        <v>2.2168033695411218E-2</v>
      </c>
      <c r="U309" s="4">
        <f>1/PHP!C309</f>
        <v>2.2088659461345951E-2</v>
      </c>
      <c r="V309" s="4">
        <f>1/TWD!B309</f>
        <v>3.1222680154864495E-2</v>
      </c>
      <c r="W309" s="4">
        <f>1/TWD!C309</f>
        <v>3.1222680154864495E-2</v>
      </c>
      <c r="X309" s="4">
        <f>1/TWD!B309</f>
        <v>3.1222680154864495E-2</v>
      </c>
      <c r="Y309" s="4">
        <f>1/TWD!C309</f>
        <v>3.1222680154864495E-2</v>
      </c>
      <c r="Z309" s="4">
        <f>1/ZAR!B309</f>
        <v>0.13571283164823233</v>
      </c>
      <c r="AA309" s="4">
        <f>1/ZAR!C309</f>
        <v>0.13498373445999759</v>
      </c>
    </row>
    <row r="310" spans="1:27" x14ac:dyDescent="0.25">
      <c r="A310" t="str">
        <f>"02/09/2010"</f>
        <v>02/09/2010</v>
      </c>
      <c r="B310" s="3">
        <f>AUD!B310</f>
        <v>0.90610000000000002</v>
      </c>
      <c r="C310" s="3">
        <f>AUD!C310</f>
        <v>0.90280000000000005</v>
      </c>
      <c r="D310" s="3">
        <f>1/CAD!B310</f>
        <v>0.94894666919719106</v>
      </c>
      <c r="E310" s="3">
        <f>1/CAD!C310</f>
        <v>0.9484966328369534</v>
      </c>
      <c r="F310" s="3">
        <f>EUR!B310/1</f>
        <v>1.2788999999999999</v>
      </c>
      <c r="G310" s="3">
        <f>EUR!C310/1</f>
        <v>1.2787999999999999</v>
      </c>
      <c r="H310" s="3">
        <f>GBP!B310/1</f>
        <v>1.5431999999999999</v>
      </c>
      <c r="I310" s="3">
        <f>GBP!C310/1</f>
        <v>1.5427999999999999</v>
      </c>
      <c r="J310" s="4">
        <f>1/INR!B310</f>
        <v>2.1362956633198035E-2</v>
      </c>
      <c r="K310" s="4">
        <f>1/INR!C310</f>
        <v>2.1260763261401087E-2</v>
      </c>
      <c r="L310" s="4">
        <f>1/JPY!B310</f>
        <v>1.1882411654269349E-2</v>
      </c>
      <c r="M310" s="4">
        <f>1/JPY!C310</f>
        <v>1.1885617570746167E-2</v>
      </c>
      <c r="N310" s="5">
        <f>1/KRW!B310</f>
        <v>8.452370890034655E-4</v>
      </c>
      <c r="O310" s="5">
        <f>1/KRW!C310</f>
        <v>8.4520829862696752E-4</v>
      </c>
      <c r="P310" s="3">
        <f>1/NOK!B310</f>
        <v>0.1611525631315166</v>
      </c>
      <c r="Q310" s="3">
        <f>1/NOK!C310</f>
        <v>0.16089069086462657</v>
      </c>
      <c r="R310" s="3">
        <f>NZD!B310/1</f>
        <v>0.71240000000000003</v>
      </c>
      <c r="S310" s="3">
        <f>NZD!C310/1</f>
        <v>0.7107</v>
      </c>
      <c r="T310" s="4">
        <f>1/PHP!B310</f>
        <v>2.2192632046160673E-2</v>
      </c>
      <c r="U310" s="4">
        <f>1/PHP!C310</f>
        <v>2.2116358585791564E-2</v>
      </c>
      <c r="V310" s="4">
        <f>1/TWD!B310</f>
        <v>3.1232431757136608E-2</v>
      </c>
      <c r="W310" s="4">
        <f>1/TWD!C310</f>
        <v>3.1232626851313956E-2</v>
      </c>
      <c r="X310" s="4">
        <f>1/TWD!B310</f>
        <v>3.1232431757136608E-2</v>
      </c>
      <c r="Y310" s="4">
        <f>1/TWD!C310</f>
        <v>3.1232626851313956E-2</v>
      </c>
      <c r="Z310" s="4">
        <f>1/ZAR!B310</f>
        <v>0.13663068725235689</v>
      </c>
      <c r="AA310" s="4">
        <f>1/ZAR!C310</f>
        <v>0.13595638519163053</v>
      </c>
    </row>
    <row r="311" spans="1:27" x14ac:dyDescent="0.25">
      <c r="A311" t="str">
        <f>"03/09/2010"</f>
        <v>03/09/2010</v>
      </c>
      <c r="B311" s="3">
        <f>AUD!B311</f>
        <v>0.90800000000000003</v>
      </c>
      <c r="C311" s="3">
        <f>AUD!C311</f>
        <v>0.90480000000000005</v>
      </c>
      <c r="D311" s="3">
        <f>1/CAD!B311</f>
        <v>0.94867659614837296</v>
      </c>
      <c r="E311" s="3">
        <f>1/CAD!C311</f>
        <v>0.94813691096994412</v>
      </c>
      <c r="F311" s="3">
        <f>EUR!B311/1</f>
        <v>1.2825</v>
      </c>
      <c r="G311" s="3">
        <f>EUR!C311/1</f>
        <v>1.2824</v>
      </c>
      <c r="H311" s="3">
        <f>GBP!B311/1</f>
        <v>1.5417000000000001</v>
      </c>
      <c r="I311" s="3">
        <f>GBP!C311/1</f>
        <v>1.5414000000000001</v>
      </c>
      <c r="J311" s="4">
        <f>1/INR!B311</f>
        <v>2.1415569118749332E-2</v>
      </c>
      <c r="K311" s="4">
        <f>1/INR!C311</f>
        <v>2.1315144410103379E-2</v>
      </c>
      <c r="L311" s="4">
        <f>1/JPY!B311</f>
        <v>1.1866760018512145E-2</v>
      </c>
      <c r="M311" s="4">
        <f>1/JPY!C311</f>
        <v>1.1869887046154869E-2</v>
      </c>
      <c r="N311" s="5">
        <f>1/KRW!B311</f>
        <v>8.4932903006624757E-4</v>
      </c>
      <c r="O311" s="5">
        <f>1/KRW!C311</f>
        <v>8.4929931108237088E-4</v>
      </c>
      <c r="P311" s="3">
        <f>1/NOK!B311</f>
        <v>0.16271274691659343</v>
      </c>
      <c r="Q311" s="3">
        <f>1/NOK!C311</f>
        <v>0.16245106161768766</v>
      </c>
      <c r="R311" s="3">
        <f>NZD!B311/1</f>
        <v>0.71409999999999996</v>
      </c>
      <c r="S311" s="3">
        <f>NZD!C311/1</f>
        <v>0.71240000000000003</v>
      </c>
      <c r="T311" s="4">
        <f>1/PHP!B311</f>
        <v>2.2333891680625349E-2</v>
      </c>
      <c r="U311" s="4">
        <f>1/PHP!C311</f>
        <v>2.2258379723506406E-2</v>
      </c>
      <c r="V311" s="4">
        <f>1/TWD!B311</f>
        <v>3.127149915566952E-2</v>
      </c>
      <c r="W311" s="4">
        <f>1/TWD!C311</f>
        <v>3.127149915566952E-2</v>
      </c>
      <c r="X311" s="4">
        <f>1/TWD!B311</f>
        <v>3.127149915566952E-2</v>
      </c>
      <c r="Y311" s="4">
        <f>1/TWD!C311</f>
        <v>3.127149915566952E-2</v>
      </c>
      <c r="Z311" s="4">
        <f>1/ZAR!B311</f>
        <v>0.13787398317937405</v>
      </c>
      <c r="AA311" s="4">
        <f>1/ZAR!C311</f>
        <v>0.13719491281263291</v>
      </c>
    </row>
    <row r="312" spans="1:27" x14ac:dyDescent="0.25">
      <c r="A312" t="str">
        <f>"06/09/2010"</f>
        <v>06/09/2010</v>
      </c>
      <c r="B312" s="3">
        <f>AUD!B312</f>
        <v>0.91739999999999999</v>
      </c>
      <c r="C312" s="3">
        <f>AUD!C312</f>
        <v>0.91410000000000002</v>
      </c>
      <c r="D312" s="3">
        <f>1/CAD!B312</f>
        <v>0.96329833349388305</v>
      </c>
      <c r="E312" s="3">
        <f>1/CAD!C312</f>
        <v>0.96274188889958601</v>
      </c>
      <c r="F312" s="3">
        <f>EUR!B312/1</f>
        <v>1.2895000000000001</v>
      </c>
      <c r="G312" s="3">
        <f>EUR!C312/1</f>
        <v>1.2894000000000001</v>
      </c>
      <c r="H312" s="3">
        <f>GBP!B312/1</f>
        <v>1.5472999999999999</v>
      </c>
      <c r="I312" s="3">
        <f>GBP!C312/1</f>
        <v>1.5468999999999999</v>
      </c>
      <c r="J312" s="4">
        <f>1/INR!B312</f>
        <v>2.1491510853212981E-2</v>
      </c>
      <c r="K312" s="4">
        <f>1/INR!C312</f>
        <v>2.139266231682533E-2</v>
      </c>
      <c r="L312" s="4">
        <f>1/JPY!B312</f>
        <v>1.1853116184244838E-2</v>
      </c>
      <c r="M312" s="4">
        <f>1/JPY!C312</f>
        <v>1.185637659646111E-2</v>
      </c>
      <c r="N312" s="5">
        <f>1/KRW!B312</f>
        <v>8.5397096498719043E-4</v>
      </c>
      <c r="O312" s="5">
        <f>1/KRW!C312</f>
        <v>8.5394434759292312E-4</v>
      </c>
      <c r="P312" s="3">
        <f>1/NOK!B312</f>
        <v>0.16378406708595389</v>
      </c>
      <c r="Q312" s="3">
        <f>1/NOK!C312</f>
        <v>0.16352160120351897</v>
      </c>
      <c r="R312" s="3">
        <f>NZD!B312/1</f>
        <v>0.7228</v>
      </c>
      <c r="S312" s="3">
        <f>NZD!C312/1</f>
        <v>0.72109999999999996</v>
      </c>
      <c r="T312" s="4">
        <f>1/PHP!B312</f>
        <v>2.2517451024544024E-2</v>
      </c>
      <c r="U312" s="4">
        <f>1/PHP!C312</f>
        <v>2.2442608639057768E-2</v>
      </c>
      <c r="V312" s="4">
        <f>1/TWD!B312</f>
        <v>3.1362709738121372E-2</v>
      </c>
      <c r="W312" s="4">
        <f>1/TWD!C312</f>
        <v>3.136280810038608E-2</v>
      </c>
      <c r="X312" s="4">
        <f>1/TWD!B312</f>
        <v>3.1362709738121372E-2</v>
      </c>
      <c r="Y312" s="4">
        <f>1/TWD!C312</f>
        <v>3.136280810038608E-2</v>
      </c>
      <c r="Z312" s="4">
        <f>1/ZAR!B312</f>
        <v>0.13917884481558804</v>
      </c>
      <c r="AA312" s="4">
        <f>1/ZAR!C312</f>
        <v>0.13846771625195586</v>
      </c>
    </row>
    <row r="313" spans="1:27" x14ac:dyDescent="0.25">
      <c r="A313" t="str">
        <f>"07/09/2010"</f>
        <v>07/09/2010</v>
      </c>
      <c r="B313" s="3">
        <f>AUD!B313</f>
        <v>0.91659999999999997</v>
      </c>
      <c r="C313" s="3">
        <f>AUD!C313</f>
        <v>0.91300000000000003</v>
      </c>
      <c r="D313" s="3">
        <f>1/CAD!B313</f>
        <v>0.96497153333976649</v>
      </c>
      <c r="E313" s="3">
        <f>1/CAD!C313</f>
        <v>0.96441315459542876</v>
      </c>
      <c r="F313" s="3">
        <f>EUR!B313/1</f>
        <v>1.2813000000000001</v>
      </c>
      <c r="G313" s="3">
        <f>EUR!C313/1</f>
        <v>1.2811999999999999</v>
      </c>
      <c r="H313" s="3">
        <f>GBP!B313/1</f>
        <v>1.5386</v>
      </c>
      <c r="I313" s="3">
        <f>GBP!C313/1</f>
        <v>1.5382</v>
      </c>
      <c r="J313" s="4">
        <f>1/INR!B313</f>
        <v>2.144542140253056E-2</v>
      </c>
      <c r="K313" s="4">
        <f>1/INR!C313</f>
        <v>2.1336747212887395E-2</v>
      </c>
      <c r="L313" s="4">
        <f>1/JPY!B313</f>
        <v>1.1881846914284356E-2</v>
      </c>
      <c r="M313" s="4">
        <f>1/JPY!C313</f>
        <v>1.1885207907941934E-2</v>
      </c>
      <c r="N313" s="5">
        <f>1/KRW!B313</f>
        <v>8.5099140498680966E-4</v>
      </c>
      <c r="O313" s="5">
        <f>1/KRW!C313</f>
        <v>8.5095809371771682E-4</v>
      </c>
      <c r="P313" s="3">
        <f>1/NOK!B313</f>
        <v>0.1627577676144594</v>
      </c>
      <c r="Q313" s="3">
        <f>1/NOK!C313</f>
        <v>0.16248273620927778</v>
      </c>
      <c r="R313" s="3">
        <f>NZD!B313/1</f>
        <v>0.72330000000000005</v>
      </c>
      <c r="S313" s="3">
        <f>NZD!C313/1</f>
        <v>0.72150000000000003</v>
      </c>
      <c r="T313" s="4">
        <f>1/PHP!B313</f>
        <v>2.2527596305474205E-2</v>
      </c>
      <c r="U313" s="4">
        <f>1/PHP!C313</f>
        <v>2.2452636164012014E-2</v>
      </c>
      <c r="V313" s="4">
        <f>1/TWD!B313</f>
        <v>3.1318509238960228E-2</v>
      </c>
      <c r="W313" s="4">
        <f>1/TWD!C313</f>
        <v>3.1318607324169509E-2</v>
      </c>
      <c r="X313" s="4">
        <f>1/TWD!B313</f>
        <v>3.1318509238960228E-2</v>
      </c>
      <c r="Y313" s="4">
        <f>1/TWD!C313</f>
        <v>3.1318607324169509E-2</v>
      </c>
      <c r="Z313" s="4">
        <f>1/ZAR!B313</f>
        <v>0.13805099603793641</v>
      </c>
      <c r="AA313" s="4">
        <f>1/ZAR!C313</f>
        <v>0.13739472129480787</v>
      </c>
    </row>
    <row r="314" spans="1:27" x14ac:dyDescent="0.25">
      <c r="A314" t="str">
        <f>"08/09/2010"</f>
        <v>08/09/2010</v>
      </c>
      <c r="B314" s="3">
        <f>AUD!B314</f>
        <v>0.9123</v>
      </c>
      <c r="C314" s="3">
        <f>AUD!C314</f>
        <v>0.90890000000000004</v>
      </c>
      <c r="D314" s="3">
        <f>1/CAD!B314</f>
        <v>0.95474508306282213</v>
      </c>
      <c r="E314" s="3">
        <f>1/CAD!C314</f>
        <v>0.95410743249689911</v>
      </c>
      <c r="F314" s="3">
        <f>EUR!B314/1</f>
        <v>1.2701</v>
      </c>
      <c r="G314" s="3">
        <f>EUR!C314/1</f>
        <v>1.27</v>
      </c>
      <c r="H314" s="3">
        <f>GBP!B314/1</f>
        <v>1.5375000000000001</v>
      </c>
      <c r="I314" s="3">
        <f>GBP!C314/1</f>
        <v>1.5370999999999999</v>
      </c>
      <c r="J314" s="4">
        <f>1/INR!B314</f>
        <v>2.137208805300278E-2</v>
      </c>
      <c r="K314" s="4">
        <f>1/INR!C314</f>
        <v>2.1275464071060051E-2</v>
      </c>
      <c r="L314" s="4">
        <f>1/JPY!B314</f>
        <v>1.197475721179753E-2</v>
      </c>
      <c r="M314" s="4">
        <f>1/JPY!C314</f>
        <v>1.1978443592910198E-2</v>
      </c>
      <c r="N314" s="5">
        <f>1/KRW!B314</f>
        <v>8.5110004681050256E-4</v>
      </c>
      <c r="O314" s="5">
        <f>1/KRW!C314</f>
        <v>8.5107368051238715E-4</v>
      </c>
      <c r="P314" s="3">
        <f>1/NOK!B314</f>
        <v>0.16099689275996976</v>
      </c>
      <c r="Q314" s="3">
        <f>1/NOK!C314</f>
        <v>0.1607148596959275</v>
      </c>
      <c r="R314" s="3">
        <f>NZD!B314/1</f>
        <v>0.71730000000000005</v>
      </c>
      <c r="S314" s="3">
        <f>NZD!C314/1</f>
        <v>0.71550000000000002</v>
      </c>
      <c r="T314" s="4">
        <f>1/PHP!B314</f>
        <v>2.2487069934787499E-2</v>
      </c>
      <c r="U314" s="4">
        <f>1/PHP!C314</f>
        <v>2.2407658041212163E-2</v>
      </c>
      <c r="V314" s="4">
        <f>1/TWD!B314</f>
        <v>3.12656328164082E-2</v>
      </c>
      <c r="W314" s="4">
        <f>1/TWD!C314</f>
        <v>3.126573057069338E-2</v>
      </c>
      <c r="X314" s="4">
        <f>1/TWD!B314</f>
        <v>3.12656328164082E-2</v>
      </c>
      <c r="Y314" s="4">
        <f>1/TWD!C314</f>
        <v>3.126573057069338E-2</v>
      </c>
      <c r="Z314" s="4">
        <f>1/ZAR!B314</f>
        <v>0.13717421124828533</v>
      </c>
      <c r="AA314" s="4">
        <f>1/ZAR!C314</f>
        <v>0.13646101990966281</v>
      </c>
    </row>
    <row r="315" spans="1:27" x14ac:dyDescent="0.25">
      <c r="A315" t="str">
        <f>"09/09/2010"</f>
        <v>09/09/2010</v>
      </c>
      <c r="B315" s="3">
        <f>AUD!B315</f>
        <v>0.92120000000000002</v>
      </c>
      <c r="C315" s="3">
        <f>AUD!C315</f>
        <v>0.91790000000000005</v>
      </c>
      <c r="D315" s="3">
        <f>1/CAD!B315</f>
        <v>0.96283458501829389</v>
      </c>
      <c r="E315" s="3">
        <f>1/CAD!C315</f>
        <v>0.96218608678918516</v>
      </c>
      <c r="F315" s="3">
        <f>EUR!B315/1</f>
        <v>1.2714000000000001</v>
      </c>
      <c r="G315" s="3">
        <f>EUR!C315/1</f>
        <v>1.2713000000000001</v>
      </c>
      <c r="H315" s="3">
        <f>GBP!B315/1</f>
        <v>1.5457000000000001</v>
      </c>
      <c r="I315" s="3">
        <f>GBP!C315/1</f>
        <v>1.5454000000000001</v>
      </c>
      <c r="J315" s="4">
        <f>1/INR!B315</f>
        <v>2.1486892995272885E-2</v>
      </c>
      <c r="K315" s="4">
        <f>1/INR!C315</f>
        <v>2.138808683563255E-2</v>
      </c>
      <c r="L315" s="4">
        <f>1/JPY!B315</f>
        <v>1.1937519025420947E-2</v>
      </c>
      <c r="M315" s="4">
        <f>1/JPY!C315</f>
        <v>1.1940783267619222E-2</v>
      </c>
      <c r="N315" s="5">
        <f>1/KRW!B315</f>
        <v>8.5528566541224766E-4</v>
      </c>
      <c r="O315" s="5">
        <f>1/KRW!C315</f>
        <v>8.5525391890174446E-4</v>
      </c>
      <c r="P315" s="3">
        <f>1/NOK!B315</f>
        <v>0.16143613586465194</v>
      </c>
      <c r="Q315" s="3">
        <f>1/NOK!C315</f>
        <v>0.16117074428649711</v>
      </c>
      <c r="R315" s="3">
        <f>NZD!B315/1</f>
        <v>0.7218</v>
      </c>
      <c r="S315" s="3">
        <f>NZD!C315/1</f>
        <v>0.72</v>
      </c>
      <c r="T315" s="4">
        <f>1/PHP!B315</f>
        <v>2.267316630767487E-2</v>
      </c>
      <c r="U315" s="4">
        <f>1/PHP!C315</f>
        <v>2.2593662025928489E-2</v>
      </c>
      <c r="V315" s="4">
        <f>1/TWD!B315</f>
        <v>3.1340102795537166E-2</v>
      </c>
      <c r="W315" s="4">
        <f>1/TWD!C315</f>
        <v>3.1340201016049313E-2</v>
      </c>
      <c r="X315" s="4">
        <f>1/TWD!B315</f>
        <v>3.1340102795537166E-2</v>
      </c>
      <c r="Y315" s="4">
        <f>1/TWD!C315</f>
        <v>3.1340201016049313E-2</v>
      </c>
      <c r="Z315" s="4">
        <f>1/ZAR!B315</f>
        <v>0.13809293654629565</v>
      </c>
      <c r="AA315" s="4">
        <f>1/ZAR!C315</f>
        <v>0.13739283358979995</v>
      </c>
    </row>
    <row r="316" spans="1:27" x14ac:dyDescent="0.25">
      <c r="A316" t="str">
        <f>"13/09/2010"</f>
        <v>13/09/2010</v>
      </c>
      <c r="B316" s="3">
        <f>AUD!B316</f>
        <v>0.93049999999999999</v>
      </c>
      <c r="C316" s="3">
        <f>AUD!C316</f>
        <v>0.92720000000000002</v>
      </c>
      <c r="D316" s="3">
        <f>1/CAD!B316</f>
        <v>0.96721152916142761</v>
      </c>
      <c r="E316" s="3">
        <f>1/CAD!C316</f>
        <v>0.96665055582406967</v>
      </c>
      <c r="F316" s="3">
        <f>EUR!B316/1</f>
        <v>1.2803</v>
      </c>
      <c r="G316" s="3">
        <f>EUR!C316/1</f>
        <v>1.2802</v>
      </c>
      <c r="H316" s="3">
        <f>GBP!B316/1</f>
        <v>1.5419</v>
      </c>
      <c r="I316" s="3">
        <f>GBP!C316/1</f>
        <v>1.5415000000000001</v>
      </c>
      <c r="J316" s="4">
        <f>1/INR!B316</f>
        <v>2.1600604816934873E-2</v>
      </c>
      <c r="K316" s="4">
        <f>1/INR!C316</f>
        <v>2.1499596882558449E-2</v>
      </c>
      <c r="L316" s="4">
        <f>1/JPY!B316</f>
        <v>1.188255284765379E-2</v>
      </c>
      <c r="M316" s="4">
        <f>1/JPY!C316</f>
        <v>1.1885702332093656E-2</v>
      </c>
      <c r="N316" s="5">
        <f>1/KRW!B316</f>
        <v>8.6132644272179156E-4</v>
      </c>
      <c r="O316" s="5">
        <f>1/KRW!C316</f>
        <v>8.613007743266222E-4</v>
      </c>
      <c r="P316" s="3">
        <f>1/NOK!B316</f>
        <v>0.16308158971933659</v>
      </c>
      <c r="Q316" s="3">
        <f>1/NOK!C316</f>
        <v>0.16282401979940081</v>
      </c>
      <c r="R316" s="3">
        <f>NZD!B316/1</f>
        <v>0.73</v>
      </c>
      <c r="S316" s="3">
        <f>NZD!C316/1</f>
        <v>0.72819999999999996</v>
      </c>
      <c r="T316" s="4">
        <f>1/PHP!B316</f>
        <v>2.2763487366264511E-2</v>
      </c>
      <c r="U316" s="4">
        <f>1/PHP!C316</f>
        <v>2.2686540075773042E-2</v>
      </c>
      <c r="V316" s="4">
        <f>1/TWD!B316</f>
        <v>3.1486146095717885E-2</v>
      </c>
      <c r="W316" s="4">
        <f>1/TWD!C316</f>
        <v>3.1486245233769632E-2</v>
      </c>
      <c r="X316" s="4">
        <f>1/TWD!B316</f>
        <v>3.1486146095717885E-2</v>
      </c>
      <c r="Y316" s="4">
        <f>1/TWD!C316</f>
        <v>3.1486245233769632E-2</v>
      </c>
      <c r="Z316" s="4">
        <f>1/ZAR!B316</f>
        <v>0.13951671410234945</v>
      </c>
      <c r="AA316" s="4">
        <f>1/ZAR!C316</f>
        <v>0.13883875267264598</v>
      </c>
    </row>
    <row r="317" spans="1:27" x14ac:dyDescent="0.25">
      <c r="A317" t="str">
        <f>"14/09/2010"</f>
        <v>14/09/2010</v>
      </c>
      <c r="B317" s="3">
        <f>AUD!B317</f>
        <v>0.93279999999999996</v>
      </c>
      <c r="C317" s="3">
        <f>AUD!C317</f>
        <v>0.92930000000000001</v>
      </c>
      <c r="D317" s="3">
        <f>1/CAD!B317</f>
        <v>0.97162844928099501</v>
      </c>
      <c r="E317" s="3">
        <f>1/CAD!C317</f>
        <v>0.9709680551509855</v>
      </c>
      <c r="F317" s="3">
        <f>EUR!B317/1</f>
        <v>1.2877000000000001</v>
      </c>
      <c r="G317" s="3">
        <f>EUR!C317/1</f>
        <v>1.2875000000000001</v>
      </c>
      <c r="H317" s="3">
        <f>GBP!B317/1</f>
        <v>1.5404</v>
      </c>
      <c r="I317" s="3">
        <f>GBP!C317/1</f>
        <v>1.54</v>
      </c>
      <c r="J317" s="4">
        <f>1/INR!B317</f>
        <v>2.1579628830384116E-2</v>
      </c>
      <c r="K317" s="4">
        <f>1/INR!C317</f>
        <v>2.1469593687939454E-2</v>
      </c>
      <c r="L317" s="4">
        <f>1/JPY!B317</f>
        <v>1.1988970147464334E-2</v>
      </c>
      <c r="M317" s="4">
        <f>1/JPY!C317</f>
        <v>1.1992118779538088E-2</v>
      </c>
      <c r="N317" s="5">
        <f>1/KRW!B317</f>
        <v>8.6125226078718467E-4</v>
      </c>
      <c r="O317" s="5">
        <f>1/KRW!C317</f>
        <v>8.6122058899392806E-4</v>
      </c>
      <c r="P317" s="3">
        <f>1/NOK!B317</f>
        <v>0.16368487388080466</v>
      </c>
      <c r="Q317" s="3">
        <f>1/NOK!C317</f>
        <v>0.16340403281152979</v>
      </c>
      <c r="R317" s="3">
        <f>NZD!B317/1</f>
        <v>0.72840000000000005</v>
      </c>
      <c r="S317" s="3">
        <f>NZD!C317/1</f>
        <v>0.72660000000000002</v>
      </c>
      <c r="T317" s="4">
        <f>1/PHP!B317</f>
        <v>2.2629554197782304E-2</v>
      </c>
      <c r="U317" s="4">
        <f>1/PHP!C317</f>
        <v>2.2553966002151649E-2</v>
      </c>
      <c r="V317" s="4">
        <f>1/TWD!B317</f>
        <v>3.1487137504329479E-2</v>
      </c>
      <c r="W317" s="4">
        <f>1/TWD!C317</f>
        <v>3.1487335793543833E-2</v>
      </c>
      <c r="X317" s="4">
        <f>1/TWD!B317</f>
        <v>3.1487137504329479E-2</v>
      </c>
      <c r="Y317" s="4">
        <f>1/TWD!C317</f>
        <v>3.1487335793543833E-2</v>
      </c>
      <c r="Z317" s="4">
        <f>1/ZAR!B317</f>
        <v>0.13997760358342665</v>
      </c>
      <c r="AA317" s="4">
        <f>1/ZAR!C317</f>
        <v>0.13929322617041134</v>
      </c>
    </row>
    <row r="318" spans="1:27" x14ac:dyDescent="0.25">
      <c r="A318" t="str">
        <f>"15/09/2010"</f>
        <v>15/09/2010</v>
      </c>
      <c r="B318" s="3">
        <f>AUD!B318</f>
        <v>0.93579999999999997</v>
      </c>
      <c r="C318" s="3">
        <f>AUD!C318</f>
        <v>0.93240000000000001</v>
      </c>
      <c r="D318" s="3">
        <f>1/CAD!B318</f>
        <v>0.96936797208220238</v>
      </c>
      <c r="E318" s="3">
        <f>1/CAD!C318</f>
        <v>0.96871064613000102</v>
      </c>
      <c r="F318" s="3">
        <f>EUR!B318/1</f>
        <v>1.2967</v>
      </c>
      <c r="G318" s="3">
        <f>EUR!C318/1</f>
        <v>1.2966</v>
      </c>
      <c r="H318" s="3">
        <f>GBP!B318/1</f>
        <v>1.5474000000000001</v>
      </c>
      <c r="I318" s="3">
        <f>GBP!C318/1</f>
        <v>1.5469999999999999</v>
      </c>
      <c r="J318" s="4">
        <f>1/INR!B318</f>
        <v>2.1537798836958864E-2</v>
      </c>
      <c r="K318" s="4">
        <f>1/INR!C318</f>
        <v>2.1431633090441493E-2</v>
      </c>
      <c r="L318" s="4">
        <f>1/JPY!B318</f>
        <v>1.1767474699929394E-2</v>
      </c>
      <c r="M318" s="4">
        <f>1/JPY!C318</f>
        <v>1.1770258674974899E-2</v>
      </c>
      <c r="N318" s="5">
        <f>1/KRW!B318</f>
        <v>8.5770649283815068E-4</v>
      </c>
      <c r="O318" s="5">
        <f>1/KRW!C318</f>
        <v>8.576759640170627E-4</v>
      </c>
      <c r="P318" s="3">
        <f>1/NOK!B318</f>
        <v>0.16450074025333114</v>
      </c>
      <c r="Q318" s="3">
        <f>1/NOK!C318</f>
        <v>0.16423057973394645</v>
      </c>
      <c r="R318" s="3">
        <f>NZD!B318/1</f>
        <v>0.73099999999999998</v>
      </c>
      <c r="S318" s="3">
        <f>NZD!C318/1</f>
        <v>0.72909999999999997</v>
      </c>
      <c r="T318" s="4">
        <f>1/PHP!B318</f>
        <v>2.2535211267605635E-2</v>
      </c>
      <c r="U318" s="4">
        <f>1/PHP!C318</f>
        <v>2.2454451145850644E-2</v>
      </c>
      <c r="V318" s="4">
        <f>1/TWD!B318</f>
        <v>3.1454453950679417E-2</v>
      </c>
      <c r="W318" s="4">
        <f>1/TWD!C318</f>
        <v>3.1454552889257956E-2</v>
      </c>
      <c r="X318" s="4">
        <f>1/TWD!B318</f>
        <v>3.1454453950679417E-2</v>
      </c>
      <c r="Y318" s="4">
        <f>1/TWD!C318</f>
        <v>3.1454552889257956E-2</v>
      </c>
      <c r="Z318" s="4">
        <f>1/ZAR!B318</f>
        <v>0.14040999719180006</v>
      </c>
      <c r="AA318" s="4">
        <f>1/ZAR!C318</f>
        <v>0.13968626464959699</v>
      </c>
    </row>
    <row r="319" spans="1:27" x14ac:dyDescent="0.25">
      <c r="A319" t="str">
        <f>"16/09/2010"</f>
        <v>16/09/2010</v>
      </c>
      <c r="B319" s="3">
        <f>AUD!B319</f>
        <v>0.93569999999999998</v>
      </c>
      <c r="C319" s="3">
        <f>AUD!C319</f>
        <v>0.93240000000000001</v>
      </c>
      <c r="D319" s="3">
        <f>1/CAD!B319</f>
        <v>0.97314130011677691</v>
      </c>
      <c r="E319" s="3">
        <f>1/CAD!C319</f>
        <v>0.9724788485850433</v>
      </c>
      <c r="F319" s="3">
        <f>EUR!B319/1</f>
        <v>1.2994000000000001</v>
      </c>
      <c r="G319" s="3">
        <f>EUR!C319/1</f>
        <v>1.2992999999999999</v>
      </c>
      <c r="H319" s="3">
        <f>GBP!B319/1</f>
        <v>1.5623</v>
      </c>
      <c r="I319" s="3">
        <f>GBP!C319/1</f>
        <v>1.5619000000000001</v>
      </c>
      <c r="J319" s="4">
        <f>1/INR!B319</f>
        <v>2.1570319240724764E-2</v>
      </c>
      <c r="K319" s="4">
        <f>1/INR!C319</f>
        <v>2.1468441391155002E-2</v>
      </c>
      <c r="L319" s="4">
        <f>1/JPY!B319</f>
        <v>1.172470395122523E-2</v>
      </c>
      <c r="M319" s="4">
        <f>1/JPY!C319</f>
        <v>1.1728609362245138E-2</v>
      </c>
      <c r="N319" s="5">
        <f>1/KRW!B319</f>
        <v>8.5947571981091536E-4</v>
      </c>
      <c r="O319" s="5">
        <f>1/KRW!C319</f>
        <v>8.5944432627084954E-4</v>
      </c>
      <c r="P319" s="3">
        <f>1/NOK!B319</f>
        <v>0.16360721180589641</v>
      </c>
      <c r="Q319" s="3">
        <f>1/NOK!C319</f>
        <v>0.1633479802022248</v>
      </c>
      <c r="R319" s="3">
        <f>NZD!B319/1</f>
        <v>0.72509999999999997</v>
      </c>
      <c r="S319" s="3">
        <f>NZD!C319/1</f>
        <v>0.72330000000000005</v>
      </c>
      <c r="T319" s="4">
        <f>1/PHP!B319</f>
        <v>2.2537750732476901E-2</v>
      </c>
      <c r="U319" s="4">
        <f>1/PHP!C319</f>
        <v>2.2458132426623669E-2</v>
      </c>
      <c r="V319" s="4">
        <f>1/TWD!B319</f>
        <v>3.1478217073784939E-2</v>
      </c>
      <c r="W319" s="4">
        <f>1/TWD!C319</f>
        <v>3.1478316161911865E-2</v>
      </c>
      <c r="X319" s="4">
        <f>1/TWD!B319</f>
        <v>3.1478217073784939E-2</v>
      </c>
      <c r="Y319" s="4">
        <f>1/TWD!C319</f>
        <v>3.1478316161911865E-2</v>
      </c>
      <c r="Z319" s="4">
        <f>1/ZAR!B319</f>
        <v>0.14061533269587714</v>
      </c>
      <c r="AA319" s="4">
        <f>1/ZAR!C319</f>
        <v>0.13991101659344657</v>
      </c>
    </row>
    <row r="320" spans="1:27" x14ac:dyDescent="0.25">
      <c r="A320" t="str">
        <f>"17/09/2010"</f>
        <v>17/09/2010</v>
      </c>
      <c r="B320" s="3">
        <f>AUD!B320</f>
        <v>0.94299999999999995</v>
      </c>
      <c r="C320" s="3">
        <f>AUD!C320</f>
        <v>0.93969999999999998</v>
      </c>
      <c r="D320" s="3">
        <f>1/CAD!B320</f>
        <v>0.9760858955588092</v>
      </c>
      <c r="E320" s="3">
        <f>1/CAD!C320</f>
        <v>0.97551458394303003</v>
      </c>
      <c r="F320" s="3">
        <f>EUR!B320/1</f>
        <v>1.3121</v>
      </c>
      <c r="G320" s="3">
        <f>EUR!C320/1</f>
        <v>1.3120000000000001</v>
      </c>
      <c r="H320" s="3">
        <f>GBP!B320/1</f>
        <v>1.5674999999999999</v>
      </c>
      <c r="I320" s="3">
        <f>GBP!C320/1</f>
        <v>1.5670999999999999</v>
      </c>
      <c r="J320" s="4">
        <f>1/INR!B320</f>
        <v>2.1743857360295715E-2</v>
      </c>
      <c r="K320" s="4">
        <f>1/INR!C320</f>
        <v>2.1634485369679272E-2</v>
      </c>
      <c r="L320" s="4">
        <f>1/JPY!B320</f>
        <v>1.1655011655011656E-2</v>
      </c>
      <c r="M320" s="4">
        <f>1/JPY!C320</f>
        <v>1.165876202601303E-2</v>
      </c>
      <c r="N320" s="5">
        <f>1/KRW!B320</f>
        <v>8.6069630330937738E-4</v>
      </c>
      <c r="O320" s="5">
        <f>1/KRW!C320</f>
        <v>8.6066556128519751E-4</v>
      </c>
      <c r="P320" s="3">
        <f>1/NOK!B320</f>
        <v>0.16434934095914275</v>
      </c>
      <c r="Q320" s="3">
        <f>1/NOK!C320</f>
        <v>0.16409313926584729</v>
      </c>
      <c r="R320" s="3">
        <f>NZD!B320/1</f>
        <v>0.72960000000000003</v>
      </c>
      <c r="S320" s="3">
        <f>NZD!C320/1</f>
        <v>0.72789999999999999</v>
      </c>
      <c r="T320" s="4">
        <f>1/PHP!B320</f>
        <v>2.2634676324128564E-2</v>
      </c>
      <c r="U320" s="4">
        <f>1/PHP!C320</f>
        <v>2.2560428106683753E-2</v>
      </c>
      <c r="V320" s="4">
        <f>1/TWD!B320</f>
        <v>3.1539771652053239E-2</v>
      </c>
      <c r="W320" s="4">
        <f>1/TWD!C320</f>
        <v>3.1539970604747398E-2</v>
      </c>
      <c r="X320" s="4">
        <f>1/TWD!B320</f>
        <v>3.1539771652053239E-2</v>
      </c>
      <c r="Y320" s="4">
        <f>1/TWD!C320</f>
        <v>3.1539970604747398E-2</v>
      </c>
      <c r="Z320" s="4">
        <f>1/ZAR!B320</f>
        <v>0.1396843134515994</v>
      </c>
      <c r="AA320" s="4">
        <f>1/ZAR!C320</f>
        <v>0.13897961169096495</v>
      </c>
    </row>
    <row r="321" spans="1:27" x14ac:dyDescent="0.25">
      <c r="A321" t="str">
        <f>"20/09/2010"</f>
        <v>20/09/2010</v>
      </c>
      <c r="B321" s="3">
        <f>AUD!B321</f>
        <v>0.94340000000000002</v>
      </c>
      <c r="C321" s="3">
        <f>AUD!C321</f>
        <v>0.94</v>
      </c>
      <c r="D321" s="3">
        <f>1/CAD!B321</f>
        <v>0.96908615175889135</v>
      </c>
      <c r="E321" s="3">
        <f>1/CAD!C321</f>
        <v>0.96842920782490804</v>
      </c>
      <c r="F321" s="3">
        <f>EUR!B321/1</f>
        <v>1.3071999999999999</v>
      </c>
      <c r="G321" s="3">
        <f>EUR!C321/1</f>
        <v>1.3070999999999999</v>
      </c>
      <c r="H321" s="3">
        <f>GBP!B321/1</f>
        <v>1.5667</v>
      </c>
      <c r="I321" s="3">
        <f>GBP!C321/1</f>
        <v>1.5664</v>
      </c>
      <c r="J321" s="4">
        <f>1/INR!B321</f>
        <v>2.191900926078141E-2</v>
      </c>
      <c r="K321" s="4">
        <f>1/INR!C321</f>
        <v>2.1810250817884406E-2</v>
      </c>
      <c r="L321" s="4">
        <f>1/JPY!B321</f>
        <v>1.1668883754580037E-2</v>
      </c>
      <c r="M321" s="4">
        <f>1/JPY!C321</f>
        <v>1.1673692283806138E-2</v>
      </c>
      <c r="N321" s="5">
        <f>1/KRW!B321</f>
        <v>8.6051114361930991E-4</v>
      </c>
      <c r="O321" s="5">
        <f>1/KRW!C321</f>
        <v>8.6047752716656616E-4</v>
      </c>
      <c r="P321" s="3">
        <f>1/NOK!B321</f>
        <v>0.16438446238061577</v>
      </c>
      <c r="Q321" s="3">
        <f>1/NOK!C321</f>
        <v>0.1641281512605042</v>
      </c>
      <c r="R321" s="3">
        <f>NZD!B321/1</f>
        <v>0.72740000000000005</v>
      </c>
      <c r="S321" s="3">
        <f>NZD!C321/1</f>
        <v>0.72570000000000001</v>
      </c>
      <c r="T321" s="4">
        <f>1/PHP!B321</f>
        <v>2.2634676324128564E-2</v>
      </c>
      <c r="U321" s="4">
        <f>1/PHP!C321</f>
        <v>2.2560071831268711E-2</v>
      </c>
      <c r="V321" s="4">
        <f>1/TWD!B321</f>
        <v>3.1588590201219319E-2</v>
      </c>
      <c r="W321" s="4">
        <f>1/TWD!C321</f>
        <v>3.158878977028632E-2</v>
      </c>
      <c r="X321" s="4">
        <f>1/TWD!B321</f>
        <v>3.1588590201219319E-2</v>
      </c>
      <c r="Y321" s="4">
        <f>1/TWD!C321</f>
        <v>3.158878977028632E-2</v>
      </c>
      <c r="Z321" s="4">
        <f>1/ZAR!B321</f>
        <v>0.14005602240896359</v>
      </c>
      <c r="AA321" s="4">
        <f>1/ZAR!C321</f>
        <v>0.13935340022296544</v>
      </c>
    </row>
    <row r="322" spans="1:27" x14ac:dyDescent="0.25">
      <c r="A322" t="str">
        <f>"21/09/2010"</f>
        <v>21/09/2010</v>
      </c>
      <c r="B322" s="3">
        <f>AUD!B322</f>
        <v>0.94550000000000001</v>
      </c>
      <c r="C322" s="3">
        <f>AUD!C322</f>
        <v>0.94189999999999996</v>
      </c>
      <c r="D322" s="3">
        <f>1/CAD!B322</f>
        <v>0.97162844928099501</v>
      </c>
      <c r="E322" s="3">
        <f>1/CAD!C322</f>
        <v>0.9709680551509855</v>
      </c>
      <c r="F322" s="3">
        <f>EUR!B322/1</f>
        <v>1.3091999999999999</v>
      </c>
      <c r="G322" s="3">
        <f>EUR!C322/1</f>
        <v>1.3090999999999999</v>
      </c>
      <c r="H322" s="3">
        <f>GBP!B322/1</f>
        <v>1.5580000000000001</v>
      </c>
      <c r="I322" s="3">
        <f>GBP!C322/1</f>
        <v>1.5576000000000001</v>
      </c>
      <c r="J322" s="4">
        <f>1/INR!B322</f>
        <v>2.1920210434020169E-2</v>
      </c>
      <c r="K322" s="4">
        <f>1/INR!C322</f>
        <v>2.1804306350504225E-2</v>
      </c>
      <c r="L322" s="4">
        <f>1/JPY!B322</f>
        <v>1.168770453482936E-2</v>
      </c>
      <c r="M322" s="4">
        <f>1/JPY!C322</f>
        <v>1.1692132130446779E-2</v>
      </c>
      <c r="N322" s="5">
        <f>1/KRW!B322</f>
        <v>8.6385625431928132E-4</v>
      </c>
      <c r="O322" s="5">
        <f>1/KRW!C322</f>
        <v>8.6382595772815853E-4</v>
      </c>
      <c r="P322" s="3">
        <f>1/NOK!B322</f>
        <v>0.16522371290727647</v>
      </c>
      <c r="Q322" s="3">
        <f>1/NOK!C322</f>
        <v>0.16495661640988421</v>
      </c>
      <c r="R322" s="3">
        <f>NZD!B322/1</f>
        <v>0.72850000000000004</v>
      </c>
      <c r="S322" s="3">
        <f>NZD!C322/1</f>
        <v>0.72670000000000001</v>
      </c>
      <c r="T322" s="4">
        <f>1/PHP!B322</f>
        <v>2.2727272727272728E-2</v>
      </c>
      <c r="U322" s="4">
        <f>1/PHP!C322</f>
        <v>2.2650877494994157E-2</v>
      </c>
      <c r="V322" s="4">
        <f>1/TWD!B322</f>
        <v>3.1619553531904127E-2</v>
      </c>
      <c r="W322" s="4">
        <f>1/TWD!C322</f>
        <v>3.1619653511836814E-2</v>
      </c>
      <c r="X322" s="4">
        <f>1/TWD!B322</f>
        <v>3.1619553531904127E-2</v>
      </c>
      <c r="Y322" s="4">
        <f>1/TWD!C322</f>
        <v>3.1619653511836814E-2</v>
      </c>
      <c r="Z322" s="4">
        <f>1/ZAR!B322</f>
        <v>0.14017381553125877</v>
      </c>
      <c r="AA322" s="4">
        <f>1/ZAR!C322</f>
        <v>0.13950114390938007</v>
      </c>
    </row>
    <row r="323" spans="1:27" x14ac:dyDescent="0.25">
      <c r="A323" t="str">
        <f>"22/09/2010"</f>
        <v>22/09/2010</v>
      </c>
      <c r="B323" s="3">
        <f>AUD!B323</f>
        <v>0.95599999999999996</v>
      </c>
      <c r="C323" s="3">
        <f>AUD!C323</f>
        <v>0.95240000000000002</v>
      </c>
      <c r="D323" s="3">
        <f>1/CAD!B323</f>
        <v>0.97532429532819653</v>
      </c>
      <c r="E323" s="3">
        <f>1/CAD!C323</f>
        <v>0.97465886939571145</v>
      </c>
      <c r="F323" s="3">
        <f>EUR!B323/1</f>
        <v>1.3293999999999999</v>
      </c>
      <c r="G323" s="3">
        <f>EUR!C323/1</f>
        <v>1.3291999999999999</v>
      </c>
      <c r="H323" s="3">
        <f>GBP!B323/1</f>
        <v>1.5659000000000001</v>
      </c>
      <c r="I323" s="3">
        <f>GBP!C323/1</f>
        <v>1.5654999999999999</v>
      </c>
      <c r="J323" s="4">
        <f>1/INR!B323</f>
        <v>2.1943057765099569E-2</v>
      </c>
      <c r="K323" s="4">
        <f>1/INR!C323</f>
        <v>2.1828103683492497E-2</v>
      </c>
      <c r="L323" s="4">
        <f>1/JPY!B323</f>
        <v>1.1777869383428537E-2</v>
      </c>
      <c r="M323" s="4">
        <f>1/JPY!C323</f>
        <v>1.1780658279623348E-2</v>
      </c>
      <c r="N323" s="5">
        <f>1/KRW!B323</f>
        <v>8.675284115554784E-4</v>
      </c>
      <c r="O323" s="5">
        <f>1/KRW!C323</f>
        <v>8.6749785684654462E-4</v>
      </c>
      <c r="P323" s="3">
        <f>1/NOK!B323</f>
        <v>0.16827651196446</v>
      </c>
      <c r="Q323" s="3">
        <f>1/NOK!C323</f>
        <v>0.16799946240172031</v>
      </c>
      <c r="R323" s="3">
        <f>NZD!B323/1</f>
        <v>0.73629999999999995</v>
      </c>
      <c r="S323" s="3">
        <f>NZD!C323/1</f>
        <v>0.73440000000000005</v>
      </c>
      <c r="T323" s="4">
        <f>1/PHP!B323</f>
        <v>2.2789425706472195E-2</v>
      </c>
      <c r="U323" s="4">
        <f>1/PHP!C323</f>
        <v>2.2709414869216481E-2</v>
      </c>
      <c r="V323" s="4">
        <f>1/TWD!B323</f>
        <v>3.16906987799081E-2</v>
      </c>
      <c r="W323" s="4">
        <f>1/TWD!C323</f>
        <v>3.1690799210265283E-2</v>
      </c>
      <c r="X323" s="4">
        <f>1/TWD!B323</f>
        <v>3.16906987799081E-2</v>
      </c>
      <c r="Y323" s="4">
        <f>1/TWD!C323</f>
        <v>3.1690799210265283E-2</v>
      </c>
      <c r="Z323" s="4">
        <f>1/ZAR!B323</f>
        <v>0.14149274849663954</v>
      </c>
      <c r="AA323" s="4">
        <f>1/ZAR!C323</f>
        <v>0.1407756739635391</v>
      </c>
    </row>
    <row r="324" spans="1:27" x14ac:dyDescent="0.25">
      <c r="A324" t="str">
        <f>"23/09/2010"</f>
        <v>23/09/2010</v>
      </c>
      <c r="B324" s="3">
        <f>AUD!B324</f>
        <v>0.9556</v>
      </c>
      <c r="C324" s="3">
        <f>AUD!C324</f>
        <v>0.95209999999999995</v>
      </c>
      <c r="D324" s="3">
        <f>1/CAD!B324</f>
        <v>0.97172286463900504</v>
      </c>
      <c r="E324" s="3">
        <f>1/CAD!C324</f>
        <v>0.97115664756725251</v>
      </c>
      <c r="F324" s="3">
        <f>EUR!B324/1</f>
        <v>1.339</v>
      </c>
      <c r="G324" s="3">
        <f>EUR!C324/1</f>
        <v>1.3389</v>
      </c>
      <c r="H324" s="3">
        <f>GBP!B324/1</f>
        <v>1.5651999999999999</v>
      </c>
      <c r="I324" s="3">
        <f>GBP!C324/1</f>
        <v>1.5649</v>
      </c>
      <c r="J324" s="4">
        <f>1/INR!B324</f>
        <v>2.1905805038335158E-2</v>
      </c>
      <c r="K324" s="4">
        <f>1/INR!C324</f>
        <v>2.1790052840878139E-2</v>
      </c>
      <c r="L324" s="4">
        <f>1/JPY!B324</f>
        <v>1.1816699359534895E-2</v>
      </c>
      <c r="M324" s="4">
        <f>1/JPY!C324</f>
        <v>1.1819632409432066E-2</v>
      </c>
      <c r="N324" s="5">
        <f>1/KRW!B324</f>
        <v>8.6858334057152782E-4</v>
      </c>
      <c r="O324" s="5">
        <f>1/KRW!C324</f>
        <v>8.6855271150865351E-4</v>
      </c>
      <c r="P324" s="3">
        <f>1/NOK!B324</f>
        <v>0.16969861525929947</v>
      </c>
      <c r="Q324" s="3">
        <f>1/NOK!C324</f>
        <v>0.16942547820341222</v>
      </c>
      <c r="R324" s="3">
        <f>NZD!B324/1</f>
        <v>0.73240000000000005</v>
      </c>
      <c r="S324" s="3">
        <f>NZD!C324/1</f>
        <v>0.73060000000000003</v>
      </c>
      <c r="T324" s="4">
        <f>1/PHP!B324</f>
        <v>2.2732439190725165E-2</v>
      </c>
      <c r="U324" s="4">
        <f>1/PHP!C324</f>
        <v>2.2655598651538766E-2</v>
      </c>
      <c r="V324" s="4">
        <f>1/TWD!B324</f>
        <v>3.1700744967506737E-2</v>
      </c>
      <c r="W324" s="4">
        <f>1/TWD!C324</f>
        <v>3.1700845461548464E-2</v>
      </c>
      <c r="X324" s="4">
        <f>1/TWD!B324</f>
        <v>3.1700744967506737E-2</v>
      </c>
      <c r="Y324" s="4">
        <f>1/TWD!C324</f>
        <v>3.1700845461548464E-2</v>
      </c>
      <c r="Z324" s="4">
        <f>1/ZAR!B324</f>
        <v>0.14185403220086532</v>
      </c>
      <c r="AA324" s="4">
        <f>1/ZAR!C324</f>
        <v>0.1411771349512233</v>
      </c>
    </row>
    <row r="325" spans="1:27" x14ac:dyDescent="0.25">
      <c r="A325" t="str">
        <f>"24/09/2010"</f>
        <v>24/09/2010</v>
      </c>
      <c r="B325" s="3">
        <f>AUD!B325</f>
        <v>0.94879999999999998</v>
      </c>
      <c r="C325" s="3">
        <f>AUD!C325</f>
        <v>0.94540000000000002</v>
      </c>
      <c r="D325" s="3">
        <f>1/CAD!B325</f>
        <v>0.9683354313934347</v>
      </c>
      <c r="E325" s="3">
        <f>1/CAD!C325</f>
        <v>0.96777315397270869</v>
      </c>
      <c r="F325" s="3">
        <f>EUR!B325/1</f>
        <v>1.3321000000000001</v>
      </c>
      <c r="G325" s="3">
        <f>EUR!C325/1</f>
        <v>1.3320000000000001</v>
      </c>
      <c r="H325" s="3">
        <f>GBP!B325/1</f>
        <v>1.5672999999999999</v>
      </c>
      <c r="I325" s="3">
        <f>GBP!C325/1</f>
        <v>1.5669</v>
      </c>
      <c r="J325" s="4">
        <f>1/INR!B325</f>
        <v>2.1939447125932428E-2</v>
      </c>
      <c r="K325" s="4">
        <f>1/INR!C325</f>
        <v>2.1826912583215105E-2</v>
      </c>
      <c r="L325" s="4">
        <f>1/JPY!B325</f>
        <v>1.1750190940602784E-2</v>
      </c>
      <c r="M325" s="4">
        <f>1/JPY!C325</f>
        <v>1.1753229199722624E-2</v>
      </c>
      <c r="N325" s="5">
        <f>1/KRW!B325</f>
        <v>8.6378163600241858E-4</v>
      </c>
      <c r="O325" s="5">
        <f>1/KRW!C325</f>
        <v>8.6375358284986167E-4</v>
      </c>
      <c r="P325" s="3">
        <f>1/NOK!B325</f>
        <v>0.16787536932581251</v>
      </c>
      <c r="Q325" s="3">
        <f>1/NOK!C325</f>
        <v>0.16760806530010222</v>
      </c>
      <c r="R325" s="3">
        <f>NZD!B325/1</f>
        <v>0.72770000000000001</v>
      </c>
      <c r="S325" s="3">
        <f>NZD!C325/1</f>
        <v>0.72589999999999999</v>
      </c>
      <c r="T325" s="4">
        <f>1/PHP!B325</f>
        <v>2.2706630336058128E-2</v>
      </c>
      <c r="U325" s="4">
        <f>1/PHP!C325</f>
        <v>2.2632166192522785E-2</v>
      </c>
      <c r="V325" s="4">
        <f>1/TWD!B325</f>
        <v>3.1709791983764585E-2</v>
      </c>
      <c r="W325" s="4">
        <f>1/TWD!C325</f>
        <v>3.17098925351742E-2</v>
      </c>
      <c r="X325" s="4">
        <f>1/TWD!B325</f>
        <v>3.1709791983764585E-2</v>
      </c>
      <c r="Y325" s="4">
        <f>1/TWD!C325</f>
        <v>3.17098925351742E-2</v>
      </c>
      <c r="Z325" s="4">
        <f>1/ZAR!B325</f>
        <v>0.14061730999085986</v>
      </c>
      <c r="AA325" s="4">
        <f>1/ZAR!C325</f>
        <v>0.13994430216773723</v>
      </c>
    </row>
    <row r="326" spans="1:27" x14ac:dyDescent="0.25">
      <c r="A326" t="str">
        <f>"27/09/2010"</f>
        <v>27/09/2010</v>
      </c>
      <c r="B326" s="3">
        <f>AUD!B326</f>
        <v>0.95860000000000001</v>
      </c>
      <c r="C326" s="3">
        <f>AUD!C326</f>
        <v>0.95509999999999995</v>
      </c>
      <c r="D326" s="3">
        <f>1/CAD!B326</f>
        <v>0.97570494682408049</v>
      </c>
      <c r="E326" s="3">
        <f>1/CAD!C326</f>
        <v>0.97503900156006229</v>
      </c>
      <c r="F326" s="3">
        <f>EUR!B326/1</f>
        <v>1.3468</v>
      </c>
      <c r="G326" s="3">
        <f>EUR!C326/1</f>
        <v>1.3467</v>
      </c>
      <c r="H326" s="3">
        <f>GBP!B326/1</f>
        <v>1.5822000000000001</v>
      </c>
      <c r="I326" s="3">
        <f>GBP!C326/1</f>
        <v>1.5818000000000001</v>
      </c>
      <c r="J326" s="4">
        <f>1/INR!B326</f>
        <v>2.2132462789796935E-2</v>
      </c>
      <c r="K326" s="4">
        <f>1/INR!C326</f>
        <v>2.2013097793186946E-2</v>
      </c>
      <c r="L326" s="4">
        <f>1/JPY!B326</f>
        <v>1.1870140661166834E-2</v>
      </c>
      <c r="M326" s="4">
        <f>1/JPY!C326</f>
        <v>1.1873466838594466E-2</v>
      </c>
      <c r="N326" s="5">
        <f>1/KRW!B326</f>
        <v>8.6956521739130438E-4</v>
      </c>
      <c r="O326" s="5">
        <f>1/KRW!C326</f>
        <v>8.6953572878832803E-4</v>
      </c>
      <c r="P326" s="3">
        <f>1/NOK!B326</f>
        <v>0.16980811682798438</v>
      </c>
      <c r="Q326" s="3">
        <f>1/NOK!C326</f>
        <v>0.16953750169537501</v>
      </c>
      <c r="R326" s="3">
        <f>NZD!B326/1</f>
        <v>0.73409999999999997</v>
      </c>
      <c r="S326" s="3">
        <f>NZD!C326/1</f>
        <v>0.73229999999999995</v>
      </c>
      <c r="T326" s="4">
        <f>1/PHP!B326</f>
        <v>2.2763487366264511E-2</v>
      </c>
      <c r="U326" s="4">
        <f>1/PHP!C326</f>
        <v>2.2690761229657734E-2</v>
      </c>
      <c r="V326" s="4">
        <f>1/TWD!B326</f>
        <v>3.1819772806822161E-2</v>
      </c>
      <c r="W326" s="4">
        <f>1/TWD!C326</f>
        <v>3.181987405693848E-2</v>
      </c>
      <c r="X326" s="4">
        <f>1/TWD!B326</f>
        <v>3.1819772806822161E-2</v>
      </c>
      <c r="Y326" s="4">
        <f>1/TWD!C326</f>
        <v>3.181987405693848E-2</v>
      </c>
      <c r="Z326" s="4">
        <f>1/ZAR!B326</f>
        <v>0.14224751066856328</v>
      </c>
      <c r="AA326" s="4">
        <f>1/ZAR!C326</f>
        <v>0.14156485793966506</v>
      </c>
    </row>
    <row r="327" spans="1:27" x14ac:dyDescent="0.25">
      <c r="A327" t="str">
        <f>"28/09/2010"</f>
        <v>28/09/2010</v>
      </c>
      <c r="B327" s="3">
        <f>AUD!B327</f>
        <v>0.96030000000000004</v>
      </c>
      <c r="C327" s="3">
        <f>AUD!C327</f>
        <v>0.95689999999999997</v>
      </c>
      <c r="D327" s="3">
        <f>1/CAD!B327</f>
        <v>0.97153405226853196</v>
      </c>
      <c r="E327" s="3">
        <f>1/CAD!C327</f>
        <v>0.970873786407767</v>
      </c>
      <c r="F327" s="3">
        <f>EUR!B327/1</f>
        <v>1.3463000000000001</v>
      </c>
      <c r="G327" s="3">
        <f>EUR!C327/1</f>
        <v>1.3462000000000001</v>
      </c>
      <c r="H327" s="3">
        <f>GBP!B327/1</f>
        <v>1.5826</v>
      </c>
      <c r="I327" s="3">
        <f>GBP!C327/1</f>
        <v>1.5822000000000001</v>
      </c>
      <c r="J327" s="4">
        <f>1/INR!B327</f>
        <v>2.2143489813994686E-2</v>
      </c>
      <c r="K327" s="4">
        <f>1/INR!C327</f>
        <v>2.201915666629968E-2</v>
      </c>
      <c r="L327" s="4">
        <f>1/JPY!B327</f>
        <v>1.1872959335114277E-2</v>
      </c>
      <c r="M327" s="4">
        <f>1/JPY!C327</f>
        <v>1.187606142298968E-2</v>
      </c>
      <c r="N327" s="5">
        <f>1/KRW!B327</f>
        <v>8.7062510882813865E-4</v>
      </c>
      <c r="O327" s="5">
        <f>1/KRW!C327</f>
        <v>8.7060062650162284E-4</v>
      </c>
      <c r="P327" s="3">
        <f>1/NOK!B327</f>
        <v>0.16946280291476021</v>
      </c>
      <c r="Q327" s="3">
        <f>1/NOK!C327</f>
        <v>0.16920473773265651</v>
      </c>
      <c r="R327" s="3">
        <f>NZD!B327/1</f>
        <v>0.7339</v>
      </c>
      <c r="S327" s="3">
        <f>NZD!C327/1</f>
        <v>0.73219999999999996</v>
      </c>
      <c r="T327" s="4">
        <f>1/PHP!B327</f>
        <v>2.2758306781975421E-2</v>
      </c>
      <c r="U327" s="4">
        <f>1/PHP!C327</f>
        <v>2.2685665155045179E-2</v>
      </c>
      <c r="V327" s="4">
        <f>1/TWD!B327</f>
        <v>3.1847133757961783E-2</v>
      </c>
      <c r="W327" s="4">
        <f>1/TWD!C327</f>
        <v>3.1847235182277653E-2</v>
      </c>
      <c r="X327" s="4">
        <f>1/TWD!B327</f>
        <v>3.1847133757961783E-2</v>
      </c>
      <c r="Y327" s="4">
        <f>1/TWD!C327</f>
        <v>3.1847235182277653E-2</v>
      </c>
      <c r="Z327" s="4">
        <f>1/ZAR!B327</f>
        <v>0.14250089063056645</v>
      </c>
      <c r="AA327" s="4">
        <f>1/ZAR!C327</f>
        <v>0.14184195968851507</v>
      </c>
    </row>
    <row r="328" spans="1:27" x14ac:dyDescent="0.25">
      <c r="A328" t="str">
        <f>"29/09/2010"</f>
        <v>29/09/2010</v>
      </c>
      <c r="B328" s="3">
        <f>AUD!B328</f>
        <v>0.96830000000000005</v>
      </c>
      <c r="C328" s="3">
        <f>AUD!C328</f>
        <v>0.96460000000000001</v>
      </c>
      <c r="D328" s="3">
        <f>1/CAD!B328</f>
        <v>0.97257342929391166</v>
      </c>
      <c r="E328" s="3">
        <f>1/CAD!C328</f>
        <v>0.97191175041306255</v>
      </c>
      <c r="F328" s="3">
        <f>EUR!B328/1</f>
        <v>1.3591</v>
      </c>
      <c r="G328" s="3">
        <f>EUR!C328/1</f>
        <v>1.359</v>
      </c>
      <c r="H328" s="3">
        <f>GBP!B328/1</f>
        <v>1.5826</v>
      </c>
      <c r="I328" s="3">
        <f>GBP!C328/1</f>
        <v>1.5823</v>
      </c>
      <c r="J328" s="4">
        <f>1/INR!B328</f>
        <v>2.2279157847833353E-2</v>
      </c>
      <c r="K328" s="4">
        <f>1/INR!C328</f>
        <v>2.215207398792712E-2</v>
      </c>
      <c r="L328" s="4">
        <f>1/JPY!B328</f>
        <v>1.1934883276841553E-2</v>
      </c>
      <c r="M328" s="4">
        <f>1/JPY!C328</f>
        <v>1.1937889548258321E-2</v>
      </c>
      <c r="N328" s="5">
        <f>1/KRW!B328</f>
        <v>8.7696220292905378E-4</v>
      </c>
      <c r="O328" s="5">
        <f>1/KRW!C328</f>
        <v>8.7693190290539808E-4</v>
      </c>
      <c r="P328" s="3">
        <f>1/NOK!B328</f>
        <v>0.17092264041294911</v>
      </c>
      <c r="Q328" s="3">
        <f>1/NOK!C328</f>
        <v>0.17064846416382251</v>
      </c>
      <c r="R328" s="3">
        <f>NZD!B328/1</f>
        <v>0.73939999999999995</v>
      </c>
      <c r="S328" s="3">
        <f>NZD!C328/1</f>
        <v>0.73750000000000004</v>
      </c>
      <c r="T328" s="4">
        <f>1/PHP!B328</f>
        <v>2.2794620469569184E-2</v>
      </c>
      <c r="U328" s="4">
        <f>1/PHP!C328</f>
        <v>2.2721076070162681E-2</v>
      </c>
      <c r="V328" s="4">
        <f>1/TWD!B328</f>
        <v>3.195704972516937E-2</v>
      </c>
      <c r="W328" s="4">
        <f>1/TWD!C328</f>
        <v>3.1957151850798449E-2</v>
      </c>
      <c r="X328" s="4">
        <f>1/TWD!B328</f>
        <v>3.195704972516937E-2</v>
      </c>
      <c r="Y328" s="4">
        <f>1/TWD!C328</f>
        <v>3.1957151850798449E-2</v>
      </c>
      <c r="Z328" s="4">
        <f>1/ZAR!B328</f>
        <v>0.14371945961483185</v>
      </c>
      <c r="AA328" s="4">
        <f>1/ZAR!C328</f>
        <v>0.14298787462823154</v>
      </c>
    </row>
    <row r="329" spans="1:27" x14ac:dyDescent="0.25">
      <c r="A329" t="str">
        <f>"01/10/2010"</f>
        <v>01/10/2010</v>
      </c>
      <c r="B329" s="3">
        <f>AUD!B329</f>
        <v>0.96679999999999999</v>
      </c>
      <c r="C329" s="3">
        <f>AUD!C329</f>
        <v>0.96289999999999998</v>
      </c>
      <c r="D329" s="3">
        <f>1/CAD!B329</f>
        <v>0.97049689440993792</v>
      </c>
      <c r="E329" s="3">
        <f>1/CAD!C329</f>
        <v>0.96993210475266745</v>
      </c>
      <c r="F329" s="3">
        <f>EUR!B329/1</f>
        <v>1.3665</v>
      </c>
      <c r="G329" s="3">
        <f>EUR!C329/1</f>
        <v>1.3662000000000001</v>
      </c>
      <c r="H329" s="3">
        <f>GBP!B329/1</f>
        <v>1.5747</v>
      </c>
      <c r="I329" s="3">
        <f>GBP!C329/1</f>
        <v>1.5743</v>
      </c>
      <c r="J329" s="4">
        <f>1/INR!B329</f>
        <v>2.2365110427732739E-2</v>
      </c>
      <c r="K329" s="4">
        <f>1/INR!C329</f>
        <v>2.2228396776882469E-2</v>
      </c>
      <c r="L329" s="4">
        <f>1/JPY!B329</f>
        <v>1.1983367086483961E-2</v>
      </c>
      <c r="M329" s="4">
        <f>1/JPY!C329</f>
        <v>1.1986426570551507E-2</v>
      </c>
      <c r="N329" s="5">
        <f>1/KRW!B329</f>
        <v>8.8362640275691439E-4</v>
      </c>
      <c r="O329" s="5">
        <f>1/KRW!C329</f>
        <v>8.835956404804852E-4</v>
      </c>
      <c r="P329" s="3">
        <f>1/NOK!B329</f>
        <v>0.17045357696831268</v>
      </c>
      <c r="Q329" s="3">
        <f>1/NOK!C329</f>
        <v>0.17017511018838385</v>
      </c>
      <c r="R329" s="3">
        <f>NZD!B329/1</f>
        <v>0.73640000000000005</v>
      </c>
      <c r="S329" s="3">
        <f>NZD!C329/1</f>
        <v>0.73460000000000003</v>
      </c>
      <c r="T329" s="4">
        <f>1/PHP!B329</f>
        <v>2.2799817601459188E-2</v>
      </c>
      <c r="U329" s="4">
        <f>1/PHP!C329</f>
        <v>2.2728254174612085E-2</v>
      </c>
      <c r="V329" s="4">
        <f>1/TWD!B329</f>
        <v>3.2139872726104003E-2</v>
      </c>
      <c r="W329" s="4">
        <f>1/TWD!C329</f>
        <v>3.2139976023577883E-2</v>
      </c>
      <c r="X329" s="4">
        <f>1/TWD!B329</f>
        <v>3.2139872726104003E-2</v>
      </c>
      <c r="Y329" s="4">
        <f>1/TWD!C329</f>
        <v>3.2139976023577883E-2</v>
      </c>
      <c r="Z329" s="4">
        <f>1/ZAR!B329</f>
        <v>0.14342058085335246</v>
      </c>
      <c r="AA329" s="4">
        <f>1/ZAR!C329</f>
        <v>0.14267166968655035</v>
      </c>
    </row>
    <row r="330" spans="1:27" x14ac:dyDescent="0.25">
      <c r="A330" t="str">
        <f>"04/10/2010"</f>
        <v>04/10/2010</v>
      </c>
      <c r="B330" s="3">
        <f>AUD!B330</f>
        <v>0.96919999999999995</v>
      </c>
      <c r="C330" s="3">
        <f>AUD!C330</f>
        <v>0.96530000000000005</v>
      </c>
      <c r="D330" s="3">
        <f>1/CAD!B330</f>
        <v>0.9813542688910698</v>
      </c>
      <c r="E330" s="3">
        <f>1/CAD!C330</f>
        <v>0.98068059233107774</v>
      </c>
      <c r="F330" s="3">
        <f>EUR!B330/1</f>
        <v>1.3759999999999999</v>
      </c>
      <c r="G330" s="3">
        <f>EUR!C330/1</f>
        <v>1.3756999999999999</v>
      </c>
      <c r="H330" s="3">
        <f>GBP!B330/1</f>
        <v>1.581</v>
      </c>
      <c r="I330" s="3">
        <f>GBP!C330/1</f>
        <v>1.5806</v>
      </c>
      <c r="J330" s="4">
        <f>1/INR!B330</f>
        <v>2.2552999548940009E-2</v>
      </c>
      <c r="K330" s="4">
        <f>1/INR!C330</f>
        <v>2.2415242364808071E-2</v>
      </c>
      <c r="L330" s="4">
        <f>1/JPY!B330</f>
        <v>1.1967448539971278E-2</v>
      </c>
      <c r="M330" s="4">
        <f>1/JPY!C330</f>
        <v>1.1970829482716517E-2</v>
      </c>
      <c r="N330" s="5">
        <f>1/KRW!B330</f>
        <v>8.8983804947499561E-4</v>
      </c>
      <c r="O330" s="5">
        <f>1/KRW!C330</f>
        <v>8.8981207880745256E-4</v>
      </c>
      <c r="P330" s="3">
        <f>1/NOK!B330</f>
        <v>0.17094601524838457</v>
      </c>
      <c r="Q330" s="3">
        <f>1/NOK!C330</f>
        <v>0.17065720088059116</v>
      </c>
      <c r="R330" s="3">
        <f>NZD!B330/1</f>
        <v>0.74260000000000004</v>
      </c>
      <c r="S330" s="3">
        <f>NZD!C330/1</f>
        <v>0.74070000000000003</v>
      </c>
      <c r="T330" s="4">
        <f>1/PHP!B330</f>
        <v>2.2883295194508008E-2</v>
      </c>
      <c r="U330" s="4">
        <f>1/PHP!C330</f>
        <v>2.2810375070997292E-2</v>
      </c>
      <c r="V330" s="4">
        <f>1/TWD!B330</f>
        <v>3.2250782081465472E-2</v>
      </c>
      <c r="W330" s="4">
        <f>1/TWD!C330</f>
        <v>3.2250886093095406E-2</v>
      </c>
      <c r="X330" s="4">
        <f>1/TWD!B330</f>
        <v>3.2250782081465472E-2</v>
      </c>
      <c r="Y330" s="4">
        <f>1/TWD!C330</f>
        <v>3.2250886093095406E-2</v>
      </c>
      <c r="Z330" s="4">
        <f>1/ZAR!B330</f>
        <v>0.14363688595231255</v>
      </c>
      <c r="AA330" s="4">
        <f>1/ZAR!C330</f>
        <v>0.14290205493154992</v>
      </c>
    </row>
    <row r="331" spans="1:27" x14ac:dyDescent="0.25">
      <c r="A331" t="str">
        <f>"05/10/2010"</f>
        <v>05/10/2010</v>
      </c>
      <c r="B331" s="3">
        <f>AUD!B331</f>
        <v>0.95750000000000002</v>
      </c>
      <c r="C331" s="3">
        <f>AUD!C331</f>
        <v>0.95389999999999997</v>
      </c>
      <c r="D331" s="3">
        <f>1/CAD!B331</f>
        <v>0.97532429532819653</v>
      </c>
      <c r="E331" s="3">
        <f>1/CAD!C331</f>
        <v>0.97456388266250848</v>
      </c>
      <c r="F331" s="3">
        <f>EUR!B331/1</f>
        <v>1.3644000000000001</v>
      </c>
      <c r="G331" s="3">
        <f>EUR!C331/1</f>
        <v>1.3641000000000001</v>
      </c>
      <c r="H331" s="3">
        <f>GBP!B331/1</f>
        <v>1.5806</v>
      </c>
      <c r="I331" s="3">
        <f>GBP!C331/1</f>
        <v>1.5802</v>
      </c>
      <c r="J331" s="4">
        <f>1/INR!B331</f>
        <v>2.23563603845294E-2</v>
      </c>
      <c r="K331" s="4">
        <f>1/INR!C331</f>
        <v>2.2225926543312773E-2</v>
      </c>
      <c r="L331" s="4">
        <f>1/JPY!B331</f>
        <v>1.1967878214871285E-2</v>
      </c>
      <c r="M331" s="4">
        <f>1/JPY!C331</f>
        <v>1.1971087429639935E-2</v>
      </c>
      <c r="N331" s="5">
        <f>1/KRW!B331</f>
        <v>8.8144557073600708E-4</v>
      </c>
      <c r="O331" s="5">
        <f>1/KRW!C331</f>
        <v>8.8141643621299432E-4</v>
      </c>
      <c r="P331" s="3">
        <f>1/NOK!B331</f>
        <v>0.16982830358507547</v>
      </c>
      <c r="Q331" s="3">
        <f>1/NOK!C331</f>
        <v>0.16953462744765618</v>
      </c>
      <c r="R331" s="3">
        <f>NZD!B331/1</f>
        <v>0.73860000000000003</v>
      </c>
      <c r="S331" s="3">
        <f>NZD!C331/1</f>
        <v>0.73660000000000003</v>
      </c>
      <c r="T331" s="4">
        <f>1/PHP!B331</f>
        <v>2.2805017103762829E-2</v>
      </c>
      <c r="U331" s="4">
        <f>1/PHP!C331</f>
        <v>2.2736418968539614E-2</v>
      </c>
      <c r="V331" s="4">
        <f>1/TWD!B331</f>
        <v>3.2115100520264624E-2</v>
      </c>
      <c r="W331" s="4">
        <f>1/TWD!C331</f>
        <v>3.2115203658564004E-2</v>
      </c>
      <c r="X331" s="4">
        <f>1/TWD!B331</f>
        <v>3.2115100520264624E-2</v>
      </c>
      <c r="Y331" s="4">
        <f>1/TWD!C331</f>
        <v>3.2115203658564004E-2</v>
      </c>
      <c r="Z331" s="4">
        <f>1/ZAR!B331</f>
        <v>0.14234875444839856</v>
      </c>
      <c r="AA331" s="4">
        <f>1/ZAR!C331</f>
        <v>0.1415929203539823</v>
      </c>
    </row>
    <row r="332" spans="1:27" x14ac:dyDescent="0.25">
      <c r="A332" t="str">
        <f>"06/10/2010"</f>
        <v>06/10/2010</v>
      </c>
      <c r="B332" s="3">
        <f>AUD!B332</f>
        <v>0.97109999999999996</v>
      </c>
      <c r="C332" s="3">
        <f>AUD!C332</f>
        <v>0.96760000000000002</v>
      </c>
      <c r="D332" s="3">
        <f>1/CAD!B332</f>
        <v>0.98483356312783132</v>
      </c>
      <c r="E332" s="3">
        <f>1/CAD!C332</f>
        <v>0.98415510284420826</v>
      </c>
      <c r="F332" s="3">
        <f>EUR!B332/1</f>
        <v>1.3839999999999999</v>
      </c>
      <c r="G332" s="3">
        <f>EUR!C332/1</f>
        <v>1.3836999999999999</v>
      </c>
      <c r="H332" s="3">
        <f>GBP!B332/1</f>
        <v>1.5909</v>
      </c>
      <c r="I332" s="3">
        <f>GBP!C332/1</f>
        <v>1.5905</v>
      </c>
      <c r="J332" s="4">
        <f>1/INR!B332</f>
        <v>2.2555543024698321E-2</v>
      </c>
      <c r="K332" s="4">
        <f>1/INR!C332</f>
        <v>2.24290680722216E-2</v>
      </c>
      <c r="L332" s="4">
        <f>1/JPY!B332</f>
        <v>1.202154260434699E-2</v>
      </c>
      <c r="M332" s="4">
        <f>1/JPY!C332</f>
        <v>1.2024751749000142E-2</v>
      </c>
      <c r="N332" s="5">
        <f>1/KRW!B332</f>
        <v>8.9357519435260483E-4</v>
      </c>
      <c r="O332" s="5">
        <f>1/KRW!C332</f>
        <v>8.9354836634339288E-4</v>
      </c>
      <c r="P332" s="3">
        <f>1/NOK!B332</f>
        <v>0.17186560109993984</v>
      </c>
      <c r="Q332" s="3">
        <f>1/NOK!C332</f>
        <v>0.17157956144264097</v>
      </c>
      <c r="R332" s="3">
        <f>NZD!B332/1</f>
        <v>0.74809999999999999</v>
      </c>
      <c r="S332" s="3">
        <f>NZD!C332/1</f>
        <v>0.74609999999999999</v>
      </c>
      <c r="T332" s="4">
        <f>1/PHP!B332</f>
        <v>2.2988505747126436E-2</v>
      </c>
      <c r="U332" s="4">
        <f>1/PHP!C332</f>
        <v>2.292347684958073E-2</v>
      </c>
      <c r="V332" s="4">
        <f>1/TWD!B332</f>
        <v>3.2439095598014722E-2</v>
      </c>
      <c r="W332" s="4">
        <f>1/TWD!C332</f>
        <v>3.2439095598014722E-2</v>
      </c>
      <c r="X332" s="4">
        <f>1/TWD!B332</f>
        <v>3.2439095598014722E-2</v>
      </c>
      <c r="Y332" s="4">
        <f>1/TWD!C332</f>
        <v>3.2439095598014722E-2</v>
      </c>
      <c r="Z332" s="4">
        <f>1/ZAR!B332</f>
        <v>0.14487504527345166</v>
      </c>
      <c r="AA332" s="4">
        <f>1/ZAR!C332</f>
        <v>0.14415868988582631</v>
      </c>
    </row>
    <row r="333" spans="1:27" x14ac:dyDescent="0.25">
      <c r="A333" t="str">
        <f>"07/10/2010"</f>
        <v>07/10/2010</v>
      </c>
      <c r="B333" s="3">
        <f>AUD!B333</f>
        <v>0.98380000000000001</v>
      </c>
      <c r="C333" s="3">
        <f>AUD!C333</f>
        <v>0.98019999999999996</v>
      </c>
      <c r="D333" s="3">
        <f>1/CAD!B333</f>
        <v>0.98931539374752675</v>
      </c>
      <c r="E333" s="3">
        <f>1/CAD!C333</f>
        <v>0.98863074641621351</v>
      </c>
      <c r="F333" s="3">
        <f>EUR!B333/1</f>
        <v>1.3916999999999999</v>
      </c>
      <c r="G333" s="3">
        <f>EUR!C333/1</f>
        <v>1.3913</v>
      </c>
      <c r="H333" s="3">
        <f>GBP!B333/1</f>
        <v>1.5868</v>
      </c>
      <c r="I333" s="3">
        <f>GBP!C333/1</f>
        <v>1.5864</v>
      </c>
      <c r="J333" s="4">
        <f>1/INR!B333</f>
        <v>2.2532672374943667E-2</v>
      </c>
      <c r="K333" s="4">
        <f>1/INR!C333</f>
        <v>2.2402688322598712E-2</v>
      </c>
      <c r="L333" s="4">
        <f>1/JPY!B333</f>
        <v>1.2059816690786299E-2</v>
      </c>
      <c r="M333" s="4">
        <f>1/JPY!C333</f>
        <v>1.2063017201862531E-2</v>
      </c>
      <c r="N333" s="5">
        <f>1/KRW!B333</f>
        <v>8.9453439484748186E-4</v>
      </c>
      <c r="O333" s="5">
        <f>1/KRW!C333</f>
        <v>8.9450518880097396E-4</v>
      </c>
      <c r="P333" s="3">
        <f>1/NOK!B333</f>
        <v>0.17313019390581719</v>
      </c>
      <c r="Q333" s="3">
        <f>1/NOK!C333</f>
        <v>0.1728548710502662</v>
      </c>
      <c r="R333" s="3">
        <f>NZD!B333/1</f>
        <v>0.75370000000000004</v>
      </c>
      <c r="S333" s="3">
        <f>NZD!C333/1</f>
        <v>0.75180000000000002</v>
      </c>
      <c r="T333" s="4">
        <f>1/PHP!B333</f>
        <v>2.3004370830457789E-2</v>
      </c>
      <c r="U333" s="4">
        <f>1/PHP!C333</f>
        <v>2.2969285471467555E-2</v>
      </c>
      <c r="V333" s="4">
        <f>1/TWD!B333</f>
        <v>3.2506582582973051E-2</v>
      </c>
      <c r="W333" s="4">
        <f>1/TWD!C333</f>
        <v>3.2506688251107668E-2</v>
      </c>
      <c r="X333" s="4">
        <f>1/TWD!B333</f>
        <v>3.2506582582973051E-2</v>
      </c>
      <c r="Y333" s="4">
        <f>1/TWD!C333</f>
        <v>3.2506688251107668E-2</v>
      </c>
      <c r="Z333" s="4">
        <f>1/ZAR!B333</f>
        <v>0.14577259475218657</v>
      </c>
      <c r="AA333" s="4">
        <f>1/ZAR!C333</f>
        <v>0.14502421904458043</v>
      </c>
    </row>
    <row r="334" spans="1:27" x14ac:dyDescent="0.25">
      <c r="A334" t="str">
        <f>"08/10/2010"</f>
        <v>08/10/2010</v>
      </c>
      <c r="B334" s="3">
        <f>AUD!B334</f>
        <v>0.98319999999999996</v>
      </c>
      <c r="C334" s="3">
        <f>AUD!C334</f>
        <v>0.97960000000000003</v>
      </c>
      <c r="D334" s="3">
        <f>1/CAD!B334</f>
        <v>0.98367106039740315</v>
      </c>
      <c r="E334" s="3">
        <f>1/CAD!C334</f>
        <v>0.98299420033421792</v>
      </c>
      <c r="F334" s="3">
        <f>EUR!B334/1</f>
        <v>1.395</v>
      </c>
      <c r="G334" s="3">
        <f>EUR!C334/1</f>
        <v>1.3946000000000001</v>
      </c>
      <c r="H334" s="3">
        <f>GBP!B334/1</f>
        <v>1.5887</v>
      </c>
      <c r="I334" s="3">
        <f>GBP!C334/1</f>
        <v>1.5884</v>
      </c>
      <c r="J334" s="4">
        <f>1/INR!B334</f>
        <v>2.2525059128280209E-2</v>
      </c>
      <c r="K334" s="4">
        <f>1/INR!C334</f>
        <v>2.2386389075442131E-2</v>
      </c>
      <c r="L334" s="4">
        <f>1/JPY!B334</f>
        <v>1.2144765606023802E-2</v>
      </c>
      <c r="M334" s="4">
        <f>1/JPY!C334</f>
        <v>1.2148144188753006E-2</v>
      </c>
      <c r="N334" s="5">
        <f>1/KRW!B334</f>
        <v>8.9469446184128117E-4</v>
      </c>
      <c r="O334" s="5">
        <f>1/KRW!C334</f>
        <v>8.9466140331398696E-4</v>
      </c>
      <c r="P334" s="3">
        <f>1/NOK!B334</f>
        <v>0.17197791803532425</v>
      </c>
      <c r="Q334" s="3">
        <f>1/NOK!C334</f>
        <v>0.17170624495612904</v>
      </c>
      <c r="R334" s="3">
        <f>NZD!B334/1</f>
        <v>0.75229999999999997</v>
      </c>
      <c r="S334" s="3">
        <f>NZD!C334/1</f>
        <v>0.75039999999999996</v>
      </c>
      <c r="T334" s="4">
        <f>1/PHP!B334</f>
        <v>2.3094688221709007E-2</v>
      </c>
      <c r="U334" s="4">
        <f>1/PHP!C334</f>
        <v>2.3038873491241774E-2</v>
      </c>
      <c r="V334" s="4">
        <f>1/TWD!B334</f>
        <v>3.2478077297823968E-2</v>
      </c>
      <c r="W334" s="4">
        <f>1/TWD!C334</f>
        <v>3.2478077297823968E-2</v>
      </c>
      <c r="X334" s="4">
        <f>1/TWD!B334</f>
        <v>3.2478077297823968E-2</v>
      </c>
      <c r="Y334" s="4">
        <f>1/TWD!C334</f>
        <v>3.2478077297823968E-2</v>
      </c>
      <c r="Z334" s="4">
        <f>1/ZAR!B334</f>
        <v>0.14430014430014432</v>
      </c>
      <c r="AA334" s="4">
        <f>1/ZAR!C334</f>
        <v>0.14357089530810313</v>
      </c>
    </row>
    <row r="335" spans="1:27" x14ac:dyDescent="0.25">
      <c r="A335" t="str">
        <f>"11/10/2010"</f>
        <v>11/10/2010</v>
      </c>
      <c r="B335" s="3">
        <f>AUD!B335</f>
        <v>0.98640000000000005</v>
      </c>
      <c r="C335" s="3">
        <f>AUD!C335</f>
        <v>0.98250000000000004</v>
      </c>
      <c r="D335" s="3">
        <f>1/CAD!B335</f>
        <v>0.98951118147635075</v>
      </c>
      <c r="E335" s="3">
        <f>1/CAD!C335</f>
        <v>0.98882626322555123</v>
      </c>
      <c r="F335" s="3">
        <f>EUR!B335/1</f>
        <v>1.397</v>
      </c>
      <c r="G335" s="3">
        <f>EUR!C335/1</f>
        <v>1.3966000000000001</v>
      </c>
      <c r="H335" s="3">
        <f>GBP!B335/1</f>
        <v>1.5931999999999999</v>
      </c>
      <c r="I335" s="3">
        <f>GBP!C335/1</f>
        <v>1.5928</v>
      </c>
      <c r="J335" s="4">
        <f>1/INR!B335</f>
        <v>2.2563176895306861E-2</v>
      </c>
      <c r="K335" s="4">
        <f>1/INR!C335</f>
        <v>2.2430325800482251E-2</v>
      </c>
      <c r="L335" s="4">
        <f>1/JPY!B335</f>
        <v>1.2189473170969552E-2</v>
      </c>
      <c r="M335" s="4">
        <f>1/JPY!C335</f>
        <v>1.2192683414536604E-2</v>
      </c>
      <c r="N335" s="5">
        <f>1/KRW!B335</f>
        <v>8.9461442118446953E-4</v>
      </c>
      <c r="O335" s="5">
        <f>1/KRW!C335</f>
        <v>8.9458264901488111E-4</v>
      </c>
      <c r="P335" s="3">
        <f>1/NOK!B335</f>
        <v>0.17205781142463866</v>
      </c>
      <c r="Q335" s="3">
        <f>1/NOK!C335</f>
        <v>0.17177113214353196</v>
      </c>
      <c r="R335" s="3">
        <f>NZD!B335/1</f>
        <v>0.754</v>
      </c>
      <c r="S335" s="3">
        <f>NZD!C335/1</f>
        <v>0.75209999999999999</v>
      </c>
      <c r="T335" s="4">
        <f>1/PHP!B335</f>
        <v>2.2993791676247412E-2</v>
      </c>
      <c r="U335" s="4">
        <f>1/PHP!C335</f>
        <v>2.2928207197622803E-2</v>
      </c>
      <c r="V335" s="4">
        <f>1/TWD!B335</f>
        <v>3.2499187520311994E-2</v>
      </c>
      <c r="W335" s="4">
        <f>1/TWD!C335</f>
        <v>3.2499293140374197E-2</v>
      </c>
      <c r="X335" s="4">
        <f>1/TWD!B335</f>
        <v>3.2499187520311994E-2</v>
      </c>
      <c r="Y335" s="4">
        <f>1/TWD!C335</f>
        <v>3.2499293140374197E-2</v>
      </c>
      <c r="Z335" s="4">
        <f>1/ZAR!B335</f>
        <v>0.1460152439914727</v>
      </c>
      <c r="AA335" s="4">
        <f>1/ZAR!C335</f>
        <v>0.14523062623446031</v>
      </c>
    </row>
    <row r="336" spans="1:27" x14ac:dyDescent="0.25">
      <c r="A336" t="str">
        <f>"12/10/2010"</f>
        <v>12/10/2010</v>
      </c>
      <c r="B336" s="3">
        <f>AUD!B336</f>
        <v>0.9788</v>
      </c>
      <c r="C336" s="3">
        <f>AUD!C336</f>
        <v>0.97509999999999997</v>
      </c>
      <c r="D336" s="3">
        <f>1/CAD!B336</f>
        <v>0.98541584548679551</v>
      </c>
      <c r="E336" s="3">
        <f>1/CAD!C336</f>
        <v>0.98463962189838516</v>
      </c>
      <c r="F336" s="3">
        <f>EUR!B336/1</f>
        <v>1.387</v>
      </c>
      <c r="G336" s="3">
        <f>EUR!C336/1</f>
        <v>1.3866000000000001</v>
      </c>
      <c r="H336" s="3">
        <f>GBP!B336/1</f>
        <v>1.5902000000000001</v>
      </c>
      <c r="I336" s="3">
        <f>GBP!C336/1</f>
        <v>1.5898000000000001</v>
      </c>
      <c r="J336" s="4">
        <f>1/INR!B336</f>
        <v>2.2434099831744249E-2</v>
      </c>
      <c r="K336" s="4">
        <f>1/INR!C336</f>
        <v>2.2304003568640571E-2</v>
      </c>
      <c r="L336" s="4">
        <f>1/JPY!B336</f>
        <v>1.220353048136826E-2</v>
      </c>
      <c r="M336" s="4">
        <f>1/JPY!C336</f>
        <v>1.2206763034991906E-2</v>
      </c>
      <c r="N336" s="5">
        <f>1/KRW!B336</f>
        <v>8.8683930471798516E-4</v>
      </c>
      <c r="O336" s="5">
        <f>1/KRW!C336</f>
        <v>8.8680816104719988E-4</v>
      </c>
      <c r="P336" s="3">
        <f>1/NOK!B336</f>
        <v>0.17049135608824631</v>
      </c>
      <c r="Q336" s="3">
        <f>1/NOK!C336</f>
        <v>0.17020697167755991</v>
      </c>
      <c r="R336" s="3">
        <f>NZD!B336/1</f>
        <v>0.74919999999999998</v>
      </c>
      <c r="S336" s="3">
        <f>NZD!C336/1</f>
        <v>0.74719999999999998</v>
      </c>
      <c r="T336" s="4">
        <f>1/PHP!B336</f>
        <v>2.2920009168003665E-2</v>
      </c>
      <c r="U336" s="4">
        <f>1/PHP!C336</f>
        <v>2.2856463693650245E-2</v>
      </c>
      <c r="V336" s="4">
        <f>1/TWD!B336</f>
        <v>3.2313309852328172E-2</v>
      </c>
      <c r="W336" s="4">
        <f>1/TWD!C336</f>
        <v>3.2313414267664937E-2</v>
      </c>
      <c r="X336" s="4">
        <f>1/TWD!B336</f>
        <v>3.2313309852328172E-2</v>
      </c>
      <c r="Y336" s="4">
        <f>1/TWD!C336</f>
        <v>3.2313414267664937E-2</v>
      </c>
      <c r="Z336" s="4">
        <f>1/ZAR!B336</f>
        <v>0.14516527066064713</v>
      </c>
      <c r="AA336" s="4">
        <f>1/ZAR!C336</f>
        <v>0.14443144561433915</v>
      </c>
    </row>
    <row r="337" spans="1:27" x14ac:dyDescent="0.25">
      <c r="A337" t="str">
        <f>"13/10/2010"</f>
        <v>13/10/2010</v>
      </c>
      <c r="B337" s="3">
        <f>AUD!B337</f>
        <v>0.98629999999999995</v>
      </c>
      <c r="C337" s="3">
        <f>AUD!C337</f>
        <v>0.98270000000000002</v>
      </c>
      <c r="D337" s="3">
        <f>1/CAD!B337</f>
        <v>0.99098206322465554</v>
      </c>
      <c r="E337" s="3">
        <f>1/CAD!C337</f>
        <v>0.99019704921279328</v>
      </c>
      <c r="F337" s="3">
        <f>EUR!B337/1</f>
        <v>1.3966000000000001</v>
      </c>
      <c r="G337" s="3">
        <f>EUR!C337/1</f>
        <v>1.3962000000000001</v>
      </c>
      <c r="H337" s="3">
        <f>GBP!B337/1</f>
        <v>1.5820000000000001</v>
      </c>
      <c r="I337" s="3">
        <f>GBP!C337/1</f>
        <v>1.5815999999999999</v>
      </c>
      <c r="J337" s="4">
        <f>1/INR!B337</f>
        <v>2.2492127755285651E-2</v>
      </c>
      <c r="K337" s="4">
        <f>1/INR!C337</f>
        <v>2.2367611698260917E-2</v>
      </c>
      <c r="L337" s="4">
        <f>1/JPY!B337</f>
        <v>1.2222100001222209E-2</v>
      </c>
      <c r="M337" s="4">
        <f>1/JPY!C337</f>
        <v>1.2225043490592218E-2</v>
      </c>
      <c r="N337" s="5">
        <f>1/KRW!B337</f>
        <v>8.9381480157311414E-4</v>
      </c>
      <c r="O337" s="5">
        <f>1/KRW!C337</f>
        <v>8.9378396490789641E-4</v>
      </c>
      <c r="P337" s="3">
        <f>1/NOK!B337</f>
        <v>0.17142955102600585</v>
      </c>
      <c r="Q337" s="3">
        <f>1/NOK!C337</f>
        <v>0.17114495978093444</v>
      </c>
      <c r="R337" s="3">
        <f>NZD!B337/1</f>
        <v>0.75719999999999998</v>
      </c>
      <c r="S337" s="3">
        <f>NZD!C337/1</f>
        <v>0.75529999999999997</v>
      </c>
      <c r="T337" s="4">
        <f>1/PHP!B337</f>
        <v>2.3004370830457789E-2</v>
      </c>
      <c r="U337" s="4">
        <f>1/PHP!C337</f>
        <v>2.2937042406003999E-2</v>
      </c>
      <c r="V337" s="4">
        <f>1/TWD!B337</f>
        <v>3.2405457078972098E-2</v>
      </c>
      <c r="W337" s="4">
        <f>1/TWD!C337</f>
        <v>3.2405457078972098E-2</v>
      </c>
      <c r="X337" s="4">
        <f>1/TWD!B337</f>
        <v>3.2405457078972098E-2</v>
      </c>
      <c r="Y337" s="4">
        <f>1/TWD!C337</f>
        <v>3.2405457078972098E-2</v>
      </c>
      <c r="Z337" s="4">
        <f>1/ZAR!B337</f>
        <v>0.14595344085236811</v>
      </c>
      <c r="AA337" s="4">
        <f>1/ZAR!C337</f>
        <v>0.14524117296771288</v>
      </c>
    </row>
    <row r="338" spans="1:27" x14ac:dyDescent="0.25">
      <c r="A338" t="str">
        <f>"14/10/2010"</f>
        <v>14/10/2010</v>
      </c>
      <c r="B338" s="3">
        <f>AUD!B338</f>
        <v>0.99560000000000004</v>
      </c>
      <c r="C338" s="3">
        <f>AUD!C338</f>
        <v>0.99199999999999999</v>
      </c>
      <c r="D338" s="3">
        <f>1/CAD!B338</f>
        <v>0.99950024987506247</v>
      </c>
      <c r="E338" s="3">
        <f>1/CAD!C338</f>
        <v>0.99880143827407097</v>
      </c>
      <c r="F338" s="3">
        <f>EUR!B338/1</f>
        <v>1.4068000000000001</v>
      </c>
      <c r="G338" s="3">
        <f>EUR!C338/1</f>
        <v>1.4064000000000001</v>
      </c>
      <c r="H338" s="3">
        <f>GBP!B338/1</f>
        <v>1.5962000000000001</v>
      </c>
      <c r="I338" s="3">
        <f>GBP!C338/1</f>
        <v>1.5958000000000001</v>
      </c>
      <c r="J338" s="4">
        <f>1/INR!B338</f>
        <v>2.2578460149017838E-2</v>
      </c>
      <c r="K338" s="4">
        <f>1/INR!C338</f>
        <v>2.2446689113355782E-2</v>
      </c>
      <c r="L338" s="4">
        <f>1/JPY!B338</f>
        <v>1.2294452128477023E-2</v>
      </c>
      <c r="M338" s="4">
        <f>1/JPY!C338</f>
        <v>1.2297445697554161E-2</v>
      </c>
      <c r="N338" s="5">
        <f>1/KRW!B338</f>
        <v>8.9790787465206061E-4</v>
      </c>
      <c r="O338" s="5">
        <f>1/KRW!C338</f>
        <v>8.9787643244961337E-4</v>
      </c>
      <c r="P338" s="3">
        <f>1/NOK!B338</f>
        <v>0.17407046372371537</v>
      </c>
      <c r="Q338" s="3">
        <f>1/NOK!C338</f>
        <v>0.17379214459506431</v>
      </c>
      <c r="R338" s="3">
        <f>NZD!B338/1</f>
        <v>0.76080000000000003</v>
      </c>
      <c r="S338" s="3">
        <f>NZD!C338/1</f>
        <v>0.75890000000000002</v>
      </c>
      <c r="T338" s="4">
        <f>1/PHP!B338</f>
        <v>2.3137436372049978E-2</v>
      </c>
      <c r="U338" s="4">
        <f>1/PHP!C338</f>
        <v>2.306938116385028E-2</v>
      </c>
      <c r="V338" s="4">
        <f>1/TWD!B338</f>
        <v>3.2567985670086307E-2</v>
      </c>
      <c r="W338" s="4">
        <f>1/TWD!C338</f>
        <v>3.2568091737800807E-2</v>
      </c>
      <c r="X338" s="4">
        <f>1/TWD!B338</f>
        <v>3.2567985670086307E-2</v>
      </c>
      <c r="Y338" s="4">
        <f>1/TWD!C338</f>
        <v>3.2568091737800807E-2</v>
      </c>
      <c r="Z338" s="4">
        <f>1/ZAR!B338</f>
        <v>0.14702639123722708</v>
      </c>
      <c r="AA338" s="4">
        <f>1/ZAR!C338</f>
        <v>0.14630791964769052</v>
      </c>
    </row>
    <row r="339" spans="1:27" x14ac:dyDescent="0.25">
      <c r="A339" t="str">
        <f>"15/10/2010"</f>
        <v>15/10/2010</v>
      </c>
      <c r="B339" s="3">
        <f>AUD!B339</f>
        <v>0.99109999999999998</v>
      </c>
      <c r="C339" s="3">
        <f>AUD!C339</f>
        <v>0.98740000000000006</v>
      </c>
      <c r="D339" s="3">
        <f>1/CAD!B339</f>
        <v>0.99502487562189068</v>
      </c>
      <c r="E339" s="3">
        <f>1/CAD!C339</f>
        <v>0.99433230585661725</v>
      </c>
      <c r="F339" s="3">
        <f>EUR!B339/1</f>
        <v>1.4044000000000001</v>
      </c>
      <c r="G339" s="3">
        <f>EUR!C339/1</f>
        <v>1.4039999999999999</v>
      </c>
      <c r="H339" s="3">
        <f>GBP!B339/1</f>
        <v>1.6020000000000001</v>
      </c>
      <c r="I339" s="3">
        <f>GBP!C339/1</f>
        <v>1.6016999999999999</v>
      </c>
      <c r="J339" s="4">
        <f>1/INR!B339</f>
        <v>2.2688598979013045E-2</v>
      </c>
      <c r="K339" s="4">
        <f>1/INR!C339</f>
        <v>2.2532672374943667E-2</v>
      </c>
      <c r="L339" s="4">
        <f>1/JPY!B339</f>
        <v>1.2298761514715468E-2</v>
      </c>
      <c r="M339" s="4">
        <f>1/JPY!C339</f>
        <v>1.230195391934101E-2</v>
      </c>
      <c r="N339" s="5">
        <f>1/KRW!B339</f>
        <v>8.971828458639872E-4</v>
      </c>
      <c r="O339" s="5">
        <f>1/KRW!C339</f>
        <v>8.9715403004281757E-4</v>
      </c>
      <c r="P339" s="3">
        <f>1/NOK!B339</f>
        <v>0.17359905562113742</v>
      </c>
      <c r="Q339" s="3">
        <f>1/NOK!C339</f>
        <v>0.17332224070992791</v>
      </c>
      <c r="R339" s="3">
        <f>NZD!B339/1</f>
        <v>0.75760000000000005</v>
      </c>
      <c r="S339" s="3">
        <f>NZD!C339/1</f>
        <v>0.75570000000000004</v>
      </c>
      <c r="T339" s="4">
        <f>1/PHP!B339</f>
        <v>2.3142791020597082E-2</v>
      </c>
      <c r="U339" s="4">
        <f>1/PHP!C339</f>
        <v>2.3069008632423033E-2</v>
      </c>
      <c r="V339" s="4">
        <f>1/TWD!B339</f>
        <v>3.2560562646522531E-2</v>
      </c>
      <c r="W339" s="4">
        <f>1/TWD!C339</f>
        <v>3.2560668665891725E-2</v>
      </c>
      <c r="X339" s="4">
        <f>1/TWD!B339</f>
        <v>3.2560562646522531E-2</v>
      </c>
      <c r="Y339" s="4">
        <f>1/TWD!C339</f>
        <v>3.2560668665891725E-2</v>
      </c>
      <c r="Z339" s="4">
        <f>1/ZAR!B339</f>
        <v>0.14683856568089043</v>
      </c>
      <c r="AA339" s="4">
        <f>1/ZAR!C339</f>
        <v>0.14610484483665478</v>
      </c>
    </row>
    <row r="340" spans="1:27" x14ac:dyDescent="0.25">
      <c r="A340" t="str">
        <f>"18/10/2010"</f>
        <v>18/10/2010</v>
      </c>
      <c r="B340" s="3">
        <f>AUD!B340</f>
        <v>0.98519999999999996</v>
      </c>
      <c r="C340" s="3">
        <f>AUD!C340</f>
        <v>0.98129999999999995</v>
      </c>
      <c r="D340" s="3">
        <f>1/CAD!B340</f>
        <v>0.98289758207194799</v>
      </c>
      <c r="E340" s="3">
        <f>1/CAD!C340</f>
        <v>0.98222178567920637</v>
      </c>
      <c r="F340" s="3">
        <f>EUR!B340/1</f>
        <v>1.3888</v>
      </c>
      <c r="G340" s="3">
        <f>EUR!C340/1</f>
        <v>1.3883000000000001</v>
      </c>
      <c r="H340" s="3">
        <f>GBP!B340/1</f>
        <v>1.5941000000000001</v>
      </c>
      <c r="I340" s="3">
        <f>GBP!C340/1</f>
        <v>1.5936999999999999</v>
      </c>
      <c r="J340" s="4">
        <f>1/INR!B340</f>
        <v>2.2614201718679332E-2</v>
      </c>
      <c r="K340" s="4">
        <f>1/INR!C340</f>
        <v>2.2452989054167836E-2</v>
      </c>
      <c r="L340" s="4">
        <f>1/JPY!B340</f>
        <v>1.2302695520588561E-2</v>
      </c>
      <c r="M340" s="4">
        <f>1/JPY!C340</f>
        <v>1.2306117124700346E-2</v>
      </c>
      <c r="N340" s="5">
        <f>1/KRW!B340</f>
        <v>8.943743851176103E-4</v>
      </c>
      <c r="O340" s="5">
        <f>1/KRW!C340</f>
        <v>8.9434502954781824E-4</v>
      </c>
      <c r="P340" s="3">
        <f>1/NOK!B340</f>
        <v>0.17142955102600585</v>
      </c>
      <c r="Q340" s="3">
        <f>1/NOK!C340</f>
        <v>0.17115081810091051</v>
      </c>
      <c r="R340" s="3">
        <f>NZD!B340/1</f>
        <v>0.75249999999999995</v>
      </c>
      <c r="S340" s="3">
        <f>NZD!C340/1</f>
        <v>0.75049999999999994</v>
      </c>
      <c r="T340" s="4">
        <f>1/PHP!B340</f>
        <v>2.3126734505087881E-2</v>
      </c>
      <c r="U340" s="4">
        <f>1/PHP!C340</f>
        <v>2.3050450521055435E-2</v>
      </c>
      <c r="V340" s="4">
        <f>1/TWD!B340</f>
        <v>3.2448569018106298E-2</v>
      </c>
      <c r="W340" s="4">
        <f>1/TWD!C340</f>
        <v>3.2448674309411091E-2</v>
      </c>
      <c r="X340" s="4">
        <f>1/TWD!B340</f>
        <v>3.2448569018106298E-2</v>
      </c>
      <c r="Y340" s="4">
        <f>1/TWD!C340</f>
        <v>3.2448674309411091E-2</v>
      </c>
      <c r="Z340" s="4">
        <f>1/ZAR!B340</f>
        <v>0.14546724077737694</v>
      </c>
      <c r="AA340" s="4">
        <f>1/ZAR!C340</f>
        <v>0.14475550794707739</v>
      </c>
    </row>
    <row r="341" spans="1:27" x14ac:dyDescent="0.25">
      <c r="A341" t="str">
        <f>"19/10/2010"</f>
        <v>19/10/2010</v>
      </c>
      <c r="B341" s="3">
        <f>AUD!B341</f>
        <v>0.98750000000000004</v>
      </c>
      <c r="C341" s="3">
        <f>AUD!C341</f>
        <v>0.98370000000000002</v>
      </c>
      <c r="D341" s="3">
        <f>1/CAD!B341</f>
        <v>0.98145058396309759</v>
      </c>
      <c r="E341" s="3">
        <f>1/CAD!C341</f>
        <v>0.98068059233107774</v>
      </c>
      <c r="F341" s="3">
        <f>EUR!B341/1</f>
        <v>1.3924000000000001</v>
      </c>
      <c r="G341" s="3">
        <f>EUR!C341/1</f>
        <v>1.3917999999999999</v>
      </c>
      <c r="H341" s="3">
        <f>GBP!B341/1</f>
        <v>1.5886</v>
      </c>
      <c r="I341" s="3">
        <f>GBP!C341/1</f>
        <v>1.5882000000000001</v>
      </c>
      <c r="J341" s="4">
        <f>1/INR!B341</f>
        <v>2.247191011235955E-2</v>
      </c>
      <c r="K341" s="4">
        <f>1/INR!C341</f>
        <v>2.2311468094600623E-2</v>
      </c>
      <c r="L341" s="4">
        <f>1/JPY!B341</f>
        <v>1.2284861365339492E-2</v>
      </c>
      <c r="M341" s="4">
        <f>1/JPY!C341</f>
        <v>1.2288122055458752E-2</v>
      </c>
      <c r="N341" s="5">
        <f>1/KRW!B341</f>
        <v>8.8560232027807921E-4</v>
      </c>
      <c r="O341" s="5">
        <f>1/KRW!C341</f>
        <v>8.8557283190074214E-4</v>
      </c>
      <c r="P341" s="3">
        <f>1/NOK!B341</f>
        <v>0.17060188344479324</v>
      </c>
      <c r="Q341" s="3">
        <f>1/NOK!C341</f>
        <v>0.17032003133888576</v>
      </c>
      <c r="R341" s="3">
        <f>NZD!B341/1</f>
        <v>0.75449999999999995</v>
      </c>
      <c r="S341" s="3">
        <f>NZD!C341/1</f>
        <v>0.75249999999999995</v>
      </c>
      <c r="T341" s="4">
        <f>1/PHP!B341</f>
        <v>2.3009664058904738E-2</v>
      </c>
      <c r="U341" s="4">
        <f>1/PHP!C341</f>
        <v>2.2934622564916449E-2</v>
      </c>
      <c r="V341" s="4">
        <f>1/TWD!B341</f>
        <v>3.2357223750202231E-2</v>
      </c>
      <c r="W341" s="4">
        <f>1/TWD!C341</f>
        <v>3.2357328449533894E-2</v>
      </c>
      <c r="X341" s="4">
        <f>1/TWD!B341</f>
        <v>3.2357223750202231E-2</v>
      </c>
      <c r="Y341" s="4">
        <f>1/TWD!C341</f>
        <v>3.2357328449533894E-2</v>
      </c>
      <c r="Z341" s="4">
        <f>1/ZAR!B341</f>
        <v>0.14494854326714016</v>
      </c>
      <c r="AA341" s="4">
        <f>1/ZAR!C341</f>
        <v>0.14419610670511898</v>
      </c>
    </row>
    <row r="342" spans="1:27" x14ac:dyDescent="0.25">
      <c r="A342" t="str">
        <f>"20/10/2010"</f>
        <v>20/10/2010</v>
      </c>
      <c r="B342" s="3">
        <f>AUD!B342</f>
        <v>0.97509999999999997</v>
      </c>
      <c r="C342" s="3">
        <f>AUD!C342</f>
        <v>0.97150000000000003</v>
      </c>
      <c r="D342" s="3">
        <f>1/CAD!B342</f>
        <v>0.97153405226853196</v>
      </c>
      <c r="E342" s="3">
        <f>1/CAD!C342</f>
        <v>0.970873786407767</v>
      </c>
      <c r="F342" s="3">
        <f>EUR!B342/1</f>
        <v>1.3781000000000001</v>
      </c>
      <c r="G342" s="3">
        <f>EUR!C342/1</f>
        <v>1.3774999999999999</v>
      </c>
      <c r="H342" s="3">
        <f>GBP!B342/1</f>
        <v>1.5725</v>
      </c>
      <c r="I342" s="3">
        <f>GBP!C342/1</f>
        <v>1.5721000000000001</v>
      </c>
      <c r="J342" s="4">
        <f>1/INR!B342</f>
        <v>2.2573363431151242E-2</v>
      </c>
      <c r="K342" s="4">
        <f>1/INR!C342</f>
        <v>2.2413986327468341E-2</v>
      </c>
      <c r="L342" s="4">
        <f>1/JPY!B342</f>
        <v>1.2288031457360531E-2</v>
      </c>
      <c r="M342" s="4">
        <f>1/JPY!C342</f>
        <v>1.2290976579544127E-2</v>
      </c>
      <c r="N342" s="5">
        <f>1/KRW!B342</f>
        <v>8.8715400993612486E-4</v>
      </c>
      <c r="O342" s="5">
        <f>1/KRW!C342</f>
        <v>8.871233163508359E-4</v>
      </c>
      <c r="P342" s="3">
        <f>1/NOK!B342</f>
        <v>0.16866250632484397</v>
      </c>
      <c r="Q342" s="3">
        <f>1/NOK!C342</f>
        <v>0.16839269175717772</v>
      </c>
      <c r="R342" s="3">
        <f>NZD!B342/1</f>
        <v>0.74609999999999999</v>
      </c>
      <c r="S342" s="3">
        <f>NZD!C342/1</f>
        <v>0.74419999999999997</v>
      </c>
      <c r="T342" s="4">
        <f>1/PHP!B342</f>
        <v>2.2988505747126436E-2</v>
      </c>
      <c r="U342" s="4">
        <f>1/PHP!C342</f>
        <v>2.2910084790223811E-2</v>
      </c>
      <c r="V342" s="4">
        <f>1/TWD!B342</f>
        <v>3.2406507226651109E-2</v>
      </c>
      <c r="W342" s="4">
        <f>1/TWD!C342</f>
        <v>3.2406612245162503E-2</v>
      </c>
      <c r="X342" s="4">
        <f>1/TWD!B342</f>
        <v>3.2406507226651109E-2</v>
      </c>
      <c r="Y342" s="4">
        <f>1/TWD!C342</f>
        <v>3.2406612245162503E-2</v>
      </c>
      <c r="Z342" s="4">
        <f>1/ZAR!B342</f>
        <v>0.14347202295552366</v>
      </c>
      <c r="AA342" s="4">
        <f>1/ZAR!C342</f>
        <v>0.14273683609529111</v>
      </c>
    </row>
    <row r="343" spans="1:27" x14ac:dyDescent="0.25">
      <c r="A343" t="str">
        <f>"21/10/2010"</f>
        <v>21/10/2010</v>
      </c>
      <c r="B343" s="3">
        <f>AUD!B343</f>
        <v>0.98250000000000004</v>
      </c>
      <c r="C343" s="3">
        <f>AUD!C343</f>
        <v>0.97870000000000001</v>
      </c>
      <c r="D343" s="3">
        <f>1/CAD!B343</f>
        <v>0.97599063048994739</v>
      </c>
      <c r="E343" s="3">
        <f>1/CAD!C343</f>
        <v>0.97532429532819653</v>
      </c>
      <c r="F343" s="3">
        <f>EUR!B343/1</f>
        <v>1.3912</v>
      </c>
      <c r="G343" s="3">
        <f>EUR!C343/1</f>
        <v>1.3906000000000001</v>
      </c>
      <c r="H343" s="3">
        <f>GBP!B343/1</f>
        <v>1.5791999999999999</v>
      </c>
      <c r="I343" s="3">
        <f>GBP!C343/1</f>
        <v>1.5788</v>
      </c>
      <c r="J343" s="4">
        <f>1/INR!B343</f>
        <v>2.2527596305474205E-2</v>
      </c>
      <c r="K343" s="4">
        <f>1/INR!C343</f>
        <v>2.2341376228775692E-2</v>
      </c>
      <c r="L343" s="4">
        <f>1/JPY!B343</f>
        <v>1.2321492379156963E-2</v>
      </c>
      <c r="M343" s="4">
        <f>1/JPY!C343</f>
        <v>1.2324392807977333E-2</v>
      </c>
      <c r="N343" s="5">
        <f>1/KRW!B343</f>
        <v>8.8678032234464717E-4</v>
      </c>
      <c r="O343" s="5">
        <f>1/KRW!C343</f>
        <v>8.8677245862098014E-4</v>
      </c>
      <c r="P343" s="3">
        <f>1/NOK!B343</f>
        <v>0.1707562795621809</v>
      </c>
      <c r="Q343" s="3">
        <f>1/NOK!C343</f>
        <v>0.17047391749062393</v>
      </c>
      <c r="R343" s="3">
        <f>NZD!B343/1</f>
        <v>0.74980000000000002</v>
      </c>
      <c r="S343" s="3">
        <f>NZD!C343/1</f>
        <v>0.748</v>
      </c>
      <c r="T343" s="4">
        <f>1/PHP!B343</f>
        <v>2.3089355806972984E-2</v>
      </c>
      <c r="U343" s="4">
        <f>1/PHP!C343</f>
        <v>2.301522457105375E-2</v>
      </c>
      <c r="V343" s="4">
        <f>1/TWD!B343</f>
        <v>3.2461208855417777E-2</v>
      </c>
      <c r="W343" s="4">
        <f>1/TWD!C343</f>
        <v>3.2461314228767864E-2</v>
      </c>
      <c r="X343" s="4">
        <f>1/TWD!B343</f>
        <v>3.2461208855417777E-2</v>
      </c>
      <c r="Y343" s="4">
        <f>1/TWD!C343</f>
        <v>3.2461314228767864E-2</v>
      </c>
      <c r="Z343" s="4">
        <f>1/ZAR!B343</f>
        <v>0.14364307568553658</v>
      </c>
      <c r="AA343" s="4">
        <f>1/ZAR!C343</f>
        <v>0.14294495189902368</v>
      </c>
    </row>
    <row r="344" spans="1:27" x14ac:dyDescent="0.25">
      <c r="A344" t="str">
        <f>"22/10/2010"</f>
        <v>22/10/2010</v>
      </c>
      <c r="B344" s="3">
        <f>AUD!B344</f>
        <v>0.98150000000000004</v>
      </c>
      <c r="C344" s="3">
        <f>AUD!C344</f>
        <v>0.9778</v>
      </c>
      <c r="D344" s="3">
        <f>1/CAD!B344</f>
        <v>0.97541943035505274</v>
      </c>
      <c r="E344" s="3">
        <f>1/CAD!C344</f>
        <v>0.97475387464665164</v>
      </c>
      <c r="F344" s="3">
        <f>EUR!B344/1</f>
        <v>1.3928</v>
      </c>
      <c r="G344" s="3">
        <f>EUR!C344/1</f>
        <v>1.3923000000000001</v>
      </c>
      <c r="H344" s="3">
        <f>GBP!B344/1</f>
        <v>1.571</v>
      </c>
      <c r="I344" s="3">
        <f>GBP!C344/1</f>
        <v>1.5706</v>
      </c>
      <c r="J344" s="4">
        <f>1/INR!B344</f>
        <v>2.2436616558223019E-2</v>
      </c>
      <c r="K344" s="4">
        <f>1/INR!C344</f>
        <v>2.2295301265258347E-2</v>
      </c>
      <c r="L344" s="4">
        <f>1/JPY!B344</f>
        <v>1.2316787781746521E-2</v>
      </c>
      <c r="M344" s="4">
        <f>1/JPY!C344</f>
        <v>1.2319306570871739E-2</v>
      </c>
      <c r="N344" s="5">
        <f>1/KRW!B344</f>
        <v>8.8315817362889695E-4</v>
      </c>
      <c r="O344" s="5">
        <f>1/KRW!C344</f>
        <v>8.8313149951666208E-4</v>
      </c>
      <c r="P344" s="3">
        <f>1/NOK!B344</f>
        <v>0.17073878673018147</v>
      </c>
      <c r="Q344" s="3">
        <f>1/NOK!C344</f>
        <v>0.17045938805079688</v>
      </c>
      <c r="R344" s="3">
        <f>NZD!B344/1</f>
        <v>0.74850000000000005</v>
      </c>
      <c r="S344" s="3">
        <f>NZD!C344/1</f>
        <v>0.74650000000000005</v>
      </c>
      <c r="T344" s="4">
        <f>1/PHP!B344</f>
        <v>2.3094688221709007E-2</v>
      </c>
      <c r="U344" s="4">
        <f>1/PHP!C344</f>
        <v>2.303568919326713E-2</v>
      </c>
      <c r="V344" s="4">
        <f>1/TWD!B344</f>
        <v>3.2465424323095904E-2</v>
      </c>
      <c r="W344" s="4">
        <f>1/TWD!C344</f>
        <v>3.2465529723815736E-2</v>
      </c>
      <c r="X344" s="4">
        <f>1/TWD!B344</f>
        <v>3.2465424323095904E-2</v>
      </c>
      <c r="Y344" s="4">
        <f>1/TWD!C344</f>
        <v>3.2465529723815736E-2</v>
      </c>
      <c r="Z344" s="4">
        <f>1/ZAR!B344</f>
        <v>0.14324595330181922</v>
      </c>
      <c r="AA344" s="4">
        <f>1/ZAR!C344</f>
        <v>0.14251916882820739</v>
      </c>
    </row>
    <row r="345" spans="1:27" x14ac:dyDescent="0.25">
      <c r="A345" t="str">
        <f>"25/10/2010"</f>
        <v>25/10/2010</v>
      </c>
      <c r="B345" s="3">
        <f>AUD!B345</f>
        <v>0.99370000000000003</v>
      </c>
      <c r="C345" s="3">
        <f>AUD!C345</f>
        <v>0.98970000000000002</v>
      </c>
      <c r="D345" s="3">
        <f>1/CAD!B345</f>
        <v>0.97924010967489217</v>
      </c>
      <c r="E345" s="3">
        <f>1/CAD!C345</f>
        <v>0.97856933163714643</v>
      </c>
      <c r="F345" s="3">
        <f>EUR!B345/1</f>
        <v>1.4036999999999999</v>
      </c>
      <c r="G345" s="3">
        <f>EUR!C345/1</f>
        <v>1.4031</v>
      </c>
      <c r="H345" s="3">
        <f>GBP!B345/1</f>
        <v>1.5753999999999999</v>
      </c>
      <c r="I345" s="3">
        <f>GBP!C345/1</f>
        <v>1.575</v>
      </c>
      <c r="J345" s="4">
        <f>1/INR!B345</f>
        <v>2.2504782266231572E-2</v>
      </c>
      <c r="K345" s="4">
        <f>1/INR!C345</f>
        <v>2.2345120384336073E-2</v>
      </c>
      <c r="L345" s="4">
        <f>1/JPY!B345</f>
        <v>1.2339280866711088E-2</v>
      </c>
      <c r="M345" s="4">
        <f>1/JPY!C345</f>
        <v>1.2342022116903634E-2</v>
      </c>
      <c r="N345" s="5">
        <f>1/KRW!B345</f>
        <v>8.9521507542187012E-4</v>
      </c>
      <c r="O345" s="5">
        <f>1/KRW!C345</f>
        <v>8.9518269962753235E-4</v>
      </c>
      <c r="P345" s="3">
        <f>1/NOK!B345</f>
        <v>0.17322616407982261</v>
      </c>
      <c r="Q345" s="3">
        <f>1/NOK!C345</f>
        <v>0.17293857221914777</v>
      </c>
      <c r="R345" s="3">
        <f>NZD!B345/1</f>
        <v>0.753</v>
      </c>
      <c r="S345" s="3">
        <f>NZD!C345/1</f>
        <v>0.751</v>
      </c>
      <c r="T345" s="4">
        <f>1/PHP!B345</f>
        <v>2.3207240659085634E-2</v>
      </c>
      <c r="U345" s="4">
        <f>1/PHP!C345</f>
        <v>2.3148630411281717E-2</v>
      </c>
      <c r="V345" s="4">
        <f>1/TWD!B345</f>
        <v>3.2624298577580584E-2</v>
      </c>
      <c r="W345" s="4">
        <f>1/TWD!C345</f>
        <v>3.2624405012413586E-2</v>
      </c>
      <c r="X345" s="4">
        <f>1/TWD!B345</f>
        <v>3.2624298577580584E-2</v>
      </c>
      <c r="Y345" s="4">
        <f>1/TWD!C345</f>
        <v>3.2624405012413586E-2</v>
      </c>
      <c r="Z345" s="4">
        <f>1/ZAR!B345</f>
        <v>0.14462152546785062</v>
      </c>
      <c r="AA345" s="4">
        <f>1/ZAR!C345</f>
        <v>0.1439097398111904</v>
      </c>
    </row>
    <row r="346" spans="1:27" x14ac:dyDescent="0.25">
      <c r="A346" t="str">
        <f>"26/10/2010"</f>
        <v>26/10/2010</v>
      </c>
      <c r="B346" s="3">
        <f>AUD!B346</f>
        <v>0.99150000000000005</v>
      </c>
      <c r="C346" s="3">
        <f>AUD!C346</f>
        <v>0.98760000000000003</v>
      </c>
      <c r="D346" s="3">
        <f>1/CAD!B346</f>
        <v>0.98058442831927828</v>
      </c>
      <c r="E346" s="3">
        <f>1/CAD!C346</f>
        <v>0.97981579463060953</v>
      </c>
      <c r="F346" s="3">
        <f>EUR!B346/1</f>
        <v>1.3958999999999999</v>
      </c>
      <c r="G346" s="3">
        <f>EUR!C346/1</f>
        <v>1.3953</v>
      </c>
      <c r="H346" s="3">
        <f>GBP!B346/1</f>
        <v>1.5733999999999999</v>
      </c>
      <c r="I346" s="3">
        <f>GBP!C346/1</f>
        <v>1.573</v>
      </c>
      <c r="J346" s="4">
        <f>1/INR!B346</f>
        <v>2.2479487467685737E-2</v>
      </c>
      <c r="K346" s="4">
        <f>1/INR!C346</f>
        <v>2.2327658386826682E-2</v>
      </c>
      <c r="L346" s="4">
        <f>1/JPY!B346</f>
        <v>1.2376850339125698E-2</v>
      </c>
      <c r="M346" s="4">
        <f>1/JPY!C346</f>
        <v>1.2379547007615897E-2</v>
      </c>
      <c r="N346" s="5">
        <f>1/KRW!B346</f>
        <v>8.94254415381176E-4</v>
      </c>
      <c r="O346" s="5">
        <f>1/KRW!C346</f>
        <v>8.9422434801208551E-4</v>
      </c>
      <c r="P346" s="3">
        <f>1/NOK!B346</f>
        <v>0.1728190239181529</v>
      </c>
      <c r="Q346" s="3">
        <f>1/NOK!C346</f>
        <v>0.17252682792174184</v>
      </c>
      <c r="R346" s="3">
        <f>NZD!B346/1</f>
        <v>0.75280000000000002</v>
      </c>
      <c r="S346" s="3">
        <f>NZD!C346/1</f>
        <v>0.75080000000000002</v>
      </c>
      <c r="T346" s="4">
        <f>1/PHP!B346</f>
        <v>2.316423442205235E-2</v>
      </c>
      <c r="U346" s="4">
        <f>1/PHP!C346</f>
        <v>2.3099756297571061E-2</v>
      </c>
      <c r="V346" s="4">
        <f>1/TWD!B346</f>
        <v>3.2722513089005235E-2</v>
      </c>
      <c r="W346" s="4">
        <f>1/TWD!C346</f>
        <v>3.2722620165641904E-2</v>
      </c>
      <c r="X346" s="4">
        <f>1/TWD!B346</f>
        <v>3.2722513089005235E-2</v>
      </c>
      <c r="Y346" s="4">
        <f>1/TWD!C346</f>
        <v>3.2722620165641904E-2</v>
      </c>
      <c r="Z346" s="4">
        <f>1/ZAR!B346</f>
        <v>0.14439390657714243</v>
      </c>
      <c r="AA346" s="4">
        <f>1/ZAR!C346</f>
        <v>0.14363275975984602</v>
      </c>
    </row>
    <row r="347" spans="1:27" x14ac:dyDescent="0.25">
      <c r="A347" t="str">
        <f>"27/10/2010"</f>
        <v>27/10/2010</v>
      </c>
      <c r="B347" s="3">
        <f>AUD!B347</f>
        <v>0.9728</v>
      </c>
      <c r="C347" s="3">
        <f>AUD!C347</f>
        <v>0.96909999999999996</v>
      </c>
      <c r="D347" s="3">
        <f>1/CAD!B347</f>
        <v>0.97437396472766247</v>
      </c>
      <c r="E347" s="3">
        <f>1/CAD!C347</f>
        <v>0.97361503261610371</v>
      </c>
      <c r="F347" s="3">
        <f>EUR!B347/1</f>
        <v>1.3815999999999999</v>
      </c>
      <c r="G347" s="3">
        <f>EUR!C347/1</f>
        <v>1.381</v>
      </c>
      <c r="H347" s="3">
        <f>GBP!B347/1</f>
        <v>1.5826</v>
      </c>
      <c r="I347" s="3">
        <f>GBP!C347/1</f>
        <v>1.5822000000000001</v>
      </c>
      <c r="J347" s="4">
        <f>1/INR!B347</f>
        <v>2.244165170556553E-2</v>
      </c>
      <c r="K347" s="4">
        <f>1/INR!C347</f>
        <v>2.2279157847833353E-2</v>
      </c>
      <c r="L347" s="4">
        <f>1/JPY!B347</f>
        <v>1.2239452651677417E-2</v>
      </c>
      <c r="M347" s="4">
        <f>1/JPY!C347</f>
        <v>1.2242269618849177E-2</v>
      </c>
      <c r="N347" s="5">
        <f>1/KRW!B347</f>
        <v>8.8587690740371625E-4</v>
      </c>
      <c r="O347" s="5">
        <f>1/KRW!C347</f>
        <v>8.8584889171888087E-4</v>
      </c>
      <c r="P347" s="3">
        <f>1/NOK!B347</f>
        <v>0.16957200027131519</v>
      </c>
      <c r="Q347" s="3">
        <f>1/NOK!C347</f>
        <v>0.16929067208396817</v>
      </c>
      <c r="R347" s="3">
        <f>NZD!B347/1</f>
        <v>0.74750000000000005</v>
      </c>
      <c r="S347" s="3">
        <f>NZD!C347/1</f>
        <v>0.74560000000000004</v>
      </c>
      <c r="T347" s="4">
        <f>1/PHP!B347</f>
        <v>2.3132084200786492E-2</v>
      </c>
      <c r="U347" s="4">
        <f>1/PHP!C347</f>
        <v>2.3082853594692788E-2</v>
      </c>
      <c r="V347" s="4">
        <f>1/TWD!B347</f>
        <v>3.2484407484407486E-2</v>
      </c>
      <c r="W347" s="4">
        <f>1/TWD!C347</f>
        <v>3.2484513008423234E-2</v>
      </c>
      <c r="X347" s="4">
        <f>1/TWD!B347</f>
        <v>3.2484407484407486E-2</v>
      </c>
      <c r="Y347" s="4">
        <f>1/TWD!C347</f>
        <v>3.2484513008423234E-2</v>
      </c>
      <c r="Z347" s="4">
        <f>1/ZAR!B347</f>
        <v>0.14336917562724016</v>
      </c>
      <c r="AA347" s="4">
        <f>1/ZAR!C347</f>
        <v>0.14264114341140557</v>
      </c>
    </row>
    <row r="348" spans="1:27" x14ac:dyDescent="0.25">
      <c r="A348" t="str">
        <f>"28/10/2010"</f>
        <v>28/10/2010</v>
      </c>
      <c r="B348" s="3">
        <f>AUD!B348</f>
        <v>0.97650000000000003</v>
      </c>
      <c r="C348" s="3">
        <f>AUD!C348</f>
        <v>0.97299999999999998</v>
      </c>
      <c r="D348" s="3">
        <f>1/CAD!B348</f>
        <v>0.97380465478625</v>
      </c>
      <c r="E348" s="3">
        <f>1/CAD!C348</f>
        <v>0.97314130011677691</v>
      </c>
      <c r="F348" s="3">
        <f>EUR!B348/1</f>
        <v>1.3821000000000001</v>
      </c>
      <c r="G348" s="3">
        <f>EUR!C348/1</f>
        <v>1.3815999999999999</v>
      </c>
      <c r="H348" s="3">
        <f>GBP!B348/1</f>
        <v>1.5801000000000001</v>
      </c>
      <c r="I348" s="3">
        <f>GBP!C348/1</f>
        <v>1.5797000000000001</v>
      </c>
      <c r="J348" s="4">
        <f>1/INR!B348</f>
        <v>2.2478224220286599E-2</v>
      </c>
      <c r="K348" s="4">
        <f>1/INR!C348</f>
        <v>2.2301516503122211E-2</v>
      </c>
      <c r="L348" s="4">
        <f>1/JPY!B348</f>
        <v>1.2251899044351873E-2</v>
      </c>
      <c r="M348" s="4">
        <f>1/JPY!C348</f>
        <v>1.2254706726485976E-2</v>
      </c>
      <c r="N348" s="5">
        <f>1/KRW!B348</f>
        <v>8.8944231966556968E-4</v>
      </c>
      <c r="O348" s="5">
        <f>1/KRW!C348</f>
        <v>8.8941075559090276E-4</v>
      </c>
      <c r="P348" s="3">
        <f>1/NOK!B348</f>
        <v>0.16969861525929947</v>
      </c>
      <c r="Q348" s="3">
        <f>1/NOK!C348</f>
        <v>0.16941112692281629</v>
      </c>
      <c r="R348" s="3">
        <f>NZD!B348/1</f>
        <v>0.74829999999999997</v>
      </c>
      <c r="S348" s="3">
        <f>NZD!C348/1</f>
        <v>0.74650000000000005</v>
      </c>
      <c r="T348" s="4">
        <f>1/PHP!B348</f>
        <v>2.3192439264799674E-2</v>
      </c>
      <c r="U348" s="4">
        <f>1/PHP!C348</f>
        <v>2.3139577934098481E-2</v>
      </c>
      <c r="V348" s="4">
        <f>1/TWD!B348</f>
        <v>3.2602494090797948E-2</v>
      </c>
      <c r="W348" s="4">
        <f>1/TWD!C348</f>
        <v>3.260260038340658E-2</v>
      </c>
      <c r="X348" s="4">
        <f>1/TWD!B348</f>
        <v>3.2602494090797948E-2</v>
      </c>
      <c r="Y348" s="4">
        <f>1/TWD!C348</f>
        <v>3.260260038340658E-2</v>
      </c>
      <c r="Z348" s="4">
        <f>1/ZAR!B348</f>
        <v>0.14164305949008499</v>
      </c>
      <c r="AA348" s="4">
        <f>1/ZAR!C348</f>
        <v>0.14092446448703494</v>
      </c>
    </row>
    <row r="349" spans="1:27" x14ac:dyDescent="0.25">
      <c r="A349" t="str">
        <f>"29/10/2010"</f>
        <v>29/10/2010</v>
      </c>
      <c r="B349" s="3">
        <f>AUD!B349</f>
        <v>0.9768</v>
      </c>
      <c r="C349" s="3">
        <f>AUD!C349</f>
        <v>0.97330000000000005</v>
      </c>
      <c r="D349" s="3">
        <f>1/CAD!B349</f>
        <v>0.97924010967489217</v>
      </c>
      <c r="E349" s="3">
        <f>1/CAD!C349</f>
        <v>0.97856933163714643</v>
      </c>
      <c r="F349" s="3">
        <f>EUR!B349/1</f>
        <v>1.39</v>
      </c>
      <c r="G349" s="3">
        <f>EUR!C349/1</f>
        <v>1.3895</v>
      </c>
      <c r="H349" s="3">
        <f>GBP!B349/1</f>
        <v>1.5945</v>
      </c>
      <c r="I349" s="3">
        <f>GBP!C349/1</f>
        <v>1.5941000000000001</v>
      </c>
      <c r="J349" s="4">
        <f>1/INR!B349</f>
        <v>2.2436616558223019E-2</v>
      </c>
      <c r="K349" s="4">
        <f>1/INR!C349</f>
        <v>2.2266755733689605E-2</v>
      </c>
      <c r="L349" s="4">
        <f>1/JPY!B349</f>
        <v>1.2411490557958559E-2</v>
      </c>
      <c r="M349" s="4">
        <f>1/JPY!C349</f>
        <v>1.2414109877286524E-2</v>
      </c>
      <c r="N349" s="5">
        <f>1/KRW!B349</f>
        <v>8.8928412627834591E-4</v>
      </c>
      <c r="O349" s="5">
        <f>1/KRW!C349</f>
        <v>8.8925708084289473E-4</v>
      </c>
      <c r="P349" s="3">
        <f>1/NOK!B349</f>
        <v>0.16943409013893596</v>
      </c>
      <c r="Q349" s="3">
        <f>1/NOK!C349</f>
        <v>0.16917038841521181</v>
      </c>
      <c r="R349" s="3">
        <f>NZD!B349/1</f>
        <v>0.75390000000000001</v>
      </c>
      <c r="S349" s="3">
        <f>NZD!C349/1</f>
        <v>0.752</v>
      </c>
      <c r="T349" s="4">
        <f>1/PHP!B349</f>
        <v>2.3220712875885292E-2</v>
      </c>
      <c r="U349" s="4">
        <f>1/PHP!C349</f>
        <v>2.3174219144685919E-2</v>
      </c>
      <c r="V349" s="4">
        <f>1/TWD!B349</f>
        <v>3.268507926131721E-2</v>
      </c>
      <c r="W349" s="4">
        <f>1/TWD!C349</f>
        <v>3.268518609310702E-2</v>
      </c>
      <c r="X349" s="4">
        <f>1/TWD!B349</f>
        <v>3.268507926131721E-2</v>
      </c>
      <c r="Y349" s="4">
        <f>1/TWD!C349</f>
        <v>3.268518609310702E-2</v>
      </c>
      <c r="Z349" s="4">
        <f>1/ZAR!B349</f>
        <v>0.1423994304022784</v>
      </c>
      <c r="AA349" s="4">
        <f>1/ZAR!C349</f>
        <v>0.14173942623880259</v>
      </c>
    </row>
    <row r="350" spans="1:27" x14ac:dyDescent="0.25">
      <c r="A350" t="str">
        <f>"01/11/2010"</f>
        <v>01/11/2010</v>
      </c>
      <c r="B350" s="3">
        <f>AUD!B350</f>
        <v>0.98799999999999999</v>
      </c>
      <c r="C350" s="3">
        <f>AUD!C350</f>
        <v>0.98440000000000005</v>
      </c>
      <c r="D350" s="3">
        <f>1/CAD!B350</f>
        <v>0.98309083759339355</v>
      </c>
      <c r="E350" s="3">
        <f>1/CAD!C350</f>
        <v>0.98241477551822376</v>
      </c>
      <c r="F350" s="3">
        <f>EUR!B350/1</f>
        <v>1.3973</v>
      </c>
      <c r="G350" s="3">
        <f>EUR!C350/1</f>
        <v>1.3968</v>
      </c>
      <c r="H350" s="3">
        <f>GBP!B350/1</f>
        <v>1.6061000000000001</v>
      </c>
      <c r="I350" s="3">
        <f>GBP!C350/1</f>
        <v>1.6056999999999999</v>
      </c>
      <c r="J350" s="4">
        <f>1/INR!B350</f>
        <v>2.2484541877459244E-2</v>
      </c>
      <c r="K350" s="4">
        <f>1/INR!C350</f>
        <v>2.2327658386826682E-2</v>
      </c>
      <c r="L350" s="4">
        <f>1/JPY!B350</f>
        <v>1.2399256044637321E-2</v>
      </c>
      <c r="M350" s="4">
        <f>1/JPY!C350</f>
        <v>1.2402270111521214E-2</v>
      </c>
      <c r="N350" s="5">
        <f>1/KRW!B350</f>
        <v>8.9551570510667839E-4</v>
      </c>
      <c r="O350" s="5">
        <f>1/KRW!C350</f>
        <v>8.9548410945538084E-4</v>
      </c>
      <c r="P350" s="3">
        <f>1/NOK!B350</f>
        <v>0.17119183757318451</v>
      </c>
      <c r="Q350" s="3">
        <f>1/NOK!C350</f>
        <v>0.1709255619177848</v>
      </c>
      <c r="R350" s="3">
        <f>NZD!B350/1</f>
        <v>0.76590000000000003</v>
      </c>
      <c r="S350" s="3">
        <f>NZD!C350/1</f>
        <v>0.76400000000000001</v>
      </c>
      <c r="T350" s="4">
        <f>1/PHP!B350</f>
        <v>2.3342670401493928E-2</v>
      </c>
      <c r="U350" s="4">
        <f>1/PHP!C350</f>
        <v>2.3296338747402459E-2</v>
      </c>
      <c r="V350" s="4">
        <f>1/TWD!B350</f>
        <v>3.2821320729946174E-2</v>
      </c>
      <c r="W350" s="4">
        <f>1/TWD!C350</f>
        <v>3.2821428454209184E-2</v>
      </c>
      <c r="X350" s="4">
        <f>1/TWD!B350</f>
        <v>3.2821320729946174E-2</v>
      </c>
      <c r="Y350" s="4">
        <f>1/TWD!C350</f>
        <v>3.2821428454209184E-2</v>
      </c>
      <c r="Z350" s="4">
        <f>1/ZAR!B350</f>
        <v>0.14322543683758235</v>
      </c>
      <c r="AA350" s="4">
        <f>1/ZAR!C350</f>
        <v>0.14255370710915338</v>
      </c>
    </row>
    <row r="351" spans="1:27" x14ac:dyDescent="0.25">
      <c r="A351" t="str">
        <f>"02/11/2010"</f>
        <v>02/11/2010</v>
      </c>
      <c r="B351" s="3">
        <f>AUD!B351</f>
        <v>0.99839999999999995</v>
      </c>
      <c r="C351" s="3">
        <f>AUD!C351</f>
        <v>0.99439999999999995</v>
      </c>
      <c r="D351" s="3">
        <f>1/CAD!B351</f>
        <v>0.98716683119447202</v>
      </c>
      <c r="E351" s="3">
        <f>1/CAD!C351</f>
        <v>0.98648515339844134</v>
      </c>
      <c r="F351" s="3">
        <f>EUR!B351/1</f>
        <v>1.3914</v>
      </c>
      <c r="G351" s="3">
        <f>EUR!C351/1</f>
        <v>1.3909</v>
      </c>
      <c r="H351" s="3">
        <f>GBP!B351/1</f>
        <v>1.6051</v>
      </c>
      <c r="I351" s="3">
        <f>GBP!C351/1</f>
        <v>1.6047</v>
      </c>
      <c r="J351" s="4">
        <f>1/INR!B351</f>
        <v>2.2511114862963588E-2</v>
      </c>
      <c r="K351" s="4">
        <f>1/INR!C351</f>
        <v>2.2372615918116227E-2</v>
      </c>
      <c r="L351" s="4">
        <f>1/JPY!B351</f>
        <v>1.2417578323875278E-2</v>
      </c>
      <c r="M351" s="4">
        <f>1/JPY!C351</f>
        <v>1.2420339050415398E-2</v>
      </c>
      <c r="N351" s="5">
        <f>1/KRW!B351</f>
        <v>8.9827082865483947E-4</v>
      </c>
      <c r="O351" s="5">
        <f>1/KRW!C351</f>
        <v>8.9824226564005959E-4</v>
      </c>
      <c r="P351" s="3">
        <f>1/NOK!B351</f>
        <v>0.17053787646236229</v>
      </c>
      <c r="Q351" s="3">
        <f>1/NOK!C351</f>
        <v>0.17025913440256069</v>
      </c>
      <c r="R351" s="3">
        <f>NZD!B351/1</f>
        <v>0.76490000000000002</v>
      </c>
      <c r="S351" s="3">
        <f>NZD!C351/1</f>
        <v>0.76300000000000001</v>
      </c>
      <c r="T351" s="4">
        <f>1/PHP!B351</f>
        <v>2.3380874444704231E-2</v>
      </c>
      <c r="U351" s="4">
        <f>1/PHP!C351</f>
        <v>2.3335153475304408E-2</v>
      </c>
      <c r="V351" s="4">
        <f>1/TWD!B351</f>
        <v>3.2797638570022963E-2</v>
      </c>
      <c r="W351" s="4">
        <f>1/TWD!C351</f>
        <v>3.2797746138885336E-2</v>
      </c>
      <c r="X351" s="4">
        <f>1/TWD!B351</f>
        <v>3.2797638570022963E-2</v>
      </c>
      <c r="Y351" s="4">
        <f>1/TWD!C351</f>
        <v>3.2797746138885336E-2</v>
      </c>
      <c r="Z351" s="4">
        <f>1/ZAR!B351</f>
        <v>0.1432870038687491</v>
      </c>
      <c r="AA351" s="4">
        <f>1/ZAR!C351</f>
        <v>0.14259232853272494</v>
      </c>
    </row>
    <row r="352" spans="1:27" x14ac:dyDescent="0.25">
      <c r="A352" t="str">
        <f>"03/11/2010"</f>
        <v>03/11/2010</v>
      </c>
      <c r="B352" s="3">
        <f>AUD!B352</f>
        <v>0.99770000000000003</v>
      </c>
      <c r="C352" s="3">
        <f>AUD!C352</f>
        <v>0.99390000000000001</v>
      </c>
      <c r="D352" s="3">
        <f>1/CAD!B352</f>
        <v>0.99088386841062215</v>
      </c>
      <c r="E352" s="3">
        <f>1/CAD!C352</f>
        <v>0.99029510794216669</v>
      </c>
      <c r="F352" s="3">
        <f>EUR!B352/1</f>
        <v>1.4017999999999999</v>
      </c>
      <c r="G352" s="3">
        <f>EUR!C352/1</f>
        <v>1.4013</v>
      </c>
      <c r="H352" s="3">
        <f>GBP!B352/1</f>
        <v>1.6035999999999999</v>
      </c>
      <c r="I352" s="3">
        <f>GBP!C352/1</f>
        <v>1.6032</v>
      </c>
      <c r="J352" s="4">
        <f>1/INR!B352</f>
        <v>2.2592487997740749E-2</v>
      </c>
      <c r="K352" s="4">
        <f>1/INR!C352</f>
        <v>2.2450468653533145E-2</v>
      </c>
      <c r="L352" s="4">
        <f>1/JPY!B352</f>
        <v>1.2396796667741057E-2</v>
      </c>
      <c r="M352" s="4">
        <f>1/JPY!C352</f>
        <v>1.2399440537242961E-2</v>
      </c>
      <c r="N352" s="5">
        <f>1/KRW!B352</f>
        <v>9.0041419052764281E-4</v>
      </c>
      <c r="O352" s="5">
        <f>1/KRW!C352</f>
        <v>9.0038087011186602E-4</v>
      </c>
      <c r="P352" s="3">
        <f>1/NOK!B352</f>
        <v>0.17091387649763284</v>
      </c>
      <c r="Q352" s="3">
        <f>1/NOK!C352</f>
        <v>0.17063099341364366</v>
      </c>
      <c r="R352" s="3">
        <f>NZD!B352/1</f>
        <v>0.77129999999999999</v>
      </c>
      <c r="S352" s="3">
        <f>NZD!C352/1</f>
        <v>0.76929999999999998</v>
      </c>
      <c r="T352" s="4">
        <f>1/PHP!B352</f>
        <v>2.3507287259050307E-2</v>
      </c>
      <c r="U352" s="4">
        <f>1/PHP!C352</f>
        <v>2.3453697709980955E-2</v>
      </c>
      <c r="V352" s="4">
        <f>1/TWD!B352</f>
        <v>3.2863386900653983E-2</v>
      </c>
      <c r="W352" s="4">
        <f>1/TWD!C352</f>
        <v>3.2863494901228765E-2</v>
      </c>
      <c r="X352" s="4">
        <f>1/TWD!B352</f>
        <v>3.2863386900653983E-2</v>
      </c>
      <c r="Y352" s="4">
        <f>1/TWD!C352</f>
        <v>3.2863494901228765E-2</v>
      </c>
      <c r="Z352" s="4">
        <f>1/ZAR!B352</f>
        <v>0.14499688256702481</v>
      </c>
      <c r="AA352" s="4">
        <f>1/ZAR!C352</f>
        <v>0.14427724315043788</v>
      </c>
    </row>
    <row r="353" spans="1:27" x14ac:dyDescent="0.25">
      <c r="A353" t="str">
        <f>"04/11/2010"</f>
        <v>04/11/2010</v>
      </c>
      <c r="B353" s="3">
        <f>AUD!B353</f>
        <v>1.0053000000000001</v>
      </c>
      <c r="C353" s="3">
        <f>AUD!C353</f>
        <v>1.0015000000000001</v>
      </c>
      <c r="D353" s="3">
        <f>1/CAD!B353</f>
        <v>0.99226036912085724</v>
      </c>
      <c r="E353" s="3">
        <f>1/CAD!C353</f>
        <v>0.99157164105106599</v>
      </c>
      <c r="F353" s="3">
        <f>EUR!B353/1</f>
        <v>1.4136</v>
      </c>
      <c r="G353" s="3">
        <f>EUR!C353/1</f>
        <v>1.413</v>
      </c>
      <c r="H353" s="3">
        <f>GBP!B353/1</f>
        <v>1.6122000000000001</v>
      </c>
      <c r="I353" s="3">
        <f>GBP!C353/1</f>
        <v>1.6117999999999999</v>
      </c>
      <c r="J353" s="4">
        <f>1/INR!B353</f>
        <v>2.2565722667268421E-2</v>
      </c>
      <c r="K353" s="4">
        <f>1/INR!C353</f>
        <v>2.2436616558223019E-2</v>
      </c>
      <c r="L353" s="4">
        <f>1/JPY!B353</f>
        <v>1.2372409526755335E-2</v>
      </c>
      <c r="M353" s="4">
        <f>1/JPY!C353</f>
        <v>1.2374843922281029E-2</v>
      </c>
      <c r="N353" s="5">
        <f>1/KRW!B353</f>
        <v>9.0440444966989229E-4</v>
      </c>
      <c r="O353" s="5">
        <f>1/KRW!C353</f>
        <v>9.0437107864700292E-4</v>
      </c>
      <c r="P353" s="3">
        <f>1/NOK!B353</f>
        <v>0.17250897046646424</v>
      </c>
      <c r="Q353" s="3">
        <f>1/NOK!C353</f>
        <v>0.17223561832586978</v>
      </c>
      <c r="R353" s="3">
        <f>NZD!B353/1</f>
        <v>0.78510000000000002</v>
      </c>
      <c r="S353" s="3">
        <f>NZD!C353/1</f>
        <v>0.78320000000000001</v>
      </c>
      <c r="T353" s="4">
        <f>1/PHP!B353</f>
        <v>2.3529411764705882E-2</v>
      </c>
      <c r="U353" s="4">
        <f>1/PHP!C353</f>
        <v>2.3518344308560677E-2</v>
      </c>
      <c r="V353" s="4">
        <f>1/TWD!B353</f>
        <v>3.3021827427929862E-2</v>
      </c>
      <c r="W353" s="4">
        <f>1/TWD!C353</f>
        <v>3.3021936472398615E-2</v>
      </c>
      <c r="X353" s="4">
        <f>1/TWD!B353</f>
        <v>3.3021827427929862E-2</v>
      </c>
      <c r="Y353" s="4">
        <f>1/TWD!C353</f>
        <v>3.3021936472398615E-2</v>
      </c>
      <c r="Z353" s="4">
        <f>1/ZAR!B353</f>
        <v>0.14534883720930233</v>
      </c>
      <c r="AA353" s="4">
        <f>1/ZAR!C353</f>
        <v>0.14465081293756871</v>
      </c>
    </row>
    <row r="354" spans="1:27" x14ac:dyDescent="0.25">
      <c r="A354" t="str">
        <f>"08/11/2010"</f>
        <v>08/11/2010</v>
      </c>
      <c r="B354" s="3">
        <f>AUD!B354</f>
        <v>1.0121</v>
      </c>
      <c r="C354" s="3">
        <f>AUD!C354</f>
        <v>1.0084</v>
      </c>
      <c r="D354" s="3">
        <f>1/CAD!B354</f>
        <v>0.99800399201596801</v>
      </c>
      <c r="E354" s="3">
        <f>1/CAD!C354</f>
        <v>0.99730727037000111</v>
      </c>
      <c r="F354" s="3">
        <f>EUR!B354/1</f>
        <v>1.395</v>
      </c>
      <c r="G354" s="3">
        <f>EUR!C354/1</f>
        <v>1.3945000000000001</v>
      </c>
      <c r="H354" s="3">
        <f>GBP!B354/1</f>
        <v>1.6115999999999999</v>
      </c>
      <c r="I354" s="3">
        <f>GBP!C354/1</f>
        <v>1.6112</v>
      </c>
      <c r="J354" s="4">
        <f>1/INR!B354</f>
        <v>2.2581009371118892E-2</v>
      </c>
      <c r="K354" s="4">
        <f>1/INR!C354</f>
        <v>2.2450468653533145E-2</v>
      </c>
      <c r="L354" s="4">
        <f>1/JPY!B354</f>
        <v>1.2310116453701652E-2</v>
      </c>
      <c r="M354" s="4">
        <f>1/JPY!C354</f>
        <v>1.2312541554827748E-2</v>
      </c>
      <c r="N354" s="5">
        <f>1/KRW!B354</f>
        <v>8.9782725803555399E-4</v>
      </c>
      <c r="O354" s="5">
        <f>1/KRW!C354</f>
        <v>8.9779662751674838E-4</v>
      </c>
      <c r="P354" s="3">
        <f>1/NOK!B354</f>
        <v>0.17230387511415132</v>
      </c>
      <c r="Q354" s="3">
        <f>1/NOK!C354</f>
        <v>0.17203413157170383</v>
      </c>
      <c r="R354" s="3">
        <f>NZD!B354/1</f>
        <v>0.78949999999999998</v>
      </c>
      <c r="S354" s="3">
        <f>NZD!C354/1</f>
        <v>0.78759999999999997</v>
      </c>
      <c r="T354" s="4">
        <f>1/PHP!B354</f>
        <v>2.3293733985557886E-2</v>
      </c>
      <c r="U354" s="4">
        <f>1/PHP!C354</f>
        <v>2.3237278171133257E-2</v>
      </c>
      <c r="V354" s="4">
        <f>1/TWD!B354</f>
        <v>3.3151002817835243E-2</v>
      </c>
      <c r="W354" s="4">
        <f>1/TWD!C354</f>
        <v>3.3151112717098349E-2</v>
      </c>
      <c r="X354" s="4">
        <f>1/TWD!B354</f>
        <v>3.3151002817835243E-2</v>
      </c>
      <c r="Y354" s="4">
        <f>1/TWD!C354</f>
        <v>3.3151112717098349E-2</v>
      </c>
      <c r="Z354" s="4">
        <f>1/ZAR!B354</f>
        <v>0.14639145073927681</v>
      </c>
      <c r="AA354" s="4">
        <f>1/ZAR!C354</f>
        <v>0.14573010784027979</v>
      </c>
    </row>
    <row r="355" spans="1:27" x14ac:dyDescent="0.25">
      <c r="A355" t="str">
        <f>"09/11/2010"</f>
        <v>09/11/2010</v>
      </c>
      <c r="B355" s="3">
        <f>AUD!B355</f>
        <v>1.0111000000000001</v>
      </c>
      <c r="C355" s="3">
        <f>AUD!C355</f>
        <v>1.0072000000000001</v>
      </c>
      <c r="D355" s="3">
        <f>1/CAD!B355</f>
        <v>0.99552015928322557</v>
      </c>
      <c r="E355" s="3">
        <f>1/CAD!C355</f>
        <v>0.99492587802208721</v>
      </c>
      <c r="F355" s="3">
        <f>EUR!B355/1</f>
        <v>1.3867</v>
      </c>
      <c r="G355" s="3">
        <f>EUR!C355/1</f>
        <v>1.3862000000000001</v>
      </c>
      <c r="H355" s="3">
        <f>GBP!B355/1</f>
        <v>1.6133999999999999</v>
      </c>
      <c r="I355" s="3">
        <f>GBP!C355/1</f>
        <v>1.613</v>
      </c>
      <c r="J355" s="4">
        <f>1/INR!B355</f>
        <v>2.2517451024544024E-2</v>
      </c>
      <c r="K355" s="4">
        <f>1/INR!C355</f>
        <v>2.2375118867818983E-2</v>
      </c>
      <c r="L355" s="4">
        <f>1/JPY!B355</f>
        <v>1.2346136276652221E-2</v>
      </c>
      <c r="M355" s="4">
        <f>1/JPY!C355</f>
        <v>1.2348789077743037E-2</v>
      </c>
      <c r="N355" s="5">
        <f>1/KRW!B355</f>
        <v>8.9738412527482392E-4</v>
      </c>
      <c r="O355" s="5">
        <f>1/KRW!C355</f>
        <v>8.9735586019590535E-4</v>
      </c>
      <c r="P355" s="3">
        <f>1/NOK!B355</f>
        <v>0.17163846074628403</v>
      </c>
      <c r="Q355" s="3">
        <f>1/NOK!C355</f>
        <v>0.17136785824450768</v>
      </c>
      <c r="R355" s="3">
        <f>NZD!B355/1</f>
        <v>0.78510000000000002</v>
      </c>
      <c r="S355" s="3">
        <f>NZD!C355/1</f>
        <v>0.78320000000000001</v>
      </c>
      <c r="T355" s="4">
        <f>1/PHP!B355</f>
        <v>2.3094688221709007E-2</v>
      </c>
      <c r="U355" s="4">
        <f>1/PHP!C355</f>
        <v>2.3080775791035891E-2</v>
      </c>
      <c r="V355" s="4">
        <f>1/TWD!B355</f>
        <v>3.3123550844650546E-2</v>
      </c>
      <c r="W355" s="4">
        <f>1/TWD!C355</f>
        <v>3.312366056197602E-2</v>
      </c>
      <c r="X355" s="4">
        <f>1/TWD!B355</f>
        <v>3.3123550844650546E-2</v>
      </c>
      <c r="Y355" s="4">
        <f>1/TWD!C355</f>
        <v>3.312366056197602E-2</v>
      </c>
      <c r="Z355" s="4">
        <f>1/ZAR!B355</f>
        <v>0.14577684480597103</v>
      </c>
      <c r="AA355" s="4">
        <f>1/ZAR!C355</f>
        <v>0.14507892293407612</v>
      </c>
    </row>
    <row r="356" spans="1:27" x14ac:dyDescent="0.25">
      <c r="A356" t="str">
        <f>"10/11/2010"</f>
        <v>10/11/2010</v>
      </c>
      <c r="B356" s="3">
        <f>AUD!B356</f>
        <v>1.0024</v>
      </c>
      <c r="C356" s="3">
        <f>AUD!C356</f>
        <v>0.99860000000000004</v>
      </c>
      <c r="D356" s="3">
        <f>1/CAD!B356</f>
        <v>0.99354197714853454</v>
      </c>
      <c r="E356" s="3">
        <f>1/CAD!C356</f>
        <v>0.99295005461225294</v>
      </c>
      <c r="F356" s="3">
        <f>EUR!B356/1</f>
        <v>1.3756999999999999</v>
      </c>
      <c r="G356" s="3">
        <f>EUR!C356/1</f>
        <v>1.3753</v>
      </c>
      <c r="H356" s="3">
        <f>GBP!B356/1</f>
        <v>1.5987</v>
      </c>
      <c r="I356" s="3">
        <f>GBP!C356/1</f>
        <v>1.5984</v>
      </c>
      <c r="J356" s="4">
        <f>1/INR!B356</f>
        <v>2.2522522522522525E-2</v>
      </c>
      <c r="K356" s="4">
        <f>1/INR!C356</f>
        <v>2.2363860002236384E-2</v>
      </c>
      <c r="L356" s="4">
        <f>1/JPY!B356</f>
        <v>1.223256553596986E-2</v>
      </c>
      <c r="M356" s="4">
        <f>1/JPY!C356</f>
        <v>1.2235124841096316E-2</v>
      </c>
      <c r="N356" s="5">
        <f>1/KRW!B356</f>
        <v>8.9766606822262122E-4</v>
      </c>
      <c r="O356" s="5">
        <f>1/KRW!C356</f>
        <v>8.9763697962750037E-4</v>
      </c>
      <c r="P356" s="3">
        <f>1/NOK!B356</f>
        <v>0.17039548792747969</v>
      </c>
      <c r="Q356" s="3">
        <f>1/NOK!C356</f>
        <v>0.17012010479398457</v>
      </c>
      <c r="R356" s="3">
        <f>NZD!B356/1</f>
        <v>0.77810000000000001</v>
      </c>
      <c r="S356" s="3">
        <f>NZD!C356/1</f>
        <v>0.77610000000000001</v>
      </c>
      <c r="T356" s="4">
        <f>1/PHP!B356</f>
        <v>2.3030861354214647E-2</v>
      </c>
      <c r="U356" s="4">
        <f>1/PHP!C356</f>
        <v>2.3040943757056287E-2</v>
      </c>
      <c r="V356" s="4">
        <f>1/TWD!B356</f>
        <v>3.3116969134984763E-2</v>
      </c>
      <c r="W356" s="4">
        <f>1/TWD!C356</f>
        <v>3.3117078808712438E-2</v>
      </c>
      <c r="X356" s="4">
        <f>1/TWD!B356</f>
        <v>3.3116969134984763E-2</v>
      </c>
      <c r="Y356" s="4">
        <f>1/TWD!C356</f>
        <v>3.3117078808712438E-2</v>
      </c>
      <c r="Z356" s="4">
        <f>1/ZAR!B356</f>
        <v>0.14491073498724785</v>
      </c>
      <c r="AA356" s="4">
        <f>1/ZAR!C356</f>
        <v>0.1442023447301253</v>
      </c>
    </row>
    <row r="357" spans="1:27" x14ac:dyDescent="0.25">
      <c r="A357" t="str">
        <f>"11/11/2010"</f>
        <v>11/11/2010</v>
      </c>
      <c r="B357" s="3">
        <f>AUD!B357</f>
        <v>1.0048999999999999</v>
      </c>
      <c r="C357" s="3">
        <f>AUD!C357</f>
        <v>1.0012000000000001</v>
      </c>
      <c r="D357" s="3">
        <f>1/CAD!B357</f>
        <v>1.000100010001</v>
      </c>
      <c r="E357" s="3">
        <f>1/CAD!C357</f>
        <v>0.99950024987506247</v>
      </c>
      <c r="F357" s="3">
        <f>EUR!B357/1</f>
        <v>1.3797999999999999</v>
      </c>
      <c r="G357" s="3">
        <f>EUR!C357/1</f>
        <v>1.3793</v>
      </c>
      <c r="H357" s="3">
        <f>GBP!B357/1</f>
        <v>1.6147</v>
      </c>
      <c r="I357" s="3">
        <f>GBP!C357/1</f>
        <v>1.6143000000000001</v>
      </c>
      <c r="J357" s="4">
        <f>1/INR!B357</f>
        <v>2.2578460149017838E-2</v>
      </c>
      <c r="K357" s="4">
        <f>1/INR!C357</f>
        <v>2.2424038569346341E-2</v>
      </c>
      <c r="L357" s="4">
        <f>1/JPY!B357</f>
        <v>1.2169891687963976E-2</v>
      </c>
      <c r="M357" s="4">
        <f>1/JPY!C357</f>
        <v>1.2172158135809637E-2</v>
      </c>
      <c r="N357" s="5">
        <f>1/KRW!B357</f>
        <v>9.0379140494373895E-4</v>
      </c>
      <c r="O357" s="5">
        <f>1/KRW!C357</f>
        <v>9.0375971270563243E-4</v>
      </c>
      <c r="P357" s="3">
        <f>1/NOK!B357</f>
        <v>0.17061934823408975</v>
      </c>
      <c r="Q357" s="3">
        <f>1/NOK!C357</f>
        <v>0.17034904519360169</v>
      </c>
      <c r="R357" s="3">
        <f>NZD!B357/1</f>
        <v>0.78590000000000004</v>
      </c>
      <c r="S357" s="3">
        <f>NZD!C357/1</f>
        <v>0.78390000000000004</v>
      </c>
      <c r="T357" s="4">
        <f>1/PHP!B357</f>
        <v>2.2883295194508008E-2</v>
      </c>
      <c r="U357" s="4">
        <f>1/PHP!C357</f>
        <v>2.2944936740809406E-2</v>
      </c>
      <c r="V357" s="4">
        <f>1/TWD!B357</f>
        <v>3.3288948069241014E-2</v>
      </c>
      <c r="W357" s="4">
        <f>1/TWD!C357</f>
        <v>3.3289058885016265E-2</v>
      </c>
      <c r="X357" s="4">
        <f>1/TWD!B357</f>
        <v>3.3288948069241014E-2</v>
      </c>
      <c r="Y357" s="4">
        <f>1/TWD!C357</f>
        <v>3.3289058885016265E-2</v>
      </c>
      <c r="Z357" s="4">
        <f>1/ZAR!B357</f>
        <v>0.14499057561258519</v>
      </c>
      <c r="AA357" s="4">
        <f>1/ZAR!C357</f>
        <v>0.14430222658335617</v>
      </c>
    </row>
    <row r="358" spans="1:27" x14ac:dyDescent="0.25">
      <c r="A358" t="str">
        <f>"12/11/2010"</f>
        <v>12/11/2010</v>
      </c>
      <c r="B358" s="3">
        <f>AUD!B358</f>
        <v>0.99370000000000003</v>
      </c>
      <c r="C358" s="3">
        <f>AUD!C358</f>
        <v>0.9899</v>
      </c>
      <c r="D358" s="3">
        <f>1/CAD!B358</f>
        <v>0.99186669311644515</v>
      </c>
      <c r="E358" s="3">
        <f>1/CAD!C358</f>
        <v>0.99127676447264079</v>
      </c>
      <c r="F358" s="3">
        <f>EUR!B358/1</f>
        <v>1.3619000000000001</v>
      </c>
      <c r="G358" s="3">
        <f>EUR!C358/1</f>
        <v>1.3614999999999999</v>
      </c>
      <c r="H358" s="3">
        <f>GBP!B358/1</f>
        <v>1.6083000000000001</v>
      </c>
      <c r="I358" s="3">
        <f>GBP!C358/1</f>
        <v>1.6079000000000001</v>
      </c>
      <c r="J358" s="4">
        <f>1/INR!B358</f>
        <v>2.2434099831744249E-2</v>
      </c>
      <c r="K358" s="4">
        <f>1/INR!C358</f>
        <v>2.2289089490694303E-2</v>
      </c>
      <c r="L358" s="4">
        <f>1/JPY!B358</f>
        <v>1.2140931937935556E-2</v>
      </c>
      <c r="M358" s="4">
        <f>1/JPY!C358</f>
        <v>1.2143335069830249E-2</v>
      </c>
      <c r="N358" s="5">
        <f>1/KRW!B358</f>
        <v>8.8865191504487696E-4</v>
      </c>
      <c r="O358" s="5">
        <f>1/KRW!C358</f>
        <v>8.886211177254143E-4</v>
      </c>
      <c r="P358" s="3">
        <f>1/NOK!B358</f>
        <v>0.16762773233203701</v>
      </c>
      <c r="Q358" s="3">
        <f>1/NOK!C358</f>
        <v>0.16736961906674699</v>
      </c>
      <c r="R358" s="3">
        <f>NZD!B358/1</f>
        <v>0.77569999999999995</v>
      </c>
      <c r="S358" s="3">
        <f>NZD!C358/1</f>
        <v>0.77380000000000004</v>
      </c>
      <c r="T358" s="4">
        <f>1/PHP!B358</f>
        <v>2.2753128555176336E-2</v>
      </c>
      <c r="U358" s="4">
        <f>1/PHP!C358</f>
        <v>2.2722624917630486E-2</v>
      </c>
      <c r="V358" s="4">
        <f>1/TWD!B358</f>
        <v>3.3088478591754351E-2</v>
      </c>
      <c r="W358" s="4">
        <f>1/TWD!C358</f>
        <v>3.3088588076858168E-2</v>
      </c>
      <c r="X358" s="4">
        <f>1/TWD!B358</f>
        <v>3.3088478591754351E-2</v>
      </c>
      <c r="Y358" s="4">
        <f>1/TWD!C358</f>
        <v>3.3088588076858168E-2</v>
      </c>
      <c r="Z358" s="4">
        <f>1/ZAR!B358</f>
        <v>0.14342675195777516</v>
      </c>
      <c r="AA358" s="4">
        <f>1/ZAR!C358</f>
        <v>0.14272257585704906</v>
      </c>
    </row>
    <row r="359" spans="1:27" x14ac:dyDescent="0.25">
      <c r="A359" t="str">
        <f>"15/11/2010"</f>
        <v>15/11/2010</v>
      </c>
      <c r="B359" s="3">
        <f>AUD!B359</f>
        <v>0.98399999999999999</v>
      </c>
      <c r="C359" s="3">
        <f>AUD!C359</f>
        <v>0.98029999999999995</v>
      </c>
      <c r="D359" s="3">
        <f>1/CAD!B359</f>
        <v>0.98814229249011853</v>
      </c>
      <c r="E359" s="3">
        <f>1/CAD!C359</f>
        <v>0.98755678451510964</v>
      </c>
      <c r="F359" s="3">
        <f>EUR!B359/1</f>
        <v>1.3674999999999999</v>
      </c>
      <c r="G359" s="3">
        <f>EUR!C359/1</f>
        <v>1.3671</v>
      </c>
      <c r="H359" s="3">
        <f>GBP!B359/1</f>
        <v>1.6107</v>
      </c>
      <c r="I359" s="3">
        <f>GBP!C359/1</f>
        <v>1.6103000000000001</v>
      </c>
      <c r="J359" s="4">
        <f>1/INR!B359</f>
        <v>2.2197558268590458E-2</v>
      </c>
      <c r="K359" s="4">
        <f>1/INR!C359</f>
        <v>2.2050716648291068E-2</v>
      </c>
      <c r="L359" s="4">
        <f>1/JPY!B359</f>
        <v>1.2087513598452797E-2</v>
      </c>
      <c r="M359" s="4">
        <f>1/JPY!C359</f>
        <v>1.2090027178381096E-2</v>
      </c>
      <c r="N359" s="5">
        <f>1/KRW!B359</f>
        <v>8.8378258948298722E-4</v>
      </c>
      <c r="O359" s="5">
        <f>1/KRW!C359</f>
        <v>8.8375095721275544E-4</v>
      </c>
      <c r="P359" s="3">
        <f>1/NOK!B359</f>
        <v>0.16755751411672057</v>
      </c>
      <c r="Q359" s="3">
        <f>1/NOK!C359</f>
        <v>0.16730241584688482</v>
      </c>
      <c r="R359" s="3">
        <f>NZD!B359/1</f>
        <v>0.76949999999999996</v>
      </c>
      <c r="S359" s="3">
        <f>NZD!C359/1</f>
        <v>0.76759999999999995</v>
      </c>
      <c r="T359" s="4">
        <f>1/PHP!B359</f>
        <v>2.2763487366264511E-2</v>
      </c>
      <c r="U359" s="4">
        <f>1/PHP!C359</f>
        <v>2.2734816552765238E-2</v>
      </c>
      <c r="V359" s="4">
        <f>1/TWD!B359</f>
        <v>3.3014196104324864E-2</v>
      </c>
      <c r="W359" s="4">
        <f>1/TWD!C359</f>
        <v>3.3014305098399137E-2</v>
      </c>
      <c r="X359" s="4">
        <f>1/TWD!B359</f>
        <v>3.3014196104324864E-2</v>
      </c>
      <c r="Y359" s="4">
        <f>1/TWD!C359</f>
        <v>3.3014305098399137E-2</v>
      </c>
      <c r="Z359" s="4">
        <f>1/ZAR!B359</f>
        <v>0.1431147494060738</v>
      </c>
      <c r="AA359" s="4">
        <f>1/ZAR!C359</f>
        <v>0.14244405509736052</v>
      </c>
    </row>
    <row r="360" spans="1:27" x14ac:dyDescent="0.25">
      <c r="A360" t="str">
        <f>"16/11/2010"</f>
        <v>16/11/2010</v>
      </c>
      <c r="B360" s="3">
        <f>AUD!B360</f>
        <v>0.98640000000000005</v>
      </c>
      <c r="C360" s="3">
        <f>AUD!C360</f>
        <v>0.98250000000000004</v>
      </c>
      <c r="D360" s="3">
        <f>1/CAD!B360</f>
        <v>0.99186669311644515</v>
      </c>
      <c r="E360" s="3">
        <f>1/CAD!C360</f>
        <v>0.99127676447264079</v>
      </c>
      <c r="F360" s="3">
        <f>EUR!B360/1</f>
        <v>1.3616999999999999</v>
      </c>
      <c r="G360" s="3">
        <f>EUR!C360/1</f>
        <v>1.3613</v>
      </c>
      <c r="H360" s="3">
        <f>GBP!B360/1</f>
        <v>1.6062000000000001</v>
      </c>
      <c r="I360" s="3">
        <f>GBP!C360/1</f>
        <v>1.6057999999999999</v>
      </c>
      <c r="J360" s="4">
        <f>1/INR!B360</f>
        <v>2.2165576859137757E-2</v>
      </c>
      <c r="K360" s="4">
        <f>1/INR!C360</f>
        <v>2.2026431718061675E-2</v>
      </c>
      <c r="L360" s="4">
        <f>1/JPY!B360</f>
        <v>1.2041519158056979E-2</v>
      </c>
      <c r="M360" s="4">
        <f>1/JPY!C360</f>
        <v>1.2044187715892064E-2</v>
      </c>
      <c r="N360" s="5">
        <f>1/KRW!B360</f>
        <v>8.869179600886918E-4</v>
      </c>
      <c r="O360" s="5">
        <f>1/KRW!C360</f>
        <v>8.8688531641629151E-4</v>
      </c>
      <c r="P360" s="3">
        <f>1/NOK!B360</f>
        <v>0.16708716937626361</v>
      </c>
      <c r="Q360" s="3">
        <f>1/NOK!C360</f>
        <v>0.16682515055969838</v>
      </c>
      <c r="R360" s="3">
        <f>NZD!B360/1</f>
        <v>0.77329999999999999</v>
      </c>
      <c r="S360" s="3">
        <f>NZD!C360/1</f>
        <v>0.77129999999999999</v>
      </c>
      <c r="T360" s="4">
        <f>1/PHP!B360</f>
        <v>2.2962112514351322E-2</v>
      </c>
      <c r="U360" s="4">
        <f>1/PHP!C360</f>
        <v>2.2867805788299004E-2</v>
      </c>
      <c r="V360" s="4">
        <f>1/TWD!B360</f>
        <v>3.3039283708329203E-2</v>
      </c>
      <c r="W360" s="4">
        <f>1/TWD!C360</f>
        <v>3.3039392868116656E-2</v>
      </c>
      <c r="X360" s="4">
        <f>1/TWD!B360</f>
        <v>3.3039283708329203E-2</v>
      </c>
      <c r="Y360" s="4">
        <f>1/TWD!C360</f>
        <v>3.3039392868116656E-2</v>
      </c>
      <c r="Z360" s="4">
        <f>1/ZAR!B360</f>
        <v>0.1432582660019483</v>
      </c>
      <c r="AA360" s="4">
        <f>1/ZAR!C360</f>
        <v>0.14259842856531721</v>
      </c>
    </row>
    <row r="361" spans="1:27" x14ac:dyDescent="0.25">
      <c r="A361" t="str">
        <f>"18/11/2010"</f>
        <v>18/11/2010</v>
      </c>
      <c r="B361" s="3">
        <f>AUD!B361</f>
        <v>0.9839</v>
      </c>
      <c r="C361" s="3">
        <f>AUD!C361</f>
        <v>0.98019999999999996</v>
      </c>
      <c r="D361" s="3">
        <f>1/CAD!B361</f>
        <v>0.98039215686274506</v>
      </c>
      <c r="E361" s="3">
        <f>1/CAD!C361</f>
        <v>0.97981579463060953</v>
      </c>
      <c r="F361" s="3">
        <f>EUR!B361/1</f>
        <v>1.3587</v>
      </c>
      <c r="G361" s="3">
        <f>EUR!C361/1</f>
        <v>1.3584000000000001</v>
      </c>
      <c r="H361" s="3">
        <f>GBP!B361/1</f>
        <v>1.5906</v>
      </c>
      <c r="I361" s="3">
        <f>GBP!C361/1</f>
        <v>1.5902000000000001</v>
      </c>
      <c r="J361" s="4">
        <f>1/INR!B361</f>
        <v>2.1961128802020426E-2</v>
      </c>
      <c r="K361" s="4">
        <f>1/INR!C361</f>
        <v>2.1836445026749644E-2</v>
      </c>
      <c r="L361" s="4">
        <f>1/JPY!B361</f>
        <v>1.20074686454975E-2</v>
      </c>
      <c r="M361" s="4">
        <f>1/JPY!C361</f>
        <v>1.2009920194080311E-2</v>
      </c>
      <c r="N361" s="5">
        <f>1/KRW!B361</f>
        <v>8.7865741147526589E-4</v>
      </c>
      <c r="O361" s="5">
        <f>1/KRW!C361</f>
        <v>8.7862375187102923E-4</v>
      </c>
      <c r="P361" s="3">
        <f>1/NOK!B361</f>
        <v>0.16620130301821567</v>
      </c>
      <c r="Q361" s="3">
        <f>1/NOK!C361</f>
        <v>0.16594480675727255</v>
      </c>
      <c r="R361" s="3">
        <f>NZD!B361/1</f>
        <v>0.77400000000000002</v>
      </c>
      <c r="S361" s="3">
        <f>NZD!C361/1</f>
        <v>0.77210000000000001</v>
      </c>
      <c r="T361" s="4">
        <f>1/PHP!B361</f>
        <v>2.2883295194508008E-2</v>
      </c>
      <c r="U361" s="4">
        <f>1/PHP!C361</f>
        <v>2.2852859578319035E-2</v>
      </c>
      <c r="V361" s="4">
        <f>1/TWD!B361</f>
        <v>3.2883919763235778E-2</v>
      </c>
      <c r="W361" s="4">
        <f>1/TWD!C361</f>
        <v>3.2884027898809266E-2</v>
      </c>
      <c r="X361" s="4">
        <f>1/TWD!B361</f>
        <v>3.2883919763235778E-2</v>
      </c>
      <c r="Y361" s="4">
        <f>1/TWD!C361</f>
        <v>3.2884027898809266E-2</v>
      </c>
      <c r="Z361" s="4">
        <f>1/ZAR!B361</f>
        <v>0.14233254575991347</v>
      </c>
      <c r="AA361" s="4">
        <f>1/ZAR!C361</f>
        <v>0.14164506579413305</v>
      </c>
    </row>
    <row r="362" spans="1:27" x14ac:dyDescent="0.25">
      <c r="A362" t="str">
        <f>"22/11/2010"</f>
        <v>22/11/2010</v>
      </c>
      <c r="B362" s="3">
        <f>AUD!B362</f>
        <v>0.99419999999999997</v>
      </c>
      <c r="C362" s="3">
        <f>AUD!C362</f>
        <v>0.99050000000000005</v>
      </c>
      <c r="D362" s="3">
        <f>1/CAD!B362</f>
        <v>0.98570724494825046</v>
      </c>
      <c r="E362" s="3">
        <f>1/CAD!C362</f>
        <v>0.98512461826421049</v>
      </c>
      <c r="F362" s="3">
        <f>EUR!B362/1</f>
        <v>1.3764000000000001</v>
      </c>
      <c r="G362" s="3">
        <f>EUR!C362/1</f>
        <v>1.3759999999999999</v>
      </c>
      <c r="H362" s="3">
        <f>GBP!B362/1</f>
        <v>1.6016999999999999</v>
      </c>
      <c r="I362" s="3">
        <f>GBP!C362/1</f>
        <v>1.6012999999999999</v>
      </c>
      <c r="J362" s="4">
        <f>1/INR!B362</f>
        <v>2.2109219544550078E-2</v>
      </c>
      <c r="K362" s="4">
        <f>1/INR!C362</f>
        <v>2.1979229628001539E-2</v>
      </c>
      <c r="L362" s="4">
        <f>1/JPY!B362</f>
        <v>1.1995082016373285E-2</v>
      </c>
      <c r="M362" s="4">
        <f>1/JPY!C362</f>
        <v>1.1997945951653077E-2</v>
      </c>
      <c r="N362" s="5">
        <f>1/KRW!B362</f>
        <v>8.8873089228581577E-4</v>
      </c>
      <c r="O362" s="5">
        <f>1/KRW!C362</f>
        <v>8.8870569702120957E-4</v>
      </c>
      <c r="P362" s="3">
        <f>1/NOK!B362</f>
        <v>0.1680926526701518</v>
      </c>
      <c r="Q362" s="3">
        <f>1/NOK!C362</f>
        <v>0.16782465679857686</v>
      </c>
      <c r="R362" s="3">
        <f>NZD!B362/1</f>
        <v>0.7752</v>
      </c>
      <c r="S362" s="3">
        <f>NZD!C362/1</f>
        <v>0.77329999999999999</v>
      </c>
      <c r="T362" s="4">
        <f>1/PHP!B362</f>
        <v>2.2799817601459188E-2</v>
      </c>
      <c r="U362" s="4">
        <f>1/PHP!C362</f>
        <v>2.2810895396076981E-2</v>
      </c>
      <c r="V362" s="4">
        <f>1/TWD!B362</f>
        <v>3.3037100664045728E-2</v>
      </c>
      <c r="W362" s="4">
        <f>1/TWD!C362</f>
        <v>3.3037209809408337E-2</v>
      </c>
      <c r="X362" s="4">
        <f>1/TWD!B362</f>
        <v>3.3037100664045728E-2</v>
      </c>
      <c r="Y362" s="4">
        <f>1/TWD!C362</f>
        <v>3.3037209809408337E-2</v>
      </c>
      <c r="Z362" s="4">
        <f>1/ZAR!B362</f>
        <v>0.14342058085335246</v>
      </c>
      <c r="AA362" s="4">
        <f>1/ZAR!C362</f>
        <v>0.14277963391301865</v>
      </c>
    </row>
    <row r="363" spans="1:27" x14ac:dyDescent="0.25">
      <c r="A363" t="str">
        <f>"23/11/2010"</f>
        <v>23/11/2010</v>
      </c>
      <c r="B363" s="3">
        <f>AUD!B363</f>
        <v>0.98599999999999999</v>
      </c>
      <c r="C363" s="3">
        <f>AUD!C363</f>
        <v>0.9819</v>
      </c>
      <c r="D363" s="3">
        <f>1/CAD!B363</f>
        <v>0.9813542688910698</v>
      </c>
      <c r="E363" s="3">
        <f>1/CAD!C363</f>
        <v>0.98077677520596307</v>
      </c>
      <c r="F363" s="3">
        <f>EUR!B363/1</f>
        <v>1.3582000000000001</v>
      </c>
      <c r="G363" s="3">
        <f>EUR!C363/1</f>
        <v>1.3579000000000001</v>
      </c>
      <c r="H363" s="3">
        <f>GBP!B363/1</f>
        <v>1.5932999999999999</v>
      </c>
      <c r="I363" s="3">
        <f>GBP!C363/1</f>
        <v>1.5928</v>
      </c>
      <c r="J363" s="4">
        <f>1/INR!B363</f>
        <v>2.1934634788330774E-2</v>
      </c>
      <c r="K363" s="4">
        <f>1/INR!C363</f>
        <v>2.1810250817884406E-2</v>
      </c>
      <c r="L363" s="4">
        <f>1/JPY!B363</f>
        <v>1.1996880810989142E-2</v>
      </c>
      <c r="M363" s="4">
        <f>1/JPY!C363</f>
        <v>1.1999774404241199E-2</v>
      </c>
      <c r="N363" s="5">
        <f>1/KRW!B363</f>
        <v>8.8109608352790871E-4</v>
      </c>
      <c r="O363" s="5">
        <f>1/KRW!C363</f>
        <v>8.8106029615432158E-4</v>
      </c>
      <c r="P363" s="3">
        <f>1/NOK!B363</f>
        <v>0.16600541177642392</v>
      </c>
      <c r="Q363" s="3">
        <f>1/NOK!C363</f>
        <v>0.16574127786525233</v>
      </c>
      <c r="R363" s="3">
        <f>NZD!B363/1</f>
        <v>0.7702</v>
      </c>
      <c r="S363" s="3">
        <f>NZD!C363/1</f>
        <v>0.76819999999999999</v>
      </c>
      <c r="T363" s="4">
        <f>1/PHP!B363</f>
        <v>2.2714366837024418E-2</v>
      </c>
      <c r="U363" s="4">
        <f>1/PHP!C363</f>
        <v>2.2722108611679163E-2</v>
      </c>
      <c r="V363" s="4">
        <f>1/TWD!B363</f>
        <v>3.2906643851393594E-2</v>
      </c>
      <c r="W363" s="4">
        <f>1/TWD!C363</f>
        <v>3.2906752136470881E-2</v>
      </c>
      <c r="X363" s="4">
        <f>1/TWD!B363</f>
        <v>3.2906643851393594E-2</v>
      </c>
      <c r="Y363" s="4">
        <f>1/TWD!C363</f>
        <v>3.2906752136470881E-2</v>
      </c>
      <c r="Z363" s="4">
        <f>1/ZAR!B363</f>
        <v>0.14245014245014245</v>
      </c>
      <c r="AA363" s="4">
        <f>1/ZAR!C363</f>
        <v>0.14178564845666322</v>
      </c>
    </row>
    <row r="364" spans="1:27" x14ac:dyDescent="0.25">
      <c r="A364" t="str">
        <f>"24/11/2010"</f>
        <v>24/11/2010</v>
      </c>
      <c r="B364" s="3">
        <f>AUD!B364</f>
        <v>0.97829999999999995</v>
      </c>
      <c r="C364" s="3">
        <f>AUD!C364</f>
        <v>0.97430000000000005</v>
      </c>
      <c r="D364" s="3">
        <f>1/CAD!B364</f>
        <v>0.9818360333824252</v>
      </c>
      <c r="E364" s="3">
        <f>1/CAD!C364</f>
        <v>0.98116169544740961</v>
      </c>
      <c r="F364" s="3">
        <f>EUR!B364/1</f>
        <v>1.3391999999999999</v>
      </c>
      <c r="G364" s="3">
        <f>EUR!C364/1</f>
        <v>1.3389</v>
      </c>
      <c r="H364" s="3">
        <f>GBP!B364/1</f>
        <v>1.5810999999999999</v>
      </c>
      <c r="I364" s="3">
        <f>GBP!C364/1</f>
        <v>1.5807</v>
      </c>
      <c r="J364" s="4">
        <f>1/INR!B364</f>
        <v>2.1896211955331726E-2</v>
      </c>
      <c r="K364" s="4">
        <f>1/INR!C364</f>
        <v>2.1767522855898998E-2</v>
      </c>
      <c r="L364" s="4">
        <f>1/JPY!B364</f>
        <v>1.2012589193474763E-2</v>
      </c>
      <c r="M364" s="4">
        <f>1/JPY!C364</f>
        <v>1.2015952378377534E-2</v>
      </c>
      <c r="N364" s="5">
        <f>1/KRW!B364</f>
        <v>8.6986778009742521E-4</v>
      </c>
      <c r="O364" s="5">
        <f>1/KRW!C364</f>
        <v>8.6983743869059539E-4</v>
      </c>
      <c r="P364" s="3">
        <f>1/NOK!B364</f>
        <v>0.16399895040671739</v>
      </c>
      <c r="Q364" s="3">
        <f>1/NOK!C364</f>
        <v>0.16374383913805243</v>
      </c>
      <c r="R364" s="3">
        <f>NZD!B364/1</f>
        <v>0.76249999999999996</v>
      </c>
      <c r="S364" s="3">
        <f>NZD!C364/1</f>
        <v>0.76049999999999995</v>
      </c>
      <c r="T364" s="4">
        <f>1/PHP!B364</f>
        <v>2.2644927536231887E-2</v>
      </c>
      <c r="U364" s="4">
        <f>1/PHP!C364</f>
        <v>2.2646517305336199E-2</v>
      </c>
      <c r="V364" s="4">
        <f>1/TWD!B364</f>
        <v>3.2808398950131233E-2</v>
      </c>
      <c r="W364" s="4">
        <f>1/TWD!C364</f>
        <v>3.2808506589588546E-2</v>
      </c>
      <c r="X364" s="4">
        <f>1/TWD!B364</f>
        <v>3.2808398950131233E-2</v>
      </c>
      <c r="Y364" s="4">
        <f>1/TWD!C364</f>
        <v>3.2808506589588546E-2</v>
      </c>
      <c r="Z364" s="4">
        <f>1/ZAR!B364</f>
        <v>0.14080540692762603</v>
      </c>
      <c r="AA364" s="4">
        <f>1/ZAR!C364</f>
        <v>0.1401306017208038</v>
      </c>
    </row>
    <row r="365" spans="1:27" x14ac:dyDescent="0.25">
      <c r="A365" t="str">
        <f>"25/11/2010"</f>
        <v>25/11/2010</v>
      </c>
      <c r="B365" s="3">
        <f>AUD!B365</f>
        <v>0.97899999999999998</v>
      </c>
      <c r="C365" s="3">
        <f>AUD!C365</f>
        <v>0.97540000000000004</v>
      </c>
      <c r="D365" s="3">
        <f>1/CAD!B365</f>
        <v>0.99068753715078262</v>
      </c>
      <c r="E365" s="3">
        <f>1/CAD!C365</f>
        <v>0.99009900990099009</v>
      </c>
      <c r="F365" s="3">
        <f>EUR!B365/1</f>
        <v>1.3329</v>
      </c>
      <c r="G365" s="3">
        <f>EUR!C365/1</f>
        <v>1.3327</v>
      </c>
      <c r="H365" s="3">
        <f>GBP!B365/1</f>
        <v>1.5768</v>
      </c>
      <c r="I365" s="3">
        <f>GBP!C365/1</f>
        <v>1.5765</v>
      </c>
      <c r="J365" s="4">
        <f>1/INR!B365</f>
        <v>2.1881838074398249E-2</v>
      </c>
      <c r="K365" s="4">
        <f>1/INR!C365</f>
        <v>2.1765153988464469E-2</v>
      </c>
      <c r="L365" s="4">
        <f>1/JPY!B365</f>
        <v>1.197389690474765E-2</v>
      </c>
      <c r="M365" s="4">
        <f>1/JPY!C365</f>
        <v>1.1977855341045476E-2</v>
      </c>
      <c r="N365" s="5">
        <f>1/KRW!B365</f>
        <v>8.7611704923777807E-4</v>
      </c>
      <c r="O365" s="5">
        <f>1/KRW!C365</f>
        <v>8.7608826589278871E-4</v>
      </c>
      <c r="P365" s="3">
        <f>1/NOK!B365</f>
        <v>0.16395592864637987</v>
      </c>
      <c r="Q365" s="3">
        <f>1/NOK!C365</f>
        <v>0.16370631087828436</v>
      </c>
      <c r="R365" s="3">
        <f>NZD!B365/1</f>
        <v>0.75880000000000003</v>
      </c>
      <c r="S365" s="3">
        <f>NZD!C365/1</f>
        <v>0.75680000000000003</v>
      </c>
      <c r="T365" s="4">
        <f>1/PHP!B365</f>
        <v>2.2670596236681027E-2</v>
      </c>
      <c r="U365" s="4">
        <f>1/PHP!C365</f>
        <v>2.2653083877573671E-2</v>
      </c>
      <c r="V365" s="4">
        <f>1/TWD!B365</f>
        <v>3.2867167343182527E-2</v>
      </c>
      <c r="W365" s="4">
        <f>1/TWD!C365</f>
        <v>3.2867275368606494E-2</v>
      </c>
      <c r="X365" s="4">
        <f>1/TWD!B365</f>
        <v>3.2867167343182527E-2</v>
      </c>
      <c r="Y365" s="4">
        <f>1/TWD!C365</f>
        <v>3.2867275368606494E-2</v>
      </c>
      <c r="Z365" s="4">
        <f>1/ZAR!B365</f>
        <v>0.14100991299688367</v>
      </c>
      <c r="AA365" s="4">
        <f>1/ZAR!C365</f>
        <v>0.14034890738375602</v>
      </c>
    </row>
    <row r="366" spans="1:27" x14ac:dyDescent="0.25">
      <c r="A366" t="str">
        <f>"26/11/2010"</f>
        <v>26/11/2010</v>
      </c>
      <c r="B366" s="3">
        <f>AUD!B366</f>
        <v>0.97529999999999994</v>
      </c>
      <c r="C366" s="3">
        <f>AUD!C366</f>
        <v>0.97160000000000002</v>
      </c>
      <c r="D366" s="3">
        <f>1/CAD!B366</f>
        <v>0.98872849515523031</v>
      </c>
      <c r="E366" s="3">
        <f>1/CAD!C366</f>
        <v>0.98814229249011853</v>
      </c>
      <c r="F366" s="3">
        <f>EUR!B366/1</f>
        <v>1.3331</v>
      </c>
      <c r="G366" s="3">
        <f>EUR!C366/1</f>
        <v>1.3328</v>
      </c>
      <c r="H366" s="3">
        <f>GBP!B366/1</f>
        <v>1.5752999999999999</v>
      </c>
      <c r="I366" s="3">
        <f>GBP!C366/1</f>
        <v>1.5749</v>
      </c>
      <c r="J366" s="4">
        <f>1/INR!B366</f>
        <v>2.1913005368686317E-2</v>
      </c>
      <c r="K366" s="4">
        <f>1/INR!C366</f>
        <v>2.1778189143572713E-2</v>
      </c>
      <c r="L366" s="4">
        <f>1/JPY!B366</f>
        <v>1.1941153993121895E-2</v>
      </c>
      <c r="M366" s="4">
        <f>1/JPY!C366</f>
        <v>1.194500519607726E-2</v>
      </c>
      <c r="N366" s="5">
        <f>1/KRW!B366</f>
        <v>8.7098530212302669E-4</v>
      </c>
      <c r="O366" s="5">
        <f>1/KRW!C366</f>
        <v>8.7095935824927414E-4</v>
      </c>
      <c r="P366" s="3">
        <f>1/NOK!B366</f>
        <v>0.16377065557393428</v>
      </c>
      <c r="Q366" s="3">
        <f>1/NOK!C366</f>
        <v>0.16351892731583681</v>
      </c>
      <c r="R366" s="3">
        <f>NZD!B366/1</f>
        <v>0.75990000000000002</v>
      </c>
      <c r="S366" s="3">
        <f>NZD!C366/1</f>
        <v>0.75800000000000001</v>
      </c>
      <c r="T366" s="4">
        <f>1/PHP!B366</f>
        <v>2.2598870056497175E-2</v>
      </c>
      <c r="U366" s="4">
        <f>1/PHP!C366</f>
        <v>2.2591620316192315E-2</v>
      </c>
      <c r="V366" s="4">
        <f>1/TWD!B366</f>
        <v>3.2872029190361925E-2</v>
      </c>
      <c r="W366" s="4">
        <f>1/TWD!C366</f>
        <v>3.2872137247747436E-2</v>
      </c>
      <c r="X366" s="4">
        <f>1/TWD!B366</f>
        <v>3.2872029190361925E-2</v>
      </c>
      <c r="Y366" s="4">
        <f>1/TWD!C366</f>
        <v>3.2872137247747436E-2</v>
      </c>
      <c r="Z366" s="4">
        <f>1/ZAR!B366</f>
        <v>0.14154281670205238</v>
      </c>
      <c r="AA366" s="4">
        <f>1/ZAR!C366</f>
        <v>0.14090659301948738</v>
      </c>
    </row>
    <row r="367" spans="1:27" x14ac:dyDescent="0.25">
      <c r="A367" t="str">
        <f>"29/11/2010"</f>
        <v>29/11/2010</v>
      </c>
      <c r="B367" s="3">
        <f>AUD!B367</f>
        <v>0.96360000000000001</v>
      </c>
      <c r="C367" s="3">
        <f>AUD!C367</f>
        <v>0.95960000000000001</v>
      </c>
      <c r="D367" s="3">
        <f>1/CAD!B367</f>
        <v>0.98000784006272057</v>
      </c>
      <c r="E367" s="3">
        <f>1/CAD!C367</f>
        <v>0.97943192948090119</v>
      </c>
      <c r="F367" s="3">
        <f>EUR!B367/1</f>
        <v>1.3240000000000001</v>
      </c>
      <c r="G367" s="3">
        <f>EUR!C367/1</f>
        <v>1.3238000000000001</v>
      </c>
      <c r="H367" s="3">
        <f>GBP!B367/1</f>
        <v>1.5606</v>
      </c>
      <c r="I367" s="3">
        <f>GBP!C367/1</f>
        <v>1.5603</v>
      </c>
      <c r="J367" s="4">
        <f>1/INR!B367</f>
        <v>2.1843599825251202E-2</v>
      </c>
      <c r="K367" s="4">
        <f>1/INR!C367</f>
        <v>2.1706099413935316E-2</v>
      </c>
      <c r="L367" s="4">
        <f>1/JPY!B367</f>
        <v>1.1889263400686011E-2</v>
      </c>
      <c r="M367" s="4">
        <f>1/JPY!C367</f>
        <v>1.1893915786318666E-2</v>
      </c>
      <c r="N367" s="5">
        <f>1/KRW!B367</f>
        <v>8.6651358260040733E-4</v>
      </c>
      <c r="O367" s="5">
        <f>1/KRW!C367</f>
        <v>8.6648385012740774E-4</v>
      </c>
      <c r="P367" s="3">
        <f>1/NOK!B367</f>
        <v>0.16242467555671058</v>
      </c>
      <c r="Q367" s="3">
        <f>1/NOK!C367</f>
        <v>0.16216917488323818</v>
      </c>
      <c r="R367" s="3">
        <f>NZD!B367/1</f>
        <v>0.74860000000000004</v>
      </c>
      <c r="S367" s="3">
        <f>NZD!C367/1</f>
        <v>0.74639999999999995</v>
      </c>
      <c r="T367" s="4">
        <f>1/PHP!B367</f>
        <v>2.2626994003846587E-2</v>
      </c>
      <c r="U367" s="4">
        <f>1/PHP!C367</f>
        <v>2.2622387114288298E-2</v>
      </c>
      <c r="V367" s="4">
        <f>1/TWD!B367</f>
        <v>3.2791185729275973E-2</v>
      </c>
      <c r="W367" s="4">
        <f>1/TWD!C367</f>
        <v>3.2791293255814716E-2</v>
      </c>
      <c r="X367" s="4">
        <f>1/TWD!B367</f>
        <v>3.2791185729275973E-2</v>
      </c>
      <c r="Y367" s="4">
        <f>1/TWD!C367</f>
        <v>3.2791293255814716E-2</v>
      </c>
      <c r="Z367" s="4">
        <f>1/ZAR!B367</f>
        <v>0.13981125480601189</v>
      </c>
      <c r="AA367" s="4">
        <f>1/ZAR!C367</f>
        <v>0.13916141332331372</v>
      </c>
    </row>
    <row r="368" spans="1:27" x14ac:dyDescent="0.25">
      <c r="A368" t="str">
        <f>"30/11/2010"</f>
        <v>30/11/2010</v>
      </c>
      <c r="B368" s="3">
        <f>AUD!B368</f>
        <v>0.96040000000000003</v>
      </c>
      <c r="C368" s="3">
        <f>AUD!C368</f>
        <v>0.95650000000000002</v>
      </c>
      <c r="D368" s="3">
        <f>1/CAD!B368</f>
        <v>0.98010389101244733</v>
      </c>
      <c r="E368" s="3">
        <f>1/CAD!C368</f>
        <v>0.97952786756783239</v>
      </c>
      <c r="F368" s="3">
        <f>EUR!B368/1</f>
        <v>1.3098000000000001</v>
      </c>
      <c r="G368" s="3">
        <f>EUR!C368/1</f>
        <v>1.3096000000000001</v>
      </c>
      <c r="H368" s="3">
        <f>GBP!B368/1</f>
        <v>1.554</v>
      </c>
      <c r="I368" s="3">
        <f>GBP!C368/1</f>
        <v>1.5536000000000001</v>
      </c>
      <c r="J368" s="4">
        <f>1/INR!B368</f>
        <v>2.1710811984368215E-2</v>
      </c>
      <c r="K368" s="4">
        <f>1/INR!C368</f>
        <v>2.1574973031283709E-2</v>
      </c>
      <c r="L368" s="4">
        <f>1/JPY!B368</f>
        <v>1.1886366337810532E-2</v>
      </c>
      <c r="M368" s="4">
        <f>1/JPY!C368</f>
        <v>1.1891737620701138E-2</v>
      </c>
      <c r="N368" s="5">
        <f>1/KRW!B368</f>
        <v>8.6456577184109275E-4</v>
      </c>
      <c r="O368" s="5">
        <f>1/KRW!C368</f>
        <v>8.6453131466424072E-4</v>
      </c>
      <c r="P368" s="3">
        <f>1/NOK!B368</f>
        <v>0.16201416003758728</v>
      </c>
      <c r="Q368" s="3">
        <f>1/NOK!C368</f>
        <v>0.16175994823681655</v>
      </c>
      <c r="R368" s="3">
        <f>NZD!B368/1</f>
        <v>0.74360000000000004</v>
      </c>
      <c r="S368" s="3">
        <f>NZD!C368/1</f>
        <v>0.74150000000000005</v>
      </c>
      <c r="T368" s="4">
        <f>1/PHP!B368</f>
        <v>2.2638519440828571E-2</v>
      </c>
      <c r="U368" s="4">
        <f>1/PHP!C368</f>
        <v>2.2613894881571034E-2</v>
      </c>
      <c r="V368" s="4">
        <f>1/TWD!B368</f>
        <v>3.2816473869882679E-2</v>
      </c>
      <c r="W368" s="4">
        <f>1/TWD!C368</f>
        <v>3.2816689255487773E-2</v>
      </c>
      <c r="X368" s="4">
        <f>1/TWD!B368</f>
        <v>3.2816473869882679E-2</v>
      </c>
      <c r="Y368" s="4">
        <f>1/TWD!C368</f>
        <v>3.2816689255487773E-2</v>
      </c>
      <c r="Z368" s="4">
        <f>1/ZAR!B368</f>
        <v>0.13982102908277405</v>
      </c>
      <c r="AA368" s="4">
        <f>1/ZAR!C368</f>
        <v>0.13908786180230051</v>
      </c>
    </row>
    <row r="369" spans="1:27" x14ac:dyDescent="0.25">
      <c r="A369" t="str">
        <f>"01/12/2010"</f>
        <v>01/12/2010</v>
      </c>
      <c r="B369" s="3">
        <f>AUD!B369</f>
        <v>0.95709999999999995</v>
      </c>
      <c r="C369" s="3">
        <f>AUD!C369</f>
        <v>0.95340000000000003</v>
      </c>
      <c r="D369" s="3">
        <f>1/CAD!B369</f>
        <v>0.97532429532819653</v>
      </c>
      <c r="E369" s="3">
        <f>1/CAD!C369</f>
        <v>0.97475387464665164</v>
      </c>
      <c r="F369" s="3">
        <f>EUR!B369/1</f>
        <v>1.3008999999999999</v>
      </c>
      <c r="G369" s="3">
        <f>EUR!C369/1</f>
        <v>1.3008</v>
      </c>
      <c r="H369" s="3">
        <f>GBP!B369/1</f>
        <v>1.5587</v>
      </c>
      <c r="I369" s="3">
        <f>GBP!C369/1</f>
        <v>1.5584</v>
      </c>
      <c r="J369" s="4">
        <f>1/INR!B369</f>
        <v>2.1860312602470216E-2</v>
      </c>
      <c r="K369" s="4">
        <f>1/INR!C369</f>
        <v>2.1739130434782608E-2</v>
      </c>
      <c r="L369" s="4">
        <f>1/JPY!B369</f>
        <v>1.1972463334331038E-2</v>
      </c>
      <c r="M369" s="4">
        <f>1/JPY!C369</f>
        <v>1.1978601426411857E-2</v>
      </c>
      <c r="N369" s="5">
        <f>1/KRW!B369</f>
        <v>8.6595081399376517E-4</v>
      </c>
      <c r="O369" s="5">
        <f>1/KRW!C369</f>
        <v>8.6591744602844802E-4</v>
      </c>
      <c r="P369" s="3">
        <f>1/NOK!B369</f>
        <v>0.161277316345456</v>
      </c>
      <c r="Q369" s="3">
        <f>1/NOK!C369</f>
        <v>0.16103837544486851</v>
      </c>
      <c r="R369" s="3">
        <f>NZD!B369/1</f>
        <v>0.74270000000000003</v>
      </c>
      <c r="S369" s="3">
        <f>NZD!C369/1</f>
        <v>0.74070000000000003</v>
      </c>
      <c r="T369" s="4">
        <f>1/PHP!B369</f>
        <v>2.2885913720105275E-2</v>
      </c>
      <c r="U369" s="4">
        <f>1/PHP!C369</f>
        <v>2.2859494119395137E-2</v>
      </c>
      <c r="V369" s="4">
        <f>1/TWD!B369</f>
        <v>3.2831018746511703E-2</v>
      </c>
      <c r="W369" s="4">
        <f>1/TWD!C369</f>
        <v>3.2831126534444775E-2</v>
      </c>
      <c r="X369" s="4">
        <f>1/TWD!B369</f>
        <v>3.2831018746511703E-2</v>
      </c>
      <c r="Y369" s="4">
        <f>1/TWD!C369</f>
        <v>3.2831126534444775E-2</v>
      </c>
      <c r="Z369" s="4">
        <f>1/ZAR!B369</f>
        <v>0.14074595355383532</v>
      </c>
      <c r="AA369" s="4">
        <f>1/ZAR!C369</f>
        <v>0.14002072306701391</v>
      </c>
    </row>
    <row r="370" spans="1:27" x14ac:dyDescent="0.25">
      <c r="A370" t="str">
        <f>"02/12/2010"</f>
        <v>02/12/2010</v>
      </c>
      <c r="B370" s="3">
        <f>AUD!B370</f>
        <v>0.96360000000000001</v>
      </c>
      <c r="C370" s="3">
        <f>AUD!C370</f>
        <v>0.95989999999999998</v>
      </c>
      <c r="D370" s="3">
        <f>1/CAD!B370</f>
        <v>0.98193244304791838</v>
      </c>
      <c r="E370" s="3">
        <f>1/CAD!C370</f>
        <v>0.9813542688910698</v>
      </c>
      <c r="F370" s="3">
        <f>EUR!B370/1</f>
        <v>1.3095000000000001</v>
      </c>
      <c r="G370" s="3">
        <f>EUR!C370/1</f>
        <v>1.3092999999999999</v>
      </c>
      <c r="H370" s="3">
        <f>GBP!B370/1</f>
        <v>1.5598000000000001</v>
      </c>
      <c r="I370" s="3">
        <f>GBP!C370/1</f>
        <v>1.5595000000000001</v>
      </c>
      <c r="J370" s="4">
        <f>1/INR!B370</f>
        <v>2.2033711578715434E-2</v>
      </c>
      <c r="K370" s="4">
        <f>1/INR!C370</f>
        <v>2.1910604732690624E-2</v>
      </c>
      <c r="L370" s="4">
        <f>1/JPY!B370</f>
        <v>1.1891596208959129E-2</v>
      </c>
      <c r="M370" s="4">
        <f>1/JPY!C370</f>
        <v>1.189632118163779E-2</v>
      </c>
      <c r="N370" s="5">
        <f>1/KRW!B370</f>
        <v>8.6760367863959753E-4</v>
      </c>
      <c r="O370" s="5">
        <f>1/KRW!C370</f>
        <v>8.6756958103243039E-4</v>
      </c>
      <c r="P370" s="3">
        <f>1/NOK!B370</f>
        <v>0.16217706491947909</v>
      </c>
      <c r="Q370" s="3">
        <f>1/NOK!C370</f>
        <v>0.16193807488016582</v>
      </c>
      <c r="R370" s="3">
        <f>NZD!B370/1</f>
        <v>0.75019999999999998</v>
      </c>
      <c r="S370" s="3">
        <f>NZD!C370/1</f>
        <v>0.74829999999999997</v>
      </c>
      <c r="T370" s="4">
        <f>1/PHP!B370</f>
        <v>2.2766078542970976E-2</v>
      </c>
      <c r="U370" s="4">
        <f>1/PHP!C370</f>
        <v>2.2761414849547048E-2</v>
      </c>
      <c r="V370" s="4">
        <f>1/TWD!B370</f>
        <v>3.2927230819888048E-2</v>
      </c>
      <c r="W370" s="4">
        <f>1/TWD!C370</f>
        <v>3.2927447661821943E-2</v>
      </c>
      <c r="X370" s="4">
        <f>1/TWD!B370</f>
        <v>3.2927230819888048E-2</v>
      </c>
      <c r="Y370" s="4">
        <f>1/TWD!C370</f>
        <v>3.2927447661821943E-2</v>
      </c>
      <c r="Z370" s="4">
        <f>1/ZAR!B370</f>
        <v>0.14210399170112689</v>
      </c>
      <c r="AA370" s="4">
        <f>1/ZAR!C370</f>
        <v>0.14141071327563776</v>
      </c>
    </row>
    <row r="371" spans="1:27" x14ac:dyDescent="0.25">
      <c r="A371" t="str">
        <f>"03/12/2010"</f>
        <v>03/12/2010</v>
      </c>
      <c r="B371" s="3">
        <f>AUD!B371</f>
        <v>0.97529999999999994</v>
      </c>
      <c r="C371" s="3">
        <f>AUD!C371</f>
        <v>0.97160000000000002</v>
      </c>
      <c r="D371" s="3">
        <f>1/CAD!B371</f>
        <v>0.99611515091144531</v>
      </c>
      <c r="E371" s="3">
        <f>1/CAD!C371</f>
        <v>0.99552015928322557</v>
      </c>
      <c r="F371" s="3">
        <f>EUR!B371/1</f>
        <v>1.3202</v>
      </c>
      <c r="G371" s="3">
        <f>EUR!C371/1</f>
        <v>1.32</v>
      </c>
      <c r="H371" s="3">
        <f>GBP!B371/1</f>
        <v>1.5592999999999999</v>
      </c>
      <c r="I371" s="3">
        <f>GBP!C371/1</f>
        <v>1.5589</v>
      </c>
      <c r="J371" s="4">
        <f>1/INR!B371</f>
        <v>2.214103841470165E-2</v>
      </c>
      <c r="K371" s="4">
        <f>1/INR!C371</f>
        <v>2.2007042253521129E-2</v>
      </c>
      <c r="L371" s="4">
        <f>1/JPY!B371</f>
        <v>1.1944577161968466E-2</v>
      </c>
      <c r="M371" s="4">
        <f>1/JPY!C371</f>
        <v>1.1948330638984773E-2</v>
      </c>
      <c r="N371" s="5">
        <f>1/KRW!B371</f>
        <v>8.7336244541484718E-4</v>
      </c>
      <c r="O371" s="5">
        <f>1/KRW!C371</f>
        <v>8.7332781739483869E-4</v>
      </c>
      <c r="P371" s="3">
        <f>1/NOK!B371</f>
        <v>0.16413623307345096</v>
      </c>
      <c r="Q371" s="3">
        <f>1/NOK!C371</f>
        <v>0.1638914383112626</v>
      </c>
      <c r="R371" s="3">
        <f>NZD!B371/1</f>
        <v>0.75509999999999999</v>
      </c>
      <c r="S371" s="3">
        <f>NZD!C371/1</f>
        <v>0.75319999999999998</v>
      </c>
      <c r="T371" s="4">
        <f>1/PHP!B371</f>
        <v>2.2779043280182234E-2</v>
      </c>
      <c r="U371" s="4">
        <f>1/PHP!C371</f>
        <v>2.2779562176814962E-2</v>
      </c>
      <c r="V371" s="4">
        <f>1/TWD!B371</f>
        <v>3.2948929159802305E-2</v>
      </c>
      <c r="W371" s="4">
        <f>1/TWD!C371</f>
        <v>3.2949037723353287E-2</v>
      </c>
      <c r="X371" s="4">
        <f>1/TWD!B371</f>
        <v>3.2948929159802305E-2</v>
      </c>
      <c r="Y371" s="4">
        <f>1/TWD!C371</f>
        <v>3.2949037723353287E-2</v>
      </c>
      <c r="Z371" s="4">
        <f>1/ZAR!B371</f>
        <v>0.14459224985540775</v>
      </c>
      <c r="AA371" s="4">
        <f>1/ZAR!C371</f>
        <v>0.1438931737078393</v>
      </c>
    </row>
    <row r="372" spans="1:27" x14ac:dyDescent="0.25">
      <c r="A372" t="str">
        <f>"06/12/2010"</f>
        <v>06/12/2010</v>
      </c>
      <c r="B372" s="3">
        <f>AUD!B372</f>
        <v>0.98699999999999999</v>
      </c>
      <c r="C372" s="3">
        <f>AUD!C372</f>
        <v>0.98299999999999998</v>
      </c>
      <c r="D372" s="3">
        <f>1/CAD!B372</f>
        <v>0.99453008453505709</v>
      </c>
      <c r="E372" s="3">
        <f>1/CAD!C372</f>
        <v>0.9939369843951894</v>
      </c>
      <c r="F372" s="3">
        <f>EUR!B372/1</f>
        <v>1.335</v>
      </c>
      <c r="G372" s="3">
        <f>EUR!C372/1</f>
        <v>1.3347</v>
      </c>
      <c r="H372" s="3">
        <f>GBP!B372/1</f>
        <v>1.5739000000000001</v>
      </c>
      <c r="I372" s="3">
        <f>GBP!C372/1</f>
        <v>1.5734999999999999</v>
      </c>
      <c r="J372" s="4">
        <f>1/INR!B372</f>
        <v>2.2256843979523704E-2</v>
      </c>
      <c r="K372" s="4">
        <f>1/INR!C372</f>
        <v>2.211777716339508E-2</v>
      </c>
      <c r="L372" s="4">
        <f>1/JPY!B372</f>
        <v>1.2061271257990593E-2</v>
      </c>
      <c r="M372" s="4">
        <f>1/JPY!C372</f>
        <v>1.2065753530439484E-2</v>
      </c>
      <c r="N372" s="5">
        <f>1/KRW!B372</f>
        <v>8.8183421516754845E-4</v>
      </c>
      <c r="O372" s="5">
        <f>1/KRW!C372</f>
        <v>8.8179836780885709E-4</v>
      </c>
      <c r="P372" s="3">
        <f>1/NOK!B372</f>
        <v>0.1669923016548937</v>
      </c>
      <c r="Q372" s="3">
        <f>1/NOK!C372</f>
        <v>0.16671946116270153</v>
      </c>
      <c r="R372" s="3">
        <f>NZD!B372/1</f>
        <v>0.76300000000000001</v>
      </c>
      <c r="S372" s="3">
        <f>NZD!C372/1</f>
        <v>0.76100000000000001</v>
      </c>
      <c r="T372" s="4">
        <f>1/PHP!B372</f>
        <v>2.2815423226100844E-2</v>
      </c>
      <c r="U372" s="4">
        <f>1/PHP!C372</f>
        <v>2.2817817977702427E-2</v>
      </c>
      <c r="V372" s="4">
        <f>1/TWD!B372</f>
        <v>3.3169696165583122E-2</v>
      </c>
      <c r="W372" s="4">
        <f>1/TWD!C372</f>
        <v>3.316980618882244E-2</v>
      </c>
      <c r="X372" s="4">
        <f>1/TWD!B372</f>
        <v>3.3169696165583122E-2</v>
      </c>
      <c r="Y372" s="4">
        <f>1/TWD!C372</f>
        <v>3.316980618882244E-2</v>
      </c>
      <c r="Z372" s="4">
        <f>1/ZAR!B372</f>
        <v>0.14512524308478217</v>
      </c>
      <c r="AA372" s="4">
        <f>1/ZAR!C372</f>
        <v>0.14444187658886065</v>
      </c>
    </row>
    <row r="373" spans="1:27" x14ac:dyDescent="0.25">
      <c r="A373" t="str">
        <f>"07/12/2010"</f>
        <v>07/12/2010</v>
      </c>
      <c r="B373" s="3">
        <f>AUD!B373</f>
        <v>0.99060000000000004</v>
      </c>
      <c r="C373" s="3">
        <f>AUD!C373</f>
        <v>0.98670000000000002</v>
      </c>
      <c r="D373" s="3">
        <f>1/CAD!B373</f>
        <v>0.99472794190788816</v>
      </c>
      <c r="E373" s="3">
        <f>1/CAD!C373</f>
        <v>0.99413460582562874</v>
      </c>
      <c r="F373" s="3">
        <f>EUR!B373/1</f>
        <v>1.3342000000000001</v>
      </c>
      <c r="G373" s="3">
        <f>EUR!C373/1</f>
        <v>1.3339000000000001</v>
      </c>
      <c r="H373" s="3">
        <f>GBP!B373/1</f>
        <v>1.5738000000000001</v>
      </c>
      <c r="I373" s="3">
        <f>GBP!C373/1</f>
        <v>1.5733999999999999</v>
      </c>
      <c r="J373" s="4">
        <f>1/INR!B373</f>
        <v>2.2296544035674468E-2</v>
      </c>
      <c r="K373" s="4">
        <f>1/INR!C373</f>
        <v>2.2153300841825433E-2</v>
      </c>
      <c r="L373" s="4">
        <f>1/JPY!B373</f>
        <v>1.2121799844840962E-2</v>
      </c>
      <c r="M373" s="4">
        <f>1/JPY!C373</f>
        <v>1.2126047842109156E-2</v>
      </c>
      <c r="N373" s="5">
        <f>1/KRW!B373</f>
        <v>8.8222320247022495E-4</v>
      </c>
      <c r="O373" s="5">
        <f>1/KRW!C373</f>
        <v>8.8219463913254853E-4</v>
      </c>
      <c r="P373" s="3">
        <f>1/NOK!B373</f>
        <v>0.16715140574332232</v>
      </c>
      <c r="Q373" s="3">
        <f>1/NOK!C373</f>
        <v>0.16688083039901205</v>
      </c>
      <c r="R373" s="3">
        <f>NZD!B373/1</f>
        <v>0.76170000000000004</v>
      </c>
      <c r="S373" s="3">
        <f>NZD!C373/1</f>
        <v>0.75970000000000004</v>
      </c>
      <c r="T373" s="4">
        <f>1/PHP!B373</f>
        <v>2.2888532845044635E-2</v>
      </c>
      <c r="U373" s="4">
        <f>1/PHP!C373</f>
        <v>2.2866603097510055E-2</v>
      </c>
      <c r="V373" s="4">
        <f>1/TWD!B373</f>
        <v>3.3198877877927725E-2</v>
      </c>
      <c r="W373" s="4">
        <f>1/TWD!C373</f>
        <v>3.3198988094842868E-2</v>
      </c>
      <c r="X373" s="4">
        <f>1/TWD!B373</f>
        <v>3.3198877877927725E-2</v>
      </c>
      <c r="Y373" s="4">
        <f>1/TWD!C373</f>
        <v>3.3198988094842868E-2</v>
      </c>
      <c r="Z373" s="4">
        <f>1/ZAR!B373</f>
        <v>0.14494854326714016</v>
      </c>
      <c r="AA373" s="4">
        <f>1/ZAR!C373</f>
        <v>0.14422522210684205</v>
      </c>
    </row>
    <row r="374" spans="1:27" x14ac:dyDescent="0.25">
      <c r="A374" t="str">
        <f>"08/12/2010"</f>
        <v>08/12/2010</v>
      </c>
      <c r="B374" s="3">
        <f>AUD!B374</f>
        <v>0.98060000000000003</v>
      </c>
      <c r="C374" s="3">
        <f>AUD!C374</f>
        <v>0.9768</v>
      </c>
      <c r="D374" s="3">
        <f>1/CAD!B374</f>
        <v>0.98794704603833239</v>
      </c>
      <c r="E374" s="3">
        <f>1/CAD!C374</f>
        <v>0.98726429065060728</v>
      </c>
      <c r="F374" s="3">
        <f>EUR!B374/1</f>
        <v>1.3221000000000001</v>
      </c>
      <c r="G374" s="3">
        <f>EUR!C374/1</f>
        <v>1.3218000000000001</v>
      </c>
      <c r="H374" s="3">
        <f>GBP!B374/1</f>
        <v>1.5728</v>
      </c>
      <c r="I374" s="3">
        <f>GBP!C374/1</f>
        <v>1.5724</v>
      </c>
      <c r="J374" s="4">
        <f>1/INR!B374</f>
        <v>2.2227161591464768E-2</v>
      </c>
      <c r="K374" s="4">
        <f>1/INR!C374</f>
        <v>2.2089684117517119E-2</v>
      </c>
      <c r="L374" s="4">
        <f>1/JPY!B374</f>
        <v>1.1933459032435142E-2</v>
      </c>
      <c r="M374" s="4">
        <f>1/JPY!C374</f>
        <v>1.1937447773665991E-2</v>
      </c>
      <c r="N374" s="5">
        <f>1/KRW!B374</f>
        <v>8.7359133397396692E-4</v>
      </c>
      <c r="O374" s="5">
        <f>1/KRW!C374</f>
        <v>8.7355630625102047E-4</v>
      </c>
      <c r="P374" s="3">
        <f>1/NOK!B374</f>
        <v>0.16610467916881219</v>
      </c>
      <c r="Q374" s="3">
        <f>1/NOK!C374</f>
        <v>0.16584573030167338</v>
      </c>
      <c r="R374" s="3">
        <f>NZD!B374/1</f>
        <v>0.753</v>
      </c>
      <c r="S374" s="3">
        <f>NZD!C374/1</f>
        <v>0.75109999999999999</v>
      </c>
      <c r="T374" s="4">
        <f>1/PHP!B374</f>
        <v>2.2885913720105275E-2</v>
      </c>
      <c r="U374" s="4">
        <f>1/PHP!C374</f>
        <v>2.2872460870937566E-2</v>
      </c>
      <c r="V374" s="4">
        <f>1/TWD!B374</f>
        <v>3.3152101843256863E-2</v>
      </c>
      <c r="W374" s="4">
        <f>1/TWD!C374</f>
        <v>3.3152321657085648E-2</v>
      </c>
      <c r="X374" s="4">
        <f>1/TWD!B374</f>
        <v>3.3152101843256863E-2</v>
      </c>
      <c r="Y374" s="4">
        <f>1/TWD!C374</f>
        <v>3.3152321657085648E-2</v>
      </c>
      <c r="Z374" s="4">
        <f>1/ZAR!B374</f>
        <v>0.14364720247073187</v>
      </c>
      <c r="AA374" s="4">
        <f>1/ZAR!C374</f>
        <v>0.14294086536399891</v>
      </c>
    </row>
    <row r="375" spans="1:27" x14ac:dyDescent="0.25">
      <c r="A375" t="str">
        <f>"09/12/2010"</f>
        <v>09/12/2010</v>
      </c>
      <c r="B375" s="3">
        <f>AUD!B375</f>
        <v>0.98660000000000003</v>
      </c>
      <c r="C375" s="3">
        <f>AUD!C375</f>
        <v>0.98280000000000001</v>
      </c>
      <c r="D375" s="3">
        <f>1/CAD!B375</f>
        <v>0.98941327792618983</v>
      </c>
      <c r="E375" s="3">
        <f>1/CAD!C375</f>
        <v>0.98872849515523031</v>
      </c>
      <c r="F375" s="3">
        <f>EUR!B375/1</f>
        <v>1.3309</v>
      </c>
      <c r="G375" s="3">
        <f>EUR!C375/1</f>
        <v>1.3307</v>
      </c>
      <c r="H375" s="3">
        <f>GBP!B375/1</f>
        <v>1.5819000000000001</v>
      </c>
      <c r="I375" s="3">
        <f>GBP!C375/1</f>
        <v>1.5814999999999999</v>
      </c>
      <c r="J375" s="4">
        <f>1/INR!B375</f>
        <v>2.2182786157941437E-2</v>
      </c>
      <c r="K375" s="4">
        <f>1/INR!C375</f>
        <v>2.2050716648291068E-2</v>
      </c>
      <c r="L375" s="4">
        <f>1/JPY!B375</f>
        <v>1.1941866991485448E-2</v>
      </c>
      <c r="M375" s="4">
        <f>1/JPY!C375</f>
        <v>1.1945547416655915E-2</v>
      </c>
      <c r="N375" s="5">
        <f>1/KRW!B375</f>
        <v>8.7858021437357229E-4</v>
      </c>
      <c r="O375" s="5">
        <f>1/KRW!C375</f>
        <v>8.7854771845110983E-4</v>
      </c>
      <c r="P375" s="3">
        <f>1/NOK!B375</f>
        <v>0.16693376068376067</v>
      </c>
      <c r="Q375" s="3">
        <f>1/NOK!C375</f>
        <v>0.16668055671305942</v>
      </c>
      <c r="R375" s="3">
        <f>NZD!B375/1</f>
        <v>0.74890000000000001</v>
      </c>
      <c r="S375" s="3">
        <f>NZD!C375/1</f>
        <v>0.74709999999999999</v>
      </c>
      <c r="T375" s="4">
        <f>1/PHP!B375</f>
        <v>2.2893772893772892E-2</v>
      </c>
      <c r="U375" s="4">
        <f>1/PHP!C375</f>
        <v>2.2886280361511687E-2</v>
      </c>
      <c r="V375" s="4">
        <f>1/TWD!B375</f>
        <v>3.3203838363714842E-2</v>
      </c>
      <c r="W375" s="4">
        <f>1/TWD!C375</f>
        <v>3.3203948613569123E-2</v>
      </c>
      <c r="X375" s="4">
        <f>1/TWD!B375</f>
        <v>3.3203838363714842E-2</v>
      </c>
      <c r="Y375" s="4">
        <f>1/TWD!C375</f>
        <v>3.3203948613569123E-2</v>
      </c>
      <c r="Z375" s="4">
        <f>1/ZAR!B375</f>
        <v>0.14423770373575653</v>
      </c>
      <c r="AA375" s="4">
        <f>1/ZAR!C375</f>
        <v>0.1435523463631013</v>
      </c>
    </row>
    <row r="376" spans="1:27" x14ac:dyDescent="0.25">
      <c r="A376" t="str">
        <f>"10/12/2010"</f>
        <v>10/12/2010</v>
      </c>
      <c r="B376" s="3">
        <f>AUD!B376</f>
        <v>0.9849</v>
      </c>
      <c r="C376" s="3">
        <f>AUD!C376</f>
        <v>0.98109999999999997</v>
      </c>
      <c r="D376" s="3">
        <f>1/CAD!B376</f>
        <v>0.99009900990099009</v>
      </c>
      <c r="E376" s="3">
        <f>1/CAD!C376</f>
        <v>0.98951118147635075</v>
      </c>
      <c r="F376" s="3">
        <f>EUR!B376/1</f>
        <v>1.3248</v>
      </c>
      <c r="G376" s="3">
        <f>EUR!C376/1</f>
        <v>1.3247</v>
      </c>
      <c r="H376" s="3">
        <f>GBP!B376/1</f>
        <v>1.5774999999999999</v>
      </c>
      <c r="I376" s="3">
        <f>GBP!C376/1</f>
        <v>1.5770999999999999</v>
      </c>
      <c r="J376" s="4">
        <f>1/INR!B376</f>
        <v>2.2060445621001547E-2</v>
      </c>
      <c r="K376" s="4">
        <f>1/INR!C376</f>
        <v>2.1925016443762334E-2</v>
      </c>
      <c r="L376" s="4">
        <f>1/JPY!B376</f>
        <v>1.1942294831374796E-2</v>
      </c>
      <c r="M376" s="4">
        <f>1/JPY!C376</f>
        <v>1.1946004061641383E-2</v>
      </c>
      <c r="N376" s="5">
        <f>1/KRW!B376</f>
        <v>8.7604029785370125E-4</v>
      </c>
      <c r="O376" s="5">
        <f>1/KRW!C376</f>
        <v>8.7600745237059882E-4</v>
      </c>
      <c r="P376" s="3">
        <f>1/NOK!B376</f>
        <v>0.16575776160718728</v>
      </c>
      <c r="Q376" s="3">
        <f>1/NOK!C376</f>
        <v>0.16550263149184072</v>
      </c>
      <c r="R376" s="3">
        <f>NZD!B376/1</f>
        <v>0.74929999999999997</v>
      </c>
      <c r="S376" s="3">
        <f>NZD!C376/1</f>
        <v>0.74739999999999995</v>
      </c>
      <c r="T376" s="4">
        <f>1/PHP!B376</f>
        <v>2.2872827081427266E-2</v>
      </c>
      <c r="U376" s="4">
        <f>1/PHP!C376</f>
        <v>2.286524368633459E-2</v>
      </c>
      <c r="V376" s="4">
        <f>1/TWD!B376</f>
        <v>3.3272334054233903E-2</v>
      </c>
      <c r="W376" s="4">
        <f>1/TWD!C376</f>
        <v>3.3272555465349962E-2</v>
      </c>
      <c r="X376" s="4">
        <f>1/TWD!B376</f>
        <v>3.3272334054233903E-2</v>
      </c>
      <c r="Y376" s="4">
        <f>1/TWD!C376</f>
        <v>3.3272555465349962E-2</v>
      </c>
      <c r="Z376" s="4">
        <f>1/ZAR!B376</f>
        <v>0.14491073498724785</v>
      </c>
      <c r="AA376" s="4">
        <f>1/ZAR!C376</f>
        <v>0.14422938240978453</v>
      </c>
    </row>
    <row r="377" spans="1:27" x14ac:dyDescent="0.25">
      <c r="A377" t="str">
        <f>"13/12/2010"</f>
        <v>13/12/2010</v>
      </c>
      <c r="B377" s="3">
        <f>AUD!B377</f>
        <v>0.98470000000000002</v>
      </c>
      <c r="C377" s="3">
        <f>AUD!C377</f>
        <v>0.98050000000000004</v>
      </c>
      <c r="D377" s="3">
        <f>1/CAD!B377</f>
        <v>0.98980500841334262</v>
      </c>
      <c r="E377" s="3">
        <f>1/CAD!C377</f>
        <v>0.98911968348170143</v>
      </c>
      <c r="F377" s="3">
        <f>EUR!B377/1</f>
        <v>1.3197000000000001</v>
      </c>
      <c r="G377" s="3">
        <f>EUR!C377/1</f>
        <v>1.3196000000000001</v>
      </c>
      <c r="H377" s="3">
        <f>GBP!B377/1</f>
        <v>1.5786</v>
      </c>
      <c r="I377" s="3">
        <f>GBP!C377/1</f>
        <v>1.5782</v>
      </c>
      <c r="J377" s="4">
        <f>1/INR!B377</f>
        <v>2.2138587558113793E-2</v>
      </c>
      <c r="K377" s="4">
        <f>1/INR!C377</f>
        <v>2.1991313431194679E-2</v>
      </c>
      <c r="L377" s="4">
        <f>1/JPY!B377</f>
        <v>1.1892161876107457E-2</v>
      </c>
      <c r="M377" s="4">
        <f>1/JPY!C377</f>
        <v>1.189659008038526E-2</v>
      </c>
      <c r="N377" s="5">
        <f>1/KRW!B377</f>
        <v>8.732099196646874E-4</v>
      </c>
      <c r="O377" s="5">
        <f>1/KRW!C377</f>
        <v>8.731761424178229E-4</v>
      </c>
      <c r="P377" s="3">
        <f>1/NOK!B377</f>
        <v>0.16615435739802276</v>
      </c>
      <c r="Q377" s="3">
        <f>1/NOK!C377</f>
        <v>0.16588699777711424</v>
      </c>
      <c r="R377" s="3">
        <f>NZD!B377/1</f>
        <v>0.74839999999999995</v>
      </c>
      <c r="S377" s="3">
        <f>NZD!C377/1</f>
        <v>0.74639999999999995</v>
      </c>
      <c r="T377" s="4">
        <f>1/PHP!B377</f>
        <v>2.2883295194508008E-2</v>
      </c>
      <c r="U377" s="4">
        <f>1/PHP!C377</f>
        <v>2.2888166131465049E-2</v>
      </c>
      <c r="V377" s="4">
        <f>1/TWD!B377</f>
        <v>3.3283408221001828E-2</v>
      </c>
      <c r="W377" s="4">
        <f>1/TWD!C377</f>
        <v>3.3283629779529235E-2</v>
      </c>
      <c r="X377" s="4">
        <f>1/TWD!B377</f>
        <v>3.3283408221001828E-2</v>
      </c>
      <c r="Y377" s="4">
        <f>1/TWD!C377</f>
        <v>3.3283629779529235E-2</v>
      </c>
      <c r="Z377" s="4">
        <f>1/ZAR!B377</f>
        <v>0.14543339150668994</v>
      </c>
      <c r="AA377" s="4">
        <f>1/ZAR!C377</f>
        <v>0.14509997388200471</v>
      </c>
    </row>
    <row r="378" spans="1:27" x14ac:dyDescent="0.25">
      <c r="A378" t="str">
        <f>"14/12/2010"</f>
        <v>14/12/2010</v>
      </c>
      <c r="B378" s="3">
        <f>AUD!B378</f>
        <v>0.995</v>
      </c>
      <c r="C378" s="3">
        <f>AUD!C378</f>
        <v>0.9909</v>
      </c>
      <c r="D378" s="3">
        <f>1/CAD!B378</f>
        <v>0.99137503717656394</v>
      </c>
      <c r="E378" s="3">
        <f>1/CAD!C378</f>
        <v>0.99078569305459219</v>
      </c>
      <c r="F378" s="3">
        <f>EUR!B378/1</f>
        <v>1.3385</v>
      </c>
      <c r="G378" s="3">
        <f>EUR!C378/1</f>
        <v>1.3384</v>
      </c>
      <c r="H378" s="3">
        <f>GBP!B378/1</f>
        <v>1.5859000000000001</v>
      </c>
      <c r="I378" s="3">
        <f>GBP!C378/1</f>
        <v>1.5854999999999999</v>
      </c>
      <c r="J378" s="4">
        <f>1/INR!B378</f>
        <v>2.2197558268590458E-2</v>
      </c>
      <c r="K378" s="4">
        <f>1/INR!C378</f>
        <v>2.2045855379188711E-2</v>
      </c>
      <c r="L378" s="4">
        <f>1/JPY!B378</f>
        <v>1.1980352222355337E-2</v>
      </c>
      <c r="M378" s="4">
        <f>1/JPY!C378</f>
        <v>1.1984702725441247E-2</v>
      </c>
      <c r="N378" s="5">
        <f>1/KRW!B378</f>
        <v>8.7596355991590759E-4</v>
      </c>
      <c r="O378" s="5">
        <f>1/KRW!C378</f>
        <v>8.7592880205436844E-4</v>
      </c>
      <c r="P378" s="3">
        <f>1/NOK!B378</f>
        <v>0.16888753778858659</v>
      </c>
      <c r="Q378" s="3">
        <f>1/NOK!C378</f>
        <v>0.16860563142808971</v>
      </c>
      <c r="R378" s="3">
        <f>NZD!B378/1</f>
        <v>0.74960000000000004</v>
      </c>
      <c r="S378" s="3">
        <f>NZD!C378/1</f>
        <v>0.74760000000000004</v>
      </c>
      <c r="T378" s="4">
        <f>1/PHP!B378</f>
        <v>2.2814121941481774E-2</v>
      </c>
      <c r="U378" s="4">
        <f>1/PHP!C378</f>
        <v>2.2798050310737426E-2</v>
      </c>
      <c r="V378" s="4">
        <f>1/TWD!B378</f>
        <v>3.3423576991209597E-2</v>
      </c>
      <c r="W378" s="4">
        <f>1/TWD!C378</f>
        <v>3.3423800419802932E-2</v>
      </c>
      <c r="X378" s="4">
        <f>1/TWD!B378</f>
        <v>3.3423576991209597E-2</v>
      </c>
      <c r="Y378" s="4">
        <f>1/TWD!C378</f>
        <v>3.3423800419802932E-2</v>
      </c>
      <c r="Z378" s="4">
        <f>1/ZAR!B378</f>
        <v>0.14603656755651614</v>
      </c>
      <c r="AA378" s="4">
        <f>1/ZAR!C378</f>
        <v>0.14532771399505887</v>
      </c>
    </row>
    <row r="379" spans="1:27" x14ac:dyDescent="0.25">
      <c r="A379" t="str">
        <f>"15/12/2010"</f>
        <v>15/12/2010</v>
      </c>
      <c r="B379" s="3">
        <f>AUD!B379</f>
        <v>0.99570000000000003</v>
      </c>
      <c r="C379" s="3">
        <f>AUD!C379</f>
        <v>0.99170000000000003</v>
      </c>
      <c r="D379" s="3">
        <f>1/CAD!B379</f>
        <v>0.99245732433505351</v>
      </c>
      <c r="E379" s="3">
        <f>1/CAD!C379</f>
        <v>0.99176832291976602</v>
      </c>
      <c r="F379" s="3">
        <f>EUR!B379/1</f>
        <v>1.3353999999999999</v>
      </c>
      <c r="G379" s="3">
        <f>EUR!C379/1</f>
        <v>1.3352999999999999</v>
      </c>
      <c r="H379" s="3">
        <f>GBP!B379/1</f>
        <v>1.5764</v>
      </c>
      <c r="I379" s="3">
        <f>GBP!C379/1</f>
        <v>1.5760000000000001</v>
      </c>
      <c r="J379" s="4">
        <f>1/INR!B379</f>
        <v>2.2079929344226101E-2</v>
      </c>
      <c r="K379" s="4">
        <f>1/INR!C379</f>
        <v>2.1945465518187303E-2</v>
      </c>
      <c r="L379" s="4">
        <f>1/JPY!B379</f>
        <v>1.1933174224343675E-2</v>
      </c>
      <c r="M379" s="4">
        <f>1/JPY!C379</f>
        <v>1.1937305272707739E-2</v>
      </c>
      <c r="N379" s="5">
        <f>1/KRW!B379</f>
        <v>8.6703949364893575E-4</v>
      </c>
      <c r="O379" s="5">
        <f>1/KRW!C379</f>
        <v>8.6700942439244303E-4</v>
      </c>
      <c r="P379" s="3">
        <f>1/NOK!B379</f>
        <v>0.16912461101339468</v>
      </c>
      <c r="Q379" s="3">
        <f>1/NOK!C379</f>
        <v>0.16884476412386451</v>
      </c>
      <c r="R379" s="3">
        <f>NZD!B379/1</f>
        <v>0.75</v>
      </c>
      <c r="S379" s="3">
        <f>NZD!C379/1</f>
        <v>0.74809999999999999</v>
      </c>
      <c r="T379" s="4">
        <f>1/PHP!B379</f>
        <v>2.2758306781975421E-2</v>
      </c>
      <c r="U379" s="4">
        <f>1/PHP!C379</f>
        <v>2.2728305832083278E-2</v>
      </c>
      <c r="V379" s="4">
        <f>1/TWD!B379</f>
        <v>3.3431398769724528E-2</v>
      </c>
      <c r="W379" s="4">
        <f>1/TWD!C379</f>
        <v>3.343162230290387E-2</v>
      </c>
      <c r="X379" s="4">
        <f>1/TWD!B379</f>
        <v>3.3431398769724528E-2</v>
      </c>
      <c r="Y379" s="4">
        <f>1/TWD!C379</f>
        <v>3.343162230290387E-2</v>
      </c>
      <c r="Z379" s="4">
        <f>1/ZAR!B379</f>
        <v>0.14611338398597312</v>
      </c>
      <c r="AA379" s="4">
        <f>1/ZAR!C379</f>
        <v>0.1454312764503134</v>
      </c>
    </row>
    <row r="380" spans="1:27" x14ac:dyDescent="0.25">
      <c r="A380" t="str">
        <f>"16/12/2010"</f>
        <v>16/12/2010</v>
      </c>
      <c r="B380" s="3">
        <f>AUD!B380</f>
        <v>0.98619999999999997</v>
      </c>
      <c r="C380" s="3">
        <f>AUD!C380</f>
        <v>0.98240000000000005</v>
      </c>
      <c r="D380" s="3">
        <f>1/CAD!B380</f>
        <v>0.9959167413604223</v>
      </c>
      <c r="E380" s="3">
        <f>1/CAD!C380</f>
        <v>0.99522292993630579</v>
      </c>
      <c r="F380" s="3">
        <f>EUR!B380/1</f>
        <v>1.3210999999999999</v>
      </c>
      <c r="G380" s="3">
        <f>EUR!C380/1</f>
        <v>1.3210999999999999</v>
      </c>
      <c r="H380" s="3">
        <f>GBP!B380/1</f>
        <v>1.5543</v>
      </c>
      <c r="I380" s="3">
        <f>GBP!C380/1</f>
        <v>1.554</v>
      </c>
      <c r="J380" s="4">
        <f>1/INR!B380</f>
        <v>2.1944261575597982E-2</v>
      </c>
      <c r="K380" s="4">
        <f>1/INR!C380</f>
        <v>2.1817388458601504E-2</v>
      </c>
      <c r="L380" s="4">
        <f>1/JPY!B380</f>
        <v>1.1869577086968392E-2</v>
      </c>
      <c r="M380" s="4">
        <f>1/JPY!C380</f>
        <v>1.1874087179548073E-2</v>
      </c>
      <c r="N380" s="5">
        <f>1/KRW!B380</f>
        <v>8.634087376964254E-4</v>
      </c>
      <c r="O380" s="5">
        <f>1/KRW!C380</f>
        <v>8.6337869611340589E-4</v>
      </c>
      <c r="P380" s="3">
        <f>1/NOK!B380</f>
        <v>0.16717096574666909</v>
      </c>
      <c r="Q380" s="3">
        <f>1/NOK!C380</f>
        <v>0.166908684258842</v>
      </c>
      <c r="R380" s="3">
        <f>NZD!B380/1</f>
        <v>0.73860000000000003</v>
      </c>
      <c r="S380" s="3">
        <f>NZD!C380/1</f>
        <v>0.73670000000000002</v>
      </c>
      <c r="T380" s="4">
        <f>1/PHP!B380</f>
        <v>2.2650056625141565E-2</v>
      </c>
      <c r="U380" s="4">
        <f>1/PHP!C380</f>
        <v>2.2629298152317807E-2</v>
      </c>
      <c r="V380" s="4">
        <f>1/TWD!B380</f>
        <v>3.350083752093802E-2</v>
      </c>
      <c r="W380" s="4">
        <f>1/TWD!C380</f>
        <v>3.3500949751925468E-2</v>
      </c>
      <c r="X380" s="4">
        <f>1/TWD!B380</f>
        <v>3.350083752093802E-2</v>
      </c>
      <c r="Y380" s="4">
        <f>1/TWD!C380</f>
        <v>3.3500949751925468E-2</v>
      </c>
      <c r="Z380" s="4">
        <f>1/ZAR!B380</f>
        <v>0.14555617012605165</v>
      </c>
      <c r="AA380" s="4">
        <f>1/ZAR!C380</f>
        <v>0.14487084763932953</v>
      </c>
    </row>
    <row r="381" spans="1:27" x14ac:dyDescent="0.25">
      <c r="A381" t="str">
        <f>"20/12/2010"</f>
        <v>20/12/2010</v>
      </c>
      <c r="B381" s="3">
        <f>AUD!B381</f>
        <v>0.9869</v>
      </c>
      <c r="C381" s="3">
        <f>AUD!C381</f>
        <v>0.9829</v>
      </c>
      <c r="D381" s="3">
        <f>1/CAD!B381</f>
        <v>0.98716683119447202</v>
      </c>
      <c r="E381" s="3">
        <f>1/CAD!C381</f>
        <v>0.98648515339844134</v>
      </c>
      <c r="F381" s="3">
        <f>EUR!B381/1</f>
        <v>1.3145</v>
      </c>
      <c r="G381" s="3">
        <f>EUR!C381/1</f>
        <v>1.3145</v>
      </c>
      <c r="H381" s="3">
        <f>GBP!B381/1</f>
        <v>1.55</v>
      </c>
      <c r="I381" s="3">
        <f>GBP!C381/1</f>
        <v>1.5496000000000001</v>
      </c>
      <c r="J381" s="4">
        <f>1/INR!B381</f>
        <v>2.1958717610891524E-2</v>
      </c>
      <c r="K381" s="4">
        <f>1/INR!C381</f>
        <v>2.1829294913774284E-2</v>
      </c>
      <c r="L381" s="4">
        <f>1/JPY!B381</f>
        <v>1.1920371915603767E-2</v>
      </c>
      <c r="M381" s="4">
        <f>1/JPY!C381</f>
        <v>1.1925503763092713E-2</v>
      </c>
      <c r="N381" s="5">
        <f>1/KRW!B381</f>
        <v>8.5631101215961642E-4</v>
      </c>
      <c r="O381" s="5">
        <f>1/KRW!C381</f>
        <v>8.5627896952306212E-4</v>
      </c>
      <c r="P381" s="3">
        <f>1/NOK!B381</f>
        <v>0.16669722782510127</v>
      </c>
      <c r="Q381" s="3">
        <f>1/NOK!C381</f>
        <v>0.16644474034620507</v>
      </c>
      <c r="R381" s="3">
        <f>NZD!B381/1</f>
        <v>0.73819999999999997</v>
      </c>
      <c r="S381" s="3">
        <f>NZD!C381/1</f>
        <v>0.73619999999999997</v>
      </c>
      <c r="T381" s="4">
        <f>1/PHP!B381</f>
        <v>2.2517451024544024E-2</v>
      </c>
      <c r="U381" s="4">
        <f>1/PHP!C381</f>
        <v>2.2479841202401749E-2</v>
      </c>
      <c r="V381" s="4">
        <f>1/TWD!B381</f>
        <v>3.3405154415326287E-2</v>
      </c>
      <c r="W381" s="4">
        <f>1/TWD!C381</f>
        <v>3.3405377597685672E-2</v>
      </c>
      <c r="X381" s="4">
        <f>1/TWD!B381</f>
        <v>3.3405154415326287E-2</v>
      </c>
      <c r="Y381" s="4">
        <f>1/TWD!C381</f>
        <v>3.3405377597685672E-2</v>
      </c>
      <c r="Z381" s="4">
        <f>1/ZAR!B381</f>
        <v>0.14549898878202797</v>
      </c>
      <c r="AA381" s="4">
        <f>1/ZAR!C381</f>
        <v>0.14481210629208602</v>
      </c>
    </row>
    <row r="382" spans="1:27" x14ac:dyDescent="0.25">
      <c r="A382" t="str">
        <f>"21/12/2010"</f>
        <v>21/12/2010</v>
      </c>
      <c r="B382" s="3">
        <f>AUD!B382</f>
        <v>0.99590000000000001</v>
      </c>
      <c r="C382" s="3">
        <f>AUD!C382</f>
        <v>0.99199999999999999</v>
      </c>
      <c r="D382" s="3">
        <f>1/CAD!B382</f>
        <v>0.9837678307919332</v>
      </c>
      <c r="E382" s="3">
        <f>1/CAD!C382</f>
        <v>0.98309083759339355</v>
      </c>
      <c r="F382" s="3">
        <f>EUR!B382/1</f>
        <v>1.3169</v>
      </c>
      <c r="G382" s="3">
        <f>EUR!C382/1</f>
        <v>1.3169999999999999</v>
      </c>
      <c r="H382" s="3">
        <f>GBP!B382/1</f>
        <v>1.5547</v>
      </c>
      <c r="I382" s="3">
        <f>GBP!C382/1</f>
        <v>1.5543</v>
      </c>
      <c r="J382" s="4">
        <f>1/INR!B382</f>
        <v>2.2092124157737765E-2</v>
      </c>
      <c r="K382" s="4">
        <f>1/INR!C382</f>
        <v>2.1959923140269007E-2</v>
      </c>
      <c r="L382" s="4">
        <f>1/JPY!B382</f>
        <v>1.195457262402869E-2</v>
      </c>
      <c r="M382" s="4">
        <f>1/JPY!C382</f>
        <v>1.1959419298436545E-2</v>
      </c>
      <c r="N382" s="5">
        <f>1/KRW!B382</f>
        <v>8.6805555555555551E-4</v>
      </c>
      <c r="O382" s="5">
        <f>1/KRW!C382</f>
        <v>8.6802458697003086E-4</v>
      </c>
      <c r="P382" s="3">
        <f>1/NOK!B382</f>
        <v>0.16744248350691537</v>
      </c>
      <c r="Q382" s="3">
        <f>1/NOK!C382</f>
        <v>0.16718214494691969</v>
      </c>
      <c r="R382" s="3">
        <f>NZD!B382/1</f>
        <v>0.74519999999999997</v>
      </c>
      <c r="S382" s="3">
        <f>NZD!C382/1</f>
        <v>0.74319999999999997</v>
      </c>
      <c r="T382" s="4">
        <f>1/PHP!B382</f>
        <v>2.2558087074216106E-2</v>
      </c>
      <c r="U382" s="4">
        <f>1/PHP!C382</f>
        <v>2.2524754705421257E-2</v>
      </c>
      <c r="V382" s="4">
        <f>1/TWD!B382</f>
        <v>3.3454886086112877E-2</v>
      </c>
      <c r="W382" s="4">
        <f>1/TWD!C382</f>
        <v>3.3455109933491246E-2</v>
      </c>
      <c r="X382" s="4">
        <f>1/TWD!B382</f>
        <v>3.3454886086112877E-2</v>
      </c>
      <c r="Y382" s="4">
        <f>1/TWD!C382</f>
        <v>3.3455109933491246E-2</v>
      </c>
      <c r="Z382" s="4">
        <f>1/ZAR!B382</f>
        <v>0.14630363857149128</v>
      </c>
      <c r="AA382" s="4">
        <f>1/ZAR!C382</f>
        <v>0.14554557759762468</v>
      </c>
    </row>
    <row r="383" spans="1:27" x14ac:dyDescent="0.25">
      <c r="A383" t="str">
        <f>"22/12/2010"</f>
        <v>22/12/2010</v>
      </c>
      <c r="B383" s="3">
        <f>AUD!B383</f>
        <v>0.99719999999999998</v>
      </c>
      <c r="C383" s="3">
        <f>AUD!C383</f>
        <v>0.99339999999999995</v>
      </c>
      <c r="D383" s="3">
        <f>1/CAD!B383</f>
        <v>0.98338086340839814</v>
      </c>
      <c r="E383" s="3">
        <f>1/CAD!C383</f>
        <v>0.98270440251572322</v>
      </c>
      <c r="F383" s="3">
        <f>EUR!B383/1</f>
        <v>1.3132999999999999</v>
      </c>
      <c r="G383" s="3">
        <f>EUR!C383/1</f>
        <v>1.3132999999999999</v>
      </c>
      <c r="H383" s="3">
        <f>GBP!B383/1</f>
        <v>1.5479000000000001</v>
      </c>
      <c r="I383" s="3">
        <f>GBP!C383/1</f>
        <v>1.5475000000000001</v>
      </c>
      <c r="J383" s="4">
        <f>1/INR!B383</f>
        <v>2.2114108801415303E-2</v>
      </c>
      <c r="K383" s="4">
        <f>1/INR!C383</f>
        <v>2.1981645326152661E-2</v>
      </c>
      <c r="L383" s="4">
        <f>1/JPY!B383</f>
        <v>1.1936022917164E-2</v>
      </c>
      <c r="M383" s="4">
        <f>1/JPY!C383</f>
        <v>1.194161030226604E-2</v>
      </c>
      <c r="N383" s="5">
        <f>1/KRW!B383</f>
        <v>8.6415485655029381E-4</v>
      </c>
      <c r="O383" s="5">
        <f>1/KRW!C383</f>
        <v>8.6412371762960142E-4</v>
      </c>
      <c r="P383" s="3">
        <f>1/NOK!B383</f>
        <v>0.16745089502503391</v>
      </c>
      <c r="Q383" s="3">
        <f>1/NOK!C383</f>
        <v>0.16719612104999165</v>
      </c>
      <c r="R383" s="3">
        <f>NZD!B383/1</f>
        <v>0.74239999999999995</v>
      </c>
      <c r="S383" s="3">
        <f>NZD!C383/1</f>
        <v>0.74050000000000005</v>
      </c>
      <c r="T383" s="4">
        <f>1/PHP!B383</f>
        <v>2.2596316800361539E-2</v>
      </c>
      <c r="U383" s="4">
        <f>1/PHP!C383</f>
        <v>2.2564602456833914E-2</v>
      </c>
      <c r="V383" s="4">
        <f>1/TWD!B383</f>
        <v>3.3387866849187008E-2</v>
      </c>
      <c r="W383" s="4">
        <f>1/TWD!C383</f>
        <v>3.3388089800606327E-2</v>
      </c>
      <c r="X383" s="4">
        <f>1/TWD!B383</f>
        <v>3.3387866849187008E-2</v>
      </c>
      <c r="Y383" s="4">
        <f>1/TWD!C383</f>
        <v>3.3388089800606327E-2</v>
      </c>
      <c r="Z383" s="4">
        <f>1/ZAR!B383</f>
        <v>0.14622020763269483</v>
      </c>
      <c r="AA383" s="4">
        <f>1/ZAR!C383</f>
        <v>0.14550534004597968</v>
      </c>
    </row>
    <row r="384" spans="1:27" x14ac:dyDescent="0.25">
      <c r="A384" t="str">
        <f>"23/12/2010"</f>
        <v>23/12/2010</v>
      </c>
      <c r="B384" s="3">
        <f>AUD!B384</f>
        <v>1.0016</v>
      </c>
      <c r="C384" s="3">
        <f>AUD!C384</f>
        <v>0.99750000000000005</v>
      </c>
      <c r="D384" s="3">
        <f>1/CAD!B384</f>
        <v>0.98775187672856579</v>
      </c>
      <c r="E384" s="3">
        <f>1/CAD!C384</f>
        <v>0.98706939097818591</v>
      </c>
      <c r="F384" s="3">
        <f>EUR!B384/1</f>
        <v>1.3112999999999999</v>
      </c>
      <c r="G384" s="3">
        <f>EUR!C384/1</f>
        <v>1.3112999999999999</v>
      </c>
      <c r="H384" s="3">
        <f>GBP!B384/1</f>
        <v>1.5418000000000001</v>
      </c>
      <c r="I384" s="3">
        <f>GBP!C384/1</f>
        <v>1.5415000000000001</v>
      </c>
      <c r="J384" s="4">
        <f>1/INR!B384</f>
        <v>2.2223456858714373E-2</v>
      </c>
      <c r="K384" s="4">
        <f>1/INR!C384</f>
        <v>2.209456473707468E-2</v>
      </c>
      <c r="L384" s="4">
        <f>1/JPY!B384</f>
        <v>1.2025301233795907E-2</v>
      </c>
      <c r="M384" s="4">
        <f>1/JPY!C384</f>
        <v>1.203065410666378E-2</v>
      </c>
      <c r="N384" s="5">
        <f>1/KRW!B384</f>
        <v>8.6790487762541219E-4</v>
      </c>
      <c r="O384" s="5">
        <f>1/KRW!C384</f>
        <v>8.6787256402274214E-4</v>
      </c>
      <c r="P384" s="3">
        <f>1/NOK!B384</f>
        <v>0.16699787912693509</v>
      </c>
      <c r="Q384" s="3">
        <f>1/NOK!C384</f>
        <v>0.1667472611762352</v>
      </c>
      <c r="R384" s="3">
        <f>NZD!B384/1</f>
        <v>0.74380000000000002</v>
      </c>
      <c r="S384" s="3">
        <f>NZD!C384/1</f>
        <v>0.7419</v>
      </c>
      <c r="T384" s="4">
        <f>1/PHP!B384</f>
        <v>2.2660321776569226E-2</v>
      </c>
      <c r="U384" s="4">
        <f>1/PHP!C384</f>
        <v>2.262284771882515E-2</v>
      </c>
      <c r="V384" s="4">
        <f>1/TWD!B384</f>
        <v>3.3506449991623388E-2</v>
      </c>
      <c r="W384" s="4">
        <f>1/TWD!C384</f>
        <v>3.3506674529566294E-2</v>
      </c>
      <c r="X384" s="4">
        <f>1/TWD!B384</f>
        <v>3.3506449991623388E-2</v>
      </c>
      <c r="Y384" s="4">
        <f>1/TWD!C384</f>
        <v>3.3506674529566294E-2</v>
      </c>
      <c r="Z384" s="4">
        <f>1/ZAR!B384</f>
        <v>0.14722119985277879</v>
      </c>
      <c r="AA384" s="4">
        <f>1/ZAR!C384</f>
        <v>0.14651585301529627</v>
      </c>
    </row>
    <row r="385" spans="1:27" x14ac:dyDescent="0.25">
      <c r="A385" t="str">
        <f>"24/12/2010"</f>
        <v>24/12/2010</v>
      </c>
      <c r="B385" s="3">
        <f>AUD!B385</f>
        <v>1.0038</v>
      </c>
      <c r="C385" s="3">
        <f>AUD!C385</f>
        <v>0.99990000000000001</v>
      </c>
      <c r="D385" s="3">
        <f>1/CAD!B385</f>
        <v>0.99108027750247785</v>
      </c>
      <c r="E385" s="3">
        <f>1/CAD!C385</f>
        <v>0.99049128367670358</v>
      </c>
      <c r="F385" s="3">
        <f>EUR!B385/1</f>
        <v>1.3129</v>
      </c>
      <c r="G385" s="3">
        <f>EUR!C385/1</f>
        <v>1.3129</v>
      </c>
      <c r="H385" s="3">
        <f>GBP!B385/1</f>
        <v>1.5429999999999999</v>
      </c>
      <c r="I385" s="3">
        <f>GBP!C385/1</f>
        <v>1.5426</v>
      </c>
      <c r="J385" s="4">
        <f>1/INR!B385</f>
        <v>2.2126341409447949E-2</v>
      </c>
      <c r="K385" s="4">
        <f>1/INR!C385</f>
        <v>2.2002200220022E-2</v>
      </c>
      <c r="L385" s="4">
        <f>1/JPY!B385</f>
        <v>1.2048192771084338E-2</v>
      </c>
      <c r="M385" s="4">
        <f>1/JPY!C385</f>
        <v>1.2053638692180201E-2</v>
      </c>
      <c r="N385" s="5">
        <f>1/KRW!B385</f>
        <v>8.6956521739130438E-4</v>
      </c>
      <c r="O385" s="5">
        <f>1/KRW!C385</f>
        <v>8.69549716722441E-4</v>
      </c>
      <c r="P385" s="3">
        <f>1/NOK!B385</f>
        <v>0.16762492247347335</v>
      </c>
      <c r="Q385" s="3">
        <f>1/NOK!C385</f>
        <v>0.167372420372571</v>
      </c>
      <c r="R385" s="3">
        <f>NZD!B385/1</f>
        <v>0.748</v>
      </c>
      <c r="S385" s="3">
        <f>NZD!C385/1</f>
        <v>0.74609999999999999</v>
      </c>
      <c r="T385" s="4">
        <f>1/PHP!B385</f>
        <v>2.2701475595913737E-2</v>
      </c>
      <c r="U385" s="4">
        <f>1/PHP!C385</f>
        <v>2.2670596236681027E-2</v>
      </c>
      <c r="V385" s="4">
        <f>1/TWD!B385</f>
        <v>3.3525546466407402E-2</v>
      </c>
      <c r="W385" s="4">
        <f>1/TWD!C385</f>
        <v>3.3525883658478528E-2</v>
      </c>
      <c r="X385" s="4">
        <f>1/TWD!B385</f>
        <v>3.3525546466407402E-2</v>
      </c>
      <c r="Y385" s="4">
        <f>1/TWD!C385</f>
        <v>3.3525883658478528E-2</v>
      </c>
      <c r="Z385" s="4">
        <f>1/ZAR!B385</f>
        <v>0.14766686355581807</v>
      </c>
      <c r="AA385" s="4">
        <f>1/ZAR!C385</f>
        <v>0.14696372935159602</v>
      </c>
    </row>
    <row r="386" spans="1:27" x14ac:dyDescent="0.25">
      <c r="A386" t="str">
        <f>"27/12/2010"</f>
        <v>27/12/2010</v>
      </c>
      <c r="B386" s="3">
        <f>AUD!B386</f>
        <v>1.0034000000000001</v>
      </c>
      <c r="C386" s="3">
        <f>AUD!C386</f>
        <v>0.99950000000000006</v>
      </c>
      <c r="D386" s="3">
        <f>1/CAD!B386</f>
        <v>0.99206349206349209</v>
      </c>
      <c r="E386" s="3">
        <f>1/CAD!C386</f>
        <v>0.99147332936744004</v>
      </c>
      <c r="F386" s="3">
        <f>EUR!B386/1</f>
        <v>1.3127</v>
      </c>
      <c r="G386" s="3">
        <f>EUR!C386/1</f>
        <v>1.3127</v>
      </c>
      <c r="H386" s="3">
        <f>GBP!B386/1</f>
        <v>1.5422</v>
      </c>
      <c r="I386" s="3">
        <f>GBP!C386/1</f>
        <v>1.5418000000000001</v>
      </c>
      <c r="J386" s="4">
        <f>1/INR!B386</f>
        <v>2.2158209616662972E-2</v>
      </c>
      <c r="K386" s="4">
        <f>1/INR!C386</f>
        <v>2.2027644694091082E-2</v>
      </c>
      <c r="L386" s="4">
        <f>1/JPY!B386</f>
        <v>1.2064326991518779E-2</v>
      </c>
      <c r="M386" s="4">
        <f>1/JPY!C386</f>
        <v>1.2070049740674981E-2</v>
      </c>
      <c r="N386" s="5">
        <f>1/KRW!B386</f>
        <v>8.6926286509040327E-4</v>
      </c>
      <c r="O386" s="5">
        <f>1/KRW!C386</f>
        <v>8.6923037473390691E-4</v>
      </c>
      <c r="P386" s="3">
        <f>1/NOK!B386</f>
        <v>0.16750138188640054</v>
      </c>
      <c r="Q386" s="3">
        <f>1/NOK!C386</f>
        <v>0.16724925155959927</v>
      </c>
      <c r="R386" s="3">
        <f>NZD!B386/1</f>
        <v>0.74750000000000005</v>
      </c>
      <c r="S386" s="3">
        <f>NZD!C386/1</f>
        <v>0.74570000000000003</v>
      </c>
      <c r="T386" s="4">
        <f>1/PHP!B386</f>
        <v>2.2722108611679163E-2</v>
      </c>
      <c r="U386" s="4">
        <f>1/PHP!C386</f>
        <v>2.2691173133651009E-2</v>
      </c>
      <c r="V386" s="4">
        <f>1/TWD!B386</f>
        <v>3.387304383171872E-2</v>
      </c>
      <c r="W386" s="4">
        <f>1/TWD!C386</f>
        <v>3.3873502791176631E-2</v>
      </c>
      <c r="X386" s="4">
        <f>1/TWD!B386</f>
        <v>3.387304383171872E-2</v>
      </c>
      <c r="Y386" s="4">
        <f>1/TWD!C386</f>
        <v>3.3873502791176631E-2</v>
      </c>
      <c r="Z386" s="4">
        <f>1/ZAR!B386</f>
        <v>0.14817229474432872</v>
      </c>
      <c r="AA386" s="4">
        <f>1/ZAR!C386</f>
        <v>0.14742087184703612</v>
      </c>
    </row>
    <row r="387" spans="1:27" x14ac:dyDescent="0.25">
      <c r="A387" t="str">
        <f>"28/12/2010"</f>
        <v>28/12/2010</v>
      </c>
      <c r="B387" s="3">
        <f>AUD!B387</f>
        <v>1.0085999999999999</v>
      </c>
      <c r="C387" s="3">
        <f>AUD!C387</f>
        <v>1.0045999999999999</v>
      </c>
      <c r="D387" s="3">
        <f>1/CAD!B387</f>
        <v>0.99462900338173854</v>
      </c>
      <c r="E387" s="3">
        <f>1/CAD!C387</f>
        <v>0.99462900338173854</v>
      </c>
      <c r="F387" s="3">
        <f>EUR!B387/1</f>
        <v>1.3244</v>
      </c>
      <c r="G387" s="3">
        <f>EUR!C387/1</f>
        <v>1.3244</v>
      </c>
      <c r="H387" s="3">
        <f>GBP!B387/1</f>
        <v>1.5484</v>
      </c>
      <c r="I387" s="3">
        <f>GBP!C387/1</f>
        <v>1.548</v>
      </c>
      <c r="J387" s="4">
        <f>1/INR!B387</f>
        <v>2.2128789555211331E-2</v>
      </c>
      <c r="K387" s="4">
        <f>1/INR!C387</f>
        <v>2.199978000219998E-2</v>
      </c>
      <c r="L387" s="4">
        <f>1/JPY!B387</f>
        <v>1.2118274357731459E-2</v>
      </c>
      <c r="M387" s="4">
        <f>1/JPY!C387</f>
        <v>1.2123240008631747E-2</v>
      </c>
      <c r="N387" s="5">
        <f>1/KRW!B387</f>
        <v>8.7138375740676197E-4</v>
      </c>
      <c r="O387" s="5">
        <f>1/KRW!C387</f>
        <v>8.7135262682319636E-4</v>
      </c>
      <c r="P387" s="3">
        <f>1/NOK!B387</f>
        <v>0.16920760080542818</v>
      </c>
      <c r="Q387" s="3">
        <f>1/NOK!C387</f>
        <v>0.16893033313061692</v>
      </c>
      <c r="R387" s="3">
        <f>NZD!B387/1</f>
        <v>0.75249999999999995</v>
      </c>
      <c r="S387" s="3">
        <f>NZD!C387/1</f>
        <v>0.75070000000000003</v>
      </c>
      <c r="T387" s="4">
        <f>1/PHP!B387</f>
        <v>2.2779043280182234E-2</v>
      </c>
      <c r="U387" s="4">
        <f>1/PHP!C387</f>
        <v>2.2747952684258416E-2</v>
      </c>
      <c r="V387" s="4">
        <f>1/TWD!B387</f>
        <v>3.394202701785351E-2</v>
      </c>
      <c r="W387" s="4">
        <f>1/TWD!C387</f>
        <v>3.3942487848589352E-2</v>
      </c>
      <c r="X387" s="4">
        <f>1/TWD!B387</f>
        <v>3.394202701785351E-2</v>
      </c>
      <c r="Y387" s="4">
        <f>1/TWD!C387</f>
        <v>3.3942487848589352E-2</v>
      </c>
      <c r="Z387" s="4">
        <f>1/ZAR!B387</f>
        <v>0.14864362690449648</v>
      </c>
      <c r="AA387" s="4">
        <f>1/ZAR!C387</f>
        <v>0.14788742808973809</v>
      </c>
    </row>
    <row r="388" spans="1:27" x14ac:dyDescent="0.25">
      <c r="A388" t="str">
        <f>"29/12/2010"</f>
        <v>29/12/2010</v>
      </c>
      <c r="B388" s="3">
        <f>AUD!B388</f>
        <v>1.0102</v>
      </c>
      <c r="C388" s="3">
        <f>AUD!C388</f>
        <v>1.0064</v>
      </c>
      <c r="D388" s="3">
        <f>1/CAD!B388</f>
        <v>0.99960015993602558</v>
      </c>
      <c r="E388" s="3">
        <f>1/CAD!C388</f>
        <v>0.99950024987506247</v>
      </c>
      <c r="F388" s="3">
        <f>EUR!B388/1</f>
        <v>1.3127</v>
      </c>
      <c r="G388" s="3">
        <f>EUR!C388/1</f>
        <v>1.3127</v>
      </c>
      <c r="H388" s="3">
        <f>GBP!B388/1</f>
        <v>1.5405</v>
      </c>
      <c r="I388" s="3">
        <f>GBP!C388/1</f>
        <v>1.5402</v>
      </c>
      <c r="J388" s="4">
        <f>1/INR!B388</f>
        <v>2.2153300841825433E-2</v>
      </c>
      <c r="K388" s="4">
        <f>1/INR!C388</f>
        <v>2.2026431718061675E-2</v>
      </c>
      <c r="L388" s="4">
        <f>1/JPY!B388</f>
        <v>1.2149339683388207E-2</v>
      </c>
      <c r="M388" s="4">
        <f>1/JPY!C388</f>
        <v>1.2152454978192421E-2</v>
      </c>
      <c r="N388" s="5">
        <f>1/KRW!B388</f>
        <v>8.732099196646874E-4</v>
      </c>
      <c r="O388" s="5">
        <f>1/KRW!C388</f>
        <v>8.7317903968642382E-4</v>
      </c>
      <c r="P388" s="3">
        <f>1/NOK!B388</f>
        <v>0.16802204449223737</v>
      </c>
      <c r="Q388" s="3">
        <f>1/NOK!C388</f>
        <v>0.16775990202821722</v>
      </c>
      <c r="R388" s="3">
        <f>NZD!B388/1</f>
        <v>0.75860000000000005</v>
      </c>
      <c r="S388" s="3">
        <f>NZD!C388/1</f>
        <v>0.75680000000000003</v>
      </c>
      <c r="T388" s="4">
        <f>1/PHP!B388</f>
        <v>2.2779043280182234E-2</v>
      </c>
      <c r="U388" s="4">
        <f>1/PHP!C388</f>
        <v>2.2768670309653915E-2</v>
      </c>
      <c r="V388" s="4">
        <f>1/TWD!B388</f>
        <v>3.4015919450302745E-2</v>
      </c>
      <c r="W388" s="4">
        <f>1/TWD!C388</f>
        <v>3.4016150868432335E-2</v>
      </c>
      <c r="X388" s="4">
        <f>1/TWD!B388</f>
        <v>3.4015919450302745E-2</v>
      </c>
      <c r="Y388" s="4">
        <f>1/TWD!C388</f>
        <v>3.4016150868432335E-2</v>
      </c>
      <c r="Z388" s="4">
        <f>1/ZAR!B388</f>
        <v>0.14936742893844568</v>
      </c>
      <c r="AA388" s="4">
        <f>1/ZAR!C388</f>
        <v>0.14863699872172181</v>
      </c>
    </row>
    <row r="389" spans="1:27" x14ac:dyDescent="0.25">
      <c r="A389" t="str">
        <f>"30/12/2010"</f>
        <v>30/12/2010</v>
      </c>
      <c r="B389" s="3">
        <f>AUD!B389</f>
        <v>1.0168999999999999</v>
      </c>
      <c r="C389" s="3">
        <f>AUD!C389</f>
        <v>1.0129999999999999</v>
      </c>
      <c r="D389" s="3">
        <f>1/CAD!B389</f>
        <v>1.0004001600640255</v>
      </c>
      <c r="E389" s="3">
        <f>1/CAD!C389</f>
        <v>0.99990000999900008</v>
      </c>
      <c r="F389" s="3">
        <f>EUR!B389/1</f>
        <v>1.3229</v>
      </c>
      <c r="G389" s="3">
        <f>EUR!C389/1</f>
        <v>1.3228</v>
      </c>
      <c r="H389" s="3">
        <f>GBP!B389/1</f>
        <v>1.5505</v>
      </c>
      <c r="I389" s="3">
        <f>GBP!C389/1</f>
        <v>1.5501</v>
      </c>
      <c r="J389" s="4">
        <f>1/INR!B389</f>
        <v>2.2266755733689605E-2</v>
      </c>
      <c r="K389" s="4">
        <f>1/INR!C389</f>
        <v>2.2145941756173182E-2</v>
      </c>
      <c r="L389" s="4">
        <f>1/JPY!B389</f>
        <v>1.2276415777649558E-2</v>
      </c>
      <c r="M389" s="4">
        <f>1/JPY!C389</f>
        <v>1.2280245015448547E-2</v>
      </c>
      <c r="N389" s="5">
        <f>1/KRW!B389</f>
        <v>8.7804021424181219E-4</v>
      </c>
      <c r="O389" s="5">
        <f>1/KRW!C389</f>
        <v>8.7802248264369053E-4</v>
      </c>
      <c r="P389" s="3">
        <f>1/NOK!B389</f>
        <v>0.16921332724165355</v>
      </c>
      <c r="Q389" s="3">
        <f>1/NOK!C389</f>
        <v>0.16897029502213512</v>
      </c>
      <c r="R389" s="3">
        <f>NZD!B389/1</f>
        <v>0.76700000000000002</v>
      </c>
      <c r="S389" s="3">
        <f>NZD!C389/1</f>
        <v>0.76480000000000004</v>
      </c>
      <c r="T389" s="4">
        <f>1/PHP!B389</f>
        <v>2.2836263987211693E-2</v>
      </c>
      <c r="U389" s="4">
        <f>1/PHP!C389</f>
        <v>2.2825838849577722E-2</v>
      </c>
      <c r="V389" s="4">
        <f>1/TWD!B389</f>
        <v>3.4239539820584815E-2</v>
      </c>
      <c r="W389" s="4">
        <f>1/TWD!C389</f>
        <v>3.423989152802364E-2</v>
      </c>
      <c r="X389" s="4">
        <f>1/TWD!B389</f>
        <v>3.4239539820584815E-2</v>
      </c>
      <c r="Y389" s="4">
        <f>1/TWD!C389</f>
        <v>3.423989152802364E-2</v>
      </c>
      <c r="Z389" s="4">
        <f>1/ZAR!B389</f>
        <v>0.15043023045911308</v>
      </c>
      <c r="AA389" s="4">
        <f>1/ZAR!C389</f>
        <v>0.14970732218512806</v>
      </c>
    </row>
    <row r="390" spans="1:27" x14ac:dyDescent="0.25">
      <c r="A390" t="str">
        <f>"31/12/2010"</f>
        <v>31/12/2010</v>
      </c>
      <c r="B390" s="3">
        <f>AUD!B390</f>
        <v>1.0166999999999999</v>
      </c>
      <c r="C390" s="3">
        <f>AUD!C390</f>
        <v>1.0125</v>
      </c>
      <c r="D390" s="3">
        <f>1/CAD!B390</f>
        <v>0.99950024987506247</v>
      </c>
      <c r="E390" s="3">
        <f>1/CAD!C390</f>
        <v>0.99890120867046239</v>
      </c>
      <c r="F390" s="3">
        <f>EUR!B390/1</f>
        <v>1.3295999999999999</v>
      </c>
      <c r="G390" s="3">
        <f>EUR!C390/1</f>
        <v>1.3294999999999999</v>
      </c>
      <c r="H390" s="3">
        <f>GBP!B390/1</f>
        <v>1.544</v>
      </c>
      <c r="I390" s="3">
        <f>GBP!C390/1</f>
        <v>1.5436000000000001</v>
      </c>
      <c r="J390" s="4">
        <f>1/INR!B390</f>
        <v>2.229157378510923E-2</v>
      </c>
      <c r="K390" s="4">
        <f>1/INR!C390</f>
        <v>2.2169262317796375E-2</v>
      </c>
      <c r="L390" s="4">
        <f>1/JPY!B390</f>
        <v>1.2268433321064899E-2</v>
      </c>
      <c r="M390" s="4">
        <f>1/JPY!C390</f>
        <v>1.2272287701695049E-2</v>
      </c>
      <c r="N390" s="5">
        <f>1/KRW!B390</f>
        <v>8.8813890492473022E-4</v>
      </c>
      <c r="O390" s="5">
        <f>1/KRW!C390</f>
        <v>8.8810301639749003E-4</v>
      </c>
      <c r="P390" s="3">
        <f>1/NOK!B390</f>
        <v>0.16988312041315576</v>
      </c>
      <c r="Q390" s="3">
        <f>1/NOK!C390</f>
        <v>0.16962665173952132</v>
      </c>
      <c r="R390" s="3">
        <f>NZD!B390/1</f>
        <v>0.77080000000000004</v>
      </c>
      <c r="S390" s="3">
        <f>NZD!C390/1</f>
        <v>0.76880000000000004</v>
      </c>
      <c r="T390" s="4">
        <f>1/PHP!B390</f>
        <v>2.2862368541380886E-2</v>
      </c>
      <c r="U390" s="4">
        <f>1/PHP!C390</f>
        <v>2.2851919561243144E-2</v>
      </c>
      <c r="V390" s="4">
        <f>1/TWD!B390</f>
        <v>3.4317089910775568E-2</v>
      </c>
      <c r="W390" s="4">
        <f>1/TWD!C390</f>
        <v>3.4317325444924121E-2</v>
      </c>
      <c r="X390" s="4">
        <f>1/TWD!B390</f>
        <v>3.4317089910775568E-2</v>
      </c>
      <c r="Y390" s="4">
        <f>1/TWD!C390</f>
        <v>3.4317325444924121E-2</v>
      </c>
      <c r="Z390" s="4">
        <f>1/ZAR!B390</f>
        <v>0.15082956259426847</v>
      </c>
      <c r="AA390" s="4">
        <f>1/ZAR!C390</f>
        <v>0.15013211626231082</v>
      </c>
    </row>
    <row r="391" spans="1:27" x14ac:dyDescent="0.25">
      <c r="A391" t="str">
        <f>"03/01/2011"</f>
        <v>03/01/2011</v>
      </c>
      <c r="B391" s="3">
        <f>AUD!B391</f>
        <v>1.0202</v>
      </c>
      <c r="C391" s="3">
        <f>AUD!C391</f>
        <v>1.016</v>
      </c>
      <c r="D391" s="3">
        <f>1/CAD!B391</f>
        <v>1.0072522159548751</v>
      </c>
      <c r="E391" s="3">
        <f>1/CAD!C391</f>
        <v>1.0072522159548751</v>
      </c>
      <c r="F391" s="3">
        <f>EUR!B391/1</f>
        <v>1.3289</v>
      </c>
      <c r="G391" s="3">
        <f>EUR!C391/1</f>
        <v>1.3288</v>
      </c>
      <c r="H391" s="3">
        <f>GBP!B391/1</f>
        <v>1.5542</v>
      </c>
      <c r="I391" s="3">
        <f>GBP!C391/1</f>
        <v>1.5538000000000001</v>
      </c>
      <c r="J391" s="4">
        <f>1/INR!B391</f>
        <v>2.2351363433169423E-2</v>
      </c>
      <c r="K391" s="4">
        <f>1/INR!C391</f>
        <v>2.2216051096917523E-2</v>
      </c>
      <c r="L391" s="4">
        <f>1/JPY!B391</f>
        <v>1.2306404868413766E-2</v>
      </c>
      <c r="M391" s="4">
        <f>1/JPY!C391</f>
        <v>1.2310419539097893E-2</v>
      </c>
      <c r="N391" s="5">
        <f>1/KRW!B391</f>
        <v>8.8849400266548197E-4</v>
      </c>
      <c r="O391" s="5">
        <f>1/KRW!C391</f>
        <v>8.8847742512134387E-4</v>
      </c>
      <c r="P391" s="3">
        <f>1/NOK!B391</f>
        <v>0.17058151237568872</v>
      </c>
      <c r="Q391" s="3">
        <f>1/NOK!C391</f>
        <v>0.17032293227960213</v>
      </c>
      <c r="R391" s="3">
        <f>NZD!B391/1</f>
        <v>0.77480000000000004</v>
      </c>
      <c r="S391" s="3">
        <f>NZD!C391/1</f>
        <v>0.77280000000000004</v>
      </c>
      <c r="T391" s="4">
        <f>1/PHP!B391</f>
        <v>2.2841480127912289E-2</v>
      </c>
      <c r="U391" s="4">
        <f>1/PHP!C391</f>
        <v>2.2831050228310504E-2</v>
      </c>
      <c r="V391" s="4">
        <f>1/TWD!B391</f>
        <v>3.4340659340659337E-2</v>
      </c>
      <c r="W391" s="4">
        <f>1/TWD!C391</f>
        <v>3.4340895198456033E-2</v>
      </c>
      <c r="X391" s="4">
        <f>1/TWD!B391</f>
        <v>3.4340659340659337E-2</v>
      </c>
      <c r="Y391" s="4">
        <f>1/TWD!C391</f>
        <v>3.4340895198456033E-2</v>
      </c>
      <c r="Z391" s="4">
        <f>1/ZAR!B391</f>
        <v>0.15060240963855423</v>
      </c>
      <c r="AA391" s="4">
        <f>1/ZAR!C391</f>
        <v>0.14991379956525</v>
      </c>
    </row>
    <row r="392" spans="1:27" x14ac:dyDescent="0.25">
      <c r="A392" t="str">
        <f>"04/01/2011"</f>
        <v>04/01/2011</v>
      </c>
      <c r="B392" s="3">
        <f>AUD!B392</f>
        <v>1.0111000000000001</v>
      </c>
      <c r="C392" s="3">
        <f>AUD!C392</f>
        <v>1.0071000000000001</v>
      </c>
      <c r="D392" s="3">
        <f>1/CAD!B392</f>
        <v>1.0071507704703393</v>
      </c>
      <c r="E392" s="3">
        <f>1/CAD!C392</f>
        <v>1.0065425264217414</v>
      </c>
      <c r="F392" s="3">
        <f>EUR!B392/1</f>
        <v>1.3352999999999999</v>
      </c>
      <c r="G392" s="3">
        <f>EUR!C392/1</f>
        <v>1.3351999999999999</v>
      </c>
      <c r="H392" s="3">
        <f>GBP!B392/1</f>
        <v>1.5489999999999999</v>
      </c>
      <c r="I392" s="3">
        <f>GBP!C392/1</f>
        <v>1.5486</v>
      </c>
      <c r="J392" s="4">
        <f>1/INR!B392</f>
        <v>2.2362609716553922E-2</v>
      </c>
      <c r="K392" s="4">
        <f>1/INR!C392</f>
        <v>2.2228396776882469E-2</v>
      </c>
      <c r="L392" s="4">
        <f>1/JPY!B392</f>
        <v>1.2184720360667724E-2</v>
      </c>
      <c r="M392" s="4">
        <f>1/JPY!C392</f>
        <v>1.2188656017844194E-2</v>
      </c>
      <c r="N392" s="5">
        <f>1/KRW!B392</f>
        <v>8.9138476623434513E-4</v>
      </c>
      <c r="O392" s="5">
        <f>1/KRW!C392</f>
        <v>8.9135060117141295E-4</v>
      </c>
      <c r="P392" s="3">
        <f>1/NOK!B392</f>
        <v>0.17148540659189901</v>
      </c>
      <c r="Q392" s="3">
        <f>1/NOK!C392</f>
        <v>0.17120942336666212</v>
      </c>
      <c r="R392" s="3">
        <f>NZD!B392/1</f>
        <v>0.77190000000000003</v>
      </c>
      <c r="S392" s="3">
        <f>NZD!C392/1</f>
        <v>0.76990000000000003</v>
      </c>
      <c r="T392" s="4">
        <f>1/PHP!B392</f>
        <v>2.2904260192395786E-2</v>
      </c>
      <c r="U392" s="4">
        <f>1/PHP!C392</f>
        <v>2.2899015342340279E-2</v>
      </c>
      <c r="V392" s="4">
        <f>1/TWD!B392</f>
        <v>3.4364261168384876E-2</v>
      </c>
      <c r="W392" s="4">
        <f>1/TWD!C392</f>
        <v>3.4364497350497257E-2</v>
      </c>
      <c r="X392" s="4">
        <f>1/TWD!B392</f>
        <v>3.4364261168384876E-2</v>
      </c>
      <c r="Y392" s="4">
        <f>1/TWD!C392</f>
        <v>3.4364497350497257E-2</v>
      </c>
      <c r="Z392" s="4">
        <f>1/ZAR!B392</f>
        <v>0.15076134479119555</v>
      </c>
      <c r="AA392" s="4">
        <f>1/ZAR!C392</f>
        <v>0.15001950253532959</v>
      </c>
    </row>
    <row r="393" spans="1:27" x14ac:dyDescent="0.25">
      <c r="A393" t="str">
        <f>"05/01/2011"</f>
        <v>05/01/2011</v>
      </c>
      <c r="B393" s="3">
        <f>AUD!B393</f>
        <v>1.0033000000000001</v>
      </c>
      <c r="C393" s="3">
        <f>AUD!C393</f>
        <v>0.99939999999999996</v>
      </c>
      <c r="D393" s="3">
        <f>1/CAD!B393</f>
        <v>1.0008006405124099</v>
      </c>
      <c r="E393" s="3">
        <f>1/CAD!C393</f>
        <v>1.0008006405124099</v>
      </c>
      <c r="F393" s="3">
        <f>EUR!B393/1</f>
        <v>1.3281000000000001</v>
      </c>
      <c r="G393" s="3">
        <f>EUR!C393/1</f>
        <v>1.3280000000000001</v>
      </c>
      <c r="H393" s="3">
        <f>GBP!B393/1</f>
        <v>1.5569</v>
      </c>
      <c r="I393" s="3">
        <f>GBP!C393/1</f>
        <v>1.5566</v>
      </c>
      <c r="J393" s="4">
        <f>1/INR!B393</f>
        <v>2.2145941756173182E-2</v>
      </c>
      <c r="K393" s="4">
        <f>1/INR!C393</f>
        <v>2.2027644694091082E-2</v>
      </c>
      <c r="L393" s="4">
        <f>1/JPY!B393</f>
        <v>1.218219693739569E-2</v>
      </c>
      <c r="M393" s="4">
        <f>1/JPY!C393</f>
        <v>1.2185640928155899E-2</v>
      </c>
      <c r="N393" s="5">
        <f>1/KRW!B393</f>
        <v>8.8999644001423999E-4</v>
      </c>
      <c r="O393" s="5">
        <f>1/KRW!C393</f>
        <v>8.8996158925780768E-4</v>
      </c>
      <c r="P393" s="3">
        <f>1/NOK!B393</f>
        <v>0.17009116886651246</v>
      </c>
      <c r="Q393" s="3">
        <f>1/NOK!C393</f>
        <v>0.1698254194687861</v>
      </c>
      <c r="R393" s="3">
        <f>NZD!B393/1</f>
        <v>0.76400000000000001</v>
      </c>
      <c r="S393" s="3">
        <f>NZD!C393/1</f>
        <v>0.7621</v>
      </c>
      <c r="T393" s="4">
        <f>1/PHP!B393</f>
        <v>2.2862368541380886E-2</v>
      </c>
      <c r="U393" s="4">
        <f>1/PHP!C393</f>
        <v>2.2857142857142857E-2</v>
      </c>
      <c r="V393" s="4">
        <f>1/TWD!B393</f>
        <v>3.4214938242036474E-2</v>
      </c>
      <c r="W393" s="4">
        <f>1/TWD!C393</f>
        <v>3.4215172376038432E-2</v>
      </c>
      <c r="X393" s="4">
        <f>1/TWD!B393</f>
        <v>3.4214938242036474E-2</v>
      </c>
      <c r="Y393" s="4">
        <f>1/TWD!C393</f>
        <v>3.4215172376038432E-2</v>
      </c>
      <c r="Z393" s="4">
        <f>1/ZAR!B393</f>
        <v>0.14920919128618323</v>
      </c>
      <c r="AA393" s="4">
        <f>1/ZAR!C393</f>
        <v>0.14850896994178447</v>
      </c>
    </row>
    <row r="394" spans="1:27" x14ac:dyDescent="0.25">
      <c r="A394" t="str">
        <f>"06/01/2011"</f>
        <v>06/01/2011</v>
      </c>
      <c r="B394" s="3">
        <f>AUD!B394</f>
        <v>0.99619999999999997</v>
      </c>
      <c r="C394" s="3">
        <f>AUD!C394</f>
        <v>0.99239999999999995</v>
      </c>
      <c r="D394" s="3">
        <f>1/CAD!B394</f>
        <v>1.0037137408411121</v>
      </c>
      <c r="E394" s="3">
        <f>1/CAD!C394</f>
        <v>1.0031096398836392</v>
      </c>
      <c r="F394" s="3">
        <f>EUR!B394/1</f>
        <v>1.3140000000000001</v>
      </c>
      <c r="G394" s="3">
        <f>EUR!C394/1</f>
        <v>1.3138000000000001</v>
      </c>
      <c r="H394" s="3">
        <f>GBP!B394/1</f>
        <v>1.5505</v>
      </c>
      <c r="I394" s="3">
        <f>GBP!C394/1</f>
        <v>1.5501</v>
      </c>
      <c r="J394" s="4">
        <f>1/INR!B394</f>
        <v>2.2020368841178087E-2</v>
      </c>
      <c r="K394" s="4">
        <f>1/INR!C394</f>
        <v>2.1897410631192864E-2</v>
      </c>
      <c r="L394" s="4">
        <f>1/JPY!B394</f>
        <v>1.201345506967804E-2</v>
      </c>
      <c r="M394" s="4">
        <f>1/JPY!C394</f>
        <v>1.2017078672208944E-2</v>
      </c>
      <c r="N394" s="5">
        <f>1/KRW!B394</f>
        <v>8.9007565643079659E-4</v>
      </c>
      <c r="O394" s="5">
        <f>1/KRW!C394</f>
        <v>8.9004159164357761E-4</v>
      </c>
      <c r="P394" s="3">
        <f>1/NOK!B394</f>
        <v>0.16883621199074778</v>
      </c>
      <c r="Q394" s="3">
        <f>1/NOK!C394</f>
        <v>0.16858289220809872</v>
      </c>
      <c r="R394" s="3">
        <f>NZD!B394/1</f>
        <v>0.75649999999999995</v>
      </c>
      <c r="S394" s="3">
        <f>NZD!C394/1</f>
        <v>0.75460000000000005</v>
      </c>
      <c r="T394" s="4">
        <f>1/PHP!B394</f>
        <v>2.2768670309653915E-2</v>
      </c>
      <c r="U394" s="4">
        <f>1/PHP!C394</f>
        <v>2.2763487366264511E-2</v>
      </c>
      <c r="V394" s="4">
        <f>1/TWD!B394</f>
        <v>3.4211426616489904E-2</v>
      </c>
      <c r="W394" s="4">
        <f>1/TWD!C394</f>
        <v>3.4211660702433817E-2</v>
      </c>
      <c r="X394" s="4">
        <f>1/TWD!B394</f>
        <v>3.4211426616489904E-2</v>
      </c>
      <c r="Y394" s="4">
        <f>1/TWD!C394</f>
        <v>3.4211660702433817E-2</v>
      </c>
      <c r="Z394" s="4">
        <f>1/ZAR!B394</f>
        <v>0.14869888475836432</v>
      </c>
      <c r="AA394" s="4">
        <f>1/ZAR!C394</f>
        <v>0.1480078148126221</v>
      </c>
    </row>
    <row r="395" spans="1:27" x14ac:dyDescent="0.25">
      <c r="A395" t="str">
        <f>"07/01/2011"</f>
        <v>07/01/2011</v>
      </c>
      <c r="B395" s="3">
        <f>AUD!B395</f>
        <v>0.9929</v>
      </c>
      <c r="C395" s="3">
        <f>AUD!C395</f>
        <v>0.98909999999999998</v>
      </c>
      <c r="D395" s="3">
        <f>1/CAD!B395</f>
        <v>1.002707309736288</v>
      </c>
      <c r="E395" s="3">
        <f>1/CAD!C395</f>
        <v>1.0021044192804891</v>
      </c>
      <c r="F395" s="3">
        <f>EUR!B395/1</f>
        <v>1.2995000000000001</v>
      </c>
      <c r="G395" s="3">
        <f>EUR!C395/1</f>
        <v>1.2994000000000001</v>
      </c>
      <c r="H395" s="3">
        <f>GBP!B395/1</f>
        <v>1.5446</v>
      </c>
      <c r="I395" s="3">
        <f>GBP!C395/1</f>
        <v>1.5443</v>
      </c>
      <c r="J395" s="4">
        <f>1/INR!B395</f>
        <v>2.2055580061755623E-2</v>
      </c>
      <c r="K395" s="4">
        <f>1/INR!C395</f>
        <v>2.1933432033777484E-2</v>
      </c>
      <c r="L395" s="4">
        <f>1/JPY!B395</f>
        <v>1.1994722322178242E-2</v>
      </c>
      <c r="M395" s="4">
        <f>1/JPY!C395</f>
        <v>1.1998421007795374E-2</v>
      </c>
      <c r="N395" s="5">
        <f>1/KRW!B395</f>
        <v>8.9261804873694555E-4</v>
      </c>
      <c r="O395" s="5">
        <f>1/KRW!C395</f>
        <v>8.9260211368180522E-4</v>
      </c>
      <c r="P395" s="3">
        <f>1/NOK!B395</f>
        <v>0.16759682906799403</v>
      </c>
      <c r="Q395" s="3">
        <f>1/NOK!C395</f>
        <v>0.16734721199544816</v>
      </c>
      <c r="R395" s="3">
        <f>NZD!B395/1</f>
        <v>0.75790000000000002</v>
      </c>
      <c r="S395" s="3">
        <f>NZD!C395/1</f>
        <v>0.75600000000000001</v>
      </c>
      <c r="T395" s="4">
        <f>1/PHP!B395</f>
        <v>2.2670596236681027E-2</v>
      </c>
      <c r="U395" s="4">
        <f>1/PHP!C395</f>
        <v>2.2666485334783989E-2</v>
      </c>
      <c r="V395" s="4">
        <f>1/TWD!B395</f>
        <v>3.4106412005457026E-2</v>
      </c>
      <c r="W395" s="4">
        <f>1/TWD!C395</f>
        <v>3.4106644656511982E-2</v>
      </c>
      <c r="X395" s="4">
        <f>1/TWD!B395</f>
        <v>3.4106412005457026E-2</v>
      </c>
      <c r="Y395" s="4">
        <f>1/TWD!C395</f>
        <v>3.4106644656511982E-2</v>
      </c>
      <c r="Z395" s="4">
        <f>1/ZAR!B395</f>
        <v>0.14695940981101022</v>
      </c>
      <c r="AA395" s="4">
        <f>1/ZAR!C395</f>
        <v>0.14628009712998449</v>
      </c>
    </row>
    <row r="396" spans="1:27" x14ac:dyDescent="0.25">
      <c r="A396" t="str">
        <f>"10/01/2011"</f>
        <v>10/01/2011</v>
      </c>
      <c r="B396" s="3">
        <f>AUD!B396</f>
        <v>0.99570000000000003</v>
      </c>
      <c r="C396" s="3">
        <f>AUD!C396</f>
        <v>0.99160000000000004</v>
      </c>
      <c r="D396" s="3">
        <f>1/CAD!B396</f>
        <v>1.006137438374082</v>
      </c>
      <c r="E396" s="3">
        <f>1/CAD!C396</f>
        <v>1.0055304172951232</v>
      </c>
      <c r="F396" s="3">
        <f>EUR!B396/1</f>
        <v>1.2905</v>
      </c>
      <c r="G396" s="3">
        <f>EUR!C396/1</f>
        <v>1.2904</v>
      </c>
      <c r="H396" s="3">
        <f>GBP!B396/1</f>
        <v>1.5539000000000001</v>
      </c>
      <c r="I396" s="3">
        <f>GBP!C396/1</f>
        <v>1.5535000000000001</v>
      </c>
      <c r="J396" s="4">
        <f>1/INR!B396</f>
        <v>2.2040996253030638E-2</v>
      </c>
      <c r="K396" s="4">
        <f>1/INR!C396</f>
        <v>2.1908204622631173E-2</v>
      </c>
      <c r="L396" s="4">
        <f>1/JPY!B396</f>
        <v>1.2034128789246304E-2</v>
      </c>
      <c r="M396" s="4">
        <f>1/JPY!C396</f>
        <v>1.2037750385208011E-2</v>
      </c>
      <c r="N396" s="5">
        <f>1/KRW!B396</f>
        <v>8.9202087328843493E-4</v>
      </c>
      <c r="O396" s="5">
        <f>1/KRW!C396</f>
        <v>8.9198546598881728E-4</v>
      </c>
      <c r="P396" s="3">
        <f>1/NOK!B396</f>
        <v>0.16699509034434387</v>
      </c>
      <c r="Q396" s="3">
        <f>1/NOK!C396</f>
        <v>0.16674170043186101</v>
      </c>
      <c r="R396" s="3">
        <f>NZD!B396/1</f>
        <v>0.7611</v>
      </c>
      <c r="S396" s="3">
        <f>NZD!C396/1</f>
        <v>0.7591</v>
      </c>
      <c r="T396" s="4">
        <f>1/PHP!B396</f>
        <v>2.2593764121102578E-2</v>
      </c>
      <c r="U396" s="4">
        <f>1/PHP!C396</f>
        <v>2.2583559168925023E-2</v>
      </c>
      <c r="V396" s="4">
        <f>1/TWD!B396</f>
        <v>3.4220792553555542E-2</v>
      </c>
      <c r="W396" s="4">
        <f>1/TWD!C396</f>
        <v>3.4220909660220587E-2</v>
      </c>
      <c r="X396" s="4">
        <f>1/TWD!B396</f>
        <v>3.4220792553555542E-2</v>
      </c>
      <c r="Y396" s="4">
        <f>1/TWD!C396</f>
        <v>3.4220909660220587E-2</v>
      </c>
      <c r="Z396" s="4">
        <f>1/ZAR!B396</f>
        <v>0.14670500557479021</v>
      </c>
      <c r="AA396" s="4">
        <f>1/ZAR!C396</f>
        <v>0.1460301698330875</v>
      </c>
    </row>
    <row r="397" spans="1:27" x14ac:dyDescent="0.25">
      <c r="A397" t="str">
        <f>"11/01/2011"</f>
        <v>11/01/2011</v>
      </c>
      <c r="B397" s="3">
        <f>AUD!B397</f>
        <v>0.98440000000000005</v>
      </c>
      <c r="C397" s="3">
        <f>AUD!C397</f>
        <v>0.98050000000000004</v>
      </c>
      <c r="D397" s="3">
        <f>1/CAD!B397</f>
        <v>1.0064412238325282</v>
      </c>
      <c r="E397" s="3">
        <f>1/CAD!C397</f>
        <v>1.0058338362502515</v>
      </c>
      <c r="F397" s="3">
        <f>EUR!B397/1</f>
        <v>1.2944</v>
      </c>
      <c r="G397" s="3">
        <f>EUR!C397/1</f>
        <v>1.2942</v>
      </c>
      <c r="H397" s="3">
        <f>GBP!B397/1</f>
        <v>1.5565</v>
      </c>
      <c r="I397" s="3">
        <f>GBP!C397/1</f>
        <v>1.5561</v>
      </c>
      <c r="J397" s="4">
        <f>1/INR!B397</f>
        <v>2.204342554833021E-2</v>
      </c>
      <c r="K397" s="4">
        <f>1/INR!C397</f>
        <v>2.1915406530791146E-2</v>
      </c>
      <c r="L397" s="4">
        <f>1/JPY!B397</f>
        <v>1.2039489525644112E-2</v>
      </c>
      <c r="M397" s="4">
        <f>1/JPY!C397</f>
        <v>1.2043027328037612E-2</v>
      </c>
      <c r="N397" s="5">
        <f>1/KRW!B397</f>
        <v>8.8873089228581577E-4</v>
      </c>
      <c r="O397" s="5">
        <f>1/KRW!C397</f>
        <v>8.8869653546099132E-4</v>
      </c>
      <c r="P397" s="3">
        <f>1/NOK!B397</f>
        <v>0.16716817118020727</v>
      </c>
      <c r="Q397" s="3">
        <f>1/NOK!C397</f>
        <v>0.16690032712464117</v>
      </c>
      <c r="R397" s="3">
        <f>NZD!B397/1</f>
        <v>0.75880000000000003</v>
      </c>
      <c r="S397" s="3">
        <f>NZD!C397/1</f>
        <v>0.75680000000000003</v>
      </c>
      <c r="T397" s="4">
        <f>1/PHP!B397</f>
        <v>2.2568269013766643E-2</v>
      </c>
      <c r="U397" s="4">
        <f>1/PHP!C397</f>
        <v>2.2552999548940009E-2</v>
      </c>
      <c r="V397" s="4">
        <f>1/TWD!B397</f>
        <v>3.4244229847270734E-2</v>
      </c>
      <c r="W397" s="4">
        <f>1/TWD!C397</f>
        <v>3.4244464382332598E-2</v>
      </c>
      <c r="X397" s="4">
        <f>1/TWD!B397</f>
        <v>3.4244229847270734E-2</v>
      </c>
      <c r="Y397" s="4">
        <f>1/TWD!C397</f>
        <v>3.4244464382332598E-2</v>
      </c>
      <c r="Z397" s="4">
        <f>1/ZAR!B397</f>
        <v>0.14600458454395468</v>
      </c>
      <c r="AA397" s="4">
        <f>1/ZAR!C397</f>
        <v>0.14531504301325274</v>
      </c>
    </row>
    <row r="398" spans="1:27" x14ac:dyDescent="0.25">
      <c r="A398" t="str">
        <f>"12/01/2011"</f>
        <v>12/01/2011</v>
      </c>
      <c r="B398" s="3">
        <f>AUD!B398</f>
        <v>0.98499999999999999</v>
      </c>
      <c r="C398" s="3">
        <f>AUD!C398</f>
        <v>0.98109999999999997</v>
      </c>
      <c r="D398" s="3">
        <f>1/CAD!B398</f>
        <v>1.0114291493880854</v>
      </c>
      <c r="E398" s="3">
        <f>1/CAD!C398</f>
        <v>1.0107135637760258</v>
      </c>
      <c r="F398" s="3">
        <f>EUR!B398/1</f>
        <v>1.2998000000000001</v>
      </c>
      <c r="G398" s="3">
        <f>EUR!C398/1</f>
        <v>1.2996000000000001</v>
      </c>
      <c r="H398" s="3">
        <f>GBP!B398/1</f>
        <v>1.5634999999999999</v>
      </c>
      <c r="I398" s="3">
        <f>GBP!C398/1</f>
        <v>1.5630999999999999</v>
      </c>
      <c r="J398" s="4">
        <f>1/INR!B398</f>
        <v>2.2153300841825433E-2</v>
      </c>
      <c r="K398" s="4">
        <f>1/INR!C398</f>
        <v>2.2026431718061675E-2</v>
      </c>
      <c r="L398" s="4">
        <f>1/JPY!B398</f>
        <v>1.203079884504331E-2</v>
      </c>
      <c r="M398" s="4">
        <f>1/JPY!C398</f>
        <v>1.2033897081298602E-2</v>
      </c>
      <c r="N398" s="5">
        <f>1/KRW!B398</f>
        <v>8.9301661010894801E-4</v>
      </c>
      <c r="O398" s="5">
        <f>1/KRW!C398</f>
        <v>8.9298192113451572E-4</v>
      </c>
      <c r="P398" s="3">
        <f>1/NOK!B398</f>
        <v>0.16819160387513457</v>
      </c>
      <c r="Q398" s="3">
        <f>1/NOK!C398</f>
        <v>0.16792893247577625</v>
      </c>
      <c r="R398" s="3">
        <f>NZD!B398/1</f>
        <v>0.75919999999999999</v>
      </c>
      <c r="S398" s="3">
        <f>NZD!C398/1</f>
        <v>0.75729999999999997</v>
      </c>
      <c r="T398" s="4">
        <f>1/PHP!B398</f>
        <v>2.2747952684258416E-2</v>
      </c>
      <c r="U398" s="4">
        <f>1/PHP!C398</f>
        <v>2.2740193291642979E-2</v>
      </c>
      <c r="V398" s="4">
        <f>1/TWD!B398</f>
        <v>3.4411562284927734E-2</v>
      </c>
      <c r="W398" s="4">
        <f>1/TWD!C398</f>
        <v>3.4411680700897111E-2</v>
      </c>
      <c r="X398" s="4">
        <f>1/TWD!B398</f>
        <v>3.4411562284927734E-2</v>
      </c>
      <c r="Y398" s="4">
        <f>1/TWD!C398</f>
        <v>3.4411680700897111E-2</v>
      </c>
      <c r="Z398" s="4">
        <f>1/ZAR!B398</f>
        <v>0.14553498661078124</v>
      </c>
      <c r="AA398" s="4">
        <f>1/ZAR!C398</f>
        <v>0.1448666502484463</v>
      </c>
    </row>
    <row r="399" spans="1:27" x14ac:dyDescent="0.25">
      <c r="A399" t="str">
        <f>"13/01/2011"</f>
        <v>13/01/2011</v>
      </c>
      <c r="B399" s="3">
        <f>AUD!B399</f>
        <v>0.99429999999999996</v>
      </c>
      <c r="C399" s="3">
        <f>AUD!C399</f>
        <v>0.99039999999999995</v>
      </c>
      <c r="D399" s="3">
        <f>1/CAD!B399</f>
        <v>1.0136847440446022</v>
      </c>
      <c r="E399" s="3">
        <f>1/CAD!C399</f>
        <v>1.0136847440446022</v>
      </c>
      <c r="F399" s="3">
        <f>EUR!B399/1</f>
        <v>1.3102</v>
      </c>
      <c r="G399" s="3">
        <f>EUR!C399/1</f>
        <v>1.3099000000000001</v>
      </c>
      <c r="H399" s="3">
        <f>GBP!B399/1</f>
        <v>1.5744</v>
      </c>
      <c r="I399" s="3">
        <f>GBP!C399/1</f>
        <v>1.5741000000000001</v>
      </c>
      <c r="J399" s="4">
        <f>1/INR!B399</f>
        <v>2.2182786157941437E-2</v>
      </c>
      <c r="K399" s="4">
        <f>1/INR!C399</f>
        <v>2.2054364007277939E-2</v>
      </c>
      <c r="L399" s="4">
        <f>1/JPY!B399</f>
        <v>1.2042824283150884E-2</v>
      </c>
      <c r="M399" s="4">
        <f>1/JPY!C399</f>
        <v>1.2045827144789637E-2</v>
      </c>
      <c r="N399" s="5">
        <f>1/KRW!B399</f>
        <v>8.981901468540891E-4</v>
      </c>
      <c r="O399" s="5">
        <f>1/KRW!C399</f>
        <v>8.9815424811241654E-4</v>
      </c>
      <c r="P399" s="3">
        <f>1/NOK!B399</f>
        <v>0.16891891891891891</v>
      </c>
      <c r="Q399" s="3">
        <f>1/NOK!C399</f>
        <v>0.16865966166871868</v>
      </c>
      <c r="R399" s="3">
        <f>NZD!B399/1</f>
        <v>0.76170000000000004</v>
      </c>
      <c r="S399" s="3">
        <f>NZD!C399/1</f>
        <v>0.75990000000000002</v>
      </c>
      <c r="T399" s="4">
        <f>1/PHP!B399</f>
        <v>2.2655188038060714E-2</v>
      </c>
      <c r="U399" s="4">
        <f>1/PHP!C399</f>
        <v>2.2647491790284226E-2</v>
      </c>
      <c r="V399" s="4">
        <f>1/TWD!B399</f>
        <v>3.4444750620005508E-2</v>
      </c>
      <c r="W399" s="4">
        <f>1/TWD!C399</f>
        <v>3.4444869264498704E-2</v>
      </c>
      <c r="X399" s="4">
        <f>1/TWD!B399</f>
        <v>3.4444750620005508E-2</v>
      </c>
      <c r="Y399" s="4">
        <f>1/TWD!C399</f>
        <v>3.4444869264498704E-2</v>
      </c>
      <c r="Z399" s="4">
        <f>1/ZAR!B399</f>
        <v>0.14613473622680112</v>
      </c>
      <c r="AA399" s="4">
        <f>1/ZAR!C399</f>
        <v>0.14546512473634446</v>
      </c>
    </row>
    <row r="400" spans="1:27" x14ac:dyDescent="0.25">
      <c r="A400" t="str">
        <f>"14/01/2011"</f>
        <v>14/01/2011</v>
      </c>
      <c r="B400" s="3">
        <f>AUD!B400</f>
        <v>0.99590000000000001</v>
      </c>
      <c r="C400" s="3">
        <f>AUD!C400</f>
        <v>0.99209999999999998</v>
      </c>
      <c r="D400" s="3">
        <f>1/CAD!B400</f>
        <v>1.0102030508132134</v>
      </c>
      <c r="E400" s="3">
        <f>1/CAD!C400</f>
        <v>1.0095911155981827</v>
      </c>
      <c r="F400" s="3">
        <f>EUR!B400/1</f>
        <v>1.3332999999999999</v>
      </c>
      <c r="G400" s="3">
        <f>EUR!C400/1</f>
        <v>1.333</v>
      </c>
      <c r="H400" s="3">
        <f>GBP!B400/1</f>
        <v>1.5824</v>
      </c>
      <c r="I400" s="3">
        <f>GBP!C400/1</f>
        <v>1.5820000000000001</v>
      </c>
      <c r="J400" s="4">
        <f>1/INR!B400</f>
        <v>2.2075055187637971E-2</v>
      </c>
      <c r="K400" s="4">
        <f>1/INR!C400</f>
        <v>2.1935837674801208E-2</v>
      </c>
      <c r="L400" s="4">
        <f>1/JPY!B400</f>
        <v>1.2103606874848705E-2</v>
      </c>
      <c r="M400" s="4">
        <f>1/JPY!C400</f>
        <v>1.2106581500901336E-2</v>
      </c>
      <c r="N400" s="5">
        <f>1/KRW!B400</f>
        <v>8.9726334679228351E-4</v>
      </c>
      <c r="O400" s="5">
        <f>1/KRW!C400</f>
        <v>8.9724563534860692E-4</v>
      </c>
      <c r="P400" s="3">
        <f>1/NOK!B400</f>
        <v>0.17021566324533183</v>
      </c>
      <c r="Q400" s="3">
        <f>1/NOK!C400</f>
        <v>0.16994952499107766</v>
      </c>
      <c r="R400" s="3">
        <f>NZD!B400/1</f>
        <v>0.76970000000000005</v>
      </c>
      <c r="S400" s="3">
        <f>NZD!C400/1</f>
        <v>0.76780000000000004</v>
      </c>
      <c r="T400" s="4">
        <f>1/PHP!B400</f>
        <v>2.2609088853719195E-2</v>
      </c>
      <c r="U400" s="4">
        <f>1/PHP!C400</f>
        <v>2.2578460149017838E-2</v>
      </c>
      <c r="V400" s="4">
        <f>1/TWD!B400</f>
        <v>3.4463744141163495E-2</v>
      </c>
      <c r="W400" s="4">
        <f>1/TWD!C400</f>
        <v>3.4463981692732924E-2</v>
      </c>
      <c r="X400" s="4">
        <f>1/TWD!B400</f>
        <v>3.4463744141163495E-2</v>
      </c>
      <c r="Y400" s="4">
        <f>1/TWD!C400</f>
        <v>3.4463981692732924E-2</v>
      </c>
      <c r="Z400" s="4">
        <f>1/ZAR!B400</f>
        <v>0.14611765393494841</v>
      </c>
      <c r="AA400" s="4">
        <f>1/ZAR!C400</f>
        <v>0.14545242978283954</v>
      </c>
    </row>
    <row r="401" spans="1:27" x14ac:dyDescent="0.25">
      <c r="A401" t="str">
        <f>"17/01/2011"</f>
        <v>17/01/2011</v>
      </c>
      <c r="B401" s="3">
        <f>AUD!B401</f>
        <v>0.98809999999999998</v>
      </c>
      <c r="C401" s="3">
        <f>AUD!C401</f>
        <v>0.9839</v>
      </c>
      <c r="D401" s="3">
        <f>1/CAD!B401</f>
        <v>1.0112245929821013</v>
      </c>
      <c r="E401" s="3">
        <f>1/CAD!C401</f>
        <v>1.010611419909045</v>
      </c>
      <c r="F401" s="3">
        <f>EUR!B401/1</f>
        <v>1.3340000000000001</v>
      </c>
      <c r="G401" s="3">
        <f>EUR!C401/1</f>
        <v>1.3337000000000001</v>
      </c>
      <c r="H401" s="3">
        <f>GBP!B401/1</f>
        <v>1.5851999999999999</v>
      </c>
      <c r="I401" s="3">
        <f>GBP!C401/1</f>
        <v>1.5848</v>
      </c>
      <c r="J401" s="4">
        <f>1/INR!B401</f>
        <v>2.1971985718209283E-2</v>
      </c>
      <c r="K401" s="4">
        <f>1/INR!C401</f>
        <v>2.183763716765846E-2</v>
      </c>
      <c r="L401" s="4">
        <f>1/JPY!B401</f>
        <v>1.2063017201862531E-2</v>
      </c>
      <c r="M401" s="4">
        <f>1/JPY!C401</f>
        <v>1.2066248530934241E-2</v>
      </c>
      <c r="N401" s="5">
        <f>1/KRW!B401</f>
        <v>8.971023593792051E-4</v>
      </c>
      <c r="O401" s="5">
        <f>1/KRW!C401</f>
        <v>8.9708304477162067E-4</v>
      </c>
      <c r="P401" s="3">
        <f>1/NOK!B401</f>
        <v>0.17105420707822308</v>
      </c>
      <c r="Q401" s="3">
        <f>1/NOK!C401</f>
        <v>0.17078835906544609</v>
      </c>
      <c r="R401" s="3">
        <f>NZD!B401/1</f>
        <v>0.76870000000000005</v>
      </c>
      <c r="S401" s="3">
        <f>NZD!C401/1</f>
        <v>0.76670000000000005</v>
      </c>
      <c r="T401" s="4">
        <f>1/PHP!B401</f>
        <v>2.2507314877335136E-2</v>
      </c>
      <c r="U401" s="4">
        <f>1/PHP!C401</f>
        <v>2.2492127755285651E-2</v>
      </c>
      <c r="V401" s="4">
        <f>1/TWD!B401</f>
        <v>3.4464931931759431E-2</v>
      </c>
      <c r="W401" s="4">
        <f>1/TWD!C401</f>
        <v>3.4465169499703602E-2</v>
      </c>
      <c r="X401" s="4">
        <f>1/TWD!B401</f>
        <v>3.4464931931759431E-2</v>
      </c>
      <c r="Y401" s="4">
        <f>1/TWD!C401</f>
        <v>3.4465169499703602E-2</v>
      </c>
      <c r="Z401" s="4">
        <f>1/ZAR!B401</f>
        <v>0.14409221902017291</v>
      </c>
      <c r="AA401" s="4">
        <f>1/ZAR!C401</f>
        <v>0.14344321083283129</v>
      </c>
    </row>
    <row r="402" spans="1:27" x14ac:dyDescent="0.25">
      <c r="A402" t="str">
        <f>"18/01/2011"</f>
        <v>18/01/2011</v>
      </c>
      <c r="B402" s="3">
        <f>AUD!B402</f>
        <v>0.99370000000000003</v>
      </c>
      <c r="C402" s="3">
        <f>AUD!C402</f>
        <v>0.98960000000000004</v>
      </c>
      <c r="D402" s="3">
        <f>1/CAD!B402</f>
        <v>1.013787510137875</v>
      </c>
      <c r="E402" s="3">
        <f>1/CAD!C402</f>
        <v>1.0131712259371835</v>
      </c>
      <c r="F402" s="3">
        <f>EUR!B402/1</f>
        <v>1.3302</v>
      </c>
      <c r="G402" s="3">
        <f>EUR!C402/1</f>
        <v>1.3299000000000001</v>
      </c>
      <c r="H402" s="3">
        <f>GBP!B402/1</f>
        <v>1.5929</v>
      </c>
      <c r="I402" s="3">
        <f>GBP!C402/1</f>
        <v>1.5925</v>
      </c>
      <c r="J402" s="4">
        <f>1/INR!B402</f>
        <v>2.1991313431194679E-2</v>
      </c>
      <c r="K402" s="4">
        <f>1/INR!C402</f>
        <v>2.1855534914217024E-2</v>
      </c>
      <c r="L402" s="4">
        <f>1/JPY!B402</f>
        <v>1.21153380179307E-2</v>
      </c>
      <c r="M402" s="4">
        <f>1/JPY!C402</f>
        <v>1.2118391840929141E-2</v>
      </c>
      <c r="N402" s="5">
        <f>1/KRW!B402</f>
        <v>8.9565606806986115E-4</v>
      </c>
      <c r="O402" s="5">
        <f>1/KRW!C402</f>
        <v>8.9561956946671679E-4</v>
      </c>
      <c r="P402" s="3">
        <f>1/NOK!B402</f>
        <v>0.17087007039846899</v>
      </c>
      <c r="Q402" s="3">
        <f>1/NOK!C402</f>
        <v>0.17059606264287422</v>
      </c>
      <c r="R402" s="3">
        <f>NZD!B402/1</f>
        <v>0.77290000000000003</v>
      </c>
      <c r="S402" s="3">
        <f>NZD!C402/1</f>
        <v>0.77090000000000003</v>
      </c>
      <c r="T402" s="4">
        <f>1/PHP!B402</f>
        <v>2.241147467503362E-2</v>
      </c>
      <c r="U402" s="4">
        <f>1/PHP!C402</f>
        <v>2.2378874342620564E-2</v>
      </c>
      <c r="V402" s="4">
        <f>1/TWD!B402</f>
        <v>3.4463744141163495E-2</v>
      </c>
      <c r="W402" s="4">
        <f>1/TWD!C402</f>
        <v>3.4463981692732924E-2</v>
      </c>
      <c r="X402" s="4">
        <f>1/TWD!B402</f>
        <v>3.4463744141163495E-2</v>
      </c>
      <c r="Y402" s="4">
        <f>1/TWD!C402</f>
        <v>3.4463981692732924E-2</v>
      </c>
      <c r="Z402" s="4">
        <f>1/ZAR!B402</f>
        <v>0.14475969889982629</v>
      </c>
      <c r="AA402" s="4">
        <f>1/ZAR!C402</f>
        <v>0.14406108189872507</v>
      </c>
    </row>
    <row r="403" spans="1:27" x14ac:dyDescent="0.25">
      <c r="A403" t="str">
        <f>"19/01/2011"</f>
        <v>19/01/2011</v>
      </c>
      <c r="B403" s="3">
        <f>AUD!B403</f>
        <v>1.0028999999999999</v>
      </c>
      <c r="C403" s="3">
        <f>AUD!C403</f>
        <v>0.99880000000000002</v>
      </c>
      <c r="D403" s="3">
        <f>1/CAD!B403</f>
        <v>1.0090817356205852</v>
      </c>
      <c r="E403" s="3">
        <f>1/CAD!C403</f>
        <v>1.0083694665725522</v>
      </c>
      <c r="F403" s="3">
        <f>EUR!B403/1</f>
        <v>1.3443000000000001</v>
      </c>
      <c r="G403" s="3">
        <f>EUR!C403/1</f>
        <v>1.3439000000000001</v>
      </c>
      <c r="H403" s="3">
        <f>GBP!B403/1</f>
        <v>1.6011</v>
      </c>
      <c r="I403" s="3">
        <f>GBP!C403/1</f>
        <v>1.6007</v>
      </c>
      <c r="J403" s="4">
        <f>1/INR!B403</f>
        <v>2.203128442388191E-2</v>
      </c>
      <c r="K403" s="4">
        <f>1/INR!C403</f>
        <v>2.1901007446342532E-2</v>
      </c>
      <c r="L403" s="4">
        <f>1/JPY!B403</f>
        <v>1.2153030965922901E-2</v>
      </c>
      <c r="M403" s="4">
        <f>1/JPY!C403</f>
        <v>1.2155734406927797E-2</v>
      </c>
      <c r="N403" s="5">
        <f>1/KRW!B403</f>
        <v>8.9895720963682117E-4</v>
      </c>
      <c r="O403" s="5">
        <f>1/KRW!C403</f>
        <v>8.9892124955447215E-4</v>
      </c>
      <c r="P403" s="3">
        <f>1/NOK!B403</f>
        <v>0.17203117204837517</v>
      </c>
      <c r="Q403" s="3">
        <f>1/NOK!C403</f>
        <v>0.17174458145845498</v>
      </c>
      <c r="R403" s="3">
        <f>NZD!B403/1</f>
        <v>0.7742</v>
      </c>
      <c r="S403" s="3">
        <f>NZD!C403/1</f>
        <v>0.7722</v>
      </c>
      <c r="T403" s="4">
        <f>1/PHP!B403</f>
        <v>2.2527596305474205E-2</v>
      </c>
      <c r="U403" s="4">
        <f>1/PHP!C403</f>
        <v>2.247696111485727E-2</v>
      </c>
      <c r="V403" s="4">
        <f>1/TWD!B403</f>
        <v>3.4464931931759431E-2</v>
      </c>
      <c r="W403" s="4">
        <f>1/TWD!C403</f>
        <v>3.4465050715322125E-2</v>
      </c>
      <c r="X403" s="4">
        <f>1/TWD!B403</f>
        <v>3.4464931931759431E-2</v>
      </c>
      <c r="Y403" s="4">
        <f>1/TWD!C403</f>
        <v>3.4465050715322125E-2</v>
      </c>
      <c r="Z403" s="4">
        <f>1/ZAR!B403</f>
        <v>0.14520953736241396</v>
      </c>
      <c r="AA403" s="4">
        <f>1/ZAR!C403</f>
        <v>0.1445107588259946</v>
      </c>
    </row>
    <row r="404" spans="1:27" x14ac:dyDescent="0.25">
      <c r="A404" t="str">
        <f>"20/01/2011"</f>
        <v>20/01/2011</v>
      </c>
      <c r="B404" s="3">
        <f>AUD!B404</f>
        <v>0.99639999999999995</v>
      </c>
      <c r="C404" s="3">
        <f>AUD!C404</f>
        <v>0.99250000000000005</v>
      </c>
      <c r="D404" s="3">
        <f>1/CAD!B404</f>
        <v>1.0040160642570282</v>
      </c>
      <c r="E404" s="3">
        <f>1/CAD!C404</f>
        <v>1.0034115994380894</v>
      </c>
      <c r="F404" s="3">
        <f>EUR!B404/1</f>
        <v>1.3455999999999999</v>
      </c>
      <c r="G404" s="3">
        <f>EUR!C404/1</f>
        <v>1.3452999999999999</v>
      </c>
      <c r="H404" s="3">
        <f>GBP!B404/1</f>
        <v>1.5940000000000001</v>
      </c>
      <c r="I404" s="3">
        <f>GBP!C404/1</f>
        <v>1.5935999999999999</v>
      </c>
      <c r="J404" s="4">
        <f>1/INR!B404</f>
        <v>2.1939447125932428E-2</v>
      </c>
      <c r="K404" s="4">
        <f>1/INR!C404</f>
        <v>2.1804306350504225E-2</v>
      </c>
      <c r="L404" s="4">
        <f>1/JPY!B404</f>
        <v>1.2177449798463205E-2</v>
      </c>
      <c r="M404" s="4">
        <f>1/JPY!C404</f>
        <v>1.2180223458379567E-2</v>
      </c>
      <c r="N404" s="5">
        <f>1/KRW!B404</f>
        <v>8.9293686936333598E-4</v>
      </c>
      <c r="O404" s="5">
        <f>1/KRW!C404</f>
        <v>8.9292012561600323E-4</v>
      </c>
      <c r="P404" s="3">
        <f>1/NOK!B404</f>
        <v>0.17175343077477973</v>
      </c>
      <c r="Q404" s="3">
        <f>1/NOK!C404</f>
        <v>0.17147658487233569</v>
      </c>
      <c r="R404" s="3">
        <f>NZD!B404/1</f>
        <v>0.76459999999999995</v>
      </c>
      <c r="S404" s="3">
        <f>NZD!C404/1</f>
        <v>0.76280000000000003</v>
      </c>
      <c r="T404" s="4">
        <f>1/PHP!B404</f>
        <v>2.2482014388489211E-2</v>
      </c>
      <c r="U404" s="4">
        <f>1/PHP!C404</f>
        <v>2.2426553038797935E-2</v>
      </c>
      <c r="V404" s="4">
        <f>1/TWD!B404</f>
        <v>3.4440005510400877E-2</v>
      </c>
      <c r="W404" s="4">
        <f>1/TWD!C404</f>
        <v>3.4440242734830796E-2</v>
      </c>
      <c r="X404" s="4">
        <f>1/TWD!B404</f>
        <v>3.4440005510400877E-2</v>
      </c>
      <c r="Y404" s="4">
        <f>1/TWD!C404</f>
        <v>3.4440242734830796E-2</v>
      </c>
      <c r="Z404" s="4">
        <f>1/ZAR!B404</f>
        <v>0.14302059496567507</v>
      </c>
      <c r="AA404" s="4">
        <f>1/ZAR!C404</f>
        <v>0.14237307440416869</v>
      </c>
    </row>
    <row r="405" spans="1:27" x14ac:dyDescent="0.25">
      <c r="A405" t="str">
        <f>"21/01/2011"</f>
        <v>21/01/2011</v>
      </c>
      <c r="B405" s="3">
        <f>AUD!B405</f>
        <v>0.98670000000000002</v>
      </c>
      <c r="C405" s="3">
        <f>AUD!C405</f>
        <v>0.98280000000000001</v>
      </c>
      <c r="D405" s="3">
        <f>1/CAD!B405</f>
        <v>1.0037137408411121</v>
      </c>
      <c r="E405" s="3">
        <f>1/CAD!C405</f>
        <v>1.0031096398836392</v>
      </c>
      <c r="F405" s="3">
        <f>EUR!B405/1</f>
        <v>1.35</v>
      </c>
      <c r="G405" s="3">
        <f>EUR!C405/1</f>
        <v>1.3495999999999999</v>
      </c>
      <c r="H405" s="3">
        <f>GBP!B405/1</f>
        <v>1.5926</v>
      </c>
      <c r="I405" s="3">
        <f>GBP!C405/1</f>
        <v>1.5922000000000001</v>
      </c>
      <c r="J405" s="4">
        <f>1/INR!B405</f>
        <v>2.1897410631192864E-2</v>
      </c>
      <c r="K405" s="4">
        <f>1/INR!C405</f>
        <v>2.1772262138036142E-2</v>
      </c>
      <c r="L405" s="4">
        <f>1/JPY!B405</f>
        <v>1.2055745768433237E-2</v>
      </c>
      <c r="M405" s="4">
        <f>1/JPY!C405</f>
        <v>1.2058478798782577E-2</v>
      </c>
      <c r="N405" s="5">
        <f>1/KRW!B405</f>
        <v>8.9285714285714283E-4</v>
      </c>
      <c r="O405" s="5">
        <f>1/KRW!C405</f>
        <v>8.928404020996035E-4</v>
      </c>
      <c r="P405" s="3">
        <f>1/NOK!B405</f>
        <v>0.17069215669539983</v>
      </c>
      <c r="Q405" s="3">
        <f>1/NOK!C405</f>
        <v>0.17042162309553838</v>
      </c>
      <c r="R405" s="3">
        <f>NZD!B405/1</f>
        <v>0.75570000000000004</v>
      </c>
      <c r="S405" s="3">
        <f>NZD!C405/1</f>
        <v>0.75370000000000004</v>
      </c>
      <c r="T405" s="4">
        <f>1/PHP!B405</f>
        <v>2.2512381809995496E-2</v>
      </c>
      <c r="U405" s="4">
        <f>1/PHP!C405</f>
        <v>2.2451728783116302E-2</v>
      </c>
      <c r="V405" s="4">
        <f>1/TWD!B405</f>
        <v>3.4389078028818049E-2</v>
      </c>
      <c r="W405" s="4">
        <f>1/TWD!C405</f>
        <v>3.4389314552182346E-2</v>
      </c>
      <c r="X405" s="4">
        <f>1/TWD!B405</f>
        <v>3.4389078028818049E-2</v>
      </c>
      <c r="Y405" s="4">
        <f>1/TWD!C405</f>
        <v>3.4389314552182346E-2</v>
      </c>
      <c r="Z405" s="4">
        <f>1/ZAR!B405</f>
        <v>0.1411631846414455</v>
      </c>
      <c r="AA405" s="4">
        <f>1/ZAR!C405</f>
        <v>0.14053036158462037</v>
      </c>
    </row>
    <row r="406" spans="1:27" x14ac:dyDescent="0.25">
      <c r="A406" t="str">
        <f>"24/01/2011"</f>
        <v>24/01/2011</v>
      </c>
      <c r="B406" s="3">
        <f>AUD!B406</f>
        <v>0.98829999999999996</v>
      </c>
      <c r="C406" s="3">
        <f>AUD!C406</f>
        <v>0.98429999999999995</v>
      </c>
      <c r="D406" s="3">
        <f>1/CAD!B406</f>
        <v>1.0059350165979277</v>
      </c>
      <c r="E406" s="3">
        <f>1/CAD!C406</f>
        <v>1.0059350165979277</v>
      </c>
      <c r="F406" s="3">
        <f>EUR!B406/1</f>
        <v>1.3594999999999999</v>
      </c>
      <c r="G406" s="3">
        <f>EUR!C406/1</f>
        <v>1.359</v>
      </c>
      <c r="H406" s="3">
        <f>GBP!B406/1</f>
        <v>1.5960000000000001</v>
      </c>
      <c r="I406" s="3">
        <f>GBP!C406/1</f>
        <v>1.5955999999999999</v>
      </c>
      <c r="J406" s="4">
        <f>1/INR!B406</f>
        <v>2.1929824561403508E-2</v>
      </c>
      <c r="K406" s="4">
        <f>1/INR!C406</f>
        <v>2.1797177265544112E-2</v>
      </c>
      <c r="L406" s="4">
        <f>1/JPY!B406</f>
        <v>1.2080650422218732E-2</v>
      </c>
      <c r="M406" s="4">
        <f>1/JPY!C406</f>
        <v>1.2083336354167421E-2</v>
      </c>
      <c r="N406" s="5">
        <f>1/KRW!B406</f>
        <v>8.9245872378402495E-4</v>
      </c>
      <c r="O406" s="5">
        <f>1/KRW!C406</f>
        <v>8.924224852984551E-4</v>
      </c>
      <c r="P406" s="3">
        <f>1/NOK!B406</f>
        <v>0.1715354134861142</v>
      </c>
      <c r="Q406" s="3">
        <f>1/NOK!C406</f>
        <v>0.17125047093879506</v>
      </c>
      <c r="R406" s="3">
        <f>NZD!B406/1</f>
        <v>0.7591</v>
      </c>
      <c r="S406" s="3">
        <f>NZD!C406/1</f>
        <v>0.7571</v>
      </c>
      <c r="T406" s="4">
        <f>1/PHP!B406</f>
        <v>2.2537750732476901E-2</v>
      </c>
      <c r="U406" s="4">
        <f>1/PHP!C406</f>
        <v>2.2487069934787499E-2</v>
      </c>
      <c r="V406" s="4">
        <f>1/TWD!B406</f>
        <v>3.4422222987160515E-2</v>
      </c>
      <c r="W406" s="4">
        <f>1/TWD!C406</f>
        <v>3.4422459966679059E-2</v>
      </c>
      <c r="X406" s="4">
        <f>1/TWD!B406</f>
        <v>3.4422222987160515E-2</v>
      </c>
      <c r="Y406" s="4">
        <f>1/TWD!C406</f>
        <v>3.4422459966679059E-2</v>
      </c>
      <c r="Z406" s="4">
        <f>1/ZAR!B406</f>
        <v>0.14150676402332032</v>
      </c>
      <c r="AA406" s="4">
        <f>1/ZAR!C406</f>
        <v>0.14086292628643068</v>
      </c>
    </row>
    <row r="407" spans="1:27" x14ac:dyDescent="0.25">
      <c r="A407" t="str">
        <f>"25/01/2011"</f>
        <v>25/01/2011</v>
      </c>
      <c r="B407" s="3">
        <f>AUD!B407</f>
        <v>0.99480000000000002</v>
      </c>
      <c r="C407" s="3">
        <f>AUD!C407</f>
        <v>0.9909</v>
      </c>
      <c r="D407" s="3">
        <f>1/CAD!B407</f>
        <v>1.0075566750629723</v>
      </c>
      <c r="E407" s="3">
        <f>1/CAD!C407</f>
        <v>1.006947940791461</v>
      </c>
      <c r="F407" s="3">
        <f>EUR!B407/1</f>
        <v>1.3657999999999999</v>
      </c>
      <c r="G407" s="3">
        <f>EUR!C407/1</f>
        <v>1.3653</v>
      </c>
      <c r="H407" s="3">
        <f>GBP!B407/1</f>
        <v>1.5998000000000001</v>
      </c>
      <c r="I407" s="3">
        <f>GBP!C407/1</f>
        <v>1.5993999999999999</v>
      </c>
      <c r="J407" s="4">
        <f>1/INR!B407</f>
        <v>2.19743998242048E-2</v>
      </c>
      <c r="K407" s="4">
        <f>1/INR!C407</f>
        <v>2.1847178983013818E-2</v>
      </c>
      <c r="L407" s="4">
        <f>1/JPY!B407</f>
        <v>1.2124151309408341E-2</v>
      </c>
      <c r="M407" s="4">
        <f>1/JPY!C407</f>
        <v>1.2126606623795069E-2</v>
      </c>
      <c r="N407" s="5">
        <f>1/KRW!B407</f>
        <v>8.9473448754082217E-4</v>
      </c>
      <c r="O407" s="5">
        <f>1/KRW!C407</f>
        <v>8.9471687579182441E-4</v>
      </c>
      <c r="P407" s="3">
        <f>1/NOK!B407</f>
        <v>0.17294455397599531</v>
      </c>
      <c r="Q407" s="3">
        <f>1/NOK!C407</f>
        <v>0.17265491462214472</v>
      </c>
      <c r="R407" s="3">
        <f>NZD!B407/1</f>
        <v>0.76500000000000001</v>
      </c>
      <c r="S407" s="3">
        <f>NZD!C407/1</f>
        <v>0.76300000000000001</v>
      </c>
      <c r="T407" s="4">
        <f>1/PHP!B407</f>
        <v>2.2487069934787499E-2</v>
      </c>
      <c r="U407" s="4">
        <f>1/PHP!C407</f>
        <v>2.2436616558223019E-2</v>
      </c>
      <c r="V407" s="4">
        <f>1/TWD!B407</f>
        <v>3.445899379738112E-2</v>
      </c>
      <c r="W407" s="4">
        <f>1/TWD!C407</f>
        <v>3.4459112540015643E-2</v>
      </c>
      <c r="X407" s="4">
        <f>1/TWD!B407</f>
        <v>3.445899379738112E-2</v>
      </c>
      <c r="Y407" s="4">
        <f>1/TWD!C407</f>
        <v>3.4459112540015643E-2</v>
      </c>
      <c r="Z407" s="4">
        <f>1/ZAR!B407</f>
        <v>0.14247043738424275</v>
      </c>
      <c r="AA407" s="4">
        <f>1/ZAR!C407</f>
        <v>0.14179771138493824</v>
      </c>
    </row>
    <row r="408" spans="1:27" x14ac:dyDescent="0.25">
      <c r="A408" t="str">
        <f>"27/01/2011"</f>
        <v>27/01/2011</v>
      </c>
      <c r="B408" s="3">
        <f>AUD!B408</f>
        <v>0.99580000000000002</v>
      </c>
      <c r="C408" s="3">
        <f>AUD!C408</f>
        <v>0.99229999999999996</v>
      </c>
      <c r="D408" s="3">
        <f>1/CAD!B408</f>
        <v>1.0053282396702523</v>
      </c>
      <c r="E408" s="3">
        <f>1/CAD!C408</f>
        <v>1.0047221943132725</v>
      </c>
      <c r="F408" s="3">
        <f>EUR!B408/1</f>
        <v>1.3705000000000001</v>
      </c>
      <c r="G408" s="3">
        <f>EUR!C408/1</f>
        <v>1.37</v>
      </c>
      <c r="H408" s="3">
        <f>GBP!B408/1</f>
        <v>1.5914999999999999</v>
      </c>
      <c r="I408" s="3">
        <f>GBP!C408/1</f>
        <v>1.5911</v>
      </c>
      <c r="J408" s="4">
        <f>1/INR!B408</f>
        <v>2.1937040693210487E-2</v>
      </c>
      <c r="K408" s="4">
        <f>1/INR!C408</f>
        <v>2.1825721612920825E-2</v>
      </c>
      <c r="L408" s="4">
        <f>1/JPY!B408</f>
        <v>1.217189145107204E-2</v>
      </c>
      <c r="M408" s="4">
        <f>1/JPY!C408</f>
        <v>1.2174158643896121E-2</v>
      </c>
      <c r="N408" s="5">
        <f>1/KRW!B408</f>
        <v>8.9750493627714948E-4</v>
      </c>
      <c r="O408" s="5">
        <f>1/KRW!C408</f>
        <v>8.9746909228629798E-4</v>
      </c>
      <c r="P408" s="3">
        <f>1/NOK!B408</f>
        <v>0.17341541663053847</v>
      </c>
      <c r="Q408" s="3">
        <f>1/NOK!C408</f>
        <v>0.17314518223530431</v>
      </c>
      <c r="R408" s="3">
        <f>NZD!B408/1</f>
        <v>0.77249999999999996</v>
      </c>
      <c r="S408" s="3">
        <f>NZD!C408/1</f>
        <v>0.77059999999999995</v>
      </c>
      <c r="T408" s="4">
        <f>1/PHP!B408</f>
        <v>2.2650056625141565E-2</v>
      </c>
      <c r="U408" s="4">
        <f>1/PHP!C408</f>
        <v>2.2606533288120265E-2</v>
      </c>
      <c r="V408" s="4">
        <f>1/TWD!B408</f>
        <v>3.4437633445829605E-2</v>
      </c>
      <c r="W408" s="4">
        <f>1/TWD!C408</f>
        <v>3.4437752041297752E-2</v>
      </c>
      <c r="X408" s="4">
        <f>1/TWD!B408</f>
        <v>3.4437633445829605E-2</v>
      </c>
      <c r="Y408" s="4">
        <f>1/TWD!C408</f>
        <v>3.4437752041297752E-2</v>
      </c>
      <c r="Z408" s="4">
        <f>1/ZAR!B408</f>
        <v>0.14138272303124558</v>
      </c>
      <c r="AA408" s="4">
        <f>1/ZAR!C408</f>
        <v>0.14072416656112355</v>
      </c>
    </row>
    <row r="409" spans="1:27" x14ac:dyDescent="0.25">
      <c r="A409" t="str">
        <f>"28/01/2011"</f>
        <v>28/01/2011</v>
      </c>
      <c r="B409" s="3">
        <f>AUD!B409</f>
        <v>0.98950000000000005</v>
      </c>
      <c r="C409" s="3">
        <f>AUD!C409</f>
        <v>0.98609999999999998</v>
      </c>
      <c r="D409" s="3">
        <f>1/CAD!B409</f>
        <v>1.004217714400482</v>
      </c>
      <c r="E409" s="3">
        <f>1/CAD!C409</f>
        <v>1.0036130068245686</v>
      </c>
      <c r="F409" s="3">
        <f>EUR!B409/1</f>
        <v>1.3703000000000001</v>
      </c>
      <c r="G409" s="3">
        <f>EUR!C409/1</f>
        <v>1.3697999999999999</v>
      </c>
      <c r="H409" s="3">
        <f>GBP!B409/1</f>
        <v>1.5889</v>
      </c>
      <c r="I409" s="3">
        <f>GBP!C409/1</f>
        <v>1.5885</v>
      </c>
      <c r="J409" s="4">
        <f>1/INR!B409</f>
        <v>2.1873462022201563E-2</v>
      </c>
      <c r="K409" s="4">
        <f>1/INR!C409</f>
        <v>2.1761601653881725E-2</v>
      </c>
      <c r="L409" s="4">
        <f>1/JPY!B409</f>
        <v>1.2088974854932303E-2</v>
      </c>
      <c r="M409" s="4">
        <f>1/JPY!C409</f>
        <v>1.2090918873561634E-2</v>
      </c>
      <c r="N409" s="5">
        <f>1/KRW!B409</f>
        <v>8.9694142972463896E-4</v>
      </c>
      <c r="O409" s="5">
        <f>1/KRW!C409</f>
        <v>8.9690482628971549E-4</v>
      </c>
      <c r="P409" s="3">
        <f>1/NOK!B409</f>
        <v>0.17227419160335589</v>
      </c>
      <c r="Q409" s="3">
        <f>1/NOK!C409</f>
        <v>0.17203413157170383</v>
      </c>
      <c r="R409" s="3">
        <f>NZD!B409/1</f>
        <v>0.77359999999999995</v>
      </c>
      <c r="S409" s="3">
        <f>NZD!C409/1</f>
        <v>0.77180000000000004</v>
      </c>
      <c r="T409" s="4">
        <f>1/PHP!B409</f>
        <v>2.2675736961451247E-2</v>
      </c>
      <c r="U409" s="4">
        <f>1/PHP!C409</f>
        <v>2.2632114971144052E-2</v>
      </c>
      <c r="V409" s="4">
        <f>1/TWD!B409</f>
        <v>3.4460181260553432E-2</v>
      </c>
      <c r="W409" s="4">
        <f>1/TWD!C409</f>
        <v>3.4460300011371903E-2</v>
      </c>
      <c r="X409" s="4">
        <f>1/TWD!B409</f>
        <v>3.4460181260553432E-2</v>
      </c>
      <c r="Y409" s="4">
        <f>1/TWD!C409</f>
        <v>3.4460300011371903E-2</v>
      </c>
      <c r="Z409" s="4">
        <f>1/ZAR!B409</f>
        <v>0.14138472196694427</v>
      </c>
      <c r="AA409" s="4">
        <f>1/ZAR!C409</f>
        <v>0.14077963763321275</v>
      </c>
    </row>
    <row r="410" spans="1:27" x14ac:dyDescent="0.25">
      <c r="A410" t="str">
        <f>"31/01/2011"</f>
        <v>31/01/2011</v>
      </c>
      <c r="B410" s="3">
        <f>AUD!B410</f>
        <v>0.99209999999999998</v>
      </c>
      <c r="C410" s="3">
        <f>AUD!C410</f>
        <v>0.98870000000000002</v>
      </c>
      <c r="D410" s="3">
        <f>1/CAD!B410</f>
        <v>0.99900099900099915</v>
      </c>
      <c r="E410" s="3">
        <f>1/CAD!C410</f>
        <v>0.99840255591054305</v>
      </c>
      <c r="F410" s="3">
        <f>EUR!B410/1</f>
        <v>1.3596999999999999</v>
      </c>
      <c r="G410" s="3">
        <f>EUR!C410/1</f>
        <v>1.3592</v>
      </c>
      <c r="H410" s="3">
        <f>GBP!B410/1</f>
        <v>1.5860000000000001</v>
      </c>
      <c r="I410" s="3">
        <f>GBP!C410/1</f>
        <v>1.5857000000000001</v>
      </c>
      <c r="J410" s="4">
        <f>1/INR!B410</f>
        <v>2.1729682746631899E-2</v>
      </c>
      <c r="K410" s="4">
        <f>1/INR!C410</f>
        <v>2.1613443561895498E-2</v>
      </c>
      <c r="L410" s="4">
        <f>1/JPY!B410</f>
        <v>1.218783897427147E-2</v>
      </c>
      <c r="M410" s="4">
        <f>1/JPY!C410</f>
        <v>1.2189978374978363E-2</v>
      </c>
      <c r="N410" s="5">
        <f>1/KRW!B410</f>
        <v>8.9110675458919974E-4</v>
      </c>
      <c r="O410" s="5">
        <f>1/KRW!C410</f>
        <v>8.9108849132480804E-4</v>
      </c>
      <c r="P410" s="3">
        <f>1/NOK!B410</f>
        <v>0.17171509032213753</v>
      </c>
      <c r="Q410" s="3">
        <f>1/NOK!C410</f>
        <v>0.17147658487233569</v>
      </c>
      <c r="R410" s="3">
        <f>NZD!B410/1</f>
        <v>0.77180000000000004</v>
      </c>
      <c r="S410" s="3">
        <f>NZD!C410/1</f>
        <v>0.77</v>
      </c>
      <c r="T410" s="4">
        <f>1/PHP!B410</f>
        <v>2.2547914317925591E-2</v>
      </c>
      <c r="U410" s="4">
        <f>1/PHP!C410</f>
        <v>2.2499718753515582E-2</v>
      </c>
      <c r="V410" s="4">
        <f>1/TWD!B410</f>
        <v>3.4442377901770342E-2</v>
      </c>
      <c r="W410" s="4">
        <f>1/TWD!C410</f>
        <v>3.4442496529918473E-2</v>
      </c>
      <c r="X410" s="4">
        <f>1/TWD!B410</f>
        <v>3.4442377901770342E-2</v>
      </c>
      <c r="Y410" s="4">
        <f>1/TWD!C410</f>
        <v>3.4442496529918473E-2</v>
      </c>
      <c r="Z410" s="4">
        <f>1/ZAR!B410</f>
        <v>0.13948946854512484</v>
      </c>
      <c r="AA410" s="4">
        <f>1/ZAR!C410</f>
        <v>0.13889660536696483</v>
      </c>
    </row>
    <row r="411" spans="1:27" x14ac:dyDescent="0.25">
      <c r="A411" t="str">
        <f>"01/02/2011"</f>
        <v>01/02/2011</v>
      </c>
      <c r="B411" s="3">
        <f>AUD!B411</f>
        <v>1.0004999999999999</v>
      </c>
      <c r="C411" s="3">
        <f>AUD!C411</f>
        <v>0.997</v>
      </c>
      <c r="D411" s="3">
        <f>1/CAD!B411</f>
        <v>1.0017028949213664</v>
      </c>
      <c r="E411" s="3">
        <f>1/CAD!C411</f>
        <v>1.0011012113324658</v>
      </c>
      <c r="F411" s="3">
        <f>EUR!B411/1</f>
        <v>1.3723000000000001</v>
      </c>
      <c r="G411" s="3">
        <f>EUR!C411/1</f>
        <v>1.3716999999999999</v>
      </c>
      <c r="H411" s="3">
        <f>GBP!B411/1</f>
        <v>1.6060000000000001</v>
      </c>
      <c r="I411" s="3">
        <f>GBP!C411/1</f>
        <v>1.6055999999999999</v>
      </c>
      <c r="J411" s="4">
        <f>1/INR!B411</f>
        <v>2.1812629512487729E-2</v>
      </c>
      <c r="K411" s="4">
        <f>1/INR!C411</f>
        <v>2.1697857336588012E-2</v>
      </c>
      <c r="L411" s="4">
        <f>1/JPY!B411</f>
        <v>1.220420068587608E-2</v>
      </c>
      <c r="M411" s="4">
        <f>1/JPY!C411</f>
        <v>1.2206107447922644E-2</v>
      </c>
      <c r="N411" s="5">
        <f>1/KRW!B411</f>
        <v>8.9581653677326886E-4</v>
      </c>
      <c r="O411" s="5">
        <f>1/KRW!C411</f>
        <v>8.9577962388005155E-4</v>
      </c>
      <c r="P411" s="3">
        <f>1/NOK!B411</f>
        <v>0.17340038148083925</v>
      </c>
      <c r="Q411" s="3">
        <f>1/NOK!C411</f>
        <v>0.17315717476753648</v>
      </c>
      <c r="R411" s="3">
        <f>NZD!B411/1</f>
        <v>0.77390000000000003</v>
      </c>
      <c r="S411" s="3">
        <f>NZD!C411/1</f>
        <v>0.7722</v>
      </c>
      <c r="T411" s="4">
        <f>1/PHP!B411</f>
        <v>2.2609088853719195E-2</v>
      </c>
      <c r="U411" s="4">
        <f>1/PHP!C411</f>
        <v>2.2563176895306861E-2</v>
      </c>
      <c r="V411" s="4">
        <f>1/TWD!B411</f>
        <v>3.4434075961571574E-2</v>
      </c>
      <c r="W411" s="4">
        <f>1/TWD!C411</f>
        <v>3.4434194532538591E-2</v>
      </c>
      <c r="X411" s="4">
        <f>1/TWD!B411</f>
        <v>3.4434075961571574E-2</v>
      </c>
      <c r="Y411" s="4">
        <f>1/TWD!C411</f>
        <v>3.4434194532538591E-2</v>
      </c>
      <c r="Z411" s="4">
        <f>1/ZAR!B411</f>
        <v>0.13937282229965156</v>
      </c>
      <c r="AA411" s="4">
        <f>1/ZAR!C411</f>
        <v>0.13875976521847724</v>
      </c>
    </row>
    <row r="412" spans="1:27" x14ac:dyDescent="0.25">
      <c r="A412" t="str">
        <f>"02/02/2011"</f>
        <v>02/02/2011</v>
      </c>
      <c r="B412" s="3">
        <f>AUD!B412</f>
        <v>1.0130999999999999</v>
      </c>
      <c r="C412" s="3">
        <f>AUD!C412</f>
        <v>1.0096000000000001</v>
      </c>
      <c r="D412" s="3">
        <f>1/CAD!B412</f>
        <v>1.0110201193003741</v>
      </c>
      <c r="E412" s="3">
        <f>1/CAD!C412</f>
        <v>1.0104071940992219</v>
      </c>
      <c r="F412" s="3">
        <f>EUR!B412/1</f>
        <v>1.3855</v>
      </c>
      <c r="G412" s="3">
        <f>EUR!C412/1</f>
        <v>1.385</v>
      </c>
      <c r="H412" s="3">
        <f>GBP!B412/1</f>
        <v>1.6171</v>
      </c>
      <c r="I412" s="3">
        <f>GBP!C412/1</f>
        <v>1.6167</v>
      </c>
      <c r="J412" s="4">
        <f>1/INR!B412</f>
        <v>2.1927420239008882E-2</v>
      </c>
      <c r="K412" s="4">
        <f>1/INR!C412</f>
        <v>2.1810250817884406E-2</v>
      </c>
      <c r="L412" s="4">
        <f>1/JPY!B412</f>
        <v>1.2279656906386036E-2</v>
      </c>
      <c r="M412" s="4">
        <f>1/JPY!C412</f>
        <v>1.228167782457097E-2</v>
      </c>
      <c r="N412" s="5">
        <f>1/KRW!B412</f>
        <v>9.0620752152242867E-4</v>
      </c>
      <c r="O412" s="5">
        <f>1/KRW!C412</f>
        <v>9.0617015791374261E-4</v>
      </c>
      <c r="P412" s="3">
        <f>1/NOK!B412</f>
        <v>0.17566048341765036</v>
      </c>
      <c r="Q412" s="3">
        <f>1/NOK!C412</f>
        <v>0.17540782318891424</v>
      </c>
      <c r="R412" s="3">
        <f>NZD!B412/1</f>
        <v>0.78190000000000004</v>
      </c>
      <c r="S412" s="3">
        <f>NZD!C412/1</f>
        <v>0.7802</v>
      </c>
      <c r="T412" s="4">
        <f>1/PHP!B412</f>
        <v>2.2727272727272728E-2</v>
      </c>
      <c r="U412" s="4">
        <f>1/PHP!C412</f>
        <v>2.2686025408348458E-2</v>
      </c>
      <c r="V412" s="4">
        <f>1/TWD!B412</f>
        <v>3.4435261707988982E-2</v>
      </c>
      <c r="W412" s="4">
        <f>1/TWD!C412</f>
        <v>3.4435380287122203E-2</v>
      </c>
      <c r="X412" s="4">
        <f>1/TWD!B412</f>
        <v>3.4435261707988982E-2</v>
      </c>
      <c r="Y412" s="4">
        <f>1/TWD!C412</f>
        <v>3.4435380287122203E-2</v>
      </c>
      <c r="Z412" s="4">
        <f>1/ZAR!B412</f>
        <v>0.14053826154170473</v>
      </c>
      <c r="AA412" s="4">
        <f>1/ZAR!C412</f>
        <v>0.13993646884314523</v>
      </c>
    </row>
    <row r="413" spans="1:27" x14ac:dyDescent="0.25">
      <c r="A413" t="str">
        <f>"03/02/2011"</f>
        <v>03/02/2011</v>
      </c>
      <c r="B413" s="3">
        <f>AUD!B413</f>
        <v>1.0096000000000001</v>
      </c>
      <c r="C413" s="3">
        <f>AUD!C413</f>
        <v>1.0061</v>
      </c>
      <c r="D413" s="3">
        <f>1/CAD!B413</f>
        <v>1.0114291493880854</v>
      </c>
      <c r="E413" s="3">
        <f>1/CAD!C413</f>
        <v>1.0108157282927324</v>
      </c>
      <c r="F413" s="3">
        <f>EUR!B413/1</f>
        <v>1.3788</v>
      </c>
      <c r="G413" s="3">
        <f>EUR!C413/1</f>
        <v>1.3784000000000001</v>
      </c>
      <c r="H413" s="3">
        <f>GBP!B413/1</f>
        <v>1.6177999999999999</v>
      </c>
      <c r="I413" s="3">
        <f>GBP!C413/1</f>
        <v>1.6174999999999999</v>
      </c>
      <c r="J413" s="4">
        <f>1/INR!B413</f>
        <v>2.1908204622631173E-2</v>
      </c>
      <c r="K413" s="4">
        <f>1/INR!C413</f>
        <v>2.1798365122615803E-2</v>
      </c>
      <c r="L413" s="4">
        <f>1/JPY!B413</f>
        <v>1.2247472427877696E-2</v>
      </c>
      <c r="M413" s="4">
        <f>1/JPY!C413</f>
        <v>1.2249572796148736E-2</v>
      </c>
      <c r="N413" s="5">
        <f>1/KRW!B413</f>
        <v>9.0565354223741716E-4</v>
      </c>
      <c r="O413" s="5">
        <f>1/KRW!C413</f>
        <v>9.0561622429578153E-4</v>
      </c>
      <c r="P413" s="3">
        <f>1/NOK!B413</f>
        <v>0.17463893400394684</v>
      </c>
      <c r="Q413" s="3">
        <f>1/NOK!C413</f>
        <v>0.17438920182062326</v>
      </c>
      <c r="R413" s="3">
        <f>NZD!B413/1</f>
        <v>0.77139999999999997</v>
      </c>
      <c r="S413" s="3">
        <f>NZD!C413/1</f>
        <v>0.76970000000000005</v>
      </c>
      <c r="T413" s="4">
        <f>1/PHP!B413</f>
        <v>2.2758306781975421E-2</v>
      </c>
      <c r="U413" s="4">
        <f>1/PHP!C413</f>
        <v>2.2711787417669771E-2</v>
      </c>
      <c r="V413" s="4">
        <f>1/TWD!B413</f>
        <v>3.4435261707988982E-2</v>
      </c>
      <c r="W413" s="4">
        <f>1/TWD!C413</f>
        <v>3.4435380287122203E-2</v>
      </c>
      <c r="X413" s="4">
        <f>1/TWD!B413</f>
        <v>3.4435261707988982E-2</v>
      </c>
      <c r="Y413" s="4">
        <f>1/TWD!C413</f>
        <v>3.4435380287122203E-2</v>
      </c>
      <c r="Z413" s="4">
        <f>1/ZAR!B413</f>
        <v>0.13959656592447825</v>
      </c>
      <c r="AA413" s="4">
        <f>1/ZAR!C413</f>
        <v>0.13900859073090716</v>
      </c>
    </row>
    <row r="414" spans="1:27" x14ac:dyDescent="0.25">
      <c r="A414" t="str">
        <f>"04/02/2011"</f>
        <v>04/02/2011</v>
      </c>
      <c r="B414" s="3">
        <f>AUD!B414</f>
        <v>1.0183</v>
      </c>
      <c r="C414" s="3">
        <f>AUD!C414</f>
        <v>1.0147999999999999</v>
      </c>
      <c r="D414" s="3">
        <f>1/CAD!B414</f>
        <v>1.0090817356205852</v>
      </c>
      <c r="E414" s="3">
        <f>1/CAD!C414</f>
        <v>1.0090817356205852</v>
      </c>
      <c r="F414" s="3">
        <f>EUR!B414/1</f>
        <v>1.3633</v>
      </c>
      <c r="G414" s="3">
        <f>EUR!C414/1</f>
        <v>1.3629</v>
      </c>
      <c r="H414" s="3">
        <f>GBP!B414/1</f>
        <v>1.6133999999999999</v>
      </c>
      <c r="I414" s="3">
        <f>GBP!C414/1</f>
        <v>1.613</v>
      </c>
      <c r="J414" s="4">
        <f>1/INR!B414</f>
        <v>2.1910604732690624E-2</v>
      </c>
      <c r="K414" s="4">
        <f>1/INR!C414</f>
        <v>2.1800741225201658E-2</v>
      </c>
      <c r="L414" s="4">
        <f>1/JPY!B414</f>
        <v>1.226391954868776E-2</v>
      </c>
      <c r="M414" s="4">
        <f>1/JPY!C414</f>
        <v>1.2265769793579361E-2</v>
      </c>
      <c r="N414" s="5">
        <f>1/KRW!B414</f>
        <v>9.0579710144927537E-4</v>
      </c>
      <c r="O414" s="5">
        <f>1/KRW!C414</f>
        <v>9.0575977167607678E-4</v>
      </c>
      <c r="P414" s="3">
        <f>1/NOK!B414</f>
        <v>0.17418568193694478</v>
      </c>
      <c r="Q414" s="3">
        <f>1/NOK!C414</f>
        <v>0.17394026891165573</v>
      </c>
      <c r="R414" s="3">
        <f>NZD!B414/1</f>
        <v>0.77410000000000001</v>
      </c>
      <c r="S414" s="3">
        <f>NZD!C414/1</f>
        <v>0.77239999999999998</v>
      </c>
      <c r="T414" s="4">
        <f>1/PHP!B414</f>
        <v>2.2841480127912289E-2</v>
      </c>
      <c r="U414" s="4">
        <f>1/PHP!C414</f>
        <v>2.2794620469569184E-2</v>
      </c>
      <c r="V414" s="4">
        <f>1/TWD!B414</f>
        <v>3.4435261707988982E-2</v>
      </c>
      <c r="W414" s="4">
        <f>1/TWD!C414</f>
        <v>3.4435380287122203E-2</v>
      </c>
      <c r="X414" s="4">
        <f>1/TWD!B414</f>
        <v>3.4435261707988982E-2</v>
      </c>
      <c r="Y414" s="4">
        <f>1/TWD!C414</f>
        <v>3.4435380287122203E-2</v>
      </c>
      <c r="Z414" s="4">
        <f>1/ZAR!B414</f>
        <v>0.13757050488375291</v>
      </c>
      <c r="AA414" s="4">
        <f>1/ZAR!C414</f>
        <v>0.13699005452204169</v>
      </c>
    </row>
    <row r="415" spans="1:27" x14ac:dyDescent="0.25">
      <c r="A415" t="str">
        <f>"07/02/2011"</f>
        <v>07/02/2011</v>
      </c>
      <c r="B415" s="3">
        <f>AUD!B415</f>
        <v>1.0136000000000001</v>
      </c>
      <c r="C415" s="3">
        <f>AUD!C415</f>
        <v>1.0101</v>
      </c>
      <c r="D415" s="3">
        <f>1/CAD!B415</f>
        <v>1.0133765707336846</v>
      </c>
      <c r="E415" s="3">
        <f>1/CAD!C415</f>
        <v>1.0127607859023697</v>
      </c>
      <c r="F415" s="3">
        <f>EUR!B415/1</f>
        <v>1.3613999999999999</v>
      </c>
      <c r="G415" s="3">
        <f>EUR!C415/1</f>
        <v>1.361</v>
      </c>
      <c r="H415" s="3">
        <f>GBP!B415/1</f>
        <v>1.6133999999999999</v>
      </c>
      <c r="I415" s="3">
        <f>GBP!C415/1</f>
        <v>1.613</v>
      </c>
      <c r="J415" s="4">
        <f>1/INR!B415</f>
        <v>2.1937040693210487E-2</v>
      </c>
      <c r="K415" s="4">
        <f>1/INR!C415</f>
        <v>2.1824530772588391E-2</v>
      </c>
      <c r="L415" s="4">
        <f>1/JPY!B415</f>
        <v>1.2161381532942141E-2</v>
      </c>
      <c r="M415" s="4">
        <f>1/JPY!C415</f>
        <v>1.2163526449588265E-2</v>
      </c>
      <c r="N415" s="5">
        <f>1/KRW!B415</f>
        <v>9.025270758122744E-4</v>
      </c>
      <c r="O415" s="5">
        <f>1/KRW!C415</f>
        <v>9.0249042232039311E-4</v>
      </c>
      <c r="P415" s="3">
        <f>1/NOK!B415</f>
        <v>0.17392514261861694</v>
      </c>
      <c r="Q415" s="3">
        <f>1/NOK!C415</f>
        <v>0.1736804626847526</v>
      </c>
      <c r="R415" s="3">
        <f>NZD!B415/1</f>
        <v>0.77059999999999995</v>
      </c>
      <c r="S415" s="3">
        <f>NZD!C415/1</f>
        <v>0.76880000000000004</v>
      </c>
      <c r="T415" s="4">
        <f>1/PHP!B415</f>
        <v>2.2888532845044635E-2</v>
      </c>
      <c r="U415" s="4">
        <f>1/PHP!C415</f>
        <v>2.2857142857142857E-2</v>
      </c>
      <c r="V415" s="4">
        <f>1/TWD!B415</f>
        <v>3.4358357670503346E-2</v>
      </c>
      <c r="W415" s="4">
        <f>1/TWD!C415</f>
        <v>3.4358475720583134E-2</v>
      </c>
      <c r="X415" s="4">
        <f>1/TWD!B415</f>
        <v>3.4358357670503346E-2</v>
      </c>
      <c r="Y415" s="4">
        <f>1/TWD!C415</f>
        <v>3.4358475720583134E-2</v>
      </c>
      <c r="Z415" s="4">
        <f>1/ZAR!B415</f>
        <v>0.13779798814937302</v>
      </c>
      <c r="AA415" s="4">
        <f>1/ZAR!C415</f>
        <v>0.13720997242079555</v>
      </c>
    </row>
    <row r="416" spans="1:27" x14ac:dyDescent="0.25">
      <c r="A416" t="str">
        <f>"08/02/2011"</f>
        <v>08/02/2011</v>
      </c>
      <c r="B416" s="3">
        <f>AUD!B416</f>
        <v>1.0143</v>
      </c>
      <c r="C416" s="3">
        <f>AUD!C416</f>
        <v>1.0107999999999999</v>
      </c>
      <c r="D416" s="3">
        <f>1/CAD!B416</f>
        <v>1.0096930533117934</v>
      </c>
      <c r="E416" s="3">
        <f>1/CAD!C416</f>
        <v>1.0090817356205852</v>
      </c>
      <c r="F416" s="3">
        <f>EUR!B416/1</f>
        <v>1.3615999999999999</v>
      </c>
      <c r="G416" s="3">
        <f>EUR!C416/1</f>
        <v>1.3612</v>
      </c>
      <c r="H416" s="3">
        <f>GBP!B416/1</f>
        <v>1.6136999999999999</v>
      </c>
      <c r="I416" s="3">
        <f>GBP!C416/1</f>
        <v>1.6133</v>
      </c>
      <c r="J416" s="4">
        <f>1/INR!B416</f>
        <v>2.2040996253030638E-2</v>
      </c>
      <c r="K416" s="4">
        <f>1/INR!C416</f>
        <v>2.1932229411119639E-2</v>
      </c>
      <c r="L416" s="4">
        <f>1/JPY!B416</f>
        <v>1.2152144853566653E-2</v>
      </c>
      <c r="M416" s="4">
        <f>1/JPY!C416</f>
        <v>1.215430128568199E-2</v>
      </c>
      <c r="N416" s="5">
        <f>1/KRW!B416</f>
        <v>9.0538705296514259E-4</v>
      </c>
      <c r="O416" s="5">
        <f>1/KRW!C416</f>
        <v>9.0535180613158573E-4</v>
      </c>
      <c r="P416" s="3">
        <f>1/NOK!B416</f>
        <v>0.17348461191492315</v>
      </c>
      <c r="Q416" s="3">
        <f>1/NOK!C416</f>
        <v>0.173238167833137</v>
      </c>
      <c r="R416" s="3">
        <f>NZD!B416/1</f>
        <v>0.7722</v>
      </c>
      <c r="S416" s="3">
        <f>NZD!C416/1</f>
        <v>0.77039999999999997</v>
      </c>
      <c r="T416" s="4">
        <f>1/PHP!B416</f>
        <v>2.2999080036798531E-2</v>
      </c>
      <c r="U416" s="4">
        <f>1/PHP!C416</f>
        <v>2.2983222247759137E-2</v>
      </c>
      <c r="V416" s="4">
        <f>1/TWD!B416</f>
        <v>3.4581733928139152E-2</v>
      </c>
      <c r="W416" s="4">
        <f>1/TWD!C416</f>
        <v>3.4581853518184873E-2</v>
      </c>
      <c r="X416" s="4">
        <f>1/TWD!B416</f>
        <v>3.4581733928139152E-2</v>
      </c>
      <c r="Y416" s="4">
        <f>1/TWD!C416</f>
        <v>3.4581853518184873E-2</v>
      </c>
      <c r="Z416" s="4">
        <f>1/ZAR!B416</f>
        <v>0.13838915029061721</v>
      </c>
      <c r="AA416" s="4">
        <f>1/ZAR!C416</f>
        <v>0.13780748294632397</v>
      </c>
    </row>
    <row r="417" spans="1:27" x14ac:dyDescent="0.25">
      <c r="A417" t="str">
        <f>"09/02/2011"</f>
        <v>09/02/2011</v>
      </c>
      <c r="B417" s="3">
        <f>AUD!B417</f>
        <v>1.0135000000000001</v>
      </c>
      <c r="C417" s="3">
        <f>AUD!C417</f>
        <v>1.01</v>
      </c>
      <c r="D417" s="3">
        <f>1/CAD!B417</f>
        <v>1.0055304172951232</v>
      </c>
      <c r="E417" s="3">
        <f>1/CAD!C417</f>
        <v>1.0050251256281406</v>
      </c>
      <c r="F417" s="3">
        <f>EUR!B417/1</f>
        <v>1.3647</v>
      </c>
      <c r="G417" s="3">
        <f>EUR!C417/1</f>
        <v>1.3642000000000001</v>
      </c>
      <c r="H417" s="3">
        <f>GBP!B417/1</f>
        <v>1.6062000000000001</v>
      </c>
      <c r="I417" s="3">
        <f>GBP!C417/1</f>
        <v>1.6057999999999999</v>
      </c>
      <c r="J417" s="4">
        <f>1/INR!B417</f>
        <v>2.2045855379188711E-2</v>
      </c>
      <c r="K417" s="4">
        <f>1/INR!C417</f>
        <v>2.193824384358032E-2</v>
      </c>
      <c r="L417" s="4">
        <f>1/JPY!B417</f>
        <v>1.2136216898468411E-2</v>
      </c>
      <c r="M417" s="4">
        <f>1/JPY!C417</f>
        <v>1.2138220342686237E-2</v>
      </c>
      <c r="N417" s="5">
        <f>1/KRW!B417</f>
        <v>9.0481360839667025E-4</v>
      </c>
      <c r="O417" s="5">
        <f>1/KRW!C417</f>
        <v>9.0479723493965003E-4</v>
      </c>
      <c r="P417" s="3">
        <f>1/NOK!B417</f>
        <v>0.17345752892404293</v>
      </c>
      <c r="Q417" s="3">
        <f>1/NOK!C417</f>
        <v>0.1732111617272617</v>
      </c>
      <c r="R417" s="3">
        <f>NZD!B417/1</f>
        <v>0.77149999999999996</v>
      </c>
      <c r="S417" s="3">
        <f>NZD!C417/1</f>
        <v>0.76980000000000004</v>
      </c>
      <c r="T417" s="4">
        <f>1/PHP!B417</f>
        <v>2.3057412958266084E-2</v>
      </c>
      <c r="U417" s="4">
        <f>1/PHP!C417</f>
        <v>2.3049441051054512E-2</v>
      </c>
      <c r="V417" s="4">
        <f>1/TWD!B417</f>
        <v>3.475842891901286E-2</v>
      </c>
      <c r="W417" s="4">
        <f>1/TWD!C417</f>
        <v>3.4758670550368791E-2</v>
      </c>
      <c r="X417" s="4">
        <f>1/TWD!B417</f>
        <v>3.475842891901286E-2</v>
      </c>
      <c r="Y417" s="4">
        <f>1/TWD!C417</f>
        <v>3.4758670550368791E-2</v>
      </c>
      <c r="Z417" s="4">
        <f>1/ZAR!B417</f>
        <v>0.13854253255749516</v>
      </c>
      <c r="AA417" s="4">
        <f>1/ZAR!C417</f>
        <v>0.13796528793355592</v>
      </c>
    </row>
    <row r="418" spans="1:27" x14ac:dyDescent="0.25">
      <c r="A418" t="str">
        <f>"10/02/2011"</f>
        <v>10/02/2011</v>
      </c>
      <c r="B418" s="3">
        <f>AUD!B418</f>
        <v>1.0085</v>
      </c>
      <c r="C418" s="3">
        <f>AUD!C418</f>
        <v>1.0049999999999999</v>
      </c>
      <c r="D418" s="3">
        <f>1/CAD!B418</f>
        <v>1.0046212577858149</v>
      </c>
      <c r="E418" s="3">
        <f>1/CAD!C418</f>
        <v>1.0041168792047395</v>
      </c>
      <c r="F418" s="3">
        <f>EUR!B418/1</f>
        <v>1.3709</v>
      </c>
      <c r="G418" s="3">
        <f>EUR!C418/1</f>
        <v>1.3704000000000001</v>
      </c>
      <c r="H418" s="3">
        <f>GBP!B418/1</f>
        <v>1.61</v>
      </c>
      <c r="I418" s="3">
        <f>GBP!C418/1</f>
        <v>1.6095999999999999</v>
      </c>
      <c r="J418" s="4">
        <f>1/INR!B418</f>
        <v>2.1944261575597982E-2</v>
      </c>
      <c r="K418" s="4">
        <f>1/INR!C418</f>
        <v>2.1830486274081757E-2</v>
      </c>
      <c r="L418" s="4">
        <f>1/JPY!B418</f>
        <v>1.2115044462213176E-2</v>
      </c>
      <c r="M418" s="4">
        <f>1/JPY!C418</f>
        <v>1.2117319891186468E-2</v>
      </c>
      <c r="N418" s="5">
        <f>1/KRW!B418</f>
        <v>8.9831117499101685E-4</v>
      </c>
      <c r="O418" s="5">
        <f>1/KRW!C418</f>
        <v>8.982950360216309E-4</v>
      </c>
      <c r="P418" s="3">
        <f>1/NOK!B418</f>
        <v>0.17331322899876947</v>
      </c>
      <c r="Q418" s="3">
        <f>1/NOK!C418</f>
        <v>0.17306727124833421</v>
      </c>
      <c r="R418" s="3">
        <f>NZD!B418/1</f>
        <v>0.77110000000000001</v>
      </c>
      <c r="S418" s="3">
        <f>NZD!C418/1</f>
        <v>0.76939999999999997</v>
      </c>
      <c r="T418" s="4">
        <f>1/PHP!B418</f>
        <v>2.2888532845044635E-2</v>
      </c>
      <c r="U418" s="4">
        <f>1/PHP!C418</f>
        <v>2.2862368541380886E-2</v>
      </c>
      <c r="V418" s="4">
        <f>1/TWD!B418</f>
        <v>3.4640432312595261E-2</v>
      </c>
      <c r="W418" s="4">
        <f>1/TWD!C418</f>
        <v>3.4640672306168116E-2</v>
      </c>
      <c r="X418" s="4">
        <f>1/TWD!B418</f>
        <v>3.4640432312595261E-2</v>
      </c>
      <c r="Y418" s="4">
        <f>1/TWD!C418</f>
        <v>3.4640672306168116E-2</v>
      </c>
      <c r="Z418" s="4">
        <f>1/ZAR!B418</f>
        <v>0.13828580911026911</v>
      </c>
      <c r="AA418" s="4">
        <f>1/ZAR!C418</f>
        <v>0.13770500833115301</v>
      </c>
    </row>
    <row r="419" spans="1:27" x14ac:dyDescent="0.25">
      <c r="A419" t="str">
        <f>"11/02/2011"</f>
        <v>11/02/2011</v>
      </c>
      <c r="B419" s="3">
        <f>AUD!B419</f>
        <v>0.99939999999999996</v>
      </c>
      <c r="C419" s="3">
        <f>AUD!C419</f>
        <v>0.996</v>
      </c>
      <c r="D419" s="3">
        <f>1/CAD!B419</f>
        <v>1.0045203415369162</v>
      </c>
      <c r="E419" s="3">
        <f>1/CAD!C419</f>
        <v>1.0039152695512499</v>
      </c>
      <c r="F419" s="3">
        <f>EUR!B419/1</f>
        <v>1.3577999999999999</v>
      </c>
      <c r="G419" s="3">
        <f>EUR!C419/1</f>
        <v>1.3573</v>
      </c>
      <c r="H419" s="3">
        <f>GBP!B419/1</f>
        <v>1.6062000000000001</v>
      </c>
      <c r="I419" s="3">
        <f>GBP!C419/1</f>
        <v>1.6057999999999999</v>
      </c>
      <c r="J419" s="4">
        <f>1/INR!B419</f>
        <v>2.1855534914217024E-2</v>
      </c>
      <c r="K419" s="4">
        <f>1/INR!C419</f>
        <v>2.1747403903659E-2</v>
      </c>
      <c r="L419" s="4">
        <f>1/JPY!B419</f>
        <v>1.1987532965715655E-2</v>
      </c>
      <c r="M419" s="4">
        <f>1/JPY!C419</f>
        <v>1.1989688867573886E-2</v>
      </c>
      <c r="N419" s="5">
        <f>1/KRW!B419</f>
        <v>8.9094796863863144E-4</v>
      </c>
      <c r="O419" s="5">
        <f>1/KRW!C419</f>
        <v>8.9093209315585964E-4</v>
      </c>
      <c r="P419" s="3">
        <f>1/NOK!B419</f>
        <v>0.17108932573696728</v>
      </c>
      <c r="Q419" s="3">
        <f>1/NOK!C419</f>
        <v>0.1708467163261122</v>
      </c>
      <c r="R419" s="3">
        <f>NZD!B419/1</f>
        <v>0.76060000000000005</v>
      </c>
      <c r="S419" s="3">
        <f>NZD!C419/1</f>
        <v>0.75890000000000002</v>
      </c>
      <c r="T419" s="4">
        <f>1/PHP!B419</f>
        <v>2.2888532845044635E-2</v>
      </c>
      <c r="U419" s="4">
        <f>1/PHP!C419</f>
        <v>2.2851919561243144E-2</v>
      </c>
      <c r="V419" s="4">
        <f>1/TWD!B419</f>
        <v>3.4364261168384876E-2</v>
      </c>
      <c r="W419" s="4">
        <f>1/TWD!C419</f>
        <v>3.4364379259035252E-2</v>
      </c>
      <c r="X419" s="4">
        <f>1/TWD!B419</f>
        <v>3.4364261168384876E-2</v>
      </c>
      <c r="Y419" s="4">
        <f>1/TWD!C419</f>
        <v>3.4364379259035252E-2</v>
      </c>
      <c r="Z419" s="4">
        <f>1/ZAR!B419</f>
        <v>0.1372495196266813</v>
      </c>
      <c r="AA419" s="4">
        <f>1/ZAR!C419</f>
        <v>0.13666803334700015</v>
      </c>
    </row>
    <row r="420" spans="1:27" x14ac:dyDescent="0.25">
      <c r="A420" t="str">
        <f>"14/02/2011"</f>
        <v>14/02/2011</v>
      </c>
      <c r="B420" s="3">
        <f>AUD!B420</f>
        <v>1.0046999999999999</v>
      </c>
      <c r="C420" s="3">
        <f>AUD!C420</f>
        <v>1.0012000000000001</v>
      </c>
      <c r="D420" s="3">
        <f>1/CAD!B420</f>
        <v>1.0141987829614605</v>
      </c>
      <c r="E420" s="3">
        <f>1/CAD!C420</f>
        <v>1.0135819987837016</v>
      </c>
      <c r="F420" s="3">
        <f>EUR!B420/1</f>
        <v>1.3532999999999999</v>
      </c>
      <c r="G420" s="3">
        <f>EUR!C420/1</f>
        <v>1.3529</v>
      </c>
      <c r="H420" s="3">
        <f>GBP!B420/1</f>
        <v>1.6067</v>
      </c>
      <c r="I420" s="3">
        <f>GBP!C420/1</f>
        <v>1.6063000000000001</v>
      </c>
      <c r="J420" s="4">
        <f>1/INR!B420</f>
        <v>2.1941854086670324E-2</v>
      </c>
      <c r="K420" s="4">
        <f>1/INR!C420</f>
        <v>2.1830486274081757E-2</v>
      </c>
      <c r="L420" s="4">
        <f>1/JPY!B420</f>
        <v>1.2015620306398319E-2</v>
      </c>
      <c r="M420" s="4">
        <f>1/JPY!C420</f>
        <v>1.2017974082037095E-2</v>
      </c>
      <c r="N420" s="5">
        <f>1/KRW!B420</f>
        <v>8.8967971530249106E-4</v>
      </c>
      <c r="O420" s="5">
        <f>1/KRW!C420</f>
        <v>8.8964568081470203E-4</v>
      </c>
      <c r="P420" s="3">
        <f>1/NOK!B420</f>
        <v>0.17062517062517063</v>
      </c>
      <c r="Q420" s="3">
        <f>1/NOK!C420</f>
        <v>0.17038097185306345</v>
      </c>
      <c r="R420" s="3">
        <f>NZD!B420/1</f>
        <v>0.75770000000000004</v>
      </c>
      <c r="S420" s="3">
        <f>NZD!C420/1</f>
        <v>0.75600000000000001</v>
      </c>
      <c r="T420" s="4">
        <f>1/PHP!B420</f>
        <v>2.2872827081427266E-2</v>
      </c>
      <c r="U420" s="4">
        <f>1/PHP!C420</f>
        <v>2.2836263987211693E-2</v>
      </c>
      <c r="V420" s="4">
        <f>1/TWD!B420</f>
        <v>3.4062265821922476E-2</v>
      </c>
      <c r="W420" s="4">
        <f>1/TWD!C420</f>
        <v>3.4062381846112967E-2</v>
      </c>
      <c r="X420" s="4">
        <f>1/TWD!B420</f>
        <v>3.4062265821922476E-2</v>
      </c>
      <c r="Y420" s="4">
        <f>1/TWD!C420</f>
        <v>3.4062381846112967E-2</v>
      </c>
      <c r="Z420" s="4">
        <f>1/ZAR!B420</f>
        <v>0.13741926618111858</v>
      </c>
      <c r="AA420" s="4">
        <f>1/ZAR!C420</f>
        <v>0.13683447134002</v>
      </c>
    </row>
    <row r="421" spans="1:27" x14ac:dyDescent="0.25">
      <c r="A421" t="str">
        <f>"15/02/2011"</f>
        <v>15/02/2011</v>
      </c>
      <c r="B421" s="3">
        <f>AUD!B421</f>
        <v>1.0046999999999999</v>
      </c>
      <c r="C421" s="3">
        <f>AUD!C421</f>
        <v>1.0012000000000001</v>
      </c>
      <c r="D421" s="3">
        <f>1/CAD!B421</f>
        <v>1.0128633647320977</v>
      </c>
      <c r="E421" s="3">
        <f>1/CAD!C421</f>
        <v>1.0122482032594393</v>
      </c>
      <c r="F421" s="3">
        <f>EUR!B421/1</f>
        <v>1.3512999999999999</v>
      </c>
      <c r="G421" s="3">
        <f>EUR!C421/1</f>
        <v>1.3509</v>
      </c>
      <c r="H421" s="3">
        <f>GBP!B421/1</f>
        <v>1.6052</v>
      </c>
      <c r="I421" s="3">
        <f>GBP!C421/1</f>
        <v>1.6048</v>
      </c>
      <c r="J421" s="4">
        <f>1/INR!B421</f>
        <v>2.2014309301045681E-2</v>
      </c>
      <c r="K421" s="4">
        <f>1/INR!C421</f>
        <v>2.1903405979629833E-2</v>
      </c>
      <c r="L421" s="4">
        <f>1/JPY!B421</f>
        <v>1.2003360941063497E-2</v>
      </c>
      <c r="M421" s="4">
        <f>1/JPY!C421</f>
        <v>1.2005666674670444E-2</v>
      </c>
      <c r="N421" s="5">
        <f>1/KRW!B421</f>
        <v>8.9142449634515956E-4</v>
      </c>
      <c r="O421" s="5">
        <f>1/KRW!C421</f>
        <v>8.9139072552519628E-4</v>
      </c>
      <c r="P421" s="3">
        <f>1/NOK!B421</f>
        <v>0.1716974005013564</v>
      </c>
      <c r="Q421" s="3">
        <f>1/NOK!C421</f>
        <v>0.17144718569444684</v>
      </c>
      <c r="R421" s="3">
        <f>NZD!B421/1</f>
        <v>0.75680000000000003</v>
      </c>
      <c r="S421" s="3">
        <f>NZD!C421/1</f>
        <v>0.75509999999999999</v>
      </c>
      <c r="T421" s="4">
        <f>1/PHP!B421</f>
        <v>2.2941041523285157E-2</v>
      </c>
      <c r="U421" s="4">
        <f>1/PHP!C421</f>
        <v>2.2914757103574702E-2</v>
      </c>
      <c r="V421" s="4">
        <f>1/TWD!B421</f>
        <v>3.4013605442176874E-2</v>
      </c>
      <c r="W421" s="4">
        <f>1/TWD!C421</f>
        <v>3.4013721135105902E-2</v>
      </c>
      <c r="X421" s="4">
        <f>1/TWD!B421</f>
        <v>3.4013605442176874E-2</v>
      </c>
      <c r="Y421" s="4">
        <f>1/TWD!C421</f>
        <v>3.4013721135105902E-2</v>
      </c>
      <c r="Z421" s="4">
        <f>1/ZAR!B421</f>
        <v>0.13741926618111858</v>
      </c>
      <c r="AA421" s="4">
        <f>1/ZAR!C421</f>
        <v>0.13683447134002</v>
      </c>
    </row>
    <row r="422" spans="1:27" x14ac:dyDescent="0.25">
      <c r="A422" t="str">
        <f>"17/02/2011"</f>
        <v>17/02/2011</v>
      </c>
      <c r="B422" s="3">
        <f>AUD!B422</f>
        <v>1.0035000000000001</v>
      </c>
      <c r="C422" s="3">
        <f>AUD!C422</f>
        <v>1</v>
      </c>
      <c r="D422" s="3">
        <f>1/CAD!B422</f>
        <v>1.0158472165786265</v>
      </c>
      <c r="E422" s="3">
        <f>1/CAD!C422</f>
        <v>1.015228426395939</v>
      </c>
      <c r="F422" s="3">
        <f>EUR!B422/1</f>
        <v>1.3586</v>
      </c>
      <c r="G422" s="3">
        <f>EUR!C422/1</f>
        <v>1.3582000000000001</v>
      </c>
      <c r="H422" s="3">
        <f>GBP!B422/1</f>
        <v>1.6101000000000001</v>
      </c>
      <c r="I422" s="3">
        <f>GBP!C422/1</f>
        <v>1.6096999999999999</v>
      </c>
      <c r="J422" s="4">
        <f>1/INR!B422</f>
        <v>2.2014309301045681E-2</v>
      </c>
      <c r="K422" s="4">
        <f>1/INR!C422</f>
        <v>2.1896211955331726E-2</v>
      </c>
      <c r="L422" s="4">
        <f>1/JPY!B422</f>
        <v>1.1964513253689557E-2</v>
      </c>
      <c r="M422" s="4">
        <f>1/JPY!C422</f>
        <v>1.1966560642939371E-2</v>
      </c>
      <c r="N422" s="5">
        <f>1/KRW!B422</f>
        <v>8.9581653677326886E-4</v>
      </c>
      <c r="O422" s="5">
        <f>1/KRW!C422</f>
        <v>8.9580169100485208E-4</v>
      </c>
      <c r="P422" s="3">
        <f>1/NOK!B422</f>
        <v>0.17463893400394684</v>
      </c>
      <c r="Q422" s="3">
        <f>1/NOK!C422</f>
        <v>0.17437703803163199</v>
      </c>
      <c r="R422" s="3">
        <f>NZD!B422/1</f>
        <v>0.75460000000000005</v>
      </c>
      <c r="S422" s="3">
        <f>NZD!C422/1</f>
        <v>0.75290000000000001</v>
      </c>
      <c r="T422" s="4">
        <f>1/PHP!B422</f>
        <v>2.3036166781847504E-2</v>
      </c>
      <c r="U422" s="4">
        <f>1/PHP!C422</f>
        <v>2.3014959723820481E-2</v>
      </c>
      <c r="V422" s="4">
        <f>1/TWD!B422</f>
        <v>3.4020548411240394E-2</v>
      </c>
      <c r="W422" s="4">
        <f>1/TWD!C422</f>
        <v>3.4020664151405568E-2</v>
      </c>
      <c r="X422" s="4">
        <f>1/TWD!B422</f>
        <v>3.4020548411240394E-2</v>
      </c>
      <c r="Y422" s="4">
        <f>1/TWD!C422</f>
        <v>3.4020664151405568E-2</v>
      </c>
      <c r="Z422" s="4">
        <f>1/ZAR!B422</f>
        <v>0.13783597518952448</v>
      </c>
      <c r="AA422" s="4">
        <f>1/ZAR!C422</f>
        <v>0.13726270709510932</v>
      </c>
    </row>
    <row r="423" spans="1:27" x14ac:dyDescent="0.25">
      <c r="A423" t="str">
        <f>"18/02/2011"</f>
        <v>18/02/2011</v>
      </c>
      <c r="B423" s="3">
        <f>AUD!B423</f>
        <v>1.0124</v>
      </c>
      <c r="C423" s="3">
        <f>AUD!C423</f>
        <v>1.0087999999999999</v>
      </c>
      <c r="D423" s="3">
        <f>1/CAD!B423</f>
        <v>1.0155377272265664</v>
      </c>
      <c r="E423" s="3">
        <f>1/CAD!C423</f>
        <v>1.0149193139145438</v>
      </c>
      <c r="F423" s="3">
        <f>EUR!B423/1</f>
        <v>1.3613999999999999</v>
      </c>
      <c r="G423" s="3">
        <f>EUR!C423/1</f>
        <v>1.3609</v>
      </c>
      <c r="H423" s="3">
        <f>GBP!B423/1</f>
        <v>1.6173999999999999</v>
      </c>
      <c r="I423" s="3">
        <f>GBP!C423/1</f>
        <v>1.6171</v>
      </c>
      <c r="J423" s="4">
        <f>1/INR!B423</f>
        <v>2.2123893805309734E-2</v>
      </c>
      <c r="K423" s="4">
        <f>1/INR!C423</f>
        <v>2.2008253094910592E-2</v>
      </c>
      <c r="L423" s="4">
        <f>1/JPY!B423</f>
        <v>1.200393729143159E-2</v>
      </c>
      <c r="M423" s="4">
        <f>1/JPY!C423</f>
        <v>1.2006084683717708E-2</v>
      </c>
      <c r="N423" s="5">
        <f>1/KRW!B423</f>
        <v>8.9948279739149989E-4</v>
      </c>
      <c r="O423" s="5">
        <f>1/KRW!C423</f>
        <v>8.9944922226874375E-4</v>
      </c>
      <c r="P423" s="3">
        <f>1/NOK!B423</f>
        <v>0.17534323438130139</v>
      </c>
      <c r="Q423" s="3">
        <f>1/NOK!C423</f>
        <v>0.17508535411012868</v>
      </c>
      <c r="R423" s="3">
        <f>NZD!B423/1</f>
        <v>0.75990000000000002</v>
      </c>
      <c r="S423" s="3">
        <f>NZD!C423/1</f>
        <v>0.75819999999999999</v>
      </c>
      <c r="T423" s="4">
        <f>1/PHP!B423</f>
        <v>2.3052097740894419E-2</v>
      </c>
      <c r="U423" s="4">
        <f>1/PHP!C423</f>
        <v>2.3041474654377881E-2</v>
      </c>
      <c r="V423" s="4">
        <f>1/TWD!B423</f>
        <v>3.408200129511605E-2</v>
      </c>
      <c r="W423" s="4">
        <f>1/TWD!C423</f>
        <v>3.4082233613262077E-2</v>
      </c>
      <c r="X423" s="4">
        <f>1/TWD!B423</f>
        <v>3.408200129511605E-2</v>
      </c>
      <c r="Y423" s="4">
        <f>1/TWD!C423</f>
        <v>3.4082233613262077E-2</v>
      </c>
      <c r="Z423" s="4">
        <f>1/ZAR!B423</f>
        <v>0.13920790700911811</v>
      </c>
      <c r="AA423" s="4">
        <f>1/ZAR!C423</f>
        <v>0.13863088141514404</v>
      </c>
    </row>
    <row r="424" spans="1:27" x14ac:dyDescent="0.25">
      <c r="A424" t="str">
        <f>"21/02/2011"</f>
        <v>21/02/2011</v>
      </c>
      <c r="B424" s="3">
        <f>AUD!B424</f>
        <v>1.0122</v>
      </c>
      <c r="C424" s="3">
        <f>AUD!C424</f>
        <v>1.0086999999999999</v>
      </c>
      <c r="D424" s="3">
        <f>1/CAD!B424</f>
        <v>1.0135819987837016</v>
      </c>
      <c r="E424" s="3">
        <f>1/CAD!C424</f>
        <v>1.0135819987837016</v>
      </c>
      <c r="F424" s="3">
        <f>EUR!B424/1</f>
        <v>1.3672</v>
      </c>
      <c r="G424" s="3">
        <f>EUR!C424/1</f>
        <v>1.3668</v>
      </c>
      <c r="H424" s="3">
        <f>GBP!B424/1</f>
        <v>1.623</v>
      </c>
      <c r="I424" s="3">
        <f>GBP!C424/1</f>
        <v>1.6226</v>
      </c>
      <c r="J424" s="4">
        <f>1/INR!B424</f>
        <v>2.2149620687745723E-2</v>
      </c>
      <c r="K424" s="4">
        <f>1/INR!C424</f>
        <v>2.2028857803722875E-2</v>
      </c>
      <c r="L424" s="4">
        <f>1/JPY!B424</f>
        <v>1.2028483448806774E-2</v>
      </c>
      <c r="M424" s="4">
        <f>1/JPY!C424</f>
        <v>1.2030465951976786E-2</v>
      </c>
      <c r="N424" s="5">
        <f>1/KRW!B424</f>
        <v>8.9341552756186902E-4</v>
      </c>
      <c r="O424" s="5">
        <f>1/KRW!C424</f>
        <v>8.9340076126678857E-4</v>
      </c>
      <c r="P424" s="3">
        <f>1/NOK!B424</f>
        <v>0.17586746627741334</v>
      </c>
      <c r="Q424" s="3">
        <f>1/NOK!C424</f>
        <v>0.17560495908404453</v>
      </c>
      <c r="R424" s="3">
        <f>NZD!B424/1</f>
        <v>0.76349999999999996</v>
      </c>
      <c r="S424" s="3">
        <f>NZD!C424/1</f>
        <v>0.76170000000000004</v>
      </c>
      <c r="T424" s="4">
        <f>1/PHP!B424</f>
        <v>2.3014959723820481E-2</v>
      </c>
      <c r="U424" s="4">
        <f>1/PHP!C424</f>
        <v>2.3012311586698884E-2</v>
      </c>
      <c r="V424" s="4">
        <f>1/TWD!B424</f>
        <v>3.4049507984609623E-2</v>
      </c>
      <c r="W424" s="4">
        <f>1/TWD!C424</f>
        <v>3.4049623921903784E-2</v>
      </c>
      <c r="X424" s="4">
        <f>1/TWD!B424</f>
        <v>3.4049507984609623E-2</v>
      </c>
      <c r="Y424" s="4">
        <f>1/TWD!C424</f>
        <v>3.4049623921903784E-2</v>
      </c>
      <c r="Z424" s="4">
        <f>1/ZAR!B424</f>
        <v>0.13988557360079457</v>
      </c>
      <c r="AA424" s="4">
        <f>1/ZAR!C424</f>
        <v>0.13930680931683942</v>
      </c>
    </row>
    <row r="425" spans="1:27" x14ac:dyDescent="0.25">
      <c r="A425" t="str">
        <f>"22/02/2011"</f>
        <v>22/02/2011</v>
      </c>
      <c r="B425" s="3">
        <f>AUD!B425</f>
        <v>1.0027999999999999</v>
      </c>
      <c r="C425" s="3">
        <f>AUD!C425</f>
        <v>0.99939999999999996</v>
      </c>
      <c r="D425" s="3">
        <f>1/CAD!B425</f>
        <v>1.0135819987837016</v>
      </c>
      <c r="E425" s="3">
        <f>1/CAD!C425</f>
        <v>1.0130685847431871</v>
      </c>
      <c r="F425" s="3">
        <f>EUR!B425/1</f>
        <v>1.3588</v>
      </c>
      <c r="G425" s="3">
        <f>EUR!C425/1</f>
        <v>1.3584000000000001</v>
      </c>
      <c r="H425" s="3">
        <f>GBP!B425/1</f>
        <v>1.6165</v>
      </c>
      <c r="I425" s="3">
        <f>GBP!C425/1</f>
        <v>1.6161000000000001</v>
      </c>
      <c r="J425" s="4">
        <f>1/INR!B425</f>
        <v>2.2127565414615257E-2</v>
      </c>
      <c r="K425" s="4">
        <f>1/INR!C425</f>
        <v>2.2010675177461071E-2</v>
      </c>
      <c r="L425" s="4">
        <f>1/JPY!B425</f>
        <v>1.2008405884118882E-2</v>
      </c>
      <c r="M425" s="4">
        <f>1/JPY!C425</f>
        <v>1.2010367349095739E-2</v>
      </c>
      <c r="N425" s="5">
        <f>1/KRW!B425</f>
        <v>8.8778409090909088E-4</v>
      </c>
      <c r="O425" s="5">
        <f>1/KRW!C425</f>
        <v>8.8776951017761159E-4</v>
      </c>
      <c r="P425" s="3">
        <f>1/NOK!B425</f>
        <v>0.17473047823731894</v>
      </c>
      <c r="Q425" s="3">
        <f>1/NOK!C425</f>
        <v>0.17448048435782457</v>
      </c>
      <c r="R425" s="3">
        <f>NZD!B425/1</f>
        <v>0.75090000000000001</v>
      </c>
      <c r="S425" s="3">
        <f>NZD!C425/1</f>
        <v>0.74919999999999998</v>
      </c>
      <c r="T425" s="4">
        <f>1/PHP!B425</f>
        <v>2.2935779816513759E-2</v>
      </c>
      <c r="U425" s="4">
        <f>1/PHP!C425</f>
        <v>2.2925263640531868E-2</v>
      </c>
      <c r="V425" s="4">
        <f>1/TWD!B425</f>
        <v>3.381920254320403E-2</v>
      </c>
      <c r="W425" s="4">
        <f>1/TWD!C425</f>
        <v>3.3819316917436899E-2</v>
      </c>
      <c r="X425" s="4">
        <f>1/TWD!B425</f>
        <v>3.381920254320403E-2</v>
      </c>
      <c r="Y425" s="4">
        <f>1/TWD!C425</f>
        <v>3.3819316917436899E-2</v>
      </c>
      <c r="Z425" s="4">
        <f>1/ZAR!B425</f>
        <v>0.1391304347826087</v>
      </c>
      <c r="AA425" s="4">
        <f>1/ZAR!C425</f>
        <v>0.1385540499348796</v>
      </c>
    </row>
    <row r="426" spans="1:27" x14ac:dyDescent="0.25">
      <c r="A426" t="str">
        <f>"23/02/2011"</f>
        <v>23/02/2011</v>
      </c>
      <c r="B426" s="3">
        <f>AUD!B426</f>
        <v>1.0019</v>
      </c>
      <c r="C426" s="3">
        <f>AUD!C426</f>
        <v>0.99839999999999995</v>
      </c>
      <c r="D426" s="3">
        <f>1/CAD!B426</f>
        <v>1.0113268608414239</v>
      </c>
      <c r="E426" s="3">
        <f>1/CAD!C426</f>
        <v>1.0107135637760258</v>
      </c>
      <c r="F426" s="3">
        <f>EUR!B426/1</f>
        <v>1.3693</v>
      </c>
      <c r="G426" s="3">
        <f>EUR!C426/1</f>
        <v>1.3689</v>
      </c>
      <c r="H426" s="3">
        <f>GBP!B426/1</f>
        <v>1.6172</v>
      </c>
      <c r="I426" s="3">
        <f>GBP!C426/1</f>
        <v>1.6168</v>
      </c>
      <c r="J426" s="4">
        <f>1/INR!B426</f>
        <v>2.2106775726760251E-2</v>
      </c>
      <c r="K426" s="4">
        <f>1/INR!C426</f>
        <v>2.1986478315835761E-2</v>
      </c>
      <c r="L426" s="4">
        <f>1/JPY!B426</f>
        <v>1.2111669593653486E-2</v>
      </c>
      <c r="M426" s="4">
        <f>1/JPY!C426</f>
        <v>1.2113488854378905E-2</v>
      </c>
      <c r="N426" s="5">
        <f>1/KRW!B426</f>
        <v>8.8821779100235385E-4</v>
      </c>
      <c r="O426" s="5">
        <f>1/KRW!C426</f>
        <v>8.8820319602156026E-4</v>
      </c>
      <c r="P426" s="3">
        <f>1/NOK!B426</f>
        <v>0.17652250661959401</v>
      </c>
      <c r="Q426" s="3">
        <f>1/NOK!C426</f>
        <v>0.17626736233519003</v>
      </c>
      <c r="R426" s="3">
        <f>NZD!B426/1</f>
        <v>0.74780000000000002</v>
      </c>
      <c r="S426" s="3">
        <f>NZD!C426/1</f>
        <v>0.74619999999999997</v>
      </c>
      <c r="T426" s="4">
        <f>1/PHP!B426</f>
        <v>2.2935779816513759E-2</v>
      </c>
      <c r="U426" s="4">
        <f>1/PHP!C426</f>
        <v>2.2917382834880259E-2</v>
      </c>
      <c r="V426" s="4">
        <f>1/TWD!B426</f>
        <v>3.3822634106744236E-2</v>
      </c>
      <c r="W426" s="4">
        <f>1/TWD!C426</f>
        <v>3.3822862902407512E-2</v>
      </c>
      <c r="X426" s="4">
        <f>1/TWD!B426</f>
        <v>3.3822634106744236E-2</v>
      </c>
      <c r="Y426" s="4">
        <f>1/TWD!C426</f>
        <v>3.3822862902407512E-2</v>
      </c>
      <c r="Z426" s="4">
        <f>1/ZAR!B426</f>
        <v>0.13998348194913002</v>
      </c>
      <c r="AA426" s="4">
        <f>1/ZAR!C426</f>
        <v>0.1394019655677145</v>
      </c>
    </row>
    <row r="427" spans="1:27" x14ac:dyDescent="0.25">
      <c r="A427" t="str">
        <f>"24/02/2011"</f>
        <v>24/02/2011</v>
      </c>
      <c r="B427" s="3">
        <f>AUD!B427</f>
        <v>1.0075000000000001</v>
      </c>
      <c r="C427" s="3">
        <f>AUD!C427</f>
        <v>1.0037</v>
      </c>
      <c r="D427" s="3">
        <f>1/CAD!B427</f>
        <v>1.0131712259371835</v>
      </c>
      <c r="E427" s="3">
        <f>1/CAD!C427</f>
        <v>1.0126582278481011</v>
      </c>
      <c r="F427" s="3">
        <f>EUR!B427/1</f>
        <v>1.3774999999999999</v>
      </c>
      <c r="G427" s="3">
        <f>EUR!C427/1</f>
        <v>1.3769</v>
      </c>
      <c r="H427" s="3">
        <f>GBP!B427/1</f>
        <v>1.6238999999999999</v>
      </c>
      <c r="I427" s="3">
        <f>GBP!C427/1</f>
        <v>1.6234999999999999</v>
      </c>
      <c r="J427" s="4">
        <f>1/INR!B427</f>
        <v>2.2062879205736349E-2</v>
      </c>
      <c r="K427" s="4">
        <f>1/INR!C427</f>
        <v>2.1929824561403508E-2</v>
      </c>
      <c r="L427" s="4">
        <f>1/JPY!B427</f>
        <v>1.2173299085785239E-2</v>
      </c>
      <c r="M427" s="4">
        <f>1/JPY!C427</f>
        <v>1.2175388912360332E-2</v>
      </c>
      <c r="N427" s="5">
        <f>1/KRW!B427</f>
        <v>8.8766588256180374E-4</v>
      </c>
      <c r="O427" s="5">
        <f>1/KRW!C427</f>
        <v>8.8764894194465237E-4</v>
      </c>
      <c r="P427" s="3">
        <f>1/NOK!B427</f>
        <v>0.17789479301940833</v>
      </c>
      <c r="Q427" s="3">
        <f>1/NOK!C427</f>
        <v>0.17763566924238386</v>
      </c>
      <c r="R427" s="3">
        <f>NZD!B427/1</f>
        <v>0.74860000000000004</v>
      </c>
      <c r="S427" s="3">
        <f>NZD!C427/1</f>
        <v>0.74680000000000002</v>
      </c>
      <c r="T427" s="4">
        <f>1/PHP!B427</f>
        <v>2.2883295194508008E-2</v>
      </c>
      <c r="U427" s="4">
        <f>1/PHP!C427</f>
        <v>2.2857142857142857E-2</v>
      </c>
      <c r="V427" s="4">
        <f>1/TWD!B427</f>
        <v>3.3670033670033669E-2</v>
      </c>
      <c r="W427" s="4">
        <f>1/TWD!C427</f>
        <v>3.3670260405793975E-2</v>
      </c>
      <c r="X427" s="4">
        <f>1/TWD!B427</f>
        <v>3.3670033670033669E-2</v>
      </c>
      <c r="Y427" s="4">
        <f>1/TWD!C427</f>
        <v>3.3670260405793975E-2</v>
      </c>
      <c r="Z427" s="4">
        <f>1/ZAR!B427</f>
        <v>0.14057184627062891</v>
      </c>
      <c r="AA427" s="4">
        <f>1/ZAR!C427</f>
        <v>0.13998544151408254</v>
      </c>
    </row>
    <row r="428" spans="1:27" x14ac:dyDescent="0.25">
      <c r="A428" t="str">
        <f>"25/02/2011"</f>
        <v>25/02/2011</v>
      </c>
      <c r="B428" s="3">
        <f>AUD!B428</f>
        <v>1.0129999999999999</v>
      </c>
      <c r="C428" s="3">
        <f>AUD!C428</f>
        <v>1.0092000000000001</v>
      </c>
      <c r="D428" s="3">
        <f>1/CAD!B428</f>
        <v>1.0186411327289395</v>
      </c>
      <c r="E428" s="3">
        <f>1/CAD!C428</f>
        <v>1.0180189351521938</v>
      </c>
      <c r="F428" s="3">
        <f>EUR!B428/1</f>
        <v>1.3825000000000001</v>
      </c>
      <c r="G428" s="3">
        <f>EUR!C428/1</f>
        <v>1.3819999999999999</v>
      </c>
      <c r="H428" s="3">
        <f>GBP!B428/1</f>
        <v>1.6145</v>
      </c>
      <c r="I428" s="3">
        <f>GBP!C428/1</f>
        <v>1.6141000000000001</v>
      </c>
      <c r="J428" s="4">
        <f>1/INR!B428</f>
        <v>2.2028857803722875E-2</v>
      </c>
      <c r="K428" s="4">
        <f>1/INR!C428</f>
        <v>2.1879444262115744E-2</v>
      </c>
      <c r="L428" s="4">
        <f>1/JPY!B428</f>
        <v>1.221180148495506E-2</v>
      </c>
      <c r="M428" s="4">
        <f>1/JPY!C428</f>
        <v>1.221412832651785E-2</v>
      </c>
      <c r="N428" s="5">
        <f>1/KRW!B428</f>
        <v>8.8715400993612486E-4</v>
      </c>
      <c r="O428" s="5">
        <f>1/KRW!C428</f>
        <v>8.8713630183925526E-4</v>
      </c>
      <c r="P428" s="3">
        <f>1/NOK!B428</f>
        <v>0.17823088028231773</v>
      </c>
      <c r="Q428" s="3">
        <f>1/NOK!C428</f>
        <v>0.17793910923681916</v>
      </c>
      <c r="R428" s="3">
        <f>NZD!B428/1</f>
        <v>0.75070000000000003</v>
      </c>
      <c r="S428" s="3">
        <f>NZD!C428/1</f>
        <v>0.749</v>
      </c>
      <c r="T428" s="4">
        <f>1/PHP!B428</f>
        <v>2.2831050228310504E-2</v>
      </c>
      <c r="U428" s="4">
        <f>1/PHP!C428</f>
        <v>2.2792022792022793E-2</v>
      </c>
      <c r="V428" s="4">
        <f>1/TWD!B428</f>
        <v>3.3613445378151259E-2</v>
      </c>
      <c r="W428" s="4">
        <f>1/TWD!C428</f>
        <v>3.3613671352412451E-2</v>
      </c>
      <c r="X428" s="4">
        <f>1/TWD!B428</f>
        <v>3.3613445378151259E-2</v>
      </c>
      <c r="Y428" s="4">
        <f>1/TWD!C428</f>
        <v>3.3613671352412451E-2</v>
      </c>
      <c r="Z428" s="4">
        <f>1/ZAR!B428</f>
        <v>0.14164305949008499</v>
      </c>
      <c r="AA428" s="4">
        <f>1/ZAR!C428</f>
        <v>0.14098804421385067</v>
      </c>
    </row>
    <row r="429" spans="1:27" x14ac:dyDescent="0.25">
      <c r="A429" t="str">
        <f>"28/02/2011"</f>
        <v>28/02/2011</v>
      </c>
      <c r="B429" s="3">
        <f>AUD!B429</f>
        <v>1.0159</v>
      </c>
      <c r="C429" s="3">
        <f>AUD!C429</f>
        <v>1.0117</v>
      </c>
      <c r="D429" s="3">
        <f>1/CAD!B429</f>
        <v>1.0223903486351089</v>
      </c>
      <c r="E429" s="3">
        <f>1/CAD!C429</f>
        <v>1.021763563911311</v>
      </c>
      <c r="F429" s="3">
        <f>EUR!B429/1</f>
        <v>1.3756999999999999</v>
      </c>
      <c r="G429" s="3">
        <f>EUR!C429/1</f>
        <v>1.3752</v>
      </c>
      <c r="H429" s="3">
        <f>GBP!B429/1</f>
        <v>1.6101000000000001</v>
      </c>
      <c r="I429" s="3">
        <f>GBP!C429/1</f>
        <v>1.6096999999999999</v>
      </c>
      <c r="J429" s="4">
        <f>1/INR!B429</f>
        <v>2.2076273525028976E-2</v>
      </c>
      <c r="K429" s="4">
        <f>1/INR!C429</f>
        <v>2.1934634788330774E-2</v>
      </c>
      <c r="L429" s="4">
        <f>1/JPY!B429</f>
        <v>1.2243198903009379E-2</v>
      </c>
      <c r="M429" s="4">
        <f>1/JPY!C429</f>
        <v>1.2245477745068746E-2</v>
      </c>
      <c r="N429" s="5">
        <f>1/KRW!B429</f>
        <v>8.8742956027865292E-4</v>
      </c>
      <c r="O429" s="5">
        <f>1/KRW!C429</f>
        <v>8.8739294158780326E-4</v>
      </c>
      <c r="P429" s="3">
        <f>1/NOK!B429</f>
        <v>0.17718872370962313</v>
      </c>
      <c r="Q429" s="3">
        <f>1/NOK!C429</f>
        <v>0.17690348146051516</v>
      </c>
      <c r="R429" s="3">
        <f>NZD!B429/1</f>
        <v>0.75160000000000005</v>
      </c>
      <c r="S429" s="3">
        <f>NZD!C429/1</f>
        <v>0.74980000000000002</v>
      </c>
      <c r="T429" s="4">
        <f>1/PHP!B429</f>
        <v>2.2872827081427266E-2</v>
      </c>
      <c r="U429" s="4">
        <f>1/PHP!C429</f>
        <v>2.2833656810138141E-2</v>
      </c>
      <c r="V429" s="4">
        <f>1/TWD!B429</f>
        <v>3.3596505963379805E-2</v>
      </c>
      <c r="W429" s="4">
        <f>1/TWD!C429</f>
        <v>3.3596618836280318E-2</v>
      </c>
      <c r="X429" s="4">
        <f>1/TWD!B429</f>
        <v>3.3596505963379805E-2</v>
      </c>
      <c r="Y429" s="4">
        <f>1/TWD!C429</f>
        <v>3.3596618836280318E-2</v>
      </c>
      <c r="Z429" s="4">
        <f>1/ZAR!B429</f>
        <v>0.1423183661851562</v>
      </c>
      <c r="AA429" s="4">
        <f>1/ZAR!C429</f>
        <v>0.14166513196107042</v>
      </c>
    </row>
    <row r="430" spans="1:27" x14ac:dyDescent="0.25">
      <c r="A430" t="str">
        <f>"01/03/2011"</f>
        <v>01/03/2011</v>
      </c>
      <c r="B430" s="3">
        <f>AUD!B430</f>
        <v>1.0167999999999999</v>
      </c>
      <c r="C430" s="3">
        <f>AUD!C430</f>
        <v>1.0127999999999999</v>
      </c>
      <c r="D430" s="3">
        <f>1/CAD!B430</f>
        <v>1.0294420424130122</v>
      </c>
      <c r="E430" s="3">
        <f>1/CAD!C430</f>
        <v>1.0288065843621399</v>
      </c>
      <c r="F430" s="3">
        <f>EUR!B430/1</f>
        <v>1.381</v>
      </c>
      <c r="G430" s="3">
        <f>EUR!C430/1</f>
        <v>1.3805000000000001</v>
      </c>
      <c r="H430" s="3">
        <f>GBP!B430/1</f>
        <v>1.627</v>
      </c>
      <c r="I430" s="3">
        <f>GBP!C430/1</f>
        <v>1.6266</v>
      </c>
      <c r="J430" s="4">
        <f>1/INR!B430</f>
        <v>2.2153300841825433E-2</v>
      </c>
      <c r="K430" s="4">
        <f>1/INR!C430</f>
        <v>2.2016732716864815E-2</v>
      </c>
      <c r="L430" s="4">
        <f>1/JPY!B430</f>
        <v>1.2181009805712894E-2</v>
      </c>
      <c r="M430" s="4">
        <f>1/JPY!C430</f>
        <v>1.2183042909895433E-2</v>
      </c>
      <c r="N430" s="5">
        <f>1/KRW!B430</f>
        <v>8.8873089228581577E-4</v>
      </c>
      <c r="O430" s="5">
        <f>1/KRW!C430</f>
        <v>8.8869456101154764E-4</v>
      </c>
      <c r="P430" s="3">
        <f>1/NOK!B430</f>
        <v>0.17860332202178961</v>
      </c>
      <c r="Q430" s="3">
        <f>1/NOK!C430</f>
        <v>0.17830079343853078</v>
      </c>
      <c r="R430" s="3">
        <f>NZD!B430/1</f>
        <v>0.75219999999999998</v>
      </c>
      <c r="S430" s="3">
        <f>NZD!C430/1</f>
        <v>0.75039999999999996</v>
      </c>
      <c r="T430" s="4">
        <f>1/PHP!B430</f>
        <v>2.2988505747126436E-2</v>
      </c>
      <c r="U430" s="4">
        <f>1/PHP!C430</f>
        <v>2.2962112514351322E-2</v>
      </c>
      <c r="V430" s="4">
        <f>1/TWD!B430</f>
        <v>3.3780360098638648E-2</v>
      </c>
      <c r="W430" s="4">
        <f>1/TWD!C430</f>
        <v>3.3780588322726228E-2</v>
      </c>
      <c r="X430" s="4">
        <f>1/TWD!B430</f>
        <v>3.3780360098638648E-2</v>
      </c>
      <c r="Y430" s="4">
        <f>1/TWD!C430</f>
        <v>3.3780588322726228E-2</v>
      </c>
      <c r="Z430" s="4">
        <f>1/ZAR!B430</f>
        <v>0.14352350197344815</v>
      </c>
      <c r="AA430" s="4">
        <f>1/ZAR!C430</f>
        <v>0.14282041760690109</v>
      </c>
    </row>
    <row r="431" spans="1:27" x14ac:dyDescent="0.25">
      <c r="A431" t="str">
        <f>"03/03/2011"</f>
        <v>03/03/2011</v>
      </c>
      <c r="B431" s="3">
        <f>AUD!B431</f>
        <v>1.0156000000000001</v>
      </c>
      <c r="C431" s="3">
        <f>AUD!C431</f>
        <v>1.0117</v>
      </c>
      <c r="D431" s="3">
        <f>1/CAD!B431</f>
        <v>1.0273268954181221</v>
      </c>
      <c r="E431" s="3">
        <f>1/CAD!C431</f>
        <v>1.0266940451745381</v>
      </c>
      <c r="F431" s="3">
        <f>EUR!B431/1</f>
        <v>1.3858999999999999</v>
      </c>
      <c r="G431" s="3">
        <f>EUR!C431/1</f>
        <v>1.3853</v>
      </c>
      <c r="H431" s="3">
        <f>GBP!B431/1</f>
        <v>1.6327</v>
      </c>
      <c r="I431" s="3">
        <f>GBP!C431/1</f>
        <v>1.6322000000000001</v>
      </c>
      <c r="J431" s="4">
        <f>1/INR!B431</f>
        <v>2.220741727737064E-2</v>
      </c>
      <c r="K431" s="4">
        <f>1/INR!C431</f>
        <v>2.2078710603300768E-2</v>
      </c>
      <c r="L431" s="4">
        <f>1/JPY!B431</f>
        <v>1.2219262445318801E-2</v>
      </c>
      <c r="M431" s="4">
        <f>1/JPY!C431</f>
        <v>1.2221368084386104E-2</v>
      </c>
      <c r="N431" s="5">
        <f>1/KRW!B431</f>
        <v>8.9078923926598974E-4</v>
      </c>
      <c r="O431" s="5">
        <f>1/KRW!C431</f>
        <v>8.9075194607031428E-4</v>
      </c>
      <c r="P431" s="3">
        <f>1/NOK!B431</f>
        <v>0.18016070334738588</v>
      </c>
      <c r="Q431" s="3">
        <f>1/NOK!C431</f>
        <v>0.17985934998830916</v>
      </c>
      <c r="R431" s="3">
        <f>NZD!B431/1</f>
        <v>0.74450000000000005</v>
      </c>
      <c r="S431" s="3">
        <f>NZD!C431/1</f>
        <v>0.74280000000000002</v>
      </c>
      <c r="T431" s="4">
        <f>1/PHP!B431</f>
        <v>2.3052097740894419E-2</v>
      </c>
      <c r="U431" s="4">
        <f>1/PHP!C431</f>
        <v>2.3017608470479917E-2</v>
      </c>
      <c r="V431" s="4">
        <f>1/TWD!B431</f>
        <v>3.3806626098715348E-2</v>
      </c>
      <c r="W431" s="4">
        <f>1/TWD!C431</f>
        <v>3.3806740387898541E-2</v>
      </c>
      <c r="X431" s="4">
        <f>1/TWD!B431</f>
        <v>3.3806626098715348E-2</v>
      </c>
      <c r="Y431" s="4">
        <f>1/TWD!C431</f>
        <v>3.3806740387898541E-2</v>
      </c>
      <c r="Z431" s="4">
        <f>1/ZAR!B431</f>
        <v>0.14508523757707653</v>
      </c>
      <c r="AA431" s="4">
        <f>1/ZAR!C431</f>
        <v>0.1444189304334012</v>
      </c>
    </row>
    <row r="432" spans="1:27" x14ac:dyDescent="0.25">
      <c r="A432" t="str">
        <f>"04/03/2011"</f>
        <v>04/03/2011</v>
      </c>
      <c r="B432" s="3">
        <f>AUD!B432</f>
        <v>1.0134000000000001</v>
      </c>
      <c r="C432" s="3">
        <f>AUD!C432</f>
        <v>1.0096000000000001</v>
      </c>
      <c r="D432" s="3">
        <f>1/CAD!B432</f>
        <v>1.0277492291880781</v>
      </c>
      <c r="E432" s="3">
        <f>1/CAD!C432</f>
        <v>1.0271158586688578</v>
      </c>
      <c r="F432" s="3">
        <f>EUR!B432/1</f>
        <v>1.3956</v>
      </c>
      <c r="G432" s="3">
        <f>EUR!C432/1</f>
        <v>1.395</v>
      </c>
      <c r="H432" s="3">
        <f>GBP!B432/1</f>
        <v>1.6275999999999999</v>
      </c>
      <c r="I432" s="3">
        <f>GBP!C432/1</f>
        <v>1.6271</v>
      </c>
      <c r="J432" s="4">
        <f>1/INR!B432</f>
        <v>2.2227161591464768E-2</v>
      </c>
      <c r="K432" s="4">
        <f>1/INR!C432</f>
        <v>2.2099447513812154E-2</v>
      </c>
      <c r="L432" s="4">
        <f>1/JPY!B432</f>
        <v>1.2145060603852413E-2</v>
      </c>
      <c r="M432" s="4">
        <f>1/JPY!C432</f>
        <v>1.2147170255953025E-2</v>
      </c>
      <c r="N432" s="5">
        <f>1/KRW!B432</f>
        <v>8.961376467425396E-4</v>
      </c>
      <c r="O432" s="5">
        <f>1/KRW!C432</f>
        <v>8.9611877516693563E-4</v>
      </c>
      <c r="P432" s="3">
        <f>1/NOK!B432</f>
        <v>0.1795170990036801</v>
      </c>
      <c r="Q432" s="3">
        <f>1/NOK!C432</f>
        <v>0.17921789311444855</v>
      </c>
      <c r="R432" s="3">
        <f>NZD!B432/1</f>
        <v>0.73809999999999998</v>
      </c>
      <c r="S432" s="3">
        <f>NZD!C432/1</f>
        <v>0.73650000000000004</v>
      </c>
      <c r="T432" s="4">
        <f>1/PHP!B432</f>
        <v>2.3089355806972984E-2</v>
      </c>
      <c r="U432" s="4">
        <f>1/PHP!C432</f>
        <v>2.3062730627306273E-2</v>
      </c>
      <c r="V432" s="4">
        <f>1/TWD!B432</f>
        <v>3.4071550255536626E-2</v>
      </c>
      <c r="W432" s="4">
        <f>1/TWD!C432</f>
        <v>3.4071782431226112E-2</v>
      </c>
      <c r="X432" s="4">
        <f>1/TWD!B432</f>
        <v>3.4071550255536626E-2</v>
      </c>
      <c r="Y432" s="4">
        <f>1/TWD!C432</f>
        <v>3.4071782431226112E-2</v>
      </c>
      <c r="Z432" s="4">
        <f>1/ZAR!B432</f>
        <v>0.14443561782335523</v>
      </c>
      <c r="AA432" s="4">
        <f>1/ZAR!C432</f>
        <v>0.14377525052837403</v>
      </c>
    </row>
    <row r="433" spans="1:27" x14ac:dyDescent="0.25">
      <c r="A433" t="str">
        <f>"07/03/2011"</f>
        <v>07/03/2011</v>
      </c>
      <c r="B433" s="3">
        <f>AUD!B433</f>
        <v>1.0133000000000001</v>
      </c>
      <c r="C433" s="3">
        <f>AUD!C433</f>
        <v>1.0092000000000001</v>
      </c>
      <c r="D433" s="3">
        <f>1/CAD!B433</f>
        <v>1.0281719103434095</v>
      </c>
      <c r="E433" s="3">
        <f>1/CAD!C433</f>
        <v>1.0274324463166546</v>
      </c>
      <c r="F433" s="3">
        <f>EUR!B433/1</f>
        <v>1.3972</v>
      </c>
      <c r="G433" s="3">
        <f>EUR!C433/1</f>
        <v>1.3966000000000001</v>
      </c>
      <c r="H433" s="3">
        <f>GBP!B433/1</f>
        <v>1.6248</v>
      </c>
      <c r="I433" s="3">
        <f>GBP!C433/1</f>
        <v>1.6243000000000001</v>
      </c>
      <c r="J433" s="4">
        <f>1/INR!B433</f>
        <v>2.2158209616662972E-2</v>
      </c>
      <c r="K433" s="4">
        <f>1/INR!C433</f>
        <v>2.2016732716864815E-2</v>
      </c>
      <c r="L433" s="4">
        <f>1/JPY!B433</f>
        <v>1.215835035502383E-2</v>
      </c>
      <c r="M433" s="4">
        <f>1/JPY!C433</f>
        <v>1.2160671658217027E-2</v>
      </c>
      <c r="N433" s="5">
        <f>1/KRW!B433</f>
        <v>8.9389469920443372E-4</v>
      </c>
      <c r="O433" s="5">
        <f>1/KRW!C433</f>
        <v>8.9385634655883182E-4</v>
      </c>
      <c r="P433" s="3">
        <f>1/NOK!B433</f>
        <v>0.17956867604015156</v>
      </c>
      <c r="Q433" s="3">
        <f>1/NOK!C433</f>
        <v>0.17927251214571269</v>
      </c>
      <c r="R433" s="3">
        <f>NZD!B433/1</f>
        <v>0.73770000000000002</v>
      </c>
      <c r="S433" s="3">
        <f>NZD!C433/1</f>
        <v>0.73599999999999999</v>
      </c>
      <c r="T433" s="4">
        <f>1/PHP!B433</f>
        <v>2.3062730627306273E-2</v>
      </c>
      <c r="U433" s="4">
        <f>1/PHP!C433</f>
        <v>2.3038820412394884E-2</v>
      </c>
      <c r="V433" s="4">
        <f>1/TWD!B433</f>
        <v>3.4013605442176874E-2</v>
      </c>
      <c r="W433" s="4">
        <f>1/TWD!C433</f>
        <v>3.4013721135105902E-2</v>
      </c>
      <c r="X433" s="4">
        <f>1/TWD!B433</f>
        <v>3.4013605442176874E-2</v>
      </c>
      <c r="Y433" s="4">
        <f>1/TWD!C433</f>
        <v>3.4013721135105902E-2</v>
      </c>
      <c r="Z433" s="4">
        <f>1/ZAR!B433</f>
        <v>0.14538053354655811</v>
      </c>
      <c r="AA433" s="4">
        <f>1/ZAR!C433</f>
        <v>0.14470942347765686</v>
      </c>
    </row>
    <row r="434" spans="1:27" x14ac:dyDescent="0.25">
      <c r="A434" t="str">
        <f>"08/03/2011"</f>
        <v>08/03/2011</v>
      </c>
      <c r="B434" s="3">
        <f>AUD!B434</f>
        <v>1.0122</v>
      </c>
      <c r="C434" s="3">
        <f>AUD!C434</f>
        <v>1.0082</v>
      </c>
      <c r="D434" s="3">
        <f>1/CAD!B434</f>
        <v>1.0275380189066996</v>
      </c>
      <c r="E434" s="3">
        <f>1/CAD!C434</f>
        <v>1.0267994660642776</v>
      </c>
      <c r="F434" s="3">
        <f>EUR!B434/1</f>
        <v>1.3987000000000001</v>
      </c>
      <c r="G434" s="3">
        <f>EUR!C434/1</f>
        <v>1.3980999999999999</v>
      </c>
      <c r="H434" s="3">
        <f>GBP!B434/1</f>
        <v>1.6206</v>
      </c>
      <c r="I434" s="3">
        <f>GBP!C434/1</f>
        <v>1.6201000000000001</v>
      </c>
      <c r="J434" s="4">
        <f>1/INR!B434</f>
        <v>2.2203719122953092E-2</v>
      </c>
      <c r="K434" s="4">
        <f>1/INR!C434</f>
        <v>2.2065313327449251E-2</v>
      </c>
      <c r="L434" s="4">
        <f>1/JPY!B434</f>
        <v>1.2158498182304522E-2</v>
      </c>
      <c r="M434" s="4">
        <f>1/JPY!C434</f>
        <v>1.2160582929703317E-2</v>
      </c>
      <c r="N434" s="5">
        <f>1/KRW!B434</f>
        <v>8.9557585527494181E-4</v>
      </c>
      <c r="O434" s="5">
        <f>1/KRW!C434</f>
        <v>8.9555660634197364E-4</v>
      </c>
      <c r="P434" s="3">
        <f>1/NOK!B434</f>
        <v>0.18004068919575825</v>
      </c>
      <c r="Q434" s="3">
        <f>1/NOK!C434</f>
        <v>0.17972681524083392</v>
      </c>
      <c r="R434" s="3">
        <f>NZD!B434/1</f>
        <v>0.7389</v>
      </c>
      <c r="S434" s="3">
        <f>NZD!C434/1</f>
        <v>0.73729999999999996</v>
      </c>
      <c r="T434" s="4">
        <f>1/PHP!B434</f>
        <v>2.3073373327180433E-2</v>
      </c>
      <c r="U434" s="4">
        <f>1/PHP!C434</f>
        <v>2.3049441051054512E-2</v>
      </c>
      <c r="V434" s="4">
        <f>1/TWD!B434</f>
        <v>3.4072711165627448E-2</v>
      </c>
      <c r="W434" s="4">
        <f>1/TWD!C434</f>
        <v>3.4072827260987634E-2</v>
      </c>
      <c r="X434" s="4">
        <f>1/TWD!B434</f>
        <v>3.4072711165627448E-2</v>
      </c>
      <c r="Y434" s="4">
        <f>1/TWD!C434</f>
        <v>3.4072827260987634E-2</v>
      </c>
      <c r="Z434" s="4">
        <f>1/ZAR!B434</f>
        <v>0.14524328249818447</v>
      </c>
      <c r="AA434" s="4">
        <f>1/ZAR!C434</f>
        <v>0.14453164520371736</v>
      </c>
    </row>
    <row r="435" spans="1:27" x14ac:dyDescent="0.25">
      <c r="A435" t="str">
        <f>"09/03/2011"</f>
        <v>09/03/2011</v>
      </c>
      <c r="B435" s="3">
        <f>AUD!B435</f>
        <v>1.0072000000000001</v>
      </c>
      <c r="C435" s="3">
        <f>AUD!C435</f>
        <v>1.0033000000000001</v>
      </c>
      <c r="D435" s="3">
        <f>1/CAD!B435</f>
        <v>1.0296540362438222</v>
      </c>
      <c r="E435" s="3">
        <f>1/CAD!C435</f>
        <v>1.0289124395513942</v>
      </c>
      <c r="F435" s="3">
        <f>EUR!B435/1</f>
        <v>1.389</v>
      </c>
      <c r="G435" s="3">
        <f>EUR!C435/1</f>
        <v>1.3885000000000001</v>
      </c>
      <c r="H435" s="3">
        <f>GBP!B435/1</f>
        <v>1.615</v>
      </c>
      <c r="I435" s="3">
        <f>GBP!C435/1</f>
        <v>1.6145</v>
      </c>
      <c r="J435" s="4">
        <f>1/INR!B435</f>
        <v>2.2206184422361629E-2</v>
      </c>
      <c r="K435" s="4">
        <f>1/INR!C435</f>
        <v>2.2073836984713865E-2</v>
      </c>
      <c r="L435" s="4">
        <f>1/JPY!B435</f>
        <v>1.207073450419458E-2</v>
      </c>
      <c r="M435" s="4">
        <f>1/JPY!C435</f>
        <v>1.2072745535498702E-2</v>
      </c>
      <c r="N435" s="5">
        <f>1/KRW!B435</f>
        <v>8.9557585527494181E-4</v>
      </c>
      <c r="O435" s="5">
        <f>1/KRW!C435</f>
        <v>8.9555780937604248E-4</v>
      </c>
      <c r="P435" s="3">
        <f>1/NOK!B435</f>
        <v>0.1789260856340246</v>
      </c>
      <c r="Q435" s="3">
        <f>1/NOK!C435</f>
        <v>0.17862246356101744</v>
      </c>
      <c r="R435" s="3">
        <f>NZD!B435/1</f>
        <v>0.73909999999999998</v>
      </c>
      <c r="S435" s="3">
        <f>NZD!C435/1</f>
        <v>0.73740000000000006</v>
      </c>
      <c r="T435" s="4">
        <f>1/PHP!B435</f>
        <v>2.3030861354214647E-2</v>
      </c>
      <c r="U435" s="4">
        <f>1/PHP!C435</f>
        <v>2.3001725129384702E-2</v>
      </c>
      <c r="V435" s="4">
        <f>1/TWD!B435</f>
        <v>3.4071550255536626E-2</v>
      </c>
      <c r="W435" s="4">
        <f>1/TWD!C435</f>
        <v>3.4071666342985835E-2</v>
      </c>
      <c r="X435" s="4">
        <f>1/TWD!B435</f>
        <v>3.4071550255536626E-2</v>
      </c>
      <c r="Y435" s="4">
        <f>1/TWD!C435</f>
        <v>3.4071666342985835E-2</v>
      </c>
      <c r="Z435" s="4">
        <f>1/ZAR!B435</f>
        <v>0.14499057561258519</v>
      </c>
      <c r="AA435" s="4">
        <f>1/ZAR!C435</f>
        <v>0.14430222658335617</v>
      </c>
    </row>
    <row r="436" spans="1:27" x14ac:dyDescent="0.25">
      <c r="A436" t="str">
        <f>"10/03/2011"</f>
        <v>10/03/2011</v>
      </c>
      <c r="B436" s="3">
        <f>AUD!B436</f>
        <v>1.0045999999999999</v>
      </c>
      <c r="C436" s="3">
        <f>AUD!C436</f>
        <v>1.0006999999999999</v>
      </c>
      <c r="D436" s="3">
        <f>1/CAD!B436</f>
        <v>1.0305028854080791</v>
      </c>
      <c r="E436" s="3">
        <f>1/CAD!C436</f>
        <v>1.0297600659046442</v>
      </c>
      <c r="F436" s="3">
        <f>EUR!B436/1</f>
        <v>1.3868</v>
      </c>
      <c r="G436" s="3">
        <f>EUR!C436/1</f>
        <v>1.3863000000000001</v>
      </c>
      <c r="H436" s="3">
        <f>GBP!B436/1</f>
        <v>1.6182000000000001</v>
      </c>
      <c r="I436" s="3">
        <f>GBP!C436/1</f>
        <v>1.6175999999999999</v>
      </c>
      <c r="J436" s="4">
        <f>1/INR!B436</f>
        <v>2.2168033695411218E-2</v>
      </c>
      <c r="K436" s="4">
        <f>1/INR!C436</f>
        <v>2.2026431718061675E-2</v>
      </c>
      <c r="L436" s="4">
        <f>1/JPY!B436</f>
        <v>1.207437816952427E-2</v>
      </c>
      <c r="M436" s="4">
        <f>1/JPY!C436</f>
        <v>1.2076375831307523E-2</v>
      </c>
      <c r="N436" s="5">
        <f>1/KRW!B436</f>
        <v>8.9198109000089207E-4</v>
      </c>
      <c r="O436" s="5">
        <f>1/KRW!C436</f>
        <v>8.9194449251034217E-4</v>
      </c>
      <c r="P436" s="3">
        <f>1/NOK!B436</f>
        <v>0.17900295354873355</v>
      </c>
      <c r="Q436" s="3">
        <f>1/NOK!C436</f>
        <v>0.178711845021088</v>
      </c>
      <c r="R436" s="3">
        <f>NZD!B436/1</f>
        <v>0.73540000000000005</v>
      </c>
      <c r="S436" s="3">
        <f>NZD!C436/1</f>
        <v>0.73380000000000001</v>
      </c>
      <c r="T436" s="4">
        <f>1/PHP!B436</f>
        <v>2.2993791676247412E-2</v>
      </c>
      <c r="U436" s="4">
        <f>1/PHP!C436</f>
        <v>2.2962112514351322E-2</v>
      </c>
      <c r="V436" s="4">
        <f>1/TWD!B436</f>
        <v>3.394663588838346E-2</v>
      </c>
      <c r="W436" s="4">
        <f>1/TWD!C436</f>
        <v>3.3946866364765869E-2</v>
      </c>
      <c r="X436" s="4">
        <f>1/TWD!B436</f>
        <v>3.394663588838346E-2</v>
      </c>
      <c r="Y436" s="4">
        <f>1/TWD!C436</f>
        <v>3.3946866364765869E-2</v>
      </c>
      <c r="Z436" s="4">
        <f>1/ZAR!B436</f>
        <v>0.14506839975048236</v>
      </c>
      <c r="AA436" s="4">
        <f>1/ZAR!C436</f>
        <v>0.14440224689896175</v>
      </c>
    </row>
    <row r="437" spans="1:27" x14ac:dyDescent="0.25">
      <c r="A437" t="str">
        <f>"11/03/2011"</f>
        <v>11/03/2011</v>
      </c>
      <c r="B437" s="3">
        <f>AUD!B437</f>
        <v>1.0038</v>
      </c>
      <c r="C437" s="3">
        <f>AUD!C437</f>
        <v>0.99990000000000001</v>
      </c>
      <c r="D437" s="3">
        <f>1/CAD!B437</f>
        <v>1.0264832683227263</v>
      </c>
      <c r="E437" s="3">
        <f>1/CAD!C437</f>
        <v>1.0257462303826033</v>
      </c>
      <c r="F437" s="3">
        <f>EUR!B437/1</f>
        <v>1.3826000000000001</v>
      </c>
      <c r="G437" s="3">
        <f>EUR!C437/1</f>
        <v>1.3822000000000001</v>
      </c>
      <c r="H437" s="3">
        <f>GBP!B437/1</f>
        <v>1.6073</v>
      </c>
      <c r="I437" s="3">
        <f>GBP!C437/1</f>
        <v>1.6068</v>
      </c>
      <c r="J437" s="4">
        <f>1/INR!B437</f>
        <v>2.2111663902708679E-2</v>
      </c>
      <c r="K437" s="4">
        <f>1/INR!C437</f>
        <v>2.196836555360281E-2</v>
      </c>
      <c r="L437" s="4">
        <f>1/JPY!B437</f>
        <v>1.2074523961892802E-2</v>
      </c>
      <c r="M437" s="4">
        <f>1/JPY!C437</f>
        <v>1.2076609177981444E-2</v>
      </c>
      <c r="N437" s="5">
        <f>1/KRW!B437</f>
        <v>8.8888888888888893E-4</v>
      </c>
      <c r="O437" s="5">
        <f>1/KRW!C437</f>
        <v>8.8887190155921461E-4</v>
      </c>
      <c r="P437" s="3">
        <f>1/NOK!B437</f>
        <v>0.17721698447579215</v>
      </c>
      <c r="Q437" s="3">
        <f>1/NOK!C437</f>
        <v>0.17692852087756547</v>
      </c>
      <c r="R437" s="3">
        <f>NZD!B437/1</f>
        <v>0.7359</v>
      </c>
      <c r="S437" s="3">
        <f>NZD!C437/1</f>
        <v>0.73429999999999995</v>
      </c>
      <c r="T437" s="4">
        <f>1/PHP!B437</f>
        <v>2.2977941176470586E-2</v>
      </c>
      <c r="U437" s="4">
        <f>1/PHP!C437</f>
        <v>2.2941041523285157E-2</v>
      </c>
      <c r="V437" s="4">
        <f>1/TWD!B437</f>
        <v>3.3818058843422386E-2</v>
      </c>
      <c r="W437" s="4">
        <f>1/TWD!C437</f>
        <v>3.3818173209919547E-2</v>
      </c>
      <c r="X437" s="4">
        <f>1/TWD!B437</f>
        <v>3.3818058843422386E-2</v>
      </c>
      <c r="Y437" s="4">
        <f>1/TWD!C437</f>
        <v>3.3818173209919547E-2</v>
      </c>
      <c r="Z437" s="4">
        <f>1/ZAR!B437</f>
        <v>0.14455044810638912</v>
      </c>
      <c r="AA437" s="4">
        <f>1/ZAR!C437</f>
        <v>0.14388489208633093</v>
      </c>
    </row>
    <row r="438" spans="1:27" x14ac:dyDescent="0.25">
      <c r="A438" t="str">
        <f>"14/03/2011"</f>
        <v>14/03/2011</v>
      </c>
      <c r="B438" s="3">
        <f>AUD!B438</f>
        <v>1.0065</v>
      </c>
      <c r="C438" s="3">
        <f>AUD!C438</f>
        <v>1.0023</v>
      </c>
      <c r="D438" s="3">
        <f>1/CAD!B438</f>
        <v>1.0262725779967159</v>
      </c>
      <c r="E438" s="3">
        <f>1/CAD!C438</f>
        <v>1.0256410256410258</v>
      </c>
      <c r="F438" s="3">
        <f>EUR!B438/1</f>
        <v>1.3925000000000001</v>
      </c>
      <c r="G438" s="3">
        <f>EUR!C438/1</f>
        <v>1.3919999999999999</v>
      </c>
      <c r="H438" s="3">
        <f>GBP!B438/1</f>
        <v>1.6052999999999999</v>
      </c>
      <c r="I438" s="3">
        <f>GBP!C438/1</f>
        <v>1.6048</v>
      </c>
      <c r="J438" s="4">
        <f>1/INR!B438</f>
        <v>2.211900022119E-2</v>
      </c>
      <c r="K438" s="4">
        <f>1/INR!C438</f>
        <v>2.1958717610891524E-2</v>
      </c>
      <c r="L438" s="4">
        <f>1/JPY!B438</f>
        <v>1.2181306566942369E-2</v>
      </c>
      <c r="M438" s="4">
        <f>1/JPY!C438</f>
        <v>1.218427497471763E-2</v>
      </c>
      <c r="N438" s="5">
        <f>1/KRW!B438</f>
        <v>8.8167871627578911E-4</v>
      </c>
      <c r="O438" s="5">
        <f>1/KRW!C438</f>
        <v>8.8166122608218395E-4</v>
      </c>
      <c r="P438" s="3">
        <f>1/NOK!B438</f>
        <v>0.17855229796807484</v>
      </c>
      <c r="Q438" s="3">
        <f>1/NOK!C438</f>
        <v>0.17826265219173931</v>
      </c>
      <c r="R438" s="3">
        <f>NZD!B438/1</f>
        <v>0.73829999999999996</v>
      </c>
      <c r="S438" s="3">
        <f>NZD!C438/1</f>
        <v>0.73670000000000002</v>
      </c>
      <c r="T438" s="4">
        <f>1/PHP!B438</f>
        <v>2.2878059940517045E-2</v>
      </c>
      <c r="U438" s="4">
        <f>1/PHP!C438</f>
        <v>2.2836263987211693E-2</v>
      </c>
      <c r="V438" s="4">
        <f>1/TWD!B438</f>
        <v>3.3806626098715348E-2</v>
      </c>
      <c r="W438" s="4">
        <f>1/TWD!C438</f>
        <v>3.3806854677854485E-2</v>
      </c>
      <c r="X438" s="4">
        <f>1/TWD!B438</f>
        <v>3.3806626098715348E-2</v>
      </c>
      <c r="Y438" s="4">
        <f>1/TWD!C438</f>
        <v>3.3806854677854485E-2</v>
      </c>
      <c r="Z438" s="4">
        <f>1/ZAR!B438</f>
        <v>0.14427099864385262</v>
      </c>
      <c r="AA438" s="4">
        <f>1/ZAR!C438</f>
        <v>0.14360800758250281</v>
      </c>
    </row>
    <row r="439" spans="1:27" x14ac:dyDescent="0.25">
      <c r="A439" t="str">
        <f>"15/03/2011"</f>
        <v>15/03/2011</v>
      </c>
      <c r="B439" s="3">
        <f>AUD!B439</f>
        <v>0.99299999999999999</v>
      </c>
      <c r="C439" s="3">
        <f>AUD!C439</f>
        <v>0.98899999999999999</v>
      </c>
      <c r="D439" s="3">
        <f>1/CAD!B439</f>
        <v>1.0163634515702815</v>
      </c>
      <c r="E439" s="3">
        <f>1/CAD!C439</f>
        <v>1.015744032503809</v>
      </c>
      <c r="F439" s="3">
        <f>EUR!B439/1</f>
        <v>1.3905000000000001</v>
      </c>
      <c r="G439" s="3">
        <f>EUR!C439/1</f>
        <v>1.39</v>
      </c>
      <c r="H439" s="3">
        <f>GBP!B439/1</f>
        <v>1.6108</v>
      </c>
      <c r="I439" s="3">
        <f>GBP!C439/1</f>
        <v>1.6103000000000001</v>
      </c>
      <c r="J439" s="4">
        <f>1/INR!B439</f>
        <v>2.2055580061755623E-2</v>
      </c>
      <c r="K439" s="4">
        <f>1/INR!C439</f>
        <v>2.1901007446342532E-2</v>
      </c>
      <c r="L439" s="4">
        <f>1/JPY!B439</f>
        <v>1.2260461238551793E-2</v>
      </c>
      <c r="M439" s="4">
        <f>1/JPY!C439</f>
        <v>1.2261814258037618E-2</v>
      </c>
      <c r="N439" s="5">
        <f>1/KRW!B439</f>
        <v>8.7973959707926454E-4</v>
      </c>
      <c r="O439" s="5">
        <f>1/KRW!C439</f>
        <v>8.7970515801923826E-4</v>
      </c>
      <c r="P439" s="3">
        <f>1/NOK!B439</f>
        <v>0.1768502962242462</v>
      </c>
      <c r="Q439" s="3">
        <f>1/NOK!C439</f>
        <v>0.1765474382966703</v>
      </c>
      <c r="R439" s="3">
        <f>NZD!B439/1</f>
        <v>0.72970000000000002</v>
      </c>
      <c r="S439" s="3">
        <f>NZD!C439/1</f>
        <v>0.72819999999999996</v>
      </c>
      <c r="T439" s="4">
        <f>1/PHP!B439</f>
        <v>2.2799817601459188E-2</v>
      </c>
      <c r="U439" s="4">
        <f>1/PHP!C439</f>
        <v>2.2760896779333104E-2</v>
      </c>
      <c r="V439" s="4">
        <f>1/TWD!B439</f>
        <v>3.3768952824772908E-2</v>
      </c>
      <c r="W439" s="4">
        <f>1/TWD!C439</f>
        <v>3.3769180894748216E-2</v>
      </c>
      <c r="X439" s="4">
        <f>1/TWD!B439</f>
        <v>3.3768952824772908E-2</v>
      </c>
      <c r="Y439" s="4">
        <f>1/TWD!C439</f>
        <v>3.3769180894748216E-2</v>
      </c>
      <c r="Z439" s="4">
        <f>1/ZAR!B439</f>
        <v>0.14498216719343521</v>
      </c>
      <c r="AA439" s="4">
        <f>1/ZAR!C439</f>
        <v>0.14427308008598674</v>
      </c>
    </row>
    <row r="440" spans="1:27" x14ac:dyDescent="0.25">
      <c r="A440" t="str">
        <f>"16/03/2011"</f>
        <v>16/03/2011</v>
      </c>
      <c r="B440" s="3">
        <f>AUD!B440</f>
        <v>0.99099999999999999</v>
      </c>
      <c r="C440" s="3">
        <f>AUD!C440</f>
        <v>0.98729999999999996</v>
      </c>
      <c r="D440" s="3">
        <f>1/CAD!B440</f>
        <v>1.0146103896103895</v>
      </c>
      <c r="E440" s="3">
        <f>1/CAD!C440</f>
        <v>1.0139931048468871</v>
      </c>
      <c r="F440" s="3">
        <f>EUR!B440/1</f>
        <v>1.3969</v>
      </c>
      <c r="G440" s="3">
        <f>EUR!C440/1</f>
        <v>1.3964000000000001</v>
      </c>
      <c r="H440" s="3">
        <f>GBP!B440/1</f>
        <v>1.6066</v>
      </c>
      <c r="I440" s="3">
        <f>GBP!C440/1</f>
        <v>1.6061000000000001</v>
      </c>
      <c r="J440" s="4">
        <f>1/INR!B440</f>
        <v>2.2106775726760251E-2</v>
      </c>
      <c r="K440" s="4">
        <f>1/INR!C440</f>
        <v>2.1950282609888603E-2</v>
      </c>
      <c r="L440" s="4">
        <f>1/JPY!B440</f>
        <v>1.2365677824629957E-2</v>
      </c>
      <c r="M440" s="4">
        <f>1/JPY!C440</f>
        <v>1.2366748287205362E-2</v>
      </c>
      <c r="N440" s="5">
        <f>1/KRW!B440</f>
        <v>8.8222320247022495E-4</v>
      </c>
      <c r="O440" s="5">
        <f>1/KRW!C440</f>
        <v>8.8220646895537482E-4</v>
      </c>
      <c r="P440" s="3">
        <f>1/NOK!B440</f>
        <v>0.17628911414720139</v>
      </c>
      <c r="Q440" s="3">
        <f>1/NOK!C440</f>
        <v>0.17600056320180224</v>
      </c>
      <c r="R440" s="3">
        <f>NZD!B440/1</f>
        <v>0.73250000000000004</v>
      </c>
      <c r="S440" s="3">
        <f>NZD!C440/1</f>
        <v>0.73099999999999998</v>
      </c>
      <c r="T440" s="4">
        <f>1/PHP!B440</f>
        <v>2.2789425706472195E-2</v>
      </c>
      <c r="U440" s="4">
        <f>1/PHP!C440</f>
        <v>2.2747952684258416E-2</v>
      </c>
      <c r="V440" s="4">
        <f>1/TWD!B440</f>
        <v>3.3861573885954219E-2</v>
      </c>
      <c r="W440" s="4">
        <f>1/TWD!C440</f>
        <v>3.3861803208744469E-2</v>
      </c>
      <c r="X440" s="4">
        <f>1/TWD!B440</f>
        <v>3.3861573885954219E-2</v>
      </c>
      <c r="Y440" s="4">
        <f>1/TWD!C440</f>
        <v>3.3861803208744469E-2</v>
      </c>
      <c r="Z440" s="4">
        <f>1/ZAR!B440</f>
        <v>0.14342263782915496</v>
      </c>
      <c r="AA440" s="4">
        <f>1/ZAR!C440</f>
        <v>0.14274906142492114</v>
      </c>
    </row>
    <row r="441" spans="1:27" x14ac:dyDescent="0.25">
      <c r="A441" t="str">
        <f>"17/03/2011"</f>
        <v>17/03/2011</v>
      </c>
      <c r="B441" s="3">
        <f>AUD!B441</f>
        <v>0.98040000000000005</v>
      </c>
      <c r="C441" s="3">
        <f>AUD!C441</f>
        <v>0.97670000000000001</v>
      </c>
      <c r="D441" s="3">
        <f>1/CAD!B441</f>
        <v>1.008267795926598</v>
      </c>
      <c r="E441" s="3">
        <f>1/CAD!C441</f>
        <v>1.008267795926598</v>
      </c>
      <c r="F441" s="3">
        <f>EUR!B441/1</f>
        <v>1.3919999999999999</v>
      </c>
      <c r="G441" s="3">
        <f>EUR!C441/1</f>
        <v>1.3915</v>
      </c>
      <c r="H441" s="3">
        <f>GBP!B441/1</f>
        <v>1.6017999999999999</v>
      </c>
      <c r="I441" s="3">
        <f>GBP!C441/1</f>
        <v>1.6012999999999999</v>
      </c>
      <c r="J441" s="4">
        <f>1/INR!B441</f>
        <v>2.2089684117517119E-2</v>
      </c>
      <c r="K441" s="4">
        <f>1/INR!C441</f>
        <v>2.1916607309188537E-2</v>
      </c>
      <c r="L441" s="4">
        <f>1/JPY!B441</f>
        <v>1.2644622874122781E-2</v>
      </c>
      <c r="M441" s="4">
        <f>1/JPY!C441</f>
        <v>1.2646541803143931E-2</v>
      </c>
      <c r="N441" s="5">
        <f>1/KRW!B441</f>
        <v>8.7865741147526589E-4</v>
      </c>
      <c r="O441" s="5">
        <f>1/KRW!C441</f>
        <v>8.786222851120528E-4</v>
      </c>
      <c r="P441" s="3">
        <f>1/NOK!B441</f>
        <v>0.17624250969333802</v>
      </c>
      <c r="Q441" s="3">
        <f>1/NOK!C441</f>
        <v>0.17596649597916555</v>
      </c>
      <c r="R441" s="3">
        <f>NZD!B441/1</f>
        <v>0.72250000000000003</v>
      </c>
      <c r="S441" s="3">
        <f>NZD!C441/1</f>
        <v>0.72099999999999997</v>
      </c>
      <c r="T441" s="4">
        <f>1/PHP!B441</f>
        <v>2.2735023303398886E-2</v>
      </c>
      <c r="U441" s="4">
        <f>1/PHP!C441</f>
        <v>2.2688598979013045E-2</v>
      </c>
      <c r="V441" s="4">
        <f>1/TWD!B441</f>
        <v>3.3790633236466847E-2</v>
      </c>
      <c r="W441" s="4">
        <f>1/TWD!C441</f>
        <v>3.3790861599389058E-2</v>
      </c>
      <c r="X441" s="4">
        <f>1/TWD!B441</f>
        <v>3.3790633236466847E-2</v>
      </c>
      <c r="Y441" s="4">
        <f>1/TWD!C441</f>
        <v>3.3790861599389058E-2</v>
      </c>
      <c r="Z441" s="4">
        <f>1/ZAR!B441</f>
        <v>0.13993451064901624</v>
      </c>
      <c r="AA441" s="4">
        <f>1/ZAR!C441</f>
        <v>0.13931069070240448</v>
      </c>
    </row>
    <row r="442" spans="1:27" x14ac:dyDescent="0.25">
      <c r="A442" t="str">
        <f>"18/03/2011"</f>
        <v>18/03/2011</v>
      </c>
      <c r="B442" s="3">
        <f>AUD!B442</f>
        <v>0.99390000000000001</v>
      </c>
      <c r="C442" s="3">
        <f>AUD!C442</f>
        <v>0.98950000000000005</v>
      </c>
      <c r="D442" s="3">
        <f>1/CAD!B442</f>
        <v>1.0171905197843556</v>
      </c>
      <c r="E442" s="3">
        <f>1/CAD!C442</f>
        <v>1.0165700925078784</v>
      </c>
      <c r="F442" s="3">
        <f>EUR!B442/1</f>
        <v>1.4067000000000001</v>
      </c>
      <c r="G442" s="3">
        <f>EUR!C442/1</f>
        <v>1.4059999999999999</v>
      </c>
      <c r="H442" s="3">
        <f>GBP!B442/1</f>
        <v>1.6154999999999999</v>
      </c>
      <c r="I442" s="3">
        <f>GBP!C442/1</f>
        <v>1.6149</v>
      </c>
      <c r="J442" s="4">
        <f>1/INR!B442</f>
        <v>2.2175407473112318E-2</v>
      </c>
      <c r="K442" s="4">
        <f>1/INR!C442</f>
        <v>2.1997360316761989E-2</v>
      </c>
      <c r="L442" s="4">
        <f>1/JPY!B442</f>
        <v>1.2241400416207615E-2</v>
      </c>
      <c r="M442" s="4">
        <f>1/JPY!C442</f>
        <v>1.2243198903009379E-2</v>
      </c>
      <c r="N442" s="5">
        <f>1/KRW!B442</f>
        <v>8.8652482269503544E-4</v>
      </c>
      <c r="O442" s="5">
        <f>1/KRW!C442</f>
        <v>8.8648867156126607E-4</v>
      </c>
      <c r="P442" s="3">
        <f>1/NOK!B442</f>
        <v>0.17778093832779249</v>
      </c>
      <c r="Q442" s="3">
        <f>1/NOK!C442</f>
        <v>0.17745599091425326</v>
      </c>
      <c r="R442" s="3">
        <f>NZD!B442/1</f>
        <v>0.72929999999999995</v>
      </c>
      <c r="S442" s="3">
        <f>NZD!C442/1</f>
        <v>0.72750000000000004</v>
      </c>
      <c r="T442" s="4">
        <f>1/PHP!B442</f>
        <v>2.2878059940517045E-2</v>
      </c>
      <c r="U442" s="4">
        <f>1/PHP!C442</f>
        <v>2.2828965391288467E-2</v>
      </c>
      <c r="V442" s="4">
        <f>1/TWD!B442</f>
        <v>3.3834077683042356E-2</v>
      </c>
      <c r="W442" s="4">
        <f>1/TWD!C442</f>
        <v>3.3834306633554155E-2</v>
      </c>
      <c r="X442" s="4">
        <f>1/TWD!B442</f>
        <v>3.3834077683042356E-2</v>
      </c>
      <c r="Y442" s="4">
        <f>1/TWD!C442</f>
        <v>3.3834306633554155E-2</v>
      </c>
      <c r="Z442" s="4">
        <f>1/ZAR!B442</f>
        <v>0.14157487895347851</v>
      </c>
      <c r="AA442" s="4">
        <f>1/ZAR!C442</f>
        <v>0.14085300580314383</v>
      </c>
    </row>
    <row r="443" spans="1:27" x14ac:dyDescent="0.25">
      <c r="A443" t="str">
        <f>"21/03/2011"</f>
        <v>21/03/2011</v>
      </c>
      <c r="B443" s="3">
        <f>AUD!B443</f>
        <v>1.0007999999999999</v>
      </c>
      <c r="C443" s="3">
        <f>AUD!C443</f>
        <v>0.99639999999999995</v>
      </c>
      <c r="D443" s="3">
        <f>1/CAD!B443</f>
        <v>1.0184336490477646</v>
      </c>
      <c r="E443" s="3">
        <f>1/CAD!C443</f>
        <v>1.0178117048346056</v>
      </c>
      <c r="F443" s="3">
        <f>EUR!B443/1</f>
        <v>1.4172</v>
      </c>
      <c r="G443" s="3">
        <f>EUR!C443/1</f>
        <v>1.4165000000000001</v>
      </c>
      <c r="H443" s="3">
        <f>GBP!B443/1</f>
        <v>1.6209</v>
      </c>
      <c r="I443" s="3">
        <f>GBP!C443/1</f>
        <v>1.6203000000000001</v>
      </c>
      <c r="J443" s="4">
        <f>1/INR!B443</f>
        <v>2.2197558268590458E-2</v>
      </c>
      <c r="K443" s="4">
        <f>1/INR!C443</f>
        <v>2.2027644694091082E-2</v>
      </c>
      <c r="L443" s="4">
        <f>1/JPY!B443</f>
        <v>1.2351778656126484E-2</v>
      </c>
      <c r="M443" s="4">
        <f>1/JPY!C443</f>
        <v>1.2353609724761577E-2</v>
      </c>
      <c r="N443" s="5">
        <f>1/KRW!B443</f>
        <v>8.8849400266548197E-4</v>
      </c>
      <c r="O443" s="5">
        <f>1/KRW!C443</f>
        <v>8.8845690139994148E-4</v>
      </c>
      <c r="P443" s="3">
        <f>1/NOK!B443</f>
        <v>0.17993702204228521</v>
      </c>
      <c r="Q443" s="3">
        <f>1/NOK!C443</f>
        <v>0.17961383026493041</v>
      </c>
      <c r="R443" s="3">
        <f>NZD!B443/1</f>
        <v>0.73319999999999996</v>
      </c>
      <c r="S443" s="3">
        <f>NZD!C443/1</f>
        <v>0.73150000000000004</v>
      </c>
      <c r="T443" s="4">
        <f>1/PHP!B443</f>
        <v>2.2951572182694516E-2</v>
      </c>
      <c r="U443" s="4">
        <f>1/PHP!C443</f>
        <v>2.2915807323892021E-2</v>
      </c>
      <c r="V443" s="4">
        <f>1/TWD!B443</f>
        <v>3.381920254320403E-2</v>
      </c>
      <c r="W443" s="4">
        <f>1/TWD!C443</f>
        <v>3.3819431292443386E-2</v>
      </c>
      <c r="X443" s="4">
        <f>1/TWD!B443</f>
        <v>3.381920254320403E-2</v>
      </c>
      <c r="Y443" s="4">
        <f>1/TWD!C443</f>
        <v>3.3819431292443386E-2</v>
      </c>
      <c r="Z443" s="4">
        <f>1/ZAR!B443</f>
        <v>0.14285714285714285</v>
      </c>
      <c r="AA443" s="4">
        <f>1/ZAR!C443</f>
        <v>0.14216257712319808</v>
      </c>
    </row>
    <row r="444" spans="1:27" x14ac:dyDescent="0.25">
      <c r="A444" t="str">
        <f>"22/03/2011"</f>
        <v>22/03/2011</v>
      </c>
      <c r="B444" s="3">
        <f>AUD!B444</f>
        <v>1.0055000000000001</v>
      </c>
      <c r="C444" s="3">
        <f>AUD!C444</f>
        <v>1.0013000000000001</v>
      </c>
      <c r="D444" s="3">
        <f>1/CAD!B444</f>
        <v>1.0220768601798855</v>
      </c>
      <c r="E444" s="3">
        <f>1/CAD!C444</f>
        <v>1.021346134204882</v>
      </c>
      <c r="F444" s="3">
        <f>EUR!B444/1</f>
        <v>1.4219999999999999</v>
      </c>
      <c r="G444" s="3">
        <f>EUR!C444/1</f>
        <v>1.4213</v>
      </c>
      <c r="H444" s="3">
        <f>GBP!B444/1</f>
        <v>1.6301000000000001</v>
      </c>
      <c r="I444" s="3">
        <f>GBP!C444/1</f>
        <v>1.6294999999999999</v>
      </c>
      <c r="J444" s="4">
        <f>1/INR!B444</f>
        <v>2.2214817283127845E-2</v>
      </c>
      <c r="K444" s="4">
        <f>1/INR!C444</f>
        <v>2.2049501130036932E-2</v>
      </c>
      <c r="L444" s="4">
        <f>1/JPY!B444</f>
        <v>1.2350405710827602E-2</v>
      </c>
      <c r="M444" s="4">
        <f>1/JPY!C444</f>
        <v>1.2352770417585403E-2</v>
      </c>
      <c r="N444" s="5">
        <f>1/KRW!B444</f>
        <v>8.9110675458919974E-4</v>
      </c>
      <c r="O444" s="5">
        <f>1/KRW!C444</f>
        <v>8.9107062581226658E-4</v>
      </c>
      <c r="P444" s="3">
        <f>1/NOK!B444</f>
        <v>0.18011527377521616</v>
      </c>
      <c r="Q444" s="3">
        <f>1/NOK!C444</f>
        <v>0.17979790715236074</v>
      </c>
      <c r="R444" s="3">
        <f>NZD!B444/1</f>
        <v>0.73750000000000004</v>
      </c>
      <c r="S444" s="3">
        <f>NZD!C444/1</f>
        <v>0.7359</v>
      </c>
      <c r="T444" s="4">
        <f>1/PHP!B444</f>
        <v>2.3046784973496198E-2</v>
      </c>
      <c r="U444" s="4">
        <f>1/PHP!C444</f>
        <v>2.3020257826887661E-2</v>
      </c>
      <c r="V444" s="4">
        <f>1/TWD!B444</f>
        <v>3.3834077683042356E-2</v>
      </c>
      <c r="W444" s="4">
        <f>1/TWD!C444</f>
        <v>3.3834306633554155E-2</v>
      </c>
      <c r="X444" s="4">
        <f>1/TWD!B444</f>
        <v>3.3834077683042356E-2</v>
      </c>
      <c r="Y444" s="4">
        <f>1/TWD!C444</f>
        <v>3.3834306633554155E-2</v>
      </c>
      <c r="Z444" s="4">
        <f>1/ZAR!B444</f>
        <v>0.14426891726177596</v>
      </c>
      <c r="AA444" s="4">
        <f>1/ZAR!C444</f>
        <v>0.14356058974690267</v>
      </c>
    </row>
    <row r="445" spans="1:27" x14ac:dyDescent="0.25">
      <c r="A445" t="str">
        <f>"23/03/2011"</f>
        <v>23/03/2011</v>
      </c>
      <c r="B445" s="3">
        <f>AUD!B445</f>
        <v>1.0103</v>
      </c>
      <c r="C445" s="3">
        <f>AUD!C445</f>
        <v>1.0062</v>
      </c>
      <c r="D445" s="3">
        <f>1/CAD!B445</f>
        <v>1.019160211985324</v>
      </c>
      <c r="E445" s="3">
        <f>1/CAD!C445</f>
        <v>1.0184336490477646</v>
      </c>
      <c r="F445" s="3">
        <f>EUR!B445/1</f>
        <v>1.4177999999999999</v>
      </c>
      <c r="G445" s="3">
        <f>EUR!C445/1</f>
        <v>1.417</v>
      </c>
      <c r="H445" s="3">
        <f>GBP!B445/1</f>
        <v>1.637</v>
      </c>
      <c r="I445" s="3">
        <f>GBP!C445/1</f>
        <v>1.6364000000000001</v>
      </c>
      <c r="J445" s="4">
        <f>1/INR!B445</f>
        <v>2.2228396776882469E-2</v>
      </c>
      <c r="K445" s="4">
        <f>1/INR!C445</f>
        <v>2.2075055187637971E-2</v>
      </c>
      <c r="L445" s="4">
        <f>1/JPY!B445</f>
        <v>1.236200907371466E-2</v>
      </c>
      <c r="M445" s="4">
        <f>1/JPY!C445</f>
        <v>1.2364485241750415E-2</v>
      </c>
      <c r="N445" s="5">
        <f>1/KRW!B445</f>
        <v>8.9039266316445558E-4</v>
      </c>
      <c r="O445" s="5">
        <f>1/KRW!C445</f>
        <v>8.9035659226698581E-4</v>
      </c>
      <c r="P445" s="3">
        <f>1/NOK!B445</f>
        <v>0.17904782367370325</v>
      </c>
      <c r="Q445" s="3">
        <f>1/NOK!C445</f>
        <v>0.17874378865334431</v>
      </c>
      <c r="R445" s="3">
        <f>NZD!B445/1</f>
        <v>0.74170000000000003</v>
      </c>
      <c r="S445" s="3">
        <f>NZD!C445/1</f>
        <v>0.74009999999999998</v>
      </c>
      <c r="T445" s="4">
        <f>1/PHP!B445</f>
        <v>2.3017608470479917E-2</v>
      </c>
      <c r="U445" s="4">
        <f>1/PHP!C445</f>
        <v>2.2996435552489366E-2</v>
      </c>
      <c r="V445" s="4">
        <f>1/TWD!B445</f>
        <v>3.3805483249383053E-2</v>
      </c>
      <c r="W445" s="4">
        <f>1/TWD!C445</f>
        <v>3.3805711813067935E-2</v>
      </c>
      <c r="X445" s="4">
        <f>1/TWD!B445</f>
        <v>3.3805483249383053E-2</v>
      </c>
      <c r="Y445" s="4">
        <f>1/TWD!C445</f>
        <v>3.3805711813067935E-2</v>
      </c>
      <c r="Z445" s="4">
        <f>1/ZAR!B445</f>
        <v>0.14455880652249334</v>
      </c>
      <c r="AA445" s="4">
        <f>1/ZAR!C445</f>
        <v>0.1438745413998993</v>
      </c>
    </row>
    <row r="446" spans="1:27" x14ac:dyDescent="0.25">
      <c r="A446" t="str">
        <f>"24/03/2011"</f>
        <v>24/03/2011</v>
      </c>
      <c r="B446" s="3">
        <f>AUD!B446</f>
        <v>1.0130999999999999</v>
      </c>
      <c r="C446" s="3">
        <f>AUD!C446</f>
        <v>1.0092000000000001</v>
      </c>
      <c r="D446" s="3">
        <f>1/CAD!B446</f>
        <v>1.0187449062754685</v>
      </c>
      <c r="E446" s="3">
        <f>1/CAD!C446</f>
        <v>1.0180189351521938</v>
      </c>
      <c r="F446" s="3">
        <f>EUR!B446/1</f>
        <v>1.4079999999999999</v>
      </c>
      <c r="G446" s="3">
        <f>EUR!C446/1</f>
        <v>1.4073</v>
      </c>
      <c r="H446" s="3">
        <f>GBP!B446/1</f>
        <v>1.6235999999999999</v>
      </c>
      <c r="I446" s="3">
        <f>GBP!C446/1</f>
        <v>1.623</v>
      </c>
      <c r="J446" s="4">
        <f>1/INR!B446</f>
        <v>2.2313957380341403E-2</v>
      </c>
      <c r="K446" s="4">
        <f>1/INR!C446</f>
        <v>2.215207398792712E-2</v>
      </c>
      <c r="L446" s="4">
        <f>1/JPY!B446</f>
        <v>1.23417174734036E-2</v>
      </c>
      <c r="M446" s="4">
        <f>1/JPY!C446</f>
        <v>1.2343713161731032E-2</v>
      </c>
      <c r="N446" s="5">
        <f>1/KRW!B446</f>
        <v>8.9078923926598974E-4</v>
      </c>
      <c r="O446" s="5">
        <f>1/KRW!C446</f>
        <v>8.9077138575077556E-4</v>
      </c>
      <c r="P446" s="3">
        <f>1/NOK!B446</f>
        <v>0.17864160920361569</v>
      </c>
      <c r="Q446" s="3">
        <f>1/NOK!C446</f>
        <v>0.17834849295523453</v>
      </c>
      <c r="R446" s="3">
        <f>NZD!B446/1</f>
        <v>0.746</v>
      </c>
      <c r="S446" s="3">
        <f>NZD!C446/1</f>
        <v>0.74450000000000005</v>
      </c>
      <c r="T446" s="4">
        <f>1/PHP!B446</f>
        <v>2.3020257826887661E-2</v>
      </c>
      <c r="U446" s="4">
        <f>1/PHP!C446</f>
        <v>2.2993791676247412E-2</v>
      </c>
      <c r="V446" s="4">
        <f>1/TWD!B446</f>
        <v>3.3789491468153403E-2</v>
      </c>
      <c r="W446" s="4">
        <f>1/TWD!C446</f>
        <v>3.3789605641512559E-2</v>
      </c>
      <c r="X446" s="4">
        <f>1/TWD!B446</f>
        <v>3.3789491468153403E-2</v>
      </c>
      <c r="Y446" s="4">
        <f>1/TWD!C446</f>
        <v>3.3789605641512559E-2</v>
      </c>
      <c r="Z446" s="4">
        <f>1/ZAR!B446</f>
        <v>0.14402166085779303</v>
      </c>
      <c r="AA446" s="4">
        <f>1/ZAR!C446</f>
        <v>0.14336300947629493</v>
      </c>
    </row>
    <row r="447" spans="1:27" x14ac:dyDescent="0.25">
      <c r="A447" t="str">
        <f>"25/03/2011"</f>
        <v>25/03/2011</v>
      </c>
      <c r="B447" s="3">
        <f>AUD!B447</f>
        <v>1.0198</v>
      </c>
      <c r="C447" s="3">
        <f>AUD!C447</f>
        <v>1.0159</v>
      </c>
      <c r="D447" s="3">
        <f>1/CAD!B447</f>
        <v>1.0244851961889152</v>
      </c>
      <c r="E447" s="3">
        <f>1/CAD!C447</f>
        <v>1.0238558410975735</v>
      </c>
      <c r="F447" s="3">
        <f>EUR!B447/1</f>
        <v>1.4169</v>
      </c>
      <c r="G447" s="3">
        <f>EUR!C447/1</f>
        <v>1.4161999999999999</v>
      </c>
      <c r="H447" s="3">
        <f>GBP!B447/1</f>
        <v>1.6116999999999999</v>
      </c>
      <c r="I447" s="3">
        <f>GBP!C447/1</f>
        <v>1.6111</v>
      </c>
      <c r="J447" s="4">
        <f>1/INR!B447</f>
        <v>2.2397670642253207E-2</v>
      </c>
      <c r="K447" s="4">
        <f>1/INR!C447</f>
        <v>2.2233338891668057E-2</v>
      </c>
      <c r="L447" s="4">
        <f>1/JPY!B447</f>
        <v>1.2345526598437056E-2</v>
      </c>
      <c r="M447" s="4">
        <f>1/JPY!C447</f>
        <v>1.2347462534711804E-2</v>
      </c>
      <c r="N447" s="5">
        <f>1/KRW!B447</f>
        <v>8.9782725803555399E-4</v>
      </c>
      <c r="O447" s="5">
        <f>1/KRW!C447</f>
        <v>8.9780912129176782E-4</v>
      </c>
      <c r="P447" s="3">
        <f>1/NOK!B447</f>
        <v>0.17994997390725379</v>
      </c>
      <c r="Q447" s="3">
        <f>1/NOK!C447</f>
        <v>0.17966223499820339</v>
      </c>
      <c r="R447" s="3">
        <f>NZD!B447/1</f>
        <v>0.74939999999999996</v>
      </c>
      <c r="S447" s="3">
        <f>NZD!C447/1</f>
        <v>0.74780000000000002</v>
      </c>
      <c r="T447" s="4">
        <f>1/PHP!B447</f>
        <v>2.3073373327180433E-2</v>
      </c>
      <c r="U447" s="4">
        <f>1/PHP!C447</f>
        <v>2.3046784973496198E-2</v>
      </c>
      <c r="V447" s="4">
        <f>1/TWD!B447</f>
        <v>3.3892560582952043E-2</v>
      </c>
      <c r="W447" s="4">
        <f>1/TWD!C447</f>
        <v>3.3892675453907659E-2</v>
      </c>
      <c r="X447" s="4">
        <f>1/TWD!B447</f>
        <v>3.3892560582952043E-2</v>
      </c>
      <c r="Y447" s="4">
        <f>1/TWD!C447</f>
        <v>3.3892675453907659E-2</v>
      </c>
      <c r="Z447" s="4">
        <f>1/ZAR!B447</f>
        <v>0.14541224371092046</v>
      </c>
      <c r="AA447" s="4">
        <f>1/ZAR!C447</f>
        <v>0.14476808153338352</v>
      </c>
    </row>
    <row r="448" spans="1:27" x14ac:dyDescent="0.25">
      <c r="A448" t="str">
        <f>"28/03/2011"</f>
        <v>28/03/2011</v>
      </c>
      <c r="B448" s="3">
        <f>AUD!B448</f>
        <v>1.026</v>
      </c>
      <c r="C448" s="3">
        <f>AUD!C448</f>
        <v>1.0221</v>
      </c>
      <c r="D448" s="3">
        <f>1/CAD!B448</f>
        <v>1.0192640913260627</v>
      </c>
      <c r="E448" s="3">
        <f>1/CAD!C448</f>
        <v>1.0186411327289395</v>
      </c>
      <c r="F448" s="3">
        <f>EUR!B448/1</f>
        <v>1.4055</v>
      </c>
      <c r="G448" s="3">
        <f>EUR!C448/1</f>
        <v>1.4048</v>
      </c>
      <c r="H448" s="3">
        <f>GBP!B448/1</f>
        <v>1.6012999999999999</v>
      </c>
      <c r="I448" s="3">
        <f>GBP!C448/1</f>
        <v>1.6008</v>
      </c>
      <c r="J448" s="4">
        <f>1/INR!B448</f>
        <v>2.2338880822070813E-2</v>
      </c>
      <c r="K448" s="4">
        <f>1/INR!C448</f>
        <v>2.2182786157941437E-2</v>
      </c>
      <c r="L448" s="4">
        <f>1/JPY!B448</f>
        <v>1.223540927444023E-2</v>
      </c>
      <c r="M448" s="4">
        <f>1/JPY!C448</f>
        <v>1.223728087618931E-2</v>
      </c>
      <c r="N448" s="5">
        <f>1/KRW!B448</f>
        <v>8.9726334679228351E-4</v>
      </c>
      <c r="O448" s="5">
        <f>1/KRW!C448</f>
        <v>8.9724563534860692E-4</v>
      </c>
      <c r="P448" s="3">
        <f>1/NOK!B448</f>
        <v>0.17794227552581943</v>
      </c>
      <c r="Q448" s="3">
        <f>1/NOK!C448</f>
        <v>0.17766407277120422</v>
      </c>
      <c r="R448" s="3">
        <f>NZD!B448/1</f>
        <v>0.75070000000000003</v>
      </c>
      <c r="S448" s="3">
        <f>NZD!C448/1</f>
        <v>0.74919999999999998</v>
      </c>
      <c r="T448" s="4">
        <f>1/PHP!B448</f>
        <v>2.306805074971165E-2</v>
      </c>
      <c r="U448" s="4">
        <f>1/PHP!C448</f>
        <v>2.3052097740894419E-2</v>
      </c>
      <c r="V448" s="4">
        <f>1/TWD!B448</f>
        <v>3.3902902088418771E-2</v>
      </c>
      <c r="W448" s="4">
        <f>1/TWD!C448</f>
        <v>3.3903017029485456E-2</v>
      </c>
      <c r="X448" s="4">
        <f>1/TWD!B448</f>
        <v>3.3902902088418771E-2</v>
      </c>
      <c r="Y448" s="4">
        <f>1/TWD!C448</f>
        <v>3.3903017029485456E-2</v>
      </c>
      <c r="Z448" s="4">
        <f>1/ZAR!B448</f>
        <v>0.14543339150668994</v>
      </c>
      <c r="AA448" s="4">
        <f>1/ZAR!C448</f>
        <v>0.14478904236527379</v>
      </c>
    </row>
    <row r="449" spans="1:27" x14ac:dyDescent="0.25">
      <c r="A449" t="str">
        <f>"29/03/2011"</f>
        <v>29/03/2011</v>
      </c>
      <c r="B449" s="3">
        <f>AUD!B449</f>
        <v>1.0254000000000001</v>
      </c>
      <c r="C449" s="3">
        <f>AUD!C449</f>
        <v>1.0217000000000001</v>
      </c>
      <c r="D449" s="3">
        <f>1/CAD!B449</f>
        <v>1.0241704219582137</v>
      </c>
      <c r="E449" s="3">
        <f>1/CAD!C449</f>
        <v>1.0235414534288638</v>
      </c>
      <c r="F449" s="3">
        <f>EUR!B449/1</f>
        <v>1.4097</v>
      </c>
      <c r="G449" s="3">
        <f>EUR!C449/1</f>
        <v>1.409</v>
      </c>
      <c r="H449" s="3">
        <f>GBP!B449/1</f>
        <v>1.6020000000000001</v>
      </c>
      <c r="I449" s="3">
        <f>GBP!C449/1</f>
        <v>1.6014999999999999</v>
      </c>
      <c r="J449" s="4">
        <f>1/INR!B449</f>
        <v>2.2348865795060902E-2</v>
      </c>
      <c r="K449" s="4">
        <f>1/INR!C449</f>
        <v>2.2202486678507993E-2</v>
      </c>
      <c r="L449" s="4">
        <f>1/JPY!B449</f>
        <v>1.2240801038019928E-2</v>
      </c>
      <c r="M449" s="4">
        <f>1/JPY!C449</f>
        <v>1.2242719254859135E-2</v>
      </c>
      <c r="N449" s="5">
        <f>1/KRW!B449</f>
        <v>8.9766606822262122E-4</v>
      </c>
      <c r="O449" s="5">
        <f>1/KRW!C449</f>
        <v>8.9763061423067658E-4</v>
      </c>
      <c r="P449" s="3">
        <f>1/NOK!B449</f>
        <v>0.1787054576646771</v>
      </c>
      <c r="Q449" s="3">
        <f>1/NOK!C449</f>
        <v>0.17843441643024105</v>
      </c>
      <c r="R449" s="3">
        <f>NZD!B449/1</f>
        <v>0.75129999999999997</v>
      </c>
      <c r="S449" s="3">
        <f>NZD!C449/1</f>
        <v>0.74990000000000001</v>
      </c>
      <c r="T449" s="4">
        <f>1/PHP!B449</f>
        <v>2.2962112514351322E-2</v>
      </c>
      <c r="U449" s="4">
        <f>1/PHP!C449</f>
        <v>2.2925263640531868E-2</v>
      </c>
      <c r="V449" s="4">
        <f>1/TWD!B449</f>
        <v>3.3898305084745763E-2</v>
      </c>
      <c r="W449" s="4">
        <f>1/TWD!C449</f>
        <v>3.3898534905321388E-2</v>
      </c>
      <c r="X449" s="4">
        <f>1/TWD!B449</f>
        <v>3.3898305084745763E-2</v>
      </c>
      <c r="Y449" s="4">
        <f>1/TWD!C449</f>
        <v>3.3898534905321388E-2</v>
      </c>
      <c r="Z449" s="4">
        <f>1/ZAR!B449</f>
        <v>0.14545454545454545</v>
      </c>
      <c r="AA449" s="4">
        <f>1/ZAR!C449</f>
        <v>0.14484356894553882</v>
      </c>
    </row>
    <row r="450" spans="1:27" x14ac:dyDescent="0.25">
      <c r="A450" t="str">
        <f>"30/03/2011"</f>
        <v>30/03/2011</v>
      </c>
      <c r="B450" s="3">
        <f>AUD!B450</f>
        <v>1.0324</v>
      </c>
      <c r="C450" s="3">
        <f>AUD!C450</f>
        <v>1.0285</v>
      </c>
      <c r="D450" s="3">
        <f>1/CAD!B450</f>
        <v>1.027643613194944</v>
      </c>
      <c r="E450" s="3">
        <f>1/CAD!C450</f>
        <v>1.0269049086054631</v>
      </c>
      <c r="F450" s="3">
        <f>EUR!B450/1</f>
        <v>1.4080999999999999</v>
      </c>
      <c r="G450" s="3">
        <f>EUR!C450/1</f>
        <v>1.4073</v>
      </c>
      <c r="H450" s="3">
        <f>GBP!B450/1</f>
        <v>1.5995999999999999</v>
      </c>
      <c r="I450" s="3">
        <f>GBP!C450/1</f>
        <v>1.599</v>
      </c>
      <c r="J450" s="4">
        <f>1/INR!B450</f>
        <v>2.2353861629596513E-2</v>
      </c>
      <c r="K450" s="4">
        <f>1/INR!C450</f>
        <v>2.2217285047767165E-2</v>
      </c>
      <c r="L450" s="4">
        <f>1/JPY!B450</f>
        <v>1.2059525819444779E-2</v>
      </c>
      <c r="M450" s="4">
        <f>1/JPY!C450</f>
        <v>1.2061489473335062E-2</v>
      </c>
      <c r="N450" s="5">
        <f>1/KRW!B450</f>
        <v>9.043226623259179E-4</v>
      </c>
      <c r="O450" s="5">
        <f>1/KRW!C450</f>
        <v>9.0428463624924425E-4</v>
      </c>
      <c r="P450" s="3">
        <f>1/NOK!B450</f>
        <v>0.17843441643024105</v>
      </c>
      <c r="Q450" s="3">
        <f>1/NOK!C450</f>
        <v>0.17817371937639198</v>
      </c>
      <c r="R450" s="3">
        <f>NZD!B450/1</f>
        <v>0.75929999999999997</v>
      </c>
      <c r="S450" s="3">
        <f>NZD!C450/1</f>
        <v>0.75770000000000004</v>
      </c>
      <c r="T450" s="4">
        <f>1/PHP!B450</f>
        <v>2.3036166781847504E-2</v>
      </c>
      <c r="U450" s="4">
        <f>1/PHP!C450</f>
        <v>2.3001725129384702E-2</v>
      </c>
      <c r="V450" s="4">
        <f>1/TWD!B450</f>
        <v>3.3937419398628925E-2</v>
      </c>
      <c r="W450" s="4">
        <f>1/TWD!C450</f>
        <v>3.393764974987952E-2</v>
      </c>
      <c r="X450" s="4">
        <f>1/TWD!B450</f>
        <v>3.3937419398628925E-2</v>
      </c>
      <c r="Y450" s="4">
        <f>1/TWD!C450</f>
        <v>3.393764974987952E-2</v>
      </c>
      <c r="Z450" s="4">
        <f>1/ZAR!B450</f>
        <v>0.14559007658038028</v>
      </c>
      <c r="AA450" s="4">
        <f>1/ZAR!C450</f>
        <v>0.14510629035768702</v>
      </c>
    </row>
    <row r="451" spans="1:27" x14ac:dyDescent="0.25">
      <c r="A451" t="str">
        <f>"31/03/2011"</f>
        <v>31/03/2011</v>
      </c>
      <c r="B451" s="3">
        <f>AUD!B451</f>
        <v>1.0322</v>
      </c>
      <c r="C451" s="3">
        <f>AUD!C451</f>
        <v>1.0283</v>
      </c>
      <c r="D451" s="3">
        <f>1/CAD!B451</f>
        <v>1.029230135858378</v>
      </c>
      <c r="E451" s="3">
        <f>1/CAD!C451</f>
        <v>1.0285949393128986</v>
      </c>
      <c r="F451" s="3">
        <f>EUR!B451/1</f>
        <v>1.4140999999999999</v>
      </c>
      <c r="G451" s="3">
        <f>EUR!C451/1</f>
        <v>1.4133</v>
      </c>
      <c r="H451" s="3">
        <f>GBP!B451/1</f>
        <v>1.6093</v>
      </c>
      <c r="I451" s="3">
        <f>GBP!C451/1</f>
        <v>1.6087</v>
      </c>
      <c r="J451" s="4">
        <f>1/INR!B451</f>
        <v>2.2360109564536868E-2</v>
      </c>
      <c r="K451" s="4">
        <f>1/INR!C451</f>
        <v>2.2228396776882469E-2</v>
      </c>
      <c r="L451" s="4">
        <f>1/JPY!B451</f>
        <v>1.2099067161921816E-2</v>
      </c>
      <c r="M451" s="4">
        <f>1/JPY!C451</f>
        <v>1.2100897281533426E-2</v>
      </c>
      <c r="N451" s="5">
        <f>1/KRW!B451</f>
        <v>9.0793535500272374E-4</v>
      </c>
      <c r="O451" s="5">
        <f>1/KRW!C451</f>
        <v>9.0789826092088123E-4</v>
      </c>
      <c r="P451" s="3">
        <f>1/NOK!B451</f>
        <v>0.17958157493041213</v>
      </c>
      <c r="Q451" s="3">
        <f>1/NOK!C451</f>
        <v>0.17929822674053753</v>
      </c>
      <c r="R451" s="3">
        <f>NZD!B451/1</f>
        <v>0.7591</v>
      </c>
      <c r="S451" s="3">
        <f>NZD!C451/1</f>
        <v>0.75760000000000005</v>
      </c>
      <c r="T451" s="4">
        <f>1/PHP!B451</f>
        <v>2.3014959723820481E-2</v>
      </c>
      <c r="U451" s="4">
        <f>1/PHP!C451</f>
        <v>2.2972662531587411E-2</v>
      </c>
      <c r="V451" s="4">
        <f>1/TWD!B451</f>
        <v>3.3921302578018994E-2</v>
      </c>
      <c r="W451" s="4">
        <f>1/TWD!C451</f>
        <v>3.3921417643886176E-2</v>
      </c>
      <c r="X451" s="4">
        <f>1/TWD!B451</f>
        <v>3.3921302578018994E-2</v>
      </c>
      <c r="Y451" s="4">
        <f>1/TWD!C451</f>
        <v>3.3921417643886176E-2</v>
      </c>
      <c r="Z451" s="4">
        <f>1/ZAR!B451</f>
        <v>0.14643003572892871</v>
      </c>
      <c r="AA451" s="4">
        <f>1/ZAR!C451</f>
        <v>0.14576409538802401</v>
      </c>
    </row>
    <row r="452" spans="1:27" x14ac:dyDescent="0.25">
      <c r="A452" t="str">
        <f>"01/04/2011"</f>
        <v>01/04/2011</v>
      </c>
      <c r="B452" s="3">
        <f>AUD!B452</f>
        <v>1.0344</v>
      </c>
      <c r="C452" s="3">
        <f>AUD!C452</f>
        <v>1.0306</v>
      </c>
      <c r="D452" s="3">
        <f>1/CAD!B452</f>
        <v>1.0317787866281469</v>
      </c>
      <c r="E452" s="3">
        <f>1/CAD!C452</f>
        <v>1.0311404413281089</v>
      </c>
      <c r="F452" s="3">
        <f>EUR!B452/1</f>
        <v>1.4172</v>
      </c>
      <c r="G452" s="3">
        <f>EUR!C452/1</f>
        <v>1.4164000000000001</v>
      </c>
      <c r="H452" s="3">
        <f>GBP!B452/1</f>
        <v>1.605</v>
      </c>
      <c r="I452" s="3">
        <f>GBP!C452/1</f>
        <v>1.6045</v>
      </c>
      <c r="J452" s="4">
        <f>1/INR!B452</f>
        <v>2.2426553038797935E-2</v>
      </c>
      <c r="K452" s="4">
        <f>1/INR!C452</f>
        <v>2.2299029992195341E-2</v>
      </c>
      <c r="L452" s="4">
        <f>1/JPY!B452</f>
        <v>1.1958432488669384E-2</v>
      </c>
      <c r="M452" s="4">
        <f>1/JPY!C452</f>
        <v>1.1960349050826699E-2</v>
      </c>
      <c r="N452" s="5">
        <f>1/KRW!B452</f>
        <v>9.1533180778032041E-4</v>
      </c>
      <c r="O452" s="5">
        <f>1/KRW!C452</f>
        <v>9.1529410687889276E-4</v>
      </c>
      <c r="P452" s="3">
        <f>1/NOK!B452</f>
        <v>0.18090379536162668</v>
      </c>
      <c r="Q452" s="3">
        <f>1/NOK!C452</f>
        <v>0.18062278737085469</v>
      </c>
      <c r="R452" s="3">
        <f>NZD!B452/1</f>
        <v>0.76280000000000003</v>
      </c>
      <c r="S452" s="3">
        <f>NZD!C452/1</f>
        <v>0.76129999999999998</v>
      </c>
      <c r="T452" s="4">
        <f>1/PHP!B452</f>
        <v>2.306805074971165E-2</v>
      </c>
      <c r="U452" s="4">
        <f>1/PHP!C452</f>
        <v>2.3036166781847504E-2</v>
      </c>
      <c r="V452" s="4">
        <f>1/TWD!B452</f>
        <v>3.4083162917518749E-2</v>
      </c>
      <c r="W452" s="4">
        <f>1/TWD!C452</f>
        <v>3.4083395251501371E-2</v>
      </c>
      <c r="X452" s="4">
        <f>1/TWD!B452</f>
        <v>3.4083162917518749E-2</v>
      </c>
      <c r="Y452" s="4">
        <f>1/TWD!C452</f>
        <v>3.4083395251501371E-2</v>
      </c>
      <c r="Z452" s="4">
        <f>1/ZAR!B452</f>
        <v>0.14716486880251947</v>
      </c>
      <c r="AA452" s="4">
        <f>1/ZAR!C452</f>
        <v>0.14653302854463396</v>
      </c>
    </row>
    <row r="453" spans="1:27" x14ac:dyDescent="0.25">
      <c r="A453" t="str">
        <f>"05/04/2011"</f>
        <v>05/04/2011</v>
      </c>
      <c r="B453" s="3">
        <f>AUD!B453</f>
        <v>1.0331999999999999</v>
      </c>
      <c r="C453" s="3">
        <f>AUD!C453</f>
        <v>1.0290999999999999</v>
      </c>
      <c r="D453" s="3">
        <f>1/CAD!B453</f>
        <v>1.0335917312661498</v>
      </c>
      <c r="E453" s="3">
        <f>1/CAD!C453</f>
        <v>1.0328444536252841</v>
      </c>
      <c r="F453" s="3">
        <f>EUR!B453/1</f>
        <v>1.4205000000000001</v>
      </c>
      <c r="G453" s="3">
        <f>EUR!C453/1</f>
        <v>1.4196</v>
      </c>
      <c r="H453" s="3">
        <f>GBP!B453/1</f>
        <v>1.6123000000000001</v>
      </c>
      <c r="I453" s="3">
        <f>GBP!C453/1</f>
        <v>1.6116999999999999</v>
      </c>
      <c r="J453" s="4">
        <f>1/INR!B453</f>
        <v>2.2497187851518559E-2</v>
      </c>
      <c r="K453" s="4">
        <f>1/INR!C453</f>
        <v>2.2357609971494049E-2</v>
      </c>
      <c r="L453" s="4">
        <f>1/JPY!B453</f>
        <v>1.1851851851851851E-2</v>
      </c>
      <c r="M453" s="4">
        <f>1/JPY!C453</f>
        <v>1.1853678196344326E-2</v>
      </c>
      <c r="N453" s="5">
        <f>1/KRW!B453</f>
        <v>9.1827364554637281E-4</v>
      </c>
      <c r="O453" s="5">
        <f>1/KRW!C453</f>
        <v>9.1823443718886202E-4</v>
      </c>
      <c r="P453" s="3">
        <f>1/NOK!B453</f>
        <v>0.18189755529685681</v>
      </c>
      <c r="Q453" s="3">
        <f>1/NOK!C453</f>
        <v>0.18161015563990338</v>
      </c>
      <c r="R453" s="3">
        <f>NZD!B453/1</f>
        <v>0.7681</v>
      </c>
      <c r="S453" s="3">
        <f>NZD!C453/1</f>
        <v>0.76649999999999996</v>
      </c>
      <c r="T453" s="4">
        <f>1/PHP!B453</f>
        <v>2.3041474654377881E-2</v>
      </c>
      <c r="U453" s="4">
        <f>1/PHP!C453</f>
        <v>2.2996435552489366E-2</v>
      </c>
      <c r="V453" s="4">
        <f>1/TWD!B453</f>
        <v>3.4293552812071332E-2</v>
      </c>
      <c r="W453" s="4">
        <f>1/TWD!C453</f>
        <v>3.4293670417251086E-2</v>
      </c>
      <c r="X453" s="4">
        <f>1/TWD!B453</f>
        <v>3.4293552812071332E-2</v>
      </c>
      <c r="Y453" s="4">
        <f>1/TWD!C453</f>
        <v>3.4293670417251086E-2</v>
      </c>
      <c r="Z453" s="4">
        <f>1/ZAR!B453</f>
        <v>0.1485928259383637</v>
      </c>
      <c r="AA453" s="4">
        <f>1/ZAR!C453</f>
        <v>0.14796182584893097</v>
      </c>
    </row>
    <row r="454" spans="1:27" x14ac:dyDescent="0.25">
      <c r="A454" t="str">
        <f>"06/04/2011"</f>
        <v>06/04/2011</v>
      </c>
      <c r="B454" s="3">
        <f>AUD!B454</f>
        <v>1.0369999999999999</v>
      </c>
      <c r="C454" s="3">
        <f>AUD!C454</f>
        <v>1.0328999999999999</v>
      </c>
      <c r="D454" s="3">
        <f>1/CAD!B454</f>
        <v>1.0389610389610389</v>
      </c>
      <c r="E454" s="3">
        <f>1/CAD!C454</f>
        <v>1.0383137784238397</v>
      </c>
      <c r="F454" s="3">
        <f>EUR!B454/1</f>
        <v>1.4256</v>
      </c>
      <c r="G454" s="3">
        <f>EUR!C454/1</f>
        <v>1.4247000000000001</v>
      </c>
      <c r="H454" s="3">
        <f>GBP!B454/1</f>
        <v>1.633</v>
      </c>
      <c r="I454" s="3">
        <f>GBP!C454/1</f>
        <v>1.6324000000000001</v>
      </c>
      <c r="J454" s="4">
        <f>1/INR!B454</f>
        <v>2.2588660492432796E-2</v>
      </c>
      <c r="K454" s="4">
        <f>1/INR!C454</f>
        <v>2.2450468653533145E-2</v>
      </c>
      <c r="L454" s="4">
        <f>1/JPY!B454</f>
        <v>1.1717285339332584E-2</v>
      </c>
      <c r="M454" s="4">
        <f>1/JPY!C454</f>
        <v>1.1718988041944602E-2</v>
      </c>
      <c r="N454" s="5">
        <f>1/KRW!B454</f>
        <v>9.2199889360132774E-4</v>
      </c>
      <c r="O454" s="5">
        <f>1/KRW!C454</f>
        <v>9.2196064150021437E-4</v>
      </c>
      <c r="P454" s="3">
        <f>1/NOK!B454</f>
        <v>0.18287553491093961</v>
      </c>
      <c r="Q454" s="3">
        <f>1/NOK!C454</f>
        <v>0.18257170503715336</v>
      </c>
      <c r="R454" s="3">
        <f>NZD!B454/1</f>
        <v>0.77159999999999995</v>
      </c>
      <c r="S454" s="3">
        <f>NZD!C454/1</f>
        <v>0.77</v>
      </c>
      <c r="T454" s="4">
        <f>1/PHP!B454</f>
        <v>2.3148148148148147E-2</v>
      </c>
      <c r="U454" s="4">
        <f>1/PHP!C454</f>
        <v>2.3108030040439053E-2</v>
      </c>
      <c r="V454" s="4">
        <f>1/TWD!B454</f>
        <v>3.4479191807744024E-2</v>
      </c>
      <c r="W454" s="4">
        <f>1/TWD!C454</f>
        <v>3.4479310689620693E-2</v>
      </c>
      <c r="X454" s="4">
        <f>1/TWD!B454</f>
        <v>3.4479191807744024E-2</v>
      </c>
      <c r="Y454" s="4">
        <f>1/TWD!C454</f>
        <v>3.4479310689620693E-2</v>
      </c>
      <c r="Z454" s="4">
        <f>1/ZAR!B454</f>
        <v>0.14903129657228018</v>
      </c>
      <c r="AA454" s="4">
        <f>1/ZAR!C454</f>
        <v>0.14835254498790926</v>
      </c>
    </row>
    <row r="455" spans="1:27" x14ac:dyDescent="0.25">
      <c r="A455" t="str">
        <f>"07/04/2011"</f>
        <v>07/04/2011</v>
      </c>
      <c r="B455" s="3">
        <f>AUD!B455</f>
        <v>1.0452999999999999</v>
      </c>
      <c r="C455" s="3">
        <f>AUD!C455</f>
        <v>1.0414000000000001</v>
      </c>
      <c r="D455" s="3">
        <f>1/CAD!B455</f>
        <v>1.0400416016640666</v>
      </c>
      <c r="E455" s="3">
        <f>1/CAD!C455</f>
        <v>1.0392849719393058</v>
      </c>
      <c r="F455" s="3">
        <f>EUR!B455/1</f>
        <v>1.4302999999999999</v>
      </c>
      <c r="G455" s="3">
        <f>EUR!C455/1</f>
        <v>1.4294</v>
      </c>
      <c r="H455" s="3">
        <f>GBP!B455/1</f>
        <v>1.6298999999999999</v>
      </c>
      <c r="I455" s="3">
        <f>GBP!C455/1</f>
        <v>1.6293</v>
      </c>
      <c r="J455" s="4">
        <f>1/INR!B455</f>
        <v>2.2614201718679332E-2</v>
      </c>
      <c r="K455" s="4">
        <f>1/INR!C455</f>
        <v>2.2475698151373825E-2</v>
      </c>
      <c r="L455" s="4">
        <f>1/JPY!B455</f>
        <v>1.1730893307525367E-2</v>
      </c>
      <c r="M455" s="4">
        <f>1/JPY!C455</f>
        <v>1.1732599967618024E-2</v>
      </c>
      <c r="N455" s="5">
        <f>1/KRW!B455</f>
        <v>9.1776798825256984E-4</v>
      </c>
      <c r="O455" s="5">
        <f>1/KRW!C455</f>
        <v>9.1773050751873652E-4</v>
      </c>
      <c r="P455" s="3">
        <f>1/NOK!B455</f>
        <v>0.18268510568333363</v>
      </c>
      <c r="Q455" s="3">
        <f>1/NOK!C455</f>
        <v>0.18238856058947983</v>
      </c>
      <c r="R455" s="3">
        <f>NZD!B455/1</f>
        <v>0.7762</v>
      </c>
      <c r="S455" s="3">
        <f>NZD!C455/1</f>
        <v>0.77459999999999996</v>
      </c>
      <c r="T455" s="4">
        <f>1/PHP!B455</f>
        <v>2.3207240659085634E-2</v>
      </c>
      <c r="U455" s="4">
        <f>1/PHP!C455</f>
        <v>2.3166917641607783E-2</v>
      </c>
      <c r="V455" s="4">
        <f>1/TWD!B455</f>
        <v>3.4533964153745204E-2</v>
      </c>
      <c r="W455" s="4">
        <f>1/TWD!C455</f>
        <v>3.4534202674328655E-2</v>
      </c>
      <c r="X455" s="4">
        <f>1/TWD!B455</f>
        <v>3.4533964153745204E-2</v>
      </c>
      <c r="Y455" s="4">
        <f>1/TWD!C455</f>
        <v>3.4534202674328655E-2</v>
      </c>
      <c r="Z455" s="4">
        <f>1/ZAR!B455</f>
        <v>0.14968267273380434</v>
      </c>
      <c r="AA455" s="4">
        <f>1/ZAR!C455</f>
        <v>0.14902241297091082</v>
      </c>
    </row>
    <row r="456" spans="1:27" x14ac:dyDescent="0.25">
      <c r="A456" t="str">
        <f>"08/04/2011"</f>
        <v>08/04/2011</v>
      </c>
      <c r="B456" s="3">
        <f>AUD!B456</f>
        <v>1.0525</v>
      </c>
      <c r="C456" s="3">
        <f>AUD!C456</f>
        <v>1.0485</v>
      </c>
      <c r="D456" s="3">
        <f>1/CAD!B456</f>
        <v>1.0460251046025104</v>
      </c>
      <c r="E456" s="3">
        <f>1/CAD!C456</f>
        <v>1.0452597470471412</v>
      </c>
      <c r="F456" s="3">
        <f>EUR!B456/1</f>
        <v>1.4399</v>
      </c>
      <c r="G456" s="3">
        <f>EUR!C456/1</f>
        <v>1.4389000000000001</v>
      </c>
      <c r="H456" s="3">
        <f>GBP!B456/1</f>
        <v>1.6385000000000001</v>
      </c>
      <c r="I456" s="3">
        <f>GBP!C456/1</f>
        <v>1.6378999999999999</v>
      </c>
      <c r="J456" s="4">
        <f>1/INR!B456</f>
        <v>2.2711787417669771E-2</v>
      </c>
      <c r="K456" s="4">
        <f>1/INR!C456</f>
        <v>2.2573363431151242E-2</v>
      </c>
      <c r="L456" s="4">
        <f>1/JPY!B456</f>
        <v>1.1750467081066474E-2</v>
      </c>
      <c r="M456" s="4">
        <f>1/JPY!C456</f>
        <v>1.1752124196448509E-2</v>
      </c>
      <c r="N456" s="5">
        <f>1/KRW!B456</f>
        <v>9.2233905183545465E-4</v>
      </c>
      <c r="O456" s="5">
        <f>1/KRW!C456</f>
        <v>9.2232118728561793E-4</v>
      </c>
      <c r="P456" s="3">
        <f>1/NOK!B456</f>
        <v>0.1839215758400618</v>
      </c>
      <c r="Q456" s="3">
        <f>1/NOK!C456</f>
        <v>0.18362437797241962</v>
      </c>
      <c r="R456" s="3">
        <f>NZD!B456/1</f>
        <v>0.78169999999999995</v>
      </c>
      <c r="S456" s="3">
        <f>NZD!C456/1</f>
        <v>0.7802</v>
      </c>
      <c r="T456" s="4">
        <f>1/PHP!B456</f>
        <v>2.3239600278875203E-2</v>
      </c>
      <c r="U456" s="4">
        <f>1/PHP!C456</f>
        <v>2.3201856148491878E-2</v>
      </c>
      <c r="V456" s="4">
        <f>1/TWD!B456</f>
        <v>3.4514893176405617E-2</v>
      </c>
      <c r="W456" s="4">
        <f>1/TWD!C456</f>
        <v>3.451501230460189E-2</v>
      </c>
      <c r="X456" s="4">
        <f>1/TWD!B456</f>
        <v>3.4514893176405617E-2</v>
      </c>
      <c r="Y456" s="4">
        <f>1/TWD!C456</f>
        <v>3.451501230460189E-2</v>
      </c>
      <c r="Z456" s="4">
        <f>1/ZAR!B456</f>
        <v>0.15038046257030288</v>
      </c>
      <c r="AA456" s="4">
        <f>1/ZAR!C456</f>
        <v>0.14973422175638243</v>
      </c>
    </row>
    <row r="457" spans="1:27" x14ac:dyDescent="0.25">
      <c r="A457" t="str">
        <f>"11/04/2011"</f>
        <v>11/04/2011</v>
      </c>
      <c r="B457" s="3">
        <f>AUD!B457</f>
        <v>1.0565</v>
      </c>
      <c r="C457" s="3">
        <f>AUD!C457</f>
        <v>1.0525</v>
      </c>
      <c r="D457" s="3">
        <f>1/CAD!B457</f>
        <v>1.0466820180029306</v>
      </c>
      <c r="E457" s="3">
        <f>1/CAD!C457</f>
        <v>1.045915699194645</v>
      </c>
      <c r="F457" s="3">
        <f>EUR!B457/1</f>
        <v>1.4460999999999999</v>
      </c>
      <c r="G457" s="3">
        <f>EUR!C457/1</f>
        <v>1.4451000000000001</v>
      </c>
      <c r="H457" s="3">
        <f>GBP!B457/1</f>
        <v>1.6369</v>
      </c>
      <c r="I457" s="3">
        <f>GBP!C457/1</f>
        <v>1.6363000000000001</v>
      </c>
      <c r="J457" s="4">
        <f>1/INR!B457</f>
        <v>2.2647491790284226E-2</v>
      </c>
      <c r="K457" s="4">
        <f>1/INR!C457</f>
        <v>2.2503516174402251E-2</v>
      </c>
      <c r="L457" s="4">
        <f>1/JPY!B457</f>
        <v>1.1807490672082369E-2</v>
      </c>
      <c r="M457" s="4">
        <f>1/JPY!C457</f>
        <v>1.180909418343066E-2</v>
      </c>
      <c r="N457" s="5">
        <f>1/KRW!B457</f>
        <v>9.2191389324237114E-4</v>
      </c>
      <c r="O457" s="5">
        <f>1/KRW!C457</f>
        <v>9.2189604515815593E-4</v>
      </c>
      <c r="P457" s="3">
        <f>1/NOK!B457</f>
        <v>0.18553908380800413</v>
      </c>
      <c r="Q457" s="3">
        <f>1/NOK!C457</f>
        <v>0.18523663980735389</v>
      </c>
      <c r="R457" s="3">
        <f>NZD!B457/1</f>
        <v>0.78290000000000004</v>
      </c>
      <c r="S457" s="3">
        <f>NZD!C457/1</f>
        <v>0.78129999999999999</v>
      </c>
      <c r="T457" s="4">
        <f>1/PHP!B457</f>
        <v>2.3220712875885292E-2</v>
      </c>
      <c r="U457" s="4">
        <f>1/PHP!C457</f>
        <v>2.3193784065870346E-2</v>
      </c>
      <c r="V457" s="4">
        <f>1/TWD!B457</f>
        <v>3.4551862345380414E-2</v>
      </c>
      <c r="W457" s="4">
        <f>1/TWD!C457</f>
        <v>3.4551981728912058E-2</v>
      </c>
      <c r="X457" s="4">
        <f>1/TWD!B457</f>
        <v>3.4551862345380414E-2</v>
      </c>
      <c r="Y457" s="4">
        <f>1/TWD!C457</f>
        <v>3.4551981728912058E-2</v>
      </c>
      <c r="Z457" s="4">
        <f>1/ZAR!B457</f>
        <v>0.15031942878617061</v>
      </c>
      <c r="AA457" s="4">
        <f>1/ZAR!C457</f>
        <v>0.149678191887442</v>
      </c>
    </row>
    <row r="458" spans="1:27" x14ac:dyDescent="0.25">
      <c r="A458" t="str">
        <f>"13/04/2011"</f>
        <v>13/04/2011</v>
      </c>
      <c r="B458" s="3">
        <f>AUD!B458</f>
        <v>1.0464</v>
      </c>
      <c r="C458" s="3">
        <f>AUD!C458</f>
        <v>1.0423</v>
      </c>
      <c r="D458" s="3">
        <f>1/CAD!B458</f>
        <v>1.0395010395010396</v>
      </c>
      <c r="E458" s="3">
        <f>1/CAD!C458</f>
        <v>1.0387451958034695</v>
      </c>
      <c r="F458" s="3">
        <f>EUR!B458/1</f>
        <v>1.4477</v>
      </c>
      <c r="G458" s="3">
        <f>EUR!C458/1</f>
        <v>1.4466000000000001</v>
      </c>
      <c r="H458" s="3">
        <f>GBP!B458/1</f>
        <v>1.6257999999999999</v>
      </c>
      <c r="I458" s="3">
        <f>GBP!C458/1</f>
        <v>1.6252</v>
      </c>
      <c r="J458" s="4">
        <f>1/INR!B458</f>
        <v>2.247696111485727E-2</v>
      </c>
      <c r="K458" s="4">
        <f>1/INR!C458</f>
        <v>2.2336385972749607E-2</v>
      </c>
      <c r="L458" s="4">
        <f>1/JPY!B458</f>
        <v>1.1898458554694239E-2</v>
      </c>
      <c r="M458" s="4">
        <f>1/JPY!C458</f>
        <v>1.1900001904000304E-2</v>
      </c>
      <c r="N458" s="5">
        <f>1/KRW!B458</f>
        <v>9.1684239479233518E-4</v>
      </c>
      <c r="O458" s="5">
        <f>1/KRW!C458</f>
        <v>9.1680498961947546E-4</v>
      </c>
      <c r="P458" s="3">
        <f>1/NOK!B458</f>
        <v>0.18348287187391057</v>
      </c>
      <c r="Q458" s="3">
        <f>1/NOK!C458</f>
        <v>0.18317702227432592</v>
      </c>
      <c r="R458" s="3">
        <f>NZD!B458/1</f>
        <v>0.78610000000000002</v>
      </c>
      <c r="S458" s="3">
        <f>NZD!C458/1</f>
        <v>0.78449999999999998</v>
      </c>
      <c r="T458" s="4">
        <f>1/PHP!B458</f>
        <v>2.3105360443622922E-2</v>
      </c>
      <c r="U458" s="4">
        <f>1/PHP!C458</f>
        <v>2.3057412958266084E-2</v>
      </c>
      <c r="V458" s="4">
        <f>1/TWD!B458</f>
        <v>3.4393809114359415E-2</v>
      </c>
      <c r="W458" s="4">
        <f>1/TWD!C458</f>
        <v>3.439392740817681E-2</v>
      </c>
      <c r="X458" s="4">
        <f>1/TWD!B458</f>
        <v>3.4393809114359415E-2</v>
      </c>
      <c r="Y458" s="4">
        <f>1/TWD!C458</f>
        <v>3.439392740817681E-2</v>
      </c>
      <c r="Z458" s="4">
        <f>1/ZAR!B458</f>
        <v>0.1486038666726108</v>
      </c>
      <c r="AA458" s="4">
        <f>1/ZAR!C458</f>
        <v>0.14792461761486347</v>
      </c>
    </row>
    <row r="459" spans="1:27" x14ac:dyDescent="0.25">
      <c r="A459" t="str">
        <f>"15/04/2011"</f>
        <v>15/04/2011</v>
      </c>
      <c r="B459" s="3">
        <f>AUD!B459</f>
        <v>1.0528999999999999</v>
      </c>
      <c r="C459" s="3">
        <f>AUD!C459</f>
        <v>1.0488999999999999</v>
      </c>
      <c r="D459" s="3">
        <f>1/CAD!B459</f>
        <v>1.0399334442595674</v>
      </c>
      <c r="E459" s="3">
        <f>1/CAD!C459</f>
        <v>1.0391769718383039</v>
      </c>
      <c r="F459" s="3">
        <f>EUR!B459/1</f>
        <v>1.4468000000000001</v>
      </c>
      <c r="G459" s="3">
        <f>EUR!C459/1</f>
        <v>1.4458</v>
      </c>
      <c r="H459" s="3">
        <f>GBP!B459/1</f>
        <v>1.6338999999999999</v>
      </c>
      <c r="I459" s="3">
        <f>GBP!C459/1</f>
        <v>1.6333</v>
      </c>
      <c r="J459" s="4">
        <f>1/INR!B459</f>
        <v>2.247191011235955E-2</v>
      </c>
      <c r="K459" s="4">
        <f>1/INR!C459</f>
        <v>2.2337633327748924E-2</v>
      </c>
      <c r="L459" s="4">
        <f>1/JPY!B459</f>
        <v>1.1987820374499508E-2</v>
      </c>
      <c r="M459" s="4">
        <f>1/JPY!C459</f>
        <v>1.1989660117115001E-2</v>
      </c>
      <c r="N459" s="5">
        <f>1/KRW!B459</f>
        <v>9.1785222579164757E-4</v>
      </c>
      <c r="O459" s="5">
        <f>1/KRW!C459</f>
        <v>9.1781431698553058E-4</v>
      </c>
      <c r="P459" s="3">
        <f>1/NOK!B459</f>
        <v>0.18468584937022126</v>
      </c>
      <c r="Q459" s="3">
        <f>1/NOK!C459</f>
        <v>0.18438617841206623</v>
      </c>
      <c r="R459" s="3">
        <f>NZD!B459/1</f>
        <v>0.79459999999999997</v>
      </c>
      <c r="S459" s="3">
        <f>NZD!C459/1</f>
        <v>0.79300000000000004</v>
      </c>
      <c r="T459" s="4">
        <f>1/PHP!B459</f>
        <v>2.3132084200786492E-2</v>
      </c>
      <c r="U459" s="4">
        <f>1/PHP!C459</f>
        <v>2.3078698361412416E-2</v>
      </c>
      <c r="V459" s="4">
        <f>1/TWD!B459</f>
        <v>3.4447123665173954E-2</v>
      </c>
      <c r="W459" s="4">
        <f>1/TWD!C459</f>
        <v>3.4447242326015592E-2</v>
      </c>
      <c r="X459" s="4">
        <f>1/TWD!B459</f>
        <v>3.4447123665173954E-2</v>
      </c>
      <c r="Y459" s="4">
        <f>1/TWD!C459</f>
        <v>3.4447242326015592E-2</v>
      </c>
      <c r="Z459" s="4">
        <f>1/ZAR!B459</f>
        <v>0.1461646398503274</v>
      </c>
      <c r="AA459" s="4">
        <f>1/ZAR!C459</f>
        <v>0.14552227946098548</v>
      </c>
    </row>
    <row r="460" spans="1:27" x14ac:dyDescent="0.25">
      <c r="A460" t="str">
        <f>"18/04/2011"</f>
        <v>18/04/2011</v>
      </c>
      <c r="B460" s="3">
        <f>AUD!B460</f>
        <v>1.0565</v>
      </c>
      <c r="C460" s="3">
        <f>AUD!C460</f>
        <v>1.0525</v>
      </c>
      <c r="D460" s="3">
        <f>1/CAD!B460</f>
        <v>1.0396091069757771</v>
      </c>
      <c r="E460" s="3">
        <f>1/CAD!C460</f>
        <v>1.0388531061707875</v>
      </c>
      <c r="F460" s="3">
        <f>EUR!B460/1</f>
        <v>1.4382999999999999</v>
      </c>
      <c r="G460" s="3">
        <f>EUR!C460/1</f>
        <v>1.4373</v>
      </c>
      <c r="H460" s="3">
        <f>GBP!B460/1</f>
        <v>1.6307</v>
      </c>
      <c r="I460" s="3">
        <f>GBP!C460/1</f>
        <v>1.6307</v>
      </c>
      <c r="J460" s="4">
        <f>1/INR!B460</f>
        <v>2.2578460149017838E-2</v>
      </c>
      <c r="K460" s="4">
        <f>1/INR!C460</f>
        <v>2.2439133849433412E-2</v>
      </c>
      <c r="L460" s="4">
        <f>1/JPY!B460</f>
        <v>1.2057926277838736E-2</v>
      </c>
      <c r="M460" s="4">
        <f>1/JPY!C460</f>
        <v>1.2059031370364208E-2</v>
      </c>
      <c r="N460" s="5">
        <f>1/KRW!B460</f>
        <v>9.1709464416727803E-4</v>
      </c>
      <c r="O460" s="5">
        <f>1/KRW!C460</f>
        <v>9.1707614116369625E-4</v>
      </c>
      <c r="P460" s="3">
        <f>1/NOK!B460</f>
        <v>0.18554941180836457</v>
      </c>
      <c r="Q460" s="3">
        <f>1/NOK!C460</f>
        <v>0.18524693416323959</v>
      </c>
      <c r="R460" s="3">
        <f>NZD!B460/1</f>
        <v>0.79449999999999998</v>
      </c>
      <c r="S460" s="3">
        <f>NZD!C460/1</f>
        <v>0.79290000000000005</v>
      </c>
      <c r="T460" s="4">
        <f>1/PHP!B460</f>
        <v>2.3105360443622922E-2</v>
      </c>
      <c r="U460" s="4">
        <f>1/PHP!C460</f>
        <v>2.3052097740894419E-2</v>
      </c>
      <c r="V460" s="4">
        <f>1/TWD!B460</f>
        <v>3.4387895460797804E-2</v>
      </c>
      <c r="W460" s="4">
        <f>1/TWD!C460</f>
        <v>3.4388013713939868E-2</v>
      </c>
      <c r="X460" s="4">
        <f>1/TWD!B460</f>
        <v>3.4387895460797804E-2</v>
      </c>
      <c r="Y460" s="4">
        <f>1/TWD!C460</f>
        <v>3.4388013713939868E-2</v>
      </c>
      <c r="Z460" s="4">
        <f>1/ZAR!B460</f>
        <v>0.14667918329030744</v>
      </c>
      <c r="AA460" s="4">
        <f>1/ZAR!C460</f>
        <v>0.14606003067260645</v>
      </c>
    </row>
    <row r="461" spans="1:27" x14ac:dyDescent="0.25">
      <c r="A461" t="str">
        <f>"19/04/2011"</f>
        <v>19/04/2011</v>
      </c>
      <c r="B461" s="3">
        <f>AUD!B461</f>
        <v>1.0466</v>
      </c>
      <c r="C461" s="3">
        <f>AUD!C461</f>
        <v>1.0424</v>
      </c>
      <c r="D461" s="3">
        <f>1/CAD!B461</f>
        <v>1.0355182768975872</v>
      </c>
      <c r="E461" s="3">
        <f>1/CAD!C461</f>
        <v>1.0347682119205297</v>
      </c>
      <c r="F461" s="3">
        <f>EUR!B461/1</f>
        <v>1.4222999999999999</v>
      </c>
      <c r="G461" s="3">
        <f>EUR!C461/1</f>
        <v>1.4212</v>
      </c>
      <c r="H461" s="3">
        <f>GBP!B461/1</f>
        <v>1.6251</v>
      </c>
      <c r="I461" s="3">
        <f>GBP!C461/1</f>
        <v>1.6251</v>
      </c>
      <c r="J461" s="4">
        <f>1/INR!B461</f>
        <v>2.238889510802642E-2</v>
      </c>
      <c r="K461" s="4">
        <f>1/INR!C461</f>
        <v>2.2243229716954901E-2</v>
      </c>
      <c r="L461" s="4">
        <f>1/JPY!B461</f>
        <v>1.2130769697337295E-2</v>
      </c>
      <c r="M461" s="4">
        <f>1/JPY!C461</f>
        <v>1.2132035367309503E-2</v>
      </c>
      <c r="N461" s="5">
        <f>1/KRW!B461</f>
        <v>9.1516427198682162E-4</v>
      </c>
      <c r="O461" s="5">
        <f>1/KRW!C461</f>
        <v>9.1512574742895415E-4</v>
      </c>
      <c r="P461" s="3">
        <f>1/NOK!B461</f>
        <v>0.18226888305628464</v>
      </c>
      <c r="Q461" s="3">
        <f>1/NOK!C461</f>
        <v>0.18197368660491692</v>
      </c>
      <c r="R461" s="3">
        <f>NZD!B461/1</f>
        <v>0.78400000000000003</v>
      </c>
      <c r="S461" s="3">
        <f>NZD!C461/1</f>
        <v>0.7823</v>
      </c>
      <c r="T461" s="4">
        <f>1/PHP!B461</f>
        <v>2.3052097740894419E-2</v>
      </c>
      <c r="U461" s="4">
        <f>1/PHP!C461</f>
        <v>2.2988505747126436E-2</v>
      </c>
      <c r="V461" s="4">
        <f>1/TWD!B461</f>
        <v>3.430531732418525E-2</v>
      </c>
      <c r="W461" s="4">
        <f>1/TWD!C461</f>
        <v>3.4305435010068649E-2</v>
      </c>
      <c r="X461" s="4">
        <f>1/TWD!B461</f>
        <v>3.430531732418525E-2</v>
      </c>
      <c r="Y461" s="4">
        <f>1/TWD!C461</f>
        <v>3.4305435010068649E-2</v>
      </c>
      <c r="Z461" s="4">
        <f>1/ZAR!B461</f>
        <v>0.14587892049598833</v>
      </c>
      <c r="AA461" s="4">
        <f>1/ZAR!C461</f>
        <v>0.14525383106979448</v>
      </c>
    </row>
    <row r="462" spans="1:27" x14ac:dyDescent="0.25">
      <c r="A462" t="str">
        <f>"20/04/2011"</f>
        <v>20/04/2011</v>
      </c>
      <c r="B462" s="3">
        <f>AUD!B462</f>
        <v>1.0583</v>
      </c>
      <c r="C462" s="3">
        <f>AUD!C462</f>
        <v>1.0543</v>
      </c>
      <c r="D462" s="3">
        <f>1/CAD!B462</f>
        <v>1.0473397570171763</v>
      </c>
      <c r="E462" s="3">
        <f>1/CAD!C462</f>
        <v>1.0466820180029306</v>
      </c>
      <c r="F462" s="3">
        <f>EUR!B462/1</f>
        <v>1.4390000000000001</v>
      </c>
      <c r="G462" s="3">
        <f>EUR!C462/1</f>
        <v>1.4379</v>
      </c>
      <c r="H462" s="3">
        <f>GBP!B462/1</f>
        <v>1.6342000000000001</v>
      </c>
      <c r="I462" s="3">
        <f>GBP!C462/1</f>
        <v>1.6342000000000001</v>
      </c>
      <c r="J462" s="4">
        <f>1/INR!B462</f>
        <v>2.2514916131937408E-2</v>
      </c>
      <c r="K462" s="4">
        <f>1/INR!C462</f>
        <v>2.2373867322966774E-2</v>
      </c>
      <c r="L462" s="4">
        <f>1/JPY!B462</f>
        <v>1.205254911413764E-2</v>
      </c>
      <c r="M462" s="4">
        <f>1/JPY!C462</f>
        <v>1.2053609634209109E-2</v>
      </c>
      <c r="N462" s="5">
        <f>1/KRW!B462</f>
        <v>9.227646027498385E-4</v>
      </c>
      <c r="O462" s="5">
        <f>1/KRW!C462</f>
        <v>9.227250099538961E-4</v>
      </c>
      <c r="P462" s="3">
        <f>1/NOK!B462</f>
        <v>0.18492492048228418</v>
      </c>
      <c r="Q462" s="3">
        <f>1/NOK!C462</f>
        <v>0.18461424852770139</v>
      </c>
      <c r="R462" s="3">
        <f>NZD!B462/1</f>
        <v>0.79310000000000003</v>
      </c>
      <c r="S462" s="3">
        <f>NZD!C462/1</f>
        <v>0.79149999999999998</v>
      </c>
      <c r="T462" s="4">
        <f>1/PHP!B462</f>
        <v>2.3132084200786492E-2</v>
      </c>
      <c r="U462" s="4">
        <f>1/PHP!C462</f>
        <v>2.3073373327180433E-2</v>
      </c>
      <c r="V462" s="4">
        <f>1/TWD!B462</f>
        <v>3.4488704949129159E-2</v>
      </c>
      <c r="W462" s="4">
        <f>1/TWD!C462</f>
        <v>3.4488823896616297E-2</v>
      </c>
      <c r="X462" s="4">
        <f>1/TWD!B462</f>
        <v>3.4488704949129159E-2</v>
      </c>
      <c r="Y462" s="4">
        <f>1/TWD!C462</f>
        <v>3.4488823896616297E-2</v>
      </c>
      <c r="Z462" s="4">
        <f>1/ZAR!B462</f>
        <v>0.1472016957635352</v>
      </c>
      <c r="AA462" s="4">
        <f>1/ZAR!C462</f>
        <v>0.14651585301529627</v>
      </c>
    </row>
    <row r="463" spans="1:27" x14ac:dyDescent="0.25">
      <c r="A463" t="str">
        <f>"21/04/2011"</f>
        <v>21/04/2011</v>
      </c>
      <c r="B463" s="3">
        <f>AUD!B463</f>
        <v>1.0742</v>
      </c>
      <c r="C463" s="3">
        <f>AUD!C463</f>
        <v>1.0698000000000001</v>
      </c>
      <c r="D463" s="3">
        <f>1/CAD!B463</f>
        <v>1.0538518284329224</v>
      </c>
      <c r="E463" s="3">
        <f>1/CAD!C463</f>
        <v>1.0530749789385003</v>
      </c>
      <c r="F463" s="3">
        <f>EUR!B463/1</f>
        <v>1.4568000000000001</v>
      </c>
      <c r="G463" s="3">
        <f>EUR!C463/1</f>
        <v>1.4557</v>
      </c>
      <c r="H463" s="3">
        <f>GBP!B463/1</f>
        <v>1.6432</v>
      </c>
      <c r="I463" s="3">
        <f>GBP!C463/1</f>
        <v>1.6432</v>
      </c>
      <c r="J463" s="4">
        <f>1/INR!B463</f>
        <v>2.2563176895306861E-2</v>
      </c>
      <c r="K463" s="4">
        <f>1/INR!C463</f>
        <v>2.2424038569346341E-2</v>
      </c>
      <c r="L463" s="4">
        <f>1/JPY!B463</f>
        <v>1.2159089527376191E-2</v>
      </c>
      <c r="M463" s="4">
        <f>1/JPY!C463</f>
        <v>1.2160168880425412E-2</v>
      </c>
      <c r="N463" s="5">
        <f>1/KRW!B463</f>
        <v>9.2656937688209403E-4</v>
      </c>
      <c r="O463" s="5">
        <f>1/KRW!C463</f>
        <v>9.2653031537702144E-4</v>
      </c>
      <c r="P463" s="3">
        <f>1/NOK!B463</f>
        <v>0.18730450092715728</v>
      </c>
      <c r="Q463" s="3">
        <f>1/NOK!C463</f>
        <v>0.18698578908002991</v>
      </c>
      <c r="R463" s="3">
        <f>NZD!B463/1</f>
        <v>0.79949999999999999</v>
      </c>
      <c r="S463" s="3">
        <f>NZD!C463/1</f>
        <v>0.79779999999999995</v>
      </c>
      <c r="T463" s="4">
        <f>1/PHP!B463</f>
        <v>2.3161551823972209E-2</v>
      </c>
      <c r="U463" s="4">
        <f>1/PHP!C463</f>
        <v>2.3110166162094704E-2</v>
      </c>
      <c r="V463" s="4">
        <f>1/TWD!B463</f>
        <v>3.458891079519906E-2</v>
      </c>
      <c r="W463" s="4">
        <f>1/TWD!C463</f>
        <v>3.4589030434887875E-2</v>
      </c>
      <c r="X463" s="4">
        <f>1/TWD!B463</f>
        <v>3.458891079519906E-2</v>
      </c>
      <c r="Y463" s="4">
        <f>1/TWD!C463</f>
        <v>3.4589030434887875E-2</v>
      </c>
      <c r="Z463" s="4">
        <f>1/ZAR!B463</f>
        <v>0.14727540500736377</v>
      </c>
      <c r="AA463" s="4">
        <f>1/ZAR!C463</f>
        <v>0.14663616634406709</v>
      </c>
    </row>
    <row r="464" spans="1:27" x14ac:dyDescent="0.25">
      <c r="A464" t="str">
        <f>"25/04/2011"</f>
        <v>25/04/2011</v>
      </c>
      <c r="B464" s="3">
        <f>AUD!B464</f>
        <v>1.0719000000000001</v>
      </c>
      <c r="C464" s="3">
        <f>AUD!C464</f>
        <v>1.0674999999999999</v>
      </c>
      <c r="D464" s="3">
        <f>1/CAD!B464</f>
        <v>1.0488777008600796</v>
      </c>
      <c r="E464" s="3">
        <f>1/CAD!C464</f>
        <v>1.0481081647626036</v>
      </c>
      <c r="F464" s="3">
        <f>EUR!B464/1</f>
        <v>1.4552</v>
      </c>
      <c r="G464" s="3">
        <f>EUR!C464/1</f>
        <v>1.4540999999999999</v>
      </c>
      <c r="H464" s="3">
        <f>GBP!B464/1</f>
        <v>1.6507000000000001</v>
      </c>
      <c r="I464" s="3">
        <f>GBP!C464/1</f>
        <v>1.65</v>
      </c>
      <c r="J464" s="4">
        <f>1/INR!B464</f>
        <v>2.2482014388489211E-2</v>
      </c>
      <c r="K464" s="4">
        <f>1/INR!C464</f>
        <v>2.2343872193051055E-2</v>
      </c>
      <c r="L464" s="4">
        <f>1/JPY!B464</f>
        <v>1.2175225850439526E-2</v>
      </c>
      <c r="M464" s="4">
        <f>1/JPY!C464</f>
        <v>1.2176382202025663E-2</v>
      </c>
      <c r="N464" s="5">
        <f>1/KRW!B464</f>
        <v>9.2387287509238718E-4</v>
      </c>
      <c r="O464" s="5">
        <f>1/KRW!C464</f>
        <v>9.2385367081707938E-4</v>
      </c>
      <c r="P464" s="3">
        <f>1/NOK!B464</f>
        <v>0.1863932898415657</v>
      </c>
      <c r="Q464" s="3">
        <f>1/NOK!C464</f>
        <v>0.18607766881896504</v>
      </c>
      <c r="R464" s="3">
        <f>NZD!B464/1</f>
        <v>0.80020000000000002</v>
      </c>
      <c r="S464" s="3">
        <f>NZD!C464/1</f>
        <v>0.79859999999999998</v>
      </c>
      <c r="T464" s="4">
        <f>1/PHP!B464</f>
        <v>2.3140113386555593E-2</v>
      </c>
      <c r="U464" s="4">
        <f>1/PHP!C464</f>
        <v>2.3092021706500404E-2</v>
      </c>
      <c r="V464" s="4">
        <f>1/TWD!B464</f>
        <v>3.4566194262011754E-2</v>
      </c>
      <c r="W464" s="4">
        <f>1/TWD!C464</f>
        <v>3.4567150145873374E-2</v>
      </c>
      <c r="X464" s="4">
        <f>1/TWD!B464</f>
        <v>3.4566194262011754E-2</v>
      </c>
      <c r="Y464" s="4">
        <f>1/TWD!C464</f>
        <v>3.4567150145873374E-2</v>
      </c>
      <c r="Z464" s="4">
        <f>1/ZAR!B464</f>
        <v>0.14893141708243354</v>
      </c>
      <c r="AA464" s="4">
        <f>1/ZAR!C464</f>
        <v>0.14823818912228168</v>
      </c>
    </row>
    <row r="465" spans="1:27" x14ac:dyDescent="0.25">
      <c r="A465" t="str">
        <f>"26/04/2011"</f>
        <v>26/04/2011</v>
      </c>
      <c r="B465" s="3">
        <f>AUD!B465</f>
        <v>1.0682</v>
      </c>
      <c r="C465" s="3">
        <f>AUD!C465</f>
        <v>1.0638000000000001</v>
      </c>
      <c r="D465" s="3">
        <f>1/CAD!B465</f>
        <v>1.0471204188481675</v>
      </c>
      <c r="E465" s="3">
        <f>1/CAD!C465</f>
        <v>1.0463534581981793</v>
      </c>
      <c r="F465" s="3">
        <f>EUR!B465/1</f>
        <v>1.4525999999999999</v>
      </c>
      <c r="G465" s="3">
        <f>EUR!C465/1</f>
        <v>1.4513</v>
      </c>
      <c r="H465" s="3">
        <f>GBP!B465/1</f>
        <v>1.6458999999999999</v>
      </c>
      <c r="I465" s="3">
        <f>GBP!C465/1</f>
        <v>1.6452</v>
      </c>
      <c r="J465" s="4">
        <f>1/INR!B465</f>
        <v>2.2419011321600717E-2</v>
      </c>
      <c r="K465" s="4">
        <f>1/INR!C465</f>
        <v>2.2271714922048998E-2</v>
      </c>
      <c r="L465" s="4">
        <f>1/JPY!B465</f>
        <v>1.2244398187829068E-2</v>
      </c>
      <c r="M465" s="4">
        <f>1/JPY!C465</f>
        <v>1.2245732668308411E-2</v>
      </c>
      <c r="N465" s="5">
        <f>1/KRW!B465</f>
        <v>9.2055601583356352E-4</v>
      </c>
      <c r="O465" s="5">
        <f>1/KRW!C465</f>
        <v>9.205170360087854E-4</v>
      </c>
      <c r="P465" s="3">
        <f>1/NOK!B465</f>
        <v>0.18598076958842455</v>
      </c>
      <c r="Q465" s="3">
        <f>1/NOK!C465</f>
        <v>0.18566309574645848</v>
      </c>
      <c r="R465" s="3">
        <f>NZD!B465/1</f>
        <v>0.79990000000000006</v>
      </c>
      <c r="S465" s="3">
        <f>NZD!C465/1</f>
        <v>0.79830000000000001</v>
      </c>
      <c r="T465" s="4">
        <f>1/PHP!B465</f>
        <v>2.3108030040439053E-2</v>
      </c>
      <c r="U465" s="4">
        <f>1/PHP!C465</f>
        <v>2.3061666897283336E-2</v>
      </c>
      <c r="V465" s="4">
        <f>1/TWD!B465</f>
        <v>3.455425017277125E-2</v>
      </c>
      <c r="W465" s="4">
        <f>1/TWD!C465</f>
        <v>3.455425017277125E-2</v>
      </c>
      <c r="X465" s="4">
        <f>1/TWD!B465</f>
        <v>3.455425017277125E-2</v>
      </c>
      <c r="Y465" s="4">
        <f>1/TWD!C465</f>
        <v>3.455425017277125E-2</v>
      </c>
      <c r="Z465" s="4">
        <f>1/ZAR!B465</f>
        <v>0.14829314589079692</v>
      </c>
      <c r="AA465" s="4">
        <f>1/ZAR!C465</f>
        <v>0.14760147601476015</v>
      </c>
    </row>
    <row r="466" spans="1:27" x14ac:dyDescent="0.25">
      <c r="A466" t="str">
        <f>"27/04/2011"</f>
        <v>27/04/2011</v>
      </c>
      <c r="B466" s="3">
        <f>AUD!B466</f>
        <v>1.0829</v>
      </c>
      <c r="C466" s="3">
        <f>AUD!C466</f>
        <v>1.0789</v>
      </c>
      <c r="D466" s="3">
        <f>1/CAD!B466</f>
        <v>1.0526315789473684</v>
      </c>
      <c r="E466" s="3">
        <f>1/CAD!C466</f>
        <v>1.0518565267697486</v>
      </c>
      <c r="F466" s="3">
        <f>EUR!B466/1</f>
        <v>1.4685999999999999</v>
      </c>
      <c r="G466" s="3">
        <f>EUR!C466/1</f>
        <v>1.4673</v>
      </c>
      <c r="H466" s="3">
        <f>GBP!B466/1</f>
        <v>1.6495</v>
      </c>
      <c r="I466" s="3">
        <f>GBP!C466/1</f>
        <v>1.6489</v>
      </c>
      <c r="J466" s="4">
        <f>1/INR!B466</f>
        <v>2.2506048500534521E-2</v>
      </c>
      <c r="K466" s="4">
        <f>1/INR!C466</f>
        <v>2.2360109564536868E-2</v>
      </c>
      <c r="L466" s="4">
        <f>1/JPY!B466</f>
        <v>1.2263167576184928E-2</v>
      </c>
      <c r="M466" s="4">
        <f>1/JPY!C466</f>
        <v>1.2264295569523227E-2</v>
      </c>
      <c r="N466" s="5">
        <f>1/KRW!B466</f>
        <v>9.2695587690025958E-4</v>
      </c>
      <c r="O466" s="5">
        <f>1/KRW!C466</f>
        <v>9.2691678280161537E-4</v>
      </c>
      <c r="P466" s="3">
        <f>1/NOK!B466</f>
        <v>0.18901447850905378</v>
      </c>
      <c r="Q466" s="3">
        <f>1/NOK!C466</f>
        <v>0.18866144703329873</v>
      </c>
      <c r="R466" s="3">
        <f>NZD!B466/1</f>
        <v>0.80620000000000003</v>
      </c>
      <c r="S466" s="3">
        <f>NZD!C466/1</f>
        <v>0.80449999999999999</v>
      </c>
      <c r="T466" s="4">
        <f>1/PHP!B466</f>
        <v>2.3148148148148147E-2</v>
      </c>
      <c r="U466" s="4">
        <f>1/PHP!C466</f>
        <v>2.3100023100023102E-2</v>
      </c>
      <c r="V466" s="4">
        <f>1/TWD!B466</f>
        <v>3.4662045060658578E-2</v>
      </c>
      <c r="W466" s="4">
        <f>1/TWD!C466</f>
        <v>3.4662045060658578E-2</v>
      </c>
      <c r="X466" s="4">
        <f>1/TWD!B466</f>
        <v>3.4662045060658578E-2</v>
      </c>
      <c r="Y466" s="4">
        <f>1/TWD!C466</f>
        <v>3.4662045060658578E-2</v>
      </c>
      <c r="Z466" s="4">
        <f>1/ZAR!B466</f>
        <v>0.14986212684330416</v>
      </c>
      <c r="AA466" s="4">
        <f>1/ZAR!C466</f>
        <v>0.14918025450151418</v>
      </c>
    </row>
    <row r="467" spans="1:27" x14ac:dyDescent="0.25">
      <c r="A467" t="str">
        <f>"28/04/2011"</f>
        <v>28/04/2011</v>
      </c>
      <c r="B467" s="3">
        <f>AUD!B467</f>
        <v>1.0934999999999999</v>
      </c>
      <c r="C467" s="3">
        <f>AUD!C467</f>
        <v>1.0891999999999999</v>
      </c>
      <c r="D467" s="3">
        <f>1/CAD!B467</f>
        <v>1.0557432432432432</v>
      </c>
      <c r="E467" s="3">
        <f>1/CAD!C467</f>
        <v>1.0549636037556704</v>
      </c>
      <c r="F467" s="3">
        <f>EUR!B467/1</f>
        <v>1.4863</v>
      </c>
      <c r="G467" s="3">
        <f>EUR!C467/1</f>
        <v>1.4849000000000001</v>
      </c>
      <c r="H467" s="3">
        <f>GBP!B467/1</f>
        <v>1.6720999999999999</v>
      </c>
      <c r="I467" s="3">
        <f>GBP!C467/1</f>
        <v>1.6714</v>
      </c>
      <c r="J467" s="4">
        <f>1/INR!B467</f>
        <v>2.2579734688117414E-2</v>
      </c>
      <c r="K467" s="4">
        <f>1/INR!C467</f>
        <v>2.2422781546050791E-2</v>
      </c>
      <c r="L467" s="4">
        <f>1/JPY!B467</f>
        <v>1.2223519273434014E-2</v>
      </c>
      <c r="M467" s="4">
        <f>1/JPY!C467</f>
        <v>1.2224894040730903E-2</v>
      </c>
      <c r="N467" s="5">
        <f>1/KRW!B467</f>
        <v>9.3196644920782849E-4</v>
      </c>
      <c r="O467" s="5">
        <f>1/KRW!C467</f>
        <v>9.3192606285002566E-4</v>
      </c>
      <c r="P467" s="3">
        <f>1/NOK!B467</f>
        <v>0.190262371810727</v>
      </c>
      <c r="Q467" s="3">
        <f>1/NOK!C467</f>
        <v>0.18991909446575761</v>
      </c>
      <c r="R467" s="3">
        <f>NZD!B467/1</f>
        <v>0.8075</v>
      </c>
      <c r="S467" s="3">
        <f>NZD!C467/1</f>
        <v>0.80579999999999996</v>
      </c>
      <c r="T467" s="4">
        <f>1/PHP!B467</f>
        <v>2.3228803716608595E-2</v>
      </c>
      <c r="U467" s="4">
        <f>1/PHP!C467</f>
        <v>2.319109461966605E-2</v>
      </c>
      <c r="V467" s="4">
        <f>1/TWD!B467</f>
        <v>3.481772918770238E-2</v>
      </c>
      <c r="W467" s="4">
        <f>1/TWD!C467</f>
        <v>3.481772918770238E-2</v>
      </c>
      <c r="X467" s="4">
        <f>1/TWD!B467</f>
        <v>3.481772918770238E-2</v>
      </c>
      <c r="Y467" s="4">
        <f>1/TWD!C467</f>
        <v>3.481772918770238E-2</v>
      </c>
      <c r="Z467" s="4">
        <f>1/ZAR!B467</f>
        <v>0.15153811183512653</v>
      </c>
      <c r="AA467" s="4">
        <f>1/ZAR!C467</f>
        <v>0.15087052291723244</v>
      </c>
    </row>
    <row r="468" spans="1:27" x14ac:dyDescent="0.25">
      <c r="A468" t="str">
        <f>"29/04/2011"</f>
        <v>29/04/2011</v>
      </c>
      <c r="B468" s="3">
        <f>AUD!B468</f>
        <v>1.0908</v>
      </c>
      <c r="C468" s="3">
        <f>AUD!C468</f>
        <v>1.0865</v>
      </c>
      <c r="D468" s="3">
        <f>1/CAD!B468</f>
        <v>1.0510826150935464</v>
      </c>
      <c r="E468" s="3">
        <f>1/CAD!C468</f>
        <v>1.0503098414032139</v>
      </c>
      <c r="F468" s="3">
        <f>EUR!B468/1</f>
        <v>1.4832000000000001</v>
      </c>
      <c r="G468" s="3">
        <f>EUR!C468/1</f>
        <v>1.4819</v>
      </c>
      <c r="H468" s="3">
        <f>GBP!B468/1</f>
        <v>1.6656</v>
      </c>
      <c r="I468" s="3">
        <f>GBP!C468/1</f>
        <v>1.6649</v>
      </c>
      <c r="J468" s="4">
        <f>1/INR!B468</f>
        <v>2.2512381809995496E-2</v>
      </c>
      <c r="K468" s="4">
        <f>1/INR!C468</f>
        <v>2.2371364653243846E-2</v>
      </c>
      <c r="L468" s="4">
        <f>1/JPY!B468</f>
        <v>1.226031092148497E-2</v>
      </c>
      <c r="M468" s="4">
        <f>1/JPY!C468</f>
        <v>1.2261739082454063E-2</v>
      </c>
      <c r="N468" s="5">
        <f>1/KRW!B468</f>
        <v>9.3144560357675123E-4</v>
      </c>
      <c r="O468" s="5">
        <f>1/KRW!C468</f>
        <v>9.3140439483163694E-4</v>
      </c>
      <c r="P468" s="3">
        <f>1/NOK!B468</f>
        <v>0.19071594766754396</v>
      </c>
      <c r="Q468" s="3">
        <f>1/NOK!C468</f>
        <v>0.19036740909956215</v>
      </c>
      <c r="R468" s="3">
        <f>NZD!B468/1</f>
        <v>0.80189999999999995</v>
      </c>
      <c r="S468" s="3">
        <f>NZD!C468/1</f>
        <v>0.80020000000000002</v>
      </c>
      <c r="T468" s="4">
        <f>1/PHP!B468</f>
        <v>2.3326335432703522E-2</v>
      </c>
      <c r="U468" s="4">
        <f>1/PHP!C468</f>
        <v>2.3287766936028503E-2</v>
      </c>
      <c r="V468" s="4">
        <f>1/TWD!B468</f>
        <v>3.4867503486750349E-2</v>
      </c>
      <c r="W468" s="4">
        <f>1/TWD!C468</f>
        <v>3.4867625061454188E-2</v>
      </c>
      <c r="X468" s="4">
        <f>1/TWD!B468</f>
        <v>3.4867503486750349E-2</v>
      </c>
      <c r="Y468" s="4">
        <f>1/TWD!C468</f>
        <v>3.4867625061454188E-2</v>
      </c>
      <c r="Z468" s="4">
        <f>1/ZAR!B468</f>
        <v>0.15129508593560881</v>
      </c>
      <c r="AA468" s="4">
        <f>1/ZAR!C468</f>
        <v>0.15064324666325207</v>
      </c>
    </row>
    <row r="469" spans="1:27" x14ac:dyDescent="0.25">
      <c r="A469" t="str">
        <f>"02/05/2011"</f>
        <v>02/05/2011</v>
      </c>
      <c r="B469" s="3">
        <f>AUD!B469</f>
        <v>1.0944</v>
      </c>
      <c r="C469" s="3">
        <f>AUD!C469</f>
        <v>1.0898000000000001</v>
      </c>
      <c r="D469" s="3">
        <f>1/CAD!B469</f>
        <v>1.0542962572482868</v>
      </c>
      <c r="E469" s="3">
        <f>1/CAD!C469</f>
        <v>1.0535187526337968</v>
      </c>
      <c r="F469" s="3">
        <f>EUR!B469/1</f>
        <v>1.4791000000000001</v>
      </c>
      <c r="G469" s="3">
        <f>EUR!C469/1</f>
        <v>1.4778</v>
      </c>
      <c r="H469" s="3">
        <f>GBP!B469/1</f>
        <v>1.6660999999999999</v>
      </c>
      <c r="I469" s="3">
        <f>GBP!C469/1</f>
        <v>1.6654</v>
      </c>
      <c r="J469" s="4">
        <f>1/INR!B469</f>
        <v>2.2555543024698321E-2</v>
      </c>
      <c r="K469" s="4">
        <f>1/INR!C469</f>
        <v>2.2407708251638566E-2</v>
      </c>
      <c r="L469" s="4">
        <f>1/JPY!B469</f>
        <v>1.2274456855284154E-2</v>
      </c>
      <c r="M469" s="4">
        <f>1/JPY!C469</f>
        <v>1.2275963663147559E-2</v>
      </c>
      <c r="N469" s="5">
        <f>1/KRW!B469</f>
        <v>9.3729496672602863E-4</v>
      </c>
      <c r="O469" s="5">
        <f>1/KRW!C469</f>
        <v>9.3725236035291305E-4</v>
      </c>
      <c r="P469" s="3">
        <f>1/NOK!B469</f>
        <v>0.19017191541153203</v>
      </c>
      <c r="Q469" s="3">
        <f>1/NOK!C469</f>
        <v>0.18982896410334288</v>
      </c>
      <c r="R469" s="3">
        <f>NZD!B469/1</f>
        <v>0.80640000000000001</v>
      </c>
      <c r="S469" s="3">
        <f>NZD!C469/1</f>
        <v>0.80449999999999999</v>
      </c>
      <c r="T469" s="4">
        <f>1/PHP!B469</f>
        <v>2.3408239700374533E-2</v>
      </c>
      <c r="U469" s="4">
        <f>1/PHP!C469</f>
        <v>2.3369946249123627E-2</v>
      </c>
      <c r="V469" s="4">
        <f>1/TWD!B469</f>
        <v>3.5014005602240897E-2</v>
      </c>
      <c r="W469" s="4">
        <f>1/TWD!C469</f>
        <v>3.5014005602240897E-2</v>
      </c>
      <c r="X469" s="4">
        <f>1/TWD!B469</f>
        <v>3.5014005602240897E-2</v>
      </c>
      <c r="Y469" s="4">
        <f>1/TWD!C469</f>
        <v>3.5014005602240897E-2</v>
      </c>
      <c r="Z469" s="4">
        <f>1/ZAR!B469</f>
        <v>0.15205887719725078</v>
      </c>
      <c r="AA469" s="4">
        <f>1/ZAR!C469</f>
        <v>0.151361496662479</v>
      </c>
    </row>
    <row r="470" spans="1:27" x14ac:dyDescent="0.25">
      <c r="A470" t="str">
        <f>"03/05/2011"</f>
        <v>03/05/2011</v>
      </c>
      <c r="B470" s="3">
        <f>AUD!B470</f>
        <v>1.0919000000000001</v>
      </c>
      <c r="C470" s="3">
        <f>AUD!C470</f>
        <v>1.0874999999999999</v>
      </c>
      <c r="D470" s="3">
        <f>1/CAD!B470</f>
        <v>1.0561892691170258</v>
      </c>
      <c r="E470" s="3">
        <f>1/CAD!C470</f>
        <v>1.0554089709762533</v>
      </c>
      <c r="F470" s="3">
        <f>EUR!B470/1</f>
        <v>1.4796</v>
      </c>
      <c r="G470" s="3">
        <f>EUR!C470/1</f>
        <v>1.4782999999999999</v>
      </c>
      <c r="H470" s="3">
        <f>GBP!B470/1</f>
        <v>1.6621999999999999</v>
      </c>
      <c r="I470" s="3">
        <f>GBP!C470/1</f>
        <v>1.6615</v>
      </c>
      <c r="J470" s="4">
        <f>1/INR!B470</f>
        <v>2.251618350689558E-2</v>
      </c>
      <c r="K470" s="4">
        <f>1/INR!C470</f>
        <v>2.2368862543339672E-2</v>
      </c>
      <c r="L470" s="4">
        <f>1/JPY!B470</f>
        <v>1.2339737657177408E-2</v>
      </c>
      <c r="M470" s="4">
        <f>1/JPY!C470</f>
        <v>1.2341169153000878E-2</v>
      </c>
      <c r="N470" s="5">
        <f>1/KRW!B470</f>
        <v>9.3361964335729626E-4</v>
      </c>
      <c r="O470" s="5">
        <f>1/KRW!C470</f>
        <v>9.3357824202549135E-4</v>
      </c>
      <c r="P470" s="3">
        <f>1/NOK!B470</f>
        <v>0.19028047341781787</v>
      </c>
      <c r="Q470" s="3">
        <f>1/NOK!C470</f>
        <v>0.18991188088726829</v>
      </c>
      <c r="R470" s="3">
        <f>NZD!B470/1</f>
        <v>0.80289999999999995</v>
      </c>
      <c r="S470" s="3">
        <f>NZD!C470/1</f>
        <v>0.80110000000000003</v>
      </c>
      <c r="T470" s="4">
        <f>1/PHP!B470</f>
        <v>2.3353573096683792E-2</v>
      </c>
      <c r="U470" s="4">
        <f>1/PHP!C470</f>
        <v>2.3304591004427874E-2</v>
      </c>
      <c r="V470" s="4">
        <f>1/TWD!B470</f>
        <v>3.4994400895856662E-2</v>
      </c>
      <c r="W470" s="4">
        <f>1/TWD!C470</f>
        <v>3.4994400895856662E-2</v>
      </c>
      <c r="X470" s="4">
        <f>1/TWD!B470</f>
        <v>3.4994400895856662E-2</v>
      </c>
      <c r="Y470" s="4">
        <f>1/TWD!C470</f>
        <v>3.4994400895856662E-2</v>
      </c>
      <c r="Z470" s="4">
        <f>1/ZAR!B470</f>
        <v>0.15087507543753773</v>
      </c>
      <c r="AA470" s="4">
        <f>1/ZAR!C470</f>
        <v>0.15018848655062103</v>
      </c>
    </row>
    <row r="471" spans="1:27" x14ac:dyDescent="0.25">
      <c r="A471" t="str">
        <f>"04/05/2011"</f>
        <v>04/05/2011</v>
      </c>
      <c r="B471" s="3">
        <f>AUD!B471</f>
        <v>1.0818000000000001</v>
      </c>
      <c r="C471" s="3">
        <f>AUD!C471</f>
        <v>1.0775999999999999</v>
      </c>
      <c r="D471" s="3">
        <f>1/CAD!B471</f>
        <v>1.0488777008600796</v>
      </c>
      <c r="E471" s="3">
        <f>1/CAD!C471</f>
        <v>1.0481081647626036</v>
      </c>
      <c r="F471" s="3">
        <f>EUR!B471/1</f>
        <v>1.4806999999999999</v>
      </c>
      <c r="G471" s="3">
        <f>EUR!C471/1</f>
        <v>1.4794</v>
      </c>
      <c r="H471" s="3">
        <f>GBP!B471/1</f>
        <v>1.6468</v>
      </c>
      <c r="I471" s="3">
        <f>GBP!C471/1</f>
        <v>1.6460999999999999</v>
      </c>
      <c r="J471" s="4">
        <f>1/INR!B471</f>
        <v>2.2435358124404062E-2</v>
      </c>
      <c r="K471" s="4">
        <f>1/INR!C471</f>
        <v>2.2297786944645747E-2</v>
      </c>
      <c r="L471" s="4">
        <f>1/JPY!B471</f>
        <v>1.2356051994266792E-2</v>
      </c>
      <c r="M471" s="4">
        <f>1/JPY!C471</f>
        <v>1.2357502548734901E-2</v>
      </c>
      <c r="N471" s="5">
        <f>1/KRW!B471</f>
        <v>9.3101201005492981E-4</v>
      </c>
      <c r="O471" s="5">
        <f>1/KRW!C471</f>
        <v>9.3097040631272417E-4</v>
      </c>
      <c r="P471" s="3">
        <f>1/NOK!B471</f>
        <v>0.18872197478674416</v>
      </c>
      <c r="Q471" s="3">
        <f>1/NOK!C471</f>
        <v>0.18835584185643517</v>
      </c>
      <c r="R471" s="3">
        <f>NZD!B471/1</f>
        <v>0.79410000000000003</v>
      </c>
      <c r="S471" s="3">
        <f>NZD!C471/1</f>
        <v>0.79239999999999999</v>
      </c>
      <c r="T471" s="4">
        <f>1/PHP!B471</f>
        <v>2.3261223540358221E-2</v>
      </c>
      <c r="U471" s="4">
        <f>1/PHP!C471</f>
        <v>2.3215322112594312E-2</v>
      </c>
      <c r="V471" s="4">
        <f>1/TWD!B471</f>
        <v>3.4989503149055287E-2</v>
      </c>
      <c r="W471" s="4">
        <f>1/TWD!C471</f>
        <v>3.498962557601671E-2</v>
      </c>
      <c r="X471" s="4">
        <f>1/TWD!B471</f>
        <v>3.4989503149055287E-2</v>
      </c>
      <c r="Y471" s="4">
        <f>1/TWD!C471</f>
        <v>3.498962557601671E-2</v>
      </c>
      <c r="Z471" s="4">
        <f>1/ZAR!B471</f>
        <v>0.15028554253080853</v>
      </c>
      <c r="AA471" s="4">
        <f>1/ZAR!C471</f>
        <v>0.1496177267082604</v>
      </c>
    </row>
    <row r="472" spans="1:27" x14ac:dyDescent="0.25">
      <c r="A472" t="str">
        <f>"05/05/2011"</f>
        <v>05/05/2011</v>
      </c>
      <c r="B472" s="3">
        <f>AUD!B472</f>
        <v>1.0739000000000001</v>
      </c>
      <c r="C472" s="3">
        <f>AUD!C472</f>
        <v>1.0697000000000001</v>
      </c>
      <c r="D472" s="3">
        <f>1/CAD!B472</f>
        <v>1.0436234606553956</v>
      </c>
      <c r="E472" s="3">
        <f>1/CAD!C472</f>
        <v>1.0428616122640526</v>
      </c>
      <c r="F472" s="3">
        <f>EUR!B472/1</f>
        <v>1.4863999999999999</v>
      </c>
      <c r="G472" s="3">
        <f>EUR!C472/1</f>
        <v>1.4852000000000001</v>
      </c>
      <c r="H472" s="3">
        <f>GBP!B472/1</f>
        <v>1.6519999999999999</v>
      </c>
      <c r="I472" s="3">
        <f>GBP!C472/1</f>
        <v>1.6513</v>
      </c>
      <c r="J472" s="4">
        <f>1/INR!B472</f>
        <v>2.2451728783116302E-2</v>
      </c>
      <c r="K472" s="4">
        <f>1/INR!C472</f>
        <v>2.2310223659992193E-2</v>
      </c>
      <c r="L472" s="4">
        <f>1/JPY!B472</f>
        <v>1.2422514565398328E-2</v>
      </c>
      <c r="M472" s="4">
        <f>1/JPY!C472</f>
        <v>1.2423810979170238E-2</v>
      </c>
      <c r="N472" s="5">
        <f>1/KRW!B472</f>
        <v>9.246844514309491E-4</v>
      </c>
      <c r="O472" s="5">
        <f>1/KRW!C472</f>
        <v>9.2464341126844427E-4</v>
      </c>
      <c r="P472" s="3">
        <f>1/NOK!B472</f>
        <v>0.18823175093174718</v>
      </c>
      <c r="Q472" s="3">
        <f>1/NOK!C472</f>
        <v>0.18788869473723765</v>
      </c>
      <c r="R472" s="3">
        <f>NZD!B472/1</f>
        <v>0.79210000000000003</v>
      </c>
      <c r="S472" s="3">
        <f>NZD!C472/1</f>
        <v>0.79039999999999999</v>
      </c>
      <c r="T472" s="4">
        <f>1/PHP!B472</f>
        <v>2.3288309268747091E-2</v>
      </c>
      <c r="U472" s="4">
        <f>1/PHP!C472</f>
        <v>2.3232581372116257E-2</v>
      </c>
      <c r="V472" s="4">
        <f>1/TWD!B472</f>
        <v>3.4958923265163436E-2</v>
      </c>
      <c r="W472" s="4">
        <f>1/TWD!C472</f>
        <v>3.4959045478222261E-2</v>
      </c>
      <c r="X472" s="4">
        <f>1/TWD!B472</f>
        <v>3.4958923265163436E-2</v>
      </c>
      <c r="Y472" s="4">
        <f>1/TWD!C472</f>
        <v>3.4959045478222261E-2</v>
      </c>
      <c r="Z472" s="4">
        <f>1/ZAR!B472</f>
        <v>0.14979478114982475</v>
      </c>
      <c r="AA472" s="4">
        <f>1/ZAR!C472</f>
        <v>0.14915577829485116</v>
      </c>
    </row>
    <row r="473" spans="1:27" x14ac:dyDescent="0.25">
      <c r="A473" t="str">
        <f>"06/05/2011"</f>
        <v>06/05/2011</v>
      </c>
      <c r="B473" s="3">
        <f>AUD!B473</f>
        <v>1.0692999999999999</v>
      </c>
      <c r="C473" s="3">
        <f>AUD!C473</f>
        <v>1.0650999999999999</v>
      </c>
      <c r="D473" s="3">
        <f>1/CAD!B473</f>
        <v>1.0351966873706004</v>
      </c>
      <c r="E473" s="3">
        <f>1/CAD!C473</f>
        <v>1.0344470880314471</v>
      </c>
      <c r="F473" s="3">
        <f>EUR!B473/1</f>
        <v>1.4545999999999999</v>
      </c>
      <c r="G473" s="3">
        <f>EUR!C473/1</f>
        <v>1.4534</v>
      </c>
      <c r="H473" s="3">
        <f>GBP!B473/1</f>
        <v>1.6388</v>
      </c>
      <c r="I473" s="3">
        <f>GBP!C473/1</f>
        <v>1.6380999999999999</v>
      </c>
      <c r="J473" s="4">
        <f>1/INR!B473</f>
        <v>2.2307735207183089E-2</v>
      </c>
      <c r="K473" s="4">
        <f>1/INR!C473</f>
        <v>2.2179096201829777E-2</v>
      </c>
      <c r="L473" s="4">
        <f>1/JPY!B473</f>
        <v>1.2422823210802887E-2</v>
      </c>
      <c r="M473" s="4">
        <f>1/JPY!C473</f>
        <v>1.2424304922261126E-2</v>
      </c>
      <c r="N473" s="5">
        <f>1/KRW!B473</f>
        <v>9.2208390963577683E-4</v>
      </c>
      <c r="O473" s="5">
        <f>1/KRW!C473</f>
        <v>9.2206137885980665E-4</v>
      </c>
      <c r="P473" s="3">
        <f>1/NOK!B473</f>
        <v>0.18318373328448434</v>
      </c>
      <c r="Q473" s="3">
        <f>1/NOK!C473</f>
        <v>0.18284209756454325</v>
      </c>
      <c r="R473" s="3">
        <f>NZD!B473/1</f>
        <v>0.78790000000000004</v>
      </c>
      <c r="S473" s="3">
        <f>NZD!C473/1</f>
        <v>0.7863</v>
      </c>
      <c r="T473" s="4">
        <f>1/PHP!B473</f>
        <v>2.3207240659085634E-2</v>
      </c>
      <c r="U473" s="4">
        <f>1/PHP!C473</f>
        <v>2.3137436372049978E-2</v>
      </c>
      <c r="V473" s="4">
        <f>1/TWD!B473</f>
        <v>3.4888183372291805E-2</v>
      </c>
      <c r="W473" s="4">
        <f>1/TWD!C473</f>
        <v>3.4888183372291805E-2</v>
      </c>
      <c r="X473" s="4">
        <f>1/TWD!B473</f>
        <v>3.4888183372291805E-2</v>
      </c>
      <c r="Y473" s="4">
        <f>1/TWD!C473</f>
        <v>3.4888183372291805E-2</v>
      </c>
      <c r="Z473" s="4">
        <f>1/ZAR!B473</f>
        <v>0.14889815366289458</v>
      </c>
      <c r="AA473" s="4">
        <f>1/ZAR!C473</f>
        <v>0.14825796886582654</v>
      </c>
    </row>
    <row r="474" spans="1:27" x14ac:dyDescent="0.25">
      <c r="A474" t="str">
        <f>"09/05/2011"</f>
        <v>09/05/2011</v>
      </c>
      <c r="B474" s="3">
        <f>AUD!B474</f>
        <v>1.0766</v>
      </c>
      <c r="C474" s="3">
        <f>AUD!C474</f>
        <v>1.0719000000000001</v>
      </c>
      <c r="D474" s="3">
        <f>1/CAD!B474</f>
        <v>1.0400416016640666</v>
      </c>
      <c r="E474" s="3">
        <f>1/CAD!C474</f>
        <v>1.0392849719393058</v>
      </c>
      <c r="F474" s="3">
        <f>EUR!B474/1</f>
        <v>1.4388000000000001</v>
      </c>
      <c r="G474" s="3">
        <f>EUR!C474/1</f>
        <v>1.4375</v>
      </c>
      <c r="H474" s="3">
        <f>GBP!B474/1</f>
        <v>1.6387</v>
      </c>
      <c r="I474" s="3">
        <f>GBP!C474/1</f>
        <v>1.6379999999999999</v>
      </c>
      <c r="J474" s="4">
        <f>1/INR!B474</f>
        <v>2.2380126447714432E-2</v>
      </c>
      <c r="K474" s="4">
        <f>1/INR!C474</f>
        <v>2.2233338891668057E-2</v>
      </c>
      <c r="L474" s="4">
        <f>1/JPY!B474</f>
        <v>1.2412183799617704E-2</v>
      </c>
      <c r="M474" s="4">
        <f>1/JPY!C474</f>
        <v>1.2413847895604504E-2</v>
      </c>
      <c r="N474" s="5">
        <f>1/KRW!B474</f>
        <v>9.2584019998148324E-4</v>
      </c>
      <c r="O474" s="5">
        <f>1/KRW!C474</f>
        <v>9.2581877097558157E-4</v>
      </c>
      <c r="P474" s="3">
        <f>1/NOK!B474</f>
        <v>0.18174878682684792</v>
      </c>
      <c r="Q474" s="3">
        <f>1/NOK!C474</f>
        <v>0.18141905988643167</v>
      </c>
      <c r="R474" s="3">
        <f>NZD!B474/1</f>
        <v>0.7923</v>
      </c>
      <c r="S474" s="3">
        <f>NZD!C474/1</f>
        <v>0.79059999999999997</v>
      </c>
      <c r="T474" s="4">
        <f>1/PHP!B474</f>
        <v>2.3293733985557886E-2</v>
      </c>
      <c r="U474" s="4">
        <f>1/PHP!C474</f>
        <v>2.3228803716608595E-2</v>
      </c>
      <c r="V474" s="4">
        <f>1/TWD!B474</f>
        <v>3.4972371826257252E-2</v>
      </c>
      <c r="W474" s="4">
        <f>1/TWD!C474</f>
        <v>3.4972371826257252E-2</v>
      </c>
      <c r="X474" s="4">
        <f>1/TWD!B474</f>
        <v>3.4972371826257252E-2</v>
      </c>
      <c r="Y474" s="4">
        <f>1/TWD!C474</f>
        <v>3.4972371826257252E-2</v>
      </c>
      <c r="Z474" s="4">
        <f>1/ZAR!B474</f>
        <v>0.14908017531828618</v>
      </c>
      <c r="AA474" s="4">
        <f>1/ZAR!C474</f>
        <v>0.14844503822459734</v>
      </c>
    </row>
    <row r="475" spans="1:27" x14ac:dyDescent="0.25">
      <c r="A475" t="str">
        <f>"10/05/2011"</f>
        <v>10/05/2011</v>
      </c>
      <c r="B475" s="3">
        <f>AUD!B475</f>
        <v>1.077</v>
      </c>
      <c r="C475" s="3">
        <f>AUD!C475</f>
        <v>1.0725</v>
      </c>
      <c r="D475" s="3">
        <f>1/CAD!B475</f>
        <v>1.0374520178441746</v>
      </c>
      <c r="E475" s="3">
        <f>1/CAD!C475</f>
        <v>1.0366991499066971</v>
      </c>
      <c r="F475" s="3">
        <f>EUR!B475/1</f>
        <v>1.4327000000000001</v>
      </c>
      <c r="G475" s="3">
        <f>EUR!C475/1</f>
        <v>1.4315</v>
      </c>
      <c r="H475" s="3">
        <f>GBP!B475/1</f>
        <v>1.6398999999999999</v>
      </c>
      <c r="I475" s="3">
        <f>GBP!C475/1</f>
        <v>1.6392</v>
      </c>
      <c r="J475" s="4">
        <f>1/INR!B475</f>
        <v>2.2370113528326158E-2</v>
      </c>
      <c r="K475" s="4">
        <f>1/INR!C475</f>
        <v>2.2228396776882469E-2</v>
      </c>
      <c r="L475" s="4">
        <f>1/JPY!B475</f>
        <v>1.2441215257906393E-2</v>
      </c>
      <c r="M475" s="4">
        <f>1/JPY!C475</f>
        <v>1.2443150356807337E-2</v>
      </c>
      <c r="N475" s="5">
        <f>1/KRW!B475</f>
        <v>9.2429984286902659E-4</v>
      </c>
      <c r="O475" s="5">
        <f>1/KRW!C475</f>
        <v>9.2425883683873889E-4</v>
      </c>
      <c r="P475" s="3">
        <f>1/NOK!B475</f>
        <v>0.18204325347702616</v>
      </c>
      <c r="Q475" s="3">
        <f>1/NOK!C475</f>
        <v>0.18168274558965133</v>
      </c>
      <c r="R475" s="3">
        <f>NZD!B475/1</f>
        <v>0.79279999999999995</v>
      </c>
      <c r="S475" s="3">
        <f>NZD!C475/1</f>
        <v>0.79100000000000004</v>
      </c>
      <c r="T475" s="4">
        <f>1/PHP!B475</f>
        <v>2.3266635644485809E-2</v>
      </c>
      <c r="U475" s="4">
        <f>1/PHP!C475</f>
        <v>2.3202932850712329E-2</v>
      </c>
      <c r="V475" s="4">
        <f>1/TWD!B475</f>
        <v>3.5002975252896494E-2</v>
      </c>
      <c r="W475" s="4">
        <f>1/TWD!C475</f>
        <v>3.5002975252896494E-2</v>
      </c>
      <c r="X475" s="4">
        <f>1/TWD!B475</f>
        <v>3.5002975252896494E-2</v>
      </c>
      <c r="Y475" s="4">
        <f>1/TWD!C475</f>
        <v>3.5002975252896494E-2</v>
      </c>
      <c r="Z475" s="4">
        <f>1/ZAR!B475</f>
        <v>0.1486789871987392</v>
      </c>
      <c r="AA475" s="4">
        <f>1/ZAR!C475</f>
        <v>0.14802972436865322</v>
      </c>
    </row>
    <row r="476" spans="1:27" x14ac:dyDescent="0.25">
      <c r="A476" t="str">
        <f>"11/05/2011"</f>
        <v>11/05/2011</v>
      </c>
      <c r="B476" s="3">
        <f>AUD!B476</f>
        <v>1.0858000000000001</v>
      </c>
      <c r="C476" s="3">
        <f>AUD!C476</f>
        <v>1.0813999999999999</v>
      </c>
      <c r="D476" s="3">
        <f>1/CAD!B476</f>
        <v>1.0462439840970914</v>
      </c>
      <c r="E476" s="3">
        <f>1/CAD!C476</f>
        <v>1.0453690152623876</v>
      </c>
      <c r="F476" s="3">
        <f>EUR!B476/1</f>
        <v>1.4404999999999999</v>
      </c>
      <c r="G476" s="3">
        <f>EUR!C476/1</f>
        <v>1.4395</v>
      </c>
      <c r="H476" s="3">
        <f>GBP!B476/1</f>
        <v>1.6368</v>
      </c>
      <c r="I476" s="3">
        <f>GBP!C476/1</f>
        <v>1.6362000000000001</v>
      </c>
      <c r="J476" s="4">
        <f>1/INR!B476</f>
        <v>2.2385136269517041E-2</v>
      </c>
      <c r="K476" s="4">
        <f>1/INR!C476</f>
        <v>2.2244466688911134E-2</v>
      </c>
      <c r="L476" s="4">
        <f>1/JPY!B476</f>
        <v>1.236200907371466E-2</v>
      </c>
      <c r="M476" s="4">
        <f>1/JPY!C476</f>
        <v>1.2363568026823996E-2</v>
      </c>
      <c r="N476" s="5">
        <f>1/KRW!B476</f>
        <v>9.2988655384043141E-4</v>
      </c>
      <c r="O476" s="5">
        <f>1/KRW!C476</f>
        <v>9.298649371178837E-4</v>
      </c>
      <c r="P476" s="3">
        <f>1/NOK!B476</f>
        <v>0.18442698535649735</v>
      </c>
      <c r="Q476" s="3">
        <f>1/NOK!C476</f>
        <v>0.1840739240879137</v>
      </c>
      <c r="R476" s="3">
        <f>NZD!B476/1</f>
        <v>0.79530000000000001</v>
      </c>
      <c r="S476" s="3">
        <f>NZD!C476/1</f>
        <v>0.79359999999999997</v>
      </c>
      <c r="T476" s="4">
        <f>1/PHP!B476</f>
        <v>2.3326335432703522E-2</v>
      </c>
      <c r="U476" s="4">
        <f>1/PHP!C476</f>
        <v>2.3260141421659844E-2</v>
      </c>
      <c r="V476" s="4">
        <f>1/TWD!B476</f>
        <v>3.5064343069532593E-2</v>
      </c>
      <c r="W476" s="4">
        <f>1/TWD!C476</f>
        <v>3.5064343069532593E-2</v>
      </c>
      <c r="X476" s="4">
        <f>1/TWD!B476</f>
        <v>3.5064343069532593E-2</v>
      </c>
      <c r="Y476" s="4">
        <f>1/TWD!C476</f>
        <v>3.5064343069532593E-2</v>
      </c>
      <c r="Z476" s="4">
        <f>1/ZAR!B476</f>
        <v>0.14838556505223172</v>
      </c>
      <c r="AA476" s="4">
        <f>1/ZAR!C476</f>
        <v>0.14773667415199149</v>
      </c>
    </row>
    <row r="477" spans="1:27" x14ac:dyDescent="0.25">
      <c r="A477" t="str">
        <f>"12/05/2011"</f>
        <v>12/05/2011</v>
      </c>
      <c r="B477" s="3">
        <f>AUD!B477</f>
        <v>1.0634999999999999</v>
      </c>
      <c r="C477" s="3">
        <f>AUD!C477</f>
        <v>1.0592999999999999</v>
      </c>
      <c r="D477" s="3">
        <f>1/CAD!B477</f>
        <v>1.0399334442595674</v>
      </c>
      <c r="E477" s="3">
        <f>1/CAD!C477</f>
        <v>1.0391769718383039</v>
      </c>
      <c r="F477" s="3">
        <f>EUR!B477/1</f>
        <v>1.4224000000000001</v>
      </c>
      <c r="G477" s="3">
        <f>EUR!C477/1</f>
        <v>1.4214</v>
      </c>
      <c r="H477" s="3">
        <f>GBP!B477/1</f>
        <v>1.6372</v>
      </c>
      <c r="I477" s="3">
        <f>GBP!C477/1</f>
        <v>1.6366000000000001</v>
      </c>
      <c r="J477" s="4">
        <f>1/INR!B477</f>
        <v>2.2338880822070813E-2</v>
      </c>
      <c r="K477" s="4">
        <f>1/INR!C477</f>
        <v>2.2185246810870769E-2</v>
      </c>
      <c r="L477" s="4">
        <f>1/JPY!B477</f>
        <v>1.2324529511085916E-2</v>
      </c>
      <c r="M477" s="4">
        <f>1/JPY!C477</f>
        <v>1.2326079024957845E-2</v>
      </c>
      <c r="N477" s="5">
        <f>1/KRW!B477</f>
        <v>9.2353158478019953E-4</v>
      </c>
      <c r="O477" s="5">
        <f>1/KRW!C477</f>
        <v>9.2349107330441259E-4</v>
      </c>
      <c r="P477" s="3">
        <f>1/NOK!B477</f>
        <v>0.1815310327300452</v>
      </c>
      <c r="Q477" s="3">
        <f>1/NOK!C477</f>
        <v>0.18119224497191519</v>
      </c>
      <c r="R477" s="3">
        <f>NZD!B477/1</f>
        <v>0.79020000000000001</v>
      </c>
      <c r="S477" s="3">
        <f>NZD!C477/1</f>
        <v>0.78859999999999997</v>
      </c>
      <c r="T477" s="4">
        <f>1/PHP!B477</f>
        <v>2.3261223540358221E-2</v>
      </c>
      <c r="U477" s="4">
        <f>1/PHP!C477</f>
        <v>2.3190556805268894E-2</v>
      </c>
      <c r="V477" s="4">
        <f>1/TWD!B477</f>
        <v>3.4969925863757169E-2</v>
      </c>
      <c r="W477" s="4">
        <f>1/TWD!C477</f>
        <v>3.497004815375631E-2</v>
      </c>
      <c r="X477" s="4">
        <f>1/TWD!B477</f>
        <v>3.4969925863757169E-2</v>
      </c>
      <c r="Y477" s="4">
        <f>1/TWD!C477</f>
        <v>3.497004815375631E-2</v>
      </c>
      <c r="Z477" s="4">
        <f>1/ZAR!B477</f>
        <v>0.14525172123289662</v>
      </c>
      <c r="AA477" s="4">
        <f>1/ZAR!C477</f>
        <v>0.14460688617991987</v>
      </c>
    </row>
    <row r="478" spans="1:27" x14ac:dyDescent="0.25">
      <c r="A478" t="str">
        <f>"13/05/2011"</f>
        <v>13/05/2011</v>
      </c>
      <c r="B478" s="3">
        <f>AUD!B478</f>
        <v>1.0631999999999999</v>
      </c>
      <c r="C478" s="3">
        <f>AUD!C478</f>
        <v>1.0589999999999999</v>
      </c>
      <c r="D478" s="3">
        <f>1/CAD!B478</f>
        <v>1.0366991499066971</v>
      </c>
      <c r="E478" s="3">
        <f>1/CAD!C478</f>
        <v>1.0358400662937641</v>
      </c>
      <c r="F478" s="3">
        <f>EUR!B478/1</f>
        <v>1.4200999999999999</v>
      </c>
      <c r="G478" s="3">
        <f>EUR!C478/1</f>
        <v>1.419</v>
      </c>
      <c r="H478" s="3">
        <f>GBP!B478/1</f>
        <v>1.6248</v>
      </c>
      <c r="I478" s="3">
        <f>GBP!C478/1</f>
        <v>1.6242000000000001</v>
      </c>
      <c r="J478" s="4">
        <f>1/INR!B478</f>
        <v>2.2197558268590458E-2</v>
      </c>
      <c r="K478" s="4">
        <f>1/INR!C478</f>
        <v>2.2049501130036932E-2</v>
      </c>
      <c r="L478" s="4">
        <f>1/JPY!B478</f>
        <v>1.2364301787878038E-2</v>
      </c>
      <c r="M478" s="4">
        <f>1/JPY!C478</f>
        <v>1.2365953068734914E-2</v>
      </c>
      <c r="N478" s="5">
        <f>1/KRW!B478</f>
        <v>9.1642228739002927E-4</v>
      </c>
      <c r="O478" s="5">
        <f>1/KRW!C478</f>
        <v>9.1640171202167834E-4</v>
      </c>
      <c r="P478" s="3">
        <f>1/NOK!B478</f>
        <v>0.18096927141771327</v>
      </c>
      <c r="Q478" s="3">
        <f>1/NOK!C478</f>
        <v>0.18063257527862575</v>
      </c>
      <c r="R478" s="3">
        <f>NZD!B478/1</f>
        <v>0.79249999999999998</v>
      </c>
      <c r="S478" s="3">
        <f>NZD!C478/1</f>
        <v>0.79090000000000005</v>
      </c>
      <c r="T478" s="4">
        <f>1/PHP!B478</f>
        <v>2.3126734505087881E-2</v>
      </c>
      <c r="U478" s="4">
        <f>1/PHP!C478</f>
        <v>2.3073373327180433E-2</v>
      </c>
      <c r="V478" s="4">
        <f>1/TWD!B478</f>
        <v>3.4876015763959128E-2</v>
      </c>
      <c r="W478" s="4">
        <f>1/TWD!C478</f>
        <v>3.4876137398030894E-2</v>
      </c>
      <c r="X478" s="4">
        <f>1/TWD!B478</f>
        <v>3.4876015763959128E-2</v>
      </c>
      <c r="Y478" s="4">
        <f>1/TWD!C478</f>
        <v>3.4876137398030894E-2</v>
      </c>
      <c r="Z478" s="4">
        <f>1/ZAR!B478</f>
        <v>0.14462570866597246</v>
      </c>
      <c r="AA478" s="4">
        <f>1/ZAR!C478</f>
        <v>0.14397189668576693</v>
      </c>
    </row>
    <row r="479" spans="1:27" x14ac:dyDescent="0.25">
      <c r="A479" t="str">
        <f>"16/05/2011"</f>
        <v>16/05/2011</v>
      </c>
      <c r="B479" s="3">
        <f>AUD!B479</f>
        <v>1.0551999999999999</v>
      </c>
      <c r="C479" s="3">
        <f>AUD!C479</f>
        <v>1.0508</v>
      </c>
      <c r="D479" s="3">
        <f>1/CAD!B479</f>
        <v>1.0314595152140278</v>
      </c>
      <c r="E479" s="3">
        <f>1/CAD!C479</f>
        <v>1.0307153164296021</v>
      </c>
      <c r="F479" s="3">
        <f>EUR!B479/1</f>
        <v>1.4092</v>
      </c>
      <c r="G479" s="3">
        <f>EUR!C479/1</f>
        <v>1.4080999999999999</v>
      </c>
      <c r="H479" s="3">
        <f>GBP!B479/1</f>
        <v>1.6183000000000001</v>
      </c>
      <c r="I479" s="3">
        <f>GBP!C479/1</f>
        <v>1.6175999999999999</v>
      </c>
      <c r="J479" s="4">
        <f>1/INR!B479</f>
        <v>2.2188938814001219E-2</v>
      </c>
      <c r="K479" s="4">
        <f>1/INR!C479</f>
        <v>2.2045855379188711E-2</v>
      </c>
      <c r="L479" s="4">
        <f>1/JPY!B479</f>
        <v>1.2347203358439314E-2</v>
      </c>
      <c r="M479" s="4">
        <f>1/JPY!C479</f>
        <v>1.2349185571211578E-2</v>
      </c>
      <c r="N479" s="5">
        <f>1/KRW!B479</f>
        <v>9.1516427198682162E-4</v>
      </c>
      <c r="O479" s="5">
        <f>1/KRW!C479</f>
        <v>9.1512323507045073E-4</v>
      </c>
      <c r="P479" s="3">
        <f>1/NOK!B479</f>
        <v>0.17921146953405018</v>
      </c>
      <c r="Q479" s="3">
        <f>1/NOK!C479</f>
        <v>0.17883648979737823</v>
      </c>
      <c r="R479" s="3">
        <f>NZD!B479/1</f>
        <v>0.78439999999999999</v>
      </c>
      <c r="S479" s="3">
        <f>NZD!C479/1</f>
        <v>0.78269999999999995</v>
      </c>
      <c r="T479" s="4">
        <f>1/PHP!B479</f>
        <v>2.3046784973496198E-2</v>
      </c>
      <c r="U479" s="4">
        <f>1/PHP!C479</f>
        <v>2.2988505747126436E-2</v>
      </c>
      <c r="V479" s="4">
        <f>1/TWD!B479</f>
        <v>3.4711374917560482E-2</v>
      </c>
      <c r="W479" s="4">
        <f>1/TWD!C479</f>
        <v>3.4711374917560482E-2</v>
      </c>
      <c r="X479" s="4">
        <f>1/TWD!B479</f>
        <v>3.4711374917560482E-2</v>
      </c>
      <c r="Y479" s="4">
        <f>1/TWD!C479</f>
        <v>3.4711374917560482E-2</v>
      </c>
      <c r="Z479" s="4">
        <f>1/ZAR!B479</f>
        <v>0.14208581983518045</v>
      </c>
      <c r="AA479" s="4">
        <f>1/ZAR!C479</f>
        <v>0.14144871776737344</v>
      </c>
    </row>
    <row r="480" spans="1:27" x14ac:dyDescent="0.25">
      <c r="A480" t="str">
        <f>"18/05/2011"</f>
        <v>18/05/2011</v>
      </c>
      <c r="B480" s="3">
        <f>AUD!B480</f>
        <v>1.0650999999999999</v>
      </c>
      <c r="C480" s="3">
        <f>AUD!C480</f>
        <v>1.0608</v>
      </c>
      <c r="D480" s="3">
        <f>1/CAD!B480</f>
        <v>1.0294420424130122</v>
      </c>
      <c r="E480" s="3">
        <f>1/CAD!C480</f>
        <v>1.0285949393128986</v>
      </c>
      <c r="F480" s="3">
        <f>EUR!B480/1</f>
        <v>1.4276</v>
      </c>
      <c r="G480" s="3">
        <f>EUR!C480/1</f>
        <v>1.4266000000000001</v>
      </c>
      <c r="H480" s="3">
        <f>GBP!B480/1</f>
        <v>1.6272</v>
      </c>
      <c r="I480" s="3">
        <f>GBP!C480/1</f>
        <v>1.6266</v>
      </c>
      <c r="J480" s="4">
        <f>1/INR!B480</f>
        <v>2.2185246810870769E-2</v>
      </c>
      <c r="K480" s="4">
        <f>1/INR!C480</f>
        <v>2.2068965517241378E-2</v>
      </c>
      <c r="L480" s="4">
        <f>1/JPY!B480</f>
        <v>1.2326352509029054E-2</v>
      </c>
      <c r="M480" s="4">
        <f>1/JPY!C480</f>
        <v>1.232794807468271E-2</v>
      </c>
      <c r="N480" s="5">
        <f>1/KRW!B480</f>
        <v>9.2034420873406662E-4</v>
      </c>
      <c r="O480" s="5">
        <f>1/KRW!C480</f>
        <v>9.2032303338471797E-4</v>
      </c>
      <c r="P480" s="3">
        <f>1/NOK!B480</f>
        <v>0.18011851798483403</v>
      </c>
      <c r="Q480" s="3">
        <f>1/NOK!C480</f>
        <v>0.17976881730095096</v>
      </c>
      <c r="R480" s="3">
        <f>NZD!B480/1</f>
        <v>0.78959999999999997</v>
      </c>
      <c r="S480" s="3">
        <f>NZD!C480/1</f>
        <v>0.78800000000000003</v>
      </c>
      <c r="T480" s="4">
        <f>1/PHP!B480</f>
        <v>2.3142791020597082E-2</v>
      </c>
      <c r="U480" s="4">
        <f>1/PHP!C480</f>
        <v>2.3084025854108955E-2</v>
      </c>
      <c r="V480" s="4">
        <f>1/TWD!B480</f>
        <v>3.4741523068371319E-2</v>
      </c>
      <c r="W480" s="4">
        <f>1/TWD!C480</f>
        <v>3.4741523068371319E-2</v>
      </c>
      <c r="X480" s="4">
        <f>1/TWD!B480</f>
        <v>3.4741523068371319E-2</v>
      </c>
      <c r="Y480" s="4">
        <f>1/TWD!C480</f>
        <v>3.4741523068371319E-2</v>
      </c>
      <c r="Z480" s="4">
        <f>1/ZAR!B480</f>
        <v>0.14395531626982985</v>
      </c>
      <c r="AA480" s="4">
        <f>1/ZAR!C480</f>
        <v>0.1433013771262342</v>
      </c>
    </row>
    <row r="481" spans="1:27" x14ac:dyDescent="0.25">
      <c r="A481" t="str">
        <f>"19/05/2011"</f>
        <v>19/05/2011</v>
      </c>
      <c r="B481" s="3">
        <f>AUD!B481</f>
        <v>1.0662</v>
      </c>
      <c r="C481" s="3">
        <f>AUD!C481</f>
        <v>1.0620000000000001</v>
      </c>
      <c r="D481" s="3">
        <f>1/CAD!B481</f>
        <v>1.0323113451016828</v>
      </c>
      <c r="E481" s="3">
        <f>1/CAD!C481</f>
        <v>1.0315659170621003</v>
      </c>
      <c r="F481" s="3">
        <f>EUR!B481/1</f>
        <v>1.4289000000000001</v>
      </c>
      <c r="G481" s="3">
        <f>EUR!C481/1</f>
        <v>1.4278</v>
      </c>
      <c r="H481" s="3">
        <f>GBP!B481/1</f>
        <v>1.6180000000000001</v>
      </c>
      <c r="I481" s="3">
        <f>GBP!C481/1</f>
        <v>1.6173</v>
      </c>
      <c r="J481" s="4">
        <f>1/INR!B481</f>
        <v>2.2250653612949881E-2</v>
      </c>
      <c r="K481" s="4">
        <f>1/INR!C481</f>
        <v>2.2132462789796935E-2</v>
      </c>
      <c r="L481" s="4">
        <f>1/JPY!B481</f>
        <v>1.2254151093682985E-2</v>
      </c>
      <c r="M481" s="4">
        <f>1/JPY!C481</f>
        <v>1.2255547780091353E-2</v>
      </c>
      <c r="N481" s="5">
        <f>1/KRW!B481</f>
        <v>9.2293493308721734E-4</v>
      </c>
      <c r="O481" s="5">
        <f>1/KRW!C481</f>
        <v>9.2291363835629071E-4</v>
      </c>
      <c r="P481" s="3">
        <f>1/NOK!B481</f>
        <v>0.18116270222286637</v>
      </c>
      <c r="Q481" s="3">
        <f>1/NOK!C481</f>
        <v>0.18082201688877636</v>
      </c>
      <c r="R481" s="3">
        <f>NZD!B481/1</f>
        <v>0.79239999999999999</v>
      </c>
      <c r="S481" s="3">
        <f>NZD!C481/1</f>
        <v>0.79069999999999996</v>
      </c>
      <c r="T481" s="4">
        <f>1/PHP!B481</f>
        <v>2.3174971031286212E-2</v>
      </c>
      <c r="U481" s="4">
        <f>1/PHP!C481</f>
        <v>2.3116042533518264E-2</v>
      </c>
      <c r="V481" s="4">
        <f>1/TWD!B481</f>
        <v>3.473186996387885E-2</v>
      </c>
      <c r="W481" s="4">
        <f>1/TWD!C481</f>
        <v>3.473186996387885E-2</v>
      </c>
      <c r="X481" s="4">
        <f>1/TWD!B481</f>
        <v>3.473186996387885E-2</v>
      </c>
      <c r="Y481" s="4">
        <f>1/TWD!C481</f>
        <v>3.473186996387885E-2</v>
      </c>
      <c r="Z481" s="4">
        <f>1/ZAR!B481</f>
        <v>0.1451210309398038</v>
      </c>
      <c r="AA481" s="4">
        <f>1/ZAR!C481</f>
        <v>0.1444669170759896</v>
      </c>
    </row>
    <row r="482" spans="1:27" x14ac:dyDescent="0.25">
      <c r="A482" t="str">
        <f>"20/05/2011"</f>
        <v>20/05/2011</v>
      </c>
      <c r="B482" s="3">
        <f>AUD!B482</f>
        <v>1.0666</v>
      </c>
      <c r="C482" s="3">
        <f>AUD!C482</f>
        <v>1.0624</v>
      </c>
      <c r="D482" s="3">
        <f>1/CAD!B482</f>
        <v>1.0339123242349049</v>
      </c>
      <c r="E482" s="3">
        <f>1/CAD!C482</f>
        <v>1.0331645831180907</v>
      </c>
      <c r="F482" s="3">
        <f>EUR!B482/1</f>
        <v>1.4311</v>
      </c>
      <c r="G482" s="3">
        <f>EUR!C482/1</f>
        <v>1.43</v>
      </c>
      <c r="H482" s="3">
        <f>GBP!B482/1</f>
        <v>1.6228</v>
      </c>
      <c r="I482" s="3">
        <f>GBP!C482/1</f>
        <v>1.6222000000000001</v>
      </c>
      <c r="J482" s="4">
        <f>1/INR!B482</f>
        <v>2.2261798753339269E-2</v>
      </c>
      <c r="K482" s="4">
        <f>1/INR!C482</f>
        <v>2.2138587558113793E-2</v>
      </c>
      <c r="L482" s="4">
        <f>1/JPY!B482</f>
        <v>1.2242149721491093E-2</v>
      </c>
      <c r="M482" s="4">
        <f>1/JPY!C482</f>
        <v>1.2243393770806119E-2</v>
      </c>
      <c r="N482" s="5">
        <f>1/KRW!B482</f>
        <v>9.2327578247622573E-4</v>
      </c>
      <c r="O482" s="5">
        <f>1/KRW!C482</f>
        <v>9.2323529343879757E-4</v>
      </c>
      <c r="P482" s="3">
        <f>1/NOK!B482</f>
        <v>0.1818710897715699</v>
      </c>
      <c r="Q482" s="3">
        <f>1/NOK!C482</f>
        <v>0.18152444226615114</v>
      </c>
      <c r="R482" s="3">
        <f>NZD!B482/1</f>
        <v>0.79159999999999997</v>
      </c>
      <c r="S482" s="3">
        <f>NZD!C482/1</f>
        <v>0.78990000000000005</v>
      </c>
      <c r="T482" s="4">
        <f>1/PHP!B482</f>
        <v>2.3180343069077423E-2</v>
      </c>
      <c r="U482" s="4">
        <f>1/PHP!C482</f>
        <v>2.3121387283236993E-2</v>
      </c>
      <c r="V482" s="4">
        <f>1/TWD!B482</f>
        <v>3.4756012790212711E-2</v>
      </c>
      <c r="W482" s="4">
        <f>1/TWD!C482</f>
        <v>3.4756012790212711E-2</v>
      </c>
      <c r="X482" s="4">
        <f>1/TWD!B482</f>
        <v>3.4756012790212711E-2</v>
      </c>
      <c r="Y482" s="4">
        <f>1/TWD!C482</f>
        <v>3.4756012790212711E-2</v>
      </c>
      <c r="Z482" s="4">
        <f>1/ZAR!B482</f>
        <v>0.14551804423748546</v>
      </c>
      <c r="AA482" s="4">
        <f>1/ZAR!C482</f>
        <v>0.1448582561963119</v>
      </c>
    </row>
    <row r="483" spans="1:27" x14ac:dyDescent="0.25">
      <c r="A483" t="str">
        <f>"23/05/2011"</f>
        <v>23/05/2011</v>
      </c>
      <c r="B483" s="3">
        <f>AUD!B483</f>
        <v>1.0570999999999999</v>
      </c>
      <c r="C483" s="3">
        <f>AUD!C483</f>
        <v>1.0527</v>
      </c>
      <c r="D483" s="3">
        <f>1/CAD!B483</f>
        <v>1.0243802499487811</v>
      </c>
      <c r="E483" s="3">
        <f>1/CAD!C483</f>
        <v>1.0236462278636502</v>
      </c>
      <c r="F483" s="3">
        <f>EUR!B483/1</f>
        <v>1.4087000000000001</v>
      </c>
      <c r="G483" s="3">
        <f>EUR!C483/1</f>
        <v>1.4076</v>
      </c>
      <c r="H483" s="3">
        <f>GBP!B483/1</f>
        <v>1.6211</v>
      </c>
      <c r="I483" s="3">
        <f>GBP!C483/1</f>
        <v>1.6205000000000001</v>
      </c>
      <c r="J483" s="4">
        <f>1/INR!B483</f>
        <v>2.211044165607208E-2</v>
      </c>
      <c r="K483" s="4">
        <f>1/INR!C483</f>
        <v>2.1987686895338612E-2</v>
      </c>
      <c r="L483" s="4">
        <f>1/JPY!B483</f>
        <v>1.2196683721696069E-2</v>
      </c>
      <c r="M483" s="4">
        <f>1/JPY!C483</f>
        <v>1.2198037579714174E-2</v>
      </c>
      <c r="N483" s="5">
        <f>1/KRW!B483</f>
        <v>9.1533180778032041E-4</v>
      </c>
      <c r="O483" s="5">
        <f>1/KRW!C483</f>
        <v>9.1530960576242319E-4</v>
      </c>
      <c r="P483" s="3">
        <f>1/NOK!B483</f>
        <v>0.17962673564333315</v>
      </c>
      <c r="Q483" s="3">
        <f>1/NOK!C483</f>
        <v>0.17928215425436553</v>
      </c>
      <c r="R483" s="3">
        <f>NZD!B483/1</f>
        <v>0.79020000000000001</v>
      </c>
      <c r="S483" s="3">
        <f>NZD!C483/1</f>
        <v>0.78849999999999998</v>
      </c>
      <c r="T483" s="4">
        <f>1/PHP!B483</f>
        <v>2.306805074971165E-2</v>
      </c>
      <c r="U483" s="4">
        <f>1/PHP!C483</f>
        <v>2.3007017140227768E-2</v>
      </c>
      <c r="V483" s="4">
        <f>1/TWD!B483</f>
        <v>3.4604470897639975E-2</v>
      </c>
      <c r="W483" s="4">
        <f>1/TWD!C483</f>
        <v>3.4604470897639975E-2</v>
      </c>
      <c r="X483" s="4">
        <f>1/TWD!B483</f>
        <v>3.4604470897639975E-2</v>
      </c>
      <c r="Y483" s="4">
        <f>1/TWD!C483</f>
        <v>3.4604470897639975E-2</v>
      </c>
      <c r="Z483" s="4">
        <f>1/ZAR!B483</f>
        <v>0.14395531626982985</v>
      </c>
      <c r="AA483" s="4">
        <f>1/ZAR!C483</f>
        <v>0.14330753797649756</v>
      </c>
    </row>
    <row r="484" spans="1:27" x14ac:dyDescent="0.25">
      <c r="A484" t="str">
        <f>"24/05/2011"</f>
        <v>24/05/2011</v>
      </c>
      <c r="B484" s="3">
        <f>AUD!B484</f>
        <v>1.0543</v>
      </c>
      <c r="C484" s="3">
        <f>AUD!C484</f>
        <v>1.05</v>
      </c>
      <c r="D484" s="3">
        <f>1/CAD!B484</f>
        <v>1.0242753252074157</v>
      </c>
      <c r="E484" s="3">
        <f>1/CAD!C484</f>
        <v>1.0235414534288638</v>
      </c>
      <c r="F484" s="3">
        <f>EUR!B484/1</f>
        <v>1.4056</v>
      </c>
      <c r="G484" s="3">
        <f>EUR!C484/1</f>
        <v>1.4045000000000001</v>
      </c>
      <c r="H484" s="3">
        <f>GBP!B484/1</f>
        <v>1.611</v>
      </c>
      <c r="I484" s="3">
        <f>GBP!C484/1</f>
        <v>1.6104000000000001</v>
      </c>
      <c r="J484" s="4">
        <f>1/INR!B484</f>
        <v>2.214103841470165E-2</v>
      </c>
      <c r="K484" s="4">
        <f>1/INR!C484</f>
        <v>2.2030071046979127E-2</v>
      </c>
      <c r="L484" s="4">
        <f>1/JPY!B484</f>
        <v>1.2221651878467894E-2</v>
      </c>
      <c r="M484" s="4">
        <f>1/JPY!C484</f>
        <v>1.2222921644960794E-2</v>
      </c>
      <c r="N484" s="5">
        <f>1/KRW!B484</f>
        <v>9.1382619025861286E-4</v>
      </c>
      <c r="O484" s="5">
        <f>1/KRW!C484</f>
        <v>9.1378569075573274E-4</v>
      </c>
      <c r="P484" s="3">
        <f>1/NOK!B484</f>
        <v>0.17875017875017873</v>
      </c>
      <c r="Q484" s="3">
        <f>1/NOK!C484</f>
        <v>0.17839621800017838</v>
      </c>
      <c r="R484" s="3">
        <f>NZD!B484/1</f>
        <v>0.79579999999999995</v>
      </c>
      <c r="S484" s="3">
        <f>NZD!C484/1</f>
        <v>0.79400000000000004</v>
      </c>
      <c r="T484" s="4">
        <f>1/PHP!B484</f>
        <v>2.3036166781847504E-2</v>
      </c>
      <c r="U484" s="4">
        <f>1/PHP!C484</f>
        <v>2.2972662531587411E-2</v>
      </c>
      <c r="V484" s="4">
        <f>1/TWD!B484</f>
        <v>3.4593697028401427E-2</v>
      </c>
      <c r="W484" s="4">
        <f>1/TWD!C484</f>
        <v>3.4593697028401427E-2</v>
      </c>
      <c r="X484" s="4">
        <f>1/TWD!B484</f>
        <v>3.4593697028401427E-2</v>
      </c>
      <c r="Y484" s="4">
        <f>1/TWD!C484</f>
        <v>3.4593697028401427E-2</v>
      </c>
      <c r="Z484" s="4">
        <f>1/ZAR!B484</f>
        <v>0.14268999172398047</v>
      </c>
      <c r="AA484" s="4">
        <f>1/ZAR!C484</f>
        <v>0.14200511218403863</v>
      </c>
    </row>
    <row r="485" spans="1:27" x14ac:dyDescent="0.25">
      <c r="A485" t="str">
        <f>"25/05/2011"</f>
        <v>25/05/2011</v>
      </c>
      <c r="B485" s="3">
        <f>AUD!B485</f>
        <v>1.0501</v>
      </c>
      <c r="C485" s="3">
        <f>AUD!C485</f>
        <v>1.046</v>
      </c>
      <c r="D485" s="3">
        <f>1/CAD!B485</f>
        <v>1.021346134204882</v>
      </c>
      <c r="E485" s="3">
        <f>1/CAD!C485</f>
        <v>1.020512297173181</v>
      </c>
      <c r="F485" s="3">
        <f>EUR!B485/1</f>
        <v>1.4057999999999999</v>
      </c>
      <c r="G485" s="3">
        <f>EUR!C485/1</f>
        <v>1.4047000000000001</v>
      </c>
      <c r="H485" s="3">
        <f>GBP!B485/1</f>
        <v>1.6173999999999999</v>
      </c>
      <c r="I485" s="3">
        <f>GBP!C485/1</f>
        <v>1.6168</v>
      </c>
      <c r="J485" s="4">
        <f>1/INR!B485</f>
        <v>2.2060445621001547E-2</v>
      </c>
      <c r="K485" s="4">
        <f>1/INR!C485</f>
        <v>2.1951487213258698E-2</v>
      </c>
      <c r="L485" s="4">
        <f>1/JPY!B485</f>
        <v>1.2203158177336295E-2</v>
      </c>
      <c r="M485" s="4">
        <f>1/JPY!C485</f>
        <v>1.2204081533027905E-2</v>
      </c>
      <c r="N485" s="5">
        <f>1/KRW!B485</f>
        <v>9.1265857442730672E-4</v>
      </c>
      <c r="O485" s="5">
        <f>1/KRW!C485</f>
        <v>9.1261859478639247E-4</v>
      </c>
      <c r="P485" s="3">
        <f>1/NOK!B485</f>
        <v>0.17903820675332116</v>
      </c>
      <c r="Q485" s="3">
        <f>1/NOK!C485</f>
        <v>0.17869587748610641</v>
      </c>
      <c r="R485" s="3">
        <f>NZD!B485/1</f>
        <v>0.79320000000000002</v>
      </c>
      <c r="S485" s="3">
        <f>NZD!C485/1</f>
        <v>0.79149999999999998</v>
      </c>
      <c r="T485" s="4">
        <f>1/PHP!B485</f>
        <v>2.2999080036798531E-2</v>
      </c>
      <c r="U485" s="4">
        <f>1/PHP!C485</f>
        <v>2.2935779816513759E-2</v>
      </c>
      <c r="V485" s="4">
        <f>1/TWD!B485</f>
        <v>3.4562610168319914E-2</v>
      </c>
      <c r="W485" s="4">
        <f>1/TWD!C485</f>
        <v>3.4562729626134957E-2</v>
      </c>
      <c r="X485" s="4">
        <f>1/TWD!B485</f>
        <v>3.4562610168319914E-2</v>
      </c>
      <c r="Y485" s="4">
        <f>1/TWD!C485</f>
        <v>3.4562729626134957E-2</v>
      </c>
      <c r="Z485" s="4">
        <f>1/ZAR!B485</f>
        <v>0.14257606433032022</v>
      </c>
      <c r="AA485" s="4">
        <f>1/ZAR!C485</f>
        <v>0.14193658273483409</v>
      </c>
    </row>
    <row r="486" spans="1:27" x14ac:dyDescent="0.25">
      <c r="A486" t="str">
        <f>"26/05/2011"</f>
        <v>26/05/2011</v>
      </c>
      <c r="B486" s="3">
        <f>AUD!B486</f>
        <v>1.0576000000000001</v>
      </c>
      <c r="C486" s="3">
        <f>AUD!C486</f>
        <v>1.0536000000000001</v>
      </c>
      <c r="D486" s="3">
        <f>1/CAD!B486</f>
        <v>1.0234367004400777</v>
      </c>
      <c r="E486" s="3">
        <f>1/CAD!C486</f>
        <v>1.0227040294538761</v>
      </c>
      <c r="F486" s="3">
        <f>EUR!B486/1</f>
        <v>1.4146000000000001</v>
      </c>
      <c r="G486" s="3">
        <f>EUR!C486/1</f>
        <v>1.4135</v>
      </c>
      <c r="H486" s="3">
        <f>GBP!B486/1</f>
        <v>1.631</v>
      </c>
      <c r="I486" s="3">
        <f>GBP!C486/1</f>
        <v>1.6304000000000001</v>
      </c>
      <c r="J486" s="4">
        <f>1/INR!B486</f>
        <v>2.2079929344226101E-2</v>
      </c>
      <c r="K486" s="4">
        <f>1/INR!C486</f>
        <v>2.1963540522732264E-2</v>
      </c>
      <c r="L486" s="4">
        <f>1/JPY!B486</f>
        <v>1.2212398026476478E-2</v>
      </c>
      <c r="M486" s="4">
        <f>1/JPY!C486</f>
        <v>1.221353161594794E-2</v>
      </c>
      <c r="N486" s="5">
        <f>1/KRW!B486</f>
        <v>9.165062780680048E-4</v>
      </c>
      <c r="O486" s="5">
        <f>1/KRW!C486</f>
        <v>9.1646638057641153E-4</v>
      </c>
      <c r="P486" s="3">
        <f>1/NOK!B486</f>
        <v>0.18097254646470132</v>
      </c>
      <c r="Q486" s="3">
        <f>1/NOK!C486</f>
        <v>0.18062604988891498</v>
      </c>
      <c r="R486" s="3">
        <f>NZD!B486/1</f>
        <v>0.80640000000000001</v>
      </c>
      <c r="S486" s="3">
        <f>NZD!C486/1</f>
        <v>0.80479999999999996</v>
      </c>
      <c r="T486" s="4">
        <f>1/PHP!B486</f>
        <v>2.3004370830457789E-2</v>
      </c>
      <c r="U486" s="4">
        <f>1/PHP!C486</f>
        <v>2.2944726154693344E-2</v>
      </c>
      <c r="V486" s="4">
        <f>1/TWD!B486</f>
        <v>3.4629636042525197E-2</v>
      </c>
      <c r="W486" s="4">
        <f>1/TWD!C486</f>
        <v>3.4629755964109721E-2</v>
      </c>
      <c r="X486" s="4">
        <f>1/TWD!B486</f>
        <v>3.4629636042525197E-2</v>
      </c>
      <c r="Y486" s="4">
        <f>1/TWD!C486</f>
        <v>3.4629755964109721E-2</v>
      </c>
      <c r="Z486" s="4">
        <f>1/ZAR!B486</f>
        <v>0.1423609133876203</v>
      </c>
      <c r="AA486" s="4">
        <f>1/ZAR!C486</f>
        <v>0.14171933902100281</v>
      </c>
    </row>
    <row r="487" spans="1:27" x14ac:dyDescent="0.25">
      <c r="A487" t="str">
        <f>"27/05/2011"</f>
        <v>27/05/2011</v>
      </c>
      <c r="B487" s="3">
        <f>AUD!B487</f>
        <v>1.0699000000000001</v>
      </c>
      <c r="C487" s="3">
        <f>AUD!C487</f>
        <v>1.0658000000000001</v>
      </c>
      <c r="D487" s="3">
        <f>1/CAD!B487</f>
        <v>1.0238558410975735</v>
      </c>
      <c r="E487" s="3">
        <f>1/CAD!C487</f>
        <v>1.023122570083896</v>
      </c>
      <c r="F487" s="3">
        <f>EUR!B487/1</f>
        <v>1.4258999999999999</v>
      </c>
      <c r="G487" s="3">
        <f>EUR!C487/1</f>
        <v>1.4249000000000001</v>
      </c>
      <c r="H487" s="3">
        <f>GBP!B487/1</f>
        <v>1.6437999999999999</v>
      </c>
      <c r="I487" s="3">
        <f>GBP!C487/1</f>
        <v>1.6432</v>
      </c>
      <c r="J487" s="4">
        <f>1/INR!B487</f>
        <v>2.2109219544550078E-2</v>
      </c>
      <c r="K487" s="4">
        <f>1/INR!C487</f>
        <v>2.1976814460743916E-2</v>
      </c>
      <c r="L487" s="4">
        <f>1/JPY!B487</f>
        <v>1.2329544053460904E-2</v>
      </c>
      <c r="M487" s="4">
        <f>1/JPY!C487</f>
        <v>1.2330699495921004E-2</v>
      </c>
      <c r="N487" s="5">
        <f>1/KRW!B487</f>
        <v>9.2498381278327633E-4</v>
      </c>
      <c r="O487" s="5">
        <f>1/KRW!C487</f>
        <v>9.2494360156389474E-4</v>
      </c>
      <c r="P487" s="3">
        <f>1/NOK!B487</f>
        <v>0.18357044515832951</v>
      </c>
      <c r="Q487" s="3">
        <f>1/NOK!C487</f>
        <v>0.18322400967422772</v>
      </c>
      <c r="R487" s="3">
        <f>NZD!B487/1</f>
        <v>0.81799999999999995</v>
      </c>
      <c r="S487" s="3">
        <f>NZD!C487/1</f>
        <v>0.81630000000000003</v>
      </c>
      <c r="T487" s="4">
        <f>1/PHP!B487</f>
        <v>2.306805074971165E-2</v>
      </c>
      <c r="U487" s="4">
        <f>1/PHP!C487</f>
        <v>2.3009664058904738E-2</v>
      </c>
      <c r="V487" s="4">
        <f>1/TWD!B487</f>
        <v>3.4716195105016494E-2</v>
      </c>
      <c r="W487" s="4">
        <f>1/TWD!C487</f>
        <v>3.4716195105016494E-2</v>
      </c>
      <c r="X487" s="4">
        <f>1/TWD!B487</f>
        <v>3.4716195105016494E-2</v>
      </c>
      <c r="Y487" s="4">
        <f>1/TWD!C487</f>
        <v>3.4716195105016494E-2</v>
      </c>
      <c r="Z487" s="4">
        <f>1/ZAR!B487</f>
        <v>0.14464872058206646</v>
      </c>
      <c r="AA487" s="4">
        <f>1/ZAR!C487</f>
        <v>0.14400506897842802</v>
      </c>
    </row>
    <row r="488" spans="1:27" x14ac:dyDescent="0.25">
      <c r="A488" t="str">
        <f>"30/05/2011"</f>
        <v>30/05/2011</v>
      </c>
      <c r="B488" s="3">
        <f>AUD!B488</f>
        <v>1.0697000000000001</v>
      </c>
      <c r="C488" s="3">
        <f>AUD!C488</f>
        <v>1.0656000000000001</v>
      </c>
      <c r="D488" s="3">
        <f>1/CAD!B488</f>
        <v>1.0237510237510237</v>
      </c>
      <c r="E488" s="3">
        <f>1/CAD!C488</f>
        <v>1.0230179028132993</v>
      </c>
      <c r="F488" s="3">
        <f>EUR!B488/1</f>
        <v>1.4282999999999999</v>
      </c>
      <c r="G488" s="3">
        <f>EUR!C488/1</f>
        <v>1.4273</v>
      </c>
      <c r="H488" s="3">
        <f>GBP!B488/1</f>
        <v>1.6475</v>
      </c>
      <c r="I488" s="3">
        <f>GBP!C488/1</f>
        <v>1.6469</v>
      </c>
      <c r="J488" s="4">
        <f>1/INR!B488</f>
        <v>2.2153300841825433E-2</v>
      </c>
      <c r="K488" s="4">
        <f>1/INR!C488</f>
        <v>2.2022793591367065E-2</v>
      </c>
      <c r="L488" s="4">
        <f>1/JPY!B488</f>
        <v>1.2374706100730107E-2</v>
      </c>
      <c r="M488" s="4">
        <f>1/JPY!C488</f>
        <v>1.2375961921640359E-2</v>
      </c>
      <c r="N488" s="5">
        <f>1/KRW!B488</f>
        <v>9.2489826119126887E-4</v>
      </c>
      <c r="O488" s="5">
        <f>1/KRW!C488</f>
        <v>9.248773034647291E-4</v>
      </c>
      <c r="P488" s="3">
        <f>1/NOK!B488</f>
        <v>0.18391819318767014</v>
      </c>
      <c r="Q488" s="3">
        <f>1/NOK!C488</f>
        <v>0.18357044515832951</v>
      </c>
      <c r="R488" s="3">
        <f>NZD!B488/1</f>
        <v>0.81810000000000005</v>
      </c>
      <c r="S488" s="3">
        <f>NZD!C488/1</f>
        <v>0.81640000000000001</v>
      </c>
      <c r="T488" s="4">
        <f>1/PHP!B488</f>
        <v>2.3100023100023102E-2</v>
      </c>
      <c r="U488" s="4">
        <f>1/PHP!C488</f>
        <v>2.3046784973496198E-2</v>
      </c>
      <c r="V488" s="4">
        <f>1/TWD!B488</f>
        <v>3.4749973937519545E-2</v>
      </c>
      <c r="W488" s="4">
        <f>1/TWD!C488</f>
        <v>3.4749973937519545E-2</v>
      </c>
      <c r="X488" s="4">
        <f>1/TWD!B488</f>
        <v>3.4749973937519545E-2</v>
      </c>
      <c r="Y488" s="4">
        <f>1/TWD!C488</f>
        <v>3.4749973937519545E-2</v>
      </c>
      <c r="Z488" s="4">
        <f>1/ZAR!B488</f>
        <v>0.14426683593975417</v>
      </c>
      <c r="AA488" s="4">
        <f>1/ZAR!C488</f>
        <v>0.14363275975984602</v>
      </c>
    </row>
    <row r="489" spans="1:27" x14ac:dyDescent="0.25">
      <c r="A489" t="str">
        <f>"31/05/2011"</f>
        <v>31/05/2011</v>
      </c>
      <c r="B489" s="3">
        <f>AUD!B489</f>
        <v>1.0709</v>
      </c>
      <c r="C489" s="3">
        <f>AUD!C489</f>
        <v>1.0664</v>
      </c>
      <c r="D489" s="3">
        <f>1/CAD!B489</f>
        <v>1.0274324463166546</v>
      </c>
      <c r="E489" s="3">
        <f>1/CAD!C489</f>
        <v>1.0266940451745381</v>
      </c>
      <c r="F489" s="3">
        <f>EUR!B489/1</f>
        <v>1.4381999999999999</v>
      </c>
      <c r="G489" s="3">
        <f>EUR!C489/1</f>
        <v>1.4371</v>
      </c>
      <c r="H489" s="3">
        <f>GBP!B489/1</f>
        <v>1.6545000000000001</v>
      </c>
      <c r="I489" s="3">
        <f>GBP!C489/1</f>
        <v>1.6537999999999999</v>
      </c>
      <c r="J489" s="4">
        <f>1/INR!B489</f>
        <v>2.2224691632403603E-2</v>
      </c>
      <c r="K489" s="4">
        <f>1/INR!C489</f>
        <v>2.2099447513812154E-2</v>
      </c>
      <c r="L489" s="4">
        <f>1/JPY!B489</f>
        <v>1.2319822594554638E-2</v>
      </c>
      <c r="M489" s="4">
        <f>1/JPY!C489</f>
        <v>1.2320961034960727E-2</v>
      </c>
      <c r="N489" s="5">
        <f>1/KRW!B489</f>
        <v>9.2850510677808728E-4</v>
      </c>
      <c r="O489" s="5">
        <f>1/KRW!C489</f>
        <v>9.2848269215413544E-4</v>
      </c>
      <c r="P489" s="3">
        <f>1/NOK!B489</f>
        <v>0.18549090167127302</v>
      </c>
      <c r="Q489" s="3">
        <f>1/NOK!C489</f>
        <v>0.18513718665531159</v>
      </c>
      <c r="R489" s="3">
        <f>NZD!B489/1</f>
        <v>0.8246</v>
      </c>
      <c r="S489" s="3">
        <f>NZD!C489/1</f>
        <v>0.82279999999999998</v>
      </c>
      <c r="T489" s="4">
        <f>1/PHP!B489</f>
        <v>2.3094688221709007E-2</v>
      </c>
      <c r="U489" s="4">
        <f>1/PHP!C489</f>
        <v>2.3041474654377881E-2</v>
      </c>
      <c r="V489" s="4">
        <f>1/TWD!B489</f>
        <v>3.4857780256553263E-2</v>
      </c>
      <c r="W489" s="4">
        <f>1/TWD!C489</f>
        <v>3.4857780256553263E-2</v>
      </c>
      <c r="X489" s="4">
        <f>1/TWD!B489</f>
        <v>3.4857780256553263E-2</v>
      </c>
      <c r="Y489" s="4">
        <f>1/TWD!C489</f>
        <v>3.4857780256553263E-2</v>
      </c>
      <c r="Z489" s="4">
        <f>1/ZAR!B489</f>
        <v>0.14471361176232236</v>
      </c>
      <c r="AA489" s="4">
        <f>1/ZAR!C489</f>
        <v>0.14406938381524542</v>
      </c>
    </row>
    <row r="490" spans="1:27" x14ac:dyDescent="0.25">
      <c r="A490" t="str">
        <f>"01/06/2011"</f>
        <v>01/06/2011</v>
      </c>
      <c r="B490" s="3">
        <f>AUD!B490</f>
        <v>1.0744</v>
      </c>
      <c r="C490" s="3">
        <f>AUD!C490</f>
        <v>1.07</v>
      </c>
      <c r="D490" s="3">
        <f>1/CAD!B490</f>
        <v>1.0330578512396695</v>
      </c>
      <c r="E490" s="3">
        <f>1/CAD!C490</f>
        <v>1.0322047894302229</v>
      </c>
      <c r="F490" s="3">
        <f>EUR!B490/1</f>
        <v>1.4421999999999999</v>
      </c>
      <c r="G490" s="3">
        <f>EUR!C490/1</f>
        <v>1.4411</v>
      </c>
      <c r="H490" s="3">
        <f>GBP!B490/1</f>
        <v>1.6468</v>
      </c>
      <c r="I490" s="3">
        <f>GBP!C490/1</f>
        <v>1.6462000000000001</v>
      </c>
      <c r="J490" s="4">
        <f>1/INR!B490</f>
        <v>2.2227161591464768E-2</v>
      </c>
      <c r="K490" s="4">
        <f>1/INR!C490</f>
        <v>2.211044165607208E-2</v>
      </c>
      <c r="L490" s="4">
        <f>1/JPY!B490</f>
        <v>1.2311177317886909E-2</v>
      </c>
      <c r="M490" s="4">
        <f>1/JPY!C490</f>
        <v>1.2312329320334797E-2</v>
      </c>
      <c r="N490" s="5">
        <f>1/KRW!B490</f>
        <v>9.2945441026117662E-4</v>
      </c>
      <c r="O490" s="5">
        <f>1/KRW!C490</f>
        <v>9.2943238170300818E-4</v>
      </c>
      <c r="P490" s="3">
        <f>1/NOK!B490</f>
        <v>0.18619893494209214</v>
      </c>
      <c r="Q490" s="3">
        <f>1/NOK!C490</f>
        <v>0.18584251705105095</v>
      </c>
      <c r="R490" s="3">
        <f>NZD!B490/1</f>
        <v>0.82189999999999996</v>
      </c>
      <c r="S490" s="3">
        <f>NZD!C490/1</f>
        <v>0.82010000000000005</v>
      </c>
      <c r="T490" s="4">
        <f>1/PHP!B490</f>
        <v>2.3148148148148147E-2</v>
      </c>
      <c r="U490" s="4">
        <f>1/PHP!C490</f>
        <v>2.3081361800346218E-2</v>
      </c>
      <c r="V490" s="4">
        <f>1/TWD!B490</f>
        <v>3.4977264777894368E-2</v>
      </c>
      <c r="W490" s="4">
        <f>1/TWD!C490</f>
        <v>3.4977387119227418E-2</v>
      </c>
      <c r="X490" s="4">
        <f>1/TWD!B490</f>
        <v>3.4977264777894368E-2</v>
      </c>
      <c r="Y490" s="4">
        <f>1/TWD!C490</f>
        <v>3.4977387119227418E-2</v>
      </c>
      <c r="Z490" s="4">
        <f>1/ZAR!B490</f>
        <v>0.14687738675753481</v>
      </c>
      <c r="AA490" s="4">
        <f>1/ZAR!C490</f>
        <v>0.14617104936196337</v>
      </c>
    </row>
    <row r="491" spans="1:27" x14ac:dyDescent="0.25">
      <c r="A491" t="str">
        <f>"02/06/2011"</f>
        <v>02/06/2011</v>
      </c>
      <c r="B491" s="3">
        <f>AUD!B491</f>
        <v>1.0619000000000001</v>
      </c>
      <c r="C491" s="3">
        <f>AUD!C491</f>
        <v>1.0578000000000001</v>
      </c>
      <c r="D491" s="3">
        <f>1/CAD!B491</f>
        <v>1.0224948875255624</v>
      </c>
      <c r="E491" s="3">
        <f>1/CAD!C491</f>
        <v>1.021659174499387</v>
      </c>
      <c r="F491" s="3">
        <f>EUR!B491/1</f>
        <v>1.4357</v>
      </c>
      <c r="G491" s="3">
        <f>EUR!C491/1</f>
        <v>1.4347000000000001</v>
      </c>
      <c r="H491" s="3">
        <f>GBP!B491/1</f>
        <v>1.6329</v>
      </c>
      <c r="I491" s="3">
        <f>GBP!C491/1</f>
        <v>1.6323000000000001</v>
      </c>
      <c r="J491" s="4">
        <f>1/INR!B491</f>
        <v>2.2254367419606097E-2</v>
      </c>
      <c r="K491" s="4">
        <f>1/INR!C491</f>
        <v>2.212511753968693E-2</v>
      </c>
      <c r="L491" s="4">
        <f>1/JPY!B491</f>
        <v>1.2343393198790348E-2</v>
      </c>
      <c r="M491" s="4">
        <f>1/JPY!C491</f>
        <v>1.2344551238528826E-2</v>
      </c>
      <c r="N491" s="5">
        <f>1/KRW!B491</f>
        <v>9.254974548819991E-4</v>
      </c>
      <c r="O491" s="5">
        <f>1/KRW!C491</f>
        <v>9.2547689824566605E-4</v>
      </c>
      <c r="P491" s="3">
        <f>1/NOK!B491</f>
        <v>0.18392495861688429</v>
      </c>
      <c r="Q491" s="3">
        <f>1/NOK!C491</f>
        <v>0.18357718502744477</v>
      </c>
      <c r="R491" s="3">
        <f>NZD!B491/1</f>
        <v>0.81230000000000002</v>
      </c>
      <c r="S491" s="3">
        <f>NZD!C491/1</f>
        <v>0.81059999999999999</v>
      </c>
      <c r="T491" s="4">
        <f>1/PHP!B491</f>
        <v>2.3134759976865239E-2</v>
      </c>
      <c r="U491" s="4">
        <f>1/PHP!C491</f>
        <v>2.3073373327180433E-2</v>
      </c>
      <c r="V491" s="4">
        <f>1/TWD!B491</f>
        <v>3.4899141481119562E-2</v>
      </c>
      <c r="W491" s="4">
        <f>1/TWD!C491</f>
        <v>3.4899141481119562E-2</v>
      </c>
      <c r="X491" s="4">
        <f>1/TWD!B491</f>
        <v>3.4899141481119562E-2</v>
      </c>
      <c r="Y491" s="4">
        <f>1/TWD!C491</f>
        <v>3.4899141481119562E-2</v>
      </c>
      <c r="Z491" s="4">
        <f>1/ZAR!B491</f>
        <v>0.14634431891353977</v>
      </c>
      <c r="AA491" s="4">
        <f>1/ZAR!C491</f>
        <v>0.14566218027151431</v>
      </c>
    </row>
    <row r="492" spans="1:27" x14ac:dyDescent="0.25">
      <c r="A492" t="str">
        <f>"03/06/2011"</f>
        <v>03/06/2011</v>
      </c>
      <c r="B492" s="3">
        <f>AUD!B492</f>
        <v>1.0678000000000001</v>
      </c>
      <c r="C492" s="3">
        <f>AUD!C492</f>
        <v>1.0637000000000001</v>
      </c>
      <c r="D492" s="3">
        <f>1/CAD!B492</f>
        <v>1.0240655401945724</v>
      </c>
      <c r="E492" s="3">
        <f>1/CAD!C492</f>
        <v>1.0232272587741738</v>
      </c>
      <c r="F492" s="3">
        <f>EUR!B492/1</f>
        <v>1.4486000000000001</v>
      </c>
      <c r="G492" s="3">
        <f>EUR!C492/1</f>
        <v>1.4475</v>
      </c>
      <c r="H492" s="3">
        <f>GBP!B492/1</f>
        <v>1.6345000000000001</v>
      </c>
      <c r="I492" s="3">
        <f>GBP!C492/1</f>
        <v>1.6338999999999999</v>
      </c>
      <c r="J492" s="4">
        <f>1/INR!B492</f>
        <v>2.2281639928698752E-2</v>
      </c>
      <c r="K492" s="4">
        <f>1/INR!C492</f>
        <v>2.2161892625630227E-2</v>
      </c>
      <c r="L492" s="4">
        <f>1/JPY!B492</f>
        <v>1.2386048355132778E-2</v>
      </c>
      <c r="M492" s="4">
        <f>1/JPY!C492</f>
        <v>1.2387199068482631E-2</v>
      </c>
      <c r="N492" s="5">
        <f>1/KRW!B492</f>
        <v>9.2824654228163006E-4</v>
      </c>
      <c r="O492" s="5">
        <f>1/KRW!C492</f>
        <v>9.2822629414470218E-4</v>
      </c>
      <c r="P492" s="3">
        <f>1/NOK!B492</f>
        <v>0.18611230016191771</v>
      </c>
      <c r="Q492" s="3">
        <f>1/NOK!C492</f>
        <v>0.18575621354534308</v>
      </c>
      <c r="R492" s="3">
        <f>NZD!B492/1</f>
        <v>0.81589999999999996</v>
      </c>
      <c r="S492" s="3">
        <f>NZD!C492/1</f>
        <v>0.81430000000000002</v>
      </c>
      <c r="T492" s="4">
        <f>1/PHP!B492</f>
        <v>2.3132084200786492E-2</v>
      </c>
      <c r="U492" s="4">
        <f>1/PHP!C492</f>
        <v>2.3073373327180433E-2</v>
      </c>
      <c r="V492" s="4">
        <f>1/TWD!B492</f>
        <v>3.4886966229416685E-2</v>
      </c>
      <c r="W492" s="4">
        <f>1/TWD!C492</f>
        <v>3.4886966229416685E-2</v>
      </c>
      <c r="X492" s="4">
        <f>1/TWD!B492</f>
        <v>3.4886966229416685E-2</v>
      </c>
      <c r="Y492" s="4">
        <f>1/TWD!C492</f>
        <v>3.4886966229416685E-2</v>
      </c>
      <c r="Z492" s="4">
        <f>1/ZAR!B492</f>
        <v>0.14873427135080466</v>
      </c>
      <c r="AA492" s="4">
        <f>1/ZAR!C492</f>
        <v>0.14806917791992419</v>
      </c>
    </row>
    <row r="493" spans="1:27" x14ac:dyDescent="0.25">
      <c r="A493" t="str">
        <f>"06/06/2011"</f>
        <v>06/06/2011</v>
      </c>
      <c r="B493" s="3">
        <f>AUD!B493</f>
        <v>1.0746</v>
      </c>
      <c r="C493" s="3">
        <f>AUD!C493</f>
        <v>1.0705</v>
      </c>
      <c r="D493" s="3">
        <f>1/CAD!B493</f>
        <v>1.0215548064153641</v>
      </c>
      <c r="E493" s="3">
        <f>1/CAD!C493</f>
        <v>1.0208248264597795</v>
      </c>
      <c r="F493" s="3">
        <f>EUR!B493/1</f>
        <v>1.4638</v>
      </c>
      <c r="G493" s="3">
        <f>EUR!C493/1</f>
        <v>1.4626999999999999</v>
      </c>
      <c r="H493" s="3">
        <f>GBP!B493/1</f>
        <v>1.6438999999999999</v>
      </c>
      <c r="I493" s="3">
        <f>GBP!C493/1</f>
        <v>1.6433</v>
      </c>
      <c r="J493" s="4">
        <f>1/INR!B493</f>
        <v>2.23463687150838E-2</v>
      </c>
      <c r="K493" s="4">
        <f>1/INR!C493</f>
        <v>2.2217285047767165E-2</v>
      </c>
      <c r="L493" s="4">
        <f>1/JPY!B493</f>
        <v>1.2454696043143068E-2</v>
      </c>
      <c r="M493" s="4">
        <f>1/JPY!C493</f>
        <v>1.2456030213346887E-2</v>
      </c>
      <c r="N493" s="5">
        <f>1/KRW!B493</f>
        <v>9.2790201354736937E-4</v>
      </c>
      <c r="O493" s="5">
        <f>1/KRW!C493</f>
        <v>9.2786197867494814E-4</v>
      </c>
      <c r="P493" s="3">
        <f>1/NOK!B493</f>
        <v>0.1874098090294046</v>
      </c>
      <c r="Q493" s="3">
        <f>1/NOK!C493</f>
        <v>0.18705224369166309</v>
      </c>
      <c r="R493" s="3">
        <f>NZD!B493/1</f>
        <v>0.81610000000000005</v>
      </c>
      <c r="S493" s="3">
        <f>NZD!C493/1</f>
        <v>0.81440000000000001</v>
      </c>
      <c r="T493" s="4">
        <f>1/PHP!B493</f>
        <v>2.3158869847151459E-2</v>
      </c>
      <c r="U493" s="4">
        <f>1/PHP!C493</f>
        <v>2.3100023100023102E-2</v>
      </c>
      <c r="V493" s="4">
        <f>1/TWD!B493</f>
        <v>3.4782608695652174E-2</v>
      </c>
      <c r="W493" s="4">
        <f>1/TWD!C493</f>
        <v>3.4782608695652174E-2</v>
      </c>
      <c r="X493" s="4">
        <f>1/TWD!B493</f>
        <v>3.4782608695652174E-2</v>
      </c>
      <c r="Y493" s="4">
        <f>1/TWD!C493</f>
        <v>3.4782608695652174E-2</v>
      </c>
      <c r="Z493" s="4">
        <f>1/ZAR!B493</f>
        <v>0.14919806042521447</v>
      </c>
      <c r="AA493" s="4">
        <f>1/ZAR!C493</f>
        <v>0.14877852828279822</v>
      </c>
    </row>
    <row r="494" spans="1:27" x14ac:dyDescent="0.25">
      <c r="A494" t="str">
        <f>"07/06/2011"</f>
        <v>07/06/2011</v>
      </c>
      <c r="B494" s="3">
        <f>AUD!B494</f>
        <v>1.0739000000000001</v>
      </c>
      <c r="C494" s="3">
        <f>AUD!C494</f>
        <v>1.0694999999999999</v>
      </c>
      <c r="D494" s="3">
        <f>1/CAD!B494</f>
        <v>1.0207206287639072</v>
      </c>
      <c r="E494" s="3">
        <f>1/CAD!C494</f>
        <v>1.0199918400652794</v>
      </c>
      <c r="F494" s="3">
        <f>EUR!B494/1</f>
        <v>1.4598</v>
      </c>
      <c r="G494" s="3">
        <f>EUR!C494/1</f>
        <v>1.4585999999999999</v>
      </c>
      <c r="H494" s="3">
        <f>GBP!B494/1</f>
        <v>1.6342000000000001</v>
      </c>
      <c r="I494" s="3">
        <f>GBP!C494/1</f>
        <v>1.6335</v>
      </c>
      <c r="J494" s="4">
        <f>1/INR!B494</f>
        <v>2.2327658386826682E-2</v>
      </c>
      <c r="K494" s="4">
        <f>1/INR!C494</f>
        <v>2.2192632046160673E-2</v>
      </c>
      <c r="L494" s="4">
        <f>1/JPY!B494</f>
        <v>1.2468050620285519E-2</v>
      </c>
      <c r="M494" s="4">
        <f>1/JPY!C494</f>
        <v>1.2469263266049189E-2</v>
      </c>
      <c r="N494" s="5">
        <f>1/KRW!B494</f>
        <v>9.2562595455176566E-4</v>
      </c>
      <c r="O494" s="5">
        <f>1/KRW!C494</f>
        <v>9.2558568748339739E-4</v>
      </c>
      <c r="P494" s="3">
        <f>1/NOK!B494</f>
        <v>0.18611230016191771</v>
      </c>
      <c r="Q494" s="3">
        <f>1/NOK!C494</f>
        <v>0.18573551263001484</v>
      </c>
      <c r="R494" s="3">
        <f>NZD!B494/1</f>
        <v>0.81630000000000003</v>
      </c>
      <c r="S494" s="3">
        <f>NZD!C494/1</f>
        <v>0.8145</v>
      </c>
      <c r="T494" s="4">
        <f>1/PHP!B494</f>
        <v>2.3142791020597082E-2</v>
      </c>
      <c r="U494" s="4">
        <f>1/PHP!C494</f>
        <v>2.3078698361412416E-2</v>
      </c>
      <c r="V494" s="4">
        <f>1/TWD!B494</f>
        <v>3.4850491391928626E-2</v>
      </c>
      <c r="W494" s="4">
        <f>1/TWD!C494</f>
        <v>3.4850491391928626E-2</v>
      </c>
      <c r="X494" s="4">
        <f>1/TWD!B494</f>
        <v>3.4850491391928626E-2</v>
      </c>
      <c r="Y494" s="4">
        <f>1/TWD!C494</f>
        <v>3.4850491391928626E-2</v>
      </c>
      <c r="Z494" s="4">
        <f>1/ZAR!B494</f>
        <v>0.14747957407899007</v>
      </c>
      <c r="AA494" s="4">
        <f>1/ZAR!C494</f>
        <v>0.14683856568089043</v>
      </c>
    </row>
    <row r="495" spans="1:27" x14ac:dyDescent="0.25">
      <c r="A495" t="str">
        <f>"08/06/2011"</f>
        <v>08/06/2011</v>
      </c>
      <c r="B495" s="3">
        <f>AUD!B495</f>
        <v>1.0654999999999999</v>
      </c>
      <c r="C495" s="3">
        <f>AUD!C495</f>
        <v>1.0612999999999999</v>
      </c>
      <c r="D495" s="3">
        <f>1/CAD!B495</f>
        <v>1.0222858311183807</v>
      </c>
      <c r="E495" s="3">
        <f>1/CAD!C495</f>
        <v>1.0214504596527068</v>
      </c>
      <c r="F495" s="3">
        <f>EUR!B495/1</f>
        <v>1.4656</v>
      </c>
      <c r="G495" s="3">
        <f>EUR!C495/1</f>
        <v>1.4643999999999999</v>
      </c>
      <c r="H495" s="3">
        <f>GBP!B495/1</f>
        <v>1.6412</v>
      </c>
      <c r="I495" s="3">
        <f>GBP!C495/1</f>
        <v>1.6406000000000001</v>
      </c>
      <c r="J495" s="4">
        <f>1/INR!B495</f>
        <v>2.2376370552696354E-2</v>
      </c>
      <c r="K495" s="4">
        <f>1/INR!C495</f>
        <v>2.2246941045606226E-2</v>
      </c>
      <c r="L495" s="4">
        <f>1/JPY!B495</f>
        <v>1.2507660942327177E-2</v>
      </c>
      <c r="M495" s="4">
        <f>1/JPY!C495</f>
        <v>1.2508865658535488E-2</v>
      </c>
      <c r="N495" s="5">
        <f>1/KRW!B495</f>
        <v>9.23446301597562E-4</v>
      </c>
      <c r="O495" s="5">
        <f>1/KRW!C495</f>
        <v>9.2340750296298377E-4</v>
      </c>
      <c r="P495" s="3">
        <f>1/NOK!B495</f>
        <v>0.18671346950969042</v>
      </c>
      <c r="Q495" s="3">
        <f>1/NOK!C495</f>
        <v>0.18634466308884914</v>
      </c>
      <c r="R495" s="3">
        <f>NZD!B495/1</f>
        <v>0.81659999999999999</v>
      </c>
      <c r="S495" s="3">
        <f>NZD!C495/1</f>
        <v>0.81489999999999996</v>
      </c>
      <c r="T495" s="4">
        <f>1/PHP!B495</f>
        <v>2.3142791020597082E-2</v>
      </c>
      <c r="U495" s="4">
        <f>1/PHP!C495</f>
        <v>2.3078698361412416E-2</v>
      </c>
      <c r="V495" s="4">
        <f>1/TWD!B495</f>
        <v>3.4852920674752541E-2</v>
      </c>
      <c r="W495" s="4">
        <f>1/TWD!C495</f>
        <v>3.4852920674752541E-2</v>
      </c>
      <c r="X495" s="4">
        <f>1/TWD!B495</f>
        <v>3.4852920674752541E-2</v>
      </c>
      <c r="Y495" s="4">
        <f>1/TWD!C495</f>
        <v>3.4852920674752541E-2</v>
      </c>
      <c r="Z495" s="4">
        <f>1/ZAR!B495</f>
        <v>0.14833494029518651</v>
      </c>
      <c r="AA495" s="4">
        <f>1/ZAR!C495</f>
        <v>0.1476755862720775</v>
      </c>
    </row>
    <row r="496" spans="1:27" x14ac:dyDescent="0.25">
      <c r="A496" t="str">
        <f>"09/06/2011"</f>
        <v>09/06/2011</v>
      </c>
      <c r="B496" s="3">
        <f>AUD!B496</f>
        <v>1.0584</v>
      </c>
      <c r="C496" s="3">
        <f>AUD!C496</f>
        <v>1.0543</v>
      </c>
      <c r="D496" s="3">
        <f>1/CAD!B496</f>
        <v>1.0204081632653061</v>
      </c>
      <c r="E496" s="3">
        <f>1/CAD!C496</f>
        <v>1.0195758564437194</v>
      </c>
      <c r="F496" s="3">
        <f>EUR!B496/1</f>
        <v>1.4614</v>
      </c>
      <c r="G496" s="3">
        <f>EUR!C496/1</f>
        <v>1.4601999999999999</v>
      </c>
      <c r="H496" s="3">
        <f>GBP!B496/1</f>
        <v>1.6408</v>
      </c>
      <c r="I496" s="3">
        <f>GBP!C496/1</f>
        <v>1.6402000000000001</v>
      </c>
      <c r="J496" s="4">
        <f>1/INR!B496</f>
        <v>2.2376370552696354E-2</v>
      </c>
      <c r="K496" s="4">
        <f>1/INR!C496</f>
        <v>2.2249415952831239E-2</v>
      </c>
      <c r="L496" s="4">
        <f>1/JPY!B496</f>
        <v>1.2490788043817685E-2</v>
      </c>
      <c r="M496" s="4">
        <f>1/JPY!C496</f>
        <v>1.2491864673131623E-2</v>
      </c>
      <c r="N496" s="5">
        <f>1/KRW!B496</f>
        <v>9.225517782185525E-4</v>
      </c>
      <c r="O496" s="5">
        <f>1/KRW!C496</f>
        <v>9.2253347989315203E-4</v>
      </c>
      <c r="P496" s="3">
        <f>1/NOK!B496</f>
        <v>0.18547025984383403</v>
      </c>
      <c r="Q496" s="3">
        <f>1/NOK!C496</f>
        <v>0.18512347735939874</v>
      </c>
      <c r="R496" s="3">
        <f>NZD!B496/1</f>
        <v>0.82020000000000004</v>
      </c>
      <c r="S496" s="3">
        <f>NZD!C496/1</f>
        <v>0.81850000000000001</v>
      </c>
      <c r="T496" s="4">
        <f>1/PHP!B496</f>
        <v>2.31107002542177E-2</v>
      </c>
      <c r="U496" s="4">
        <f>1/PHP!C496</f>
        <v>2.3046784973496198E-2</v>
      </c>
      <c r="V496" s="4">
        <f>1/TWD!B496</f>
        <v>3.4801976752279529E-2</v>
      </c>
      <c r="W496" s="4">
        <f>1/TWD!C496</f>
        <v>3.4801976752279529E-2</v>
      </c>
      <c r="X496" s="4">
        <f>1/TWD!B496</f>
        <v>3.4801976752279529E-2</v>
      </c>
      <c r="Y496" s="4">
        <f>1/TWD!C496</f>
        <v>3.4801976752279529E-2</v>
      </c>
      <c r="Z496" s="4">
        <f>1/ZAR!B496</f>
        <v>0.14860828342571816</v>
      </c>
      <c r="AA496" s="4">
        <f>1/ZAR!C496</f>
        <v>0.14794431376030062</v>
      </c>
    </row>
    <row r="497" spans="1:27" x14ac:dyDescent="0.25">
      <c r="A497" t="str">
        <f>"13/06/2011"</f>
        <v>13/06/2011</v>
      </c>
      <c r="B497" s="3">
        <f>AUD!B497</f>
        <v>1.0536000000000001</v>
      </c>
      <c r="C497" s="3">
        <f>AUD!C497</f>
        <v>1.0495000000000001</v>
      </c>
      <c r="D497" s="3">
        <f>1/CAD!B497</f>
        <v>1.0234367004400777</v>
      </c>
      <c r="E497" s="3">
        <f>1/CAD!C497</f>
        <v>1.0227040294538761</v>
      </c>
      <c r="F497" s="3">
        <f>EUR!B497/1</f>
        <v>1.4336</v>
      </c>
      <c r="G497" s="3">
        <f>EUR!C497/1</f>
        <v>1.4325000000000001</v>
      </c>
      <c r="H497" s="3">
        <f>GBP!B497/1</f>
        <v>1.6227</v>
      </c>
      <c r="I497" s="3">
        <f>GBP!C497/1</f>
        <v>1.6221000000000001</v>
      </c>
      <c r="J497" s="4">
        <f>1/INR!B497</f>
        <v>2.2286605749944285E-2</v>
      </c>
      <c r="K497" s="4">
        <f>1/INR!C497</f>
        <v>2.2158209616662972E-2</v>
      </c>
      <c r="L497" s="4">
        <f>1/JPY!B497</f>
        <v>1.241164460496838E-2</v>
      </c>
      <c r="M497" s="4">
        <f>1/JPY!C497</f>
        <v>1.2412907934703139E-2</v>
      </c>
      <c r="N497" s="5">
        <f>1/KRW!B497</f>
        <v>9.2106475085198484E-4</v>
      </c>
      <c r="O497" s="5">
        <f>1/KRW!C497</f>
        <v>9.2104608730411654E-4</v>
      </c>
      <c r="P497" s="3">
        <f>1/NOK!B497</f>
        <v>0.18183471224656786</v>
      </c>
      <c r="Q497" s="3">
        <f>1/NOK!C497</f>
        <v>0.18149149712335977</v>
      </c>
      <c r="R497" s="3">
        <f>NZD!B497/1</f>
        <v>0.81330000000000002</v>
      </c>
      <c r="S497" s="3">
        <f>NZD!C497/1</f>
        <v>0.81159999999999999</v>
      </c>
      <c r="T497" s="4">
        <f>1/PHP!B497</f>
        <v>2.3041474654377881E-2</v>
      </c>
      <c r="U497" s="4">
        <f>1/PHP!C497</f>
        <v>2.2983222247759137E-2</v>
      </c>
      <c r="V497" s="4">
        <f>1/TWD!B497</f>
        <v>3.4689700627883582E-2</v>
      </c>
      <c r="W497" s="4">
        <f>1/TWD!C497</f>
        <v>3.4689700627883582E-2</v>
      </c>
      <c r="X497" s="4">
        <f>1/TWD!B497</f>
        <v>3.4689700627883582E-2</v>
      </c>
      <c r="Y497" s="4">
        <f>1/TWD!C497</f>
        <v>3.4689700627883582E-2</v>
      </c>
      <c r="Z497" s="4">
        <f>1/ZAR!B497</f>
        <v>0.14683856568089043</v>
      </c>
      <c r="AA497" s="4">
        <f>1/ZAR!C497</f>
        <v>0.14620096785040718</v>
      </c>
    </row>
    <row r="498" spans="1:27" x14ac:dyDescent="0.25">
      <c r="A498" t="str">
        <f>"14/06/2011"</f>
        <v>14/06/2011</v>
      </c>
      <c r="B498" s="3">
        <f>AUD!B498</f>
        <v>1.0637000000000001</v>
      </c>
      <c r="C498" s="3">
        <f>AUD!C498</f>
        <v>1.0592999999999999</v>
      </c>
      <c r="D498" s="3">
        <f>1/CAD!B498</f>
        <v>1.0266940451745381</v>
      </c>
      <c r="E498" s="3">
        <f>1/CAD!C498</f>
        <v>1.0259567046270648</v>
      </c>
      <c r="F498" s="3">
        <f>EUR!B498/1</f>
        <v>1.4431</v>
      </c>
      <c r="G498" s="3">
        <f>EUR!C498/1</f>
        <v>1.4419</v>
      </c>
      <c r="H498" s="3">
        <f>GBP!B498/1</f>
        <v>1.6422000000000001</v>
      </c>
      <c r="I498" s="3">
        <f>GBP!C498/1</f>
        <v>1.6415</v>
      </c>
      <c r="J498" s="4">
        <f>1/INR!B498</f>
        <v>2.2326412145568207E-2</v>
      </c>
      <c r="K498" s="4">
        <f>1/INR!C498</f>
        <v>2.2190169754798626E-2</v>
      </c>
      <c r="L498" s="4">
        <f>1/JPY!B498</f>
        <v>1.2460903913969919E-2</v>
      </c>
      <c r="M498" s="4">
        <f>1/JPY!C498</f>
        <v>1.2462550037138399E-2</v>
      </c>
      <c r="N498" s="5">
        <f>1/KRW!B498</f>
        <v>9.2395823708768369E-4</v>
      </c>
      <c r="O498" s="5">
        <f>1/KRW!C498</f>
        <v>9.2393860243199114E-4</v>
      </c>
      <c r="P498" s="3">
        <f>1/NOK!B498</f>
        <v>0.18448142272073201</v>
      </c>
      <c r="Q498" s="3">
        <f>1/NOK!C498</f>
        <v>0.18412476293936772</v>
      </c>
      <c r="R498" s="3">
        <f>NZD!B498/1</f>
        <v>0.81830000000000003</v>
      </c>
      <c r="S498" s="3">
        <f>NZD!C498/1</f>
        <v>0.8165</v>
      </c>
      <c r="T498" s="4">
        <f>1/PHP!B498</f>
        <v>2.3073373327180433E-2</v>
      </c>
      <c r="U498" s="4">
        <f>1/PHP!C498</f>
        <v>2.0686801820438559E-2</v>
      </c>
      <c r="V498" s="4">
        <f>1/TWD!B498</f>
        <v>3.4739109289237825E-2</v>
      </c>
      <c r="W498" s="4">
        <f>1/TWD!C498</f>
        <v>3.4739109289237825E-2</v>
      </c>
      <c r="X498" s="4">
        <f>1/TWD!B498</f>
        <v>3.4739109289237825E-2</v>
      </c>
      <c r="Y498" s="4">
        <f>1/TWD!C498</f>
        <v>3.4739109289237825E-2</v>
      </c>
      <c r="Z498" s="4">
        <f>1/ZAR!B498</f>
        <v>0.1478808671734051</v>
      </c>
      <c r="AA498" s="4">
        <f>1/ZAR!C498</f>
        <v>0.14720602955897075</v>
      </c>
    </row>
    <row r="499" spans="1:27" x14ac:dyDescent="0.25">
      <c r="A499" t="str">
        <f>"15/06/2011"</f>
        <v>15/06/2011</v>
      </c>
      <c r="B499" s="3">
        <f>AUD!B499</f>
        <v>1.07</v>
      </c>
      <c r="C499" s="3">
        <f>AUD!C499</f>
        <v>1.0658000000000001</v>
      </c>
      <c r="D499" s="3">
        <f>1/CAD!B499</f>
        <v>1.0316723408645414</v>
      </c>
      <c r="E499" s="3">
        <f>1/CAD!C499</f>
        <v>1.0309278350515465</v>
      </c>
      <c r="F499" s="3">
        <f>EUR!B499/1</f>
        <v>1.4411</v>
      </c>
      <c r="G499" s="3">
        <f>EUR!C499/1</f>
        <v>1.4399</v>
      </c>
      <c r="H499" s="3">
        <f>GBP!B499/1</f>
        <v>1.6363000000000001</v>
      </c>
      <c r="I499" s="3">
        <f>GBP!C499/1</f>
        <v>1.6356999999999999</v>
      </c>
      <c r="J499" s="4">
        <f>1/INR!B499</f>
        <v>2.2376370552696354E-2</v>
      </c>
      <c r="K499" s="4">
        <f>1/INR!C499</f>
        <v>2.2240756185710316E-2</v>
      </c>
      <c r="L499" s="4">
        <f>1/JPY!B499</f>
        <v>1.2420817289777666E-2</v>
      </c>
      <c r="M499" s="4">
        <f>1/JPY!C499</f>
        <v>1.2422421974767577E-2</v>
      </c>
      <c r="N499" s="5">
        <f>1/KRW!B499</f>
        <v>9.2327578247622573E-4</v>
      </c>
      <c r="O499" s="5">
        <f>1/KRW!C499</f>
        <v>9.2325745541935969E-4</v>
      </c>
      <c r="P499" s="3">
        <f>1/NOK!B499</f>
        <v>0.18454951463477653</v>
      </c>
      <c r="Q499" s="3">
        <f>1/NOK!C499</f>
        <v>0.1841959845275373</v>
      </c>
      <c r="R499" s="3">
        <f>NZD!B499/1</f>
        <v>0.8145</v>
      </c>
      <c r="S499" s="3">
        <f>NZD!C499/1</f>
        <v>0.81279999999999997</v>
      </c>
      <c r="T499" s="4">
        <f>1/PHP!B499</f>
        <v>2.306805074971165E-2</v>
      </c>
      <c r="U499" s="4">
        <f>1/PHP!C499</f>
        <v>2.3004370830457789E-2</v>
      </c>
      <c r="V499" s="4">
        <f>1/TWD!B499</f>
        <v>3.4687294044191609E-2</v>
      </c>
      <c r="W499" s="4">
        <f>1/TWD!C499</f>
        <v>3.4687294044191609E-2</v>
      </c>
      <c r="X499" s="4">
        <f>1/TWD!B499</f>
        <v>3.4687294044191609E-2</v>
      </c>
      <c r="Y499" s="4">
        <f>1/TWD!C499</f>
        <v>3.4687294044191609E-2</v>
      </c>
      <c r="Z499" s="4">
        <f>1/ZAR!B499</f>
        <v>0.14773667415199149</v>
      </c>
      <c r="AA499" s="4">
        <f>1/ZAR!C499</f>
        <v>0.14706747455732691</v>
      </c>
    </row>
    <row r="500" spans="1:27" x14ac:dyDescent="0.25">
      <c r="A500" t="str">
        <f>"16/06/2011"</f>
        <v>16/06/2011</v>
      </c>
      <c r="B500" s="3">
        <f>AUD!B500</f>
        <v>1.0529999999999999</v>
      </c>
      <c r="C500" s="3">
        <f>AUD!C500</f>
        <v>1.0489999999999999</v>
      </c>
      <c r="D500" s="3">
        <f>1/CAD!B500</f>
        <v>1.0198878123406425</v>
      </c>
      <c r="E500" s="3">
        <f>1/CAD!C500</f>
        <v>1.019160211985324</v>
      </c>
      <c r="F500" s="3">
        <f>EUR!B500/1</f>
        <v>1.4129</v>
      </c>
      <c r="G500" s="3">
        <f>EUR!C500/1</f>
        <v>1.4117</v>
      </c>
      <c r="H500" s="3">
        <f>GBP!B500/1</f>
        <v>1.6174999999999999</v>
      </c>
      <c r="I500" s="3">
        <f>GBP!C500/1</f>
        <v>1.6169</v>
      </c>
      <c r="J500" s="4">
        <f>1/INR!B500</f>
        <v>2.2279157847833353E-2</v>
      </c>
      <c r="K500" s="4">
        <f>1/INR!C500</f>
        <v>2.215207398792712E-2</v>
      </c>
      <c r="L500" s="4">
        <f>1/JPY!B500</f>
        <v>1.2344612194007924E-2</v>
      </c>
      <c r="M500" s="4">
        <f>1/JPY!C500</f>
        <v>1.2346761259320261E-2</v>
      </c>
      <c r="N500" s="5">
        <f>1/KRW!B500</f>
        <v>9.1671632213411564E-4</v>
      </c>
      <c r="O500" s="5">
        <f>1/KRW!C500</f>
        <v>9.1669993523514951E-4</v>
      </c>
      <c r="P500" s="3">
        <f>1/NOK!B500</f>
        <v>0.17972035512742174</v>
      </c>
      <c r="Q500" s="3">
        <f>1/NOK!C500</f>
        <v>0.17939472220727265</v>
      </c>
      <c r="R500" s="3">
        <f>NZD!B500/1</f>
        <v>0.80110000000000003</v>
      </c>
      <c r="S500" s="3">
        <f>NZD!C500/1</f>
        <v>0.79949999999999999</v>
      </c>
      <c r="T500" s="4">
        <f>1/PHP!B500</f>
        <v>2.3004370830457789E-2</v>
      </c>
      <c r="U500" s="4">
        <f>1/PHP!C500</f>
        <v>2.2942620506114206E-2</v>
      </c>
      <c r="V500" s="4">
        <f>1/TWD!B500</f>
        <v>3.4530386740331494E-2</v>
      </c>
      <c r="W500" s="4">
        <f>1/TWD!C500</f>
        <v>3.4530386740331494E-2</v>
      </c>
      <c r="X500" s="4">
        <f>1/TWD!B500</f>
        <v>3.4530386740331494E-2</v>
      </c>
      <c r="Y500" s="4">
        <f>1/TWD!C500</f>
        <v>3.4530386740331494E-2</v>
      </c>
      <c r="Z500" s="4">
        <f>1/ZAR!B500</f>
        <v>0.14586828094230908</v>
      </c>
      <c r="AA500" s="4">
        <f>1/ZAR!C500</f>
        <v>0.14523062623446031</v>
      </c>
    </row>
    <row r="501" spans="1:27" x14ac:dyDescent="0.25">
      <c r="A501" t="str">
        <f>"17/06/2011"</f>
        <v>17/06/2011</v>
      </c>
      <c r="B501" s="3">
        <f>AUD!B501</f>
        <v>1.0519000000000001</v>
      </c>
      <c r="C501" s="3">
        <f>AUD!C501</f>
        <v>1.0479000000000001</v>
      </c>
      <c r="D501" s="3">
        <f>1/CAD!B501</f>
        <v>1.015744032503809</v>
      </c>
      <c r="E501" s="3">
        <f>1/CAD!C501</f>
        <v>1.0150223304912709</v>
      </c>
      <c r="F501" s="3">
        <f>EUR!B501/1</f>
        <v>1.4146000000000001</v>
      </c>
      <c r="G501" s="3">
        <f>EUR!C501/1</f>
        <v>1.4134</v>
      </c>
      <c r="H501" s="3">
        <f>GBP!B501/1</f>
        <v>1.6113999999999999</v>
      </c>
      <c r="I501" s="3">
        <f>GBP!C501/1</f>
        <v>1.6108</v>
      </c>
      <c r="J501" s="4">
        <f>1/INR!B501</f>
        <v>2.2269235051775971E-2</v>
      </c>
      <c r="K501" s="4">
        <f>1/INR!C501</f>
        <v>2.2143489813994686E-2</v>
      </c>
      <c r="L501" s="4">
        <f>1/JPY!B501</f>
        <v>1.2404793212097153E-2</v>
      </c>
      <c r="M501" s="4">
        <f>1/JPY!C501</f>
        <v>1.2406547679603388E-2</v>
      </c>
      <c r="N501" s="5">
        <f>1/KRW!B501</f>
        <v>9.1844232182218956E-4</v>
      </c>
      <c r="O501" s="5">
        <f>1/KRW!C501</f>
        <v>9.1842671666581704E-4</v>
      </c>
      <c r="P501" s="3">
        <f>1/NOK!B501</f>
        <v>0.18014123072488833</v>
      </c>
      <c r="Q501" s="3">
        <f>1/NOK!C501</f>
        <v>0.17982053910197623</v>
      </c>
      <c r="R501" s="3">
        <f>NZD!B501/1</f>
        <v>0.80249999999999999</v>
      </c>
      <c r="S501" s="3">
        <f>NZD!C501/1</f>
        <v>0.80079999999999996</v>
      </c>
      <c r="T501" s="4">
        <f>1/PHP!B501</f>
        <v>2.2925263640531868E-2</v>
      </c>
      <c r="U501" s="4">
        <f>1/PHP!C501</f>
        <v>2.2857142857142857E-2</v>
      </c>
      <c r="V501" s="4">
        <f>1/TWD!B501</f>
        <v>3.4562610168319914E-2</v>
      </c>
      <c r="W501" s="4">
        <f>1/TWD!C501</f>
        <v>3.4562729626134957E-2</v>
      </c>
      <c r="X501" s="4">
        <f>1/TWD!B501</f>
        <v>3.4562610168319914E-2</v>
      </c>
      <c r="Y501" s="4">
        <f>1/TWD!C501</f>
        <v>3.4562729626134957E-2</v>
      </c>
      <c r="Z501" s="4">
        <f>1/ZAR!B501</f>
        <v>0.14548840457415543</v>
      </c>
      <c r="AA501" s="4">
        <f>1/ZAR!C501</f>
        <v>0.14483098224372157</v>
      </c>
    </row>
    <row r="502" spans="1:27" x14ac:dyDescent="0.25">
      <c r="A502" t="str">
        <f>"20/06/2011"</f>
        <v>20/06/2011</v>
      </c>
      <c r="B502" s="3">
        <f>AUD!B502</f>
        <v>1.0563</v>
      </c>
      <c r="C502" s="3">
        <f>AUD!C502</f>
        <v>1.0523</v>
      </c>
      <c r="D502" s="3">
        <f>1/CAD!B502</f>
        <v>1.0173974972021569</v>
      </c>
      <c r="E502" s="3">
        <f>1/CAD!C502</f>
        <v>1.0166734444896299</v>
      </c>
      <c r="F502" s="3">
        <f>EUR!B502/1</f>
        <v>1.4238999999999999</v>
      </c>
      <c r="G502" s="3">
        <f>EUR!C502/1</f>
        <v>1.4226000000000001</v>
      </c>
      <c r="H502" s="3">
        <f>GBP!B502/1</f>
        <v>1.6136999999999999</v>
      </c>
      <c r="I502" s="3">
        <f>GBP!C502/1</f>
        <v>1.6131</v>
      </c>
      <c r="J502" s="4">
        <f>1/INR!B502</f>
        <v>2.2246941045606226E-2</v>
      </c>
      <c r="K502" s="4">
        <f>1/INR!C502</f>
        <v>2.2123893805309734E-2</v>
      </c>
      <c r="L502" s="4">
        <f>1/JPY!B502</f>
        <v>1.2466185471907452E-2</v>
      </c>
      <c r="M502" s="4">
        <f>1/JPY!C502</f>
        <v>1.2467770812449817E-2</v>
      </c>
      <c r="N502" s="5">
        <f>1/KRW!B502</f>
        <v>9.225943352707814E-4</v>
      </c>
      <c r="O502" s="5">
        <f>1/KRW!C502</f>
        <v>9.2255773596951131E-4</v>
      </c>
      <c r="P502" s="3">
        <f>1/NOK!B502</f>
        <v>0.18012500675468773</v>
      </c>
      <c r="Q502" s="3">
        <f>1/NOK!C502</f>
        <v>0.1797882094892217</v>
      </c>
      <c r="R502" s="3">
        <f>NZD!B502/1</f>
        <v>0.80730000000000002</v>
      </c>
      <c r="S502" s="3">
        <f>NZD!C502/1</f>
        <v>0.80569999999999997</v>
      </c>
      <c r="T502" s="4">
        <f>1/PHP!B502</f>
        <v>2.2904260192395786E-2</v>
      </c>
      <c r="U502" s="4">
        <f>1/PHP!C502</f>
        <v>2.2836263987211693E-2</v>
      </c>
      <c r="V502" s="4">
        <f>1/TWD!B502</f>
        <v>3.4548281223009153E-2</v>
      </c>
      <c r="W502" s="4">
        <f>1/TWD!C502</f>
        <v>3.4548281223009153E-2</v>
      </c>
      <c r="X502" s="4">
        <f>1/TWD!B502</f>
        <v>3.4548281223009153E-2</v>
      </c>
      <c r="Y502" s="4">
        <f>1/TWD!C502</f>
        <v>3.4548281223009153E-2</v>
      </c>
      <c r="Z502" s="4">
        <f>1/ZAR!B502</f>
        <v>0.14737741883188657</v>
      </c>
      <c r="AA502" s="4">
        <f>1/ZAR!C502</f>
        <v>0.14672653109135192</v>
      </c>
    </row>
    <row r="503" spans="1:27" x14ac:dyDescent="0.25">
      <c r="A503" t="str">
        <f>"21/06/2011"</f>
        <v>21/06/2011</v>
      </c>
      <c r="B503" s="3">
        <f>AUD!B503</f>
        <v>1.0548999999999999</v>
      </c>
      <c r="C503" s="3">
        <f>AUD!C503</f>
        <v>1.0506</v>
      </c>
      <c r="D503" s="3">
        <f>1/CAD!B503</f>
        <v>1.0212418300653596</v>
      </c>
      <c r="E503" s="3">
        <f>1/CAD!C503</f>
        <v>1.020512297173181</v>
      </c>
      <c r="F503" s="3">
        <f>EUR!B503/1</f>
        <v>1.4332</v>
      </c>
      <c r="G503" s="3">
        <f>EUR!C503/1</f>
        <v>1.4318</v>
      </c>
      <c r="H503" s="3">
        <f>GBP!B503/1</f>
        <v>1.6209</v>
      </c>
      <c r="I503" s="3">
        <f>GBP!C503/1</f>
        <v>1.6203000000000001</v>
      </c>
      <c r="J503" s="4">
        <f>1/INR!B503</f>
        <v>2.2245703798453923E-2</v>
      </c>
      <c r="K503" s="4">
        <f>1/INR!C503</f>
        <v>2.2116554240849275E-2</v>
      </c>
      <c r="L503" s="4">
        <f>1/JPY!B503</f>
        <v>1.2477540427230984E-2</v>
      </c>
      <c r="M503" s="4">
        <f>1/JPY!C503</f>
        <v>1.2479284387916059E-2</v>
      </c>
      <c r="N503" s="5">
        <f>1/KRW!B503</f>
        <v>9.2524056254626209E-4</v>
      </c>
      <c r="O503" s="5">
        <f>1/KRW!C503</f>
        <v>9.2520246899530881E-4</v>
      </c>
      <c r="P503" s="3">
        <f>1/NOK!B503</f>
        <v>0.18085471940390285</v>
      </c>
      <c r="Q503" s="3">
        <f>1/NOK!C503</f>
        <v>0.1805184489854863</v>
      </c>
      <c r="R503" s="3">
        <f>NZD!B503/1</f>
        <v>0.80889999999999995</v>
      </c>
      <c r="S503" s="3">
        <f>NZD!C503/1</f>
        <v>0.80720000000000003</v>
      </c>
      <c r="T503" s="4">
        <f>1/PHP!B503</f>
        <v>2.2946305644791189E-2</v>
      </c>
      <c r="U503" s="4">
        <f>1/PHP!C503</f>
        <v>2.2880677268047135E-2</v>
      </c>
      <c r="V503" s="4">
        <f>1/TWD!B503</f>
        <v>3.4510128722780135E-2</v>
      </c>
      <c r="W503" s="4">
        <f>1/TWD!C503</f>
        <v>3.4510247818089583E-2</v>
      </c>
      <c r="X503" s="4">
        <f>1/TWD!B503</f>
        <v>3.4510128722780135E-2</v>
      </c>
      <c r="Y503" s="4">
        <f>1/TWD!C503</f>
        <v>3.4510247818089583E-2</v>
      </c>
      <c r="Z503" s="4">
        <f>1/ZAR!B503</f>
        <v>0.14716270308453025</v>
      </c>
      <c r="AA503" s="4">
        <f>1/ZAR!C503</f>
        <v>0.14674375605317994</v>
      </c>
    </row>
    <row r="504" spans="1:27" x14ac:dyDescent="0.25">
      <c r="A504" t="str">
        <f>"22/06/2011"</f>
        <v>22/06/2011</v>
      </c>
      <c r="B504" s="3">
        <f>AUD!B504</f>
        <v>1.0575000000000001</v>
      </c>
      <c r="C504" s="3">
        <f>AUD!C504</f>
        <v>1.0532999999999999</v>
      </c>
      <c r="D504" s="3">
        <f>1/CAD!B504</f>
        <v>1.027221366204417</v>
      </c>
      <c r="E504" s="3">
        <f>1/CAD!C504</f>
        <v>1.0264832683227263</v>
      </c>
      <c r="F504" s="3">
        <f>EUR!B504/1</f>
        <v>1.4362999999999999</v>
      </c>
      <c r="G504" s="3">
        <f>EUR!C504/1</f>
        <v>1.4351</v>
      </c>
      <c r="H504" s="3">
        <f>GBP!B504/1</f>
        <v>1.6215999999999999</v>
      </c>
      <c r="I504" s="3">
        <f>GBP!C504/1</f>
        <v>1.621</v>
      </c>
      <c r="J504" s="4">
        <f>1/INR!B504</f>
        <v>2.2301516503122211E-2</v>
      </c>
      <c r="K504" s="4">
        <f>1/INR!C504</f>
        <v>2.2169262317796375E-2</v>
      </c>
      <c r="L504" s="4">
        <f>1/JPY!B504</f>
        <v>1.2458730455366598E-2</v>
      </c>
      <c r="M504" s="4">
        <f>1/JPY!C504</f>
        <v>1.246023627100017E-2</v>
      </c>
      <c r="N504" s="5">
        <f>1/KRW!B504</f>
        <v>9.2945441026117662E-4</v>
      </c>
      <c r="O504" s="5">
        <f>1/KRW!C504</f>
        <v>9.2941553703953269E-4</v>
      </c>
      <c r="P504" s="3">
        <f>1/NOK!B504</f>
        <v>0.18152114721365037</v>
      </c>
      <c r="Q504" s="3">
        <f>1/NOK!C504</f>
        <v>0.18116270222286637</v>
      </c>
      <c r="R504" s="3">
        <f>NZD!B504/1</f>
        <v>0.81159999999999999</v>
      </c>
      <c r="S504" s="3">
        <f>NZD!C504/1</f>
        <v>0.80989999999999995</v>
      </c>
      <c r="T504" s="4">
        <f>1/PHP!B504</f>
        <v>2.3052097740894419E-2</v>
      </c>
      <c r="U504" s="4">
        <f>1/PHP!C504</f>
        <v>2.2988505747126436E-2</v>
      </c>
      <c r="V504" s="4">
        <f>1/TWD!B504</f>
        <v>3.4616449736914981E-2</v>
      </c>
      <c r="W504" s="4">
        <f>1/TWD!C504</f>
        <v>3.4616449736914981E-2</v>
      </c>
      <c r="X504" s="4">
        <f>1/TWD!B504</f>
        <v>3.4616449736914981E-2</v>
      </c>
      <c r="Y504" s="4">
        <f>1/TWD!C504</f>
        <v>3.4616449736914981E-2</v>
      </c>
      <c r="Z504" s="4">
        <f>1/ZAR!B504</f>
        <v>0.14845605700712589</v>
      </c>
      <c r="AA504" s="4">
        <f>1/ZAR!C504</f>
        <v>0.14776068679167223</v>
      </c>
    </row>
    <row r="505" spans="1:27" x14ac:dyDescent="0.25">
      <c r="A505" t="str">
        <f>"23/06/2011"</f>
        <v>23/06/2011</v>
      </c>
      <c r="B505" s="3">
        <f>AUD!B505</f>
        <v>1.0553999999999999</v>
      </c>
      <c r="C505" s="3">
        <f>AUD!C505</f>
        <v>1.0513999999999999</v>
      </c>
      <c r="D505" s="3">
        <f>1/CAD!B505</f>
        <v>1.0275380189066996</v>
      </c>
      <c r="E505" s="3">
        <f>1/CAD!C505</f>
        <v>1.0267994660642776</v>
      </c>
      <c r="F505" s="3">
        <f>EUR!B505/1</f>
        <v>1.4307000000000001</v>
      </c>
      <c r="G505" s="3">
        <f>EUR!C505/1</f>
        <v>1.4296</v>
      </c>
      <c r="H505" s="3">
        <f>GBP!B505/1</f>
        <v>1.6046</v>
      </c>
      <c r="I505" s="3">
        <f>GBP!C505/1</f>
        <v>1.6040000000000001</v>
      </c>
      <c r="J505" s="4">
        <f>1/INR!B505</f>
        <v>2.2259321090706736E-2</v>
      </c>
      <c r="K505" s="4">
        <f>1/INR!C505</f>
        <v>2.2139812918580838E-2</v>
      </c>
      <c r="L505" s="4">
        <f>1/JPY!B505</f>
        <v>1.2430544333536365E-2</v>
      </c>
      <c r="M505" s="4">
        <f>1/JPY!C505</f>
        <v>1.2432120621407116E-2</v>
      </c>
      <c r="N505" s="5">
        <f>1/KRW!B505</f>
        <v>9.2910898448388005E-4</v>
      </c>
      <c r="O505" s="5">
        <f>1/KRW!C505</f>
        <v>9.2907014015023066E-4</v>
      </c>
      <c r="P505" s="3">
        <f>1/NOK!B505</f>
        <v>0.18308982386758943</v>
      </c>
      <c r="Q505" s="3">
        <f>1/NOK!C505</f>
        <v>0.1827385194525154</v>
      </c>
      <c r="R505" s="3">
        <f>NZD!B505/1</f>
        <v>0.81669999999999998</v>
      </c>
      <c r="S505" s="3">
        <f>NZD!C505/1</f>
        <v>0.81510000000000005</v>
      </c>
      <c r="T505" s="4">
        <f>1/PHP!B505</f>
        <v>2.2988505747126436E-2</v>
      </c>
      <c r="U505" s="4">
        <f>1/PHP!C505</f>
        <v>2.2921059869808379E-2</v>
      </c>
      <c r="V505" s="4">
        <f>1/TWD!B505</f>
        <v>3.4628436872359579E-2</v>
      </c>
      <c r="W505" s="4">
        <f>1/TWD!C505</f>
        <v>3.4628556785638843E-2</v>
      </c>
      <c r="X505" s="4">
        <f>1/TWD!B505</f>
        <v>3.4628436872359579E-2</v>
      </c>
      <c r="Y505" s="4">
        <f>1/TWD!C505</f>
        <v>3.4628556785638843E-2</v>
      </c>
      <c r="Z505" s="4">
        <f>1/ZAR!B505</f>
        <v>0.14716703458425312</v>
      </c>
      <c r="AA505" s="4">
        <f>1/ZAR!C505</f>
        <v>0.14650297401037241</v>
      </c>
    </row>
    <row r="506" spans="1:27" x14ac:dyDescent="0.25">
      <c r="A506" t="str">
        <f>"24/06/2011"</f>
        <v>24/06/2011</v>
      </c>
      <c r="B506" s="3">
        <f>AUD!B506</f>
        <v>1.054</v>
      </c>
      <c r="C506" s="3">
        <f>AUD!C506</f>
        <v>1.05</v>
      </c>
      <c r="D506" s="3">
        <f>1/CAD!B506</f>
        <v>1.0222858311183807</v>
      </c>
      <c r="E506" s="3">
        <f>1/CAD!C506</f>
        <v>1.0215548064153641</v>
      </c>
      <c r="F506" s="3">
        <f>EUR!B506/1</f>
        <v>1.4261999999999999</v>
      </c>
      <c r="G506" s="3">
        <f>EUR!C506/1</f>
        <v>1.4251</v>
      </c>
      <c r="H506" s="3">
        <f>GBP!B506/1</f>
        <v>1.6019000000000001</v>
      </c>
      <c r="I506" s="3">
        <f>GBP!C506/1</f>
        <v>1.6012999999999999</v>
      </c>
      <c r="J506" s="4">
        <f>1/INR!B506</f>
        <v>2.2251891410769917E-2</v>
      </c>
      <c r="K506" s="4">
        <f>1/INR!C506</f>
        <v>2.2132462789796935E-2</v>
      </c>
      <c r="L506" s="4">
        <f>1/JPY!B506</f>
        <v>1.2421125850847122E-2</v>
      </c>
      <c r="M506" s="4">
        <f>1/JPY!C506</f>
        <v>1.2422746048013912E-2</v>
      </c>
      <c r="N506" s="5">
        <f>1/KRW!B506</f>
        <v>9.2790201354736937E-4</v>
      </c>
      <c r="O506" s="5">
        <f>1/KRW!C506</f>
        <v>9.2788307188681313E-4</v>
      </c>
      <c r="P506" s="3">
        <f>1/NOK!B506</f>
        <v>0.18331133597301658</v>
      </c>
      <c r="Q506" s="3">
        <f>1/NOK!C506</f>
        <v>0.18296922457642625</v>
      </c>
      <c r="R506" s="3">
        <f>NZD!B506/1</f>
        <v>0.81289999999999996</v>
      </c>
      <c r="S506" s="3">
        <f>NZD!C506/1</f>
        <v>0.81130000000000002</v>
      </c>
      <c r="T506" s="4">
        <f>1/PHP!B506</f>
        <v>2.3040412884198884E-2</v>
      </c>
      <c r="U506" s="4">
        <f>1/PHP!C506</f>
        <v>2.2971607093632274E-2</v>
      </c>
      <c r="V506" s="4">
        <f>1/TWD!B506</f>
        <v>3.4608063678837168E-2</v>
      </c>
      <c r="W506" s="4">
        <f>1/TWD!C506</f>
        <v>3.4608183451058837E-2</v>
      </c>
      <c r="X506" s="4">
        <f>1/TWD!B506</f>
        <v>3.4608063678837168E-2</v>
      </c>
      <c r="Y506" s="4">
        <f>1/TWD!C506</f>
        <v>3.4608183451058837E-2</v>
      </c>
      <c r="Z506" s="4">
        <f>1/ZAR!B506</f>
        <v>0.1462073805485701</v>
      </c>
      <c r="AA506" s="4">
        <f>1/ZAR!C506</f>
        <v>0.14557524056308502</v>
      </c>
    </row>
    <row r="507" spans="1:27" x14ac:dyDescent="0.25">
      <c r="A507" t="str">
        <f>"27/06/2011"</f>
        <v>27/06/2011</v>
      </c>
      <c r="B507" s="3">
        <f>AUD!B507</f>
        <v>1.0427999999999999</v>
      </c>
      <c r="C507" s="3">
        <f>AUD!C507</f>
        <v>1.0388999999999999</v>
      </c>
      <c r="D507" s="3">
        <f>1/CAD!B507</f>
        <v>1.0097950116126426</v>
      </c>
      <c r="E507" s="3">
        <f>1/CAD!C507</f>
        <v>1.0090817356205852</v>
      </c>
      <c r="F507" s="3">
        <f>EUR!B507/1</f>
        <v>1.4125000000000001</v>
      </c>
      <c r="G507" s="3">
        <f>EUR!C507/1</f>
        <v>1.4114</v>
      </c>
      <c r="H507" s="3">
        <f>GBP!B507/1</f>
        <v>1.5926</v>
      </c>
      <c r="I507" s="3">
        <f>GBP!C507/1</f>
        <v>1.5920000000000001</v>
      </c>
      <c r="J507" s="4">
        <f>1/INR!B507</f>
        <v>2.2168033695411218E-2</v>
      </c>
      <c r="K507" s="4">
        <f>1/INR!C507</f>
        <v>2.2053148086889404E-2</v>
      </c>
      <c r="L507" s="4">
        <f>1/JPY!B507</f>
        <v>1.2386048355132778E-2</v>
      </c>
      <c r="M507" s="4">
        <f>1/JPY!C507</f>
        <v>1.238804306083768E-2</v>
      </c>
      <c r="N507" s="5">
        <f>1/KRW!B507</f>
        <v>9.1903317709769326E-4</v>
      </c>
      <c r="O507" s="5">
        <f>1/KRW!C507</f>
        <v>9.1899559295663391E-4</v>
      </c>
      <c r="P507" s="3">
        <f>1/NOK!B507</f>
        <v>0.18123165029540758</v>
      </c>
      <c r="Q507" s="3">
        <f>1/NOK!C507</f>
        <v>0.18089725036179452</v>
      </c>
      <c r="R507" s="3">
        <f>NZD!B507/1</f>
        <v>0.80269999999999997</v>
      </c>
      <c r="S507" s="3">
        <f>NZD!C507/1</f>
        <v>0.80110000000000003</v>
      </c>
      <c r="T507" s="4">
        <f>1/PHP!B507</f>
        <v>2.293052052281587E-2</v>
      </c>
      <c r="U507" s="4">
        <f>1/PHP!C507</f>
        <v>2.2862368541380886E-2</v>
      </c>
      <c r="V507" s="4">
        <f>1/TWD!B507</f>
        <v>3.4547087680508529E-2</v>
      </c>
      <c r="W507" s="4">
        <f>1/TWD!C507</f>
        <v>3.4547207031047571E-2</v>
      </c>
      <c r="X507" s="4">
        <f>1/TWD!B507</f>
        <v>3.4547087680508529E-2</v>
      </c>
      <c r="Y507" s="4">
        <f>1/TWD!C507</f>
        <v>3.4547207031047571E-2</v>
      </c>
      <c r="Z507" s="4">
        <f>1/ZAR!B507</f>
        <v>0.14465081293756871</v>
      </c>
      <c r="AA507" s="4">
        <f>1/ZAR!C507</f>
        <v>0.1440341072766031</v>
      </c>
    </row>
    <row r="508" spans="1:27" x14ac:dyDescent="0.25">
      <c r="A508" t="str">
        <f>"28/06/2011"</f>
        <v>28/06/2011</v>
      </c>
      <c r="B508" s="3">
        <f>AUD!B508</f>
        <v>1.0455000000000001</v>
      </c>
      <c r="C508" s="3">
        <f>AUD!C508</f>
        <v>1.0417000000000001</v>
      </c>
      <c r="D508" s="3">
        <f>1/CAD!B508</f>
        <v>1.0146103896103895</v>
      </c>
      <c r="E508" s="3">
        <f>1/CAD!C508</f>
        <v>1.0138902970698571</v>
      </c>
      <c r="F508" s="3">
        <f>EUR!B508/1</f>
        <v>1.4297</v>
      </c>
      <c r="G508" s="3">
        <f>EUR!C508/1</f>
        <v>1.4286000000000001</v>
      </c>
      <c r="H508" s="3">
        <f>GBP!B508/1</f>
        <v>1.5972999999999999</v>
      </c>
      <c r="I508" s="3">
        <f>GBP!C508/1</f>
        <v>1.5968</v>
      </c>
      <c r="J508" s="4">
        <f>1/INR!B508</f>
        <v>2.2212350066637049E-2</v>
      </c>
      <c r="K508" s="4">
        <f>1/INR!C508</f>
        <v>2.210555402044764E-2</v>
      </c>
      <c r="L508" s="4">
        <f>1/JPY!B508</f>
        <v>1.2372562605166783E-2</v>
      </c>
      <c r="M508" s="4">
        <f>1/JPY!C508</f>
        <v>1.237433859160228E-2</v>
      </c>
      <c r="N508" s="5">
        <f>1/KRW!B508</f>
        <v>9.2429984286902659E-4</v>
      </c>
      <c r="O508" s="5">
        <f>1/KRW!C508</f>
        <v>9.2428147513474871E-4</v>
      </c>
      <c r="P508" s="3">
        <f>1/NOK!B508</f>
        <v>0.18285881470916304</v>
      </c>
      <c r="Q508" s="3">
        <f>1/NOK!C508</f>
        <v>0.18252505156332707</v>
      </c>
      <c r="R508" s="3">
        <f>NZD!B508/1</f>
        <v>0.80400000000000005</v>
      </c>
      <c r="S508" s="3">
        <f>NZD!C508/1</f>
        <v>0.8024</v>
      </c>
      <c r="T508" s="4">
        <f>1/PHP!B508</f>
        <v>2.2943673282092462E-2</v>
      </c>
      <c r="U508" s="4">
        <f>1/PHP!C508</f>
        <v>2.2872827081427266E-2</v>
      </c>
      <c r="V508" s="4">
        <f>1/TWD!B508</f>
        <v>3.453992815694943E-2</v>
      </c>
      <c r="W508" s="4">
        <f>1/TWD!C508</f>
        <v>3.4540047458025212E-2</v>
      </c>
      <c r="X508" s="4">
        <f>1/TWD!B508</f>
        <v>3.453992815694943E-2</v>
      </c>
      <c r="Y508" s="4">
        <f>1/TWD!C508</f>
        <v>3.4540047458025212E-2</v>
      </c>
      <c r="Z508" s="4">
        <f>1/ZAR!B508</f>
        <v>0.14539110206455363</v>
      </c>
      <c r="AA508" s="4">
        <f>1/ZAR!C508</f>
        <v>0.14476389009525464</v>
      </c>
    </row>
    <row r="509" spans="1:27" x14ac:dyDescent="0.25">
      <c r="A509" t="str">
        <f>"29/06/2011"</f>
        <v>29/06/2011</v>
      </c>
      <c r="B509" s="3">
        <f>AUD!B509</f>
        <v>1.0533999999999999</v>
      </c>
      <c r="C509" s="3">
        <f>AUD!C509</f>
        <v>1.0491999999999999</v>
      </c>
      <c r="D509" s="3">
        <f>1/CAD!B509</f>
        <v>1.0189525168127165</v>
      </c>
      <c r="E509" s="3">
        <f>1/CAD!C509</f>
        <v>1.0182262498727217</v>
      </c>
      <c r="F509" s="3">
        <f>EUR!B509/1</f>
        <v>1.4358</v>
      </c>
      <c r="G509" s="3">
        <f>EUR!C509/1</f>
        <v>1.4345000000000001</v>
      </c>
      <c r="H509" s="3">
        <f>GBP!B509/1</f>
        <v>1.5995999999999999</v>
      </c>
      <c r="I509" s="3">
        <f>GBP!C509/1</f>
        <v>1.599</v>
      </c>
      <c r="J509" s="4">
        <f>1/INR!B509</f>
        <v>2.2229632099588753E-2</v>
      </c>
      <c r="K509" s="4">
        <f>1/INR!C509</f>
        <v>2.2109219544550078E-2</v>
      </c>
      <c r="L509" s="4">
        <f>1/JPY!B509</f>
        <v>1.2336693026067432E-2</v>
      </c>
      <c r="M509" s="4">
        <f>1/JPY!C509</f>
        <v>1.2338276046717649E-2</v>
      </c>
      <c r="N509" s="5">
        <f>1/KRW!B509</f>
        <v>9.2738569971251045E-4</v>
      </c>
      <c r="O509" s="5">
        <f>1/KRW!C509</f>
        <v>9.2736634912097258E-4</v>
      </c>
      <c r="P509" s="3">
        <f>1/NOK!B509</f>
        <v>0.18425707547169812</v>
      </c>
      <c r="Q509" s="3">
        <f>1/NOK!C509</f>
        <v>0.18392495861688429</v>
      </c>
      <c r="R509" s="3">
        <f>NZD!B509/1</f>
        <v>0.81169999999999998</v>
      </c>
      <c r="S509" s="3">
        <f>NZD!C509/1</f>
        <v>0.81</v>
      </c>
      <c r="T509" s="4">
        <f>1/PHP!B509</f>
        <v>2.2980581408709639E-2</v>
      </c>
      <c r="U509" s="4">
        <f>1/PHP!C509</f>
        <v>2.2912131973880166E-2</v>
      </c>
      <c r="V509" s="4">
        <f>1/TWD!B509</f>
        <v>3.4605668408485314E-2</v>
      </c>
      <c r="W509" s="4">
        <f>1/TWD!C509</f>
        <v>3.4605788164128334E-2</v>
      </c>
      <c r="X509" s="4">
        <f>1/TWD!B509</f>
        <v>3.4605668408485314E-2</v>
      </c>
      <c r="Y509" s="4">
        <f>1/TWD!C509</f>
        <v>3.4605788164128334E-2</v>
      </c>
      <c r="Z509" s="4">
        <f>1/ZAR!B509</f>
        <v>0.14604296584055029</v>
      </c>
      <c r="AA509" s="4">
        <f>1/ZAR!C509</f>
        <v>0.14541435821373003</v>
      </c>
    </row>
    <row r="510" spans="1:27" x14ac:dyDescent="0.25">
      <c r="A510" t="str">
        <f>"30/06/2011"</f>
        <v>30/06/2011</v>
      </c>
      <c r="B510" s="3">
        <f>AUD!B510</f>
        <v>1.0743</v>
      </c>
      <c r="C510" s="3">
        <f>AUD!C510</f>
        <v>1.07</v>
      </c>
      <c r="D510" s="3">
        <f>1/CAD!B510</f>
        <v>1.0336985734959685</v>
      </c>
      <c r="E510" s="3">
        <f>1/CAD!C510</f>
        <v>1.0328444536252841</v>
      </c>
      <c r="F510" s="3">
        <f>EUR!B510/1</f>
        <v>1.4510000000000001</v>
      </c>
      <c r="G510" s="3">
        <f>EUR!C510/1</f>
        <v>1.4497</v>
      </c>
      <c r="H510" s="3">
        <f>GBP!B510/1</f>
        <v>1.6105</v>
      </c>
      <c r="I510" s="3">
        <f>GBP!C510/1</f>
        <v>1.6099000000000001</v>
      </c>
      <c r="J510" s="4">
        <f>1/INR!B510</f>
        <v>2.2341376228775692E-2</v>
      </c>
      <c r="K510" s="4">
        <f>1/INR!C510</f>
        <v>2.2204951704230046E-2</v>
      </c>
      <c r="L510" s="4">
        <f>1/JPY!B510</f>
        <v>1.2435490891002921E-2</v>
      </c>
      <c r="M510" s="4">
        <f>1/JPY!C510</f>
        <v>1.2437083901811708E-2</v>
      </c>
      <c r="N510" s="5">
        <f>1/KRW!B510</f>
        <v>9.3580385551188478E-4</v>
      </c>
      <c r="O510" s="5">
        <f>1/KRW!C510</f>
        <v>9.357837141817086E-4</v>
      </c>
      <c r="P510" s="3">
        <f>1/NOK!B510</f>
        <v>0.18630994522487609</v>
      </c>
      <c r="Q510" s="3">
        <f>1/NOK!C510</f>
        <v>0.18594964483617837</v>
      </c>
      <c r="R510" s="3">
        <f>NZD!B510/1</f>
        <v>0.83040000000000003</v>
      </c>
      <c r="S510" s="3">
        <f>NZD!C510/1</f>
        <v>0.8286</v>
      </c>
      <c r="T510" s="4">
        <f>1/PHP!B510</f>
        <v>2.3057412958266084E-2</v>
      </c>
      <c r="U510" s="4">
        <f>1/PHP!C510</f>
        <v>2.2991148407862975E-2</v>
      </c>
      <c r="V510" s="4">
        <f>1/TWD!B510</f>
        <v>3.4816516955643757E-2</v>
      </c>
      <c r="W510" s="4">
        <f>1/TWD!C510</f>
        <v>3.4816638175051089E-2</v>
      </c>
      <c r="X510" s="4">
        <f>1/TWD!B510</f>
        <v>3.4816516955643757E-2</v>
      </c>
      <c r="Y510" s="4">
        <f>1/TWD!C510</f>
        <v>3.4816638175051089E-2</v>
      </c>
      <c r="Z510" s="4">
        <f>1/ZAR!B510</f>
        <v>0.14753614635585718</v>
      </c>
      <c r="AA510" s="4">
        <f>1/ZAR!C510</f>
        <v>0.14703071471630422</v>
      </c>
    </row>
    <row r="511" spans="1:27" x14ac:dyDescent="0.25">
      <c r="A511" t="str">
        <f>"01/07/2011"</f>
        <v>01/07/2011</v>
      </c>
      <c r="B511" s="3">
        <f>AUD!B511</f>
        <v>1.0698000000000001</v>
      </c>
      <c r="C511" s="3">
        <f>AUD!C511</f>
        <v>1.0656000000000001</v>
      </c>
      <c r="D511" s="3">
        <f>1/CAD!B511</f>
        <v>1.0378827192527245</v>
      </c>
      <c r="E511" s="3">
        <f>1/CAD!C511</f>
        <v>1.0371292263015972</v>
      </c>
      <c r="F511" s="3">
        <f>EUR!B511/1</f>
        <v>1.4497</v>
      </c>
      <c r="G511" s="3">
        <f>EUR!C511/1</f>
        <v>1.4483999999999999</v>
      </c>
      <c r="H511" s="3">
        <f>GBP!B511/1</f>
        <v>1.6041000000000001</v>
      </c>
      <c r="I511" s="3">
        <f>GBP!C511/1</f>
        <v>1.6034999999999999</v>
      </c>
      <c r="J511" s="4">
        <f>1/INR!B511</f>
        <v>2.242026792220167E-2</v>
      </c>
      <c r="K511" s="4">
        <f>1/INR!C511</f>
        <v>2.2281639928698752E-2</v>
      </c>
      <c r="L511" s="4">
        <f>1/JPY!B511</f>
        <v>1.2379608309193097E-2</v>
      </c>
      <c r="M511" s="4">
        <f>1/JPY!C511</f>
        <v>1.2381279010884382E-2</v>
      </c>
      <c r="N511" s="5">
        <f>1/KRW!B511</f>
        <v>9.378223764419019E-4</v>
      </c>
      <c r="O511" s="5">
        <f>1/KRW!C511</f>
        <v>9.377819206899074E-4</v>
      </c>
      <c r="P511" s="3">
        <f>1/NOK!B511</f>
        <v>0.18584597085935178</v>
      </c>
      <c r="Q511" s="3">
        <f>1/NOK!C511</f>
        <v>0.18549090167127302</v>
      </c>
      <c r="R511" s="3">
        <f>NZD!B511/1</f>
        <v>0.82530000000000003</v>
      </c>
      <c r="S511" s="3">
        <f>NZD!C511/1</f>
        <v>0.8236</v>
      </c>
      <c r="T511" s="4">
        <f>1/PHP!B511</f>
        <v>2.3116042533518264E-2</v>
      </c>
      <c r="U511" s="4">
        <f>1/PHP!C511</f>
        <v>2.3046784973496198E-2</v>
      </c>
      <c r="V511" s="4">
        <f>1/TWD!B511</f>
        <v>3.4837136387388959E-2</v>
      </c>
      <c r="W511" s="4">
        <f>1/TWD!C511</f>
        <v>3.4837136387388959E-2</v>
      </c>
      <c r="X511" s="4">
        <f>1/TWD!B511</f>
        <v>3.4837136387388959E-2</v>
      </c>
      <c r="Y511" s="4">
        <f>1/TWD!C511</f>
        <v>3.4837136387388959E-2</v>
      </c>
      <c r="Z511" s="4">
        <f>1/ZAR!B511</f>
        <v>0.1475535619429853</v>
      </c>
      <c r="AA511" s="4">
        <f>1/ZAR!C511</f>
        <v>0.14689464715905753</v>
      </c>
    </row>
    <row r="512" spans="1:27" x14ac:dyDescent="0.25">
      <c r="A512" t="str">
        <f>"04/07/2011"</f>
        <v>04/07/2011</v>
      </c>
      <c r="B512" s="3">
        <f>AUD!B512</f>
        <v>1.0737000000000001</v>
      </c>
      <c r="C512" s="3">
        <f>AUD!C512</f>
        <v>1.0691999999999999</v>
      </c>
      <c r="D512" s="3">
        <f>1/CAD!B512</f>
        <v>1.0429703796412182</v>
      </c>
      <c r="E512" s="3">
        <f>1/CAD!C512</f>
        <v>1.0422094841063054</v>
      </c>
      <c r="F512" s="3">
        <f>EUR!B512/1</f>
        <v>1.4558</v>
      </c>
      <c r="G512" s="3">
        <f>EUR!C512/1</f>
        <v>1.4543999999999999</v>
      </c>
      <c r="H512" s="3">
        <f>GBP!B512/1</f>
        <v>1.6088</v>
      </c>
      <c r="I512" s="3">
        <f>GBP!C512/1</f>
        <v>1.6081000000000001</v>
      </c>
      <c r="J512" s="4">
        <f>1/INR!B512</f>
        <v>2.2488334176645863E-2</v>
      </c>
      <c r="K512" s="4">
        <f>1/INR!C512</f>
        <v>2.2351363433169423E-2</v>
      </c>
      <c r="L512" s="4">
        <f>1/JPY!B512</f>
        <v>1.2382980831145673E-2</v>
      </c>
      <c r="M512" s="4">
        <f>1/JPY!C512</f>
        <v>1.2384759809968246E-2</v>
      </c>
      <c r="N512" s="5">
        <f>1/KRW!B512</f>
        <v>9.4011469399266708E-4</v>
      </c>
      <c r="O512" s="5">
        <f>1/KRW!C512</f>
        <v>9.4007271462447626E-4</v>
      </c>
      <c r="P512" s="3">
        <f>1/NOK!B512</f>
        <v>0.18677973066362838</v>
      </c>
      <c r="Q512" s="3">
        <f>1/NOK!C512</f>
        <v>0.18642108795346929</v>
      </c>
      <c r="R512" s="3">
        <f>NZD!B512/1</f>
        <v>0.82979999999999998</v>
      </c>
      <c r="S512" s="3">
        <f>NZD!C512/1</f>
        <v>0.82809999999999995</v>
      </c>
      <c r="T512" s="4">
        <f>1/PHP!B512</f>
        <v>2.3212627669452184E-2</v>
      </c>
      <c r="U512" s="4">
        <f>1/PHP!C512</f>
        <v>2.3147076524234991E-2</v>
      </c>
      <c r="V512" s="4">
        <f>1/TWD!B512</f>
        <v>3.4867503486750349E-2</v>
      </c>
      <c r="W512" s="4">
        <f>1/TWD!C512</f>
        <v>3.4867625061454188E-2</v>
      </c>
      <c r="X512" s="4">
        <f>1/TWD!B512</f>
        <v>3.4867503486750349E-2</v>
      </c>
      <c r="Y512" s="4">
        <f>1/TWD!C512</f>
        <v>3.4867625061454188E-2</v>
      </c>
      <c r="Z512" s="4">
        <f>1/ZAR!B512</f>
        <v>0.14836795252225518</v>
      </c>
      <c r="AA512" s="4">
        <f>1/ZAR!C512</f>
        <v>0.14768649111665758</v>
      </c>
    </row>
    <row r="513" spans="1:27" x14ac:dyDescent="0.25">
      <c r="A513" t="str">
        <f>"05/07/2011"</f>
        <v>05/07/2011</v>
      </c>
      <c r="B513" s="3">
        <f>AUD!B513</f>
        <v>1.0696000000000001</v>
      </c>
      <c r="C513" s="3">
        <f>AUD!C513</f>
        <v>1.0652999999999999</v>
      </c>
      <c r="D513" s="3">
        <f>1/CAD!B513</f>
        <v>1.0398253093480296</v>
      </c>
      <c r="E513" s="3">
        <f>1/CAD!C513</f>
        <v>1.0389610389610389</v>
      </c>
      <c r="F513" s="3">
        <f>EUR!B513/1</f>
        <v>1.4479</v>
      </c>
      <c r="G513" s="3">
        <f>EUR!C513/1</f>
        <v>1.4466000000000001</v>
      </c>
      <c r="H513" s="3">
        <f>GBP!B513/1</f>
        <v>1.6048</v>
      </c>
      <c r="I513" s="3">
        <f>GBP!C513/1</f>
        <v>1.6041000000000001</v>
      </c>
      <c r="J513" s="4">
        <f>1/INR!B513</f>
        <v>2.2454249466711578E-2</v>
      </c>
      <c r="K513" s="4">
        <f>1/INR!C513</f>
        <v>2.2317692350610947E-2</v>
      </c>
      <c r="L513" s="4">
        <f>1/JPY!B513</f>
        <v>1.2343850293783636E-2</v>
      </c>
      <c r="M513" s="4">
        <f>1/JPY!C513</f>
        <v>1.2345602804920957E-2</v>
      </c>
      <c r="N513" s="5">
        <f>1/KRW!B513</f>
        <v>9.3791033577190022E-4</v>
      </c>
      <c r="O513" s="5">
        <f>1/KRW!C513</f>
        <v>9.3786899283186719E-4</v>
      </c>
      <c r="P513" s="3">
        <f>1/NOK!B513</f>
        <v>0.18655324229535108</v>
      </c>
      <c r="Q513" s="3">
        <f>1/NOK!C513</f>
        <v>0.18617813523979743</v>
      </c>
      <c r="R513" s="3">
        <f>NZD!B513/1</f>
        <v>0.8286</v>
      </c>
      <c r="S513" s="3">
        <f>NZD!C513/1</f>
        <v>0.82679999999999998</v>
      </c>
      <c r="T513" s="4">
        <f>1/PHP!B513</f>
        <v>2.3201856148491878E-2</v>
      </c>
      <c r="U513" s="4">
        <f>1/PHP!C513</f>
        <v>2.3132084200786492E-2</v>
      </c>
      <c r="V513" s="4">
        <f>1/TWD!B513</f>
        <v>3.4754804851770758E-2</v>
      </c>
      <c r="W513" s="4">
        <f>1/TWD!C513</f>
        <v>3.475492564183659E-2</v>
      </c>
      <c r="X513" s="4">
        <f>1/TWD!B513</f>
        <v>3.4754804851770758E-2</v>
      </c>
      <c r="Y513" s="4">
        <f>1/TWD!C513</f>
        <v>3.475492564183659E-2</v>
      </c>
      <c r="Z513" s="4">
        <f>1/ZAR!B513</f>
        <v>0.14829094683769556</v>
      </c>
      <c r="AA513" s="4">
        <f>1/ZAR!C513</f>
        <v>0.14758622725327272</v>
      </c>
    </row>
    <row r="514" spans="1:27" x14ac:dyDescent="0.25">
      <c r="A514" t="str">
        <f>"06/07/2011"</f>
        <v>06/07/2011</v>
      </c>
      <c r="B514" s="3">
        <f>AUD!B514</f>
        <v>1.0731999999999999</v>
      </c>
      <c r="C514" s="3">
        <f>AUD!C514</f>
        <v>1.069</v>
      </c>
      <c r="D514" s="3">
        <f>1/CAD!B514</f>
        <v>1.0395010395010396</v>
      </c>
      <c r="E514" s="3">
        <f>1/CAD!C514</f>
        <v>1.0387451958034695</v>
      </c>
      <c r="F514" s="3">
        <f>EUR!B514/1</f>
        <v>1.4457</v>
      </c>
      <c r="G514" s="3">
        <f>EUR!C514/1</f>
        <v>1.4443999999999999</v>
      </c>
      <c r="H514" s="3">
        <f>GBP!B514/1</f>
        <v>1.6086</v>
      </c>
      <c r="I514" s="3">
        <f>GBP!C514/1</f>
        <v>1.6080000000000001</v>
      </c>
      <c r="J514" s="4">
        <f>1/INR!B514</f>
        <v>2.2535211267605635E-2</v>
      </c>
      <c r="K514" s="4">
        <f>1/INR!C514</f>
        <v>2.2407708251638566E-2</v>
      </c>
      <c r="L514" s="4">
        <f>1/JPY!B514</f>
        <v>1.2366442421844084E-2</v>
      </c>
      <c r="M514" s="4">
        <f>1/JPY!C514</f>
        <v>1.236832373345273E-2</v>
      </c>
      <c r="N514" s="5">
        <f>1/KRW!B514</f>
        <v>9.3993796409436972E-4</v>
      </c>
      <c r="O514" s="5">
        <f>1/KRW!C514</f>
        <v>9.398973256161498E-4</v>
      </c>
      <c r="P514" s="3">
        <f>1/NOK!B514</f>
        <v>0.18649757553151808</v>
      </c>
      <c r="Q514" s="3">
        <f>1/NOK!C514</f>
        <v>0.18614001451892112</v>
      </c>
      <c r="R514" s="3">
        <f>NZD!B514/1</f>
        <v>0.82920000000000005</v>
      </c>
      <c r="S514" s="3">
        <f>NZD!C514/1</f>
        <v>0.82750000000000001</v>
      </c>
      <c r="T514" s="4">
        <f>1/PHP!B514</f>
        <v>2.3342670401493928E-2</v>
      </c>
      <c r="U514" s="4">
        <f>1/PHP!C514</f>
        <v>2.3277467411545624E-2</v>
      </c>
      <c r="V514" s="4">
        <f>1/TWD!B514</f>
        <v>3.475842891901286E-2</v>
      </c>
      <c r="W514" s="4">
        <f>1/TWD!C514</f>
        <v>3.475842891901286E-2</v>
      </c>
      <c r="X514" s="4">
        <f>1/TWD!B514</f>
        <v>3.475842891901286E-2</v>
      </c>
      <c r="Y514" s="4">
        <f>1/TWD!C514</f>
        <v>3.475842891901286E-2</v>
      </c>
      <c r="Z514" s="4">
        <f>1/ZAR!B514</f>
        <v>0.14838556505223172</v>
      </c>
      <c r="AA514" s="4">
        <f>1/ZAR!C514</f>
        <v>0.14771921531552826</v>
      </c>
    </row>
    <row r="515" spans="1:27" x14ac:dyDescent="0.25">
      <c r="A515" t="str">
        <f>"07/07/2011"</f>
        <v>07/07/2011</v>
      </c>
      <c r="B515" s="3">
        <f>AUD!B515</f>
        <v>1.0745</v>
      </c>
      <c r="C515" s="3">
        <f>AUD!C515</f>
        <v>1.0702</v>
      </c>
      <c r="D515" s="3">
        <f>1/CAD!B515</f>
        <v>1.0356255178127589</v>
      </c>
      <c r="E515" s="3">
        <f>1/CAD!C515</f>
        <v>1.034875297526648</v>
      </c>
      <c r="F515" s="3">
        <f>EUR!B515/1</f>
        <v>1.4326000000000001</v>
      </c>
      <c r="G515" s="3">
        <f>EUR!C515/1</f>
        <v>1.4313</v>
      </c>
      <c r="H515" s="3">
        <f>GBP!B515/1</f>
        <v>1.5985</v>
      </c>
      <c r="I515" s="3">
        <f>GBP!C515/1</f>
        <v>1.5979000000000001</v>
      </c>
      <c r="J515" s="4">
        <f>1/INR!B515</f>
        <v>2.2525059128280209E-2</v>
      </c>
      <c r="K515" s="4">
        <f>1/INR!C515</f>
        <v>2.2396416573348264E-2</v>
      </c>
      <c r="L515" s="4">
        <f>1/JPY!B515</f>
        <v>1.2354678098862133E-2</v>
      </c>
      <c r="M515" s="4">
        <f>1/JPY!C515</f>
        <v>1.2356601637991113E-2</v>
      </c>
      <c r="N515" s="5">
        <f>1/KRW!B515</f>
        <v>9.4011469399266708E-4</v>
      </c>
      <c r="O515" s="5">
        <f>1/KRW!C515</f>
        <v>9.4007359836201579E-4</v>
      </c>
      <c r="P515" s="3">
        <f>1/NOK!B515</f>
        <v>0.18472337674332687</v>
      </c>
      <c r="Q515" s="3">
        <f>1/NOK!C515</f>
        <v>0.18438617841206623</v>
      </c>
      <c r="R515" s="3">
        <f>NZD!B515/1</f>
        <v>0.82699999999999996</v>
      </c>
      <c r="S515" s="3">
        <f>NZD!C515/1</f>
        <v>0.82520000000000004</v>
      </c>
      <c r="T515" s="4">
        <f>1/PHP!B515</f>
        <v>2.3348120476301658E-2</v>
      </c>
      <c r="U515" s="4">
        <f>1/PHP!C515</f>
        <v>2.3280176929344663E-2</v>
      </c>
      <c r="V515" s="4">
        <f>1/TWD!B515</f>
        <v>3.4710170079833395E-2</v>
      </c>
      <c r="W515" s="4">
        <f>1/TWD!C515</f>
        <v>3.4710170079833395E-2</v>
      </c>
      <c r="X515" s="4">
        <f>1/TWD!B515</f>
        <v>3.4710170079833395E-2</v>
      </c>
      <c r="Y515" s="4">
        <f>1/TWD!C515</f>
        <v>3.4710170079833395E-2</v>
      </c>
      <c r="Z515" s="4">
        <f>1/ZAR!B515</f>
        <v>0.14821841465583682</v>
      </c>
      <c r="AA515" s="4">
        <f>1/ZAR!C515</f>
        <v>0.1475535619429853</v>
      </c>
    </row>
    <row r="516" spans="1:27" x14ac:dyDescent="0.25">
      <c r="A516" t="str">
        <f>"08/07/2011"</f>
        <v>08/07/2011</v>
      </c>
      <c r="B516" s="3">
        <f>AUD!B516</f>
        <v>1.0767</v>
      </c>
      <c r="C516" s="3">
        <f>AUD!C516</f>
        <v>1.0725</v>
      </c>
      <c r="D516" s="3">
        <f>1/CAD!B516</f>
        <v>1.0422094841063054</v>
      </c>
      <c r="E516" s="3">
        <f>1/CAD!C516</f>
        <v>1.0414496979795875</v>
      </c>
      <c r="F516" s="3">
        <f>EUR!B516/1</f>
        <v>1.4339999999999999</v>
      </c>
      <c r="G516" s="3">
        <f>EUR!C516/1</f>
        <v>1.4326000000000001</v>
      </c>
      <c r="H516" s="3">
        <f>GBP!B516/1</f>
        <v>1.5948</v>
      </c>
      <c r="I516" s="3">
        <f>GBP!C516/1</f>
        <v>1.5942000000000001</v>
      </c>
      <c r="J516" s="4">
        <f>1/INR!B516</f>
        <v>2.2545372562281594E-2</v>
      </c>
      <c r="K516" s="4">
        <f>1/INR!C516</f>
        <v>2.2417754861850585E-2</v>
      </c>
      <c r="L516" s="4">
        <f>1/JPY!B516</f>
        <v>1.230405787828826E-2</v>
      </c>
      <c r="M516" s="4">
        <f>1/JPY!C516</f>
        <v>1.2305859681204399E-2</v>
      </c>
      <c r="N516" s="5">
        <f>1/KRW!B516</f>
        <v>9.4517958412098301E-4</v>
      </c>
      <c r="O516" s="5">
        <f>1/KRW!C516</f>
        <v>9.4513715121485571E-4</v>
      </c>
      <c r="P516" s="3">
        <f>1/NOK!B516</f>
        <v>0.18567343755802296</v>
      </c>
      <c r="Q516" s="3">
        <f>1/NOK!C516</f>
        <v>0.18532589558739043</v>
      </c>
      <c r="R516" s="3">
        <f>NZD!B516/1</f>
        <v>0.83140000000000003</v>
      </c>
      <c r="S516" s="3">
        <f>NZD!C516/1</f>
        <v>0.8296</v>
      </c>
      <c r="T516" s="4">
        <f>1/PHP!B516</f>
        <v>2.3380874444704231E-2</v>
      </c>
      <c r="U516" s="4">
        <f>1/PHP!C516</f>
        <v>2.3312740412635504E-2</v>
      </c>
      <c r="V516" s="4">
        <f>1/TWD!B516</f>
        <v>3.4764470710933422E-2</v>
      </c>
      <c r="W516" s="4">
        <f>1/TWD!C516</f>
        <v>3.4764470710933422E-2</v>
      </c>
      <c r="X516" s="4">
        <f>1/TWD!B516</f>
        <v>3.4764470710933422E-2</v>
      </c>
      <c r="Y516" s="4">
        <f>1/TWD!C516</f>
        <v>3.4764470710933422E-2</v>
      </c>
      <c r="Z516" s="4">
        <f>1/ZAR!B516</f>
        <v>0.1495036478890085</v>
      </c>
      <c r="AA516" s="4">
        <f>1/ZAR!C516</f>
        <v>0.14912019087384432</v>
      </c>
    </row>
    <row r="517" spans="1:27" x14ac:dyDescent="0.25">
      <c r="A517" t="str">
        <f>"11/07/2011"</f>
        <v>11/07/2011</v>
      </c>
      <c r="B517" s="3">
        <f>AUD!B517</f>
        <v>1.0707</v>
      </c>
      <c r="C517" s="3">
        <f>AUD!C517</f>
        <v>1.0663</v>
      </c>
      <c r="D517" s="3">
        <f>1/CAD!B517</f>
        <v>1.0371292263015972</v>
      </c>
      <c r="E517" s="3">
        <f>1/CAD!C517</f>
        <v>1.0362694300518136</v>
      </c>
      <c r="F517" s="3">
        <f>EUR!B517/1</f>
        <v>1.4192</v>
      </c>
      <c r="G517" s="3">
        <f>EUR!C517/1</f>
        <v>1.4177999999999999</v>
      </c>
      <c r="H517" s="3">
        <f>GBP!B517/1</f>
        <v>1.6007</v>
      </c>
      <c r="I517" s="3">
        <f>GBP!C517/1</f>
        <v>1.6001000000000001</v>
      </c>
      <c r="J517" s="4">
        <f>1/INR!B517</f>
        <v>2.2532672374943667E-2</v>
      </c>
      <c r="K517" s="4">
        <f>1/INR!C517</f>
        <v>2.2391401701746531E-2</v>
      </c>
      <c r="L517" s="4">
        <f>1/JPY!B517</f>
        <v>1.2381600941001672E-2</v>
      </c>
      <c r="M517" s="4">
        <f>1/JPY!C517</f>
        <v>1.2383716898324732E-2</v>
      </c>
      <c r="N517" s="5">
        <f>1/KRW!B517</f>
        <v>9.4393052671323384E-4</v>
      </c>
      <c r="O517" s="5">
        <f>1/KRW!C517</f>
        <v>9.438868694953697E-4</v>
      </c>
      <c r="P517" s="3">
        <f>1/NOK!B517</f>
        <v>0.18349970640046975</v>
      </c>
      <c r="Q517" s="3">
        <f>1/NOK!C517</f>
        <v>0.18316024690001284</v>
      </c>
      <c r="R517" s="3">
        <f>NZD!B517/1</f>
        <v>0.83430000000000004</v>
      </c>
      <c r="S517" s="3">
        <f>NZD!C517/1</f>
        <v>0.83250000000000002</v>
      </c>
      <c r="T517" s="4">
        <f>1/PHP!B517</f>
        <v>2.3310023310023312E-2</v>
      </c>
      <c r="U517" s="4">
        <f>1/PHP!C517</f>
        <v>2.3245002324500229E-2</v>
      </c>
      <c r="V517" s="4">
        <f>1/TWD!B517</f>
        <v>3.4706556068441329E-2</v>
      </c>
      <c r="W517" s="4">
        <f>1/TWD!C517</f>
        <v>3.4706556068441329E-2</v>
      </c>
      <c r="X517" s="4">
        <f>1/TWD!B517</f>
        <v>3.4706556068441329E-2</v>
      </c>
      <c r="Y517" s="4">
        <f>1/TWD!C517</f>
        <v>3.4706556068441329E-2</v>
      </c>
      <c r="Z517" s="4">
        <f>1/ZAR!B517</f>
        <v>0.1484692817056151</v>
      </c>
      <c r="AA517" s="4">
        <f>1/ZAR!C517</f>
        <v>0.14780436614097581</v>
      </c>
    </row>
    <row r="518" spans="1:27" x14ac:dyDescent="0.25">
      <c r="A518" t="str">
        <f>"12/07/2011"</f>
        <v>12/07/2011</v>
      </c>
      <c r="B518" s="3">
        <f>AUD!B518</f>
        <v>1.0593999999999999</v>
      </c>
      <c r="C518" s="3">
        <f>AUD!C518</f>
        <v>1.0550999999999999</v>
      </c>
      <c r="D518" s="3">
        <f>1/CAD!B518</f>
        <v>1.0291242152927857</v>
      </c>
      <c r="E518" s="3">
        <f>1/CAD!C518</f>
        <v>1.0282776349614395</v>
      </c>
      <c r="F518" s="3">
        <f>EUR!B518/1</f>
        <v>1.3955</v>
      </c>
      <c r="G518" s="3">
        <f>EUR!C518/1</f>
        <v>1.3943000000000001</v>
      </c>
      <c r="H518" s="3">
        <f>GBP!B518/1</f>
        <v>1.5869</v>
      </c>
      <c r="I518" s="3">
        <f>GBP!C518/1</f>
        <v>1.5863</v>
      </c>
      <c r="J518" s="4">
        <f>1/INR!B518</f>
        <v>2.2398924851607122E-2</v>
      </c>
      <c r="K518" s="4">
        <f>1/INR!C518</f>
        <v>2.2271714922048998E-2</v>
      </c>
      <c r="L518" s="4">
        <f>1/JPY!B518</f>
        <v>1.2487200619365152E-2</v>
      </c>
      <c r="M518" s="4">
        <f>1/JPY!C518</f>
        <v>1.2490444809720563E-2</v>
      </c>
      <c r="N518" s="5">
        <f>1/KRW!B518</f>
        <v>9.3747070404049868E-4</v>
      </c>
      <c r="O518" s="5">
        <f>1/KRW!C518</f>
        <v>9.3742808168935799E-4</v>
      </c>
      <c r="P518" s="3">
        <f>1/NOK!B518</f>
        <v>0.17976558567627812</v>
      </c>
      <c r="Q518" s="3">
        <f>1/NOK!C518</f>
        <v>0.17942047187584104</v>
      </c>
      <c r="R518" s="3">
        <f>NZD!B518/1</f>
        <v>0.81930000000000003</v>
      </c>
      <c r="S518" s="3">
        <f>NZD!C518/1</f>
        <v>0.8175</v>
      </c>
      <c r="T518" s="4">
        <f>1/PHP!B518</f>
        <v>2.3180343069077423E-2</v>
      </c>
      <c r="U518" s="4">
        <f>1/PHP!C518</f>
        <v>2.3105360443622922E-2</v>
      </c>
      <c r="V518" s="4">
        <f>1/TWD!B518</f>
        <v>3.4579342300909435E-2</v>
      </c>
      <c r="W518" s="4">
        <f>1/TWD!C518</f>
        <v>3.4579342300909435E-2</v>
      </c>
      <c r="X518" s="4">
        <f>1/TWD!B518</f>
        <v>3.4579342300909435E-2</v>
      </c>
      <c r="Y518" s="4">
        <f>1/TWD!C518</f>
        <v>3.4579342300909435E-2</v>
      </c>
      <c r="Z518" s="4">
        <f>1/ZAR!B518</f>
        <v>0.14563460278162091</v>
      </c>
      <c r="AA518" s="4">
        <f>1/ZAR!C518</f>
        <v>0.1449422405171539</v>
      </c>
    </row>
    <row r="519" spans="1:27" x14ac:dyDescent="0.25">
      <c r="A519" t="str">
        <f>"13/07/2011"</f>
        <v>13/07/2011</v>
      </c>
      <c r="B519" s="3">
        <f>AUD!B519</f>
        <v>1.0629</v>
      </c>
      <c r="C519" s="3">
        <f>AUD!C519</f>
        <v>1.0588</v>
      </c>
      <c r="D519" s="3">
        <f>1/CAD!B519</f>
        <v>1.0378827192527245</v>
      </c>
      <c r="E519" s="3">
        <f>1/CAD!C519</f>
        <v>1.0371292263015972</v>
      </c>
      <c r="F519" s="3">
        <f>EUR!B519/1</f>
        <v>1.3998999999999999</v>
      </c>
      <c r="G519" s="3">
        <f>EUR!C519/1</f>
        <v>1.3986000000000001</v>
      </c>
      <c r="H519" s="3">
        <f>GBP!B519/1</f>
        <v>1.5932999999999999</v>
      </c>
      <c r="I519" s="3">
        <f>GBP!C519/1</f>
        <v>1.5928</v>
      </c>
      <c r="J519" s="4">
        <f>1/INR!B519</f>
        <v>2.2421524663677129E-2</v>
      </c>
      <c r="K519" s="4">
        <f>1/INR!C519</f>
        <v>2.2297786944645747E-2</v>
      </c>
      <c r="L519" s="4">
        <f>1/JPY!B519</f>
        <v>1.2586532410320955E-2</v>
      </c>
      <c r="M519" s="4">
        <f>1/JPY!C519</f>
        <v>1.258873484473684E-2</v>
      </c>
      <c r="N519" s="5">
        <f>1/KRW!B519</f>
        <v>9.4144228958764826E-4</v>
      </c>
      <c r="O519" s="5">
        <f>1/KRW!C519</f>
        <v>9.4140019157493908E-4</v>
      </c>
      <c r="P519" s="3">
        <f>1/NOK!B519</f>
        <v>0.17903500134276251</v>
      </c>
      <c r="Q519" s="3">
        <f>1/NOK!C519</f>
        <v>0.1787054576646771</v>
      </c>
      <c r="R519" s="3">
        <f>NZD!B519/1</f>
        <v>0.82169999999999999</v>
      </c>
      <c r="S519" s="3">
        <f>NZD!C519/1</f>
        <v>0.82</v>
      </c>
      <c r="T519" s="4">
        <f>1/PHP!B519</f>
        <v>2.3218017181332713E-2</v>
      </c>
      <c r="U519" s="4">
        <f>1/PHP!C519</f>
        <v>2.3142791020597082E-2</v>
      </c>
      <c r="V519" s="4">
        <f>1/TWD!B519</f>
        <v>3.461884650003462E-2</v>
      </c>
      <c r="W519" s="4">
        <f>1/TWD!C519</f>
        <v>3.461884650003462E-2</v>
      </c>
      <c r="X519" s="4">
        <f>1/TWD!B519</f>
        <v>3.461884650003462E-2</v>
      </c>
      <c r="Y519" s="4">
        <f>1/TWD!C519</f>
        <v>3.461884650003462E-2</v>
      </c>
      <c r="Z519" s="4">
        <f>1/ZAR!B519</f>
        <v>0.14627153848404179</v>
      </c>
      <c r="AA519" s="4">
        <f>1/ZAR!C519</f>
        <v>0.14558795696419993</v>
      </c>
    </row>
    <row r="520" spans="1:27" x14ac:dyDescent="0.25">
      <c r="A520" t="str">
        <f>"14/07/2011"</f>
        <v>14/07/2011</v>
      </c>
      <c r="B520" s="3">
        <f>AUD!B520</f>
        <v>1.0741000000000001</v>
      </c>
      <c r="C520" s="3">
        <f>AUD!C520</f>
        <v>1.0699000000000001</v>
      </c>
      <c r="D520" s="3">
        <f>1/CAD!B520</f>
        <v>1.0423181154888472</v>
      </c>
      <c r="E520" s="3">
        <f>1/CAD!C520</f>
        <v>1.0415581710238517</v>
      </c>
      <c r="F520" s="3">
        <f>EUR!B520/1</f>
        <v>1.4211</v>
      </c>
      <c r="G520" s="3">
        <f>EUR!C520/1</f>
        <v>1.4198</v>
      </c>
      <c r="H520" s="3">
        <f>GBP!B520/1</f>
        <v>1.6137999999999999</v>
      </c>
      <c r="I520" s="3">
        <f>GBP!C520/1</f>
        <v>1.6132</v>
      </c>
      <c r="J520" s="4">
        <f>1/INR!B520</f>
        <v>2.2474435329812338E-2</v>
      </c>
      <c r="K520" s="4">
        <f>1/INR!C520</f>
        <v>2.2350114544337042E-2</v>
      </c>
      <c r="L520" s="4">
        <f>1/JPY!B520</f>
        <v>1.2712941774726672E-2</v>
      </c>
      <c r="M520" s="4">
        <f>1/JPY!C520</f>
        <v>1.2714735997579114E-2</v>
      </c>
      <c r="N520" s="5">
        <f>1/KRW!B520</f>
        <v>9.4506792675723569E-4</v>
      </c>
      <c r="O520" s="5">
        <f>1/KRW!C520</f>
        <v>9.4502550387578598E-4</v>
      </c>
      <c r="P520" s="3">
        <f>1/NOK!B520</f>
        <v>0.18158707100054478</v>
      </c>
      <c r="Q520" s="3">
        <f>1/NOK!C520</f>
        <v>0.1812513593851954</v>
      </c>
      <c r="R520" s="3">
        <f>NZD!B520/1</f>
        <v>0.84279999999999999</v>
      </c>
      <c r="S520" s="3">
        <f>NZD!C520/1</f>
        <v>0.84099999999999997</v>
      </c>
      <c r="T520" s="4">
        <f>1/PHP!B520</f>
        <v>2.3255813953488372E-2</v>
      </c>
      <c r="U520" s="4">
        <f>1/PHP!C520</f>
        <v>2.3185717597959656E-2</v>
      </c>
      <c r="V520" s="4">
        <f>1/TWD!B520</f>
        <v>3.4674063800277391E-2</v>
      </c>
      <c r="W520" s="4">
        <f>1/TWD!C520</f>
        <v>3.4674063800277391E-2</v>
      </c>
      <c r="X520" s="4">
        <f>1/TWD!B520</f>
        <v>3.4674063800277391E-2</v>
      </c>
      <c r="Y520" s="4">
        <f>1/TWD!C520</f>
        <v>3.4674063800277391E-2</v>
      </c>
      <c r="Z520" s="4">
        <f>1/ZAR!B520</f>
        <v>0.14684287812041116</v>
      </c>
      <c r="AA520" s="4">
        <f>1/ZAR!C520</f>
        <v>0.14632718759145449</v>
      </c>
    </row>
    <row r="521" spans="1:27" x14ac:dyDescent="0.25">
      <c r="A521" t="str">
        <f>"15/07/2011"</f>
        <v>15/07/2011</v>
      </c>
      <c r="B521" s="3">
        <f>AUD!B521</f>
        <v>1.0730999999999999</v>
      </c>
      <c r="C521" s="3">
        <f>AUD!C521</f>
        <v>1.0688</v>
      </c>
      <c r="D521" s="3">
        <f>1/CAD!B521</f>
        <v>1.0417751849150954</v>
      </c>
      <c r="E521" s="3">
        <f>1/CAD!C521</f>
        <v>1.0410160316468873</v>
      </c>
      <c r="F521" s="3">
        <f>EUR!B521/1</f>
        <v>1.4166000000000001</v>
      </c>
      <c r="G521" s="3">
        <f>EUR!C521/1</f>
        <v>1.4152</v>
      </c>
      <c r="H521" s="3">
        <f>GBP!B521/1</f>
        <v>1.6153</v>
      </c>
      <c r="I521" s="3">
        <f>GBP!C521/1</f>
        <v>1.6147</v>
      </c>
      <c r="J521" s="4">
        <f>1/INR!B521</f>
        <v>2.2464337863641468E-2</v>
      </c>
      <c r="K521" s="4">
        <f>1/INR!C521</f>
        <v>2.2326412145568207E-2</v>
      </c>
      <c r="L521" s="4">
        <f>1/JPY!B521</f>
        <v>1.2625146767331171E-2</v>
      </c>
      <c r="M521" s="4">
        <f>1/JPY!C521</f>
        <v>1.2627203289133911E-2</v>
      </c>
      <c r="N521" s="5">
        <f>1/KRW!B521</f>
        <v>9.4553706505295021E-4</v>
      </c>
      <c r="O521" s="5">
        <f>1/KRW!C521</f>
        <v>9.4549415306415755E-4</v>
      </c>
      <c r="P521" s="3">
        <f>1/NOK!B521</f>
        <v>0.18059669146861229</v>
      </c>
      <c r="Q521" s="3">
        <f>1/NOK!C521</f>
        <v>0.18026137899954933</v>
      </c>
      <c r="R521" s="3">
        <f>NZD!B521/1</f>
        <v>0.84150000000000003</v>
      </c>
      <c r="S521" s="3">
        <f>NZD!C521/1</f>
        <v>0.8397</v>
      </c>
      <c r="T521" s="4">
        <f>1/PHP!B521</f>
        <v>2.3299161230195712E-2</v>
      </c>
      <c r="U521" s="4">
        <f>1/PHP!C521</f>
        <v>2.3223409196470042E-2</v>
      </c>
      <c r="V521" s="4">
        <f>1/TWD!B521</f>
        <v>3.4635633139373789E-2</v>
      </c>
      <c r="W521" s="4">
        <f>1/TWD!C521</f>
        <v>3.4635633139373789E-2</v>
      </c>
      <c r="X521" s="4">
        <f>1/TWD!B521</f>
        <v>3.4635633139373789E-2</v>
      </c>
      <c r="Y521" s="4">
        <f>1/TWD!C521</f>
        <v>3.4635633139373789E-2</v>
      </c>
      <c r="Z521" s="4">
        <f>1/ZAR!B521</f>
        <v>0.14602164040710833</v>
      </c>
      <c r="AA521" s="4">
        <f>1/ZAR!C521</f>
        <v>0.1453657402023491</v>
      </c>
    </row>
    <row r="522" spans="1:27" x14ac:dyDescent="0.25">
      <c r="A522" t="str">
        <f>"18/07/2011"</f>
        <v>18/07/2011</v>
      </c>
      <c r="B522" s="3">
        <f>AUD!B522</f>
        <v>1.0591999999999999</v>
      </c>
      <c r="C522" s="3">
        <f>AUD!C522</f>
        <v>1.0548</v>
      </c>
      <c r="D522" s="3">
        <f>1/CAD!B522</f>
        <v>1.0439503079653409</v>
      </c>
      <c r="E522" s="3">
        <f>1/CAD!C522</f>
        <v>1.0431879824744419</v>
      </c>
      <c r="F522" s="3">
        <f>EUR!B522/1</f>
        <v>1.4067000000000001</v>
      </c>
      <c r="G522" s="3">
        <f>EUR!C522/1</f>
        <v>1.4053</v>
      </c>
      <c r="H522" s="3">
        <f>GBP!B522/1</f>
        <v>1.6093</v>
      </c>
      <c r="I522" s="3">
        <f>GBP!C522/1</f>
        <v>1.6086</v>
      </c>
      <c r="J522" s="4">
        <f>1/INR!B522</f>
        <v>2.2437875133224882E-2</v>
      </c>
      <c r="K522" s="4">
        <f>1/INR!C522</f>
        <v>2.2301516503122211E-2</v>
      </c>
      <c r="L522" s="4">
        <f>1/JPY!B522</f>
        <v>1.26519819329698E-2</v>
      </c>
      <c r="M522" s="4">
        <f>1/JPY!C522</f>
        <v>1.2654335438592939E-2</v>
      </c>
      <c r="N522" s="5">
        <f>1/KRW!B522</f>
        <v>9.4193001459991514E-4</v>
      </c>
      <c r="O522" s="5">
        <f>1/KRW!C522</f>
        <v>9.419056163477139E-4</v>
      </c>
      <c r="P522" s="3">
        <f>1/NOK!B522</f>
        <v>0.1786926843215039</v>
      </c>
      <c r="Q522" s="3">
        <f>1/NOK!C522</f>
        <v>0.17835803592130844</v>
      </c>
      <c r="R522" s="3">
        <f>NZD!B522/1</f>
        <v>0.84260000000000002</v>
      </c>
      <c r="S522" s="3">
        <f>NZD!C522/1</f>
        <v>0.8407</v>
      </c>
      <c r="T522" s="4">
        <f>1/PHP!B522</f>
        <v>2.3218017181332713E-2</v>
      </c>
      <c r="U522" s="4">
        <f>1/PHP!C522</f>
        <v>2.3142791020597082E-2</v>
      </c>
      <c r="V522" s="4">
        <f>1/TWD!B522</f>
        <v>3.4553056217822467E-2</v>
      </c>
      <c r="W522" s="4">
        <f>1/TWD!C522</f>
        <v>3.4553056217822467E-2</v>
      </c>
      <c r="X522" s="4">
        <f>1/TWD!B522</f>
        <v>3.4553056217822467E-2</v>
      </c>
      <c r="Y522" s="4">
        <f>1/TWD!C522</f>
        <v>3.4553056217822467E-2</v>
      </c>
      <c r="Z522" s="4">
        <f>1/ZAR!B522</f>
        <v>0.14455044810638912</v>
      </c>
      <c r="AA522" s="4">
        <f>1/ZAR!C522</f>
        <v>0.14390145628273757</v>
      </c>
    </row>
    <row r="523" spans="1:27" x14ac:dyDescent="0.25">
      <c r="A523" t="str">
        <f>"19/07/2011"</f>
        <v>19/07/2011</v>
      </c>
      <c r="B523" s="3">
        <f>AUD!B523</f>
        <v>1.0617000000000001</v>
      </c>
      <c r="C523" s="3">
        <f>AUD!C523</f>
        <v>1.0573999999999999</v>
      </c>
      <c r="D523" s="3">
        <f>1/CAD!B523</f>
        <v>1.0436234606553956</v>
      </c>
      <c r="E523" s="3">
        <f>1/CAD!C523</f>
        <v>1.0427528675703859</v>
      </c>
      <c r="F523" s="3">
        <f>EUR!B523/1</f>
        <v>1.4111</v>
      </c>
      <c r="G523" s="3">
        <f>EUR!C523/1</f>
        <v>1.4097</v>
      </c>
      <c r="H523" s="3">
        <f>GBP!B523/1</f>
        <v>1.6074999999999999</v>
      </c>
      <c r="I523" s="3">
        <f>GBP!C523/1</f>
        <v>1.6069</v>
      </c>
      <c r="J523" s="4">
        <f>1/INR!B523</f>
        <v>2.2439133849433412E-2</v>
      </c>
      <c r="K523" s="4">
        <f>1/INR!C523</f>
        <v>2.2308979364194088E-2</v>
      </c>
      <c r="L523" s="4">
        <f>1/JPY!B523</f>
        <v>1.2645582265835431E-2</v>
      </c>
      <c r="M523" s="4">
        <f>1/JPY!C523</f>
        <v>1.2647629454811286E-2</v>
      </c>
      <c r="N523" s="5">
        <f>1/KRW!B523</f>
        <v>9.4366330093422662E-4</v>
      </c>
      <c r="O523" s="5">
        <f>1/KRW!C523</f>
        <v>9.4361922322209178E-4</v>
      </c>
      <c r="P523" s="3">
        <f>1/NOK!B523</f>
        <v>0.1791119628880013</v>
      </c>
      <c r="Q523" s="3">
        <f>1/NOK!C523</f>
        <v>0.17875656930392192</v>
      </c>
      <c r="R523" s="3">
        <f>NZD!B523/1</f>
        <v>0.84630000000000005</v>
      </c>
      <c r="S523" s="3">
        <f>NZD!C523/1</f>
        <v>0.84440000000000004</v>
      </c>
      <c r="T523" s="4">
        <f>1/PHP!B523</f>
        <v>2.3272050267628578E-2</v>
      </c>
      <c r="U523" s="4">
        <f>1/PHP!C523</f>
        <v>2.319109461966605E-2</v>
      </c>
      <c r="V523" s="4">
        <f>1/TWD!B523</f>
        <v>3.4574560038723508E-2</v>
      </c>
      <c r="W523" s="4">
        <f>1/TWD!C523</f>
        <v>3.4574560038723508E-2</v>
      </c>
      <c r="X523" s="4">
        <f>1/TWD!B523</f>
        <v>3.4574560038723508E-2</v>
      </c>
      <c r="Y523" s="4">
        <f>1/TWD!C523</f>
        <v>3.4574560038723508E-2</v>
      </c>
      <c r="Z523" s="4">
        <f>1/ZAR!B523</f>
        <v>0.14343498092314755</v>
      </c>
      <c r="AA523" s="4">
        <f>1/ZAR!C523</f>
        <v>0.14274091097249383</v>
      </c>
    </row>
    <row r="524" spans="1:27" x14ac:dyDescent="0.25">
      <c r="A524" t="str">
        <f>"20/07/2011"</f>
        <v>20/07/2011</v>
      </c>
      <c r="B524" s="3">
        <f>AUD!B524</f>
        <v>1.0721000000000001</v>
      </c>
      <c r="C524" s="3">
        <f>AUD!C524</f>
        <v>1.0679000000000001</v>
      </c>
      <c r="D524" s="3">
        <f>1/CAD!B524</f>
        <v>1.0518565267697486</v>
      </c>
      <c r="E524" s="3">
        <f>1/CAD!C524</f>
        <v>1.0510826150935464</v>
      </c>
      <c r="F524" s="3">
        <f>EUR!B524/1</f>
        <v>1.4157</v>
      </c>
      <c r="G524" s="3">
        <f>EUR!C524/1</f>
        <v>1.4144000000000001</v>
      </c>
      <c r="H524" s="3">
        <f>GBP!B524/1</f>
        <v>1.6126</v>
      </c>
      <c r="I524" s="3">
        <f>GBP!C524/1</f>
        <v>1.6120000000000001</v>
      </c>
      <c r="J524" s="4">
        <f>1/INR!B524</f>
        <v>2.2484541877459244E-2</v>
      </c>
      <c r="K524" s="4">
        <f>1/INR!C524</f>
        <v>2.2357609971494049E-2</v>
      </c>
      <c r="L524" s="4">
        <f>1/JPY!B524</f>
        <v>1.2629292380747907E-2</v>
      </c>
      <c r="M524" s="4">
        <f>1/JPY!C524</f>
        <v>1.2631206659172152E-2</v>
      </c>
      <c r="N524" s="5">
        <f>1/KRW!B524</f>
        <v>9.475080538184574E-4</v>
      </c>
      <c r="O524" s="5">
        <f>1/KRW!C524</f>
        <v>9.4748471233416654E-4</v>
      </c>
      <c r="P524" s="3">
        <f>1/NOK!B524</f>
        <v>0.18133681500018134</v>
      </c>
      <c r="Q524" s="3">
        <f>1/NOK!C524</f>
        <v>0.18097909691430639</v>
      </c>
      <c r="R524" s="3">
        <f>NZD!B524/1</f>
        <v>0.85429999999999995</v>
      </c>
      <c r="S524" s="3">
        <f>NZD!C524/1</f>
        <v>0.85240000000000005</v>
      </c>
      <c r="T524" s="4">
        <f>1/PHP!B524</f>
        <v>2.3380874444704231E-2</v>
      </c>
      <c r="U524" s="4">
        <f>1/PHP!C524</f>
        <v>2.3304591004427874E-2</v>
      </c>
      <c r="V524" s="4">
        <f>1/TWD!B524</f>
        <v>3.4628436872359579E-2</v>
      </c>
      <c r="W524" s="4">
        <f>1/TWD!C524</f>
        <v>3.4628436872359579E-2</v>
      </c>
      <c r="X524" s="4">
        <f>1/TWD!B524</f>
        <v>3.4628436872359579E-2</v>
      </c>
      <c r="Y524" s="4">
        <f>1/TWD!C524</f>
        <v>3.4628436872359579E-2</v>
      </c>
      <c r="Z524" s="4">
        <f>1/ZAR!B524</f>
        <v>0.14401129048517403</v>
      </c>
      <c r="AA524" s="4">
        <f>1/ZAR!C524</f>
        <v>0.14331986126637428</v>
      </c>
    </row>
    <row r="525" spans="1:27" x14ac:dyDescent="0.25">
      <c r="A525" t="str">
        <f>"21/07/2011"</f>
        <v>21/07/2011</v>
      </c>
      <c r="B525" s="3">
        <f>AUD!B525</f>
        <v>1.0714999999999999</v>
      </c>
      <c r="C525" s="3">
        <f>AUD!C525</f>
        <v>1.0671999999999999</v>
      </c>
      <c r="D525" s="3">
        <f>1/CAD!B525</f>
        <v>1.0563008344776592</v>
      </c>
      <c r="E525" s="3">
        <f>1/CAD!C525</f>
        <v>1.0555203715431707</v>
      </c>
      <c r="F525" s="3">
        <f>EUR!B525/1</f>
        <v>1.4255</v>
      </c>
      <c r="G525" s="3">
        <f>EUR!C525/1</f>
        <v>1.4242999999999999</v>
      </c>
      <c r="H525" s="3">
        <f>GBP!B525/1</f>
        <v>1.6151</v>
      </c>
      <c r="I525" s="3">
        <f>GBP!C525/1</f>
        <v>1.6145</v>
      </c>
      <c r="J525" s="4">
        <f>1/INR!B525</f>
        <v>2.2492127755285651E-2</v>
      </c>
      <c r="K525" s="4">
        <f>1/INR!C525</f>
        <v>2.2365110427732739E-2</v>
      </c>
      <c r="L525" s="4">
        <f>1/JPY!B525</f>
        <v>1.270623812760875E-2</v>
      </c>
      <c r="M525" s="4">
        <f>1/JPY!C525</f>
        <v>1.2708143505439721E-2</v>
      </c>
      <c r="N525" s="5">
        <f>1/KRW!B525</f>
        <v>9.4679038060973295E-4</v>
      </c>
      <c r="O525" s="5">
        <f>1/KRW!C525</f>
        <v>9.4676707447080447E-4</v>
      </c>
      <c r="P525" s="3">
        <f>1/NOK!B525</f>
        <v>0.18287887931822755</v>
      </c>
      <c r="Q525" s="3">
        <f>1/NOK!C525</f>
        <v>0.18252172008469009</v>
      </c>
      <c r="R525" s="3">
        <f>NZD!B525/1</f>
        <v>0.85650000000000004</v>
      </c>
      <c r="S525" s="3">
        <f>NZD!C525/1</f>
        <v>0.85460000000000003</v>
      </c>
      <c r="T525" s="4">
        <f>1/PHP!B525</f>
        <v>2.3457658925639221E-2</v>
      </c>
      <c r="U525" s="4">
        <f>1/PHP!C525</f>
        <v>2.3380874444704231E-2</v>
      </c>
      <c r="V525" s="4">
        <f>1/TWD!B525</f>
        <v>3.4650034650034647E-2</v>
      </c>
      <c r="W525" s="4">
        <f>1/TWD!C525</f>
        <v>3.4650154712940792E-2</v>
      </c>
      <c r="X525" s="4">
        <f>1/TWD!B525</f>
        <v>3.4650034650034647E-2</v>
      </c>
      <c r="Y525" s="4">
        <f>1/TWD!C525</f>
        <v>3.4650154712940792E-2</v>
      </c>
      <c r="Z525" s="4">
        <f>1/ZAR!B525</f>
        <v>0.14537842002733115</v>
      </c>
      <c r="AA525" s="4">
        <f>1/ZAR!C525</f>
        <v>0.14471780028943559</v>
      </c>
    </row>
    <row r="526" spans="1:27" x14ac:dyDescent="0.25">
      <c r="A526" t="str">
        <f>"22/07/2011"</f>
        <v>22/07/2011</v>
      </c>
      <c r="B526" s="3">
        <f>AUD!B526</f>
        <v>1.0835999999999999</v>
      </c>
      <c r="C526" s="3">
        <f>AUD!C526</f>
        <v>1.0791999999999999</v>
      </c>
      <c r="D526" s="3">
        <f>1/CAD!B526</f>
        <v>1.0582010582010584</v>
      </c>
      <c r="E526" s="3">
        <f>1/CAD!C526</f>
        <v>1.0574177857671567</v>
      </c>
      <c r="F526" s="3">
        <f>EUR!B526/1</f>
        <v>1.4383999999999999</v>
      </c>
      <c r="G526" s="3">
        <f>EUR!C526/1</f>
        <v>1.4371</v>
      </c>
      <c r="H526" s="3">
        <f>GBP!B526/1</f>
        <v>1.6298999999999999</v>
      </c>
      <c r="I526" s="3">
        <f>GBP!C526/1</f>
        <v>1.6293</v>
      </c>
      <c r="J526" s="4">
        <f>1/INR!B526</f>
        <v>2.2522522522522525E-2</v>
      </c>
      <c r="K526" s="4">
        <f>1/INR!C526</f>
        <v>2.2397670642253207E-2</v>
      </c>
      <c r="L526" s="4">
        <f>1/JPY!B526</f>
        <v>1.2718277436504001E-2</v>
      </c>
      <c r="M526" s="4">
        <f>1/JPY!C526</f>
        <v>1.2720121706124484E-2</v>
      </c>
      <c r="N526" s="5">
        <f>1/KRW!B526</f>
        <v>9.5138426410427176E-4</v>
      </c>
      <c r="O526" s="5">
        <f>1/KRW!C526</f>
        <v>9.513399147028633E-4</v>
      </c>
      <c r="P526" s="3">
        <f>1/NOK!B526</f>
        <v>0.18503784023832873</v>
      </c>
      <c r="Q526" s="3">
        <f>1/NOK!C526</f>
        <v>0.18466879651345314</v>
      </c>
      <c r="R526" s="3">
        <f>NZD!B526/1</f>
        <v>0.86099999999999999</v>
      </c>
      <c r="S526" s="3">
        <f>NZD!C526/1</f>
        <v>0.85919999999999996</v>
      </c>
      <c r="T526" s="4">
        <f>1/PHP!B526</f>
        <v>2.3562676720075403E-2</v>
      </c>
      <c r="U526" s="4">
        <f>1/PHP!C526</f>
        <v>2.3485204321277597E-2</v>
      </c>
      <c r="V526" s="4">
        <f>1/TWD!B526</f>
        <v>3.4659642312491336E-2</v>
      </c>
      <c r="W526" s="4">
        <f>1/TWD!C526</f>
        <v>3.4659762441988221E-2</v>
      </c>
      <c r="X526" s="4">
        <f>1/TWD!B526</f>
        <v>3.4659642312491336E-2</v>
      </c>
      <c r="Y526" s="4">
        <f>1/TWD!C526</f>
        <v>3.4659762441988221E-2</v>
      </c>
      <c r="Z526" s="4">
        <f>1/ZAR!B526</f>
        <v>0.14753614635585718</v>
      </c>
      <c r="AA526" s="4">
        <f>1/ZAR!C526</f>
        <v>0.14685797365367953</v>
      </c>
    </row>
    <row r="527" spans="1:27" x14ac:dyDescent="0.25">
      <c r="A527" t="str">
        <f>"25/07/2011"</f>
        <v>25/07/2011</v>
      </c>
      <c r="B527" s="3">
        <f>AUD!B527</f>
        <v>1.0826</v>
      </c>
      <c r="C527" s="3">
        <f>AUD!C527</f>
        <v>1.0781000000000001</v>
      </c>
      <c r="D527" s="3">
        <f>1/CAD!B527</f>
        <v>1.0507512871703268</v>
      </c>
      <c r="E527" s="3">
        <f>1/CAD!C527</f>
        <v>1.0499790004199916</v>
      </c>
      <c r="F527" s="3">
        <f>EUR!B527/1</f>
        <v>1.4382999999999999</v>
      </c>
      <c r="G527" s="3">
        <f>EUR!C527/1</f>
        <v>1.4369000000000001</v>
      </c>
      <c r="H527" s="3">
        <f>GBP!B527/1</f>
        <v>1.63</v>
      </c>
      <c r="I527" s="3">
        <f>GBP!C527/1</f>
        <v>1.6294</v>
      </c>
      <c r="J527" s="4">
        <f>1/INR!B527</f>
        <v>2.2519986488008105E-2</v>
      </c>
      <c r="K527" s="4">
        <f>1/INR!C527</f>
        <v>2.2387642021604075E-2</v>
      </c>
      <c r="L527" s="4">
        <f>1/JPY!B527</f>
        <v>1.2757054651222125E-2</v>
      </c>
      <c r="M527" s="4">
        <f>1/JPY!C527</f>
        <v>1.2759219493025171E-2</v>
      </c>
      <c r="N527" s="5">
        <f>1/KRW!B527</f>
        <v>9.4813691096994404E-4</v>
      </c>
      <c r="O527" s="5">
        <f>1/KRW!C527</f>
        <v>9.4811219011545634E-4</v>
      </c>
      <c r="P527" s="3">
        <f>1/NOK!B527</f>
        <v>0.18484288354898337</v>
      </c>
      <c r="Q527" s="3">
        <f>1/NOK!C527</f>
        <v>0.18447801944398326</v>
      </c>
      <c r="R527" s="3">
        <f>NZD!B527/1</f>
        <v>0.86529999999999996</v>
      </c>
      <c r="S527" s="3">
        <f>NZD!C527/1</f>
        <v>0.86339999999999995</v>
      </c>
      <c r="T527" s="4">
        <f>1/PHP!B527</f>
        <v>2.3551577955723033E-2</v>
      </c>
      <c r="U527" s="4">
        <f>1/PHP!C527</f>
        <v>2.3471423541837816E-2</v>
      </c>
      <c r="V527" s="4">
        <f>1/TWD!B527</f>
        <v>3.4664448141985583E-2</v>
      </c>
      <c r="W527" s="4">
        <f>1/TWD!C527</f>
        <v>3.4664448141985583E-2</v>
      </c>
      <c r="X527" s="4">
        <f>1/TWD!B527</f>
        <v>3.4664448141985583E-2</v>
      </c>
      <c r="Y527" s="4">
        <f>1/TWD!C527</f>
        <v>3.4664448141985583E-2</v>
      </c>
      <c r="Z527" s="4">
        <f>1/ZAR!B527</f>
        <v>0.14680407528112982</v>
      </c>
      <c r="AA527" s="4">
        <f>1/ZAR!C527</f>
        <v>0.14641502803847786</v>
      </c>
    </row>
    <row r="528" spans="1:27" x14ac:dyDescent="0.25">
      <c r="A528" t="str">
        <f>"26/07/2011"</f>
        <v>26/07/2011</v>
      </c>
      <c r="B528" s="3">
        <f>AUD!B528</f>
        <v>1.0911999999999999</v>
      </c>
      <c r="C528" s="3">
        <f>AUD!C528</f>
        <v>1.0868</v>
      </c>
      <c r="D528" s="3">
        <f>1/CAD!B528</f>
        <v>1.0592098294672174</v>
      </c>
      <c r="E528" s="3">
        <f>1/CAD!C528</f>
        <v>1.0584250635055039</v>
      </c>
      <c r="F528" s="3">
        <f>EUR!B528/1</f>
        <v>1.4473</v>
      </c>
      <c r="G528" s="3">
        <f>EUR!C528/1</f>
        <v>1.446</v>
      </c>
      <c r="H528" s="3">
        <f>GBP!B528/1</f>
        <v>1.6334</v>
      </c>
      <c r="I528" s="3">
        <f>GBP!C528/1</f>
        <v>1.6327</v>
      </c>
      <c r="J528" s="4">
        <f>1/INR!B528</f>
        <v>2.2552999548940009E-2</v>
      </c>
      <c r="K528" s="4">
        <f>1/INR!C528</f>
        <v>2.2421524663677129E-2</v>
      </c>
      <c r="L528" s="4">
        <f>1/JPY!B528</f>
        <v>1.2810658467845248E-2</v>
      </c>
      <c r="M528" s="4">
        <f>1/JPY!C528</f>
        <v>1.281289079316919E-2</v>
      </c>
      <c r="N528" s="5">
        <f>1/KRW!B528</f>
        <v>9.504799923961601E-4</v>
      </c>
      <c r="O528" s="5">
        <f>1/KRW!C528</f>
        <v>9.5045605257542689E-4</v>
      </c>
      <c r="P528" s="3">
        <f>1/NOK!B528</f>
        <v>0.18606381989022233</v>
      </c>
      <c r="Q528" s="3">
        <f>1/NOK!C528</f>
        <v>0.18567688508457583</v>
      </c>
      <c r="R528" s="3">
        <f>NZD!B528/1</f>
        <v>0.86919999999999997</v>
      </c>
      <c r="S528" s="3">
        <f>NZD!C528/1</f>
        <v>0.86719999999999997</v>
      </c>
      <c r="T528" s="4">
        <f>1/PHP!B528</f>
        <v>2.3640661938534282E-2</v>
      </c>
      <c r="U528" s="4">
        <f>1/PHP!C528</f>
        <v>2.3557126030624261E-2</v>
      </c>
      <c r="V528" s="4">
        <f>1/TWD!B528</f>
        <v>3.4728251432540366E-2</v>
      </c>
      <c r="W528" s="4">
        <f>1/TWD!C528</f>
        <v>3.4728251432540366E-2</v>
      </c>
      <c r="X528" s="4">
        <f>1/TWD!B528</f>
        <v>3.4728251432540366E-2</v>
      </c>
      <c r="Y528" s="4">
        <f>1/TWD!C528</f>
        <v>3.4728251432540366E-2</v>
      </c>
      <c r="Z528" s="4">
        <f>1/ZAR!B528</f>
        <v>0.14861270044137972</v>
      </c>
      <c r="AA528" s="4">
        <f>1/ZAR!C528</f>
        <v>0.1478808671734051</v>
      </c>
    </row>
    <row r="529" spans="1:27" x14ac:dyDescent="0.25">
      <c r="A529" t="str">
        <f>"27/07/2011"</f>
        <v>27/07/2011</v>
      </c>
      <c r="B529" s="3">
        <f>AUD!B529</f>
        <v>1.105</v>
      </c>
      <c r="C529" s="3">
        <f>AUD!C529</f>
        <v>1.1003000000000001</v>
      </c>
      <c r="D529" s="3">
        <f>1/CAD!B529</f>
        <v>1.0598834128245893</v>
      </c>
      <c r="E529" s="3">
        <f>1/CAD!C529</f>
        <v>1.0590976488032195</v>
      </c>
      <c r="F529" s="3">
        <f>EUR!B529/1</f>
        <v>1.4515</v>
      </c>
      <c r="G529" s="3">
        <f>EUR!C529/1</f>
        <v>1.4500999999999999</v>
      </c>
      <c r="H529" s="3">
        <f>GBP!B529/1</f>
        <v>1.6432</v>
      </c>
      <c r="I529" s="3">
        <f>GBP!C529/1</f>
        <v>1.6426000000000001</v>
      </c>
      <c r="J529" s="4">
        <f>1/INR!B529</f>
        <v>2.2753128555176336E-2</v>
      </c>
      <c r="K529" s="4">
        <f>1/INR!C529</f>
        <v>2.2621875353466804E-2</v>
      </c>
      <c r="L529" s="4">
        <f>1/JPY!B529</f>
        <v>1.2848350914160167E-2</v>
      </c>
      <c r="M529" s="4">
        <f>1/JPY!C529</f>
        <v>1.2850728507799109E-2</v>
      </c>
      <c r="N529" s="5">
        <f>1/KRW!B529</f>
        <v>9.5292548122736793E-4</v>
      </c>
      <c r="O529" s="5">
        <f>1/KRW!C529</f>
        <v>9.5290051003999799E-4</v>
      </c>
      <c r="P529" s="3">
        <f>1/NOK!B529</f>
        <v>0.18711524427895143</v>
      </c>
      <c r="Q529" s="3">
        <f>1/NOK!C529</f>
        <v>0.18674485051074718</v>
      </c>
      <c r="R529" s="3">
        <f>NZD!B529/1</f>
        <v>0.874</v>
      </c>
      <c r="S529" s="3">
        <f>NZD!C529/1</f>
        <v>0.872</v>
      </c>
      <c r="T529" s="4">
        <f>1/PHP!B529</f>
        <v>2.3736055067647754E-2</v>
      </c>
      <c r="U529" s="4">
        <f>1/PHP!C529</f>
        <v>2.3660238968413582E-2</v>
      </c>
      <c r="V529" s="4">
        <f>1/TWD!B529</f>
        <v>3.4741523068371319E-2</v>
      </c>
      <c r="W529" s="4">
        <f>1/TWD!C529</f>
        <v>3.4741643766133153E-2</v>
      </c>
      <c r="X529" s="4">
        <f>1/TWD!B529</f>
        <v>3.4741523068371319E-2</v>
      </c>
      <c r="Y529" s="4">
        <f>1/TWD!C529</f>
        <v>3.4741643766133153E-2</v>
      </c>
      <c r="Z529" s="4">
        <f>1/ZAR!B529</f>
        <v>0.1495707319991624</v>
      </c>
      <c r="AA529" s="4">
        <f>1/ZAR!C529</f>
        <v>0.14883831693631208</v>
      </c>
    </row>
    <row r="530" spans="1:27" x14ac:dyDescent="0.25">
      <c r="A530" t="str">
        <f>"28/07/2011"</f>
        <v>28/07/2011</v>
      </c>
      <c r="B530" s="3">
        <f>AUD!B530</f>
        <v>1.1041000000000001</v>
      </c>
      <c r="C530" s="3">
        <f>AUD!C530</f>
        <v>1.0996999999999999</v>
      </c>
      <c r="D530" s="3">
        <f>1/CAD!B530</f>
        <v>1.0536297545042672</v>
      </c>
      <c r="E530" s="3">
        <f>1/CAD!C530</f>
        <v>1.0528532322594231</v>
      </c>
      <c r="F530" s="3">
        <f>EUR!B530/1</f>
        <v>1.4367000000000001</v>
      </c>
      <c r="G530" s="3">
        <f>EUR!C530/1</f>
        <v>1.4356</v>
      </c>
      <c r="H530" s="3">
        <f>GBP!B530/1</f>
        <v>1.6335</v>
      </c>
      <c r="I530" s="3">
        <f>GBP!C530/1</f>
        <v>1.633</v>
      </c>
      <c r="J530" s="4">
        <f>1/INR!B530</f>
        <v>2.2665457842248413E-2</v>
      </c>
      <c r="K530" s="4">
        <f>1/INR!C530</f>
        <v>2.2530134054297626E-2</v>
      </c>
      <c r="L530" s="4">
        <f>1/JPY!B530</f>
        <v>1.2843565373747753E-2</v>
      </c>
      <c r="M530" s="4">
        <f>1/JPY!C530</f>
        <v>1.2846023706052147E-2</v>
      </c>
      <c r="N530" s="5">
        <f>1/KRW!B530</f>
        <v>9.4993825401348906E-4</v>
      </c>
      <c r="O530" s="5">
        <f>1/KRW!C530</f>
        <v>9.4991524381237086E-4</v>
      </c>
      <c r="P530" s="3">
        <f>1/NOK!B530</f>
        <v>0.18487705675725644</v>
      </c>
      <c r="Q530" s="3">
        <f>1/NOK!C530</f>
        <v>0.18451205786298136</v>
      </c>
      <c r="R530" s="3">
        <f>NZD!B530/1</f>
        <v>0.87170000000000003</v>
      </c>
      <c r="S530" s="3">
        <f>NZD!C530/1</f>
        <v>0.86990000000000001</v>
      </c>
      <c r="T530" s="4">
        <f>1/PHP!B530</f>
        <v>2.3685457129322598E-2</v>
      </c>
      <c r="U530" s="4">
        <f>1/PHP!C530</f>
        <v>2.3609963404556726E-2</v>
      </c>
      <c r="V530" s="4">
        <f>1/TWD!B530</f>
        <v>3.4714989932652922E-2</v>
      </c>
      <c r="W530" s="4">
        <f>1/TWD!C530</f>
        <v>3.4715110446123881E-2</v>
      </c>
      <c r="X530" s="4">
        <f>1/TWD!B530</f>
        <v>3.4714989932652922E-2</v>
      </c>
      <c r="Y530" s="4">
        <f>1/TWD!C530</f>
        <v>3.4715110446123881E-2</v>
      </c>
      <c r="Z530" s="4">
        <f>1/ZAR!B530</f>
        <v>0.14977683251954588</v>
      </c>
      <c r="AA530" s="4">
        <f>1/ZAR!C530</f>
        <v>0.14904684542351662</v>
      </c>
    </row>
    <row r="531" spans="1:27" x14ac:dyDescent="0.25">
      <c r="A531" t="str">
        <f>"29/07/2011"</f>
        <v>29/07/2011</v>
      </c>
      <c r="B531" s="3">
        <f>AUD!B531</f>
        <v>1.0979000000000001</v>
      </c>
      <c r="C531" s="3">
        <f>AUD!C531</f>
        <v>1.0931</v>
      </c>
      <c r="D531" s="3">
        <f>1/CAD!B531</f>
        <v>1.0520778537611783</v>
      </c>
      <c r="E531" s="3">
        <f>1/CAD!C531</f>
        <v>1.0513036164844407</v>
      </c>
      <c r="F531" s="3">
        <f>EUR!B531/1</f>
        <v>1.4341999999999999</v>
      </c>
      <c r="G531" s="3">
        <f>EUR!C531/1</f>
        <v>1.4331</v>
      </c>
      <c r="H531" s="3">
        <f>GBP!B531/1</f>
        <v>1.6344000000000001</v>
      </c>
      <c r="I531" s="3">
        <f>GBP!C531/1</f>
        <v>1.6337999999999999</v>
      </c>
      <c r="J531" s="4">
        <f>1/INR!B531</f>
        <v>2.2680880018144702E-2</v>
      </c>
      <c r="K531" s="4">
        <f>1/INR!C531</f>
        <v>2.2551728026160005E-2</v>
      </c>
      <c r="L531" s="4">
        <f>1/JPY!B531</f>
        <v>1.2897068496330783E-2</v>
      </c>
      <c r="M531" s="4">
        <f>1/JPY!C531</f>
        <v>1.2899796957195894E-2</v>
      </c>
      <c r="N531" s="5">
        <f>1/KRW!B531</f>
        <v>9.4993825401348906E-4</v>
      </c>
      <c r="O531" s="5">
        <f>1/KRW!C531</f>
        <v>9.4991524381237086E-4</v>
      </c>
      <c r="P531" s="3">
        <f>1/NOK!B531</f>
        <v>0.18520576360336333</v>
      </c>
      <c r="Q531" s="3">
        <f>1/NOK!C531</f>
        <v>0.18486680346810122</v>
      </c>
      <c r="R531" s="3">
        <f>NZD!B531/1</f>
        <v>0.86670000000000003</v>
      </c>
      <c r="S531" s="3">
        <f>NZD!C531/1</f>
        <v>0.86480000000000001</v>
      </c>
      <c r="T531" s="4">
        <f>1/PHP!B531</f>
        <v>2.3702299123014935E-2</v>
      </c>
      <c r="U531" s="4">
        <f>1/PHP!C531</f>
        <v>2.3635074450484517E-2</v>
      </c>
      <c r="V531" s="4">
        <f>1/TWD!B531</f>
        <v>3.4689700627883582E-2</v>
      </c>
      <c r="W531" s="4">
        <f>1/TWD!C531</f>
        <v>3.4689700627883582E-2</v>
      </c>
      <c r="X531" s="4">
        <f>1/TWD!B531</f>
        <v>3.4689700627883582E-2</v>
      </c>
      <c r="Y531" s="4">
        <f>1/TWD!C531</f>
        <v>3.4689700627883582E-2</v>
      </c>
      <c r="Z531" s="4">
        <f>1/ZAR!B531</f>
        <v>0.14836795252225518</v>
      </c>
      <c r="AA531" s="4">
        <f>1/ZAR!C531</f>
        <v>0.14769739757185479</v>
      </c>
    </row>
    <row r="532" spans="1:27" x14ac:dyDescent="0.25">
      <c r="A532" t="str">
        <f>"01/08/2011"</f>
        <v>01/08/2011</v>
      </c>
      <c r="B532" s="3">
        <f>AUD!B532</f>
        <v>1.1041000000000001</v>
      </c>
      <c r="C532" s="3">
        <f>AUD!C532</f>
        <v>1.0992999999999999</v>
      </c>
      <c r="D532" s="3">
        <f>1/CAD!B532</f>
        <v>1.0501995379122033</v>
      </c>
      <c r="E532" s="3">
        <f>1/CAD!C532</f>
        <v>1.0495382031905962</v>
      </c>
      <c r="F532" s="3">
        <f>EUR!B532/1</f>
        <v>1.4393</v>
      </c>
      <c r="G532" s="3">
        <f>EUR!C532/1</f>
        <v>1.4380999999999999</v>
      </c>
      <c r="H532" s="3">
        <f>GBP!B532/1</f>
        <v>1.645</v>
      </c>
      <c r="I532" s="3">
        <f>GBP!C532/1</f>
        <v>1.6444000000000001</v>
      </c>
      <c r="J532" s="4">
        <f>1/INR!B532</f>
        <v>2.2680880018144702E-2</v>
      </c>
      <c r="K532" s="4">
        <f>1/INR!C532</f>
        <v>2.2540290769750927E-2</v>
      </c>
      <c r="L532" s="4">
        <f>1/JPY!B532</f>
        <v>1.290955565309442E-2</v>
      </c>
      <c r="M532" s="4">
        <f>1/JPY!C532</f>
        <v>1.2912489476321077E-2</v>
      </c>
      <c r="N532" s="5">
        <f>1/KRW!B532</f>
        <v>9.5292548122736793E-4</v>
      </c>
      <c r="O532" s="5">
        <f>1/KRW!C532</f>
        <v>9.5290005603052323E-4</v>
      </c>
      <c r="P532" s="3">
        <f>1/NOK!B532</f>
        <v>0.18608113137327875</v>
      </c>
      <c r="Q532" s="3">
        <f>1/NOK!C532</f>
        <v>0.18573551263001484</v>
      </c>
      <c r="R532" s="3">
        <f>NZD!B532/1</f>
        <v>0.88180000000000003</v>
      </c>
      <c r="S532" s="3">
        <f>NZD!C532/1</f>
        <v>0.88</v>
      </c>
      <c r="T532" s="4">
        <f>1/PHP!B532</f>
        <v>2.3843586075345733E-2</v>
      </c>
      <c r="U532" s="4">
        <f>1/PHP!C532</f>
        <v>2.376538808878749E-2</v>
      </c>
      <c r="V532" s="4">
        <f>1/TWD!B532</f>
        <v>3.4713784843961537E-2</v>
      </c>
      <c r="W532" s="4">
        <f>1/TWD!C532</f>
        <v>3.4713784843961537E-2</v>
      </c>
      <c r="X532" s="4">
        <f>1/TWD!B532</f>
        <v>3.4713784843961537E-2</v>
      </c>
      <c r="Y532" s="4">
        <f>1/TWD!C532</f>
        <v>3.4713784843961537E-2</v>
      </c>
      <c r="Z532" s="4">
        <f>1/ZAR!B532</f>
        <v>0.14992503748125938</v>
      </c>
      <c r="AA532" s="4">
        <f>1/ZAR!C532</f>
        <v>0.14922255051183336</v>
      </c>
    </row>
    <row r="533" spans="1:27" x14ac:dyDescent="0.25">
      <c r="A533" t="str">
        <f>"02/08/2011"</f>
        <v>02/08/2011</v>
      </c>
      <c r="B533" s="3">
        <f>AUD!B533</f>
        <v>1.0974999999999999</v>
      </c>
      <c r="C533" s="3">
        <f>AUD!C533</f>
        <v>1.0929</v>
      </c>
      <c r="D533" s="3">
        <f>1/CAD!B533</f>
        <v>1.045915699194645</v>
      </c>
      <c r="E533" s="3">
        <f>1/CAD!C533</f>
        <v>1.0451505016722409</v>
      </c>
      <c r="F533" s="3">
        <f>EUR!B533/1</f>
        <v>1.4255</v>
      </c>
      <c r="G533" s="3">
        <f>EUR!C533/1</f>
        <v>1.4245000000000001</v>
      </c>
      <c r="H533" s="3">
        <f>GBP!B533/1</f>
        <v>1.6316999999999999</v>
      </c>
      <c r="I533" s="3">
        <f>GBP!C533/1</f>
        <v>1.6311</v>
      </c>
      <c r="J533" s="4">
        <f>1/INR!B533</f>
        <v>2.2609088853719195E-2</v>
      </c>
      <c r="K533" s="4">
        <f>1/INR!C533</f>
        <v>2.2492127755285651E-2</v>
      </c>
      <c r="L533" s="4">
        <f>1/JPY!B533</f>
        <v>1.2916225362300122E-2</v>
      </c>
      <c r="M533" s="4">
        <f>1/JPY!C533</f>
        <v>1.2920046873930058E-2</v>
      </c>
      <c r="N533" s="5">
        <f>1/KRW!B533</f>
        <v>9.5084149472282966E-4</v>
      </c>
      <c r="O533" s="5">
        <f>1/KRW!C533</f>
        <v>9.5079719590890983E-4</v>
      </c>
      <c r="P533" s="3">
        <f>1/NOK!B533</f>
        <v>0.18603958922458697</v>
      </c>
      <c r="Q533" s="3">
        <f>1/NOK!C533</f>
        <v>0.18565275508688547</v>
      </c>
      <c r="R533" s="3">
        <f>NZD!B533/1</f>
        <v>0.87450000000000006</v>
      </c>
      <c r="S533" s="3">
        <f>NZD!C533/1</f>
        <v>0.87260000000000004</v>
      </c>
      <c r="T533" s="4">
        <f>1/PHP!B533</f>
        <v>2.3758612497030172E-2</v>
      </c>
      <c r="U533" s="4">
        <f>1/PHP!C533</f>
        <v>2.3710729104919979E-2</v>
      </c>
      <c r="V533" s="4">
        <f>1/TWD!B533</f>
        <v>3.4662045060658578E-2</v>
      </c>
      <c r="W533" s="4">
        <f>1/TWD!C533</f>
        <v>3.4662045060658578E-2</v>
      </c>
      <c r="X533" s="4">
        <f>1/TWD!B533</f>
        <v>3.4662045060658578E-2</v>
      </c>
      <c r="Y533" s="4">
        <f>1/TWD!C533</f>
        <v>3.4662045060658578E-2</v>
      </c>
      <c r="Z533" s="4">
        <f>1/ZAR!B533</f>
        <v>0.14862153526045924</v>
      </c>
      <c r="AA533" s="4">
        <f>1/ZAR!C533</f>
        <v>0.14786556063227313</v>
      </c>
    </row>
    <row r="534" spans="1:27" x14ac:dyDescent="0.25">
      <c r="A534" t="str">
        <f>"03/08/2011"</f>
        <v>03/08/2011</v>
      </c>
      <c r="B534" s="3">
        <f>AUD!B534</f>
        <v>1.075</v>
      </c>
      <c r="C534" s="3">
        <f>AUD!C534</f>
        <v>1.0708</v>
      </c>
      <c r="D534" s="3">
        <f>1/CAD!B534</f>
        <v>1.0410160316468873</v>
      </c>
      <c r="E534" s="3">
        <f>1/CAD!C534</f>
        <v>1.0403662089055348</v>
      </c>
      <c r="F534" s="3">
        <f>EUR!B534/1</f>
        <v>1.4208000000000001</v>
      </c>
      <c r="G534" s="3">
        <f>EUR!C534/1</f>
        <v>1.4200999999999999</v>
      </c>
      <c r="H534" s="3">
        <f>GBP!B534/1</f>
        <v>1.6282000000000001</v>
      </c>
      <c r="I534" s="3">
        <f>GBP!C534/1</f>
        <v>1.6276999999999999</v>
      </c>
      <c r="J534" s="4">
        <f>1/INR!B534</f>
        <v>2.2555543024698321E-2</v>
      </c>
      <c r="K534" s="4">
        <f>1/INR!C534</f>
        <v>2.244165170556553E-2</v>
      </c>
      <c r="L534" s="4">
        <f>1/JPY!B534</f>
        <v>1.2939958592132504E-2</v>
      </c>
      <c r="M534" s="4">
        <f>1/JPY!C534</f>
        <v>1.2944581657010009E-2</v>
      </c>
      <c r="N534" s="5">
        <f>1/KRW!B534</f>
        <v>9.4482237339380188E-4</v>
      </c>
      <c r="O534" s="5">
        <f>1/KRW!C534</f>
        <v>9.447813114698342E-4</v>
      </c>
      <c r="P534" s="3">
        <f>1/NOK!B534</f>
        <v>0.18459720889020156</v>
      </c>
      <c r="Q534" s="3">
        <f>1/NOK!C534</f>
        <v>0.18422991893883567</v>
      </c>
      <c r="R534" s="3">
        <f>NZD!B534/1</f>
        <v>0.8629</v>
      </c>
      <c r="S534" s="3">
        <f>NZD!C534/1</f>
        <v>0.86099999999999999</v>
      </c>
      <c r="T534" s="4">
        <f>1/PHP!B534</f>
        <v>2.3629489603024575E-2</v>
      </c>
      <c r="U534" s="4">
        <f>1/PHP!C534</f>
        <v>2.3573785950023574E-2</v>
      </c>
      <c r="V534" s="4">
        <f>1/TWD!B534</f>
        <v>3.4592500345925002E-2</v>
      </c>
      <c r="W534" s="4">
        <f>1/TWD!C534</f>
        <v>3.4592500345925002E-2</v>
      </c>
      <c r="X534" s="4">
        <f>1/TWD!B534</f>
        <v>3.4592500345925002E-2</v>
      </c>
      <c r="Y534" s="4">
        <f>1/TWD!C534</f>
        <v>3.4592500345925002E-2</v>
      </c>
      <c r="Z534" s="4">
        <f>1/ZAR!B534</f>
        <v>0.14747522416234071</v>
      </c>
      <c r="AA534" s="4">
        <f>1/ZAR!C534</f>
        <v>0.1467631389700163</v>
      </c>
    </row>
    <row r="535" spans="1:27" x14ac:dyDescent="0.25">
      <c r="A535" t="str">
        <f>"04/08/2011"</f>
        <v>04/08/2011</v>
      </c>
      <c r="B535" s="3">
        <f>AUD!B535</f>
        <v>1.0694999999999999</v>
      </c>
      <c r="C535" s="3">
        <f>AUD!C535</f>
        <v>1.0653999999999999</v>
      </c>
      <c r="D535" s="3">
        <f>1/CAD!B535</f>
        <v>1.0372368011617052</v>
      </c>
      <c r="E535" s="3">
        <f>1/CAD!C535</f>
        <v>1.036591686534674</v>
      </c>
      <c r="F535" s="3">
        <f>EUR!B535/1</f>
        <v>1.4296</v>
      </c>
      <c r="G535" s="3">
        <f>EUR!C535/1</f>
        <v>1.4287000000000001</v>
      </c>
      <c r="H535" s="3">
        <f>GBP!B535/1</f>
        <v>1.6377999999999999</v>
      </c>
      <c r="I535" s="3">
        <f>GBP!C535/1</f>
        <v>1.6374</v>
      </c>
      <c r="J535" s="4">
        <f>1/INR!B535</f>
        <v>2.2535211267605635E-2</v>
      </c>
      <c r="K535" s="4">
        <f>1/INR!C535</f>
        <v>2.2417754861850585E-2</v>
      </c>
      <c r="L535" s="4">
        <f>1/JPY!B535</f>
        <v>1.2644782762632138E-2</v>
      </c>
      <c r="M535" s="4">
        <f>1/JPY!C535</f>
        <v>1.2648845286913757E-2</v>
      </c>
      <c r="N535" s="5">
        <f>1/KRW!B535</f>
        <v>9.4366330093422662E-4</v>
      </c>
      <c r="O535" s="5">
        <f>1/KRW!C535</f>
        <v>9.436223396927187E-4</v>
      </c>
      <c r="P535" s="3">
        <f>1/NOK!B535</f>
        <v>0.18611922797744238</v>
      </c>
      <c r="Q535" s="3">
        <f>1/NOK!C535</f>
        <v>0.18576311487591021</v>
      </c>
      <c r="R535" s="3">
        <f>NZD!B535/1</f>
        <v>0.85329999999999995</v>
      </c>
      <c r="S535" s="3">
        <f>NZD!C535/1</f>
        <v>0.85160000000000002</v>
      </c>
      <c r="T535" s="4">
        <f>1/PHP!B535</f>
        <v>2.3635074450484517E-2</v>
      </c>
      <c r="U535" s="4">
        <f>1/PHP!C535</f>
        <v>2.3579344494223064E-2</v>
      </c>
      <c r="V535" s="4">
        <f>1/TWD!B535</f>
        <v>3.4605668408485314E-2</v>
      </c>
      <c r="W535" s="4">
        <f>1/TWD!C535</f>
        <v>3.4605668408485314E-2</v>
      </c>
      <c r="X535" s="4">
        <f>1/TWD!B535</f>
        <v>3.4605668408485314E-2</v>
      </c>
      <c r="Y535" s="4">
        <f>1/TWD!C535</f>
        <v>3.4605668408485314E-2</v>
      </c>
      <c r="Z535" s="4">
        <f>1/ZAR!B535</f>
        <v>0.1472168651640732</v>
      </c>
      <c r="AA535" s="4">
        <f>1/ZAR!C535</f>
        <v>0.14653732305618242</v>
      </c>
    </row>
    <row r="536" spans="1:27" x14ac:dyDescent="0.25">
      <c r="A536" t="str">
        <f>"09/08/2011"</f>
        <v>09/08/2011</v>
      </c>
      <c r="B536" s="3">
        <f>AUD!B536</f>
        <v>1.0066999999999999</v>
      </c>
      <c r="C536" s="3">
        <f>AUD!C536</f>
        <v>1.0025999999999999</v>
      </c>
      <c r="D536" s="3">
        <f>1/CAD!B536</f>
        <v>1.0034115994380894</v>
      </c>
      <c r="E536" s="3">
        <f>1/CAD!C536</f>
        <v>1.002707309736288</v>
      </c>
      <c r="F536" s="3">
        <f>EUR!B536/1</f>
        <v>1.4222999999999999</v>
      </c>
      <c r="G536" s="3">
        <f>EUR!C536/1</f>
        <v>1.4218</v>
      </c>
      <c r="H536" s="3">
        <f>GBP!B536/1</f>
        <v>1.6332</v>
      </c>
      <c r="I536" s="3">
        <f>GBP!C536/1</f>
        <v>1.6327</v>
      </c>
      <c r="J536" s="4">
        <f>1/INR!B536</f>
        <v>2.2075055187637971E-2</v>
      </c>
      <c r="K536" s="4">
        <f>1/INR!C536</f>
        <v>2.1976814460743916E-2</v>
      </c>
      <c r="L536" s="4">
        <f>1/JPY!B536</f>
        <v>1.2952528981283596E-2</v>
      </c>
      <c r="M536" s="4">
        <f>1/JPY!C536</f>
        <v>1.2964720402839792E-2</v>
      </c>
      <c r="N536" s="5">
        <f>1/KRW!B536</f>
        <v>9.1524803221673082E-4</v>
      </c>
      <c r="O536" s="5">
        <f>1/KRW!C536</f>
        <v>9.152279283632796E-4</v>
      </c>
      <c r="P536" s="3">
        <f>1/NOK!B536</f>
        <v>0.18272182429469375</v>
      </c>
      <c r="Q536" s="3">
        <f>1/NOK!C536</f>
        <v>0.18238190771475471</v>
      </c>
      <c r="R536" s="3">
        <f>NZD!B536/1</f>
        <v>0.81279999999999997</v>
      </c>
      <c r="S536" s="3">
        <f>NZD!C536/1</f>
        <v>0.81100000000000005</v>
      </c>
      <c r="T536" s="4">
        <f>1/PHP!B536</f>
        <v>2.3430178069353328E-2</v>
      </c>
      <c r="U536" s="4">
        <f>1/PHP!C536</f>
        <v>2.337540906965872E-2</v>
      </c>
      <c r="V536" s="4">
        <f>1/TWD!B536</f>
        <v>3.441274648129667E-2</v>
      </c>
      <c r="W536" s="4">
        <f>1/TWD!C536</f>
        <v>3.4412864905416236E-2</v>
      </c>
      <c r="X536" s="4">
        <f>1/TWD!B536</f>
        <v>3.441274648129667E-2</v>
      </c>
      <c r="Y536" s="4">
        <f>1/TWD!C536</f>
        <v>3.4412864905416236E-2</v>
      </c>
      <c r="Z536" s="4">
        <f>1/ZAR!B536</f>
        <v>0.13604701784936876</v>
      </c>
      <c r="AA536" s="4">
        <f>1/ZAR!C536</f>
        <v>0.13542245033381634</v>
      </c>
    </row>
    <row r="537" spans="1:27" x14ac:dyDescent="0.25">
      <c r="A537" t="str">
        <f>"10/08/2011"</f>
        <v>10/08/2011</v>
      </c>
      <c r="B537" s="3">
        <f>AUD!B537</f>
        <v>1.0326</v>
      </c>
      <c r="C537" s="3">
        <f>AUD!C537</f>
        <v>1.0284</v>
      </c>
      <c r="D537" s="3">
        <f>1/CAD!B537</f>
        <v>1.0176045588684237</v>
      </c>
      <c r="E537" s="3">
        <f>1/CAD!C537</f>
        <v>1.016880211511084</v>
      </c>
      <c r="F537" s="3">
        <f>EUR!B537/1</f>
        <v>1.4343999999999999</v>
      </c>
      <c r="G537" s="3">
        <f>EUR!C537/1</f>
        <v>1.4339</v>
      </c>
      <c r="H537" s="3">
        <f>GBP!B537/1</f>
        <v>1.6274999999999999</v>
      </c>
      <c r="I537" s="3">
        <f>GBP!C537/1</f>
        <v>1.627</v>
      </c>
      <c r="J537" s="4">
        <f>1/INR!B537</f>
        <v>2.2217285047767165E-2</v>
      </c>
      <c r="K537" s="4">
        <f>1/INR!C537</f>
        <v>2.2138587558113793E-2</v>
      </c>
      <c r="L537" s="4">
        <f>1/JPY!B537</f>
        <v>1.3000351009477254E-2</v>
      </c>
      <c r="M537" s="4">
        <f>1/JPY!C537</f>
        <v>1.3007436351362076E-2</v>
      </c>
      <c r="N537" s="5">
        <f>1/KRW!B537</f>
        <v>9.2421441774491681E-4</v>
      </c>
      <c r="O537" s="5">
        <f>1/KRW!C537</f>
        <v>9.2419349099766225E-4</v>
      </c>
      <c r="P537" s="3">
        <f>1/NOK!B537</f>
        <v>0.1830764160960785</v>
      </c>
      <c r="Q537" s="3">
        <f>1/NOK!C537</f>
        <v>0.18276523805172257</v>
      </c>
      <c r="R537" s="3">
        <f>NZD!B537/1</f>
        <v>0.83179999999999998</v>
      </c>
      <c r="S537" s="3">
        <f>NZD!C537/1</f>
        <v>0.82989999999999997</v>
      </c>
      <c r="T537" s="4">
        <f>1/PHP!B537</f>
        <v>2.3534949399858788E-2</v>
      </c>
      <c r="U537" s="4">
        <f>1/PHP!C537</f>
        <v>2.3490721165139769E-2</v>
      </c>
      <c r="V537" s="4">
        <f>1/TWD!B537</f>
        <v>3.4514893176405617E-2</v>
      </c>
      <c r="W537" s="4">
        <f>1/TWD!C537</f>
        <v>3.4514893176405617E-2</v>
      </c>
      <c r="X537" s="4">
        <f>1/TWD!B537</f>
        <v>3.4514893176405617E-2</v>
      </c>
      <c r="Y537" s="4">
        <f>1/TWD!C537</f>
        <v>3.4514893176405617E-2</v>
      </c>
      <c r="Z537" s="4">
        <f>1/ZAR!B537</f>
        <v>0.14027606329255976</v>
      </c>
      <c r="AA537" s="4">
        <f>1/ZAR!C537</f>
        <v>0.13960436124024514</v>
      </c>
    </row>
    <row r="538" spans="1:27" x14ac:dyDescent="0.25">
      <c r="A538" t="str">
        <f>"11/08/2011"</f>
        <v>11/08/2011</v>
      </c>
      <c r="B538" s="3">
        <f>AUD!B538</f>
        <v>1.0235000000000001</v>
      </c>
      <c r="C538" s="3">
        <f>AUD!C538</f>
        <v>1.0194000000000001</v>
      </c>
      <c r="D538" s="3">
        <f>1/CAD!B538</f>
        <v>1.0091835704914724</v>
      </c>
      <c r="E538" s="3">
        <f>1/CAD!C538</f>
        <v>1.008471157724889</v>
      </c>
      <c r="F538" s="3">
        <f>EUR!B538/1</f>
        <v>1.4218</v>
      </c>
      <c r="G538" s="3">
        <f>EUR!C538/1</f>
        <v>1.4212</v>
      </c>
      <c r="H538" s="3">
        <f>GBP!B538/1</f>
        <v>1.6172</v>
      </c>
      <c r="I538" s="3">
        <f>GBP!C538/1</f>
        <v>1.6168</v>
      </c>
      <c r="J538" s="4">
        <f>1/INR!B538</f>
        <v>2.2007042253521129E-2</v>
      </c>
      <c r="K538" s="4">
        <f>1/INR!C538</f>
        <v>2.1996150673632114E-2</v>
      </c>
      <c r="L538" s="4">
        <f>1/JPY!B538</f>
        <v>1.3053126223730584E-2</v>
      </c>
      <c r="M538" s="4">
        <f>1/JPY!C538</f>
        <v>1.3060405682321304E-2</v>
      </c>
      <c r="N538" s="5">
        <f>1/KRW!B538</f>
        <v>9.225092250922509E-4</v>
      </c>
      <c r="O538" s="5">
        <f>1/KRW!C538</f>
        <v>9.2247348349971687E-4</v>
      </c>
      <c r="P538" s="3">
        <f>1/NOK!B538</f>
        <v>0.18071091674648065</v>
      </c>
      <c r="Q538" s="3">
        <f>1/NOK!C538</f>
        <v>0.18040446681459832</v>
      </c>
      <c r="R538" s="3">
        <f>NZD!B538/1</f>
        <v>0.81840000000000002</v>
      </c>
      <c r="S538" s="3">
        <f>NZD!C538/1</f>
        <v>0.81659999999999999</v>
      </c>
      <c r="T538" s="4">
        <f>1/PHP!B538</f>
        <v>2.3523876734885912E-2</v>
      </c>
      <c r="U538" s="4">
        <f>1/PHP!C538</f>
        <v>2.3501762632197415E-2</v>
      </c>
      <c r="V538" s="4">
        <f>1/TWD!B538</f>
        <v>3.4486326171672931E-2</v>
      </c>
      <c r="W538" s="4">
        <f>1/TWD!C538</f>
        <v>3.4486564034652098E-2</v>
      </c>
      <c r="X538" s="4">
        <f>1/TWD!B538</f>
        <v>3.4486326171672931E-2</v>
      </c>
      <c r="Y538" s="4">
        <f>1/TWD!C538</f>
        <v>3.4486564034652098E-2</v>
      </c>
      <c r="Z538" s="4">
        <f>1/ZAR!B538</f>
        <v>0.13815780384355009</v>
      </c>
      <c r="AA538" s="4">
        <f>1/ZAR!C538</f>
        <v>0.13752509833044532</v>
      </c>
    </row>
    <row r="539" spans="1:27" x14ac:dyDescent="0.25">
      <c r="A539" t="str">
        <f>"12/08/2011"</f>
        <v>12/08/2011</v>
      </c>
      <c r="B539" s="3">
        <f>AUD!B539</f>
        <v>1.0283</v>
      </c>
      <c r="C539" s="3">
        <f>AUD!C539</f>
        <v>1.0242</v>
      </c>
      <c r="D539" s="3">
        <f>1/CAD!B539</f>
        <v>1.0126582278481011</v>
      </c>
      <c r="E539" s="3">
        <f>1/CAD!C539</f>
        <v>1.0119409026512851</v>
      </c>
      <c r="F539" s="3">
        <f>EUR!B539/1</f>
        <v>1.4184000000000001</v>
      </c>
      <c r="G539" s="3">
        <f>EUR!C539/1</f>
        <v>1.4178999999999999</v>
      </c>
      <c r="H539" s="3">
        <f>GBP!B539/1</f>
        <v>1.6202000000000001</v>
      </c>
      <c r="I539" s="3">
        <f>GBP!C539/1</f>
        <v>1.6196999999999999</v>
      </c>
      <c r="J539" s="4">
        <f>1/INR!B539</f>
        <v>2.2060445621001547E-2</v>
      </c>
      <c r="K539" s="4">
        <f>1/INR!C539</f>
        <v>2.2024006166721725E-2</v>
      </c>
      <c r="L539" s="4">
        <f>1/JPY!B539</f>
        <v>1.3016087884625396E-2</v>
      </c>
      <c r="M539" s="4">
        <f>1/JPY!C539</f>
        <v>1.3022054150909981E-2</v>
      </c>
      <c r="N539" s="5">
        <f>1/KRW!B539</f>
        <v>9.2506938020351531E-4</v>
      </c>
      <c r="O539" s="5">
        <f>1/KRW!C539</f>
        <v>9.2503386780248484E-4</v>
      </c>
      <c r="P539" s="3">
        <f>1/NOK!B539</f>
        <v>0.18012176231132246</v>
      </c>
      <c r="Q539" s="3">
        <f>1/NOK!C539</f>
        <v>0.17982053910197623</v>
      </c>
      <c r="R539" s="3">
        <f>NZD!B539/1</f>
        <v>0.82250000000000001</v>
      </c>
      <c r="S539" s="3">
        <f>NZD!C539/1</f>
        <v>0.82069999999999999</v>
      </c>
      <c r="T539" s="4">
        <f>1/PHP!B539</f>
        <v>2.3468669326449192E-2</v>
      </c>
      <c r="U539" s="4">
        <f>1/PHP!C539</f>
        <v>2.345490793948634E-2</v>
      </c>
      <c r="V539" s="4">
        <f>1/TWD!B539</f>
        <v>3.4508937814894058E-2</v>
      </c>
      <c r="W539" s="4">
        <f>1/TWD!C539</f>
        <v>3.4509056901983921E-2</v>
      </c>
      <c r="X539" s="4">
        <f>1/TWD!B539</f>
        <v>3.4508937814894058E-2</v>
      </c>
      <c r="Y539" s="4">
        <f>1/TWD!C539</f>
        <v>3.4509056901983921E-2</v>
      </c>
      <c r="Z539" s="4">
        <f>1/ZAR!B539</f>
        <v>0.13895450629463912</v>
      </c>
      <c r="AA539" s="4">
        <f>1/ZAR!C539</f>
        <v>0.1383049347200708</v>
      </c>
    </row>
    <row r="540" spans="1:27" x14ac:dyDescent="0.25">
      <c r="A540" t="str">
        <f>"16/08/2011"</f>
        <v>16/08/2011</v>
      </c>
      <c r="B540" s="3">
        <f>AUD!B540</f>
        <v>1.0475000000000001</v>
      </c>
      <c r="C540" s="3">
        <f>AUD!C540</f>
        <v>1.0431999999999999</v>
      </c>
      <c r="D540" s="3">
        <f>1/CAD!B540</f>
        <v>1.0198878123406425</v>
      </c>
      <c r="E540" s="3">
        <f>1/CAD!C540</f>
        <v>1.0190563538163662</v>
      </c>
      <c r="F540" s="3">
        <f>EUR!B540/1</f>
        <v>1.4427000000000001</v>
      </c>
      <c r="G540" s="3">
        <f>EUR!C540/1</f>
        <v>1.4419999999999999</v>
      </c>
      <c r="H540" s="3">
        <f>GBP!B540/1</f>
        <v>1.637</v>
      </c>
      <c r="I540" s="3">
        <f>GBP!C540/1</f>
        <v>1.6364000000000001</v>
      </c>
      <c r="J540" s="4">
        <f>1/INR!B540</f>
        <v>2.2114108801415303E-2</v>
      </c>
      <c r="K540" s="4">
        <f>1/INR!C540</f>
        <v>2.2055580061755623E-2</v>
      </c>
      <c r="L540" s="4">
        <f>1/JPY!B540</f>
        <v>1.3013547102533737E-2</v>
      </c>
      <c r="M540" s="4">
        <f>1/JPY!C540</f>
        <v>1.3017341702616226E-2</v>
      </c>
      <c r="N540" s="5">
        <f>1/KRW!B540</f>
        <v>9.3440478415249479E-4</v>
      </c>
      <c r="O540" s="5">
        <f>1/KRW!C540</f>
        <v>9.3436942444244993E-4</v>
      </c>
      <c r="P540" s="3">
        <f>1/NOK!B540</f>
        <v>0.18384380630216568</v>
      </c>
      <c r="Q540" s="3">
        <f>1/NOK!C540</f>
        <v>0.18349970640046975</v>
      </c>
      <c r="R540" s="3">
        <f>NZD!B540/1</f>
        <v>0.83199999999999996</v>
      </c>
      <c r="S540" s="3">
        <f>NZD!C540/1</f>
        <v>0.83009999999999995</v>
      </c>
      <c r="T540" s="4">
        <f>1/PHP!B540</f>
        <v>2.3612750885478158E-2</v>
      </c>
      <c r="U540" s="4">
        <f>1/PHP!C540</f>
        <v>2.3576564894494872E-2</v>
      </c>
      <c r="V540" s="4">
        <f>1/TWD!B540</f>
        <v>3.4628436872359579E-2</v>
      </c>
      <c r="W540" s="4">
        <f>1/TWD!C540</f>
        <v>3.4628556785638843E-2</v>
      </c>
      <c r="X540" s="4">
        <f>1/TWD!B540</f>
        <v>3.4628436872359579E-2</v>
      </c>
      <c r="Y540" s="4">
        <f>1/TWD!C540</f>
        <v>3.4628556785638843E-2</v>
      </c>
      <c r="Z540" s="4">
        <f>1/ZAR!B540</f>
        <v>0.14094432699083861</v>
      </c>
      <c r="AA540" s="4">
        <f>1/ZAR!C540</f>
        <v>0.14027016032879325</v>
      </c>
    </row>
    <row r="541" spans="1:27" x14ac:dyDescent="0.25">
      <c r="A541" t="str">
        <f>"17/08/2011"</f>
        <v>17/08/2011</v>
      </c>
      <c r="B541" s="3">
        <f>AUD!B541</f>
        <v>1.048</v>
      </c>
      <c r="C541" s="3">
        <f>AUD!C541</f>
        <v>1.0439000000000001</v>
      </c>
      <c r="D541" s="3">
        <f>1/CAD!B541</f>
        <v>1.0177081213108081</v>
      </c>
      <c r="E541" s="3">
        <f>1/CAD!C541</f>
        <v>1.0169836265636123</v>
      </c>
      <c r="F541" s="3">
        <f>EUR!B541/1</f>
        <v>1.4399</v>
      </c>
      <c r="G541" s="3">
        <f>EUR!C541/1</f>
        <v>1.4393</v>
      </c>
      <c r="H541" s="3">
        <f>GBP!B541/1</f>
        <v>1.643</v>
      </c>
      <c r="I541" s="3">
        <f>GBP!C541/1</f>
        <v>1.6424000000000001</v>
      </c>
      <c r="J541" s="4">
        <f>1/INR!B541</f>
        <v>2.203128442388191E-2</v>
      </c>
      <c r="K541" s="4">
        <f>1/INR!C541</f>
        <v>2.1975607076145477E-2</v>
      </c>
      <c r="L541" s="4">
        <f>1/JPY!B541</f>
        <v>1.3038149625805106E-2</v>
      </c>
      <c r="M541" s="4">
        <f>1/JPY!C541</f>
        <v>1.3041822516445738E-2</v>
      </c>
      <c r="N541" s="5">
        <f>1/KRW!B541</f>
        <v>9.3327111525898275E-4</v>
      </c>
      <c r="O541" s="5">
        <f>1/KRW!C541</f>
        <v>9.3323453490390493E-4</v>
      </c>
      <c r="P541" s="3">
        <f>1/NOK!B541</f>
        <v>0.18374921906581898</v>
      </c>
      <c r="Q541" s="3">
        <f>1/NOK!C541</f>
        <v>0.18340547281930894</v>
      </c>
      <c r="R541" s="3">
        <f>NZD!B541/1</f>
        <v>0.83360000000000001</v>
      </c>
      <c r="S541" s="3">
        <f>NZD!C541/1</f>
        <v>0.83169999999999999</v>
      </c>
      <c r="T541" s="4">
        <f>1/PHP!B541</f>
        <v>2.3551577955723033E-2</v>
      </c>
      <c r="U541" s="4">
        <f>1/PHP!C541</f>
        <v>2.350452462098954E-2</v>
      </c>
      <c r="V541" s="4">
        <f>1/TWD!B541</f>
        <v>3.4543507547756397E-2</v>
      </c>
      <c r="W541" s="4">
        <f>1/TWD!C541</f>
        <v>3.4543626873559961E-2</v>
      </c>
      <c r="X541" s="4">
        <f>1/TWD!B541</f>
        <v>3.4543507547756397E-2</v>
      </c>
      <c r="Y541" s="4">
        <f>1/TWD!C541</f>
        <v>3.4543626873559961E-2</v>
      </c>
      <c r="Z541" s="4">
        <f>1/ZAR!B541</f>
        <v>0.13986013986013984</v>
      </c>
      <c r="AA541" s="4">
        <f>1/ZAR!C541</f>
        <v>0.13919434314189472</v>
      </c>
    </row>
    <row r="542" spans="1:27" x14ac:dyDescent="0.25">
      <c r="A542" t="str">
        <f>"18/08/2011"</f>
        <v>18/08/2011</v>
      </c>
      <c r="B542" s="3">
        <f>AUD!B542</f>
        <v>1.0482</v>
      </c>
      <c r="C542" s="3">
        <f>AUD!C542</f>
        <v>1.044</v>
      </c>
      <c r="D542" s="3">
        <f>1/CAD!B542</f>
        <v>1.0177081213108081</v>
      </c>
      <c r="E542" s="3">
        <f>1/CAD!C542</f>
        <v>1.0169836265636123</v>
      </c>
      <c r="F542" s="3">
        <f>EUR!B542/1</f>
        <v>1.4388000000000001</v>
      </c>
      <c r="G542" s="3">
        <f>EUR!C542/1</f>
        <v>1.4381999999999999</v>
      </c>
      <c r="H542" s="3">
        <f>GBP!B542/1</f>
        <v>1.6512</v>
      </c>
      <c r="I542" s="3">
        <f>GBP!C542/1</f>
        <v>1.6507000000000001</v>
      </c>
      <c r="J542" s="4">
        <f>1/INR!B542</f>
        <v>2.1903405979629833E-2</v>
      </c>
      <c r="K542" s="4">
        <f>1/INR!C542</f>
        <v>2.1878247552371055E-2</v>
      </c>
      <c r="L542" s="4">
        <f>1/JPY!B542</f>
        <v>1.304750596923398E-2</v>
      </c>
      <c r="M542" s="4">
        <f>1/JPY!C542</f>
        <v>1.3052257322642665E-2</v>
      </c>
      <c r="N542" s="5">
        <f>1/KRW!B542</f>
        <v>9.3101201005492981E-4</v>
      </c>
      <c r="O542" s="5">
        <f>1/KRW!C542</f>
        <v>9.3097517321956826E-4</v>
      </c>
      <c r="P542" s="3">
        <f>1/NOK!B542</f>
        <v>0.18513375914097935</v>
      </c>
      <c r="Q542" s="3">
        <f>1/NOK!C542</f>
        <v>0.18481555407703112</v>
      </c>
      <c r="R542" s="3">
        <f>NZD!B542/1</f>
        <v>0.83240000000000003</v>
      </c>
      <c r="S542" s="3">
        <f>NZD!C542/1</f>
        <v>0.83050000000000002</v>
      </c>
      <c r="T542" s="4">
        <f>1/PHP!B542</f>
        <v>2.3529411764705882E-2</v>
      </c>
      <c r="U542" s="4">
        <f>1/PHP!C542</f>
        <v>2.3490721165139769E-2</v>
      </c>
      <c r="V542" s="4">
        <f>1/TWD!B542</f>
        <v>3.4524426031417227E-2</v>
      </c>
      <c r="W542" s="4">
        <f>1/TWD!C542</f>
        <v>3.452454522542802E-2</v>
      </c>
      <c r="X542" s="4">
        <f>1/TWD!B542</f>
        <v>3.4524426031417227E-2</v>
      </c>
      <c r="Y542" s="4">
        <f>1/TWD!C542</f>
        <v>3.452454522542802E-2</v>
      </c>
      <c r="Z542" s="4">
        <f>1/ZAR!B542</f>
        <v>0.14077963763321275</v>
      </c>
      <c r="AA542" s="4">
        <f>1/ZAR!C542</f>
        <v>0.14011096788656616</v>
      </c>
    </row>
    <row r="543" spans="1:27" x14ac:dyDescent="0.25">
      <c r="A543" t="str">
        <f>"19/08/2011"</f>
        <v>19/08/2011</v>
      </c>
      <c r="B543" s="3">
        <f>AUD!B543</f>
        <v>1.0364</v>
      </c>
      <c r="C543" s="3">
        <f>AUD!C543</f>
        <v>1.0323</v>
      </c>
      <c r="D543" s="3">
        <f>1/CAD!B543</f>
        <v>1.0090817356205852</v>
      </c>
      <c r="E543" s="3">
        <f>1/CAD!C543</f>
        <v>1.0083694665725522</v>
      </c>
      <c r="F543" s="3">
        <f>EUR!B543/1</f>
        <v>1.4308000000000001</v>
      </c>
      <c r="G543" s="3">
        <f>EUR!C543/1</f>
        <v>1.4301999999999999</v>
      </c>
      <c r="H543" s="3">
        <f>GBP!B543/1</f>
        <v>1.6477999999999999</v>
      </c>
      <c r="I543" s="3">
        <f>GBP!C543/1</f>
        <v>1.6472</v>
      </c>
      <c r="J543" s="4">
        <f>1/INR!B543</f>
        <v>2.185792349726776E-2</v>
      </c>
      <c r="K543" s="4">
        <f>1/INR!C543</f>
        <v>2.181500872600349E-2</v>
      </c>
      <c r="L543" s="4">
        <f>1/JPY!B543</f>
        <v>1.3069503620252504E-2</v>
      </c>
      <c r="M543" s="4">
        <f>1/JPY!C543</f>
        <v>1.3075450580026987E-2</v>
      </c>
      <c r="N543" s="5">
        <f>1/KRW!B543</f>
        <v>9.2404361485862131E-4</v>
      </c>
      <c r="O543" s="5">
        <f>1/KRW!C543</f>
        <v>9.2402483039524244E-4</v>
      </c>
      <c r="P543" s="3">
        <f>1/NOK!B543</f>
        <v>0.18214936247723132</v>
      </c>
      <c r="Q543" s="3">
        <f>1/NOK!C543</f>
        <v>0.1818413252595785</v>
      </c>
      <c r="R543" s="3">
        <f>NZD!B543/1</f>
        <v>0.82189999999999996</v>
      </c>
      <c r="S543" s="3">
        <f>NZD!C543/1</f>
        <v>0.82010000000000005</v>
      </c>
      <c r="T543" s="4">
        <f>1/PHP!B543</f>
        <v>2.34796900680911E-2</v>
      </c>
      <c r="U543" s="4">
        <f>1/PHP!C543</f>
        <v>2.3441162681669011E-2</v>
      </c>
      <c r="V543" s="4">
        <f>1/TWD!B543</f>
        <v>3.4466119804232441E-2</v>
      </c>
      <c r="W543" s="4">
        <f>1/TWD!C543</f>
        <v>3.4466357388553033E-2</v>
      </c>
      <c r="X543" s="4">
        <f>1/TWD!B543</f>
        <v>3.4466119804232441E-2</v>
      </c>
      <c r="Y543" s="4">
        <f>1/TWD!C543</f>
        <v>3.4466357388553033E-2</v>
      </c>
      <c r="Z543" s="4">
        <f>1/ZAR!B543</f>
        <v>0.13840064217897971</v>
      </c>
      <c r="AA543" s="4">
        <f>1/ZAR!C543</f>
        <v>0.13775243133041298</v>
      </c>
    </row>
    <row r="544" spans="1:27" x14ac:dyDescent="0.25">
      <c r="A544" t="str">
        <f>"22/08/2011"</f>
        <v>22/08/2011</v>
      </c>
      <c r="B544" s="3">
        <f>AUD!B544</f>
        <v>1.0403</v>
      </c>
      <c r="C544" s="3">
        <f>AUD!C544</f>
        <v>1.0359</v>
      </c>
      <c r="D544" s="3">
        <f>1/CAD!B544</f>
        <v>1.0109179134654267</v>
      </c>
      <c r="E544" s="3">
        <f>1/CAD!C544</f>
        <v>1.0102030508132134</v>
      </c>
      <c r="F544" s="3">
        <f>EUR!B544/1</f>
        <v>1.4368000000000001</v>
      </c>
      <c r="G544" s="3">
        <f>EUR!C544/1</f>
        <v>1.4362999999999999</v>
      </c>
      <c r="H544" s="3">
        <f>GBP!B544/1</f>
        <v>1.6485000000000001</v>
      </c>
      <c r="I544" s="3">
        <f>GBP!C544/1</f>
        <v>1.6478999999999999</v>
      </c>
      <c r="J544" s="4">
        <f>1/INR!B544</f>
        <v>2.1765153988464469E-2</v>
      </c>
      <c r="K544" s="4">
        <f>1/INR!C544</f>
        <v>2.1719063908345552E-2</v>
      </c>
      <c r="L544" s="4">
        <f>1/JPY!B544</f>
        <v>1.3028636944002917E-2</v>
      </c>
      <c r="M544" s="4">
        <f>1/JPY!C544</f>
        <v>1.3034223961856646E-2</v>
      </c>
      <c r="N544" s="5">
        <f>1/KRW!B544</f>
        <v>9.2242413061525692E-4</v>
      </c>
      <c r="O544" s="5">
        <f>1/KRW!C544</f>
        <v>9.2240456110607375E-4</v>
      </c>
      <c r="P544" s="3">
        <f>1/NOK!B544</f>
        <v>0.1828521274845033</v>
      </c>
      <c r="Q544" s="3">
        <f>1/NOK!C544</f>
        <v>0.18254171078091344</v>
      </c>
      <c r="R544" s="3">
        <f>NZD!B544/1</f>
        <v>0.81789999999999996</v>
      </c>
      <c r="S544" s="3">
        <f>NZD!C544/1</f>
        <v>0.81610000000000005</v>
      </c>
      <c r="T544" s="4">
        <f>1/PHP!B544</f>
        <v>2.34796900680911E-2</v>
      </c>
      <c r="U544" s="4">
        <f>1/PHP!C544</f>
        <v>2.3446658851113716E-2</v>
      </c>
      <c r="V544" s="4">
        <f>1/TWD!B544</f>
        <v>3.4450683846074345E-2</v>
      </c>
      <c r="W544" s="4">
        <f>1/TWD!C544</f>
        <v>3.4451039904639519E-2</v>
      </c>
      <c r="X544" s="4">
        <f>1/TWD!B544</f>
        <v>3.4450683846074345E-2</v>
      </c>
      <c r="Y544" s="4">
        <f>1/TWD!C544</f>
        <v>3.4451039904639519E-2</v>
      </c>
      <c r="Z544" s="4">
        <f>1/ZAR!B544</f>
        <v>0.13873858875107523</v>
      </c>
      <c r="AA544" s="4">
        <f>1/ZAR!C544</f>
        <v>0.13809484353854229</v>
      </c>
    </row>
    <row r="545" spans="1:27" x14ac:dyDescent="0.25">
      <c r="A545" t="str">
        <f>"23/08/2011"</f>
        <v>23/08/2011</v>
      </c>
      <c r="B545" s="3">
        <f>AUD!B545</f>
        <v>1.0450999999999999</v>
      </c>
      <c r="C545" s="3">
        <f>AUD!C545</f>
        <v>1.0407999999999999</v>
      </c>
      <c r="D545" s="3">
        <f>1/CAD!B545</f>
        <v>1.0109179134654267</v>
      </c>
      <c r="E545" s="3">
        <f>1/CAD!C545</f>
        <v>1.0102030508132134</v>
      </c>
      <c r="F545" s="3">
        <f>EUR!B545/1</f>
        <v>1.4369000000000001</v>
      </c>
      <c r="G545" s="3">
        <f>EUR!C545/1</f>
        <v>1.4363999999999999</v>
      </c>
      <c r="H545" s="3">
        <f>GBP!B545/1</f>
        <v>1.6478999999999999</v>
      </c>
      <c r="I545" s="3">
        <f>GBP!C545/1</f>
        <v>1.6473</v>
      </c>
      <c r="J545" s="4">
        <f>1/INR!B545</f>
        <v>2.1877050973528767E-2</v>
      </c>
      <c r="K545" s="4">
        <f>1/INR!C545</f>
        <v>2.1807872642023773E-2</v>
      </c>
      <c r="L545" s="4">
        <f>1/JPY!B545</f>
        <v>1.3018968637304552E-2</v>
      </c>
      <c r="M545" s="4">
        <f>1/JPY!C545</f>
        <v>1.3022410265826461E-2</v>
      </c>
      <c r="N545" s="5">
        <f>1/KRW!B545</f>
        <v>9.2566879570489687E-4</v>
      </c>
      <c r="O545" s="5">
        <f>1/KRW!C545</f>
        <v>9.2563023848863096E-4</v>
      </c>
      <c r="P545" s="3">
        <f>1/NOK!B545</f>
        <v>0.18338865557776599</v>
      </c>
      <c r="Q545" s="3">
        <f>1/NOK!C545</f>
        <v>0.18304625578883785</v>
      </c>
      <c r="R545" s="3">
        <f>NZD!B545/1</f>
        <v>0.82689999999999997</v>
      </c>
      <c r="S545" s="3">
        <f>NZD!C545/1</f>
        <v>0.82499999999999996</v>
      </c>
      <c r="T545" s="4">
        <f>1/PHP!B545</f>
        <v>2.3590469450342062E-2</v>
      </c>
      <c r="U545" s="4">
        <f>1/PHP!C545</f>
        <v>2.3568230025925053E-2</v>
      </c>
      <c r="V545" s="4">
        <f>1/TWD!B545</f>
        <v>3.4462556432436162E-2</v>
      </c>
      <c r="W545" s="4">
        <f>1/TWD!C545</f>
        <v>3.4462912736458663E-2</v>
      </c>
      <c r="X545" s="4">
        <f>1/TWD!B545</f>
        <v>3.4462556432436162E-2</v>
      </c>
      <c r="Y545" s="4">
        <f>1/TWD!C545</f>
        <v>3.4462912736458663E-2</v>
      </c>
      <c r="Z545" s="4">
        <f>1/ZAR!B545</f>
        <v>0.13881947914931422</v>
      </c>
      <c r="AA545" s="4">
        <f>1/ZAR!C545</f>
        <v>0.13813490254582625</v>
      </c>
    </row>
    <row r="546" spans="1:27" x14ac:dyDescent="0.25">
      <c r="A546" t="str">
        <f>"24/08/2011"</f>
        <v>24/08/2011</v>
      </c>
      <c r="B546" s="3">
        <f>AUD!B546</f>
        <v>1.0498000000000001</v>
      </c>
      <c r="C546" s="3">
        <f>AUD!C546</f>
        <v>1.0457000000000001</v>
      </c>
      <c r="D546" s="3">
        <f>1/CAD!B546</f>
        <v>1.0117361392148929</v>
      </c>
      <c r="E546" s="3">
        <f>1/CAD!C546</f>
        <v>1.0109179134654267</v>
      </c>
      <c r="F546" s="3">
        <f>EUR!B546/1</f>
        <v>1.4409000000000001</v>
      </c>
      <c r="G546" s="3">
        <f>EUR!C546/1</f>
        <v>1.4402999999999999</v>
      </c>
      <c r="H546" s="3">
        <f>GBP!B546/1</f>
        <v>1.6497999999999999</v>
      </c>
      <c r="I546" s="3">
        <f>GBP!C546/1</f>
        <v>1.6492</v>
      </c>
      <c r="J546" s="4">
        <f>1/INR!B546</f>
        <v>2.1853146853146856E-2</v>
      </c>
      <c r="K546" s="4">
        <f>1/INR!C546</f>
        <v>2.179361447096001E-2</v>
      </c>
      <c r="L546" s="4">
        <f>1/JPY!B546</f>
        <v>1.3040700024777328E-2</v>
      </c>
      <c r="M546" s="4">
        <f>1/JPY!C546</f>
        <v>1.3044221214338729E-2</v>
      </c>
      <c r="N546" s="5">
        <f>1/KRW!B546</f>
        <v>9.2751472429624814E-4</v>
      </c>
      <c r="O546" s="5">
        <f>1/KRW!C546</f>
        <v>9.2747687336416267E-4</v>
      </c>
      <c r="P546" s="3">
        <f>1/NOK!B546</f>
        <v>0.18384380630216568</v>
      </c>
      <c r="Q546" s="3">
        <f>1/NOK!C546</f>
        <v>0.1835165440164431</v>
      </c>
      <c r="R546" s="3">
        <f>NZD!B546/1</f>
        <v>0.82950000000000002</v>
      </c>
      <c r="S546" s="3">
        <f>NZD!C546/1</f>
        <v>0.82769999999999999</v>
      </c>
      <c r="T546" s="4">
        <f>1/PHP!B546</f>
        <v>2.3579344494223064E-2</v>
      </c>
      <c r="U546" s="4">
        <f>1/PHP!C546</f>
        <v>2.3568230025925053E-2</v>
      </c>
      <c r="V546" s="4">
        <f>1/TWD!B546</f>
        <v>3.4468495794843512E-2</v>
      </c>
      <c r="W546" s="4">
        <f>1/TWD!C546</f>
        <v>3.4468733411922046E-2</v>
      </c>
      <c r="X546" s="4">
        <f>1/TWD!B546</f>
        <v>3.4468495794843512E-2</v>
      </c>
      <c r="Y546" s="4">
        <f>1/TWD!C546</f>
        <v>3.4468733411922046E-2</v>
      </c>
      <c r="Z546" s="4">
        <f>1/ZAR!B546</f>
        <v>0.13874628853678164</v>
      </c>
      <c r="AA546" s="4">
        <f>1/ZAR!C546</f>
        <v>0.13807958907514289</v>
      </c>
    </row>
    <row r="547" spans="1:27" x14ac:dyDescent="0.25">
      <c r="A547" t="str">
        <f>"25/08/2011"</f>
        <v>25/08/2011</v>
      </c>
      <c r="B547" s="3">
        <f>AUD!B547</f>
        <v>1.0457000000000001</v>
      </c>
      <c r="C547" s="3">
        <f>AUD!C547</f>
        <v>1.0416000000000001</v>
      </c>
      <c r="D547" s="3">
        <f>1/CAD!B547</f>
        <v>1.0123506782749545</v>
      </c>
      <c r="E547" s="3">
        <f>1/CAD!C547</f>
        <v>1.0115314586283632</v>
      </c>
      <c r="F547" s="3">
        <f>EUR!B547/1</f>
        <v>1.4409000000000001</v>
      </c>
      <c r="G547" s="3">
        <f>EUR!C547/1</f>
        <v>1.4402999999999999</v>
      </c>
      <c r="H547" s="3">
        <f>GBP!B547/1</f>
        <v>1.6373</v>
      </c>
      <c r="I547" s="3">
        <f>GBP!C547/1</f>
        <v>1.6367</v>
      </c>
      <c r="J547" s="4">
        <f>1/INR!B547</f>
        <v>2.1663778162911613E-2</v>
      </c>
      <c r="K547" s="4">
        <f>1/INR!C547</f>
        <v>2.1614611477358693E-2</v>
      </c>
      <c r="L547" s="4">
        <f>1/JPY!B547</f>
        <v>1.2992918859221724E-2</v>
      </c>
      <c r="M547" s="4">
        <f>1/JPY!C547</f>
        <v>1.2995620475899623E-2</v>
      </c>
      <c r="N547" s="5">
        <f>1/KRW!B547</f>
        <v>9.1926550686001886E-4</v>
      </c>
      <c r="O547" s="5">
        <f>1/KRW!C547</f>
        <v>9.1922832620471777E-4</v>
      </c>
      <c r="P547" s="3">
        <f>1/NOK!B547</f>
        <v>0.18389113644722324</v>
      </c>
      <c r="Q547" s="3">
        <f>1/NOK!C547</f>
        <v>0.18356707540935457</v>
      </c>
      <c r="R547" s="3">
        <f>NZD!B547/1</f>
        <v>0.8296</v>
      </c>
      <c r="S547" s="3">
        <f>NZD!C547/1</f>
        <v>0.82769999999999999</v>
      </c>
      <c r="T547" s="4">
        <f>1/PHP!B547</f>
        <v>2.351281448389372E-2</v>
      </c>
      <c r="U547" s="4">
        <f>1/PHP!C547</f>
        <v>2.3487962419260128E-2</v>
      </c>
      <c r="V547" s="4">
        <f>1/TWD!B547</f>
        <v>3.4443564220025487E-2</v>
      </c>
      <c r="W547" s="4">
        <f>1/TWD!C547</f>
        <v>3.444380149348323E-2</v>
      </c>
      <c r="X547" s="4">
        <f>1/TWD!B547</f>
        <v>3.4443564220025487E-2</v>
      </c>
      <c r="Y547" s="4">
        <f>1/TWD!C547</f>
        <v>3.444380149348323E-2</v>
      </c>
      <c r="Z547" s="4">
        <f>1/ZAR!B547</f>
        <v>0.13773156118724605</v>
      </c>
      <c r="AA547" s="4">
        <f>1/ZAR!C547</f>
        <v>0.1370952263442187</v>
      </c>
    </row>
    <row r="548" spans="1:27" x14ac:dyDescent="0.25">
      <c r="A548" t="str">
        <f>"26/08/2011"</f>
        <v>26/08/2011</v>
      </c>
      <c r="B548" s="3">
        <f>AUD!B548</f>
        <v>1.0484</v>
      </c>
      <c r="C548" s="3">
        <f>AUD!C548</f>
        <v>1.0443</v>
      </c>
      <c r="D548" s="3">
        <f>1/CAD!B548</f>
        <v>1.0131712259371835</v>
      </c>
      <c r="E548" s="3">
        <f>1/CAD!C548</f>
        <v>1.0124531740407006</v>
      </c>
      <c r="F548" s="3">
        <f>EUR!B548/1</f>
        <v>1.4414</v>
      </c>
      <c r="G548" s="3">
        <f>EUR!C548/1</f>
        <v>1.4409000000000001</v>
      </c>
      <c r="H548" s="3">
        <f>GBP!B548/1</f>
        <v>1.6313</v>
      </c>
      <c r="I548" s="3">
        <f>GBP!C548/1</f>
        <v>1.6308</v>
      </c>
      <c r="J548" s="4">
        <f>1/INR!B548</f>
        <v>2.1706099413935316E-2</v>
      </c>
      <c r="K548" s="4">
        <f>1/INR!C548</f>
        <v>2.1656740660530593E-2</v>
      </c>
      <c r="L548" s="4">
        <f>1/JPY!B548</f>
        <v>1.2933264355923436E-2</v>
      </c>
      <c r="M548" s="4">
        <f>1/JPY!C548</f>
        <v>1.2936275904892498E-2</v>
      </c>
      <c r="N548" s="5">
        <f>1/KRW!B548</f>
        <v>9.2302012183865601E-4</v>
      </c>
      <c r="O548" s="5">
        <f>1/KRW!C548</f>
        <v>9.2298263685063563E-4</v>
      </c>
      <c r="P548" s="3">
        <f>1/NOK!B548</f>
        <v>0.18486338595777721</v>
      </c>
      <c r="Q548" s="3">
        <f>1/NOK!C548</f>
        <v>0.18454270318151619</v>
      </c>
      <c r="R548" s="3">
        <f>NZD!B548/1</f>
        <v>0.83109999999999995</v>
      </c>
      <c r="S548" s="3">
        <f>NZD!C548/1</f>
        <v>0.82930000000000004</v>
      </c>
      <c r="T548" s="4">
        <f>1/PHP!B548</f>
        <v>2.3518344308560677E-2</v>
      </c>
      <c r="U548" s="4">
        <f>1/PHP!C548</f>
        <v>2.351281448389372E-2</v>
      </c>
      <c r="V548" s="4">
        <f>1/TWD!B548</f>
        <v>3.4440005510400877E-2</v>
      </c>
      <c r="W548" s="4">
        <f>1/TWD!C548</f>
        <v>3.4440242734830796E-2</v>
      </c>
      <c r="X548" s="4">
        <f>1/TWD!B548</f>
        <v>3.4440005510400877E-2</v>
      </c>
      <c r="Y548" s="4">
        <f>1/TWD!C548</f>
        <v>3.4440242734830796E-2</v>
      </c>
      <c r="Z548" s="4">
        <f>1/ZAR!B548</f>
        <v>0.13806052573448199</v>
      </c>
      <c r="AA548" s="4">
        <f>1/ZAR!C548</f>
        <v>0.13742870885728029</v>
      </c>
    </row>
    <row r="549" spans="1:27" x14ac:dyDescent="0.25">
      <c r="A549" t="str">
        <f>"29/08/2011"</f>
        <v>29/08/2011</v>
      </c>
      <c r="B549" s="3">
        <f>AUD!B549</f>
        <v>1.0627</v>
      </c>
      <c r="C549" s="3">
        <f>AUD!C549</f>
        <v>1.0587</v>
      </c>
      <c r="D549" s="3">
        <f>1/CAD!B549</f>
        <v>1.0211375472276116</v>
      </c>
      <c r="E549" s="3">
        <f>1/CAD!C549</f>
        <v>1.0203040506070808</v>
      </c>
      <c r="F549" s="3">
        <f>EUR!B549/1</f>
        <v>1.4494</v>
      </c>
      <c r="G549" s="3">
        <f>EUR!C549/1</f>
        <v>1.4489000000000001</v>
      </c>
      <c r="H549" s="3">
        <f>GBP!B549/1</f>
        <v>1.6371</v>
      </c>
      <c r="I549" s="3">
        <f>GBP!C549/1</f>
        <v>1.6366000000000001</v>
      </c>
      <c r="J549" s="4">
        <f>1/INR!B549</f>
        <v>2.1829294913774284E-2</v>
      </c>
      <c r="K549" s="4">
        <f>1/INR!C549</f>
        <v>2.1761601653881725E-2</v>
      </c>
      <c r="L549" s="4">
        <f>1/JPY!B549</f>
        <v>1.3034750645220156E-2</v>
      </c>
      <c r="M549" s="4">
        <f>1/JPY!C549</f>
        <v>1.3037962635806678E-2</v>
      </c>
      <c r="N549" s="5">
        <f>1/KRW!B549</f>
        <v>9.3118539901294341E-4</v>
      </c>
      <c r="O549" s="5">
        <f>1/KRW!C549</f>
        <v>9.3116719013782204E-4</v>
      </c>
      <c r="P549" s="3">
        <f>1/NOK!B549</f>
        <v>0.18623361144219308</v>
      </c>
      <c r="Q549" s="3">
        <f>1/NOK!C549</f>
        <v>0.18591853049993493</v>
      </c>
      <c r="R549" s="3">
        <f>NZD!B549/1</f>
        <v>0.84550000000000003</v>
      </c>
      <c r="S549" s="3">
        <f>NZD!C549/1</f>
        <v>0.84370000000000001</v>
      </c>
      <c r="T549" s="4">
        <f>1/PHP!B549</f>
        <v>2.3646252069047056E-2</v>
      </c>
      <c r="U549" s="4" t="e">
        <f>1/PHP!C549</f>
        <v>#DIV/0!</v>
      </c>
      <c r="V549" s="4">
        <f>1/TWD!B549</f>
        <v>3.445899379738112E-2</v>
      </c>
      <c r="W549" s="4">
        <f>1/TWD!C549</f>
        <v>3.4459112540015643E-2</v>
      </c>
      <c r="X549" s="4">
        <f>1/TWD!B549</f>
        <v>3.445899379738112E-2</v>
      </c>
      <c r="Y549" s="4">
        <f>1/TWD!C549</f>
        <v>3.4459112540015643E-2</v>
      </c>
      <c r="Z549" s="4">
        <f>1/ZAR!B549</f>
        <v>0.14021312394840157</v>
      </c>
      <c r="AA549" s="4">
        <f>1/ZAR!C549</f>
        <v>0.13954981230550245</v>
      </c>
    </row>
    <row r="550" spans="1:27" x14ac:dyDescent="0.25">
      <c r="A550" t="str">
        <f>"30/08/2011"</f>
        <v>30/08/2011</v>
      </c>
      <c r="B550" s="3">
        <f>AUD!B550</f>
        <v>1.0669</v>
      </c>
      <c r="C550" s="3">
        <f>AUD!C550</f>
        <v>1.0624</v>
      </c>
      <c r="D550" s="3">
        <f>1/CAD!B550</f>
        <v>1.0242753252074157</v>
      </c>
      <c r="E550" s="3">
        <f>1/CAD!C550</f>
        <v>1.0235414534288638</v>
      </c>
      <c r="F550" s="3">
        <f>EUR!B550/1</f>
        <v>1.4525999999999999</v>
      </c>
      <c r="G550" s="3">
        <f>EUR!C550/1</f>
        <v>1.4519</v>
      </c>
      <c r="H550" s="3">
        <f>GBP!B550/1</f>
        <v>1.6413</v>
      </c>
      <c r="I550" s="3">
        <f>GBP!C550/1</f>
        <v>1.6407</v>
      </c>
      <c r="J550" s="4">
        <f>1/INR!B550</f>
        <v>2.1742675436212427E-2</v>
      </c>
      <c r="K550" s="4">
        <f>1/INR!C550</f>
        <v>2.1695503606877473E-2</v>
      </c>
      <c r="L550" s="4">
        <f>1/JPY!B550</f>
        <v>1.3018968637304552E-2</v>
      </c>
      <c r="M550" s="4">
        <f>1/JPY!C550</f>
        <v>1.3021681099029885E-2</v>
      </c>
      <c r="N550" s="5">
        <f>1/KRW!B550</f>
        <v>9.3327111525898275E-4</v>
      </c>
      <c r="O550" s="5">
        <f>1/KRW!C550</f>
        <v>9.3323018029073846E-4</v>
      </c>
      <c r="P550" s="3">
        <f>1/NOK!B550</f>
        <v>0.18720632008536606</v>
      </c>
      <c r="Q550" s="3">
        <f>1/NOK!C550</f>
        <v>0.18689143476554471</v>
      </c>
      <c r="R550" s="3">
        <f>NZD!B550/1</f>
        <v>0.85160000000000002</v>
      </c>
      <c r="S550" s="3">
        <f>NZD!C550/1</f>
        <v>0.84970000000000001</v>
      </c>
      <c r="T550" s="4">
        <f>1/PHP!B550</f>
        <v>2.3457658925639221E-2</v>
      </c>
      <c r="U550" s="4">
        <f>1/PHP!C550</f>
        <v>2.3572563421981888E-2</v>
      </c>
      <c r="V550" s="4">
        <f>1/TWD!B550</f>
        <v>3.4441191665231616E-2</v>
      </c>
      <c r="W550" s="4">
        <f>1/TWD!C550</f>
        <v>3.4441310285208492E-2</v>
      </c>
      <c r="X550" s="4">
        <f>1/TWD!B550</f>
        <v>3.4441191665231616E-2</v>
      </c>
      <c r="Y550" s="4">
        <f>1/TWD!C550</f>
        <v>3.4441310285208492E-2</v>
      </c>
      <c r="Z550" s="4">
        <f>1/ZAR!B550</f>
        <v>0.14206563432305727</v>
      </c>
      <c r="AA550" s="4">
        <f>1/ZAR!C550</f>
        <v>0.14139471749335444</v>
      </c>
    </row>
    <row r="551" spans="1:27" x14ac:dyDescent="0.25">
      <c r="A551" t="str">
        <f>"02/09/2011"</f>
        <v>02/09/2011</v>
      </c>
      <c r="B551" s="3">
        <f>AUD!B551</f>
        <v>1.0703</v>
      </c>
      <c r="C551" s="3">
        <f>AUD!C551</f>
        <v>1.0662</v>
      </c>
      <c r="D551" s="3">
        <f>1/CAD!B551</f>
        <v>1.0232272587741738</v>
      </c>
      <c r="E551" s="3">
        <f>1/CAD!C551</f>
        <v>1.0224948875255624</v>
      </c>
      <c r="F551" s="3">
        <f>EUR!B551/1</f>
        <v>1.4266000000000001</v>
      </c>
      <c r="G551" s="3">
        <f>EUR!C551/1</f>
        <v>1.4260999999999999</v>
      </c>
      <c r="H551" s="3">
        <f>GBP!B551/1</f>
        <v>1.6185</v>
      </c>
      <c r="I551" s="3">
        <f>GBP!C551/1</f>
        <v>1.6180000000000001</v>
      </c>
      <c r="J551" s="4">
        <f>1/INR!B551</f>
        <v>2.178649237472767E-2</v>
      </c>
      <c r="K551" s="4">
        <f>1/INR!C551</f>
        <v>2.173794902450954E-2</v>
      </c>
      <c r="L551" s="4">
        <f>1/JPY!B551</f>
        <v>1.3007960872053696E-2</v>
      </c>
      <c r="M551" s="4">
        <f>1/JPY!C551</f>
        <v>1.3010584110173626E-2</v>
      </c>
      <c r="N551" s="5">
        <f>1/KRW!B551</f>
        <v>9.4055680963130172E-4</v>
      </c>
      <c r="O551" s="5">
        <f>1/KRW!C551</f>
        <v>9.4053557857986657E-4</v>
      </c>
      <c r="P551" s="3">
        <f>1/NOK!B551</f>
        <v>0.18506866047303547</v>
      </c>
      <c r="Q551" s="3">
        <f>1/NOK!C551</f>
        <v>0.18475067895874517</v>
      </c>
      <c r="R551" s="3">
        <f>NZD!B551/1</f>
        <v>0.85019999999999996</v>
      </c>
      <c r="S551" s="3">
        <f>NZD!C551/1</f>
        <v>0.84840000000000004</v>
      </c>
      <c r="T551" s="4">
        <f>1/PHP!B551</f>
        <v>2.3685457129322598E-2</v>
      </c>
      <c r="U551" s="4">
        <f>1/PHP!C551</f>
        <v>2.3657440264963331E-2</v>
      </c>
      <c r="V551" s="4">
        <f>1/TWD!B551</f>
        <v>3.4457806416043554E-2</v>
      </c>
      <c r="W551" s="4">
        <f>1/TWD!C551</f>
        <v>3.4457925150494985E-2</v>
      </c>
      <c r="X551" s="4">
        <f>1/TWD!B551</f>
        <v>3.4457806416043554E-2</v>
      </c>
      <c r="Y551" s="4">
        <f>1/TWD!C551</f>
        <v>3.4457925150494985E-2</v>
      </c>
      <c r="Z551" s="4">
        <f>1/ZAR!B551</f>
        <v>0.14260046202549698</v>
      </c>
      <c r="AA551" s="4">
        <f>1/ZAR!C551</f>
        <v>0.1419547164454539</v>
      </c>
    </row>
    <row r="552" spans="1:27" x14ac:dyDescent="0.25">
      <c r="A552" t="str">
        <f>"05/09/2011"</f>
        <v>05/09/2011</v>
      </c>
      <c r="B552" s="3">
        <f>AUD!B552</f>
        <v>1.0595000000000001</v>
      </c>
      <c r="C552" s="3">
        <f>AUD!C552</f>
        <v>1.0555000000000001</v>
      </c>
      <c r="D552" s="3">
        <f>1/CAD!B552</f>
        <v>1.0136847440446022</v>
      </c>
      <c r="E552" s="3">
        <f>1/CAD!C552</f>
        <v>1.012965964343598</v>
      </c>
      <c r="F552" s="3">
        <f>EUR!B552/1</f>
        <v>1.4166000000000001</v>
      </c>
      <c r="G552" s="3">
        <f>EUR!C552/1</f>
        <v>1.4161999999999999</v>
      </c>
      <c r="H552" s="3">
        <f>GBP!B552/1</f>
        <v>1.6177999999999999</v>
      </c>
      <c r="I552" s="3">
        <f>GBP!C552/1</f>
        <v>1.6173</v>
      </c>
      <c r="J552" s="4">
        <f>1/INR!B552</f>
        <v>2.1765153988464469E-2</v>
      </c>
      <c r="K552" s="4">
        <f>1/INR!C552</f>
        <v>2.1713169037020953E-2</v>
      </c>
      <c r="L552" s="4">
        <f>1/JPY!B552</f>
        <v>1.3024564328323216E-2</v>
      </c>
      <c r="M552" s="4">
        <f>1/JPY!C552</f>
        <v>1.3028789716636851E-2</v>
      </c>
      <c r="N552" s="5">
        <f>1/KRW!B552</f>
        <v>9.3641726753441329E-4</v>
      </c>
      <c r="O552" s="5">
        <f>1/KRW!C552</f>
        <v>9.363756177152903E-4</v>
      </c>
      <c r="P552" s="3">
        <f>1/NOK!B552</f>
        <v>0.18432500184325001</v>
      </c>
      <c r="Q552" s="3">
        <f>1/NOK!C552</f>
        <v>0.1840163406510498</v>
      </c>
      <c r="R552" s="3">
        <f>NZD!B552/1</f>
        <v>0.84440000000000004</v>
      </c>
      <c r="S552" s="3">
        <f>NZD!C552/1</f>
        <v>0.84260000000000002</v>
      </c>
      <c r="T552" s="4">
        <f>1/PHP!B552</f>
        <v>2.3685457129322598E-2</v>
      </c>
      <c r="U552" s="4">
        <f>1/PHP!C552</f>
        <v>2.3663038334122102E-2</v>
      </c>
      <c r="V552" s="4">
        <f>1/TWD!B552</f>
        <v>3.4444157409799364E-2</v>
      </c>
      <c r="W552" s="4">
        <f>1/TWD!C552</f>
        <v>3.4444276050205981E-2</v>
      </c>
      <c r="X552" s="4">
        <f>1/TWD!B552</f>
        <v>3.4444157409799364E-2</v>
      </c>
      <c r="Y552" s="4">
        <f>1/TWD!C552</f>
        <v>3.4444276050205981E-2</v>
      </c>
      <c r="Z552" s="4">
        <f>1/ZAR!B552</f>
        <v>0.14141071327563776</v>
      </c>
      <c r="AA552" s="4">
        <f>1/ZAR!C552</f>
        <v>0.14079152998155631</v>
      </c>
    </row>
    <row r="553" spans="1:27" x14ac:dyDescent="0.25">
      <c r="A553" t="str">
        <f>"06/09/2011"</f>
        <v>06/09/2011</v>
      </c>
      <c r="B553" s="3">
        <f>AUD!B553</f>
        <v>1.052</v>
      </c>
      <c r="C553" s="3">
        <f>AUD!C553</f>
        <v>1.0476000000000001</v>
      </c>
      <c r="D553" s="3">
        <f>1/CAD!B553</f>
        <v>1.0088781275221954</v>
      </c>
      <c r="E553" s="3">
        <f>1/CAD!C553</f>
        <v>1.0081661457808246</v>
      </c>
      <c r="F553" s="3">
        <f>EUR!B553/1</f>
        <v>1.4069</v>
      </c>
      <c r="G553" s="3">
        <f>EUR!C553/1</f>
        <v>1.4065000000000001</v>
      </c>
      <c r="H553" s="3">
        <f>GBP!B553/1</f>
        <v>1.6083000000000001</v>
      </c>
      <c r="I553" s="3">
        <f>GBP!C553/1</f>
        <v>1.6076999999999999</v>
      </c>
      <c r="J553" s="4">
        <f>1/INR!B553</f>
        <v>2.1682567215958369E-2</v>
      </c>
      <c r="K553" s="4">
        <f>1/INR!C553</f>
        <v>2.1620452948489272E-2</v>
      </c>
      <c r="L553" s="4">
        <f>1/JPY!B553</f>
        <v>1.3017612830159205E-2</v>
      </c>
      <c r="M553" s="4">
        <f>1/JPY!C553</f>
        <v>1.3022647686591752E-2</v>
      </c>
      <c r="N553" s="5">
        <f>1/KRW!B553</f>
        <v>9.3283582089552237E-4</v>
      </c>
      <c r="O553" s="5">
        <f>1/KRW!C553</f>
        <v>9.3281319669485626E-4</v>
      </c>
      <c r="P553" s="3">
        <f>1/NOK!B553</f>
        <v>0.18326430377890995</v>
      </c>
      <c r="Q553" s="3">
        <f>1/NOK!C553</f>
        <v>0.18296252927400466</v>
      </c>
      <c r="R553" s="3">
        <f>NZD!B553/1</f>
        <v>0.82909999999999995</v>
      </c>
      <c r="S553" s="3">
        <f>NZD!C553/1</f>
        <v>0.82730000000000004</v>
      </c>
      <c r="T553" s="4">
        <f>1/PHP!B553</f>
        <v>2.3646252069047056E-2</v>
      </c>
      <c r="U553" s="4">
        <f>1/PHP!C553</f>
        <v>2.3623907394283016E-2</v>
      </c>
      <c r="V553" s="4">
        <f>1/TWD!B553</f>
        <v>3.4377256007425486E-2</v>
      </c>
      <c r="W553" s="4">
        <f>1/TWD!C553</f>
        <v>3.4377492368196698E-2</v>
      </c>
      <c r="X553" s="4">
        <f>1/TWD!B553</f>
        <v>3.4377256007425486E-2</v>
      </c>
      <c r="Y553" s="4">
        <f>1/TWD!C553</f>
        <v>3.4377492368196698E-2</v>
      </c>
      <c r="Z553" s="4">
        <f>1/ZAR!B553</f>
        <v>0.13996976653042942</v>
      </c>
      <c r="AA553" s="4">
        <f>1/ZAR!C553</f>
        <v>0.1393572842052454</v>
      </c>
    </row>
    <row r="554" spans="1:27" x14ac:dyDescent="0.25">
      <c r="A554" t="str">
        <f>"07/09/2011"</f>
        <v>07/09/2011</v>
      </c>
      <c r="B554" s="3">
        <f>AUD!B554</f>
        <v>1.0582</v>
      </c>
      <c r="C554" s="3">
        <f>AUD!C554</f>
        <v>1.0539000000000001</v>
      </c>
      <c r="D554" s="3">
        <f>1/CAD!B554</f>
        <v>1.0113268608414239</v>
      </c>
      <c r="E554" s="3">
        <f>1/CAD!C554</f>
        <v>1.010611419909045</v>
      </c>
      <c r="F554" s="3">
        <f>EUR!B554/1</f>
        <v>1.4043000000000001</v>
      </c>
      <c r="G554" s="3">
        <f>EUR!C554/1</f>
        <v>1.4038999999999999</v>
      </c>
      <c r="H554" s="3">
        <f>GBP!B554/1</f>
        <v>1.5984</v>
      </c>
      <c r="I554" s="3">
        <f>GBP!C554/1</f>
        <v>1.5978000000000001</v>
      </c>
      <c r="J554" s="4">
        <f>1/INR!B554</f>
        <v>2.1713169037020953E-2</v>
      </c>
      <c r="K554" s="4">
        <f>1/INR!C554</f>
        <v>2.16485360177518E-2</v>
      </c>
      <c r="L554" s="4">
        <f>1/JPY!B554</f>
        <v>1.2946659761781462E-2</v>
      </c>
      <c r="M554" s="4">
        <f>1/JPY!C554</f>
        <v>1.2950398678023304E-2</v>
      </c>
      <c r="N554" s="5">
        <f>1/KRW!B554</f>
        <v>9.3283582089552237E-4</v>
      </c>
      <c r="O554" s="5">
        <f>1/KRW!C554</f>
        <v>9.3281232655520799E-4</v>
      </c>
      <c r="P554" s="3">
        <f>1/NOK!B554</f>
        <v>0.18575276307235072</v>
      </c>
      <c r="Q554" s="3">
        <f>1/NOK!C554</f>
        <v>0.18541867536898315</v>
      </c>
      <c r="R554" s="3">
        <f>NZD!B554/1</f>
        <v>0.82650000000000001</v>
      </c>
      <c r="S554" s="3">
        <f>NZD!C554/1</f>
        <v>0.8246</v>
      </c>
      <c r="T554" s="4">
        <f>1/PHP!B554</f>
        <v>2.3657440264963331E-2</v>
      </c>
      <c r="U554" s="4">
        <f>1/PHP!C554</f>
        <v>2.3643456673365645E-2</v>
      </c>
      <c r="V554" s="4">
        <f>1/TWD!B554</f>
        <v>3.4384348244679022E-2</v>
      </c>
      <c r="W554" s="4">
        <f>1/TWD!C554</f>
        <v>3.4384584702985957E-2</v>
      </c>
      <c r="X554" s="4">
        <f>1/TWD!B554</f>
        <v>3.4384348244679022E-2</v>
      </c>
      <c r="Y554" s="4">
        <f>1/TWD!C554</f>
        <v>3.4384584702985957E-2</v>
      </c>
      <c r="Z554" s="4">
        <f>1/ZAR!B554</f>
        <v>0.13992276263502548</v>
      </c>
      <c r="AA554" s="4">
        <f>1/ZAR!C554</f>
        <v>0.13925249261961789</v>
      </c>
    </row>
    <row r="555" spans="1:27" x14ac:dyDescent="0.25">
      <c r="A555" t="str">
        <f>"08/09/2011"</f>
        <v>08/09/2011</v>
      </c>
      <c r="B555" s="3">
        <f>AUD!B555</f>
        <v>1.0587</v>
      </c>
      <c r="C555" s="3">
        <f>AUD!C555</f>
        <v>1.0547</v>
      </c>
      <c r="D555" s="3">
        <f>1/CAD!B555</f>
        <v>1.0144045445323595</v>
      </c>
      <c r="E555" s="3">
        <f>1/CAD!C555</f>
        <v>1.0135819987837016</v>
      </c>
      <c r="F555" s="3">
        <f>EUR!B555/1</f>
        <v>1.4057999999999999</v>
      </c>
      <c r="G555" s="3">
        <f>EUR!C555/1</f>
        <v>1.4054</v>
      </c>
      <c r="H555" s="3">
        <f>GBP!B555/1</f>
        <v>1.5951</v>
      </c>
      <c r="I555" s="3">
        <f>GBP!C555/1</f>
        <v>1.5945</v>
      </c>
      <c r="J555" s="4">
        <f>1/INR!B555</f>
        <v>2.1640337589266392E-2</v>
      </c>
      <c r="K555" s="4">
        <f>1/INR!C555</f>
        <v>2.1574973031283709E-2</v>
      </c>
      <c r="L555" s="4">
        <f>1/JPY!B555</f>
        <v>1.2924071082390954E-2</v>
      </c>
      <c r="M555" s="4">
        <f>1/JPY!C555</f>
        <v>1.2927011507625645E-2</v>
      </c>
      <c r="N555" s="5">
        <f>1/KRW!B555</f>
        <v>9.3161915408980804E-4</v>
      </c>
      <c r="O555" s="5">
        <f>1/KRW!C555</f>
        <v>9.3159789067605585E-4</v>
      </c>
      <c r="P555" s="3">
        <f>1/NOK!B555</f>
        <v>0.18519890362249053</v>
      </c>
      <c r="Q555" s="3">
        <f>1/NOK!C555</f>
        <v>0.18487705675725644</v>
      </c>
      <c r="R555" s="3">
        <f>NZD!B555/1</f>
        <v>0.83240000000000003</v>
      </c>
      <c r="S555" s="3">
        <f>NZD!C555/1</f>
        <v>0.83040000000000003</v>
      </c>
      <c r="T555" s="4">
        <f>1/PHP!B555</f>
        <v>2.360439041661749E-2</v>
      </c>
      <c r="U555" s="4">
        <f>1/PHP!C555</f>
        <v>2.3596035865974516E-2</v>
      </c>
      <c r="V555" s="4">
        <f>1/TWD!B555</f>
        <v>3.4340659340659337E-2</v>
      </c>
      <c r="W555" s="4">
        <f>1/TWD!C555</f>
        <v>3.434077726915271E-2</v>
      </c>
      <c r="X555" s="4">
        <f>1/TWD!B555</f>
        <v>3.4340659340659337E-2</v>
      </c>
      <c r="Y555" s="4">
        <f>1/TWD!C555</f>
        <v>3.434077726915271E-2</v>
      </c>
      <c r="Z555" s="4">
        <f>1/ZAR!B555</f>
        <v>0.13986796464137852</v>
      </c>
      <c r="AA555" s="4">
        <f>1/ZAR!C555</f>
        <v>0.13922147352007572</v>
      </c>
    </row>
    <row r="556" spans="1:27" x14ac:dyDescent="0.25">
      <c r="A556" t="str">
        <f>"09/09/2011"</f>
        <v>09/09/2011</v>
      </c>
      <c r="B556" s="3">
        <f>AUD!B556</f>
        <v>1.0609</v>
      </c>
      <c r="C556" s="3">
        <f>AUD!C556</f>
        <v>1.0569</v>
      </c>
      <c r="D556" s="3">
        <f>1/CAD!B556</f>
        <v>1.0116337885685383</v>
      </c>
      <c r="E556" s="3">
        <f>1/CAD!C556</f>
        <v>1.0109179134654267</v>
      </c>
      <c r="F556" s="3">
        <f>EUR!B556/1</f>
        <v>1.3908</v>
      </c>
      <c r="G556" s="3">
        <f>EUR!C556/1</f>
        <v>1.3903000000000001</v>
      </c>
      <c r="H556" s="3">
        <f>GBP!B556/1</f>
        <v>1.5973999999999999</v>
      </c>
      <c r="I556" s="3">
        <f>GBP!C556/1</f>
        <v>1.5968</v>
      </c>
      <c r="J556" s="4">
        <f>1/INR!B556</f>
        <v>2.1528525296017221E-2</v>
      </c>
      <c r="K556" s="4">
        <f>1/INR!C556</f>
        <v>2.1435078505975026E-2</v>
      </c>
      <c r="L556" s="4">
        <f>1/JPY!B556</f>
        <v>1.2903558801517457E-2</v>
      </c>
      <c r="M556" s="4">
        <f>1/JPY!C556</f>
        <v>1.2906972992159012E-2</v>
      </c>
      <c r="N556" s="5">
        <f>1/KRW!B556</f>
        <v>9.2867756315007436E-4</v>
      </c>
      <c r="O556" s="5">
        <f>1/KRW!C556</f>
        <v>9.2865514019906646E-4</v>
      </c>
      <c r="P556" s="3">
        <f>1/NOK!B556</f>
        <v>0.18485996857380532</v>
      </c>
      <c r="Q556" s="3">
        <f>1/NOK!C556</f>
        <v>0.18455292054996772</v>
      </c>
      <c r="R556" s="3">
        <f>NZD!B556/1</f>
        <v>0.83499999999999996</v>
      </c>
      <c r="S556" s="3">
        <f>NZD!C556/1</f>
        <v>0.83320000000000005</v>
      </c>
      <c r="T556" s="4">
        <f>1/PHP!B556</f>
        <v>2.3529411764705882E-2</v>
      </c>
      <c r="U556" s="4">
        <f>1/PHP!C556</f>
        <v>2.3523876734885912E-2</v>
      </c>
      <c r="V556" s="4">
        <f>1/TWD!B556</f>
        <v>3.4250094187759018E-2</v>
      </c>
      <c r="W556" s="4">
        <f>1/TWD!C556</f>
        <v>3.4250211495055985E-2</v>
      </c>
      <c r="X556" s="4">
        <f>1/TWD!B556</f>
        <v>3.4250094187759018E-2</v>
      </c>
      <c r="Y556" s="4">
        <f>1/TWD!C556</f>
        <v>3.4250211495055985E-2</v>
      </c>
      <c r="Z556" s="4">
        <f>1/ZAR!B556</f>
        <v>0.13940973916437802</v>
      </c>
      <c r="AA556" s="4" t="e">
        <f>1/ZAR!C556</f>
        <v>#DIV/0!</v>
      </c>
    </row>
    <row r="557" spans="1:27" x14ac:dyDescent="0.25">
      <c r="A557" t="str">
        <f>"12/09/2011"</f>
        <v>12/09/2011</v>
      </c>
      <c r="B557" s="3">
        <f>AUD!B557</f>
        <v>1.0362</v>
      </c>
      <c r="C557" s="3">
        <f>AUD!C557</f>
        <v>1.0323</v>
      </c>
      <c r="D557" s="3">
        <f>1/CAD!B557</f>
        <v>1.0006003602161297</v>
      </c>
      <c r="E557" s="3">
        <f>1/CAD!C557</f>
        <v>1</v>
      </c>
      <c r="F557" s="3">
        <f>EUR!B557/1</f>
        <v>1.3567</v>
      </c>
      <c r="G557" s="3">
        <f>EUR!C557/1</f>
        <v>1.3564000000000001</v>
      </c>
      <c r="H557" s="3">
        <f>GBP!B557/1</f>
        <v>1.5839000000000001</v>
      </c>
      <c r="I557" s="3">
        <f>GBP!C557/1</f>
        <v>1.5833999999999999</v>
      </c>
      <c r="J557" s="4">
        <f>1/INR!B557</f>
        <v>2.1312872975277068E-2</v>
      </c>
      <c r="K557" s="4">
        <f>1/INR!C557</f>
        <v>2.1234803843499496E-2</v>
      </c>
      <c r="L557" s="4">
        <f>1/JPY!B557</f>
        <v>1.2904224843213668E-2</v>
      </c>
      <c r="M557" s="4">
        <f>1/JPY!C557</f>
        <v>1.2910405657856176E-2</v>
      </c>
      <c r="N557" s="5">
        <f>1/KRW!B557</f>
        <v>9.1295019856666825E-4</v>
      </c>
      <c r="O557" s="5">
        <f>1/KRW!C557</f>
        <v>9.1290894326681723E-4</v>
      </c>
      <c r="P557" s="3">
        <f>1/NOK!B557</f>
        <v>0.17988846914912754</v>
      </c>
      <c r="Q557" s="3">
        <f>1/NOK!C557</f>
        <v>0.17961060421007258</v>
      </c>
      <c r="R557" s="3">
        <f>NZD!B557/1</f>
        <v>0.81630000000000003</v>
      </c>
      <c r="S557" s="3">
        <f>NZD!C557/1</f>
        <v>0.81459999999999999</v>
      </c>
      <c r="T557" s="4">
        <f>1/PHP!B557</f>
        <v>2.3408239700374533E-2</v>
      </c>
      <c r="U557" s="4">
        <f>1/PHP!C557</f>
        <v>2.3386342376052388E-2</v>
      </c>
      <c r="V557" s="4">
        <f>1/TWD!B557</f>
        <v>3.4019391052900153E-2</v>
      </c>
      <c r="W557" s="4">
        <f>1/TWD!C557</f>
        <v>3.4019506785190626E-2</v>
      </c>
      <c r="X557" s="4">
        <f>1/TWD!B557</f>
        <v>3.4019391052900153E-2</v>
      </c>
      <c r="Y557" s="4">
        <f>1/TWD!C557</f>
        <v>3.4019506785190626E-2</v>
      </c>
      <c r="Z557" s="4">
        <f>1/ZAR!B557</f>
        <v>0.13663442094332404</v>
      </c>
      <c r="AA557" s="4">
        <f>1/ZAR!C557</f>
        <v>0.13604331619187549</v>
      </c>
    </row>
    <row r="558" spans="1:27" x14ac:dyDescent="0.25">
      <c r="A558" t="str">
        <f>"13/09/2011"</f>
        <v>13/09/2011</v>
      </c>
      <c r="B558" s="3">
        <f>AUD!B558</f>
        <v>1.0367999999999999</v>
      </c>
      <c r="C558" s="3">
        <f>AUD!C558</f>
        <v>1.0327</v>
      </c>
      <c r="D558" s="3">
        <f>1/CAD!B558</f>
        <v>1.0083694665725522</v>
      </c>
      <c r="E558" s="3">
        <f>1/CAD!C558</f>
        <v>1.0076582023377672</v>
      </c>
      <c r="F558" s="3">
        <f>EUR!B558/1</f>
        <v>1.3685</v>
      </c>
      <c r="G558" s="3">
        <f>EUR!C558/1</f>
        <v>1.3682000000000001</v>
      </c>
      <c r="H558" s="3">
        <f>GBP!B558/1</f>
        <v>1.5865</v>
      </c>
      <c r="I558" s="3">
        <f>GBP!C558/1</f>
        <v>1.5860000000000001</v>
      </c>
      <c r="J558" s="4">
        <f>1/INR!B558</f>
        <v>2.1246082753492324E-2</v>
      </c>
      <c r="K558" s="4">
        <f>1/INR!C558</f>
        <v>2.1162901433786574E-2</v>
      </c>
      <c r="L558" s="4">
        <f>1/JPY!B558</f>
        <v>1.2984062063816665E-2</v>
      </c>
      <c r="M558" s="4">
        <f>1/JPY!C558</f>
        <v>1.2988936024294505E-2</v>
      </c>
      <c r="N558" s="5">
        <f>1/KRW!B558</f>
        <v>9.2000552003312019E-4</v>
      </c>
      <c r="O558" s="5">
        <f>1/KRW!C558</f>
        <v>9.1996362463828184E-4</v>
      </c>
      <c r="P558" s="3">
        <f>1/NOK!B558</f>
        <v>0.17773670085135881</v>
      </c>
      <c r="Q558" s="3">
        <f>1/NOK!C558</f>
        <v>0.17745284190726315</v>
      </c>
      <c r="R558" s="3">
        <f>NZD!B558/1</f>
        <v>0.82379999999999998</v>
      </c>
      <c r="S558" s="3">
        <f>NZD!C558/1</f>
        <v>0.82189999999999996</v>
      </c>
      <c r="T558" s="4">
        <f>1/PHP!B558</f>
        <v>2.3369946249123627E-2</v>
      </c>
      <c r="U558" s="4">
        <f>1/PHP!C558</f>
        <v>2.3350846468184472E-2</v>
      </c>
      <c r="V558" s="4">
        <f>1/TWD!B558</f>
        <v>3.395931673854722E-2</v>
      </c>
      <c r="W558" s="4">
        <f>1/TWD!C558</f>
        <v>3.3959547387152428E-2</v>
      </c>
      <c r="X558" s="4">
        <f>1/TWD!B558</f>
        <v>3.395931673854722E-2</v>
      </c>
      <c r="Y558" s="4">
        <f>1/TWD!C558</f>
        <v>3.3959547387152428E-2</v>
      </c>
      <c r="Z558" s="4">
        <f>1/ZAR!B558</f>
        <v>0.13520456450609772</v>
      </c>
      <c r="AA558" s="4">
        <f>1/ZAR!C558</f>
        <v>0.1346112427309929</v>
      </c>
    </row>
    <row r="559" spans="1:27" x14ac:dyDescent="0.25">
      <c r="A559" t="str">
        <f>"14/09/2011"</f>
        <v>14/09/2011</v>
      </c>
      <c r="B559" s="3">
        <f>AUD!B559</f>
        <v>1.0226</v>
      </c>
      <c r="C559" s="3">
        <f>AUD!C559</f>
        <v>1.0186999999999999</v>
      </c>
      <c r="D559" s="3">
        <f>1/CAD!B559</f>
        <v>1.0088781275221954</v>
      </c>
      <c r="E559" s="3">
        <f>1/CAD!C559</f>
        <v>1.0081661457808246</v>
      </c>
      <c r="F559" s="3">
        <f>EUR!B559/1</f>
        <v>1.3628</v>
      </c>
      <c r="G559" s="3">
        <f>EUR!C559/1</f>
        <v>1.3624000000000001</v>
      </c>
      <c r="H559" s="3">
        <f>GBP!B559/1</f>
        <v>1.5755999999999999</v>
      </c>
      <c r="I559" s="3">
        <f>GBP!C559/1</f>
        <v>1.575</v>
      </c>
      <c r="J559" s="4">
        <f>1/INR!B559</f>
        <v>2.0855057351407715E-2</v>
      </c>
      <c r="K559" s="4">
        <f>1/INR!C559</f>
        <v>2.0782459604094146E-2</v>
      </c>
      <c r="L559" s="4">
        <f>1/JPY!B559</f>
        <v>1.2999252542978779E-2</v>
      </c>
      <c r="M559" s="4">
        <f>1/JPY!C559</f>
        <v>1.3004628347228778E-2</v>
      </c>
      <c r="N559" s="5">
        <f>1/KRW!B559</f>
        <v>9.0563303749320774E-4</v>
      </c>
      <c r="O559" s="5">
        <f>1/KRW!C559</f>
        <v>9.0559408103708635E-4</v>
      </c>
      <c r="P559" s="3">
        <f>1/NOK!B559</f>
        <v>0.176934781839414</v>
      </c>
      <c r="Q559" s="3">
        <f>1/NOK!C559</f>
        <v>0.17662851490744666</v>
      </c>
      <c r="R559" s="3">
        <f>NZD!B559/1</f>
        <v>0.81689999999999996</v>
      </c>
      <c r="S559" s="3">
        <f>NZD!C559/1</f>
        <v>0.81520000000000004</v>
      </c>
      <c r="T559" s="4">
        <f>1/PHP!B559</f>
        <v>2.31107002542177E-2</v>
      </c>
      <c r="U559" s="4">
        <f>1/PHP!C559</f>
        <v>2.3062730627306273E-2</v>
      </c>
      <c r="V559" s="4">
        <f>1/TWD!B559</f>
        <v>3.3754134881522985E-2</v>
      </c>
      <c r="W559" s="4">
        <f>1/TWD!C559</f>
        <v>3.3754362751385616E-2</v>
      </c>
      <c r="X559" s="4">
        <f>1/TWD!B559</f>
        <v>3.3754134881522985E-2</v>
      </c>
      <c r="Y559" s="4">
        <f>1/TWD!C559</f>
        <v>3.3754362751385616E-2</v>
      </c>
      <c r="Z559" s="4">
        <f>1/ZAR!B559</f>
        <v>0.13574046423238767</v>
      </c>
      <c r="AA559" s="4">
        <f>1/ZAR!C559</f>
        <v>0.13511870177951329</v>
      </c>
    </row>
    <row r="560" spans="1:27" x14ac:dyDescent="0.25">
      <c r="A560" t="str">
        <f>"15/09/2011"</f>
        <v>15/09/2011</v>
      </c>
      <c r="B560" s="3">
        <f>AUD!B560</f>
        <v>1.0202</v>
      </c>
      <c r="C560" s="3">
        <f>AUD!C560</f>
        <v>1.0163</v>
      </c>
      <c r="D560" s="3">
        <f>1/CAD!B560</f>
        <v>1.0053282396702523</v>
      </c>
      <c r="E560" s="3">
        <f>1/CAD!C560</f>
        <v>1.0046212577858149</v>
      </c>
      <c r="F560" s="3">
        <f>EUR!B560/1</f>
        <v>1.3716999999999999</v>
      </c>
      <c r="G560" s="3">
        <f>EUR!C560/1</f>
        <v>1.3712</v>
      </c>
      <c r="H560" s="3">
        <f>GBP!B560/1</f>
        <v>1.5754999999999999</v>
      </c>
      <c r="I560" s="3">
        <f>GBP!C560/1</f>
        <v>1.5749</v>
      </c>
      <c r="J560" s="4">
        <f>1/INR!B560</f>
        <v>2.0900825582610513E-2</v>
      </c>
      <c r="K560" s="4">
        <f>1/INR!C560</f>
        <v>2.0821404403727029E-2</v>
      </c>
      <c r="L560" s="4">
        <f>1/JPY!B560</f>
        <v>1.3039509714434738E-2</v>
      </c>
      <c r="M560" s="4">
        <f>1/JPY!C560</f>
        <v>1.3044629591220444E-2</v>
      </c>
      <c r="N560" s="5">
        <f>1/KRW!B560</f>
        <v>8.943743851176103E-4</v>
      </c>
      <c r="O560" s="5">
        <f>1/KRW!C560</f>
        <v>8.9435718747917826E-4</v>
      </c>
      <c r="P560" s="3">
        <f>1/NOK!B560</f>
        <v>0.17619282542814857</v>
      </c>
      <c r="Q560" s="3">
        <f>1/NOK!C560</f>
        <v>0.17586746627741334</v>
      </c>
      <c r="R560" s="3">
        <f>NZD!B560/1</f>
        <v>0.8135</v>
      </c>
      <c r="S560" s="3">
        <f>NZD!C560/1</f>
        <v>0.81179999999999997</v>
      </c>
      <c r="T560" s="4">
        <f>1/PHP!B560</f>
        <v>2.3078698361412416E-2</v>
      </c>
      <c r="U560" s="4">
        <f>1/PHP!C560</f>
        <v>2.3025558369790467E-2</v>
      </c>
      <c r="V560" s="4">
        <f>1/TWD!B560</f>
        <v>3.3738191632928474E-2</v>
      </c>
      <c r="W560" s="4">
        <f>1/TWD!C560</f>
        <v>3.3738419287579535E-2</v>
      </c>
      <c r="X560" s="4">
        <f>1/TWD!B560</f>
        <v>3.3738191632928474E-2</v>
      </c>
      <c r="Y560" s="4">
        <f>1/TWD!C560</f>
        <v>3.3738419287579535E-2</v>
      </c>
      <c r="Z560" s="4">
        <f>1/ZAR!B560</f>
        <v>0.13404825737265416</v>
      </c>
      <c r="AA560" s="4">
        <f>1/ZAR!C560</f>
        <v>0.13345255094551134</v>
      </c>
    </row>
    <row r="561" spans="1:27" x14ac:dyDescent="0.25">
      <c r="A561" t="str">
        <f>"16/09/2011"</f>
        <v>16/09/2011</v>
      </c>
      <c r="B561" s="3">
        <f>AUD!B561</f>
        <v>1.0347</v>
      </c>
      <c r="C561" s="3">
        <f>AUD!C561</f>
        <v>1.0307999999999999</v>
      </c>
      <c r="D561" s="3">
        <f>1/CAD!B561</f>
        <v>1.0167768174885612</v>
      </c>
      <c r="E561" s="3">
        <f>1/CAD!C561</f>
        <v>1.016053647632595</v>
      </c>
      <c r="F561" s="3">
        <f>EUR!B561/1</f>
        <v>1.3858999999999999</v>
      </c>
      <c r="G561" s="3">
        <f>EUR!C561/1</f>
        <v>1.3854</v>
      </c>
      <c r="H561" s="3">
        <f>GBP!B561/1</f>
        <v>1.5803</v>
      </c>
      <c r="I561" s="3">
        <f>GBP!C561/1</f>
        <v>1.5798000000000001</v>
      </c>
      <c r="J561" s="4">
        <f>1/INR!B561</f>
        <v>2.1077036568658447E-2</v>
      </c>
      <c r="K561" s="4">
        <f>1/INR!C561</f>
        <v>2.0987459992654389E-2</v>
      </c>
      <c r="L561" s="4">
        <f>1/JPY!B561</f>
        <v>1.3019816160195818E-2</v>
      </c>
      <c r="M561" s="4">
        <f>1/JPY!C561</f>
        <v>1.3024445581912692E-2</v>
      </c>
      <c r="N561" s="5">
        <f>1/KRW!B561</f>
        <v>9.0651558073654391E-4</v>
      </c>
      <c r="O561" s="5">
        <f>1/KRW!C561</f>
        <v>9.0649668040915644E-4</v>
      </c>
      <c r="P561" s="3">
        <f>1/NOK!B561</f>
        <v>0.17956545160711079</v>
      </c>
      <c r="Q561" s="3">
        <f>1/NOK!C561</f>
        <v>0.17925965761405396</v>
      </c>
      <c r="R561" s="3">
        <f>NZD!B561/1</f>
        <v>0.82509999999999994</v>
      </c>
      <c r="S561" s="3">
        <f>NZD!C561/1</f>
        <v>0.82330000000000003</v>
      </c>
      <c r="T561" s="4">
        <f>1/PHP!B561</f>
        <v>2.31107002542177E-2</v>
      </c>
      <c r="U561" s="4">
        <f>1/PHP!C561</f>
        <v>2.3057412958266084E-2</v>
      </c>
      <c r="V561" s="4">
        <f>1/TWD!B561</f>
        <v>3.3852403520649964E-2</v>
      </c>
      <c r="W561" s="4">
        <f>1/TWD!C561</f>
        <v>3.385263271924658E-2</v>
      </c>
      <c r="X561" s="4">
        <f>1/TWD!B561</f>
        <v>3.3852403520649964E-2</v>
      </c>
      <c r="Y561" s="4">
        <f>1/TWD!C561</f>
        <v>3.385263271924658E-2</v>
      </c>
      <c r="Z561" s="4">
        <f>1/ZAR!B561</f>
        <v>0.13568521031207598</v>
      </c>
      <c r="AA561" s="4">
        <f>1/ZAR!C561</f>
        <v>0.13509314672466666</v>
      </c>
    </row>
    <row r="562" spans="1:27" x14ac:dyDescent="0.25">
      <c r="A562" t="str">
        <f>"19/09/2011"</f>
        <v>19/09/2011</v>
      </c>
      <c r="B562" s="3">
        <f>AUD!B562</f>
        <v>1.0238</v>
      </c>
      <c r="C562" s="3">
        <f>AUD!C562</f>
        <v>1.0199</v>
      </c>
      <c r="D562" s="3">
        <f>1/CAD!B562</f>
        <v>1.016053647632595</v>
      </c>
      <c r="E562" s="3">
        <f>1/CAD!C562</f>
        <v>1.015331505736623</v>
      </c>
      <c r="F562" s="3">
        <f>EUR!B562/1</f>
        <v>1.3662000000000001</v>
      </c>
      <c r="G562" s="3">
        <f>EUR!C562/1</f>
        <v>1.3656999999999999</v>
      </c>
      <c r="H562" s="3">
        <f>GBP!B562/1</f>
        <v>1.5694999999999999</v>
      </c>
      <c r="I562" s="3">
        <f>GBP!C562/1</f>
        <v>1.5689</v>
      </c>
      <c r="J562" s="4">
        <f>1/INR!B562</f>
        <v>2.0959966464053657E-2</v>
      </c>
      <c r="K562" s="4">
        <f>1/INR!C562</f>
        <v>2.0876826722338204E-2</v>
      </c>
      <c r="L562" s="4">
        <f>1/JPY!B562</f>
        <v>1.2999675008124798E-2</v>
      </c>
      <c r="M562" s="4">
        <f>1/JPY!C562</f>
        <v>1.3004476140687624E-2</v>
      </c>
      <c r="N562" s="5">
        <f>1/KRW!B562</f>
        <v>8.9070989578694218E-4</v>
      </c>
      <c r="O562" s="5">
        <f>1/KRW!C562</f>
        <v>8.9067459248297364E-4</v>
      </c>
      <c r="P562" s="3">
        <f>1/NOK!B562</f>
        <v>0.1775568181818182</v>
      </c>
      <c r="Q562" s="3">
        <f>1/NOK!C562</f>
        <v>0.17725782150137376</v>
      </c>
      <c r="R562" s="3">
        <f>NZD!B562/1</f>
        <v>0.82289999999999996</v>
      </c>
      <c r="S562" s="3">
        <f>NZD!C562/1</f>
        <v>0.82110000000000005</v>
      </c>
      <c r="T562" s="4">
        <f>1/PHP!B562</f>
        <v>2.3009664058904738E-2</v>
      </c>
      <c r="U562" s="4">
        <f>1/PHP!C562</f>
        <v>2.2946305644791189E-2</v>
      </c>
      <c r="V562" s="4">
        <f>1/TWD!B562</f>
        <v>3.3699534946417739E-2</v>
      </c>
      <c r="W562" s="4">
        <f>1/TWD!C562</f>
        <v>3.3699762079679715E-2</v>
      </c>
      <c r="X562" s="4">
        <f>1/TWD!B562</f>
        <v>3.3699534946417739E-2</v>
      </c>
      <c r="Y562" s="4">
        <f>1/TWD!C562</f>
        <v>3.3699762079679715E-2</v>
      </c>
      <c r="Z562" s="4">
        <f>1/ZAR!B562</f>
        <v>0.13252229687644948</v>
      </c>
      <c r="AA562" s="4">
        <f>1/ZAR!C562</f>
        <v>0.13194526910237633</v>
      </c>
    </row>
    <row r="563" spans="1:27" x14ac:dyDescent="0.25">
      <c r="A563" t="str">
        <f>"20/09/2011"</f>
        <v>20/09/2011</v>
      </c>
      <c r="B563" s="3">
        <f>AUD!B563</f>
        <v>1.0205</v>
      </c>
      <c r="C563" s="3">
        <f>AUD!C563</f>
        <v>1.0164</v>
      </c>
      <c r="D563" s="3">
        <f>1/CAD!B563</f>
        <v>1.0071507704703393</v>
      </c>
      <c r="E563" s="3">
        <f>1/CAD!C563</f>
        <v>1.0064412238325282</v>
      </c>
      <c r="F563" s="3">
        <f>EUR!B563/1</f>
        <v>1.3615999999999999</v>
      </c>
      <c r="G563" s="3">
        <f>EUR!C563/1</f>
        <v>1.3612</v>
      </c>
      <c r="H563" s="3">
        <f>GBP!B563/1</f>
        <v>1.5680000000000001</v>
      </c>
      <c r="I563" s="3">
        <f>GBP!C563/1</f>
        <v>1.5673999999999999</v>
      </c>
      <c r="J563" s="4">
        <f>1/INR!B563</f>
        <v>2.0783539436766082E-2</v>
      </c>
      <c r="K563" s="4">
        <f>1/INR!C563</f>
        <v>2.070822116380203E-2</v>
      </c>
      <c r="L563" s="4">
        <f>1/JPY!B563</f>
        <v>1.3057216723683179E-2</v>
      </c>
      <c r="M563" s="4">
        <f>1/JPY!C563</f>
        <v>1.3062998924915189E-2</v>
      </c>
      <c r="N563" s="5">
        <f>1/KRW!B563</f>
        <v>8.6677645835139111E-4</v>
      </c>
      <c r="O563" s="5">
        <f>1/KRW!C563</f>
        <v>8.66742651105747E-4</v>
      </c>
      <c r="P563" s="3">
        <f>1/NOK!B563</f>
        <v>0.17499037552934588</v>
      </c>
      <c r="Q563" s="3">
        <f>1/NOK!C563</f>
        <v>0.17470300489168414</v>
      </c>
      <c r="R563" s="3">
        <f>NZD!B563/1</f>
        <v>0.82030000000000003</v>
      </c>
      <c r="S563" s="3">
        <f>NZD!C563/1</f>
        <v>0.81830000000000003</v>
      </c>
      <c r="T563" s="4">
        <f>1/PHP!B563</f>
        <v>2.2888532845044635E-2</v>
      </c>
      <c r="U563" s="4">
        <f>1/PHP!C563</f>
        <v>2.281021897810219E-2</v>
      </c>
      <c r="V563" s="4">
        <f>1/TWD!B563</f>
        <v>3.3371153974504436E-2</v>
      </c>
      <c r="W563" s="4">
        <f>1/TWD!C563</f>
        <v>3.3371376702774493E-2</v>
      </c>
      <c r="X563" s="4">
        <f>1/TWD!B563</f>
        <v>3.3371153974504436E-2</v>
      </c>
      <c r="Y563" s="4">
        <f>1/TWD!C563</f>
        <v>3.3371376702774493E-2</v>
      </c>
      <c r="Z563" s="4">
        <f>1/ZAR!B563</f>
        <v>0.12911555842479019</v>
      </c>
      <c r="AA563" s="4">
        <f>1/ZAR!C563</f>
        <v>0.1285644493584634</v>
      </c>
    </row>
    <row r="564" spans="1:27" x14ac:dyDescent="0.25">
      <c r="A564" t="str">
        <f>"21/09/2011"</f>
        <v>21/09/2011</v>
      </c>
      <c r="B564" s="3">
        <f>AUD!B564</f>
        <v>1.0285</v>
      </c>
      <c r="C564" s="3">
        <f>AUD!C564</f>
        <v>1.0245</v>
      </c>
      <c r="D564" s="3">
        <f>1/CAD!B564</f>
        <v>1.0068465565847766</v>
      </c>
      <c r="E564" s="3">
        <f>1/CAD!C564</f>
        <v>1.006137438374082</v>
      </c>
      <c r="F564" s="3">
        <f>EUR!B564/1</f>
        <v>1.3715999999999999</v>
      </c>
      <c r="G564" s="3">
        <f>EUR!C564/1</f>
        <v>1.3711</v>
      </c>
      <c r="H564" s="3">
        <f>GBP!B564/1</f>
        <v>1.5727</v>
      </c>
      <c r="I564" s="3">
        <f>GBP!C564/1</f>
        <v>1.5722</v>
      </c>
      <c r="J564" s="4">
        <f>1/INR!B564</f>
        <v>2.0874647740319382E-2</v>
      </c>
      <c r="K564" s="4">
        <f>1/INR!C564</f>
        <v>2.0794343938448742E-2</v>
      </c>
      <c r="L564" s="4">
        <f>1/JPY!B564</f>
        <v>1.3097920050296013E-2</v>
      </c>
      <c r="M564" s="4">
        <f>1/JPY!C564</f>
        <v>1.3103137415222701E-2</v>
      </c>
      <c r="N564" s="5">
        <f>1/KRW!B564</f>
        <v>8.7113705163664875E-4</v>
      </c>
      <c r="O564" s="5">
        <f>1/KRW!C564</f>
        <v>8.7110176515706173E-4</v>
      </c>
      <c r="P564" s="3">
        <f>1/NOK!B564</f>
        <v>0.17757573605142593</v>
      </c>
      <c r="Q564" s="3">
        <f>1/NOK!C564</f>
        <v>0.17726410579121832</v>
      </c>
      <c r="R564" s="3">
        <f>NZD!B564/1</f>
        <v>0.82320000000000004</v>
      </c>
      <c r="S564" s="3">
        <f>NZD!C564/1</f>
        <v>0.82130000000000003</v>
      </c>
      <c r="T564" s="4">
        <f>1/PHP!B564</f>
        <v>2.3025558369790467E-2</v>
      </c>
      <c r="U564" s="4">
        <f>1/PHP!C564</f>
        <v>2.2975301550832855E-2</v>
      </c>
      <c r="V564" s="4">
        <f>1/TWD!B564</f>
        <v>3.3454886086112877E-2</v>
      </c>
      <c r="W564" s="4">
        <f>1/TWD!C564</f>
        <v>3.3455109933491246E-2</v>
      </c>
      <c r="X564" s="4">
        <f>1/TWD!B564</f>
        <v>3.3454886086112877E-2</v>
      </c>
      <c r="Y564" s="4">
        <f>1/TWD!C564</f>
        <v>3.3455109933491246E-2</v>
      </c>
      <c r="Z564" s="4">
        <f>1/ZAR!B564</f>
        <v>0.12978585334198572</v>
      </c>
      <c r="AA564" s="4">
        <f>1/ZAR!C564</f>
        <v>0.12919228980414449</v>
      </c>
    </row>
    <row r="565" spans="1:27" x14ac:dyDescent="0.25">
      <c r="A565" t="str">
        <f>"22/09/2011"</f>
        <v>22/09/2011</v>
      </c>
      <c r="B565" s="3">
        <f>AUD!B565</f>
        <v>1.002</v>
      </c>
      <c r="C565" s="3">
        <f>AUD!C565</f>
        <v>0.99819999999999998</v>
      </c>
      <c r="D565" s="3">
        <f>1/CAD!B565</f>
        <v>0.98814229249011853</v>
      </c>
      <c r="E565" s="3">
        <f>1/CAD!C565</f>
        <v>0.98745926730522371</v>
      </c>
      <c r="F565" s="3">
        <f>EUR!B565/1</f>
        <v>1.3541000000000001</v>
      </c>
      <c r="G565" s="3">
        <f>EUR!C565/1</f>
        <v>1.3536999999999999</v>
      </c>
      <c r="H565" s="3">
        <f>GBP!B565/1</f>
        <v>1.5458000000000001</v>
      </c>
      <c r="I565" s="3">
        <f>GBP!C565/1</f>
        <v>1.5452999999999999</v>
      </c>
      <c r="J565" s="4">
        <f>1/INR!B565</f>
        <v>2.0523345305284761E-2</v>
      </c>
      <c r="K565" s="4">
        <f>1/INR!C565</f>
        <v>2.0436315332345578E-2</v>
      </c>
      <c r="L565" s="4">
        <f>1/JPY!B565</f>
        <v>1.3023546572202541E-2</v>
      </c>
      <c r="M565" s="4">
        <f>1/JPY!C565</f>
        <v>1.3028857616735307E-2</v>
      </c>
      <c r="N565" s="5">
        <f>1/KRW!B565</f>
        <v>8.477270318957296E-4</v>
      </c>
      <c r="O565" s="5">
        <f>1/KRW!C565</f>
        <v>8.4769433498591343E-4</v>
      </c>
      <c r="P565" s="3">
        <f>1/NOK!B565</f>
        <v>0.17375892686486769</v>
      </c>
      <c r="Q565" s="3">
        <f>1/NOK!C565</f>
        <v>0.17347257398605281</v>
      </c>
      <c r="R565" s="3">
        <f>NZD!B565/1</f>
        <v>0.79710000000000003</v>
      </c>
      <c r="S565" s="3">
        <f>NZD!C565/1</f>
        <v>0.7954</v>
      </c>
      <c r="T565" s="4">
        <f>1/PHP!B565</f>
        <v>2.2857142857142857E-2</v>
      </c>
      <c r="U565" s="4">
        <f>1/PHP!C565</f>
        <v>2.2786829212715052E-2</v>
      </c>
      <c r="V565" s="4">
        <f>1/TWD!B565</f>
        <v>3.2954358213873783E-2</v>
      </c>
      <c r="W565" s="4">
        <f>1/TWD!C565</f>
        <v>3.2954684014012331E-2</v>
      </c>
      <c r="X565" s="4">
        <f>1/TWD!B565</f>
        <v>3.2954358213873783E-2</v>
      </c>
      <c r="Y565" s="4">
        <f>1/TWD!C565</f>
        <v>3.2954684014012331E-2</v>
      </c>
      <c r="Z565" s="4">
        <f>1/ZAR!B565</f>
        <v>0.12190661952944046</v>
      </c>
      <c r="AA565" s="4">
        <f>1/ZAR!C565</f>
        <v>0.12136364188016555</v>
      </c>
    </row>
    <row r="566" spans="1:27" x14ac:dyDescent="0.25">
      <c r="A566" t="str">
        <f>"23/09/2011"</f>
        <v>23/09/2011</v>
      </c>
      <c r="B566" s="3">
        <f>AUD!B566</f>
        <v>0.9778</v>
      </c>
      <c r="C566" s="3">
        <f>AUD!C566</f>
        <v>0.97409999999999997</v>
      </c>
      <c r="D566" s="3">
        <f>1/CAD!B566</f>
        <v>0.97380465478625</v>
      </c>
      <c r="E566" s="3">
        <f>1/CAD!C566</f>
        <v>0.97314130011677691</v>
      </c>
      <c r="F566" s="3">
        <f>EUR!B566/1</f>
        <v>1.3507</v>
      </c>
      <c r="G566" s="3">
        <f>EUR!C566/1</f>
        <v>1.3503000000000001</v>
      </c>
      <c r="H566" s="3">
        <f>GBP!B566/1</f>
        <v>1.5387</v>
      </c>
      <c r="I566" s="3">
        <f>GBP!C566/1</f>
        <v>1.5383</v>
      </c>
      <c r="J566" s="4">
        <f>1/INR!B566</f>
        <v>2.0090406830738324E-2</v>
      </c>
      <c r="K566" s="4">
        <f>1/INR!C566</f>
        <v>1.9994001799460162E-2</v>
      </c>
      <c r="L566" s="4">
        <f>1/JPY!B566</f>
        <v>1.3099721630915342E-2</v>
      </c>
      <c r="M566" s="4">
        <f>1/JPY!C566</f>
        <v>1.3104768694280162E-2</v>
      </c>
      <c r="N566" s="5">
        <f>1/KRW!B566</f>
        <v>8.3692513704649121E-4</v>
      </c>
      <c r="O566" s="5">
        <f>1/KRW!C566</f>
        <v>8.3690797652807901E-4</v>
      </c>
      <c r="P566" s="3">
        <f>1/NOK!B566</f>
        <v>0.17153247109677863</v>
      </c>
      <c r="Q566" s="3">
        <f>1/NOK!C566</f>
        <v>0.17126220243192325</v>
      </c>
      <c r="R566" s="3">
        <f>NZD!B566/1</f>
        <v>0.78010000000000002</v>
      </c>
      <c r="S566" s="3">
        <f>NZD!C566/1</f>
        <v>0.77849999999999997</v>
      </c>
      <c r="T566" s="4">
        <f>1/PHP!B566</f>
        <v>2.2805017103762829E-2</v>
      </c>
      <c r="U566" s="4">
        <f>1/PHP!C566</f>
        <v>2.2753128555176336E-2</v>
      </c>
      <c r="V566" s="4">
        <f>1/TWD!B566</f>
        <v>3.268828451882845E-2</v>
      </c>
      <c r="W566" s="4">
        <f>1/TWD!C566</f>
        <v>3.2688605079155456E-2</v>
      </c>
      <c r="X566" s="4">
        <f>1/TWD!B566</f>
        <v>3.268828451882845E-2</v>
      </c>
      <c r="Y566" s="4">
        <f>1/TWD!C566</f>
        <v>3.2688605079155456E-2</v>
      </c>
      <c r="Z566" s="4">
        <f>1/ZAR!B566</f>
        <v>0.11956001912960305</v>
      </c>
      <c r="AA566" s="4">
        <f>1/ZAR!C566</f>
        <v>0.1190405333015892</v>
      </c>
    </row>
    <row r="567" spans="1:27" x14ac:dyDescent="0.25">
      <c r="A567" t="str">
        <f>"26/09/2011"</f>
        <v>26/09/2011</v>
      </c>
      <c r="B567" s="3">
        <f>AUD!B567</f>
        <v>0.97219999999999995</v>
      </c>
      <c r="C567" s="3">
        <f>AUD!C567</f>
        <v>0.96850000000000003</v>
      </c>
      <c r="D567" s="3">
        <f>1/CAD!B567</f>
        <v>0.96599690880989186</v>
      </c>
      <c r="E567" s="3">
        <f>1/CAD!C567</f>
        <v>0.96534414518775935</v>
      </c>
      <c r="F567" s="3">
        <f>EUR!B567/1</f>
        <v>1.3409</v>
      </c>
      <c r="G567" s="3">
        <f>EUR!C567/1</f>
        <v>1.3405</v>
      </c>
      <c r="H567" s="3">
        <f>GBP!B567/1</f>
        <v>1.5454000000000001</v>
      </c>
      <c r="I567" s="3">
        <f>GBP!C567/1</f>
        <v>1.5448999999999999</v>
      </c>
      <c r="J567" s="4">
        <f>1/INR!B567</f>
        <v>2.0242914979757085E-2</v>
      </c>
      <c r="K567" s="4">
        <f>1/INR!C567</f>
        <v>2.0154179472968207E-2</v>
      </c>
      <c r="L567" s="4">
        <f>1/JPY!B567</f>
        <v>1.308797738397508E-2</v>
      </c>
      <c r="M567" s="4">
        <f>1/JPY!C567</f>
        <v>1.3092758264476334E-2</v>
      </c>
      <c r="N567" s="5">
        <f>1/KRW!B567</f>
        <v>8.4210526315789478E-4</v>
      </c>
      <c r="O567" s="5">
        <f>1/KRW!C567</f>
        <v>8.4208611677881852E-4</v>
      </c>
      <c r="P567" s="3">
        <f>1/NOK!B567</f>
        <v>0.17042162309553838</v>
      </c>
      <c r="Q567" s="3">
        <f>1/NOK!C567</f>
        <v>0.17015773622147731</v>
      </c>
      <c r="R567" s="3">
        <f>NZD!B567/1</f>
        <v>0.7702</v>
      </c>
      <c r="S567" s="3">
        <f>NZD!C567/1</f>
        <v>0.76859999999999995</v>
      </c>
      <c r="T567" s="4">
        <f>1/PHP!B567</f>
        <v>2.2846698652044778E-2</v>
      </c>
      <c r="U567" s="4">
        <f>1/PHP!C567</f>
        <v>2.2794620469569184E-2</v>
      </c>
      <c r="V567" s="4">
        <f>1/TWD!B567</f>
        <v>3.2696834946377193E-2</v>
      </c>
      <c r="W567" s="4">
        <f>1/TWD!C567</f>
        <v>3.2697048764378525E-2</v>
      </c>
      <c r="X567" s="4">
        <f>1/TWD!B567</f>
        <v>3.2696834946377193E-2</v>
      </c>
      <c r="Y567" s="4">
        <f>1/TWD!C567</f>
        <v>3.2697048764378525E-2</v>
      </c>
      <c r="Z567" s="4">
        <f>1/ZAR!B567</f>
        <v>0.12196906864419182</v>
      </c>
      <c r="AA567" s="4">
        <f>1/ZAR!C567</f>
        <v>0.12143290831815423</v>
      </c>
    </row>
    <row r="568" spans="1:27" x14ac:dyDescent="0.25">
      <c r="A568" t="str">
        <f>"27/09/2011"</f>
        <v>27/09/2011</v>
      </c>
      <c r="B568" s="3">
        <f>AUD!B568</f>
        <v>0.98450000000000004</v>
      </c>
      <c r="C568" s="3">
        <f>AUD!C568</f>
        <v>0.98050000000000004</v>
      </c>
      <c r="D568" s="3">
        <f>1/CAD!B568</f>
        <v>0.9760858955588092</v>
      </c>
      <c r="E568" s="3">
        <f>1/CAD!C568</f>
        <v>0.97541943035505274</v>
      </c>
      <c r="F568" s="3">
        <f>EUR!B568/1</f>
        <v>1.3528</v>
      </c>
      <c r="G568" s="3">
        <f>EUR!C568/1</f>
        <v>1.3524</v>
      </c>
      <c r="H568" s="3">
        <f>GBP!B568/1</f>
        <v>1.5577000000000001</v>
      </c>
      <c r="I568" s="3">
        <f>GBP!C568/1</f>
        <v>1.5570999999999999</v>
      </c>
      <c r="J568" s="4">
        <f>1/INR!B568</f>
        <v>2.0300446609825416E-2</v>
      </c>
      <c r="K568" s="4">
        <f>1/INR!C568</f>
        <v>2.0206102242877347E-2</v>
      </c>
      <c r="L568" s="4">
        <f>1/JPY!B568</f>
        <v>1.3096890798124525E-2</v>
      </c>
      <c r="M568" s="4">
        <f>1/JPY!C568</f>
        <v>1.3101249073086629E-2</v>
      </c>
      <c r="N568" s="5">
        <f>1/KRW!B568</f>
        <v>8.4674005080440302E-4</v>
      </c>
      <c r="O568" s="5">
        <f>1/KRW!C568</f>
        <v>8.4670241162014385E-4</v>
      </c>
      <c r="P568" s="3">
        <f>1/NOK!B568</f>
        <v>0.17355687458780242</v>
      </c>
      <c r="Q568" s="3">
        <f>1/NOK!C568</f>
        <v>0.17328319672841325</v>
      </c>
      <c r="R568" s="3">
        <f>NZD!B568/1</f>
        <v>0.78169999999999995</v>
      </c>
      <c r="S568" s="3">
        <f>NZD!C568/1</f>
        <v>0.77990000000000004</v>
      </c>
      <c r="T568" s="4">
        <f>1/PHP!B568</f>
        <v>2.3036166781847504E-2</v>
      </c>
      <c r="U568" s="4">
        <f>1/PHP!C568</f>
        <v>2.2983222247759137E-2</v>
      </c>
      <c r="V568" s="4">
        <f>1/TWD!B568</f>
        <v>3.2803017877644745E-2</v>
      </c>
      <c r="W568" s="4">
        <f>1/TWD!C568</f>
        <v>3.2803340692216097E-2</v>
      </c>
      <c r="X568" s="4">
        <f>1/TWD!B568</f>
        <v>3.2803017877644745E-2</v>
      </c>
      <c r="Y568" s="4">
        <f>1/TWD!C568</f>
        <v>3.2803340692216097E-2</v>
      </c>
      <c r="Z568" s="4">
        <f>1/ZAR!B568</f>
        <v>0.12449424214130095</v>
      </c>
      <c r="AA568" s="4">
        <f>1/ZAR!C568</f>
        <v>0.12393570215772058</v>
      </c>
    </row>
    <row r="569" spans="1:27" x14ac:dyDescent="0.25">
      <c r="A569" t="str">
        <f>"28/09/2011"</f>
        <v>28/09/2011</v>
      </c>
      <c r="B569" s="3">
        <f>AUD!B569</f>
        <v>0.98609999999999998</v>
      </c>
      <c r="C569" s="3">
        <f>AUD!C569</f>
        <v>0.98229999999999995</v>
      </c>
      <c r="D569" s="3">
        <f>1/CAD!B569</f>
        <v>0.97551458394303003</v>
      </c>
      <c r="E569" s="3">
        <f>1/CAD!C569</f>
        <v>0.97475387464665164</v>
      </c>
      <c r="F569" s="3">
        <f>EUR!B569/1</f>
        <v>1.3562000000000001</v>
      </c>
      <c r="G569" s="3">
        <f>EUR!C569/1</f>
        <v>1.3556999999999999</v>
      </c>
      <c r="H569" s="3">
        <f>GBP!B569/1</f>
        <v>1.5623</v>
      </c>
      <c r="I569" s="3">
        <f>GBP!C569/1</f>
        <v>1.5618000000000001</v>
      </c>
      <c r="J569" s="4">
        <f>1/INR!B569</f>
        <v>2.0366598778004074E-2</v>
      </c>
      <c r="K569" s="4">
        <f>1/INR!C569</f>
        <v>2.0273694880892042E-2</v>
      </c>
      <c r="L569" s="4">
        <f>1/JPY!B569</f>
        <v>1.3064551951190833E-2</v>
      </c>
      <c r="M569" s="4">
        <f>1/JPY!C569</f>
        <v>1.3069298649157292E-2</v>
      </c>
      <c r="N569" s="5">
        <f>1/KRW!B569</f>
        <v>8.4907662916578223E-4</v>
      </c>
      <c r="O569" s="5">
        <f>1/KRW!C569</f>
        <v>8.4903950283642875E-4</v>
      </c>
      <c r="P569" s="3">
        <f>1/NOK!B569</f>
        <v>0.17309123639070154</v>
      </c>
      <c r="Q569" s="3">
        <f>1/NOK!C569</f>
        <v>0.17281006445815406</v>
      </c>
      <c r="R569" s="3">
        <f>NZD!B569/1</f>
        <v>0.78459999999999996</v>
      </c>
      <c r="S569" s="3">
        <f>NZD!C569/1</f>
        <v>0.78290000000000004</v>
      </c>
      <c r="T569" s="4">
        <f>1/PHP!B569</f>
        <v>2.2972662531587411E-2</v>
      </c>
      <c r="U569" s="4">
        <f>1/PHP!C569</f>
        <v>2.293052052281587E-2</v>
      </c>
      <c r="V569" s="4">
        <f>1/TWD!B569</f>
        <v>3.2827785437594383E-2</v>
      </c>
      <c r="W569" s="4">
        <f>1/TWD!C569</f>
        <v>3.2828108739827389E-2</v>
      </c>
      <c r="X569" s="4">
        <f>1/TWD!B569</f>
        <v>3.2827785437594383E-2</v>
      </c>
      <c r="Y569" s="4">
        <f>1/TWD!C569</f>
        <v>3.2828108739827389E-2</v>
      </c>
      <c r="Z569" s="4">
        <f>1/ZAR!B569</f>
        <v>0.1265022137887413</v>
      </c>
      <c r="AA569" s="4">
        <f>1/ZAR!C569</f>
        <v>0.12590652699435939</v>
      </c>
    </row>
    <row r="570" spans="1:27" x14ac:dyDescent="0.25">
      <c r="A570" t="str">
        <f>"29/09/2011"</f>
        <v>29/09/2011</v>
      </c>
      <c r="B570" s="3">
        <f>AUD!B570</f>
        <v>0.98080000000000001</v>
      </c>
      <c r="C570" s="3">
        <f>AUD!C570</f>
        <v>0.97699999999999998</v>
      </c>
      <c r="D570" s="3">
        <f>1/CAD!B570</f>
        <v>0.96983803704781313</v>
      </c>
      <c r="E570" s="3">
        <f>1/CAD!C570</f>
        <v>0.96908615175889135</v>
      </c>
      <c r="F570" s="3">
        <f>EUR!B570/1</f>
        <v>1.3628</v>
      </c>
      <c r="G570" s="3">
        <f>EUR!C570/1</f>
        <v>1.3624000000000001</v>
      </c>
      <c r="H570" s="3">
        <f>GBP!B570/1</f>
        <v>1.5633999999999999</v>
      </c>
      <c r="I570" s="3">
        <f>GBP!C570/1</f>
        <v>1.5629</v>
      </c>
      <c r="J570" s="4">
        <f>1/INR!B570</f>
        <v>2.0447806972702178E-2</v>
      </c>
      <c r="K570" s="4">
        <f>1/INR!C570</f>
        <v>2.0347949944043136E-2</v>
      </c>
      <c r="L570" s="4">
        <f>1/JPY!B570</f>
        <v>1.3063101310882216E-2</v>
      </c>
      <c r="M570" s="4">
        <f>1/JPY!C570</f>
        <v>1.3068120190115013E-2</v>
      </c>
      <c r="N570" s="5">
        <f>1/KRW!B570</f>
        <v>8.4947332653754668E-4</v>
      </c>
      <c r="O570" s="5">
        <f>1/KRW!C570</f>
        <v>8.4943688705165117E-4</v>
      </c>
      <c r="P570" s="3">
        <f>1/NOK!B570</f>
        <v>0.17331623279836389</v>
      </c>
      <c r="Q570" s="3">
        <f>1/NOK!C570</f>
        <v>0.17303433001107418</v>
      </c>
      <c r="R570" s="3">
        <f>NZD!B570/1</f>
        <v>0.77990000000000004</v>
      </c>
      <c r="S570" s="3">
        <f>NZD!C570/1</f>
        <v>0.7782</v>
      </c>
      <c r="T570" s="4">
        <f>1/PHP!B570</f>
        <v>2.293052052281587E-2</v>
      </c>
      <c r="U570" s="4">
        <f>1/PHP!C570</f>
        <v>2.2891152569531874E-2</v>
      </c>
      <c r="V570" s="4">
        <f>1/TWD!B570</f>
        <v>3.2847194849559849E-2</v>
      </c>
      <c r="W570" s="4">
        <f>1/TWD!C570</f>
        <v>3.2847410638619359E-2</v>
      </c>
      <c r="X570" s="4">
        <f>1/TWD!B570</f>
        <v>3.2847194849559849E-2</v>
      </c>
      <c r="Y570" s="4">
        <f>1/TWD!C570</f>
        <v>3.2847410638619359E-2</v>
      </c>
      <c r="Z570" s="4">
        <f>1/ZAR!B570</f>
        <v>0.12706480304955528</v>
      </c>
      <c r="AA570" s="4">
        <f>1/ZAR!C570</f>
        <v>0.12647821412761651</v>
      </c>
    </row>
    <row r="571" spans="1:27" x14ac:dyDescent="0.25">
      <c r="A571" t="str">
        <f>"30/09/2011"</f>
        <v>30/09/2011</v>
      </c>
      <c r="B571" s="3">
        <f>AUD!B571</f>
        <v>0.97550000000000003</v>
      </c>
      <c r="C571" s="3">
        <f>AUD!C571</f>
        <v>0.97150000000000003</v>
      </c>
      <c r="D571" s="3">
        <f>1/CAD!B571</f>
        <v>0.96153846153846145</v>
      </c>
      <c r="E571" s="3">
        <f>1/CAD!C571</f>
        <v>0.96079938508839358</v>
      </c>
      <c r="F571" s="3">
        <f>EUR!B571/1</f>
        <v>1.3531</v>
      </c>
      <c r="G571" s="3">
        <f>EUR!C571/1</f>
        <v>1.3527</v>
      </c>
      <c r="H571" s="3">
        <f>GBP!B571/1</f>
        <v>1.5587</v>
      </c>
      <c r="I571" s="3">
        <f>GBP!C571/1</f>
        <v>1.5582</v>
      </c>
      <c r="J571" s="4">
        <f>1/INR!B571</f>
        <v>2.0416496529195593E-2</v>
      </c>
      <c r="K571" s="4">
        <f>1/INR!C571</f>
        <v>2.0331401850157568E-2</v>
      </c>
      <c r="L571" s="4">
        <f>1/JPY!B571</f>
        <v>1.3061650992685475E-2</v>
      </c>
      <c r="M571" s="4">
        <f>1/JPY!C571</f>
        <v>1.3066190708893111E-2</v>
      </c>
      <c r="N571" s="5">
        <f>1/KRW!B571</f>
        <v>8.4817642069550466E-4</v>
      </c>
      <c r="O571" s="5">
        <f>1/KRW!C571</f>
        <v>8.4814117140169748E-4</v>
      </c>
      <c r="P571" s="3">
        <f>1/NOK!B571</f>
        <v>0.17161489617298781</v>
      </c>
      <c r="Q571" s="3">
        <f>1/NOK!C571</f>
        <v>0.17135023989033585</v>
      </c>
      <c r="R571" s="3">
        <f>NZD!B571/1</f>
        <v>0.76500000000000001</v>
      </c>
      <c r="S571" s="3">
        <f>NZD!C571/1</f>
        <v>0.76339999999999997</v>
      </c>
      <c r="T571" s="4">
        <f>1/PHP!B571</f>
        <v>2.2799817601459188E-2</v>
      </c>
      <c r="U571" s="4">
        <f>1/PHP!C571</f>
        <v>2.2753128555176336E-2</v>
      </c>
      <c r="V571" s="4">
        <f>1/TWD!B571</f>
        <v>3.2719301115728169E-2</v>
      </c>
      <c r="W571" s="4">
        <f>1/TWD!C571</f>
        <v>3.2719515227662387E-2</v>
      </c>
      <c r="X571" s="4">
        <f>1/TWD!B571</f>
        <v>3.2719301115728169E-2</v>
      </c>
      <c r="Y571" s="4">
        <f>1/TWD!C571</f>
        <v>3.2719515227662387E-2</v>
      </c>
      <c r="Z571" s="4">
        <f>1/ZAR!B571</f>
        <v>0.1248532973755837</v>
      </c>
      <c r="AA571" s="4">
        <f>1/ZAR!C571</f>
        <v>0.12428690388893723</v>
      </c>
    </row>
    <row r="572" spans="1:27" x14ac:dyDescent="0.25">
      <c r="A572" t="str">
        <f>"03/10/2011"</f>
        <v>03/10/2011</v>
      </c>
      <c r="B572" s="3">
        <f>AUD!B572</f>
        <v>0.96160000000000001</v>
      </c>
      <c r="C572" s="3">
        <f>AUD!C572</f>
        <v>0.9577</v>
      </c>
      <c r="D572" s="3">
        <f>1/CAD!B572</f>
        <v>0.95093191327500948</v>
      </c>
      <c r="E572" s="3">
        <f>1/CAD!C572</f>
        <v>0.9502090459901178</v>
      </c>
      <c r="F572" s="3">
        <f>EUR!B572/1</f>
        <v>1.3326</v>
      </c>
      <c r="G572" s="3">
        <f>EUR!C572/1</f>
        <v>1.3323</v>
      </c>
      <c r="H572" s="3">
        <f>GBP!B572/1</f>
        <v>1.5503</v>
      </c>
      <c r="I572" s="3">
        <f>GBP!C572/1</f>
        <v>1.5498000000000001</v>
      </c>
      <c r="J572" s="4">
        <f>1/INR!B572</f>
        <v>2.0202020202020204E-2</v>
      </c>
      <c r="K572" s="4">
        <f>1/INR!C572</f>
        <v>2.0095453403667418E-2</v>
      </c>
      <c r="L572" s="4">
        <f>1/JPY!B572</f>
        <v>1.2988699831146902E-2</v>
      </c>
      <c r="M572" s="4">
        <f>1/JPY!C572</f>
        <v>1.2994556580248534E-2</v>
      </c>
      <c r="N572" s="5">
        <f>1/KRW!B572</f>
        <v>8.3378496685704761E-4</v>
      </c>
      <c r="O572" s="5">
        <f>1/KRW!C572</f>
        <v>8.3376098323765244E-4</v>
      </c>
      <c r="P572" s="3">
        <f>1/NOK!B572</f>
        <v>0.16936808766492217</v>
      </c>
      <c r="Q572" s="3">
        <f>1/NOK!C572</f>
        <v>0.16911031065564069</v>
      </c>
      <c r="R572" s="3">
        <f>NZD!B572/1</f>
        <v>0.75990000000000002</v>
      </c>
      <c r="S572" s="3">
        <f>NZD!C572/1</f>
        <v>0.7581</v>
      </c>
      <c r="T572" s="4">
        <f>1/PHP!B572</f>
        <v>2.2696323195642305E-2</v>
      </c>
      <c r="U572" s="4">
        <f>1/PHP!C572</f>
        <v>2.2637238256932656E-2</v>
      </c>
      <c r="V572" s="4">
        <f>1/TWD!B572</f>
        <v>3.2639206214504862E-2</v>
      </c>
      <c r="W572" s="4">
        <f>1/TWD!C572</f>
        <v>3.2639312746630809E-2</v>
      </c>
      <c r="X572" s="4">
        <f>1/TWD!B572</f>
        <v>3.2639206214504862E-2</v>
      </c>
      <c r="Y572" s="4">
        <f>1/TWD!C572</f>
        <v>3.2639312746630809E-2</v>
      </c>
      <c r="Z572" s="4">
        <f>1/ZAR!B572</f>
        <v>0.12272197336933177</v>
      </c>
      <c r="AA572" s="4">
        <f>1/ZAR!C572</f>
        <v>0.12216724696108974</v>
      </c>
    </row>
    <row r="573" spans="1:27" x14ac:dyDescent="0.25">
      <c r="A573" t="str">
        <f>"04/10/2011"</f>
        <v>04/10/2011</v>
      </c>
      <c r="B573" s="3">
        <f>AUD!B573</f>
        <v>0.95040000000000002</v>
      </c>
      <c r="C573" s="3">
        <f>AUD!C573</f>
        <v>0.9466</v>
      </c>
      <c r="D573" s="3">
        <f>1/CAD!B573</f>
        <v>0.94912680334092625</v>
      </c>
      <c r="E573" s="3">
        <f>1/CAD!C573</f>
        <v>0.9484066767830045</v>
      </c>
      <c r="F573" s="3">
        <f>EUR!B573/1</f>
        <v>1.3201000000000001</v>
      </c>
      <c r="G573" s="3">
        <f>EUR!C573/1</f>
        <v>1.3197000000000001</v>
      </c>
      <c r="H573" s="3">
        <f>GBP!B573/1</f>
        <v>1.5444</v>
      </c>
      <c r="I573" s="3">
        <f>GBP!C573/1</f>
        <v>1.5439000000000001</v>
      </c>
      <c r="J573" s="4">
        <f>1/INR!B573</f>
        <v>2.0292207792207792E-2</v>
      </c>
      <c r="K573" s="4">
        <f>1/INR!C573</f>
        <v>2.0198959753572689E-2</v>
      </c>
      <c r="L573" s="4">
        <f>1/JPY!B573</f>
        <v>1.3036279967148574E-2</v>
      </c>
      <c r="M573" s="4">
        <f>1/JPY!C573</f>
        <v>1.3042196723278495E-2</v>
      </c>
      <c r="N573" s="5">
        <f>1/KRW!B573</f>
        <v>8.3580592586401437E-4</v>
      </c>
      <c r="O573" s="5">
        <f>1/KRW!C573</f>
        <v>8.3577379280833357E-4</v>
      </c>
      <c r="P573" s="3">
        <f>1/NOK!B573</f>
        <v>0.16895887540972529</v>
      </c>
      <c r="Q573" s="3">
        <f>1/NOK!C573</f>
        <v>0.1686852670287777</v>
      </c>
      <c r="R573" s="3">
        <f>NZD!B573/1</f>
        <v>0.75609999999999999</v>
      </c>
      <c r="S573" s="3">
        <f>NZD!C573/1</f>
        <v>0.75429999999999997</v>
      </c>
      <c r="T573" s="4">
        <f>1/PHP!B573</f>
        <v>2.2644927536231887E-2</v>
      </c>
      <c r="U573" s="4">
        <f>1/PHP!C573</f>
        <v>2.2593764121102578E-2</v>
      </c>
      <c r="V573" s="4">
        <f>1/TWD!B573</f>
        <v>3.2611531437516307E-2</v>
      </c>
      <c r="W573" s="4">
        <f>1/TWD!C573</f>
        <v>3.2611744141300164E-2</v>
      </c>
      <c r="X573" s="4">
        <f>1/TWD!B573</f>
        <v>3.2611531437516307E-2</v>
      </c>
      <c r="Y573" s="4">
        <f>1/TWD!C573</f>
        <v>3.2611744141300164E-2</v>
      </c>
      <c r="Z573" s="4">
        <f>1/ZAR!B573</f>
        <v>0.12096725416429772</v>
      </c>
      <c r="AA573" s="4">
        <f>1/ZAR!C573</f>
        <v>0.12037025891642693</v>
      </c>
    </row>
    <row r="574" spans="1:27" x14ac:dyDescent="0.25">
      <c r="A574" t="str">
        <f>"05/10/2011"</f>
        <v>05/10/2011</v>
      </c>
      <c r="B574" s="3">
        <f>AUD!B574</f>
        <v>0.95379999999999998</v>
      </c>
      <c r="C574" s="3">
        <f>AUD!C574</f>
        <v>0.95</v>
      </c>
      <c r="D574" s="3">
        <f>1/CAD!B574</f>
        <v>0.94867659614837296</v>
      </c>
      <c r="E574" s="3">
        <f>1/CAD!C574</f>
        <v>0.94786729857819907</v>
      </c>
      <c r="F574" s="3">
        <f>EUR!B574/1</f>
        <v>1.3299000000000001</v>
      </c>
      <c r="G574" s="3">
        <f>EUR!C574/1</f>
        <v>1.3294999999999999</v>
      </c>
      <c r="H574" s="3">
        <f>GBP!B574/1</f>
        <v>1.5437000000000001</v>
      </c>
      <c r="I574" s="3">
        <f>GBP!C574/1</f>
        <v>1.5431999999999999</v>
      </c>
      <c r="J574" s="4">
        <f>1/INR!B574</f>
        <v>2.0343810395687112E-2</v>
      </c>
      <c r="K574" s="4">
        <f>1/INR!C574</f>
        <v>2.0253164556962026E-2</v>
      </c>
      <c r="L574" s="4">
        <f>1/JPY!B574</f>
        <v>1.3048016701461378E-2</v>
      </c>
      <c r="M574" s="4">
        <f>1/JPY!C574</f>
        <v>1.3052887690343734E-2</v>
      </c>
      <c r="N574" s="5">
        <f>1/KRW!B574</f>
        <v>8.3769633507853401E-4</v>
      </c>
      <c r="O574" s="5">
        <f>1/KRW!C574</f>
        <v>8.3767949377352839E-4</v>
      </c>
      <c r="P574" s="3">
        <f>1/NOK!B574</f>
        <v>0.16937956266196921</v>
      </c>
      <c r="Q574" s="3">
        <f>1/NOK!C574</f>
        <v>0.16912175074836375</v>
      </c>
      <c r="R574" s="3">
        <f>NZD!B574/1</f>
        <v>0.76060000000000005</v>
      </c>
      <c r="S574" s="3">
        <f>NZD!C574/1</f>
        <v>0.75890000000000002</v>
      </c>
      <c r="T574" s="4">
        <f>1/PHP!B574</f>
        <v>2.273760800363802E-2</v>
      </c>
      <c r="U574" s="4">
        <f>1/PHP!C574</f>
        <v>2.2686025408348458E-2</v>
      </c>
      <c r="V574" s="4">
        <f>1/TWD!B574</f>
        <v>3.2655193808575254E-2</v>
      </c>
      <c r="W574" s="4">
        <f>1/TWD!C574</f>
        <v>3.2655300445091746E-2</v>
      </c>
      <c r="X574" s="4">
        <f>1/TWD!B574</f>
        <v>3.2655193808575254E-2</v>
      </c>
      <c r="Y574" s="4">
        <f>1/TWD!C574</f>
        <v>3.2655300445091746E-2</v>
      </c>
      <c r="Z574" s="4">
        <f>1/ZAR!B574</f>
        <v>0.12300123001230011</v>
      </c>
      <c r="AA574" s="4">
        <f>1/ZAR!C574</f>
        <v>0.12241849988370243</v>
      </c>
    </row>
    <row r="575" spans="1:27" x14ac:dyDescent="0.25">
      <c r="A575" t="str">
        <f>"07/10/2011"</f>
        <v>07/10/2011</v>
      </c>
      <c r="B575" s="3">
        <f>AUD!B575</f>
        <v>0.97850000000000004</v>
      </c>
      <c r="C575" s="3">
        <f>AUD!C575</f>
        <v>0.97430000000000005</v>
      </c>
      <c r="D575" s="3">
        <f>1/CAD!B575</f>
        <v>0.96311278050659732</v>
      </c>
      <c r="E575" s="3">
        <f>1/CAD!C575</f>
        <v>0.96227867590454208</v>
      </c>
      <c r="F575" s="3">
        <f>EUR!B575/1</f>
        <v>1.3431</v>
      </c>
      <c r="G575" s="3">
        <f>EUR!C575/1</f>
        <v>1.3425</v>
      </c>
      <c r="H575" s="3">
        <f>GBP!B575/1</f>
        <v>1.5462</v>
      </c>
      <c r="I575" s="3">
        <f>GBP!C575/1</f>
        <v>1.5456000000000001</v>
      </c>
      <c r="J575" s="4">
        <f>1/INR!B575</f>
        <v>2.0380088653385642E-2</v>
      </c>
      <c r="K575" s="4">
        <f>1/INR!C575</f>
        <v>2.0290149132596125E-2</v>
      </c>
      <c r="L575" s="4">
        <f>1/JPY!B575</f>
        <v>1.3048016701461378E-2</v>
      </c>
      <c r="M575" s="4">
        <f>1/JPY!C575</f>
        <v>1.3052768426919508E-2</v>
      </c>
      <c r="N575" s="5">
        <f>1/KRW!B575</f>
        <v>8.4796065462562544E-4</v>
      </c>
      <c r="O575" s="5">
        <f>1/KRW!C575</f>
        <v>8.4792506377456389E-4</v>
      </c>
      <c r="P575" s="3">
        <f>1/NOK!B575</f>
        <v>0.17145306472353194</v>
      </c>
      <c r="Q575" s="3">
        <f>1/NOK!C575</f>
        <v>0.17115667682196281</v>
      </c>
      <c r="R575" s="3">
        <f>NZD!B575/1</f>
        <v>0.77349999999999997</v>
      </c>
      <c r="S575" s="3">
        <f>NZD!C575/1</f>
        <v>0.77159999999999995</v>
      </c>
      <c r="T575" s="4">
        <f>1/PHP!B575</f>
        <v>2.2972662531587411E-2</v>
      </c>
      <c r="U575" s="4">
        <f>1/PHP!C575</f>
        <v>2.2909507445589922E-2</v>
      </c>
      <c r="V575" s="4">
        <f>1/TWD!B575</f>
        <v>3.276003276003276E-2</v>
      </c>
      <c r="W575" s="4">
        <f>1/TWD!C575</f>
        <v>3.276024740538841E-2</v>
      </c>
      <c r="X575" s="4">
        <f>1/TWD!B575</f>
        <v>3.276003276003276E-2</v>
      </c>
      <c r="Y575" s="4">
        <f>1/TWD!C575</f>
        <v>3.276024740538841E-2</v>
      </c>
      <c r="Z575" s="4">
        <f>1/ZAR!B575</f>
        <v>0.12586215576700399</v>
      </c>
      <c r="AA575" s="4">
        <f>1/ZAR!C575</f>
        <v>0.12523324692239296</v>
      </c>
    </row>
    <row r="576" spans="1:27" x14ac:dyDescent="0.25">
      <c r="A576" t="str">
        <f>"10/10/2011"</f>
        <v>10/10/2011</v>
      </c>
      <c r="B576" s="3">
        <f>AUD!B576</f>
        <v>0.98250000000000004</v>
      </c>
      <c r="C576" s="3">
        <f>AUD!C576</f>
        <v>0.97840000000000005</v>
      </c>
      <c r="D576" s="3">
        <f>1/CAD!B576</f>
        <v>0.96739866498984228</v>
      </c>
      <c r="E576" s="3">
        <f>1/CAD!C576</f>
        <v>0.96655712352600043</v>
      </c>
      <c r="F576" s="3">
        <f>EUR!B576/1</f>
        <v>1.3460000000000001</v>
      </c>
      <c r="G576" s="3">
        <f>EUR!C576/1</f>
        <v>1.3453999999999999</v>
      </c>
      <c r="H576" s="3">
        <f>GBP!B576/1</f>
        <v>1.5608</v>
      </c>
      <c r="I576" s="3">
        <f>GBP!C576/1</f>
        <v>1.5602</v>
      </c>
      <c r="J576" s="4">
        <f>1/INR!B576</f>
        <v>2.036867298095529E-2</v>
      </c>
      <c r="K576" s="4">
        <f>1/INR!C576</f>
        <v>2.0271639975674032E-2</v>
      </c>
      <c r="L576" s="4">
        <f>1/JPY!B576</f>
        <v>1.3032372413074075E-2</v>
      </c>
      <c r="M576" s="4">
        <f>1/JPY!C576</f>
        <v>1.3037469687882976E-2</v>
      </c>
      <c r="N576" s="5">
        <f>1/KRW!B576</f>
        <v>8.5291483645358009E-4</v>
      </c>
      <c r="O576" s="5">
        <f>1/KRW!C576</f>
        <v>8.5287882851975633E-4</v>
      </c>
      <c r="P576" s="3">
        <f>1/NOK!B576</f>
        <v>0.17216445148405757</v>
      </c>
      <c r="Q576" s="3">
        <f>1/NOK!C576</f>
        <v>0.1718537867981921</v>
      </c>
      <c r="R576" s="3">
        <f>NZD!B576/1</f>
        <v>0.7732</v>
      </c>
      <c r="S576" s="3">
        <f>NZD!C576/1</f>
        <v>0.77139999999999997</v>
      </c>
      <c r="T576" s="4">
        <f>1/PHP!B576</f>
        <v>2.2999080036798531E-2</v>
      </c>
      <c r="U576" s="4">
        <f>1/PHP!C576</f>
        <v>2.2941041523285157E-2</v>
      </c>
      <c r="V576" s="4">
        <f>1/TWD!B576</f>
        <v>3.2873109796186718E-2</v>
      </c>
      <c r="W576" s="4">
        <f>1/TWD!C576</f>
        <v>3.2873217860676728E-2</v>
      </c>
      <c r="X576" s="4">
        <f>1/TWD!B576</f>
        <v>3.2873109796186718E-2</v>
      </c>
      <c r="Y576" s="4">
        <f>1/TWD!C576</f>
        <v>3.2873217860676728E-2</v>
      </c>
      <c r="Z576" s="4">
        <f>1/ZAR!B576</f>
        <v>0.12538713277243491</v>
      </c>
      <c r="AA576" s="4">
        <f>1/ZAR!C576</f>
        <v>0.12476450699305061</v>
      </c>
    </row>
    <row r="577" spans="1:27" x14ac:dyDescent="0.25">
      <c r="A577" t="str">
        <f>"11/10/2011"</f>
        <v>11/10/2011</v>
      </c>
      <c r="B577" s="3">
        <f>AUD!B577</f>
        <v>0.99639999999999995</v>
      </c>
      <c r="C577" s="3">
        <f>AUD!C577</f>
        <v>0.99229999999999996</v>
      </c>
      <c r="D577" s="3">
        <f>1/CAD!B577</f>
        <v>0.97134531325886342</v>
      </c>
      <c r="E577" s="3">
        <f>1/CAD!C577</f>
        <v>0.97059108997379406</v>
      </c>
      <c r="F577" s="3">
        <f>EUR!B577/1</f>
        <v>1.3631</v>
      </c>
      <c r="G577" s="3">
        <f>EUR!C577/1</f>
        <v>1.3626</v>
      </c>
      <c r="H577" s="3">
        <f>GBP!B577/1</f>
        <v>1.5619000000000001</v>
      </c>
      <c r="I577" s="3">
        <f>GBP!C577/1</f>
        <v>1.5612999999999999</v>
      </c>
      <c r="J577" s="4">
        <f>1/INR!B577</f>
        <v>2.0433183489987742E-2</v>
      </c>
      <c r="K577" s="4">
        <f>1/INR!C577</f>
        <v>2.0338638328163929E-2</v>
      </c>
      <c r="L577" s="4">
        <f>1/JPY!B577</f>
        <v>1.3043591683405943E-2</v>
      </c>
      <c r="M577" s="4">
        <f>1/JPY!C577</f>
        <v>1.3047999676409607E-2</v>
      </c>
      <c r="N577" s="5">
        <f>1/KRW!B577</f>
        <v>8.5748585148345054E-4</v>
      </c>
      <c r="O577" s="5">
        <f>1/KRW!C577</f>
        <v>8.5745202984619016E-4</v>
      </c>
      <c r="P577" s="3">
        <f>1/NOK!B577</f>
        <v>0.17506696311339087</v>
      </c>
      <c r="Q577" s="3">
        <f>1/NOK!C577</f>
        <v>0.17475185236963511</v>
      </c>
      <c r="R577" s="3">
        <f>NZD!B577/1</f>
        <v>0.78190000000000004</v>
      </c>
      <c r="S577" s="3">
        <f>NZD!C577/1</f>
        <v>0.7802</v>
      </c>
      <c r="T577" s="4">
        <f>1/PHP!B577</f>
        <v>2.3105360443622922E-2</v>
      </c>
      <c r="U577" s="4">
        <f>1/PHP!C577</f>
        <v>2.3054755043227664E-2</v>
      </c>
      <c r="V577" s="4">
        <f>1/TWD!B577</f>
        <v>3.2948929159802305E-2</v>
      </c>
      <c r="W577" s="4">
        <f>1/TWD!C577</f>
        <v>3.2949037723353287E-2</v>
      </c>
      <c r="X577" s="4">
        <f>1/TWD!B577</f>
        <v>3.2948929159802305E-2</v>
      </c>
      <c r="Y577" s="4">
        <f>1/TWD!C577</f>
        <v>3.2949037723353287E-2</v>
      </c>
      <c r="Z577" s="4">
        <f>1/ZAR!B577</f>
        <v>0.12719086260843021</v>
      </c>
      <c r="AA577" s="4">
        <f>1/ZAR!C577</f>
        <v>0.12657426745142714</v>
      </c>
    </row>
    <row r="578" spans="1:27" x14ac:dyDescent="0.25">
      <c r="A578" t="str">
        <f>"12/10/2011"</f>
        <v>12/10/2011</v>
      </c>
      <c r="B578" s="3">
        <f>AUD!B578</f>
        <v>0.99209999999999998</v>
      </c>
      <c r="C578" s="3">
        <f>AUD!C578</f>
        <v>0.98819999999999997</v>
      </c>
      <c r="D578" s="3">
        <f>1/CAD!B578</f>
        <v>0.9722897423432183</v>
      </c>
      <c r="E578" s="3">
        <f>1/CAD!C578</f>
        <v>0.97143967359626959</v>
      </c>
      <c r="F578" s="3">
        <f>EUR!B578/1</f>
        <v>1.3622000000000001</v>
      </c>
      <c r="G578" s="3">
        <f>EUR!C578/1</f>
        <v>1.3616999999999999</v>
      </c>
      <c r="H578" s="3">
        <f>GBP!B578/1</f>
        <v>1.5567</v>
      </c>
      <c r="I578" s="3">
        <f>GBP!C578/1</f>
        <v>1.5561</v>
      </c>
      <c r="J578" s="4">
        <f>1/INR!B578</f>
        <v>2.0290149132596125E-2</v>
      </c>
      <c r="K578" s="4">
        <f>1/INR!C578</f>
        <v>2.0206102242877347E-2</v>
      </c>
      <c r="L578" s="4">
        <f>1/JPY!B578</f>
        <v>1.3035600224212325E-2</v>
      </c>
      <c r="M578" s="4">
        <f>1/JPY!C578</f>
        <v>1.3040087838031678E-2</v>
      </c>
      <c r="N578" s="5">
        <f>1/KRW!B578</f>
        <v>8.5389804457347801E-4</v>
      </c>
      <c r="O578" s="5">
        <f>1/KRW!C578</f>
        <v>8.5387981641583943E-4</v>
      </c>
      <c r="P578" s="3">
        <f>1/NOK!B578</f>
        <v>0.17533401129151033</v>
      </c>
      <c r="Q578" s="3">
        <f>1/NOK!C578</f>
        <v>0.1750393838613688</v>
      </c>
      <c r="R578" s="3">
        <f>NZD!B578/1</f>
        <v>0.77949999999999997</v>
      </c>
      <c r="S578" s="3">
        <f>NZD!C578/1</f>
        <v>0.77780000000000005</v>
      </c>
      <c r="T578" s="4">
        <f>1/PHP!B578</f>
        <v>2.2962112514351322E-2</v>
      </c>
      <c r="U578" s="4">
        <f>1/PHP!C578</f>
        <v>2.2904260192395786E-2</v>
      </c>
      <c r="V578" s="4">
        <f>1/TWD!B578</f>
        <v>3.2862306933946761E-2</v>
      </c>
      <c r="W578" s="4">
        <f>1/TWD!C578</f>
        <v>3.2862522921609738E-2</v>
      </c>
      <c r="X578" s="4">
        <f>1/TWD!B578</f>
        <v>3.2862306933946761E-2</v>
      </c>
      <c r="Y578" s="4">
        <f>1/TWD!C578</f>
        <v>3.2862522921609738E-2</v>
      </c>
      <c r="Z578" s="4">
        <f>1/ZAR!B578</f>
        <v>0.12572606804294803</v>
      </c>
      <c r="AA578" s="4">
        <f>1/ZAR!C578</f>
        <v>0.12512669077440908</v>
      </c>
    </row>
    <row r="579" spans="1:27" x14ac:dyDescent="0.25">
      <c r="A579" t="str">
        <f>"13/10/2011"</f>
        <v>13/10/2011</v>
      </c>
      <c r="B579" s="3">
        <f>AUD!B579</f>
        <v>1.0202</v>
      </c>
      <c r="C579" s="3">
        <f>AUD!C579</f>
        <v>1.0162</v>
      </c>
      <c r="D579" s="3">
        <f>1/CAD!B579</f>
        <v>0.98241477551822376</v>
      </c>
      <c r="E579" s="3">
        <f>1/CAD!C579</f>
        <v>0.9816432708353785</v>
      </c>
      <c r="F579" s="3">
        <f>EUR!B579/1</f>
        <v>1.3801000000000001</v>
      </c>
      <c r="G579" s="3">
        <f>EUR!C579/1</f>
        <v>1.3795999999999999</v>
      </c>
      <c r="H579" s="3">
        <f>GBP!B579/1</f>
        <v>1.5750999999999999</v>
      </c>
      <c r="I579" s="3">
        <f>GBP!C579/1</f>
        <v>1.5746</v>
      </c>
      <c r="J579" s="4">
        <f>1/INR!B579</f>
        <v>2.0433183489987742E-2</v>
      </c>
      <c r="K579" s="4">
        <f>1/INR!C579</f>
        <v>2.0339672531272248E-2</v>
      </c>
      <c r="L579" s="4">
        <f>1/JPY!B579</f>
        <v>1.2974880631098194E-2</v>
      </c>
      <c r="M579" s="4">
        <f>1/JPY!C579</f>
        <v>1.2978905385077632E-2</v>
      </c>
      <c r="N579" s="5">
        <f>1/KRW!B579</f>
        <v>8.6396820597002023E-4</v>
      </c>
      <c r="O579" s="5">
        <f>1/KRW!C579</f>
        <v>8.6393275147462524E-4</v>
      </c>
      <c r="P579" s="3">
        <f>1/NOK!B579</f>
        <v>0.17785366200690073</v>
      </c>
      <c r="Q579" s="3">
        <f>1/NOK!C579</f>
        <v>0.1775568181818182</v>
      </c>
      <c r="R579" s="3">
        <f>NZD!B579/1</f>
        <v>0.79479999999999995</v>
      </c>
      <c r="S579" s="3">
        <f>NZD!C579/1</f>
        <v>0.79310000000000003</v>
      </c>
      <c r="T579" s="4">
        <f>1/PHP!B579</f>
        <v>2.3084025854108955E-2</v>
      </c>
      <c r="U579" s="4">
        <f>1/PHP!C579</f>
        <v>2.3028209556706966E-2</v>
      </c>
      <c r="V579" s="4">
        <f>1/TWD!B579</f>
        <v>3.2976092333058531E-2</v>
      </c>
      <c r="W579" s="4">
        <f>1/TWD!C579</f>
        <v>3.2976309819026009E-2</v>
      </c>
      <c r="X579" s="4">
        <f>1/TWD!B579</f>
        <v>3.2976092333058531E-2</v>
      </c>
      <c r="Y579" s="4">
        <f>1/TWD!C579</f>
        <v>3.2976309819026009E-2</v>
      </c>
      <c r="Z579" s="4">
        <f>1/ZAR!B579</f>
        <v>0.12808689414899069</v>
      </c>
      <c r="AA579" s="4">
        <f>1/ZAR!C579</f>
        <v>0.12750060562787674</v>
      </c>
    </row>
    <row r="580" spans="1:27" x14ac:dyDescent="0.25">
      <c r="A580" t="str">
        <f>"14/10/2011"</f>
        <v>14/10/2011</v>
      </c>
      <c r="B580" s="3">
        <f>AUD!B580</f>
        <v>1.0193000000000001</v>
      </c>
      <c r="C580" s="3">
        <f>AUD!C580</f>
        <v>1.0153000000000001</v>
      </c>
      <c r="D580" s="3">
        <f>1/CAD!B580</f>
        <v>0.97895252080274098</v>
      </c>
      <c r="E580" s="3">
        <f>1/CAD!C580</f>
        <v>0.97818644233590923</v>
      </c>
      <c r="F580" s="3">
        <f>EUR!B580/1</f>
        <v>1.3772</v>
      </c>
      <c r="G580" s="3">
        <f>EUR!C580/1</f>
        <v>1.3767</v>
      </c>
      <c r="H580" s="3">
        <f>GBP!B580/1</f>
        <v>1.5747</v>
      </c>
      <c r="I580" s="3">
        <f>GBP!C580/1</f>
        <v>1.5742</v>
      </c>
      <c r="J580" s="4">
        <f>1/INR!B580</f>
        <v>2.0360378703043875E-2</v>
      </c>
      <c r="K580" s="4">
        <f>1/INR!C580</f>
        <v>2.0262398054809786E-2</v>
      </c>
      <c r="L580" s="4">
        <f>1/JPY!B580</f>
        <v>1.3004239382038546E-2</v>
      </c>
      <c r="M580" s="4">
        <f>1/JPY!C580</f>
        <v>1.3008840808213261E-2</v>
      </c>
      <c r="N580" s="5">
        <f>1/KRW!B580</f>
        <v>8.6333419666753002E-4</v>
      </c>
      <c r="O580" s="5">
        <f>1/KRW!C580</f>
        <v>8.6329916682997409E-4</v>
      </c>
      <c r="P580" s="3">
        <f>1/NOK!B580</f>
        <v>0.17777777777777778</v>
      </c>
      <c r="Q580" s="3">
        <f>1/NOK!C580</f>
        <v>0.17748118699417861</v>
      </c>
      <c r="R580" s="3">
        <f>NZD!B580/1</f>
        <v>0.79469999999999996</v>
      </c>
      <c r="S580" s="3">
        <f>NZD!C580/1</f>
        <v>0.79300000000000004</v>
      </c>
      <c r="T580" s="4">
        <f>1/PHP!B580</f>
        <v>2.3041474654377881E-2</v>
      </c>
      <c r="U580" s="4">
        <f>1/PHP!C580</f>
        <v>2.2983222247759137E-2</v>
      </c>
      <c r="V580" s="4">
        <f>1/TWD!B580</f>
        <v>3.2982618160229557E-2</v>
      </c>
      <c r="W580" s="4">
        <f>1/TWD!C580</f>
        <v>3.2982835732284922E-2</v>
      </c>
      <c r="X580" s="4">
        <f>1/TWD!B580</f>
        <v>3.2982618160229557E-2</v>
      </c>
      <c r="Y580" s="4">
        <f>1/TWD!C580</f>
        <v>3.2982835732284922E-2</v>
      </c>
      <c r="Z580" s="4">
        <f>1/ZAR!B580</f>
        <v>0.12754125959747978</v>
      </c>
      <c r="AA580" s="4">
        <f>1/ZAR!C580</f>
        <v>0.12694866196110294</v>
      </c>
    </row>
    <row r="581" spans="1:27" x14ac:dyDescent="0.25">
      <c r="A581" t="str">
        <f>"17/10/2011"</f>
        <v>17/10/2011</v>
      </c>
      <c r="B581" s="3">
        <f>AUD!B581</f>
        <v>1.03</v>
      </c>
      <c r="C581" s="3">
        <f>AUD!C581</f>
        <v>1.0257000000000001</v>
      </c>
      <c r="D581" s="3">
        <f>1/CAD!B581</f>
        <v>0.99108027750247785</v>
      </c>
      <c r="E581" s="3">
        <f>1/CAD!C581</f>
        <v>0.99029510794216669</v>
      </c>
      <c r="F581" s="3">
        <f>EUR!B581/1</f>
        <v>1.3853</v>
      </c>
      <c r="G581" s="3">
        <f>EUR!C581/1</f>
        <v>1.3848</v>
      </c>
      <c r="H581" s="3">
        <f>GBP!B581/1</f>
        <v>1.5791999999999999</v>
      </c>
      <c r="I581" s="3">
        <f>GBP!C581/1</f>
        <v>1.5786</v>
      </c>
      <c r="J581" s="4">
        <f>1/INR!B581</f>
        <v>2.0447806972702178E-2</v>
      </c>
      <c r="K581" s="4">
        <f>1/INR!C581</f>
        <v>2.0338638328163929E-2</v>
      </c>
      <c r="L581" s="4">
        <f>1/JPY!B581</f>
        <v>1.295353566756046E-2</v>
      </c>
      <c r="M581" s="4">
        <f>1/JPY!C581</f>
        <v>1.2958638617261426E-2</v>
      </c>
      <c r="N581" s="5">
        <f>1/KRW!B581</f>
        <v>8.7347687469974242E-4</v>
      </c>
      <c r="O581" s="5">
        <f>1/KRW!C581</f>
        <v>8.7343949116909015E-4</v>
      </c>
      <c r="P581" s="3">
        <f>1/NOK!B581</f>
        <v>0.17963641589423007</v>
      </c>
      <c r="Q581" s="3">
        <f>1/NOK!C581</f>
        <v>0.17931751752828734</v>
      </c>
      <c r="R581" s="3">
        <f>NZD!B581/1</f>
        <v>0.80210000000000004</v>
      </c>
      <c r="S581" s="3">
        <f>NZD!C581/1</f>
        <v>0.80020000000000002</v>
      </c>
      <c r="T581" s="4">
        <f>1/PHP!B581</f>
        <v>2.3126734505087881E-2</v>
      </c>
      <c r="U581" s="4">
        <f>1/PHP!C581</f>
        <v>2.3076035537094728E-2</v>
      </c>
      <c r="V581" s="4">
        <f>1/TWD!B581</f>
        <v>3.3178500331785002E-2</v>
      </c>
      <c r="W581" s="4">
        <f>1/TWD!C581</f>
        <v>3.3178720495822801E-2</v>
      </c>
      <c r="X581" s="4">
        <f>1/TWD!B581</f>
        <v>3.3178500331785002E-2</v>
      </c>
      <c r="Y581" s="4">
        <f>1/TWD!C581</f>
        <v>3.3178720495822801E-2</v>
      </c>
      <c r="Z581" s="4">
        <f>1/ZAR!B581</f>
        <v>0.12722970050128501</v>
      </c>
      <c r="AA581" s="4">
        <f>1/ZAR!C581</f>
        <v>0.12664479933131548</v>
      </c>
    </row>
    <row r="582" spans="1:27" x14ac:dyDescent="0.25">
      <c r="A582" t="str">
        <f>"18/10/2011"</f>
        <v>18/10/2011</v>
      </c>
      <c r="B582" s="3">
        <f>AUD!B582</f>
        <v>1.0205</v>
      </c>
      <c r="C582" s="3">
        <f>AUD!C582</f>
        <v>1.0164</v>
      </c>
      <c r="D582" s="3">
        <f>1/CAD!B582</f>
        <v>0.97895252080274098</v>
      </c>
      <c r="E582" s="3">
        <f>1/CAD!C582</f>
        <v>0.97818644233590923</v>
      </c>
      <c r="F582" s="3">
        <f>EUR!B582/1</f>
        <v>1.3771</v>
      </c>
      <c r="G582" s="3">
        <f>EUR!C582/1</f>
        <v>1.3765000000000001</v>
      </c>
      <c r="H582" s="3">
        <f>GBP!B582/1</f>
        <v>1.5802</v>
      </c>
      <c r="I582" s="3">
        <f>GBP!C582/1</f>
        <v>1.5795999999999999</v>
      </c>
      <c r="J582" s="4">
        <f>1/INR!B582</f>
        <v>2.0345879959308241E-2</v>
      </c>
      <c r="K582" s="4">
        <f>1/INR!C582</f>
        <v>2.0245988763476237E-2</v>
      </c>
      <c r="L582" s="4">
        <f>1/JPY!B582</f>
        <v>1.3014732677390806E-2</v>
      </c>
      <c r="M582" s="4">
        <f>1/JPY!C582</f>
        <v>1.3019867015078308E-2</v>
      </c>
      <c r="N582" s="5">
        <f>1/KRW!B582</f>
        <v>8.7265746013046237E-4</v>
      </c>
      <c r="O582" s="5">
        <f>1/KRW!C582</f>
        <v>8.7262090817148404E-4</v>
      </c>
      <c r="P582" s="3">
        <f>1/NOK!B582</f>
        <v>0.17787264318747778</v>
      </c>
      <c r="Q582" s="3">
        <f>1/NOK!C582</f>
        <v>0.17754420850791849</v>
      </c>
      <c r="R582" s="3">
        <f>NZD!B582/1</f>
        <v>0.79200000000000004</v>
      </c>
      <c r="S582" s="3">
        <f>NZD!C582/1</f>
        <v>0.7903</v>
      </c>
      <c r="T582" s="4">
        <f>1/PHP!B582</f>
        <v>2.3142791020597082E-2</v>
      </c>
      <c r="U582" s="4">
        <f>1/PHP!C582</f>
        <v>2.3100023100023102E-2</v>
      </c>
      <c r="V582" s="4">
        <f>1/TWD!B582</f>
        <v>3.3238050920694012E-2</v>
      </c>
      <c r="W582" s="4">
        <f>1/TWD!C582</f>
        <v>3.3238271875768638E-2</v>
      </c>
      <c r="X582" s="4">
        <f>1/TWD!B582</f>
        <v>3.3238050920694012E-2</v>
      </c>
      <c r="Y582" s="4">
        <f>1/TWD!C582</f>
        <v>3.3238271875768638E-2</v>
      </c>
      <c r="Z582" s="4">
        <f>1/ZAR!B582</f>
        <v>0.12586532410320955</v>
      </c>
      <c r="AA582" s="4">
        <f>1/ZAR!C582</f>
        <v>0.12524265764919532</v>
      </c>
    </row>
    <row r="583" spans="1:27" x14ac:dyDescent="0.25">
      <c r="A583" t="str">
        <f>"19/10/2011"</f>
        <v>19/10/2011</v>
      </c>
      <c r="B583" s="3">
        <f>AUD!B583</f>
        <v>1.03</v>
      </c>
      <c r="C583" s="3">
        <f>AUD!C583</f>
        <v>1.026</v>
      </c>
      <c r="D583" s="3">
        <f>1/CAD!B583</f>
        <v>0.98833761612966986</v>
      </c>
      <c r="E583" s="3">
        <f>1/CAD!C583</f>
        <v>0.98755678451510964</v>
      </c>
      <c r="F583" s="3">
        <f>EUR!B583/1</f>
        <v>1.3807</v>
      </c>
      <c r="G583" s="3">
        <f>EUR!C583/1</f>
        <v>1.3803000000000001</v>
      </c>
      <c r="H583" s="3">
        <f>GBP!B583/1</f>
        <v>1.5745</v>
      </c>
      <c r="I583" s="3">
        <f>GBP!C583/1</f>
        <v>1.5739000000000001</v>
      </c>
      <c r="J583" s="4">
        <f>1/INR!B583</f>
        <v>2.032726903140563E-2</v>
      </c>
      <c r="K583" s="4">
        <f>1/INR!C583</f>
        <v>2.0226537216828482E-2</v>
      </c>
      <c r="L583" s="4">
        <f>1/JPY!B583</f>
        <v>1.3035090463527818E-2</v>
      </c>
      <c r="M583" s="4">
        <f>1/JPY!C583</f>
        <v>1.3039866784720928E-2</v>
      </c>
      <c r="N583" s="5">
        <f>1/KRW!B583</f>
        <v>8.8460347649166261E-4</v>
      </c>
      <c r="O583" s="5">
        <f>1/KRW!C583</f>
        <v>8.8456474328383174E-4</v>
      </c>
      <c r="P583" s="3">
        <f>1/NOK!B583</f>
        <v>0.17849493074396686</v>
      </c>
      <c r="Q583" s="3">
        <f>1/NOK!C583</f>
        <v>0.1781895937277263</v>
      </c>
      <c r="R583" s="3">
        <f>NZD!B583/1</f>
        <v>0.79690000000000005</v>
      </c>
      <c r="S583" s="3">
        <f>NZD!C583/1</f>
        <v>0.79520000000000002</v>
      </c>
      <c r="T583" s="4">
        <f>1/PHP!B583</f>
        <v>2.3156188491374317E-2</v>
      </c>
      <c r="U583" s="4">
        <f>1/PHP!C583</f>
        <v>2.3117111285773727E-2</v>
      </c>
      <c r="V583" s="4">
        <f>1/TWD!B583</f>
        <v>3.3229215125938724E-2</v>
      </c>
      <c r="W583" s="4">
        <f>1/TWD!C583</f>
        <v>3.3229435963553954E-2</v>
      </c>
      <c r="X583" s="4">
        <f>1/TWD!B583</f>
        <v>3.3229215125938724E-2</v>
      </c>
      <c r="Y583" s="4">
        <f>1/TWD!C583</f>
        <v>3.3229435963553954E-2</v>
      </c>
      <c r="Z583" s="4">
        <f>1/ZAR!B583</f>
        <v>0.12533527185220464</v>
      </c>
      <c r="AA583" s="4">
        <f>1/ZAR!C583</f>
        <v>0.12473338239513042</v>
      </c>
    </row>
    <row r="584" spans="1:27" x14ac:dyDescent="0.25">
      <c r="A584" t="str">
        <f>"20/10/2011"</f>
        <v>20/10/2011</v>
      </c>
      <c r="B584" s="3">
        <f>AUD!B584</f>
        <v>1.0186999999999999</v>
      </c>
      <c r="C584" s="3">
        <f>AUD!C584</f>
        <v>1.0145999999999999</v>
      </c>
      <c r="D584" s="3">
        <f>1/CAD!B584</f>
        <v>0.97732603596559797</v>
      </c>
      <c r="E584" s="3">
        <f>1/CAD!C584</f>
        <v>0.9765625</v>
      </c>
      <c r="F584" s="3">
        <f>EUR!B584/1</f>
        <v>1.3721000000000001</v>
      </c>
      <c r="G584" s="3">
        <f>EUR!C584/1</f>
        <v>1.3715999999999999</v>
      </c>
      <c r="H584" s="3">
        <f>GBP!B584/1</f>
        <v>1.5738000000000001</v>
      </c>
      <c r="I584" s="3">
        <f>GBP!C584/1</f>
        <v>1.5731999999999999</v>
      </c>
      <c r="J584" s="4">
        <f>1/INR!B584</f>
        <v>2.0179598425991322E-2</v>
      </c>
      <c r="K584" s="4">
        <f>1/INR!C584</f>
        <v>2.0074274816822245E-2</v>
      </c>
      <c r="L584" s="4">
        <f>1/JPY!B584</f>
        <v>1.3032542258018273E-2</v>
      </c>
      <c r="M584" s="4">
        <f>1/JPY!C584</f>
        <v>1.3037180735740258E-2</v>
      </c>
      <c r="N584" s="5">
        <f>1/KRW!B584</f>
        <v>8.7596355991590759E-4</v>
      </c>
      <c r="O584" s="5">
        <f>1/KRW!C584</f>
        <v>8.7592596323388366E-4</v>
      </c>
      <c r="P584" s="3">
        <f>1/NOK!B584</f>
        <v>0.17750954113783618</v>
      </c>
      <c r="Q584" s="3">
        <f>1/NOK!C584</f>
        <v>0.17720128293728846</v>
      </c>
      <c r="R584" s="3">
        <f>NZD!B584/1</f>
        <v>0.78990000000000005</v>
      </c>
      <c r="S584" s="3">
        <f>NZD!C584/1</f>
        <v>0.78820000000000001</v>
      </c>
      <c r="T584" s="4">
        <f>1/PHP!B584</f>
        <v>2.3094688221709007E-2</v>
      </c>
      <c r="U584" s="4">
        <f>1/PHP!C584</f>
        <v>2.3046784973496198E-2</v>
      </c>
      <c r="V584" s="4">
        <f>1/TWD!B584</f>
        <v>3.3036009250082592E-2</v>
      </c>
      <c r="W584" s="4">
        <f>1/TWD!C584</f>
        <v>3.3036227527106228E-2</v>
      </c>
      <c r="X584" s="4">
        <f>1/TWD!B584</f>
        <v>3.3036009250082592E-2</v>
      </c>
      <c r="Y584" s="4">
        <f>1/TWD!C584</f>
        <v>3.3036227527106228E-2</v>
      </c>
      <c r="Z584" s="4">
        <f>1/ZAR!B584</f>
        <v>0.12378382392988885</v>
      </c>
      <c r="AA584" s="4">
        <f>1/ZAR!C584</f>
        <v>0.12319822594554637</v>
      </c>
    </row>
    <row r="585" spans="1:27" x14ac:dyDescent="0.25">
      <c r="A585" t="str">
        <f>"21/10/2011"</f>
        <v>21/10/2011</v>
      </c>
      <c r="B585" s="3">
        <f>AUD!B585</f>
        <v>1.0214000000000001</v>
      </c>
      <c r="C585" s="3">
        <f>AUD!C585</f>
        <v>1.0174000000000001</v>
      </c>
      <c r="D585" s="3">
        <f>1/CAD!B585</f>
        <v>0.98415510284420826</v>
      </c>
      <c r="E585" s="3">
        <f>1/CAD!C585</f>
        <v>0.98338086340839814</v>
      </c>
      <c r="F585" s="3">
        <f>EUR!B585/1</f>
        <v>1.3777999999999999</v>
      </c>
      <c r="G585" s="3">
        <f>EUR!C585/1</f>
        <v>1.3772</v>
      </c>
      <c r="H585" s="3">
        <f>GBP!B585/1</f>
        <v>1.5794999999999999</v>
      </c>
      <c r="I585" s="3">
        <f>GBP!C585/1</f>
        <v>1.5789</v>
      </c>
      <c r="J585" s="4">
        <f>1/INR!B585</f>
        <v>1.998001998001998E-2</v>
      </c>
      <c r="K585" s="4">
        <f>1/INR!C585</f>
        <v>1.9876764062810574E-2</v>
      </c>
      <c r="L585" s="4">
        <f>1/JPY!B585</f>
        <v>1.3022528975126969E-2</v>
      </c>
      <c r="M585" s="4">
        <f>1/JPY!C585</f>
        <v>1.3027228209681056E-2</v>
      </c>
      <c r="N585" s="5">
        <f>1/KRW!B585</f>
        <v>8.694896095991654E-4</v>
      </c>
      <c r="O585" s="5">
        <f>1/KRW!C585</f>
        <v>8.6945256658050403E-4</v>
      </c>
      <c r="P585" s="3">
        <f>1/NOK!B585</f>
        <v>0.17829761437791963</v>
      </c>
      <c r="Q585" s="3">
        <f>1/NOK!C585</f>
        <v>0.17798661540652141</v>
      </c>
      <c r="R585" s="3">
        <f>NZD!B585/1</f>
        <v>0.79220000000000002</v>
      </c>
      <c r="S585" s="3">
        <f>NZD!C585/1</f>
        <v>0.7903</v>
      </c>
      <c r="T585" s="4">
        <f>1/PHP!B585</f>
        <v>2.3004370830457789E-2</v>
      </c>
      <c r="U585" s="4">
        <f>1/PHP!C585</f>
        <v>2.2948938611589212E-2</v>
      </c>
      <c r="V585" s="4">
        <f>1/TWD!B585</f>
        <v>3.2948929159802305E-2</v>
      </c>
      <c r="W585" s="4">
        <f>1/TWD!C585</f>
        <v>3.2949146287619691E-2</v>
      </c>
      <c r="X585" s="4">
        <f>1/TWD!B585</f>
        <v>3.2948929159802305E-2</v>
      </c>
      <c r="Y585" s="4">
        <f>1/TWD!C585</f>
        <v>3.2949146287619691E-2</v>
      </c>
      <c r="Z585" s="4">
        <f>1/ZAR!B585</f>
        <v>0.1225430125974217</v>
      </c>
      <c r="AA585" s="4">
        <f>1/ZAR!C585</f>
        <v>0.12196014342512866</v>
      </c>
    </row>
    <row r="586" spans="1:27" x14ac:dyDescent="0.25">
      <c r="A586" t="str">
        <f>"24/10/2011"</f>
        <v>24/10/2011</v>
      </c>
      <c r="B586" s="3">
        <f>AUD!B586</f>
        <v>1.0388999999999999</v>
      </c>
      <c r="C586" s="3">
        <f>AUD!C586</f>
        <v>1.0346</v>
      </c>
      <c r="D586" s="3">
        <f>1/CAD!B586</f>
        <v>0.9939369843951894</v>
      </c>
      <c r="E586" s="3">
        <f>1/CAD!C586</f>
        <v>0.99314728374217909</v>
      </c>
      <c r="F586" s="3">
        <f>EUR!B586/1</f>
        <v>1.3884000000000001</v>
      </c>
      <c r="G586" s="3">
        <f>EUR!C586/1</f>
        <v>1.3878999999999999</v>
      </c>
      <c r="H586" s="3">
        <f>GBP!B586/1</f>
        <v>1.5960000000000001</v>
      </c>
      <c r="I586" s="3">
        <f>GBP!C586/1</f>
        <v>1.5953999999999999</v>
      </c>
      <c r="J586" s="4">
        <f>1/INR!B586</f>
        <v>2.0044097013429546E-2</v>
      </c>
      <c r="K586" s="4">
        <f>1/INR!C586</f>
        <v>1.9928258270227182E-2</v>
      </c>
      <c r="L586" s="4">
        <f>1/JPY!B586</f>
        <v>1.3118194936376754E-2</v>
      </c>
      <c r="M586" s="4">
        <f>1/JPY!C586</f>
        <v>1.3123118472888948E-2</v>
      </c>
      <c r="N586" s="5">
        <f>1/KRW!B586</f>
        <v>8.8035918654811153E-4</v>
      </c>
      <c r="O586" s="5">
        <f>1/KRW!C586</f>
        <v>8.8033787367591679E-4</v>
      </c>
      <c r="P586" s="3">
        <f>1/NOK!B586</f>
        <v>0.17992083483267363</v>
      </c>
      <c r="Q586" s="3">
        <f>1/NOK!C586</f>
        <v>0.17958802507048829</v>
      </c>
      <c r="R586" s="3">
        <f>NZD!B586/1</f>
        <v>0.80559999999999998</v>
      </c>
      <c r="S586" s="3">
        <f>NZD!C586/1</f>
        <v>0.80379999999999996</v>
      </c>
      <c r="T586" s="4">
        <f>1/PHP!B586</f>
        <v>2.306805074971165E-2</v>
      </c>
      <c r="U586" s="4">
        <f>1/PHP!C586</f>
        <v>2.3020257826887661E-2</v>
      </c>
      <c r="V586" s="4">
        <f>1/TWD!B586</f>
        <v>3.3189512114171919E-2</v>
      </c>
      <c r="W586" s="4">
        <f>1/TWD!C586</f>
        <v>3.3189732424377193E-2</v>
      </c>
      <c r="X586" s="4">
        <f>1/TWD!B586</f>
        <v>3.3189512114171919E-2</v>
      </c>
      <c r="Y586" s="4">
        <f>1/TWD!C586</f>
        <v>3.3189732424377193E-2</v>
      </c>
      <c r="Z586" s="4">
        <f>1/ZAR!B586</f>
        <v>0.12449579204222896</v>
      </c>
      <c r="AA586" s="4">
        <f>1/ZAR!C586</f>
        <v>0.12392187964707049</v>
      </c>
    </row>
    <row r="587" spans="1:27" x14ac:dyDescent="0.25">
      <c r="A587" t="str">
        <f>"25/10/2011"</f>
        <v>25/10/2011</v>
      </c>
      <c r="B587" s="3">
        <f>AUD!B587</f>
        <v>1.0468</v>
      </c>
      <c r="C587" s="3">
        <f>AUD!C587</f>
        <v>1.0426</v>
      </c>
      <c r="D587" s="3">
        <f>1/CAD!B587</f>
        <v>0.99780482937537418</v>
      </c>
      <c r="E587" s="3">
        <f>1/CAD!C587</f>
        <v>0.99700897308075787</v>
      </c>
      <c r="F587" s="3">
        <f>EUR!B587/1</f>
        <v>1.3905000000000001</v>
      </c>
      <c r="G587" s="3">
        <f>EUR!C587/1</f>
        <v>1.39</v>
      </c>
      <c r="H587" s="3">
        <f>GBP!B587/1</f>
        <v>1.599</v>
      </c>
      <c r="I587" s="3">
        <f>GBP!C587/1</f>
        <v>1.5984</v>
      </c>
      <c r="J587" s="4">
        <f>1/INR!B587</f>
        <v>2.0114653525093028E-2</v>
      </c>
      <c r="K587" s="4">
        <f>1/INR!C587</f>
        <v>2.0014009806864803E-2</v>
      </c>
      <c r="L587" s="4">
        <f>1/JPY!B587</f>
        <v>1.3134994910189473E-2</v>
      </c>
      <c r="M587" s="4">
        <f>1/JPY!C587</f>
        <v>1.3139119626428551E-2</v>
      </c>
      <c r="N587" s="5">
        <f>1/KRW!B587</f>
        <v>8.8739018546454872E-4</v>
      </c>
      <c r="O587" s="5">
        <f>1/KRW!C587</f>
        <v>8.8736892451773725E-4</v>
      </c>
      <c r="P587" s="3">
        <f>1/NOK!B587</f>
        <v>0.18086453246518358</v>
      </c>
      <c r="Q587" s="3">
        <f>1/NOK!C587</f>
        <v>0.18054778197049848</v>
      </c>
      <c r="R587" s="3">
        <f>NZD!B587/1</f>
        <v>0.80479999999999996</v>
      </c>
      <c r="S587" s="3">
        <f>NZD!C587/1</f>
        <v>0.80300000000000005</v>
      </c>
      <c r="T587" s="4">
        <f>1/PHP!B587</f>
        <v>2.3158869847151459E-2</v>
      </c>
      <c r="U587" s="4">
        <f>1/PHP!C587</f>
        <v>2.3105360443622922E-2</v>
      </c>
      <c r="V587" s="4">
        <f>1/TWD!B587</f>
        <v>3.3180702103656513E-2</v>
      </c>
      <c r="W587" s="4">
        <f>1/TWD!C587</f>
        <v>3.3180922296916167E-2</v>
      </c>
      <c r="X587" s="4">
        <f>1/TWD!B587</f>
        <v>3.3180702103656513E-2</v>
      </c>
      <c r="Y587" s="4">
        <f>1/TWD!C587</f>
        <v>3.3180922296916167E-2</v>
      </c>
      <c r="Z587" s="4">
        <f>1/ZAR!B587</f>
        <v>0.12688423082779274</v>
      </c>
      <c r="AA587" s="4">
        <f>1/ZAR!C587</f>
        <v>0.12626262626262627</v>
      </c>
    </row>
    <row r="588" spans="1:27" x14ac:dyDescent="0.25">
      <c r="A588" t="str">
        <f>"28/10/2011"</f>
        <v>28/10/2011</v>
      </c>
      <c r="B588" s="3">
        <f>AUD!B588</f>
        <v>1.0668</v>
      </c>
      <c r="C588" s="3">
        <f>AUD!C588</f>
        <v>1.0629</v>
      </c>
      <c r="D588" s="3">
        <f>1/CAD!B588</f>
        <v>1.0070493454179255</v>
      </c>
      <c r="E588" s="3">
        <f>1/CAD!C588</f>
        <v>1.0063399416322834</v>
      </c>
      <c r="F588" s="3">
        <f>EUR!B588/1</f>
        <v>1.4171</v>
      </c>
      <c r="G588" s="3">
        <f>EUR!C588/1</f>
        <v>1.4166000000000001</v>
      </c>
      <c r="H588" s="3">
        <f>GBP!B588/1</f>
        <v>1.6077999999999999</v>
      </c>
      <c r="I588" s="3">
        <f>GBP!C588/1</f>
        <v>1.6072</v>
      </c>
      <c r="J588" s="4">
        <f>1/INR!B588</f>
        <v>2.0482359567822215E-2</v>
      </c>
      <c r="K588" s="4">
        <f>1/INR!C588</f>
        <v>2.0373860337187386E-2</v>
      </c>
      <c r="L588" s="4">
        <f>1/JPY!B588</f>
        <v>1.3178529539673963E-2</v>
      </c>
      <c r="M588" s="4">
        <f>1/JPY!C588</f>
        <v>1.3182455733313647E-2</v>
      </c>
      <c r="N588" s="5">
        <f>1/KRW!B588</f>
        <v>9.0469082191161178E-4</v>
      </c>
      <c r="O588" s="5">
        <f>1/KRW!C588</f>
        <v>9.0466872388334483E-4</v>
      </c>
      <c r="P588" s="3">
        <f>1/NOK!B588</f>
        <v>0.18461765683269948</v>
      </c>
      <c r="Q588" s="3">
        <f>1/NOK!C588</f>
        <v>0.18431820695248277</v>
      </c>
      <c r="R588" s="3">
        <f>NZD!B588/1</f>
        <v>0.81810000000000005</v>
      </c>
      <c r="S588" s="3">
        <f>NZD!C588/1</f>
        <v>0.81630000000000003</v>
      </c>
      <c r="T588" s="4">
        <f>1/PHP!B588</f>
        <v>2.3463162834350071E-2</v>
      </c>
      <c r="U588" s="4">
        <f>1/PHP!C588</f>
        <v>2.3413720440177945E-2</v>
      </c>
      <c r="V588" s="4">
        <f>1/TWD!B588</f>
        <v>3.3433634236041461E-2</v>
      </c>
      <c r="W588" s="4">
        <f>1/TWD!C588</f>
        <v>3.3433857799116007E-2</v>
      </c>
      <c r="X588" s="4">
        <f>1/TWD!B588</f>
        <v>3.3433634236041461E-2</v>
      </c>
      <c r="Y588" s="4">
        <f>1/TWD!C588</f>
        <v>3.3433857799116007E-2</v>
      </c>
      <c r="Z588" s="4">
        <f>1/ZAR!B588</f>
        <v>0.12914056950991154</v>
      </c>
      <c r="AA588" s="4">
        <f>1/ZAR!C588</f>
        <v>0.12855949090441601</v>
      </c>
    </row>
    <row r="589" spans="1:27" x14ac:dyDescent="0.25">
      <c r="A589" t="str">
        <f>"31/10/2011"</f>
        <v>31/10/2011</v>
      </c>
      <c r="B589" s="3">
        <f>AUD!B589</f>
        <v>1.0531999999999999</v>
      </c>
      <c r="C589" s="3">
        <f>AUD!C589</f>
        <v>1.0494000000000001</v>
      </c>
      <c r="D589" s="3">
        <f>1/CAD!B589</f>
        <v>0.99850224663005482</v>
      </c>
      <c r="E589" s="3">
        <f>1/CAD!C589</f>
        <v>0.99780482937537418</v>
      </c>
      <c r="F589" s="3">
        <f>EUR!B589/1</f>
        <v>1.4000999999999999</v>
      </c>
      <c r="G589" s="3">
        <f>EUR!C589/1</f>
        <v>1.3996999999999999</v>
      </c>
      <c r="H589" s="3">
        <f>GBP!B589/1</f>
        <v>1.5980000000000001</v>
      </c>
      <c r="I589" s="3">
        <f>GBP!C589/1</f>
        <v>1.5974999999999999</v>
      </c>
      <c r="J589" s="4">
        <f>1/INR!B589</f>
        <v>2.0462451401677923E-2</v>
      </c>
      <c r="K589" s="4">
        <f>1/INR!C589</f>
        <v>2.0351055711015007E-2</v>
      </c>
      <c r="L589" s="4">
        <f>1/JPY!B589</f>
        <v>1.2625545265736164E-2</v>
      </c>
      <c r="M589" s="4">
        <f>1/JPY!C589</f>
        <v>1.2630361114654629E-2</v>
      </c>
      <c r="N589" s="5">
        <f>1/KRW!B589</f>
        <v>9.0153034776533172E-4</v>
      </c>
      <c r="O589" s="5">
        <f>1/KRW!C589</f>
        <v>9.0148524201047432E-4</v>
      </c>
      <c r="P589" s="3">
        <f>1/NOK!B589</f>
        <v>0.18210624078087156</v>
      </c>
      <c r="Q589" s="3">
        <f>1/NOK!C589</f>
        <v>0.18181818181818182</v>
      </c>
      <c r="R589" s="3">
        <f>NZD!B589/1</f>
        <v>0.80940000000000001</v>
      </c>
      <c r="S589" s="3">
        <f>NZD!C589/1</f>
        <v>0.80759999999999998</v>
      </c>
      <c r="T589" s="4">
        <f>1/PHP!B589</f>
        <v>2.3408239700374533E-2</v>
      </c>
      <c r="U589" s="4">
        <f>1/PHP!C589</f>
        <v>2.336175680411167E-2</v>
      </c>
      <c r="V589" s="4">
        <f>1/TWD!B589</f>
        <v>3.3414642296254217E-2</v>
      </c>
      <c r="W589" s="4">
        <f>1/TWD!C589</f>
        <v>3.3414865605410536E-2</v>
      </c>
      <c r="X589" s="4">
        <f>1/TWD!B589</f>
        <v>3.3414642296254217E-2</v>
      </c>
      <c r="Y589" s="4">
        <f>1/TWD!C589</f>
        <v>3.3414865605410536E-2</v>
      </c>
      <c r="Z589" s="4">
        <f>1/ZAR!B589</f>
        <v>0.12753475322025251</v>
      </c>
      <c r="AA589" s="4">
        <f>1/ZAR!C589</f>
        <v>0.12695672045399725</v>
      </c>
    </row>
    <row r="590" spans="1:27" x14ac:dyDescent="0.25">
      <c r="A590" t="str">
        <f>"01/11/2011"</f>
        <v>01/11/2011</v>
      </c>
      <c r="B590" s="3">
        <f>AUD!B590</f>
        <v>1.0474000000000001</v>
      </c>
      <c r="C590" s="3">
        <f>AUD!C590</f>
        <v>1.0432999999999999</v>
      </c>
      <c r="D590" s="3">
        <f>1/CAD!B590</f>
        <v>0.99900099900099915</v>
      </c>
      <c r="E590" s="3">
        <f>1/CAD!C590</f>
        <v>0.99830288509533793</v>
      </c>
      <c r="F590" s="3">
        <f>EUR!B590/1</f>
        <v>1.3816999999999999</v>
      </c>
      <c r="G590" s="3">
        <f>EUR!C590/1</f>
        <v>1.3813</v>
      </c>
      <c r="H590" s="3">
        <f>GBP!B590/1</f>
        <v>1.6057999999999999</v>
      </c>
      <c r="I590" s="3">
        <f>GBP!C590/1</f>
        <v>1.6052999999999999</v>
      </c>
      <c r="J590" s="4">
        <f>1/INR!B590</f>
        <v>2.0401917780271346E-2</v>
      </c>
      <c r="K590" s="4">
        <f>1/INR!C590</f>
        <v>2.0281918669506134E-2</v>
      </c>
      <c r="L590" s="4">
        <f>1/JPY!B590</f>
        <v>1.2780206016920993E-2</v>
      </c>
      <c r="M590" s="4">
        <f>1/JPY!C590</f>
        <v>1.2787805548628827E-2</v>
      </c>
      <c r="N590" s="5">
        <f>1/KRW!B590</f>
        <v>8.9774665589370669E-4</v>
      </c>
      <c r="O590" s="5">
        <f>1/KRW!C590</f>
        <v>8.9772328397949954E-4</v>
      </c>
      <c r="P590" s="3">
        <f>1/NOK!B590</f>
        <v>0.1790895089365665</v>
      </c>
      <c r="Q590" s="3">
        <f>1/NOK!C590</f>
        <v>0.17881410485659111</v>
      </c>
      <c r="R590" s="3">
        <f>NZD!B590/1</f>
        <v>0.80649999999999999</v>
      </c>
      <c r="S590" s="3">
        <f>NZD!C590/1</f>
        <v>0.80469999999999997</v>
      </c>
      <c r="T590" s="4">
        <f>1/PHP!B590</f>
        <v>2.3348120476301658E-2</v>
      </c>
      <c r="U590" s="4">
        <f>1/PHP!C590</f>
        <v>2.330187580100198E-2</v>
      </c>
      <c r="V590" s="4">
        <f>1/TWD!B590</f>
        <v>3.330557868442964E-2</v>
      </c>
      <c r="W590" s="4">
        <f>1/TWD!C590</f>
        <v>3.3305689610956243E-2</v>
      </c>
      <c r="X590" s="4">
        <f>1/TWD!B590</f>
        <v>3.330557868442964E-2</v>
      </c>
      <c r="Y590" s="4">
        <f>1/TWD!C590</f>
        <v>3.3305689610956243E-2</v>
      </c>
      <c r="Z590" s="4">
        <f>1/ZAR!B590</f>
        <v>0.1254374631527452</v>
      </c>
      <c r="AA590" s="4">
        <f>1/ZAR!C590</f>
        <v>0.12486732846350752</v>
      </c>
    </row>
    <row r="591" spans="1:27" x14ac:dyDescent="0.25">
      <c r="A591" t="str">
        <f>"02/11/2011"</f>
        <v>02/11/2011</v>
      </c>
      <c r="B591" s="3">
        <f>AUD!B591</f>
        <v>1.0363</v>
      </c>
      <c r="C591" s="3">
        <f>AUD!C591</f>
        <v>1.0324</v>
      </c>
      <c r="D591" s="3">
        <f>1/CAD!B591</f>
        <v>0.9813542688910698</v>
      </c>
      <c r="E591" s="3">
        <f>1/CAD!C591</f>
        <v>0.98068059233107774</v>
      </c>
      <c r="F591" s="3">
        <f>EUR!B591/1</f>
        <v>1.3718999999999999</v>
      </c>
      <c r="G591" s="3">
        <f>EUR!C591/1</f>
        <v>1.3715999999999999</v>
      </c>
      <c r="H591" s="3">
        <f>GBP!B591/1</f>
        <v>1.5975999999999999</v>
      </c>
      <c r="I591" s="3">
        <f>GBP!C591/1</f>
        <v>1.5971</v>
      </c>
      <c r="J591" s="4">
        <f>1/INR!B591</f>
        <v>2.0257267294641952E-2</v>
      </c>
      <c r="K591" s="4">
        <f>1/INR!C591</f>
        <v>2.0142001107810059E-2</v>
      </c>
      <c r="L591" s="4">
        <f>1/JPY!B591</f>
        <v>1.2796396534735818E-2</v>
      </c>
      <c r="M591" s="4">
        <f>1/JPY!C591</f>
        <v>1.2805195836262521E-2</v>
      </c>
      <c r="N591" s="5">
        <f>1/KRW!B591</f>
        <v>8.8967971530249106E-4</v>
      </c>
      <c r="O591" s="5">
        <f>1/KRW!C591</f>
        <v>8.8963499610562283E-4</v>
      </c>
      <c r="P591" s="3">
        <f>1/NOK!B591</f>
        <v>0.17673777416447217</v>
      </c>
      <c r="Q591" s="3">
        <f>1/NOK!C591</f>
        <v>0.17645398080180688</v>
      </c>
      <c r="R591" s="3">
        <f>NZD!B591/1</f>
        <v>0.79330000000000001</v>
      </c>
      <c r="S591" s="3">
        <f>NZD!C591/1</f>
        <v>0.79149999999999998</v>
      </c>
      <c r="T591" s="4">
        <f>1/PHP!B591</f>
        <v>2.3315458148752622E-2</v>
      </c>
      <c r="U591" s="4">
        <f>1/PHP!C591</f>
        <v>2.3255813953488372E-2</v>
      </c>
      <c r="V591" s="4">
        <f>1/TWD!B591</f>
        <v>3.3178500331785002E-2</v>
      </c>
      <c r="W591" s="4">
        <f>1/TWD!C591</f>
        <v>3.3178610413438663E-2</v>
      </c>
      <c r="X591" s="4">
        <f>1/TWD!B591</f>
        <v>3.3178500331785002E-2</v>
      </c>
      <c r="Y591" s="4">
        <f>1/TWD!C591</f>
        <v>3.3178610413438663E-2</v>
      </c>
      <c r="Z591" s="4">
        <f>1/ZAR!B591</f>
        <v>0.12405100977521957</v>
      </c>
      <c r="AA591" s="4">
        <f>1/ZAR!C591</f>
        <v>0.1234567901234568</v>
      </c>
    </row>
    <row r="592" spans="1:27" x14ac:dyDescent="0.25">
      <c r="A592" t="str">
        <f>"03/11/2011"</f>
        <v>03/11/2011</v>
      </c>
      <c r="B592" s="3">
        <f>AUD!B592</f>
        <v>1.0248999999999999</v>
      </c>
      <c r="C592" s="3">
        <f>AUD!C592</f>
        <v>1.0212000000000001</v>
      </c>
      <c r="D592" s="3">
        <f>1/CAD!B592</f>
        <v>0.98202887164882646</v>
      </c>
      <c r="E592" s="3">
        <f>1/CAD!C592</f>
        <v>0.9813542688910698</v>
      </c>
      <c r="F592" s="3">
        <f>EUR!B592/1</f>
        <v>1.3694</v>
      </c>
      <c r="G592" s="3">
        <f>EUR!C592/1</f>
        <v>1.3691</v>
      </c>
      <c r="H592" s="3">
        <f>GBP!B592/1</f>
        <v>1.5907</v>
      </c>
      <c r="I592" s="3">
        <f>GBP!C592/1</f>
        <v>1.5902000000000001</v>
      </c>
      <c r="J592" s="4">
        <f>1/INR!B592</f>
        <v>2.0230629172567266E-2</v>
      </c>
      <c r="K592" s="4">
        <f>1/INR!C592</f>
        <v>2.0121736505860455E-2</v>
      </c>
      <c r="L592" s="4">
        <f>1/JPY!B592</f>
        <v>1.2812135654892315E-2</v>
      </c>
      <c r="M592" s="4">
        <f>1/JPY!C592</f>
        <v>1.2820019742830403E-2</v>
      </c>
      <c r="N592" s="5">
        <f>1/KRW!B592</f>
        <v>8.8397790055248619E-4</v>
      </c>
      <c r="O592" s="5">
        <f>1/KRW!C592</f>
        <v>8.8395602142002231E-4</v>
      </c>
      <c r="P592" s="3">
        <f>1/NOK!B592</f>
        <v>0.17600675865953253</v>
      </c>
      <c r="Q592" s="3">
        <f>1/NOK!C592</f>
        <v>0.17573457050470967</v>
      </c>
      <c r="R592" s="3">
        <f>NZD!B592/1</f>
        <v>0.78369999999999995</v>
      </c>
      <c r="S592" s="3">
        <f>NZD!C592/1</f>
        <v>0.78200000000000003</v>
      </c>
      <c r="T592" s="4">
        <f>1/PHP!B592</f>
        <v>2.3293733985557886E-2</v>
      </c>
      <c r="U592" s="4">
        <f>1/PHP!C592</f>
        <v>2.3228803716608595E-2</v>
      </c>
      <c r="V592" s="4">
        <f>1/TWD!B592</f>
        <v>3.310162197947699E-2</v>
      </c>
      <c r="W592" s="4">
        <f>1/TWD!C592</f>
        <v>3.310173155157746E-2</v>
      </c>
      <c r="X592" s="4">
        <f>1/TWD!B592</f>
        <v>3.310162197947699E-2</v>
      </c>
      <c r="Y592" s="4">
        <f>1/TWD!C592</f>
        <v>3.310173155157746E-2</v>
      </c>
      <c r="Z592" s="4">
        <f>1/ZAR!B592</f>
        <v>0.12454696043143068</v>
      </c>
      <c r="AA592" s="4">
        <f>1/ZAR!C592</f>
        <v>0.12396181975951406</v>
      </c>
    </row>
    <row r="593" spans="1:27" x14ac:dyDescent="0.25">
      <c r="A593" t="str">
        <f>"04/11/2011"</f>
        <v>04/11/2011</v>
      </c>
      <c r="B593" s="3">
        <f>AUD!B593</f>
        <v>1.0386</v>
      </c>
      <c r="C593" s="3">
        <f>AUD!C593</f>
        <v>1.0348999999999999</v>
      </c>
      <c r="D593" s="3">
        <f>1/CAD!B593</f>
        <v>0.98872849515523031</v>
      </c>
      <c r="E593" s="3">
        <f>1/CAD!C593</f>
        <v>0.98804465961861476</v>
      </c>
      <c r="F593" s="3">
        <f>EUR!B593/1</f>
        <v>1.3814</v>
      </c>
      <c r="G593" s="3">
        <f>EUR!C593/1</f>
        <v>1.3812</v>
      </c>
      <c r="H593" s="3">
        <f>GBP!B593/1</f>
        <v>1.6016999999999999</v>
      </c>
      <c r="I593" s="3">
        <f>GBP!C593/1</f>
        <v>1.6012</v>
      </c>
      <c r="J593" s="4">
        <f>1/INR!B593</f>
        <v>2.0383204239706482E-2</v>
      </c>
      <c r="K593" s="4">
        <f>1/INR!C593</f>
        <v>2.026650453463039E-2</v>
      </c>
      <c r="L593" s="4">
        <f>1/JPY!B593</f>
        <v>1.2820019742830403E-2</v>
      </c>
      <c r="M593" s="4">
        <f>1/JPY!C593</f>
        <v>1.2826350454373464E-2</v>
      </c>
      <c r="N593" s="5">
        <f>1/KRW!B593</f>
        <v>8.9895720963682117E-4</v>
      </c>
      <c r="O593" s="5">
        <f>1/KRW!C593</f>
        <v>8.9891155294611518E-4</v>
      </c>
      <c r="P593" s="3">
        <f>1/NOK!B593</f>
        <v>0.17853317146325787</v>
      </c>
      <c r="Q593" s="3">
        <f>1/NOK!C593</f>
        <v>0.17825947449106921</v>
      </c>
      <c r="R593" s="3">
        <f>NZD!B593/1</f>
        <v>0.79400000000000004</v>
      </c>
      <c r="S593" s="3">
        <f>NZD!C593/1</f>
        <v>0.7923</v>
      </c>
      <c r="T593" s="4">
        <f>1/PHP!B593</f>
        <v>2.3272050267628578E-2</v>
      </c>
      <c r="U593" s="4">
        <f>1/PHP!C593</f>
        <v>2.3209933851688524E-2</v>
      </c>
      <c r="V593" s="4">
        <f>1/TWD!B593</f>
        <v>3.3323336332433603E-2</v>
      </c>
      <c r="W593" s="4">
        <f>1/TWD!C593</f>
        <v>3.3323447377278076E-2</v>
      </c>
      <c r="X593" s="4">
        <f>1/TWD!B593</f>
        <v>3.3323336332433603E-2</v>
      </c>
      <c r="Y593" s="4">
        <f>1/TWD!C593</f>
        <v>3.3323447377278076E-2</v>
      </c>
      <c r="Z593" s="4">
        <f>1/ZAR!B593</f>
        <v>0.12682308180088778</v>
      </c>
      <c r="AA593" s="4">
        <f>1/ZAR!C593</f>
        <v>0.12626740911903228</v>
      </c>
    </row>
    <row r="594" spans="1:27" x14ac:dyDescent="0.25">
      <c r="A594" t="str">
        <f>"08/11/2011"</f>
        <v>08/11/2011</v>
      </c>
      <c r="B594" s="3">
        <f>AUD!B594</f>
        <v>1.0322</v>
      </c>
      <c r="C594" s="3">
        <f>AUD!C594</f>
        <v>1.0283</v>
      </c>
      <c r="D594" s="3">
        <f>1/CAD!B594</f>
        <v>0.98473658296405708</v>
      </c>
      <c r="E594" s="3">
        <f>1/CAD!C594</f>
        <v>0.98405825624876997</v>
      </c>
      <c r="F594" s="3">
        <f>EUR!B594/1</f>
        <v>1.3748</v>
      </c>
      <c r="G594" s="3">
        <f>EUR!C594/1</f>
        <v>1.3746</v>
      </c>
      <c r="H594" s="3">
        <f>GBP!B594/1</f>
        <v>1.6042000000000001</v>
      </c>
      <c r="I594" s="3">
        <f>GBP!C594/1</f>
        <v>1.6036999999999999</v>
      </c>
      <c r="J594" s="4">
        <f>1/INR!B594</f>
        <v>2.028809089064719E-2</v>
      </c>
      <c r="K594" s="4">
        <f>1/INR!C594</f>
        <v>2.0177562550443905E-2</v>
      </c>
      <c r="L594" s="4">
        <f>1/JPY!B594</f>
        <v>1.2812135654892315E-2</v>
      </c>
      <c r="M594" s="4">
        <f>1/JPY!C594</f>
        <v>1.2818080671872517E-2</v>
      </c>
      <c r="N594" s="5">
        <f>1/KRW!B594</f>
        <v>8.9541547277936968E-4</v>
      </c>
      <c r="O594" s="5">
        <f>1/KRW!C594</f>
        <v>8.9536897259991869E-4</v>
      </c>
      <c r="P594" s="3">
        <f>1/NOK!B594</f>
        <v>0.17793910923681916</v>
      </c>
      <c r="Q594" s="3">
        <f>1/NOK!C594</f>
        <v>0.17764829191167325</v>
      </c>
      <c r="R594" s="3">
        <f>NZD!B594/1</f>
        <v>0.79339999999999999</v>
      </c>
      <c r="S594" s="3">
        <f>NZD!C594/1</f>
        <v>0.79159999999999997</v>
      </c>
      <c r="T594" s="4">
        <f>1/PHP!B594</f>
        <v>2.3228803716608595E-2</v>
      </c>
      <c r="U594" s="4">
        <f>1/PHP!C594</f>
        <v>2.3171212086104225E-2</v>
      </c>
      <c r="V594" s="4">
        <f>1/TWD!B594</f>
        <v>3.3247996808192307E-2</v>
      </c>
      <c r="W594" s="4">
        <f>1/TWD!C594</f>
        <v>3.3248107351489017E-2</v>
      </c>
      <c r="X594" s="4">
        <f>1/TWD!B594</f>
        <v>3.3247996808192307E-2</v>
      </c>
      <c r="Y594" s="4">
        <f>1/TWD!C594</f>
        <v>3.3248107351489017E-2</v>
      </c>
      <c r="Z594" s="4">
        <f>1/ZAR!B594</f>
        <v>0.12572290671360323</v>
      </c>
      <c r="AA594" s="4">
        <f>1/ZAR!C594</f>
        <v>0.12517681224729932</v>
      </c>
    </row>
    <row r="595" spans="1:27" x14ac:dyDescent="0.25">
      <c r="A595" t="str">
        <f>"09/11/2011"</f>
        <v>09/11/2011</v>
      </c>
      <c r="B595" s="3">
        <f>AUD!B595</f>
        <v>1.0362</v>
      </c>
      <c r="C595" s="3">
        <f>AUD!C595</f>
        <v>1.0325</v>
      </c>
      <c r="D595" s="3">
        <f>1/CAD!B595</f>
        <v>0.98970704671417264</v>
      </c>
      <c r="E595" s="3">
        <f>1/CAD!C595</f>
        <v>0.98902185738304804</v>
      </c>
      <c r="F595" s="3">
        <f>EUR!B595/1</f>
        <v>1.3835999999999999</v>
      </c>
      <c r="G595" s="3">
        <f>EUR!C595/1</f>
        <v>1.3834</v>
      </c>
      <c r="H595" s="3">
        <f>GBP!B595/1</f>
        <v>1.6103000000000001</v>
      </c>
      <c r="I595" s="3">
        <f>GBP!C595/1</f>
        <v>1.6097999999999999</v>
      </c>
      <c r="J595" s="4">
        <f>1/INR!B595</f>
        <v>2.0094443886265446E-2</v>
      </c>
      <c r="K595" s="4">
        <f>1/INR!C595</f>
        <v>1.9989006046674328E-2</v>
      </c>
      <c r="L595" s="4">
        <f>1/JPY!B595</f>
        <v>1.2885767669608916E-2</v>
      </c>
      <c r="M595" s="4">
        <f>1/JPY!C595</f>
        <v>1.2890883824776794E-2</v>
      </c>
      <c r="N595" s="5">
        <f>1/KRW!B595</f>
        <v>8.9541547277936968E-4</v>
      </c>
      <c r="O595" s="5">
        <f>1/KRW!C595</f>
        <v>8.9537378273934229E-4</v>
      </c>
      <c r="P595" s="3">
        <f>1/NOK!B595</f>
        <v>0.17873100983020554</v>
      </c>
      <c r="Q595" s="3">
        <f>1/NOK!C595</f>
        <v>0.17845352178025234</v>
      </c>
      <c r="R595" s="3">
        <f>NZD!B595/1</f>
        <v>0.79549999999999998</v>
      </c>
      <c r="S595" s="3">
        <f>NZD!C595/1</f>
        <v>0.79379999999999995</v>
      </c>
      <c r="T595" s="4">
        <f>1/PHP!B595</f>
        <v>2.3250406882120437E-2</v>
      </c>
      <c r="U595" s="4">
        <f>1/PHP!C595</f>
        <v>2.319109461966605E-2</v>
      </c>
      <c r="V595" s="4">
        <f>1/TWD!B595</f>
        <v>3.3278977669805983E-2</v>
      </c>
      <c r="W595" s="4">
        <f>1/TWD!C595</f>
        <v>3.3279199169351188E-2</v>
      </c>
      <c r="X595" s="4">
        <f>1/TWD!B595</f>
        <v>3.3278977669805983E-2</v>
      </c>
      <c r="Y595" s="4">
        <f>1/TWD!C595</f>
        <v>3.3279199169351188E-2</v>
      </c>
      <c r="Z595" s="4">
        <f>1/ZAR!B595</f>
        <v>0.12745347947998981</v>
      </c>
      <c r="AA595" s="4">
        <f>1/ZAR!C595</f>
        <v>0.12686169537969705</v>
      </c>
    </row>
    <row r="596" spans="1:27" x14ac:dyDescent="0.25">
      <c r="A596" t="str">
        <f>"11/11/2011"</f>
        <v>11/11/2011</v>
      </c>
      <c r="B596" s="3">
        <f>AUD!B596</f>
        <v>1.0159</v>
      </c>
      <c r="C596" s="3">
        <f>AUD!C596</f>
        <v>1.0123</v>
      </c>
      <c r="D596" s="3">
        <f>1/CAD!B596</f>
        <v>0.9810654370646521</v>
      </c>
      <c r="E596" s="3">
        <f>1/CAD!C596</f>
        <v>0.98039215686274506</v>
      </c>
      <c r="F596" s="3">
        <f>EUR!B596/1</f>
        <v>1.3627</v>
      </c>
      <c r="G596" s="3">
        <f>EUR!C596/1</f>
        <v>1.3626</v>
      </c>
      <c r="H596" s="3">
        <f>GBP!B596/1</f>
        <v>1.5927</v>
      </c>
      <c r="I596" s="3">
        <f>GBP!C596/1</f>
        <v>1.5922000000000001</v>
      </c>
      <c r="J596" s="4">
        <f>1/INR!B596</f>
        <v>1.9932230416583614E-2</v>
      </c>
      <c r="K596" s="4">
        <f>1/INR!C596</f>
        <v>1.9826517967781909E-2</v>
      </c>
      <c r="L596" s="4">
        <f>1/JPY!B596</f>
        <v>1.289041855189038E-2</v>
      </c>
      <c r="M596" s="4">
        <f>1/JPY!C596</f>
        <v>1.2896636041454948E-2</v>
      </c>
      <c r="N596" s="5">
        <f>1/KRW!B596</f>
        <v>8.8880988356590529E-4</v>
      </c>
      <c r="O596" s="5">
        <f>1/KRW!C596</f>
        <v>8.8876525176719858E-4</v>
      </c>
      <c r="P596" s="3">
        <f>1/NOK!B596</f>
        <v>0.17581490207109954</v>
      </c>
      <c r="Q596" s="3">
        <f>1/NOK!C596</f>
        <v>0.1755402250425685</v>
      </c>
      <c r="R596" s="3">
        <f>NZD!B596/1</f>
        <v>0.77810000000000001</v>
      </c>
      <c r="S596" s="3">
        <f>NZD!C596/1</f>
        <v>0.77649999999999997</v>
      </c>
      <c r="T596" s="4">
        <f>1/PHP!B596</f>
        <v>2.3100023100023102E-2</v>
      </c>
      <c r="U596" s="4">
        <f>1/PHP!C596</f>
        <v>2.3036166781847504E-2</v>
      </c>
      <c r="V596" s="4">
        <f>1/TWD!B596</f>
        <v>3.3180702103656513E-2</v>
      </c>
      <c r="W596" s="4">
        <f>1/TWD!C596</f>
        <v>3.3180922296916167E-2</v>
      </c>
      <c r="X596" s="4">
        <f>1/TWD!B596</f>
        <v>3.3180702103656513E-2</v>
      </c>
      <c r="Y596" s="4">
        <f>1/TWD!C596</f>
        <v>3.3180922296916167E-2</v>
      </c>
      <c r="Z596" s="4">
        <f>1/ZAR!B596</f>
        <v>0.12525677639160279</v>
      </c>
      <c r="AA596" s="4">
        <f>1/ZAR!C596</f>
        <v>0.12469916326861448</v>
      </c>
    </row>
    <row r="597" spans="1:27" x14ac:dyDescent="0.25">
      <c r="A597" t="str">
        <f>"14/11/2011"</f>
        <v>14/11/2011</v>
      </c>
      <c r="B597" s="3">
        <f>AUD!B597</f>
        <v>1.0302</v>
      </c>
      <c r="C597" s="3">
        <f>AUD!C597</f>
        <v>1.0265</v>
      </c>
      <c r="D597" s="3">
        <f>1/CAD!B597</f>
        <v>0.9855129594954174</v>
      </c>
      <c r="E597" s="3">
        <f>1/CAD!C597</f>
        <v>0.98483356312783132</v>
      </c>
      <c r="F597" s="3">
        <f>EUR!B597/1</f>
        <v>1.3772</v>
      </c>
      <c r="G597" s="3">
        <f>EUR!C597/1</f>
        <v>1.377</v>
      </c>
      <c r="H597" s="3">
        <f>GBP!B597/1</f>
        <v>1.6059000000000001</v>
      </c>
      <c r="I597" s="3">
        <f>GBP!C597/1</f>
        <v>1.6053999999999999</v>
      </c>
      <c r="J597" s="4">
        <f>1/INR!B597</f>
        <v>1.999800019998E-2</v>
      </c>
      <c r="K597" s="4">
        <f>1/INR!C597</f>
        <v>1.9940179461615155E-2</v>
      </c>
      <c r="L597" s="4">
        <f>1/JPY!B597</f>
        <v>1.2965291913547432E-2</v>
      </c>
      <c r="M597" s="4">
        <f>1/JPY!C597</f>
        <v>1.2970925670110448E-2</v>
      </c>
      <c r="N597" s="5">
        <f>1/KRW!B597</f>
        <v>8.932958149091071E-4</v>
      </c>
      <c r="O597" s="5">
        <f>1/KRW!C597</f>
        <v>8.932511304093055E-4</v>
      </c>
      <c r="P597" s="3">
        <f>1/NOK!B597</f>
        <v>0.17770195827558022</v>
      </c>
      <c r="Q597" s="3">
        <f>1/NOK!C597</f>
        <v>0.17742765387413281</v>
      </c>
      <c r="R597" s="3">
        <f>NZD!B597/1</f>
        <v>0.7873</v>
      </c>
      <c r="S597" s="3">
        <f>NZD!C597/1</f>
        <v>0.78569999999999995</v>
      </c>
      <c r="T597" s="4">
        <f>1/PHP!B597</f>
        <v>2.3137436372049978E-2</v>
      </c>
      <c r="U597" s="4">
        <f>1/PHP!C597</f>
        <v>2.3078698361412416E-2</v>
      </c>
      <c r="V597" s="4">
        <f>1/TWD!B597</f>
        <v>3.3152101843256863E-2</v>
      </c>
      <c r="W597" s="4">
        <f>1/TWD!C597</f>
        <v>3.3152211749806884E-2</v>
      </c>
      <c r="X597" s="4">
        <f>1/TWD!B597</f>
        <v>3.3152101843256863E-2</v>
      </c>
      <c r="Y597" s="4">
        <f>1/TWD!C597</f>
        <v>3.3152211749806884E-2</v>
      </c>
      <c r="Z597" s="4">
        <f>1/ZAR!B597</f>
        <v>0.12673468094544071</v>
      </c>
      <c r="AA597" s="4">
        <f>1/ZAR!C597</f>
        <v>0.12615112905260503</v>
      </c>
    </row>
    <row r="598" spans="1:27" x14ac:dyDescent="0.25">
      <c r="A598" t="str">
        <f>"15/11/2011"</f>
        <v>15/11/2011</v>
      </c>
      <c r="B598" s="3">
        <f>AUD!B598</f>
        <v>1.0166999999999999</v>
      </c>
      <c r="C598" s="3">
        <f>AUD!C598</f>
        <v>1.0127999999999999</v>
      </c>
      <c r="D598" s="3">
        <f>1/CAD!B598</f>
        <v>0.98116169544740961</v>
      </c>
      <c r="E598" s="3">
        <f>1/CAD!C598</f>
        <v>0.98048828316501613</v>
      </c>
      <c r="F598" s="3">
        <f>EUR!B598/1</f>
        <v>1.3601000000000001</v>
      </c>
      <c r="G598" s="3">
        <f>EUR!C598/1</f>
        <v>1.36</v>
      </c>
      <c r="H598" s="3">
        <f>GBP!B598/1</f>
        <v>1.5880000000000001</v>
      </c>
      <c r="I598" s="3">
        <f>GBP!C598/1</f>
        <v>1.5874999999999999</v>
      </c>
      <c r="J598" s="4">
        <f>1/INR!B598</f>
        <v>1.9723865877712032E-2</v>
      </c>
      <c r="K598" s="4">
        <f>1/INR!C598</f>
        <v>1.9603038470962997E-2</v>
      </c>
      <c r="L598" s="4">
        <f>1/JPY!B598</f>
        <v>1.296100681100908E-2</v>
      </c>
      <c r="M598" s="4">
        <f>1/JPY!C598</f>
        <v>1.2967292597880367E-2</v>
      </c>
      <c r="N598" s="5">
        <f>1/KRW!B598</f>
        <v>8.8707531269404771E-4</v>
      </c>
      <c r="O598" s="5">
        <f>1/KRW!C598</f>
        <v>8.8705249310538459E-4</v>
      </c>
      <c r="P598" s="3">
        <f>1/NOK!B598</f>
        <v>0.17451397856968343</v>
      </c>
      <c r="Q598" s="3">
        <f>1/NOK!C598</f>
        <v>0.17423727632289651</v>
      </c>
      <c r="R598" s="3">
        <f>NZD!B598/1</f>
        <v>0.77239999999999998</v>
      </c>
      <c r="S598" s="3">
        <f>NZD!C598/1</f>
        <v>0.77059999999999995</v>
      </c>
      <c r="T598" s="4">
        <f>1/PHP!B598</f>
        <v>2.3057412958266084E-2</v>
      </c>
      <c r="U598" s="4">
        <f>1/PHP!C598</f>
        <v>2.2999080036798531E-2</v>
      </c>
      <c r="V598" s="4">
        <f>1/TWD!B598</f>
        <v>3.3111486374623356E-2</v>
      </c>
      <c r="W598" s="4">
        <f>1/TWD!C598</f>
        <v>3.3111596012039377E-2</v>
      </c>
      <c r="X598" s="4">
        <f>1/TWD!B598</f>
        <v>3.3111486374623356E-2</v>
      </c>
      <c r="Y598" s="4">
        <f>1/TWD!C598</f>
        <v>3.3111596012039377E-2</v>
      </c>
      <c r="Z598" s="4">
        <f>1/ZAR!B598</f>
        <v>0.12458109606448318</v>
      </c>
      <c r="AA598" s="4">
        <f>1/ZAR!C598</f>
        <v>0.12396642989078556</v>
      </c>
    </row>
    <row r="599" spans="1:27" x14ac:dyDescent="0.25">
      <c r="A599" t="str">
        <f>"16/11/2011"</f>
        <v>16/11/2011</v>
      </c>
      <c r="B599" s="3">
        <f>AUD!B599</f>
        <v>1.008</v>
      </c>
      <c r="C599" s="3">
        <f>AUD!C599</f>
        <v>1.0043</v>
      </c>
      <c r="D599" s="3">
        <f>1/CAD!B599</f>
        <v>0.9739943508327652</v>
      </c>
      <c r="E599" s="3">
        <f>1/CAD!C599</f>
        <v>0.97333073778469914</v>
      </c>
      <c r="F599" s="3">
        <f>EUR!B599/1</f>
        <v>1.3454999999999999</v>
      </c>
      <c r="G599" s="3">
        <f>EUR!C599/1</f>
        <v>1.3453999999999999</v>
      </c>
      <c r="H599" s="3">
        <f>GBP!B599/1</f>
        <v>1.5767</v>
      </c>
      <c r="I599" s="3">
        <f>GBP!C599/1</f>
        <v>1.5762</v>
      </c>
      <c r="J599" s="4">
        <f>1/INR!B599</f>
        <v>1.9646365422396856E-2</v>
      </c>
      <c r="K599" s="4">
        <f>1/INR!C599</f>
        <v>1.9519812609798948E-2</v>
      </c>
      <c r="L599" s="4">
        <f>1/JPY!B599</f>
        <v>1.2976901116013496E-2</v>
      </c>
      <c r="M599" s="4">
        <f>1/JPY!C599</f>
        <v>1.2984500401870288E-2</v>
      </c>
      <c r="N599" s="5">
        <f>1/KRW!B599</f>
        <v>8.7997184090109106E-4</v>
      </c>
      <c r="O599" s="5">
        <f>1/KRW!C599</f>
        <v>8.7993351222381637E-4</v>
      </c>
      <c r="P599" s="3">
        <f>1/NOK!B599</f>
        <v>0.17277125086385625</v>
      </c>
      <c r="Q599" s="3">
        <f>1/NOK!C599</f>
        <v>0.17251194645229181</v>
      </c>
      <c r="R599" s="3">
        <f>NZD!B599/1</f>
        <v>0.76580000000000004</v>
      </c>
      <c r="S599" s="3">
        <f>NZD!C599/1</f>
        <v>0.7641</v>
      </c>
      <c r="T599" s="4">
        <f>1/PHP!B599</f>
        <v>2.2996435552489366E-2</v>
      </c>
      <c r="U599" s="4">
        <f>1/PHP!C599</f>
        <v>2.2933149868134391E-2</v>
      </c>
      <c r="V599" s="4">
        <f>1/TWD!B599</f>
        <v>3.3088478591754351E-2</v>
      </c>
      <c r="W599" s="4">
        <f>1/TWD!C599</f>
        <v>3.3088697562686537E-2</v>
      </c>
      <c r="X599" s="4">
        <f>1/TWD!B599</f>
        <v>3.3088478591754351E-2</v>
      </c>
      <c r="Y599" s="4">
        <f>1/TWD!C599</f>
        <v>3.3088697562686537E-2</v>
      </c>
      <c r="Z599" s="4">
        <f>1/ZAR!B599</f>
        <v>0.12195121951219513</v>
      </c>
      <c r="AA599" s="4">
        <f>1/ZAR!C599</f>
        <v>0.12138426617141886</v>
      </c>
    </row>
    <row r="600" spans="1:27" x14ac:dyDescent="0.25">
      <c r="A600" t="str">
        <f>"17/11/2011"</f>
        <v>17/11/2011</v>
      </c>
      <c r="B600" s="3">
        <f>AUD!B600</f>
        <v>1.0085</v>
      </c>
      <c r="C600" s="3">
        <f>AUD!C600</f>
        <v>1.0048999999999999</v>
      </c>
      <c r="D600" s="3">
        <f>1/CAD!B600</f>
        <v>0.97694411879640475</v>
      </c>
      <c r="E600" s="3">
        <f>1/CAD!C600</f>
        <v>0.9762764814995607</v>
      </c>
      <c r="F600" s="3">
        <f>EUR!B600/1</f>
        <v>1.3474999999999999</v>
      </c>
      <c r="G600" s="3">
        <f>EUR!C600/1</f>
        <v>1.3473999999999999</v>
      </c>
      <c r="H600" s="3">
        <f>GBP!B600/1</f>
        <v>1.5723</v>
      </c>
      <c r="I600" s="3">
        <f>GBP!C600/1</f>
        <v>1.5718000000000001</v>
      </c>
      <c r="J600" s="4">
        <f>1/INR!B600</f>
        <v>1.9706375012316486E-2</v>
      </c>
      <c r="K600" s="4">
        <f>1/INR!C600</f>
        <v>1.9587679349689045E-2</v>
      </c>
      <c r="L600" s="4">
        <f>1/JPY!B600</f>
        <v>1.2982460695600244E-2</v>
      </c>
      <c r="M600" s="4">
        <f>1/JPY!C600</f>
        <v>1.2989594036217585E-2</v>
      </c>
      <c r="N600" s="5">
        <f>1/KRW!B600</f>
        <v>8.7956549464564509E-4</v>
      </c>
      <c r="O600" s="5">
        <f>1/KRW!C600</f>
        <v>8.7954576738389235E-4</v>
      </c>
      <c r="P600" s="3">
        <f>1/NOK!B600</f>
        <v>0.17267578394805913</v>
      </c>
      <c r="Q600" s="3">
        <f>1/NOK!C600</f>
        <v>0.17242568452996759</v>
      </c>
      <c r="R600" s="3">
        <f>NZD!B600/1</f>
        <v>0.76649999999999996</v>
      </c>
      <c r="S600" s="3">
        <f>NZD!C600/1</f>
        <v>0.76490000000000002</v>
      </c>
      <c r="T600" s="4">
        <f>1/PHP!B600</f>
        <v>2.3022907793254287E-2</v>
      </c>
      <c r="U600" s="4">
        <f>1/PHP!C600</f>
        <v>2.2957895220166214E-2</v>
      </c>
      <c r="V600" s="4">
        <f>1/TWD!B600</f>
        <v>3.3107101473266017E-2</v>
      </c>
      <c r="W600" s="4">
        <f>1/TWD!C600</f>
        <v>3.3107320690751139E-2</v>
      </c>
      <c r="X600" s="4">
        <f>1/TWD!B600</f>
        <v>3.3107101473266017E-2</v>
      </c>
      <c r="Y600" s="4">
        <f>1/TWD!C600</f>
        <v>3.3107320690751139E-2</v>
      </c>
      <c r="Z600" s="4">
        <f>1/ZAR!B600</f>
        <v>0.1221359128438126</v>
      </c>
      <c r="AA600" s="4">
        <f>1/ZAR!C600</f>
        <v>0.12157759081846035</v>
      </c>
    </row>
    <row r="601" spans="1:27" x14ac:dyDescent="0.25">
      <c r="A601" t="str">
        <f>"18/11/2011"</f>
        <v>18/11/2011</v>
      </c>
      <c r="B601" s="3">
        <f>AUD!B601</f>
        <v>0.99980000000000002</v>
      </c>
      <c r="C601" s="3">
        <f>AUD!C601</f>
        <v>0.99619999999999997</v>
      </c>
      <c r="D601" s="3">
        <f>1/CAD!B601</f>
        <v>0.97191175041306255</v>
      </c>
      <c r="E601" s="3">
        <f>1/CAD!C601</f>
        <v>0.97125097125097115</v>
      </c>
      <c r="F601" s="3">
        <f>EUR!B601/1</f>
        <v>1.3478000000000001</v>
      </c>
      <c r="G601" s="3">
        <f>EUR!C601/1</f>
        <v>1.3478000000000001</v>
      </c>
      <c r="H601" s="3">
        <f>GBP!B601/1</f>
        <v>1.5772999999999999</v>
      </c>
      <c r="I601" s="3">
        <f>GBP!C601/1</f>
        <v>1.5768</v>
      </c>
      <c r="J601" s="4">
        <f>1/INR!B601</f>
        <v>1.9561815336463225E-2</v>
      </c>
      <c r="K601" s="4">
        <f>1/INR!C601</f>
        <v>1.9452414530953654E-2</v>
      </c>
      <c r="L601" s="4">
        <f>1/JPY!B601</f>
        <v>1.300829929495018E-2</v>
      </c>
      <c r="M601" s="4">
        <f>1/JPY!C601</f>
        <v>1.3015952351201633E-2</v>
      </c>
      <c r="N601" s="5">
        <f>1/KRW!B601</f>
        <v>8.8101845733668123E-4</v>
      </c>
      <c r="O601" s="5">
        <f>1/KRW!C601</f>
        <v>8.8098158968722947E-4</v>
      </c>
      <c r="P601" s="3">
        <f>1/NOK!B601</f>
        <v>0.17221782110012743</v>
      </c>
      <c r="Q601" s="3">
        <f>1/NOK!C601</f>
        <v>0.17196313110469116</v>
      </c>
      <c r="R601" s="3">
        <f>NZD!B601/1</f>
        <v>0.75929999999999997</v>
      </c>
      <c r="S601" s="3">
        <f>NZD!C601/1</f>
        <v>0.75770000000000004</v>
      </c>
      <c r="T601" s="4">
        <f>1/PHP!B601</f>
        <v>2.3030861354214647E-2</v>
      </c>
      <c r="U601" s="4">
        <f>1/PHP!C601</f>
        <v>2.2962639785069693E-2</v>
      </c>
      <c r="V601" s="4">
        <f>1/TWD!B601</f>
        <v>3.3068783068783074E-2</v>
      </c>
      <c r="W601" s="4">
        <f>1/TWD!C601</f>
        <v>3.3068892423586058E-2</v>
      </c>
      <c r="X601" s="4">
        <f>1/TWD!B601</f>
        <v>3.3068783068783074E-2</v>
      </c>
      <c r="Y601" s="4">
        <f>1/TWD!C601</f>
        <v>3.3068892423586058E-2</v>
      </c>
      <c r="Z601" s="4">
        <f>1/ZAR!B601</f>
        <v>0.12189770344726705</v>
      </c>
      <c r="AA601" s="4">
        <f>1/ZAR!C601</f>
        <v>0.12135480504350571</v>
      </c>
    </row>
    <row r="602" spans="1:27" x14ac:dyDescent="0.25">
      <c r="A602" t="str">
        <f>"21/11/2011"</f>
        <v>21/11/2011</v>
      </c>
      <c r="B602" s="3">
        <f>AUD!B602</f>
        <v>0.99780000000000002</v>
      </c>
      <c r="C602" s="3">
        <f>AUD!C602</f>
        <v>0.99429999999999996</v>
      </c>
      <c r="D602" s="3">
        <f>1/CAD!B602</f>
        <v>0.97191175041306255</v>
      </c>
      <c r="E602" s="3">
        <f>1/CAD!C602</f>
        <v>0.97115664756725251</v>
      </c>
      <c r="F602" s="3">
        <f>EUR!B602/1</f>
        <v>1.3523000000000001</v>
      </c>
      <c r="G602" s="3">
        <f>EUR!C602/1</f>
        <v>1.3523000000000001</v>
      </c>
      <c r="H602" s="3">
        <f>GBP!B602/1</f>
        <v>1.5747</v>
      </c>
      <c r="I602" s="3">
        <f>GBP!C602/1</f>
        <v>1.5742</v>
      </c>
      <c r="J602" s="4">
        <f>1/INR!B602</f>
        <v>1.9312475859405175E-2</v>
      </c>
      <c r="K602" s="4">
        <f>1/INR!C602</f>
        <v>1.9215064610654753E-2</v>
      </c>
      <c r="L602" s="4">
        <f>1/JPY!B602</f>
        <v>1.3018121224744845E-2</v>
      </c>
      <c r="M602" s="4">
        <f>1/JPY!C602</f>
        <v>1.3026023389527597E-2</v>
      </c>
      <c r="N602" s="5">
        <f>1/KRW!B602</f>
        <v>8.7788605039065934E-4</v>
      </c>
      <c r="O602" s="5">
        <f>1/KRW!C602</f>
        <v>8.7786678371557121E-4</v>
      </c>
      <c r="P602" s="3">
        <f>1/NOK!B602</f>
        <v>0.1728429203539823</v>
      </c>
      <c r="Q602" s="3">
        <f>1/NOK!C602</f>
        <v>0.17258340092849869</v>
      </c>
      <c r="R602" s="3">
        <f>NZD!B602/1</f>
        <v>0.75680000000000003</v>
      </c>
      <c r="S602" s="3">
        <f>NZD!C602/1</f>
        <v>0.75519999999999998</v>
      </c>
      <c r="T602" s="4">
        <f>1/PHP!B602</f>
        <v>2.3022907793254287E-2</v>
      </c>
      <c r="U602" s="4">
        <f>1/PHP!C602</f>
        <v>2.2959476523935256E-2</v>
      </c>
      <c r="V602" s="4">
        <f>1/TWD!B602</f>
        <v>3.3055665741108027E-2</v>
      </c>
      <c r="W602" s="4">
        <f>1/TWD!C602</f>
        <v>3.3055884277960322E-2</v>
      </c>
      <c r="X602" s="4">
        <f>1/TWD!B602</f>
        <v>3.3055665741108027E-2</v>
      </c>
      <c r="Y602" s="4">
        <f>1/TWD!C602</f>
        <v>3.3055884277960322E-2</v>
      </c>
      <c r="Z602" s="4">
        <f>1/ZAR!B602</f>
        <v>0.12184720360667721</v>
      </c>
      <c r="AA602" s="4">
        <f>1/ZAR!C602</f>
        <v>0.12130622543548934</v>
      </c>
    </row>
    <row r="603" spans="1:27" x14ac:dyDescent="0.25">
      <c r="A603" t="str">
        <f>"22/11/2011"</f>
        <v>22/11/2011</v>
      </c>
      <c r="B603" s="3">
        <f>AUD!B603</f>
        <v>0.98380000000000001</v>
      </c>
      <c r="C603" s="3">
        <f>AUD!C603</f>
        <v>0.98</v>
      </c>
      <c r="D603" s="3">
        <f>1/CAD!B603</f>
        <v>0.96209351548970545</v>
      </c>
      <c r="E603" s="3">
        <f>1/CAD!C603</f>
        <v>0.96144601480626857</v>
      </c>
      <c r="F603" s="3">
        <f>EUR!B603/1</f>
        <v>1.3473999999999999</v>
      </c>
      <c r="G603" s="3">
        <f>EUR!C603/1</f>
        <v>1.3473999999999999</v>
      </c>
      <c r="H603" s="3">
        <f>GBP!B603/1</f>
        <v>1.5623</v>
      </c>
      <c r="I603" s="3">
        <f>GBP!C603/1</f>
        <v>1.5617000000000001</v>
      </c>
      <c r="J603" s="4">
        <f>1/INR!B603</f>
        <v>1.89897455374098E-2</v>
      </c>
      <c r="K603" s="4">
        <f>1/INR!C603</f>
        <v>1.8891985075331793E-2</v>
      </c>
      <c r="L603" s="4">
        <f>1/JPY!B603</f>
        <v>1.2974880631098194E-2</v>
      </c>
      <c r="M603" s="4">
        <f>1/JPY!C603</f>
        <v>1.2982595532429225E-2</v>
      </c>
      <c r="N603" s="5">
        <f>1/KRW!B603</f>
        <v>8.694896095991654E-4</v>
      </c>
      <c r="O603" s="5">
        <f>1/KRW!C603</f>
        <v>8.6944916482886855E-4</v>
      </c>
      <c r="P603" s="3">
        <f>1/NOK!B603</f>
        <v>0.17179178835251677</v>
      </c>
      <c r="Q603" s="3">
        <f>1/NOK!C603</f>
        <v>0.17151187719749594</v>
      </c>
      <c r="R603" s="3">
        <f>NZD!B603/1</f>
        <v>0.74750000000000005</v>
      </c>
      <c r="S603" s="3">
        <f>NZD!C603/1</f>
        <v>0.74570000000000003</v>
      </c>
      <c r="T603" s="4">
        <f>1/PHP!B603</f>
        <v>2.3062730627306273E-2</v>
      </c>
      <c r="U603" s="4">
        <f>1/PHP!C603</f>
        <v>2.2996435552489366E-2</v>
      </c>
      <c r="V603" s="4">
        <f>1/TWD!B603</f>
        <v>3.2986970146792013E-2</v>
      </c>
      <c r="W603" s="4">
        <f>1/TWD!C603</f>
        <v>3.2987187776267697E-2</v>
      </c>
      <c r="X603" s="4">
        <f>1/TWD!B603</f>
        <v>3.2986970146792013E-2</v>
      </c>
      <c r="Y603" s="4">
        <f>1/TWD!C603</f>
        <v>3.2987187776267697E-2</v>
      </c>
      <c r="Z603" s="4">
        <f>1/ZAR!B603</f>
        <v>0.1200999231360492</v>
      </c>
      <c r="AA603" s="4">
        <f>1/ZAR!C603</f>
        <v>0.11956001912960305</v>
      </c>
    </row>
    <row r="604" spans="1:27" x14ac:dyDescent="0.25">
      <c r="A604" t="str">
        <f>"23/11/2011"</f>
        <v>23/11/2011</v>
      </c>
      <c r="B604" s="3">
        <f>AUD!B604</f>
        <v>0.97740000000000005</v>
      </c>
      <c r="C604" s="3">
        <f>AUD!C604</f>
        <v>0.97360000000000002</v>
      </c>
      <c r="D604" s="3">
        <f>1/CAD!B604</f>
        <v>0.96033803898972447</v>
      </c>
      <c r="E604" s="3">
        <f>1/CAD!C604</f>
        <v>0.95960080606467713</v>
      </c>
      <c r="F604" s="3">
        <f>EUR!B604/1</f>
        <v>1.3472999999999999</v>
      </c>
      <c r="G604" s="3">
        <f>EUR!C604/1</f>
        <v>1.3472999999999999</v>
      </c>
      <c r="H604" s="3">
        <f>GBP!B604/1</f>
        <v>1.5620000000000001</v>
      </c>
      <c r="I604" s="3">
        <f>GBP!C604/1</f>
        <v>1.5615000000000001</v>
      </c>
      <c r="J604" s="4">
        <f>1/INR!B604</f>
        <v>1.9200307204915279E-2</v>
      </c>
      <c r="K604" s="4">
        <f>1/INR!C604</f>
        <v>1.9082148649937982E-2</v>
      </c>
      <c r="L604" s="4">
        <f>1/JPY!B604</f>
        <v>1.2983472040092961E-2</v>
      </c>
      <c r="M604" s="4">
        <f>1/JPY!C604</f>
        <v>1.2989543417548873E-2</v>
      </c>
      <c r="N604" s="5">
        <f>1/KRW!B604</f>
        <v>8.6964083833376805E-4</v>
      </c>
      <c r="O604" s="5">
        <f>1/KRW!C604</f>
        <v>8.6962117562347496E-4</v>
      </c>
      <c r="P604" s="3">
        <f>1/NOK!B604</f>
        <v>0.17230684402784477</v>
      </c>
      <c r="Q604" s="3">
        <f>1/NOK!C604</f>
        <v>0.17204597068336658</v>
      </c>
      <c r="R604" s="3">
        <f>NZD!B604/1</f>
        <v>0.74480000000000002</v>
      </c>
      <c r="S604" s="3">
        <f>NZD!C604/1</f>
        <v>0.74299999999999999</v>
      </c>
      <c r="T604" s="4">
        <f>1/PHP!B604</f>
        <v>2.3057412958266084E-2</v>
      </c>
      <c r="U604" s="4">
        <f>1/PHP!C604</f>
        <v>2.2988505747126436E-2</v>
      </c>
      <c r="V604" s="4">
        <f>1/TWD!B604</f>
        <v>3.2910975810432778E-2</v>
      </c>
      <c r="W604" s="4">
        <f>1/TWD!C604</f>
        <v>3.2911084124022133E-2</v>
      </c>
      <c r="X604" s="4">
        <f>1/TWD!B604</f>
        <v>3.2910975810432778E-2</v>
      </c>
      <c r="Y604" s="4">
        <f>1/TWD!C604</f>
        <v>3.2911084124022133E-2</v>
      </c>
      <c r="Z604" s="4">
        <f>1/ZAR!B604</f>
        <v>0.11872536448686896</v>
      </c>
      <c r="AA604" s="4">
        <f>1/ZAR!C604</f>
        <v>0.11816699359534895</v>
      </c>
    </row>
    <row r="605" spans="1:27" x14ac:dyDescent="0.25">
      <c r="A605" t="str">
        <f>"24/11/2011"</f>
        <v>24/11/2011</v>
      </c>
      <c r="B605" s="3">
        <f>AUD!B605</f>
        <v>0.97729999999999995</v>
      </c>
      <c r="C605" s="3">
        <f>AUD!C605</f>
        <v>0.9738</v>
      </c>
      <c r="D605" s="3">
        <f>1/CAD!B605</f>
        <v>0.95757923968208369</v>
      </c>
      <c r="E605" s="3">
        <f>1/CAD!C605</f>
        <v>0.95684623481006614</v>
      </c>
      <c r="F605" s="3">
        <f>EUR!B605/1</f>
        <v>1.3398000000000001</v>
      </c>
      <c r="G605" s="3">
        <f>EUR!C605/1</f>
        <v>1.3399000000000001</v>
      </c>
      <c r="H605" s="3">
        <f>GBP!B605/1</f>
        <v>1.5551999999999999</v>
      </c>
      <c r="I605" s="3">
        <f>GBP!C605/1</f>
        <v>1.5548</v>
      </c>
      <c r="J605" s="4">
        <f>1/INR!B605</f>
        <v>1.9201228878648235E-2</v>
      </c>
      <c r="K605" s="4">
        <f>1/INR!C605</f>
        <v>1.9094901661256446E-2</v>
      </c>
      <c r="L605" s="4">
        <f>1/JPY!B605</f>
        <v>1.2980101504393765E-2</v>
      </c>
      <c r="M605" s="4">
        <f>1/JPY!C605</f>
        <v>1.2986119137254188E-2</v>
      </c>
      <c r="N605" s="5">
        <f>1/KRW!B605</f>
        <v>8.6275693980113449E-4</v>
      </c>
      <c r="O605" s="5">
        <f>1/KRW!C605</f>
        <v>8.6273237696573581E-4</v>
      </c>
      <c r="P605" s="3">
        <f>1/NOK!B605</f>
        <v>0.17111274618846359</v>
      </c>
      <c r="Q605" s="3">
        <f>1/NOK!C605</f>
        <v>0.1708759099142203</v>
      </c>
      <c r="R605" s="3">
        <f>NZD!B605/1</f>
        <v>0.74460000000000004</v>
      </c>
      <c r="S605" s="3">
        <f>NZD!C605/1</f>
        <v>0.74299999999999999</v>
      </c>
      <c r="T605" s="4">
        <f>1/PHP!B605</f>
        <v>2.2914757103574702E-2</v>
      </c>
      <c r="U605" s="4">
        <f>1/PHP!C605</f>
        <v>2.283887175973507E-2</v>
      </c>
      <c r="V605" s="4">
        <f>1/TWD!B605</f>
        <v>3.2883919763235778E-2</v>
      </c>
      <c r="W605" s="4">
        <f>1/TWD!C605</f>
        <v>3.2884027898809266E-2</v>
      </c>
      <c r="X605" s="4">
        <f>1/TWD!B605</f>
        <v>3.2883919763235778E-2</v>
      </c>
      <c r="Y605" s="4">
        <f>1/TWD!C605</f>
        <v>3.2884027898809266E-2</v>
      </c>
      <c r="Z605" s="4">
        <f>1/ZAR!B605</f>
        <v>0.11802473798508169</v>
      </c>
      <c r="AA605" s="4">
        <f>1/ZAR!C605</f>
        <v>0.11748810432943664</v>
      </c>
    </row>
    <row r="606" spans="1:27" x14ac:dyDescent="0.25">
      <c r="A606" t="str">
        <f>"25/11/2011"</f>
        <v>25/11/2011</v>
      </c>
      <c r="B606" s="3">
        <f>AUD!B606</f>
        <v>0.96899999999999997</v>
      </c>
      <c r="C606" s="3">
        <f>AUD!C606</f>
        <v>0.96550000000000002</v>
      </c>
      <c r="D606" s="3">
        <f>1/CAD!B606</f>
        <v>0.951022349025202</v>
      </c>
      <c r="E606" s="3">
        <f>1/CAD!C606</f>
        <v>0.95029934429345242</v>
      </c>
      <c r="F606" s="3">
        <f>EUR!B606/1</f>
        <v>1.3258000000000001</v>
      </c>
      <c r="G606" s="3">
        <f>EUR!C606/1</f>
        <v>1.3259000000000001</v>
      </c>
      <c r="H606" s="3">
        <f>GBP!B606/1</f>
        <v>1.5459000000000001</v>
      </c>
      <c r="I606" s="3">
        <f>GBP!C606/1</f>
        <v>1.5454000000000001</v>
      </c>
      <c r="J606" s="4">
        <f>1/INR!B606</f>
        <v>1.9102196752626553E-2</v>
      </c>
      <c r="K606" s="4">
        <f>1/INR!C606</f>
        <v>1.8998765080269785E-2</v>
      </c>
      <c r="L606" s="4">
        <f>1/JPY!B606</f>
        <v>1.2905557132901428E-2</v>
      </c>
      <c r="M606" s="4">
        <f>1/JPY!C606</f>
        <v>1.2911672539325727E-2</v>
      </c>
      <c r="N606" s="5">
        <f>1/KRW!B606</f>
        <v>8.5888516705316502E-4</v>
      </c>
      <c r="O606" s="5">
        <f>1/KRW!C606</f>
        <v>8.5884975969383731E-4</v>
      </c>
      <c r="P606" s="3">
        <f>1/NOK!B606</f>
        <v>0.16914463557788265</v>
      </c>
      <c r="Q606" s="3">
        <f>1/NOK!C606</f>
        <v>0.16891891891891891</v>
      </c>
      <c r="R606" s="3">
        <f>NZD!B606/1</f>
        <v>0.73980000000000001</v>
      </c>
      <c r="S606" s="3">
        <f>NZD!C606/1</f>
        <v>0.73819999999999997</v>
      </c>
      <c r="T606" s="4">
        <f>1/PHP!B606</f>
        <v>2.2719527433829375E-2</v>
      </c>
      <c r="U606" s="4">
        <f>1/PHP!C606</f>
        <v>2.2651082721754097E-2</v>
      </c>
      <c r="V606" s="4">
        <f>1/TWD!B606</f>
        <v>3.2808398950131233E-2</v>
      </c>
      <c r="W606" s="4">
        <f>1/TWD!C606</f>
        <v>3.2808506589588546E-2</v>
      </c>
      <c r="X606" s="4">
        <f>1/TWD!B606</f>
        <v>3.2808398950131233E-2</v>
      </c>
      <c r="Y606" s="4">
        <f>1/TWD!C606</f>
        <v>3.2808506589588546E-2</v>
      </c>
      <c r="Z606" s="4">
        <f>1/ZAR!B606</f>
        <v>0.11642256735045522</v>
      </c>
      <c r="AA606" s="4">
        <f>1/ZAR!C606</f>
        <v>0.11590037204019425</v>
      </c>
    </row>
    <row r="607" spans="1:27" x14ac:dyDescent="0.25">
      <c r="A607" t="str">
        <f>"28/11/2011"</f>
        <v>28/11/2011</v>
      </c>
      <c r="B607" s="3">
        <f>AUD!B607</f>
        <v>0.99399999999999999</v>
      </c>
      <c r="C607" s="3">
        <f>AUD!C607</f>
        <v>0.99050000000000005</v>
      </c>
      <c r="D607" s="3">
        <f>1/CAD!B607</f>
        <v>0.96805421103581812</v>
      </c>
      <c r="E607" s="3">
        <f>1/CAD!C607</f>
        <v>0.967305088024763</v>
      </c>
      <c r="F607" s="3">
        <f>EUR!B607/1</f>
        <v>1.3386</v>
      </c>
      <c r="G607" s="3">
        <f>EUR!C607/1</f>
        <v>1.3387</v>
      </c>
      <c r="H607" s="3">
        <f>GBP!B607/1</f>
        <v>1.5571999999999999</v>
      </c>
      <c r="I607" s="3">
        <f>GBP!C607/1</f>
        <v>1.5567</v>
      </c>
      <c r="J607" s="4">
        <f>1/INR!B607</f>
        <v>1.9250204533423167E-2</v>
      </c>
      <c r="K607" s="4">
        <f>1/INR!C607</f>
        <v>1.9144251938355509E-2</v>
      </c>
      <c r="L607" s="4">
        <f>1/JPY!B607</f>
        <v>1.2876475966057609E-2</v>
      </c>
      <c r="M607" s="4">
        <f>1/JPY!C607</f>
        <v>1.2883144724094572E-2</v>
      </c>
      <c r="N607" s="5">
        <f>1/KRW!B607</f>
        <v>8.661758336942399E-4</v>
      </c>
      <c r="O607" s="5">
        <f>1/KRW!C607</f>
        <v>8.6613832229006976E-4</v>
      </c>
      <c r="P607" s="3">
        <f>1/NOK!B607</f>
        <v>0.17103080264755682</v>
      </c>
      <c r="Q607" s="3">
        <f>1/NOK!C607</f>
        <v>0.17080294464276563</v>
      </c>
      <c r="R607" s="3">
        <f>NZD!B607/1</f>
        <v>0.75590000000000002</v>
      </c>
      <c r="S607" s="3">
        <f>NZD!C607/1</f>
        <v>0.75429999999999997</v>
      </c>
      <c r="T607" s="4">
        <f>1/PHP!B607</f>
        <v>2.2880677268047135E-2</v>
      </c>
      <c r="U607" s="4">
        <f>1/PHP!C607</f>
        <v>2.2815423226100844E-2</v>
      </c>
      <c r="V607" s="4">
        <f>1/TWD!B607</f>
        <v>3.2833174639655904E-2</v>
      </c>
      <c r="W607" s="4">
        <f>1/TWD!C607</f>
        <v>3.2833282441745548E-2</v>
      </c>
      <c r="X607" s="4">
        <f>1/TWD!B607</f>
        <v>3.2833174639655904E-2</v>
      </c>
      <c r="Y607" s="4">
        <f>1/TWD!C607</f>
        <v>3.2833282441745548E-2</v>
      </c>
      <c r="Z607" s="4">
        <f>1/ZAR!B607</f>
        <v>0.11984946906685204</v>
      </c>
      <c r="AA607" s="4">
        <f>1/ZAR!C607</f>
        <v>0.11930896248926219</v>
      </c>
    </row>
    <row r="608" spans="1:27" x14ac:dyDescent="0.25">
      <c r="A608" t="str">
        <f>"29/11/2011"</f>
        <v>29/11/2011</v>
      </c>
      <c r="B608" s="3">
        <f>AUD!B608</f>
        <v>1.0049999999999999</v>
      </c>
      <c r="C608" s="3">
        <f>AUD!C608</f>
        <v>1.0011000000000001</v>
      </c>
      <c r="D608" s="3">
        <f>1/CAD!B608</f>
        <v>0.97143967359626959</v>
      </c>
      <c r="E608" s="3">
        <f>1/CAD!C608</f>
        <v>0.97068530382450013</v>
      </c>
      <c r="F608" s="3">
        <f>EUR!B608/1</f>
        <v>1.3411999999999999</v>
      </c>
      <c r="G608" s="3">
        <f>EUR!C608/1</f>
        <v>1.3416999999999999</v>
      </c>
      <c r="H608" s="3">
        <f>GBP!B608/1</f>
        <v>1.5625</v>
      </c>
      <c r="I608" s="3">
        <f>GBP!C608/1</f>
        <v>1.5620000000000001</v>
      </c>
      <c r="J608" s="4">
        <f>1/INR!B608</f>
        <v>1.9237243303034675E-2</v>
      </c>
      <c r="K608" s="4">
        <f>1/INR!C608</f>
        <v>1.912502988285919E-2</v>
      </c>
      <c r="L608" s="4">
        <f>1/JPY!B608</f>
        <v>1.2859916924936666E-2</v>
      </c>
      <c r="M608" s="4">
        <f>1/JPY!C608</f>
        <v>1.2871785432485554E-2</v>
      </c>
      <c r="N608" s="5">
        <f>1/KRW!B608</f>
        <v>8.7309556030907589E-4</v>
      </c>
      <c r="O608" s="5">
        <f>1/KRW!C608</f>
        <v>8.730681185207432E-4</v>
      </c>
      <c r="P608" s="3">
        <f>1/NOK!B608</f>
        <v>0.17098986030128413</v>
      </c>
      <c r="Q608" s="3">
        <f>1/NOK!C608</f>
        <v>0.17075044821992658</v>
      </c>
      <c r="R608" s="3">
        <f>NZD!B608/1</f>
        <v>0.76390000000000002</v>
      </c>
      <c r="S608" s="3">
        <f>NZD!C608/1</f>
        <v>0.7621</v>
      </c>
      <c r="T608" s="4">
        <f>1/PHP!B608</f>
        <v>2.293052052281587E-2</v>
      </c>
      <c r="U608" s="4">
        <f>1/PHP!C608</f>
        <v>2.2864982279638735E-2</v>
      </c>
      <c r="V608" s="4">
        <f>1/TWD!B608</f>
        <v>3.2965221691115869E-2</v>
      </c>
      <c r="W608" s="4">
        <f>1/TWD!C608</f>
        <v>3.2965439033717049E-2</v>
      </c>
      <c r="X608" s="4">
        <f>1/TWD!B608</f>
        <v>3.2965221691115869E-2</v>
      </c>
      <c r="Y608" s="4">
        <f>1/TWD!C608</f>
        <v>3.2965439033717049E-2</v>
      </c>
      <c r="Z608" s="4">
        <f>1/ZAR!B608</f>
        <v>0.12067384273784815</v>
      </c>
      <c r="AA608" s="4">
        <f>1/ZAR!C608</f>
        <v>0.12003937291431589</v>
      </c>
    </row>
    <row r="609" spans="1:27" x14ac:dyDescent="0.25">
      <c r="A609" t="str">
        <f>"30/11/2011"</f>
        <v>30/11/2011</v>
      </c>
      <c r="B609" s="3">
        <f>AUD!B609</f>
        <v>0.99750000000000005</v>
      </c>
      <c r="C609" s="3">
        <f>AUD!C609</f>
        <v>0.99370000000000003</v>
      </c>
      <c r="D609" s="3">
        <f>1/CAD!B609</f>
        <v>0.96814793300416313</v>
      </c>
      <c r="E609" s="3">
        <f>1/CAD!C609</f>
        <v>0.96739866498984228</v>
      </c>
      <c r="F609" s="3">
        <f>EUR!B609/1</f>
        <v>1.3287</v>
      </c>
      <c r="G609" s="3">
        <f>EUR!C609/1</f>
        <v>1.3292999999999999</v>
      </c>
      <c r="H609" s="3">
        <f>GBP!B609/1</f>
        <v>1.5551999999999999</v>
      </c>
      <c r="I609" s="3">
        <f>GBP!C609/1</f>
        <v>1.5547</v>
      </c>
      <c r="J609" s="4">
        <f>1/INR!B609</f>
        <v>1.9091256204658267E-2</v>
      </c>
      <c r="K609" s="4">
        <f>1/INR!C609</f>
        <v>1.8991548760801443E-2</v>
      </c>
      <c r="L609" s="4">
        <f>1/JPY!B609</f>
        <v>1.2799180852425445E-2</v>
      </c>
      <c r="M609" s="4">
        <f>1/JPY!C609</f>
        <v>1.2811282127492754E-2</v>
      </c>
      <c r="N609" s="5">
        <f>1/KRW!B609</f>
        <v>8.751203290452437E-4</v>
      </c>
      <c r="O609" s="5">
        <f>1/KRW!C609</f>
        <v>8.7509314272637897E-4</v>
      </c>
      <c r="P609" s="3">
        <f>1/NOK!B609</f>
        <v>0.1707271268331825</v>
      </c>
      <c r="Q609" s="3">
        <f>1/NOK!C609</f>
        <v>0.17050007672503453</v>
      </c>
      <c r="R609" s="3">
        <f>NZD!B609/1</f>
        <v>0.75949999999999995</v>
      </c>
      <c r="S609" s="3">
        <f>NZD!C609/1</f>
        <v>0.75770000000000004</v>
      </c>
      <c r="T609" s="4">
        <f>1/PHP!B609</f>
        <v>2.2909507445589922E-2</v>
      </c>
      <c r="U609" s="4">
        <f>1/PHP!C609</f>
        <v>2.2844089091947458E-2</v>
      </c>
      <c r="V609" s="4">
        <f>1/TWD!B609</f>
        <v>3.2981530343007916E-2</v>
      </c>
      <c r="W609" s="4">
        <f>1/TWD!C609</f>
        <v>3.2981747900711747E-2</v>
      </c>
      <c r="X609" s="4">
        <f>1/TWD!B609</f>
        <v>3.2981530343007916E-2</v>
      </c>
      <c r="Y609" s="4">
        <f>1/TWD!C609</f>
        <v>3.2981747900711747E-2</v>
      </c>
      <c r="Z609" s="4">
        <f>1/ZAR!B609</f>
        <v>0.11880294156083306</v>
      </c>
      <c r="AA609" s="4">
        <f>1/ZAR!C609</f>
        <v>0.11820470691142922</v>
      </c>
    </row>
    <row r="610" spans="1:27" x14ac:dyDescent="0.25">
      <c r="A610" t="str">
        <f>"01/12/2011"</f>
        <v>01/12/2011</v>
      </c>
      <c r="B610" s="3">
        <f>AUD!B610</f>
        <v>1.0219</v>
      </c>
      <c r="C610" s="3">
        <f>AUD!C610</f>
        <v>1.0182</v>
      </c>
      <c r="D610" s="3">
        <f>1/CAD!B610</f>
        <v>0.9813542688910698</v>
      </c>
      <c r="E610" s="3">
        <f>1/CAD!C610</f>
        <v>0.98058442831927828</v>
      </c>
      <c r="F610" s="3">
        <f>EUR!B610/1</f>
        <v>1.3481000000000001</v>
      </c>
      <c r="G610" s="3">
        <f>EUR!C610/1</f>
        <v>1.3484</v>
      </c>
      <c r="H610" s="3">
        <f>GBP!B610/1</f>
        <v>1.5722</v>
      </c>
      <c r="I610" s="3">
        <f>GBP!C610/1</f>
        <v>1.5717000000000001</v>
      </c>
      <c r="J610" s="4">
        <f>1/INR!B610</f>
        <v>1.9413706076490001E-2</v>
      </c>
      <c r="K610" s="4">
        <f>1/INR!C610</f>
        <v>1.9304087640557889E-2</v>
      </c>
      <c r="L610" s="4">
        <f>1/JPY!B610</f>
        <v>1.2872332209149653E-2</v>
      </c>
      <c r="M610" s="4">
        <f>1/JPY!C610</f>
        <v>1.2882945556672078E-2</v>
      </c>
      <c r="N610" s="5">
        <f>1/KRW!B610</f>
        <v>8.8778409090909088E-4</v>
      </c>
      <c r="O610" s="5">
        <f>1/KRW!C610</f>
        <v>8.8775650614549451E-4</v>
      </c>
      <c r="P610" s="3">
        <f>1/NOK!B610</f>
        <v>0.17334627652198031</v>
      </c>
      <c r="Q610" s="3">
        <f>1/NOK!C610</f>
        <v>0.17310322145095119</v>
      </c>
      <c r="R610" s="3">
        <f>NZD!B610/1</f>
        <v>0.77839999999999998</v>
      </c>
      <c r="S610" s="3">
        <f>NZD!C610/1</f>
        <v>0.77669999999999995</v>
      </c>
      <c r="T610" s="4">
        <f>1/PHP!B610</f>
        <v>2.3100023100023102E-2</v>
      </c>
      <c r="U610" s="4">
        <f>1/PHP!C610</f>
        <v>2.3052097740894419E-2</v>
      </c>
      <c r="V610" s="4">
        <f>1/TWD!B610</f>
        <v>3.3195020746887967E-2</v>
      </c>
      <c r="W610" s="4">
        <f>1/TWD!C610</f>
        <v>3.3195241130231569E-2</v>
      </c>
      <c r="X610" s="4">
        <f>1/TWD!B610</f>
        <v>3.3195020746887967E-2</v>
      </c>
      <c r="Y610" s="4">
        <f>1/TWD!C610</f>
        <v>3.3195241130231569E-2</v>
      </c>
      <c r="Z610" s="4">
        <f>1/ZAR!B610</f>
        <v>0.12275812965713653</v>
      </c>
      <c r="AA610" s="4">
        <f>1/ZAR!C610</f>
        <v>0.12215680046908212</v>
      </c>
    </row>
    <row r="611" spans="1:27" x14ac:dyDescent="0.25">
      <c r="A611" t="str">
        <f>"02/12/2011"</f>
        <v>02/12/2011</v>
      </c>
      <c r="B611" s="3">
        <f>AUD!B611</f>
        <v>1.0270999999999999</v>
      </c>
      <c r="C611" s="3">
        <f>AUD!C611</f>
        <v>1.0234000000000001</v>
      </c>
      <c r="D611" s="3">
        <f>1/CAD!B611</f>
        <v>0.98814229249011853</v>
      </c>
      <c r="E611" s="3">
        <f>1/CAD!C611</f>
        <v>0.98736176935229081</v>
      </c>
      <c r="F611" s="3">
        <f>EUR!B611/1</f>
        <v>1.3486</v>
      </c>
      <c r="G611" s="3">
        <f>EUR!C611/1</f>
        <v>1.349</v>
      </c>
      <c r="H611" s="3">
        <f>GBP!B611/1</f>
        <v>1.5684</v>
      </c>
      <c r="I611" s="3">
        <f>GBP!C611/1</f>
        <v>1.5680000000000001</v>
      </c>
      <c r="J611" s="4">
        <f>1/INR!B611</f>
        <v>1.9510291678860599E-2</v>
      </c>
      <c r="K611" s="4">
        <f>1/INR!C611</f>
        <v>1.9397701372387371E-2</v>
      </c>
      <c r="L611" s="4">
        <f>1/JPY!B611</f>
        <v>1.2840267077555215E-2</v>
      </c>
      <c r="M611" s="4">
        <f>1/JPY!C611</f>
        <v>1.2853685215819801E-2</v>
      </c>
      <c r="N611" s="5">
        <f>1/KRW!B611</f>
        <v>8.8374353762538116E-4</v>
      </c>
      <c r="O611" s="5">
        <f>1/KRW!C611</f>
        <v>8.8371542242480909E-4</v>
      </c>
      <c r="P611" s="3">
        <f>1/NOK!B611</f>
        <v>0.17299242293187558</v>
      </c>
      <c r="Q611" s="3">
        <f>1/NOK!C611</f>
        <v>0.17275334277718274</v>
      </c>
      <c r="R611" s="3">
        <f>NZD!B611/1</f>
        <v>0.78100000000000003</v>
      </c>
      <c r="S611" s="3">
        <f>NZD!C611/1</f>
        <v>0.7792</v>
      </c>
      <c r="T611" s="4">
        <f>1/PHP!B611</f>
        <v>2.3116042533518264E-2</v>
      </c>
      <c r="U611" s="4">
        <f>1/PHP!C611</f>
        <v>2.3062730627306273E-2</v>
      </c>
      <c r="V611" s="4">
        <f>1/TWD!B611</f>
        <v>3.3156498673740056E-2</v>
      </c>
      <c r="W611" s="4">
        <f>1/TWD!C611</f>
        <v>3.3156608609444992E-2</v>
      </c>
      <c r="X611" s="4">
        <f>1/TWD!B611</f>
        <v>3.3156498673740056E-2</v>
      </c>
      <c r="Y611" s="4">
        <f>1/TWD!C611</f>
        <v>3.3156608609444992E-2</v>
      </c>
      <c r="Z611" s="4">
        <f>1/ZAR!B611</f>
        <v>0.12416344876395286</v>
      </c>
      <c r="AA611" s="4">
        <f>1/ZAR!C611</f>
        <v>0.12356968094308382</v>
      </c>
    </row>
    <row r="612" spans="1:27" x14ac:dyDescent="0.25">
      <c r="A612" t="str">
        <f>"05/12/2011"</f>
        <v>05/12/2011</v>
      </c>
      <c r="B612" s="3">
        <f>AUD!B612</f>
        <v>1.026</v>
      </c>
      <c r="C612" s="3">
        <f>AUD!C612</f>
        <v>1.022</v>
      </c>
      <c r="D612" s="3">
        <f>1/CAD!B612</f>
        <v>0.98405825624876997</v>
      </c>
      <c r="E612" s="3">
        <f>1/CAD!C612</f>
        <v>0.98338086340839814</v>
      </c>
      <c r="F612" s="3">
        <f>EUR!B612/1</f>
        <v>1.3451</v>
      </c>
      <c r="G612" s="3">
        <f>EUR!C612/1</f>
        <v>1.3454999999999999</v>
      </c>
      <c r="H612" s="3">
        <f>GBP!B612/1</f>
        <v>1.5636000000000001</v>
      </c>
      <c r="I612" s="3">
        <f>GBP!C612/1</f>
        <v>1.5630999999999999</v>
      </c>
      <c r="J612" s="4">
        <f>1/INR!B612</f>
        <v>1.9498878814468171E-2</v>
      </c>
      <c r="K612" s="4">
        <f>1/INR!C612</f>
        <v>1.9380783952710888E-2</v>
      </c>
      <c r="L612" s="4">
        <f>1/JPY!B612</f>
        <v>1.2827090815802977E-2</v>
      </c>
      <c r="M612" s="4">
        <f>1/JPY!C612</f>
        <v>1.2842377791932933E-2</v>
      </c>
      <c r="N612" s="5">
        <f>1/KRW!B612</f>
        <v>8.8495575221238937E-4</v>
      </c>
      <c r="O612" s="5">
        <f>1/KRW!C612</f>
        <v>8.8493264998834099E-4</v>
      </c>
      <c r="P612" s="3">
        <f>1/NOK!B612</f>
        <v>0.17356289919466816</v>
      </c>
      <c r="Q612" s="3">
        <f>1/NOK!C612</f>
        <v>0.17331623279836389</v>
      </c>
      <c r="R612" s="3">
        <f>NZD!B612/1</f>
        <v>0.78139999999999998</v>
      </c>
      <c r="S612" s="3">
        <f>NZD!C612/1</f>
        <v>0.77959999999999996</v>
      </c>
      <c r="T612" s="4">
        <f>1/PHP!B612</f>
        <v>2.3124060585038735E-2</v>
      </c>
      <c r="U612" s="4">
        <f>1/PHP!C612</f>
        <v>2.3073373327180433E-2</v>
      </c>
      <c r="V612" s="4">
        <f>1/TWD!B612</f>
        <v>3.3134526176275679E-2</v>
      </c>
      <c r="W612" s="4">
        <f>1/TWD!C612</f>
        <v>3.3134635966321956E-2</v>
      </c>
      <c r="X612" s="4">
        <f>1/TWD!B612</f>
        <v>3.3134526176275679E-2</v>
      </c>
      <c r="Y612" s="4">
        <f>1/TWD!C612</f>
        <v>3.3134635966321956E-2</v>
      </c>
      <c r="Z612" s="4">
        <f>1/ZAR!B612</f>
        <v>0.12547051442910917</v>
      </c>
      <c r="AA612" s="4">
        <f>1/ZAR!C612</f>
        <v>0.12483147750536776</v>
      </c>
    </row>
    <row r="613" spans="1:27" x14ac:dyDescent="0.25">
      <c r="A613" t="str">
        <f>"07/12/2011"</f>
        <v>07/12/2011</v>
      </c>
      <c r="B613" s="3">
        <f>AUD!B613</f>
        <v>1.0276000000000001</v>
      </c>
      <c r="C613" s="3">
        <f>AUD!C613</f>
        <v>1.0239</v>
      </c>
      <c r="D613" s="3">
        <f>1/CAD!B613</f>
        <v>0.99039318609487959</v>
      </c>
      <c r="E613" s="3">
        <f>1/CAD!C613</f>
        <v>0.9896091044037606</v>
      </c>
      <c r="F613" s="3">
        <f>EUR!B613/1</f>
        <v>1.3414999999999999</v>
      </c>
      <c r="G613" s="3">
        <f>EUR!C613/1</f>
        <v>1.3416999999999999</v>
      </c>
      <c r="H613" s="3">
        <f>GBP!B613/1</f>
        <v>1.5615000000000001</v>
      </c>
      <c r="I613" s="3">
        <f>GBP!C613/1</f>
        <v>1.5610999999999999</v>
      </c>
      <c r="J613" s="4">
        <f>1/INR!B613</f>
        <v>1.9428793471925394E-2</v>
      </c>
      <c r="K613" s="4">
        <f>1/INR!C613</f>
        <v>1.9319938176197836E-2</v>
      </c>
      <c r="L613" s="4">
        <f>1/JPY!B613</f>
        <v>1.2872663611554503E-2</v>
      </c>
      <c r="M613" s="4">
        <f>1/JPY!C613</f>
        <v>1.2883111529096509E-2</v>
      </c>
      <c r="N613" s="5">
        <f>1/KRW!B613</f>
        <v>8.8794175102113293E-4</v>
      </c>
      <c r="O613" s="5">
        <f>1/KRW!C613</f>
        <v>8.8791415645935357E-4</v>
      </c>
      <c r="P613" s="3">
        <f>1/NOK!B613</f>
        <v>0.17402805332219554</v>
      </c>
      <c r="Q613" s="3">
        <f>1/NOK!C613</f>
        <v>0.17379214459506431</v>
      </c>
      <c r="R613" s="3">
        <f>NZD!B613/1</f>
        <v>0.78029999999999999</v>
      </c>
      <c r="S613" s="3">
        <f>NZD!C613/1</f>
        <v>0.77859999999999996</v>
      </c>
      <c r="T613" s="4">
        <f>1/PHP!B613</f>
        <v>2.3108030040439053E-2</v>
      </c>
      <c r="U613" s="4">
        <f>1/PHP!C613</f>
        <v>2.3046784973496198E-2</v>
      </c>
      <c r="V613" s="4">
        <f>1/TWD!B613</f>
        <v>3.3151002817835243E-2</v>
      </c>
      <c r="W613" s="4">
        <f>1/TWD!C613</f>
        <v>3.3151222617090116E-2</v>
      </c>
      <c r="X613" s="4">
        <f>1/TWD!B613</f>
        <v>3.3151002817835243E-2</v>
      </c>
      <c r="Y613" s="4">
        <f>1/TWD!C613</f>
        <v>3.3151222617090116E-2</v>
      </c>
      <c r="Z613" s="4">
        <f>1/ZAR!B613</f>
        <v>0.12477229056971029</v>
      </c>
      <c r="AA613" s="4">
        <f>1/ZAR!C613</f>
        <v>0.12417269939031204</v>
      </c>
    </row>
    <row r="614" spans="1:27" x14ac:dyDescent="0.25">
      <c r="A614" t="str">
        <f>"08/12/2011"</f>
        <v>08/12/2011</v>
      </c>
      <c r="B614" s="3">
        <f>AUD!B614</f>
        <v>1.0291999999999999</v>
      </c>
      <c r="C614" s="3">
        <f>AUD!C614</f>
        <v>1.0255000000000001</v>
      </c>
      <c r="D614" s="3">
        <f>1/CAD!B614</f>
        <v>0.99098206322465554</v>
      </c>
      <c r="E614" s="3">
        <f>1/CAD!C614</f>
        <v>0.99029510794216669</v>
      </c>
      <c r="F614" s="3">
        <f>EUR!B614/1</f>
        <v>1.3404</v>
      </c>
      <c r="G614" s="3">
        <f>EUR!C614/1</f>
        <v>1.3408</v>
      </c>
      <c r="H614" s="3">
        <f>GBP!B614/1</f>
        <v>1.5724</v>
      </c>
      <c r="I614" s="3">
        <f>GBP!C614/1</f>
        <v>1.5719000000000001</v>
      </c>
      <c r="J614" s="4">
        <f>1/INR!B614</f>
        <v>1.9343295130325452E-2</v>
      </c>
      <c r="K614" s="4">
        <f>1/INR!C614</f>
        <v>1.9229844719003894E-2</v>
      </c>
      <c r="L614" s="4">
        <f>1/JPY!B614</f>
        <v>1.291956280199478E-2</v>
      </c>
      <c r="M614" s="4">
        <f>1/JPY!C614</f>
        <v>1.292928457096755E-2</v>
      </c>
      <c r="N614" s="5">
        <f>1/KRW!B614</f>
        <v>8.8370448921880535E-4</v>
      </c>
      <c r="O614" s="5">
        <f>1/KRW!C614</f>
        <v>8.8367793827332864E-4</v>
      </c>
      <c r="P614" s="3">
        <f>1/NOK!B614</f>
        <v>0.17414928076347044</v>
      </c>
      <c r="Q614" s="3">
        <f>1/NOK!C614</f>
        <v>0.17391304347826086</v>
      </c>
      <c r="R614" s="3">
        <f>NZD!B614/1</f>
        <v>0.78110000000000002</v>
      </c>
      <c r="S614" s="3">
        <f>NZD!C614/1</f>
        <v>0.77939999999999998</v>
      </c>
      <c r="T614" s="4">
        <f>1/PHP!B614</f>
        <v>2.3089355806972984E-2</v>
      </c>
      <c r="U614" s="4">
        <f>1/PHP!C614</f>
        <v>2.3028209556706966E-2</v>
      </c>
      <c r="V614" s="4">
        <f>1/TWD!B614</f>
        <v>3.3140016570008285E-2</v>
      </c>
      <c r="W614" s="4">
        <f>1/TWD!C614</f>
        <v>3.3140236223603799E-2</v>
      </c>
      <c r="X614" s="4">
        <f>1/TWD!B614</f>
        <v>3.3140016570008285E-2</v>
      </c>
      <c r="Y614" s="4">
        <f>1/TWD!C614</f>
        <v>3.3140236223603799E-2</v>
      </c>
      <c r="Z614" s="4">
        <f>1/ZAR!B614</f>
        <v>0.12382674162312095</v>
      </c>
      <c r="AA614" s="4">
        <f>1/ZAR!C614</f>
        <v>0.12323162616453885</v>
      </c>
    </row>
    <row r="615" spans="1:27" x14ac:dyDescent="0.25">
      <c r="A615" t="str">
        <f>"09/12/2011"</f>
        <v>09/12/2011</v>
      </c>
      <c r="B615" s="3">
        <f>AUD!B615</f>
        <v>1.0105999999999999</v>
      </c>
      <c r="C615" s="3">
        <f>AUD!C615</f>
        <v>1.0069999999999999</v>
      </c>
      <c r="D615" s="3">
        <f>1/CAD!B615</f>
        <v>0.97742156191965601</v>
      </c>
      <c r="E615" s="3">
        <f>1/CAD!C615</f>
        <v>0.97665787674577598</v>
      </c>
      <c r="F615" s="3">
        <f>EUR!B615/1</f>
        <v>1.3323</v>
      </c>
      <c r="G615" s="3">
        <f>EUR!C615/1</f>
        <v>1.3327</v>
      </c>
      <c r="H615" s="3">
        <f>GBP!B615/1</f>
        <v>1.5637000000000001</v>
      </c>
      <c r="I615" s="3">
        <f>GBP!C615/1</f>
        <v>1.5632999999999999</v>
      </c>
      <c r="J615" s="4">
        <f>1/INR!B615</f>
        <v>1.9153418885271022E-2</v>
      </c>
      <c r="K615" s="4">
        <f>1/INR!C615</f>
        <v>1.9039459279356467E-2</v>
      </c>
      <c r="L615" s="4">
        <f>1/JPY!B615</f>
        <v>1.2875149673614956E-2</v>
      </c>
      <c r="M615" s="4">
        <f>1/JPY!C615</f>
        <v>1.2885850691648035E-2</v>
      </c>
      <c r="N615" s="5">
        <f>1/KRW!B615</f>
        <v>8.7180157796085611E-4</v>
      </c>
      <c r="O615" s="5">
        <f>1/KRW!C615</f>
        <v>8.7177611743173013E-4</v>
      </c>
      <c r="P615" s="3">
        <f>1/NOK!B615</f>
        <v>0.17269367595758642</v>
      </c>
      <c r="Q615" s="3">
        <f>1/NOK!C615</f>
        <v>0.17246434299708535</v>
      </c>
      <c r="R615" s="3">
        <f>NZD!B615/1</f>
        <v>0.76780000000000004</v>
      </c>
      <c r="S615" s="3">
        <f>NZD!C615/1</f>
        <v>0.7661</v>
      </c>
      <c r="T615" s="4">
        <f>1/PHP!B615</f>
        <v>2.2909507445589922E-2</v>
      </c>
      <c r="U615" s="4">
        <f>1/PHP!C615</f>
        <v>2.2850353037954439E-2</v>
      </c>
      <c r="V615" s="4">
        <f>1/TWD!B615</f>
        <v>3.3096144299189147E-2</v>
      </c>
      <c r="W615" s="4">
        <f>1/TWD!C615</f>
        <v>3.3096253835028414E-2</v>
      </c>
      <c r="X615" s="4">
        <f>1/TWD!B615</f>
        <v>3.3096144299189147E-2</v>
      </c>
      <c r="Y615" s="4">
        <f>1/TWD!C615</f>
        <v>3.3096253835028414E-2</v>
      </c>
      <c r="Z615" s="4">
        <f>1/ZAR!B615</f>
        <v>0.1211709965102753</v>
      </c>
      <c r="AA615" s="4">
        <f>1/ZAR!C615</f>
        <v>0.12058507880234901</v>
      </c>
    </row>
    <row r="616" spans="1:27" x14ac:dyDescent="0.25">
      <c r="A616" t="str">
        <f>"12/12/2011"</f>
        <v>12/12/2011</v>
      </c>
      <c r="B616" s="3">
        <f>AUD!B616</f>
        <v>1.0108999999999999</v>
      </c>
      <c r="C616" s="3">
        <f>AUD!C616</f>
        <v>1.0069999999999999</v>
      </c>
      <c r="D616" s="3">
        <f>1/CAD!B616</f>
        <v>0.9760858955588092</v>
      </c>
      <c r="E616" s="3">
        <f>1/CAD!C616</f>
        <v>0.97532429532819653</v>
      </c>
      <c r="F616" s="3">
        <f>EUR!B616/1</f>
        <v>1.3263</v>
      </c>
      <c r="G616" s="3">
        <f>EUR!C616/1</f>
        <v>1.3269</v>
      </c>
      <c r="H616" s="3">
        <f>GBP!B616/1</f>
        <v>1.5611999999999999</v>
      </c>
      <c r="I616" s="3">
        <f>GBP!C616/1</f>
        <v>1.5607</v>
      </c>
      <c r="J616" s="4">
        <f>1/INR!B616</f>
        <v>1.8925056775170323E-2</v>
      </c>
      <c r="K616" s="4">
        <f>1/INR!C616</f>
        <v>1.8802293879853341E-2</v>
      </c>
      <c r="L616" s="4">
        <f>1/JPY!B616</f>
        <v>1.2845215157353887E-2</v>
      </c>
      <c r="M616" s="4">
        <f>1/JPY!C616</f>
        <v>1.2856527580465793E-2</v>
      </c>
      <c r="N616" s="5">
        <f>1/KRW!B616</f>
        <v>8.7180157796085611E-4</v>
      </c>
      <c r="O616" s="5">
        <f>1/KRW!C616</f>
        <v>8.7177307746793501E-4</v>
      </c>
      <c r="P616" s="3">
        <f>1/NOK!B616</f>
        <v>0.17212889011291657</v>
      </c>
      <c r="Q616" s="3">
        <f>1/NOK!C616</f>
        <v>0.17188332559858369</v>
      </c>
      <c r="R616" s="3">
        <f>NZD!B616/1</f>
        <v>0.76659999999999995</v>
      </c>
      <c r="S616" s="3">
        <f>NZD!C616/1</f>
        <v>0.76480000000000004</v>
      </c>
      <c r="T616" s="4">
        <f>1/PHP!B616</f>
        <v>2.2888532845044635E-2</v>
      </c>
      <c r="U616" s="4">
        <f>1/PHP!C616</f>
        <v>2.2825838849577722E-2</v>
      </c>
      <c r="V616" s="4">
        <f>1/TWD!B616</f>
        <v>3.3046926635822864E-2</v>
      </c>
      <c r="W616" s="4">
        <f>1/TWD!C616</f>
        <v>3.3047145057138516E-2</v>
      </c>
      <c r="X616" s="4">
        <f>1/TWD!B616</f>
        <v>3.3046926635822864E-2</v>
      </c>
      <c r="Y616" s="4">
        <f>1/TWD!C616</f>
        <v>3.3047145057138516E-2</v>
      </c>
      <c r="Z616" s="4">
        <f>1/ZAR!B616</f>
        <v>0.12137100689387319</v>
      </c>
      <c r="AA616" s="4">
        <f>1/ZAR!C616</f>
        <v>0.12071025916492643</v>
      </c>
    </row>
    <row r="617" spans="1:27" x14ac:dyDescent="0.25">
      <c r="A617" t="str">
        <f>"13/12/2011"</f>
        <v>13/12/2011</v>
      </c>
      <c r="B617" s="3">
        <f>AUD!B617</f>
        <v>1.0083</v>
      </c>
      <c r="C617" s="3">
        <f>AUD!C617</f>
        <v>1.0045999999999999</v>
      </c>
      <c r="D617" s="3">
        <f>1/CAD!B617</f>
        <v>0.97389949357226335</v>
      </c>
      <c r="E617" s="3">
        <f>1/CAD!C617</f>
        <v>0.97314130011677691</v>
      </c>
      <c r="F617" s="3">
        <f>EUR!B617/1</f>
        <v>1.3193999999999999</v>
      </c>
      <c r="G617" s="3">
        <f>EUR!C617/1</f>
        <v>1.3202</v>
      </c>
      <c r="H617" s="3">
        <f>GBP!B617/1</f>
        <v>1.5606</v>
      </c>
      <c r="I617" s="3">
        <f>GBP!C617/1</f>
        <v>1.5601</v>
      </c>
      <c r="J617" s="4">
        <f>1/INR!B617</f>
        <v>1.8717828731867104E-2</v>
      </c>
      <c r="K617" s="4">
        <f>1/INR!C617</f>
        <v>1.8602055527135748E-2</v>
      </c>
      <c r="L617" s="4">
        <f>1/JPY!B617</f>
        <v>1.2837794466910586E-2</v>
      </c>
      <c r="M617" s="4">
        <f>1/JPY!C617</f>
        <v>1.2848813155128862E-2</v>
      </c>
      <c r="N617" s="5">
        <f>1/KRW!B617</f>
        <v>8.6647604193744053E-4</v>
      </c>
      <c r="O617" s="5">
        <f>1/KRW!C617</f>
        <v>8.6644901467418053E-4</v>
      </c>
      <c r="P617" s="3">
        <f>1/NOK!B617</f>
        <v>0.17122994469272787</v>
      </c>
      <c r="Q617" s="3">
        <f>1/NOK!C617</f>
        <v>0.17099278410451077</v>
      </c>
      <c r="R617" s="3">
        <f>NZD!B617/1</f>
        <v>0.76449999999999996</v>
      </c>
      <c r="S617" s="3">
        <f>NZD!C617/1</f>
        <v>0.76270000000000004</v>
      </c>
      <c r="T617" s="4">
        <f>1/PHP!B617</f>
        <v>2.2784233310549101E-2</v>
      </c>
      <c r="U617" s="4">
        <f>1/PHP!C617</f>
        <v>2.2740193291642979E-2</v>
      </c>
      <c r="V617" s="4">
        <f>1/TWD!B617</f>
        <v>3.3052388035035532E-2</v>
      </c>
      <c r="W617" s="4">
        <f>1/TWD!C617</f>
        <v>3.305260652855084E-2</v>
      </c>
      <c r="X617" s="4">
        <f>1/TWD!B617</f>
        <v>3.3052388035035532E-2</v>
      </c>
      <c r="Y617" s="4">
        <f>1/TWD!C617</f>
        <v>3.305260652855084E-2</v>
      </c>
      <c r="Z617" s="4">
        <f>1/ZAR!B617</f>
        <v>0.12075836251660427</v>
      </c>
      <c r="AA617" s="4">
        <f>1/ZAR!C617</f>
        <v>0.12011579162312469</v>
      </c>
    </row>
    <row r="618" spans="1:27" x14ac:dyDescent="0.25">
      <c r="A618" t="str">
        <f>"14/12/2011"</f>
        <v>14/12/2011</v>
      </c>
      <c r="B618" s="3">
        <f>AUD!B618</f>
        <v>1.0018</v>
      </c>
      <c r="C618" s="3">
        <f>AUD!C618</f>
        <v>0.99819999999999998</v>
      </c>
      <c r="D618" s="3">
        <f>1/CAD!B618</f>
        <v>0.9664637092877163</v>
      </c>
      <c r="E618" s="3">
        <f>1/CAD!C618</f>
        <v>0.96571704490584254</v>
      </c>
      <c r="F618" s="3">
        <f>EUR!B618/1</f>
        <v>1.3030999999999999</v>
      </c>
      <c r="G618" s="3">
        <f>EUR!C618/1</f>
        <v>1.3042</v>
      </c>
      <c r="H618" s="3">
        <f>GBP!B618/1</f>
        <v>1.5498000000000001</v>
      </c>
      <c r="I618" s="3">
        <f>GBP!C618/1</f>
        <v>1.5494000000000001</v>
      </c>
      <c r="J618" s="4">
        <f>1/INR!B618</f>
        <v>1.8630647414997672E-2</v>
      </c>
      <c r="K618" s="4">
        <f>1/INR!C618</f>
        <v>1.850909259173569E-2</v>
      </c>
      <c r="L618" s="4">
        <f>1/JPY!B618</f>
        <v>1.282371875020037E-2</v>
      </c>
      <c r="M618" s="4">
        <f>1/JPY!C618</f>
        <v>1.2835421656436835E-2</v>
      </c>
      <c r="N618" s="5">
        <f>1/KRW!B618</f>
        <v>8.6482746692034948E-4</v>
      </c>
      <c r="O618" s="5">
        <f>1/KRW!C618</f>
        <v>8.6480091634305101E-4</v>
      </c>
      <c r="P618" s="3">
        <f>1/NOK!B618</f>
        <v>0.16839836316791001</v>
      </c>
      <c r="Q618" s="3">
        <f>1/NOK!C618</f>
        <v>0.16818028927009757</v>
      </c>
      <c r="R618" s="3">
        <f>NZD!B618/1</f>
        <v>0.755</v>
      </c>
      <c r="S618" s="3">
        <f>NZD!C618/1</f>
        <v>0.75329999999999997</v>
      </c>
      <c r="T618" s="4">
        <f>1/PHP!B618</f>
        <v>2.2665457842248413E-2</v>
      </c>
      <c r="U618" s="4">
        <f>1/PHP!C618</f>
        <v>2.2603978300180832E-2</v>
      </c>
      <c r="V618" s="4">
        <f>1/TWD!B618</f>
        <v>3.3030553261767133E-2</v>
      </c>
      <c r="W618" s="4">
        <f>1/TWD!C618</f>
        <v>3.3030771466698375E-2</v>
      </c>
      <c r="X618" s="4">
        <f>1/TWD!B618</f>
        <v>3.3030553261767133E-2</v>
      </c>
      <c r="Y618" s="4">
        <f>1/TWD!C618</f>
        <v>3.3030771466698375E-2</v>
      </c>
      <c r="Z618" s="4">
        <f>1/ZAR!B618</f>
        <v>0.12028338766133008</v>
      </c>
      <c r="AA618" s="4">
        <f>1/ZAR!C618</f>
        <v>0.11968164681946025</v>
      </c>
    </row>
    <row r="619" spans="1:27" x14ac:dyDescent="0.25">
      <c r="A619" t="str">
        <f>"15/12/2011"</f>
        <v>15/12/2011</v>
      </c>
      <c r="B619" s="3">
        <f>AUD!B619</f>
        <v>0.99009999999999998</v>
      </c>
      <c r="C619" s="3">
        <f>AUD!C619</f>
        <v>0.98650000000000004</v>
      </c>
      <c r="D619" s="3">
        <f>1/CAD!B619</f>
        <v>0.963020030816641</v>
      </c>
      <c r="E619" s="3">
        <f>1/CAD!C619</f>
        <v>0.96237128284092011</v>
      </c>
      <c r="F619" s="3">
        <f>EUR!B619/1</f>
        <v>1.2987</v>
      </c>
      <c r="G619" s="3">
        <f>EUR!C619/1</f>
        <v>1.2996000000000001</v>
      </c>
      <c r="H619" s="3">
        <f>GBP!B619/1</f>
        <v>1.5497000000000001</v>
      </c>
      <c r="I619" s="3">
        <f>GBP!C619/1</f>
        <v>1.5492999999999999</v>
      </c>
      <c r="J619" s="4">
        <f>1/INR!B619</f>
        <v>1.857700167193015E-2</v>
      </c>
      <c r="K619" s="4">
        <f>1/INR!C619</f>
        <v>1.845273792498962E-2</v>
      </c>
      <c r="L619" s="4">
        <f>1/JPY!B619</f>
        <v>1.2831699430272545E-2</v>
      </c>
      <c r="M619" s="4">
        <f>1/JPY!C619</f>
        <v>1.2844274728761028E-2</v>
      </c>
      <c r="N619" s="5">
        <f>1/KRW!B619</f>
        <v>8.5980826275740513E-4</v>
      </c>
      <c r="O619" s="5">
        <f>1/KRW!C619</f>
        <v>8.5978238907732452E-4</v>
      </c>
      <c r="P619" s="3">
        <f>1/NOK!B619</f>
        <v>0.16696720764041942</v>
      </c>
      <c r="Q619" s="3">
        <f>1/NOK!C619</f>
        <v>0.16678897858429517</v>
      </c>
      <c r="R619" s="3">
        <f>NZD!B619/1</f>
        <v>0.74850000000000005</v>
      </c>
      <c r="S619" s="3">
        <f>NZD!C619/1</f>
        <v>0.74690000000000001</v>
      </c>
      <c r="T619" s="4">
        <f>1/PHP!B619</f>
        <v>2.2668026748271564E-2</v>
      </c>
      <c r="U619" s="4">
        <f>1/PHP!C619</f>
        <v>2.2616759018432658E-2</v>
      </c>
      <c r="V619" s="4">
        <f>1/TWD!B619</f>
        <v>3.2938076416337288E-2</v>
      </c>
      <c r="W619" s="4">
        <f>1/TWD!C619</f>
        <v>3.2938184908382441E-2</v>
      </c>
      <c r="X619" s="4">
        <f>1/TWD!B619</f>
        <v>3.2938076416337288E-2</v>
      </c>
      <c r="Y619" s="4">
        <f>1/TWD!C619</f>
        <v>3.2938184908382441E-2</v>
      </c>
      <c r="Z619" s="4">
        <f>1/ZAR!B619</f>
        <v>0.11887496730938399</v>
      </c>
      <c r="AA619" s="4">
        <f>1/ZAR!C619</f>
        <v>0.11827600889435586</v>
      </c>
    </row>
    <row r="620" spans="1:27" x14ac:dyDescent="0.25">
      <c r="A620" t="str">
        <f>"16/12/2011"</f>
        <v>16/12/2011</v>
      </c>
      <c r="B620" s="3">
        <f>AUD!B620</f>
        <v>0.998</v>
      </c>
      <c r="C620" s="3">
        <f>AUD!C620</f>
        <v>0.99439999999999995</v>
      </c>
      <c r="D620" s="3">
        <f>1/CAD!B620</f>
        <v>0.96946194861851664</v>
      </c>
      <c r="E620" s="3">
        <f>1/CAD!C620</f>
        <v>0.96880449525285794</v>
      </c>
      <c r="F620" s="3">
        <f>EUR!B620/1</f>
        <v>1.3038000000000001</v>
      </c>
      <c r="G620" s="3">
        <f>EUR!C620/1</f>
        <v>1.3045</v>
      </c>
      <c r="H620" s="3">
        <f>GBP!B620/1</f>
        <v>1.5532999999999999</v>
      </c>
      <c r="I620" s="3">
        <f>GBP!C620/1</f>
        <v>1.5528999999999999</v>
      </c>
      <c r="J620" s="4">
        <f>1/INR!B620</f>
        <v>1.8969932656739068E-2</v>
      </c>
      <c r="K620" s="4">
        <f>1/INR!C620</f>
        <v>1.8838600291998304E-2</v>
      </c>
      <c r="L620" s="4">
        <f>1/JPY!B620</f>
        <v>1.284010220721357E-2</v>
      </c>
      <c r="M620" s="4">
        <f>1/JPY!C620</f>
        <v>1.2851058798734428E-2</v>
      </c>
      <c r="N620" s="5">
        <f>1/KRW!B620</f>
        <v>8.6460314715545571E-4</v>
      </c>
      <c r="O620" s="5">
        <f>1/KRW!C620</f>
        <v>8.6458244083208451E-4</v>
      </c>
      <c r="P620" s="3">
        <f>1/NOK!B620</f>
        <v>0.16700345697155933</v>
      </c>
      <c r="Q620" s="3">
        <f>1/NOK!C620</f>
        <v>0.16683071687159037</v>
      </c>
      <c r="R620" s="3">
        <f>NZD!B620/1</f>
        <v>0.75970000000000004</v>
      </c>
      <c r="S620" s="3">
        <f>NZD!C620/1</f>
        <v>0.7581</v>
      </c>
      <c r="T620" s="4">
        <f>1/PHP!B620</f>
        <v>2.2784233310549101E-2</v>
      </c>
      <c r="U620" s="4">
        <f>1/PHP!C620</f>
        <v>2.2727272727272728E-2</v>
      </c>
      <c r="V620" s="4">
        <f>1/TWD!B620</f>
        <v>3.2959789057350031E-2</v>
      </c>
      <c r="W620" s="4">
        <f>1/TWD!C620</f>
        <v>3.2959897692477563E-2</v>
      </c>
      <c r="X620" s="4">
        <f>1/TWD!B620</f>
        <v>3.2959789057350031E-2</v>
      </c>
      <c r="Y620" s="4">
        <f>1/TWD!C620</f>
        <v>3.2959897692477563E-2</v>
      </c>
      <c r="Z620" s="4">
        <f>1/ZAR!B620</f>
        <v>0.11922361581382039</v>
      </c>
      <c r="AA620" s="4">
        <f>1/ZAR!C620</f>
        <v>0.11862114777822591</v>
      </c>
    </row>
    <row r="621" spans="1:27" x14ac:dyDescent="0.25">
      <c r="A621" t="str">
        <f>"19/12/2011"</f>
        <v>19/12/2011</v>
      </c>
      <c r="B621" s="3">
        <f>AUD!B621</f>
        <v>0.99570000000000003</v>
      </c>
      <c r="C621" s="3">
        <f>AUD!C621</f>
        <v>0.9919</v>
      </c>
      <c r="D621" s="3">
        <f>1/CAD!B621</f>
        <v>0.9654373431164317</v>
      </c>
      <c r="E621" s="3">
        <f>1/CAD!C621</f>
        <v>0.964785335262904</v>
      </c>
      <c r="F621" s="3">
        <f>EUR!B621/1</f>
        <v>1.3025</v>
      </c>
      <c r="G621" s="3">
        <f>EUR!C621/1</f>
        <v>1.3030999999999999</v>
      </c>
      <c r="H621" s="3">
        <f>GBP!B621/1</f>
        <v>1.5489999999999999</v>
      </c>
      <c r="I621" s="3">
        <f>GBP!C621/1</f>
        <v>1.5486</v>
      </c>
      <c r="J621" s="4">
        <f>1/INR!B621</f>
        <v>1.8876828692779613E-2</v>
      </c>
      <c r="K621" s="4">
        <f>1/INR!C621</f>
        <v>1.8738873793684999E-2</v>
      </c>
      <c r="L621" s="4">
        <f>1/JPY!B621</f>
        <v>1.2835652307850285E-2</v>
      </c>
      <c r="M621" s="4">
        <f>1/JPY!C621</f>
        <v>1.2846155723668913E-2</v>
      </c>
      <c r="N621" s="5">
        <f>1/KRW!B621</f>
        <v>8.5113626691633328E-4</v>
      </c>
      <c r="O621" s="5">
        <f>1/KRW!C621</f>
        <v>8.5110910154795468E-4</v>
      </c>
      <c r="P621" s="3">
        <f>1/NOK!B621</f>
        <v>0.16772332360538056</v>
      </c>
      <c r="Q621" s="3">
        <f>1/NOK!C621</f>
        <v>0.16753224995811694</v>
      </c>
      <c r="R621" s="3">
        <f>NZD!B621/1</f>
        <v>0.76219999999999999</v>
      </c>
      <c r="S621" s="3">
        <f>NZD!C621/1</f>
        <v>0.76039999999999996</v>
      </c>
      <c r="T621" s="4">
        <f>1/PHP!B621</f>
        <v>2.2750540325332729E-2</v>
      </c>
      <c r="U621" s="4">
        <f>1/PHP!C621</f>
        <v>2.2706630336058128E-2</v>
      </c>
      <c r="V621" s="4">
        <f>1/TWD!B621</f>
        <v>3.2932652725177015E-2</v>
      </c>
      <c r="W621" s="4">
        <f>1/TWD!C621</f>
        <v>3.2932869638528824E-2</v>
      </c>
      <c r="X621" s="4">
        <f>1/TWD!B621</f>
        <v>3.2932652725177015E-2</v>
      </c>
      <c r="Y621" s="4">
        <f>1/TWD!C621</f>
        <v>3.2932869638528824E-2</v>
      </c>
      <c r="Z621" s="4">
        <f>1/ZAR!B621</f>
        <v>0.11934313538285277</v>
      </c>
      <c r="AA621" s="4">
        <f>1/ZAR!C621</f>
        <v>0.11870140661166835</v>
      </c>
    </row>
    <row r="622" spans="1:27" x14ac:dyDescent="0.25">
      <c r="A622" t="str">
        <f>"20/12/2011"</f>
        <v>20/12/2011</v>
      </c>
      <c r="B622" s="3">
        <f>AUD!B622</f>
        <v>0.999</v>
      </c>
      <c r="C622" s="3">
        <f>AUD!C622</f>
        <v>0.99519999999999997</v>
      </c>
      <c r="D622" s="3">
        <f>1/CAD!B622</f>
        <v>0.96814793300416313</v>
      </c>
      <c r="E622" s="3">
        <f>1/CAD!C622</f>
        <v>0.96739866498984228</v>
      </c>
      <c r="F622" s="3">
        <f>EUR!B622/1</f>
        <v>1.3071999999999999</v>
      </c>
      <c r="G622" s="3">
        <f>EUR!C622/1</f>
        <v>1.3076000000000001</v>
      </c>
      <c r="H622" s="3">
        <f>GBP!B622/1</f>
        <v>1.5636000000000001</v>
      </c>
      <c r="I622" s="3">
        <f>GBP!C622/1</f>
        <v>1.5630999999999999</v>
      </c>
      <c r="J622" s="4">
        <f>1/INR!B622</f>
        <v>1.8850141376060323E-2</v>
      </c>
      <c r="K622" s="4">
        <f>1/INR!C622</f>
        <v>1.8715201422355308E-2</v>
      </c>
      <c r="L622" s="4">
        <f>1/JPY!B622</f>
        <v>1.2833181474019224E-2</v>
      </c>
      <c r="M622" s="4">
        <f>1/JPY!C622</f>
        <v>1.2842691160247246E-2</v>
      </c>
      <c r="N622" s="5">
        <f>1/KRW!B622</f>
        <v>8.6036307321689755E-4</v>
      </c>
      <c r="O622" s="5">
        <f>1/KRW!C622</f>
        <v>8.6034197733256984E-4</v>
      </c>
      <c r="P622" s="3">
        <f>1/NOK!B622</f>
        <v>0.16937095626841908</v>
      </c>
      <c r="Q622" s="3">
        <f>1/NOK!C622</f>
        <v>0.16918183663801853</v>
      </c>
      <c r="R622" s="3">
        <f>NZD!B622/1</f>
        <v>0.76219999999999999</v>
      </c>
      <c r="S622" s="3">
        <f>NZD!C622/1</f>
        <v>0.76039999999999996</v>
      </c>
      <c r="T622" s="4">
        <f>1/PHP!B622</f>
        <v>2.281021897810219E-2</v>
      </c>
      <c r="U622" s="4">
        <f>1/PHP!C622</f>
        <v>2.2766078542970976E-2</v>
      </c>
      <c r="V622" s="4">
        <f>1/TWD!B622</f>
        <v>3.2970656116056714E-2</v>
      </c>
      <c r="W622" s="4">
        <f>1/TWD!C622</f>
        <v>3.2970873530323311E-2</v>
      </c>
      <c r="X622" s="4">
        <f>1/TWD!B622</f>
        <v>3.2970656116056714E-2</v>
      </c>
      <c r="Y622" s="4">
        <f>1/TWD!C622</f>
        <v>3.2970873530323311E-2</v>
      </c>
      <c r="Z622" s="4">
        <f>1/ZAR!B622</f>
        <v>0.12029641035511501</v>
      </c>
      <c r="AA622" s="4">
        <f>1/ZAR!C622</f>
        <v>0.11964012251148545</v>
      </c>
    </row>
    <row r="623" spans="1:27" x14ac:dyDescent="0.25">
      <c r="A623" t="str">
        <f>"21/12/2011"</f>
        <v>21/12/2011</v>
      </c>
      <c r="B623" s="3">
        <f>AUD!B623</f>
        <v>1.0128999999999999</v>
      </c>
      <c r="C623" s="3">
        <f>AUD!C623</f>
        <v>1.0093000000000001</v>
      </c>
      <c r="D623" s="3">
        <f>1/CAD!B623</f>
        <v>0.9739943508327652</v>
      </c>
      <c r="E623" s="3">
        <f>1/CAD!C623</f>
        <v>0.97333073778469914</v>
      </c>
      <c r="F623" s="3">
        <f>EUR!B623/1</f>
        <v>1.3117000000000001</v>
      </c>
      <c r="G623" s="3">
        <f>EUR!C623/1</f>
        <v>1.3122</v>
      </c>
      <c r="H623" s="3">
        <f>GBP!B623/1</f>
        <v>1.5670999999999999</v>
      </c>
      <c r="I623" s="3">
        <f>GBP!C623/1</f>
        <v>1.5666</v>
      </c>
      <c r="J623" s="4">
        <f>1/INR!B623</f>
        <v>1.8960940462646948E-2</v>
      </c>
      <c r="K623" s="4">
        <f>1/INR!C623</f>
        <v>1.8820872347433303E-2</v>
      </c>
      <c r="L623" s="4">
        <f>1/JPY!B623</f>
        <v>1.2855288022728149E-2</v>
      </c>
      <c r="M623" s="4">
        <f>1/JPY!C623</f>
        <v>1.2864085788015303E-2</v>
      </c>
      <c r="N623" s="5">
        <f>1/KRW!B623</f>
        <v>8.7161160986664341E-4</v>
      </c>
      <c r="O623" s="5">
        <f>1/KRW!C623</f>
        <v>8.7159033859541472E-4</v>
      </c>
      <c r="P623" s="3">
        <f>1/NOK!B623</f>
        <v>0.16993797263998639</v>
      </c>
      <c r="Q623" s="3">
        <f>1/NOK!C623</f>
        <v>0.16974758534059853</v>
      </c>
      <c r="R623" s="3">
        <f>NZD!B623/1</f>
        <v>0.77110000000000001</v>
      </c>
      <c r="S623" s="3">
        <f>NZD!C623/1</f>
        <v>0.76939999999999997</v>
      </c>
      <c r="T623" s="4">
        <f>1/PHP!B623</f>
        <v>2.2893772893772892E-2</v>
      </c>
      <c r="U623" s="4">
        <f>1/PHP!C623</f>
        <v>2.2846698652044778E-2</v>
      </c>
      <c r="V623" s="4">
        <f>1/TWD!B623</f>
        <v>3.305457310018841E-2</v>
      </c>
      <c r="W623" s="4">
        <f>1/TWD!C623</f>
        <v>3.3054791622593609E-2</v>
      </c>
      <c r="X623" s="4">
        <f>1/TWD!B623</f>
        <v>3.305457310018841E-2</v>
      </c>
      <c r="Y623" s="4">
        <f>1/TWD!C623</f>
        <v>3.3054791622593609E-2</v>
      </c>
      <c r="Z623" s="4">
        <f>1/ZAR!B623</f>
        <v>0.12192148256522799</v>
      </c>
      <c r="AA623" s="4">
        <f>1/ZAR!C623</f>
        <v>0.1212547440918626</v>
      </c>
    </row>
    <row r="624" spans="1:27" x14ac:dyDescent="0.25">
      <c r="A624" t="str">
        <f>"22/12/2011"</f>
        <v>22/12/2011</v>
      </c>
      <c r="B624" s="3">
        <f>AUD!B624</f>
        <v>1.0105999999999999</v>
      </c>
      <c r="C624" s="3">
        <f>AUD!C624</f>
        <v>1.0066999999999999</v>
      </c>
      <c r="D624" s="3">
        <f>1/CAD!B624</f>
        <v>0.97456388266250848</v>
      </c>
      <c r="E624" s="3">
        <f>1/CAD!C624</f>
        <v>0.97389949357226335</v>
      </c>
      <c r="F624" s="3">
        <f>EUR!B624/1</f>
        <v>1.3067</v>
      </c>
      <c r="G624" s="3">
        <f>EUR!C624/1</f>
        <v>1.3072999999999999</v>
      </c>
      <c r="H624" s="3">
        <f>GBP!B624/1</f>
        <v>1.5683</v>
      </c>
      <c r="I624" s="3">
        <f>GBP!C624/1</f>
        <v>1.5678000000000001</v>
      </c>
      <c r="J624" s="4">
        <f>1/INR!B624</f>
        <v>1.8942981625307824E-2</v>
      </c>
      <c r="K624" s="4">
        <f>1/INR!C624</f>
        <v>1.8804061677322303E-2</v>
      </c>
      <c r="L624" s="4">
        <f>1/JPY!B624</f>
        <v>1.2813859470403189E-2</v>
      </c>
      <c r="M624" s="4">
        <f>1/JPY!C624</f>
        <v>1.2822682812988864E-2</v>
      </c>
      <c r="N624" s="5">
        <f>1/KRW!B624</f>
        <v>8.6482746692034948E-4</v>
      </c>
      <c r="O624" s="5">
        <f>1/KRW!C624</f>
        <v>8.6480203816544348E-4</v>
      </c>
      <c r="P624" s="3">
        <f>1/NOK!B624</f>
        <v>0.16911031065564069</v>
      </c>
      <c r="Q624" s="3">
        <f>1/NOK!C624</f>
        <v>0.16893033313061692</v>
      </c>
      <c r="R624" s="3">
        <f>NZD!B624/1</f>
        <v>0.76980000000000004</v>
      </c>
      <c r="S624" s="3">
        <f>NZD!C624/1</f>
        <v>0.76800000000000002</v>
      </c>
      <c r="T624" s="4">
        <f>1/PHP!B624</f>
        <v>2.2914757103574702E-2</v>
      </c>
      <c r="U624" s="4">
        <f>1/PHP!C624</f>
        <v>2.2870211549456832E-2</v>
      </c>
      <c r="V624" s="4">
        <f>1/TWD!B624</f>
        <v>3.2981530343007916E-2</v>
      </c>
      <c r="W624" s="4">
        <f>1/TWD!C624</f>
        <v>3.2981747900711747E-2</v>
      </c>
      <c r="X624" s="4">
        <f>1/TWD!B624</f>
        <v>3.2981530343007916E-2</v>
      </c>
      <c r="Y624" s="4">
        <f>1/TWD!C624</f>
        <v>3.2981747900711747E-2</v>
      </c>
      <c r="Z624" s="4">
        <f>1/ZAR!B624</f>
        <v>0.12139458094590656</v>
      </c>
      <c r="AA624" s="4">
        <f>1/ZAR!C624</f>
        <v>0.12074961360123648</v>
      </c>
    </row>
    <row r="625" spans="1:27" x14ac:dyDescent="0.25">
      <c r="A625" t="str">
        <f>"23/12/2011"</f>
        <v>23/12/2011</v>
      </c>
      <c r="B625" s="3">
        <f>AUD!B625</f>
        <v>1.0157</v>
      </c>
      <c r="C625" s="3">
        <f>AUD!C625</f>
        <v>1.012</v>
      </c>
      <c r="D625" s="3">
        <f>1/CAD!B625</f>
        <v>0.98116169544740961</v>
      </c>
      <c r="E625" s="3">
        <f>1/CAD!C625</f>
        <v>0.98048828316501613</v>
      </c>
      <c r="F625" s="3">
        <f>EUR!B625/1</f>
        <v>1.3079000000000001</v>
      </c>
      <c r="G625" s="3">
        <f>EUR!C625/1</f>
        <v>1.3085</v>
      </c>
      <c r="H625" s="3">
        <f>GBP!B625/1</f>
        <v>1.5678000000000001</v>
      </c>
      <c r="I625" s="3">
        <f>GBP!C625/1</f>
        <v>1.5672999999999999</v>
      </c>
      <c r="J625" s="4">
        <f>1/INR!B625</f>
        <v>1.893043066729768E-2</v>
      </c>
      <c r="K625" s="4">
        <f>1/INR!C625</f>
        <v>1.8778461105112436E-2</v>
      </c>
      <c r="L625" s="4">
        <f>1/JPY!B625</f>
        <v>1.2814105767629006E-2</v>
      </c>
      <c r="M625" s="4">
        <f>1/JPY!C625</f>
        <v>1.2822748581804006E-2</v>
      </c>
      <c r="N625" s="5">
        <f>1/KRW!B625</f>
        <v>8.6922508583597716E-4</v>
      </c>
      <c r="O625" s="5">
        <f>1/KRW!C625</f>
        <v>8.6919977557261793E-4</v>
      </c>
      <c r="P625" s="3">
        <f>1/NOK!B625</f>
        <v>0.16814635458703256</v>
      </c>
      <c r="Q625" s="3">
        <f>1/NOK!C625</f>
        <v>0.16797688638043407</v>
      </c>
      <c r="R625" s="3">
        <f>NZD!B625/1</f>
        <v>0.77400000000000002</v>
      </c>
      <c r="S625" s="3">
        <f>NZD!C625/1</f>
        <v>0.7722</v>
      </c>
      <c r="T625" s="4">
        <f>1/PHP!B625</f>
        <v>2.2999080036798531E-2</v>
      </c>
      <c r="U625" s="4">
        <f>1/PHP!C625</f>
        <v>2.2948938611589212E-2</v>
      </c>
      <c r="V625" s="4">
        <f>1/TWD!B625</f>
        <v>3.3003300330033E-2</v>
      </c>
      <c r="W625" s="4">
        <f>1/TWD!C625</f>
        <v>3.300340925217575E-2</v>
      </c>
      <c r="X625" s="4">
        <f>1/TWD!B625</f>
        <v>3.3003300330033E-2</v>
      </c>
      <c r="Y625" s="4">
        <f>1/TWD!C625</f>
        <v>3.300340925217575E-2</v>
      </c>
      <c r="Z625" s="4">
        <f>1/ZAR!B625</f>
        <v>0.12224639984352462</v>
      </c>
      <c r="AA625" s="4">
        <f>1/ZAR!C625</f>
        <v>0.12159385221483202</v>
      </c>
    </row>
    <row r="626" spans="1:27" x14ac:dyDescent="0.25">
      <c r="A626" t="str">
        <f>"26/12/2011"</f>
        <v>26/12/2011</v>
      </c>
      <c r="B626" s="3">
        <f>AUD!B626</f>
        <v>1.016</v>
      </c>
      <c r="C626" s="3">
        <f>AUD!C626</f>
        <v>1.0123</v>
      </c>
      <c r="D626" s="3">
        <f>1/CAD!B626</f>
        <v>0.98125797272102844</v>
      </c>
      <c r="E626" s="3">
        <f>1/CAD!C626</f>
        <v>0.98058442831927828</v>
      </c>
      <c r="F626" s="3">
        <f>EUR!B626/1</f>
        <v>1.3066</v>
      </c>
      <c r="G626" s="3">
        <f>EUR!C626/1</f>
        <v>1.3071999999999999</v>
      </c>
      <c r="H626" s="3">
        <f>GBP!B626/1</f>
        <v>1.5610999999999999</v>
      </c>
      <c r="I626" s="3">
        <f>GBP!C626/1</f>
        <v>1.5606</v>
      </c>
      <c r="J626" s="4">
        <f>1/INR!B626</f>
        <v>1.8928639030853681E-2</v>
      </c>
      <c r="K626" s="4">
        <f>1/INR!C626</f>
        <v>1.879169407122052E-2</v>
      </c>
      <c r="L626" s="4">
        <f>1/JPY!B626</f>
        <v>1.2832028743744384E-2</v>
      </c>
      <c r="M626" s="4">
        <f>1/JPY!C626</f>
        <v>1.2840926601263547E-2</v>
      </c>
      <c r="N626" s="5">
        <f>1/KRW!B626</f>
        <v>8.6570717454820907E-4</v>
      </c>
      <c r="O626" s="5">
        <f>1/KRW!C626</f>
        <v>8.6567045310922855E-4</v>
      </c>
      <c r="P626" s="3">
        <f>1/NOK!B626</f>
        <v>0.16746491610007702</v>
      </c>
      <c r="Q626" s="3">
        <f>1/NOK!C626</f>
        <v>0.16729681801452137</v>
      </c>
      <c r="R626" s="3">
        <f>NZD!B626/1</f>
        <v>0.77359999999999995</v>
      </c>
      <c r="S626" s="3">
        <f>NZD!C626/1</f>
        <v>0.77180000000000004</v>
      </c>
      <c r="T626" s="4">
        <f>1/PHP!B626</f>
        <v>2.2941041523285157E-2</v>
      </c>
      <c r="U626" s="4">
        <f>1/PHP!C626</f>
        <v>2.2899015342340279E-2</v>
      </c>
      <c r="V626" s="4">
        <f>1/TWD!B626</f>
        <v>3.299458888742246E-2</v>
      </c>
      <c r="W626" s="4">
        <f>1/TWD!C626</f>
        <v>3.2994806617438414E-2</v>
      </c>
      <c r="X626" s="4">
        <f>1/TWD!B626</f>
        <v>3.299458888742246E-2</v>
      </c>
      <c r="Y626" s="4">
        <f>1/TWD!C626</f>
        <v>3.2994806617438414E-2</v>
      </c>
      <c r="Z626" s="4">
        <f>1/ZAR!B626</f>
        <v>0.12231667787902881</v>
      </c>
      <c r="AA626" s="4">
        <f>1/ZAR!C626</f>
        <v>0.12166486197121408</v>
      </c>
    </row>
    <row r="627" spans="1:27" x14ac:dyDescent="0.25">
      <c r="A627" t="str">
        <f>"27/12/2011"</f>
        <v>27/12/2011</v>
      </c>
      <c r="B627" s="3">
        <f>AUD!B627</f>
        <v>1.0149999999999999</v>
      </c>
      <c r="C627" s="3">
        <f>AUD!C627</f>
        <v>1.0112000000000001</v>
      </c>
      <c r="D627" s="3">
        <f>1/CAD!B627</f>
        <v>0.97933601018509464</v>
      </c>
      <c r="E627" s="3">
        <f>1/CAD!C627</f>
        <v>0.97866510080250535</v>
      </c>
      <c r="F627" s="3">
        <f>EUR!B627/1</f>
        <v>1.3073999999999999</v>
      </c>
      <c r="G627" s="3">
        <f>EUR!C627/1</f>
        <v>1.3080000000000001</v>
      </c>
      <c r="H627" s="3">
        <f>GBP!B627/1</f>
        <v>1.5617000000000001</v>
      </c>
      <c r="I627" s="3">
        <f>GBP!C627/1</f>
        <v>1.5611999999999999</v>
      </c>
      <c r="J627" s="4">
        <f>1/INR!B627</f>
        <v>1.8928639030853681E-2</v>
      </c>
      <c r="K627" s="4">
        <f>1/INR!C627</f>
        <v>1.8789045986190054E-2</v>
      </c>
      <c r="L627" s="4">
        <f>1/JPY!B627</f>
        <v>1.28291478238558E-2</v>
      </c>
      <c r="M627" s="4">
        <f>1/JPY!C627</f>
        <v>1.2838041685121352E-2</v>
      </c>
      <c r="N627" s="5">
        <f>1/KRW!B627</f>
        <v>8.6210612526401993E-4</v>
      </c>
      <c r="O627" s="5">
        <f>1/KRW!C627</f>
        <v>8.6208643019923255E-4</v>
      </c>
      <c r="P627" s="3">
        <f>1/NOK!B627</f>
        <v>0.16801639840048388</v>
      </c>
      <c r="Q627" s="3">
        <f>1/NOK!C627</f>
        <v>0.16784719191647923</v>
      </c>
      <c r="R627" s="3">
        <f>NZD!B627/1</f>
        <v>0.77359999999999995</v>
      </c>
      <c r="S627" s="3">
        <f>NZD!C627/1</f>
        <v>0.77180000000000004</v>
      </c>
      <c r="T627" s="4">
        <f>1/PHP!B627</f>
        <v>2.2880677268047135E-2</v>
      </c>
      <c r="U627" s="4">
        <f>1/PHP!C627</f>
        <v>2.283887175973507E-2</v>
      </c>
      <c r="V627" s="4">
        <f>1/TWD!B627</f>
        <v>3.2993500280444753E-2</v>
      </c>
      <c r="W627" s="4">
        <f>1/TWD!C627</f>
        <v>3.2993609137909982E-2</v>
      </c>
      <c r="X627" s="4">
        <f>1/TWD!B627</f>
        <v>3.2993500280444753E-2</v>
      </c>
      <c r="Y627" s="4">
        <f>1/TWD!C627</f>
        <v>3.2993609137909982E-2</v>
      </c>
      <c r="Z627" s="4">
        <f>1/ZAR!B627</f>
        <v>0.12259709690074538</v>
      </c>
      <c r="AA627" s="4">
        <f>1/ZAR!C627</f>
        <v>0.12194229690510451</v>
      </c>
    </row>
    <row r="628" spans="1:27" x14ac:dyDescent="0.25">
      <c r="A628" t="str">
        <f>"28/12/2011"</f>
        <v>28/12/2011</v>
      </c>
      <c r="B628" s="3">
        <f>AUD!B628</f>
        <v>1.0153000000000001</v>
      </c>
      <c r="C628" s="3">
        <f>AUD!C628</f>
        <v>1.0116000000000001</v>
      </c>
      <c r="D628" s="3">
        <f>1/CAD!B628</f>
        <v>0.98000784006272057</v>
      </c>
      <c r="E628" s="3">
        <f>1/CAD!C628</f>
        <v>0.97933601018509464</v>
      </c>
      <c r="F628" s="3">
        <f>EUR!B628/1</f>
        <v>1.3066</v>
      </c>
      <c r="G628" s="3">
        <f>EUR!C628/1</f>
        <v>1.3071999999999999</v>
      </c>
      <c r="H628" s="3">
        <f>GBP!B628/1</f>
        <v>1.5654999999999999</v>
      </c>
      <c r="I628" s="3">
        <f>GBP!C628/1</f>
        <v>1.5649999999999999</v>
      </c>
      <c r="J628" s="4">
        <f>1/INR!B628</f>
        <v>1.8784634169249553E-2</v>
      </c>
      <c r="K628" s="4">
        <f>1/INR!C628</f>
        <v>1.8630647414997672E-2</v>
      </c>
      <c r="L628" s="4">
        <f>1/JPY!B628</f>
        <v>1.2854131317805542E-2</v>
      </c>
      <c r="M628" s="4">
        <f>1/JPY!C628</f>
        <v>1.2861157375552226E-2</v>
      </c>
      <c r="N628" s="5">
        <f>1/KRW!B628</f>
        <v>8.6348329159830763E-4</v>
      </c>
      <c r="O628" s="5">
        <f>1/KRW!C628</f>
        <v>8.6344601303803476E-4</v>
      </c>
      <c r="P628" s="3">
        <f>1/NOK!B628</f>
        <v>0.16775708773695688</v>
      </c>
      <c r="Q628" s="3">
        <f>1/NOK!C628</f>
        <v>0.16758840288252053</v>
      </c>
      <c r="R628" s="3">
        <f>NZD!B628/1</f>
        <v>0.77359999999999995</v>
      </c>
      <c r="S628" s="3">
        <f>NZD!C628/1</f>
        <v>0.77180000000000004</v>
      </c>
      <c r="T628" s="4">
        <f>1/PHP!B628</f>
        <v>2.2742779167614285E-2</v>
      </c>
      <c r="U628" s="4">
        <f>1/PHP!C628</f>
        <v>2.2722108611679163E-2</v>
      </c>
      <c r="V628" s="4">
        <f>1/TWD!B628</f>
        <v>3.2995677566238828E-2</v>
      </c>
      <c r="W628" s="4">
        <f>1/TWD!C628</f>
        <v>3.2995786438071863E-2</v>
      </c>
      <c r="X628" s="4">
        <f>1/TWD!B628</f>
        <v>3.2995677566238828E-2</v>
      </c>
      <c r="Y628" s="4">
        <f>1/TWD!C628</f>
        <v>3.2995786438071863E-2</v>
      </c>
      <c r="Z628" s="4">
        <f>1/ZAR!B628</f>
        <v>0.12288031457360531</v>
      </c>
      <c r="AA628" s="4">
        <f>1/ZAR!C628</f>
        <v>0.12222100001222209</v>
      </c>
    </row>
    <row r="629" spans="1:27" x14ac:dyDescent="0.25">
      <c r="A629" t="str">
        <f>"29/12/2011"</f>
        <v>29/12/2011</v>
      </c>
      <c r="B629" s="3">
        <f>AUD!B629</f>
        <v>1.0083</v>
      </c>
      <c r="C629" s="3">
        <f>AUD!C629</f>
        <v>1.0046999999999999</v>
      </c>
      <c r="D629" s="3">
        <f>1/CAD!B629</f>
        <v>0.97742156191965601</v>
      </c>
      <c r="E629" s="3">
        <f>1/CAD!C629</f>
        <v>0.97675327212346152</v>
      </c>
      <c r="F629" s="3">
        <f>EUR!B629/1</f>
        <v>1.2924</v>
      </c>
      <c r="G629" s="3">
        <f>EUR!C629/1</f>
        <v>1.2927999999999999</v>
      </c>
      <c r="H629" s="3">
        <f>GBP!B629/1</f>
        <v>1.5449999999999999</v>
      </c>
      <c r="I629" s="3">
        <f>GBP!C629/1</f>
        <v>1.5445</v>
      </c>
      <c r="J629" s="4">
        <f>1/INR!B629</f>
        <v>1.872308556450103E-2</v>
      </c>
      <c r="K629" s="4">
        <f>1/INR!C629</f>
        <v>1.8590816136828406E-2</v>
      </c>
      <c r="L629" s="4">
        <f>1/JPY!B629</f>
        <v>1.2856114367993417E-2</v>
      </c>
      <c r="M629" s="4">
        <f>1/JPY!C629</f>
        <v>1.2861339328432307E-2</v>
      </c>
      <c r="N629" s="5">
        <f>1/KRW!B629</f>
        <v>8.6737791655824435E-4</v>
      </c>
      <c r="O629" s="5">
        <f>1/KRW!C629</f>
        <v>8.6735685142524065E-4</v>
      </c>
      <c r="P629" s="3">
        <f>1/NOK!B629</f>
        <v>0.16603297414866594</v>
      </c>
      <c r="Q629" s="3">
        <f>1/NOK!C629</f>
        <v>0.16586773706646321</v>
      </c>
      <c r="R629" s="3">
        <f>NZD!B629/1</f>
        <v>0.76870000000000005</v>
      </c>
      <c r="S629" s="3">
        <f>NZD!C629/1</f>
        <v>0.76690000000000003</v>
      </c>
      <c r="T629" s="4">
        <f>1/PHP!B629</f>
        <v>2.2805017103762829E-2</v>
      </c>
      <c r="U629" s="4">
        <f>1/PHP!C629</f>
        <v>2.2768670309653915E-2</v>
      </c>
      <c r="V629" s="4">
        <f>1/TWD!B629</f>
        <v>3.3017466239640768E-2</v>
      </c>
      <c r="W629" s="4">
        <f>1/TWD!C629</f>
        <v>3.30175752553084E-2</v>
      </c>
      <c r="X629" s="4">
        <f>1/TWD!B629</f>
        <v>3.3017466239640768E-2</v>
      </c>
      <c r="Y629" s="4">
        <f>1/TWD!C629</f>
        <v>3.30175752553084E-2</v>
      </c>
      <c r="Z629" s="4">
        <f>1/ZAR!B629</f>
        <v>0.12187690432663011</v>
      </c>
      <c r="AA629" s="4">
        <f>1/ZAR!C629</f>
        <v>0.12123122431413436</v>
      </c>
    </row>
    <row r="630" spans="1:27" x14ac:dyDescent="0.25">
      <c r="A630" t="str">
        <f>"30/12/2011"</f>
        <v>30/12/2011</v>
      </c>
      <c r="B630" s="3">
        <f>AUD!B630</f>
        <v>1.0148999999999999</v>
      </c>
      <c r="C630" s="3">
        <f>AUD!C630</f>
        <v>1.0113000000000001</v>
      </c>
      <c r="D630" s="3">
        <f>1/CAD!B630</f>
        <v>0.98000784006272057</v>
      </c>
      <c r="E630" s="3">
        <f>1/CAD!C630</f>
        <v>0.97933601018509464</v>
      </c>
      <c r="F630" s="3">
        <f>EUR!B630/1</f>
        <v>1.2941</v>
      </c>
      <c r="G630" s="3">
        <f>EUR!C630/1</f>
        <v>1.2944</v>
      </c>
      <c r="H630" s="3">
        <f>GBP!B630/1</f>
        <v>1.5409999999999999</v>
      </c>
      <c r="I630" s="3">
        <f>GBP!C630/1</f>
        <v>1.5405</v>
      </c>
      <c r="J630" s="4">
        <f>1/INR!B630</f>
        <v>1.8775816748028539E-2</v>
      </c>
      <c r="K630" s="4">
        <f>1/INR!C630</f>
        <v>1.8635855385762207E-2</v>
      </c>
      <c r="L630" s="4">
        <f>1/JPY!B630</f>
        <v>1.2896403193149431E-2</v>
      </c>
      <c r="M630" s="4">
        <f>1/JPY!C630</f>
        <v>1.2901910643947261E-2</v>
      </c>
      <c r="N630" s="5">
        <f>1/KRW!B630</f>
        <v>8.6775425199583467E-4</v>
      </c>
      <c r="O630" s="5">
        <f>1/KRW!C630</f>
        <v>8.6773241561953051E-4</v>
      </c>
      <c r="P630" s="3">
        <f>1/NOK!B630</f>
        <v>0.16645028130097542</v>
      </c>
      <c r="Q630" s="3">
        <f>1/NOK!C630</f>
        <v>0.16627591825875859</v>
      </c>
      <c r="R630" s="3">
        <f>NZD!B630/1</f>
        <v>0.77229999999999999</v>
      </c>
      <c r="S630" s="3">
        <f>NZD!C630/1</f>
        <v>0.77059999999999995</v>
      </c>
      <c r="T630" s="4">
        <f>1/PHP!B630</f>
        <v>2.281021897810219E-2</v>
      </c>
      <c r="U630" s="4">
        <f>1/PHP!C630</f>
        <v>2.2768670309653915E-2</v>
      </c>
      <c r="V630" s="4">
        <f>1/TWD!B630</f>
        <v>3.2992411745298586E-2</v>
      </c>
      <c r="W630" s="4">
        <f>1/TWD!C630</f>
        <v>3.2992520595580985E-2</v>
      </c>
      <c r="X630" s="4">
        <f>1/TWD!B630</f>
        <v>3.2992411745298586E-2</v>
      </c>
      <c r="Y630" s="4">
        <f>1/TWD!C630</f>
        <v>3.2992520595580985E-2</v>
      </c>
      <c r="Z630" s="4">
        <f>1/ZAR!B630</f>
        <v>0.12214784775492256</v>
      </c>
      <c r="AA630" s="4">
        <f>1/ZAR!C630</f>
        <v>0.12152735580779234</v>
      </c>
    </row>
    <row r="631" spans="1:27" x14ac:dyDescent="0.25">
      <c r="A631" t="str">
        <f>"02/01/2012"</f>
        <v>02/01/2012</v>
      </c>
      <c r="B631" s="3">
        <f>AUD!B631</f>
        <v>1.0221</v>
      </c>
      <c r="C631" s="3">
        <f>AUD!C631</f>
        <v>1.0183</v>
      </c>
      <c r="D631" s="3">
        <f>1/CAD!B631</f>
        <v>0.98010389101244733</v>
      </c>
      <c r="E631" s="3">
        <f>1/CAD!C631</f>
        <v>0.97943192948090119</v>
      </c>
      <c r="F631" s="3">
        <f>EUR!B631/1</f>
        <v>1.2927</v>
      </c>
      <c r="G631" s="3">
        <f>EUR!C631/1</f>
        <v>1.2928999999999999</v>
      </c>
      <c r="H631" s="3">
        <f>GBP!B631/1</f>
        <v>1.5506</v>
      </c>
      <c r="I631" s="3">
        <f>GBP!C631/1</f>
        <v>1.5501</v>
      </c>
      <c r="J631" s="4">
        <f>1/INR!B631</f>
        <v>1.8752930145335207E-2</v>
      </c>
      <c r="K631" s="4">
        <f>1/INR!C631</f>
        <v>1.8617640214102862E-2</v>
      </c>
      <c r="L631" s="4">
        <f>1/JPY!B631</f>
        <v>1.2991399693402966E-2</v>
      </c>
      <c r="M631" s="4">
        <f>1/JPY!C631</f>
        <v>1.2996701437175245E-2</v>
      </c>
      <c r="N631" s="5">
        <f>1/KRW!B631</f>
        <v>8.649770781074302E-4</v>
      </c>
      <c r="O631" s="5">
        <f>1/KRW!C631</f>
        <v>8.6493817421930672E-4</v>
      </c>
      <c r="P631" s="3">
        <f>1/NOK!B631</f>
        <v>0.16683906703593712</v>
      </c>
      <c r="Q631" s="3">
        <f>1/NOK!C631</f>
        <v>0.1666611112962901</v>
      </c>
      <c r="R631" s="3">
        <f>NZD!B631/1</f>
        <v>0.77649999999999997</v>
      </c>
      <c r="S631" s="3">
        <f>NZD!C631/1</f>
        <v>0.77470000000000006</v>
      </c>
      <c r="T631" s="4">
        <f>1/PHP!B631</f>
        <v>2.2841480127912289E-2</v>
      </c>
      <c r="U631" s="4">
        <f>1/PHP!C631</f>
        <v>2.2794620469569184E-2</v>
      </c>
      <c r="V631" s="4">
        <f>1/TWD!B631</f>
        <v>3.2959789057350031E-2</v>
      </c>
      <c r="W631" s="4">
        <f>1/TWD!C631</f>
        <v>3.2959897692477563E-2</v>
      </c>
      <c r="X631" s="4">
        <f>1/TWD!B631</f>
        <v>3.2959789057350031E-2</v>
      </c>
      <c r="Y631" s="4">
        <f>1/TWD!C631</f>
        <v>3.2959897692477563E-2</v>
      </c>
      <c r="Z631" s="4">
        <f>1/ZAR!B631</f>
        <v>0.12357884330202669</v>
      </c>
      <c r="AA631" s="4">
        <f>1/ZAR!C631</f>
        <v>0.12291052114060964</v>
      </c>
    </row>
    <row r="632" spans="1:27" x14ac:dyDescent="0.25">
      <c r="A632" t="str">
        <f>"03/01/2012"</f>
        <v>03/01/2012</v>
      </c>
      <c r="B632" s="3">
        <f>AUD!B632</f>
        <v>1.0288999999999999</v>
      </c>
      <c r="C632" s="3">
        <f>AUD!C632</f>
        <v>1.0251999999999999</v>
      </c>
      <c r="D632" s="3">
        <f>1/CAD!B632</f>
        <v>0.98434885323358601</v>
      </c>
      <c r="E632" s="3">
        <f>1/CAD!C632</f>
        <v>0.98367106039740315</v>
      </c>
      <c r="F632" s="3">
        <f>EUR!B632/1</f>
        <v>1.2974000000000001</v>
      </c>
      <c r="G632" s="3">
        <f>EUR!C632/1</f>
        <v>1.2977000000000001</v>
      </c>
      <c r="H632" s="3">
        <f>GBP!B632/1</f>
        <v>1.5528</v>
      </c>
      <c r="I632" s="3">
        <f>GBP!C632/1</f>
        <v>1.5524</v>
      </c>
      <c r="J632" s="4">
        <f>1/INR!B632</f>
        <v>1.8804945700719288E-2</v>
      </c>
      <c r="K632" s="4">
        <f>1/INR!C632</f>
        <v>1.8669778296382729E-2</v>
      </c>
      <c r="L632" s="4">
        <f>1/JPY!B632</f>
        <v>1.3012700395586092E-2</v>
      </c>
      <c r="M632" s="4">
        <f>1/JPY!C632</f>
        <v>1.3018070383499336E-2</v>
      </c>
      <c r="N632" s="5">
        <f>1/KRW!B632</f>
        <v>8.6964083833376805E-4</v>
      </c>
      <c r="O632" s="5">
        <f>1/KRW!C632</f>
        <v>8.6960264811398406E-4</v>
      </c>
      <c r="P632" s="3">
        <f>1/NOK!B632</f>
        <v>0.16768113754883712</v>
      </c>
      <c r="Q632" s="3">
        <f>1/NOK!C632</f>
        <v>0.16750418760469013</v>
      </c>
      <c r="R632" s="3">
        <f>NZD!B632/1</f>
        <v>0.78339999999999999</v>
      </c>
      <c r="S632" s="3">
        <f>NZD!C632/1</f>
        <v>0.78159999999999996</v>
      </c>
      <c r="T632" s="4">
        <f>1/PHP!B632</f>
        <v>2.2836263987211693E-2</v>
      </c>
      <c r="U632" s="4">
        <f>1/PHP!C632</f>
        <v>2.2792022792022793E-2</v>
      </c>
      <c r="V632" s="4">
        <f>1/TWD!B632</f>
        <v>3.3006568307093108E-2</v>
      </c>
      <c r="W632" s="4">
        <f>1/TWD!C632</f>
        <v>3.3006677250807838E-2</v>
      </c>
      <c r="X632" s="4">
        <f>1/TWD!B632</f>
        <v>3.3006568307093108E-2</v>
      </c>
      <c r="Y632" s="4">
        <f>1/TWD!C632</f>
        <v>3.3006677250807838E-2</v>
      </c>
      <c r="Z632" s="4">
        <f>1/ZAR!B632</f>
        <v>0.12417424129538568</v>
      </c>
      <c r="AA632" s="4">
        <f>1/ZAR!C632</f>
        <v>0.12350100653320326</v>
      </c>
    </row>
    <row r="633" spans="1:27" x14ac:dyDescent="0.25">
      <c r="A633" t="str">
        <f>"04/01/2012"</f>
        <v>04/01/2012</v>
      </c>
      <c r="B633" s="3">
        <f>AUD!B633</f>
        <v>1.0347</v>
      </c>
      <c r="C633" s="3">
        <f>AUD!C633</f>
        <v>1.0310999999999999</v>
      </c>
      <c r="D633" s="3">
        <f>1/CAD!B633</f>
        <v>0.98736176935229081</v>
      </c>
      <c r="E633" s="3">
        <f>1/CAD!C633</f>
        <v>0.98658247829518542</v>
      </c>
      <c r="F633" s="3">
        <f>EUR!B633/1</f>
        <v>1.3033999999999999</v>
      </c>
      <c r="G633" s="3">
        <f>EUR!C633/1</f>
        <v>1.3035000000000001</v>
      </c>
      <c r="H633" s="3">
        <f>GBP!B633/1</f>
        <v>1.5638000000000001</v>
      </c>
      <c r="I633" s="3">
        <f>GBP!C633/1</f>
        <v>1.5633999999999999</v>
      </c>
      <c r="J633" s="4">
        <f>1/INR!B633</f>
        <v>1.8802293879853341E-2</v>
      </c>
      <c r="K633" s="4">
        <f>1/INR!C633</f>
        <v>1.867762420620097E-2</v>
      </c>
      <c r="L633" s="4">
        <f>1/JPY!B633</f>
        <v>1.3039849780930523E-2</v>
      </c>
      <c r="M633" s="4">
        <f>1/JPY!C633</f>
        <v>1.3044442415308957E-2</v>
      </c>
      <c r="N633" s="5">
        <f>1/KRW!B633</f>
        <v>8.7145969498910673E-4</v>
      </c>
      <c r="O633" s="5">
        <f>1/KRW!C633</f>
        <v>8.7142210423166925E-4</v>
      </c>
      <c r="P633" s="3">
        <f>1/NOK!B633</f>
        <v>0.16883621199074778</v>
      </c>
      <c r="Q633" s="3">
        <f>1/NOK!C633</f>
        <v>0.16865112827604817</v>
      </c>
      <c r="R633" s="3">
        <f>NZD!B633/1</f>
        <v>0.78879999999999995</v>
      </c>
      <c r="S633" s="3">
        <f>NZD!C633/1</f>
        <v>0.78700000000000003</v>
      </c>
      <c r="T633" s="4">
        <f>1/PHP!B633</f>
        <v>2.2857142857142857E-2</v>
      </c>
      <c r="U633" s="4">
        <f>1/PHP!C633</f>
        <v>2.2807617744326606E-2</v>
      </c>
      <c r="V633" s="4">
        <f>1/TWD!B633</f>
        <v>3.3038192150125545E-2</v>
      </c>
      <c r="W633" s="4">
        <f>1/TWD!C633</f>
        <v>3.3038301302700218E-2</v>
      </c>
      <c r="X633" s="4">
        <f>1/TWD!B633</f>
        <v>3.3038192150125545E-2</v>
      </c>
      <c r="Y633" s="4">
        <f>1/TWD!C633</f>
        <v>3.3038301302700218E-2</v>
      </c>
      <c r="Z633" s="4">
        <f>1/ZAR!B633</f>
        <v>0.12403870007442323</v>
      </c>
      <c r="AA633" s="4">
        <f>1/ZAR!C633</f>
        <v>0.12329088017359355</v>
      </c>
    </row>
    <row r="634" spans="1:27" x14ac:dyDescent="0.25">
      <c r="A634" t="str">
        <f>"05/01/2012"</f>
        <v>05/01/2012</v>
      </c>
      <c r="B634" s="3">
        <f>AUD!B634</f>
        <v>1.0327</v>
      </c>
      <c r="C634" s="3">
        <f>AUD!C634</f>
        <v>1.0290999999999999</v>
      </c>
      <c r="D634" s="3">
        <f>1/CAD!B634</f>
        <v>0.98619329388560162</v>
      </c>
      <c r="E634" s="3">
        <f>1/CAD!C634</f>
        <v>0.98541584548679551</v>
      </c>
      <c r="F634" s="3">
        <f>EUR!B634/1</f>
        <v>1.2927999999999999</v>
      </c>
      <c r="G634" s="3">
        <f>EUR!C634/1</f>
        <v>1.2929999999999999</v>
      </c>
      <c r="H634" s="3">
        <f>GBP!B634/1</f>
        <v>1.5605</v>
      </c>
      <c r="I634" s="3">
        <f>GBP!C634/1</f>
        <v>1.5601</v>
      </c>
      <c r="J634" s="4">
        <f>1/INR!B634</f>
        <v>1.8934014957871819E-2</v>
      </c>
      <c r="K634" s="4">
        <f>1/INR!C634</f>
        <v>1.8812020881343178E-2</v>
      </c>
      <c r="L634" s="4">
        <f>1/JPY!B634</f>
        <v>1.3033561420658197E-2</v>
      </c>
      <c r="M634" s="4">
        <f>1/JPY!C634</f>
        <v>1.3037979634675812E-2</v>
      </c>
      <c r="N634" s="5">
        <f>1/KRW!B634</f>
        <v>8.6899847925266127E-4</v>
      </c>
      <c r="O634" s="5">
        <f>1/KRW!C634</f>
        <v>8.6896147806871571E-4</v>
      </c>
      <c r="P634" s="3">
        <f>1/NOK!B634</f>
        <v>0.16825386142611976</v>
      </c>
      <c r="Q634" s="3">
        <f>1/NOK!C634</f>
        <v>0.16808417655561905</v>
      </c>
      <c r="R634" s="3">
        <f>NZD!B634/1</f>
        <v>0.78639999999999999</v>
      </c>
      <c r="S634" s="3">
        <f>NZD!C634/1</f>
        <v>0.78469999999999995</v>
      </c>
      <c r="T634" s="4">
        <f>1/PHP!B634</f>
        <v>2.2776449151577269E-2</v>
      </c>
      <c r="U634" s="4">
        <f>1/PHP!C634</f>
        <v>2.2722108611679163E-2</v>
      </c>
      <c r="V634" s="4">
        <f>1/TWD!B634</f>
        <v>3.3037100664045728E-2</v>
      </c>
      <c r="W634" s="4">
        <f>1/TWD!C634</f>
        <v>3.3037209809408337E-2</v>
      </c>
      <c r="X634" s="4">
        <f>1/TWD!B634</f>
        <v>3.3037100664045728E-2</v>
      </c>
      <c r="Y634" s="4">
        <f>1/TWD!C634</f>
        <v>3.3037209809408337E-2</v>
      </c>
      <c r="Z634" s="4">
        <f>1/ZAR!B634</f>
        <v>0.12290447863920161</v>
      </c>
      <c r="AA634" s="4">
        <f>1/ZAR!C634</f>
        <v>0.12222697549349142</v>
      </c>
    </row>
    <row r="635" spans="1:27" x14ac:dyDescent="0.25">
      <c r="A635" t="str">
        <f>"06/01/2012"</f>
        <v>06/01/2012</v>
      </c>
      <c r="B635" s="3">
        <f>AUD!B635</f>
        <v>1.0246</v>
      </c>
      <c r="C635" s="3">
        <f>AUD!C635</f>
        <v>1.0209999999999999</v>
      </c>
      <c r="D635" s="3">
        <f>1/CAD!B635</f>
        <v>0.98125797272102844</v>
      </c>
      <c r="E635" s="3">
        <f>1/CAD!C635</f>
        <v>0.98058442831927828</v>
      </c>
      <c r="F635" s="3">
        <f>EUR!B635/1</f>
        <v>1.2788999999999999</v>
      </c>
      <c r="G635" s="3">
        <f>EUR!C635/1</f>
        <v>1.2789999999999999</v>
      </c>
      <c r="H635" s="3">
        <f>GBP!B635/1</f>
        <v>1.5499000000000001</v>
      </c>
      <c r="I635" s="3">
        <f>GBP!C635/1</f>
        <v>1.5495000000000001</v>
      </c>
      <c r="J635" s="4">
        <f>1/INR!B635</f>
        <v>1.8946570670708603E-2</v>
      </c>
      <c r="K635" s="4">
        <f>1/INR!C635</f>
        <v>1.882441526660078E-2</v>
      </c>
      <c r="L635" s="4">
        <f>1/JPY!B635</f>
        <v>1.2955045990413267E-2</v>
      </c>
      <c r="M635" s="4">
        <f>1/JPY!C635</f>
        <v>1.2960301301084649E-2</v>
      </c>
      <c r="N635" s="5">
        <f>1/KRW!B635</f>
        <v>8.6240351860635597E-4</v>
      </c>
      <c r="O635" s="5">
        <f>1/KRW!C635</f>
        <v>8.6236856425120107E-4</v>
      </c>
      <c r="P635" s="3">
        <f>1/NOK!B635</f>
        <v>0.16615987903560805</v>
      </c>
      <c r="Q635" s="3">
        <f>1/NOK!C635</f>
        <v>0.16599438938963862</v>
      </c>
      <c r="R635" s="3">
        <f>NZD!B635/1</f>
        <v>0.78059999999999996</v>
      </c>
      <c r="S635" s="3">
        <f>NZD!C635/1</f>
        <v>0.77929999999999999</v>
      </c>
      <c r="T635" s="4">
        <f>1/PHP!B635</f>
        <v>2.2660321776569226E-2</v>
      </c>
      <c r="U635" s="4">
        <f>1/PHP!C635</f>
        <v>2.2601423889705052E-2</v>
      </c>
      <c r="V635" s="4">
        <f>1/TWD!B635</f>
        <v>3.310600542938489E-2</v>
      </c>
      <c r="W635" s="4">
        <f>1/TWD!C635</f>
        <v>3.3106115030507283E-2</v>
      </c>
      <c r="X635" s="4">
        <f>1/TWD!B635</f>
        <v>3.310600542938489E-2</v>
      </c>
      <c r="Y635" s="4">
        <f>1/TWD!C635</f>
        <v>3.3106115030507283E-2</v>
      </c>
      <c r="Z635" s="4">
        <f>1/ZAR!B635</f>
        <v>0.12247697432882619</v>
      </c>
      <c r="AA635" s="4">
        <f>1/ZAR!C635</f>
        <v>0.12187096302434983</v>
      </c>
    </row>
    <row r="636" spans="1:27" x14ac:dyDescent="0.25">
      <c r="A636" t="str">
        <f>"09/01/2012"</f>
        <v>09/01/2012</v>
      </c>
      <c r="B636" s="3">
        <f>AUD!B636</f>
        <v>1.0181</v>
      </c>
      <c r="C636" s="3">
        <f>AUD!C636</f>
        <v>1.0143</v>
      </c>
      <c r="D636" s="3">
        <f>1/CAD!B636</f>
        <v>0.96993210475266745</v>
      </c>
      <c r="E636" s="3">
        <f>1/CAD!C636</f>
        <v>0.96927401376369093</v>
      </c>
      <c r="F636" s="3">
        <f>EUR!B636/1</f>
        <v>1.2716000000000001</v>
      </c>
      <c r="G636" s="3">
        <f>EUR!C636/1</f>
        <v>1.2717000000000001</v>
      </c>
      <c r="H636" s="3">
        <f>GBP!B636/1</f>
        <v>1.5428999999999999</v>
      </c>
      <c r="I636" s="3">
        <f>GBP!C636/1</f>
        <v>1.5425</v>
      </c>
      <c r="J636" s="4">
        <f>1/INR!B636</f>
        <v>1.8963637225619872E-2</v>
      </c>
      <c r="K636" s="4">
        <f>1/INR!C636</f>
        <v>1.8834165175628591E-2</v>
      </c>
      <c r="L636" s="4">
        <f>1/JPY!B636</f>
        <v>1.3000858056631736E-2</v>
      </c>
      <c r="M636" s="4">
        <f>1/JPY!C636</f>
        <v>1.3005254122665557E-2</v>
      </c>
      <c r="N636" s="5">
        <f>1/KRW!B636</f>
        <v>8.592541673827118E-4</v>
      </c>
      <c r="O636" s="5">
        <f>1/KRW!C636</f>
        <v>8.5921762220974446E-4</v>
      </c>
      <c r="P636" s="3">
        <f>1/NOK!B636</f>
        <v>0.16603573088928736</v>
      </c>
      <c r="Q636" s="3">
        <f>1/NOK!C636</f>
        <v>0.16583472910897001</v>
      </c>
      <c r="R636" s="3">
        <f>NZD!B636/1</f>
        <v>0.78120000000000001</v>
      </c>
      <c r="S636" s="3">
        <f>NZD!C636/1</f>
        <v>0.77939999999999998</v>
      </c>
      <c r="T636" s="4">
        <f>1/PHP!B636</f>
        <v>2.2568269013766643E-2</v>
      </c>
      <c r="U636" s="4">
        <f>1/PHP!C636</f>
        <v>2.2503262973131103E-2</v>
      </c>
      <c r="V636" s="4">
        <f>1/TWD!B636</f>
        <v>3.3077533739084418E-2</v>
      </c>
      <c r="W636" s="4">
        <f>1/TWD!C636</f>
        <v>3.3077752565179711E-2</v>
      </c>
      <c r="X636" s="4">
        <f>1/TWD!B636</f>
        <v>3.3077533739084418E-2</v>
      </c>
      <c r="Y636" s="4">
        <f>1/TWD!C636</f>
        <v>3.3077752565179711E-2</v>
      </c>
      <c r="Z636" s="4">
        <f>1/ZAR!B636</f>
        <v>0.1222822764068576</v>
      </c>
      <c r="AA636" s="4">
        <f>1/ZAR!C636</f>
        <v>0.12168410805548796</v>
      </c>
    </row>
    <row r="637" spans="1:27" x14ac:dyDescent="0.25">
      <c r="A637" t="str">
        <f>"10/01/2012"</f>
        <v>10/01/2012</v>
      </c>
      <c r="B637" s="3">
        <f>AUD!B637</f>
        <v>1.0328999999999999</v>
      </c>
      <c r="C637" s="3">
        <f>AUD!C637</f>
        <v>1.0290999999999999</v>
      </c>
      <c r="D637" s="3">
        <f>1/CAD!B637</f>
        <v>0.9816432708353785</v>
      </c>
      <c r="E637" s="3">
        <f>1/CAD!C637</f>
        <v>0.98096919756719636</v>
      </c>
      <c r="F637" s="3">
        <f>EUR!B637/1</f>
        <v>1.2799</v>
      </c>
      <c r="G637" s="3">
        <f>EUR!C637/1</f>
        <v>1.28</v>
      </c>
      <c r="H637" s="3">
        <f>GBP!B637/1</f>
        <v>1.5469999999999999</v>
      </c>
      <c r="I637" s="3">
        <f>GBP!C637/1</f>
        <v>1.5466</v>
      </c>
      <c r="J637" s="4">
        <f>1/INR!B637</f>
        <v>1.92437217357837E-2</v>
      </c>
      <c r="K637" s="4">
        <f>1/INR!C637</f>
        <v>1.9107671730199675E-2</v>
      </c>
      <c r="L637" s="4">
        <f>1/JPY!B637</f>
        <v>1.3014139862961106E-2</v>
      </c>
      <c r="M637" s="4">
        <f>1/JPY!C637</f>
        <v>1.3018595762186709E-2</v>
      </c>
      <c r="N637" s="5">
        <f>1/KRW!B637</f>
        <v>8.6436026535860152E-4</v>
      </c>
      <c r="O637" s="5">
        <f>1/KRW!C637</f>
        <v>8.643232845667731E-4</v>
      </c>
      <c r="P637" s="3">
        <f>1/NOK!B637</f>
        <v>0.16707879435941991</v>
      </c>
      <c r="Q637" s="3">
        <f>1/NOK!C637</f>
        <v>0.16688918558077437</v>
      </c>
      <c r="R637" s="3">
        <f>NZD!B637/1</f>
        <v>0.79520000000000002</v>
      </c>
      <c r="S637" s="3">
        <f>NZD!C637/1</f>
        <v>0.79349999999999998</v>
      </c>
      <c r="T637" s="4">
        <f>1/PHP!B637</f>
        <v>2.2781637999772182E-2</v>
      </c>
      <c r="U637" s="4">
        <f>1/PHP!C637</f>
        <v>2.2711787417669771E-2</v>
      </c>
      <c r="V637" s="4">
        <f>1/TWD!B637</f>
        <v>3.3400133600534399E-2</v>
      </c>
      <c r="W637" s="4">
        <f>1/TWD!C637</f>
        <v>3.3400245157799456E-2</v>
      </c>
      <c r="X637" s="4">
        <f>1/TWD!B637</f>
        <v>3.3400133600534399E-2</v>
      </c>
      <c r="Y637" s="4">
        <f>1/TWD!C637</f>
        <v>3.3400245157799456E-2</v>
      </c>
      <c r="Z637" s="4">
        <f>1/ZAR!B637</f>
        <v>0.12299517858899932</v>
      </c>
      <c r="AA637" s="4">
        <f>1/ZAR!C637</f>
        <v>0.12237355752169073</v>
      </c>
    </row>
    <row r="638" spans="1:27" x14ac:dyDescent="0.25">
      <c r="A638" t="str">
        <f>"11/01/2012"</f>
        <v>11/01/2012</v>
      </c>
      <c r="B638" s="3">
        <f>AUD!B638</f>
        <v>1.0309999999999999</v>
      </c>
      <c r="C638" s="3">
        <f>AUD!C638</f>
        <v>1.0273000000000001</v>
      </c>
      <c r="D638" s="3">
        <f>1/CAD!B638</f>
        <v>0.98493056239535104</v>
      </c>
      <c r="E638" s="3">
        <f>1/CAD!C638</f>
        <v>0.98425196850393704</v>
      </c>
      <c r="F638" s="3">
        <f>EUR!B638/1</f>
        <v>1.2755000000000001</v>
      </c>
      <c r="G638" s="3">
        <f>EUR!C638/1</f>
        <v>1.2756000000000001</v>
      </c>
      <c r="H638" s="3">
        <f>GBP!B638/1</f>
        <v>1.5430999999999999</v>
      </c>
      <c r="I638" s="3">
        <f>GBP!C638/1</f>
        <v>1.5427</v>
      </c>
      <c r="J638" s="4">
        <f>1/INR!B638</f>
        <v>1.9350781287794494E-2</v>
      </c>
      <c r="K638" s="4">
        <f>1/INR!C638</f>
        <v>1.9213218694461791E-2</v>
      </c>
      <c r="L638" s="4">
        <f>1/JPY!B638</f>
        <v>1.2998154262094783E-2</v>
      </c>
      <c r="M638" s="4">
        <f>1/JPY!C638</f>
        <v>1.300161870152834E-2</v>
      </c>
      <c r="N638" s="5">
        <f>1/KRW!B638</f>
        <v>8.6284999352862499E-4</v>
      </c>
      <c r="O638" s="5">
        <f>1/KRW!C638</f>
        <v>8.628239364616454E-4</v>
      </c>
      <c r="P638" s="3">
        <f>1/NOK!B638</f>
        <v>0.1667389201987528</v>
      </c>
      <c r="Q638" s="3">
        <f>1/NOK!C638</f>
        <v>0.16655008160953999</v>
      </c>
      <c r="R638" s="3">
        <f>NZD!B638/1</f>
        <v>0.79530000000000001</v>
      </c>
      <c r="S638" s="3">
        <f>NZD!C638/1</f>
        <v>0.79369999999999996</v>
      </c>
      <c r="T638" s="4">
        <f>1/PHP!B638</f>
        <v>2.2758306781975421E-2</v>
      </c>
      <c r="U638" s="4">
        <f>1/PHP!C638</f>
        <v>2.2692202959063268E-2</v>
      </c>
      <c r="V638" s="4">
        <f>1/TWD!B638</f>
        <v>3.3461602810774635E-2</v>
      </c>
      <c r="W638" s="4">
        <f>1/TWD!C638</f>
        <v>3.3461714779035569E-2</v>
      </c>
      <c r="X638" s="4">
        <f>1/TWD!B638</f>
        <v>3.3461602810774635E-2</v>
      </c>
      <c r="Y638" s="4">
        <f>1/TWD!C638</f>
        <v>3.3461714779035569E-2</v>
      </c>
      <c r="Z638" s="4">
        <f>1/ZAR!B638</f>
        <v>0.12329848096271454</v>
      </c>
      <c r="AA638" s="4">
        <f>1/ZAR!C638</f>
        <v>0.12269185939512915</v>
      </c>
    </row>
    <row r="639" spans="1:27" x14ac:dyDescent="0.25">
      <c r="A639" t="str">
        <f>"12/01/2012"</f>
        <v>12/01/2012</v>
      </c>
      <c r="B639" s="3">
        <f>AUD!B639</f>
        <v>1.0296000000000001</v>
      </c>
      <c r="C639" s="3">
        <f>AUD!C639</f>
        <v>1.026</v>
      </c>
      <c r="D639" s="3">
        <f>1/CAD!B639</f>
        <v>0.9816432708353785</v>
      </c>
      <c r="E639" s="3">
        <f>1/CAD!C639</f>
        <v>0.98096919756719636</v>
      </c>
      <c r="F639" s="3">
        <f>EUR!B639/1</f>
        <v>1.2718</v>
      </c>
      <c r="G639" s="3">
        <f>EUR!C639/1</f>
        <v>1.2719</v>
      </c>
      <c r="H639" s="3">
        <f>GBP!B639/1</f>
        <v>1.5313000000000001</v>
      </c>
      <c r="I639" s="3">
        <f>GBP!C639/1</f>
        <v>1.5307999999999999</v>
      </c>
      <c r="J639" s="4">
        <f>1/INR!B639</f>
        <v>1.9292914677084841E-2</v>
      </c>
      <c r="K639" s="4">
        <f>1/INR!C639</f>
        <v>1.9157088122605363E-2</v>
      </c>
      <c r="L639" s="4">
        <f>1/JPY!B639</f>
        <v>1.3009822415924023E-2</v>
      </c>
      <c r="M639" s="4">
        <f>1/JPY!C639</f>
        <v>1.3013750328597194E-2</v>
      </c>
      <c r="N639" s="5">
        <f>1/KRW!B639</f>
        <v>8.6284999352862499E-4</v>
      </c>
      <c r="O639" s="5">
        <f>1/KRW!C639</f>
        <v>8.6282989222391808E-4</v>
      </c>
      <c r="P639" s="3">
        <f>1/NOK!B639</f>
        <v>0.16556839630451339</v>
      </c>
      <c r="Q639" s="3">
        <f>1/NOK!C639</f>
        <v>0.16538219826017928</v>
      </c>
      <c r="R639" s="3">
        <f>NZD!B639/1</f>
        <v>0.79600000000000004</v>
      </c>
      <c r="S639" s="3">
        <f>NZD!C639/1</f>
        <v>0.79430000000000001</v>
      </c>
      <c r="T639" s="4">
        <f>1/PHP!B639</f>
        <v>2.2732439190725165E-2</v>
      </c>
      <c r="U639" s="4">
        <f>1/PHP!C639</f>
        <v>2.2665457842248413E-2</v>
      </c>
      <c r="V639" s="4">
        <f>1/TWD!B639</f>
        <v>3.3380065424928232E-2</v>
      </c>
      <c r="W639" s="4">
        <f>1/TWD!C639</f>
        <v>3.3380288272169517E-2</v>
      </c>
      <c r="X639" s="4">
        <f>1/TWD!B639</f>
        <v>3.3380065424928232E-2</v>
      </c>
      <c r="Y639" s="4">
        <f>1/TWD!C639</f>
        <v>3.3380288272169517E-2</v>
      </c>
      <c r="Z639" s="4">
        <f>1/ZAR!B639</f>
        <v>0.12353914955649446</v>
      </c>
      <c r="AA639" s="4">
        <f>1/ZAR!C639</f>
        <v>0.12292260792604977</v>
      </c>
    </row>
    <row r="640" spans="1:27" x14ac:dyDescent="0.25">
      <c r="A640" t="str">
        <f>"13/01/2012"</f>
        <v>13/01/2012</v>
      </c>
      <c r="B640" s="3">
        <f>AUD!B640</f>
        <v>1.0316000000000001</v>
      </c>
      <c r="C640" s="3">
        <f>AUD!C640</f>
        <v>1.0279</v>
      </c>
      <c r="D640" s="3">
        <f>1/CAD!B640</f>
        <v>0.98154691794267768</v>
      </c>
      <c r="E640" s="3">
        <f>1/CAD!C640</f>
        <v>0.98087297694948494</v>
      </c>
      <c r="F640" s="3">
        <f>EUR!B640/1</f>
        <v>1.2823</v>
      </c>
      <c r="G640" s="3">
        <f>EUR!C640/1</f>
        <v>1.2824</v>
      </c>
      <c r="H640" s="3">
        <f>GBP!B640/1</f>
        <v>1.5343</v>
      </c>
      <c r="I640" s="3">
        <f>GBP!C640/1</f>
        <v>1.5338000000000001</v>
      </c>
      <c r="J640" s="4">
        <f>1/INR!B640</f>
        <v>1.945903872348706E-2</v>
      </c>
      <c r="K640" s="4">
        <f>1/INR!C640</f>
        <v>1.929570670525808E-2</v>
      </c>
      <c r="L640" s="4">
        <f>1/JPY!B640</f>
        <v>1.302541257994347E-2</v>
      </c>
      <c r="M640" s="4">
        <f>1/JPY!C640</f>
        <v>1.3028586020587771E-2</v>
      </c>
      <c r="N640" s="5">
        <f>1/KRW!B640</f>
        <v>8.6964083833376805E-4</v>
      </c>
      <c r="O640" s="5">
        <f>1/KRW!C640</f>
        <v>8.6962004126347092E-4</v>
      </c>
      <c r="P640" s="3">
        <f>1/NOK!B640</f>
        <v>0.16628974324863641</v>
      </c>
      <c r="Q640" s="3">
        <f>1/NOK!C640</f>
        <v>0.16610467916881219</v>
      </c>
      <c r="R640" s="3">
        <f>NZD!B640/1</f>
        <v>0.79110000000000003</v>
      </c>
      <c r="S640" s="3">
        <f>NZD!C640/1</f>
        <v>0.78939999999999999</v>
      </c>
      <c r="T640" s="4">
        <f>1/PHP!B640</f>
        <v>2.2807617744326606E-2</v>
      </c>
      <c r="U640" s="4">
        <f>1/PHP!C640</f>
        <v>2.2742779167614285E-2</v>
      </c>
      <c r="V640" s="4">
        <f>1/TWD!B640</f>
        <v>3.3366700033366704E-2</v>
      </c>
      <c r="W640" s="4">
        <f>1/TWD!C640</f>
        <v>3.3366811367405297E-2</v>
      </c>
      <c r="X640" s="4">
        <f>1/TWD!B640</f>
        <v>3.3366700033366704E-2</v>
      </c>
      <c r="Y640" s="4">
        <f>1/TWD!C640</f>
        <v>3.3366811367405297E-2</v>
      </c>
      <c r="Z640" s="4">
        <f>1/ZAR!B640</f>
        <v>0.12388810426422855</v>
      </c>
      <c r="AA640" s="4">
        <f>1/ZAR!C640</f>
        <v>0.12327112250684155</v>
      </c>
    </row>
    <row r="641" spans="1:27" x14ac:dyDescent="0.25">
      <c r="A641" t="str">
        <f>"16/01/2012"</f>
        <v>16/01/2012</v>
      </c>
      <c r="B641" s="3">
        <f>AUD!B641</f>
        <v>1.0297000000000001</v>
      </c>
      <c r="C641" s="3">
        <f>AUD!C641</f>
        <v>1.0256000000000001</v>
      </c>
      <c r="D641" s="3">
        <f>1/CAD!B641</f>
        <v>0.97943192948090119</v>
      </c>
      <c r="E641" s="3">
        <f>1/CAD!C641</f>
        <v>0.97876088871488687</v>
      </c>
      <c r="F641" s="3">
        <f>EUR!B641/1</f>
        <v>1.2657</v>
      </c>
      <c r="G641" s="3">
        <f>EUR!C641/1</f>
        <v>1.2657</v>
      </c>
      <c r="H641" s="3">
        <f>GBP!B641/1</f>
        <v>1.5286</v>
      </c>
      <c r="I641" s="3">
        <f>GBP!C641/1</f>
        <v>1.5281</v>
      </c>
      <c r="J641" s="4">
        <f>1/INR!B641</f>
        <v>1.9421246844047387E-2</v>
      </c>
      <c r="K641" s="4">
        <f>1/INR!C641</f>
        <v>1.9262255610131947E-2</v>
      </c>
      <c r="L641" s="4">
        <f>1/JPY!B641</f>
        <v>1.3019985678015752E-2</v>
      </c>
      <c r="M641" s="4">
        <f>1/JPY!C641</f>
        <v>1.3023817958282106E-2</v>
      </c>
      <c r="N641" s="5">
        <f>1/KRW!B641</f>
        <v>8.658008658008658E-4</v>
      </c>
      <c r="O641" s="5">
        <f>1/KRW!C641</f>
        <v>8.6577238151472075E-4</v>
      </c>
      <c r="P641" s="3">
        <f>1/NOK!B641</f>
        <v>0.16482067510548523</v>
      </c>
      <c r="Q641" s="3">
        <f>1/NOK!C641</f>
        <v>0.16462260268334844</v>
      </c>
      <c r="R641" s="3">
        <f>NZD!B641/1</f>
        <v>0.79249999999999998</v>
      </c>
      <c r="S641" s="3">
        <f>NZD!C641/1</f>
        <v>0.79069999999999996</v>
      </c>
      <c r="T641" s="4">
        <f>1/PHP!B641</f>
        <v>2.2799817601459188E-2</v>
      </c>
      <c r="U641" s="4">
        <f>1/PHP!C641</f>
        <v>2.2740193291642979E-2</v>
      </c>
      <c r="V641" s="4">
        <f>1/TWD!B641</f>
        <v>3.3283408221001828E-2</v>
      </c>
      <c r="W641" s="4">
        <f>1/TWD!C641</f>
        <v>3.3283518999896823E-2</v>
      </c>
      <c r="X641" s="4">
        <f>1/TWD!B641</f>
        <v>3.3283408221001828E-2</v>
      </c>
      <c r="Y641" s="4">
        <f>1/TWD!C641</f>
        <v>3.3283518999896823E-2</v>
      </c>
      <c r="Z641" s="4">
        <f>1/ZAR!B641</f>
        <v>0.12279279943024141</v>
      </c>
      <c r="AA641" s="4">
        <f>1/ZAR!C641</f>
        <v>0.12211652358680652</v>
      </c>
    </row>
    <row r="642" spans="1:27" x14ac:dyDescent="0.25">
      <c r="A642" t="str">
        <f>"17/01/2012"</f>
        <v>17/01/2012</v>
      </c>
      <c r="B642" s="3">
        <f>AUD!B642</f>
        <v>1.0389999999999999</v>
      </c>
      <c r="C642" s="3">
        <f>AUD!C642</f>
        <v>1.0349999999999999</v>
      </c>
      <c r="D642" s="3">
        <f>1/CAD!B642</f>
        <v>0.98561009264734878</v>
      </c>
      <c r="E642" s="3">
        <f>1/CAD!C642</f>
        <v>0.98493056239535104</v>
      </c>
      <c r="F642" s="3">
        <f>EUR!B642/1</f>
        <v>1.2732000000000001</v>
      </c>
      <c r="G642" s="3">
        <f>EUR!C642/1</f>
        <v>1.2732000000000001</v>
      </c>
      <c r="H642" s="3">
        <f>GBP!B642/1</f>
        <v>1.5367</v>
      </c>
      <c r="I642" s="3">
        <f>GBP!C642/1</f>
        <v>1.5362</v>
      </c>
      <c r="J642" s="4">
        <f>1/INR!B642</f>
        <v>1.9596315892612189E-2</v>
      </c>
      <c r="K642" s="4">
        <f>1/INR!C642</f>
        <v>1.943540158398523E-2</v>
      </c>
      <c r="L642" s="4">
        <f>1/JPY!B642</f>
        <v>1.3033561420658197E-2</v>
      </c>
      <c r="M642" s="4">
        <f>1/JPY!C642</f>
        <v>1.303750368309479E-2</v>
      </c>
      <c r="N642" s="5">
        <f>1/KRW!B642</f>
        <v>8.724480893386843E-4</v>
      </c>
      <c r="O642" s="5">
        <f>1/KRW!C642</f>
        <v>8.7242563552935963E-4</v>
      </c>
      <c r="P642" s="3">
        <f>1/NOK!B642</f>
        <v>0.16590351051828259</v>
      </c>
      <c r="Q642" s="3">
        <f>1/NOK!C642</f>
        <v>0.16570008285004142</v>
      </c>
      <c r="R642" s="3">
        <f>NZD!B642/1</f>
        <v>0.79849999999999999</v>
      </c>
      <c r="S642" s="3">
        <f>NZD!C642/1</f>
        <v>0.79669999999999996</v>
      </c>
      <c r="T642" s="4">
        <f>1/PHP!B642</f>
        <v>2.2883295194508008E-2</v>
      </c>
      <c r="U642" s="4">
        <f>1/PHP!C642</f>
        <v>2.2818026240730177E-2</v>
      </c>
      <c r="V642" s="4">
        <f>1/TWD!B642</f>
        <v>3.3330000333300004E-2</v>
      </c>
      <c r="W642" s="4">
        <f>1/TWD!C642</f>
        <v>3.3330111422562488E-2</v>
      </c>
      <c r="X642" s="4">
        <f>1/TWD!B642</f>
        <v>3.3330000333300004E-2</v>
      </c>
      <c r="Y642" s="4">
        <f>1/TWD!C642</f>
        <v>3.3330111422562488E-2</v>
      </c>
      <c r="Z642" s="4">
        <f>1/ZAR!B642</f>
        <v>0.12407101825084678</v>
      </c>
      <c r="AA642" s="4">
        <f>1/ZAR!C642</f>
        <v>0.12338062924120913</v>
      </c>
    </row>
    <row r="643" spans="1:27" x14ac:dyDescent="0.25">
      <c r="A643" t="str">
        <f>"18/01/2012"</f>
        <v>18/01/2012</v>
      </c>
      <c r="B643" s="3">
        <f>AUD!B643</f>
        <v>1.0376000000000001</v>
      </c>
      <c r="C643" s="3">
        <f>AUD!C643</f>
        <v>1.0337000000000001</v>
      </c>
      <c r="D643" s="3">
        <f>1/CAD!B643</f>
        <v>0.98425196850393704</v>
      </c>
      <c r="E643" s="3">
        <f>1/CAD!C643</f>
        <v>0.98357430903904797</v>
      </c>
      <c r="F643" s="3">
        <f>EUR!B643/1</f>
        <v>1.276</v>
      </c>
      <c r="G643" s="3">
        <f>EUR!C643/1</f>
        <v>1.2761</v>
      </c>
      <c r="H643" s="3">
        <f>GBP!B643/1</f>
        <v>1.5347</v>
      </c>
      <c r="I643" s="3">
        <f>GBP!C643/1</f>
        <v>1.5342</v>
      </c>
      <c r="J643" s="4">
        <f>1/INR!B643</f>
        <v>1.9710259189908347E-2</v>
      </c>
      <c r="K643" s="4">
        <f>1/INR!C643</f>
        <v>1.95532091704551E-2</v>
      </c>
      <c r="L643" s="4">
        <f>1/JPY!B643</f>
        <v>1.3038149625805106E-2</v>
      </c>
      <c r="M643" s="4">
        <f>1/JPY!C643</f>
        <v>1.3041346284259618E-2</v>
      </c>
      <c r="N643" s="5">
        <f>1/KRW!B643</f>
        <v>8.7569508297210912E-4</v>
      </c>
      <c r="O643" s="5">
        <f>1/KRW!C643</f>
        <v>8.7566709413815311E-4</v>
      </c>
      <c r="P643" s="3">
        <f>1/NOK!B643</f>
        <v>0.16605503063715316</v>
      </c>
      <c r="Q643" s="3">
        <f>1/NOK!C643</f>
        <v>0.16585948384528626</v>
      </c>
      <c r="R643" s="3">
        <f>NZD!B643/1</f>
        <v>0.80179999999999996</v>
      </c>
      <c r="S643" s="3">
        <f>NZD!C643/1</f>
        <v>0.8</v>
      </c>
      <c r="T643" s="4">
        <f>1/PHP!B643</f>
        <v>2.3001725129384702E-2</v>
      </c>
      <c r="U643" s="4">
        <f>1/PHP!C643</f>
        <v>2.2941041523285157E-2</v>
      </c>
      <c r="V643" s="4">
        <f>1/TWD!B643</f>
        <v>3.3355570380253503E-2</v>
      </c>
      <c r="W643" s="4">
        <f>1/TWD!C643</f>
        <v>3.3355681640032157E-2</v>
      </c>
      <c r="X643" s="4">
        <f>1/TWD!B643</f>
        <v>3.3355570380253503E-2</v>
      </c>
      <c r="Y643" s="4">
        <f>1/TWD!C643</f>
        <v>3.3355681640032157E-2</v>
      </c>
      <c r="Z643" s="4">
        <f>1/ZAR!B643</f>
        <v>0.12455626829420191</v>
      </c>
      <c r="AA643" s="4">
        <f>1/ZAR!C643</f>
        <v>0.12394338266279964</v>
      </c>
    </row>
    <row r="644" spans="1:27" x14ac:dyDescent="0.25">
      <c r="A644" t="str">
        <f>"19/01/2012"</f>
        <v>19/01/2012</v>
      </c>
      <c r="B644" s="3">
        <f>AUD!B644</f>
        <v>1.0405</v>
      </c>
      <c r="C644" s="3">
        <f>AUD!C644</f>
        <v>1.0367999999999999</v>
      </c>
      <c r="D644" s="3">
        <f>1/CAD!B644</f>
        <v>0.99088386841062215</v>
      </c>
      <c r="E644" s="3">
        <f>1/CAD!C644</f>
        <v>0.99019704921279328</v>
      </c>
      <c r="F644" s="3">
        <f>EUR!B644/1</f>
        <v>1.2907</v>
      </c>
      <c r="G644" s="3">
        <f>EUR!C644/1</f>
        <v>1.2907</v>
      </c>
      <c r="H644" s="3">
        <f>GBP!B644/1</f>
        <v>1.5439000000000001</v>
      </c>
      <c r="I644" s="3">
        <f>GBP!C644/1</f>
        <v>1.5435000000000001</v>
      </c>
      <c r="J644" s="4">
        <f>1/INR!B644</f>
        <v>1.9892580067634769E-2</v>
      </c>
      <c r="K644" s="4">
        <f>1/INR!C644</f>
        <v>1.9730676268929118E-2</v>
      </c>
      <c r="L644" s="4">
        <f>1/JPY!B644</f>
        <v>1.3023885806569248E-2</v>
      </c>
      <c r="M644" s="4">
        <f>1/JPY!C644</f>
        <v>1.3027448834694703E-2</v>
      </c>
      <c r="N644" s="5">
        <f>1/KRW!B644</f>
        <v>8.7908223814337839E-4</v>
      </c>
      <c r="O644" s="5">
        <f>1/KRW!C644</f>
        <v>8.7904282784561543E-4</v>
      </c>
      <c r="P644" s="3">
        <f>1/NOK!B644</f>
        <v>0.16845793605336745</v>
      </c>
      <c r="Q644" s="3">
        <f>1/NOK!C644</f>
        <v>0.16825952348902948</v>
      </c>
      <c r="R644" s="3">
        <f>NZD!B644/1</f>
        <v>0.80049999999999999</v>
      </c>
      <c r="S644" s="3">
        <f>NZD!C644/1</f>
        <v>0.79890000000000005</v>
      </c>
      <c r="T644" s="4">
        <f>1/PHP!B644</f>
        <v>2.3020257826887661E-2</v>
      </c>
      <c r="U644" s="4">
        <f>1/PHP!C644</f>
        <v>2.2948938611589212E-2</v>
      </c>
      <c r="V644" s="4">
        <f>1/TWD!B644</f>
        <v>3.3405712376816436E-2</v>
      </c>
      <c r="W644" s="4">
        <f>1/TWD!C644</f>
        <v>3.3405823971351167E-2</v>
      </c>
      <c r="X644" s="4">
        <f>1/TWD!B644</f>
        <v>3.3405712376816436E-2</v>
      </c>
      <c r="Y644" s="4">
        <f>1/TWD!C644</f>
        <v>3.3405823971351167E-2</v>
      </c>
      <c r="Z644" s="4">
        <f>1/ZAR!B644</f>
        <v>0.12604141720969511</v>
      </c>
      <c r="AA644" s="4">
        <f>1/ZAR!C644</f>
        <v>0.12544061014312774</v>
      </c>
    </row>
    <row r="645" spans="1:27" x14ac:dyDescent="0.25">
      <c r="A645" t="str">
        <f>"20/01/2012"</f>
        <v>20/01/2012</v>
      </c>
      <c r="B645" s="3">
        <f>AUD!B645</f>
        <v>1.0407</v>
      </c>
      <c r="C645" s="3">
        <f>AUD!C645</f>
        <v>1.0369999999999999</v>
      </c>
      <c r="D645" s="3">
        <f>1/CAD!B645</f>
        <v>0.98667982239763186</v>
      </c>
      <c r="E645" s="3">
        <f>1/CAD!C645</f>
        <v>0.98599881680141988</v>
      </c>
      <c r="F645" s="3">
        <f>EUR!B645/1</f>
        <v>1.2965</v>
      </c>
      <c r="G645" s="3">
        <f>EUR!C645/1</f>
        <v>1.2965</v>
      </c>
      <c r="H645" s="3">
        <f>GBP!B645/1</f>
        <v>1.5489999999999999</v>
      </c>
      <c r="I645" s="3">
        <f>GBP!C645/1</f>
        <v>1.5486</v>
      </c>
      <c r="J645" s="4">
        <f>1/INR!B645</f>
        <v>1.987083954297069E-2</v>
      </c>
      <c r="K645" s="4">
        <f>1/INR!C645</f>
        <v>1.9708316909735908E-2</v>
      </c>
      <c r="L645" s="4">
        <f>1/JPY!B645</f>
        <v>1.2971851083149565E-2</v>
      </c>
      <c r="M645" s="4">
        <f>1/JPY!C645</f>
        <v>1.2975015310518066E-2</v>
      </c>
      <c r="N645" s="5">
        <f>1/KRW!B645</f>
        <v>8.8066930867459266E-4</v>
      </c>
      <c r="O645" s="5">
        <f>1/KRW!C645</f>
        <v>8.8064759301399872E-4</v>
      </c>
      <c r="P645" s="3">
        <f>1/NOK!B645</f>
        <v>0.16907314104081425</v>
      </c>
      <c r="Q645" s="3">
        <f>1/NOK!C645</f>
        <v>0.16886472247082862</v>
      </c>
      <c r="R645" s="3">
        <f>NZD!B645/1</f>
        <v>0.80169999999999997</v>
      </c>
      <c r="S645" s="3">
        <f>NZD!C645/1</f>
        <v>0.8</v>
      </c>
      <c r="T645" s="4">
        <f>1/PHP!B645</f>
        <v>2.3105360443622922E-2</v>
      </c>
      <c r="U645" s="4">
        <f>1/PHP!C645</f>
        <v>2.3041474654377881E-2</v>
      </c>
      <c r="V645" s="4">
        <f>1/TWD!B645</f>
        <v>3.3366700033366704E-2</v>
      </c>
      <c r="W645" s="4">
        <f>1/TWD!C645</f>
        <v>3.3366811367405297E-2</v>
      </c>
      <c r="X645" s="4">
        <f>1/TWD!B645</f>
        <v>3.3366700033366704E-2</v>
      </c>
      <c r="Y645" s="4">
        <f>1/TWD!C645</f>
        <v>3.3366811367405297E-2</v>
      </c>
      <c r="Z645" s="4" t="e">
        <f>1/ZAR!B645</f>
        <v>#DIV/0!</v>
      </c>
      <c r="AA645" s="4" t="e">
        <f>1/ZAR!C645</f>
        <v>#DIV/0!</v>
      </c>
    </row>
    <row r="646" spans="1:27" x14ac:dyDescent="0.25">
      <c r="A646" t="str">
        <f>"23/01/2012"</f>
        <v>23/01/2012</v>
      </c>
      <c r="B646" s="3">
        <f>AUD!B646</f>
        <v>1.0505</v>
      </c>
      <c r="C646" s="3">
        <f>AUD!C646</f>
        <v>1.0465</v>
      </c>
      <c r="D646" s="3">
        <f>1/CAD!B646</f>
        <v>0.98736176935229081</v>
      </c>
      <c r="E646" s="3">
        <f>1/CAD!C646</f>
        <v>0.98667982239763186</v>
      </c>
      <c r="F646" s="3">
        <f>EUR!B646/1</f>
        <v>1.2922</v>
      </c>
      <c r="G646" s="3">
        <f>EUR!C646/1</f>
        <v>1.2923</v>
      </c>
      <c r="H646" s="3">
        <f>GBP!B646/1</f>
        <v>1.5545</v>
      </c>
      <c r="I646" s="3">
        <f>GBP!C646/1</f>
        <v>1.554</v>
      </c>
      <c r="J646" s="4">
        <f>1/INR!B646</f>
        <v>1.9955101022698929E-2</v>
      </c>
      <c r="K646" s="4">
        <f>1/INR!C646</f>
        <v>1.9789244545589474E-2</v>
      </c>
      <c r="L646" s="4">
        <f>1/JPY!B646</f>
        <v>1.2990387113535984E-2</v>
      </c>
      <c r="M646" s="4">
        <f>1/JPY!C646</f>
        <v>1.2993222735021412E-2</v>
      </c>
      <c r="N646" s="5">
        <f>1/KRW!B646</f>
        <v>8.8393883143286485E-4</v>
      </c>
      <c r="O646" s="5">
        <f>1/KRW!C646</f>
        <v>8.839103131561654E-4</v>
      </c>
      <c r="P646" s="3">
        <f>1/NOK!B646</f>
        <v>0.16823687752355315</v>
      </c>
      <c r="Q646" s="3">
        <f>1/NOK!C646</f>
        <v>0.16801922139892805</v>
      </c>
      <c r="R646" s="3">
        <f>NZD!B646/1</f>
        <v>0.80840000000000001</v>
      </c>
      <c r="S646" s="3">
        <f>NZD!C646/1</f>
        <v>0.80659999999999998</v>
      </c>
      <c r="T646" s="4">
        <f>1/PHP!B646</f>
        <v>2.3097355352812102E-2</v>
      </c>
      <c r="U646" s="4">
        <f>1/PHP!C646</f>
        <v>2.3033513762524473E-2</v>
      </c>
      <c r="V646" s="4">
        <f>1/TWD!B646</f>
        <v>3.334444814938313E-2</v>
      </c>
      <c r="W646" s="4">
        <f>1/TWD!C646</f>
        <v>3.3344559334976112E-2</v>
      </c>
      <c r="X646" s="4">
        <f>1/TWD!B646</f>
        <v>3.334444814938313E-2</v>
      </c>
      <c r="Y646" s="4">
        <f>1/TWD!C646</f>
        <v>3.3344559334976112E-2</v>
      </c>
      <c r="Z646" s="4">
        <f>1/ZAR!B646</f>
        <v>0.12539971158066338</v>
      </c>
      <c r="AA646" s="4">
        <f>1/ZAR!C646</f>
        <v>0.12475361161705631</v>
      </c>
    </row>
    <row r="647" spans="1:27" x14ac:dyDescent="0.25">
      <c r="A647" t="str">
        <f>"24/01/2012"</f>
        <v>24/01/2012</v>
      </c>
      <c r="B647" s="3">
        <f>AUD!B647</f>
        <v>1.0468999999999999</v>
      </c>
      <c r="C647" s="3">
        <f>AUD!C647</f>
        <v>1.0431999999999999</v>
      </c>
      <c r="D647" s="3">
        <f>1/CAD!B647</f>
        <v>0.9884353069091627</v>
      </c>
      <c r="E647" s="3">
        <f>1/CAD!C647</f>
        <v>0.98775187672856579</v>
      </c>
      <c r="F647" s="3">
        <f>EUR!B647/1</f>
        <v>1.3006</v>
      </c>
      <c r="G647" s="3">
        <f>EUR!C647/1</f>
        <v>1.3006</v>
      </c>
      <c r="H647" s="3">
        <f>GBP!B647/1</f>
        <v>1.5562</v>
      </c>
      <c r="I647" s="3">
        <f>GBP!C647/1</f>
        <v>1.5558000000000001</v>
      </c>
      <c r="J647" s="4">
        <f>1/INR!B647</f>
        <v>1.9968051118210862E-2</v>
      </c>
      <c r="K647" s="4">
        <f>1/INR!C647</f>
        <v>1.9811788013868251E-2</v>
      </c>
      <c r="L647" s="4">
        <f>1/JPY!B647</f>
        <v>1.2933766183374938E-2</v>
      </c>
      <c r="M647" s="4">
        <f>1/JPY!C647</f>
        <v>1.2936409784065449E-2</v>
      </c>
      <c r="N647" s="5">
        <f>1/KRW!B647</f>
        <v>8.8636766530756955E-4</v>
      </c>
      <c r="O647" s="5">
        <f>1/KRW!C647</f>
        <v>8.8633899009649131E-4</v>
      </c>
      <c r="P647" s="3">
        <f>1/NOK!B647</f>
        <v>0.17011431682090364</v>
      </c>
      <c r="Q647" s="3">
        <f>1/NOK!C647</f>
        <v>0.16989755177627888</v>
      </c>
      <c r="R647" s="3">
        <f>NZD!B647/1</f>
        <v>0.80869999999999997</v>
      </c>
      <c r="S647" s="3">
        <f>NZD!C647/1</f>
        <v>0.80700000000000005</v>
      </c>
      <c r="T647" s="4">
        <f>1/PHP!B647</f>
        <v>2.3108030040439053E-2</v>
      </c>
      <c r="U647" s="4">
        <f>1/PHP!C647</f>
        <v>2.3041474654377881E-2</v>
      </c>
      <c r="V647" s="4">
        <f>1/TWD!B647</f>
        <v>3.334444814938313E-2</v>
      </c>
      <c r="W647" s="4">
        <f>1/TWD!C647</f>
        <v>3.3344559334976112E-2</v>
      </c>
      <c r="X647" s="4">
        <f>1/TWD!B647</f>
        <v>3.334444814938313E-2</v>
      </c>
      <c r="Y647" s="4">
        <f>1/TWD!C647</f>
        <v>3.3344559334976112E-2</v>
      </c>
      <c r="Z647" s="4">
        <f>1/ZAR!B647</f>
        <v>0.12503125781445362</v>
      </c>
      <c r="AA647" s="4">
        <f>1/ZAR!C647</f>
        <v>0.12440286624203822</v>
      </c>
    </row>
    <row r="648" spans="1:27" x14ac:dyDescent="0.25">
      <c r="A648" t="str">
        <f>"25/01/2012"</f>
        <v>25/01/2012</v>
      </c>
      <c r="B648" s="3">
        <f>AUD!B648</f>
        <v>1.0481</v>
      </c>
      <c r="C648" s="3">
        <f>AUD!C648</f>
        <v>1.0445</v>
      </c>
      <c r="D648" s="3">
        <f>1/CAD!B648</f>
        <v>0.98706939097818591</v>
      </c>
      <c r="E648" s="3">
        <f>1/CAD!C648</f>
        <v>0.98629056119932934</v>
      </c>
      <c r="F648" s="3">
        <f>EUR!B648/1</f>
        <v>1.2992999999999999</v>
      </c>
      <c r="G648" s="3">
        <f>EUR!C648/1</f>
        <v>1.2992999999999999</v>
      </c>
      <c r="H648" s="3">
        <f>GBP!B648/1</f>
        <v>1.5589999999999999</v>
      </c>
      <c r="I648" s="3">
        <f>GBP!C648/1</f>
        <v>1.5586</v>
      </c>
      <c r="J648" s="4">
        <f>1/INR!B648</f>
        <v>1.9971041989115784E-2</v>
      </c>
      <c r="K648" s="4">
        <f>1/INR!C648</f>
        <v>1.9817677368212445E-2</v>
      </c>
      <c r="L648" s="4">
        <f>1/JPY!B648</f>
        <v>1.2801474729888884E-2</v>
      </c>
      <c r="M648" s="4">
        <f>1/JPY!C648</f>
        <v>1.2804261258146711E-2</v>
      </c>
      <c r="N648" s="5">
        <f>1/KRW!B648</f>
        <v>8.8802060207796832E-4</v>
      </c>
      <c r="O648" s="5">
        <f>1/KRW!C648</f>
        <v>8.8799260834952808E-4</v>
      </c>
      <c r="P648" s="3">
        <f>1/NOK!B648</f>
        <v>0.16909029421711194</v>
      </c>
      <c r="Q648" s="3">
        <f>1/NOK!C648</f>
        <v>0.16887612935911508</v>
      </c>
      <c r="R648" s="3">
        <f>NZD!B648/1</f>
        <v>0.80789999999999995</v>
      </c>
      <c r="S648" s="3">
        <f>NZD!C648/1</f>
        <v>0.80620000000000003</v>
      </c>
      <c r="T648" s="4">
        <f>1/PHP!B648</f>
        <v>2.3126734505087881E-2</v>
      </c>
      <c r="U648" s="4">
        <f>1/PHP!C648</f>
        <v>2.3057412958266084E-2</v>
      </c>
      <c r="V648" s="4">
        <f>1/TWD!B648</f>
        <v>3.3377837116154871E-2</v>
      </c>
      <c r="W648" s="4">
        <f>1/TWD!C648</f>
        <v>3.3377948524527787E-2</v>
      </c>
      <c r="X648" s="4">
        <f>1/TWD!B648</f>
        <v>3.3377837116154871E-2</v>
      </c>
      <c r="Y648" s="4">
        <f>1/TWD!C648</f>
        <v>3.3377948524527787E-2</v>
      </c>
      <c r="Z648" s="4">
        <f>1/ZAR!B648</f>
        <v>0.12553036579548593</v>
      </c>
      <c r="AA648" s="4">
        <f>1/ZAR!C648</f>
        <v>0.12491724232695839</v>
      </c>
    </row>
    <row r="649" spans="1:27" x14ac:dyDescent="0.25">
      <c r="A649" t="str">
        <f>"27/01/2012"</f>
        <v>27/01/2012</v>
      </c>
      <c r="B649" s="3">
        <f>AUD!B649</f>
        <v>1.0662</v>
      </c>
      <c r="C649" s="3">
        <f>AUD!C649</f>
        <v>1.0628</v>
      </c>
      <c r="D649" s="3">
        <f>1/CAD!B649</f>
        <v>1.000100010001</v>
      </c>
      <c r="E649" s="3">
        <f>1/CAD!C649</f>
        <v>0.99940035978412955</v>
      </c>
      <c r="F649" s="3">
        <f>EUR!B649/1</f>
        <v>1.3149999999999999</v>
      </c>
      <c r="G649" s="3">
        <f>EUR!C649/1</f>
        <v>1.3150999999999999</v>
      </c>
      <c r="H649" s="3">
        <f>GBP!B649/1</f>
        <v>1.5716000000000001</v>
      </c>
      <c r="I649" s="3">
        <f>GBP!C649/1</f>
        <v>1.5711999999999999</v>
      </c>
      <c r="J649" s="4">
        <f>1/INR!B649</f>
        <v>2.02757502027575E-2</v>
      </c>
      <c r="K649" s="4">
        <f>1/INR!C649</f>
        <v>2.0124773596297042E-2</v>
      </c>
      <c r="L649" s="4">
        <f>1/JPY!B649</f>
        <v>1.2989543417548873E-2</v>
      </c>
      <c r="M649" s="4">
        <f>1/JPY!C649</f>
        <v>1.2992057954972125E-2</v>
      </c>
      <c r="N649" s="5">
        <f>1/KRW!B649</f>
        <v>8.9015488695032925E-4</v>
      </c>
      <c r="O649" s="5">
        <f>1/KRW!C649</f>
        <v>8.9012715466404383E-4</v>
      </c>
      <c r="P649" s="3">
        <f>1/NOK!B649</f>
        <v>0.17185083347654237</v>
      </c>
      <c r="Q649" s="3">
        <f>1/NOK!C649</f>
        <v>0.17164729912974819</v>
      </c>
      <c r="R649" s="3">
        <f>NZD!B649/1</f>
        <v>0.82399999999999995</v>
      </c>
      <c r="S649" s="3">
        <f>NZD!C649/1</f>
        <v>0.82240000000000002</v>
      </c>
      <c r="T649" s="4">
        <f>1/PHP!B649</f>
        <v>2.3389077300900479E-2</v>
      </c>
      <c r="U649" s="4">
        <f>1/PHP!C649</f>
        <v>2.3323615160349854E-2</v>
      </c>
      <c r="V649" s="4">
        <f>1/TWD!B649</f>
        <v>3.3579583613163197E-2</v>
      </c>
      <c r="W649" s="4">
        <f>1/TWD!C649</f>
        <v>3.3579696372385399E-2</v>
      </c>
      <c r="X649" s="4">
        <f>1/TWD!B649</f>
        <v>3.3579583613163197E-2</v>
      </c>
      <c r="Y649" s="4">
        <f>1/TWD!C649</f>
        <v>3.3579696372385399E-2</v>
      </c>
      <c r="Z649" s="4">
        <f>1/ZAR!B649</f>
        <v>0.12887428313680005</v>
      </c>
      <c r="AA649" s="4">
        <f>1/ZAR!C649</f>
        <v>0.12830217728794857</v>
      </c>
    </row>
    <row r="650" spans="1:27" x14ac:dyDescent="0.25">
      <c r="A650" t="str">
        <f>"30/01/2012"</f>
        <v>30/01/2012</v>
      </c>
      <c r="B650" s="3">
        <f>AUD!B650</f>
        <v>1.0552999999999999</v>
      </c>
      <c r="C650" s="3">
        <f>AUD!C650</f>
        <v>1.0518000000000001</v>
      </c>
      <c r="D650" s="3">
        <f>1/CAD!B650</f>
        <v>0.99492587802208721</v>
      </c>
      <c r="E650" s="3">
        <f>1/CAD!C650</f>
        <v>0.9942334460131238</v>
      </c>
      <c r="F650" s="3">
        <f>EUR!B650/1</f>
        <v>1.3128</v>
      </c>
      <c r="G650" s="3">
        <f>EUR!C650/1</f>
        <v>1.3128</v>
      </c>
      <c r="H650" s="3">
        <f>GBP!B650/1</f>
        <v>1.5677000000000001</v>
      </c>
      <c r="I650" s="3">
        <f>GBP!C650/1</f>
        <v>1.5672999999999999</v>
      </c>
      <c r="J650" s="4">
        <f>1/INR!B650</f>
        <v>2.0130850528434826E-2</v>
      </c>
      <c r="K650" s="4">
        <f>1/INR!C650</f>
        <v>1.9983014437727934E-2</v>
      </c>
      <c r="L650" s="4">
        <f>1/JPY!B650</f>
        <v>1.3035260379326076E-2</v>
      </c>
      <c r="M650" s="4">
        <f>1/JPY!C650</f>
        <v>1.303809862800088E-2</v>
      </c>
      <c r="N650" s="5">
        <f>1/KRW!B650</f>
        <v>8.8699662941280814E-4</v>
      </c>
      <c r="O650" s="5">
        <f>1/KRW!C650</f>
        <v>8.869679134922454E-4</v>
      </c>
      <c r="P650" s="3">
        <f>1/NOK!B650</f>
        <v>0.17096062776742516</v>
      </c>
      <c r="Q650" s="3">
        <f>1/NOK!C650</f>
        <v>0.17076211130274416</v>
      </c>
      <c r="R650" s="3">
        <f>NZD!B650/1</f>
        <v>0.81859999999999999</v>
      </c>
      <c r="S650" s="3">
        <f>NZD!C650/1</f>
        <v>0.81699999999999995</v>
      </c>
      <c r="T650" s="4">
        <f>1/PHP!B650</f>
        <v>2.3215322112594312E-2</v>
      </c>
      <c r="U650" s="4">
        <f>1/PHP!C650</f>
        <v>2.31535077564251E-2</v>
      </c>
      <c r="V650" s="4">
        <f>1/TWD!B650</f>
        <v>3.3545790003354579E-2</v>
      </c>
      <c r="W650" s="4">
        <f>1/TWD!C650</f>
        <v>3.3545902535734771E-2</v>
      </c>
      <c r="X650" s="4">
        <f>1/TWD!B650</f>
        <v>3.3545790003354579E-2</v>
      </c>
      <c r="Y650" s="4">
        <f>1/TWD!C650</f>
        <v>3.3545902535734771E-2</v>
      </c>
      <c r="Z650" s="4">
        <f>1/ZAR!B650</f>
        <v>0.12764871074802145</v>
      </c>
      <c r="AA650" s="4">
        <f>1/ZAR!C650</f>
        <v>0.12707610587981141</v>
      </c>
    </row>
    <row r="651" spans="1:27" x14ac:dyDescent="0.25">
      <c r="A651" t="str">
        <f>"31/01/2012"</f>
        <v>31/01/2012</v>
      </c>
      <c r="B651" s="3">
        <f>AUD!B651</f>
        <v>1.0637000000000001</v>
      </c>
      <c r="C651" s="3">
        <f>AUD!C651</f>
        <v>1.0603</v>
      </c>
      <c r="D651" s="3">
        <f>1/CAD!B651</f>
        <v>0.99940035978412955</v>
      </c>
      <c r="E651" s="3">
        <f>1/CAD!C651</f>
        <v>0.99880143827407097</v>
      </c>
      <c r="F651" s="3">
        <f>EUR!B651/1</f>
        <v>1.3190999999999999</v>
      </c>
      <c r="G651" s="3">
        <f>EUR!C651/1</f>
        <v>1.3191999999999999</v>
      </c>
      <c r="H651" s="3">
        <f>GBP!B651/1</f>
        <v>1.5737000000000001</v>
      </c>
      <c r="I651" s="3">
        <f>GBP!C651/1</f>
        <v>1.5732999999999999</v>
      </c>
      <c r="J651" s="4">
        <f>1/INR!B651</f>
        <v>2.0218358269308533E-2</v>
      </c>
      <c r="K651" s="4">
        <f>1/INR!C651</f>
        <v>2.0074274816822245E-2</v>
      </c>
      <c r="L651" s="4">
        <f>1/JPY!B651</f>
        <v>1.3118711217809961E-2</v>
      </c>
      <c r="M651" s="4">
        <f>1/JPY!C651</f>
        <v>1.3122171351937948E-2</v>
      </c>
      <c r="N651" s="5">
        <f>1/KRW!B651</f>
        <v>8.8908646365859077E-4</v>
      </c>
      <c r="O651" s="5">
        <f>1/KRW!C651</f>
        <v>8.8904654647646401E-4</v>
      </c>
      <c r="P651" s="3">
        <f>1/NOK!B651</f>
        <v>0.17206669305022626</v>
      </c>
      <c r="Q651" s="3">
        <f>1/NOK!C651</f>
        <v>0.17186855492919018</v>
      </c>
      <c r="R651" s="3">
        <f>NZD!B651/1</f>
        <v>0.8236</v>
      </c>
      <c r="S651" s="3">
        <f>NZD!C651/1</f>
        <v>0.82199999999999995</v>
      </c>
      <c r="T651" s="4">
        <f>1/PHP!B651</f>
        <v>2.330187580100198E-2</v>
      </c>
      <c r="U651" s="4">
        <f>1/PHP!C651</f>
        <v>2.3236900197513653E-2</v>
      </c>
      <c r="V651" s="4">
        <f>1/TWD!B651</f>
        <v>3.3846674564224064E-2</v>
      </c>
      <c r="W651" s="4">
        <f>1/TWD!C651</f>
        <v>3.384678912434972E-2</v>
      </c>
      <c r="X651" s="4">
        <f>1/TWD!B651</f>
        <v>3.3846674564224064E-2</v>
      </c>
      <c r="Y651" s="4">
        <f>1/TWD!C651</f>
        <v>3.384678912434972E-2</v>
      </c>
      <c r="Z651" s="4">
        <f>1/ZAR!B651</f>
        <v>0.12790667928679236</v>
      </c>
      <c r="AA651" s="4">
        <f>1/ZAR!C651</f>
        <v>0.12733338426668706</v>
      </c>
    </row>
    <row r="652" spans="1:27" x14ac:dyDescent="0.25">
      <c r="A652" t="str">
        <f>"01/02/2012"</f>
        <v>01/02/2012</v>
      </c>
      <c r="B652" s="3">
        <f>AUD!B652</f>
        <v>1.0616000000000001</v>
      </c>
      <c r="C652" s="3">
        <f>AUD!C652</f>
        <v>1.0579000000000001</v>
      </c>
      <c r="D652" s="3">
        <f>1/CAD!B652</f>
        <v>0.99720781810929404</v>
      </c>
      <c r="E652" s="3">
        <f>1/CAD!C652</f>
        <v>0.99651220727453904</v>
      </c>
      <c r="F652" s="3">
        <f>EUR!B652/1</f>
        <v>1.3071999999999999</v>
      </c>
      <c r="G652" s="3">
        <f>EUR!C652/1</f>
        <v>1.3071999999999999</v>
      </c>
      <c r="H652" s="3">
        <f>GBP!B652/1</f>
        <v>1.5757000000000001</v>
      </c>
      <c r="I652" s="3">
        <f>GBP!C652/1</f>
        <v>1.5752999999999999</v>
      </c>
      <c r="J652" s="4">
        <f>1/INR!B652</f>
        <v>2.0177562550443905E-2</v>
      </c>
      <c r="K652" s="4">
        <f>1/INR!C652</f>
        <v>2.002503128911139E-2</v>
      </c>
      <c r="L652" s="4">
        <f>1/JPY!B652</f>
        <v>1.3124651376447813E-2</v>
      </c>
      <c r="M652" s="4">
        <f>1/JPY!C652</f>
        <v>1.3128011237577619E-2</v>
      </c>
      <c r="N652" s="5">
        <f>1/KRW!B652</f>
        <v>8.8817834621191926E-4</v>
      </c>
      <c r="O652" s="5">
        <f>1/KRW!C652</f>
        <v>8.8815468101924625E-4</v>
      </c>
      <c r="P652" s="3">
        <f>1/NOK!B652</f>
        <v>0.17037516611578696</v>
      </c>
      <c r="Q652" s="3">
        <f>1/NOK!C652</f>
        <v>0.17017800619447943</v>
      </c>
      <c r="R652" s="3">
        <f>NZD!B652/1</f>
        <v>0.82350000000000001</v>
      </c>
      <c r="S652" s="3">
        <f>NZD!C652/1</f>
        <v>0.82179999999999997</v>
      </c>
      <c r="T652" s="4">
        <f>1/PHP!B652</f>
        <v>2.3320895522388058E-2</v>
      </c>
      <c r="U652" s="4">
        <f>1/PHP!C652</f>
        <v>2.3261223540358221E-2</v>
      </c>
      <c r="V652" s="4">
        <f>1/TWD!B652</f>
        <v>3.374388392103931E-2</v>
      </c>
      <c r="W652" s="4">
        <f>1/TWD!C652</f>
        <v>3.3743997786393747E-2</v>
      </c>
      <c r="X652" s="4">
        <f>1/TWD!B652</f>
        <v>3.374388392103931E-2</v>
      </c>
      <c r="Y652" s="4">
        <f>1/TWD!C652</f>
        <v>3.3743997786393747E-2</v>
      </c>
      <c r="Z652" s="4">
        <f>1/ZAR!B652</f>
        <v>0.12823800974608873</v>
      </c>
      <c r="AA652" s="4">
        <f>1/ZAR!C652</f>
        <v>0.12766989671505355</v>
      </c>
    </row>
    <row r="653" spans="1:27" x14ac:dyDescent="0.25">
      <c r="A653" t="str">
        <f>"02/02/2012"</f>
        <v>02/02/2012</v>
      </c>
      <c r="B653" s="3">
        <f>AUD!B653</f>
        <v>1.0725</v>
      </c>
      <c r="C653" s="3">
        <f>AUD!C653</f>
        <v>1.069</v>
      </c>
      <c r="D653" s="3">
        <f>1/CAD!B653</f>
        <v>1.0025062656641603</v>
      </c>
      <c r="E653" s="3">
        <f>1/CAD!C653</f>
        <v>1.0018032458425166</v>
      </c>
      <c r="F653" s="3">
        <f>EUR!B653/1</f>
        <v>1.3176000000000001</v>
      </c>
      <c r="G653" s="3">
        <f>EUR!C653/1</f>
        <v>1.3176000000000001</v>
      </c>
      <c r="H653" s="3">
        <f>GBP!B653/1</f>
        <v>1.5848</v>
      </c>
      <c r="I653" s="3">
        <f>GBP!C653/1</f>
        <v>1.5845</v>
      </c>
      <c r="J653" s="4">
        <f>1/INR!B653</f>
        <v>2.041024594346362E-2</v>
      </c>
      <c r="K653" s="4">
        <f>1/INR!C653</f>
        <v>2.0264451086681189E-2</v>
      </c>
      <c r="L653" s="4">
        <f>1/JPY!B653</f>
        <v>1.313206258741029E-2</v>
      </c>
      <c r="M653" s="4">
        <f>1/JPY!C653</f>
        <v>1.3134839636742876E-2</v>
      </c>
      <c r="N653" s="5">
        <f>1/KRW!B653</f>
        <v>8.9365504915102768E-4</v>
      </c>
      <c r="O653" s="5">
        <f>1/KRW!C653</f>
        <v>8.93632289079322E-4</v>
      </c>
      <c r="P653" s="3">
        <f>1/NOK!B653</f>
        <v>0.17236030197524907</v>
      </c>
      <c r="Q653" s="3">
        <f>1/NOK!C653</f>
        <v>0.17213777907837433</v>
      </c>
      <c r="R653" s="3">
        <f>NZD!B653/1</f>
        <v>0.8337</v>
      </c>
      <c r="S653" s="3">
        <f>NZD!C653/1</f>
        <v>0.83209999999999995</v>
      </c>
      <c r="T653" s="4">
        <f>1/PHP!B653</f>
        <v>2.3405500292568753E-2</v>
      </c>
      <c r="U653" s="4">
        <f>1/PHP!C653</f>
        <v>2.3345395120812421E-2</v>
      </c>
      <c r="V653" s="4">
        <f>1/TWD!B653</f>
        <v>3.3876486330837764E-2</v>
      </c>
      <c r="W653" s="4">
        <f>1/TWD!C653</f>
        <v>3.387660109285915E-2</v>
      </c>
      <c r="X653" s="4">
        <f>1/TWD!B653</f>
        <v>3.3876486330837764E-2</v>
      </c>
      <c r="Y653" s="4">
        <f>1/TWD!C653</f>
        <v>3.387660109285915E-2</v>
      </c>
      <c r="Z653" s="4">
        <f>1/ZAR!B653</f>
        <v>0.13013039065143275</v>
      </c>
      <c r="AA653" s="4">
        <f>1/ZAR!C653</f>
        <v>0.12952361215449576</v>
      </c>
    </row>
    <row r="654" spans="1:27" x14ac:dyDescent="0.25">
      <c r="A654" t="str">
        <f>"03/02/2012"</f>
        <v>03/02/2012</v>
      </c>
      <c r="B654" s="3">
        <f>AUD!B654</f>
        <v>1.0686</v>
      </c>
      <c r="C654" s="3">
        <f>AUD!C654</f>
        <v>1.0650999999999999</v>
      </c>
      <c r="D654" s="3">
        <f>1/CAD!B654</f>
        <v>1.0004001600640255</v>
      </c>
      <c r="E654" s="3">
        <f>1/CAD!C654</f>
        <v>0.99970008997300808</v>
      </c>
      <c r="F654" s="3">
        <f>EUR!B654/1</f>
        <v>1.3130999999999999</v>
      </c>
      <c r="G654" s="3">
        <f>EUR!C654/1</f>
        <v>1.3131999999999999</v>
      </c>
      <c r="H654" s="3">
        <f>GBP!B654/1</f>
        <v>1.5809</v>
      </c>
      <c r="I654" s="3">
        <f>GBP!C654/1</f>
        <v>1.5806</v>
      </c>
      <c r="J654" s="4">
        <f>1/INR!B654</f>
        <v>2.0360378703043875E-2</v>
      </c>
      <c r="K654" s="4">
        <f>1/INR!C654</f>
        <v>2.0216314565854644E-2</v>
      </c>
      <c r="L654" s="4">
        <f>1/JPY!B654</f>
        <v>1.3125340438517622E-2</v>
      </c>
      <c r="M654" s="4">
        <f>1/JPY!C654</f>
        <v>1.3127701024485787E-2</v>
      </c>
      <c r="N654" s="5">
        <f>1/KRW!B654</f>
        <v>8.9405453732677696E-4</v>
      </c>
      <c r="O654" s="5">
        <f>1/KRW!C654</f>
        <v>8.9403215654860677E-4</v>
      </c>
      <c r="P654" s="3">
        <f>1/NOK!B654</f>
        <v>0.17126220243192325</v>
      </c>
      <c r="Q654" s="3">
        <f>1/NOK!C654</f>
        <v>0.17105128117409601</v>
      </c>
      <c r="R654" s="3">
        <f>NZD!B654/1</f>
        <v>0.83099999999999996</v>
      </c>
      <c r="S654" s="3">
        <f>NZD!C654/1</f>
        <v>0.82930000000000004</v>
      </c>
      <c r="T654" s="4">
        <f>1/PHP!B654</f>
        <v>2.3389077300900479E-2</v>
      </c>
      <c r="U654" s="4">
        <f>1/PHP!C654</f>
        <v>2.3332322266035137E-2</v>
      </c>
      <c r="V654" s="4">
        <f>1/TWD!B654</f>
        <v>3.386616093199675E-2</v>
      </c>
      <c r="W654" s="4">
        <f>1/TWD!C654</f>
        <v>3.3866275624070796E-2</v>
      </c>
      <c r="X654" s="4">
        <f>1/TWD!B654</f>
        <v>3.386616093199675E-2</v>
      </c>
      <c r="Y654" s="4">
        <f>1/TWD!C654</f>
        <v>3.3866275624070796E-2</v>
      </c>
      <c r="Z654" s="4">
        <f>1/ZAR!B654</f>
        <v>0.13042400845147575</v>
      </c>
      <c r="AA654" s="4">
        <f>1/ZAR!C654</f>
        <v>0.12985663827134844</v>
      </c>
    </row>
    <row r="655" spans="1:27" x14ac:dyDescent="0.25">
      <c r="A655" t="str">
        <f>"06/02/2012"</f>
        <v>06/02/2012</v>
      </c>
      <c r="B655" s="3">
        <f>AUD!B655</f>
        <v>1.0724</v>
      </c>
      <c r="C655" s="3">
        <f>AUD!C655</f>
        <v>1.0689</v>
      </c>
      <c r="D655" s="3">
        <f>1/CAD!B655</f>
        <v>1.0051261433309879</v>
      </c>
      <c r="E655" s="3">
        <f>1/CAD!C655</f>
        <v>1.004419445560466</v>
      </c>
      <c r="F655" s="3">
        <f>EUR!B655/1</f>
        <v>1.3089</v>
      </c>
      <c r="G655" s="3">
        <f>EUR!C655/1</f>
        <v>1.3089999999999999</v>
      </c>
      <c r="H655" s="3">
        <f>GBP!B655/1</f>
        <v>1.5779000000000001</v>
      </c>
      <c r="I655" s="3">
        <f>GBP!C655/1</f>
        <v>1.5775999999999999</v>
      </c>
      <c r="J655" s="4">
        <f>1/INR!B655</f>
        <v>2.0508613617719443E-2</v>
      </c>
      <c r="K655" s="4">
        <f>1/INR!C655</f>
        <v>2.0366598778004074E-2</v>
      </c>
      <c r="L655" s="4">
        <f>1/JPY!B655</f>
        <v>1.3030164831585119E-2</v>
      </c>
      <c r="M655" s="4">
        <f>1/JPY!C655</f>
        <v>1.3032491304070177E-2</v>
      </c>
      <c r="N655" s="5">
        <f>1/KRW!B655</f>
        <v>8.9269773254775934E-4</v>
      </c>
      <c r="O655" s="5">
        <f>1/KRW!C655</f>
        <v>8.9265828728332403E-4</v>
      </c>
      <c r="P655" s="3">
        <f>1/NOK!B655</f>
        <v>0.17179473964507208</v>
      </c>
      <c r="Q655" s="3">
        <f>1/NOK!C655</f>
        <v>0.17158544955387783</v>
      </c>
      <c r="R655" s="3">
        <f>NZD!B655/1</f>
        <v>0.83130000000000004</v>
      </c>
      <c r="S655" s="3">
        <f>NZD!C655/1</f>
        <v>0.82969999999999999</v>
      </c>
      <c r="T655" s="4">
        <f>1/PHP!B655</f>
        <v>2.3457658925639221E-2</v>
      </c>
      <c r="U655" s="4">
        <f>1/PHP!C655</f>
        <v>2.3400023400023399E-2</v>
      </c>
      <c r="V655" s="4">
        <f>1/TWD!B655</f>
        <v>3.3830643797151456E-2</v>
      </c>
      <c r="W655" s="4">
        <f>1/TWD!C655</f>
        <v>3.3830758248784627E-2</v>
      </c>
      <c r="X655" s="4">
        <f>1/TWD!B655</f>
        <v>3.3830643797151456E-2</v>
      </c>
      <c r="Y655" s="4">
        <f>1/TWD!C655</f>
        <v>3.3830758248784627E-2</v>
      </c>
      <c r="Z655" s="4">
        <f>1/ZAR!B655</f>
        <v>0.13210039630118889</v>
      </c>
      <c r="AA655" s="4">
        <f>1/ZAR!C655</f>
        <v>0.1315270288044193</v>
      </c>
    </row>
    <row r="656" spans="1:27" x14ac:dyDescent="0.25">
      <c r="A656" t="str">
        <f>"07/02/2012"</f>
        <v>07/02/2012</v>
      </c>
      <c r="B656" s="3">
        <f>AUD!B656</f>
        <v>1.0783</v>
      </c>
      <c r="C656" s="3">
        <f>AUD!C656</f>
        <v>1.0746</v>
      </c>
      <c r="D656" s="3">
        <f>1/CAD!B656</f>
        <v>1.0030090270812437</v>
      </c>
      <c r="E656" s="3">
        <f>1/CAD!C656</f>
        <v>1.0023053021950485</v>
      </c>
      <c r="F656" s="3">
        <f>EUR!B656/1</f>
        <v>1.31</v>
      </c>
      <c r="G656" s="3">
        <f>EUR!C656/1</f>
        <v>1.31</v>
      </c>
      <c r="H656" s="3">
        <f>GBP!B656/1</f>
        <v>1.5801000000000001</v>
      </c>
      <c r="I656" s="3">
        <f>GBP!C656/1</f>
        <v>1.5797000000000001</v>
      </c>
      <c r="J656" s="4">
        <f>1/INR!B656</f>
        <v>2.0395676116663267E-2</v>
      </c>
      <c r="K656" s="4">
        <f>1/INR!C656</f>
        <v>2.0261371694863743E-2</v>
      </c>
      <c r="L656" s="4">
        <f>1/JPY!B656</f>
        <v>1.3037639665714921E-2</v>
      </c>
      <c r="M656" s="4">
        <f>1/JPY!C656</f>
        <v>1.3040189865164436E-2</v>
      </c>
      <c r="N656" s="5">
        <f>1/KRW!B656</f>
        <v>8.9166295140436912E-4</v>
      </c>
      <c r="O656" s="5">
        <f>1/KRW!C656</f>
        <v>8.9164148522505478E-4</v>
      </c>
      <c r="P656" s="3">
        <f>1/NOK!B656</f>
        <v>0.17170034855170757</v>
      </c>
      <c r="Q656" s="3">
        <f>1/NOK!C656</f>
        <v>0.17148834736679644</v>
      </c>
      <c r="R656" s="3">
        <f>NZD!B656/1</f>
        <v>0.83320000000000005</v>
      </c>
      <c r="S656" s="3">
        <f>NZD!C656/1</f>
        <v>0.83150000000000002</v>
      </c>
      <c r="T656" s="4">
        <f>1/PHP!B656</f>
        <v>2.3474178403755867E-2</v>
      </c>
      <c r="U656" s="4">
        <f>1/PHP!C656</f>
        <v>2.3416461772626157E-2</v>
      </c>
      <c r="V656" s="4">
        <f>1/TWD!B656</f>
        <v>3.3789491468153403E-2</v>
      </c>
      <c r="W656" s="4">
        <f>1/TWD!C656</f>
        <v>3.3789605641512559E-2</v>
      </c>
      <c r="X656" s="4">
        <f>1/TWD!B656</f>
        <v>3.3789491468153403E-2</v>
      </c>
      <c r="Y656" s="4">
        <f>1/TWD!C656</f>
        <v>3.3789605641512559E-2</v>
      </c>
      <c r="Z656" s="4">
        <f>1/ZAR!B656</f>
        <v>0.13204806549584047</v>
      </c>
      <c r="AA656" s="4">
        <f>1/ZAR!C656</f>
        <v>0.13148033711558438</v>
      </c>
    </row>
    <row r="657" spans="1:27" x14ac:dyDescent="0.25">
      <c r="A657" t="str">
        <f>"08/02/2012"</f>
        <v>08/02/2012</v>
      </c>
      <c r="B657" s="3">
        <f>AUD!B657</f>
        <v>1.0788</v>
      </c>
      <c r="C657" s="3">
        <f>AUD!C657</f>
        <v>1.0749</v>
      </c>
      <c r="D657" s="3">
        <f>1/CAD!B657</f>
        <v>1.0041168792047395</v>
      </c>
      <c r="E657" s="3">
        <f>1/CAD!C657</f>
        <v>1.0035122930255895</v>
      </c>
      <c r="F657" s="3">
        <f>EUR!B657/1</f>
        <v>1.3244</v>
      </c>
      <c r="G657" s="3">
        <f>EUR!C657/1</f>
        <v>1.3245</v>
      </c>
      <c r="H657" s="3">
        <f>GBP!B657/1</f>
        <v>1.5892999999999999</v>
      </c>
      <c r="I657" s="3">
        <f>GBP!C657/1</f>
        <v>1.589</v>
      </c>
      <c r="J657" s="4">
        <f>1/INR!B657</f>
        <v>2.0345879959308241E-2</v>
      </c>
      <c r="K657" s="4">
        <f>1/INR!C657</f>
        <v>2.0196919969704619E-2</v>
      </c>
      <c r="L657" s="4">
        <f>1/JPY!B657</f>
        <v>1.2980943974245807E-2</v>
      </c>
      <c r="M657" s="4">
        <f>1/JPY!C657</f>
        <v>1.2983219189197964E-2</v>
      </c>
      <c r="N657" s="5">
        <f>1/KRW!B657</f>
        <v>8.9541547277936968E-4</v>
      </c>
      <c r="O657" s="5">
        <f>1/KRW!C657</f>
        <v>8.9539262294971867E-4</v>
      </c>
      <c r="P657" s="3">
        <f>1/NOK!B657</f>
        <v>0.17305828603073514</v>
      </c>
      <c r="Q657" s="3">
        <f>1/NOK!C657</f>
        <v>0.1728429203539823</v>
      </c>
      <c r="R657" s="3">
        <f>NZD!B657/1</f>
        <v>0.83520000000000005</v>
      </c>
      <c r="S657" s="3">
        <f>NZD!C657/1</f>
        <v>0.83340000000000003</v>
      </c>
      <c r="T657" s="4">
        <f>1/PHP!B657</f>
        <v>2.3657440264963331E-2</v>
      </c>
      <c r="U657" s="4">
        <f>1/PHP!C657</f>
        <v>2.359882005899705E-2</v>
      </c>
      <c r="V657" s="4">
        <f>1/TWD!B657</f>
        <v>3.3884521550555706E-2</v>
      </c>
      <c r="W657" s="4">
        <f>1/TWD!C657</f>
        <v>3.3884521550555706E-2</v>
      </c>
      <c r="X657" s="4">
        <f>1/TWD!B657</f>
        <v>3.3884521550555706E-2</v>
      </c>
      <c r="Y657" s="4">
        <f>1/TWD!C657</f>
        <v>3.3884521550555706E-2</v>
      </c>
      <c r="Z657" s="4">
        <f>1/ZAR!B657</f>
        <v>0.1319087191663369</v>
      </c>
      <c r="AA657" s="4">
        <f>1/ZAR!C657</f>
        <v>0.13134391089629086</v>
      </c>
    </row>
    <row r="658" spans="1:27" x14ac:dyDescent="0.25">
      <c r="A658" t="str">
        <f>"09/02/2012"</f>
        <v>09/02/2012</v>
      </c>
      <c r="B658" s="3">
        <f>AUD!B658</f>
        <v>1.0782</v>
      </c>
      <c r="C658" s="3">
        <f>AUD!C658</f>
        <v>1.0746</v>
      </c>
      <c r="D658" s="3">
        <f>1/CAD!B658</f>
        <v>1.0035122930255895</v>
      </c>
      <c r="E658" s="3">
        <f>1/CAD!C658</f>
        <v>1.002707309736288</v>
      </c>
      <c r="F658" s="3">
        <f>EUR!B658/1</f>
        <v>1.3262</v>
      </c>
      <c r="G658" s="3">
        <f>EUR!C658/1</f>
        <v>1.3262</v>
      </c>
      <c r="H658" s="3">
        <f>GBP!B658/1</f>
        <v>1.5813999999999999</v>
      </c>
      <c r="I658" s="3">
        <f>GBP!C658/1</f>
        <v>1.5810999999999999</v>
      </c>
      <c r="J658" s="4">
        <f>1/INR!B658</f>
        <v>2.0243939470620982E-2</v>
      </c>
      <c r="K658" s="4">
        <f>1/INR!C658</f>
        <v>2.0104543626859671E-2</v>
      </c>
      <c r="L658" s="4">
        <f>1/JPY!B658</f>
        <v>1.2955717358070115E-2</v>
      </c>
      <c r="M658" s="4">
        <f>1/JPY!C658</f>
        <v>1.2957715088352181E-2</v>
      </c>
      <c r="N658" s="5">
        <f>1/KRW!B658</f>
        <v>8.9577641420701399E-4</v>
      </c>
      <c r="O658" s="5">
        <f>1/KRW!C658</f>
        <v>8.9575515070408585E-4</v>
      </c>
      <c r="P658" s="3">
        <f>1/NOK!B658</f>
        <v>0.1736111111111111</v>
      </c>
      <c r="Q658" s="3">
        <f>1/NOK!C658</f>
        <v>0.17337633066333782</v>
      </c>
      <c r="R658" s="3">
        <f>NZD!B658/1</f>
        <v>0.8347</v>
      </c>
      <c r="S658" s="3">
        <f>NZD!C658/1</f>
        <v>0.83299999999999996</v>
      </c>
      <c r="T658" s="4">
        <f>1/PHP!B658</f>
        <v>2.3707918444760549E-2</v>
      </c>
      <c r="U658" s="4">
        <f>1/PHP!C658</f>
        <v>2.3646252069047056E-2</v>
      </c>
      <c r="V658" s="4">
        <f>1/TWD!B658</f>
        <v>3.3938571186153066E-2</v>
      </c>
      <c r="W658" s="4">
        <f>1/TWD!C658</f>
        <v>3.3938686369205391E-2</v>
      </c>
      <c r="X658" s="4">
        <f>1/TWD!B658</f>
        <v>3.3938571186153066E-2</v>
      </c>
      <c r="Y658" s="4">
        <f>1/TWD!C658</f>
        <v>3.3938686369205391E-2</v>
      </c>
      <c r="Z658" s="4">
        <f>1/ZAR!B658</f>
        <v>0.13211435818844791</v>
      </c>
      <c r="AA658" s="4">
        <f>1/ZAR!C658</f>
        <v>0.13150973172014729</v>
      </c>
    </row>
    <row r="659" spans="1:27" x14ac:dyDescent="0.25">
      <c r="A659" t="str">
        <f>"10/02/2012"</f>
        <v>10/02/2012</v>
      </c>
      <c r="B659" s="3">
        <f>AUD!B659</f>
        <v>1.0730999999999999</v>
      </c>
      <c r="C659" s="3">
        <f>AUD!C659</f>
        <v>1.0694999999999999</v>
      </c>
      <c r="D659" s="3">
        <f>1/CAD!B659</f>
        <v>1.0034115994380894</v>
      </c>
      <c r="E659" s="3">
        <f>1/CAD!C659</f>
        <v>1.002707309736288</v>
      </c>
      <c r="F659" s="3">
        <f>EUR!B659/1</f>
        <v>1.3266</v>
      </c>
      <c r="G659" s="3">
        <f>EUR!C659/1</f>
        <v>1.3267</v>
      </c>
      <c r="H659" s="3">
        <f>GBP!B659/1</f>
        <v>1.5799000000000001</v>
      </c>
      <c r="I659" s="3">
        <f>GBP!C659/1</f>
        <v>1.5794999999999999</v>
      </c>
      <c r="J659" s="4">
        <f>1/INR!B659</f>
        <v>2.0165355918531962E-2</v>
      </c>
      <c r="K659" s="4">
        <f>1/INR!C659</f>
        <v>2.0023026480452521E-2</v>
      </c>
      <c r="L659" s="4">
        <f>1/JPY!B659</f>
        <v>1.2882281709736428E-2</v>
      </c>
      <c r="M659" s="4">
        <f>1/JPY!C659</f>
        <v>1.2884671878945932E-2</v>
      </c>
      <c r="N659" s="5">
        <f>1/KRW!B659</f>
        <v>8.902341315766047E-4</v>
      </c>
      <c r="O659" s="5">
        <f>1/KRW!C659</f>
        <v>8.9021313037660919E-4</v>
      </c>
      <c r="P659" s="3">
        <f>1/NOK!B659</f>
        <v>0.1736774462468304</v>
      </c>
      <c r="Q659" s="3">
        <f>1/NOK!C659</f>
        <v>0.17346053772766695</v>
      </c>
      <c r="R659" s="3">
        <f>NZD!B659/1</f>
        <v>0.83120000000000005</v>
      </c>
      <c r="S659" s="3">
        <f>NZD!C659/1</f>
        <v>0.82950000000000002</v>
      </c>
      <c r="T659" s="4">
        <f>1/PHP!B659</f>
        <v>2.3571563266075807E-2</v>
      </c>
      <c r="U659" s="4">
        <f>1/PHP!C659</f>
        <v>2.3510603282080218E-2</v>
      </c>
      <c r="V659" s="4">
        <f>1/TWD!B659</f>
        <v>3.3886818027787188E-2</v>
      </c>
      <c r="W659" s="4">
        <f>1/TWD!C659</f>
        <v>3.3886932859819925E-2</v>
      </c>
      <c r="X659" s="4">
        <f>1/TWD!B659</f>
        <v>3.3886818027787188E-2</v>
      </c>
      <c r="Y659" s="4">
        <f>1/TWD!C659</f>
        <v>3.3886932859819925E-2</v>
      </c>
      <c r="Z659" s="4">
        <f>1/ZAR!B659</f>
        <v>0.13091575571119984</v>
      </c>
      <c r="AA659" s="4">
        <f>1/ZAR!C659</f>
        <v>0.13035600224212324</v>
      </c>
    </row>
    <row r="660" spans="1:27" x14ac:dyDescent="0.25">
      <c r="A660" t="str">
        <f>"13/02/2012"</f>
        <v>13/02/2012</v>
      </c>
      <c r="B660" s="3">
        <f>AUD!B660</f>
        <v>1.0752999999999999</v>
      </c>
      <c r="C660" s="3">
        <f>AUD!C660</f>
        <v>1.0718000000000001</v>
      </c>
      <c r="D660" s="3">
        <f>1/CAD!B660</f>
        <v>1.0010010010010011</v>
      </c>
      <c r="E660" s="3">
        <f>1/CAD!C660</f>
        <v>1.000300090027008</v>
      </c>
      <c r="F660" s="3">
        <f>EUR!B660/1</f>
        <v>1.3254999999999999</v>
      </c>
      <c r="G660" s="3">
        <f>EUR!C660/1</f>
        <v>1.3254999999999999</v>
      </c>
      <c r="H660" s="3">
        <f>GBP!B660/1</f>
        <v>1.5794999999999999</v>
      </c>
      <c r="I660" s="3">
        <f>GBP!C660/1</f>
        <v>1.5790999999999999</v>
      </c>
      <c r="J660" s="4">
        <f>1/INR!B660</f>
        <v>2.0300446609825416E-2</v>
      </c>
      <c r="K660" s="4">
        <f>1/INR!C660</f>
        <v>2.0157226365652085E-2</v>
      </c>
      <c r="L660" s="4">
        <f>1/JPY!B660</f>
        <v>1.286636988240138E-2</v>
      </c>
      <c r="M660" s="4">
        <f>1/JPY!C660</f>
        <v>1.286896944005827E-2</v>
      </c>
      <c r="N660" s="5">
        <f>1/KRW!B660</f>
        <v>8.9126559714795004E-4</v>
      </c>
      <c r="O660" s="5">
        <f>1/KRW!C660</f>
        <v>8.9123938422488471E-4</v>
      </c>
      <c r="P660" s="3">
        <f>1/NOK!B660</f>
        <v>0.17482211849443191</v>
      </c>
      <c r="Q660" s="3">
        <f>1/NOK!C660</f>
        <v>0.17460539181449924</v>
      </c>
      <c r="R660" s="3">
        <f>NZD!B660/1</f>
        <v>0.8357</v>
      </c>
      <c r="S660" s="3">
        <f>NZD!C660/1</f>
        <v>0.83389999999999997</v>
      </c>
      <c r="T660" s="4">
        <f>1/PHP!B660</f>
        <v>2.354048964218456E-2</v>
      </c>
      <c r="U660" s="4">
        <f>1/PHP!C660</f>
        <v>2.34796900680911E-2</v>
      </c>
      <c r="V660" s="4">
        <f>1/TWD!B660</f>
        <v>3.3898305084745763E-2</v>
      </c>
      <c r="W660" s="4">
        <f>1/TWD!C660</f>
        <v>3.3898305084745763E-2</v>
      </c>
      <c r="X660" s="4">
        <f>1/TWD!B660</f>
        <v>3.3898305084745763E-2</v>
      </c>
      <c r="Y660" s="4">
        <f>1/TWD!C660</f>
        <v>3.3898305084745763E-2</v>
      </c>
      <c r="Z660" s="4">
        <f>1/ZAR!B660</f>
        <v>0.13038659625790469</v>
      </c>
      <c r="AA660" s="4">
        <f>1/ZAR!C660</f>
        <v>0.12983134907754826</v>
      </c>
    </row>
    <row r="661" spans="1:27" x14ac:dyDescent="0.25">
      <c r="A661" t="str">
        <f>"14/02/2012"</f>
        <v>14/02/2012</v>
      </c>
      <c r="B661" s="3">
        <f>AUD!B661</f>
        <v>1.0691999999999999</v>
      </c>
      <c r="C661" s="3">
        <f>AUD!C661</f>
        <v>1.0656000000000001</v>
      </c>
      <c r="D661" s="3">
        <f>1/CAD!B661</f>
        <v>0.99890120867046239</v>
      </c>
      <c r="E661" s="3">
        <f>1/CAD!C661</f>
        <v>0.99830288509533793</v>
      </c>
      <c r="F661" s="3">
        <f>EUR!B661/1</f>
        <v>1.3167</v>
      </c>
      <c r="G661" s="3">
        <f>EUR!C661/1</f>
        <v>1.3167</v>
      </c>
      <c r="H661" s="3">
        <f>GBP!B661/1</f>
        <v>1.5718000000000001</v>
      </c>
      <c r="I661" s="3">
        <f>GBP!C661/1</f>
        <v>1.5714999999999999</v>
      </c>
      <c r="J661" s="4">
        <f>1/INR!B661</f>
        <v>2.0283975659229209E-2</v>
      </c>
      <c r="K661" s="4">
        <f>1/INR!C661</f>
        <v>2.014098690835851E-2</v>
      </c>
      <c r="L661" s="4">
        <f>1/JPY!B661</f>
        <v>1.283919549601022E-2</v>
      </c>
      <c r="M661" s="4">
        <f>1/JPY!C661</f>
        <v>1.2841751101180158E-2</v>
      </c>
      <c r="N661" s="5">
        <f>1/KRW!B661</f>
        <v>8.9039266316445558E-4</v>
      </c>
      <c r="O661" s="5">
        <f>1/KRW!C661</f>
        <v>8.903728436282693E-4</v>
      </c>
      <c r="P661" s="3">
        <f>1/NOK!B661</f>
        <v>0.17459319784901181</v>
      </c>
      <c r="Q661" s="3">
        <f>1/NOK!C661</f>
        <v>0.17437703803163199</v>
      </c>
      <c r="R661" s="3">
        <f>NZD!B661/1</f>
        <v>0.83099999999999996</v>
      </c>
      <c r="S661" s="3">
        <f>NZD!C661/1</f>
        <v>0.82930000000000004</v>
      </c>
      <c r="T661" s="4">
        <f>1/PHP!B661</f>
        <v>2.3441162681669011E-2</v>
      </c>
      <c r="U661" s="4">
        <f>1/PHP!C661</f>
        <v>2.3383608090728401E-2</v>
      </c>
      <c r="V661" s="4">
        <f>1/TWD!B661</f>
        <v>3.3818058843422386E-2</v>
      </c>
      <c r="W661" s="4">
        <f>1/TWD!C661</f>
        <v>3.3818173209919547E-2</v>
      </c>
      <c r="X661" s="4">
        <f>1/TWD!B661</f>
        <v>3.3818058843422386E-2</v>
      </c>
      <c r="Y661" s="4">
        <f>1/TWD!C661</f>
        <v>3.3818173209919547E-2</v>
      </c>
      <c r="Z661" s="4">
        <f>1/ZAR!B661</f>
        <v>0.12974543944780342</v>
      </c>
      <c r="AA661" s="4">
        <f>1/ZAR!C661</f>
        <v>0.1292006356671275</v>
      </c>
    </row>
    <row r="662" spans="1:27" x14ac:dyDescent="0.25">
      <c r="A662" t="str">
        <f>"15/02/2012"</f>
        <v>15/02/2012</v>
      </c>
      <c r="B662" s="3">
        <f>AUD!B662</f>
        <v>1.0731999999999999</v>
      </c>
      <c r="C662" s="3">
        <f>AUD!C662</f>
        <v>1.0693999999999999</v>
      </c>
      <c r="D662" s="3">
        <f>1/CAD!B662</f>
        <v>1.0036130068245686</v>
      </c>
      <c r="E662" s="3">
        <f>1/CAD!C662</f>
        <v>1.0030090270812437</v>
      </c>
      <c r="F662" s="3">
        <f>EUR!B662/1</f>
        <v>1.3164</v>
      </c>
      <c r="G662" s="3">
        <f>EUR!C662/1</f>
        <v>1.3164</v>
      </c>
      <c r="H662" s="3">
        <f>GBP!B662/1</f>
        <v>1.5716000000000001</v>
      </c>
      <c r="I662" s="3">
        <f>GBP!C662/1</f>
        <v>1.5711999999999999</v>
      </c>
      <c r="J662" s="4">
        <f>1/INR!B662</f>
        <v>2.0293237278676879E-2</v>
      </c>
      <c r="K662" s="4">
        <f>1/INR!C662</f>
        <v>2.0151133501259445E-2</v>
      </c>
      <c r="L662" s="4">
        <f>1/JPY!B662</f>
        <v>1.2734473493193423E-2</v>
      </c>
      <c r="M662" s="4">
        <f>1/JPY!C662</f>
        <v>1.2737052467740231E-2</v>
      </c>
      <c r="N662" s="5">
        <f>1/KRW!B662</f>
        <v>8.9047195013357077E-4</v>
      </c>
      <c r="O662" s="5">
        <f>1/KRW!C662</f>
        <v>8.9043270131904237E-4</v>
      </c>
      <c r="P662" s="3">
        <f>1/NOK!B662</f>
        <v>0.17472742521666199</v>
      </c>
      <c r="Q662" s="3">
        <f>1/NOK!C662</f>
        <v>0.17450788775652659</v>
      </c>
      <c r="R662" s="3">
        <f>NZD!B662/1</f>
        <v>0.83809999999999996</v>
      </c>
      <c r="S662" s="3">
        <f>NZD!C662/1</f>
        <v>0.83630000000000004</v>
      </c>
      <c r="T662" s="4">
        <f>1/PHP!B662</f>
        <v>2.3452157598499061E-2</v>
      </c>
      <c r="U662" s="4">
        <f>1/PHP!C662</f>
        <v>2.3397285914833879E-2</v>
      </c>
      <c r="V662" s="4">
        <f>1/TWD!B662</f>
        <v>3.3852403520649964E-2</v>
      </c>
      <c r="W662" s="4">
        <f>1/TWD!C662</f>
        <v>3.3852518119560325E-2</v>
      </c>
      <c r="X662" s="4">
        <f>1/TWD!B662</f>
        <v>3.3852403520649964E-2</v>
      </c>
      <c r="Y662" s="4">
        <f>1/TWD!C662</f>
        <v>3.3852518119560325E-2</v>
      </c>
      <c r="Z662" s="4">
        <f>1/ZAR!B662</f>
        <v>0.12962938957520451</v>
      </c>
      <c r="AA662" s="4">
        <f>1/ZAR!C662</f>
        <v>0.1290822253775655</v>
      </c>
    </row>
    <row r="663" spans="1:27" x14ac:dyDescent="0.25">
      <c r="A663" t="str">
        <f>"16/02/2012"</f>
        <v>16/02/2012</v>
      </c>
      <c r="B663" s="3">
        <f>AUD!B663</f>
        <v>1.0686</v>
      </c>
      <c r="C663" s="3">
        <f>AUD!C663</f>
        <v>1.0650999999999999</v>
      </c>
      <c r="D663" s="3">
        <f>1/CAD!B663</f>
        <v>0.99780482937537418</v>
      </c>
      <c r="E663" s="3">
        <f>1/CAD!C663</f>
        <v>0.99720781810929404</v>
      </c>
      <c r="F663" s="3">
        <f>EUR!B663/1</f>
        <v>1.3025</v>
      </c>
      <c r="G663" s="3">
        <f>EUR!C663/1</f>
        <v>1.3025</v>
      </c>
      <c r="H663" s="3">
        <f>GBP!B663/1</f>
        <v>1.5677000000000001</v>
      </c>
      <c r="I663" s="3">
        <f>GBP!C663/1</f>
        <v>1.5672999999999999</v>
      </c>
      <c r="J663" s="4">
        <f>1/INR!B663</f>
        <v>2.0286033066233899E-2</v>
      </c>
      <c r="K663" s="4">
        <f>1/INR!C663</f>
        <v>2.0144029813164124E-2</v>
      </c>
      <c r="L663" s="4">
        <f>1/JPY!B663</f>
        <v>1.2755834199667073E-2</v>
      </c>
      <c r="M663" s="4">
        <f>1/JPY!C663</f>
        <v>1.2758356723653995E-2</v>
      </c>
      <c r="N663" s="5">
        <f>1/KRW!B663</f>
        <v>8.8707531269404771E-4</v>
      </c>
      <c r="O663" s="5">
        <f>1/KRW!C663</f>
        <v>8.8705524713137427E-4</v>
      </c>
      <c r="P663" s="3">
        <f>1/NOK!B663</f>
        <v>0.17230981304385284</v>
      </c>
      <c r="Q663" s="3">
        <f>1/NOK!C663</f>
        <v>0.17208149779735682</v>
      </c>
      <c r="R663" s="3">
        <f>NZD!B663/1</f>
        <v>0.82789999999999997</v>
      </c>
      <c r="S663" s="3">
        <f>NZD!C663/1</f>
        <v>0.82620000000000005</v>
      </c>
      <c r="T663" s="4">
        <f>1/PHP!B663</f>
        <v>2.3359028264424198E-2</v>
      </c>
      <c r="U663" s="4">
        <f>1/PHP!C663</f>
        <v>2.3299161230195712E-2</v>
      </c>
      <c r="V663" s="4">
        <f>1/TWD!B663</f>
        <v>3.3806626098715348E-2</v>
      </c>
      <c r="W663" s="4">
        <f>1/TWD!C663</f>
        <v>3.3806740387898541E-2</v>
      </c>
      <c r="X663" s="4">
        <f>1/TWD!B663</f>
        <v>3.3806626098715348E-2</v>
      </c>
      <c r="Y663" s="4">
        <f>1/TWD!C663</f>
        <v>3.3806740387898541E-2</v>
      </c>
      <c r="Z663" s="4">
        <f>1/ZAR!B663</f>
        <v>0.12826103686222201</v>
      </c>
      <c r="AA663" s="4">
        <f>1/ZAR!C663</f>
        <v>0.12770087347397457</v>
      </c>
    </row>
    <row r="664" spans="1:27" x14ac:dyDescent="0.25">
      <c r="A664" t="str">
        <f>"17/02/2012"</f>
        <v>17/02/2012</v>
      </c>
      <c r="B664" s="3">
        <f>AUD!B664</f>
        <v>1.0773999999999999</v>
      </c>
      <c r="C664" s="3">
        <f>AUD!C664</f>
        <v>1.0738000000000001</v>
      </c>
      <c r="D664" s="3">
        <f>1/CAD!B664</f>
        <v>1.0036130068245686</v>
      </c>
      <c r="E664" s="3">
        <f>1/CAD!C664</f>
        <v>1.0030090270812437</v>
      </c>
      <c r="F664" s="3">
        <f>EUR!B664/1</f>
        <v>1.3125</v>
      </c>
      <c r="G664" s="3">
        <f>EUR!C664/1</f>
        <v>1.3126</v>
      </c>
      <c r="H664" s="3">
        <f>GBP!B664/1</f>
        <v>1.5802</v>
      </c>
      <c r="I664" s="3">
        <f>GBP!C664/1</f>
        <v>1.5798000000000001</v>
      </c>
      <c r="J664" s="4">
        <f>1/INR!B664</f>
        <v>2.0293237278676879E-2</v>
      </c>
      <c r="K664" s="4">
        <f>1/INR!C664</f>
        <v>2.0146058927222359E-2</v>
      </c>
      <c r="L664" s="4">
        <f>1/JPY!B664</f>
        <v>1.2647021626406981E-2</v>
      </c>
      <c r="M664" s="4">
        <f>1/JPY!C664</f>
        <v>1.2649405288210375E-2</v>
      </c>
      <c r="N664" s="5">
        <f>1/KRW!B664</f>
        <v>8.8979846064866312E-4</v>
      </c>
      <c r="O664" s="5">
        <f>1/KRW!C664</f>
        <v>8.8977866755644537E-4</v>
      </c>
      <c r="P664" s="3">
        <f>1/NOK!B664</f>
        <v>0.1744044089434581</v>
      </c>
      <c r="Q664" s="3">
        <f>1/NOK!C664</f>
        <v>0.17418568193694478</v>
      </c>
      <c r="R664" s="3">
        <f>NZD!B664/1</f>
        <v>0.8367</v>
      </c>
      <c r="S664" s="3">
        <f>NZD!C664/1</f>
        <v>0.83499999999999996</v>
      </c>
      <c r="T664" s="4">
        <f>1/PHP!B664</f>
        <v>2.343566908835247E-2</v>
      </c>
      <c r="U664" s="4">
        <f>1/PHP!C664</f>
        <v>2.3380874444704231E-2</v>
      </c>
      <c r="V664" s="4">
        <f>1/TWD!B664</f>
        <v>3.3821490174857104E-2</v>
      </c>
      <c r="W664" s="4">
        <f>1/TWD!C664</f>
        <v>3.3821604564563755E-2</v>
      </c>
      <c r="X664" s="4">
        <f>1/TWD!B664</f>
        <v>3.3821490174857104E-2</v>
      </c>
      <c r="Y664" s="4">
        <f>1/TWD!C664</f>
        <v>3.3821604564563755E-2</v>
      </c>
      <c r="Z664" s="4">
        <f>1/ZAR!B664</f>
        <v>0.12890418551890381</v>
      </c>
      <c r="AA664" s="4">
        <f>1/ZAR!C664</f>
        <v>0.12834499133671309</v>
      </c>
    </row>
    <row r="665" spans="1:27" x14ac:dyDescent="0.25">
      <c r="A665" t="str">
        <f>"21/02/2012"</f>
        <v>21/02/2012</v>
      </c>
      <c r="B665" s="3">
        <f>AUD!B665</f>
        <v>1.0669</v>
      </c>
      <c r="C665" s="3">
        <f>AUD!C665</f>
        <v>1.0632999999999999</v>
      </c>
      <c r="D665" s="3">
        <f>1/CAD!B665</f>
        <v>1.0039152695512499</v>
      </c>
      <c r="E665" s="3">
        <f>1/CAD!C665</f>
        <v>1.0032102728731942</v>
      </c>
      <c r="F665" s="3">
        <f>EUR!B665/1</f>
        <v>1.3226</v>
      </c>
      <c r="G665" s="3">
        <f>EUR!C665/1</f>
        <v>1.3227</v>
      </c>
      <c r="H665" s="3">
        <f>GBP!B665/1</f>
        <v>1.5818000000000001</v>
      </c>
      <c r="I665" s="3">
        <f>GBP!C665/1</f>
        <v>1.5813999999999999</v>
      </c>
      <c r="J665" s="4">
        <f>1/INR!B665</f>
        <v>2.0308692120227456E-2</v>
      </c>
      <c r="K665" s="4">
        <f>1/INR!C665</f>
        <v>2.0147073637554146E-2</v>
      </c>
      <c r="L665" s="4">
        <f>1/JPY!B665</f>
        <v>1.2530229177891664E-2</v>
      </c>
      <c r="M665" s="4">
        <f>1/JPY!C665</f>
        <v>1.2532741787920944E-2</v>
      </c>
      <c r="N665" s="5">
        <f>1/KRW!B665</f>
        <v>8.9055125122450794E-4</v>
      </c>
      <c r="O665" s="5">
        <f>1/KRW!C665</f>
        <v>8.9052468378581623E-4</v>
      </c>
      <c r="P665" s="3">
        <f>1/NOK!B665</f>
        <v>0.17575928008998873</v>
      </c>
      <c r="Q665" s="3">
        <f>1/NOK!C665</f>
        <v>0.1755402250425685</v>
      </c>
      <c r="R665" s="3">
        <f>NZD!B665/1</f>
        <v>0.83499999999999996</v>
      </c>
      <c r="S665" s="3">
        <f>NZD!C665/1</f>
        <v>0.83330000000000004</v>
      </c>
      <c r="T665" s="4">
        <f>1/PHP!B665</f>
        <v>2.3413720440177945E-2</v>
      </c>
      <c r="U665" s="4">
        <f>1/PHP!C665</f>
        <v>2.3350846468184472E-2</v>
      </c>
      <c r="V665" s="4">
        <f>1/TWD!B665</f>
        <v>3.3818058843422386E-2</v>
      </c>
      <c r="W665" s="4">
        <f>1/TWD!C665</f>
        <v>3.3818058843422386E-2</v>
      </c>
      <c r="X665" s="4">
        <f>1/TWD!B665</f>
        <v>3.3818058843422386E-2</v>
      </c>
      <c r="Y665" s="4">
        <f>1/TWD!C665</f>
        <v>3.3818058843422386E-2</v>
      </c>
      <c r="Z665" s="4">
        <f>1/ZAR!B665</f>
        <v>0.12950012950012948</v>
      </c>
      <c r="AA665" s="4">
        <f>1/ZAR!C665</f>
        <v>0.12894740235457958</v>
      </c>
    </row>
    <row r="666" spans="1:27" x14ac:dyDescent="0.25">
      <c r="A666" t="str">
        <f>"22/02/2012"</f>
        <v>22/02/2012</v>
      </c>
      <c r="B666" s="3">
        <f>AUD!B666</f>
        <v>1.0666</v>
      </c>
      <c r="C666" s="3">
        <f>AUD!C666</f>
        <v>1.0628</v>
      </c>
      <c r="D666" s="3">
        <f>1/CAD!B666</f>
        <v>1.0037137408411121</v>
      </c>
      <c r="E666" s="3">
        <f>1/CAD!C666</f>
        <v>1.0030090270812437</v>
      </c>
      <c r="F666" s="3">
        <f>EUR!B666/1</f>
        <v>1.3238000000000001</v>
      </c>
      <c r="G666" s="3">
        <f>EUR!C666/1</f>
        <v>1.3239000000000001</v>
      </c>
      <c r="H666" s="3">
        <f>GBP!B666/1</f>
        <v>1.579</v>
      </c>
      <c r="I666" s="3">
        <f>GBP!C666/1</f>
        <v>1.5786</v>
      </c>
      <c r="J666" s="4">
        <f>1/INR!B666</f>
        <v>2.0305599268998425E-2</v>
      </c>
      <c r="K666" s="4">
        <f>1/INR!C666</f>
        <v>2.0150118381945494E-2</v>
      </c>
      <c r="L666" s="4">
        <f>1/JPY!B666</f>
        <v>1.249344094350466E-2</v>
      </c>
      <c r="M666" s="4">
        <f>1/JPY!C666</f>
        <v>1.2496016894614843E-2</v>
      </c>
      <c r="N666" s="5">
        <f>1/KRW!B666</f>
        <v>8.8794175102113293E-4</v>
      </c>
      <c r="O666" s="5">
        <f>1/KRW!C666</f>
        <v>8.8791415645935357E-4</v>
      </c>
      <c r="P666" s="3">
        <f>1/NOK!B666</f>
        <v>0.17613696410328672</v>
      </c>
      <c r="Q666" s="3">
        <f>1/NOK!C666</f>
        <v>0.17591696719148561</v>
      </c>
      <c r="R666" s="3">
        <f>NZD!B666/1</f>
        <v>0.83379999999999999</v>
      </c>
      <c r="S666" s="3">
        <f>NZD!C666/1</f>
        <v>0.83199999999999996</v>
      </c>
      <c r="T666" s="4">
        <f>1/PHP!B666</f>
        <v>2.3372677340189319E-2</v>
      </c>
      <c r="U666" s="4">
        <f>1/PHP!C666</f>
        <v>2.3307306840694555E-2</v>
      </c>
      <c r="V666" s="4">
        <f>1/TWD!B666</f>
        <v>3.3842092795018444E-2</v>
      </c>
      <c r="W666" s="4">
        <f>1/TWD!C666</f>
        <v>3.3842207324130506E-2</v>
      </c>
      <c r="X666" s="4">
        <f>1/TWD!B666</f>
        <v>3.3842092795018444E-2</v>
      </c>
      <c r="Y666" s="4">
        <f>1/TWD!C666</f>
        <v>3.3842207324130506E-2</v>
      </c>
      <c r="Z666" s="4">
        <f>1/ZAR!B666</f>
        <v>0.12921232168699606</v>
      </c>
      <c r="AA666" s="4">
        <f>1/ZAR!C666</f>
        <v>0.12862232626339279</v>
      </c>
    </row>
    <row r="667" spans="1:27" x14ac:dyDescent="0.25">
      <c r="A667" t="str">
        <f>"23/02/2012"</f>
        <v>23/02/2012</v>
      </c>
      <c r="B667" s="3">
        <f>AUD!B667</f>
        <v>1.0687</v>
      </c>
      <c r="C667" s="3">
        <f>AUD!C667</f>
        <v>1.0650999999999999</v>
      </c>
      <c r="D667" s="3">
        <f>1/CAD!B667</f>
        <v>1.0018032458425166</v>
      </c>
      <c r="E667" s="3">
        <f>1/CAD!C667</f>
        <v>1.0012014417300761</v>
      </c>
      <c r="F667" s="3">
        <f>EUR!B667/1</f>
        <v>1.3307</v>
      </c>
      <c r="G667" s="3">
        <f>EUR!C667/1</f>
        <v>1.3309</v>
      </c>
      <c r="H667" s="3">
        <f>GBP!B667/1</f>
        <v>1.5709</v>
      </c>
      <c r="I667" s="3">
        <f>GBP!C667/1</f>
        <v>1.5706</v>
      </c>
      <c r="J667" s="4">
        <f>1/INR!B667</f>
        <v>2.0332435317440146E-2</v>
      </c>
      <c r="K667" s="4">
        <f>1/INR!C667</f>
        <v>2.0184689912701219E-2</v>
      </c>
      <c r="L667" s="4">
        <f>1/JPY!B667</f>
        <v>1.2489851995253856E-2</v>
      </c>
      <c r="M667" s="4">
        <f>1/JPY!C667</f>
        <v>1.2492582529123332E-2</v>
      </c>
      <c r="N667" s="5">
        <f>1/KRW!B667</f>
        <v>8.8558271342543385E-4</v>
      </c>
      <c r="O667" s="5">
        <f>1/KRW!C667</f>
        <v>8.8555683370925226E-4</v>
      </c>
      <c r="P667" s="3">
        <f>1/NOK!B667</f>
        <v>0.17816737042777986</v>
      </c>
      <c r="Q667" s="3">
        <f>1/NOK!C667</f>
        <v>0.17794544192750503</v>
      </c>
      <c r="R667" s="3">
        <f>NZD!B667/1</f>
        <v>0.83220000000000005</v>
      </c>
      <c r="S667" s="3">
        <f>NZD!C667/1</f>
        <v>0.83050000000000002</v>
      </c>
      <c r="T667" s="4">
        <f>1/PHP!B667</f>
        <v>2.337540906965872E-2</v>
      </c>
      <c r="U667" s="4">
        <f>1/PHP!C667</f>
        <v>2.3315458148752622E-2</v>
      </c>
      <c r="V667" s="4">
        <f>1/TWD!B667</f>
        <v>3.3818058843422386E-2</v>
      </c>
      <c r="W667" s="4">
        <f>1/TWD!C667</f>
        <v>3.3818173209919547E-2</v>
      </c>
      <c r="X667" s="4">
        <f>1/TWD!B667</f>
        <v>3.3818058843422386E-2</v>
      </c>
      <c r="Y667" s="4">
        <f>1/TWD!C667</f>
        <v>3.3818173209919547E-2</v>
      </c>
      <c r="Z667" s="4">
        <f>1/ZAR!B667</f>
        <v>0.13008468513001964</v>
      </c>
      <c r="AA667" s="4">
        <f>1/ZAR!C667</f>
        <v>0.1295336787564767</v>
      </c>
    </row>
    <row r="668" spans="1:27" x14ac:dyDescent="0.25">
      <c r="A668" t="str">
        <f>"24/02/2012"</f>
        <v>24/02/2012</v>
      </c>
      <c r="B668" s="3">
        <f>AUD!B668</f>
        <v>1.0733999999999999</v>
      </c>
      <c r="C668" s="3">
        <f>AUD!C668</f>
        <v>1.0698000000000001</v>
      </c>
      <c r="D668" s="3">
        <f>1/CAD!B668</f>
        <v>1.0025062656641603</v>
      </c>
      <c r="E668" s="3">
        <f>1/CAD!C668</f>
        <v>1.001903616872057</v>
      </c>
      <c r="F668" s="3">
        <f>EUR!B668/1</f>
        <v>1.339</v>
      </c>
      <c r="G668" s="3">
        <f>EUR!C668/1</f>
        <v>1.3391</v>
      </c>
      <c r="H668" s="3">
        <f>GBP!B668/1</f>
        <v>1.5806</v>
      </c>
      <c r="I668" s="3">
        <f>GBP!C668/1</f>
        <v>1.5803</v>
      </c>
      <c r="J668" s="4">
        <f>1/INR!B668</f>
        <v>2.0383204239706482E-2</v>
      </c>
      <c r="K668" s="4">
        <f>1/INR!C668</f>
        <v>2.0230629172567266E-2</v>
      </c>
      <c r="L668" s="4">
        <f>1/JPY!B668</f>
        <v>1.2409873295193656E-2</v>
      </c>
      <c r="M668" s="4">
        <f>1/JPY!C668</f>
        <v>1.2412538153039148E-2</v>
      </c>
      <c r="N668" s="5">
        <f>1/KRW!B668</f>
        <v>8.8809946714031975E-4</v>
      </c>
      <c r="O668" s="5">
        <f>1/KRW!C668</f>
        <v>8.8807265144746949E-4</v>
      </c>
      <c r="P668" s="3">
        <f>1/NOK!B668</f>
        <v>0.17879811904378765</v>
      </c>
      <c r="Q668" s="3">
        <f>1/NOK!C668</f>
        <v>0.1785778063502268</v>
      </c>
      <c r="R668" s="3">
        <f>NZD!B668/1</f>
        <v>0.83899999999999997</v>
      </c>
      <c r="S668" s="3">
        <f>NZD!C668/1</f>
        <v>0.83730000000000004</v>
      </c>
      <c r="T668" s="4">
        <f>1/PHP!B668</f>
        <v>2.3359028264424198E-2</v>
      </c>
      <c r="U668" s="4">
        <f>1/PHP!C668</f>
        <v>2.3296447291788005E-2</v>
      </c>
      <c r="V668" s="4">
        <f>1/TWD!B668</f>
        <v>3.3806626098715348E-2</v>
      </c>
      <c r="W668" s="4">
        <f>1/TWD!C668</f>
        <v>3.3806740387898541E-2</v>
      </c>
      <c r="X668" s="4">
        <f>1/TWD!B668</f>
        <v>3.3806626098715348E-2</v>
      </c>
      <c r="Y668" s="4">
        <f>1/TWD!C668</f>
        <v>3.3806740387898541E-2</v>
      </c>
      <c r="Z668" s="4">
        <f>1/ZAR!B668</f>
        <v>0.13153048876729626</v>
      </c>
      <c r="AA668" s="4">
        <f>1/ZAR!C668</f>
        <v>0.13096890798124525</v>
      </c>
    </row>
    <row r="669" spans="1:27" x14ac:dyDescent="0.25">
      <c r="A669" t="str">
        <f>"27/02/2012"</f>
        <v>27/02/2012</v>
      </c>
      <c r="B669" s="3">
        <f>AUD!B669</f>
        <v>1.0661</v>
      </c>
      <c r="C669" s="3">
        <f>AUD!C669</f>
        <v>1.0624</v>
      </c>
      <c r="D669" s="3">
        <f>1/CAD!B669</f>
        <v>0.99571841083341639</v>
      </c>
      <c r="E669" s="3">
        <f>1/CAD!C669</f>
        <v>0.99512389292466918</v>
      </c>
      <c r="F669" s="3">
        <f>EUR!B669/1</f>
        <v>1.3412999999999999</v>
      </c>
      <c r="G669" s="3">
        <f>EUR!C669/1</f>
        <v>1.3413999999999999</v>
      </c>
      <c r="H669" s="3">
        <f>GBP!B669/1</f>
        <v>1.5857000000000001</v>
      </c>
      <c r="I669" s="3">
        <f>GBP!C669/1</f>
        <v>1.5852999999999999</v>
      </c>
      <c r="J669" s="4">
        <f>1/INR!B669</f>
        <v>2.0314880650076181E-2</v>
      </c>
      <c r="K669" s="4">
        <f>1/INR!C669</f>
        <v>2.0147073637554146E-2</v>
      </c>
      <c r="L669" s="4">
        <f>1/JPY!B669</f>
        <v>1.2389117399276476E-2</v>
      </c>
      <c r="M669" s="4">
        <f>1/JPY!C669</f>
        <v>1.2392049756558183E-2</v>
      </c>
      <c r="N669" s="5">
        <f>1/KRW!B669</f>
        <v>8.8542588985301919E-4</v>
      </c>
      <c r="O669" s="5">
        <f>1/KRW!C669</f>
        <v>8.8539805947307297E-4</v>
      </c>
      <c r="P669" s="3">
        <f>1/NOK!B669</f>
        <v>0.17879172551894298</v>
      </c>
      <c r="Q669" s="3">
        <f>1/NOK!C669</f>
        <v>0.17856186275735228</v>
      </c>
      <c r="R669" s="3">
        <f>NZD!B669/1</f>
        <v>0.83340000000000003</v>
      </c>
      <c r="S669" s="3">
        <f>NZD!C669/1</f>
        <v>0.83169999999999999</v>
      </c>
      <c r="T669" s="4">
        <f>1/PHP!B669</f>
        <v>2.3223409196470042E-2</v>
      </c>
      <c r="U669" s="4">
        <f>1/PHP!C669</f>
        <v>2.3166917641607783E-2</v>
      </c>
      <c r="V669" s="4">
        <f>1/TWD!B669</f>
        <v>3.3745022609165148E-2</v>
      </c>
      <c r="W669" s="4">
        <f>1/TWD!C669</f>
        <v>3.3745136482204501E-2</v>
      </c>
      <c r="X669" s="4">
        <f>1/TWD!B669</f>
        <v>3.3745022609165148E-2</v>
      </c>
      <c r="Y669" s="4">
        <f>1/TWD!C669</f>
        <v>3.3745136482204501E-2</v>
      </c>
      <c r="Z669" s="4">
        <f>1/ZAR!B669</f>
        <v>0.13085750925816877</v>
      </c>
      <c r="AA669" s="4">
        <f>1/ZAR!C669</f>
        <v>0.13026770012375433</v>
      </c>
    </row>
    <row r="670" spans="1:27" x14ac:dyDescent="0.25">
      <c r="A670" t="str">
        <f>"28/02/2012"</f>
        <v>28/02/2012</v>
      </c>
      <c r="B670" s="3">
        <f>AUD!B670</f>
        <v>1.0770999999999999</v>
      </c>
      <c r="C670" s="3">
        <f>AUD!C670</f>
        <v>1.0730999999999999</v>
      </c>
      <c r="D670" s="3">
        <f>1/CAD!B670</f>
        <v>1.0032102728731942</v>
      </c>
      <c r="E670" s="3">
        <f>1/CAD!C670</f>
        <v>1.0026067776218168</v>
      </c>
      <c r="F670" s="3">
        <f>EUR!B670/1</f>
        <v>1.3427</v>
      </c>
      <c r="G670" s="3">
        <f>EUR!C670/1</f>
        <v>1.3427</v>
      </c>
      <c r="H670" s="3">
        <f>GBP!B670/1</f>
        <v>1.5843</v>
      </c>
      <c r="I670" s="3">
        <f>GBP!C670/1</f>
        <v>1.5839000000000001</v>
      </c>
      <c r="J670" s="4">
        <f>1/INR!B670</f>
        <v>2.0316944331572533E-2</v>
      </c>
      <c r="K670" s="4">
        <f>1/INR!C670</f>
        <v>2.0142001107810059E-2</v>
      </c>
      <c r="L670" s="4">
        <f>1/JPY!B670</f>
        <v>1.2468439263115239E-2</v>
      </c>
      <c r="M670" s="4">
        <f>1/JPY!C670</f>
        <v>1.2471471508923337E-2</v>
      </c>
      <c r="N670" s="5">
        <f>1/KRW!B670</f>
        <v>8.8804031703039314E-4</v>
      </c>
      <c r="O670" s="5">
        <f>1/KRW!C670</f>
        <v>8.8800009945601114E-4</v>
      </c>
      <c r="P670" s="3">
        <f>1/NOK!B670</f>
        <v>0.17915367802500984</v>
      </c>
      <c r="Q670" s="3">
        <f>1/NOK!C670</f>
        <v>0.1789228842368939</v>
      </c>
      <c r="R670" s="3">
        <f>NZD!B670/1</f>
        <v>0.83989999999999998</v>
      </c>
      <c r="S670" s="3">
        <f>NZD!C670/1</f>
        <v>0.83809999999999996</v>
      </c>
      <c r="T670" s="4">
        <f>1/PHP!B670</f>
        <v>2.3359028264424198E-2</v>
      </c>
      <c r="U670" s="4">
        <f>1/PHP!C670</f>
        <v>2.3305677262981262E-2</v>
      </c>
      <c r="V670" s="4">
        <f>1/TWD!B670</f>
        <v>3.3771233663165715E-2</v>
      </c>
      <c r="W670" s="4">
        <f>1/TWD!C670</f>
        <v>3.3771347713173187E-2</v>
      </c>
      <c r="X670" s="4">
        <f>1/TWD!B670</f>
        <v>3.3771233663165715E-2</v>
      </c>
      <c r="Y670" s="4">
        <f>1/TWD!C670</f>
        <v>3.3771347713173187E-2</v>
      </c>
      <c r="Z670" s="4">
        <f>1/ZAR!B670</f>
        <v>0.13251878453770821</v>
      </c>
      <c r="AA670" s="4">
        <f>1/ZAR!C670</f>
        <v>0.13192438094484241</v>
      </c>
    </row>
    <row r="671" spans="1:27" x14ac:dyDescent="0.25">
      <c r="A671" t="str">
        <f t="shared" ref="A671" si="0">"29/02/2012"</f>
        <v>29/02/2012</v>
      </c>
      <c r="B671" s="3">
        <f>AUD!B671</f>
        <v>1.0826</v>
      </c>
      <c r="C671" s="3">
        <f>AUD!C671</f>
        <v>1.0787</v>
      </c>
      <c r="D671" s="3">
        <f>1/CAD!B671</f>
        <v>1.0098969905069684</v>
      </c>
      <c r="E671" s="3">
        <f>1/CAD!C671</f>
        <v>1.0091835704914724</v>
      </c>
      <c r="F671" s="3">
        <f>EUR!B671/1</f>
        <v>1.3438000000000001</v>
      </c>
      <c r="G671" s="3">
        <f>EUR!C671/1</f>
        <v>1.3440000000000001</v>
      </c>
      <c r="H671" s="3">
        <f>GBP!B671/1</f>
        <v>1.5936999999999999</v>
      </c>
      <c r="I671" s="3">
        <f>GBP!C671/1</f>
        <v>1.5933999999999999</v>
      </c>
      <c r="J671" s="4">
        <f>1/INR!B671</f>
        <v>2.0395676116663267E-2</v>
      </c>
      <c r="K671" s="4">
        <f>1/INR!C671</f>
        <v>2.0223469336164621E-2</v>
      </c>
      <c r="L671" s="4">
        <f>1/JPY!B671</f>
        <v>1.2419120477887756E-2</v>
      </c>
      <c r="M671" s="4">
        <f>1/JPY!C671</f>
        <v>1.2421989903406608E-2</v>
      </c>
      <c r="N671" s="5">
        <f>1/KRW!B671</f>
        <v>8.9347539592128493E-4</v>
      </c>
      <c r="O671" s="5">
        <f>1/KRW!C671</f>
        <v>8.9345264499954659E-4</v>
      </c>
      <c r="P671" s="3">
        <f>1/NOK!B671</f>
        <v>0.18048912553018681</v>
      </c>
      <c r="Q671" s="3">
        <f>1/NOK!C671</f>
        <v>0.18025163127726307</v>
      </c>
      <c r="R671" s="3">
        <f>NZD!B671/1</f>
        <v>0.84340000000000004</v>
      </c>
      <c r="S671" s="3">
        <f>NZD!C671/1</f>
        <v>0.84160000000000001</v>
      </c>
      <c r="T671" s="4">
        <f>1/PHP!B671</f>
        <v>2.3430178069353328E-2</v>
      </c>
      <c r="U671" s="4">
        <f>1/PHP!C671</f>
        <v>2.3372677340189319E-2</v>
      </c>
      <c r="V671" s="4">
        <f>1/TWD!B671</f>
        <v>3.4036759700476517E-2</v>
      </c>
      <c r="W671" s="4">
        <f>1/TWD!C671</f>
        <v>3.4036759700476517E-2</v>
      </c>
      <c r="X671" s="4">
        <f>1/TWD!B671</f>
        <v>3.4036759700476517E-2</v>
      </c>
      <c r="Y671" s="4">
        <f>1/TWD!C671</f>
        <v>3.4036759700476517E-2</v>
      </c>
      <c r="Z671" s="4">
        <f>1/ZAR!B671</f>
        <v>0.13415975743915853</v>
      </c>
      <c r="AA671" s="4">
        <f>1/ZAR!C671</f>
        <v>0.13355771028661484</v>
      </c>
    </row>
    <row r="672" spans="1:27" x14ac:dyDescent="0.25">
      <c r="A672" t="str">
        <f>"01/03/2012"</f>
        <v>01/03/2012</v>
      </c>
      <c r="B672" s="3">
        <f>AUD!B672</f>
        <v>1.0774999999999999</v>
      </c>
      <c r="C672" s="3">
        <f>AUD!C672</f>
        <v>1.0736000000000001</v>
      </c>
      <c r="D672" s="3">
        <f>1/CAD!B672</f>
        <v>1.0125556905629809</v>
      </c>
      <c r="E672" s="3">
        <f>1/CAD!C672</f>
        <v>1.0118385105737124</v>
      </c>
      <c r="F672" s="3">
        <f>EUR!B672/1</f>
        <v>1.3348</v>
      </c>
      <c r="G672" s="3">
        <f>EUR!C672/1</f>
        <v>1.335</v>
      </c>
      <c r="H672" s="3">
        <f>GBP!B672/1</f>
        <v>1.5953999999999999</v>
      </c>
      <c r="I672" s="3">
        <f>GBP!C672/1</f>
        <v>1.595</v>
      </c>
      <c r="J672" s="4">
        <f>1/INR!B672</f>
        <v>2.03190084323885E-2</v>
      </c>
      <c r="K672" s="4">
        <f>1/INR!C672</f>
        <v>2.0133890370966932E-2</v>
      </c>
      <c r="L672" s="4">
        <f>1/JPY!B672</f>
        <v>1.2338824110062312E-2</v>
      </c>
      <c r="M672" s="4">
        <f>1/JPY!C672</f>
        <v>1.2341747937076831E-2</v>
      </c>
      <c r="N672" s="5">
        <f>1/KRW!B672</f>
        <v>8.9551570510667839E-4</v>
      </c>
      <c r="O672" s="5">
        <f>1/KRW!C672</f>
        <v>8.9548643494761191E-4</v>
      </c>
      <c r="P672" s="3">
        <f>1/NOK!B672</f>
        <v>0.17945266935845672</v>
      </c>
      <c r="Q672" s="3">
        <f>1/NOK!C672</f>
        <v>0.17917614807116877</v>
      </c>
      <c r="R672" s="3">
        <f>NZD!B672/1</f>
        <v>0.8367</v>
      </c>
      <c r="S672" s="3">
        <f>NZD!C672/1</f>
        <v>0.83489999999999998</v>
      </c>
      <c r="T672" s="4">
        <f>1/PHP!B672</f>
        <v>2.336175680411167E-2</v>
      </c>
      <c r="U672" s="4">
        <f>1/PHP!C672</f>
        <v>2.3300789896777498E-2</v>
      </c>
      <c r="V672" s="4">
        <f>1/TWD!B672</f>
        <v>3.4002040122407345E-2</v>
      </c>
      <c r="W672" s="4">
        <f>1/TWD!C672</f>
        <v>3.4002040122407345E-2</v>
      </c>
      <c r="X672" s="4">
        <f>1/TWD!B672</f>
        <v>3.4002040122407345E-2</v>
      </c>
      <c r="Y672" s="4">
        <f>1/TWD!C672</f>
        <v>3.4002040122407345E-2</v>
      </c>
      <c r="Z672" s="4">
        <f>1/ZAR!B672</f>
        <v>0.1339028668603795</v>
      </c>
      <c r="AA672" s="4">
        <f>1/ZAR!C672</f>
        <v>0.13330134101149058</v>
      </c>
    </row>
    <row r="673" spans="1:27" x14ac:dyDescent="0.25">
      <c r="A673" t="str">
        <f>"02/03/2012"</f>
        <v>02/03/2012</v>
      </c>
      <c r="B673" s="3">
        <f>AUD!B673</f>
        <v>1.0785</v>
      </c>
      <c r="C673" s="3">
        <f>AUD!C673</f>
        <v>1.0742</v>
      </c>
      <c r="D673" s="3">
        <f>1/CAD!B673</f>
        <v>1.0134792743488394</v>
      </c>
      <c r="E673" s="3">
        <f>1/CAD!C673</f>
        <v>1.0127607859023697</v>
      </c>
      <c r="F673" s="3">
        <f>EUR!B673/1</f>
        <v>1.33</v>
      </c>
      <c r="G673" s="3">
        <f>EUR!C673/1</f>
        <v>1.3302</v>
      </c>
      <c r="H673" s="3">
        <f>GBP!B673/1</f>
        <v>1.5941000000000001</v>
      </c>
      <c r="I673" s="3">
        <f>GBP!C673/1</f>
        <v>1.5936999999999999</v>
      </c>
      <c r="J673" s="4">
        <f>1/INR!B673</f>
        <v>2.0260345438889733E-2</v>
      </c>
      <c r="K673" s="4">
        <f>1/INR!C673</f>
        <v>2.0084354288009639E-2</v>
      </c>
      <c r="L673" s="4">
        <f>1/JPY!B673</f>
        <v>1.2272498557981419E-2</v>
      </c>
      <c r="M673" s="4">
        <f>1/JPY!C673</f>
        <v>1.2275511581945179E-2</v>
      </c>
      <c r="N673" s="5">
        <f>1/KRW!B673</f>
        <v>8.9623804082364269E-4</v>
      </c>
      <c r="O673" s="5">
        <f>1/KRW!C673</f>
        <v>8.9621474739291123E-4</v>
      </c>
      <c r="P673" s="3">
        <f>1/NOK!B673</f>
        <v>0.1791119628880013</v>
      </c>
      <c r="Q673" s="3">
        <f>1/NOK!C673</f>
        <v>0.17883968810358397</v>
      </c>
      <c r="R673" s="3">
        <f>NZD!B673/1</f>
        <v>0.8367</v>
      </c>
      <c r="S673" s="3">
        <f>NZD!C673/1</f>
        <v>0.8347</v>
      </c>
      <c r="T673" s="4">
        <f>1/PHP!B673</f>
        <v>2.3410979749502514E-2</v>
      </c>
      <c r="U673" s="4">
        <f>1/PHP!C673</f>
        <v>2.3337222870478413E-2</v>
      </c>
      <c r="V673" s="4">
        <f>1/TWD!B673</f>
        <v>3.3981242354220467E-2</v>
      </c>
      <c r="W673" s="4">
        <f>1/TWD!C673</f>
        <v>3.3981357827096055E-2</v>
      </c>
      <c r="X673" s="4">
        <f>1/TWD!B673</f>
        <v>3.3981242354220467E-2</v>
      </c>
      <c r="Y673" s="4">
        <f>1/TWD!C673</f>
        <v>3.3981357827096055E-2</v>
      </c>
      <c r="Z673" s="4">
        <f>1/ZAR!B673</f>
        <v>0.13394950103810865</v>
      </c>
      <c r="AA673" s="4">
        <f>1/ZAR!C673</f>
        <v>0.13327291627795398</v>
      </c>
    </row>
    <row r="674" spans="1:27" x14ac:dyDescent="0.25">
      <c r="A674" t="str">
        <f>"05/03/2012"</f>
        <v>05/03/2012</v>
      </c>
      <c r="B674" s="3">
        <f>AUD!B674</f>
        <v>1.0694999999999999</v>
      </c>
      <c r="C674" s="3">
        <f>AUD!C674</f>
        <v>1.0652999999999999</v>
      </c>
      <c r="D674" s="3">
        <f>1/CAD!B674</f>
        <v>1.0065425264217414</v>
      </c>
      <c r="E674" s="3">
        <f>1/CAD!C674</f>
        <v>1.0058338362502515</v>
      </c>
      <c r="F674" s="3">
        <f>EUR!B674/1</f>
        <v>1.3201000000000001</v>
      </c>
      <c r="G674" s="3">
        <f>EUR!C674/1</f>
        <v>1.3203</v>
      </c>
      <c r="H674" s="3">
        <f>GBP!B674/1</f>
        <v>1.5815999999999999</v>
      </c>
      <c r="I674" s="3">
        <f>GBP!C674/1</f>
        <v>1.5812999999999999</v>
      </c>
      <c r="J674" s="4">
        <f>1/INR!B674</f>
        <v>2.0064205457463884E-2</v>
      </c>
      <c r="K674" s="4">
        <f>1/INR!C674</f>
        <v>1.9898517560441746E-2</v>
      </c>
      <c r="L674" s="4">
        <f>1/JPY!B674</f>
        <v>1.231572595046615E-2</v>
      </c>
      <c r="M674" s="4">
        <f>1/JPY!C674</f>
        <v>1.2319124455186721E-2</v>
      </c>
      <c r="N674" s="5">
        <f>1/KRW!B674</f>
        <v>8.9381480157311414E-4</v>
      </c>
      <c r="O674" s="5">
        <f>1/KRW!C674</f>
        <v>8.9378444421801904E-4</v>
      </c>
      <c r="P674" s="3">
        <f>1/NOK!B674</f>
        <v>0.17779990398805184</v>
      </c>
      <c r="Q674" s="3">
        <f>1/NOK!C674</f>
        <v>0.17754736075848232</v>
      </c>
      <c r="R674" s="3">
        <f>NZD!B674/1</f>
        <v>0.82379999999999998</v>
      </c>
      <c r="S674" s="3">
        <f>NZD!C674/1</f>
        <v>0.82189999999999996</v>
      </c>
      <c r="T674" s="4">
        <f>1/PHP!B674</f>
        <v>2.3310023310023312E-2</v>
      </c>
      <c r="U674" s="4">
        <f>1/PHP!C674</f>
        <v>2.3239600278875203E-2</v>
      </c>
      <c r="V674" s="4">
        <f>1/TWD!B674</f>
        <v>3.3886818027787188E-2</v>
      </c>
      <c r="W674" s="4">
        <f>1/TWD!C674</f>
        <v>3.3886818027787188E-2</v>
      </c>
      <c r="X674" s="4">
        <f>1/TWD!B674</f>
        <v>3.3886818027787188E-2</v>
      </c>
      <c r="Y674" s="4">
        <f>1/TWD!C674</f>
        <v>3.3886818027787188E-2</v>
      </c>
      <c r="Z674" s="4">
        <f>1/ZAR!B674</f>
        <v>0.13211959465708359</v>
      </c>
      <c r="AA674" s="4">
        <f>1/ZAR!C674</f>
        <v>0.13146305230914851</v>
      </c>
    </row>
    <row r="675" spans="1:27" x14ac:dyDescent="0.25">
      <c r="A675" t="str">
        <f>"06/03/2012"</f>
        <v>06/03/2012</v>
      </c>
      <c r="B675" s="3">
        <f>AUD!B675</f>
        <v>1.0615000000000001</v>
      </c>
      <c r="C675" s="3">
        <f>AUD!C675</f>
        <v>1.0573999999999999</v>
      </c>
      <c r="D675" s="3">
        <f>1/CAD!B675</f>
        <v>1.0039152695512499</v>
      </c>
      <c r="E675" s="3">
        <f>1/CAD!C675</f>
        <v>1.0031096398836392</v>
      </c>
      <c r="F675" s="3">
        <f>EUR!B675/1</f>
        <v>1.3194999999999999</v>
      </c>
      <c r="G675" s="3">
        <f>EUR!C675/1</f>
        <v>1.3198000000000001</v>
      </c>
      <c r="H675" s="3">
        <f>GBP!B675/1</f>
        <v>1.5854999999999999</v>
      </c>
      <c r="I675" s="3">
        <f>GBP!C675/1</f>
        <v>1.5851999999999999</v>
      </c>
      <c r="J675" s="4">
        <f>1/INR!B675</f>
        <v>1.9984012789768187E-2</v>
      </c>
      <c r="K675" s="4">
        <f>1/INR!C675</f>
        <v>1.9830449655445937E-2</v>
      </c>
      <c r="L675" s="4">
        <f>1/JPY!B675</f>
        <v>1.2282296298115895E-2</v>
      </c>
      <c r="M675" s="4">
        <f>1/JPY!C675</f>
        <v>1.228561600078628E-2</v>
      </c>
      <c r="N675" s="5">
        <f>1/KRW!B675</f>
        <v>8.9055125122450794E-4</v>
      </c>
      <c r="O675" s="5">
        <f>1/KRW!C675</f>
        <v>8.9052864897453397E-4</v>
      </c>
      <c r="P675" s="3">
        <f>1/NOK!B675</f>
        <v>0.17761358388689566</v>
      </c>
      <c r="Q675" s="3">
        <f>1/NOK!C675</f>
        <v>0.17736471506358525</v>
      </c>
      <c r="R675" s="3">
        <f>NZD!B675/1</f>
        <v>0.81410000000000005</v>
      </c>
      <c r="S675" s="3">
        <f>NZD!C675/1</f>
        <v>0.81230000000000002</v>
      </c>
      <c r="T675" s="4">
        <f>1/PHP!B675</f>
        <v>2.3286682346366116E-2</v>
      </c>
      <c r="U675" s="4">
        <f>1/PHP!C675</f>
        <v>2.321909538404384E-2</v>
      </c>
      <c r="V675" s="4">
        <f>1/TWD!B675</f>
        <v>3.3874191253683815E-2</v>
      </c>
      <c r="W675" s="4">
        <f>1/TWD!C675</f>
        <v>3.3874191253683815E-2</v>
      </c>
      <c r="X675" s="4">
        <f>1/TWD!B675</f>
        <v>3.3874191253683815E-2</v>
      </c>
      <c r="Y675" s="4">
        <f>1/TWD!C675</f>
        <v>3.3874191253683815E-2</v>
      </c>
      <c r="Z675" s="4">
        <f>1/ZAR!B675</f>
        <v>0.132013201320132</v>
      </c>
      <c r="AA675" s="4">
        <f>1/ZAR!C675</f>
        <v>0.13136288998357964</v>
      </c>
    </row>
    <row r="676" spans="1:27" x14ac:dyDescent="0.25">
      <c r="A676" t="str">
        <f>"07/03/2012"</f>
        <v>07/03/2012</v>
      </c>
      <c r="B676" s="3">
        <f>AUD!B676</f>
        <v>1.0580000000000001</v>
      </c>
      <c r="C676" s="3">
        <f>AUD!C676</f>
        <v>1.0541</v>
      </c>
      <c r="D676" s="3">
        <f>1/CAD!B676</f>
        <v>1.000100010001</v>
      </c>
      <c r="E676" s="3">
        <f>1/CAD!C676</f>
        <v>0.99940035978412955</v>
      </c>
      <c r="F676" s="3">
        <f>EUR!B676/1</f>
        <v>1.3159000000000001</v>
      </c>
      <c r="G676" s="3">
        <f>EUR!C676/1</f>
        <v>1.3162</v>
      </c>
      <c r="H676" s="3">
        <f>GBP!B676/1</f>
        <v>1.5751999999999999</v>
      </c>
      <c r="I676" s="3">
        <f>GBP!C676/1</f>
        <v>1.575</v>
      </c>
      <c r="J676" s="4">
        <f>1/INR!B676</f>
        <v>1.9880715705765408E-2</v>
      </c>
      <c r="K676" s="4">
        <f>1/INR!C676</f>
        <v>1.9720948577626584E-2</v>
      </c>
      <c r="L676" s="4">
        <f>1/JPY!B676</f>
        <v>1.2377922737006275E-2</v>
      </c>
      <c r="M676" s="4">
        <f>1/JPY!C676</f>
        <v>1.2381524289455274E-2</v>
      </c>
      <c r="N676" s="5">
        <f>1/KRW!B676</f>
        <v>8.8892839681763635E-4</v>
      </c>
      <c r="O676" s="5">
        <f>1/KRW!C676</f>
        <v>8.8889995075494262E-4</v>
      </c>
      <c r="P676" s="3">
        <f>1/NOK!B676</f>
        <v>0.17659108568199477</v>
      </c>
      <c r="Q676" s="3">
        <f>1/NOK!C676</f>
        <v>0.17635440180586909</v>
      </c>
      <c r="R676" s="3">
        <f>NZD!B676/1</f>
        <v>0.81869999999999998</v>
      </c>
      <c r="S676" s="3">
        <f>NZD!C676/1</f>
        <v>0.81689999999999996</v>
      </c>
      <c r="T676" s="4">
        <f>1/PHP!B676</f>
        <v>2.3318176518596245E-2</v>
      </c>
      <c r="U676" s="4">
        <f>1/PHP!C676</f>
        <v>2.3248785250970638E-2</v>
      </c>
      <c r="V676" s="4">
        <f>1/TWD!B676</f>
        <v>3.3869602032176122E-2</v>
      </c>
      <c r="W676" s="4">
        <f>1/TWD!C676</f>
        <v>3.3869602032176122E-2</v>
      </c>
      <c r="X676" s="4">
        <f>1/TWD!B676</f>
        <v>3.3869602032176122E-2</v>
      </c>
      <c r="Y676" s="4">
        <f>1/TWD!C676</f>
        <v>3.3869602032176122E-2</v>
      </c>
      <c r="Z676" s="4">
        <f>1/ZAR!B676</f>
        <v>0.1309723386420788</v>
      </c>
      <c r="AA676" s="4">
        <f>1/ZAR!C676</f>
        <v>0.13035260379326077</v>
      </c>
    </row>
    <row r="677" spans="1:27" x14ac:dyDescent="0.25">
      <c r="A677" t="str">
        <f>"09/03/2012"</f>
        <v>09/03/2012</v>
      </c>
      <c r="B677" s="3">
        <f>AUD!B677</f>
        <v>1.0622</v>
      </c>
      <c r="C677" s="3">
        <f>AUD!C677</f>
        <v>1.0584</v>
      </c>
      <c r="D677" s="3">
        <f>1/CAD!B677</f>
        <v>1.0083694665725522</v>
      </c>
      <c r="E677" s="3">
        <f>1/CAD!C677</f>
        <v>1.0076582023377672</v>
      </c>
      <c r="F677" s="3">
        <f>EUR!B677/1</f>
        <v>1.3222</v>
      </c>
      <c r="G677" s="3">
        <f>EUR!C677/1</f>
        <v>1.3223</v>
      </c>
      <c r="H677" s="3">
        <f>GBP!B677/1</f>
        <v>1.5759000000000001</v>
      </c>
      <c r="I677" s="3">
        <f>GBP!C677/1</f>
        <v>1.5755999999999999</v>
      </c>
      <c r="J677" s="4">
        <f>1/INR!B677</f>
        <v>2.0036064916850331E-2</v>
      </c>
      <c r="K677" s="4">
        <f>1/INR!C677</f>
        <v>1.987083954297069E-2</v>
      </c>
      <c r="L677" s="4">
        <f>1/JPY!B677</f>
        <v>1.2225686166636102E-2</v>
      </c>
      <c r="M677" s="4">
        <f>1/JPY!C677</f>
        <v>1.2228975334156752E-2</v>
      </c>
      <c r="N677" s="5">
        <f>1/KRW!B677</f>
        <v>8.9445438282647585E-4</v>
      </c>
      <c r="O677" s="5">
        <f>1/KRW!C677</f>
        <v>8.9443198202549489E-4</v>
      </c>
      <c r="P677" s="3">
        <f>1/NOK!B677</f>
        <v>0.17780306532484619</v>
      </c>
      <c r="Q677" s="3">
        <f>1/NOK!C677</f>
        <v>0.17757258279321672</v>
      </c>
      <c r="R677" s="3">
        <f>NZD!B677/1</f>
        <v>0.82379999999999998</v>
      </c>
      <c r="S677" s="3">
        <f>NZD!C677/1</f>
        <v>0.82210000000000005</v>
      </c>
      <c r="T677" s="4">
        <f>1/PHP!B677</f>
        <v>2.3463162834350071E-2</v>
      </c>
      <c r="U677" s="4">
        <f>1/PHP!C677</f>
        <v>2.3397285914833879E-2</v>
      </c>
      <c r="V677" s="4">
        <f>1/TWD!B677</f>
        <v>3.3932813030200203E-2</v>
      </c>
      <c r="W677" s="4">
        <f>1/TWD!C677</f>
        <v>3.3932813030200203E-2</v>
      </c>
      <c r="X677" s="4">
        <f>1/TWD!B677</f>
        <v>3.3932813030200203E-2</v>
      </c>
      <c r="Y677" s="4">
        <f>1/TWD!C677</f>
        <v>3.3932813030200203E-2</v>
      </c>
      <c r="Z677" s="4">
        <f>1/ZAR!B677</f>
        <v>0.13263654932753269</v>
      </c>
      <c r="AA677" s="4">
        <f>1/ZAR!C677</f>
        <v>0.13203237433818774</v>
      </c>
    </row>
    <row r="678" spans="1:27" x14ac:dyDescent="0.25">
      <c r="A678" t="str">
        <f>"12/03/2012"</f>
        <v>12/03/2012</v>
      </c>
      <c r="B678" s="3">
        <f>AUD!B678</f>
        <v>1.0528</v>
      </c>
      <c r="C678" s="3">
        <f>AUD!C678</f>
        <v>1.0488</v>
      </c>
      <c r="D678" s="3">
        <f>1/CAD!B678</f>
        <v>1.0076582023377672</v>
      </c>
      <c r="E678" s="3">
        <f>1/CAD!C678</f>
        <v>1.006947940791461</v>
      </c>
      <c r="F678" s="3">
        <f>EUR!B678/1</f>
        <v>1.3097000000000001</v>
      </c>
      <c r="G678" s="3">
        <f>EUR!C678/1</f>
        <v>1.3098000000000001</v>
      </c>
      <c r="H678" s="3">
        <f>GBP!B678/1</f>
        <v>1.5667</v>
      </c>
      <c r="I678" s="3">
        <f>GBP!C678/1</f>
        <v>1.5664</v>
      </c>
      <c r="J678" s="4">
        <f>1/INR!B678</f>
        <v>2.0016012810248198E-2</v>
      </c>
      <c r="K678" s="4">
        <f>1/INR!C678</f>
        <v>1.9843238416509573E-2</v>
      </c>
      <c r="L678" s="4">
        <f>1/JPY!B678</f>
        <v>1.2152218691327569E-2</v>
      </c>
      <c r="M678" s="4">
        <f>1/JPY!C678</f>
        <v>1.2155350238184089E-2</v>
      </c>
      <c r="N678" s="5">
        <f>1/KRW!B678</f>
        <v>8.8960056934436445E-4</v>
      </c>
      <c r="O678" s="5">
        <f>1/KRW!C678</f>
        <v>8.8957722397641913E-4</v>
      </c>
      <c r="P678" s="3">
        <f>1/NOK!B678</f>
        <v>0.17492915369275444</v>
      </c>
      <c r="Q678" s="3">
        <f>1/NOK!C678</f>
        <v>0.17468774565464232</v>
      </c>
      <c r="R678" s="3">
        <f>NZD!B678/1</f>
        <v>0.81789999999999996</v>
      </c>
      <c r="S678" s="3">
        <f>NZD!C678/1</f>
        <v>0.81599999999999995</v>
      </c>
      <c r="T678" s="4">
        <f>1/PHP!B678</f>
        <v>2.3413720440177945E-2</v>
      </c>
      <c r="U678" s="4">
        <f>1/PHP!C678</f>
        <v>2.3348120476301658E-2</v>
      </c>
      <c r="V678" s="4">
        <f>1/TWD!B678</f>
        <v>3.3878781719009383E-2</v>
      </c>
      <c r="W678" s="4">
        <f>1/TWD!C678</f>
        <v>3.3878781719009383E-2</v>
      </c>
      <c r="X678" s="4">
        <f>1/TWD!B678</f>
        <v>3.3878781719009383E-2</v>
      </c>
      <c r="Y678" s="4">
        <f>1/TWD!C678</f>
        <v>3.3878781719009383E-2</v>
      </c>
      <c r="Z678" s="4">
        <f>1/ZAR!B678</f>
        <v>0.13187218947396184</v>
      </c>
      <c r="AA678" s="4">
        <f>1/ZAR!C678</f>
        <v>0.13122842932692938</v>
      </c>
    </row>
    <row r="679" spans="1:27" x14ac:dyDescent="0.25">
      <c r="A679" t="str">
        <f>"13/03/2012"</f>
        <v>13/03/2012</v>
      </c>
      <c r="B679" s="3">
        <f>AUD!B679</f>
        <v>1.0552999999999999</v>
      </c>
      <c r="C679" s="3">
        <f>AUD!C679</f>
        <v>1.0513999999999999</v>
      </c>
      <c r="D679" s="3">
        <f>1/CAD!B679</f>
        <v>1.009387301907742</v>
      </c>
      <c r="E679" s="3">
        <f>1/CAD!C679</f>
        <v>1.0086746015735324</v>
      </c>
      <c r="F679" s="3">
        <f>EUR!B679/1</f>
        <v>1.3179000000000001</v>
      </c>
      <c r="G679" s="3">
        <f>EUR!C679/1</f>
        <v>1.3180000000000001</v>
      </c>
      <c r="H679" s="3">
        <f>GBP!B679/1</f>
        <v>1.5656000000000001</v>
      </c>
      <c r="I679" s="3">
        <f>GBP!C679/1</f>
        <v>1.5652999999999999</v>
      </c>
      <c r="J679" s="4">
        <f>1/INR!B679</f>
        <v>2.0049120344844872E-2</v>
      </c>
      <c r="K679" s="4">
        <f>1/INR!C679</f>
        <v>1.9879727647731226E-2</v>
      </c>
      <c r="L679" s="4">
        <f>1/JPY!B679</f>
        <v>1.2142184986188265E-2</v>
      </c>
      <c r="M679" s="4">
        <f>1/JPY!C679</f>
        <v>1.2145311363274765E-2</v>
      </c>
      <c r="N679" s="5">
        <f>1/KRW!B679</f>
        <v>8.9182199233033086E-4</v>
      </c>
      <c r="O679" s="5">
        <f>1/KRW!C679</f>
        <v>8.9179932553216999E-4</v>
      </c>
      <c r="P679" s="3">
        <f>1/NOK!B679</f>
        <v>0.17667220239567508</v>
      </c>
      <c r="Q679" s="3">
        <f>1/NOK!C679</f>
        <v>0.17641973784026957</v>
      </c>
      <c r="R679" s="3">
        <f>NZD!B679/1</f>
        <v>0.82310000000000005</v>
      </c>
      <c r="S679" s="3">
        <f>NZD!C679/1</f>
        <v>0.82130000000000003</v>
      </c>
      <c r="T679" s="4">
        <f>1/PHP!B679</f>
        <v>2.3471423541837816E-2</v>
      </c>
      <c r="U679" s="4">
        <f>1/PHP!C679</f>
        <v>2.3405500292568753E-2</v>
      </c>
      <c r="V679" s="4">
        <f>1/TWD!B679</f>
        <v>3.3919001424598062E-2</v>
      </c>
      <c r="W679" s="4">
        <f>1/TWD!C679</f>
        <v>3.3919001424598062E-2</v>
      </c>
      <c r="X679" s="4">
        <f>1/TWD!B679</f>
        <v>3.3919001424598062E-2</v>
      </c>
      <c r="Y679" s="4">
        <f>1/TWD!C679</f>
        <v>3.3919001424598062E-2</v>
      </c>
      <c r="Z679" s="4">
        <f>1/ZAR!B679</f>
        <v>0.13270343436488136</v>
      </c>
      <c r="AA679" s="4">
        <f>1/ZAR!C679</f>
        <v>0.13205852833976017</v>
      </c>
    </row>
    <row r="680" spans="1:27" x14ac:dyDescent="0.25">
      <c r="A680" t="str">
        <f>"14/03/2012"</f>
        <v>14/03/2012</v>
      </c>
      <c r="B680" s="3">
        <f>AUD!B680</f>
        <v>1.0516000000000001</v>
      </c>
      <c r="C680" s="3">
        <f>AUD!C680</f>
        <v>1.0478000000000001</v>
      </c>
      <c r="D680" s="3">
        <f>1/CAD!B680</f>
        <v>1.009387301907742</v>
      </c>
      <c r="E680" s="3">
        <f>1/CAD!C680</f>
        <v>1.0086746015735324</v>
      </c>
      <c r="F680" s="3">
        <f>EUR!B680/1</f>
        <v>1.3042</v>
      </c>
      <c r="G680" s="3">
        <f>EUR!C680/1</f>
        <v>1.3044</v>
      </c>
      <c r="H680" s="3">
        <f>GBP!B680/1</f>
        <v>1.5659000000000001</v>
      </c>
      <c r="I680" s="3">
        <f>GBP!C680/1</f>
        <v>1.5656000000000001</v>
      </c>
      <c r="J680" s="4">
        <f>1/INR!B680</f>
        <v>2.0038072337441138E-2</v>
      </c>
      <c r="K680" s="4">
        <f>1/INR!C680</f>
        <v>1.9873801361355393E-2</v>
      </c>
      <c r="L680" s="4">
        <f>1/JPY!B680</f>
        <v>1.2014176728539676E-2</v>
      </c>
      <c r="M680" s="4">
        <f>1/JPY!C680</f>
        <v>1.2016631017327981E-2</v>
      </c>
      <c r="N680" s="5">
        <f>1/KRW!B680</f>
        <v>8.8782350068806332E-4</v>
      </c>
      <c r="O680" s="5">
        <f>1/KRW!C680</f>
        <v>8.8779512529452609E-4</v>
      </c>
      <c r="P680" s="3">
        <f>1/NOK!B680</f>
        <v>0.17470300489168414</v>
      </c>
      <c r="Q680" s="3">
        <f>1/NOK!C680</f>
        <v>0.17446222020621432</v>
      </c>
      <c r="R680" s="3">
        <f>NZD!B680/1</f>
        <v>0.81820000000000004</v>
      </c>
      <c r="S680" s="3">
        <f>NZD!C680/1</f>
        <v>0.8165</v>
      </c>
      <c r="T680" s="4">
        <f>1/PHP!B680</f>
        <v>2.337540906965872E-2</v>
      </c>
      <c r="U680" s="4">
        <f>1/PHP!C680</f>
        <v>2.3310023310023312E-2</v>
      </c>
      <c r="V680" s="4">
        <f>1/TWD!B680</f>
        <v>3.387304383171872E-2</v>
      </c>
      <c r="W680" s="4">
        <f>1/TWD!C680</f>
        <v>3.387304383171872E-2</v>
      </c>
      <c r="X680" s="4">
        <f>1/TWD!B680</f>
        <v>3.387304383171872E-2</v>
      </c>
      <c r="Y680" s="4">
        <f>1/TWD!C680</f>
        <v>3.387304383171872E-2</v>
      </c>
      <c r="Z680" s="4">
        <f>1/ZAR!B680</f>
        <v>0.13233639912657977</v>
      </c>
      <c r="AA680" s="4">
        <f>1/ZAR!C680</f>
        <v>0.13173147855411529</v>
      </c>
    </row>
    <row r="681" spans="1:27" x14ac:dyDescent="0.25">
      <c r="A681" t="str">
        <f>"15/03/2012"</f>
        <v>15/03/2012</v>
      </c>
      <c r="B681" s="3">
        <f>AUD!B681</f>
        <v>1.0472999999999999</v>
      </c>
      <c r="C681" s="3">
        <f>AUD!C681</f>
        <v>1.0435000000000001</v>
      </c>
      <c r="D681" s="3">
        <f>1/CAD!B681</f>
        <v>1.006137438374082</v>
      </c>
      <c r="E681" s="3">
        <f>1/CAD!C681</f>
        <v>1.0055304172951232</v>
      </c>
      <c r="F681" s="3">
        <f>EUR!B681/1</f>
        <v>1.3041</v>
      </c>
      <c r="G681" s="3">
        <f>EUR!C681/1</f>
        <v>1.3043</v>
      </c>
      <c r="H681" s="3">
        <f>GBP!B681/1</f>
        <v>1.5646</v>
      </c>
      <c r="I681" s="3">
        <f>GBP!C681/1</f>
        <v>1.5642</v>
      </c>
      <c r="J681" s="4">
        <f>1/INR!B681</f>
        <v>1.9832416084089446E-2</v>
      </c>
      <c r="K681" s="4">
        <f>1/INR!C681</f>
        <v>1.9673421207948062E-2</v>
      </c>
      <c r="L681" s="4">
        <f>1/JPY!B681</f>
        <v>1.1948145050480913E-2</v>
      </c>
      <c r="M681" s="4">
        <f>1/JPY!C681</f>
        <v>1.1951286555997753E-2</v>
      </c>
      <c r="N681" s="5">
        <f>1/KRW!B681</f>
        <v>8.8652482269503544E-4</v>
      </c>
      <c r="O681" s="5">
        <f>1/KRW!C681</f>
        <v>8.8650281730595333E-4</v>
      </c>
      <c r="P681" s="3">
        <f>1/NOK!B681</f>
        <v>0.17224155155189638</v>
      </c>
      <c r="Q681" s="3">
        <f>1/NOK!C681</f>
        <v>0.17204005092385508</v>
      </c>
      <c r="R681" s="3">
        <f>NZD!B681/1</f>
        <v>0.81200000000000006</v>
      </c>
      <c r="S681" s="3">
        <f>NZD!C681/1</f>
        <v>0.81030000000000002</v>
      </c>
      <c r="T681" s="4">
        <f>1/PHP!B681</f>
        <v>2.3266635644485809E-2</v>
      </c>
      <c r="U681" s="4">
        <f>1/PHP!C681</f>
        <v>2.3185717597959656E-2</v>
      </c>
      <c r="V681" s="4">
        <f>1/TWD!B681</f>
        <v>3.3840947546531303E-2</v>
      </c>
      <c r="W681" s="4">
        <f>1/TWD!C681</f>
        <v>3.3840947546531303E-2</v>
      </c>
      <c r="X681" s="4">
        <f>1/TWD!B681</f>
        <v>3.3840947546531303E-2</v>
      </c>
      <c r="Y681" s="4">
        <f>1/TWD!C681</f>
        <v>3.3840947546531303E-2</v>
      </c>
      <c r="Z681" s="4">
        <f>1/ZAR!B681</f>
        <v>0.13032032736466234</v>
      </c>
      <c r="AA681" s="4">
        <f>1/ZAR!C681</f>
        <v>0.12972019354252876</v>
      </c>
    </row>
    <row r="682" spans="1:27" x14ac:dyDescent="0.25">
      <c r="A682" t="str">
        <f>"16/03/2012"</f>
        <v>16/03/2012</v>
      </c>
      <c r="B682" s="3">
        <f>AUD!B682</f>
        <v>1.0533999999999999</v>
      </c>
      <c r="C682" s="3">
        <f>AUD!C682</f>
        <v>1.0496000000000001</v>
      </c>
      <c r="D682" s="3">
        <f>1/CAD!B682</f>
        <v>1.0076582023377672</v>
      </c>
      <c r="E682" s="3">
        <f>1/CAD!C682</f>
        <v>1.006947940791461</v>
      </c>
      <c r="F682" s="3">
        <f>EUR!B682/1</f>
        <v>1.3089999999999999</v>
      </c>
      <c r="G682" s="3">
        <f>EUR!C682/1</f>
        <v>1.3091999999999999</v>
      </c>
      <c r="H682" s="3">
        <f>GBP!B682/1</f>
        <v>1.5718000000000001</v>
      </c>
      <c r="I682" s="3">
        <f>GBP!C682/1</f>
        <v>1.5714999999999999</v>
      </c>
      <c r="J682" s="4">
        <f>1/INR!B682</f>
        <v>1.9876764062810574E-2</v>
      </c>
      <c r="K682" s="4">
        <f>1/INR!C682</f>
        <v>1.971706018632622E-2</v>
      </c>
      <c r="L682" s="4">
        <f>1/JPY!B682</f>
        <v>1.1990407673860911E-2</v>
      </c>
      <c r="M682" s="4">
        <f>1/JPY!C682</f>
        <v>1.1993571445705103E-2</v>
      </c>
      <c r="N682" s="5">
        <f>1/KRW!B682</f>
        <v>8.8983804947499561E-4</v>
      </c>
      <c r="O682" s="5">
        <f>1/KRW!C682</f>
        <v>8.8981587929825559E-4</v>
      </c>
      <c r="P682" s="3">
        <f>1/NOK!B682</f>
        <v>0.17307026652821048</v>
      </c>
      <c r="Q682" s="3">
        <f>1/NOK!C682</f>
        <v>0.172869811744775</v>
      </c>
      <c r="R682" s="3">
        <f>NZD!B682/1</f>
        <v>0.82110000000000005</v>
      </c>
      <c r="S682" s="3">
        <f>NZD!C682/1</f>
        <v>0.81930000000000003</v>
      </c>
      <c r="T682" s="4">
        <f>1/PHP!B682</f>
        <v>2.3305677262981262E-2</v>
      </c>
      <c r="U682" s="4">
        <f>1/PHP!C682</f>
        <v>2.3237980154764946E-2</v>
      </c>
      <c r="V682" s="4">
        <f>1/TWD!B682</f>
        <v>3.3853549544669757E-2</v>
      </c>
      <c r="W682" s="4">
        <f>1/TWD!C682</f>
        <v>3.3853549544669757E-2</v>
      </c>
      <c r="X682" s="4">
        <f>1/TWD!B682</f>
        <v>3.3853549544669757E-2</v>
      </c>
      <c r="Y682" s="4">
        <f>1/TWD!C682</f>
        <v>3.3853549544669757E-2</v>
      </c>
      <c r="Z682" s="4">
        <f>1/ZAR!B682</f>
        <v>0.1312542657636373</v>
      </c>
      <c r="AA682" s="4">
        <f>1/ZAR!C682</f>
        <v>0.13066088274492382</v>
      </c>
    </row>
    <row r="683" spans="1:27" x14ac:dyDescent="0.25">
      <c r="A683" t="str">
        <f>"19/03/2012"</f>
        <v>19/03/2012</v>
      </c>
      <c r="B683" s="3">
        <f>AUD!B683</f>
        <v>1.0609</v>
      </c>
      <c r="C683" s="3">
        <f>AUD!C683</f>
        <v>1.0569</v>
      </c>
      <c r="D683" s="3">
        <f>1/CAD!B683</f>
        <v>1.0088781275221954</v>
      </c>
      <c r="E683" s="3">
        <f>1/CAD!C683</f>
        <v>1.008267795926598</v>
      </c>
      <c r="F683" s="3">
        <f>EUR!B683/1</f>
        <v>1.3172999999999999</v>
      </c>
      <c r="G683" s="3">
        <f>EUR!C683/1</f>
        <v>1.3174999999999999</v>
      </c>
      <c r="H683" s="3">
        <f>GBP!B683/1</f>
        <v>1.5845</v>
      </c>
      <c r="I683" s="3">
        <f>GBP!C683/1</f>
        <v>1.5841000000000001</v>
      </c>
      <c r="J683" s="4">
        <f>1/INR!B683</f>
        <v>1.9958088015168147E-2</v>
      </c>
      <c r="K683" s="4">
        <f>1/INR!C683</f>
        <v>1.9786307874950535E-2</v>
      </c>
      <c r="L683" s="4">
        <f>1/JPY!B683</f>
        <v>1.1992276973628983E-2</v>
      </c>
      <c r="M683" s="4">
        <f>1/JPY!C683</f>
        <v>1.1995297843245448E-2</v>
      </c>
      <c r="N683" s="5">
        <f>1/KRW!B683</f>
        <v>8.902341315766047E-4</v>
      </c>
      <c r="O683" s="5">
        <f>1/KRW!C683</f>
        <v>8.9021075294470583E-4</v>
      </c>
      <c r="P683" s="3">
        <f>1/NOK!B683</f>
        <v>0.17457186250720108</v>
      </c>
      <c r="Q683" s="3">
        <f>1/NOK!C683</f>
        <v>0.17437399734951525</v>
      </c>
      <c r="R683" s="3">
        <f>NZD!B683/1</f>
        <v>0.82569999999999999</v>
      </c>
      <c r="S683" s="3">
        <f>NZD!C683/1</f>
        <v>0.82379999999999998</v>
      </c>
      <c r="T683" s="4">
        <f>1/PHP!B683</f>
        <v>2.3282887077997669E-2</v>
      </c>
      <c r="U683" s="4">
        <f>1/PHP!C683</f>
        <v>2.3218017181332713E-2</v>
      </c>
      <c r="V683" s="4">
        <f>1/TWD!B683</f>
        <v>3.3886818027787188E-2</v>
      </c>
      <c r="W683" s="4">
        <f>1/TWD!C683</f>
        <v>3.3886818027787188E-2</v>
      </c>
      <c r="X683" s="4">
        <f>1/TWD!B683</f>
        <v>3.3886818027787188E-2</v>
      </c>
      <c r="Y683" s="4">
        <f>1/TWD!C683</f>
        <v>3.3886818027787188E-2</v>
      </c>
      <c r="Z683" s="4">
        <f>1/ZAR!B683</f>
        <v>0.13215626156367288</v>
      </c>
      <c r="AA683" s="4">
        <f>1/ZAR!C683</f>
        <v>0.13156163662675963</v>
      </c>
    </row>
    <row r="684" spans="1:27" x14ac:dyDescent="0.25">
      <c r="A684" t="str">
        <f>"20/03/2012"</f>
        <v>20/03/2012</v>
      </c>
      <c r="B684" s="3">
        <f>AUD!B684</f>
        <v>1.0576000000000001</v>
      </c>
      <c r="C684" s="3">
        <f>AUD!C684</f>
        <v>1.0537000000000001</v>
      </c>
      <c r="D684" s="3">
        <f>1/CAD!B684</f>
        <v>1.0119409026512851</v>
      </c>
      <c r="E684" s="3">
        <f>1/CAD!C684</f>
        <v>1.0112245929821013</v>
      </c>
      <c r="F684" s="3">
        <f>EUR!B684/1</f>
        <v>1.3233999999999999</v>
      </c>
      <c r="G684" s="3">
        <f>EUR!C684/1</f>
        <v>1.3236000000000001</v>
      </c>
      <c r="H684" s="3">
        <f>GBP!B684/1</f>
        <v>1.5872999999999999</v>
      </c>
      <c r="I684" s="3">
        <f>GBP!C684/1</f>
        <v>1.5871</v>
      </c>
      <c r="J684" s="4">
        <f>1/INR!B684</f>
        <v>1.9892580067634769E-2</v>
      </c>
      <c r="K684" s="4">
        <f>1/INR!C684</f>
        <v>1.9727756954034326E-2</v>
      </c>
      <c r="L684" s="4">
        <f>1/JPY!B684</f>
        <v>1.1983510689291536E-2</v>
      </c>
      <c r="M684" s="4">
        <f>1/JPY!C684</f>
        <v>1.1985808802377984E-2</v>
      </c>
      <c r="N684" s="5">
        <f>1/KRW!B684</f>
        <v>8.8920505068468801E-4</v>
      </c>
      <c r="O684" s="5">
        <f>1/KRW!C684</f>
        <v>8.8918212139292162E-4</v>
      </c>
      <c r="P684" s="3">
        <f>1/NOK!B684</f>
        <v>0.17472742521666199</v>
      </c>
      <c r="Q684" s="3">
        <f>1/NOK!C684</f>
        <v>0.17452006980802792</v>
      </c>
      <c r="R684" s="3">
        <f>NZD!B684/1</f>
        <v>0.82430000000000003</v>
      </c>
      <c r="S684" s="3">
        <f>NZD!C684/1</f>
        <v>0.82250000000000001</v>
      </c>
      <c r="T684" s="4">
        <f>1/PHP!B684</f>
        <v>2.3318176518596245E-2</v>
      </c>
      <c r="U684" s="4">
        <f>1/PHP!C684</f>
        <v>2.3247704289201442E-2</v>
      </c>
      <c r="V684" s="4">
        <f>1/TWD!B684</f>
        <v>3.3878781719009383E-2</v>
      </c>
      <c r="W684" s="4">
        <f>1/TWD!C684</f>
        <v>3.3878781719009383E-2</v>
      </c>
      <c r="X684" s="4">
        <f>1/TWD!B684</f>
        <v>3.3878781719009383E-2</v>
      </c>
      <c r="Y684" s="4">
        <f>1/TWD!C684</f>
        <v>3.3878781719009383E-2</v>
      </c>
      <c r="Z684" s="4">
        <f>1/ZAR!B684</f>
        <v>0.13245734873370774</v>
      </c>
      <c r="AA684" s="4">
        <f>1/ZAR!C684</f>
        <v>0.13184263263368842</v>
      </c>
    </row>
    <row r="685" spans="1:27" x14ac:dyDescent="0.25">
      <c r="A685" t="str">
        <f>"21/03/2012"</f>
        <v>21/03/2012</v>
      </c>
      <c r="B685" s="3">
        <f>AUD!B685</f>
        <v>1.0488</v>
      </c>
      <c r="C685" s="3">
        <f>AUD!C685</f>
        <v>1.0449999999999999</v>
      </c>
      <c r="D685" s="3">
        <f>1/CAD!B685</f>
        <v>1.0110201193003741</v>
      </c>
      <c r="E685" s="3">
        <f>1/CAD!C685</f>
        <v>1.0103051121438675</v>
      </c>
      <c r="F685" s="3">
        <f>EUR!B685/1</f>
        <v>1.3267</v>
      </c>
      <c r="G685" s="3">
        <f>EUR!C685/1</f>
        <v>1.3269</v>
      </c>
      <c r="H685" s="3">
        <f>GBP!B685/1</f>
        <v>1.5876999999999999</v>
      </c>
      <c r="I685" s="3">
        <f>GBP!C685/1</f>
        <v>1.5873999999999999</v>
      </c>
      <c r="J685" s="4">
        <f>1/INR!B685</f>
        <v>1.9801980198019802E-2</v>
      </c>
      <c r="K685" s="4">
        <f>1/INR!C685</f>
        <v>1.9624196634450277E-2</v>
      </c>
      <c r="L685" s="4">
        <f>1/JPY!B685</f>
        <v>1.1923498831497115E-2</v>
      </c>
      <c r="M685" s="4">
        <f>1/JPY!C685</f>
        <v>1.1926769634444511E-2</v>
      </c>
      <c r="N685" s="5">
        <f>1/KRW!B685</f>
        <v>8.8519075860848007E-4</v>
      </c>
      <c r="O685" s="5">
        <f>1/KRW!C685</f>
        <v>8.8516255125091166E-4</v>
      </c>
      <c r="P685" s="3">
        <f>1/NOK!B685</f>
        <v>0.17437095677343983</v>
      </c>
      <c r="Q685" s="3">
        <f>1/NOK!C685</f>
        <v>0.17417354652175429</v>
      </c>
      <c r="R685" s="3">
        <f>NZD!B685/1</f>
        <v>0.81830000000000003</v>
      </c>
      <c r="S685" s="3">
        <f>NZD!C685/1</f>
        <v>0.81659999999999999</v>
      </c>
      <c r="T685" s="4">
        <f>1/PHP!B685</f>
        <v>2.3247704289201442E-2</v>
      </c>
      <c r="U685" s="4">
        <f>1/PHP!C685</f>
        <v>2.3166917641607783E-2</v>
      </c>
      <c r="V685" s="4">
        <f>1/TWD!B685</f>
        <v>3.3846674564224064E-2</v>
      </c>
      <c r="W685" s="4">
        <f>1/TWD!C685</f>
        <v>3.3846674564224064E-2</v>
      </c>
      <c r="X685" s="4">
        <f>1/TWD!B685</f>
        <v>3.3846674564224064E-2</v>
      </c>
      <c r="Y685" s="4">
        <f>1/TWD!C685</f>
        <v>3.3846674564224064E-2</v>
      </c>
      <c r="Z685" s="4">
        <f>1/ZAR!B685</f>
        <v>0.13142331449599159</v>
      </c>
      <c r="AA685" s="4">
        <f>1/ZAR!C685</f>
        <v>0.13081813662646191</v>
      </c>
    </row>
    <row r="686" spans="1:27" x14ac:dyDescent="0.25">
      <c r="A686" t="str">
        <f>"22/03/2012"</f>
        <v>22/03/2012</v>
      </c>
      <c r="B686" s="3">
        <f>AUD!B686</f>
        <v>1.0371999999999999</v>
      </c>
      <c r="C686" s="3">
        <f>AUD!C686</f>
        <v>1.0335000000000001</v>
      </c>
      <c r="D686" s="3">
        <f>1/CAD!B686</f>
        <v>1.0043185698503565</v>
      </c>
      <c r="E686" s="3">
        <f>1/CAD!C686</f>
        <v>1.0037137408411121</v>
      </c>
      <c r="F686" s="3">
        <f>EUR!B686/1</f>
        <v>1.3158000000000001</v>
      </c>
      <c r="G686" s="3">
        <f>EUR!C686/1</f>
        <v>1.3160000000000001</v>
      </c>
      <c r="H686" s="3">
        <f>GBP!B686/1</f>
        <v>1.5792999999999999</v>
      </c>
      <c r="I686" s="3">
        <f>GBP!C686/1</f>
        <v>1.5789</v>
      </c>
      <c r="J686" s="4">
        <f>1/INR!B686</f>
        <v>1.9569471624266144E-2</v>
      </c>
      <c r="K686" s="4">
        <f>1/INR!C686</f>
        <v>1.9397701372387371E-2</v>
      </c>
      <c r="L686" s="4">
        <f>1/JPY!B686</f>
        <v>1.205240385194827E-2</v>
      </c>
      <c r="M686" s="4">
        <f>1/JPY!C686</f>
        <v>1.2055745768433237E-2</v>
      </c>
      <c r="N686" s="5">
        <f>1/KRW!B686</f>
        <v>8.8511240927597809E-4</v>
      </c>
      <c r="O686" s="5">
        <f>1/KRW!C686</f>
        <v>8.8508381522459231E-4</v>
      </c>
      <c r="P686" s="3">
        <f>1/NOK!B686</f>
        <v>0.17253278122843341</v>
      </c>
      <c r="Q686" s="3">
        <f>1/NOK!C686</f>
        <v>0.17233950883239982</v>
      </c>
      <c r="R686" s="3">
        <f>NZD!B686/1</f>
        <v>0.80840000000000001</v>
      </c>
      <c r="S686" s="3">
        <f>NZD!C686/1</f>
        <v>0.80669999999999997</v>
      </c>
      <c r="T686" s="4">
        <f>1/PHP!B686</f>
        <v>2.3207240659085634E-2</v>
      </c>
      <c r="U686" s="4">
        <f>1/PHP!C686</f>
        <v>2.3145469274389541E-2</v>
      </c>
      <c r="V686" s="4">
        <f>1/TWD!B686</f>
        <v>3.3766672294445382E-2</v>
      </c>
      <c r="W686" s="4">
        <f>1/TWD!C686</f>
        <v>3.3766672294445382E-2</v>
      </c>
      <c r="X686" s="4">
        <f>1/TWD!B686</f>
        <v>3.3766672294445382E-2</v>
      </c>
      <c r="Y686" s="4">
        <f>1/TWD!C686</f>
        <v>3.3766672294445382E-2</v>
      </c>
      <c r="Z686" s="4">
        <f>1/ZAR!B686</f>
        <v>0.12932595313227457</v>
      </c>
      <c r="AA686" s="4">
        <f>1/ZAR!C686</f>
        <v>0.12872995031023918</v>
      </c>
    </row>
    <row r="687" spans="1:27" x14ac:dyDescent="0.25">
      <c r="A687" t="str">
        <f>"26/03/2012"</f>
        <v>26/03/2012</v>
      </c>
      <c r="B687" s="3">
        <f>AUD!B687</f>
        <v>1.0469999999999999</v>
      </c>
      <c r="C687" s="3">
        <f>AUD!C687</f>
        <v>1.0429999999999999</v>
      </c>
      <c r="D687" s="3">
        <f>1/CAD!B687</f>
        <v>1.0029084344599337</v>
      </c>
      <c r="E687" s="3">
        <f>1/CAD!C687</f>
        <v>1.0022048506714771</v>
      </c>
      <c r="F687" s="3">
        <f>EUR!B687/1</f>
        <v>1.3236000000000001</v>
      </c>
      <c r="G687" s="3">
        <f>EUR!C687/1</f>
        <v>1.3238000000000001</v>
      </c>
      <c r="H687" s="3">
        <f>GBP!B687/1</f>
        <v>1.5855999999999999</v>
      </c>
      <c r="I687" s="3">
        <f>GBP!C687/1</f>
        <v>1.5851999999999999</v>
      </c>
      <c r="J687" s="4">
        <f>1/INR!B687</f>
        <v>1.9458092134066254E-2</v>
      </c>
      <c r="K687" s="4">
        <f>1/INR!C687</f>
        <v>1.9270607505901625E-2</v>
      </c>
      <c r="L687" s="4">
        <f>1/JPY!B687</f>
        <v>1.2075836251660426E-2</v>
      </c>
      <c r="M687" s="4">
        <f>1/JPY!C687</f>
        <v>1.2078899370689343E-2</v>
      </c>
      <c r="N687" s="5">
        <f>1/KRW!B687</f>
        <v>8.7584847821326915E-4</v>
      </c>
      <c r="O687" s="5">
        <f>1/KRW!C687</f>
        <v>8.7581932898226288E-4</v>
      </c>
      <c r="P687" s="3">
        <f>1/NOK!B687</f>
        <v>0.17391304347826086</v>
      </c>
      <c r="Q687" s="3">
        <f>1/NOK!C687</f>
        <v>0.17370459796070803</v>
      </c>
      <c r="R687" s="3">
        <f>NZD!B687/1</f>
        <v>0.81759999999999999</v>
      </c>
      <c r="S687" s="3">
        <f>NZD!C687/1</f>
        <v>0.81579999999999997</v>
      </c>
      <c r="T687" s="4">
        <f>1/PHP!B687</f>
        <v>2.3223409196470042E-2</v>
      </c>
      <c r="U687" s="4">
        <f>1/PHP!C687</f>
        <v>2.3150827642088204E-2</v>
      </c>
      <c r="V687" s="4">
        <f>1/TWD!B687</f>
        <v>3.3726812816188868E-2</v>
      </c>
      <c r="W687" s="4">
        <f>1/TWD!C687</f>
        <v>3.3726812816188868E-2</v>
      </c>
      <c r="X687" s="4">
        <f>1/TWD!B687</f>
        <v>3.3726812816188868E-2</v>
      </c>
      <c r="Y687" s="4">
        <f>1/TWD!C687</f>
        <v>3.3726812816188868E-2</v>
      </c>
      <c r="Z687" s="4">
        <f>1/ZAR!B687</f>
        <v>0.13055171153293821</v>
      </c>
      <c r="AA687" s="4">
        <f>1/ZAR!C687</f>
        <v>0.12992412431140216</v>
      </c>
    </row>
    <row r="688" spans="1:27" x14ac:dyDescent="0.25">
      <c r="A688" t="str">
        <f>"27/03/2012"</f>
        <v>27/03/2012</v>
      </c>
      <c r="B688" s="3">
        <f>AUD!B688</f>
        <v>1.0508</v>
      </c>
      <c r="C688" s="3">
        <f>AUD!C688</f>
        <v>1.0469999999999999</v>
      </c>
      <c r="D688" s="3">
        <f>1/CAD!B688</f>
        <v>1.0083694665725522</v>
      </c>
      <c r="E688" s="3">
        <f>1/CAD!C688</f>
        <v>1.0076582023377672</v>
      </c>
      <c r="F688" s="3">
        <f>EUR!B688/1</f>
        <v>1.3348</v>
      </c>
      <c r="G688" s="3">
        <f>EUR!C688/1</f>
        <v>1.3349</v>
      </c>
      <c r="H688" s="3">
        <f>GBP!B688/1</f>
        <v>1.5962000000000001</v>
      </c>
      <c r="I688" s="3">
        <f>GBP!C688/1</f>
        <v>1.5958000000000001</v>
      </c>
      <c r="J688" s="4">
        <f>1/INR!B688</f>
        <v>1.9556077050943581E-2</v>
      </c>
      <c r="K688" s="4">
        <f>1/INR!C688</f>
        <v>1.9365770999757927E-2</v>
      </c>
      <c r="L688" s="4">
        <f>1/JPY!B688</f>
        <v>1.2067966788955397E-2</v>
      </c>
      <c r="M688" s="4">
        <f>1/JPY!C688</f>
        <v>1.2070880208584812E-2</v>
      </c>
      <c r="N688" s="5">
        <f>1/KRW!B688</f>
        <v>8.7962352113295521E-4</v>
      </c>
      <c r="O688" s="5">
        <f>1/KRW!C688</f>
        <v>8.7958290178797216E-4</v>
      </c>
      <c r="P688" s="3">
        <f>1/NOK!B688</f>
        <v>0.1759757857318833</v>
      </c>
      <c r="Q688" s="3">
        <f>1/NOK!C688</f>
        <v>0.17576854797602517</v>
      </c>
      <c r="R688" s="3">
        <f>NZD!B688/1</f>
        <v>0.82150000000000001</v>
      </c>
      <c r="S688" s="3">
        <f>NZD!C688/1</f>
        <v>0.81969999999999998</v>
      </c>
      <c r="T688" s="4">
        <f>1/PHP!B688</f>
        <v>2.3277467411545624E-2</v>
      </c>
      <c r="U688" s="4">
        <f>1/PHP!C688</f>
        <v>2.3223409196470042E-2</v>
      </c>
      <c r="V688" s="4">
        <f>1/TWD!B688</f>
        <v>3.3811198268866645E-2</v>
      </c>
      <c r="W688" s="4">
        <f>1/TWD!C688</f>
        <v>3.3811198268866645E-2</v>
      </c>
      <c r="X688" s="4">
        <f>1/TWD!B688</f>
        <v>3.3811198268866645E-2</v>
      </c>
      <c r="Y688" s="4">
        <f>1/TWD!C688</f>
        <v>3.3811198268866645E-2</v>
      </c>
      <c r="Z688" s="4">
        <f>1/ZAR!B688</f>
        <v>0.13165170225651018</v>
      </c>
      <c r="AA688" s="4">
        <f>1/ZAR!C688</f>
        <v>0.13102897050537873</v>
      </c>
    </row>
    <row r="689" spans="1:27" x14ac:dyDescent="0.25">
      <c r="A689" t="str">
        <f>"28/03/2012"</f>
        <v>28/03/2012</v>
      </c>
      <c r="B689" s="3">
        <f>AUD!B689</f>
        <v>1.0428999999999999</v>
      </c>
      <c r="C689" s="3">
        <f>AUD!C689</f>
        <v>1.0392999999999999</v>
      </c>
      <c r="D689" s="3">
        <f>1/CAD!B689</f>
        <v>1.0036130068245686</v>
      </c>
      <c r="E689" s="3">
        <f>1/CAD!C689</f>
        <v>1.0030090270812437</v>
      </c>
      <c r="F689" s="3">
        <f>EUR!B689/1</f>
        <v>1.3352999999999999</v>
      </c>
      <c r="G689" s="3">
        <f>EUR!C689/1</f>
        <v>1.3354999999999999</v>
      </c>
      <c r="H689" s="3">
        <f>GBP!B689/1</f>
        <v>1.5905</v>
      </c>
      <c r="I689" s="3">
        <f>GBP!C689/1</f>
        <v>1.5902000000000001</v>
      </c>
      <c r="J689" s="4">
        <f>1/INR!B689</f>
        <v>1.9681165124975399E-2</v>
      </c>
      <c r="K689" s="4">
        <f>1/INR!C689</f>
        <v>1.9495077492933034E-2</v>
      </c>
      <c r="L689" s="4">
        <f>1/JPY!B689</f>
        <v>1.2068695012008352E-2</v>
      </c>
      <c r="M689" s="4">
        <f>1/JPY!C689</f>
        <v>1.2071244484950177E-2</v>
      </c>
      <c r="N689" s="5">
        <f>1/KRW!B689</f>
        <v>8.8055298727600926E-4</v>
      </c>
      <c r="O689" s="5">
        <f>1/KRW!C689</f>
        <v>8.8052972668357281E-4</v>
      </c>
      <c r="P689" s="3">
        <f>1/NOK!B689</f>
        <v>0.17593863260494741</v>
      </c>
      <c r="Q689" s="3">
        <f>1/NOK!C689</f>
        <v>0.17573765882290918</v>
      </c>
      <c r="R689" s="3">
        <f>NZD!B689/1</f>
        <v>0.82030000000000003</v>
      </c>
      <c r="S689" s="3">
        <f>NZD!C689/1</f>
        <v>0.81859999999999999</v>
      </c>
      <c r="T689" s="4">
        <f>1/PHP!B689</f>
        <v>2.3285597857724997E-2</v>
      </c>
      <c r="U689" s="4">
        <f>1/PHP!C689</f>
        <v>2.3226106143305076E-2</v>
      </c>
      <c r="V689" s="4">
        <f>1/TWD!B689</f>
        <v>3.3846674564224064E-2</v>
      </c>
      <c r="W689" s="4">
        <f>1/TWD!C689</f>
        <v>3.3846674564224064E-2</v>
      </c>
      <c r="X689" s="4">
        <f>1/TWD!B689</f>
        <v>3.3846674564224064E-2</v>
      </c>
      <c r="Y689" s="4">
        <f>1/TWD!C689</f>
        <v>3.3846674564224064E-2</v>
      </c>
      <c r="Z689" s="4">
        <f>1/ZAR!B689</f>
        <v>0.131250820317627</v>
      </c>
      <c r="AA689" s="4">
        <f>1/ZAR!C689</f>
        <v>0.13065576126579301</v>
      </c>
    </row>
    <row r="690" spans="1:27" x14ac:dyDescent="0.25">
      <c r="A690" t="str">
        <f>"29/03/2012"</f>
        <v>29/03/2012</v>
      </c>
      <c r="B690" s="3">
        <f>AUD!B690</f>
        <v>1.0351999999999999</v>
      </c>
      <c r="C690" s="3">
        <f>AUD!C690</f>
        <v>1.0317000000000001</v>
      </c>
      <c r="D690" s="3">
        <f>1/CAD!B690</f>
        <v>0.99970008997300808</v>
      </c>
      <c r="E690" s="3">
        <f>1/CAD!C690</f>
        <v>0.99900099900099915</v>
      </c>
      <c r="F690" s="3">
        <f>EUR!B690/1</f>
        <v>1.3288</v>
      </c>
      <c r="G690" s="3">
        <f>EUR!C690/1</f>
        <v>1.3289</v>
      </c>
      <c r="H690" s="3">
        <f>GBP!B690/1</f>
        <v>1.5884</v>
      </c>
      <c r="I690" s="3">
        <f>GBP!C690/1</f>
        <v>1.5881000000000001</v>
      </c>
      <c r="J690" s="4">
        <f>1/INR!B690</f>
        <v>1.9514098936481608E-2</v>
      </c>
      <c r="K690" s="4">
        <f>1/INR!C690</f>
        <v>1.9373274567733811E-2</v>
      </c>
      <c r="L690" s="4">
        <f>1/JPY!B690</f>
        <v>1.2149339683388207E-2</v>
      </c>
      <c r="M690" s="4">
        <f>1/JPY!C690</f>
        <v>1.2152144853566653E-2</v>
      </c>
      <c r="N690" s="5">
        <f>1/KRW!B690</f>
        <v>8.7950747581354446E-4</v>
      </c>
      <c r="O690" s="5">
        <f>1/KRW!C690</f>
        <v>8.7947962949282165E-4</v>
      </c>
      <c r="P690" s="3">
        <f>1/NOK!B690</f>
        <v>0.17400685587012127</v>
      </c>
      <c r="Q690" s="3">
        <f>1/NOK!C690</f>
        <v>0.17381328976413535</v>
      </c>
      <c r="R690" s="3">
        <f>NZD!B690/1</f>
        <v>0.8155</v>
      </c>
      <c r="S690" s="3">
        <f>NZD!C690/1</f>
        <v>0.81389999999999996</v>
      </c>
      <c r="T690" s="4">
        <f>1/PHP!B690</f>
        <v>2.3220712875885292E-2</v>
      </c>
      <c r="U690" s="4">
        <f>1/PHP!C690</f>
        <v>2.3161015378914209E-2</v>
      </c>
      <c r="V690" s="4">
        <f>1/TWD!B690</f>
        <v>3.3823778116015557E-2</v>
      </c>
      <c r="W690" s="4">
        <f>1/TWD!C690</f>
        <v>3.3823778116015557E-2</v>
      </c>
      <c r="X690" s="4">
        <f>1/TWD!B690</f>
        <v>3.3823778116015557E-2</v>
      </c>
      <c r="Y690" s="4">
        <f>1/TWD!C690</f>
        <v>3.3823778116015557E-2</v>
      </c>
      <c r="Z690" s="4">
        <f>1/ZAR!B690</f>
        <v>0.12931926339747568</v>
      </c>
      <c r="AA690" s="4">
        <f>1/ZAR!C690</f>
        <v>0.12875481221110638</v>
      </c>
    </row>
    <row r="691" spans="1:27" x14ac:dyDescent="0.25">
      <c r="A691" t="str">
        <f>"30/03/2012"</f>
        <v>30/03/2012</v>
      </c>
      <c r="B691" s="3">
        <f>AUD!B691</f>
        <v>1.0402</v>
      </c>
      <c r="C691" s="3">
        <f>AUD!C691</f>
        <v>1.0367</v>
      </c>
      <c r="D691" s="3">
        <f>1/CAD!B691</f>
        <v>1.0035122930255895</v>
      </c>
      <c r="E691" s="3">
        <f>1/CAD!C691</f>
        <v>1.0029084344599337</v>
      </c>
      <c r="F691" s="3">
        <f>EUR!B691/1</f>
        <v>1.3347</v>
      </c>
      <c r="G691" s="3">
        <f>EUR!C691/1</f>
        <v>1.3348</v>
      </c>
      <c r="H691" s="3">
        <f>GBP!B691/1</f>
        <v>1.6023000000000001</v>
      </c>
      <c r="I691" s="3">
        <f>GBP!C691/1</f>
        <v>1.6020000000000001</v>
      </c>
      <c r="J691" s="4">
        <f>1/INR!B691</f>
        <v>1.9654088050314465E-2</v>
      </c>
      <c r="K691" s="4">
        <f>1/INR!C691</f>
        <v>1.9515050983070693E-2</v>
      </c>
      <c r="L691" s="4">
        <f>1/JPY!B691</f>
        <v>1.2195716864237281E-2</v>
      </c>
      <c r="M691" s="4">
        <f>1/JPY!C691</f>
        <v>1.21991387408049E-2</v>
      </c>
      <c r="N691" s="5">
        <f>1/KRW!B691</f>
        <v>8.823788934968676E-4</v>
      </c>
      <c r="O691" s="5">
        <f>1/KRW!C691</f>
        <v>8.8235670416829718E-4</v>
      </c>
      <c r="P691" s="3">
        <f>1/NOK!B691</f>
        <v>0.17551557700745943</v>
      </c>
      <c r="Q691" s="3">
        <f>1/NOK!C691</f>
        <v>0.17531249452148454</v>
      </c>
      <c r="R691" s="3">
        <f>NZD!B691/1</f>
        <v>0.82169999999999999</v>
      </c>
      <c r="S691" s="3">
        <f>NZD!C691/1</f>
        <v>0.82</v>
      </c>
      <c r="T691" s="4">
        <f>1/PHP!B691</f>
        <v>2.3299161230195712E-2</v>
      </c>
      <c r="U691" s="4">
        <f>1/PHP!C691</f>
        <v>2.3228803716608595E-2</v>
      </c>
      <c r="V691" s="4">
        <f>1/TWD!B691</f>
        <v>3.3861573885954219E-2</v>
      </c>
      <c r="W691" s="4">
        <f>1/TWD!C691</f>
        <v>3.3861573885954219E-2</v>
      </c>
      <c r="X691" s="4">
        <f>1/TWD!B691</f>
        <v>3.3861573885954219E-2</v>
      </c>
      <c r="Y691" s="4">
        <f>1/TWD!C691</f>
        <v>3.3861573885954219E-2</v>
      </c>
      <c r="Z691" s="4">
        <f>1/ZAR!B691</f>
        <v>0.13029485726198387</v>
      </c>
      <c r="AA691" s="4">
        <f>1/ZAR!C691</f>
        <v>0.12972524193757623</v>
      </c>
    </row>
    <row r="692" spans="1:27" x14ac:dyDescent="0.25">
      <c r="A692" t="str">
        <f>"03/04/2012"</f>
        <v>03/04/2012</v>
      </c>
      <c r="B692" s="3">
        <f>AUD!B692</f>
        <v>1.0383</v>
      </c>
      <c r="C692" s="3">
        <f>AUD!C692</f>
        <v>1.0345</v>
      </c>
      <c r="D692" s="3">
        <f>1/CAD!B692</f>
        <v>1.0095911155981827</v>
      </c>
      <c r="E692" s="3">
        <f>1/CAD!C692</f>
        <v>1.0089799212995663</v>
      </c>
      <c r="F692" s="3">
        <f>EUR!B692/1</f>
        <v>1.3341000000000001</v>
      </c>
      <c r="G692" s="3">
        <f>EUR!C692/1</f>
        <v>1.3342000000000001</v>
      </c>
      <c r="H692" s="3">
        <f>GBP!B692/1</f>
        <v>1.603</v>
      </c>
      <c r="I692" s="3">
        <f>GBP!C692/1</f>
        <v>1.6026</v>
      </c>
      <c r="J692" s="4">
        <f>1/INR!B692</f>
        <v>1.9772614928324269E-2</v>
      </c>
      <c r="K692" s="4">
        <f>1/INR!C692</f>
        <v>1.9630938358853555E-2</v>
      </c>
      <c r="L692" s="4">
        <f>1/JPY!B692</f>
        <v>1.2188433176915108E-2</v>
      </c>
      <c r="M692" s="4">
        <f>1/JPY!C692</f>
        <v>1.2191107805966328E-2</v>
      </c>
      <c r="N692" s="5">
        <f>1/KRW!B692</f>
        <v>8.9126559714795004E-4</v>
      </c>
      <c r="O692" s="5">
        <f>1/KRW!C692</f>
        <v>8.9123541270438259E-4</v>
      </c>
      <c r="P692" s="3">
        <f>1/NOK!B692</f>
        <v>0.17643218828843132</v>
      </c>
      <c r="Q692" s="3">
        <f>1/NOK!C692</f>
        <v>0.17622698035069168</v>
      </c>
      <c r="R692" s="3">
        <f>NZD!B692/1</f>
        <v>0.82250000000000001</v>
      </c>
      <c r="S692" s="3">
        <f>NZD!C692/1</f>
        <v>0.82069999999999999</v>
      </c>
      <c r="T692" s="4">
        <f>1/PHP!B692</f>
        <v>2.3419203747072598E-2</v>
      </c>
      <c r="U692" s="4">
        <f>1/PHP!C692</f>
        <v>2.3356300362022658E-2</v>
      </c>
      <c r="V692" s="4">
        <f>1/TWD!B692</f>
        <v>3.3932813030200203E-2</v>
      </c>
      <c r="W692" s="4">
        <f>1/TWD!C692</f>
        <v>3.3932813030200203E-2</v>
      </c>
      <c r="X692" s="4">
        <f>1/TWD!B692</f>
        <v>3.3932813030200203E-2</v>
      </c>
      <c r="Y692" s="4">
        <f>1/TWD!C692</f>
        <v>3.3932813030200203E-2</v>
      </c>
      <c r="Z692" s="4">
        <f>1/ZAR!B692</f>
        <v>0.13072066301520283</v>
      </c>
      <c r="AA692" s="4">
        <f>1/ZAR!C692</f>
        <v>0.13010330202180531</v>
      </c>
    </row>
    <row r="693" spans="1:27" x14ac:dyDescent="0.25">
      <c r="A693" t="str">
        <f>"04/04/2012"</f>
        <v>04/04/2012</v>
      </c>
      <c r="B693" s="3">
        <f>AUD!B693</f>
        <v>1.0262</v>
      </c>
      <c r="C693" s="3">
        <f>AUD!C693</f>
        <v>1.0226</v>
      </c>
      <c r="D693" s="3">
        <f>1/CAD!B693</f>
        <v>1.0057326762546515</v>
      </c>
      <c r="E693" s="3">
        <f>1/CAD!C693</f>
        <v>1.0051261433309879</v>
      </c>
      <c r="F693" s="3">
        <f>EUR!B693/1</f>
        <v>1.3166</v>
      </c>
      <c r="G693" s="3">
        <f>EUR!C693/1</f>
        <v>1.3167</v>
      </c>
      <c r="H693" s="3">
        <f>GBP!B693/1</f>
        <v>1.5875999999999999</v>
      </c>
      <c r="I693" s="3">
        <f>GBP!C693/1</f>
        <v>1.5872999999999999</v>
      </c>
      <c r="J693" s="4">
        <f>1/INR!B693</f>
        <v>1.9556077050943581E-2</v>
      </c>
      <c r="K693" s="4">
        <f>1/INR!C693</f>
        <v>1.941936110301971E-2</v>
      </c>
      <c r="L693" s="4">
        <f>1/JPY!B693</f>
        <v>1.2165894132389259E-2</v>
      </c>
      <c r="M693" s="4">
        <f>1/JPY!C693</f>
        <v>1.2168558877572129E-2</v>
      </c>
      <c r="N693" s="5">
        <f>1/KRW!B693</f>
        <v>8.852495297111873E-4</v>
      </c>
      <c r="O693" s="5">
        <f>1/KRW!C693</f>
        <v>8.8522053499188254E-4</v>
      </c>
      <c r="P693" s="3">
        <f>1/NOK!B693</f>
        <v>0.17398263653287402</v>
      </c>
      <c r="Q693" s="3">
        <f>1/NOK!C693</f>
        <v>0.17377704405248065</v>
      </c>
      <c r="R693" s="3">
        <f>NZD!B693/1</f>
        <v>0.81420000000000003</v>
      </c>
      <c r="S693" s="3">
        <f>NZD!C693/1</f>
        <v>0.8125</v>
      </c>
      <c r="T693" s="4">
        <f>1/PHP!B693</f>
        <v>2.3337222870478413E-2</v>
      </c>
      <c r="U693" s="4">
        <f>1/PHP!C693</f>
        <v>2.3260141421659844E-2</v>
      </c>
      <c r="V693" s="4">
        <f>1/TWD!B693</f>
        <v>3.3886818027787188E-2</v>
      </c>
      <c r="W693" s="4">
        <f>1/TWD!C693</f>
        <v>3.3886818027787188E-2</v>
      </c>
      <c r="X693" s="4">
        <f>1/TWD!B693</f>
        <v>3.3886818027787188E-2</v>
      </c>
      <c r="Y693" s="4">
        <f>1/TWD!C693</f>
        <v>3.3886818027787188E-2</v>
      </c>
      <c r="Z693" s="4" t="e">
        <f>1/ZAR!B693</f>
        <v>#DIV/0!</v>
      </c>
      <c r="AA693" s="4" t="e">
        <f>1/ZAR!C693</f>
        <v>#DIV/0!</v>
      </c>
    </row>
    <row r="694" spans="1:27" x14ac:dyDescent="0.25">
      <c r="A694" t="str">
        <f>"10/04/2012"</f>
        <v>10/04/2012</v>
      </c>
      <c r="B694" s="3">
        <f>AUD!B694</f>
        <v>1.0313000000000001</v>
      </c>
      <c r="C694" s="3">
        <f>AUD!C694</f>
        <v>1.0276000000000001</v>
      </c>
      <c r="D694" s="3">
        <f>1/CAD!B694</f>
        <v>1.0039152695512499</v>
      </c>
      <c r="E694" s="3">
        <f>1/CAD!C694</f>
        <v>1.0033109260559847</v>
      </c>
      <c r="F694" s="3">
        <f>EUR!B694/1</f>
        <v>1.3129999999999999</v>
      </c>
      <c r="G694" s="3">
        <f>EUR!C694/1</f>
        <v>1.3131999999999999</v>
      </c>
      <c r="H694" s="3">
        <f>GBP!B694/1</f>
        <v>1.5925</v>
      </c>
      <c r="I694" s="3">
        <f>GBP!C694/1</f>
        <v>1.5921000000000001</v>
      </c>
      <c r="J694" s="4">
        <f>1/INR!B694</f>
        <v>1.9547475932170259E-2</v>
      </c>
      <c r="K694" s="4">
        <f>1/INR!C694</f>
        <v>1.939582020074674E-2</v>
      </c>
      <c r="L694" s="4">
        <f>1/JPY!B694</f>
        <v>1.2264596402793876E-2</v>
      </c>
      <c r="M694" s="4">
        <f>1/JPY!C694</f>
        <v>1.2267605547411228E-2</v>
      </c>
      <c r="N694" s="5">
        <f>1/KRW!B694</f>
        <v>8.7819443224729948E-4</v>
      </c>
      <c r="O694" s="5">
        <f>1/KRW!C694</f>
        <v>8.7817283846537534E-4</v>
      </c>
      <c r="P694" s="3">
        <f>1/NOK!B694</f>
        <v>0.17346655564807104</v>
      </c>
      <c r="Q694" s="3">
        <f>1/NOK!C694</f>
        <v>0.1732531748644294</v>
      </c>
      <c r="R694" s="3">
        <f>NZD!B694/1</f>
        <v>0.8206</v>
      </c>
      <c r="S694" s="3">
        <f>NZD!C694/1</f>
        <v>0.81879999999999997</v>
      </c>
      <c r="T694" s="4">
        <f>1/PHP!B694</f>
        <v>2.3364485981308414E-2</v>
      </c>
      <c r="U694" s="4">
        <f>1/PHP!C694</f>
        <v>2.3304591004427874E-2</v>
      </c>
      <c r="V694" s="4">
        <f>1/TWD!B694</f>
        <v>3.3879929529746583E-2</v>
      </c>
      <c r="W694" s="4">
        <f>1/TWD!C694</f>
        <v>3.3879929529746583E-2</v>
      </c>
      <c r="X694" s="4">
        <f>1/TWD!B694</f>
        <v>3.3879929529746583E-2</v>
      </c>
      <c r="Y694" s="4">
        <f>1/TWD!C694</f>
        <v>3.3879929529746583E-2</v>
      </c>
      <c r="Z694" s="4">
        <f>1/ZAR!B694</f>
        <v>0.12685847668341199</v>
      </c>
      <c r="AA694" s="4">
        <f>1/ZAR!C694</f>
        <v>0.12630887572469718</v>
      </c>
    </row>
    <row r="695" spans="1:27" x14ac:dyDescent="0.25">
      <c r="A695" t="str">
        <f>"11/04/2012"</f>
        <v>11/04/2012</v>
      </c>
      <c r="B695" s="3">
        <f>AUD!B695</f>
        <v>1.0307999999999999</v>
      </c>
      <c r="C695" s="3">
        <f>AUD!C695</f>
        <v>1.0271999999999999</v>
      </c>
      <c r="D695" s="3">
        <f>1/CAD!B695</f>
        <v>0.99800399201596801</v>
      </c>
      <c r="E695" s="3">
        <f>1/CAD!C695</f>
        <v>0.99730727037000111</v>
      </c>
      <c r="F695" s="3">
        <f>EUR!B695/1</f>
        <v>1.3141</v>
      </c>
      <c r="G695" s="3">
        <f>EUR!C695/1</f>
        <v>1.3143</v>
      </c>
      <c r="H695" s="3">
        <f>GBP!B695/1</f>
        <v>1.5922000000000001</v>
      </c>
      <c r="I695" s="3">
        <f>GBP!C695/1</f>
        <v>1.5919000000000001</v>
      </c>
      <c r="J695" s="4">
        <f>1/INR!B695</f>
        <v>1.9402405898331393E-2</v>
      </c>
      <c r="K695" s="4">
        <f>1/INR!C695</f>
        <v>1.9258545979778528E-2</v>
      </c>
      <c r="L695" s="4">
        <f>1/JPY!B695</f>
        <v>1.2367436539591256E-2</v>
      </c>
      <c r="M695" s="4">
        <f>1/JPY!C695</f>
        <v>1.2370496366166692E-2</v>
      </c>
      <c r="N695" s="5">
        <f>1/KRW!B695</f>
        <v>8.7366765682334448E-4</v>
      </c>
      <c r="O695" s="5">
        <f>1/KRW!C695</f>
        <v>8.7364056068503894E-4</v>
      </c>
      <c r="P695" s="3">
        <f>1/NOK!B695</f>
        <v>0.17309423250017311</v>
      </c>
      <c r="Q695" s="3">
        <f>1/NOK!C695</f>
        <v>0.17289073305670816</v>
      </c>
      <c r="R695" s="3">
        <f>NZD!B695/1</f>
        <v>0.81910000000000005</v>
      </c>
      <c r="S695" s="3">
        <f>NZD!C695/1</f>
        <v>0.81740000000000002</v>
      </c>
      <c r="T695" s="4">
        <f>1/PHP!B695</f>
        <v>2.3386342376052388E-2</v>
      </c>
      <c r="U695" s="4">
        <f>1/PHP!C695</f>
        <v>2.3320895522388058E-2</v>
      </c>
      <c r="V695" s="4">
        <f>1/TWD!B695</f>
        <v>3.3886818027787188E-2</v>
      </c>
      <c r="W695" s="4">
        <f>1/TWD!C695</f>
        <v>3.3886818027787188E-2</v>
      </c>
      <c r="X695" s="4">
        <f>1/TWD!B695</f>
        <v>3.3886818027787188E-2</v>
      </c>
      <c r="Y695" s="4">
        <f>1/TWD!C695</f>
        <v>3.3886818027787188E-2</v>
      </c>
      <c r="Z695" s="4">
        <f>1/ZAR!B695</f>
        <v>0.1251721116535236</v>
      </c>
      <c r="AA695" s="4">
        <f>1/ZAR!C695</f>
        <v>0.1246028284842066</v>
      </c>
    </row>
    <row r="696" spans="1:27" x14ac:dyDescent="0.25">
      <c r="A696" t="str">
        <f>"12/04/2012"</f>
        <v>12/04/2012</v>
      </c>
      <c r="B696" s="3">
        <f>AUD!B696</f>
        <v>1.0369999999999999</v>
      </c>
      <c r="C696" s="3">
        <f>AUD!C696</f>
        <v>1.0335000000000001</v>
      </c>
      <c r="D696" s="3">
        <f>1/CAD!B696</f>
        <v>0.99780482937537418</v>
      </c>
      <c r="E696" s="3">
        <f>1/CAD!C696</f>
        <v>0.99720781810929404</v>
      </c>
      <c r="F696" s="3">
        <f>EUR!B696/1</f>
        <v>1.3128</v>
      </c>
      <c r="G696" s="3">
        <f>EUR!C696/1</f>
        <v>1.3129</v>
      </c>
      <c r="H696" s="3">
        <f>GBP!B696/1</f>
        <v>1.5921000000000001</v>
      </c>
      <c r="I696" s="3">
        <f>GBP!C696/1</f>
        <v>1.5918000000000001</v>
      </c>
      <c r="J696" s="4">
        <f>1/INR!B696</f>
        <v>1.9466614755693987E-2</v>
      </c>
      <c r="K696" s="4">
        <f>1/INR!C696</f>
        <v>1.9328340178787148E-2</v>
      </c>
      <c r="L696" s="4">
        <f>1/JPY!B696</f>
        <v>1.236506621492958E-2</v>
      </c>
      <c r="M696" s="4">
        <f>1/JPY!C696</f>
        <v>1.2368124868588674E-2</v>
      </c>
      <c r="N696" s="5">
        <f>1/KRW!B696</f>
        <v>8.7596355991590759E-4</v>
      </c>
      <c r="O696" s="5">
        <f>1/KRW!C696</f>
        <v>8.7594284297761002E-4</v>
      </c>
      <c r="P696" s="3">
        <f>1/NOK!B696</f>
        <v>0.17214963246053469</v>
      </c>
      <c r="Q696" s="3">
        <f>1/NOK!C696</f>
        <v>0.17195426016679563</v>
      </c>
      <c r="R696" s="3">
        <f>NZD!B696/1</f>
        <v>0.81950000000000001</v>
      </c>
      <c r="S696" s="3">
        <f>NZD!C696/1</f>
        <v>0.81779999999999997</v>
      </c>
      <c r="T696" s="4">
        <f>1/PHP!B696</f>
        <v>2.3434021512431749E-2</v>
      </c>
      <c r="U696" s="4">
        <f>1/PHP!C696</f>
        <v>2.3372677340189319E-2</v>
      </c>
      <c r="V696" s="4">
        <f>1/TWD!B696</f>
        <v>3.3878781719009383E-2</v>
      </c>
      <c r="W696" s="4">
        <f>1/TWD!C696</f>
        <v>3.3878781719009383E-2</v>
      </c>
      <c r="X696" s="4">
        <f>1/TWD!B696</f>
        <v>3.3878781719009383E-2</v>
      </c>
      <c r="Y696" s="4">
        <f>1/TWD!C696</f>
        <v>3.3878781719009383E-2</v>
      </c>
      <c r="Z696" s="4">
        <f>1/ZAR!B696</f>
        <v>0.12545162585307107</v>
      </c>
      <c r="AA696" s="4">
        <f>1/ZAR!C696</f>
        <v>0.12490632025980514</v>
      </c>
    </row>
    <row r="697" spans="1:27" x14ac:dyDescent="0.25">
      <c r="A697" t="str">
        <f>"13/04/2012"</f>
        <v>13/04/2012</v>
      </c>
      <c r="B697" s="3">
        <f>AUD!B697</f>
        <v>1.0388999999999999</v>
      </c>
      <c r="C697" s="3">
        <f>AUD!C697</f>
        <v>1.0354000000000001</v>
      </c>
      <c r="D697" s="3">
        <f>1/CAD!B697</f>
        <v>1.003814495081309</v>
      </c>
      <c r="E697" s="3">
        <f>1/CAD!C697</f>
        <v>1.0031096398836392</v>
      </c>
      <c r="F697" s="3">
        <f>EUR!B697/1</f>
        <v>1.3169999999999999</v>
      </c>
      <c r="G697" s="3">
        <f>EUR!C697/1</f>
        <v>1.3170999999999999</v>
      </c>
      <c r="H697" s="3">
        <f>GBP!B697/1</f>
        <v>1.5942000000000001</v>
      </c>
      <c r="I697" s="3">
        <f>GBP!C697/1</f>
        <v>1.5939000000000001</v>
      </c>
      <c r="J697" s="4">
        <f>1/INR!B697</f>
        <v>1.945336056803813E-2</v>
      </c>
      <c r="K697" s="4">
        <f>1/INR!C697</f>
        <v>1.9321804656554923E-2</v>
      </c>
      <c r="L697" s="4">
        <f>1/JPY!B697</f>
        <v>1.2336693026067432E-2</v>
      </c>
      <c r="M697" s="4">
        <f>1/JPY!C697</f>
        <v>1.2339585389930897E-2</v>
      </c>
      <c r="N697" s="5">
        <f>1/KRW!B697</f>
        <v>8.8152327221438639E-4</v>
      </c>
      <c r="O697" s="5">
        <f>1/KRW!C697</f>
        <v>8.8150267998852278E-4</v>
      </c>
      <c r="P697" s="3">
        <f>1/NOK!B697</f>
        <v>0.17298344548426717</v>
      </c>
      <c r="Q697" s="3">
        <f>1/NOK!C697</f>
        <v>0.17277125086385625</v>
      </c>
      <c r="R697" s="3">
        <f>NZD!B697/1</f>
        <v>0.82909999999999995</v>
      </c>
      <c r="S697" s="3">
        <f>NZD!C697/1</f>
        <v>0.82740000000000002</v>
      </c>
      <c r="T697" s="4">
        <f>1/PHP!B697</f>
        <v>2.3416461772626157E-2</v>
      </c>
      <c r="U697" s="4">
        <f>1/PHP!C697</f>
        <v>2.3350846468184472E-2</v>
      </c>
      <c r="V697" s="4">
        <f>1/TWD!B697</f>
        <v>3.3894858150018643E-2</v>
      </c>
      <c r="W697" s="4">
        <f>1/TWD!C697</f>
        <v>3.3894858150018643E-2</v>
      </c>
      <c r="X697" s="4">
        <f>1/TWD!B697</f>
        <v>3.3894858150018643E-2</v>
      </c>
      <c r="Y697" s="4">
        <f>1/TWD!C697</f>
        <v>3.3894858150018643E-2</v>
      </c>
      <c r="Z697" s="4">
        <f>1/ZAR!B697</f>
        <v>0.12657907394749501</v>
      </c>
      <c r="AA697" s="4">
        <f>1/ZAR!C697</f>
        <v>0.12601441604919603</v>
      </c>
    </row>
    <row r="698" spans="1:27" x14ac:dyDescent="0.25">
      <c r="A698" t="str">
        <f>"16/04/2012"</f>
        <v>16/04/2012</v>
      </c>
      <c r="B698" s="3">
        <f>AUD!B698</f>
        <v>1.0315000000000001</v>
      </c>
      <c r="C698" s="3">
        <f>AUD!C698</f>
        <v>1.0281</v>
      </c>
      <c r="D698" s="3">
        <f>1/CAD!B698</f>
        <v>1.000100010001</v>
      </c>
      <c r="E698" s="3">
        <f>1/CAD!C698</f>
        <v>0.99950024987506247</v>
      </c>
      <c r="F698" s="3">
        <f>EUR!B698/1</f>
        <v>1.3018000000000001</v>
      </c>
      <c r="G698" s="3">
        <f>EUR!C698/1</f>
        <v>1.3019000000000001</v>
      </c>
      <c r="H698" s="3">
        <f>GBP!B698/1</f>
        <v>1.5825</v>
      </c>
      <c r="I698" s="3">
        <f>GBP!C698/1</f>
        <v>1.5822000000000001</v>
      </c>
      <c r="J698" s="4">
        <f>1/INR!B698</f>
        <v>1.9351717464925013E-2</v>
      </c>
      <c r="K698" s="4">
        <f>1/INR!C698</f>
        <v>1.9219680953296174E-2</v>
      </c>
      <c r="L698" s="4">
        <f>1/JPY!B698</f>
        <v>1.2368308435928453E-2</v>
      </c>
      <c r="M698" s="4">
        <f>1/JPY!C698</f>
        <v>1.2370603487520535E-2</v>
      </c>
      <c r="N698" s="5">
        <f>1/KRW!B698</f>
        <v>8.7842586085734359E-4</v>
      </c>
      <c r="O698" s="5">
        <f>1/KRW!C698</f>
        <v>8.7838920986694601E-4</v>
      </c>
      <c r="P698" s="3">
        <f>1/NOK!B698</f>
        <v>0.17216741559492452</v>
      </c>
      <c r="Q698" s="3">
        <f>1/NOK!C698</f>
        <v>0.17196608828738971</v>
      </c>
      <c r="R698" s="3">
        <f>NZD!B698/1</f>
        <v>0.81969999999999998</v>
      </c>
      <c r="S698" s="3">
        <f>NZD!C698/1</f>
        <v>0.81799999999999995</v>
      </c>
      <c r="T698" s="4">
        <f>1/PHP!B698</f>
        <v>2.3380874444704231E-2</v>
      </c>
      <c r="U698" s="4">
        <f>1/PHP!C698</f>
        <v>2.3314370978271003E-2</v>
      </c>
      <c r="V698" s="4">
        <f>1/TWD!B698</f>
        <v>3.387304383171872E-2</v>
      </c>
      <c r="W698" s="4">
        <f>1/TWD!C698</f>
        <v>3.387304383171872E-2</v>
      </c>
      <c r="X698" s="4">
        <f>1/TWD!B698</f>
        <v>3.387304383171872E-2</v>
      </c>
      <c r="Y698" s="4">
        <f>1/TWD!C698</f>
        <v>3.387304383171872E-2</v>
      </c>
      <c r="Z698" s="4">
        <f>1/ZAR!B698</f>
        <v>0.12513451960857924</v>
      </c>
      <c r="AA698" s="4">
        <f>1/ZAR!C698</f>
        <v>0.12452214626371301</v>
      </c>
    </row>
    <row r="699" spans="1:27" x14ac:dyDescent="0.25">
      <c r="A699" t="str">
        <f>"17/04/2012"</f>
        <v>17/04/2012</v>
      </c>
      <c r="B699" s="3">
        <f>AUD!B699</f>
        <v>1.0334000000000001</v>
      </c>
      <c r="C699" s="3">
        <f>AUD!C699</f>
        <v>1.0297000000000001</v>
      </c>
      <c r="D699" s="3">
        <f>1/CAD!B699</f>
        <v>1.0004001600640255</v>
      </c>
      <c r="E699" s="3">
        <f>1/CAD!C699</f>
        <v>0.99970008997300808</v>
      </c>
      <c r="F699" s="3">
        <f>EUR!B699/1</f>
        <v>1.3121</v>
      </c>
      <c r="G699" s="3">
        <f>EUR!C699/1</f>
        <v>1.3123</v>
      </c>
      <c r="H699" s="3">
        <f>GBP!B699/1</f>
        <v>1.5886</v>
      </c>
      <c r="I699" s="3">
        <f>GBP!C699/1</f>
        <v>1.5884</v>
      </c>
      <c r="J699" s="4">
        <f>1/INR!B699</f>
        <v>1.9365770999757927E-2</v>
      </c>
      <c r="K699" s="4">
        <f>1/INR!C699</f>
        <v>1.9225223493223108E-2</v>
      </c>
      <c r="L699" s="4">
        <f>1/JPY!B699</f>
        <v>1.2433171702101205E-2</v>
      </c>
      <c r="M699" s="4">
        <f>1/JPY!C699</f>
        <v>1.243533625149224E-2</v>
      </c>
      <c r="N699" s="5">
        <f>1/KRW!B699</f>
        <v>8.7757788503729707E-4</v>
      </c>
      <c r="O699" s="5">
        <f>1/KRW!C699</f>
        <v>8.7755670661743583E-4</v>
      </c>
      <c r="P699" s="3">
        <f>1/NOK!B699</f>
        <v>0.17370158068438424</v>
      </c>
      <c r="Q699" s="3">
        <f>1/NOK!C699</f>
        <v>0.17348461191492315</v>
      </c>
      <c r="R699" s="3">
        <f>NZD!B699/1</f>
        <v>0.81669999999999998</v>
      </c>
      <c r="S699" s="3">
        <f>NZD!C699/1</f>
        <v>0.81489999999999996</v>
      </c>
      <c r="T699" s="4">
        <f>1/PHP!B699</f>
        <v>2.3398928329082528E-2</v>
      </c>
      <c r="U699" s="4">
        <f>1/PHP!C699</f>
        <v>2.3338856862790861E-2</v>
      </c>
      <c r="V699" s="4">
        <f>1/TWD!B699</f>
        <v>3.3882225384563258E-2</v>
      </c>
      <c r="W699" s="4">
        <f>1/TWD!C699</f>
        <v>3.3882225384563258E-2</v>
      </c>
      <c r="X699" s="4">
        <f>1/TWD!B699</f>
        <v>3.3882225384563258E-2</v>
      </c>
      <c r="Y699" s="4">
        <f>1/TWD!C699</f>
        <v>3.3882225384563258E-2</v>
      </c>
      <c r="Z699" s="4">
        <f>1/ZAR!B699</f>
        <v>0.12584948401711554</v>
      </c>
      <c r="AA699" s="4">
        <f>1/ZAR!C699</f>
        <v>0.12512512512512514</v>
      </c>
    </row>
    <row r="700" spans="1:27" x14ac:dyDescent="0.25">
      <c r="A700" t="str">
        <f>"18/04/2012"</f>
        <v>18/04/2012</v>
      </c>
      <c r="B700" s="3">
        <f>AUD!B700</f>
        <v>1.0373000000000001</v>
      </c>
      <c r="C700" s="3">
        <f>AUD!C700</f>
        <v>1.0337000000000001</v>
      </c>
      <c r="D700" s="3">
        <f>1/CAD!B700</f>
        <v>1.00999899000101</v>
      </c>
      <c r="E700" s="3">
        <f>1/CAD!C700</f>
        <v>1.0092854259184498</v>
      </c>
      <c r="F700" s="3">
        <f>EUR!B700/1</f>
        <v>1.3080000000000001</v>
      </c>
      <c r="G700" s="3">
        <f>EUR!C700/1</f>
        <v>1.3081</v>
      </c>
      <c r="H700" s="3">
        <f>GBP!B700/1</f>
        <v>1.5974999999999999</v>
      </c>
      <c r="I700" s="3">
        <f>GBP!C700/1</f>
        <v>1.5972</v>
      </c>
      <c r="J700" s="4">
        <f>1/INR!B700</f>
        <v>1.9356399709654006E-2</v>
      </c>
      <c r="K700" s="4">
        <f>1/INR!C700</f>
        <v>1.9221528111484865E-2</v>
      </c>
      <c r="L700" s="4">
        <f>1/JPY!B700</f>
        <v>1.2273703590058301E-2</v>
      </c>
      <c r="M700" s="4">
        <f>1/JPY!C700</f>
        <v>1.2276415777649558E-2</v>
      </c>
      <c r="N700" s="5">
        <f>1/KRW!B700</f>
        <v>8.7923682243812383E-4</v>
      </c>
      <c r="O700" s="5">
        <f>1/KRW!C700</f>
        <v>8.7921053927257631E-4</v>
      </c>
      <c r="P700" s="3">
        <f>1/NOK!B700</f>
        <v>0.17359905562113742</v>
      </c>
      <c r="Q700" s="3">
        <f>1/NOK!C700</f>
        <v>0.17338534893801474</v>
      </c>
      <c r="R700" s="3">
        <f>NZD!B700/1</f>
        <v>0.81940000000000002</v>
      </c>
      <c r="S700" s="3">
        <f>NZD!C700/1</f>
        <v>0.81759999999999999</v>
      </c>
      <c r="T700" s="4">
        <f>1/PHP!B700</f>
        <v>2.3441162681669011E-2</v>
      </c>
      <c r="U700" s="4">
        <f>1/PHP!C700</f>
        <v>2.3359028264424198E-2</v>
      </c>
      <c r="V700" s="4">
        <f>1/TWD!B700</f>
        <v>3.3886818027787188E-2</v>
      </c>
      <c r="W700" s="4">
        <f>1/TWD!C700</f>
        <v>3.3886818027787188E-2</v>
      </c>
      <c r="X700" s="4">
        <f>1/TWD!B700</f>
        <v>3.3886818027787188E-2</v>
      </c>
      <c r="Y700" s="4">
        <f>1/TWD!C700</f>
        <v>3.3886818027787188E-2</v>
      </c>
      <c r="Z700" s="4">
        <f>1/ZAR!B700</f>
        <v>0.12770576591533109</v>
      </c>
      <c r="AA700" s="4">
        <f>1/ZAR!C700</f>
        <v>0.12712941774726672</v>
      </c>
    </row>
    <row r="701" spans="1:27" x14ac:dyDescent="0.25">
      <c r="A701" t="str">
        <f>"19/04/2012"</f>
        <v>19/04/2012</v>
      </c>
      <c r="B701" s="3">
        <f>AUD!B701</f>
        <v>1.0366</v>
      </c>
      <c r="C701" s="3">
        <f>AUD!C701</f>
        <v>1.0330999999999999</v>
      </c>
      <c r="D701" s="3">
        <f>1/CAD!B701</f>
        <v>1.0107135637760258</v>
      </c>
      <c r="E701" s="3">
        <f>1/CAD!C701</f>
        <v>1.00999899000101</v>
      </c>
      <c r="F701" s="3">
        <f>EUR!B701/1</f>
        <v>1.3118000000000001</v>
      </c>
      <c r="G701" s="3">
        <f>EUR!C701/1</f>
        <v>1.3119000000000001</v>
      </c>
      <c r="H701" s="3">
        <f>GBP!B701/1</f>
        <v>1.6036999999999999</v>
      </c>
      <c r="I701" s="3">
        <f>GBP!C701/1</f>
        <v>1.6033999999999999</v>
      </c>
      <c r="J701" s="4">
        <f>1/INR!B701</f>
        <v>1.9230769230769232E-2</v>
      </c>
      <c r="K701" s="4">
        <f>1/INR!C701</f>
        <v>1.9098548510313215E-2</v>
      </c>
      <c r="L701" s="4">
        <f>1/JPY!B701</f>
        <v>1.2243498702189137E-2</v>
      </c>
      <c r="M701" s="4">
        <f>1/JPY!C701</f>
        <v>1.2246047588140926E-2</v>
      </c>
      <c r="N701" s="5">
        <f>1/KRW!B701</f>
        <v>8.7858021437357229E-4</v>
      </c>
      <c r="O701" s="5">
        <f>1/KRW!C701</f>
        <v>8.7855435637766764E-4</v>
      </c>
      <c r="P701" s="3">
        <f>1/NOK!B701</f>
        <v>0.17397052939232094</v>
      </c>
      <c r="Q701" s="3">
        <f>1/NOK!C701</f>
        <v>0.17376496550765436</v>
      </c>
      <c r="R701" s="3">
        <f>NZD!B701/1</f>
        <v>0.81799999999999995</v>
      </c>
      <c r="S701" s="3">
        <f>NZD!C701/1</f>
        <v>0.81640000000000001</v>
      </c>
      <c r="T701" s="4">
        <f>1/PHP!B701</f>
        <v>2.3432923257176334E-2</v>
      </c>
      <c r="U701" s="4">
        <f>1/PHP!C701</f>
        <v>2.3353573096683792E-2</v>
      </c>
      <c r="V701" s="4">
        <f>1/TWD!B701</f>
        <v>3.3892560582952043E-2</v>
      </c>
      <c r="W701" s="4">
        <f>1/TWD!C701</f>
        <v>3.3892560582952043E-2</v>
      </c>
      <c r="X701" s="4">
        <f>1/TWD!B701</f>
        <v>3.3892560582952043E-2</v>
      </c>
      <c r="Y701" s="4">
        <f>1/TWD!C701</f>
        <v>3.3892560582952043E-2</v>
      </c>
      <c r="Z701" s="4">
        <f>1/ZAR!B701</f>
        <v>0.12773839177364757</v>
      </c>
      <c r="AA701" s="4">
        <f>1/ZAR!C701</f>
        <v>0.12716660096392285</v>
      </c>
    </row>
    <row r="702" spans="1:27" x14ac:dyDescent="0.25">
      <c r="A702" t="str">
        <f>"20/04/2012"</f>
        <v>20/04/2012</v>
      </c>
      <c r="B702" s="3">
        <f>AUD!B702</f>
        <v>1.0331999999999999</v>
      </c>
      <c r="C702" s="3">
        <f>AUD!C702</f>
        <v>1.0297000000000001</v>
      </c>
      <c r="D702" s="3">
        <f>1/CAD!B702</f>
        <v>1.0053282396702523</v>
      </c>
      <c r="E702" s="3">
        <f>1/CAD!C702</f>
        <v>1.0047221943132725</v>
      </c>
      <c r="F702" s="3">
        <f>EUR!B702/1</f>
        <v>1.3145</v>
      </c>
      <c r="G702" s="3">
        <f>EUR!C702/1</f>
        <v>1.3146</v>
      </c>
      <c r="H702" s="3">
        <f>GBP!B702/1</f>
        <v>1.6061000000000001</v>
      </c>
      <c r="I702" s="3">
        <f>GBP!C702/1</f>
        <v>1.6057999999999999</v>
      </c>
      <c r="J702" s="4">
        <f>1/INR!B702</f>
        <v>1.9210450485063875E-2</v>
      </c>
      <c r="K702" s="4">
        <f>1/INR!C702</f>
        <v>1.9078508060669654E-2</v>
      </c>
      <c r="L702" s="4">
        <f>1/JPY!B702</f>
        <v>1.2262340512933704E-2</v>
      </c>
      <c r="M702" s="4">
        <f>1/JPY!C702</f>
        <v>1.2264445984313773E-2</v>
      </c>
      <c r="N702" s="5">
        <f>1/KRW!B702</f>
        <v>8.7719298245614037E-4</v>
      </c>
      <c r="O702" s="5">
        <f>1/KRW!C702</f>
        <v>8.7715835778412249E-4</v>
      </c>
      <c r="P702" s="3">
        <f>1/NOK!B702</f>
        <v>0.17405834435702849</v>
      </c>
      <c r="Q702" s="3">
        <f>1/NOK!C702</f>
        <v>0.17385559554234253</v>
      </c>
      <c r="R702" s="3">
        <f>NZD!B702/1</f>
        <v>0.8135</v>
      </c>
      <c r="S702" s="3">
        <f>NZD!C702/1</f>
        <v>0.81189999999999996</v>
      </c>
      <c r="T702" s="4">
        <f>1/PHP!B702</f>
        <v>2.34246896228625E-2</v>
      </c>
      <c r="U702" s="4">
        <f>1/PHP!C702</f>
        <v>2.3363394233914304E-2</v>
      </c>
      <c r="V702" s="4">
        <f>1/TWD!B702</f>
        <v>3.3896007050369464E-2</v>
      </c>
      <c r="W702" s="4">
        <f>1/TWD!C702</f>
        <v>3.3896007050369464E-2</v>
      </c>
      <c r="X702" s="4">
        <f>1/TWD!B702</f>
        <v>3.3896007050369464E-2</v>
      </c>
      <c r="Y702" s="4">
        <f>1/TWD!C702</f>
        <v>3.3896007050369464E-2</v>
      </c>
      <c r="Z702" s="4">
        <f>1/ZAR!B702</f>
        <v>0.12730096494131424</v>
      </c>
      <c r="AA702" s="4">
        <f>1/ZAR!C702</f>
        <v>0.12663036596175761</v>
      </c>
    </row>
    <row r="703" spans="1:27" x14ac:dyDescent="0.25">
      <c r="A703" t="str">
        <f>"23/04/2012"</f>
        <v>23/04/2012</v>
      </c>
      <c r="B703" s="3">
        <f>AUD!B703</f>
        <v>1.0330999999999999</v>
      </c>
      <c r="C703" s="3">
        <f>AUD!C703</f>
        <v>1.0294000000000001</v>
      </c>
      <c r="D703" s="3">
        <f>1/CAD!B703</f>
        <v>1.0060362173038229</v>
      </c>
      <c r="E703" s="3">
        <f>1/CAD!C703</f>
        <v>1.0054293183189222</v>
      </c>
      <c r="F703" s="3">
        <f>EUR!B703/1</f>
        <v>1.3180000000000001</v>
      </c>
      <c r="G703" s="3">
        <f>EUR!C703/1</f>
        <v>1.3181</v>
      </c>
      <c r="H703" s="3">
        <f>GBP!B703/1</f>
        <v>1.6106</v>
      </c>
      <c r="I703" s="3">
        <f>GBP!C703/1</f>
        <v>1.6103000000000001</v>
      </c>
      <c r="J703" s="4">
        <f>1/INR!B703</f>
        <v>1.9142419601837671E-2</v>
      </c>
      <c r="K703" s="4">
        <f>1/INR!C703</f>
        <v>1.9012310471029994E-2</v>
      </c>
      <c r="L703" s="4">
        <f>1/JPY!B703</f>
        <v>1.2304284967239842E-2</v>
      </c>
      <c r="M703" s="4">
        <f>1/JPY!C703</f>
        <v>1.2307010688638783E-2</v>
      </c>
      <c r="N703" s="5">
        <f>1/KRW!B703</f>
        <v>8.7750087750087754E-4</v>
      </c>
      <c r="O703" s="5">
        <f>1/KRW!C703</f>
        <v>8.7747585296137141E-4</v>
      </c>
      <c r="P703" s="3">
        <f>1/NOK!B703</f>
        <v>0.1744044089434581</v>
      </c>
      <c r="Q703" s="3">
        <f>1/NOK!C703</f>
        <v>0.17420085358418255</v>
      </c>
      <c r="R703" s="3">
        <f>NZD!B703/1</f>
        <v>0.81520000000000004</v>
      </c>
      <c r="S703" s="3">
        <f>NZD!C703/1</f>
        <v>0.81340000000000001</v>
      </c>
      <c r="T703" s="4">
        <f>1/PHP!B703</f>
        <v>2.3474178403755867E-2</v>
      </c>
      <c r="U703" s="4">
        <f>1/PHP!C703</f>
        <v>2.3412624086907658E-2</v>
      </c>
      <c r="V703" s="4">
        <f>1/TWD!B703</f>
        <v>3.3908650096639653E-2</v>
      </c>
      <c r="W703" s="4">
        <f>1/TWD!C703</f>
        <v>3.3908650096639653E-2</v>
      </c>
      <c r="X703" s="4">
        <f>1/TWD!B703</f>
        <v>3.3908650096639653E-2</v>
      </c>
      <c r="Y703" s="4">
        <f>1/TWD!C703</f>
        <v>3.3908650096639653E-2</v>
      </c>
      <c r="Z703" s="4">
        <f>1/ZAR!B703</f>
        <v>0.12758845069344324</v>
      </c>
      <c r="AA703" s="4">
        <f>1/ZAR!C703</f>
        <v>0.12702283870639941</v>
      </c>
    </row>
    <row r="704" spans="1:27" x14ac:dyDescent="0.25">
      <c r="A704" t="str">
        <f>"24/04/2012"</f>
        <v>24/04/2012</v>
      </c>
      <c r="B704" s="3">
        <f>AUD!B704</f>
        <v>1.0273000000000001</v>
      </c>
      <c r="C704" s="3">
        <f>AUD!C704</f>
        <v>1.0237000000000001</v>
      </c>
      <c r="D704" s="3">
        <f>1/CAD!B704</f>
        <v>1.0095911155981827</v>
      </c>
      <c r="E704" s="3">
        <f>1/CAD!C704</f>
        <v>1.0089799212995663</v>
      </c>
      <c r="F704" s="3">
        <f>EUR!B704/1</f>
        <v>1.3170999999999999</v>
      </c>
      <c r="G704" s="3">
        <f>EUR!C704/1</f>
        <v>1.3171999999999999</v>
      </c>
      <c r="H704" s="3">
        <f>GBP!B704/1</f>
        <v>1.6124000000000001</v>
      </c>
      <c r="I704" s="3">
        <f>GBP!C704/1</f>
        <v>1.6120000000000001</v>
      </c>
      <c r="J704" s="4">
        <f>1/INR!B704</f>
        <v>1.893939393939394E-2</v>
      </c>
      <c r="K704" s="4">
        <f>1/INR!C704</f>
        <v>1.8792576932111817E-2</v>
      </c>
      <c r="L704" s="4">
        <f>1/JPY!B704</f>
        <v>1.2353686031069519E-2</v>
      </c>
      <c r="M704" s="4">
        <f>1/JPY!C704</f>
        <v>1.2356891747449845E-2</v>
      </c>
      <c r="N704" s="5">
        <f>1/KRW!B704</f>
        <v>8.7650100797615914E-4</v>
      </c>
      <c r="O704" s="5">
        <f>1/KRW!C704</f>
        <v>8.7647411991042439E-4</v>
      </c>
      <c r="P704" s="3">
        <f>1/NOK!B704</f>
        <v>0.17438007881979561</v>
      </c>
      <c r="Q704" s="3">
        <f>1/NOK!C704</f>
        <v>0.17416141279738062</v>
      </c>
      <c r="R704" s="3">
        <f>NZD!B704/1</f>
        <v>0.81299999999999994</v>
      </c>
      <c r="S704" s="3">
        <f>NZD!C704/1</f>
        <v>0.81130000000000002</v>
      </c>
      <c r="T704" s="4">
        <f>1/PHP!B704</f>
        <v>2.34246896228625E-2</v>
      </c>
      <c r="U704" s="4">
        <f>1/PHP!C704</f>
        <v>2.3364485981308414E-2</v>
      </c>
      <c r="V704" s="4">
        <f>1/TWD!B704</f>
        <v>3.39097999321804E-2</v>
      </c>
      <c r="W704" s="4">
        <f>1/TWD!C704</f>
        <v>3.39097999321804E-2</v>
      </c>
      <c r="X704" s="4">
        <f>1/TWD!B704</f>
        <v>3.39097999321804E-2</v>
      </c>
      <c r="Y704" s="4">
        <f>1/TWD!C704</f>
        <v>3.39097999321804E-2</v>
      </c>
      <c r="Z704" s="4">
        <f>1/ZAR!B704</f>
        <v>0.12744698205546492</v>
      </c>
      <c r="AA704" s="4">
        <f>1/ZAR!C704</f>
        <v>0.12681986506366358</v>
      </c>
    </row>
    <row r="705" spans="1:27" x14ac:dyDescent="0.25">
      <c r="A705" t="str">
        <f>"25/04/2012"</f>
        <v>25/04/2012</v>
      </c>
      <c r="B705" s="3">
        <f>AUD!B705</f>
        <v>1.0331999999999999</v>
      </c>
      <c r="C705" s="3">
        <f>AUD!C705</f>
        <v>1.0297000000000001</v>
      </c>
      <c r="D705" s="3">
        <f>1/CAD!B705</f>
        <v>1.0135819987837016</v>
      </c>
      <c r="E705" s="3">
        <f>1/CAD!C705</f>
        <v>1.0128633647320977</v>
      </c>
      <c r="F705" s="3">
        <f>EUR!B705/1</f>
        <v>1.3209</v>
      </c>
      <c r="G705" s="3">
        <f>EUR!C705/1</f>
        <v>1.321</v>
      </c>
      <c r="H705" s="3">
        <f>GBP!B705/1</f>
        <v>1.6092</v>
      </c>
      <c r="I705" s="3">
        <f>GBP!C705/1</f>
        <v>1.6088</v>
      </c>
      <c r="J705" s="4">
        <f>1/INR!B705</f>
        <v>1.9007793195210038E-2</v>
      </c>
      <c r="K705" s="4">
        <f>1/INR!C705</f>
        <v>1.8865254916757064E-2</v>
      </c>
      <c r="L705" s="4">
        <f>1/JPY!B705</f>
        <v>1.2319928840091018E-2</v>
      </c>
      <c r="M705" s="4">
        <f>1/JPY!C705</f>
        <v>1.2322965201178569E-2</v>
      </c>
      <c r="N705" s="5">
        <f>1/KRW!B705</f>
        <v>8.7604029785370125E-4</v>
      </c>
      <c r="O705" s="5">
        <f>1/KRW!C705</f>
        <v>8.7601535654920027E-4</v>
      </c>
      <c r="P705" s="3">
        <f>1/NOK!B705</f>
        <v>0.1746358841814816</v>
      </c>
      <c r="Q705" s="3">
        <f>1/NOK!C705</f>
        <v>0.17441657655143547</v>
      </c>
      <c r="R705" s="3">
        <f>NZD!B705/1</f>
        <v>0.81220000000000003</v>
      </c>
      <c r="S705" s="3">
        <f>NZD!C705/1</f>
        <v>0.8105</v>
      </c>
      <c r="T705" s="4">
        <f>1/PHP!B705</f>
        <v>2.343566908835247E-2</v>
      </c>
      <c r="U705" s="4">
        <f>1/PHP!C705</f>
        <v>2.3368853991400262E-2</v>
      </c>
      <c r="V705" s="4">
        <f>1/TWD!B705</f>
        <v>3.3932813030200203E-2</v>
      </c>
      <c r="W705" s="4">
        <f>1/TWD!C705</f>
        <v>3.3932813030200203E-2</v>
      </c>
      <c r="X705" s="4">
        <f>1/TWD!B705</f>
        <v>3.3932813030200203E-2</v>
      </c>
      <c r="Y705" s="4">
        <f>1/TWD!C705</f>
        <v>3.3932813030200203E-2</v>
      </c>
      <c r="Z705" s="4">
        <f>1/ZAR!B705</f>
        <v>0.12881286067600989</v>
      </c>
      <c r="AA705" s="4">
        <f>1/ZAR!C705</f>
        <v>0.12641585760517798</v>
      </c>
    </row>
    <row r="706" spans="1:27" x14ac:dyDescent="0.25">
      <c r="A706" t="str">
        <f>"26/04/2012"</f>
        <v>26/04/2012</v>
      </c>
      <c r="B706" s="3">
        <f>AUD!B706</f>
        <v>1.0365</v>
      </c>
      <c r="C706" s="3">
        <f>AUD!C706</f>
        <v>1.0330999999999999</v>
      </c>
      <c r="D706" s="3">
        <f>1/CAD!B706</f>
        <v>1.0178117048346056</v>
      </c>
      <c r="E706" s="3">
        <f>1/CAD!C706</f>
        <v>1.017087062652563</v>
      </c>
      <c r="F706" s="3">
        <f>EUR!B706/1</f>
        <v>1.3226</v>
      </c>
      <c r="G706" s="3">
        <f>EUR!C706/1</f>
        <v>1.3227</v>
      </c>
      <c r="H706" s="3">
        <f>GBP!B706/1</f>
        <v>1.6173</v>
      </c>
      <c r="I706" s="3">
        <f>GBP!C706/1</f>
        <v>1.617</v>
      </c>
      <c r="J706" s="4">
        <f>1/INR!B706</f>
        <v>1.9038553069966681E-2</v>
      </c>
      <c r="K706" s="4">
        <f>1/INR!C706</f>
        <v>1.8902698360190914E-2</v>
      </c>
      <c r="L706" s="4">
        <f>1/JPY!B706</f>
        <v>1.2322631128198492E-2</v>
      </c>
      <c r="M706" s="4">
        <f>1/JPY!C706</f>
        <v>1.2325516901365052E-2</v>
      </c>
      <c r="N706" s="5">
        <f>1/KRW!B706</f>
        <v>8.7834870443566099E-4</v>
      </c>
      <c r="O706" s="5">
        <f>1/KRW!C706</f>
        <v>8.7831437418563793E-4</v>
      </c>
      <c r="P706" s="3">
        <f>1/NOK!B706</f>
        <v>0.17483740121686833</v>
      </c>
      <c r="Q706" s="3">
        <f>1/NOK!C706</f>
        <v>0.17462063666684127</v>
      </c>
      <c r="R706" s="3">
        <f>NZD!B706/1</f>
        <v>0.81579999999999997</v>
      </c>
      <c r="S706" s="3">
        <f>NZD!C706/1</f>
        <v>0.81410000000000005</v>
      </c>
      <c r="T706" s="4">
        <f>1/PHP!B706</f>
        <v>2.3457658925639221E-2</v>
      </c>
      <c r="U706" s="4">
        <f>1/PHP!C706</f>
        <v>2.3394549070066675E-2</v>
      </c>
      <c r="V706" s="4">
        <f>1/TWD!B706</f>
        <v>3.4025178632187819E-2</v>
      </c>
      <c r="W706" s="4">
        <f>1/TWD!C706</f>
        <v>3.4025178632187819E-2</v>
      </c>
      <c r="X706" s="4">
        <f>1/TWD!B706</f>
        <v>3.4025178632187819E-2</v>
      </c>
      <c r="Y706" s="4">
        <f>1/TWD!C706</f>
        <v>3.4025178632187819E-2</v>
      </c>
      <c r="Z706" s="4">
        <f>1/ZAR!B706</f>
        <v>0.12912055986674759</v>
      </c>
      <c r="AA706" s="4">
        <f>1/ZAR!C706</f>
        <v>0.12671219858335764</v>
      </c>
    </row>
    <row r="707" spans="1:27" x14ac:dyDescent="0.25">
      <c r="A707" t="str">
        <f>"27/04/2012"</f>
        <v>27/04/2012</v>
      </c>
      <c r="B707" s="3">
        <f>AUD!B707</f>
        <v>1.0378000000000001</v>
      </c>
      <c r="C707" s="3">
        <f>AUD!C707</f>
        <v>1.0344</v>
      </c>
      <c r="D707" s="3">
        <f>1/CAD!B707</f>
        <v>1.0147133434804667</v>
      </c>
      <c r="E707" s="3">
        <f>1/CAD!C707</f>
        <v>1.0139931048468871</v>
      </c>
      <c r="F707" s="3">
        <f>EUR!B707/1</f>
        <v>1.3199000000000001</v>
      </c>
      <c r="G707" s="3">
        <f>EUR!C707/1</f>
        <v>1.3201000000000001</v>
      </c>
      <c r="H707" s="3">
        <f>GBP!B707/1</f>
        <v>1.6180000000000001</v>
      </c>
      <c r="I707" s="3">
        <f>GBP!C707/1</f>
        <v>1.6176999999999999</v>
      </c>
      <c r="J707" s="4">
        <f>1/INR!B707</f>
        <v>1.9025875190258751E-2</v>
      </c>
      <c r="K707" s="4">
        <f>1/INR!C707</f>
        <v>1.8872375560273651E-2</v>
      </c>
      <c r="L707" s="4">
        <f>1/JPY!B707</f>
        <v>1.2289964506582506E-2</v>
      </c>
      <c r="M707" s="4">
        <f>1/JPY!C707</f>
        <v>1.2293348806561697E-2</v>
      </c>
      <c r="N707" s="5">
        <f>1/KRW!B707</f>
        <v>8.8175645886606128E-4</v>
      </c>
      <c r="O707" s="5">
        <f>1/KRW!C707</f>
        <v>8.8173468955885057E-4</v>
      </c>
      <c r="P707" s="3">
        <f>1/NOK!B707</f>
        <v>0.17403713952557476</v>
      </c>
      <c r="Q707" s="3">
        <f>1/NOK!C707</f>
        <v>0.17381026871067543</v>
      </c>
      <c r="R707" s="3">
        <f>NZD!B707/1</f>
        <v>0.81359999999999999</v>
      </c>
      <c r="S707" s="3">
        <f>NZD!C707/1</f>
        <v>0.81189999999999996</v>
      </c>
      <c r="T707" s="4">
        <f>1/PHP!B707</f>
        <v>2.3562676720075403E-2</v>
      </c>
      <c r="U707" s="4">
        <f>1/PHP!C707</f>
        <v>2.3506182125899111E-2</v>
      </c>
      <c r="V707" s="4">
        <f>1/TWD!B707</f>
        <v>3.4192710114203655E-2</v>
      </c>
      <c r="W707" s="4">
        <f>1/TWD!C707</f>
        <v>3.4192710114203655E-2</v>
      </c>
      <c r="X707" s="4">
        <f>1/TWD!B707</f>
        <v>3.4192710114203655E-2</v>
      </c>
      <c r="Y707" s="4">
        <f>1/TWD!C707</f>
        <v>3.4192710114203655E-2</v>
      </c>
      <c r="Z707" s="4">
        <f>1/ZAR!B707</f>
        <v>0.12829888508268864</v>
      </c>
      <c r="AA707" s="4">
        <f>1/ZAR!C707</f>
        <v>0.12766011770262853</v>
      </c>
    </row>
    <row r="708" spans="1:27" x14ac:dyDescent="0.25">
      <c r="A708" t="str">
        <f>"30/04/2012"</f>
        <v>30/04/2012</v>
      </c>
      <c r="B708" s="3">
        <f>AUD!B708</f>
        <v>1.0458000000000001</v>
      </c>
      <c r="C708" s="3">
        <f>AUD!C708</f>
        <v>1.0421</v>
      </c>
      <c r="D708" s="3">
        <f>1/CAD!B708</f>
        <v>1.0196798205363515</v>
      </c>
      <c r="E708" s="3">
        <f>1/CAD!C708</f>
        <v>1.0189525168127165</v>
      </c>
      <c r="F708" s="3">
        <f>EUR!B708/1</f>
        <v>1.3257000000000001</v>
      </c>
      <c r="G708" s="3">
        <f>EUR!C708/1</f>
        <v>1.3258000000000001</v>
      </c>
      <c r="H708" s="3">
        <f>GBP!B708/1</f>
        <v>1.6282000000000001</v>
      </c>
      <c r="I708" s="3">
        <f>GBP!C708/1</f>
        <v>1.6277999999999999</v>
      </c>
      <c r="J708" s="4">
        <f>1/INR!B708</f>
        <v>1.9038553069966681E-2</v>
      </c>
      <c r="K708" s="4">
        <f>1/INR!C708</f>
        <v>1.890359168241966E-2</v>
      </c>
      <c r="L708" s="4">
        <f>1/JPY!B708</f>
        <v>1.2478630345533275E-2</v>
      </c>
      <c r="M708" s="4">
        <f>1/JPY!C708</f>
        <v>1.2481901243197363E-2</v>
      </c>
      <c r="N708" s="5">
        <f>1/KRW!B708</f>
        <v>8.8476000884760012E-4</v>
      </c>
      <c r="O708" s="5">
        <f>1/KRW!C708</f>
        <v>8.8473300306250334E-4</v>
      </c>
      <c r="P708" s="3">
        <f>1/NOK!B708</f>
        <v>0.17461148943600488</v>
      </c>
      <c r="Q708" s="3">
        <f>1/NOK!C708</f>
        <v>0.17439832577607256</v>
      </c>
      <c r="R708" s="3">
        <f>NZD!B708/1</f>
        <v>0.82220000000000004</v>
      </c>
      <c r="S708" s="3">
        <f>NZD!C708/1</f>
        <v>0.82030000000000003</v>
      </c>
      <c r="T708" s="4">
        <f>1/PHP!B708</f>
        <v>2.3716352424997037E-2</v>
      </c>
      <c r="U708" s="4">
        <f>1/PHP!C708</f>
        <v>2.365576136067939E-2</v>
      </c>
      <c r="V708" s="4">
        <f>1/TWD!B708</f>
        <v>3.4299434059338017E-2</v>
      </c>
      <c r="W708" s="4">
        <f>1/TWD!C708</f>
        <v>3.4299434059338017E-2</v>
      </c>
      <c r="X708" s="4">
        <f>1/TWD!B708</f>
        <v>3.4299434059338017E-2</v>
      </c>
      <c r="Y708" s="4">
        <f>1/TWD!C708</f>
        <v>3.4299434059338017E-2</v>
      </c>
      <c r="Z708" s="4">
        <f>1/ZAR!B708</f>
        <v>0.12924405154252774</v>
      </c>
      <c r="AA708" s="4">
        <f>1/ZAR!C708</f>
        <v>0.12863225325118022</v>
      </c>
    </row>
    <row r="709" spans="1:27" x14ac:dyDescent="0.25">
      <c r="A709" t="str">
        <f>"02/05/2012"</f>
        <v>02/05/2012</v>
      </c>
      <c r="B709" s="3">
        <f>AUD!B709</f>
        <v>1.0334000000000001</v>
      </c>
      <c r="C709" s="3">
        <f>AUD!C709</f>
        <v>1.0301</v>
      </c>
      <c r="D709" s="3">
        <f>1/CAD!B709</f>
        <v>1.0138902970698571</v>
      </c>
      <c r="E709" s="3">
        <f>1/CAD!C709</f>
        <v>1.0131712259371835</v>
      </c>
      <c r="F709" s="3">
        <f>EUR!B709/1</f>
        <v>1.3152999999999999</v>
      </c>
      <c r="G709" s="3">
        <f>EUR!C709/1</f>
        <v>1.3154999999999999</v>
      </c>
      <c r="H709" s="3">
        <f>GBP!B709/1</f>
        <v>1.6197999999999999</v>
      </c>
      <c r="I709" s="3">
        <f>GBP!C709/1</f>
        <v>1.6194</v>
      </c>
      <c r="J709" s="4">
        <f>1/INR!B709</f>
        <v>1.8889308651303362E-2</v>
      </c>
      <c r="K709" s="4">
        <f>1/INR!C709</f>
        <v>1.8759966232060783E-2</v>
      </c>
      <c r="L709" s="4">
        <f>1/JPY!B709</f>
        <v>1.244415684615289E-2</v>
      </c>
      <c r="M709" s="4">
        <f>1/JPY!C709</f>
        <v>1.2447099825740602E-2</v>
      </c>
      <c r="N709" s="5">
        <f>1/KRW!B709</f>
        <v>8.8683930471798516E-4</v>
      </c>
      <c r="O709" s="5">
        <f>1/KRW!C709</f>
        <v>8.8681295828830912E-4</v>
      </c>
      <c r="P709" s="3">
        <f>1/NOK!B709</f>
        <v>0.17368951262722757</v>
      </c>
      <c r="Q709" s="3">
        <f>1/NOK!C709</f>
        <v>0.17348461191492315</v>
      </c>
      <c r="R709" s="3">
        <f>NZD!B709/1</f>
        <v>0.81269999999999998</v>
      </c>
      <c r="S709" s="3">
        <f>NZD!C709/1</f>
        <v>0.81100000000000005</v>
      </c>
      <c r="T709" s="4">
        <f>1/PHP!B709</f>
        <v>2.3688262465948122E-2</v>
      </c>
      <c r="U709" s="4">
        <f>1/PHP!C709</f>
        <v>2.3629489603024575E-2</v>
      </c>
      <c r="V709" s="4">
        <f>1/TWD!B709</f>
        <v>3.4246575342465752E-2</v>
      </c>
      <c r="W709" s="4">
        <f>1/TWD!C709</f>
        <v>3.4246575342465752E-2</v>
      </c>
      <c r="X709" s="4">
        <f>1/TWD!B709</f>
        <v>3.4246575342465752E-2</v>
      </c>
      <c r="Y709" s="4">
        <f>1/TWD!C709</f>
        <v>3.4246575342465752E-2</v>
      </c>
      <c r="Z709" s="4">
        <f>1/ZAR!B709</f>
        <v>0.12930254208797745</v>
      </c>
      <c r="AA709" s="4">
        <f>1/ZAR!C709</f>
        <v>0.12870675453047778</v>
      </c>
    </row>
    <row r="710" spans="1:27" x14ac:dyDescent="0.25">
      <c r="A710" t="str">
        <f>"03/05/2012"</f>
        <v>03/05/2012</v>
      </c>
      <c r="B710" s="3">
        <f>AUD!B710</f>
        <v>1.0294000000000001</v>
      </c>
      <c r="C710" s="3">
        <f>AUD!C710</f>
        <v>1.0262</v>
      </c>
      <c r="D710" s="3">
        <f>1/CAD!B710</f>
        <v>1.0169836265636123</v>
      </c>
      <c r="E710" s="3">
        <f>1/CAD!C710</f>
        <v>1.0163634515702815</v>
      </c>
      <c r="F710" s="3">
        <f>EUR!B710/1</f>
        <v>1.3132999999999999</v>
      </c>
      <c r="G710" s="3">
        <f>EUR!C710/1</f>
        <v>1.3134999999999999</v>
      </c>
      <c r="H710" s="3">
        <f>GBP!B710/1</f>
        <v>1.6182000000000001</v>
      </c>
      <c r="I710" s="3">
        <f>GBP!C710/1</f>
        <v>1.6178999999999999</v>
      </c>
      <c r="J710" s="4">
        <f>1/INR!B710</f>
        <v>1.8722209220688041E-2</v>
      </c>
      <c r="K710" s="4">
        <f>1/INR!C710</f>
        <v>1.8596001859600187E-2</v>
      </c>
      <c r="L710" s="4">
        <f>1/JPY!B710</f>
        <v>1.2444698869399107E-2</v>
      </c>
      <c r="M710" s="4">
        <f>1/JPY!C710</f>
        <v>1.244779705111688E-2</v>
      </c>
      <c r="N710" s="5">
        <f>1/KRW!B710</f>
        <v>8.8566114604552305E-4</v>
      </c>
      <c r="O710" s="5">
        <f>1/KRW!C710</f>
        <v>8.8563526174507338E-4</v>
      </c>
      <c r="P710" s="3">
        <f>1/NOK!B710</f>
        <v>0.17396447645390811</v>
      </c>
      <c r="Q710" s="3">
        <f>1/NOK!C710</f>
        <v>0.1737619461337967</v>
      </c>
      <c r="R710" s="3">
        <f>NZD!B710/1</f>
        <v>0.80379999999999996</v>
      </c>
      <c r="S710" s="3">
        <f>NZD!C710/1</f>
        <v>0.80210000000000004</v>
      </c>
      <c r="T710" s="4">
        <f>1/PHP!B710</f>
        <v>2.3674242424242424E-2</v>
      </c>
      <c r="U710" s="4">
        <f>1/PHP!C710</f>
        <v>2.3609963404556726E-2</v>
      </c>
      <c r="V710" s="4">
        <f>1/TWD!B710</f>
        <v>3.4217279726261762E-2</v>
      </c>
      <c r="W710" s="4">
        <f>1/TWD!C710</f>
        <v>3.4217279726261762E-2</v>
      </c>
      <c r="X710" s="4">
        <f>1/TWD!B710</f>
        <v>3.4217279726261762E-2</v>
      </c>
      <c r="Y710" s="4">
        <f>1/TWD!C710</f>
        <v>3.4217279726261762E-2</v>
      </c>
      <c r="Z710" s="4">
        <f>1/ZAR!B710</f>
        <v>0.12935271899415327</v>
      </c>
      <c r="AA710" s="4">
        <f>1/ZAR!C710</f>
        <v>0.12875812785682098</v>
      </c>
    </row>
    <row r="711" spans="1:27" x14ac:dyDescent="0.25">
      <c r="A711" t="str">
        <f>"04/05/2012"</f>
        <v>04/05/2012</v>
      </c>
      <c r="B711" s="3">
        <f>AUD!B711</f>
        <v>1.0256000000000001</v>
      </c>
      <c r="C711" s="3">
        <f>AUD!C711</f>
        <v>1.0223</v>
      </c>
      <c r="D711" s="3">
        <f>1/CAD!B711</f>
        <v>1.0119409026512851</v>
      </c>
      <c r="E711" s="3">
        <f>1/CAD!C711</f>
        <v>1.0112245929821013</v>
      </c>
      <c r="F711" s="3">
        <f>EUR!B711/1</f>
        <v>1.3153999999999999</v>
      </c>
      <c r="G711" s="3">
        <f>EUR!C711/1</f>
        <v>1.3156000000000001</v>
      </c>
      <c r="H711" s="3">
        <f>GBP!B711/1</f>
        <v>1.6187</v>
      </c>
      <c r="I711" s="3">
        <f>GBP!C711/1</f>
        <v>1.6184000000000001</v>
      </c>
      <c r="J711" s="4">
        <f>1/INR!B711</f>
        <v>1.8597731076808628E-2</v>
      </c>
      <c r="K711" s="4">
        <f>1/INR!C711</f>
        <v>1.8473190781877799E-2</v>
      </c>
      <c r="L711" s="4">
        <f>1/JPY!B711</f>
        <v>1.2471238206885371E-2</v>
      </c>
      <c r="M711" s="4">
        <f>1/JPY!C711</f>
        <v>1.2474271814382834E-2</v>
      </c>
      <c r="N711" s="5">
        <f>1/KRW!B711</f>
        <v>8.8382164479208097E-4</v>
      </c>
      <c r="O711" s="5">
        <f>1/KRW!C711</f>
        <v>8.8378766647797798E-4</v>
      </c>
      <c r="P711" s="3">
        <f>1/NOK!B711</f>
        <v>0.17397960958975608</v>
      </c>
      <c r="Q711" s="3">
        <f>1/NOK!C711</f>
        <v>0.17377100457017744</v>
      </c>
      <c r="R711" s="3">
        <f>NZD!B711/1</f>
        <v>0.80010000000000003</v>
      </c>
      <c r="S711" s="3">
        <f>NZD!C711/1</f>
        <v>0.7984</v>
      </c>
      <c r="T711" s="4">
        <f>1/PHP!B711</f>
        <v>2.3682652457075192E-2</v>
      </c>
      <c r="U711" s="4">
        <f>1/PHP!C711</f>
        <v>2.3626698168930892E-2</v>
      </c>
      <c r="V711" s="4">
        <f>1/TWD!B711</f>
        <v>3.4205575508807935E-2</v>
      </c>
      <c r="W711" s="4">
        <f>1/TWD!C711</f>
        <v>3.4205575508807935E-2</v>
      </c>
      <c r="X711" s="4">
        <f>1/TWD!B711</f>
        <v>3.4205575508807935E-2</v>
      </c>
      <c r="Y711" s="4">
        <f>1/TWD!C711</f>
        <v>3.4205575508807935E-2</v>
      </c>
      <c r="Z711" s="4">
        <f>1/ZAR!B711</f>
        <v>0.1293828438349075</v>
      </c>
      <c r="AA711" s="4">
        <f>1/ZAR!C711</f>
        <v>0.12879461123346597</v>
      </c>
    </row>
    <row r="712" spans="1:27" x14ac:dyDescent="0.25">
      <c r="A712" t="str">
        <f>"07/05/2012"</f>
        <v>07/05/2012</v>
      </c>
      <c r="B712" s="3">
        <f>AUD!B712</f>
        <v>1.0189999999999999</v>
      </c>
      <c r="C712" s="3">
        <f>AUD!C712</f>
        <v>1.0155000000000001</v>
      </c>
      <c r="D712" s="3">
        <f>1/CAD!B712</f>
        <v>1.0035122930255895</v>
      </c>
      <c r="E712" s="3">
        <f>1/CAD!C712</f>
        <v>1.0029084344599337</v>
      </c>
      <c r="F712" s="3">
        <f>EUR!B712/1</f>
        <v>1.3031999999999999</v>
      </c>
      <c r="G712" s="3">
        <f>EUR!C712/1</f>
        <v>1.3032999999999999</v>
      </c>
      <c r="H712" s="3">
        <f>GBP!B712/1</f>
        <v>1.6164000000000001</v>
      </c>
      <c r="I712" s="3">
        <f>GBP!C712/1</f>
        <v>1.6160000000000001</v>
      </c>
      <c r="J712" s="4">
        <f>1/INR!B712</f>
        <v>1.889644746787604E-2</v>
      </c>
      <c r="K712" s="4">
        <f>1/INR!C712</f>
        <v>1.8759966232060783E-2</v>
      </c>
      <c r="L712" s="4">
        <f>1/JPY!B712</f>
        <v>1.2528188423953897E-2</v>
      </c>
      <c r="M712" s="4">
        <f>1/JPY!C712</f>
        <v>1.253148535695936E-2</v>
      </c>
      <c r="N712" s="5">
        <f>1/KRW!B712</f>
        <v>8.782329952136301E-4</v>
      </c>
      <c r="O712" s="5">
        <f>1/KRW!C712</f>
        <v>8.7820677202806049E-4</v>
      </c>
      <c r="P712" s="3">
        <f>1/NOK!B712</f>
        <v>0.17225935368290499</v>
      </c>
      <c r="Q712" s="3">
        <f>1/NOK!C712</f>
        <v>0.17204301075268819</v>
      </c>
      <c r="R712" s="3">
        <f>NZD!B712/1</f>
        <v>0.79569999999999996</v>
      </c>
      <c r="S712" s="3">
        <f>NZD!C712/1</f>
        <v>0.79390000000000005</v>
      </c>
      <c r="T712" s="4">
        <f>1/PHP!B712</f>
        <v>2.3593252329833669E-2</v>
      </c>
      <c r="U712" s="4">
        <f>1/PHP!C712</f>
        <v>2.3513920240782544E-2</v>
      </c>
      <c r="V712" s="4">
        <f>1/TWD!B712</f>
        <v>3.4088972217487641E-2</v>
      </c>
      <c r="W712" s="4">
        <f>1/TWD!C712</f>
        <v>3.4088972217487641E-2</v>
      </c>
      <c r="X712" s="4">
        <f>1/TWD!B712</f>
        <v>3.4088972217487641E-2</v>
      </c>
      <c r="Y712" s="4">
        <f>1/TWD!C712</f>
        <v>3.4088972217487641E-2</v>
      </c>
      <c r="Z712" s="4">
        <f>1/ZAR!B712</f>
        <v>0.12789522822903476</v>
      </c>
      <c r="AA712" s="4">
        <f>1/ZAR!C712</f>
        <v>0.12726694241170855</v>
      </c>
    </row>
    <row r="713" spans="1:27" x14ac:dyDescent="0.25">
      <c r="A713" t="str">
        <f>"08/05/2012"</f>
        <v>08/05/2012</v>
      </c>
      <c r="B713" s="3">
        <f>AUD!B713</f>
        <v>1.0176000000000001</v>
      </c>
      <c r="C713" s="3">
        <f>AUD!C713</f>
        <v>1.0142</v>
      </c>
      <c r="D713" s="3">
        <f>1/CAD!B713</f>
        <v>1.0056315366049879</v>
      </c>
      <c r="E713" s="3">
        <f>1/CAD!C713</f>
        <v>1.0049241282283188</v>
      </c>
      <c r="F713" s="3">
        <f>EUR!B713/1</f>
        <v>1.3018000000000001</v>
      </c>
      <c r="G713" s="3">
        <f>EUR!C713/1</f>
        <v>1.3019000000000001</v>
      </c>
      <c r="H713" s="3">
        <f>GBP!B713/1</f>
        <v>1.6171</v>
      </c>
      <c r="I713" s="3">
        <f>GBP!C713/1</f>
        <v>1.6168</v>
      </c>
      <c r="J713" s="4">
        <f>1/INR!B713</f>
        <v>1.8932222642938281E-2</v>
      </c>
      <c r="K713" s="4">
        <f>1/INR!C713</f>
        <v>1.8796992481203006E-2</v>
      </c>
      <c r="L713" s="4">
        <f>1/JPY!B713</f>
        <v>1.2508286739965227E-2</v>
      </c>
      <c r="M713" s="4">
        <f>1/JPY!C713</f>
        <v>1.2511307093786009E-2</v>
      </c>
      <c r="N713" s="5">
        <f>1/KRW!B713</f>
        <v>8.8043669660151438E-4</v>
      </c>
      <c r="O713" s="5">
        <f>1/KRW!C713</f>
        <v>8.8041731780864126E-4</v>
      </c>
      <c r="P713" s="3">
        <f>1/NOK!B713</f>
        <v>0.17227715949419425</v>
      </c>
      <c r="Q713" s="3">
        <f>1/NOK!C713</f>
        <v>0.17206669305022626</v>
      </c>
      <c r="R713" s="3">
        <f>NZD!B713/1</f>
        <v>0.79259999999999997</v>
      </c>
      <c r="S713" s="3">
        <f>NZD!C713/1</f>
        <v>0.79090000000000005</v>
      </c>
      <c r="T713" s="4">
        <f>1/PHP!B713</f>
        <v>2.3623907394283016E-2</v>
      </c>
      <c r="U713" s="4">
        <f>1/PHP!C713</f>
        <v>2.3557680981884144E-2</v>
      </c>
      <c r="V713" s="4">
        <f>1/TWD!B713</f>
        <v>3.4112229234180454E-2</v>
      </c>
      <c r="W713" s="4">
        <f>1/TWD!C713</f>
        <v>3.4112229234180454E-2</v>
      </c>
      <c r="X713" s="4">
        <f>1/TWD!B713</f>
        <v>3.4112229234180454E-2</v>
      </c>
      <c r="Y713" s="4">
        <f>1/TWD!C713</f>
        <v>3.4112229234180454E-2</v>
      </c>
      <c r="Z713" s="4">
        <f>1/ZAR!B713</f>
        <v>0.12786742705163287</v>
      </c>
      <c r="AA713" s="4">
        <f>1/ZAR!C713</f>
        <v>0.12726046399165172</v>
      </c>
    </row>
    <row r="714" spans="1:27" x14ac:dyDescent="0.25">
      <c r="A714" t="str">
        <f>"09/05/2012"</f>
        <v>09/05/2012</v>
      </c>
      <c r="B714" s="3">
        <f>AUD!B714</f>
        <v>1.0064</v>
      </c>
      <c r="C714" s="3">
        <f>AUD!C714</f>
        <v>1.0031000000000001</v>
      </c>
      <c r="D714" s="3">
        <f>1/CAD!B714</f>
        <v>0.99800399201596801</v>
      </c>
      <c r="E714" s="3">
        <f>1/CAD!C714</f>
        <v>0.99730727037000111</v>
      </c>
      <c r="F714" s="3">
        <f>EUR!B714/1</f>
        <v>1.2970999999999999</v>
      </c>
      <c r="G714" s="3">
        <f>EUR!C714/1</f>
        <v>1.2971999999999999</v>
      </c>
      <c r="H714" s="3">
        <f>GBP!B714/1</f>
        <v>1.6135999999999999</v>
      </c>
      <c r="I714" s="3">
        <f>GBP!C714/1</f>
        <v>1.6133</v>
      </c>
      <c r="J714" s="4">
        <f>1/INR!B714</f>
        <v>1.8663680477790223E-2</v>
      </c>
      <c r="K714" s="4">
        <f>1/INR!C714</f>
        <v>1.8537399202891835E-2</v>
      </c>
      <c r="L714" s="4">
        <f>1/JPY!B714</f>
        <v>1.25340770219033E-2</v>
      </c>
      <c r="M714" s="4">
        <f>1/JPY!C714</f>
        <v>1.2536905515611582E-2</v>
      </c>
      <c r="N714" s="5">
        <f>1/KRW!B714</f>
        <v>8.7642418930762491E-4</v>
      </c>
      <c r="O714" s="5">
        <f>1/KRW!C714</f>
        <v>8.7638808918475753E-4</v>
      </c>
      <c r="P714" s="3">
        <f>1/NOK!B714</f>
        <v>0.17115667682196281</v>
      </c>
      <c r="Q714" s="3">
        <f>1/NOK!C714</f>
        <v>0.1709489375523531</v>
      </c>
      <c r="R714" s="3">
        <f>NZD!B714/1</f>
        <v>0.7853</v>
      </c>
      <c r="S714" s="3">
        <f>NZD!C714/1</f>
        <v>0.78359999999999996</v>
      </c>
      <c r="T714" s="4">
        <f>1/PHP!B714</f>
        <v>2.3579344494223064E-2</v>
      </c>
      <c r="U714" s="4">
        <f>1/PHP!C714</f>
        <v>2.3515579071134628E-2</v>
      </c>
      <c r="V714" s="4">
        <f>1/TWD!B714</f>
        <v>3.4055305816646231E-2</v>
      </c>
      <c r="W714" s="4">
        <f>1/TWD!C714</f>
        <v>3.4055305816646231E-2</v>
      </c>
      <c r="X714" s="4">
        <f>1/TWD!B714</f>
        <v>3.4055305816646231E-2</v>
      </c>
      <c r="Y714" s="4">
        <f>1/TWD!C714</f>
        <v>3.4055305816646231E-2</v>
      </c>
      <c r="Z714" s="4">
        <f>1/ZAR!B714</f>
        <v>0.12609863435178997</v>
      </c>
      <c r="AA714" s="4">
        <f>1/ZAR!C714</f>
        <v>0.12549570804678481</v>
      </c>
    </row>
    <row r="715" spans="1:27" x14ac:dyDescent="0.25">
      <c r="A715" t="str">
        <f>"10/05/2012"</f>
        <v>10/05/2012</v>
      </c>
      <c r="B715" s="3">
        <f>AUD!B715</f>
        <v>1.008</v>
      </c>
      <c r="C715" s="3">
        <f>AUD!C715</f>
        <v>1.0047999999999999</v>
      </c>
      <c r="D715" s="3">
        <f>1/CAD!B715</f>
        <v>0.99800399201596801</v>
      </c>
      <c r="E715" s="3">
        <f>1/CAD!C715</f>
        <v>0.99740674246957917</v>
      </c>
      <c r="F715" s="3">
        <f>EUR!B715/1</f>
        <v>1.2943</v>
      </c>
      <c r="G715" s="3">
        <f>EUR!C715/1</f>
        <v>1.2944</v>
      </c>
      <c r="H715" s="3">
        <f>GBP!B715/1</f>
        <v>1.6132</v>
      </c>
      <c r="I715" s="3">
        <f>GBP!C715/1</f>
        <v>1.6129</v>
      </c>
      <c r="J715" s="4">
        <f>1/INR!B715</f>
        <v>1.8646280067126608E-2</v>
      </c>
      <c r="K715" s="4">
        <f>1/INR!C715</f>
        <v>1.8506523549551217E-2</v>
      </c>
      <c r="L715" s="4">
        <f>1/JPY!B715</f>
        <v>1.2553351744915894E-2</v>
      </c>
      <c r="M715" s="4">
        <f>1/JPY!C715</f>
        <v>1.2556346605391695E-2</v>
      </c>
      <c r="N715" s="5">
        <f>1/KRW!B715</f>
        <v>8.7500546878417997E-4</v>
      </c>
      <c r="O715" s="5">
        <f>1/KRW!C715</f>
        <v>8.7496910265356248E-4</v>
      </c>
      <c r="P715" s="3">
        <f>1/NOK!B715</f>
        <v>0.17147070423018226</v>
      </c>
      <c r="Q715" s="3">
        <f>1/NOK!C715</f>
        <v>0.17127100210663332</v>
      </c>
      <c r="R715" s="3">
        <f>NZD!B715/1</f>
        <v>0.78439999999999999</v>
      </c>
      <c r="S715" s="3">
        <f>NZD!C715/1</f>
        <v>0.78269999999999995</v>
      </c>
      <c r="T715" s="4">
        <f>1/PHP!B715</f>
        <v>2.3546032493524841E-2</v>
      </c>
      <c r="U715" s="4">
        <f>1/PHP!C715</f>
        <v>2.34796900680911E-2</v>
      </c>
      <c r="V715" s="4">
        <f>1/TWD!B715</f>
        <v>3.4068067999863727E-2</v>
      </c>
      <c r="W715" s="4">
        <f>1/TWD!C715</f>
        <v>3.4068067999863727E-2</v>
      </c>
      <c r="X715" s="4">
        <f>1/TWD!B715</f>
        <v>3.4068067999863727E-2</v>
      </c>
      <c r="Y715" s="4">
        <f>1/TWD!C715</f>
        <v>3.4068067999863727E-2</v>
      </c>
      <c r="Z715" s="4">
        <f>1/ZAR!B715</f>
        <v>0.1252128618651708</v>
      </c>
      <c r="AA715" s="4">
        <f>1/ZAR!C715</f>
        <v>0.124640101706323</v>
      </c>
    </row>
    <row r="716" spans="1:27" x14ac:dyDescent="0.25">
      <c r="A716" t="str">
        <f>"11/05/2012"</f>
        <v>11/05/2012</v>
      </c>
      <c r="B716" s="3">
        <f>AUD!B716</f>
        <v>1.0063</v>
      </c>
      <c r="C716" s="3">
        <f>AUD!C716</f>
        <v>1.0031000000000001</v>
      </c>
      <c r="D716" s="3">
        <f>1/CAD!B716</f>
        <v>0.99601593625498008</v>
      </c>
      <c r="E716" s="3">
        <f>1/CAD!C716</f>
        <v>0.99532198666268545</v>
      </c>
      <c r="F716" s="3">
        <f>EUR!B716/1</f>
        <v>1.2922</v>
      </c>
      <c r="G716" s="3">
        <f>EUR!C716/1</f>
        <v>1.2923</v>
      </c>
      <c r="H716" s="3">
        <f>GBP!B716/1</f>
        <v>1.6120000000000001</v>
      </c>
      <c r="I716" s="3">
        <f>GBP!C716/1</f>
        <v>1.6116999999999999</v>
      </c>
      <c r="J716" s="4">
        <f>1/INR!B716</f>
        <v>1.8658456945610597E-2</v>
      </c>
      <c r="K716" s="4">
        <f>1/INR!C716</f>
        <v>1.8537399202891835E-2</v>
      </c>
      <c r="L716" s="4">
        <f>1/JPY!B716</f>
        <v>1.2521286186517079E-2</v>
      </c>
      <c r="M716" s="4">
        <f>1/JPY!C716</f>
        <v>1.2523638367418502E-2</v>
      </c>
      <c r="N716" s="5">
        <f>1/KRW!B716</f>
        <v>8.7275266189561879E-4</v>
      </c>
      <c r="O716" s="5">
        <f>1/KRW!C716</f>
        <v>8.7273285821756535E-4</v>
      </c>
      <c r="P716" s="3">
        <f>1/NOK!B716</f>
        <v>0.17042162309553838</v>
      </c>
      <c r="Q716" s="3">
        <f>1/NOK!C716</f>
        <v>0.17022435570081368</v>
      </c>
      <c r="R716" s="3">
        <f>NZD!B716/1</f>
        <v>0.78410000000000002</v>
      </c>
      <c r="S716" s="3">
        <f>NZD!C716/1</f>
        <v>0.78249999999999997</v>
      </c>
      <c r="T716" s="4">
        <f>1/PHP!B716</f>
        <v>2.3562676720075403E-2</v>
      </c>
      <c r="U716" s="4">
        <f>1/PHP!C716</f>
        <v>2.350010575047588E-2</v>
      </c>
      <c r="V716" s="4">
        <f>1/TWD!B716</f>
        <v>3.4046030232874849E-2</v>
      </c>
      <c r="W716" s="4">
        <f>1/TWD!C716</f>
        <v>3.4046030232874849E-2</v>
      </c>
      <c r="X716" s="4">
        <f>1/TWD!B716</f>
        <v>3.4046030232874849E-2</v>
      </c>
      <c r="Y716" s="4">
        <f>1/TWD!C716</f>
        <v>3.4046030232874849E-2</v>
      </c>
      <c r="Z716" s="4">
        <f>1/ZAR!B716</f>
        <v>0.12435800181562683</v>
      </c>
      <c r="AA716" s="4">
        <f>1/ZAR!C716</f>
        <v>0.12379301807378065</v>
      </c>
    </row>
    <row r="717" spans="1:27" x14ac:dyDescent="0.25">
      <c r="A717" t="str">
        <f>"14/05/2012"</f>
        <v>14/05/2012</v>
      </c>
      <c r="B717" s="3">
        <f>AUD!B717</f>
        <v>0.99790000000000001</v>
      </c>
      <c r="C717" s="3">
        <f>AUD!C717</f>
        <v>0.99460000000000004</v>
      </c>
      <c r="D717" s="3">
        <f>1/CAD!B717</f>
        <v>0.9959167413604223</v>
      </c>
      <c r="E717" s="3">
        <f>1/CAD!C717</f>
        <v>0.99522292993630579</v>
      </c>
      <c r="F717" s="3">
        <f>EUR!B717/1</f>
        <v>1.2873000000000001</v>
      </c>
      <c r="G717" s="3">
        <f>EUR!C717/1</f>
        <v>1.2875000000000001</v>
      </c>
      <c r="H717" s="3">
        <f>GBP!B717/1</f>
        <v>1.6072</v>
      </c>
      <c r="I717" s="3">
        <f>GBP!C717/1</f>
        <v>1.6069</v>
      </c>
      <c r="J717" s="4">
        <f>1/INR!B717</f>
        <v>1.8583042973286876E-2</v>
      </c>
      <c r="K717" s="4">
        <f>1/INR!C717</f>
        <v>1.8455292054996769E-2</v>
      </c>
      <c r="L717" s="4">
        <f>1/JPY!B717</f>
        <v>1.2494065318973489E-2</v>
      </c>
      <c r="M717" s="4">
        <f>1/JPY!C717</f>
        <v>1.2497188132670149E-2</v>
      </c>
      <c r="N717" s="5">
        <f>1/KRW!B717</f>
        <v>8.7007591412350724E-4</v>
      </c>
      <c r="O717" s="5">
        <f>1/KRW!C717</f>
        <v>8.7004941880698835E-4</v>
      </c>
      <c r="P717" s="3">
        <f>1/NOK!B717</f>
        <v>0.16929927032014491</v>
      </c>
      <c r="Q717" s="3">
        <f>1/NOK!C717</f>
        <v>0.16908743511269678</v>
      </c>
      <c r="R717" s="3">
        <f>NZD!B717/1</f>
        <v>0.77710000000000001</v>
      </c>
      <c r="S717" s="3">
        <f>NZD!C717/1</f>
        <v>0.77529999999999999</v>
      </c>
      <c r="T717" s="4">
        <f>1/PHP!B717</f>
        <v>2.3391812865497075E-2</v>
      </c>
      <c r="U717" s="4">
        <f>1/PHP!C717</f>
        <v>2.178649237472767E-2</v>
      </c>
      <c r="V717" s="4">
        <f>1/TWD!B717</f>
        <v>3.3855841825506994E-2</v>
      </c>
      <c r="W717" s="4">
        <f>1/TWD!C717</f>
        <v>3.3855841825506994E-2</v>
      </c>
      <c r="X717" s="4">
        <f>1/TWD!B717</f>
        <v>3.3855841825506994E-2</v>
      </c>
      <c r="Y717" s="4">
        <f>1/TWD!C717</f>
        <v>3.3855841825506994E-2</v>
      </c>
      <c r="Z717" s="4">
        <f>1/ZAR!B717</f>
        <v>0.1221105589000281</v>
      </c>
      <c r="AA717" s="4">
        <f>1/ZAR!C717</f>
        <v>0.12150963571411214</v>
      </c>
    </row>
    <row r="718" spans="1:27" x14ac:dyDescent="0.25">
      <c r="A718" t="str">
        <f>"15/05/2012"</f>
        <v>15/05/2012</v>
      </c>
      <c r="B718" s="3">
        <f>AUD!B718</f>
        <v>0.99970000000000003</v>
      </c>
      <c r="C718" s="3">
        <f>AUD!C718</f>
        <v>0.99650000000000005</v>
      </c>
      <c r="D718" s="3">
        <f>1/CAD!B718</f>
        <v>0.99880143827407097</v>
      </c>
      <c r="E718" s="3">
        <f>1/CAD!C718</f>
        <v>0.99810360315400737</v>
      </c>
      <c r="F718" s="3">
        <f>EUR!B718/1</f>
        <v>1.2847999999999999</v>
      </c>
      <c r="G718" s="3">
        <f>EUR!C718/1</f>
        <v>1.2848999999999999</v>
      </c>
      <c r="H718" s="3">
        <f>GBP!B718/1</f>
        <v>1.6106</v>
      </c>
      <c r="I718" s="3">
        <f>GBP!C718/1</f>
        <v>1.6103000000000001</v>
      </c>
      <c r="J718" s="4">
        <f>1/INR!B718</f>
        <v>1.8573551263001486E-2</v>
      </c>
      <c r="K718" s="4">
        <f>1/INR!C718</f>
        <v>1.8453589223103896E-2</v>
      </c>
      <c r="L718" s="4">
        <f>1/JPY!B718</f>
        <v>1.2519718556726846E-2</v>
      </c>
      <c r="M718" s="4">
        <f>1/JPY!C718</f>
        <v>1.2522854208931299E-2</v>
      </c>
      <c r="N718" s="5">
        <f>1/KRW!B718</f>
        <v>8.6647604193744053E-4</v>
      </c>
      <c r="O718" s="5">
        <f>1/KRW!C718</f>
        <v>8.664433842065567E-4</v>
      </c>
      <c r="P718" s="3">
        <f>1/NOK!B718</f>
        <v>0.16870803387657321</v>
      </c>
      <c r="Q718" s="3">
        <f>1/NOK!C718</f>
        <v>0.16851471133429949</v>
      </c>
      <c r="R718" s="3">
        <f>NZD!B718/1</f>
        <v>0.77859999999999996</v>
      </c>
      <c r="S718" s="3">
        <f>NZD!C718/1</f>
        <v>0.77690000000000003</v>
      </c>
      <c r="T718" s="4">
        <f>1/PHP!B718</f>
        <v>2.3397285914833879E-2</v>
      </c>
      <c r="U718" s="4">
        <f>1/PHP!C718</f>
        <v>2.3329056339671059E-2</v>
      </c>
      <c r="V718" s="4">
        <f>1/TWD!B718</f>
        <v>3.389026332734605E-2</v>
      </c>
      <c r="W718" s="4">
        <f>1/TWD!C718</f>
        <v>3.389026332734605E-2</v>
      </c>
      <c r="X718" s="4">
        <f>1/TWD!B718</f>
        <v>3.389026332734605E-2</v>
      </c>
      <c r="Y718" s="4">
        <f>1/TWD!C718</f>
        <v>3.389026332734605E-2</v>
      </c>
      <c r="Z718" s="4">
        <f>1/ZAR!B718</f>
        <v>0.12235558981512069</v>
      </c>
      <c r="AA718" s="4">
        <f>1/ZAR!C718</f>
        <v>0.12177449798463205</v>
      </c>
    </row>
    <row r="719" spans="1:27" x14ac:dyDescent="0.25">
      <c r="A719" t="str">
        <f>"16/05/2012"</f>
        <v>16/05/2012</v>
      </c>
      <c r="B719" s="3">
        <f>AUD!B719</f>
        <v>0.99150000000000005</v>
      </c>
      <c r="C719" s="3">
        <f>AUD!C719</f>
        <v>0.98829999999999996</v>
      </c>
      <c r="D719" s="3">
        <f>1/CAD!B719</f>
        <v>0.99108027750247785</v>
      </c>
      <c r="E719" s="3">
        <f>1/CAD!C719</f>
        <v>0.99029510794216669</v>
      </c>
      <c r="F719" s="3">
        <f>EUR!B719/1</f>
        <v>1.2715000000000001</v>
      </c>
      <c r="G719" s="3">
        <f>EUR!C719/1</f>
        <v>1.2716000000000001</v>
      </c>
      <c r="H719" s="3">
        <f>GBP!B719/1</f>
        <v>1.5966</v>
      </c>
      <c r="I719" s="3">
        <f>GBP!C719/1</f>
        <v>1.5963000000000001</v>
      </c>
      <c r="J719" s="4">
        <f>1/INR!B719</f>
        <v>1.8438277864847422E-2</v>
      </c>
      <c r="K719" s="4">
        <f>1/INR!C719</f>
        <v>1.8323408153916629E-2</v>
      </c>
      <c r="L719" s="4">
        <f>1/JPY!B719</f>
        <v>1.243533625149224E-2</v>
      </c>
      <c r="M719" s="4">
        <f>1/JPY!C719</f>
        <v>1.2438120351252519E-2</v>
      </c>
      <c r="N719" s="5">
        <f>1/KRW!B719</f>
        <v>8.595495960116898E-4</v>
      </c>
      <c r="O719" s="5">
        <f>1/KRW!C719</f>
        <v>8.5953112577089204E-4</v>
      </c>
      <c r="P719" s="3">
        <f>1/NOK!B719</f>
        <v>0.1663201663201663</v>
      </c>
      <c r="Q719" s="3">
        <f>1/NOK!C719</f>
        <v>0.16612675471384666</v>
      </c>
      <c r="R719" s="3">
        <f>NZD!B719/1</f>
        <v>0.76580000000000004</v>
      </c>
      <c r="S719" s="3">
        <f>NZD!C719/1</f>
        <v>0.7641</v>
      </c>
      <c r="T719" s="4">
        <f>1/PHP!B719</f>
        <v>2.3277467411545624E-2</v>
      </c>
      <c r="U719" s="4">
        <f>1/PHP!C719</f>
        <v>2.3215322112594312E-2</v>
      </c>
      <c r="V719" s="4">
        <f>1/TWD!B719</f>
        <v>3.3789491468153403E-2</v>
      </c>
      <c r="W719" s="4">
        <f>1/TWD!C719</f>
        <v>3.3789491468153403E-2</v>
      </c>
      <c r="X719" s="4">
        <f>1/TWD!B719</f>
        <v>3.3789491468153403E-2</v>
      </c>
      <c r="Y719" s="4">
        <f>1/TWD!C719</f>
        <v>3.3789491468153403E-2</v>
      </c>
      <c r="Z719" s="4">
        <f>1/ZAR!B719</f>
        <v>0.11964298533176999</v>
      </c>
      <c r="AA719" s="4">
        <f>1/ZAR!C719</f>
        <v>0.11907313471934464</v>
      </c>
    </row>
    <row r="720" spans="1:27" x14ac:dyDescent="0.25">
      <c r="A720" t="str">
        <f>"17/05/2012"</f>
        <v>17/05/2012</v>
      </c>
      <c r="B720" s="3">
        <f>AUD!B720</f>
        <v>0.99580000000000002</v>
      </c>
      <c r="C720" s="3">
        <f>AUD!C720</f>
        <v>0.99270000000000003</v>
      </c>
      <c r="D720" s="3">
        <f>1/CAD!B720</f>
        <v>0.98931539374752675</v>
      </c>
      <c r="E720" s="3">
        <f>1/CAD!C720</f>
        <v>0.98863074641621351</v>
      </c>
      <c r="F720" s="3">
        <f>EUR!B720/1</f>
        <v>1.2739</v>
      </c>
      <c r="G720" s="3">
        <f>EUR!C720/1</f>
        <v>1.274</v>
      </c>
      <c r="H720" s="3">
        <f>GBP!B720/1</f>
        <v>1.5912999999999999</v>
      </c>
      <c r="I720" s="3">
        <f>GBP!C720/1</f>
        <v>1.591</v>
      </c>
      <c r="J720" s="4">
        <f>1/INR!B720</f>
        <v>1.8380663541953866E-2</v>
      </c>
      <c r="K720" s="4">
        <f>1/INR!C720</f>
        <v>1.8261504747991236E-2</v>
      </c>
      <c r="L720" s="4">
        <f>1/JPY!B720</f>
        <v>1.2448804292347721E-2</v>
      </c>
      <c r="M720" s="4">
        <f>1/JPY!C720</f>
        <v>1.2451439386393067E-2</v>
      </c>
      <c r="N720" s="5">
        <f>1/KRW!B720</f>
        <v>8.5969738651994494E-4</v>
      </c>
      <c r="O720" s="5">
        <f>1/KRW!C720</f>
        <v>8.5966486824776232E-4</v>
      </c>
      <c r="P720" s="3">
        <f>1/NOK!B720</f>
        <v>0.16825669240994062</v>
      </c>
      <c r="Q720" s="3">
        <f>1/NOK!C720</f>
        <v>0.16804745660174433</v>
      </c>
      <c r="R720" s="3">
        <f>NZD!B720/1</f>
        <v>0.76759999999999995</v>
      </c>
      <c r="S720" s="3">
        <f>NZD!C720/1</f>
        <v>0.76590000000000003</v>
      </c>
      <c r="T720" s="4">
        <f>1/PHP!B720</f>
        <v>2.3326335432703522E-2</v>
      </c>
      <c r="U720" s="4">
        <f>1/PHP!C720</f>
        <v>2.3263929277654995E-2</v>
      </c>
      <c r="V720" s="4">
        <f>1/TWD!B720</f>
        <v>3.3886818027787188E-2</v>
      </c>
      <c r="W720" s="4">
        <f>1/TWD!C720</f>
        <v>3.3886818027787188E-2</v>
      </c>
      <c r="X720" s="4">
        <f>1/TWD!B720</f>
        <v>3.3886818027787188E-2</v>
      </c>
      <c r="Y720" s="4">
        <f>1/TWD!C720</f>
        <v>3.3886818027787188E-2</v>
      </c>
      <c r="Z720" s="4">
        <f>1/ZAR!B720</f>
        <v>0.12097749818533753</v>
      </c>
      <c r="AA720" s="4">
        <f>1/ZAR!C720</f>
        <v>0.12042389210019268</v>
      </c>
    </row>
    <row r="721" spans="1:27" x14ac:dyDescent="0.25">
      <c r="A721" t="str">
        <f>"18/05/2012"</f>
        <v>18/05/2012</v>
      </c>
      <c r="B721" s="3">
        <f>AUD!B721</f>
        <v>0.98380000000000001</v>
      </c>
      <c r="C721" s="3">
        <f>AUD!C721</f>
        <v>0.98070000000000002</v>
      </c>
      <c r="D721" s="3">
        <f>1/CAD!B721</f>
        <v>0.97943192948090119</v>
      </c>
      <c r="E721" s="3">
        <f>1/CAD!C721</f>
        <v>0.97876088871488687</v>
      </c>
      <c r="F721" s="3">
        <f>EUR!B721/1</f>
        <v>1.2676000000000001</v>
      </c>
      <c r="G721" s="3">
        <f>EUR!C721/1</f>
        <v>1.2677</v>
      </c>
      <c r="H721" s="3">
        <f>GBP!B721/1</f>
        <v>1.5761000000000001</v>
      </c>
      <c r="I721" s="3">
        <f>GBP!C721/1</f>
        <v>1.5759000000000001</v>
      </c>
      <c r="J721" s="4">
        <f>1/INR!B721</f>
        <v>1.8257337167374137E-2</v>
      </c>
      <c r="K721" s="4">
        <f>1/INR!C721</f>
        <v>1.8139766903995283E-2</v>
      </c>
      <c r="L721" s="4">
        <f>1/JPY!B721</f>
        <v>1.2585185977585784E-2</v>
      </c>
      <c r="M721" s="4">
        <f>1/JPY!C721</f>
        <v>1.2587879131184582E-2</v>
      </c>
      <c r="N721" s="5">
        <f>1/KRW!B721</f>
        <v>8.5273300929478981E-4</v>
      </c>
      <c r="O721" s="5">
        <f>1/KRW!C721</f>
        <v>8.527141037207326E-4</v>
      </c>
      <c r="P721" s="3">
        <f>1/NOK!B721</f>
        <v>0.1667472611762352</v>
      </c>
      <c r="Q721" s="3">
        <f>1/NOK!C721</f>
        <v>0.16654176034640686</v>
      </c>
      <c r="R721" s="3">
        <f>NZD!B721/1</f>
        <v>0.7581</v>
      </c>
      <c r="S721" s="3">
        <f>NZD!C721/1</f>
        <v>0.75639999999999996</v>
      </c>
      <c r="T721" s="4">
        <f>1/PHP!B721</f>
        <v>2.3148148148148147E-2</v>
      </c>
      <c r="U721" s="4">
        <f>1/PHP!C721</f>
        <v>2.3084025854108955E-2</v>
      </c>
      <c r="V721" s="4">
        <f>1/TWD!B721</f>
        <v>3.3772374197906116E-2</v>
      </c>
      <c r="W721" s="4">
        <f>1/TWD!C721</f>
        <v>3.3772374197906116E-2</v>
      </c>
      <c r="X721" s="4">
        <f>1/TWD!B721</f>
        <v>3.3772374197906116E-2</v>
      </c>
      <c r="Y721" s="4">
        <f>1/TWD!C721</f>
        <v>3.3772374197906116E-2</v>
      </c>
      <c r="Z721" s="4">
        <f>1/ZAR!B721</f>
        <v>0.11918951132300357</v>
      </c>
      <c r="AA721" s="4">
        <f>1/ZAR!C721</f>
        <v>0.11863240562792134</v>
      </c>
    </row>
    <row r="722" spans="1:27" x14ac:dyDescent="0.25">
      <c r="A722" t="str">
        <f>"21/05/2012"</f>
        <v>21/05/2012</v>
      </c>
      <c r="B722" s="3">
        <f>AUD!B722</f>
        <v>0.9849</v>
      </c>
      <c r="C722" s="3">
        <f>AUD!C722</f>
        <v>0.98180000000000001</v>
      </c>
      <c r="D722" s="3">
        <f>1/CAD!B722</f>
        <v>0.98048828316501613</v>
      </c>
      <c r="E722" s="3">
        <f>1/CAD!C722</f>
        <v>0.97981579463060953</v>
      </c>
      <c r="F722" s="3">
        <f>EUR!B722/1</f>
        <v>1.2771999999999999</v>
      </c>
      <c r="G722" s="3">
        <f>EUR!C722/1</f>
        <v>1.2773000000000001</v>
      </c>
      <c r="H722" s="3">
        <f>GBP!B722/1</f>
        <v>1.5818000000000001</v>
      </c>
      <c r="I722" s="3">
        <f>GBP!C722/1</f>
        <v>1.5814999999999999</v>
      </c>
      <c r="J722" s="4">
        <f>1/INR!B722</f>
        <v>1.8236527765113524E-2</v>
      </c>
      <c r="K722" s="4">
        <f>1/INR!C722</f>
        <v>1.8112660749864156E-2</v>
      </c>
      <c r="L722" s="4">
        <f>1/JPY!B722</f>
        <v>1.2610897076163514E-2</v>
      </c>
      <c r="M722" s="4">
        <f>1/JPY!C722</f>
        <v>1.2613601246223804E-2</v>
      </c>
      <c r="N722" s="5">
        <f>1/KRW!B722</f>
        <v>8.5532224265492019E-4</v>
      </c>
      <c r="O722" s="5">
        <f>1/KRW!C722</f>
        <v>8.5529663825656334E-4</v>
      </c>
      <c r="P722" s="3">
        <f>1/NOK!B722</f>
        <v>0.16765864699471875</v>
      </c>
      <c r="Q722" s="3">
        <f>1/NOK!C722</f>
        <v>0.16743967985533212</v>
      </c>
      <c r="R722" s="3">
        <f>NZD!B722/1</f>
        <v>0.75770000000000004</v>
      </c>
      <c r="S722" s="3">
        <f>NZD!C722/1</f>
        <v>0.75590000000000002</v>
      </c>
      <c r="T722" s="4">
        <f>1/PHP!B722</f>
        <v>2.3126734505087881E-2</v>
      </c>
      <c r="U722" s="4">
        <f>1/PHP!C722</f>
        <v>2.3069115068745965E-2</v>
      </c>
      <c r="V722" s="4">
        <f>1/TWD!B722</f>
        <v>3.3840947546531303E-2</v>
      </c>
      <c r="W722" s="4">
        <f>1/TWD!C722</f>
        <v>3.3840947546531303E-2</v>
      </c>
      <c r="X722" s="4">
        <f>1/TWD!B722</f>
        <v>3.3840947546531303E-2</v>
      </c>
      <c r="Y722" s="4">
        <f>1/TWD!C722</f>
        <v>3.3840947546531303E-2</v>
      </c>
      <c r="Z722" s="4">
        <f>1/ZAR!B722</f>
        <v>0.12035142616440006</v>
      </c>
      <c r="AA722" s="4">
        <f>1/ZAR!C722</f>
        <v>0.11976047904191617</v>
      </c>
    </row>
    <row r="723" spans="1:27" x14ac:dyDescent="0.25">
      <c r="A723" t="str">
        <f>"22/05/2012"</f>
        <v>22/05/2012</v>
      </c>
      <c r="B723" s="3">
        <f>AUD!B723</f>
        <v>0.98729999999999996</v>
      </c>
      <c r="C723" s="3">
        <f>AUD!C723</f>
        <v>0.98419999999999996</v>
      </c>
      <c r="D723" s="3">
        <f>1/CAD!B723</f>
        <v>0.9818360333824252</v>
      </c>
      <c r="E723" s="3">
        <f>1/CAD!C723</f>
        <v>0.9810654370646521</v>
      </c>
      <c r="F723" s="3">
        <f>EUR!B723/1</f>
        <v>1.2746</v>
      </c>
      <c r="G723" s="3">
        <f>EUR!C723/1</f>
        <v>1.2746999999999999</v>
      </c>
      <c r="H723" s="3">
        <f>GBP!B723/1</f>
        <v>1.5770999999999999</v>
      </c>
      <c r="I723" s="3">
        <f>GBP!C723/1</f>
        <v>1.5768</v>
      </c>
      <c r="J723" s="4">
        <f>1/INR!B723</f>
        <v>1.804402742692169E-2</v>
      </c>
      <c r="K723" s="4">
        <f>1/INR!C723</f>
        <v>1.792355603351705E-2</v>
      </c>
      <c r="L723" s="4">
        <f>1/JPY!B723</f>
        <v>1.2542802312892745E-2</v>
      </c>
      <c r="M723" s="4">
        <f>1/JPY!C723</f>
        <v>1.2545477355413375E-2</v>
      </c>
      <c r="N723" s="5">
        <f>1/KRW!B723</f>
        <v>8.5940185630800972E-4</v>
      </c>
      <c r="O723" s="5">
        <f>1/KRW!C723</f>
        <v>8.5937637634497777E-4</v>
      </c>
      <c r="P723" s="3">
        <f>1/NOK!B723</f>
        <v>0.168335998653312</v>
      </c>
      <c r="Q723" s="3">
        <f>1/NOK!C723</f>
        <v>0.16811808614370735</v>
      </c>
      <c r="R723" s="3">
        <f>NZD!B723/1</f>
        <v>0.76070000000000004</v>
      </c>
      <c r="S723" s="3">
        <f>NZD!C723/1</f>
        <v>0.75900000000000001</v>
      </c>
      <c r="T723" s="4">
        <f>1/PHP!B723</f>
        <v>2.3166917641607783E-2</v>
      </c>
      <c r="U723" s="4">
        <f>1/PHP!C723</f>
        <v>2.2611644997173545E-2</v>
      </c>
      <c r="V723" s="4">
        <f>1/TWD!B723</f>
        <v>3.3852403520649964E-2</v>
      </c>
      <c r="W723" s="4">
        <f>1/TWD!C723</f>
        <v>3.3852403520649964E-2</v>
      </c>
      <c r="X723" s="4">
        <f>1/TWD!B723</f>
        <v>3.3852403520649964E-2</v>
      </c>
      <c r="Y723" s="4">
        <f>1/TWD!C723</f>
        <v>3.3852403520649964E-2</v>
      </c>
      <c r="Z723" s="4">
        <f>1/ZAR!B723</f>
        <v>0.12104778966736067</v>
      </c>
      <c r="AA723" s="4">
        <f>1/ZAR!C723</f>
        <v>0.12046451115501373</v>
      </c>
    </row>
    <row r="724" spans="1:27" x14ac:dyDescent="0.25">
      <c r="A724" t="str">
        <f>"23/05/2012"</f>
        <v>23/05/2012</v>
      </c>
      <c r="B724" s="3">
        <f>AUD!B724</f>
        <v>0.97619999999999996</v>
      </c>
      <c r="C724" s="3">
        <f>AUD!C724</f>
        <v>0.97330000000000005</v>
      </c>
      <c r="D724" s="3">
        <f>1/CAD!B724</f>
        <v>0.97856933163714643</v>
      </c>
      <c r="E724" s="3">
        <f>1/CAD!C724</f>
        <v>0.97789947193428517</v>
      </c>
      <c r="F724" s="3">
        <f>EUR!B724/1</f>
        <v>1.2670999999999999</v>
      </c>
      <c r="G724" s="3">
        <f>EUR!C724/1</f>
        <v>1.2672000000000001</v>
      </c>
      <c r="H724" s="3">
        <f>GBP!B724/1</f>
        <v>1.5758000000000001</v>
      </c>
      <c r="I724" s="3">
        <f>GBP!C724/1</f>
        <v>1.5754999999999999</v>
      </c>
      <c r="J724" s="4">
        <f>1/INR!B724</f>
        <v>1.7942047187584104E-2</v>
      </c>
      <c r="K724" s="4">
        <f>1/INR!C724</f>
        <v>1.78276953246869E-2</v>
      </c>
      <c r="L724" s="4">
        <f>1/JPY!B724</f>
        <v>1.2567313673865642E-2</v>
      </c>
      <c r="M724" s="4">
        <f>1/JPY!C724</f>
        <v>1.2569525186186091E-2</v>
      </c>
      <c r="N724" s="5">
        <f>1/KRW!B724</f>
        <v>8.5309674117044871E-4</v>
      </c>
      <c r="O724" s="5">
        <f>1/KRW!C724</f>
        <v>8.5306472031420081E-4</v>
      </c>
      <c r="P724" s="3">
        <f>1/NOK!B724</f>
        <v>0.16690311274305264</v>
      </c>
      <c r="Q724" s="3">
        <f>1/NOK!C724</f>
        <v>0.16669167041722924</v>
      </c>
      <c r="R724" s="3">
        <f>NZD!B724/1</f>
        <v>0.75160000000000005</v>
      </c>
      <c r="S724" s="3">
        <f>NZD!C724/1</f>
        <v>0.74990000000000001</v>
      </c>
      <c r="T724" s="4">
        <f>1/PHP!B724</f>
        <v>2.3065390381732213E-2</v>
      </c>
      <c r="U724" s="4">
        <f>1/PHP!C724</f>
        <v>2.3001196062195233E-2</v>
      </c>
      <c r="V724" s="4">
        <f>1/TWD!B724</f>
        <v>3.3846674564224064E-2</v>
      </c>
      <c r="W724" s="4">
        <f>1/TWD!C724</f>
        <v>3.3846674564224064E-2</v>
      </c>
      <c r="X724" s="4">
        <f>1/TWD!B724</f>
        <v>3.3846674564224064E-2</v>
      </c>
      <c r="Y724" s="4">
        <f>1/TWD!C724</f>
        <v>3.3846674564224064E-2</v>
      </c>
      <c r="Z724" s="4">
        <f>1/ZAR!B724</f>
        <v>0.11960577935125827</v>
      </c>
      <c r="AA724" s="4">
        <f>1/ZAR!C724</f>
        <v>0.11899520449325891</v>
      </c>
    </row>
    <row r="725" spans="1:27" x14ac:dyDescent="0.25">
      <c r="A725" t="str">
        <f>"24/05/2012"</f>
        <v>24/05/2012</v>
      </c>
      <c r="B725" s="3">
        <f>AUD!B725</f>
        <v>0.97550000000000003</v>
      </c>
      <c r="C725" s="3">
        <f>AUD!C725</f>
        <v>0.97260000000000002</v>
      </c>
      <c r="D725" s="3">
        <f>1/CAD!B725</f>
        <v>0.9749439407234084</v>
      </c>
      <c r="E725" s="3">
        <f>1/CAD!C725</f>
        <v>0.97427903351519873</v>
      </c>
      <c r="F725" s="3">
        <f>EUR!B725/1</f>
        <v>1.2577</v>
      </c>
      <c r="G725" s="3">
        <f>EUR!C725/1</f>
        <v>1.2578</v>
      </c>
      <c r="H725" s="3">
        <f>GBP!B725/1</f>
        <v>1.5683</v>
      </c>
      <c r="I725" s="3">
        <f>GBP!C725/1</f>
        <v>1.5680000000000001</v>
      </c>
      <c r="J725" s="4">
        <f>1/INR!B725</f>
        <v>1.7761989342806397E-2</v>
      </c>
      <c r="K725" s="4">
        <f>1/INR!C725</f>
        <v>1.7645242401517491E-2</v>
      </c>
      <c r="L725" s="4">
        <f>1/JPY!B725</f>
        <v>1.2575531787800477E-2</v>
      </c>
      <c r="M725" s="4">
        <f>1/JPY!C725</f>
        <v>1.2578379024295139E-2</v>
      </c>
      <c r="N725" s="5">
        <f>1/KRW!B725</f>
        <v>8.4724222655257141E-4</v>
      </c>
      <c r="O725" s="5">
        <f>1/KRW!C725</f>
        <v>8.4721028479397339E-4</v>
      </c>
      <c r="P725" s="3">
        <f>1/NOK!B725</f>
        <v>0.16687526074259493</v>
      </c>
      <c r="Q725" s="3">
        <f>1/NOK!C725</f>
        <v>0.16667222240741358</v>
      </c>
      <c r="R725" s="3">
        <f>NZD!B725/1</f>
        <v>0.75190000000000001</v>
      </c>
      <c r="S725" s="3">
        <f>NZD!C725/1</f>
        <v>0.75039999999999996</v>
      </c>
      <c r="T725" s="4">
        <f>1/PHP!B725</f>
        <v>2.2935779816513759E-2</v>
      </c>
      <c r="U725" s="4">
        <f>1/PHP!C725</f>
        <v>2.2875443211712226E-2</v>
      </c>
      <c r="V725" s="4">
        <f>1/TWD!B725</f>
        <v>3.3799770161562902E-2</v>
      </c>
      <c r="W725" s="4">
        <f>1/TWD!C725</f>
        <v>3.3799770161562902E-2</v>
      </c>
      <c r="X725" s="4">
        <f>1/TWD!B725</f>
        <v>3.3799770161562902E-2</v>
      </c>
      <c r="Y725" s="4">
        <f>1/TWD!C725</f>
        <v>3.3799770161562902E-2</v>
      </c>
      <c r="Z725" s="4">
        <f>1/ZAR!B725</f>
        <v>0.11899945260251804</v>
      </c>
      <c r="AA725" s="4">
        <f>1/ZAR!C725</f>
        <v>0.11843429857286671</v>
      </c>
    </row>
    <row r="726" spans="1:27" x14ac:dyDescent="0.25">
      <c r="A726" t="str">
        <f>"25/05/2012"</f>
        <v>25/05/2012</v>
      </c>
      <c r="B726" s="3">
        <f>AUD!B726</f>
        <v>0.97440000000000004</v>
      </c>
      <c r="C726" s="3">
        <f>AUD!C726</f>
        <v>0.97150000000000003</v>
      </c>
      <c r="D726" s="3">
        <f>1/CAD!B726</f>
        <v>0.97285728183675446</v>
      </c>
      <c r="E726" s="3">
        <f>1/CAD!C726</f>
        <v>0.97219521679953336</v>
      </c>
      <c r="F726" s="3">
        <f>EUR!B726/1</f>
        <v>1.2532000000000001</v>
      </c>
      <c r="G726" s="3">
        <f>EUR!C726/1</f>
        <v>1.2533000000000001</v>
      </c>
      <c r="H726" s="3">
        <f>GBP!B726/1</f>
        <v>1.5654999999999999</v>
      </c>
      <c r="I726" s="3">
        <f>GBP!C726/1</f>
        <v>1.5651999999999999</v>
      </c>
      <c r="J726" s="4">
        <f>1/INR!B726</f>
        <v>1.7913923597115858E-2</v>
      </c>
      <c r="K726" s="4">
        <f>1/INR!C726</f>
        <v>1.7794385871257618E-2</v>
      </c>
      <c r="L726" s="4">
        <f>1/JPY!B726</f>
        <v>1.2532113540948681E-2</v>
      </c>
      <c r="M726" s="4">
        <f>1/JPY!C726</f>
        <v>1.2534784025671236E-2</v>
      </c>
      <c r="N726" s="5">
        <f>1/KRW!B726</f>
        <v>8.4552295594825396E-4</v>
      </c>
      <c r="O726" s="5">
        <f>1/KRW!C726</f>
        <v>8.4550365384404005E-4</v>
      </c>
      <c r="P726" s="3">
        <f>1/NOK!B726</f>
        <v>0.16546976867326338</v>
      </c>
      <c r="Q726" s="3">
        <f>1/NOK!C726</f>
        <v>0.16527286550094206</v>
      </c>
      <c r="R726" s="3">
        <f>NZD!B726/1</f>
        <v>0.75270000000000004</v>
      </c>
      <c r="S726" s="3">
        <f>NZD!C726/1</f>
        <v>0.75109999999999999</v>
      </c>
      <c r="T726" s="4">
        <f>1/PHP!B726</f>
        <v>2.277385561375541E-2</v>
      </c>
      <c r="U726" s="4">
        <f>1/PHP!C726</f>
        <v>2.2714366837024418E-2</v>
      </c>
      <c r="V726" s="4">
        <f>1/TWD!B726</f>
        <v>3.3749578130273371E-2</v>
      </c>
      <c r="W726" s="4">
        <f>1/TWD!C726</f>
        <v>3.3749578130273371E-2</v>
      </c>
      <c r="X726" s="4">
        <f>1/TWD!B726</f>
        <v>3.3749578130273371E-2</v>
      </c>
      <c r="Y726" s="4">
        <f>1/TWD!C726</f>
        <v>3.3749578130273371E-2</v>
      </c>
      <c r="Z726" s="4">
        <f>1/ZAR!B726</f>
        <v>0.11946860365096053</v>
      </c>
      <c r="AA726" s="4">
        <f>1/ZAR!C726</f>
        <v>0.11890747809129716</v>
      </c>
    </row>
    <row r="727" spans="1:27" x14ac:dyDescent="0.25">
      <c r="A727" t="str">
        <f>"28/05/2012"</f>
        <v>28/05/2012</v>
      </c>
      <c r="B727" s="3">
        <f>AUD!B727</f>
        <v>0.98760000000000003</v>
      </c>
      <c r="C727" s="3">
        <f>AUD!C727</f>
        <v>0.98480000000000001</v>
      </c>
      <c r="D727" s="3">
        <f>1/CAD!B727</f>
        <v>0.97780385254717905</v>
      </c>
      <c r="E727" s="3">
        <f>1/CAD!C727</f>
        <v>0.97703957010258913</v>
      </c>
      <c r="F727" s="3">
        <f>EUR!B727/1</f>
        <v>1.2582</v>
      </c>
      <c r="G727" s="3">
        <f>EUR!C727/1</f>
        <v>1.2583</v>
      </c>
      <c r="H727" s="3">
        <f>GBP!B727/1</f>
        <v>1.5705</v>
      </c>
      <c r="I727" s="3">
        <f>GBP!C727/1</f>
        <v>1.5702</v>
      </c>
      <c r="J727" s="4">
        <f>1/INR!B727</f>
        <v>1.8116762534535081E-2</v>
      </c>
      <c r="K727" s="4">
        <f>1/INR!C727</f>
        <v>1.8005851901868108E-2</v>
      </c>
      <c r="L727" s="4">
        <f>1/JPY!B727</f>
        <v>1.2598663281825797E-2</v>
      </c>
      <c r="M727" s="4">
        <f>1/JPY!C727</f>
        <v>1.2601521003585131E-2</v>
      </c>
      <c r="N727" s="5">
        <f>1/KRW!B727</f>
        <v>8.5218799267118323E-4</v>
      </c>
      <c r="O727" s="5">
        <f>1/KRW!C727</f>
        <v>8.5216293866685069E-4</v>
      </c>
      <c r="P727" s="3">
        <f>1/NOK!B727</f>
        <v>0.16712067784146933</v>
      </c>
      <c r="Q727" s="3">
        <f>1/NOK!C727</f>
        <v>0.16692261467583627</v>
      </c>
      <c r="R727" s="3">
        <f>NZD!B727/1</f>
        <v>0.76339999999999997</v>
      </c>
      <c r="S727" s="3">
        <f>NZD!C727/1</f>
        <v>0.76190000000000002</v>
      </c>
      <c r="T727" s="4">
        <f>1/PHP!B727</f>
        <v>2.2977941176470586E-2</v>
      </c>
      <c r="U727" s="4">
        <f>1/PHP!C727</f>
        <v>2.291843329589989E-2</v>
      </c>
      <c r="V727" s="4">
        <f>1/TWD!B727</f>
        <v>3.3772374197906116E-2</v>
      </c>
      <c r="W727" s="4">
        <f>1/TWD!C727</f>
        <v>3.3772488255617211E-2</v>
      </c>
      <c r="X727" s="4">
        <f>1/TWD!B727</f>
        <v>3.3772374197906116E-2</v>
      </c>
      <c r="Y727" s="4">
        <f>1/TWD!C727</f>
        <v>3.3772488255617211E-2</v>
      </c>
      <c r="Z727" s="4">
        <f>1/ZAR!B727</f>
        <v>0.12049208969431156</v>
      </c>
      <c r="AA727" s="4">
        <f>1/ZAR!C727</f>
        <v>0.1199400299850075</v>
      </c>
    </row>
    <row r="728" spans="1:27" x14ac:dyDescent="0.25">
      <c r="A728" t="str">
        <f>"29/05/2012"</f>
        <v>29/05/2012</v>
      </c>
      <c r="B728" s="3">
        <f>AUD!B728</f>
        <v>0.98519999999999996</v>
      </c>
      <c r="C728" s="3">
        <f>AUD!C728</f>
        <v>0.98250000000000004</v>
      </c>
      <c r="D728" s="3">
        <f>1/CAD!B728</f>
        <v>0.97694411879640475</v>
      </c>
      <c r="E728" s="3">
        <f>1/CAD!C728</f>
        <v>0.9762764814995607</v>
      </c>
      <c r="F728" s="3">
        <f>EUR!B728/1</f>
        <v>1.2532000000000001</v>
      </c>
      <c r="G728" s="3">
        <f>EUR!C728/1</f>
        <v>1.2533000000000001</v>
      </c>
      <c r="H728" s="3">
        <f>GBP!B728/1</f>
        <v>1.5671999999999999</v>
      </c>
      <c r="I728" s="3">
        <f>GBP!C728/1</f>
        <v>1.5669</v>
      </c>
      <c r="J728" s="4">
        <f>1/INR!B728</f>
        <v>1.7999370022049228E-2</v>
      </c>
      <c r="K728" s="4">
        <f>1/INR!C728</f>
        <v>1.7889087656529516E-2</v>
      </c>
      <c r="L728" s="4">
        <f>1/JPY!B728</f>
        <v>1.2578616352201259E-2</v>
      </c>
      <c r="M728" s="4">
        <f>1/JPY!C728</f>
        <v>1.2581148407226612E-2</v>
      </c>
      <c r="N728" s="5">
        <f>1/KRW!B728</f>
        <v>8.4904058413992189E-4</v>
      </c>
      <c r="O728" s="5">
        <f>1/KRW!C728</f>
        <v>8.4900850664073235E-4</v>
      </c>
      <c r="P728" s="3">
        <f>1/NOK!B728</f>
        <v>0.16632846545357771</v>
      </c>
      <c r="Q728" s="3">
        <f>1/NOK!C728</f>
        <v>0.1661405549094534</v>
      </c>
      <c r="R728" s="3">
        <f>NZD!B728/1</f>
        <v>0.76119999999999999</v>
      </c>
      <c r="S728" s="3">
        <f>NZD!C728/1</f>
        <v>0.75970000000000004</v>
      </c>
      <c r="T728" s="4">
        <f>1/PHP!B728</f>
        <v>2.2912131973880166E-2</v>
      </c>
      <c r="U728" s="4">
        <f>1/PHP!C728</f>
        <v>2.2854530910753054E-2</v>
      </c>
      <c r="V728" s="4">
        <f>1/TWD!B728</f>
        <v>3.3767812521104883E-2</v>
      </c>
      <c r="W728" s="4">
        <f>1/TWD!C728</f>
        <v>3.3767812521104883E-2</v>
      </c>
      <c r="X728" s="4">
        <f>1/TWD!B728</f>
        <v>3.3767812521104883E-2</v>
      </c>
      <c r="Y728" s="4">
        <f>1/TWD!C728</f>
        <v>3.3767812521104883E-2</v>
      </c>
      <c r="Z728" s="4">
        <f>1/ZAR!B728</f>
        <v>0.11994722322178242</v>
      </c>
      <c r="AA728" s="4">
        <f>1/ZAR!C728</f>
        <v>0.11942009601375721</v>
      </c>
    </row>
    <row r="729" spans="1:27" x14ac:dyDescent="0.25">
      <c r="A729" t="str">
        <f>"30/05/2012"</f>
        <v>30/05/2012</v>
      </c>
      <c r="B729" s="3">
        <f>AUD!B729</f>
        <v>0.97950000000000004</v>
      </c>
      <c r="C729" s="3">
        <f>AUD!C729</f>
        <v>0.97660000000000002</v>
      </c>
      <c r="D729" s="3">
        <f>1/CAD!B729</f>
        <v>0.97580015612802506</v>
      </c>
      <c r="E729" s="3">
        <f>1/CAD!C729</f>
        <v>0.97513408093612863</v>
      </c>
      <c r="F729" s="3">
        <f>EUR!B729/1</f>
        <v>1.2473000000000001</v>
      </c>
      <c r="G729" s="3">
        <f>EUR!C729/1</f>
        <v>1.2475000000000001</v>
      </c>
      <c r="H729" s="3">
        <f>GBP!B729/1</f>
        <v>1.5620000000000001</v>
      </c>
      <c r="I729" s="3">
        <f>GBP!C729/1</f>
        <v>1.5617000000000001</v>
      </c>
      <c r="J729" s="4">
        <f>1/INR!B729</f>
        <v>1.7842804888928539E-2</v>
      </c>
      <c r="K729" s="4">
        <f>1/INR!C729</f>
        <v>1.7724996676563125E-2</v>
      </c>
      <c r="L729" s="4">
        <f>1/JPY!B729</f>
        <v>1.2584869211746718E-2</v>
      </c>
      <c r="M729" s="4">
        <f>1/JPY!C729</f>
        <v>1.2588132663812519E-2</v>
      </c>
      <c r="N729" s="5">
        <f>1/KRW!B729</f>
        <v>8.5005100306018351E-4</v>
      </c>
      <c r="O729" s="5">
        <f>1/KRW!C729</f>
        <v>8.5003004856221663E-4</v>
      </c>
      <c r="P729" s="3">
        <f>1/NOK!B729</f>
        <v>0.1657302905251993</v>
      </c>
      <c r="Q729" s="3">
        <f>1/NOK!C729</f>
        <v>0.16552454729036314</v>
      </c>
      <c r="R729" s="3">
        <f>NZD!B729/1</f>
        <v>0.76080000000000003</v>
      </c>
      <c r="S729" s="3">
        <f>NZD!C729/1</f>
        <v>0.75919999999999999</v>
      </c>
      <c r="T729" s="4">
        <f>1/PHP!B729</f>
        <v>2.3025558369790467E-2</v>
      </c>
      <c r="U729" s="4">
        <f>1/PHP!C729</f>
        <v>2.2964749110115971E-2</v>
      </c>
      <c r="V729" s="4">
        <f>1/TWD!B729</f>
        <v>3.3665499596014004E-2</v>
      </c>
      <c r="W729" s="4">
        <f>1/TWD!C729</f>
        <v>3.3665612932981863E-2</v>
      </c>
      <c r="X729" s="4">
        <f>1/TWD!B729</f>
        <v>3.3665499596014004E-2</v>
      </c>
      <c r="Y729" s="4">
        <f>1/TWD!C729</f>
        <v>3.3665612932981863E-2</v>
      </c>
      <c r="Z729" s="4">
        <f>1/ZAR!B729</f>
        <v>0.119852341914761</v>
      </c>
      <c r="AA729" s="4">
        <f>1/ZAR!C729</f>
        <v>0.11929615269907545</v>
      </c>
    </row>
    <row r="730" spans="1:27" x14ac:dyDescent="0.25">
      <c r="A730" t="str">
        <f>"31/05/2012"</f>
        <v>31/05/2012</v>
      </c>
      <c r="B730" s="3">
        <f>AUD!B730</f>
        <v>0.97019999999999995</v>
      </c>
      <c r="C730" s="3">
        <f>AUD!C730</f>
        <v>0.96740000000000004</v>
      </c>
      <c r="D730" s="3">
        <f>1/CAD!B730</f>
        <v>0.9709680551509855</v>
      </c>
      <c r="E730" s="3">
        <f>1/CAD!C730</f>
        <v>0.97021441738624237</v>
      </c>
      <c r="F730" s="3">
        <f>EUR!B730/1</f>
        <v>1.2376</v>
      </c>
      <c r="G730" s="3">
        <f>EUR!C730/1</f>
        <v>1.2377</v>
      </c>
      <c r="H730" s="3">
        <f>GBP!B730/1</f>
        <v>1.5474000000000001</v>
      </c>
      <c r="I730" s="3">
        <f>GBP!C730/1</f>
        <v>1.5470999999999999</v>
      </c>
      <c r="J730" s="4">
        <f>1/INR!B730</f>
        <v>1.772342593823386E-2</v>
      </c>
      <c r="K730" s="4">
        <f>1/INR!C730</f>
        <v>1.7611059745520186E-2</v>
      </c>
      <c r="L730" s="4">
        <f>1/JPY!B730</f>
        <v>1.2699380270242812E-2</v>
      </c>
      <c r="M730" s="4">
        <f>1/JPY!C730</f>
        <v>1.2702606574869163E-2</v>
      </c>
      <c r="N730" s="5">
        <f>1/KRW!B730</f>
        <v>8.4623847000084621E-4</v>
      </c>
      <c r="O730" s="5">
        <f>1/KRW!C730</f>
        <v>8.4620588781594689E-4</v>
      </c>
      <c r="P730" s="3">
        <f>1/NOK!B730</f>
        <v>0.16437635610493787</v>
      </c>
      <c r="Q730" s="3">
        <f>1/NOK!C730</f>
        <v>0.16417934952141719</v>
      </c>
      <c r="R730" s="3">
        <f>NZD!B730/1</f>
        <v>0.75270000000000004</v>
      </c>
      <c r="S730" s="3">
        <f>NZD!C730/1</f>
        <v>0.75119999999999998</v>
      </c>
      <c r="T730" s="4">
        <f>1/PHP!B730</f>
        <v>2.2899015342340279E-2</v>
      </c>
      <c r="U730" s="4">
        <f>1/PHP!C730</f>
        <v>2.2842523642011971E-2</v>
      </c>
      <c r="V730" s="4">
        <f>1/TWD!B730</f>
        <v>3.3490739810442413E-2</v>
      </c>
      <c r="W730" s="4">
        <f>1/TWD!C730</f>
        <v>3.3490851973783362E-2</v>
      </c>
      <c r="X730" s="4">
        <f>1/TWD!B730</f>
        <v>3.3490739810442413E-2</v>
      </c>
      <c r="Y730" s="4">
        <f>1/TWD!C730</f>
        <v>3.3490851973783362E-2</v>
      </c>
      <c r="Z730" s="4">
        <f>1/ZAR!B730</f>
        <v>0.11675559551191492</v>
      </c>
      <c r="AA730" s="4">
        <f>1/ZAR!C730</f>
        <v>0.11622231003463424</v>
      </c>
    </row>
    <row r="731" spans="1:27" x14ac:dyDescent="0.25">
      <c r="A731" t="str">
        <f>"01/06/2012"</f>
        <v>01/06/2012</v>
      </c>
      <c r="B731" s="3">
        <f>AUD!B731</f>
        <v>0.96389999999999998</v>
      </c>
      <c r="C731" s="3">
        <f>AUD!C731</f>
        <v>0.96120000000000005</v>
      </c>
      <c r="D731" s="3">
        <f>1/CAD!B731</f>
        <v>0.96200096200096197</v>
      </c>
      <c r="E731" s="3">
        <f>1/CAD!C731</f>
        <v>0.9613535858488752</v>
      </c>
      <c r="F731" s="3">
        <f>EUR!B731/1</f>
        <v>1.2323</v>
      </c>
      <c r="G731" s="3">
        <f>EUR!C731/1</f>
        <v>1.2324999999999999</v>
      </c>
      <c r="H731" s="3">
        <f>GBP!B731/1</f>
        <v>1.5293000000000001</v>
      </c>
      <c r="I731" s="3">
        <f>GBP!C731/1</f>
        <v>1.5289999999999999</v>
      </c>
      <c r="J731" s="4">
        <f>1/INR!B731</f>
        <v>1.7882689556509297E-2</v>
      </c>
      <c r="K731" s="4">
        <f>1/INR!C731</f>
        <v>1.7773038300897537E-2</v>
      </c>
      <c r="L731" s="4">
        <f>1/JPY!B731</f>
        <v>1.2799508498873643E-2</v>
      </c>
      <c r="M731" s="4">
        <f>1/JPY!C731</f>
        <v>1.280376942972011E-2</v>
      </c>
      <c r="N731" s="5">
        <f>1/KRW!B731</f>
        <v>8.4889643463497452E-4</v>
      </c>
      <c r="O731" s="5">
        <f>1/KRW!C731</f>
        <v>8.4887589731487824E-4</v>
      </c>
      <c r="P731" s="3">
        <f>1/NOK!B731</f>
        <v>0.16273393002441011</v>
      </c>
      <c r="Q731" s="3">
        <f>1/NOK!C731</f>
        <v>0.16254348038100191</v>
      </c>
      <c r="R731" s="3">
        <f>NZD!B731/1</f>
        <v>0.74850000000000005</v>
      </c>
      <c r="S731" s="3">
        <f>NZD!C731/1</f>
        <v>0.747</v>
      </c>
      <c r="T731" s="4">
        <f>1/PHP!B731</f>
        <v>2.2958422297219734E-2</v>
      </c>
      <c r="U731" s="4">
        <f>1/PHP!C731</f>
        <v>2.2903211030186433E-2</v>
      </c>
      <c r="V731" s="4">
        <f>1/TWD!B731</f>
        <v>3.3333333333333333E-2</v>
      </c>
      <c r="W731" s="4">
        <f>1/TWD!C731</f>
        <v>3.3333444444814814E-2</v>
      </c>
      <c r="X731" s="4">
        <f>1/TWD!B731</f>
        <v>3.3333333333333333E-2</v>
      </c>
      <c r="Y731" s="4">
        <f>1/TWD!C731</f>
        <v>3.3333444444814814E-2</v>
      </c>
      <c r="Z731" s="4">
        <f>1/ZAR!B731</f>
        <v>0.11552947156819705</v>
      </c>
      <c r="AA731" s="4">
        <f>1/ZAR!C731</f>
        <v>0.11500465768863639</v>
      </c>
    </row>
    <row r="732" spans="1:27" x14ac:dyDescent="0.25">
      <c r="A732" t="str">
        <f>"04/06/2012"</f>
        <v>04/06/2012</v>
      </c>
      <c r="B732" s="3">
        <f>AUD!B732</f>
        <v>0.97030000000000005</v>
      </c>
      <c r="C732" s="3">
        <f>AUD!C732</f>
        <v>0.9677</v>
      </c>
      <c r="D732" s="3">
        <f>1/CAD!B732</f>
        <v>0.9624639076034649</v>
      </c>
      <c r="E732" s="3">
        <f>1/CAD!C732</f>
        <v>0.96181590843512543</v>
      </c>
      <c r="F732" s="3">
        <f>EUR!B732/1</f>
        <v>1.2431000000000001</v>
      </c>
      <c r="G732" s="3">
        <f>EUR!C732/1</f>
        <v>1.2433000000000001</v>
      </c>
      <c r="H732" s="3">
        <f>GBP!B732/1</f>
        <v>1.5378000000000001</v>
      </c>
      <c r="I732" s="3">
        <f>GBP!C732/1</f>
        <v>1.5376000000000001</v>
      </c>
      <c r="J732" s="4">
        <f>1/INR!B732</f>
        <v>1.7967030499034274E-2</v>
      </c>
      <c r="K732" s="4">
        <f>1/INR!C732</f>
        <v>1.7857142857142856E-2</v>
      </c>
      <c r="L732" s="4">
        <f>1/JPY!B732</f>
        <v>1.280376942972011E-2</v>
      </c>
      <c r="M732" s="4">
        <f>1/JPY!C732</f>
        <v>1.2808525354475941E-2</v>
      </c>
      <c r="N732" s="5">
        <f>1/KRW!B732</f>
        <v>8.4588056166469286E-4</v>
      </c>
      <c r="O732" s="5">
        <f>1/KRW!C732</f>
        <v>8.4585373074361116E-4</v>
      </c>
      <c r="P732" s="3">
        <f>1/NOK!B732</f>
        <v>0.16339869281045752</v>
      </c>
      <c r="Q732" s="3">
        <f>1/NOK!C732</f>
        <v>0.16320668494581539</v>
      </c>
      <c r="R732" s="3">
        <f>NZD!B732/1</f>
        <v>0.75649999999999995</v>
      </c>
      <c r="S732" s="3">
        <f>NZD!C732/1</f>
        <v>0.755</v>
      </c>
      <c r="T732" s="4">
        <f>1/PHP!B732</f>
        <v>2.2996435552489366E-2</v>
      </c>
      <c r="U732" s="4">
        <f>1/PHP!C732</f>
        <v>2.2940252113370724E-2</v>
      </c>
      <c r="V732" s="4">
        <f>1/TWD!B732</f>
        <v>3.3285623939020736E-2</v>
      </c>
      <c r="W732" s="4">
        <f>1/TWD!C732</f>
        <v>3.3285623939020736E-2</v>
      </c>
      <c r="X732" s="4">
        <f>1/TWD!B732</f>
        <v>3.3285623939020736E-2</v>
      </c>
      <c r="Y732" s="4">
        <f>1/TWD!C732</f>
        <v>3.3285623939020736E-2</v>
      </c>
      <c r="Z732" s="4">
        <f>1/ZAR!B732</f>
        <v>0.11728141675951445</v>
      </c>
      <c r="AA732" s="4">
        <f>1/ZAR!C732</f>
        <v>0.11674877997524925</v>
      </c>
    </row>
    <row r="733" spans="1:27" x14ac:dyDescent="0.25">
      <c r="A733" t="str">
        <f>"05/06/2012"</f>
        <v>05/06/2012</v>
      </c>
      <c r="B733" s="3">
        <f>AUD!B733</f>
        <v>0.97350000000000003</v>
      </c>
      <c r="C733" s="3">
        <f>AUD!C733</f>
        <v>0.97060000000000002</v>
      </c>
      <c r="D733" s="3">
        <f>1/CAD!B733</f>
        <v>0.96116878123798544</v>
      </c>
      <c r="E733" s="3">
        <f>1/CAD!C733</f>
        <v>0.96061479346781953</v>
      </c>
      <c r="F733" s="3">
        <f>EUR!B733/1</f>
        <v>1.2433000000000001</v>
      </c>
      <c r="G733" s="3">
        <f>EUR!C733/1</f>
        <v>1.2435</v>
      </c>
      <c r="H733" s="3">
        <f>GBP!B733/1</f>
        <v>1.5357000000000001</v>
      </c>
      <c r="I733" s="3">
        <f>GBP!C733/1</f>
        <v>1.5354000000000001</v>
      </c>
      <c r="J733" s="4">
        <f>1/INR!B733</f>
        <v>1.79589637677906E-2</v>
      </c>
      <c r="K733" s="4">
        <f>1/INR!C733</f>
        <v>1.7843600838649241E-2</v>
      </c>
      <c r="L733" s="4">
        <f>1/JPY!B733</f>
        <v>1.2778001392802151E-2</v>
      </c>
      <c r="M733" s="4">
        <f>1/JPY!C733</f>
        <v>1.278175787516057E-2</v>
      </c>
      <c r="N733" s="5">
        <f>1/KRW!B733</f>
        <v>8.4717045069467966E-4</v>
      </c>
      <c r="O733" s="5">
        <f>1/KRW!C733</f>
        <v>8.4714389670943909E-4</v>
      </c>
      <c r="P733" s="3">
        <f>1/NOK!B733</f>
        <v>0.16382968266190467</v>
      </c>
      <c r="Q733" s="3">
        <f>1/NOK!C733</f>
        <v>0.16362595107584063</v>
      </c>
      <c r="R733" s="3">
        <f>NZD!B733/1</f>
        <v>0.75370000000000004</v>
      </c>
      <c r="S733" s="3">
        <f>NZD!C733/1</f>
        <v>0.75209999999999999</v>
      </c>
      <c r="T733" s="4">
        <f>1/PHP!B733</f>
        <v>2.2983222247759137E-2</v>
      </c>
      <c r="U733" s="4">
        <f>1/PHP!C733</f>
        <v>2.2922636103151862E-2</v>
      </c>
      <c r="V733" s="4">
        <f>1/TWD!B733</f>
        <v>3.3338889814969158E-2</v>
      </c>
      <c r="W733" s="4">
        <f>1/TWD!C733</f>
        <v>3.3338889814969158E-2</v>
      </c>
      <c r="X733" s="4">
        <f>1/TWD!B733</f>
        <v>3.3338889814969158E-2</v>
      </c>
      <c r="Y733" s="4">
        <f>1/TWD!C733</f>
        <v>3.3338889814969158E-2</v>
      </c>
      <c r="Z733" s="4">
        <f>1/ZAR!B733</f>
        <v>0.11756821895905101</v>
      </c>
      <c r="AA733" s="4">
        <f>1/ZAR!C733</f>
        <v>0.11699327288680901</v>
      </c>
    </row>
    <row r="734" spans="1:27" x14ac:dyDescent="0.25">
      <c r="A734" t="str">
        <f>"06/06/2012"</f>
        <v>06/06/2012</v>
      </c>
      <c r="B734" s="3">
        <f>AUD!B734</f>
        <v>0.98570000000000002</v>
      </c>
      <c r="C734" s="3">
        <f>AUD!C734</f>
        <v>0.98280000000000001</v>
      </c>
      <c r="D734" s="3">
        <f>1/CAD!B734</f>
        <v>0.96852300242130751</v>
      </c>
      <c r="E734" s="3">
        <f>1/CAD!C734</f>
        <v>0.96777315397270869</v>
      </c>
      <c r="F734" s="3">
        <f>EUR!B734/1</f>
        <v>1.2497</v>
      </c>
      <c r="G734" s="3">
        <f>EUR!C734/1</f>
        <v>1.2498</v>
      </c>
      <c r="H734" s="3">
        <f>GBP!B734/1</f>
        <v>1.5474000000000001</v>
      </c>
      <c r="I734" s="3">
        <f>GBP!C734/1</f>
        <v>1.5470999999999999</v>
      </c>
      <c r="J734" s="4">
        <f>1/INR!B734</f>
        <v>1.8056245203809867E-2</v>
      </c>
      <c r="K734" s="4">
        <f>1/INR!C734</f>
        <v>1.794124243103835E-2</v>
      </c>
      <c r="L734" s="4">
        <f>1/JPY!B734</f>
        <v>1.2632961924252759E-2</v>
      </c>
      <c r="M734" s="4">
        <f>1/JPY!C734</f>
        <v>1.2636473918317834E-2</v>
      </c>
      <c r="N734" s="5">
        <f>1/KRW!B734</f>
        <v>8.5120871637725569E-4</v>
      </c>
      <c r="O734" s="5">
        <f>1/KRW!C734</f>
        <v>8.51181908639241E-4</v>
      </c>
      <c r="P734" s="3">
        <f>1/NOK!B734</f>
        <v>0.16429533729832749</v>
      </c>
      <c r="Q734" s="3">
        <f>1/NOK!C734</f>
        <v>0.16409852475426248</v>
      </c>
      <c r="R734" s="3">
        <f>NZD!B734/1</f>
        <v>0.76270000000000004</v>
      </c>
      <c r="S734" s="3">
        <f>NZD!C734/1</f>
        <v>0.7611</v>
      </c>
      <c r="T734" s="4">
        <f>1/PHP!B734</f>
        <v>2.3116042533518264E-2</v>
      </c>
      <c r="U734" s="4">
        <f>1/PHP!C734</f>
        <v>2.3052097740894419E-2</v>
      </c>
      <c r="V734" s="4">
        <f>1/TWD!B734</f>
        <v>3.3456005352960859E-2</v>
      </c>
      <c r="W734" s="4">
        <f>1/TWD!C734</f>
        <v>3.3456005352960859E-2</v>
      </c>
      <c r="X734" s="4">
        <f>1/TWD!B734</f>
        <v>3.3456005352960859E-2</v>
      </c>
      <c r="Y734" s="4">
        <f>1/TWD!C734</f>
        <v>3.3456005352960859E-2</v>
      </c>
      <c r="Z734" s="4">
        <f>1/ZAR!B734</f>
        <v>0.11880435299149361</v>
      </c>
      <c r="AA734" s="4">
        <f>1/ZAR!C734</f>
        <v>0.11824104619677675</v>
      </c>
    </row>
    <row r="735" spans="1:27" x14ac:dyDescent="0.25">
      <c r="A735" t="str">
        <f>"07/06/2012"</f>
        <v>07/06/2012</v>
      </c>
      <c r="B735" s="3">
        <f>AUD!B735</f>
        <v>0.99299999999999999</v>
      </c>
      <c r="C735" s="3">
        <f>AUD!C735</f>
        <v>0.99009999999999998</v>
      </c>
      <c r="D735" s="3">
        <f>1/CAD!B735</f>
        <v>0.9722897423432183</v>
      </c>
      <c r="E735" s="3">
        <f>1/CAD!C735</f>
        <v>0.97172286463900504</v>
      </c>
      <c r="F735" s="3">
        <f>EUR!B735/1</f>
        <v>1.2575000000000001</v>
      </c>
      <c r="G735" s="3">
        <f>EUR!C735/1</f>
        <v>1.2576000000000001</v>
      </c>
      <c r="H735" s="3">
        <f>GBP!B735/1</f>
        <v>1.5489999999999999</v>
      </c>
      <c r="I735" s="3">
        <f>GBP!C735/1</f>
        <v>1.5487</v>
      </c>
      <c r="J735" s="4">
        <f>1/INR!B735</f>
        <v>1.8162005085361425E-2</v>
      </c>
      <c r="K735" s="4">
        <f>1/INR!C735</f>
        <v>1.8049726997879156E-2</v>
      </c>
      <c r="L735" s="4">
        <f>1/JPY!B735</f>
        <v>1.2592824860251125E-2</v>
      </c>
      <c r="M735" s="4">
        <f>1/JPY!C735</f>
        <v>1.2596346303791124E-2</v>
      </c>
      <c r="N735" s="5">
        <f>1/KRW!B735</f>
        <v>8.5353362922499152E-4</v>
      </c>
      <c r="O735" s="5">
        <f>1/KRW!C735</f>
        <v>8.5350703908592806E-4</v>
      </c>
      <c r="P735" s="3">
        <f>1/NOK!B735</f>
        <v>0.1650273945474949</v>
      </c>
      <c r="Q735" s="3">
        <f>1/NOK!C735</f>
        <v>0.16483697623050803</v>
      </c>
      <c r="R735" s="3">
        <f>NZD!B735/1</f>
        <v>0.76980000000000004</v>
      </c>
      <c r="S735" s="3">
        <f>NZD!C735/1</f>
        <v>0.76819999999999999</v>
      </c>
      <c r="T735" s="4">
        <f>1/PHP!B735</f>
        <v>2.3218017181332713E-2</v>
      </c>
      <c r="U735" s="4">
        <f>1/PHP!C735</f>
        <v>2.3160478958704867E-2</v>
      </c>
      <c r="V735" s="4">
        <f>1/TWD!B735</f>
        <v>3.350083752093802E-2</v>
      </c>
      <c r="W735" s="4">
        <f>1/TWD!C735</f>
        <v>3.3500949751925468E-2</v>
      </c>
      <c r="X735" s="4">
        <f>1/TWD!B735</f>
        <v>3.350083752093802E-2</v>
      </c>
      <c r="Y735" s="4">
        <f>1/TWD!C735</f>
        <v>3.3500949751925468E-2</v>
      </c>
      <c r="Z735" s="4">
        <f>1/ZAR!B735</f>
        <v>0.11999184055484227</v>
      </c>
      <c r="AA735" s="4">
        <f>1/ZAR!C735</f>
        <v>0.11944006497539533</v>
      </c>
    </row>
    <row r="736" spans="1:27" x14ac:dyDescent="0.25">
      <c r="A736" t="str">
        <f>"08/06/2012"</f>
        <v>08/06/2012</v>
      </c>
      <c r="B736" s="3">
        <f>AUD!B736</f>
        <v>0.98650000000000004</v>
      </c>
      <c r="C736" s="3">
        <f>AUD!C736</f>
        <v>0.98370000000000002</v>
      </c>
      <c r="D736" s="3">
        <f>1/CAD!B736</f>
        <v>0.9701202949165697</v>
      </c>
      <c r="E736" s="3">
        <f>1/CAD!C736</f>
        <v>0.96946194861851664</v>
      </c>
      <c r="F736" s="3">
        <f>EUR!B736/1</f>
        <v>1.2525999999999999</v>
      </c>
      <c r="G736" s="3">
        <f>EUR!C736/1</f>
        <v>1.2527999999999999</v>
      </c>
      <c r="H736" s="3">
        <f>GBP!B736/1</f>
        <v>1.5489999999999999</v>
      </c>
      <c r="I736" s="3">
        <f>GBP!C736/1</f>
        <v>1.5487</v>
      </c>
      <c r="J736" s="4">
        <f>1/INR!B736</f>
        <v>1.8102824040550324E-2</v>
      </c>
      <c r="K736" s="4">
        <f>1/INR!C736</f>
        <v>1.7994511673939451E-2</v>
      </c>
      <c r="L736" s="4">
        <f>1/JPY!B736</f>
        <v>1.2615112905260503E-2</v>
      </c>
      <c r="M736" s="4">
        <f>1/JPY!C736</f>
        <v>1.261877421227302E-2</v>
      </c>
      <c r="N736" s="5">
        <f>1/KRW!B736</f>
        <v>8.5186131697759595E-4</v>
      </c>
      <c r="O736" s="5">
        <f>1/KRW!C736</f>
        <v>8.5184136158323231E-4</v>
      </c>
      <c r="P736" s="3">
        <f>1/NOK!B736</f>
        <v>0.1650273945474949</v>
      </c>
      <c r="Q736" s="3">
        <f>1/NOK!C736</f>
        <v>0.1648315421639085</v>
      </c>
      <c r="R736" s="3">
        <f>NZD!B736/1</f>
        <v>0.76359999999999995</v>
      </c>
      <c r="S736" s="3">
        <f>NZD!C736/1</f>
        <v>0.76200000000000001</v>
      </c>
      <c r="T736" s="4">
        <f>1/PHP!B736</f>
        <v>2.3137436372049978E-2</v>
      </c>
      <c r="U736" s="4">
        <f>1/PHP!C736</f>
        <v>2.3080296351005149E-2</v>
      </c>
      <c r="V736" s="4">
        <f>1/TWD!B736</f>
        <v>3.341129301703976E-2</v>
      </c>
      <c r="W736" s="4">
        <f>1/TWD!C736</f>
        <v>3.341129301703976E-2</v>
      </c>
      <c r="X736" s="4">
        <f>1/TWD!B736</f>
        <v>3.341129301703976E-2</v>
      </c>
      <c r="Y736" s="4">
        <f>1/TWD!C736</f>
        <v>3.341129301703976E-2</v>
      </c>
      <c r="Z736" s="4">
        <f>1/ZAR!B736</f>
        <v>0.11908447852906853</v>
      </c>
      <c r="AA736" s="4">
        <f>1/ZAR!C736</f>
        <v>0.11852694710142352</v>
      </c>
    </row>
    <row r="737" spans="1:27" x14ac:dyDescent="0.25">
      <c r="A737" t="str">
        <f>"11/06/2012"</f>
        <v>11/06/2012</v>
      </c>
      <c r="B737" s="3">
        <f>AUD!B737</f>
        <v>0.99819999999999998</v>
      </c>
      <c r="C737" s="3">
        <f>AUD!C737</f>
        <v>0.99529999999999996</v>
      </c>
      <c r="D737" s="3">
        <f>1/CAD!B737</f>
        <v>0.97962382445141072</v>
      </c>
      <c r="E737" s="3">
        <f>1/CAD!C737</f>
        <v>0.97904836498923042</v>
      </c>
      <c r="F737" s="3">
        <f>EUR!B737/1</f>
        <v>1.2639</v>
      </c>
      <c r="G737" s="3">
        <f>EUR!C737/1</f>
        <v>1.264</v>
      </c>
      <c r="H737" s="3">
        <f>GBP!B737/1</f>
        <v>1.5553999999999999</v>
      </c>
      <c r="I737" s="3">
        <f>GBP!C737/1</f>
        <v>1.5550999999999999</v>
      </c>
      <c r="J737" s="4">
        <f>1/INR!B737</f>
        <v>1.8101185627658611E-2</v>
      </c>
      <c r="K737" s="4">
        <f>1/INR!C737</f>
        <v>1.7989655947829999E-2</v>
      </c>
      <c r="L737" s="4">
        <f>1/JPY!B737</f>
        <v>1.2563997864120362E-2</v>
      </c>
      <c r="M737" s="4">
        <f>1/JPY!C737</f>
        <v>1.2567661145693125E-2</v>
      </c>
      <c r="N737" s="5">
        <f>1/KRW!B737</f>
        <v>8.576329331046312E-4</v>
      </c>
      <c r="O737" s="5">
        <f>1/KRW!C737</f>
        <v>8.5759983534083157E-4</v>
      </c>
      <c r="P737" s="3">
        <f>1/NOK!B737</f>
        <v>0.16671668167116802</v>
      </c>
      <c r="Q737" s="3">
        <f>1/NOK!C737</f>
        <v>0.1665195743759679</v>
      </c>
      <c r="R737" s="3">
        <f>NZD!B737/1</f>
        <v>0.77690000000000003</v>
      </c>
      <c r="S737" s="3">
        <f>NZD!C737/1</f>
        <v>0.7752</v>
      </c>
      <c r="T737" s="4">
        <f>1/PHP!B737</f>
        <v>2.3266635644485809E-2</v>
      </c>
      <c r="U737" s="4">
        <f>1/PHP!C737</f>
        <v>2.3202932850712329E-2</v>
      </c>
      <c r="V737" s="4">
        <f>1/TWD!B737</f>
        <v>3.3449290875033448E-2</v>
      </c>
      <c r="W737" s="4">
        <f>1/TWD!C737</f>
        <v>3.3449290875033448E-2</v>
      </c>
      <c r="X737" s="4">
        <f>1/TWD!B737</f>
        <v>3.3449290875033448E-2</v>
      </c>
      <c r="Y737" s="4">
        <f>1/TWD!C737</f>
        <v>3.3449290875033448E-2</v>
      </c>
      <c r="Z737" s="4">
        <f>1/ZAR!B737</f>
        <v>0.12084592145015105</v>
      </c>
      <c r="AA737" s="4">
        <f>1/ZAR!C737</f>
        <v>0.12028772824596436</v>
      </c>
    </row>
    <row r="738" spans="1:27" x14ac:dyDescent="0.25">
      <c r="A738" t="str">
        <f>"12/06/2012"</f>
        <v>12/06/2012</v>
      </c>
      <c r="B738" s="3">
        <f>AUD!B738</f>
        <v>0.9909</v>
      </c>
      <c r="C738" s="3">
        <f>AUD!C738</f>
        <v>0.9879</v>
      </c>
      <c r="D738" s="3">
        <f>1/CAD!B738</f>
        <v>0.97266802840190647</v>
      </c>
      <c r="E738" s="3">
        <f>1/CAD!C738</f>
        <v>0.97210070963351813</v>
      </c>
      <c r="F738" s="3">
        <f>EUR!B738/1</f>
        <v>1.2505999999999999</v>
      </c>
      <c r="G738" s="3">
        <f>EUR!C738/1</f>
        <v>1.2506999999999999</v>
      </c>
      <c r="H738" s="3">
        <f>GBP!B738/1</f>
        <v>1.5536000000000001</v>
      </c>
      <c r="I738" s="3">
        <f>GBP!C738/1</f>
        <v>1.5532999999999999</v>
      </c>
      <c r="J738" s="4">
        <f>1/INR!B738</f>
        <v>1.791472590469366E-2</v>
      </c>
      <c r="K738" s="4">
        <f>1/INR!C738</f>
        <v>1.7803890149997774E-2</v>
      </c>
      <c r="L738" s="4">
        <f>1/JPY!B738</f>
        <v>1.2562577338366739E-2</v>
      </c>
      <c r="M738" s="4">
        <f>1/JPY!C738</f>
        <v>1.2566713540508173E-2</v>
      </c>
      <c r="N738" s="5">
        <f>1/KRW!B738</f>
        <v>8.5418980097377634E-4</v>
      </c>
      <c r="O738" s="5">
        <f>1/KRW!C738</f>
        <v>8.5416316993618981E-4</v>
      </c>
      <c r="P738" s="3">
        <f>1/NOK!B738</f>
        <v>0.1657247974014352</v>
      </c>
      <c r="Q738" s="3">
        <f>1/NOK!C738</f>
        <v>0.16551906779661019</v>
      </c>
      <c r="R738" s="3">
        <f>NZD!B738/1</f>
        <v>0.7752</v>
      </c>
      <c r="S738" s="3">
        <f>NZD!C738/1</f>
        <v>0.77349999999999997</v>
      </c>
      <c r="T738" s="4">
        <f>1/PHP!B738</f>
        <v>2.3330144880199705E-2</v>
      </c>
      <c r="U738" s="4">
        <f>1/PHP!C738</f>
        <v>2.3271508691908499E-2</v>
      </c>
      <c r="V738" s="4">
        <f>1/TWD!B738</f>
        <v>3.3342224593224862E-2</v>
      </c>
      <c r="W738" s="4">
        <f>1/TWD!C738</f>
        <v>3.3342224593224862E-2</v>
      </c>
      <c r="X738" s="4">
        <f>1/TWD!B738</f>
        <v>3.3342224593224862E-2</v>
      </c>
      <c r="Y738" s="4">
        <f>1/TWD!C738</f>
        <v>3.3342224593224862E-2</v>
      </c>
      <c r="Z738" s="4">
        <f>1/ZAR!B738</f>
        <v>0.11875779348019713</v>
      </c>
      <c r="AA738" s="4">
        <f>1/ZAR!C738</f>
        <v>0.11818375209776161</v>
      </c>
    </row>
    <row r="739" spans="1:27" x14ac:dyDescent="0.25">
      <c r="A739" t="str">
        <f>"13/06/2012"</f>
        <v>13/06/2012</v>
      </c>
      <c r="B739" s="3">
        <f>AUD!B739</f>
        <v>0.99409999999999998</v>
      </c>
      <c r="C739" s="3">
        <f>AUD!C739</f>
        <v>0.99119999999999997</v>
      </c>
      <c r="D739" s="3">
        <f>1/CAD!B739</f>
        <v>0.97323600973236002</v>
      </c>
      <c r="E739" s="3">
        <f>1/CAD!C739</f>
        <v>0.97257342929391166</v>
      </c>
      <c r="F739" s="3">
        <f>EUR!B739/1</f>
        <v>1.2490000000000001</v>
      </c>
      <c r="G739" s="3">
        <f>EUR!C739/1</f>
        <v>1.2492000000000001</v>
      </c>
      <c r="H739" s="3">
        <f>GBP!B739/1</f>
        <v>1.5548</v>
      </c>
      <c r="I739" s="3">
        <f>GBP!C739/1</f>
        <v>1.5546</v>
      </c>
      <c r="J739" s="4">
        <f>1/INR!B739</f>
        <v>1.7908309455587391E-2</v>
      </c>
      <c r="K739" s="4">
        <f>1/INR!C739</f>
        <v>1.7799136741868019E-2</v>
      </c>
      <c r="L739" s="4">
        <f>1/JPY!B739</f>
        <v>1.2554533756002635E-2</v>
      </c>
      <c r="M739" s="4">
        <f>1/JPY!C739</f>
        <v>1.2558885474267471E-2</v>
      </c>
      <c r="N739" s="5">
        <f>1/KRW!B739</f>
        <v>8.5682460800274186E-4</v>
      </c>
      <c r="O739" s="5">
        <f>1/KRW!C739</f>
        <v>8.568047864542591E-4</v>
      </c>
      <c r="P739" s="3">
        <f>1/NOK!B739</f>
        <v>0.16630080489589569</v>
      </c>
      <c r="Q739" s="3">
        <f>1/NOK!C739</f>
        <v>0.16609640235192505</v>
      </c>
      <c r="R739" s="3">
        <f>NZD!B739/1</f>
        <v>0.77600000000000002</v>
      </c>
      <c r="S739" s="3">
        <f>NZD!C739/1</f>
        <v>0.77439999999999998</v>
      </c>
      <c r="T739" s="4">
        <f>1/PHP!B739</f>
        <v>2.3391812865497075E-2</v>
      </c>
      <c r="U739" s="4">
        <f>1/PHP!C739</f>
        <v>2.3329056339671059E-2</v>
      </c>
      <c r="V739" s="4">
        <f>1/TWD!B739</f>
        <v>3.3367813407187426E-2</v>
      </c>
      <c r="W739" s="4">
        <f>1/TWD!C739</f>
        <v>3.3367924748656103E-2</v>
      </c>
      <c r="X739" s="4">
        <f>1/TWD!B739</f>
        <v>3.3367813407187426E-2</v>
      </c>
      <c r="Y739" s="4">
        <f>1/TWD!C739</f>
        <v>3.3367924748656103E-2</v>
      </c>
      <c r="Z739" s="4">
        <f>1/ZAR!B739</f>
        <v>0.11889475436343748</v>
      </c>
      <c r="AA739" s="4">
        <f>1/ZAR!C739</f>
        <v>0.11832779164842445</v>
      </c>
    </row>
    <row r="740" spans="1:27" x14ac:dyDescent="0.25">
      <c r="A740" t="str">
        <f>"14/06/2012"</f>
        <v>14/06/2012</v>
      </c>
      <c r="B740" s="3">
        <f>AUD!B740</f>
        <v>0.99470000000000003</v>
      </c>
      <c r="C740" s="3">
        <f>AUD!C740</f>
        <v>0.99180000000000001</v>
      </c>
      <c r="D740" s="3">
        <f>1/CAD!B740</f>
        <v>0.97389949357226335</v>
      </c>
      <c r="E740" s="3">
        <f>1/CAD!C740</f>
        <v>0.97323600973236002</v>
      </c>
      <c r="F740" s="3">
        <f>EUR!B740/1</f>
        <v>1.2579</v>
      </c>
      <c r="G740" s="3">
        <f>EUR!C740/1</f>
        <v>1.2582</v>
      </c>
      <c r="H740" s="3">
        <f>GBP!B740/1</f>
        <v>1.5544</v>
      </c>
      <c r="I740" s="3">
        <f>GBP!C740/1</f>
        <v>1.5541</v>
      </c>
      <c r="J740" s="4">
        <f>1/INR!B740</f>
        <v>1.7909913136921286E-2</v>
      </c>
      <c r="K740" s="4">
        <f>1/INR!C740</f>
        <v>1.7805475183618961E-2</v>
      </c>
      <c r="L740" s="4">
        <f>1/JPY!B740</f>
        <v>1.2605968926286596E-2</v>
      </c>
      <c r="M740" s="4">
        <f>1/JPY!C740</f>
        <v>1.2610722140392647E-2</v>
      </c>
      <c r="N740" s="5">
        <f>1/KRW!B740</f>
        <v>8.5726532361765965E-4</v>
      </c>
      <c r="O740" s="5">
        <f>1/KRW!C740</f>
        <v>8.5724070504619027E-4</v>
      </c>
      <c r="P740" s="3">
        <f>1/NOK!B740</f>
        <v>0.16742846618782126</v>
      </c>
      <c r="Q740" s="3">
        <f>1/NOK!C740</f>
        <v>0.1672296732332185</v>
      </c>
      <c r="R740" s="3">
        <f>NZD!B740/1</f>
        <v>0.77790000000000004</v>
      </c>
      <c r="S740" s="3">
        <f>NZD!C740/1</f>
        <v>0.77629999999999999</v>
      </c>
      <c r="T740" s="4">
        <f>1/PHP!B740</f>
        <v>2.3468669326449192E-2</v>
      </c>
      <c r="U740" s="4">
        <f>1/PHP!C740</f>
        <v>2.3405500292568753E-2</v>
      </c>
      <c r="V740" s="4">
        <f>1/TWD!B740</f>
        <v>3.3355570380253503E-2</v>
      </c>
      <c r="W740" s="4">
        <f>1/TWD!C740</f>
        <v>3.3355570380253503E-2</v>
      </c>
      <c r="X740" s="4">
        <f>1/TWD!B740</f>
        <v>3.3355570380253503E-2</v>
      </c>
      <c r="Y740" s="4">
        <f>1/TWD!C740</f>
        <v>3.3355570380253503E-2</v>
      </c>
      <c r="Z740" s="4">
        <f>1/ZAR!B740</f>
        <v>0.11877895236964009</v>
      </c>
      <c r="AA740" s="4">
        <f>1/ZAR!C740</f>
        <v>0.11823685206205072</v>
      </c>
    </row>
    <row r="741" spans="1:27" x14ac:dyDescent="0.25">
      <c r="A741" t="str">
        <f>"15/06/2012"</f>
        <v>15/06/2012</v>
      </c>
      <c r="B741" s="3">
        <f>AUD!B741</f>
        <v>1.0033000000000001</v>
      </c>
      <c r="C741" s="3">
        <f>AUD!C741</f>
        <v>1.0004</v>
      </c>
      <c r="D741" s="3">
        <f>1/CAD!B741</f>
        <v>0.97723052868171589</v>
      </c>
      <c r="E741" s="3">
        <f>1/CAD!C741</f>
        <v>0.9765625</v>
      </c>
      <c r="F741" s="3">
        <f>EUR!B741/1</f>
        <v>1.2608999999999999</v>
      </c>
      <c r="G741" s="3">
        <f>EUR!C741/1</f>
        <v>1.2612000000000001</v>
      </c>
      <c r="H741" s="3">
        <f>GBP!B741/1</f>
        <v>1.5544</v>
      </c>
      <c r="I741" s="3">
        <f>GBP!C741/1</f>
        <v>1.5542</v>
      </c>
      <c r="J741" s="4">
        <f>1/INR!B741</f>
        <v>1.7942047187584104E-2</v>
      </c>
      <c r="K741" s="4">
        <f>1/INR!C741</f>
        <v>1.7837235228539576E-2</v>
      </c>
      <c r="L741" s="4">
        <f>1/JPY!B741</f>
        <v>1.2715689889754968E-2</v>
      </c>
      <c r="M741" s="4">
        <f>1/JPY!C741</f>
        <v>1.2720234968180331E-2</v>
      </c>
      <c r="N741" s="5">
        <f>1/KRW!B741</f>
        <v>8.5770649283815068E-4</v>
      </c>
      <c r="O741" s="5">
        <f>1/KRW!C741</f>
        <v>8.5768773390752665E-4</v>
      </c>
      <c r="P741" s="3">
        <f>1/NOK!B741</f>
        <v>0.16800792997429478</v>
      </c>
      <c r="Q741" s="3">
        <f>1/NOK!C741</f>
        <v>0.16781339150864241</v>
      </c>
      <c r="R741" s="3">
        <f>NZD!B741/1</f>
        <v>0.78490000000000004</v>
      </c>
      <c r="S741" s="3">
        <f>NZD!C741/1</f>
        <v>0.7833</v>
      </c>
      <c r="T741" s="4">
        <f>1/PHP!B741</f>
        <v>2.3668639053254437E-2</v>
      </c>
      <c r="U741" s="4">
        <f>1/PHP!C741</f>
        <v>2.360829123188064E-2</v>
      </c>
      <c r="V741" s="4">
        <f>1/TWD!B741</f>
        <v>3.3444816053511704E-2</v>
      </c>
      <c r="W741" s="4">
        <f>1/TWD!C741</f>
        <v>3.3444816053511704E-2</v>
      </c>
      <c r="X741" s="4">
        <f>1/TWD!B741</f>
        <v>3.3444816053511704E-2</v>
      </c>
      <c r="Y741" s="4">
        <f>1/TWD!C741</f>
        <v>3.3444816053511704E-2</v>
      </c>
      <c r="Z741" s="4">
        <f>1/ZAR!B741</f>
        <v>0.11932889429846542</v>
      </c>
      <c r="AA741" s="4">
        <f>1/ZAR!C741</f>
        <v>0.11878036323035075</v>
      </c>
    </row>
    <row r="742" spans="1:27" x14ac:dyDescent="0.25">
      <c r="A742" t="str">
        <f>"18/06/2012"</f>
        <v>18/06/2012</v>
      </c>
      <c r="B742" s="3">
        <f>AUD!B742</f>
        <v>1.0107999999999999</v>
      </c>
      <c r="C742" s="3">
        <f>AUD!C742</f>
        <v>1.008</v>
      </c>
      <c r="D742" s="3">
        <f>1/CAD!B742</f>
        <v>0.97962382445141072</v>
      </c>
      <c r="E742" s="3">
        <f>1/CAD!C742</f>
        <v>0.97904836498923042</v>
      </c>
      <c r="F742" s="3">
        <f>EUR!B742/1</f>
        <v>1.2703</v>
      </c>
      <c r="G742" s="3">
        <f>EUR!C742/1</f>
        <v>1.2706</v>
      </c>
      <c r="H742" s="3">
        <f>GBP!B742/1</f>
        <v>1.5699000000000001</v>
      </c>
      <c r="I742" s="3">
        <f>GBP!C742/1</f>
        <v>1.5694999999999999</v>
      </c>
      <c r="J742" s="4">
        <f>1/INR!B742</f>
        <v>1.7975912277548085E-2</v>
      </c>
      <c r="K742" s="4">
        <f>1/INR!C742</f>
        <v>1.7869907076483203E-2</v>
      </c>
      <c r="L742" s="4">
        <f>1/JPY!B742</f>
        <v>1.2626422050783469E-2</v>
      </c>
      <c r="M742" s="4">
        <f>1/JPY!C742</f>
        <v>1.2630807803313061E-2</v>
      </c>
      <c r="N742" s="5">
        <f>1/KRW!B742</f>
        <v>8.6400552963538963E-4</v>
      </c>
      <c r="O742" s="5">
        <f>1/KRW!C742</f>
        <v>8.6398612092695353E-4</v>
      </c>
      <c r="P742" s="3">
        <f>1/NOK!B742</f>
        <v>0.16849767473208868</v>
      </c>
      <c r="Q742" s="3">
        <f>1/NOK!C742</f>
        <v>0.16830200111079321</v>
      </c>
      <c r="R742" s="3">
        <f>NZD!B742/1</f>
        <v>0.79330000000000001</v>
      </c>
      <c r="S742" s="3">
        <f>NZD!C742/1</f>
        <v>0.79169999999999996</v>
      </c>
      <c r="T742" s="4">
        <f>1/PHP!B742</f>
        <v>2.3719165085388995E-2</v>
      </c>
      <c r="U742" s="4">
        <f>1/PHP!C742</f>
        <v>2.365464222353637E-2</v>
      </c>
      <c r="V742" s="4">
        <f>1/TWD!B742</f>
        <v>3.3498593059091517E-2</v>
      </c>
      <c r="W742" s="4">
        <f>1/TWD!C742</f>
        <v>3.3498705275041119E-2</v>
      </c>
      <c r="X742" s="4">
        <f>1/TWD!B742</f>
        <v>3.3498593059091517E-2</v>
      </c>
      <c r="Y742" s="4">
        <f>1/TWD!C742</f>
        <v>3.3498705275041119E-2</v>
      </c>
      <c r="Z742" s="4">
        <f>1/ZAR!B742</f>
        <v>0.12105072025178551</v>
      </c>
      <c r="AA742" s="4">
        <f>1/ZAR!C742</f>
        <v>0.12049644535486204</v>
      </c>
    </row>
    <row r="743" spans="1:27" x14ac:dyDescent="0.25">
      <c r="A743" t="str">
        <f>"19/06/2012"</f>
        <v>19/06/2012</v>
      </c>
      <c r="B743" s="3">
        <f>AUD!B743</f>
        <v>1.0123</v>
      </c>
      <c r="C743" s="3">
        <f>AUD!C743</f>
        <v>1.0092000000000001</v>
      </c>
      <c r="D743" s="3">
        <f>1/CAD!B743</f>
        <v>0.97761266986020146</v>
      </c>
      <c r="E743" s="3">
        <f>1/CAD!C743</f>
        <v>0.97703957010258913</v>
      </c>
      <c r="F743" s="3">
        <f>EUR!B743/1</f>
        <v>1.2595000000000001</v>
      </c>
      <c r="G743" s="3">
        <f>EUR!C743/1</f>
        <v>1.2598</v>
      </c>
      <c r="H743" s="3">
        <f>GBP!B743/1</f>
        <v>1.5686</v>
      </c>
      <c r="I743" s="3">
        <f>GBP!C743/1</f>
        <v>1.5684</v>
      </c>
      <c r="J743" s="4">
        <f>1/INR!B743</f>
        <v>1.7853954650955187E-2</v>
      </c>
      <c r="K743" s="4">
        <f>1/INR!C743</f>
        <v>1.7739145860126836E-2</v>
      </c>
      <c r="L743" s="4">
        <f>1/JPY!B743</f>
        <v>1.2654735781771613E-2</v>
      </c>
      <c r="M743" s="4">
        <f>1/JPY!C743</f>
        <v>1.2659541876498573E-2</v>
      </c>
      <c r="N743" s="5">
        <f>1/KRW!B743</f>
        <v>8.6460688486462414E-4</v>
      </c>
      <c r="O743" s="5">
        <f>1/KRW!C743</f>
        <v>8.6458632786410433E-4</v>
      </c>
      <c r="P743" s="3">
        <f>1/NOK!B743</f>
        <v>0.16716258232757181</v>
      </c>
      <c r="Q743" s="3">
        <f>1/NOK!C743</f>
        <v>0.1669449081803005</v>
      </c>
      <c r="R743" s="3">
        <f>NZD!B743/1</f>
        <v>0.79149999999999998</v>
      </c>
      <c r="S743" s="3">
        <f>NZD!C743/1</f>
        <v>0.78979999999999995</v>
      </c>
      <c r="T743" s="4">
        <f>1/PHP!B743</f>
        <v>2.3650166733675471E-2</v>
      </c>
      <c r="U743" s="4">
        <f>1/PHP!C743</f>
        <v>2.3591582523355668E-2</v>
      </c>
      <c r="V743" s="4">
        <f>1/TWD!B743</f>
        <v>3.350083752093802E-2</v>
      </c>
      <c r="W743" s="4">
        <f>1/TWD!C743</f>
        <v>3.350139868339503E-2</v>
      </c>
      <c r="X743" s="4">
        <f>1/TWD!B743</f>
        <v>3.350083752093802E-2</v>
      </c>
      <c r="Y743" s="4">
        <f>1/TWD!C743</f>
        <v>3.350139868339503E-2</v>
      </c>
      <c r="Z743" s="4">
        <f>1/ZAR!B743</f>
        <v>0.12048918609554793</v>
      </c>
      <c r="AA743" s="4">
        <f>1/ZAR!C743</f>
        <v>0.11989832621936597</v>
      </c>
    </row>
    <row r="744" spans="1:27" x14ac:dyDescent="0.25">
      <c r="A744" t="str">
        <f>"20/06/2012"</f>
        <v>20/06/2012</v>
      </c>
      <c r="B744" s="3">
        <f>AUD!B744</f>
        <v>1.0189999999999999</v>
      </c>
      <c r="C744" s="3">
        <f>AUD!C744</f>
        <v>1.016</v>
      </c>
      <c r="D744" s="3">
        <f>1/CAD!B744</f>
        <v>0.98202887164882646</v>
      </c>
      <c r="E744" s="3">
        <f>1/CAD!C744</f>
        <v>0.9813542688910698</v>
      </c>
      <c r="F744" s="3">
        <f>EUR!B744/1</f>
        <v>1.2684</v>
      </c>
      <c r="G744" s="3">
        <f>EUR!C744/1</f>
        <v>1.2686999999999999</v>
      </c>
      <c r="H744" s="3">
        <f>GBP!B744/1</f>
        <v>1.5718000000000001</v>
      </c>
      <c r="I744" s="3">
        <f>GBP!C744/1</f>
        <v>1.5716000000000001</v>
      </c>
      <c r="J744" s="4">
        <f>1/INR!B744</f>
        <v>1.7847581652686059E-2</v>
      </c>
      <c r="K744" s="4">
        <f>1/INR!C744</f>
        <v>1.7732854546260585E-2</v>
      </c>
      <c r="L744" s="4">
        <f>1/JPY!B744</f>
        <v>1.266287624571045E-2</v>
      </c>
      <c r="M744" s="4">
        <f>1/JPY!C744</f>
        <v>1.266733550198117E-2</v>
      </c>
      <c r="N744" s="5">
        <f>1/KRW!B744</f>
        <v>8.6858334057152782E-4</v>
      </c>
      <c r="O744" s="5">
        <f>1/KRW!C744</f>
        <v>8.6855693607855227E-4</v>
      </c>
      <c r="P744" s="3">
        <f>1/NOK!B744</f>
        <v>0.16861700333861665</v>
      </c>
      <c r="Q744" s="3">
        <f>1/NOK!C744</f>
        <v>0.16840970713551928</v>
      </c>
      <c r="R744" s="3">
        <f>NZD!B744/1</f>
        <v>0.79710000000000003</v>
      </c>
      <c r="S744" s="3">
        <f>NZD!C744/1</f>
        <v>0.79549999999999998</v>
      </c>
      <c r="T744" s="4">
        <f>1/PHP!B744</f>
        <v>2.3741690408357077E-2</v>
      </c>
      <c r="U744" s="4">
        <f>1/PHP!C744</f>
        <v>2.3677045104770925E-2</v>
      </c>
      <c r="V744" s="4">
        <f>1/TWD!B744</f>
        <v>3.3478406427854032E-2</v>
      </c>
      <c r="W744" s="4">
        <f>1/TWD!C744</f>
        <v>3.3478406427854032E-2</v>
      </c>
      <c r="X744" s="4">
        <f>1/TWD!B744</f>
        <v>3.3478406427854032E-2</v>
      </c>
      <c r="Y744" s="4">
        <f>1/TWD!C744</f>
        <v>3.3478406427854032E-2</v>
      </c>
      <c r="Z744" s="4">
        <f>1/ZAR!B744</f>
        <v>0.12152883271556177</v>
      </c>
      <c r="AA744" s="4">
        <f>1/ZAR!C744</f>
        <v>0.12095554883580284</v>
      </c>
    </row>
    <row r="745" spans="1:27" x14ac:dyDescent="0.25">
      <c r="A745" t="str">
        <f>"21/06/2012"</f>
        <v>21/06/2012</v>
      </c>
      <c r="B745" s="3">
        <f>AUD!B745</f>
        <v>1.0168999999999999</v>
      </c>
      <c r="C745" s="3">
        <f>AUD!C745</f>
        <v>1.0141</v>
      </c>
      <c r="D745" s="3">
        <f>1/CAD!B745</f>
        <v>0.97981579463060953</v>
      </c>
      <c r="E745" s="3">
        <f>1/CAD!C745</f>
        <v>0.97914422794477618</v>
      </c>
      <c r="F745" s="3">
        <f>EUR!B745/1</f>
        <v>1.2669999999999999</v>
      </c>
      <c r="G745" s="3">
        <f>EUR!C745/1</f>
        <v>1.2672000000000001</v>
      </c>
      <c r="H745" s="3">
        <f>GBP!B745/1</f>
        <v>1.5719000000000001</v>
      </c>
      <c r="I745" s="3">
        <f>GBP!C745/1</f>
        <v>1.5717000000000001</v>
      </c>
      <c r="J745" s="4">
        <f>1/INR!B745</f>
        <v>1.771793054571226E-2</v>
      </c>
      <c r="K745" s="4">
        <f>1/INR!C745</f>
        <v>1.7607958797376415E-2</v>
      </c>
      <c r="L745" s="4">
        <f>1/JPY!B745</f>
        <v>1.2514626469686447E-2</v>
      </c>
      <c r="M745" s="4">
        <f>1/JPY!C745</f>
        <v>1.2518731151485409E-2</v>
      </c>
      <c r="N745" s="5">
        <f>1/KRW!B745</f>
        <v>8.682816705739341E-4</v>
      </c>
      <c r="O745" s="5">
        <f>1/KRW!C745</f>
        <v>8.6825490748526895E-4</v>
      </c>
      <c r="P745" s="3">
        <f>1/NOK!B745</f>
        <v>0.16888753778858659</v>
      </c>
      <c r="Q745" s="3">
        <f>1/NOK!C745</f>
        <v>0.16869380387658361</v>
      </c>
      <c r="R745" s="3">
        <f>NZD!B745/1</f>
        <v>0.79849999999999999</v>
      </c>
      <c r="S745" s="3">
        <f>NZD!C745/1</f>
        <v>0.79690000000000005</v>
      </c>
      <c r="T745" s="4">
        <f>1/PHP!B745</f>
        <v>2.3596035865974516E-2</v>
      </c>
      <c r="U745" s="4">
        <f>1/PHP!C745</f>
        <v>2.3532180256500765E-2</v>
      </c>
      <c r="V745" s="4">
        <f>1/TWD!B745</f>
        <v>3.3467202141900937E-2</v>
      </c>
      <c r="W745" s="4">
        <f>1/TWD!C745</f>
        <v>3.3467202141900937E-2</v>
      </c>
      <c r="X745" s="4">
        <f>1/TWD!B745</f>
        <v>3.3467202141900937E-2</v>
      </c>
      <c r="Y745" s="4">
        <f>1/TWD!C745</f>
        <v>3.3467202141900937E-2</v>
      </c>
      <c r="Z745" s="4">
        <f>1/ZAR!B745</f>
        <v>0.12130328246682355</v>
      </c>
      <c r="AA745" s="4">
        <f>1/ZAR!C745</f>
        <v>0.12074669757782124</v>
      </c>
    </row>
    <row r="746" spans="1:27" x14ac:dyDescent="0.25">
      <c r="A746" t="str">
        <f>"22/06/2012"</f>
        <v>22/06/2012</v>
      </c>
      <c r="B746" s="3">
        <f>AUD!B746</f>
        <v>1.0029999999999999</v>
      </c>
      <c r="C746" s="3">
        <f>AUD!C746</f>
        <v>1.0001</v>
      </c>
      <c r="D746" s="3">
        <f>1/CAD!B746</f>
        <v>0.97191175041306255</v>
      </c>
      <c r="E746" s="3">
        <f>1/CAD!C746</f>
        <v>0.97125097125097115</v>
      </c>
      <c r="F746" s="3">
        <f>EUR!B746/1</f>
        <v>1.2539</v>
      </c>
      <c r="G746" s="3">
        <f>EUR!C746/1</f>
        <v>1.2541</v>
      </c>
      <c r="H746" s="3">
        <f>GBP!B746/1</f>
        <v>1.5595000000000001</v>
      </c>
      <c r="I746" s="3">
        <f>GBP!C746/1</f>
        <v>1.5592999999999999</v>
      </c>
      <c r="J746" s="4">
        <f>1/INR!B746</f>
        <v>1.7494751574527644E-2</v>
      </c>
      <c r="K746" s="4">
        <f>1/INR!C746</f>
        <v>1.7388280299078421E-2</v>
      </c>
      <c r="L746" s="4">
        <f>1/JPY!B746</f>
        <v>1.2457876804056285E-2</v>
      </c>
      <c r="M746" s="4">
        <f>1/JPY!C746</f>
        <v>1.2462192822524665E-2</v>
      </c>
      <c r="N746" s="5">
        <f>1/KRW!B746</f>
        <v>8.6415485655029381E-4</v>
      </c>
      <c r="O746" s="5">
        <f>1/KRW!C746</f>
        <v>8.6413432103886229E-4</v>
      </c>
      <c r="P746" s="3">
        <f>1/NOK!B746</f>
        <v>0.16760244699572613</v>
      </c>
      <c r="Q746" s="3">
        <f>1/NOK!C746</f>
        <v>0.16741445121542892</v>
      </c>
      <c r="R746" s="3">
        <f>NZD!B746/1</f>
        <v>0.78800000000000003</v>
      </c>
      <c r="S746" s="3">
        <f>NZD!C746/1</f>
        <v>0.78639999999999999</v>
      </c>
      <c r="T746" s="4">
        <f>1/PHP!B746</f>
        <v>2.351281448389372E-2</v>
      </c>
      <c r="U746" s="4">
        <f>1/PHP!C746</f>
        <v>2.3451057642699683E-2</v>
      </c>
      <c r="V746" s="4">
        <f>1/TWD!B746</f>
        <v>3.3350008337502082E-2</v>
      </c>
      <c r="W746" s="4">
        <f>1/TWD!C746</f>
        <v>3.3350008337502082E-2</v>
      </c>
      <c r="X746" s="4">
        <f>1/TWD!B746</f>
        <v>3.3350008337502082E-2</v>
      </c>
      <c r="Y746" s="4">
        <f>1/TWD!C746</f>
        <v>3.3350008337502082E-2</v>
      </c>
      <c r="Z746" s="4">
        <f>1/ZAR!B746</f>
        <v>0.11939300595771099</v>
      </c>
      <c r="AA746" s="4">
        <f>1/ZAR!C746</f>
        <v>0.11884388667046966</v>
      </c>
    </row>
    <row r="747" spans="1:27" x14ac:dyDescent="0.25">
      <c r="A747" t="str">
        <f>"25/06/2012"</f>
        <v>25/06/2012</v>
      </c>
      <c r="B747" s="3">
        <f>AUD!B747</f>
        <v>0.99960000000000004</v>
      </c>
      <c r="C747" s="3">
        <f>AUD!C747</f>
        <v>0.99670000000000003</v>
      </c>
      <c r="D747" s="3">
        <f>1/CAD!B747</f>
        <v>0.97191175041306255</v>
      </c>
      <c r="E747" s="3">
        <f>1/CAD!C747</f>
        <v>0.97134531325886342</v>
      </c>
      <c r="F747" s="3">
        <f>EUR!B747/1</f>
        <v>1.2485999999999999</v>
      </c>
      <c r="G747" s="3">
        <f>EUR!C747/1</f>
        <v>1.2487999999999999</v>
      </c>
      <c r="H747" s="3">
        <f>GBP!B747/1</f>
        <v>1.5555000000000001</v>
      </c>
      <c r="I747" s="3">
        <f>GBP!C747/1</f>
        <v>1.5552999999999999</v>
      </c>
      <c r="J747" s="4">
        <f>1/INR!B747</f>
        <v>1.75561797752809E-2</v>
      </c>
      <c r="K747" s="4">
        <f>1/INR!C747</f>
        <v>1.7445917655268667E-2</v>
      </c>
      <c r="L747" s="4">
        <f>1/JPY!B747</f>
        <v>1.2516427811502598E-2</v>
      </c>
      <c r="M747" s="4">
        <f>1/JPY!C747</f>
        <v>1.2521003984183468E-2</v>
      </c>
      <c r="N747" s="5">
        <f>1/KRW!B747</f>
        <v>8.607703894986013E-4</v>
      </c>
      <c r="O747" s="5">
        <f>1/KRW!C747</f>
        <v>8.6075001452515655E-4</v>
      </c>
      <c r="P747" s="3">
        <f>1/NOK!B747</f>
        <v>0.1666444474070124</v>
      </c>
      <c r="Q747" s="3">
        <f>1/NOK!C747</f>
        <v>0.16646136431734196</v>
      </c>
      <c r="R747" s="3">
        <f>NZD!B747/1</f>
        <v>0.7853</v>
      </c>
      <c r="S747" s="3">
        <f>NZD!C747/1</f>
        <v>0.78380000000000005</v>
      </c>
      <c r="T747" s="4">
        <f>1/PHP!B747</f>
        <v>2.3446658851113716E-2</v>
      </c>
      <c r="U747" s="4">
        <f>1/PHP!C747</f>
        <v>2.3385248585192461E-2</v>
      </c>
      <c r="V747" s="4">
        <f>1/TWD!B747</f>
        <v>3.3372267645586519E-2</v>
      </c>
      <c r="W747" s="4">
        <f>1/TWD!C747</f>
        <v>3.3372267645586519E-2</v>
      </c>
      <c r="X747" s="4">
        <f>1/TWD!B747</f>
        <v>3.3372267645586519E-2</v>
      </c>
      <c r="Y747" s="4">
        <f>1/TWD!C747</f>
        <v>3.3372267645586519E-2</v>
      </c>
      <c r="Z747" s="4">
        <f>1/ZAR!B747</f>
        <v>0.11828020580755812</v>
      </c>
      <c r="AA747" s="4">
        <f>1/ZAR!C747</f>
        <v>0.11773986554107356</v>
      </c>
    </row>
    <row r="748" spans="1:27" x14ac:dyDescent="0.25">
      <c r="A748" t="str">
        <f>"26/06/2012"</f>
        <v>26/06/2012</v>
      </c>
      <c r="B748" s="3">
        <f>AUD!B748</f>
        <v>1.0023</v>
      </c>
      <c r="C748" s="3">
        <f>AUD!C748</f>
        <v>0.99919999999999998</v>
      </c>
      <c r="D748" s="3">
        <f>1/CAD!B748</f>
        <v>0.97219521679953336</v>
      </c>
      <c r="E748" s="3">
        <f>1/CAD!C748</f>
        <v>0.97153405226853196</v>
      </c>
      <c r="F748" s="3">
        <f>EUR!B748/1</f>
        <v>1.2504</v>
      </c>
      <c r="G748" s="3">
        <f>EUR!C748/1</f>
        <v>1.2507999999999999</v>
      </c>
      <c r="H748" s="3">
        <f>GBP!B748/1</f>
        <v>1.5577000000000001</v>
      </c>
      <c r="I748" s="3">
        <f>GBP!C748/1</f>
        <v>1.5575000000000001</v>
      </c>
      <c r="J748" s="4">
        <f>1/INR!B748</f>
        <v>1.7516202487300753E-2</v>
      </c>
      <c r="K748" s="4">
        <f>1/INR!C748</f>
        <v>1.739962590804298E-2</v>
      </c>
      <c r="L748" s="4">
        <f>1/JPY!B748</f>
        <v>1.2581781580271767E-2</v>
      </c>
      <c r="M748" s="4">
        <f>1/JPY!C748</f>
        <v>1.2586849259893264E-2</v>
      </c>
      <c r="N748" s="5">
        <f>1/KRW!B748</f>
        <v>8.617718028266114E-4</v>
      </c>
      <c r="O748" s="5">
        <f>1/KRW!C748</f>
        <v>8.6175026649626982E-4</v>
      </c>
      <c r="P748" s="3">
        <f>1/NOK!B748</f>
        <v>0.16652789342214822</v>
      </c>
      <c r="Q748" s="3">
        <f>1/NOK!C748</f>
        <v>0.16632846545357771</v>
      </c>
      <c r="R748" s="3">
        <f>NZD!B748/1</f>
        <v>0.78869999999999996</v>
      </c>
      <c r="S748" s="3">
        <f>NZD!C748/1</f>
        <v>0.78700000000000003</v>
      </c>
      <c r="T748" s="4">
        <f>1/PHP!B748</f>
        <v>2.351281448389372E-2</v>
      </c>
      <c r="U748" s="4">
        <f>1/PHP!C748</f>
        <v>2.345160760770151E-2</v>
      </c>
      <c r="V748" s="4">
        <f>1/TWD!B748</f>
        <v>3.334444814938313E-2</v>
      </c>
      <c r="W748" s="4">
        <f>1/TWD!C748</f>
        <v>3.3344559334976112E-2</v>
      </c>
      <c r="X748" s="4">
        <f>1/TWD!B748</f>
        <v>3.334444814938313E-2</v>
      </c>
      <c r="Y748" s="4">
        <f>1/TWD!C748</f>
        <v>3.3344559334976112E-2</v>
      </c>
      <c r="Z748" s="4">
        <f>1/ZAR!B748</f>
        <v>0.11798574732172354</v>
      </c>
      <c r="AA748" s="4">
        <f>1/ZAR!C748</f>
        <v>0.11737089201877934</v>
      </c>
    </row>
    <row r="749" spans="1:27" x14ac:dyDescent="0.25">
      <c r="A749" t="str">
        <f>"27/06/2012"</f>
        <v>27/06/2012</v>
      </c>
      <c r="B749" s="3">
        <f>AUD!B749</f>
        <v>1.0049999999999999</v>
      </c>
      <c r="C749" s="3">
        <f>AUD!C749</f>
        <v>1.0019</v>
      </c>
      <c r="D749" s="3">
        <f>1/CAD!B749</f>
        <v>0.97456388266250848</v>
      </c>
      <c r="E749" s="3">
        <f>1/CAD!C749</f>
        <v>0.97389949357226335</v>
      </c>
      <c r="F749" s="3">
        <f>EUR!B749/1</f>
        <v>1.2494000000000001</v>
      </c>
      <c r="G749" s="3">
        <f>EUR!C749/1</f>
        <v>1.2497</v>
      </c>
      <c r="H749" s="3">
        <f>GBP!B749/1</f>
        <v>1.5611999999999999</v>
      </c>
      <c r="I749" s="3">
        <f>GBP!C749/1</f>
        <v>1.5609999999999999</v>
      </c>
      <c r="J749" s="4">
        <f>1/INR!B749</f>
        <v>1.7488632388947184E-2</v>
      </c>
      <c r="K749" s="4">
        <f>1/INR!C749</f>
        <v>1.7371666811430559E-2</v>
      </c>
      <c r="L749" s="4">
        <f>1/JPY!B749</f>
        <v>1.2575848083755149E-2</v>
      </c>
      <c r="M749" s="4">
        <f>1/JPY!C749</f>
        <v>1.2581464985782945E-2</v>
      </c>
      <c r="N749" s="5">
        <f>1/KRW!B749</f>
        <v>8.6480502970605279E-4</v>
      </c>
      <c r="O749" s="5">
        <f>1/KRW!C749</f>
        <v>8.6477810658563124E-4</v>
      </c>
      <c r="P749" s="3">
        <f>1/NOK!B749</f>
        <v>0.1661874927292972</v>
      </c>
      <c r="Q749" s="3">
        <f>1/NOK!C749</f>
        <v>0.16599438938963862</v>
      </c>
      <c r="R749" s="3">
        <f>NZD!B749/1</f>
        <v>0.78869999999999996</v>
      </c>
      <c r="S749" s="3">
        <f>NZD!C749/1</f>
        <v>0.78700000000000003</v>
      </c>
      <c r="T749" s="4">
        <f>1/PHP!B749</f>
        <v>2.3596035865974516E-2</v>
      </c>
      <c r="U749" s="4">
        <f>1/PHP!C749</f>
        <v>2.3532180256500765E-2</v>
      </c>
      <c r="V749" s="4">
        <f>1/TWD!B749</f>
        <v>3.341129301703976E-2</v>
      </c>
      <c r="W749" s="4">
        <f>1/TWD!C749</f>
        <v>3.341129301703976E-2</v>
      </c>
      <c r="X749" s="4">
        <f>1/TWD!B749</f>
        <v>3.341129301703976E-2</v>
      </c>
      <c r="Y749" s="4">
        <f>1/TWD!C749</f>
        <v>3.341129301703976E-2</v>
      </c>
      <c r="Z749" s="4">
        <f>1/ZAR!B749</f>
        <v>0.11869154441437592</v>
      </c>
      <c r="AA749" s="4">
        <f>1/ZAR!C749</f>
        <v>0.11810837624604338</v>
      </c>
    </row>
    <row r="750" spans="1:27" x14ac:dyDescent="0.25">
      <c r="A750" t="str">
        <f>"28/06/2012"</f>
        <v>28/06/2012</v>
      </c>
      <c r="B750" s="3">
        <f>AUD!B750</f>
        <v>1.0123</v>
      </c>
      <c r="C750" s="3">
        <f>AUD!C750</f>
        <v>1.0093000000000001</v>
      </c>
      <c r="D750" s="3">
        <f>1/CAD!B750</f>
        <v>0.9771350400625366</v>
      </c>
      <c r="E750" s="3">
        <f>1/CAD!C750</f>
        <v>0.97646714188067574</v>
      </c>
      <c r="F750" s="3">
        <f>EUR!B750/1</f>
        <v>1.2517</v>
      </c>
      <c r="G750" s="3">
        <f>EUR!C750/1</f>
        <v>1.252</v>
      </c>
      <c r="H750" s="3">
        <f>GBP!B750/1</f>
        <v>1.5617000000000001</v>
      </c>
      <c r="I750" s="3">
        <f>GBP!C750/1</f>
        <v>1.5616000000000001</v>
      </c>
      <c r="J750" s="4">
        <f>1/INR!B750</f>
        <v>1.7562346329469618E-2</v>
      </c>
      <c r="K750" s="4">
        <f>1/INR!C750</f>
        <v>1.7447439588240427E-2</v>
      </c>
      <c r="L750" s="4">
        <f>1/JPY!B750</f>
        <v>1.2589543125479977E-2</v>
      </c>
      <c r="M750" s="4">
        <f>1/JPY!C750</f>
        <v>1.2594474300345467E-2</v>
      </c>
      <c r="N750" s="5">
        <f>1/KRW!B750</f>
        <v>8.6610081413476532E-4</v>
      </c>
      <c r="O750" s="5">
        <f>1/KRW!C750</f>
        <v>8.660745603589013E-4</v>
      </c>
      <c r="P750" s="3">
        <f>1/NOK!B750</f>
        <v>0.16615159671684446</v>
      </c>
      <c r="Q750" s="3">
        <f>1/NOK!C750</f>
        <v>0.1659613310098747</v>
      </c>
      <c r="R750" s="3">
        <f>NZD!B750/1</f>
        <v>0.79590000000000005</v>
      </c>
      <c r="S750" s="3">
        <f>NZD!C750/1</f>
        <v>0.79420000000000002</v>
      </c>
      <c r="T750" s="4">
        <f>1/PHP!B750</f>
        <v>2.3663038334122102E-2</v>
      </c>
      <c r="U750" s="4">
        <f>1/PHP!C750</f>
        <v>2.3602719033232626E-2</v>
      </c>
      <c r="V750" s="4">
        <f>1/TWD!B750</f>
        <v>3.3444816053511704E-2</v>
      </c>
      <c r="W750" s="4">
        <f>1/TWD!C750</f>
        <v>3.344492790945789E-2</v>
      </c>
      <c r="X750" s="4">
        <f>1/TWD!B750</f>
        <v>3.3444816053511704E-2</v>
      </c>
      <c r="Y750" s="4">
        <f>1/TWD!C750</f>
        <v>3.344492790945789E-2</v>
      </c>
      <c r="Z750" s="4">
        <f>1/ZAR!B750</f>
        <v>0.11923498831497116</v>
      </c>
      <c r="AA750" s="4">
        <f>1/ZAR!C750</f>
        <v>0.11866900840176579</v>
      </c>
    </row>
    <row r="751" spans="1:27" x14ac:dyDescent="0.25">
      <c r="A751" t="str">
        <f>"29/06/2012"</f>
        <v>29/06/2012</v>
      </c>
      <c r="B751" s="3">
        <f>AUD!B751</f>
        <v>1.0194000000000001</v>
      </c>
      <c r="C751" s="3">
        <f>AUD!C751</f>
        <v>1.0164</v>
      </c>
      <c r="D751" s="3">
        <f>1/CAD!B751</f>
        <v>0.97818644233590923</v>
      </c>
      <c r="E751" s="3">
        <f>1/CAD!C751</f>
        <v>0.97751710654936474</v>
      </c>
      <c r="F751" s="3">
        <f>EUR!B751/1</f>
        <v>1.2588999999999999</v>
      </c>
      <c r="G751" s="3">
        <f>EUR!C751/1</f>
        <v>1.2592000000000001</v>
      </c>
      <c r="H751" s="3">
        <f>GBP!B751/1</f>
        <v>1.5618000000000001</v>
      </c>
      <c r="I751" s="3">
        <f>GBP!C751/1</f>
        <v>1.5617000000000001</v>
      </c>
      <c r="J751" s="4">
        <f>1/INR!B751</f>
        <v>1.7969451931716084E-2</v>
      </c>
      <c r="K751" s="4">
        <f>1/INR!C751</f>
        <v>1.7840417465768699E-2</v>
      </c>
      <c r="L751" s="4">
        <f>1/JPY!B751</f>
        <v>1.257497830816242E-2</v>
      </c>
      <c r="M751" s="4">
        <f>1/JPY!C751</f>
        <v>1.258054695185928E-2</v>
      </c>
      <c r="N751" s="5">
        <f>1/KRW!B751</f>
        <v>8.7290502793296095E-4</v>
      </c>
      <c r="O751" s="5">
        <f>1/KRW!C751</f>
        <v>8.7287074093632844E-4</v>
      </c>
      <c r="P751" s="3">
        <f>1/NOK!B751</f>
        <v>0.1669449081803005</v>
      </c>
      <c r="Q751" s="3">
        <f>1/NOK!C751</f>
        <v>0.16675838377774443</v>
      </c>
      <c r="R751" s="3">
        <f>NZD!B751/1</f>
        <v>0.79930000000000001</v>
      </c>
      <c r="S751" s="3">
        <f>NZD!C751/1</f>
        <v>0.79759999999999998</v>
      </c>
      <c r="T751" s="4">
        <f>1/PHP!B751</f>
        <v>2.3781212841854936E-2</v>
      </c>
      <c r="U751" s="4">
        <f>1/PHP!C751</f>
        <v>2.3719727697526033E-2</v>
      </c>
      <c r="V751" s="4">
        <f>1/TWD!B751</f>
        <v>3.3472803347280332E-2</v>
      </c>
      <c r="W751" s="4">
        <f>1/TWD!C751</f>
        <v>3.3472803347280332E-2</v>
      </c>
      <c r="X751" s="4">
        <f>1/TWD!B751</f>
        <v>3.3472803347280332E-2</v>
      </c>
      <c r="Y751" s="4">
        <f>1/TWD!C751</f>
        <v>3.3472803347280332E-2</v>
      </c>
      <c r="Z751" s="4">
        <f>1/ZAR!B751</f>
        <v>0.12158646013179972</v>
      </c>
      <c r="AA751" s="4">
        <f>1/ZAR!C751</f>
        <v>0.12101995619077587</v>
      </c>
    </row>
    <row r="752" spans="1:27" x14ac:dyDescent="0.25">
      <c r="A752" t="str">
        <f>"02/07/2012"</f>
        <v>02/07/2012</v>
      </c>
      <c r="B752" s="3">
        <f>AUD!B752</f>
        <v>1.0253000000000001</v>
      </c>
      <c r="C752" s="3">
        <f>AUD!C752</f>
        <v>1.022</v>
      </c>
      <c r="D752" s="3">
        <f>1/CAD!B752</f>
        <v>0.98299420033421792</v>
      </c>
      <c r="E752" s="3">
        <f>1/CAD!C752</f>
        <v>0.98231827111984282</v>
      </c>
      <c r="F752" s="3">
        <f>EUR!B752/1</f>
        <v>1.2622</v>
      </c>
      <c r="G752" s="3">
        <f>EUR!C752/1</f>
        <v>1.2625</v>
      </c>
      <c r="H752" s="3">
        <f>GBP!B752/1</f>
        <v>1.5673999999999999</v>
      </c>
      <c r="I752" s="3">
        <f>GBP!C752/1</f>
        <v>1.5671999999999999</v>
      </c>
      <c r="J752" s="4">
        <f>1/INR!B752</f>
        <v>1.7992083483267363E-2</v>
      </c>
      <c r="K752" s="4">
        <f>1/INR!C752</f>
        <v>1.7867512395586725E-2</v>
      </c>
      <c r="L752" s="4">
        <f>1/JPY!B752</f>
        <v>1.2559816124291941E-2</v>
      </c>
      <c r="M752" s="4">
        <f>1/JPY!C752</f>
        <v>1.2565576602896367E-2</v>
      </c>
      <c r="N752" s="5">
        <f>1/KRW!B752</f>
        <v>8.724480893386843E-4</v>
      </c>
      <c r="O752" s="5">
        <f>1/KRW!C752</f>
        <v>8.7241345767551538E-4</v>
      </c>
      <c r="P752" s="3">
        <f>1/NOK!B752</f>
        <v>0.16742005692281936</v>
      </c>
      <c r="Q752" s="3">
        <f>1/NOK!C752</f>
        <v>0.1672296732332185</v>
      </c>
      <c r="R752" s="3">
        <f>NZD!B752/1</f>
        <v>0.80320000000000003</v>
      </c>
      <c r="S752" s="3">
        <f>NZD!C752/1</f>
        <v>0.80149999999999999</v>
      </c>
      <c r="T752" s="4">
        <f>1/PHP!B752</f>
        <v>2.3869196801527628E-2</v>
      </c>
      <c r="U752" s="4">
        <f>1/PHP!C752</f>
        <v>2.3804989525804607E-2</v>
      </c>
      <c r="V752" s="4">
        <f>1/TWD!B752</f>
        <v>3.3461602810774635E-2</v>
      </c>
      <c r="W752" s="4">
        <f>1/TWD!C752</f>
        <v>3.3461602810774635E-2</v>
      </c>
      <c r="X752" s="4">
        <f>1/TWD!B752</f>
        <v>3.3461602810774635E-2</v>
      </c>
      <c r="Y752" s="4">
        <f>1/TWD!C752</f>
        <v>3.3461602810774635E-2</v>
      </c>
      <c r="Z752" s="4">
        <f>1/ZAR!B752</f>
        <v>0.12282145445166362</v>
      </c>
      <c r="AA752" s="4">
        <f>1/ZAR!C752</f>
        <v>0.12222100001222209</v>
      </c>
    </row>
    <row r="753" spans="1:27" x14ac:dyDescent="0.25">
      <c r="A753" t="str">
        <f>"03/07/2012"</f>
        <v>03/07/2012</v>
      </c>
      <c r="B753" s="3">
        <f>AUD!B753</f>
        <v>1.0262</v>
      </c>
      <c r="C753" s="3">
        <f>AUD!C753</f>
        <v>1.0228999999999999</v>
      </c>
      <c r="D753" s="3">
        <f>1/CAD!B753</f>
        <v>0.98512461826421049</v>
      </c>
      <c r="E753" s="3">
        <f>1/CAD!C753</f>
        <v>0.98444575703878712</v>
      </c>
      <c r="F753" s="3">
        <f>EUR!B753/1</f>
        <v>1.2584</v>
      </c>
      <c r="G753" s="3">
        <f>EUR!C753/1</f>
        <v>1.2587999999999999</v>
      </c>
      <c r="H753" s="3">
        <f>GBP!B753/1</f>
        <v>1.5681</v>
      </c>
      <c r="I753" s="3">
        <f>GBP!C753/1</f>
        <v>1.5680000000000001</v>
      </c>
      <c r="J753" s="4">
        <f>1/INR!B753</f>
        <v>1.8267342558341327E-2</v>
      </c>
      <c r="K753" s="4">
        <f>1/INR!C753</f>
        <v>1.8139766903995283E-2</v>
      </c>
      <c r="L753" s="4">
        <f>1/JPY!B753</f>
        <v>1.2525520748525119E-2</v>
      </c>
      <c r="M753" s="4">
        <f>1/JPY!C753</f>
        <v>1.2531422542024124E-2</v>
      </c>
      <c r="N753" s="5">
        <f>1/KRW!B753</f>
        <v>8.7833713214142972E-4</v>
      </c>
      <c r="O753" s="5">
        <f>1/KRW!C753</f>
        <v>8.7830935987935545E-4</v>
      </c>
      <c r="P753" s="3">
        <f>1/NOK!B753</f>
        <v>0.16734161116503232</v>
      </c>
      <c r="Q753" s="3">
        <f>1/NOK!C753</f>
        <v>0.16715419974926871</v>
      </c>
      <c r="R753" s="3">
        <f>NZD!B753/1</f>
        <v>0.80330000000000001</v>
      </c>
      <c r="S753" s="3">
        <f>NZD!C753/1</f>
        <v>0.80149999999999999</v>
      </c>
      <c r="T753" s="4">
        <f>1/PHP!B753</f>
        <v>2.3975065931431311E-2</v>
      </c>
      <c r="U753" s="4">
        <f>1/PHP!C753</f>
        <v>2.391772303276728E-2</v>
      </c>
      <c r="V753" s="4">
        <f>1/TWD!B753</f>
        <v>3.3472803347280332E-2</v>
      </c>
      <c r="W753" s="4">
        <f>1/TWD!C753</f>
        <v>3.3472803347280332E-2</v>
      </c>
      <c r="X753" s="4">
        <f>1/TWD!B753</f>
        <v>3.3472803347280332E-2</v>
      </c>
      <c r="Y753" s="4">
        <f>1/TWD!C753</f>
        <v>3.3472803347280332E-2</v>
      </c>
      <c r="Z753" s="4">
        <f>1/ZAR!B753</f>
        <v>0.12311480455524776</v>
      </c>
      <c r="AA753" s="4">
        <f>1/ZAR!C753</f>
        <v>0.12252199269768924</v>
      </c>
    </row>
    <row r="754" spans="1:27" x14ac:dyDescent="0.25">
      <c r="A754" t="str">
        <f>"04/07/2012"</f>
        <v>04/07/2012</v>
      </c>
      <c r="B754" s="3">
        <f>AUD!B754</f>
        <v>1.0271999999999999</v>
      </c>
      <c r="C754" s="3">
        <f>AUD!C754</f>
        <v>1.024</v>
      </c>
      <c r="D754" s="3">
        <f>1/CAD!B754</f>
        <v>0.98726429065060728</v>
      </c>
      <c r="E754" s="3">
        <f>1/CAD!C754</f>
        <v>0.98658247829518542</v>
      </c>
      <c r="F754" s="3">
        <f>EUR!B754/1</f>
        <v>1.2565999999999999</v>
      </c>
      <c r="G754" s="3">
        <f>EUR!C754/1</f>
        <v>1.2569999999999999</v>
      </c>
      <c r="H754" s="3">
        <f>GBP!B754/1</f>
        <v>1.5653999999999999</v>
      </c>
      <c r="I754" s="3">
        <f>GBP!C754/1</f>
        <v>1.5653999999999999</v>
      </c>
      <c r="J754" s="4">
        <f>1/INR!B754</f>
        <v>1.8335166850018337E-2</v>
      </c>
      <c r="K754" s="4">
        <f>1/INR!C754</f>
        <v>1.820913187963764E-2</v>
      </c>
      <c r="L754" s="4">
        <f>1/JPY!B754</f>
        <v>1.2521286186517079E-2</v>
      </c>
      <c r="M754" s="4">
        <f>1/JPY!C754</f>
        <v>1.2526007122287649E-2</v>
      </c>
      <c r="N754" s="5">
        <f>1/KRW!B754</f>
        <v>8.8035918654811153E-4</v>
      </c>
      <c r="O754" s="5">
        <f>1/KRW!C754</f>
        <v>8.8033244874594432E-4</v>
      </c>
      <c r="P754" s="3">
        <f>1/NOK!B754</f>
        <v>0.16738923017693041</v>
      </c>
      <c r="Q754" s="3">
        <f>1/NOK!C754</f>
        <v>0.16721289545849774</v>
      </c>
      <c r="R754" s="3">
        <f>NZD!B754/1</f>
        <v>0.8034</v>
      </c>
      <c r="S754" s="3">
        <f>NZD!C754/1</f>
        <v>0.80159999999999998</v>
      </c>
      <c r="T754" s="4">
        <f>1/PHP!B754</f>
        <v>2.3934897079942556E-2</v>
      </c>
      <c r="U754" s="4">
        <f>1/PHP!C754</f>
        <v>2.387774594078319E-2</v>
      </c>
      <c r="V754" s="4">
        <f>1/TWD!B754</f>
        <v>3.3517680576504102E-2</v>
      </c>
      <c r="W754" s="4">
        <f>1/TWD!C754</f>
        <v>3.3517680576504102E-2</v>
      </c>
      <c r="X754" s="4">
        <f>1/TWD!B754</f>
        <v>3.3517680576504102E-2</v>
      </c>
      <c r="Y754" s="4">
        <f>1/TWD!C754</f>
        <v>3.3517680576504102E-2</v>
      </c>
      <c r="Z754" s="4">
        <f>1/ZAR!B754</f>
        <v>0.1228259801513216</v>
      </c>
      <c r="AA754" s="4">
        <f>1/ZAR!C754</f>
        <v>0.12224789428002103</v>
      </c>
    </row>
    <row r="755" spans="1:27" x14ac:dyDescent="0.25">
      <c r="A755" t="str">
        <f>"05/07/2012"</f>
        <v>05/07/2012</v>
      </c>
      <c r="B755" s="3">
        <f>AUD!B755</f>
        <v>1.0277000000000001</v>
      </c>
      <c r="C755" s="3">
        <f>AUD!C755</f>
        <v>1.0246999999999999</v>
      </c>
      <c r="D755" s="3">
        <f>1/CAD!B755</f>
        <v>0.98697196999605197</v>
      </c>
      <c r="E755" s="3">
        <f>1/CAD!C755</f>
        <v>0.98629056119932934</v>
      </c>
      <c r="F755" s="3">
        <f>EUR!B755/1</f>
        <v>1.2504999999999999</v>
      </c>
      <c r="G755" s="3">
        <f>EUR!C755/1</f>
        <v>1.2508999999999999</v>
      </c>
      <c r="H755" s="3">
        <f>GBP!B755/1</f>
        <v>1.5572999999999999</v>
      </c>
      <c r="I755" s="3">
        <f>GBP!C755/1</f>
        <v>1.5571999999999999</v>
      </c>
      <c r="J755" s="4">
        <f>1/INR!B755</f>
        <v>1.8165304268846504E-2</v>
      </c>
      <c r="K755" s="4">
        <f>1/INR!C755</f>
        <v>1.8047283883775495E-2</v>
      </c>
      <c r="L755" s="4">
        <f>1/JPY!B755</f>
        <v>1.2544407201493286E-2</v>
      </c>
      <c r="M755" s="4">
        <f>1/JPY!C755</f>
        <v>1.254895661700208E-2</v>
      </c>
      <c r="N755" s="5">
        <f>1/KRW!B755</f>
        <v>8.808244516867789E-4</v>
      </c>
      <c r="O755" s="5">
        <f>1/KRW!C755</f>
        <v>8.8080389209623845E-4</v>
      </c>
      <c r="P755" s="3">
        <f>1/NOK!B755</f>
        <v>0.16657227571043076</v>
      </c>
      <c r="Q755" s="3">
        <f>1/NOK!C755</f>
        <v>0.16640042598509053</v>
      </c>
      <c r="R755" s="3">
        <f>NZD!B755/1</f>
        <v>0.80379999999999996</v>
      </c>
      <c r="S755" s="3">
        <f>NZD!C755/1</f>
        <v>0.80210000000000004</v>
      </c>
      <c r="T755" s="4">
        <f>1/PHP!B755</f>
        <v>2.3986567522187575E-2</v>
      </c>
      <c r="U755" s="4">
        <f>1/PHP!C755</f>
        <v>2.3929169657812874E-2</v>
      </c>
      <c r="V755" s="4">
        <f>1/TWD!B755</f>
        <v>3.3472803347280332E-2</v>
      </c>
      <c r="W755" s="4">
        <f>1/TWD!C755</f>
        <v>3.3472803347280332E-2</v>
      </c>
      <c r="X755" s="4">
        <f>1/TWD!B755</f>
        <v>3.3472803347280332E-2</v>
      </c>
      <c r="Y755" s="4">
        <f>1/TWD!C755</f>
        <v>3.3472803347280332E-2</v>
      </c>
      <c r="Z755" s="4">
        <f>1/ZAR!B755</f>
        <v>0.12253100034308681</v>
      </c>
      <c r="AA755" s="4">
        <f>1/ZAR!C755</f>
        <v>0.1219333756035702</v>
      </c>
    </row>
    <row r="756" spans="1:27" x14ac:dyDescent="0.25">
      <c r="A756" t="str">
        <f>"06/07/2012"</f>
        <v>06/07/2012</v>
      </c>
      <c r="B756" s="3">
        <f>AUD!B756</f>
        <v>1.0264</v>
      </c>
      <c r="C756" s="3">
        <f>AUD!C756</f>
        <v>1.0234000000000001</v>
      </c>
      <c r="D756" s="3">
        <f>1/CAD!B756</f>
        <v>0.98561009264734878</v>
      </c>
      <c r="E756" s="3">
        <f>1/CAD!C756</f>
        <v>0.98493056239535104</v>
      </c>
      <c r="F756" s="3">
        <f>EUR!B756/1</f>
        <v>1.2384999999999999</v>
      </c>
      <c r="G756" s="3">
        <f>EUR!C756/1</f>
        <v>1.2390000000000001</v>
      </c>
      <c r="H756" s="3">
        <f>GBP!B756/1</f>
        <v>1.5527</v>
      </c>
      <c r="I756" s="3">
        <f>GBP!C756/1</f>
        <v>1.5526</v>
      </c>
      <c r="J756" s="4">
        <f>1/INR!B756</f>
        <v>1.804402742692169E-2</v>
      </c>
      <c r="K756" s="4">
        <f>1/INR!C756</f>
        <v>1.7927572606669058E-2</v>
      </c>
      <c r="L756" s="4">
        <f>1/JPY!B756</f>
        <v>1.2525677639160279E-2</v>
      </c>
      <c r="M756" s="4">
        <f>1/JPY!C756</f>
        <v>1.2530072173215716E-2</v>
      </c>
      <c r="N756" s="5">
        <f>1/KRW!B756</f>
        <v>8.7858021437357229E-4</v>
      </c>
      <c r="O756" s="5">
        <f>1/KRW!C756</f>
        <v>8.7855435637766764E-4</v>
      </c>
      <c r="P756" s="3">
        <f>1/NOK!B756</f>
        <v>0.16511731585291348</v>
      </c>
      <c r="Q756" s="3">
        <f>1/NOK!C756</f>
        <v>0.16494029161443557</v>
      </c>
      <c r="R756" s="3">
        <f>NZD!B756/1</f>
        <v>0.80289999999999995</v>
      </c>
      <c r="S756" s="3">
        <f>NZD!C756/1</f>
        <v>0.80130000000000001</v>
      </c>
      <c r="T756" s="4">
        <f>1/PHP!B756</f>
        <v>2.3923444976076555E-2</v>
      </c>
      <c r="U756" s="4">
        <f>1/PHP!C756</f>
        <v>2.386634844868735E-2</v>
      </c>
      <c r="V756" s="4">
        <f>1/TWD!B756</f>
        <v>3.3463842318374994E-2</v>
      </c>
      <c r="W756" s="4">
        <f>1/TWD!C756</f>
        <v>3.3463954301624008E-2</v>
      </c>
      <c r="X756" s="4">
        <f>1/TWD!B756</f>
        <v>3.3463842318374994E-2</v>
      </c>
      <c r="Y756" s="4">
        <f>1/TWD!C756</f>
        <v>3.3463954301624008E-2</v>
      </c>
      <c r="Z756" s="4">
        <f>1/ZAR!B756</f>
        <v>0.12255202333390523</v>
      </c>
      <c r="AA756" s="4">
        <f>1/ZAR!C756</f>
        <v>0.12196163087092803</v>
      </c>
    </row>
    <row r="757" spans="1:27" x14ac:dyDescent="0.25">
      <c r="A757" t="str">
        <f>"09/07/2012"</f>
        <v>09/07/2012</v>
      </c>
      <c r="B757" s="3">
        <f>AUD!B757</f>
        <v>1.0185999999999999</v>
      </c>
      <c r="C757" s="3">
        <f>AUD!C757</f>
        <v>1.0154000000000001</v>
      </c>
      <c r="D757" s="3">
        <f>1/CAD!B757</f>
        <v>0.98154691794267768</v>
      </c>
      <c r="E757" s="3">
        <f>1/CAD!C757</f>
        <v>0.98087297694948494</v>
      </c>
      <c r="F757" s="3">
        <f>EUR!B757/1</f>
        <v>1.2285999999999999</v>
      </c>
      <c r="G757" s="3">
        <f>EUR!C757/1</f>
        <v>1.2292000000000001</v>
      </c>
      <c r="H757" s="3">
        <f>GBP!B757/1</f>
        <v>1.5488999999999999</v>
      </c>
      <c r="I757" s="3">
        <f>GBP!C757/1</f>
        <v>1.5488</v>
      </c>
      <c r="J757" s="4">
        <f>1/INR!B757</f>
        <v>1.784121320249777E-2</v>
      </c>
      <c r="K757" s="4">
        <f>1/INR!C757</f>
        <v>1.7718715393133997E-2</v>
      </c>
      <c r="L757" s="4">
        <f>1/JPY!B757</f>
        <v>1.2550358312729827E-2</v>
      </c>
      <c r="M757" s="4">
        <f>1/JPY!C757</f>
        <v>1.2555195779445387E-2</v>
      </c>
      <c r="N757" s="5">
        <f>1/KRW!B757</f>
        <v>8.7604029785370125E-4</v>
      </c>
      <c r="O757" s="5">
        <f>1/KRW!C757</f>
        <v>8.7602072840247552E-4</v>
      </c>
      <c r="P757" s="3">
        <f>1/NOK!B757</f>
        <v>0.16330796616258941</v>
      </c>
      <c r="Q757" s="3">
        <f>1/NOK!C757</f>
        <v>0.16312149288790292</v>
      </c>
      <c r="R757" s="3">
        <f>NZD!B757/1</f>
        <v>0.79579999999999995</v>
      </c>
      <c r="S757" s="3">
        <f>NZD!C757/1</f>
        <v>0.79410000000000003</v>
      </c>
      <c r="T757" s="4">
        <f>1/PHP!B757</f>
        <v>2.3815194093831864E-2</v>
      </c>
      <c r="U757" s="4">
        <f>1/PHP!C757</f>
        <v>2.3755790473928021E-2</v>
      </c>
      <c r="V757" s="4">
        <f>1/TWD!B757</f>
        <v>3.341017673983495E-2</v>
      </c>
      <c r="W757" s="4">
        <f>1/TWD!C757</f>
        <v>3.341017673983495E-2</v>
      </c>
      <c r="X757" s="4">
        <f>1/TWD!B757</f>
        <v>3.341017673983495E-2</v>
      </c>
      <c r="Y757" s="4">
        <f>1/TWD!C757</f>
        <v>3.341017673983495E-2</v>
      </c>
      <c r="Z757" s="4">
        <f>1/ZAR!B757</f>
        <v>0.12087659708203895</v>
      </c>
      <c r="AA757" s="4">
        <f>1/ZAR!C757</f>
        <v>0.12031812111222072</v>
      </c>
    </row>
    <row r="758" spans="1:27" x14ac:dyDescent="0.25">
      <c r="A758" t="str">
        <f>"10/07/2012"</f>
        <v>10/07/2012</v>
      </c>
      <c r="B758" s="3">
        <f>AUD!B758</f>
        <v>1.0227999999999999</v>
      </c>
      <c r="C758" s="3">
        <f>AUD!C758</f>
        <v>1.0197000000000001</v>
      </c>
      <c r="D758" s="3">
        <f>1/CAD!B758</f>
        <v>0.98251129887993705</v>
      </c>
      <c r="E758" s="3">
        <f>1/CAD!C758</f>
        <v>0.98173964264677016</v>
      </c>
      <c r="F758" s="3">
        <f>EUR!B758/1</f>
        <v>1.2306999999999999</v>
      </c>
      <c r="G758" s="3">
        <f>EUR!C758/1</f>
        <v>1.2312000000000001</v>
      </c>
      <c r="H758" s="3">
        <f>GBP!B758/1</f>
        <v>1.5531999999999999</v>
      </c>
      <c r="I758" s="3">
        <f>GBP!C758/1</f>
        <v>1.5529999999999999</v>
      </c>
      <c r="J758" s="4">
        <f>1/INR!B758</f>
        <v>1.8052985512479126E-2</v>
      </c>
      <c r="K758" s="4">
        <f>1/INR!C758</f>
        <v>1.7929179740026894E-2</v>
      </c>
      <c r="L758" s="4">
        <f>1/JPY!B758</f>
        <v>1.2587403785032317E-2</v>
      </c>
      <c r="M758" s="4">
        <f>1/JPY!C758</f>
        <v>1.2591873456708508E-2</v>
      </c>
      <c r="N758" s="5">
        <f>1/KRW!B758</f>
        <v>8.7420229041000077E-4</v>
      </c>
      <c r="O758" s="5">
        <f>1/KRW!C758</f>
        <v>8.741828029884813E-4</v>
      </c>
      <c r="P758" s="3">
        <f>1/NOK!B758</f>
        <v>0.16418204505155318</v>
      </c>
      <c r="Q758" s="3">
        <f>1/NOK!C758</f>
        <v>0.16399357145199908</v>
      </c>
      <c r="R758" s="3">
        <f>NZD!B758/1</f>
        <v>0.79759999999999998</v>
      </c>
      <c r="S758" s="3">
        <f>NZD!C758/1</f>
        <v>0.79590000000000005</v>
      </c>
      <c r="T758" s="4">
        <f>1/PHP!B758</f>
        <v>2.3906287353573991E-2</v>
      </c>
      <c r="U758" s="4">
        <f>1/PHP!C758</f>
        <v>2.3853254776614267E-2</v>
      </c>
      <c r="V758" s="4">
        <f>1/TWD!B758</f>
        <v>3.3401249206720329E-2</v>
      </c>
      <c r="W758" s="4">
        <f>1/TWD!C758</f>
        <v>3.3401360771437828E-2</v>
      </c>
      <c r="X758" s="4">
        <f>1/TWD!B758</f>
        <v>3.3401249206720329E-2</v>
      </c>
      <c r="Y758" s="4">
        <f>1/TWD!C758</f>
        <v>3.3401360771437828E-2</v>
      </c>
      <c r="Z758" s="4">
        <f>1/ZAR!B758</f>
        <v>0.1221597849987784</v>
      </c>
      <c r="AA758" s="4">
        <f>1/ZAR!C758</f>
        <v>0.12157167866173896</v>
      </c>
    </row>
    <row r="759" spans="1:27" x14ac:dyDescent="0.25">
      <c r="A759" t="str">
        <f>"11/07/2012"</f>
        <v>11/07/2012</v>
      </c>
      <c r="B759" s="3">
        <f>AUD!B759</f>
        <v>1.0267999999999999</v>
      </c>
      <c r="C759" s="3">
        <f>AUD!C759</f>
        <v>1.0237000000000001</v>
      </c>
      <c r="D759" s="3">
        <f>1/CAD!B759</f>
        <v>0.98241477551822376</v>
      </c>
      <c r="E759" s="3">
        <f>1/CAD!C759</f>
        <v>0.98173964264677016</v>
      </c>
      <c r="F759" s="3">
        <f>EUR!B759/1</f>
        <v>1.2278</v>
      </c>
      <c r="G759" s="3">
        <f>EUR!C759/1</f>
        <v>1.2282</v>
      </c>
      <c r="H759" s="3">
        <f>GBP!B759/1</f>
        <v>1.5569999999999999</v>
      </c>
      <c r="I759" s="3">
        <f>GBP!C759/1</f>
        <v>1.5568</v>
      </c>
      <c r="J759" s="4">
        <f>1/INR!B759</f>
        <v>1.7972681524083392E-2</v>
      </c>
      <c r="K759" s="4">
        <f>1/INR!C759</f>
        <v>1.7855548611731095E-2</v>
      </c>
      <c r="L759" s="4">
        <f>1/JPY!B759</f>
        <v>1.2618296529968454E-2</v>
      </c>
      <c r="M759" s="4">
        <f>1/JPY!C759</f>
        <v>1.262251730862686E-2</v>
      </c>
      <c r="N759" s="5">
        <f>1/KRW!B759</f>
        <v>8.7642418930762491E-4</v>
      </c>
      <c r="O759" s="5">
        <f>1/KRW!C759</f>
        <v>8.7639922613948326E-4</v>
      </c>
      <c r="P759" s="3">
        <f>1/NOK!B759</f>
        <v>0.16416048328846281</v>
      </c>
      <c r="Q759" s="3">
        <f>1/NOK!C759</f>
        <v>0.16398281460102981</v>
      </c>
      <c r="R759" s="3">
        <f>NZD!B759/1</f>
        <v>0.79869999999999997</v>
      </c>
      <c r="S759" s="3">
        <f>NZD!C759/1</f>
        <v>0.79700000000000004</v>
      </c>
      <c r="T759" s="4">
        <f>1/PHP!B759</f>
        <v>2.3886301206258211E-2</v>
      </c>
      <c r="U759" s="4">
        <f>1/PHP!C759</f>
        <v>2.3840743831207534E-2</v>
      </c>
      <c r="V759" s="4">
        <f>1/TWD!B759</f>
        <v>3.3374495210759934E-2</v>
      </c>
      <c r="W759" s="4">
        <f>1/TWD!C759</f>
        <v>3.3374606596824737E-2</v>
      </c>
      <c r="X759" s="4">
        <f>1/TWD!B759</f>
        <v>3.3374495210759934E-2</v>
      </c>
      <c r="Y759" s="4">
        <f>1/TWD!C759</f>
        <v>3.3374606596824737E-2</v>
      </c>
      <c r="Z759" s="4">
        <f>1/ZAR!B759</f>
        <v>0.1221597849987784</v>
      </c>
      <c r="AA759" s="4">
        <f>1/ZAR!C759</f>
        <v>0.12158941685715677</v>
      </c>
    </row>
    <row r="760" spans="1:27" x14ac:dyDescent="0.25">
      <c r="A760" t="str">
        <f>"12/07/2012"</f>
        <v>12/07/2012</v>
      </c>
      <c r="B760" s="3">
        <f>AUD!B760</f>
        <v>1.0185999999999999</v>
      </c>
      <c r="C760" s="3">
        <f>AUD!C760</f>
        <v>1.0156000000000001</v>
      </c>
      <c r="D760" s="3">
        <f>1/CAD!B760</f>
        <v>0.98039215686274506</v>
      </c>
      <c r="E760" s="3">
        <f>1/CAD!C760</f>
        <v>0.97971980013716087</v>
      </c>
      <c r="F760" s="3">
        <f>EUR!B760/1</f>
        <v>1.2242</v>
      </c>
      <c r="G760" s="3">
        <f>EUR!C760/1</f>
        <v>1.2245999999999999</v>
      </c>
      <c r="H760" s="3">
        <f>GBP!B760/1</f>
        <v>1.5512999999999999</v>
      </c>
      <c r="I760" s="3">
        <f>GBP!C760/1</f>
        <v>1.5510999999999999</v>
      </c>
      <c r="J760" s="4">
        <f>1/INR!B760</f>
        <v>1.7959770114942528E-2</v>
      </c>
      <c r="K760" s="4">
        <f>1/INR!C760</f>
        <v>1.7843600838649241E-2</v>
      </c>
      <c r="L760" s="4">
        <f>1/JPY!B760</f>
        <v>1.2575057373699268E-2</v>
      </c>
      <c r="M760" s="4">
        <f>1/JPY!C760</f>
        <v>1.2579629051898517E-2</v>
      </c>
      <c r="N760" s="5">
        <f>1/KRW!B760</f>
        <v>8.7064405894260271E-4</v>
      </c>
      <c r="O760" s="5">
        <f>1/KRW!C760</f>
        <v>8.7061222322149163E-4</v>
      </c>
      <c r="P760" s="3">
        <f>1/NOK!B760</f>
        <v>0.16366879981669094</v>
      </c>
      <c r="Q760" s="3">
        <f>1/NOK!C760</f>
        <v>0.16348952032174738</v>
      </c>
      <c r="R760" s="3">
        <f>NZD!B760/1</f>
        <v>0.79320000000000002</v>
      </c>
      <c r="S760" s="3">
        <f>NZD!C760/1</f>
        <v>0.79149999999999998</v>
      </c>
      <c r="T760" s="4">
        <f>1/PHP!B760</f>
        <v>2.3843586075345733E-2</v>
      </c>
      <c r="U760" s="4">
        <f>1/PHP!C760</f>
        <v>2.3801023444008092E-2</v>
      </c>
      <c r="V760" s="4">
        <f>1/TWD!B760</f>
        <v>3.3375609104866165E-2</v>
      </c>
      <c r="W760" s="4">
        <f>1/TWD!C760</f>
        <v>3.3375720498366256E-2</v>
      </c>
      <c r="X760" s="4">
        <f>1/TWD!B760</f>
        <v>3.3375609104866165E-2</v>
      </c>
      <c r="Y760" s="4">
        <f>1/TWD!C760</f>
        <v>3.3375720498366256E-2</v>
      </c>
      <c r="Z760" s="4">
        <f>1/ZAR!B760</f>
        <v>0.12067093037287316</v>
      </c>
      <c r="AA760" s="4">
        <f>1/ZAR!C760</f>
        <v>0.12010280800365113</v>
      </c>
    </row>
    <row r="761" spans="1:27" x14ac:dyDescent="0.25">
      <c r="A761" t="str">
        <f>"13/07/2012"</f>
        <v>13/07/2012</v>
      </c>
      <c r="B761" s="3">
        <f>AUD!B761</f>
        <v>1.0175000000000001</v>
      </c>
      <c r="C761" s="3">
        <f>AUD!C761</f>
        <v>1.0145</v>
      </c>
      <c r="D761" s="3">
        <f>1/CAD!B761</f>
        <v>0.9838646202282566</v>
      </c>
      <c r="E761" s="3">
        <f>1/CAD!C761</f>
        <v>0.98318749385507831</v>
      </c>
      <c r="F761" s="3">
        <f>EUR!B761/1</f>
        <v>1.2199</v>
      </c>
      <c r="G761" s="3">
        <f>EUR!C761/1</f>
        <v>1.2202999999999999</v>
      </c>
      <c r="H761" s="3">
        <f>GBP!B761/1</f>
        <v>1.544</v>
      </c>
      <c r="I761" s="3">
        <f>GBP!C761/1</f>
        <v>1.5439000000000001</v>
      </c>
      <c r="J761" s="4">
        <f>1/INR!B761</f>
        <v>1.8073377914332188E-2</v>
      </c>
      <c r="K761" s="4">
        <f>1/INR!C761</f>
        <v>1.7958157493041214E-2</v>
      </c>
      <c r="L761" s="4">
        <f>1/JPY!B761</f>
        <v>1.2618296529968454E-2</v>
      </c>
      <c r="M761" s="4">
        <f>1/JPY!C761</f>
        <v>1.2622947508735081E-2</v>
      </c>
      <c r="N761" s="5">
        <f>1/KRW!B761</f>
        <v>8.6926286509040327E-4</v>
      </c>
      <c r="O761" s="5">
        <f>1/KRW!C761</f>
        <v>8.6923944156581316E-4</v>
      </c>
      <c r="P761" s="3">
        <f>1/NOK!B761</f>
        <v>0.16403392221511409</v>
      </c>
      <c r="Q761" s="3">
        <f>1/NOK!C761</f>
        <v>0.16384578834401062</v>
      </c>
      <c r="R761" s="3">
        <f>NZD!B761/1</f>
        <v>0.79220000000000002</v>
      </c>
      <c r="S761" s="3">
        <f>NZD!C761/1</f>
        <v>0.79049999999999998</v>
      </c>
      <c r="T761" s="4">
        <f>1/PHP!B761</f>
        <v>2.3815194093831864E-2</v>
      </c>
      <c r="U761" s="4">
        <f>1/PHP!C761</f>
        <v>2.3778385447628107E-2</v>
      </c>
      <c r="V761" s="4">
        <f>1/TWD!B761</f>
        <v>3.3355570380253503E-2</v>
      </c>
      <c r="W761" s="4">
        <f>1/TWD!C761</f>
        <v>3.3355681640032157E-2</v>
      </c>
      <c r="X761" s="4">
        <f>1/TWD!B761</f>
        <v>3.3355570380253503E-2</v>
      </c>
      <c r="Y761" s="4">
        <f>1/TWD!C761</f>
        <v>3.3355681640032157E-2</v>
      </c>
      <c r="Z761" s="4">
        <f>1/ZAR!B761</f>
        <v>0.12014898474107893</v>
      </c>
      <c r="AA761" s="4">
        <f>1/ZAR!C761</f>
        <v>0.1195886151638364</v>
      </c>
    </row>
    <row r="762" spans="1:27" x14ac:dyDescent="0.25">
      <c r="A762" t="str">
        <f>"16/07/2012"</f>
        <v>16/07/2012</v>
      </c>
      <c r="B762" s="3">
        <f>AUD!B762</f>
        <v>1.0210999999999999</v>
      </c>
      <c r="C762" s="3">
        <f>AUD!C762</f>
        <v>1.0179</v>
      </c>
      <c r="D762" s="3">
        <f>1/CAD!B762</f>
        <v>0.98493056239535104</v>
      </c>
      <c r="E762" s="3">
        <f>1/CAD!C762</f>
        <v>0.98425196850393704</v>
      </c>
      <c r="F762" s="3">
        <f>EUR!B762/1</f>
        <v>1.2190000000000001</v>
      </c>
      <c r="G762" s="3">
        <f>EUR!C762/1</f>
        <v>1.2195</v>
      </c>
      <c r="H762" s="3">
        <f>GBP!B762/1</f>
        <v>1.5541</v>
      </c>
      <c r="I762" s="3">
        <f>GBP!C762/1</f>
        <v>1.5539000000000001</v>
      </c>
      <c r="J762" s="4">
        <f>1/INR!B762</f>
        <v>1.8063583815028903E-2</v>
      </c>
      <c r="K762" s="4">
        <f>1/INR!C762</f>
        <v>1.7940437746681019E-2</v>
      </c>
      <c r="L762" s="4">
        <f>1/JPY!B762</f>
        <v>1.2656946132037264E-2</v>
      </c>
      <c r="M762" s="4">
        <f>1/JPY!C762</f>
        <v>1.2661385180861557E-2</v>
      </c>
      <c r="N762" s="5">
        <f>1/KRW!B762</f>
        <v>8.7168758716875871E-4</v>
      </c>
      <c r="O762" s="5">
        <f>1/KRW!C762</f>
        <v>8.7166251319479129E-4</v>
      </c>
      <c r="P762" s="3">
        <f>1/NOK!B762</f>
        <v>0.16356172001504768</v>
      </c>
      <c r="Q762" s="3">
        <f>1/NOK!C762</f>
        <v>0.16336132257326755</v>
      </c>
      <c r="R762" s="3">
        <f>NZD!B762/1</f>
        <v>0.79469999999999996</v>
      </c>
      <c r="S762" s="3">
        <f>NZD!C762/1</f>
        <v>0.79290000000000005</v>
      </c>
      <c r="T762" s="4">
        <f>1/PHP!B762</f>
        <v>2.3880597014925373E-2</v>
      </c>
      <c r="U762" s="4">
        <f>1/PHP!C762</f>
        <v>2.3850410227055908E-2</v>
      </c>
      <c r="V762" s="4">
        <f>1/TWD!B762</f>
        <v>3.3311125916055964E-2</v>
      </c>
      <c r="W762" s="4">
        <f>1/TWD!C762</f>
        <v>3.3311236879536577E-2</v>
      </c>
      <c r="X762" s="4">
        <f>1/TWD!B762</f>
        <v>3.3311125916055964E-2</v>
      </c>
      <c r="Y762" s="4">
        <f>1/TWD!C762</f>
        <v>3.3311236879536577E-2</v>
      </c>
      <c r="Z762" s="4">
        <f>1/ZAR!B762</f>
        <v>0.12092922012745941</v>
      </c>
      <c r="AA762" s="4">
        <f>1/ZAR!C762</f>
        <v>0.12032970338728116</v>
      </c>
    </row>
    <row r="763" spans="1:27" x14ac:dyDescent="0.25">
      <c r="A763" t="str">
        <f>"17/07/2012"</f>
        <v>17/07/2012</v>
      </c>
      <c r="B763" s="3">
        <f>AUD!B763</f>
        <v>1.0286999999999999</v>
      </c>
      <c r="C763" s="3">
        <f>AUD!C763</f>
        <v>1.0256000000000001</v>
      </c>
      <c r="D763" s="3">
        <f>1/CAD!B763</f>
        <v>0.98599881680141988</v>
      </c>
      <c r="E763" s="3">
        <f>1/CAD!C763</f>
        <v>0.98522167487684742</v>
      </c>
      <c r="F763" s="3">
        <f>EUR!B763/1</f>
        <v>1.228</v>
      </c>
      <c r="G763" s="3">
        <f>EUR!C763/1</f>
        <v>1.2284999999999999</v>
      </c>
      <c r="H763" s="3">
        <f>GBP!B763/1</f>
        <v>1.5648</v>
      </c>
      <c r="I763" s="3">
        <f>GBP!C763/1</f>
        <v>1.5646</v>
      </c>
      <c r="J763" s="4">
        <f>1/INR!B763</f>
        <v>1.812497167973175E-2</v>
      </c>
      <c r="K763" s="4">
        <f>1/INR!C763</f>
        <v>1.8005851901868108E-2</v>
      </c>
      <c r="L763" s="4">
        <f>1/JPY!B763</f>
        <v>1.2665281929175744E-2</v>
      </c>
      <c r="M763" s="4">
        <f>1/JPY!C763</f>
        <v>1.2669566308075709E-2</v>
      </c>
      <c r="N763" s="5">
        <f>1/KRW!B763</f>
        <v>8.7427872005595392E-4</v>
      </c>
      <c r="O763" s="5">
        <f>1/KRW!C763</f>
        <v>8.7424623582355086E-4</v>
      </c>
      <c r="P763" s="3">
        <f>1/NOK!B763</f>
        <v>0.16427104722792607</v>
      </c>
      <c r="Q763" s="3">
        <f>1/NOK!C763</f>
        <v>0.16407429283979785</v>
      </c>
      <c r="R763" s="3">
        <f>NZD!B763/1</f>
        <v>0.79820000000000002</v>
      </c>
      <c r="S763" s="3">
        <f>NZD!C763/1</f>
        <v>0.79649999999999999</v>
      </c>
      <c r="T763" s="4">
        <f>1/PHP!B763</f>
        <v>2.3946360153256706E-2</v>
      </c>
      <c r="U763" s="4">
        <f>1/PHP!C763</f>
        <v>2.3912003825920611E-2</v>
      </c>
      <c r="V763" s="4">
        <f>1/TWD!B763</f>
        <v>3.3365586733842711E-2</v>
      </c>
      <c r="W763" s="4">
        <f>1/TWD!C763</f>
        <v>3.3365698060451969E-2</v>
      </c>
      <c r="X763" s="4">
        <f>1/TWD!B763</f>
        <v>3.3365586733842711E-2</v>
      </c>
      <c r="Y763" s="4">
        <f>1/TWD!C763</f>
        <v>3.3365698060451969E-2</v>
      </c>
      <c r="Z763" s="4">
        <f>1/ZAR!B763</f>
        <v>0.12208372501861776</v>
      </c>
      <c r="AA763" s="4">
        <f>1/ZAR!C763</f>
        <v>0.12149044477651834</v>
      </c>
    </row>
    <row r="764" spans="1:27" x14ac:dyDescent="0.25">
      <c r="A764" t="str">
        <f>"18/07/2012"</f>
        <v>18/07/2012</v>
      </c>
      <c r="B764" s="3">
        <f>AUD!B764</f>
        <v>1.0306999999999999</v>
      </c>
      <c r="C764" s="3">
        <f>AUD!C764</f>
        <v>1.0277000000000001</v>
      </c>
      <c r="D764" s="3">
        <f>1/CAD!B764</f>
        <v>0.98755678451510964</v>
      </c>
      <c r="E764" s="3">
        <f>1/CAD!C764</f>
        <v>0.98677718571146622</v>
      </c>
      <c r="F764" s="3">
        <f>EUR!B764/1</f>
        <v>1.2282</v>
      </c>
      <c r="G764" s="3">
        <f>EUR!C764/1</f>
        <v>1.2285999999999999</v>
      </c>
      <c r="H764" s="3">
        <f>GBP!B764/1</f>
        <v>1.5642</v>
      </c>
      <c r="I764" s="3">
        <f>GBP!C764/1</f>
        <v>1.5640000000000001</v>
      </c>
      <c r="J764" s="4">
        <f>1/INR!B764</f>
        <v>1.8083182640144666E-2</v>
      </c>
      <c r="K764" s="4">
        <f>1/INR!C764</f>
        <v>1.7964609718853858E-2</v>
      </c>
      <c r="L764" s="4">
        <f>1/JPY!B764</f>
        <v>1.2658179779064131E-2</v>
      </c>
      <c r="M764" s="4">
        <f>1/JPY!C764</f>
        <v>1.2662170751905025E-2</v>
      </c>
      <c r="N764" s="5">
        <f>1/KRW!B764</f>
        <v>8.751203290452437E-4</v>
      </c>
      <c r="O764" s="5">
        <f>1/KRW!C764</f>
        <v>8.7508816513263716E-4</v>
      </c>
      <c r="P764" s="3">
        <f>1/NOK!B764</f>
        <v>0.16435474327789101</v>
      </c>
      <c r="Q764" s="3">
        <f>1/NOK!C764</f>
        <v>0.16416317819912993</v>
      </c>
      <c r="R764" s="3">
        <f>NZD!B764/1</f>
        <v>0.79620000000000002</v>
      </c>
      <c r="S764" s="3">
        <f>NZD!C764/1</f>
        <v>0.79449999999999998</v>
      </c>
      <c r="T764" s="4">
        <f>1/PHP!B764</f>
        <v>2.3992322456813819E-2</v>
      </c>
      <c r="U764" s="4">
        <f>1/PHP!C764</f>
        <v>2.3943493355680592E-2</v>
      </c>
      <c r="V764" s="4">
        <f>1/TWD!B764</f>
        <v>3.335334534053766E-2</v>
      </c>
      <c r="W764" s="4">
        <f>1/TWD!C764</f>
        <v>3.335334534053766E-2</v>
      </c>
      <c r="X764" s="4">
        <f>1/TWD!B764</f>
        <v>3.335334534053766E-2</v>
      </c>
      <c r="Y764" s="4">
        <f>1/TWD!C764</f>
        <v>3.335334534053766E-2</v>
      </c>
      <c r="Z764" s="4">
        <f>1/ZAR!B764</f>
        <v>0.12218217362086872</v>
      </c>
      <c r="AA764" s="4">
        <f>1/ZAR!C764</f>
        <v>0.12161011796181441</v>
      </c>
    </row>
    <row r="765" spans="1:27" x14ac:dyDescent="0.25">
      <c r="A765" t="str">
        <f>"19/07/2012"</f>
        <v>19/07/2012</v>
      </c>
      <c r="B765" s="3">
        <f>AUD!B765</f>
        <v>1.042</v>
      </c>
      <c r="C765" s="3">
        <f>AUD!C765</f>
        <v>1.0389999999999999</v>
      </c>
      <c r="D765" s="3">
        <f>1/CAD!B765</f>
        <v>0.99186669311644515</v>
      </c>
      <c r="E765" s="3">
        <f>1/CAD!C765</f>
        <v>0.99117851124987622</v>
      </c>
      <c r="F765" s="3">
        <f>EUR!B765/1</f>
        <v>1.2302</v>
      </c>
      <c r="G765" s="3">
        <f>EUR!C765/1</f>
        <v>1.2306999999999999</v>
      </c>
      <c r="H765" s="3">
        <f>GBP!B765/1</f>
        <v>1.5681</v>
      </c>
      <c r="I765" s="3">
        <f>GBP!C765/1</f>
        <v>1.5680000000000001</v>
      </c>
      <c r="J765" s="4">
        <f>1/INR!B765</f>
        <v>1.811922449719152E-2</v>
      </c>
      <c r="K765" s="4">
        <f>1/INR!C765</f>
        <v>1.8003420649923486E-2</v>
      </c>
      <c r="L765" s="4">
        <f>1/JPY!B765</f>
        <v>1.2722678683660772E-2</v>
      </c>
      <c r="M765" s="4">
        <f>1/JPY!C765</f>
        <v>1.2726726635002572E-2</v>
      </c>
      <c r="N765" s="5">
        <f>1/KRW!B765</f>
        <v>8.7772808861542775E-4</v>
      </c>
      <c r="O765" s="5">
        <f>1/KRW!C765</f>
        <v>8.7770959924657408E-4</v>
      </c>
      <c r="P765" s="3">
        <f>1/NOK!B765</f>
        <v>0.16437635610493787</v>
      </c>
      <c r="Q765" s="3">
        <f>1/NOK!C765</f>
        <v>0.16418743637736841</v>
      </c>
      <c r="R765" s="3">
        <f>NZD!B765/1</f>
        <v>0.80449999999999999</v>
      </c>
      <c r="S765" s="3">
        <f>NZD!C765/1</f>
        <v>0.80279999999999996</v>
      </c>
      <c r="T765" s="4">
        <f>1/PHP!B765</f>
        <v>2.3963575365444526E-2</v>
      </c>
      <c r="U765" s="4">
        <f>1/PHP!C765</f>
        <v>2.3926306974518481E-2</v>
      </c>
      <c r="V765" s="4">
        <f>1/TWD!B765</f>
        <v>3.3366700033366704E-2</v>
      </c>
      <c r="W765" s="4">
        <f>1/TWD!C765</f>
        <v>3.3366811367405297E-2</v>
      </c>
      <c r="X765" s="4">
        <f>1/TWD!B765</f>
        <v>3.3366700033366704E-2</v>
      </c>
      <c r="Y765" s="4">
        <f>1/TWD!C765</f>
        <v>3.3366811367405297E-2</v>
      </c>
      <c r="Z765" s="4">
        <f>1/ZAR!B765</f>
        <v>0.12269336474283471</v>
      </c>
      <c r="AA765" s="4">
        <f>1/ZAR!C765</f>
        <v>0.12213740458015267</v>
      </c>
    </row>
    <row r="766" spans="1:27" x14ac:dyDescent="0.25">
      <c r="A766" t="str">
        <f>"20/07/2012"</f>
        <v>20/07/2012</v>
      </c>
      <c r="B766" s="3">
        <f>AUD!B766</f>
        <v>1.0405</v>
      </c>
      <c r="C766" s="3">
        <f>AUD!C766</f>
        <v>1.0374000000000001</v>
      </c>
      <c r="D766" s="3">
        <f>1/CAD!B766</f>
        <v>0.99137503717656394</v>
      </c>
      <c r="E766" s="3">
        <f>1/CAD!C766</f>
        <v>0.99068753715078262</v>
      </c>
      <c r="F766" s="3">
        <f>EUR!B766/1</f>
        <v>1.2231000000000001</v>
      </c>
      <c r="G766" s="3">
        <f>EUR!C766/1</f>
        <v>1.2235</v>
      </c>
      <c r="H766" s="3">
        <f>GBP!B766/1</f>
        <v>1.5699000000000001</v>
      </c>
      <c r="I766" s="3">
        <f>GBP!C766/1</f>
        <v>1.5697000000000001</v>
      </c>
      <c r="J766" s="4">
        <f>1/INR!B766</f>
        <v>1.8094634940740071E-2</v>
      </c>
      <c r="K766" s="4">
        <f>1/INR!C766</f>
        <v>1.7978336104993484E-2</v>
      </c>
      <c r="L766" s="4">
        <f>1/JPY!B766</f>
        <v>1.273244673062599E-2</v>
      </c>
      <c r="M766" s="4">
        <f>1/JPY!C766</f>
        <v>1.2736614455038476E-2</v>
      </c>
      <c r="N766" s="5">
        <f>1/KRW!B766</f>
        <v>8.7619381407167264E-4</v>
      </c>
      <c r="O766" s="5">
        <f>1/KRW!C766</f>
        <v>8.7617538928472542E-4</v>
      </c>
      <c r="P766" s="3">
        <f>1/NOK!B766</f>
        <v>0.16475007413753337</v>
      </c>
      <c r="Q766" s="3">
        <f>1/NOK!C766</f>
        <v>0.16456029489204843</v>
      </c>
      <c r="R766" s="3">
        <f>NZD!B766/1</f>
        <v>0.8014</v>
      </c>
      <c r="S766" s="3">
        <f>NZD!C766/1</f>
        <v>0.79969999999999997</v>
      </c>
      <c r="T766" s="4">
        <f>1/PHP!B766</f>
        <v>2.3852116875372691E-2</v>
      </c>
      <c r="U766" s="4">
        <f>1/PHP!C766</f>
        <v>2.3812358614120729E-2</v>
      </c>
      <c r="V766" s="4">
        <f>1/TWD!B766</f>
        <v>3.3328889481402481E-2</v>
      </c>
      <c r="W766" s="4">
        <f>1/TWD!C766</f>
        <v>3.332900056326011E-2</v>
      </c>
      <c r="X766" s="4">
        <f>1/TWD!B766</f>
        <v>3.3328889481402481E-2</v>
      </c>
      <c r="Y766" s="4">
        <f>1/TWD!C766</f>
        <v>3.332900056326011E-2</v>
      </c>
      <c r="Z766" s="4">
        <f>1/ZAR!B766</f>
        <v>0.12118861796500073</v>
      </c>
      <c r="AA766" s="4">
        <f>1/ZAR!C766</f>
        <v>0.12067093037287316</v>
      </c>
    </row>
    <row r="767" spans="1:27" x14ac:dyDescent="0.25">
      <c r="A767" t="str">
        <f>"23/07/2012"</f>
        <v>23/07/2012</v>
      </c>
      <c r="B767" s="3">
        <f>AUD!B767</f>
        <v>1.0287999999999999</v>
      </c>
      <c r="C767" s="3">
        <f>AUD!C767</f>
        <v>1.0256000000000001</v>
      </c>
      <c r="D767" s="3">
        <f>1/CAD!B767</f>
        <v>0.98415510284420826</v>
      </c>
      <c r="E767" s="3">
        <f>1/CAD!C767</f>
        <v>0.98347757671125102</v>
      </c>
      <c r="F767" s="3">
        <f>EUR!B767/1</f>
        <v>1.2121999999999999</v>
      </c>
      <c r="G767" s="3">
        <f>EUR!C767/1</f>
        <v>1.2126999999999999</v>
      </c>
      <c r="H767" s="3">
        <f>GBP!B767/1</f>
        <v>1.5541</v>
      </c>
      <c r="I767" s="3">
        <f>GBP!C767/1</f>
        <v>1.5539000000000001</v>
      </c>
      <c r="J767" s="4">
        <f>1/INR!B767</f>
        <v>1.788428865241885E-2</v>
      </c>
      <c r="K767" s="4">
        <f>1/INR!C767</f>
        <v>1.7762778098494605E-2</v>
      </c>
      <c r="L767" s="4">
        <f>1/JPY!B767</f>
        <v>1.2797166195517663E-2</v>
      </c>
      <c r="M767" s="4">
        <f>1/JPY!C767</f>
        <v>1.2802408901258862E-2</v>
      </c>
      <c r="N767" s="5">
        <f>1/KRW!B767</f>
        <v>8.7206767245138215E-4</v>
      </c>
      <c r="O767" s="5">
        <f>1/KRW!C767</f>
        <v>8.7204828008097843E-4</v>
      </c>
      <c r="P767" s="3">
        <f>1/NOK!B767</f>
        <v>0.16453863367118599</v>
      </c>
      <c r="Q767" s="3">
        <f>1/NOK!C767</f>
        <v>0.16433853738701726</v>
      </c>
      <c r="R767" s="3">
        <f>NZD!B767/1</f>
        <v>0.79159999999999997</v>
      </c>
      <c r="S767" s="3">
        <f>NZD!C767/1</f>
        <v>0.78979999999999995</v>
      </c>
      <c r="T767" s="4">
        <f>1/PHP!B767</f>
        <v>2.3769907297361541E-2</v>
      </c>
      <c r="U767" s="4">
        <f>1/PHP!C767</f>
        <v>2.3738872403560832E-2</v>
      </c>
      <c r="V767" s="4">
        <f>1/TWD!B767</f>
        <v>3.3244680851063829E-2</v>
      </c>
      <c r="W767" s="4">
        <f>1/TWD!C767</f>
        <v>3.3244680851063829E-2</v>
      </c>
      <c r="X767" s="4">
        <f>1/TWD!B767</f>
        <v>3.3244680851063829E-2</v>
      </c>
      <c r="Y767" s="4">
        <f>1/TWD!C767</f>
        <v>3.3244680851063829E-2</v>
      </c>
      <c r="Z767" s="4">
        <f>1/ZAR!B767</f>
        <v>0.11902778108410503</v>
      </c>
      <c r="AA767" s="4">
        <f>1/ZAR!C767</f>
        <v>0.11848762396767658</v>
      </c>
    </row>
    <row r="768" spans="1:27" x14ac:dyDescent="0.25">
      <c r="A768" t="str">
        <f>"24/07/2012"</f>
        <v>24/07/2012</v>
      </c>
      <c r="B768" s="3">
        <f>AUD!B768</f>
        <v>1.0289999999999999</v>
      </c>
      <c r="C768" s="3">
        <f>AUD!C768</f>
        <v>1.0259</v>
      </c>
      <c r="D768" s="3">
        <f>1/CAD!B768</f>
        <v>0.98145058396309759</v>
      </c>
      <c r="E768" s="3">
        <f>1/CAD!C768</f>
        <v>0.98077677520596307</v>
      </c>
      <c r="F768" s="3">
        <f>EUR!B768/1</f>
        <v>1.2110000000000001</v>
      </c>
      <c r="G768" s="3">
        <f>EUR!C768/1</f>
        <v>1.2114</v>
      </c>
      <c r="H768" s="3">
        <f>GBP!B768/1</f>
        <v>1.5509999999999999</v>
      </c>
      <c r="I768" s="3">
        <f>GBP!C768/1</f>
        <v>1.5508</v>
      </c>
      <c r="J768" s="4">
        <f>1/INR!B768</f>
        <v>1.7849174475680501E-2</v>
      </c>
      <c r="K768" s="4">
        <f>1/INR!C768</f>
        <v>1.7732854546260585E-2</v>
      </c>
      <c r="L768" s="4">
        <f>1/JPY!B768</f>
        <v>1.2775307884920028E-2</v>
      </c>
      <c r="M768" s="4">
        <f>1/JPY!C768</f>
        <v>1.2779732366844772E-2</v>
      </c>
      <c r="N768" s="5">
        <f>1/KRW!B768</f>
        <v>8.7237197941202136E-4</v>
      </c>
      <c r="O768" s="5">
        <f>1/KRW!C768</f>
        <v>8.7235295400519045E-4</v>
      </c>
      <c r="P768" s="3">
        <f>1/NOK!B768</f>
        <v>0.1641982200912942</v>
      </c>
      <c r="Q768" s="3">
        <f>1/NOK!C768</f>
        <v>0.16400164001640016</v>
      </c>
      <c r="R768" s="3">
        <f>NZD!B768/1</f>
        <v>0.79020000000000001</v>
      </c>
      <c r="S768" s="3">
        <f>NZD!C768/1</f>
        <v>0.78849999999999998</v>
      </c>
      <c r="T768" s="4">
        <f>1/PHP!B768</f>
        <v>2.3786869647954331E-2</v>
      </c>
      <c r="U768" s="4">
        <f>1/PHP!C768</f>
        <v>2.3764258555133082E-2</v>
      </c>
      <c r="V768" s="4">
        <f>1/TWD!B768</f>
        <v>3.3227006911217438E-2</v>
      </c>
      <c r="W768" s="4">
        <f>1/TWD!C768</f>
        <v>3.3227006911217438E-2</v>
      </c>
      <c r="X768" s="4">
        <f>1/TWD!B768</f>
        <v>3.3227006911217438E-2</v>
      </c>
      <c r="Y768" s="4">
        <f>1/TWD!C768</f>
        <v>3.3227006911217438E-2</v>
      </c>
      <c r="Z768" s="4">
        <f>1/ZAR!B768</f>
        <v>0.1182522320108792</v>
      </c>
      <c r="AA768" s="4">
        <f>1/ZAR!C768</f>
        <v>0.11773154852305773</v>
      </c>
    </row>
    <row r="769" spans="1:27" x14ac:dyDescent="0.25">
      <c r="A769" t="str">
        <f>"25/07/2012"</f>
        <v>25/07/2012</v>
      </c>
      <c r="B769" s="3">
        <f>AUD!B769</f>
        <v>1.0266</v>
      </c>
      <c r="C769" s="3">
        <f>AUD!C769</f>
        <v>1.0236000000000001</v>
      </c>
      <c r="D769" s="3">
        <f>1/CAD!B769</f>
        <v>0.9810654370646521</v>
      </c>
      <c r="E769" s="3">
        <f>1/CAD!C769</f>
        <v>0.98039215686274506</v>
      </c>
      <c r="F769" s="3">
        <f>EUR!B769/1</f>
        <v>1.2123999999999999</v>
      </c>
      <c r="G769" s="3">
        <f>EUR!C769/1</f>
        <v>1.2128000000000001</v>
      </c>
      <c r="H769" s="3">
        <f>GBP!B769/1</f>
        <v>1.5492999999999999</v>
      </c>
      <c r="I769" s="3">
        <f>GBP!C769/1</f>
        <v>1.5490999999999999</v>
      </c>
      <c r="J769" s="4">
        <f>1/INR!B769</f>
        <v>1.7779358165170237E-2</v>
      </c>
      <c r="K769" s="4">
        <f>1/INR!C769</f>
        <v>1.7663943475380878E-2</v>
      </c>
      <c r="L769" s="4">
        <f>1/JPY!B769</f>
        <v>1.2780369352674292E-2</v>
      </c>
      <c r="M769" s="4">
        <f>1/JPY!C769</f>
        <v>1.2784977140460872E-2</v>
      </c>
      <c r="N769" s="5">
        <f>1/KRW!B769</f>
        <v>8.687342541916428E-4</v>
      </c>
      <c r="O769" s="5">
        <f>1/KRW!C769</f>
        <v>8.6871576445467029E-4</v>
      </c>
      <c r="P769" s="3">
        <f>1/NOK!B769</f>
        <v>0.16434934095914275</v>
      </c>
      <c r="Q769" s="3">
        <f>1/NOK!C769</f>
        <v>0.16416048328846281</v>
      </c>
      <c r="R769" s="3">
        <f>NZD!B769/1</f>
        <v>0.78549999999999998</v>
      </c>
      <c r="S769" s="3">
        <f>NZD!C769/1</f>
        <v>0.78390000000000004</v>
      </c>
      <c r="T769" s="4">
        <f>1/PHP!B769</f>
        <v>2.3759741494012544E-2</v>
      </c>
      <c r="U769" s="4">
        <f>1/PHP!C769</f>
        <v>2.3720290336353717E-2</v>
      </c>
      <c r="V769" s="4">
        <f>1/TWD!B769</f>
        <v>3.3178500331785002E-2</v>
      </c>
      <c r="W769" s="4">
        <f>1/TWD!C769</f>
        <v>3.3178500331785002E-2</v>
      </c>
      <c r="X769" s="4">
        <f>1/TWD!B769</f>
        <v>3.3178500331785002E-2</v>
      </c>
      <c r="Y769" s="4">
        <f>1/TWD!C769</f>
        <v>3.3178500331785002E-2</v>
      </c>
      <c r="Z769" s="4">
        <f>1/ZAR!B769</f>
        <v>0.11837961976466131</v>
      </c>
      <c r="AA769" s="4">
        <f>1/ZAR!C769</f>
        <v>0.11787448724598049</v>
      </c>
    </row>
    <row r="770" spans="1:27" x14ac:dyDescent="0.25">
      <c r="A770" t="str">
        <f>"26/07/2012"</f>
        <v>26/07/2012</v>
      </c>
      <c r="B770" s="3">
        <f>AUD!B770</f>
        <v>1.0366</v>
      </c>
      <c r="C770" s="3">
        <f>AUD!C770</f>
        <v>1.0336000000000001</v>
      </c>
      <c r="D770" s="3">
        <f>1/CAD!B770</f>
        <v>0.98794704603833239</v>
      </c>
      <c r="E770" s="3">
        <f>1/CAD!C770</f>
        <v>0.98736176935229081</v>
      </c>
      <c r="F770" s="3">
        <f>EUR!B770/1</f>
        <v>1.2182999999999999</v>
      </c>
      <c r="G770" s="3">
        <f>EUR!C770/1</f>
        <v>1.2186999999999999</v>
      </c>
      <c r="H770" s="3">
        <f>GBP!B770/1</f>
        <v>1.5553999999999999</v>
      </c>
      <c r="I770" s="3">
        <f>GBP!C770/1</f>
        <v>1.5551999999999999</v>
      </c>
      <c r="J770" s="4">
        <f>1/INR!B770</f>
        <v>1.7882689556509297E-2</v>
      </c>
      <c r="K770" s="4">
        <f>1/INR!C770</f>
        <v>1.7769090666785125E-2</v>
      </c>
      <c r="L770" s="4">
        <f>1/JPY!B770</f>
        <v>1.279885322275124E-2</v>
      </c>
      <c r="M770" s="4">
        <f>1/JPY!C770</f>
        <v>1.2803097325304939E-2</v>
      </c>
      <c r="N770" s="5">
        <f>1/KRW!B770</f>
        <v>8.7183958151700091E-4</v>
      </c>
      <c r="O770" s="5">
        <f>1/KRW!C770</f>
        <v>8.7181411876810922E-4</v>
      </c>
      <c r="P770" s="3">
        <f>1/NOK!B770</f>
        <v>0.16481524211359067</v>
      </c>
      <c r="Q770" s="3">
        <f>1/NOK!C770</f>
        <v>0.16462260268334844</v>
      </c>
      <c r="R770" s="3">
        <f>NZD!B770/1</f>
        <v>0.79500000000000004</v>
      </c>
      <c r="S770" s="3">
        <f>NZD!C770/1</f>
        <v>0.79330000000000001</v>
      </c>
      <c r="T770" s="4">
        <f>1/PHP!B770</f>
        <v>2.3744509082274722E-2</v>
      </c>
      <c r="U770" s="4">
        <f>1/PHP!C770</f>
        <v>2.3707918444760549E-2</v>
      </c>
      <c r="V770" s="4">
        <f>1/TWD!B770</f>
        <v>3.318400530944085E-2</v>
      </c>
      <c r="W770" s="4">
        <f>1/TWD!C770</f>
        <v>3.318400530944085E-2</v>
      </c>
      <c r="X770" s="4">
        <f>1/TWD!B770</f>
        <v>3.318400530944085E-2</v>
      </c>
      <c r="Y770" s="4">
        <f>1/TWD!C770</f>
        <v>3.318400530944085E-2</v>
      </c>
      <c r="Z770" s="4">
        <f>1/ZAR!B770</f>
        <v>0.1196386911527188</v>
      </c>
      <c r="AA770" s="4">
        <f>1/ZAR!C770</f>
        <v>0.11913413312048034</v>
      </c>
    </row>
    <row r="771" spans="1:27" x14ac:dyDescent="0.25">
      <c r="A771" t="str">
        <f>"27/07/2012"</f>
        <v>27/07/2012</v>
      </c>
      <c r="B771" s="3">
        <f>AUD!B771</f>
        <v>1.0415000000000001</v>
      </c>
      <c r="C771" s="3">
        <f>AUD!C771</f>
        <v>1.0385</v>
      </c>
      <c r="D771" s="3">
        <f>1/CAD!B771</f>
        <v>0.99166997223324083</v>
      </c>
      <c r="E771" s="3">
        <f>1/CAD!C771</f>
        <v>0.99098206322465554</v>
      </c>
      <c r="F771" s="3">
        <f>EUR!B771/1</f>
        <v>1.2287999999999999</v>
      </c>
      <c r="G771" s="3">
        <f>EUR!C771/1</f>
        <v>1.2291000000000001</v>
      </c>
      <c r="H771" s="3">
        <f>GBP!B771/1</f>
        <v>1.5679000000000001</v>
      </c>
      <c r="I771" s="3">
        <f>GBP!C771/1</f>
        <v>1.5678000000000001</v>
      </c>
      <c r="J771" s="4">
        <f>1/INR!B771</f>
        <v>1.7996940520111582E-2</v>
      </c>
      <c r="K771" s="4">
        <f>1/INR!C771</f>
        <v>1.7883489068717309E-2</v>
      </c>
      <c r="L771" s="4">
        <f>1/JPY!B771</f>
        <v>1.2778654535463962E-2</v>
      </c>
      <c r="M771" s="4">
        <f>1/JPY!C771</f>
        <v>1.2782819890067748E-2</v>
      </c>
      <c r="N771" s="5">
        <f>1/KRW!B771</f>
        <v>8.7734690296543255E-4</v>
      </c>
      <c r="O771" s="5">
        <f>1/KRW!C771</f>
        <v>8.7732727509605641E-4</v>
      </c>
      <c r="P771" s="3">
        <f>1/NOK!B771</f>
        <v>0.16608260948996031</v>
      </c>
      <c r="Q771" s="3">
        <f>1/NOK!C771</f>
        <v>0.16588699777711424</v>
      </c>
      <c r="R771" s="3">
        <f>NZD!B771/1</f>
        <v>0.80210000000000004</v>
      </c>
      <c r="S771" s="3">
        <f>NZD!C771/1</f>
        <v>0.80049999999999999</v>
      </c>
      <c r="T771" s="4">
        <f>1/PHP!B771</f>
        <v>2.3849272597185785E-2</v>
      </c>
      <c r="U771" s="4">
        <f>1/PHP!C771</f>
        <v>2.3820867079561697E-2</v>
      </c>
      <c r="V771" s="4">
        <f>1/TWD!B771</f>
        <v>3.3241365555297012E-2</v>
      </c>
      <c r="W771" s="4">
        <f>1/TWD!C771</f>
        <v>3.3241365555297012E-2</v>
      </c>
      <c r="X771" s="4">
        <f>1/TWD!B771</f>
        <v>3.3241365555297012E-2</v>
      </c>
      <c r="Y771" s="4">
        <f>1/TWD!C771</f>
        <v>3.3241365555297012E-2</v>
      </c>
      <c r="Z771" s="4">
        <f>1/ZAR!B771</f>
        <v>0.12110349504686704</v>
      </c>
      <c r="AA771" s="4">
        <f>1/ZAR!C771</f>
        <v>0.12053566047515157</v>
      </c>
    </row>
    <row r="772" spans="1:27" x14ac:dyDescent="0.25">
      <c r="A772" t="str">
        <f>"30/07/2012"</f>
        <v>30/07/2012</v>
      </c>
      <c r="B772" s="3">
        <f>AUD!B772</f>
        <v>1.0496000000000001</v>
      </c>
      <c r="C772" s="3">
        <f>AUD!C772</f>
        <v>1.0463</v>
      </c>
      <c r="D772" s="3">
        <f>1/CAD!B772</f>
        <v>0.9963136395337252</v>
      </c>
      <c r="E772" s="3">
        <f>1/CAD!C772</f>
        <v>0.99571841083341639</v>
      </c>
      <c r="F772" s="3">
        <f>EUR!B772/1</f>
        <v>1.2273000000000001</v>
      </c>
      <c r="G772" s="3">
        <f>EUR!C772/1</f>
        <v>1.2278</v>
      </c>
      <c r="H772" s="3">
        <f>GBP!B772/1</f>
        <v>1.57</v>
      </c>
      <c r="I772" s="3">
        <f>GBP!C772/1</f>
        <v>1.5698000000000001</v>
      </c>
      <c r="J772" s="4">
        <f>1/INR!B772</f>
        <v>1.803751803751804E-2</v>
      </c>
      <c r="K772" s="4">
        <f>1/INR!C772</f>
        <v>1.7916330735465377E-2</v>
      </c>
      <c r="L772" s="4">
        <f>1/JPY!B772</f>
        <v>1.2782819890067748E-2</v>
      </c>
      <c r="M772" s="4">
        <f>1/JPY!C772</f>
        <v>1.2787069715104089E-2</v>
      </c>
      <c r="N772" s="5">
        <f>1/KRW!B772</f>
        <v>8.7888908419757425E-4</v>
      </c>
      <c r="O772" s="5">
        <f>1/KRW!C772</f>
        <v>8.7886089082218758E-4</v>
      </c>
      <c r="P772" s="3">
        <f>1/NOK!B772</f>
        <v>0.16479079808183511</v>
      </c>
      <c r="Q772" s="3">
        <f>1/NOK!C772</f>
        <v>0.16458467058378182</v>
      </c>
      <c r="R772" s="3">
        <f>NZD!B772/1</f>
        <v>0.80920000000000003</v>
      </c>
      <c r="S772" s="3">
        <f>NZD!C772/1</f>
        <v>0.80730000000000002</v>
      </c>
      <c r="T772" s="4">
        <f>1/PHP!B772</f>
        <v>2.3860653781913627E-2</v>
      </c>
      <c r="U772" s="4">
        <f>1/PHP!C772</f>
        <v>2.3837902264600714E-2</v>
      </c>
      <c r="V772" s="4">
        <f>1/TWD!B772</f>
        <v>3.3254630707325997E-2</v>
      </c>
      <c r="W772" s="4">
        <f>1/TWD!C772</f>
        <v>3.3254630707325997E-2</v>
      </c>
      <c r="X772" s="4">
        <f>1/TWD!B772</f>
        <v>3.3254630707325997E-2</v>
      </c>
      <c r="Y772" s="4">
        <f>1/TWD!C772</f>
        <v>3.3254630707325997E-2</v>
      </c>
      <c r="Z772" s="4">
        <f>1/ZAR!B772</f>
        <v>0.12207627325553007</v>
      </c>
      <c r="AA772" s="4">
        <f>1/ZAR!C772</f>
        <v>0.12150373016451606</v>
      </c>
    </row>
    <row r="773" spans="1:27" x14ac:dyDescent="0.25">
      <c r="A773" t="str">
        <f>"31/07/2012"</f>
        <v>31/07/2012</v>
      </c>
      <c r="B773" s="3">
        <f>AUD!B773</f>
        <v>1.0525</v>
      </c>
      <c r="C773" s="3">
        <f>AUD!C773</f>
        <v>1.0492999999999999</v>
      </c>
      <c r="D773" s="3">
        <f>1/CAD!B773</f>
        <v>0.99880143827407097</v>
      </c>
      <c r="E773" s="3">
        <f>1/CAD!C773</f>
        <v>0.99810360315400737</v>
      </c>
      <c r="F773" s="3">
        <f>EUR!B773/1</f>
        <v>1.2286999999999999</v>
      </c>
      <c r="G773" s="3">
        <f>EUR!C773/1</f>
        <v>1.2292000000000001</v>
      </c>
      <c r="H773" s="3">
        <f>GBP!B773/1</f>
        <v>1.5691999999999999</v>
      </c>
      <c r="I773" s="3">
        <f>GBP!C773/1</f>
        <v>1.5690999999999999</v>
      </c>
      <c r="J773" s="4">
        <f>1/INR!B773</f>
        <v>1.7998560115190784E-2</v>
      </c>
      <c r="K773" s="4">
        <f>1/INR!C773</f>
        <v>1.7876296031462281E-2</v>
      </c>
      <c r="L773" s="4">
        <f>1/JPY!B773</f>
        <v>1.2779634374660542E-2</v>
      </c>
      <c r="M773" s="4">
        <f>1/JPY!C773</f>
        <v>1.278355523454628E-2</v>
      </c>
      <c r="N773" s="5">
        <f>1/KRW!B773</f>
        <v>8.8432967810399721E-4</v>
      </c>
      <c r="O773" s="5">
        <f>1/KRW!C773</f>
        <v>8.8430152559699192E-4</v>
      </c>
      <c r="P773" s="3">
        <f>1/NOK!B773</f>
        <v>0.16554920950252464</v>
      </c>
      <c r="Q773" s="3">
        <f>1/NOK!C773</f>
        <v>0.16534664925015294</v>
      </c>
      <c r="R773" s="3">
        <f>NZD!B773/1</f>
        <v>0.80930000000000002</v>
      </c>
      <c r="S773" s="3">
        <f>NZD!C773/1</f>
        <v>0.8075</v>
      </c>
      <c r="T773" s="4">
        <f>1/PHP!B773</f>
        <v>2.3969319271332695E-2</v>
      </c>
      <c r="U773" s="4">
        <f>1/PHP!C773</f>
        <v>2.3947507064514581E-2</v>
      </c>
      <c r="V773" s="4">
        <f>1/TWD!B773</f>
        <v>3.3357795716859026E-2</v>
      </c>
      <c r="W773" s="4">
        <f>1/TWD!C773</f>
        <v>3.3357795716859026E-2</v>
      </c>
      <c r="X773" s="4">
        <f>1/TWD!B773</f>
        <v>3.3357795716859026E-2</v>
      </c>
      <c r="Y773" s="4">
        <f>1/TWD!C773</f>
        <v>3.3357795716859026E-2</v>
      </c>
      <c r="Z773" s="4">
        <f>1/ZAR!B773</f>
        <v>0.12195121951219513</v>
      </c>
      <c r="AA773" s="4">
        <f>1/ZAR!C773</f>
        <v>0.12138868657441128</v>
      </c>
    </row>
    <row r="774" spans="1:27" x14ac:dyDescent="0.25">
      <c r="A774" t="str">
        <f>"01/08/2012"</f>
        <v>01/08/2012</v>
      </c>
      <c r="B774" s="3">
        <f>AUD!B774</f>
        <v>1.0504</v>
      </c>
      <c r="C774" s="3">
        <f>AUD!C774</f>
        <v>1.0472999999999999</v>
      </c>
      <c r="D774" s="3">
        <f>1/CAD!B774</f>
        <v>0.99790440075840736</v>
      </c>
      <c r="E774" s="3">
        <f>1/CAD!C774</f>
        <v>0.99730727037000111</v>
      </c>
      <c r="F774" s="3">
        <f>EUR!B774/1</f>
        <v>1.2311000000000001</v>
      </c>
      <c r="G774" s="3">
        <f>EUR!C774/1</f>
        <v>1.2316</v>
      </c>
      <c r="H774" s="3">
        <f>GBP!B774/1</f>
        <v>1.5668</v>
      </c>
      <c r="I774" s="3">
        <f>GBP!C774/1</f>
        <v>1.5668</v>
      </c>
      <c r="J774" s="4">
        <f>1/INR!B774</f>
        <v>1.8021265092809515E-2</v>
      </c>
      <c r="K774" s="4">
        <f>1/INR!C774</f>
        <v>1.790189760114572E-2</v>
      </c>
      <c r="L774" s="4">
        <f>1/JPY!B774</f>
        <v>1.2796478409141804E-2</v>
      </c>
      <c r="M774" s="4">
        <f>1/JPY!C774</f>
        <v>1.2800622622284348E-2</v>
      </c>
      <c r="N774" s="5">
        <f>1/KRW!B774</f>
        <v>8.874689385871495E-4</v>
      </c>
      <c r="O774" s="5">
        <f>1/KRW!C774</f>
        <v>8.8744767386652961E-4</v>
      </c>
      <c r="P774" s="3">
        <f>1/NOK!B774</f>
        <v>0.16579348763180582</v>
      </c>
      <c r="Q774" s="3">
        <f>1/NOK!C774</f>
        <v>0.1655958137378287</v>
      </c>
      <c r="R774" s="3">
        <f>NZD!B774/1</f>
        <v>0.81179999999999997</v>
      </c>
      <c r="S774" s="3">
        <f>NZD!C774/1</f>
        <v>0.81010000000000004</v>
      </c>
      <c r="T774" s="4">
        <f>1/PHP!B774</f>
        <v>2.3940627244433802E-2</v>
      </c>
      <c r="U774" s="4">
        <f>1/PHP!C774</f>
        <v>2.3923444976076555E-2</v>
      </c>
      <c r="V774" s="4">
        <f>1/TWD!B774</f>
        <v>3.3372267645586519E-2</v>
      </c>
      <c r="W774" s="4">
        <f>1/TWD!C774</f>
        <v>3.3372267645586519E-2</v>
      </c>
      <c r="X774" s="4">
        <f>1/TWD!B774</f>
        <v>3.3372267645586519E-2</v>
      </c>
      <c r="Y774" s="4">
        <f>1/TWD!C774</f>
        <v>3.3372267645586519E-2</v>
      </c>
      <c r="Z774" s="4">
        <f>1/ZAR!B774</f>
        <v>0.12119889951399242</v>
      </c>
      <c r="AA774" s="4">
        <f>1/ZAR!C774</f>
        <v>0.12065345913467339</v>
      </c>
    </row>
    <row r="775" spans="1:27" x14ac:dyDescent="0.25">
      <c r="A775" t="str">
        <f>"02/08/2012"</f>
        <v>02/08/2012</v>
      </c>
      <c r="B775" s="3">
        <f>AUD!B775</f>
        <v>1.0512999999999999</v>
      </c>
      <c r="C775" s="3">
        <f>AUD!C775</f>
        <v>1.0483</v>
      </c>
      <c r="D775" s="3">
        <f>1/CAD!B775</f>
        <v>0.99651220727453904</v>
      </c>
      <c r="E775" s="3">
        <f>1/CAD!C775</f>
        <v>0.99581756622186812</v>
      </c>
      <c r="F775" s="3">
        <f>EUR!B775/1</f>
        <v>1.2263999999999999</v>
      </c>
      <c r="G775" s="3">
        <f>EUR!C775/1</f>
        <v>1.2269000000000001</v>
      </c>
      <c r="H775" s="3">
        <f>GBP!B775/1</f>
        <v>1.5561</v>
      </c>
      <c r="I775" s="3">
        <f>GBP!C775/1</f>
        <v>1.556</v>
      </c>
      <c r="J775" s="4">
        <f>1/INR!B775</f>
        <v>1.7908309455587391E-2</v>
      </c>
      <c r="K775" s="4">
        <f>1/INR!C775</f>
        <v>1.7795177506895632E-2</v>
      </c>
      <c r="L775" s="4">
        <f>1/JPY!B775</f>
        <v>1.2788296151362273E-2</v>
      </c>
      <c r="M775" s="4">
        <f>1/JPY!C775</f>
        <v>1.2792385971869545E-2</v>
      </c>
      <c r="N775" s="5">
        <f>1/KRW!B775</f>
        <v>8.8347027122537324E-4</v>
      </c>
      <c r="O775" s="5">
        <f>1/KRW!C775</f>
        <v>8.8344373435200285E-4</v>
      </c>
      <c r="P775" s="3">
        <f>1/NOK!B775</f>
        <v>0.16586223482775209</v>
      </c>
      <c r="Q775" s="3">
        <f>1/NOK!C775</f>
        <v>0.1656671415791392</v>
      </c>
      <c r="R775" s="3">
        <f>NZD!B775/1</f>
        <v>0.81220000000000003</v>
      </c>
      <c r="S775" s="3">
        <f>NZD!C775/1</f>
        <v>0.81040000000000001</v>
      </c>
      <c r="T775" s="4">
        <f>1/PHP!B775</f>
        <v>2.3923444976076555E-2</v>
      </c>
      <c r="U775" s="4">
        <f>1/PHP!C775</f>
        <v>2.390057361376673E-2</v>
      </c>
      <c r="V775" s="4">
        <f>1/TWD!B775</f>
        <v>3.3338889814969158E-2</v>
      </c>
      <c r="W775" s="4">
        <f>1/TWD!C775</f>
        <v>3.3338889814969158E-2</v>
      </c>
      <c r="X775" s="4">
        <f>1/TWD!B775</f>
        <v>3.3338889814969158E-2</v>
      </c>
      <c r="Y775" s="4">
        <f>1/TWD!C775</f>
        <v>3.3338889814969158E-2</v>
      </c>
      <c r="Z775" s="4">
        <f>1/ZAR!B775</f>
        <v>0.12006243246488173</v>
      </c>
      <c r="AA775" s="4">
        <f>1/ZAR!C775</f>
        <v>0.11954429713930496</v>
      </c>
    </row>
    <row r="776" spans="1:27" x14ac:dyDescent="0.25">
      <c r="A776" t="str">
        <f>"03/08/2012"</f>
        <v>03/08/2012</v>
      </c>
      <c r="B776" s="3">
        <f>AUD!B776</f>
        <v>1.0521</v>
      </c>
      <c r="C776" s="3">
        <f>AUD!C776</f>
        <v>1.0488999999999999</v>
      </c>
      <c r="D776" s="3">
        <f>1/CAD!B776</f>
        <v>0.99790440075840736</v>
      </c>
      <c r="E776" s="3">
        <f>1/CAD!C776</f>
        <v>0.99730727037000111</v>
      </c>
      <c r="F776" s="3">
        <f>EUR!B776/1</f>
        <v>1.2277</v>
      </c>
      <c r="G776" s="3">
        <f>EUR!C776/1</f>
        <v>1.2281</v>
      </c>
      <c r="H776" s="3">
        <f>GBP!B776/1</f>
        <v>1.5576000000000001</v>
      </c>
      <c r="I776" s="3">
        <f>GBP!C776/1</f>
        <v>1.5575000000000001</v>
      </c>
      <c r="J776" s="4">
        <f>1/INR!B776</f>
        <v>1.7929179740026894E-2</v>
      </c>
      <c r="K776" s="4">
        <f>1/INR!C776</f>
        <v>1.7812611328820806E-2</v>
      </c>
      <c r="L776" s="4">
        <f>1/JPY!B776</f>
        <v>1.2777021803987708E-2</v>
      </c>
      <c r="M776" s="4">
        <f>1/JPY!C776</f>
        <v>1.278121876589664E-2</v>
      </c>
      <c r="N776" s="5">
        <f>1/KRW!B776</f>
        <v>8.81057268722467E-4</v>
      </c>
      <c r="O776" s="5">
        <f>1/KRW!C776</f>
        <v>8.810374744884586E-4</v>
      </c>
      <c r="P776" s="3">
        <f>1/NOK!B776</f>
        <v>0.16636167027116952</v>
      </c>
      <c r="Q776" s="3">
        <f>1/NOK!C776</f>
        <v>0.16615711817094245</v>
      </c>
      <c r="R776" s="3">
        <f>NZD!B776/1</f>
        <v>0.81440000000000001</v>
      </c>
      <c r="S776" s="3">
        <f>NZD!C776/1</f>
        <v>0.81269999999999998</v>
      </c>
      <c r="T776" s="4">
        <f>1/PHP!B776</f>
        <v>2.3932033026205578E-2</v>
      </c>
      <c r="U776" s="4">
        <f>1/PHP!C776</f>
        <v>2.3903430142225408E-2</v>
      </c>
      <c r="V776" s="4">
        <f>1/TWD!B776</f>
        <v>3.3345560038680847E-2</v>
      </c>
      <c r="W776" s="4">
        <f>1/TWD!C776</f>
        <v>3.3345560038680847E-2</v>
      </c>
      <c r="X776" s="4">
        <f>1/TWD!B776</f>
        <v>3.3345560038680847E-2</v>
      </c>
      <c r="Y776" s="4">
        <f>1/TWD!C776</f>
        <v>3.3345560038680847E-2</v>
      </c>
      <c r="Z776" s="4">
        <f>1/ZAR!B776</f>
        <v>0.12119743061447098</v>
      </c>
      <c r="AA776" s="4">
        <f>1/ZAR!C776</f>
        <v>0.12067384273784815</v>
      </c>
    </row>
    <row r="777" spans="1:27" x14ac:dyDescent="0.25">
      <c r="A777" t="str">
        <f>"06/08/2012"</f>
        <v>06/08/2012</v>
      </c>
      <c r="B777" s="3">
        <f>AUD!B777</f>
        <v>1.0547</v>
      </c>
      <c r="C777" s="3">
        <f>AUD!C777</f>
        <v>1.0515000000000001</v>
      </c>
      <c r="D777" s="3">
        <f>1/CAD!B777</f>
        <v>0.99880143827407097</v>
      </c>
      <c r="E777" s="3">
        <f>1/CAD!C777</f>
        <v>0.99820323417847867</v>
      </c>
      <c r="F777" s="3">
        <f>EUR!B777/1</f>
        <v>1.2358</v>
      </c>
      <c r="G777" s="3">
        <f>EUR!C777/1</f>
        <v>1.2362</v>
      </c>
      <c r="H777" s="3">
        <f>GBP!B777/1</f>
        <v>1.5557000000000001</v>
      </c>
      <c r="I777" s="3">
        <f>GBP!C777/1</f>
        <v>1.5555000000000001</v>
      </c>
      <c r="J777" s="4">
        <f>1/INR!B777</f>
        <v>1.8021265092809515E-2</v>
      </c>
      <c r="K777" s="4">
        <f>1/INR!C777</f>
        <v>1.7895490336435216E-2</v>
      </c>
      <c r="L777" s="4">
        <f>1/JPY!B777</f>
        <v>1.2768212258760589E-2</v>
      </c>
      <c r="M777" s="4">
        <f>1/JPY!C777</f>
        <v>1.2772158737497654E-2</v>
      </c>
      <c r="N777" s="5">
        <f>1/KRW!B777</f>
        <v>8.8542588985301919E-4</v>
      </c>
      <c r="O777" s="5">
        <f>1/KRW!C777</f>
        <v>8.8539061220333881E-4</v>
      </c>
      <c r="P777" s="3">
        <f>1/NOK!B777</f>
        <v>0.16691147015622915</v>
      </c>
      <c r="Q777" s="3">
        <f>1/NOK!C777</f>
        <v>0.16669444907484582</v>
      </c>
      <c r="R777" s="3">
        <f>NZD!B777/1</f>
        <v>0.81720000000000004</v>
      </c>
      <c r="S777" s="3">
        <f>NZD!C777/1</f>
        <v>0.81540000000000001</v>
      </c>
      <c r="T777" s="4">
        <f>1/PHP!B777</f>
        <v>2.3889154323936932E-2</v>
      </c>
      <c r="U777" s="4">
        <f>1/PHP!C777</f>
        <v>2.386634844868735E-2</v>
      </c>
      <c r="V777" s="4">
        <f>1/TWD!B777</f>
        <v>3.3373381391002536E-2</v>
      </c>
      <c r="W777" s="4">
        <f>1/TWD!C777</f>
        <v>3.3373381391002536E-2</v>
      </c>
      <c r="X777" s="4">
        <f>1/TWD!B777</f>
        <v>3.3373381391002536E-2</v>
      </c>
      <c r="Y777" s="4">
        <f>1/TWD!C777</f>
        <v>3.3373381391002536E-2</v>
      </c>
      <c r="Z777" s="4">
        <f>1/ZAR!B777</f>
        <v>0.12199436386038964</v>
      </c>
      <c r="AA777" s="4">
        <f>1/ZAR!C777</f>
        <v>0.12143585758002623</v>
      </c>
    </row>
    <row r="778" spans="1:27" x14ac:dyDescent="0.25">
      <c r="A778" t="str">
        <f>"07/08/2012"</f>
        <v>07/08/2012</v>
      </c>
      <c r="B778" s="3">
        <f>AUD!B778</f>
        <v>1.0587</v>
      </c>
      <c r="C778" s="3">
        <f>AUD!C778</f>
        <v>1.0556000000000001</v>
      </c>
      <c r="D778" s="3">
        <f>1/CAD!B778</f>
        <v>1.001903616872057</v>
      </c>
      <c r="E778" s="3">
        <f>1/CAD!C778</f>
        <v>1.0012014417300761</v>
      </c>
      <c r="F778" s="3">
        <f>EUR!B778/1</f>
        <v>1.2418</v>
      </c>
      <c r="G778" s="3">
        <f>EUR!C778/1</f>
        <v>1.2422</v>
      </c>
      <c r="H778" s="3">
        <f>GBP!B778/1</f>
        <v>1.5656000000000001</v>
      </c>
      <c r="I778" s="3">
        <f>GBP!C778/1</f>
        <v>1.5653999999999999</v>
      </c>
      <c r="J778" s="4">
        <f>1/INR!B778</f>
        <v>1.811922449719152E-2</v>
      </c>
      <c r="K778" s="4">
        <f>1/INR!C778</f>
        <v>1.800018000180002E-2</v>
      </c>
      <c r="L778" s="4">
        <f>1/JPY!B778</f>
        <v>1.2769924274349054E-2</v>
      </c>
      <c r="M778" s="4">
        <f>1/JPY!C778</f>
        <v>1.2773545476376606E-2</v>
      </c>
      <c r="N778" s="5">
        <f>1/KRW!B778</f>
        <v>8.8581805297191952E-4</v>
      </c>
      <c r="O778" s="5">
        <f>1/KRW!C778</f>
        <v>8.8578352867812755E-4</v>
      </c>
      <c r="P778" s="3">
        <f>1/NOK!B778</f>
        <v>0.16864259574683371</v>
      </c>
      <c r="Q778" s="3">
        <f>1/NOK!C778</f>
        <v>0.16843239965639789</v>
      </c>
      <c r="R778" s="3">
        <f>NZD!B778/1</f>
        <v>0.82069999999999999</v>
      </c>
      <c r="S778" s="3">
        <f>NZD!C778/1</f>
        <v>0.81889999999999996</v>
      </c>
      <c r="T778" s="4">
        <f>1/PHP!B778</f>
        <v>2.3940627244433802E-2</v>
      </c>
      <c r="U778" s="4">
        <f>1/PHP!C778</f>
        <v>2.3923444976076555E-2</v>
      </c>
      <c r="V778" s="4">
        <f>1/TWD!B778</f>
        <v>3.3394556687259977E-2</v>
      </c>
      <c r="W778" s="4">
        <f>1/TWD!C778</f>
        <v>3.3394556687259977E-2</v>
      </c>
      <c r="X778" s="4">
        <f>1/TWD!B778</f>
        <v>3.3394556687259977E-2</v>
      </c>
      <c r="Y778" s="4">
        <f>1/TWD!C778</f>
        <v>3.3394556687259977E-2</v>
      </c>
      <c r="Z778" s="4">
        <f>1/ZAR!B778</f>
        <v>0.12221801249068087</v>
      </c>
      <c r="AA778" s="4">
        <f>1/ZAR!C778</f>
        <v>0.12168410805548796</v>
      </c>
    </row>
    <row r="779" spans="1:27" x14ac:dyDescent="0.25">
      <c r="A779" t="str">
        <f>"08/08/2012"</f>
        <v>08/08/2012</v>
      </c>
      <c r="B779" s="3">
        <f>AUD!B779</f>
        <v>1.0568</v>
      </c>
      <c r="C779" s="3">
        <f>AUD!C779</f>
        <v>1.0538000000000001</v>
      </c>
      <c r="D779" s="3">
        <f>1/CAD!B779</f>
        <v>1.0033109260559847</v>
      </c>
      <c r="E779" s="3">
        <f>1/CAD!C779</f>
        <v>1.002707309736288</v>
      </c>
      <c r="F779" s="3">
        <f>EUR!B779/1</f>
        <v>1.2363</v>
      </c>
      <c r="G779" s="3">
        <f>EUR!C779/1</f>
        <v>1.2366999999999999</v>
      </c>
      <c r="H779" s="3">
        <f>GBP!B779/1</f>
        <v>1.5651999999999999</v>
      </c>
      <c r="I779" s="3">
        <f>GBP!C779/1</f>
        <v>1.5649999999999999</v>
      </c>
      <c r="J779" s="4">
        <f>1/INR!B779</f>
        <v>1.811922449719152E-2</v>
      </c>
      <c r="K779" s="4">
        <f>1/INR!C779</f>
        <v>1.8003420649923486E-2</v>
      </c>
      <c r="L779" s="4">
        <f>1/JPY!B779</f>
        <v>1.2776450446536943E-2</v>
      </c>
      <c r="M779" s="4">
        <f>1/JPY!C779</f>
        <v>1.2780075351324272E-2</v>
      </c>
      <c r="N779" s="5">
        <f>1/KRW!B779</f>
        <v>8.8613203367301726E-4</v>
      </c>
      <c r="O779" s="5">
        <f>1/KRW!C779</f>
        <v>8.8611201076094432E-4</v>
      </c>
      <c r="P779" s="3">
        <f>1/NOK!B779</f>
        <v>0.16935948243742166</v>
      </c>
      <c r="Q779" s="3">
        <f>1/NOK!C779</f>
        <v>0.16915608031530693</v>
      </c>
      <c r="R779" s="3">
        <f>NZD!B779/1</f>
        <v>0.81540000000000001</v>
      </c>
      <c r="S779" s="3">
        <f>NZD!C779/1</f>
        <v>0.81369999999999998</v>
      </c>
      <c r="T779" s="4">
        <f>1/PHP!B779</f>
        <v>2.3932033026205578E-2</v>
      </c>
      <c r="U779" s="4">
        <f>1/PHP!C779</f>
        <v>2.3914863087408825E-2</v>
      </c>
      <c r="V779" s="4">
        <f>1/TWD!B779</f>
        <v>3.334444814938313E-2</v>
      </c>
      <c r="W779" s="4">
        <f>1/TWD!C779</f>
        <v>3.334444814938313E-2</v>
      </c>
      <c r="X779" s="4">
        <f>1/TWD!B779</f>
        <v>3.334444814938313E-2</v>
      </c>
      <c r="Y779" s="4">
        <f>1/TWD!C779</f>
        <v>3.334444814938313E-2</v>
      </c>
      <c r="Z779" s="4">
        <f>1/ZAR!B779</f>
        <v>0.12199287561606402</v>
      </c>
      <c r="AA779" s="4">
        <f>1/ZAR!C779</f>
        <v>0.12146093209119287</v>
      </c>
    </row>
    <row r="780" spans="1:27" x14ac:dyDescent="0.25">
      <c r="A780" t="str">
        <f>"09/08/2012"</f>
        <v>09/08/2012</v>
      </c>
      <c r="B780" s="3">
        <f>AUD!B780</f>
        <v>1.0577000000000001</v>
      </c>
      <c r="C780" s="3">
        <f>AUD!C780</f>
        <v>1.0546</v>
      </c>
      <c r="D780" s="3">
        <f>1/CAD!B780</f>
        <v>1.0057326762546515</v>
      </c>
      <c r="E780" s="3">
        <f>1/CAD!C780</f>
        <v>1.0050251256281406</v>
      </c>
      <c r="F780" s="3">
        <f>EUR!B780/1</f>
        <v>1.2310000000000001</v>
      </c>
      <c r="G780" s="3">
        <f>EUR!C780/1</f>
        <v>1.2313000000000001</v>
      </c>
      <c r="H780" s="3">
        <f>GBP!B780/1</f>
        <v>1.5650999999999999</v>
      </c>
      <c r="I780" s="3">
        <f>GBP!C780/1</f>
        <v>1.5648</v>
      </c>
      <c r="J780" s="4">
        <f>1/INR!B780</f>
        <v>1.8060321473722232E-2</v>
      </c>
      <c r="K780" s="4">
        <f>1/INR!C780</f>
        <v>1.7943656917279744E-2</v>
      </c>
      <c r="L780" s="4">
        <f>1/JPY!B780</f>
        <v>1.2739664946811897E-2</v>
      </c>
      <c r="M780" s="4">
        <f>1/JPY!C780</f>
        <v>1.2742716900155715E-2</v>
      </c>
      <c r="N780" s="5">
        <f>1/KRW!B780</f>
        <v>8.8841506751954522E-4</v>
      </c>
      <c r="O780" s="5">
        <f>1/KRW!C780</f>
        <v>8.8838823276482406E-4</v>
      </c>
      <c r="P780" s="3">
        <f>1/NOK!B780</f>
        <v>0.16911889058007779</v>
      </c>
      <c r="Q780" s="3">
        <f>1/NOK!C780</f>
        <v>0.1689160656069999</v>
      </c>
      <c r="R780" s="3">
        <f>NZD!B780/1</f>
        <v>0.81240000000000001</v>
      </c>
      <c r="S780" s="3">
        <f>NZD!C780/1</f>
        <v>0.81069999999999998</v>
      </c>
      <c r="T780" s="4">
        <f>1/PHP!B780</f>
        <v>2.3934897079942556E-2</v>
      </c>
      <c r="U780" s="4">
        <f>1/PHP!C780</f>
        <v>2.3924589693286757E-2</v>
      </c>
      <c r="V780" s="4">
        <f>1/TWD!B780</f>
        <v>3.3400133600534399E-2</v>
      </c>
      <c r="W780" s="4">
        <f>1/TWD!C780</f>
        <v>3.3400133600534399E-2</v>
      </c>
      <c r="X780" s="4">
        <f>1/TWD!B780</f>
        <v>3.3400133600534399E-2</v>
      </c>
      <c r="Y780" s="4">
        <f>1/TWD!C780</f>
        <v>3.3400133600534399E-2</v>
      </c>
      <c r="Z780" s="4">
        <f>1/ZAR!B780</f>
        <v>0.12329392037678623</v>
      </c>
      <c r="AA780" s="4">
        <f>1/ZAR!C780</f>
        <v>0.12275360895610331</v>
      </c>
    </row>
    <row r="781" spans="1:27" x14ac:dyDescent="0.25">
      <c r="A781" t="str">
        <f>"10/08/2012"</f>
        <v>10/08/2012</v>
      </c>
      <c r="B781" s="3">
        <f>AUD!B781</f>
        <v>1.0523</v>
      </c>
      <c r="C781" s="3">
        <f>AUD!C781</f>
        <v>1.0492999999999999</v>
      </c>
      <c r="D781" s="3">
        <f>1/CAD!B781</f>
        <v>1.0067451927917044</v>
      </c>
      <c r="E781" s="3">
        <f>1/CAD!C781</f>
        <v>1.006137438374082</v>
      </c>
      <c r="F781" s="3">
        <f>EUR!B781/1</f>
        <v>1.2272000000000001</v>
      </c>
      <c r="G781" s="3">
        <f>EUR!C781/1</f>
        <v>1.2275</v>
      </c>
      <c r="H781" s="3">
        <f>GBP!B781/1</f>
        <v>1.5605</v>
      </c>
      <c r="I781" s="3">
        <f>GBP!C781/1</f>
        <v>1.5603</v>
      </c>
      <c r="J781" s="4">
        <f>1/INR!B781</f>
        <v>1.8067663399430868E-2</v>
      </c>
      <c r="K781" s="4">
        <f>1/INR!C781</f>
        <v>1.7950098725542991E-2</v>
      </c>
      <c r="L781" s="4">
        <f>1/JPY!B781</f>
        <v>1.2745217994208573E-2</v>
      </c>
      <c r="M781" s="4">
        <f>1/JPY!C781</f>
        <v>1.2748581401604536E-2</v>
      </c>
      <c r="N781" s="5">
        <f>1/KRW!B781</f>
        <v>8.8448611356801705E-4</v>
      </c>
      <c r="O781" s="5">
        <f>1/KRW!C781</f>
        <v>8.8445990676908125E-4</v>
      </c>
      <c r="P781" s="3">
        <f>1/NOK!B781</f>
        <v>0.16893318692457132</v>
      </c>
      <c r="Q781" s="3">
        <f>1/NOK!C781</f>
        <v>0.16873080687071845</v>
      </c>
      <c r="R781" s="3">
        <f>NZD!B781/1</f>
        <v>0.81040000000000001</v>
      </c>
      <c r="S781" s="3">
        <f>NZD!C781/1</f>
        <v>0.80869999999999997</v>
      </c>
      <c r="T781" s="4">
        <f>1/PHP!B781</f>
        <v>2.3906287353573991E-2</v>
      </c>
      <c r="U781" s="4">
        <f>1/PHP!C781</f>
        <v>2.387774594078319E-2</v>
      </c>
      <c r="V781" s="4">
        <f>1/TWD!B781</f>
        <v>3.3372267645586519E-2</v>
      </c>
      <c r="W781" s="4">
        <f>1/TWD!C781</f>
        <v>3.3372267645586519E-2</v>
      </c>
      <c r="X781" s="4">
        <f>1/TWD!B781</f>
        <v>3.3372267645586519E-2</v>
      </c>
      <c r="Y781" s="4">
        <f>1/TWD!C781</f>
        <v>3.3372267645586519E-2</v>
      </c>
      <c r="Z781" s="4">
        <f>1/ZAR!B781</f>
        <v>0.12304663467454165</v>
      </c>
      <c r="AA781" s="4">
        <f>1/ZAR!C781</f>
        <v>0.1225084837124971</v>
      </c>
    </row>
    <row r="782" spans="1:27" x14ac:dyDescent="0.25">
      <c r="A782" t="str">
        <f>"13/08/2012"</f>
        <v>13/08/2012</v>
      </c>
      <c r="B782" s="3">
        <f>AUD!B782</f>
        <v>1.0542</v>
      </c>
      <c r="C782" s="3">
        <f>AUD!C782</f>
        <v>1.0508999999999999</v>
      </c>
      <c r="D782" s="3">
        <f>1/CAD!B782</f>
        <v>1.0081661457808246</v>
      </c>
      <c r="E782" s="3">
        <f>1/CAD!C782</f>
        <v>1.007455168245013</v>
      </c>
      <c r="F782" s="3">
        <f>EUR!B782/1</f>
        <v>1.2275</v>
      </c>
      <c r="G782" s="3">
        <f>EUR!C782/1</f>
        <v>1.2279</v>
      </c>
      <c r="H782" s="3">
        <f>GBP!B782/1</f>
        <v>1.5663</v>
      </c>
      <c r="I782" s="3">
        <f>GBP!C782/1</f>
        <v>1.5660000000000001</v>
      </c>
      <c r="J782" s="4">
        <f>1/INR!B782</f>
        <v>1.8040772145047807E-2</v>
      </c>
      <c r="K782" s="4">
        <f>1/INR!C782</f>
        <v>1.7919541259743751E-2</v>
      </c>
      <c r="L782" s="4">
        <f>1/JPY!B782</f>
        <v>1.2771228975364299E-2</v>
      </c>
      <c r="M782" s="4">
        <f>1/JPY!C782</f>
        <v>1.2775095717404664E-2</v>
      </c>
      <c r="N782" s="5">
        <f>1/KRW!B782</f>
        <v>8.8393883143286485E-4</v>
      </c>
      <c r="O782" s="5">
        <f>1/KRW!C782</f>
        <v>8.8391851685544216E-4</v>
      </c>
      <c r="P782" s="3">
        <f>1/NOK!B782</f>
        <v>0.16888753778858659</v>
      </c>
      <c r="Q782" s="3">
        <f>1/NOK!C782</f>
        <v>0.16866819592497639</v>
      </c>
      <c r="R782" s="3">
        <f>NZD!B782/1</f>
        <v>0.81030000000000002</v>
      </c>
      <c r="S782" s="3">
        <f>NZD!C782/1</f>
        <v>0.8085</v>
      </c>
      <c r="T782" s="4">
        <f>1/PHP!B782</f>
        <v>2.3849272597185785E-2</v>
      </c>
      <c r="U782" s="4">
        <f>1/PHP!C782</f>
        <v>2.3823704586063133E-2</v>
      </c>
      <c r="V782" s="4">
        <f>1/TWD!B782</f>
        <v>3.3355570380253503E-2</v>
      </c>
      <c r="W782" s="4">
        <f>1/TWD!C782</f>
        <v>3.3355570380253503E-2</v>
      </c>
      <c r="X782" s="4">
        <f>1/TWD!B782</f>
        <v>3.3355570380253503E-2</v>
      </c>
      <c r="Y782" s="4">
        <f>1/TWD!C782</f>
        <v>3.3355570380253503E-2</v>
      </c>
      <c r="Z782" s="4">
        <f>1/ZAR!B782</f>
        <v>0.12323162616453885</v>
      </c>
      <c r="AA782" s="4">
        <f>1/ZAR!C782</f>
        <v>0.12265875108859642</v>
      </c>
    </row>
    <row r="783" spans="1:27" x14ac:dyDescent="0.25">
      <c r="A783" t="str">
        <f>"14/08/2012"</f>
        <v>14/08/2012</v>
      </c>
      <c r="B783" s="3">
        <f>AUD!B783</f>
        <v>1.0528999999999999</v>
      </c>
      <c r="C783" s="3">
        <f>AUD!C783</f>
        <v>1.0498000000000001</v>
      </c>
      <c r="D783" s="3">
        <f>1/CAD!B783</f>
        <v>1.0078613182826044</v>
      </c>
      <c r="E783" s="3">
        <f>1/CAD!C783</f>
        <v>1.0071507704703393</v>
      </c>
      <c r="F783" s="3">
        <f>EUR!B783/1</f>
        <v>1.2366999999999999</v>
      </c>
      <c r="G783" s="3">
        <f>EUR!C783/1</f>
        <v>1.2371000000000001</v>
      </c>
      <c r="H783" s="3">
        <f>GBP!B783/1</f>
        <v>1.5711999999999999</v>
      </c>
      <c r="I783" s="3">
        <f>GBP!C783/1</f>
        <v>1.5709</v>
      </c>
      <c r="J783" s="4">
        <f>1/INR!B783</f>
        <v>1.796299622777079E-2</v>
      </c>
      <c r="K783" s="4">
        <f>1/INR!C783</f>
        <v>1.7844396859386154E-2</v>
      </c>
      <c r="L783" s="4">
        <f>1/JPY!B783</f>
        <v>1.2732122508482777E-2</v>
      </c>
      <c r="M783" s="4">
        <f>1/JPY!C783</f>
        <v>1.2735430349294648E-2</v>
      </c>
      <c r="N783" s="5">
        <f>1/KRW!B783</f>
        <v>8.8495575221238937E-4</v>
      </c>
      <c r="O783" s="5">
        <f>1/KRW!C783</f>
        <v>8.849295175762488E-4</v>
      </c>
      <c r="P783" s="3">
        <f>1/NOK!B783</f>
        <v>0.16921619060511708</v>
      </c>
      <c r="Q783" s="3">
        <f>1/NOK!C783</f>
        <v>0.16900741942571279</v>
      </c>
      <c r="R783" s="3">
        <f>NZD!B783/1</f>
        <v>0.80979999999999996</v>
      </c>
      <c r="S783" s="3">
        <f>NZD!C783/1</f>
        <v>0.80810000000000004</v>
      </c>
      <c r="T783" s="4">
        <f>1/PHP!B783</f>
        <v>2.3826542768644269E-2</v>
      </c>
      <c r="U783" s="4">
        <f>1/PHP!C783</f>
        <v>2.3798191337458353E-2</v>
      </c>
      <c r="V783" s="4">
        <f>1/TWD!B783</f>
        <v>3.3383408446002336E-2</v>
      </c>
      <c r="W783" s="4">
        <f>1/TWD!C783</f>
        <v>3.3383408446002336E-2</v>
      </c>
      <c r="X783" s="4">
        <f>1/TWD!B783</f>
        <v>3.3383408446002336E-2</v>
      </c>
      <c r="Y783" s="4">
        <f>1/TWD!C783</f>
        <v>3.3383408446002336E-2</v>
      </c>
      <c r="Z783" s="4">
        <f>1/ZAR!B783</f>
        <v>0.12313299594892443</v>
      </c>
      <c r="AA783" s="4">
        <f>1/ZAR!C783</f>
        <v>0.1225820686949913</v>
      </c>
    </row>
    <row r="784" spans="1:27" x14ac:dyDescent="0.25">
      <c r="A784" t="str">
        <f>"16/08/2012"</f>
        <v>16/08/2012</v>
      </c>
      <c r="B784" s="3">
        <f>AUD!B784</f>
        <v>1.0485</v>
      </c>
      <c r="C784" s="3">
        <f>AUD!C784</f>
        <v>1.0455000000000001</v>
      </c>
      <c r="D784" s="3">
        <f>1/CAD!B784</f>
        <v>1.0111223458038423</v>
      </c>
      <c r="E784" s="3">
        <f>1/CAD!C784</f>
        <v>1.0104071940992219</v>
      </c>
      <c r="F784" s="3">
        <f>EUR!B784/1</f>
        <v>1.2273000000000001</v>
      </c>
      <c r="G784" s="3">
        <f>EUR!C784/1</f>
        <v>1.2276</v>
      </c>
      <c r="H784" s="3">
        <f>GBP!B784/1</f>
        <v>1.5691999999999999</v>
      </c>
      <c r="I784" s="3">
        <f>GBP!C784/1</f>
        <v>1.5689</v>
      </c>
      <c r="J784" s="4">
        <f>1/INR!B784</f>
        <v>1.7897091722595078E-2</v>
      </c>
      <c r="K784" s="4">
        <f>1/INR!C784</f>
        <v>1.7780148464239677E-2</v>
      </c>
      <c r="L784" s="4">
        <f>1/JPY!B784</f>
        <v>1.2621083520020194E-2</v>
      </c>
      <c r="M784" s="4">
        <f>1/JPY!C784</f>
        <v>1.2624047042248898E-2</v>
      </c>
      <c r="N784" s="5">
        <f>1/KRW!B784</f>
        <v>8.8160098739310593E-4</v>
      </c>
      <c r="O784" s="5">
        <f>1/KRW!C784</f>
        <v>8.8158116872097121E-4</v>
      </c>
      <c r="P784" s="3">
        <f>1/NOK!B784</f>
        <v>0.16743407283382167</v>
      </c>
      <c r="Q784" s="3">
        <f>1/NOK!C784</f>
        <v>0.16724086028698532</v>
      </c>
      <c r="R784" s="3">
        <f>NZD!B784/1</f>
        <v>0.80730000000000002</v>
      </c>
      <c r="S784" s="3">
        <f>NZD!C784/1</f>
        <v>0.80559999999999998</v>
      </c>
      <c r="T784" s="4">
        <f>1/PHP!B784</f>
        <v>2.3612750885478158E-2</v>
      </c>
      <c r="U784" s="4">
        <f>1/PHP!C784</f>
        <v>2.3597149464344706E-2</v>
      </c>
      <c r="V784" s="4">
        <f>1/TWD!B784</f>
        <v>3.3324446814182888E-2</v>
      </c>
      <c r="W784" s="4">
        <f>1/TWD!C784</f>
        <v>3.3324446814182888E-2</v>
      </c>
      <c r="X784" s="4">
        <f>1/TWD!B784</f>
        <v>3.3324446814182888E-2</v>
      </c>
      <c r="Y784" s="4">
        <f>1/TWD!C784</f>
        <v>3.3324446814182888E-2</v>
      </c>
      <c r="Z784" s="4">
        <f>1/ZAR!B784</f>
        <v>0.12109322967752872</v>
      </c>
      <c r="AA784" s="4">
        <f>1/ZAR!C784</f>
        <v>0.12056908608632746</v>
      </c>
    </row>
    <row r="785" spans="1:27" x14ac:dyDescent="0.25">
      <c r="A785" t="str">
        <f>"17/08/2012"</f>
        <v>17/08/2012</v>
      </c>
      <c r="B785" s="3">
        <f>AUD!B785</f>
        <v>1.0448</v>
      </c>
      <c r="C785" s="3">
        <f>AUD!C785</f>
        <v>1.0418000000000001</v>
      </c>
      <c r="D785" s="3">
        <f>1/CAD!B785</f>
        <v>1.0130685847431871</v>
      </c>
      <c r="E785" s="3">
        <f>1/CAD!C785</f>
        <v>1.0124531740407006</v>
      </c>
      <c r="F785" s="3">
        <f>EUR!B785/1</f>
        <v>1.2371000000000001</v>
      </c>
      <c r="G785" s="3">
        <f>EUR!C785/1</f>
        <v>1.2374000000000001</v>
      </c>
      <c r="H785" s="3">
        <f>GBP!B785/1</f>
        <v>1.5706</v>
      </c>
      <c r="I785" s="3">
        <f>GBP!C785/1</f>
        <v>1.5704</v>
      </c>
      <c r="J785" s="4">
        <f>1/INR!B785</f>
        <v>1.7950098725542991E-2</v>
      </c>
      <c r="K785" s="4">
        <f>1/INR!C785</f>
        <v>1.7825311942959002E-2</v>
      </c>
      <c r="L785" s="4">
        <f>1/JPY!B785</f>
        <v>1.2585740356176453E-2</v>
      </c>
      <c r="M785" s="4">
        <f>1/JPY!C785</f>
        <v>1.2588449593959558E-2</v>
      </c>
      <c r="N785" s="5">
        <f>1/KRW!B785</f>
        <v>8.8152327221438639E-4</v>
      </c>
      <c r="O785" s="5">
        <f>1/KRW!C785</f>
        <v>8.8150423408521234E-4</v>
      </c>
      <c r="P785" s="3">
        <f>1/NOK!B785</f>
        <v>0.16850619260257815</v>
      </c>
      <c r="Q785" s="3">
        <f>1/NOK!C785</f>
        <v>0.16831616508449471</v>
      </c>
      <c r="R785" s="3">
        <f>NZD!B785/1</f>
        <v>0.80789999999999995</v>
      </c>
      <c r="S785" s="3">
        <f>NZD!C785/1</f>
        <v>0.80630000000000002</v>
      </c>
      <c r="T785" s="4">
        <f>1/PHP!B785</f>
        <v>2.360439041661749E-2</v>
      </c>
      <c r="U785" s="4">
        <f>1/PHP!C785</f>
        <v>2.3586018208406057E-2</v>
      </c>
      <c r="V785" s="4">
        <f>1/TWD!B785</f>
        <v>3.3322225924691765E-2</v>
      </c>
      <c r="W785" s="4">
        <f>1/TWD!C785</f>
        <v>3.3322225924691765E-2</v>
      </c>
      <c r="X785" s="4">
        <f>1/TWD!B785</f>
        <v>3.3322225924691765E-2</v>
      </c>
      <c r="Y785" s="4">
        <f>1/TWD!C785</f>
        <v>3.3322225924691765E-2</v>
      </c>
      <c r="Z785" s="4">
        <f>1/ZAR!B785</f>
        <v>0.12063744827669404</v>
      </c>
      <c r="AA785" s="4">
        <f>1/ZAR!C785</f>
        <v>0.12011723442079468</v>
      </c>
    </row>
    <row r="786" spans="1:27" x14ac:dyDescent="0.25">
      <c r="A786" t="str">
        <f>"21/08/2012"</f>
        <v>21/08/2012</v>
      </c>
      <c r="B786" s="3">
        <f>AUD!B786</f>
        <v>1.0479000000000001</v>
      </c>
      <c r="C786" s="3">
        <f>AUD!C786</f>
        <v>1.0448</v>
      </c>
      <c r="D786" s="3">
        <f>1/CAD!B786</f>
        <v>1.0125556905629809</v>
      </c>
      <c r="E786" s="3">
        <f>1/CAD!C786</f>
        <v>1.0118385105737124</v>
      </c>
      <c r="F786" s="3">
        <f>EUR!B786/1</f>
        <v>1.2353000000000001</v>
      </c>
      <c r="G786" s="3">
        <f>EUR!C786/1</f>
        <v>1.2357</v>
      </c>
      <c r="H786" s="3">
        <f>GBP!B786/1</f>
        <v>1.5724</v>
      </c>
      <c r="I786" s="3">
        <f>GBP!C786/1</f>
        <v>1.5722</v>
      </c>
      <c r="J786" s="4">
        <f>1/INR!B786</f>
        <v>1.7995321216483715E-2</v>
      </c>
      <c r="K786" s="4">
        <f>1/INR!C786</f>
        <v>1.7874698364465098E-2</v>
      </c>
      <c r="L786" s="4">
        <f>1/JPY!B786</f>
        <v>1.2601282810590118E-2</v>
      </c>
      <c r="M786" s="4">
        <f>1/JPY!C786</f>
        <v>1.2604189380466278E-2</v>
      </c>
      <c r="N786" s="5">
        <f>1/KRW!B786</f>
        <v>8.8292424509977055E-4</v>
      </c>
      <c r="O786" s="5">
        <f>1/KRW!C786</f>
        <v>8.8290436688914374E-4</v>
      </c>
      <c r="P786" s="3">
        <f>1/NOK!B786</f>
        <v>0.16906170752324598</v>
      </c>
      <c r="Q786" s="3">
        <f>1/NOK!C786</f>
        <v>0.16885616831582859</v>
      </c>
      <c r="R786" s="3">
        <f>NZD!B786/1</f>
        <v>0.81040000000000001</v>
      </c>
      <c r="S786" s="3">
        <f>NZD!C786/1</f>
        <v>0.80869999999999997</v>
      </c>
      <c r="T786" s="4">
        <f>1/PHP!B786</f>
        <v>2.3629489603024575E-2</v>
      </c>
      <c r="U786" s="4">
        <f>1/PHP!C786</f>
        <v>2.3609963404556726E-2</v>
      </c>
      <c r="V786" s="4">
        <f>1/TWD!B786</f>
        <v>3.3374495210759934E-2</v>
      </c>
      <c r="W786" s="4">
        <f>1/TWD!C786</f>
        <v>3.3374495210759934E-2</v>
      </c>
      <c r="X786" s="4">
        <f>1/TWD!B786</f>
        <v>3.3374495210759934E-2</v>
      </c>
      <c r="Y786" s="4">
        <f>1/TWD!C786</f>
        <v>3.3374495210759934E-2</v>
      </c>
      <c r="Z786" s="4">
        <f>1/ZAR!B786</f>
        <v>0.12006387398095786</v>
      </c>
      <c r="AA786" s="4">
        <f>1/ZAR!C786</f>
        <v>0.11949572802772303</v>
      </c>
    </row>
    <row r="787" spans="1:27" x14ac:dyDescent="0.25">
      <c r="A787" t="str">
        <f>"22/08/2012"</f>
        <v>22/08/2012</v>
      </c>
      <c r="B787" s="3">
        <f>AUD!B787</f>
        <v>1.0437000000000001</v>
      </c>
      <c r="C787" s="3">
        <f>AUD!C787</f>
        <v>1.0407</v>
      </c>
      <c r="D787" s="3">
        <f>1/CAD!B787</f>
        <v>1.0075566750629723</v>
      </c>
      <c r="E787" s="3">
        <f>1/CAD!C787</f>
        <v>1.006947940791461</v>
      </c>
      <c r="F787" s="3">
        <f>EUR!B787/1</f>
        <v>1.2444</v>
      </c>
      <c r="G787" s="3">
        <f>EUR!C787/1</f>
        <v>1.2446999999999999</v>
      </c>
      <c r="H787" s="3">
        <f>GBP!B787/1</f>
        <v>1.5782</v>
      </c>
      <c r="I787" s="3">
        <f>GBP!C787/1</f>
        <v>1.5781000000000001</v>
      </c>
      <c r="J787" s="4">
        <f>1/INR!B787</f>
        <v>1.8018829677012477E-2</v>
      </c>
      <c r="K787" s="4">
        <f>1/INR!C787</f>
        <v>1.7898693395382137E-2</v>
      </c>
      <c r="L787" s="4">
        <f>1/JPY!B787</f>
        <v>1.2619331554007584E-2</v>
      </c>
      <c r="M787" s="4">
        <f>1/JPY!C787</f>
        <v>1.2621880029030324E-2</v>
      </c>
      <c r="N787" s="5">
        <f>1/KRW!B787</f>
        <v>8.8028169014084509E-4</v>
      </c>
      <c r="O787" s="5">
        <f>1/KRW!C787</f>
        <v>8.8026270560185985E-4</v>
      </c>
      <c r="P787" s="3">
        <f>1/NOK!B787</f>
        <v>0.16931933626820184</v>
      </c>
      <c r="Q787" s="3">
        <f>1/NOK!C787</f>
        <v>0.16912747137517548</v>
      </c>
      <c r="R787" s="3">
        <f>NZD!B787/1</f>
        <v>0.80910000000000004</v>
      </c>
      <c r="S787" s="3">
        <f>NZD!C787/1</f>
        <v>0.80740000000000001</v>
      </c>
      <c r="T787" s="4">
        <f>1/PHP!B787</f>
        <v>2.3646252069047056E-2</v>
      </c>
      <c r="U787" s="4">
        <f>1/PHP!C787</f>
        <v>2.3623907394283016E-2</v>
      </c>
      <c r="V787" s="4">
        <f>1/TWD!B787</f>
        <v>3.3340001333600051E-2</v>
      </c>
      <c r="W787" s="4">
        <f>1/TWD!C787</f>
        <v>3.3340001333600051E-2</v>
      </c>
      <c r="X787" s="4">
        <f>1/TWD!B787</f>
        <v>3.3340001333600051E-2</v>
      </c>
      <c r="Y787" s="4">
        <f>1/TWD!C787</f>
        <v>3.3340001333600051E-2</v>
      </c>
      <c r="Z787" s="4">
        <f>1/ZAR!B787</f>
        <v>0.120305093717668</v>
      </c>
      <c r="AA787" s="4">
        <f>1/ZAR!C787</f>
        <v>0.11977195419920472</v>
      </c>
    </row>
    <row r="788" spans="1:27" x14ac:dyDescent="0.25">
      <c r="A788" t="str">
        <f>"23/08/2012"</f>
        <v>23/08/2012</v>
      </c>
      <c r="B788" s="3">
        <f>AUD!B788</f>
        <v>1.0481</v>
      </c>
      <c r="C788" s="3">
        <f>AUD!C788</f>
        <v>1.0450999999999999</v>
      </c>
      <c r="D788" s="3">
        <f>1/CAD!B788</f>
        <v>1.0090817356205852</v>
      </c>
      <c r="E788" s="3">
        <f>1/CAD!C788</f>
        <v>1.008471157724889</v>
      </c>
      <c r="F788" s="3">
        <f>EUR!B788/1</f>
        <v>1.2557</v>
      </c>
      <c r="G788" s="3">
        <f>EUR!C788/1</f>
        <v>1.2561</v>
      </c>
      <c r="H788" s="3">
        <f>GBP!B788/1</f>
        <v>1.5869</v>
      </c>
      <c r="I788" s="3">
        <f>GBP!C788/1</f>
        <v>1.5867</v>
      </c>
      <c r="J788" s="4">
        <f>1/INR!B788</f>
        <v>1.8102824040550324E-2</v>
      </c>
      <c r="K788" s="4">
        <f>1/INR!C788</f>
        <v>1.7982377270275129E-2</v>
      </c>
      <c r="L788" s="4">
        <f>1/JPY!B788</f>
        <v>1.2719086260843022E-2</v>
      </c>
      <c r="M788" s="4">
        <f>1/JPY!C788</f>
        <v>1.2721448616796893E-2</v>
      </c>
      <c r="N788" s="5">
        <f>1/KRW!B788</f>
        <v>8.8440788891836907E-4</v>
      </c>
      <c r="O788" s="5">
        <f>1/KRW!C788</f>
        <v>8.8437425657289059E-4</v>
      </c>
      <c r="P788" s="3">
        <f>1/NOK!B788</f>
        <v>0.17090803438669652</v>
      </c>
      <c r="Q788" s="3">
        <f>1/NOK!C788</f>
        <v>0.17071838295547664</v>
      </c>
      <c r="R788" s="3">
        <f>NZD!B788/1</f>
        <v>0.81610000000000005</v>
      </c>
      <c r="S788" s="3">
        <f>NZD!C788/1</f>
        <v>0.81440000000000001</v>
      </c>
      <c r="T788" s="4">
        <f>1/PHP!B788</f>
        <v>2.3733238400379733E-2</v>
      </c>
      <c r="U788" s="4">
        <f>1/PHP!C788</f>
        <v>2.3718039941179263E-2</v>
      </c>
      <c r="V788" s="4">
        <f>1/TWD!B788</f>
        <v>3.3388981636060099E-2</v>
      </c>
      <c r="W788" s="4">
        <f>1/TWD!C788</f>
        <v>3.3388981636060099E-2</v>
      </c>
      <c r="X788" s="4">
        <f>1/TWD!B788</f>
        <v>3.3388981636060099E-2</v>
      </c>
      <c r="Y788" s="4">
        <f>1/TWD!C788</f>
        <v>3.3388981636060099E-2</v>
      </c>
      <c r="Z788" s="4">
        <f>1/ZAR!B788</f>
        <v>0.12085322375974379</v>
      </c>
      <c r="AA788" s="4">
        <f>1/ZAR!C788</f>
        <v>0.12033115132845591</v>
      </c>
    </row>
    <row r="789" spans="1:27" x14ac:dyDescent="0.25">
      <c r="A789" t="str">
        <f>"24/08/2012"</f>
        <v>24/08/2012</v>
      </c>
      <c r="B789" s="3">
        <f>AUD!B789</f>
        <v>1.0388999999999999</v>
      </c>
      <c r="C789" s="3">
        <f>AUD!C789</f>
        <v>1.0359</v>
      </c>
      <c r="D789" s="3">
        <f>1/CAD!B789</f>
        <v>1.0058338362502515</v>
      </c>
      <c r="E789" s="3">
        <f>1/CAD!C789</f>
        <v>1.0052271813429834</v>
      </c>
      <c r="F789" s="3">
        <f>EUR!B789/1</f>
        <v>1.2503</v>
      </c>
      <c r="G789" s="3">
        <f>EUR!C789/1</f>
        <v>1.2506999999999999</v>
      </c>
      <c r="H789" s="3">
        <f>GBP!B789/1</f>
        <v>1.583</v>
      </c>
      <c r="I789" s="3">
        <f>GBP!C789/1</f>
        <v>1.5828</v>
      </c>
      <c r="J789" s="4">
        <f>1/INR!B789</f>
        <v>1.8018018018018018E-2</v>
      </c>
      <c r="K789" s="4">
        <f>1/INR!C789</f>
        <v>1.7899494339284915E-2</v>
      </c>
      <c r="L789" s="4">
        <f>1/JPY!B789</f>
        <v>1.2742830564953393E-2</v>
      </c>
      <c r="M789" s="4">
        <f>1/JPY!C789</f>
        <v>1.2745282970772516E-2</v>
      </c>
      <c r="N789" s="5">
        <f>1/KRW!B789</f>
        <v>8.8160098739310593E-4</v>
      </c>
      <c r="O789" s="5">
        <f>1/KRW!C789</f>
        <v>8.8157572845704415E-4</v>
      </c>
      <c r="P789" s="3">
        <f>1/NOK!B789</f>
        <v>0.17122114923635368</v>
      </c>
      <c r="Q789" s="3">
        <f>1/NOK!C789</f>
        <v>0.17102787754403967</v>
      </c>
      <c r="R789" s="3">
        <f>NZD!B789/1</f>
        <v>0.80969999999999998</v>
      </c>
      <c r="S789" s="3">
        <f>NZD!C789/1</f>
        <v>0.80800000000000005</v>
      </c>
      <c r="T789" s="4">
        <f>1/PHP!B789</f>
        <v>2.3674242424242424E-2</v>
      </c>
      <c r="U789" s="4">
        <f>1/PHP!C789</f>
        <v>2.3651844843897825E-2</v>
      </c>
      <c r="V789" s="4">
        <f>1/TWD!B789</f>
        <v>3.3336667000033335E-2</v>
      </c>
      <c r="W789" s="4">
        <f>1/TWD!C789</f>
        <v>3.3336667000033335E-2</v>
      </c>
      <c r="X789" s="4">
        <f>1/TWD!B789</f>
        <v>3.3336667000033335E-2</v>
      </c>
      <c r="Y789" s="4">
        <f>1/TWD!C789</f>
        <v>3.3336667000033335E-2</v>
      </c>
      <c r="Z789" s="4">
        <f>1/ZAR!B789</f>
        <v>0.1187338225166821</v>
      </c>
      <c r="AA789" s="4">
        <f>1/ZAR!C789</f>
        <v>0.11822427144292723</v>
      </c>
    </row>
    <row r="790" spans="1:27" x14ac:dyDescent="0.25">
      <c r="A790" t="str">
        <f>"27/08/2012"</f>
        <v>27/08/2012</v>
      </c>
      <c r="B790" s="3">
        <f>AUD!B790</f>
        <v>1.0390999999999999</v>
      </c>
      <c r="C790" s="3">
        <f>AUD!C790</f>
        <v>1.0362</v>
      </c>
      <c r="D790" s="3">
        <f>1/CAD!B790</f>
        <v>1.0088781275221954</v>
      </c>
      <c r="E790" s="3">
        <f>1/CAD!C790</f>
        <v>1.008267795926598</v>
      </c>
      <c r="F790" s="3">
        <f>EUR!B790/1</f>
        <v>1.2509999999999999</v>
      </c>
      <c r="G790" s="3">
        <f>EUR!C790/1</f>
        <v>1.2513000000000001</v>
      </c>
      <c r="H790" s="3">
        <f>GBP!B790/1</f>
        <v>1.5809</v>
      </c>
      <c r="I790" s="3">
        <f>GBP!C790/1</f>
        <v>1.5807</v>
      </c>
      <c r="J790" s="4">
        <f>1/INR!B790</f>
        <v>1.7980760586172793E-2</v>
      </c>
      <c r="K790" s="4">
        <f>1/INR!C790</f>
        <v>1.7865916298182145E-2</v>
      </c>
      <c r="L790" s="4">
        <f>1/JPY!B790</f>
        <v>1.2694382735639479E-2</v>
      </c>
      <c r="M790" s="4">
        <f>1/JPY!C790</f>
        <v>1.2696929374600046E-2</v>
      </c>
      <c r="N790" s="5">
        <f>1/KRW!B790</f>
        <v>8.8121254846669017E-4</v>
      </c>
      <c r="O790" s="5">
        <f>1/KRW!C790</f>
        <v>8.8118808827566031E-4</v>
      </c>
      <c r="P790" s="3">
        <f>1/NOK!B790</f>
        <v>0.17144718569444684</v>
      </c>
      <c r="Q790" s="3">
        <f>1/NOK!C790</f>
        <v>0.17125633648444993</v>
      </c>
      <c r="R790" s="3">
        <f>NZD!B790/1</f>
        <v>0.81030000000000002</v>
      </c>
      <c r="S790" s="3">
        <f>NZD!C790/1</f>
        <v>0.80869999999999997</v>
      </c>
      <c r="T790" s="4">
        <f>1/PHP!B790</f>
        <v>2.3668639053254437E-2</v>
      </c>
      <c r="U790" s="4">
        <f>1/PHP!C790</f>
        <v>2.3649607416516887E-2</v>
      </c>
      <c r="V790" s="4">
        <f>1/TWD!B790</f>
        <v>3.3392326443383309E-2</v>
      </c>
      <c r="W790" s="4">
        <f>1/TWD!C790</f>
        <v>3.3392326443383309E-2</v>
      </c>
      <c r="X790" s="4">
        <f>1/TWD!B790</f>
        <v>3.3392326443383309E-2</v>
      </c>
      <c r="Y790" s="4">
        <f>1/TWD!C790</f>
        <v>3.3392326443383309E-2</v>
      </c>
      <c r="Z790" s="4">
        <f>1/ZAR!B790</f>
        <v>0.11892303301303397</v>
      </c>
      <c r="AA790" s="4">
        <f>1/ZAR!C790</f>
        <v>0.11839083181398433</v>
      </c>
    </row>
    <row r="791" spans="1:27" x14ac:dyDescent="0.25">
      <c r="A791" t="str">
        <f>"28/08/2012"</f>
        <v>28/08/2012</v>
      </c>
      <c r="B791" s="3">
        <f>AUD!B791</f>
        <v>1.0367</v>
      </c>
      <c r="C791" s="3">
        <f>AUD!C791</f>
        <v>1.0339</v>
      </c>
      <c r="D791" s="3">
        <f>1/CAD!B791</f>
        <v>1.0094891984655763</v>
      </c>
      <c r="E791" s="3">
        <f>1/CAD!C791</f>
        <v>1.0088781275221954</v>
      </c>
      <c r="F791" s="3">
        <f>EUR!B791/1</f>
        <v>1.2484999999999999</v>
      </c>
      <c r="G791" s="3">
        <f>EUR!C791/1</f>
        <v>1.2487999999999999</v>
      </c>
      <c r="H791" s="3">
        <f>GBP!B791/1</f>
        <v>1.5783</v>
      </c>
      <c r="I791" s="3">
        <f>GBP!C791/1</f>
        <v>1.5781000000000001</v>
      </c>
      <c r="J791" s="4">
        <f>1/INR!B791</f>
        <v>1.7927572606669058E-2</v>
      </c>
      <c r="K791" s="4">
        <f>1/INR!C791</f>
        <v>1.7816578326132468E-2</v>
      </c>
      <c r="L791" s="4">
        <f>1/JPY!B791</f>
        <v>1.2731149941118432E-2</v>
      </c>
      <c r="M791" s="4">
        <f>1/JPY!C791</f>
        <v>1.2733257358231097E-2</v>
      </c>
      <c r="N791" s="5">
        <f>1/KRW!B791</f>
        <v>8.7958870432185913E-4</v>
      </c>
      <c r="O791" s="5">
        <f>1/KRW!C791</f>
        <v>8.7956704191928569E-4</v>
      </c>
      <c r="P791" s="3">
        <f>1/NOK!B791</f>
        <v>0.17179769103903242</v>
      </c>
      <c r="Q791" s="3">
        <f>1/NOK!C791</f>
        <v>0.17161195105627156</v>
      </c>
      <c r="R791" s="3">
        <f>NZD!B791/1</f>
        <v>0.80769999999999997</v>
      </c>
      <c r="S791" s="3">
        <f>NZD!C791/1</f>
        <v>0.80610000000000004</v>
      </c>
      <c r="T791" s="4">
        <f>1/PHP!B791</f>
        <v>2.3635074450484517E-2</v>
      </c>
      <c r="U791" s="4">
        <f>1/PHP!C791</f>
        <v>2.3614423689989845E-2</v>
      </c>
      <c r="V791" s="4">
        <f>1/TWD!B791</f>
        <v>3.3381179690890272E-2</v>
      </c>
      <c r="W791" s="4">
        <f>1/TWD!C791</f>
        <v>3.3381179690890272E-2</v>
      </c>
      <c r="X791" s="4">
        <f>1/TWD!B791</f>
        <v>3.3381179690890272E-2</v>
      </c>
      <c r="Y791" s="4">
        <f>1/TWD!C791</f>
        <v>3.3381179690890272E-2</v>
      </c>
      <c r="Z791" s="4">
        <f>1/ZAR!B791</f>
        <v>0.11866196765274761</v>
      </c>
      <c r="AA791" s="4">
        <f>1/ZAR!C791</f>
        <v>0.11818095868393684</v>
      </c>
    </row>
    <row r="792" spans="1:27" x14ac:dyDescent="0.25">
      <c r="A792" t="str">
        <f>"29/08/2012"</f>
        <v>29/08/2012</v>
      </c>
      <c r="B792" s="3">
        <f>AUD!B792</f>
        <v>1.0363</v>
      </c>
      <c r="C792" s="3">
        <f>AUD!C792</f>
        <v>1.0336000000000001</v>
      </c>
      <c r="D792" s="3">
        <f>1/CAD!B792</f>
        <v>1.0114291493880854</v>
      </c>
      <c r="E792" s="3">
        <f>1/CAD!C792</f>
        <v>1.0108157282927324</v>
      </c>
      <c r="F792" s="3">
        <f>EUR!B792/1</f>
        <v>1.2557</v>
      </c>
      <c r="G792" s="3">
        <f>EUR!C792/1</f>
        <v>1.256</v>
      </c>
      <c r="H792" s="3">
        <f>GBP!B792/1</f>
        <v>1.5815999999999999</v>
      </c>
      <c r="I792" s="3">
        <f>GBP!C792/1</f>
        <v>1.5813999999999999</v>
      </c>
      <c r="J792" s="4">
        <f>1/INR!B792</f>
        <v>1.7961383026493041E-2</v>
      </c>
      <c r="K792" s="4">
        <f>1/INR!C792</f>
        <v>1.7855548611731095E-2</v>
      </c>
      <c r="L792" s="4">
        <f>1/JPY!B792</f>
        <v>1.2722241658980312E-2</v>
      </c>
      <c r="M792" s="4">
        <f>1/JPY!C792</f>
        <v>1.2723860419251201E-2</v>
      </c>
      <c r="N792" s="5">
        <f>1/KRW!B792</f>
        <v>8.8152327221438639E-4</v>
      </c>
      <c r="O792" s="5">
        <f>1/KRW!C792</f>
        <v>8.8150073737536673E-4</v>
      </c>
      <c r="P792" s="3">
        <f>1/NOK!B792</f>
        <v>0.17126220243192325</v>
      </c>
      <c r="Q792" s="3">
        <f>1/NOK!C792</f>
        <v>0.17108347162580623</v>
      </c>
      <c r="R792" s="3">
        <f>NZD!B792/1</f>
        <v>0.80469999999999997</v>
      </c>
      <c r="S792" s="3">
        <f>NZD!C792/1</f>
        <v>0.80320000000000003</v>
      </c>
      <c r="T792" s="4">
        <f>1/PHP!B792</f>
        <v>2.3618327822390171E-2</v>
      </c>
      <c r="U792" s="4">
        <f>1/PHP!C792</f>
        <v>2.3593252329833669E-2</v>
      </c>
      <c r="V792" s="4">
        <f>1/TWD!B792</f>
        <v>3.3403480642682969E-2</v>
      </c>
      <c r="W792" s="4">
        <f>1/TWD!C792</f>
        <v>3.3403480642682969E-2</v>
      </c>
      <c r="X792" s="4">
        <f>1/TWD!B792</f>
        <v>3.3403480642682969E-2</v>
      </c>
      <c r="Y792" s="4">
        <f>1/TWD!C792</f>
        <v>3.3403480642682969E-2</v>
      </c>
      <c r="Z792" s="4">
        <f>1/ZAR!B792</f>
        <v>0.1188297644794068</v>
      </c>
      <c r="AA792" s="4">
        <f>1/ZAR!C792</f>
        <v>0.11835019823658204</v>
      </c>
    </row>
    <row r="793" spans="1:27" x14ac:dyDescent="0.25">
      <c r="A793" t="str">
        <f>"30/08/2012"</f>
        <v>30/08/2012</v>
      </c>
      <c r="B793" s="3">
        <f>AUD!B793</f>
        <v>1.0329999999999999</v>
      </c>
      <c r="C793" s="3">
        <f>AUD!C793</f>
        <v>1.0301</v>
      </c>
      <c r="D793" s="3">
        <f>1/CAD!B793</f>
        <v>1.0086746015735324</v>
      </c>
      <c r="E793" s="3">
        <f>1/CAD!C793</f>
        <v>1.0080645161290323</v>
      </c>
      <c r="F793" s="3">
        <f>EUR!B793/1</f>
        <v>1.2549999999999999</v>
      </c>
      <c r="G793" s="3">
        <f>EUR!C793/1</f>
        <v>1.2554000000000001</v>
      </c>
      <c r="H793" s="3">
        <f>GBP!B793/1</f>
        <v>1.5827</v>
      </c>
      <c r="I793" s="3">
        <f>GBP!C793/1</f>
        <v>1.5825</v>
      </c>
      <c r="J793" s="4">
        <f>1/INR!B793</f>
        <v>1.797106658280169E-2</v>
      </c>
      <c r="K793" s="4">
        <f>1/INR!C793</f>
        <v>1.7857142857142856E-2</v>
      </c>
      <c r="L793" s="4">
        <f>1/JPY!B793</f>
        <v>1.2715124004246851E-2</v>
      </c>
      <c r="M793" s="4">
        <f>1/JPY!C793</f>
        <v>1.271787306290896E-2</v>
      </c>
      <c r="N793" s="5">
        <f>1/KRW!B793</f>
        <v>8.8167871627578911E-4</v>
      </c>
      <c r="O793" s="5">
        <f>1/KRW!C793</f>
        <v>8.8165461885630003E-4</v>
      </c>
      <c r="P793" s="3">
        <f>1/NOK!B793</f>
        <v>0.17192765284368339</v>
      </c>
      <c r="Q793" s="3">
        <f>1/NOK!C793</f>
        <v>0.17173868242082846</v>
      </c>
      <c r="R793" s="3">
        <f>NZD!B793/1</f>
        <v>0.80130000000000001</v>
      </c>
      <c r="S793" s="3">
        <f>NZD!C793/1</f>
        <v>0.79969999999999997</v>
      </c>
      <c r="T793" s="4">
        <f>1/PHP!B793</f>
        <v>2.3640661938534282E-2</v>
      </c>
      <c r="U793" s="4">
        <f>1/PHP!C793</f>
        <v>2.361553902467824E-2</v>
      </c>
      <c r="V793" s="4">
        <f>1/TWD!B793</f>
        <v>3.3394556687259977E-2</v>
      </c>
      <c r="W793" s="4">
        <f>1/TWD!C793</f>
        <v>3.3394556687259977E-2</v>
      </c>
      <c r="X793" s="4">
        <f>1/TWD!B793</f>
        <v>3.3394556687259977E-2</v>
      </c>
      <c r="Y793" s="4">
        <f>1/TWD!C793</f>
        <v>3.3394556687259977E-2</v>
      </c>
      <c r="Z793" s="4">
        <f>1/ZAR!B793</f>
        <v>0.11845814873605154</v>
      </c>
      <c r="AA793" s="4">
        <f>1/ZAR!C793</f>
        <v>0.11796487006169562</v>
      </c>
    </row>
    <row r="794" spans="1:27" x14ac:dyDescent="0.25">
      <c r="A794" t="str">
        <f>"31/08/2012"</f>
        <v>31/08/2012</v>
      </c>
      <c r="B794" s="3">
        <f>AUD!B794</f>
        <v>1.0324</v>
      </c>
      <c r="C794" s="3">
        <f>AUD!C794</f>
        <v>1.0295000000000001</v>
      </c>
      <c r="D794" s="3">
        <f>1/CAD!B794</f>
        <v>1.0083694665725522</v>
      </c>
      <c r="E794" s="3">
        <f>1/CAD!C794</f>
        <v>1.0077597500755819</v>
      </c>
      <c r="F794" s="3">
        <f>EUR!B794/1</f>
        <v>1.2576000000000001</v>
      </c>
      <c r="G794" s="3">
        <f>EUR!C794/1</f>
        <v>1.258</v>
      </c>
      <c r="H794" s="3">
        <f>GBP!B794/1</f>
        <v>1.5824</v>
      </c>
      <c r="I794" s="3">
        <f>GBP!C794/1</f>
        <v>1.5822000000000001</v>
      </c>
      <c r="J794" s="4">
        <f>1/INR!B794</f>
        <v>1.7969451931716084E-2</v>
      </c>
      <c r="K794" s="4">
        <f>1/INR!C794</f>
        <v>1.7851564243316822E-2</v>
      </c>
      <c r="L794" s="4">
        <f>1/JPY!B794</f>
        <v>1.2726694241170856E-2</v>
      </c>
      <c r="M794" s="4">
        <f>1/JPY!C794</f>
        <v>1.272944830571043E-2</v>
      </c>
      <c r="N794" s="5">
        <f>1/KRW!B794</f>
        <v>8.8121254846669017E-4</v>
      </c>
      <c r="O794" s="5">
        <f>1/KRW!C794</f>
        <v>8.8119468851089551E-4</v>
      </c>
      <c r="P794" s="3">
        <f>1/NOK!B794</f>
        <v>0.17241082050309478</v>
      </c>
      <c r="Q794" s="3">
        <f>1/NOK!C794</f>
        <v>0.17221782110012743</v>
      </c>
      <c r="R794" s="3">
        <f>NZD!B794/1</f>
        <v>0.8014</v>
      </c>
      <c r="S794" s="3">
        <f>NZD!C794/1</f>
        <v>0.79979999999999996</v>
      </c>
      <c r="T794" s="4">
        <f>1/PHP!B794</f>
        <v>2.3738872403560832E-2</v>
      </c>
      <c r="U794" s="4">
        <f>1/PHP!C794</f>
        <v>2.3711010207589894E-2</v>
      </c>
      <c r="V794" s="4">
        <f>1/TWD!B794</f>
        <v>3.3444816053511704E-2</v>
      </c>
      <c r="W794" s="4">
        <f>1/TWD!C794</f>
        <v>3.3444816053511704E-2</v>
      </c>
      <c r="X794" s="4">
        <f>1/TWD!B794</f>
        <v>3.3444816053511704E-2</v>
      </c>
      <c r="Y794" s="4">
        <f>1/TWD!C794</f>
        <v>3.3444816053511704E-2</v>
      </c>
      <c r="Z794" s="4">
        <f>1/ZAR!B794</f>
        <v>0.11890040901740703</v>
      </c>
      <c r="AA794" s="4">
        <f>1/ZAR!C794</f>
        <v>0.11841045801165159</v>
      </c>
    </row>
    <row r="795" spans="1:27" x14ac:dyDescent="0.25">
      <c r="A795" t="str">
        <f>"03/09/2012"</f>
        <v>03/09/2012</v>
      </c>
      <c r="B795" s="3">
        <f>AUD!B795</f>
        <v>1.0251999999999999</v>
      </c>
      <c r="C795" s="3">
        <f>AUD!C795</f>
        <v>1.0223</v>
      </c>
      <c r="D795" s="3">
        <f>1/CAD!B795</f>
        <v>1.0145074566298062</v>
      </c>
      <c r="E795" s="3">
        <f>1/CAD!C795</f>
        <v>1.0138902970698571</v>
      </c>
      <c r="F795" s="3">
        <f>EUR!B795/1</f>
        <v>1.2569999999999999</v>
      </c>
      <c r="G795" s="3">
        <f>EUR!C795/1</f>
        <v>1.2573000000000001</v>
      </c>
      <c r="H795" s="3">
        <f>GBP!B795/1</f>
        <v>1.5887</v>
      </c>
      <c r="I795" s="3">
        <f>GBP!C795/1</f>
        <v>1.5885</v>
      </c>
      <c r="J795" s="4">
        <f>1/INR!B795</f>
        <v>1.8021265092809515E-2</v>
      </c>
      <c r="K795" s="4">
        <f>1/INR!C795</f>
        <v>1.7907507722612705E-2</v>
      </c>
      <c r="L795" s="4">
        <f>1/JPY!B795</f>
        <v>1.2764708134948495E-2</v>
      </c>
      <c r="M795" s="4">
        <f>1/JPY!C795</f>
        <v>1.2767478678310608E-2</v>
      </c>
      <c r="N795" s="5">
        <f>1/KRW!B795</f>
        <v>8.8401697312588397E-4</v>
      </c>
      <c r="O795" s="5">
        <f>1/KRW!C795</f>
        <v>8.8399821785959288E-4</v>
      </c>
      <c r="P795" s="3">
        <f>1/NOK!B795</f>
        <v>0.17218520240370544</v>
      </c>
      <c r="Q795" s="3">
        <f>1/NOK!C795</f>
        <v>0.17198974941093509</v>
      </c>
      <c r="R795" s="3">
        <f>NZD!B795/1</f>
        <v>0.79920000000000002</v>
      </c>
      <c r="S795" s="3">
        <f>NZD!C795/1</f>
        <v>0.79759999999999998</v>
      </c>
      <c r="T795" s="4">
        <f>1/PHP!B795</f>
        <v>2.3820867079561697E-2</v>
      </c>
      <c r="U795" s="4">
        <f>1/PHP!C795</f>
        <v>2.3795076798610367E-2</v>
      </c>
      <c r="V795" s="4">
        <f>1/TWD!B795</f>
        <v>3.3478406427854032E-2</v>
      </c>
      <c r="W795" s="4">
        <f>1/TWD!C795</f>
        <v>3.3478406427854032E-2</v>
      </c>
      <c r="X795" s="4">
        <f>1/TWD!B795</f>
        <v>3.3478406427854032E-2</v>
      </c>
      <c r="Y795" s="4">
        <f>1/TWD!C795</f>
        <v>3.3478406427854032E-2</v>
      </c>
      <c r="Z795" s="4">
        <f>1/ZAR!B795</f>
        <v>0.11907738839471772</v>
      </c>
      <c r="AA795" s="4">
        <f>1/ZAR!C795</f>
        <v>0.11858598076535391</v>
      </c>
    </row>
    <row r="796" spans="1:27" x14ac:dyDescent="0.25">
      <c r="A796" t="str">
        <f>"04/09/2012"</f>
        <v>04/09/2012</v>
      </c>
      <c r="B796" s="3">
        <f>AUD!B796</f>
        <v>1.0246</v>
      </c>
      <c r="C796" s="3">
        <f>AUD!C796</f>
        <v>1.0215000000000001</v>
      </c>
      <c r="D796" s="3">
        <f>1/CAD!B796</f>
        <v>1.0145074566298062</v>
      </c>
      <c r="E796" s="3">
        <f>1/CAD!C796</f>
        <v>1.0138902970698571</v>
      </c>
      <c r="F796" s="3">
        <f>EUR!B796/1</f>
        <v>1.2618</v>
      </c>
      <c r="G796" s="3">
        <f>EUR!C796/1</f>
        <v>1.2622</v>
      </c>
      <c r="H796" s="3">
        <f>GBP!B796/1</f>
        <v>1.5891999999999999</v>
      </c>
      <c r="I796" s="3">
        <f>GBP!C796/1</f>
        <v>1.589</v>
      </c>
      <c r="J796" s="4">
        <f>1/INR!B796</f>
        <v>1.8034265103697024E-2</v>
      </c>
      <c r="K796" s="4">
        <f>1/INR!C796</f>
        <v>1.7909913136921286E-2</v>
      </c>
      <c r="L796" s="4">
        <f>1/JPY!B796</f>
        <v>1.2759252052644674E-2</v>
      </c>
      <c r="M796" s="4">
        <f>1/JPY!C796</f>
        <v>1.2762183099040923E-2</v>
      </c>
      <c r="N796" s="5">
        <f>1/KRW!B796</f>
        <v>8.8339222614840988E-4</v>
      </c>
      <c r="O796" s="5">
        <f>1/KRW!C796</f>
        <v>8.8337193668696647E-4</v>
      </c>
      <c r="P796" s="3">
        <f>1/NOK!B796</f>
        <v>0.17239298705328668</v>
      </c>
      <c r="Q796" s="3">
        <f>1/NOK!C796</f>
        <v>0.17217630853994492</v>
      </c>
      <c r="R796" s="3">
        <f>NZD!B796/1</f>
        <v>0.79769999999999996</v>
      </c>
      <c r="S796" s="3">
        <f>NZD!C796/1</f>
        <v>0.79600000000000004</v>
      </c>
      <c r="T796" s="4">
        <f>1/PHP!B796</f>
        <v>2.386634844868735E-2</v>
      </c>
      <c r="U796" s="4">
        <f>1/PHP!C796</f>
        <v>2.3846428997257658E-2</v>
      </c>
      <c r="V796" s="4">
        <f>1/TWD!B796</f>
        <v>3.3528918692372171E-2</v>
      </c>
      <c r="W796" s="4">
        <f>1/TWD!C796</f>
        <v>3.3528918692372171E-2</v>
      </c>
      <c r="X796" s="4">
        <f>1/TWD!B796</f>
        <v>3.3528918692372171E-2</v>
      </c>
      <c r="Y796" s="4">
        <f>1/TWD!C796</f>
        <v>3.3528918692372171E-2</v>
      </c>
      <c r="Z796" s="4">
        <f>1/ZAR!B796</f>
        <v>0.11964298533176999</v>
      </c>
      <c r="AA796" s="4">
        <f>1/ZAR!C796</f>
        <v>0.11908589665725888</v>
      </c>
    </row>
    <row r="797" spans="1:27" x14ac:dyDescent="0.25">
      <c r="A797" t="str">
        <f>"05/09/2012"</f>
        <v>05/09/2012</v>
      </c>
      <c r="B797" s="3">
        <f>AUD!B797</f>
        <v>1.0198</v>
      </c>
      <c r="C797" s="3">
        <f>AUD!C797</f>
        <v>1.0166999999999999</v>
      </c>
      <c r="D797" s="3">
        <f>1/CAD!B797</f>
        <v>1.012965964343598</v>
      </c>
      <c r="E797" s="3">
        <f>1/CAD!C797</f>
        <v>1.0122482032594393</v>
      </c>
      <c r="F797" s="3">
        <f>EUR!B797/1</f>
        <v>1.2526999999999999</v>
      </c>
      <c r="G797" s="3">
        <f>EUR!C797/1</f>
        <v>1.2531000000000001</v>
      </c>
      <c r="H797" s="3">
        <f>GBP!B797/1</f>
        <v>1.5859000000000001</v>
      </c>
      <c r="I797" s="3">
        <f>GBP!C797/1</f>
        <v>1.5857000000000001</v>
      </c>
      <c r="J797" s="4">
        <f>1/INR!B797</f>
        <v>1.7886687832580603E-2</v>
      </c>
      <c r="K797" s="4">
        <f>1/INR!C797</f>
        <v>1.7773038300897537E-2</v>
      </c>
      <c r="L797" s="4">
        <f>1/JPY!B797</f>
        <v>1.275648507810158E-2</v>
      </c>
      <c r="M797" s="4">
        <f>1/JPY!C797</f>
        <v>1.2759089256208892E-2</v>
      </c>
      <c r="N797" s="5">
        <f>1/KRW!B797</f>
        <v>8.8028169014084509E-4</v>
      </c>
      <c r="O797" s="5">
        <f>1/KRW!C797</f>
        <v>8.8026231817081482E-4</v>
      </c>
      <c r="P797" s="3">
        <f>1/NOK!B797</f>
        <v>0.17174753112924002</v>
      </c>
      <c r="Q797" s="3">
        <f>1/NOK!C797</f>
        <v>0.17154424125982093</v>
      </c>
      <c r="R797" s="3">
        <f>NZD!B797/1</f>
        <v>0.79420000000000002</v>
      </c>
      <c r="S797" s="3">
        <f>NZD!C797/1</f>
        <v>0.79249999999999998</v>
      </c>
      <c r="T797" s="4">
        <f>1/PHP!B797</f>
        <v>2.3820867079561697E-2</v>
      </c>
      <c r="U797" s="4">
        <f>1/PHP!C797</f>
        <v>2.3795359904818562E-2</v>
      </c>
      <c r="V797" s="4">
        <f>1/TWD!B797</f>
        <v>3.3497470940943956E-2</v>
      </c>
      <c r="W797" s="4">
        <f>1/TWD!C797</f>
        <v>3.3497470940943956E-2</v>
      </c>
      <c r="X797" s="4">
        <f>1/TWD!B797</f>
        <v>3.3497470940943956E-2</v>
      </c>
      <c r="Y797" s="4">
        <f>1/TWD!C797</f>
        <v>3.3497470940943956E-2</v>
      </c>
      <c r="Z797" s="4">
        <f>1/ZAR!B797</f>
        <v>0.11866337573571294</v>
      </c>
      <c r="AA797" s="4">
        <f>1/ZAR!C797</f>
        <v>0.11814326051770377</v>
      </c>
    </row>
    <row r="798" spans="1:27" x14ac:dyDescent="0.25">
      <c r="A798" t="str">
        <f>"06/09/2012"</f>
        <v>06/09/2012</v>
      </c>
      <c r="B798" s="3">
        <f>AUD!B798</f>
        <v>1.0235000000000001</v>
      </c>
      <c r="C798" s="3">
        <f>AUD!C798</f>
        <v>1.0206999999999999</v>
      </c>
      <c r="D798" s="3">
        <f>1/CAD!B798</f>
        <v>1.0121457489878543</v>
      </c>
      <c r="E798" s="3">
        <f>1/CAD!C798</f>
        <v>1.0114291493880854</v>
      </c>
      <c r="F798" s="3">
        <f>EUR!B798/1</f>
        <v>1.2621</v>
      </c>
      <c r="G798" s="3">
        <f>EUR!C798/1</f>
        <v>1.2625</v>
      </c>
      <c r="H798" s="3">
        <f>GBP!B798/1</f>
        <v>1.5911</v>
      </c>
      <c r="I798" s="3">
        <f>GBP!C798/1</f>
        <v>1.5908</v>
      </c>
      <c r="J798" s="4">
        <f>1/INR!B798</f>
        <v>1.7966223499820338E-2</v>
      </c>
      <c r="K798" s="4">
        <f>1/INR!C798</f>
        <v>1.7856345698852732E-2</v>
      </c>
      <c r="L798" s="4">
        <f>1/JPY!B798</f>
        <v>1.274429215015325E-2</v>
      </c>
      <c r="M798" s="4">
        <f>1/JPY!C798</f>
        <v>1.2746891351871561E-2</v>
      </c>
      <c r="N798" s="5">
        <f>1/KRW!B798</f>
        <v>8.8183421516754845E-4</v>
      </c>
      <c r="O798" s="5">
        <f>1/KRW!C798</f>
        <v>8.8181010924745452E-4</v>
      </c>
      <c r="P798" s="3">
        <f>1/NOK!B798</f>
        <v>0.17151187719749594</v>
      </c>
      <c r="Q798" s="3">
        <f>1/NOK!C798</f>
        <v>0.17132381915057651</v>
      </c>
      <c r="R798" s="3">
        <f>NZD!B798/1</f>
        <v>0.79669999999999996</v>
      </c>
      <c r="S798" s="3">
        <f>NZD!C798/1</f>
        <v>0.79510000000000003</v>
      </c>
      <c r="T798" s="4">
        <f>1/PHP!B798</f>
        <v>2.39097169089518E-2</v>
      </c>
      <c r="U798" s="4">
        <f>1/PHP!C798</f>
        <v>2.388972502926491E-2</v>
      </c>
      <c r="V798" s="4">
        <f>1/TWD!B798</f>
        <v>3.3481769176683294E-2</v>
      </c>
      <c r="W798" s="4">
        <f>1/TWD!C798</f>
        <v>3.3481769176683294E-2</v>
      </c>
      <c r="X798" s="4">
        <f>1/TWD!B798</f>
        <v>3.3481769176683294E-2</v>
      </c>
      <c r="Y798" s="4">
        <f>1/TWD!C798</f>
        <v>3.3481769176683294E-2</v>
      </c>
      <c r="Z798" s="4">
        <f>1/ZAR!B798</f>
        <v>0.11939443144371746</v>
      </c>
      <c r="AA798" s="4">
        <f>1/ZAR!C798</f>
        <v>0.11890323654609879</v>
      </c>
    </row>
    <row r="799" spans="1:27" x14ac:dyDescent="0.25">
      <c r="A799" t="str">
        <f>"07/09/2012"</f>
        <v>07/09/2012</v>
      </c>
      <c r="B799" s="3">
        <f>AUD!B799</f>
        <v>1.0338000000000001</v>
      </c>
      <c r="C799" s="3">
        <f>AUD!C799</f>
        <v>1.0308999999999999</v>
      </c>
      <c r="D799" s="3">
        <f>1/CAD!B799</f>
        <v>1.0194719135487817</v>
      </c>
      <c r="E799" s="3">
        <f>1/CAD!C799</f>
        <v>1.0187449062754685</v>
      </c>
      <c r="F799" s="3">
        <f>EUR!B799/1</f>
        <v>1.2675000000000001</v>
      </c>
      <c r="G799" s="3">
        <f>EUR!C799/1</f>
        <v>1.2679</v>
      </c>
      <c r="H799" s="3">
        <f>GBP!B799/1</f>
        <v>1.5972</v>
      </c>
      <c r="I799" s="3">
        <f>GBP!C799/1</f>
        <v>1.597</v>
      </c>
      <c r="J799" s="4">
        <f>1/INR!B799</f>
        <v>1.803751803751804E-2</v>
      </c>
      <c r="K799" s="4">
        <f>1/INR!C799</f>
        <v>1.7926769148030295E-2</v>
      </c>
      <c r="L799" s="4">
        <f>1/JPY!B799</f>
        <v>1.266736759434022E-2</v>
      </c>
      <c r="M799" s="4">
        <f>1/JPY!C799</f>
        <v>1.2670256572695597E-2</v>
      </c>
      <c r="N799" s="5">
        <f>1/KRW!B799</f>
        <v>8.8456435205661217E-4</v>
      </c>
      <c r="O799" s="5">
        <f>1/KRW!C799</f>
        <v>8.8454087905672559E-4</v>
      </c>
      <c r="P799" s="3">
        <f>1/NOK!B799</f>
        <v>0.17152658662092624</v>
      </c>
      <c r="Q799" s="3">
        <f>1/NOK!C799</f>
        <v>0.17133849633335618</v>
      </c>
      <c r="R799" s="3">
        <f>NZD!B799/1</f>
        <v>0.8044</v>
      </c>
      <c r="S799" s="3">
        <f>NZD!C799/1</f>
        <v>0.80279999999999996</v>
      </c>
      <c r="T799" s="4">
        <f>1/PHP!B799</f>
        <v>2.3992322456813819E-2</v>
      </c>
      <c r="U799" s="4">
        <f>1/PHP!C799</f>
        <v>2.3973341644091768E-2</v>
      </c>
      <c r="V799" s="4">
        <f>1/TWD!B799</f>
        <v>3.3596505963379805E-2</v>
      </c>
      <c r="W799" s="4">
        <f>1/TWD!C799</f>
        <v>3.3596505963379805E-2</v>
      </c>
      <c r="X799" s="4">
        <f>1/TWD!B799</f>
        <v>3.3596505963379805E-2</v>
      </c>
      <c r="Y799" s="4">
        <f>1/TWD!C799</f>
        <v>3.3596505963379805E-2</v>
      </c>
      <c r="Z799" s="4">
        <f>1/ZAR!B799</f>
        <v>0.12122681537156019</v>
      </c>
      <c r="AA799" s="4">
        <f>1/ZAR!C799</f>
        <v>0.12072628935677032</v>
      </c>
    </row>
    <row r="800" spans="1:27" x14ac:dyDescent="0.25">
      <c r="A800" t="str">
        <f>"10/09/2012"</f>
        <v>10/09/2012</v>
      </c>
      <c r="B800" s="3">
        <f>AUD!B800</f>
        <v>1.0348999999999999</v>
      </c>
      <c r="C800" s="3">
        <f>AUD!C800</f>
        <v>1.032</v>
      </c>
      <c r="D800" s="3">
        <f>1/CAD!B800</f>
        <v>1.0237510237510237</v>
      </c>
      <c r="E800" s="3">
        <f>1/CAD!C800</f>
        <v>1.023122570083896</v>
      </c>
      <c r="F800" s="3">
        <f>EUR!B800/1</f>
        <v>1.2778</v>
      </c>
      <c r="G800" s="3">
        <f>EUR!C800/1</f>
        <v>1.2781</v>
      </c>
      <c r="H800" s="3">
        <f>GBP!B800/1</f>
        <v>1.6004</v>
      </c>
      <c r="I800" s="3">
        <f>GBP!C800/1</f>
        <v>1.6002000000000001</v>
      </c>
      <c r="J800" s="4">
        <f>1/INR!B800</f>
        <v>1.804402742692169E-2</v>
      </c>
      <c r="K800" s="4">
        <f>1/INR!C800</f>
        <v>1.7931590980409737E-2</v>
      </c>
      <c r="L800" s="4">
        <f>1/JPY!B800</f>
        <v>1.2771228975364299E-2</v>
      </c>
      <c r="M800" s="4">
        <f>1/JPY!C800</f>
        <v>1.2774165527636907E-2</v>
      </c>
      <c r="N800" s="5">
        <f>1/KRW!B800</f>
        <v>8.8534749889331564E-4</v>
      </c>
      <c r="O800" s="5">
        <f>1/KRW!C800</f>
        <v>8.8532555191194904E-4</v>
      </c>
      <c r="P800" s="3">
        <f>1/NOK!B800</f>
        <v>0.17291464932909117</v>
      </c>
      <c r="Q800" s="3">
        <f>1/NOK!C800</f>
        <v>0.17272648760687451</v>
      </c>
      <c r="R800" s="3">
        <f>NZD!B800/1</f>
        <v>0.8105</v>
      </c>
      <c r="S800" s="3">
        <f>NZD!C800/1</f>
        <v>0.80879999999999996</v>
      </c>
      <c r="T800" s="4">
        <f>1/PHP!B800</f>
        <v>2.4038461538461536E-2</v>
      </c>
      <c r="U800" s="4">
        <f>1/PHP!C800</f>
        <v>2.4015369836695485E-2</v>
      </c>
      <c r="V800" s="4">
        <f>1/TWD!B800</f>
        <v>3.3653037186606088E-2</v>
      </c>
      <c r="W800" s="4">
        <f>1/TWD!C800</f>
        <v>3.3653037186606088E-2</v>
      </c>
      <c r="X800" s="4">
        <f>1/TWD!B800</f>
        <v>3.3653037186606088E-2</v>
      </c>
      <c r="Y800" s="4">
        <f>1/TWD!C800</f>
        <v>3.3653037186606088E-2</v>
      </c>
      <c r="Z800" s="4">
        <f>1/ZAR!B800</f>
        <v>0.1221597849987784</v>
      </c>
      <c r="AA800" s="4">
        <f>1/ZAR!C800</f>
        <v>0.1216574612520986</v>
      </c>
    </row>
    <row r="801" spans="1:27" x14ac:dyDescent="0.25">
      <c r="A801" t="str">
        <f>"11/09/2012"</f>
        <v>11/09/2012</v>
      </c>
      <c r="B801" s="3">
        <f>AUD!B801</f>
        <v>1.0338000000000001</v>
      </c>
      <c r="C801" s="3">
        <f>AUD!C801</f>
        <v>1.0306999999999999</v>
      </c>
      <c r="D801" s="3">
        <f>1/CAD!B801</f>
        <v>1.0241704219582137</v>
      </c>
      <c r="E801" s="3">
        <f>1/CAD!C801</f>
        <v>1.0234367004400777</v>
      </c>
      <c r="F801" s="3">
        <f>EUR!B801/1</f>
        <v>1.2774000000000001</v>
      </c>
      <c r="G801" s="3">
        <f>EUR!C801/1</f>
        <v>1.2778</v>
      </c>
      <c r="H801" s="3">
        <f>GBP!B801/1</f>
        <v>1.6012999999999999</v>
      </c>
      <c r="I801" s="3">
        <f>GBP!C801/1</f>
        <v>1.6011</v>
      </c>
      <c r="J801" s="4">
        <f>1/INR!B801</f>
        <v>1.803263907672888E-2</v>
      </c>
      <c r="K801" s="4">
        <f>1/INR!C801</f>
        <v>1.791472590469366E-2</v>
      </c>
      <c r="L801" s="4">
        <f>1/JPY!B801</f>
        <v>1.278649745868363E-2</v>
      </c>
      <c r="M801" s="4">
        <f>1/JPY!C801</f>
        <v>1.2789277469769345E-2</v>
      </c>
      <c r="N801" s="5">
        <f>1/KRW!B801</f>
        <v>8.8566114604552305E-4</v>
      </c>
      <c r="O801" s="5">
        <f>1/KRW!C801</f>
        <v>8.8563879133331594E-4</v>
      </c>
      <c r="P801" s="3">
        <f>1/NOK!B801</f>
        <v>0.1725744658820281</v>
      </c>
      <c r="Q801" s="3">
        <f>1/NOK!C801</f>
        <v>0.17237218602406315</v>
      </c>
      <c r="R801" s="3">
        <f>NZD!B801/1</f>
        <v>0.8095</v>
      </c>
      <c r="S801" s="3">
        <f>NZD!C801/1</f>
        <v>0.80769999999999997</v>
      </c>
      <c r="T801" s="4">
        <f>1/PHP!B801</f>
        <v>2.4021138601969732E-2</v>
      </c>
      <c r="U801" s="4">
        <f>1/PHP!C801</f>
        <v>2.4006721882126995E-2</v>
      </c>
      <c r="V801" s="4">
        <f>1/TWD!B801</f>
        <v>3.3668900037035793E-2</v>
      </c>
      <c r="W801" s="4">
        <f>1/TWD!C801</f>
        <v>3.3668900037035793E-2</v>
      </c>
      <c r="X801" s="4">
        <f>1/TWD!B801</f>
        <v>3.3668900037035793E-2</v>
      </c>
      <c r="Y801" s="4">
        <f>1/TWD!C801</f>
        <v>3.3668900037035793E-2</v>
      </c>
      <c r="Z801" s="4">
        <f>1/ZAR!B801</f>
        <v>0.12213889635293255</v>
      </c>
      <c r="AA801" s="4">
        <f>1/ZAR!C801</f>
        <v>0.12157167866173896</v>
      </c>
    </row>
    <row r="802" spans="1:27" x14ac:dyDescent="0.25">
      <c r="A802" t="str">
        <f>"12/09/2012"</f>
        <v>12/09/2012</v>
      </c>
      <c r="B802" s="3">
        <f>AUD!B802</f>
        <v>1.0475000000000001</v>
      </c>
      <c r="C802" s="3">
        <f>AUD!C802</f>
        <v>1.0445</v>
      </c>
      <c r="D802" s="3">
        <f>1/CAD!B802</f>
        <v>1.0287007509515482</v>
      </c>
      <c r="E802" s="3">
        <f>1/CAD!C802</f>
        <v>1.0279605263157894</v>
      </c>
      <c r="F802" s="3">
        <f>EUR!B802/1</f>
        <v>1.2870999999999999</v>
      </c>
      <c r="G802" s="3">
        <f>EUR!C802/1</f>
        <v>1.2874000000000001</v>
      </c>
      <c r="H802" s="3">
        <f>GBP!B802/1</f>
        <v>1.6073</v>
      </c>
      <c r="I802" s="3">
        <f>GBP!C802/1</f>
        <v>1.607</v>
      </c>
      <c r="J802" s="4">
        <f>1/INR!B802</f>
        <v>1.8091361374943465E-2</v>
      </c>
      <c r="K802" s="4">
        <f>1/INR!C802</f>
        <v>1.7977528089887642E-2</v>
      </c>
      <c r="L802" s="4">
        <f>1/JPY!B802</f>
        <v>1.2835981824249736E-2</v>
      </c>
      <c r="M802" s="4">
        <f>1/JPY!C802</f>
        <v>1.2838948233360722E-2</v>
      </c>
      <c r="N802" s="5">
        <f>1/KRW!B802</f>
        <v>8.8762648677436537E-4</v>
      </c>
      <c r="O802" s="5">
        <f>1/KRW!C802</f>
        <v>8.8759733614287477E-4</v>
      </c>
      <c r="P802" s="3">
        <f>1/NOK!B802</f>
        <v>0.17364728762936724</v>
      </c>
      <c r="Q802" s="3">
        <f>1/NOK!C802</f>
        <v>0.17344850313941793</v>
      </c>
      <c r="R802" s="3">
        <f>NZD!B802/1</f>
        <v>0.82</v>
      </c>
      <c r="S802" s="3">
        <f>NZD!C802/1</f>
        <v>0.81830000000000003</v>
      </c>
      <c r="T802" s="4">
        <f>1/PHP!B802</f>
        <v>2.4119633381572598E-2</v>
      </c>
      <c r="U802" s="4">
        <f>1/PHP!C802</f>
        <v>2.4105098228275279E-2</v>
      </c>
      <c r="V802" s="4">
        <f>1/TWD!B802</f>
        <v>3.3783783783783779E-2</v>
      </c>
      <c r="W802" s="4">
        <f>1/TWD!C802</f>
        <v>3.3783783783783779E-2</v>
      </c>
      <c r="X802" s="4">
        <f>1/TWD!B802</f>
        <v>3.3783783783783779E-2</v>
      </c>
      <c r="Y802" s="4">
        <f>1/TWD!C802</f>
        <v>3.3783783783783779E-2</v>
      </c>
      <c r="Z802" s="4">
        <f>1/ZAR!B802</f>
        <v>0.12252349387995148</v>
      </c>
      <c r="AA802" s="4">
        <f>1/ZAR!C802</f>
        <v>0.12199436386038964</v>
      </c>
    </row>
    <row r="803" spans="1:27" x14ac:dyDescent="0.25">
      <c r="A803" t="str">
        <f>"13/09/2012"</f>
        <v>13/09/2012</v>
      </c>
      <c r="B803" s="3">
        <f>AUD!B803</f>
        <v>1.0431999999999999</v>
      </c>
      <c r="C803" s="3">
        <f>AUD!C803</f>
        <v>1.0403</v>
      </c>
      <c r="D803" s="3">
        <f>1/CAD!B803</f>
        <v>1.0240655401945724</v>
      </c>
      <c r="E803" s="3">
        <f>1/CAD!C803</f>
        <v>1.0233319688907081</v>
      </c>
      <c r="F803" s="3">
        <f>EUR!B803/1</f>
        <v>1.2903</v>
      </c>
      <c r="G803" s="3">
        <f>EUR!C803/1</f>
        <v>1.2906</v>
      </c>
      <c r="H803" s="3">
        <f>GBP!B803/1</f>
        <v>1.6109</v>
      </c>
      <c r="I803" s="3">
        <f>GBP!C803/1</f>
        <v>1.6107</v>
      </c>
      <c r="J803" s="4">
        <f>1/INR!B803</f>
        <v>1.8034265103697024E-2</v>
      </c>
      <c r="K803" s="4">
        <f>1/INR!C803</f>
        <v>1.7926769148030295E-2</v>
      </c>
      <c r="L803" s="4">
        <f>1/JPY!B803</f>
        <v>1.2866700977869275E-2</v>
      </c>
      <c r="M803" s="4">
        <f>1/JPY!C803</f>
        <v>1.2869515977504086E-2</v>
      </c>
      <c r="N803" s="5">
        <f>1/KRW!B803</f>
        <v>8.8607314533814758E-4</v>
      </c>
      <c r="O803" s="5">
        <f>1/KRW!C803</f>
        <v>8.860507698230601E-4</v>
      </c>
      <c r="P803" s="3">
        <f>1/NOK!B803</f>
        <v>0.1737619461337967</v>
      </c>
      <c r="Q803" s="3">
        <f>1/NOK!C803</f>
        <v>0.17356591165495097</v>
      </c>
      <c r="R803" s="3">
        <f>NZD!B803/1</f>
        <v>0.82099999999999995</v>
      </c>
      <c r="S803" s="3">
        <f>NZD!C803/1</f>
        <v>0.81940000000000002</v>
      </c>
      <c r="T803" s="4">
        <f>1/PHP!B803</f>
        <v>2.3963575365444526E-2</v>
      </c>
      <c r="U803" s="4">
        <f>1/PHP!C803</f>
        <v>2.3946933595153142E-2</v>
      </c>
      <c r="V803" s="4">
        <f>1/TWD!B803</f>
        <v>3.3755274261603373E-2</v>
      </c>
      <c r="W803" s="4">
        <f>1/TWD!C803</f>
        <v>3.3755274261603373E-2</v>
      </c>
      <c r="X803" s="4">
        <f>1/TWD!B803</f>
        <v>3.3755274261603373E-2</v>
      </c>
      <c r="Y803" s="4">
        <f>1/TWD!C803</f>
        <v>3.3755274261603373E-2</v>
      </c>
      <c r="Z803" s="4">
        <f>1/ZAR!B803</f>
        <v>0.11870281563078676</v>
      </c>
      <c r="AA803" s="4">
        <f>1/ZAR!C803</f>
        <v>0.11821309091768821</v>
      </c>
    </row>
    <row r="804" spans="1:27" x14ac:dyDescent="0.25">
      <c r="A804" t="str">
        <f>"14/09/2012"</f>
        <v>14/09/2012</v>
      </c>
      <c r="B804" s="3">
        <f>AUD!B804</f>
        <v>1.0583</v>
      </c>
      <c r="C804" s="3">
        <f>AUD!C804</f>
        <v>1.0553999999999999</v>
      </c>
      <c r="D804" s="3">
        <f>1/CAD!B804</f>
        <v>1.0359473738734071</v>
      </c>
      <c r="E804" s="3">
        <f>1/CAD!C804</f>
        <v>1.035303861683404</v>
      </c>
      <c r="F804" s="3">
        <f>EUR!B804/1</f>
        <v>1.3041</v>
      </c>
      <c r="G804" s="3">
        <f>EUR!C804/1</f>
        <v>1.3044</v>
      </c>
      <c r="H804" s="3">
        <f>GBP!B804/1</f>
        <v>1.6194999999999999</v>
      </c>
      <c r="I804" s="3">
        <f>GBP!C804/1</f>
        <v>1.6193</v>
      </c>
      <c r="J804" s="4">
        <f>1/INR!B804</f>
        <v>1.8276523805172255E-2</v>
      </c>
      <c r="K804" s="4">
        <f>1/INR!C804</f>
        <v>1.8172731815910226E-2</v>
      </c>
      <c r="L804" s="4">
        <f>1/JPY!B804</f>
        <v>1.2893077706579336E-2</v>
      </c>
      <c r="M804" s="4">
        <f>1/JPY!C804</f>
        <v>1.2896286772149695E-2</v>
      </c>
      <c r="N804" s="5">
        <f>1/KRW!B804</f>
        <v>8.9485458612975394E-4</v>
      </c>
      <c r="O804" s="5">
        <f>1/KRW!C804</f>
        <v>8.9482656024196105E-4</v>
      </c>
      <c r="P804" s="3">
        <f>1/NOK!B804</f>
        <v>0.17581181103746549</v>
      </c>
      <c r="Q804" s="3">
        <f>1/NOK!C804</f>
        <v>0.17560804284836246</v>
      </c>
      <c r="R804" s="3">
        <f>NZD!B804/1</f>
        <v>0.8347</v>
      </c>
      <c r="S804" s="3">
        <f>NZD!C804/1</f>
        <v>0.83299999999999996</v>
      </c>
      <c r="T804" s="4">
        <f>1/PHP!B804</f>
        <v>2.4166263895601739E-2</v>
      </c>
      <c r="U804" s="4">
        <f>1/PHP!C804</f>
        <v>2.4145840878908607E-2</v>
      </c>
      <c r="V804" s="4">
        <f>1/TWD!B804</f>
        <v>3.4015919450302745E-2</v>
      </c>
      <c r="W804" s="4">
        <f>1/TWD!C804</f>
        <v>3.4015919450302745E-2</v>
      </c>
      <c r="X804" s="4">
        <f>1/TWD!B804</f>
        <v>3.4015919450302745E-2</v>
      </c>
      <c r="Y804" s="4">
        <f>1/TWD!C804</f>
        <v>3.4015919450302745E-2</v>
      </c>
      <c r="Z804" s="4">
        <f>1/ZAR!B804</f>
        <v>0.12187987519500779</v>
      </c>
      <c r="AA804" s="4">
        <f>1/ZAR!C804</f>
        <v>0.121375426331185</v>
      </c>
    </row>
    <row r="805" spans="1:27" x14ac:dyDescent="0.25">
      <c r="A805" t="str">
        <f>"17/09/2012"</f>
        <v>17/09/2012</v>
      </c>
      <c r="B805" s="3">
        <f>AUD!B805</f>
        <v>1.0526</v>
      </c>
      <c r="C805" s="3">
        <f>AUD!C805</f>
        <v>1.0496000000000001</v>
      </c>
      <c r="D805" s="3">
        <f>1/CAD!B805</f>
        <v>1.0305028854080791</v>
      </c>
      <c r="E805" s="3">
        <f>1/CAD!C805</f>
        <v>1.0298661174047374</v>
      </c>
      <c r="F805" s="3">
        <f>EUR!B805/1</f>
        <v>1.3127</v>
      </c>
      <c r="G805" s="3">
        <f>EUR!C805/1</f>
        <v>1.3129999999999999</v>
      </c>
      <c r="H805" s="3">
        <f>GBP!B805/1</f>
        <v>1.6224000000000001</v>
      </c>
      <c r="I805" s="3">
        <f>GBP!C805/1</f>
        <v>1.6221000000000001</v>
      </c>
      <c r="J805" s="4">
        <f>1/INR!B805</f>
        <v>1.8573551263001486E-2</v>
      </c>
      <c r="K805" s="4">
        <f>1/INR!C805</f>
        <v>1.8455292054996769E-2</v>
      </c>
      <c r="L805" s="4">
        <f>1/JPY!B805</f>
        <v>1.2776940178366085E-2</v>
      </c>
      <c r="M805" s="4">
        <f>1/JPY!C805</f>
        <v>1.2779895690491374E-2</v>
      </c>
      <c r="N805" s="5">
        <f>1/KRW!B805</f>
        <v>8.9678055779750698E-4</v>
      </c>
      <c r="O805" s="5">
        <f>1/KRW!C805</f>
        <v>8.9675763824527844E-4</v>
      </c>
      <c r="P805" s="3">
        <f>1/NOK!B805</f>
        <v>0.17582726729261172</v>
      </c>
      <c r="Q805" s="3">
        <f>1/NOK!C805</f>
        <v>0.17562037898877786</v>
      </c>
      <c r="R805" s="3">
        <f>NZD!B805/1</f>
        <v>0.82750000000000001</v>
      </c>
      <c r="S805" s="3">
        <f>NZD!C805/1</f>
        <v>0.82579999999999998</v>
      </c>
      <c r="T805" s="4">
        <f>1/PHP!B805</f>
        <v>2.4102193299590263E-2</v>
      </c>
      <c r="U805" s="4">
        <f>1/PHP!C805</f>
        <v>2.4099869860702752E-2</v>
      </c>
      <c r="V805" s="4">
        <f>1/TWD!B805</f>
        <v>3.4165840992176025E-2</v>
      </c>
      <c r="W805" s="4">
        <f>1/TWD!C805</f>
        <v>3.4165840992176025E-2</v>
      </c>
      <c r="X805" s="4">
        <f>1/TWD!B805</f>
        <v>3.4165840992176025E-2</v>
      </c>
      <c r="Y805" s="4">
        <f>1/TWD!C805</f>
        <v>3.4165840992176025E-2</v>
      </c>
      <c r="Z805" s="4">
        <f>1/ZAR!B805</f>
        <v>0.12127386063207937</v>
      </c>
      <c r="AA805" s="4">
        <f>1/ZAR!C805</f>
        <v>0.12074815557192363</v>
      </c>
    </row>
    <row r="806" spans="1:27" x14ac:dyDescent="0.25">
      <c r="A806" t="str">
        <f>"18/09/2012"</f>
        <v>18/09/2012</v>
      </c>
      <c r="B806" s="3">
        <f>AUD!B806</f>
        <v>1.0450999999999999</v>
      </c>
      <c r="C806" s="3">
        <f>AUD!C806</f>
        <v>1.042</v>
      </c>
      <c r="D806" s="3">
        <f>1/CAD!B806</f>
        <v>1.0254306808859721</v>
      </c>
      <c r="E806" s="3">
        <f>1/CAD!C806</f>
        <v>1.0248001639680262</v>
      </c>
      <c r="F806" s="3">
        <f>EUR!B806/1</f>
        <v>1.3084</v>
      </c>
      <c r="G806" s="3">
        <f>EUR!C806/1</f>
        <v>1.3087</v>
      </c>
      <c r="H806" s="3">
        <f>GBP!B806/1</f>
        <v>1.6237999999999999</v>
      </c>
      <c r="I806" s="3">
        <f>GBP!C806/1</f>
        <v>1.6234999999999999</v>
      </c>
      <c r="J806" s="4">
        <f>1/INR!B806</f>
        <v>1.8428084400626554E-2</v>
      </c>
      <c r="K806" s="4">
        <f>1/INR!C806</f>
        <v>1.8316695668101474E-2</v>
      </c>
      <c r="L806" s="4">
        <f>1/JPY!B806</f>
        <v>1.2713184207682577E-2</v>
      </c>
      <c r="M806" s="4">
        <f>1/JPY!C806</f>
        <v>1.2716449872390425E-2</v>
      </c>
      <c r="N806" s="5">
        <f>1/KRW!B806</f>
        <v>8.9405453732677696E-4</v>
      </c>
      <c r="O806" s="5">
        <f>1/KRW!C806</f>
        <v>8.9402696117106811E-4</v>
      </c>
      <c r="P806" s="3">
        <f>1/NOK!B806</f>
        <v>0.17463283446553621</v>
      </c>
      <c r="Q806" s="3">
        <f>1/NOK!C806</f>
        <v>0.17441961871871348</v>
      </c>
      <c r="R806" s="3">
        <f>NZD!B806/1</f>
        <v>0.82669999999999999</v>
      </c>
      <c r="S806" s="3">
        <f>NZD!C806/1</f>
        <v>0.82489999999999997</v>
      </c>
      <c r="T806" s="4">
        <f>1/PHP!B806</f>
        <v>2.3940627244433802E-2</v>
      </c>
      <c r="U806" s="4">
        <f>1/PHP!C806</f>
        <v>2.3934897079942556E-2</v>
      </c>
      <c r="V806" s="4">
        <f>1/TWD!B806</f>
        <v>3.4071550255536626E-2</v>
      </c>
      <c r="W806" s="4">
        <f>1/TWD!C806</f>
        <v>3.4071550255536626E-2</v>
      </c>
      <c r="X806" s="4">
        <f>1/TWD!B806</f>
        <v>3.4071550255536626E-2</v>
      </c>
      <c r="Y806" s="4">
        <f>1/TWD!C806</f>
        <v>3.4071550255536626E-2</v>
      </c>
      <c r="Z806" s="4">
        <f>1/ZAR!B806</f>
        <v>0.12083715984339503</v>
      </c>
      <c r="AA806" s="4">
        <f>1/ZAR!C806</f>
        <v>0.12030798845043311</v>
      </c>
    </row>
    <row r="807" spans="1:27" x14ac:dyDescent="0.25">
      <c r="A807" t="str">
        <f>"20/09/2012"</f>
        <v>20/09/2012</v>
      </c>
      <c r="B807" s="3">
        <f>AUD!B807</f>
        <v>1.0388999999999999</v>
      </c>
      <c r="C807" s="3">
        <f>AUD!C807</f>
        <v>1.036</v>
      </c>
      <c r="D807" s="3">
        <f>1/CAD!B807</f>
        <v>1.0214504596527068</v>
      </c>
      <c r="E807" s="3">
        <f>1/CAD!C807</f>
        <v>1.0208248264597795</v>
      </c>
      <c r="F807" s="3">
        <f>EUR!B807/1</f>
        <v>1.2982</v>
      </c>
      <c r="G807" s="3">
        <f>EUR!C807/1</f>
        <v>1.2985</v>
      </c>
      <c r="H807" s="3">
        <f>GBP!B807/1</f>
        <v>1.6176999999999999</v>
      </c>
      <c r="I807" s="3">
        <f>GBP!C807/1</f>
        <v>1.6174999999999999</v>
      </c>
      <c r="J807" s="4">
        <f>1/INR!B807</f>
        <v>1.8401803376730919E-2</v>
      </c>
      <c r="K807" s="4">
        <f>1/INR!C807</f>
        <v>1.8289894833104711E-2</v>
      </c>
      <c r="L807" s="4">
        <f>1/JPY!B807</f>
        <v>1.2792958755500971E-2</v>
      </c>
      <c r="M807" s="4">
        <f>1/JPY!C807</f>
        <v>1.279597080471301E-2</v>
      </c>
      <c r="N807" s="5">
        <f>1/KRW!B807</f>
        <v>8.9015488695032925E-4</v>
      </c>
      <c r="O807" s="5">
        <f>1/KRW!C807</f>
        <v>8.9012557001416203E-4</v>
      </c>
      <c r="P807" s="3">
        <f>1/NOK!B807</f>
        <v>0.17414928076347044</v>
      </c>
      <c r="Q807" s="3">
        <f>1/NOK!C807</f>
        <v>0.17394934595045922</v>
      </c>
      <c r="R807" s="3">
        <f>NZD!B807/1</f>
        <v>0.82289999999999996</v>
      </c>
      <c r="S807" s="3">
        <f>NZD!C807/1</f>
        <v>0.82120000000000004</v>
      </c>
      <c r="T807" s="4">
        <f>1/PHP!B807</f>
        <v>2.3980815347721823E-2</v>
      </c>
      <c r="U807" s="4">
        <f>1/PHP!C807</f>
        <v>2.3957834211787252E-2</v>
      </c>
      <c r="V807" s="4">
        <f>1/TWD!B807</f>
        <v>3.4059945504087197E-2</v>
      </c>
      <c r="W807" s="4">
        <f>1/TWD!C807</f>
        <v>3.4059945504087197E-2</v>
      </c>
      <c r="X807" s="4">
        <f>1/TWD!B807</f>
        <v>3.4059945504087197E-2</v>
      </c>
      <c r="Y807" s="4">
        <f>1/TWD!C807</f>
        <v>3.4059945504087197E-2</v>
      </c>
      <c r="Z807" s="4">
        <f>1/ZAR!B807</f>
        <v>0.12003649109329236</v>
      </c>
      <c r="AA807" s="4">
        <f>1/ZAR!C807</f>
        <v>0.11953715214688725</v>
      </c>
    </row>
    <row r="808" spans="1:27" x14ac:dyDescent="0.25">
      <c r="A808" t="str">
        <f>"21/09/2012"</f>
        <v>21/09/2012</v>
      </c>
      <c r="B808" s="3">
        <f>AUD!B808</f>
        <v>1.0506</v>
      </c>
      <c r="C808" s="3">
        <f>AUD!C808</f>
        <v>1.0478000000000001</v>
      </c>
      <c r="D808" s="3">
        <f>1/CAD!B808</f>
        <v>1.0263779123473262</v>
      </c>
      <c r="E808" s="3">
        <f>1/CAD!C808</f>
        <v>1.0257462303826033</v>
      </c>
      <c r="F808" s="3">
        <f>EUR!B808/1</f>
        <v>1.3021</v>
      </c>
      <c r="G808" s="3">
        <f>EUR!C808/1</f>
        <v>1.3025</v>
      </c>
      <c r="H808" s="3">
        <f>GBP!B808/1</f>
        <v>1.6275999999999999</v>
      </c>
      <c r="I808" s="3">
        <f>GBP!C808/1</f>
        <v>1.6274</v>
      </c>
      <c r="J808" s="4">
        <f>1/INR!B808</f>
        <v>1.8731853516905497E-2</v>
      </c>
      <c r="K808" s="4">
        <f>1/INR!C808</f>
        <v>1.8626309662398137E-2</v>
      </c>
      <c r="L808" s="4">
        <f>1/JPY!B808</f>
        <v>1.2789032126048702E-2</v>
      </c>
      <c r="M808" s="4">
        <f>1/JPY!C808</f>
        <v>1.2791649611133852E-2</v>
      </c>
      <c r="N808" s="5">
        <f>1/KRW!B808</f>
        <v>8.933357155619081E-4</v>
      </c>
      <c r="O808" s="5">
        <f>1/KRW!C808</f>
        <v>8.9331935586314532E-4</v>
      </c>
      <c r="P808" s="3">
        <f>1/NOK!B808</f>
        <v>0.17544783058757479</v>
      </c>
      <c r="Q808" s="3">
        <f>1/NOK!C808</f>
        <v>0.17525718992621672</v>
      </c>
      <c r="R808" s="3">
        <f>NZD!B808/1</f>
        <v>0.83250000000000002</v>
      </c>
      <c r="S808" s="3">
        <f>NZD!C808/1</f>
        <v>0.83089999999999997</v>
      </c>
      <c r="T808" s="4">
        <f>1/PHP!B808</f>
        <v>2.4015369836695485E-2</v>
      </c>
      <c r="U808" s="4">
        <f>1/PHP!C808</f>
        <v>2.3992322456813819E-2</v>
      </c>
      <c r="V808" s="4">
        <f>1/TWD!B808</f>
        <v>3.4129692832764506E-2</v>
      </c>
      <c r="W808" s="4">
        <f>1/TWD!C808</f>
        <v>3.4129692832764506E-2</v>
      </c>
      <c r="X808" s="4">
        <f>1/TWD!B808</f>
        <v>3.4129692832764506E-2</v>
      </c>
      <c r="Y808" s="4">
        <f>1/TWD!C808</f>
        <v>3.4129692832764506E-2</v>
      </c>
      <c r="Z808" s="4">
        <f>1/ZAR!B808</f>
        <v>0.12090582645177672</v>
      </c>
      <c r="AA808" s="4">
        <f>1/ZAR!C808</f>
        <v>0.12041084179219497</v>
      </c>
    </row>
    <row r="809" spans="1:27" x14ac:dyDescent="0.25">
      <c r="A809" t="str">
        <f>"24/09/2012"</f>
        <v>24/09/2012</v>
      </c>
      <c r="B809" s="3">
        <f>AUD!B809</f>
        <v>1.0398000000000001</v>
      </c>
      <c r="C809" s="3">
        <f>AUD!C809</f>
        <v>1.0369999999999999</v>
      </c>
      <c r="D809" s="3">
        <f>1/CAD!B809</f>
        <v>1.019367991845056</v>
      </c>
      <c r="E809" s="3">
        <f>1/CAD!C809</f>
        <v>1.0187449062754685</v>
      </c>
      <c r="F809" s="3">
        <f>EUR!B809/1</f>
        <v>1.2905</v>
      </c>
      <c r="G809" s="3">
        <f>EUR!C809/1</f>
        <v>1.2908999999999999</v>
      </c>
      <c r="H809" s="3">
        <f>GBP!B809/1</f>
        <v>1.6209</v>
      </c>
      <c r="I809" s="3">
        <f>GBP!C809/1</f>
        <v>1.6206</v>
      </c>
      <c r="J809" s="4">
        <f>1/INR!B809</f>
        <v>1.8712574850299403E-2</v>
      </c>
      <c r="K809" s="4">
        <f>1/INR!C809</f>
        <v>1.8596001859600187E-2</v>
      </c>
      <c r="L809" s="4">
        <f>1/JPY!B809</f>
        <v>1.2812299807815503E-2</v>
      </c>
      <c r="M809" s="4">
        <f>1/JPY!C809</f>
        <v>1.2815091051221918E-2</v>
      </c>
      <c r="N809" s="5">
        <f>1/KRW!B809</f>
        <v>8.9229945569733202E-4</v>
      </c>
      <c r="O809" s="5">
        <f>1/KRW!C809</f>
        <v>8.9227756078083217E-4</v>
      </c>
      <c r="P809" s="3">
        <f>1/NOK!B809</f>
        <v>0.17337031900138697</v>
      </c>
      <c r="Q809" s="3">
        <f>1/NOK!C809</f>
        <v>0.17318116481651455</v>
      </c>
      <c r="R809" s="3">
        <f>NZD!B809/1</f>
        <v>0.82150000000000001</v>
      </c>
      <c r="S809" s="3">
        <f>NZD!C809/1</f>
        <v>0.81989999999999996</v>
      </c>
      <c r="T809" s="4">
        <f>1/PHP!B809</f>
        <v>2.391772303276728E-2</v>
      </c>
      <c r="U809" s="4">
        <f>1/PHP!C809</f>
        <v>2.3890295761861535E-2</v>
      </c>
      <c r="V809" s="4">
        <f>1/TWD!B809</f>
        <v>3.4013605442176874E-2</v>
      </c>
      <c r="W809" s="4">
        <f>1/TWD!C809</f>
        <v>3.4013605442176874E-2</v>
      </c>
      <c r="X809" s="4">
        <f>1/TWD!B809</f>
        <v>3.4013605442176874E-2</v>
      </c>
      <c r="Y809" s="4">
        <f>1/TWD!C809</f>
        <v>3.4013605442176874E-2</v>
      </c>
      <c r="Z809" s="4">
        <f>1/ZAR!B809</f>
        <v>0.1206520034265169</v>
      </c>
      <c r="AA809" s="4">
        <f>1/ZAR!C809</f>
        <v>0.12015620306398318</v>
      </c>
    </row>
    <row r="810" spans="1:27" x14ac:dyDescent="0.25">
      <c r="A810" t="str">
        <f>"25/09/2012"</f>
        <v>25/09/2012</v>
      </c>
      <c r="B810" s="3">
        <f>AUD!B810</f>
        <v>1.0424</v>
      </c>
      <c r="C810" s="3">
        <f>AUD!C810</f>
        <v>1.0395000000000001</v>
      </c>
      <c r="D810" s="3">
        <f>1/CAD!B810</f>
        <v>1.0201999591920017</v>
      </c>
      <c r="E810" s="3">
        <f>1/CAD!C810</f>
        <v>1.0195758564437194</v>
      </c>
      <c r="F810" s="3">
        <f>EUR!B810/1</f>
        <v>1.2901</v>
      </c>
      <c r="G810" s="3">
        <f>EUR!C810/1</f>
        <v>1.2905</v>
      </c>
      <c r="H810" s="3">
        <f>GBP!B810/1</f>
        <v>1.6226</v>
      </c>
      <c r="I810" s="3">
        <f>GBP!C810/1</f>
        <v>1.6223000000000001</v>
      </c>
      <c r="J810" s="4">
        <f>1/INR!B810</f>
        <v>1.8681113394358302E-2</v>
      </c>
      <c r="K810" s="4">
        <f>1/INR!C810</f>
        <v>1.8564930845632599E-2</v>
      </c>
      <c r="L810" s="4">
        <f>1/JPY!B810</f>
        <v>1.2855122766422419E-2</v>
      </c>
      <c r="M810" s="4">
        <f>1/JPY!C810</f>
        <v>1.2858627110100709E-2</v>
      </c>
      <c r="N810" s="5">
        <f>1/KRW!B810</f>
        <v>8.9317613433369063E-4</v>
      </c>
      <c r="O810" s="5">
        <f>1/KRW!C810</f>
        <v>8.9314941005248598E-4</v>
      </c>
      <c r="P810" s="3">
        <f>1/NOK!B810</f>
        <v>0.17372873994544918</v>
      </c>
      <c r="Q810" s="3">
        <f>1/NOK!C810</f>
        <v>0.17352073572791948</v>
      </c>
      <c r="R810" s="3">
        <f>NZD!B810/1</f>
        <v>0.8226</v>
      </c>
      <c r="S810" s="3">
        <f>NZD!C810/1</f>
        <v>0.82089999999999996</v>
      </c>
      <c r="T810" s="4">
        <f>1/PHP!B810</f>
        <v>2.3934897079942556E-2</v>
      </c>
      <c r="U810" s="4">
        <f>1/PHP!C810</f>
        <v>2.390914524805738E-2</v>
      </c>
      <c r="V810" s="4">
        <f>1/TWD!B810</f>
        <v>3.4079678287836965E-2</v>
      </c>
      <c r="W810" s="4">
        <f>1/TWD!C810</f>
        <v>3.4079678287836965E-2</v>
      </c>
      <c r="X810" s="4">
        <f>1/TWD!B810</f>
        <v>3.4079678287836965E-2</v>
      </c>
      <c r="Y810" s="4">
        <f>1/TWD!C810</f>
        <v>3.4079678287836965E-2</v>
      </c>
      <c r="Z810" s="4">
        <f>1/ZAR!B810</f>
        <v>0.12115484801124317</v>
      </c>
      <c r="AA810" s="4">
        <f>1/ZAR!C810</f>
        <v>0.12062289663823987</v>
      </c>
    </row>
    <row r="811" spans="1:27" x14ac:dyDescent="0.25">
      <c r="A811" t="str">
        <f>"26/09/2012"</f>
        <v>26/09/2012</v>
      </c>
      <c r="B811" s="3">
        <f>AUD!B811</f>
        <v>1.0354000000000001</v>
      </c>
      <c r="C811" s="3">
        <f>AUD!C811</f>
        <v>1.0324</v>
      </c>
      <c r="D811" s="3">
        <f>1/CAD!B811</f>
        <v>1.0183299389002036</v>
      </c>
      <c r="E811" s="3">
        <f>1/CAD!C811</f>
        <v>1.0176045588684237</v>
      </c>
      <c r="F811" s="3">
        <f>EUR!B811/1</f>
        <v>1.2866</v>
      </c>
      <c r="G811" s="3">
        <f>EUR!C811/1</f>
        <v>1.2870999999999999</v>
      </c>
      <c r="H811" s="3">
        <f>GBP!B811/1</f>
        <v>1.6166</v>
      </c>
      <c r="I811" s="3">
        <f>GBP!C811/1</f>
        <v>1.6163000000000001</v>
      </c>
      <c r="J811" s="4">
        <f>1/INR!B811</f>
        <v>1.8661938975459549E-2</v>
      </c>
      <c r="K811" s="4">
        <f>1/INR!C811</f>
        <v>1.8539117538005193E-2</v>
      </c>
      <c r="L811" s="4">
        <f>1/JPY!B811</f>
        <v>1.2863638994835249E-2</v>
      </c>
      <c r="M811" s="4">
        <f>1/JPY!C811</f>
        <v>1.2867313549409841E-2</v>
      </c>
      <c r="N811" s="5">
        <f>1/KRW!B811</f>
        <v>8.9190153407063858E-4</v>
      </c>
      <c r="O811" s="5">
        <f>1/KRW!C811</f>
        <v>8.9187249969118918E-4</v>
      </c>
      <c r="P811" s="3">
        <f>1/NOK!B811</f>
        <v>0.17415534656913967</v>
      </c>
      <c r="Q811" s="3">
        <f>1/NOK!C811</f>
        <v>0.17394026891165573</v>
      </c>
      <c r="R811" s="3">
        <f>NZD!B811/1</f>
        <v>0.81969999999999998</v>
      </c>
      <c r="S811" s="3">
        <f>NZD!C811/1</f>
        <v>0.81789999999999996</v>
      </c>
      <c r="T811" s="4">
        <f>1/PHP!B811</f>
        <v>2.3809523809523808E-2</v>
      </c>
      <c r="U811" s="4">
        <f>1/PHP!C811</f>
        <v>2.3784040908550363E-2</v>
      </c>
      <c r="V811" s="4">
        <f>1/TWD!B811</f>
        <v>3.4011291748860618E-2</v>
      </c>
      <c r="W811" s="4">
        <f>1/TWD!C811</f>
        <v>3.4011291748860618E-2</v>
      </c>
      <c r="X811" s="4">
        <f>1/TWD!B811</f>
        <v>3.4011291748860618E-2</v>
      </c>
      <c r="Y811" s="4">
        <f>1/TWD!C811</f>
        <v>3.4011291748860618E-2</v>
      </c>
      <c r="Z811" s="4">
        <f>1/ZAR!B811</f>
        <v>0.12126209589406542</v>
      </c>
      <c r="AA811" s="4">
        <f>1/ZAR!C811</f>
        <v>0.12071025916492643</v>
      </c>
    </row>
    <row r="812" spans="1:27" x14ac:dyDescent="0.25">
      <c r="A812" t="str">
        <f>"27/09/2012"</f>
        <v>27/09/2012</v>
      </c>
      <c r="B812" s="3">
        <f>AUD!B812</f>
        <v>1.0398000000000001</v>
      </c>
      <c r="C812" s="3">
        <f>AUD!C812</f>
        <v>1.0369999999999999</v>
      </c>
      <c r="D812" s="3">
        <f>1/CAD!B812</f>
        <v>1.017087062652563</v>
      </c>
      <c r="E812" s="3">
        <f>1/CAD!C812</f>
        <v>1.0163634515702815</v>
      </c>
      <c r="F812" s="3">
        <f>EUR!B812/1</f>
        <v>1.2877000000000001</v>
      </c>
      <c r="G812" s="3">
        <f>EUR!C812/1</f>
        <v>1.2881</v>
      </c>
      <c r="H812" s="3">
        <f>GBP!B812/1</f>
        <v>1.6181000000000001</v>
      </c>
      <c r="I812" s="3">
        <f>GBP!C812/1</f>
        <v>1.6178999999999999</v>
      </c>
      <c r="J812" s="4">
        <f>1/INR!B812</f>
        <v>1.873711823121604E-2</v>
      </c>
      <c r="K812" s="4">
        <f>1/INR!C812</f>
        <v>1.8620240201098596E-2</v>
      </c>
      <c r="L812" s="4">
        <f>1/JPY!B812</f>
        <v>1.2876641771825908E-2</v>
      </c>
      <c r="M812" s="4">
        <f>1/JPY!C812</f>
        <v>1.2879627006001907E-2</v>
      </c>
      <c r="N812" s="5">
        <f>1/KRW!B812</f>
        <v>8.9381480157311414E-4</v>
      </c>
      <c r="O812" s="5">
        <f>1/KRW!C812</f>
        <v>8.9378763963197396E-4</v>
      </c>
      <c r="P812" s="3">
        <f>1/NOK!B812</f>
        <v>0.17387373289517155</v>
      </c>
      <c r="Q812" s="3">
        <f>1/NOK!C812</f>
        <v>0.17367141368530739</v>
      </c>
      <c r="R812" s="3">
        <f>NZD!B812/1</f>
        <v>0.8256</v>
      </c>
      <c r="S812" s="3">
        <f>NZD!C812/1</f>
        <v>0.82389999999999997</v>
      </c>
      <c r="T812" s="4">
        <f>1/PHP!B812</f>
        <v>2.386634844868735E-2</v>
      </c>
      <c r="U812" s="4">
        <f>1/PHP!C812</f>
        <v>2.3843586075345733E-2</v>
      </c>
      <c r="V812" s="4">
        <f>1/TWD!B812</f>
        <v>3.4034442856170445E-2</v>
      </c>
      <c r="W812" s="4">
        <f>1/TWD!C812</f>
        <v>3.4034442856170445E-2</v>
      </c>
      <c r="X812" s="4">
        <f>1/TWD!B812</f>
        <v>3.4034442856170445E-2</v>
      </c>
      <c r="Y812" s="4">
        <f>1/TWD!C812</f>
        <v>3.4034442856170445E-2</v>
      </c>
      <c r="Z812" s="4">
        <f>1/ZAR!B812</f>
        <v>0.12177301509985387</v>
      </c>
      <c r="AA812" s="4">
        <f>1/ZAR!C812</f>
        <v>0.12119889951399242</v>
      </c>
    </row>
    <row r="813" spans="1:27" x14ac:dyDescent="0.25">
      <c r="A813" t="str">
        <f>"28/09/2012"</f>
        <v>28/09/2012</v>
      </c>
      <c r="B813" s="3">
        <f>AUD!B813</f>
        <v>1.0461</v>
      </c>
      <c r="C813" s="3">
        <f>AUD!C813</f>
        <v>1.0429999999999999</v>
      </c>
      <c r="D813" s="3">
        <f>1/CAD!B813</f>
        <v>1.021346134204882</v>
      </c>
      <c r="E813" s="3">
        <f>1/CAD!C813</f>
        <v>1.0207206287639072</v>
      </c>
      <c r="F813" s="3">
        <f>EUR!B813/1</f>
        <v>1.2928999999999999</v>
      </c>
      <c r="G813" s="3">
        <f>EUR!C813/1</f>
        <v>1.2931999999999999</v>
      </c>
      <c r="H813" s="3">
        <f>GBP!B813/1</f>
        <v>1.6256999999999999</v>
      </c>
      <c r="I813" s="3">
        <f>GBP!C813/1</f>
        <v>1.6254999999999999</v>
      </c>
      <c r="J813" s="4">
        <f>1/INR!B813</f>
        <v>1.8978933383943825E-2</v>
      </c>
      <c r="K813" s="4">
        <f>1/INR!C813</f>
        <v>1.8851918182675086E-2</v>
      </c>
      <c r="L813" s="4">
        <f>1/JPY!B813</f>
        <v>1.2908472475909562E-2</v>
      </c>
      <c r="M813" s="4">
        <f>1/JPY!C813</f>
        <v>1.2911639197154275E-2</v>
      </c>
      <c r="N813" s="5">
        <f>1/KRW!B813</f>
        <v>8.9992800575953915E-4</v>
      </c>
      <c r="O813" s="5">
        <f>1/KRW!C813</f>
        <v>8.9989885136910607E-4</v>
      </c>
      <c r="P813" s="3">
        <f>1/NOK!B813</f>
        <v>0.17533401129151033</v>
      </c>
      <c r="Q813" s="3">
        <f>1/NOK!C813</f>
        <v>0.17512521452838778</v>
      </c>
      <c r="R813" s="3">
        <f>NZD!B813/1</f>
        <v>0.8347</v>
      </c>
      <c r="S813" s="3">
        <f>NZD!C813/1</f>
        <v>0.83299999999999996</v>
      </c>
      <c r="T813" s="4">
        <f>1/PHP!B813</f>
        <v>2.3946360153256706E-2</v>
      </c>
      <c r="U813" s="4">
        <f>1/PHP!C813</f>
        <v>2.3925162092973181E-2</v>
      </c>
      <c r="V813" s="4">
        <f>1/TWD!B813</f>
        <v>3.4094783498124788E-2</v>
      </c>
      <c r="W813" s="4">
        <f>1/TWD!C813</f>
        <v>3.4094783498124788E-2</v>
      </c>
      <c r="X813" s="4">
        <f>1/TWD!B813</f>
        <v>3.4094783498124788E-2</v>
      </c>
      <c r="Y813" s="4">
        <f>1/TWD!C813</f>
        <v>3.4094783498124788E-2</v>
      </c>
      <c r="Z813" s="4">
        <f>1/ZAR!B813</f>
        <v>0.12155690078525759</v>
      </c>
      <c r="AA813" s="4">
        <f>1/ZAR!C813</f>
        <v>0.12103606874848705</v>
      </c>
    </row>
    <row r="814" spans="1:27" x14ac:dyDescent="0.25">
      <c r="A814" t="str">
        <f>"01/10/2012"</f>
        <v>01/10/2012</v>
      </c>
      <c r="B814" s="3">
        <f>AUD!B814</f>
        <v>1.0367999999999999</v>
      </c>
      <c r="C814" s="3">
        <f>AUD!C814</f>
        <v>1.0338000000000001</v>
      </c>
      <c r="D814" s="3">
        <f>1/CAD!B814</f>
        <v>1.0172939979654121</v>
      </c>
      <c r="E814" s="3">
        <f>1/CAD!C814</f>
        <v>1.0166734444896299</v>
      </c>
      <c r="F814" s="3">
        <f>EUR!B814/1</f>
        <v>1.2896000000000001</v>
      </c>
      <c r="G814" s="3">
        <f>EUR!C814/1</f>
        <v>1.29</v>
      </c>
      <c r="H814" s="3">
        <f>GBP!B814/1</f>
        <v>1.6142000000000001</v>
      </c>
      <c r="I814" s="3">
        <f>GBP!C814/1</f>
        <v>1.6140000000000001</v>
      </c>
      <c r="J814" s="4">
        <f>1/INR!B814</f>
        <v>1.89897455374098E-2</v>
      </c>
      <c r="K814" s="4">
        <f>1/INR!C814</f>
        <v>1.8865254916757064E-2</v>
      </c>
      <c r="L814" s="4">
        <f>1/JPY!B814</f>
        <v>1.2823636526846285E-2</v>
      </c>
      <c r="M814" s="4">
        <f>1/JPY!C814</f>
        <v>1.2826926283654647E-2</v>
      </c>
      <c r="N814" s="5">
        <f>1/KRW!B814</f>
        <v>8.9670014347202295E-4</v>
      </c>
      <c r="O814" s="5">
        <f>1/KRW!C814</f>
        <v>8.9667763004515658E-4</v>
      </c>
      <c r="P814" s="3">
        <f>1/NOK!B814</f>
        <v>0.17502712920502678</v>
      </c>
      <c r="Q814" s="3">
        <f>1/NOK!C814</f>
        <v>0.17481600615352341</v>
      </c>
      <c r="R814" s="3">
        <f>NZD!B814/1</f>
        <v>0.83020000000000005</v>
      </c>
      <c r="S814" s="3">
        <f>NZD!C814/1</f>
        <v>0.82830000000000004</v>
      </c>
      <c r="T814" s="4">
        <f>1/PHP!B814</f>
        <v>2.3952095808383235E-2</v>
      </c>
      <c r="U814" s="4">
        <f>1/PHP!C814</f>
        <v>2.3927451965640178E-2</v>
      </c>
      <c r="V814" s="4">
        <f>1/TWD!B814</f>
        <v>3.4123869646817948E-2</v>
      </c>
      <c r="W814" s="4">
        <f>1/TWD!C814</f>
        <v>3.4123869646817948E-2</v>
      </c>
      <c r="X814" s="4">
        <f>1/TWD!B814</f>
        <v>3.4123869646817948E-2</v>
      </c>
      <c r="Y814" s="4">
        <f>1/TWD!C814</f>
        <v>3.4123869646817948E-2</v>
      </c>
      <c r="Z814" s="4">
        <f>1/ZAR!B814</f>
        <v>0.12025445843404645</v>
      </c>
      <c r="AA814" s="4">
        <f>1/ZAR!C814</f>
        <v>0.11969883772428569</v>
      </c>
    </row>
    <row r="815" spans="1:27" x14ac:dyDescent="0.25">
      <c r="A815" t="str">
        <f>"03/10/2012"</f>
        <v>03/10/2012</v>
      </c>
      <c r="B815" s="3">
        <f>AUD!B815</f>
        <v>1.0223</v>
      </c>
      <c r="C815" s="3">
        <f>AUD!C815</f>
        <v>1.0195000000000001</v>
      </c>
      <c r="D815" s="3">
        <f>1/CAD!B815</f>
        <v>1.0139931048468871</v>
      </c>
      <c r="E815" s="3">
        <f>1/CAD!C815</f>
        <v>1.0132738879319081</v>
      </c>
      <c r="F815" s="3">
        <f>EUR!B815/1</f>
        <v>1.2923</v>
      </c>
      <c r="G815" s="3">
        <f>EUR!C815/1</f>
        <v>1.2926</v>
      </c>
      <c r="H815" s="3">
        <f>GBP!B815/1</f>
        <v>1.6120000000000001</v>
      </c>
      <c r="I815" s="3">
        <f>GBP!C815/1</f>
        <v>1.6119000000000001</v>
      </c>
      <c r="J815" s="4">
        <f>1/INR!B815</f>
        <v>1.9144251938355509E-2</v>
      </c>
      <c r="K815" s="4">
        <f>1/INR!C815</f>
        <v>1.9022256039566292E-2</v>
      </c>
      <c r="L815" s="4">
        <f>1/JPY!B815</f>
        <v>1.2781921250583176E-2</v>
      </c>
      <c r="M815" s="4">
        <f>1/JPY!C815</f>
        <v>1.2785026177341098E-2</v>
      </c>
      <c r="N815" s="5">
        <f>1/KRW!B815</f>
        <v>8.9621796020792266E-4</v>
      </c>
      <c r="O815" s="5">
        <f>1/KRW!C815</f>
        <v>8.961954709865678E-4</v>
      </c>
      <c r="P815" s="3">
        <f>1/NOK!B815</f>
        <v>0.17459624618070713</v>
      </c>
      <c r="Q815" s="3">
        <f>1/NOK!C815</f>
        <v>0.17439224303302989</v>
      </c>
      <c r="R815" s="3">
        <f>NZD!B815/1</f>
        <v>0.82210000000000005</v>
      </c>
      <c r="S815" s="3">
        <f>NZD!C815/1</f>
        <v>0.82040000000000002</v>
      </c>
      <c r="T815" s="4">
        <f>1/PHP!B815</f>
        <v>2.4032684450853159E-2</v>
      </c>
      <c r="U815" s="4">
        <f>1/PHP!C815</f>
        <v>2.4013639747376511E-2</v>
      </c>
      <c r="V815" s="4">
        <f>1/TWD!B815</f>
        <v>3.4094783498124788E-2</v>
      </c>
      <c r="W815" s="4">
        <f>1/TWD!C815</f>
        <v>3.4094783498124788E-2</v>
      </c>
      <c r="X815" s="4">
        <f>1/TWD!B815</f>
        <v>3.4094783498124788E-2</v>
      </c>
      <c r="Y815" s="4">
        <f>1/TWD!C815</f>
        <v>3.4094783498124788E-2</v>
      </c>
      <c r="Z815" s="4">
        <f>1/ZAR!B815</f>
        <v>0.11863099827985052</v>
      </c>
      <c r="AA815" s="4">
        <f>1/ZAR!C815</f>
        <v>0.11811256127089116</v>
      </c>
    </row>
    <row r="816" spans="1:27" x14ac:dyDescent="0.25">
      <c r="A816" t="str">
        <f>"04/10/2012"</f>
        <v>04/10/2012</v>
      </c>
      <c r="B816" s="3">
        <f>AUD!B816</f>
        <v>1.0224</v>
      </c>
      <c r="C816" s="3">
        <f>AUD!C816</f>
        <v>1.0196000000000001</v>
      </c>
      <c r="D816" s="3">
        <f>1/CAD!B816</f>
        <v>1.0146103896103895</v>
      </c>
      <c r="E816" s="3">
        <f>1/CAD!C816</f>
        <v>1.0139931048468871</v>
      </c>
      <c r="F816" s="3">
        <f>EUR!B816/1</f>
        <v>1.2949999999999999</v>
      </c>
      <c r="G816" s="3">
        <f>EUR!C816/1</f>
        <v>1.2954000000000001</v>
      </c>
      <c r="H816" s="3">
        <f>GBP!B816/1</f>
        <v>1.6113</v>
      </c>
      <c r="I816" s="3">
        <f>GBP!C816/1</f>
        <v>1.6111</v>
      </c>
      <c r="J816" s="4">
        <f>1/INR!B816</f>
        <v>1.9333945574943209E-2</v>
      </c>
      <c r="K816" s="4">
        <f>1/INR!C816</f>
        <v>1.9209527925851223E-2</v>
      </c>
      <c r="L816" s="4">
        <f>1/JPY!B816</f>
        <v>1.2727099175920327E-2</v>
      </c>
      <c r="M816" s="4">
        <f>1/JPY!C816</f>
        <v>1.273017752232555E-2</v>
      </c>
      <c r="N816" s="5">
        <f>1/KRW!B816</f>
        <v>8.9774665589370669E-4</v>
      </c>
      <c r="O816" s="5">
        <f>1/KRW!C816</f>
        <v>8.9772408988731756E-4</v>
      </c>
      <c r="P816" s="3">
        <f>1/NOK!B816</f>
        <v>0.1743587955294405</v>
      </c>
      <c r="Q816" s="3">
        <f>1/NOK!C816</f>
        <v>0.17415534656913967</v>
      </c>
      <c r="R816" s="3">
        <f>NZD!B816/1</f>
        <v>0.82069999999999999</v>
      </c>
      <c r="S816" s="3">
        <f>NZD!C816/1</f>
        <v>0.81899999999999995</v>
      </c>
      <c r="T816" s="4">
        <f>1/PHP!B816</f>
        <v>2.4096385542168676E-2</v>
      </c>
      <c r="U816" s="4">
        <f>1/PHP!C816</f>
        <v>2.407434156675815E-2</v>
      </c>
      <c r="V816" s="4">
        <f>1/TWD!B816</f>
        <v>3.41180484476288E-2</v>
      </c>
      <c r="W816" s="4">
        <f>1/TWD!C816</f>
        <v>3.41180484476288E-2</v>
      </c>
      <c r="X816" s="4">
        <f>1/TWD!B816</f>
        <v>3.41180484476288E-2</v>
      </c>
      <c r="Y816" s="4">
        <f>1/TWD!C816</f>
        <v>3.41180484476288E-2</v>
      </c>
      <c r="Z816" s="4">
        <f>1/ZAR!B816</f>
        <v>0.11782587691908897</v>
      </c>
      <c r="AA816" s="4">
        <f>1/ZAR!C816</f>
        <v>0.1173075569528189</v>
      </c>
    </row>
    <row r="817" spans="1:27" x14ac:dyDescent="0.25">
      <c r="A817" t="str">
        <f>"05/10/2012"</f>
        <v>05/10/2012</v>
      </c>
      <c r="B817" s="3">
        <f>AUD!B817</f>
        <v>1.0247999999999999</v>
      </c>
      <c r="C817" s="3">
        <f>AUD!C817</f>
        <v>1.022</v>
      </c>
      <c r="D817" s="3">
        <f>1/CAD!B817</f>
        <v>1.0195758564437194</v>
      </c>
      <c r="E817" s="3">
        <f>1/CAD!C817</f>
        <v>1.0188487009679061</v>
      </c>
      <c r="F817" s="3">
        <f>EUR!B817/1</f>
        <v>1.3011999999999999</v>
      </c>
      <c r="G817" s="3">
        <f>EUR!C817/1</f>
        <v>1.3015000000000001</v>
      </c>
      <c r="H817" s="3">
        <f>GBP!B817/1</f>
        <v>1.6187</v>
      </c>
      <c r="I817" s="3">
        <f>GBP!C817/1</f>
        <v>1.6184000000000001</v>
      </c>
      <c r="J817" s="4">
        <f>1/INR!B817</f>
        <v>1.9290123456790122E-2</v>
      </c>
      <c r="K817" s="4">
        <f>1/INR!C817</f>
        <v>1.9144251938355509E-2</v>
      </c>
      <c r="L817" s="4">
        <f>1/JPY!B817</f>
        <v>1.2745672844069439E-2</v>
      </c>
      <c r="M817" s="4">
        <f>1/JPY!C817</f>
        <v>1.2748922716030495E-2</v>
      </c>
      <c r="N817" s="5">
        <f>1/KRW!B817</f>
        <v>8.9960417416336822E-4</v>
      </c>
      <c r="O817" s="5">
        <f>1/KRW!C817</f>
        <v>8.9957504075074935E-4</v>
      </c>
      <c r="P817" s="3">
        <f>1/NOK!B817</f>
        <v>0.17590149516270889</v>
      </c>
      <c r="Q817" s="3">
        <f>1/NOK!C817</f>
        <v>0.17569134544432341</v>
      </c>
      <c r="R817" s="3">
        <f>NZD!B817/1</f>
        <v>0.82430000000000003</v>
      </c>
      <c r="S817" s="3">
        <f>NZD!C817/1</f>
        <v>0.82269999999999999</v>
      </c>
      <c r="T817" s="4">
        <f>1/PHP!B817</f>
        <v>2.413243882426758E-2</v>
      </c>
      <c r="U817" s="4">
        <f>1/PHP!C817</f>
        <v>2.4110328864885719E-2</v>
      </c>
      <c r="V817" s="4">
        <f>1/TWD!B817</f>
        <v>3.4205575508807935E-2</v>
      </c>
      <c r="W817" s="4">
        <f>1/TWD!C817</f>
        <v>3.4205575508807935E-2</v>
      </c>
      <c r="X817" s="4">
        <f>1/TWD!B817</f>
        <v>3.4205575508807935E-2</v>
      </c>
      <c r="Y817" s="4">
        <f>1/TWD!C817</f>
        <v>3.4205575508807935E-2</v>
      </c>
      <c r="Z817" s="4">
        <f>1/ZAR!B817</f>
        <v>0.11590977583049354</v>
      </c>
      <c r="AA817" s="4">
        <f>1/ZAR!C817</f>
        <v>0.11539881831610045</v>
      </c>
    </row>
    <row r="818" spans="1:27" x14ac:dyDescent="0.25">
      <c r="A818" t="str">
        <f>"08/10/2012"</f>
        <v>08/10/2012</v>
      </c>
      <c r="B818" s="3">
        <f>AUD!B818</f>
        <v>1.0157</v>
      </c>
      <c r="C818" s="3">
        <f>AUD!C818</f>
        <v>1.0126999999999999</v>
      </c>
      <c r="D818" s="3">
        <f>1/CAD!B818</f>
        <v>1.0218679746576742</v>
      </c>
      <c r="E818" s="3">
        <f>1/CAD!C818</f>
        <v>1.0211375472276116</v>
      </c>
      <c r="F818" s="3">
        <f>EUR!B818/1</f>
        <v>1.2985</v>
      </c>
      <c r="G818" s="3">
        <f>EUR!C818/1</f>
        <v>1.2988</v>
      </c>
      <c r="H818" s="3">
        <f>GBP!B818/1</f>
        <v>1.6107</v>
      </c>
      <c r="I818" s="3">
        <f>GBP!C818/1</f>
        <v>1.6105</v>
      </c>
      <c r="J818" s="4">
        <f>1/INR!B818</f>
        <v>1.9151584793641672E-2</v>
      </c>
      <c r="K818" s="4">
        <f>1/INR!C818</f>
        <v>1.9011406844106463E-2</v>
      </c>
      <c r="L818" s="4">
        <f>1/JPY!B818</f>
        <v>1.273228461749034E-2</v>
      </c>
      <c r="M818" s="4">
        <f>1/JPY!C818</f>
        <v>1.2735365473150665E-2</v>
      </c>
      <c r="N818" s="5">
        <f>1/KRW!B818</f>
        <v>8.9944234574563771E-4</v>
      </c>
      <c r="O818" s="5">
        <f>1/KRW!C818</f>
        <v>8.9941160492805613E-4</v>
      </c>
      <c r="P818" s="3">
        <f>1/NOK!B818</f>
        <v>0.1755094160801727</v>
      </c>
      <c r="Q818" s="3">
        <f>1/NOK!C818</f>
        <v>0.17527562091388707</v>
      </c>
      <c r="R818" s="3">
        <f>NZD!B818/1</f>
        <v>0.81730000000000003</v>
      </c>
      <c r="S818" s="3">
        <f>NZD!C818/1</f>
        <v>0.8155</v>
      </c>
      <c r="T818" s="4">
        <f>1/PHP!B818</f>
        <v>2.4108003857280617E-2</v>
      </c>
      <c r="U818" s="4">
        <f>1/PHP!C818</f>
        <v>2.4087679152113694E-2</v>
      </c>
      <c r="V818" s="4">
        <f>1/TWD!B818</f>
        <v>3.4150672768253537E-2</v>
      </c>
      <c r="W818" s="4">
        <f>1/TWD!C818</f>
        <v>3.4150672768253537E-2</v>
      </c>
      <c r="X818" s="4">
        <f>1/TWD!B818</f>
        <v>3.4150672768253537E-2</v>
      </c>
      <c r="Y818" s="4">
        <f>1/TWD!C818</f>
        <v>3.4150672768253537E-2</v>
      </c>
      <c r="Z818" s="4">
        <f>1/ZAR!B818</f>
        <v>0.1136466951541049</v>
      </c>
      <c r="AA818" s="4">
        <f>1/ZAR!C818</f>
        <v>0.11315161184471073</v>
      </c>
    </row>
    <row r="819" spans="1:27" x14ac:dyDescent="0.25">
      <c r="A819" t="str">
        <f>"09/10/2012"</f>
        <v>09/10/2012</v>
      </c>
      <c r="B819" s="3">
        <f>AUD!B819</f>
        <v>1.0204</v>
      </c>
      <c r="C819" s="3">
        <f>AUD!C819</f>
        <v>1.0175000000000001</v>
      </c>
      <c r="D819" s="3">
        <f>1/CAD!B819</f>
        <v>1.0237510237510237</v>
      </c>
      <c r="E819" s="3">
        <f>1/CAD!C819</f>
        <v>1.0230179028132993</v>
      </c>
      <c r="F819" s="3">
        <f>EUR!B819/1</f>
        <v>1.2932999999999999</v>
      </c>
      <c r="G819" s="3">
        <f>EUR!C819/1</f>
        <v>1.2937000000000001</v>
      </c>
      <c r="H819" s="3">
        <f>GBP!B819/1</f>
        <v>1.6017999999999999</v>
      </c>
      <c r="I819" s="3">
        <f>GBP!C819/1</f>
        <v>1.6015999999999999</v>
      </c>
      <c r="J819" s="4">
        <f>1/INR!B819</f>
        <v>1.8975332068311195E-2</v>
      </c>
      <c r="K819" s="4">
        <f>1/INR!C819</f>
        <v>1.8840374923460978E-2</v>
      </c>
      <c r="L819" s="4">
        <f>1/JPY!B819</f>
        <v>1.2772533943008953E-2</v>
      </c>
      <c r="M819" s="4">
        <f>1/JPY!C819</f>
        <v>1.2775797529160759E-2</v>
      </c>
      <c r="N819" s="5">
        <f>1/KRW!B819</f>
        <v>9.0009000900090005E-4</v>
      </c>
      <c r="O819" s="5">
        <f>1/KRW!C819</f>
        <v>9.0006570479645017E-4</v>
      </c>
      <c r="P819" s="3">
        <f>1/NOK!B819</f>
        <v>0.17457186250720108</v>
      </c>
      <c r="Q819" s="3">
        <f>1/NOK!C819</f>
        <v>0.17435271554354459</v>
      </c>
      <c r="R819" s="3">
        <f>NZD!B819/1</f>
        <v>0.81920000000000004</v>
      </c>
      <c r="S819" s="3">
        <f>NZD!C819/1</f>
        <v>0.8175</v>
      </c>
      <c r="T819" s="4">
        <f>1/PHP!B819</f>
        <v>2.4129527302560145E-2</v>
      </c>
      <c r="U819" s="4">
        <f>1/PHP!C819</f>
        <v>2.4108003857280617E-2</v>
      </c>
      <c r="V819" s="4">
        <f>1/TWD!B819</f>
        <v>3.4129692832764506E-2</v>
      </c>
      <c r="W819" s="4">
        <f>1/TWD!C819</f>
        <v>3.4129692832764506E-2</v>
      </c>
      <c r="X819" s="4">
        <f>1/TWD!B819</f>
        <v>3.4129692832764506E-2</v>
      </c>
      <c r="Y819" s="4">
        <f>1/TWD!C819</f>
        <v>3.4129692832764506E-2</v>
      </c>
      <c r="Z819" s="4">
        <f>1/ZAR!B819</f>
        <v>0.11380448389666552</v>
      </c>
      <c r="AA819" s="4">
        <f>1/ZAR!C819</f>
        <v>0.11325669630216888</v>
      </c>
    </row>
    <row r="820" spans="1:27" x14ac:dyDescent="0.25">
      <c r="A820" t="str">
        <f>"10/10/2012"</f>
        <v>10/10/2012</v>
      </c>
      <c r="B820" s="3">
        <f>AUD!B820</f>
        <v>1.0217000000000001</v>
      </c>
      <c r="C820" s="3">
        <f>AUD!C820</f>
        <v>1.0189999999999999</v>
      </c>
      <c r="D820" s="3">
        <f>1/CAD!B820</f>
        <v>1.0214504596527068</v>
      </c>
      <c r="E820" s="3">
        <f>1/CAD!C820</f>
        <v>1.0207206287639072</v>
      </c>
      <c r="F820" s="3">
        <f>EUR!B820/1</f>
        <v>1.2850999999999999</v>
      </c>
      <c r="G820" s="3">
        <f>EUR!C820/1</f>
        <v>1.2855000000000001</v>
      </c>
      <c r="H820" s="3">
        <f>GBP!B820/1</f>
        <v>1.599</v>
      </c>
      <c r="I820" s="3">
        <f>GBP!C820/1</f>
        <v>1.5987</v>
      </c>
      <c r="J820" s="4">
        <f>1/INR!B820</f>
        <v>1.8832391713747645E-2</v>
      </c>
      <c r="K820" s="4">
        <f>1/INR!C820</f>
        <v>1.8705574261129815E-2</v>
      </c>
      <c r="L820" s="4">
        <f>1/JPY!B820</f>
        <v>1.278277087011043E-2</v>
      </c>
      <c r="M820" s="4">
        <f>1/JPY!C820</f>
        <v>1.2786039690424406E-2</v>
      </c>
      <c r="N820" s="5">
        <f>1/KRW!B820</f>
        <v>8.9694142972463896E-4</v>
      </c>
      <c r="O820" s="5">
        <f>1/KRW!C820</f>
        <v>8.9691850194877965E-4</v>
      </c>
      <c r="P820" s="3">
        <f>1/NOK!B820</f>
        <v>0.17413715041967051</v>
      </c>
      <c r="Q820" s="3">
        <f>1/NOK!C820</f>
        <v>0.17392514261861694</v>
      </c>
      <c r="R820" s="3">
        <f>NZD!B820/1</f>
        <v>0.8165</v>
      </c>
      <c r="S820" s="3">
        <f>NZD!C820/1</f>
        <v>0.81479999999999997</v>
      </c>
      <c r="T820" s="4">
        <f>1/PHP!B820</f>
        <v>2.4032684450853159E-2</v>
      </c>
      <c r="U820" s="4">
        <f>1/PHP!C820</f>
        <v>2.4012486492976347E-2</v>
      </c>
      <c r="V820" s="4">
        <f>1/TWD!B820</f>
        <v>3.4100596760443309E-2</v>
      </c>
      <c r="W820" s="4">
        <f>1/TWD!C820</f>
        <v>3.4100596760443309E-2</v>
      </c>
      <c r="X820" s="4">
        <f>1/TWD!B820</f>
        <v>3.4100596760443309E-2</v>
      </c>
      <c r="Y820" s="4">
        <f>1/TWD!C820</f>
        <v>3.4100596760443309E-2</v>
      </c>
      <c r="Z820" s="4">
        <f>1/ZAR!B820</f>
        <v>0.11451343242562353</v>
      </c>
      <c r="AA820" s="4">
        <f>1/ZAR!C820</f>
        <v>0.11397699944151271</v>
      </c>
    </row>
    <row r="821" spans="1:27" x14ac:dyDescent="0.25">
      <c r="A821" t="str">
        <f>"11/10/2012"</f>
        <v>11/10/2012</v>
      </c>
      <c r="B821" s="3">
        <f>AUD!B821</f>
        <v>1.0275000000000001</v>
      </c>
      <c r="C821" s="3">
        <f>AUD!C821</f>
        <v>1.0247999999999999</v>
      </c>
      <c r="D821" s="3">
        <f>1/CAD!B821</f>
        <v>1.0211375472276116</v>
      </c>
      <c r="E821" s="3">
        <f>1/CAD!C821</f>
        <v>1.0204081632653061</v>
      </c>
      <c r="F821" s="3">
        <f>EUR!B821/1</f>
        <v>1.2918000000000001</v>
      </c>
      <c r="G821" s="3">
        <f>EUR!C821/1</f>
        <v>1.2922</v>
      </c>
      <c r="H821" s="3">
        <f>GBP!B821/1</f>
        <v>1.6032</v>
      </c>
      <c r="I821" s="3">
        <f>GBP!C821/1</f>
        <v>1.6029</v>
      </c>
      <c r="J821" s="4">
        <f>1/INR!B821</f>
        <v>1.8981635267878327E-2</v>
      </c>
      <c r="K821" s="4">
        <f>1/INR!C821</f>
        <v>1.8867924528301886E-2</v>
      </c>
      <c r="L821" s="4">
        <f>1/JPY!B821</f>
        <v>1.275469532221549E-2</v>
      </c>
      <c r="M821" s="4">
        <f>1/JPY!C821</f>
        <v>1.2757949797467548E-2</v>
      </c>
      <c r="N821" s="5">
        <f>1/KRW!B821</f>
        <v>8.9734386216798272E-4</v>
      </c>
      <c r="O821" s="5">
        <f>1/KRW!C821</f>
        <v>8.9732719429924451E-4</v>
      </c>
      <c r="P821" s="3">
        <f>1/NOK!B821</f>
        <v>0.17500568768484975</v>
      </c>
      <c r="Q821" s="3">
        <f>1/NOK!C821</f>
        <v>0.17480072717102504</v>
      </c>
      <c r="R821" s="3">
        <f>NZD!B821/1</f>
        <v>0.81779999999999997</v>
      </c>
      <c r="S821" s="3">
        <f>NZD!C821/1</f>
        <v>0.81620000000000004</v>
      </c>
      <c r="T821" s="4">
        <f>1/PHP!B821</f>
        <v>2.4096385542168676E-2</v>
      </c>
      <c r="U821" s="4">
        <f>1/PHP!C821</f>
        <v>2.407434156675815E-2</v>
      </c>
      <c r="V821" s="4">
        <f>1/TWD!B821</f>
        <v>3.4139014065273796E-2</v>
      </c>
      <c r="W821" s="4">
        <f>1/TWD!C821</f>
        <v>3.4139014065273796E-2</v>
      </c>
      <c r="X821" s="4">
        <f>1/TWD!B821</f>
        <v>3.4139014065273796E-2</v>
      </c>
      <c r="Y821" s="4">
        <f>1/TWD!C821</f>
        <v>3.4139014065273796E-2</v>
      </c>
      <c r="Z821" s="4">
        <f>1/ZAR!B821</f>
        <v>0.11448327971699734</v>
      </c>
      <c r="AA821" s="4">
        <f>1/ZAR!C821</f>
        <v>0.11398479442842326</v>
      </c>
    </row>
    <row r="822" spans="1:27" x14ac:dyDescent="0.25">
      <c r="A822" t="str">
        <f>"12/10/2012"</f>
        <v>12/10/2012</v>
      </c>
      <c r="B822" s="3">
        <f>AUD!B822</f>
        <v>1.0269999999999999</v>
      </c>
      <c r="C822" s="3">
        <f>AUD!C822</f>
        <v>1.0244</v>
      </c>
      <c r="D822" s="3">
        <f>1/CAD!B822</f>
        <v>1.021763563911311</v>
      </c>
      <c r="E822" s="3">
        <f>1/CAD!C822</f>
        <v>1.0210332856851132</v>
      </c>
      <c r="F822" s="3">
        <f>EUR!B822/1</f>
        <v>1.2925</v>
      </c>
      <c r="G822" s="3">
        <f>EUR!C822/1</f>
        <v>1.2928999999999999</v>
      </c>
      <c r="H822" s="3">
        <f>GBP!B822/1</f>
        <v>1.6027</v>
      </c>
      <c r="I822" s="3">
        <f>GBP!C822/1</f>
        <v>1.6024</v>
      </c>
      <c r="J822" s="4">
        <f>1/INR!B822</f>
        <v>1.8953752843062926E-2</v>
      </c>
      <c r="K822" s="4">
        <f>1/INR!C822</f>
        <v>1.8836825994819874E-2</v>
      </c>
      <c r="L822" s="4">
        <f>1/JPY!B822</f>
        <v>1.2757054651222125E-2</v>
      </c>
      <c r="M822" s="4">
        <f>1/JPY!C822</f>
        <v>1.2759984688018373E-2</v>
      </c>
      <c r="N822" s="5">
        <f>1/KRW!B822</f>
        <v>9.0009000900090005E-4</v>
      </c>
      <c r="O822" s="5">
        <f>1/KRW!C822</f>
        <v>9.0007259085445241E-4</v>
      </c>
      <c r="P822" s="3">
        <f>1/NOK!B822</f>
        <v>0.17519271198318148</v>
      </c>
      <c r="Q822" s="3">
        <f>1/NOK!C822</f>
        <v>0.17498731341977708</v>
      </c>
      <c r="R822" s="3">
        <f>NZD!B822/1</f>
        <v>0.81930000000000003</v>
      </c>
      <c r="S822" s="3">
        <f>NZD!C822/1</f>
        <v>0.81759999999999999</v>
      </c>
      <c r="T822" s="4">
        <f>1/PHP!B822</f>
        <v>2.4090580582992051E-2</v>
      </c>
      <c r="U822" s="4">
        <f>1/PHP!C822</f>
        <v>2.4073182474723159E-2</v>
      </c>
      <c r="V822" s="4">
        <f>1/TWD!B822</f>
        <v>3.4178686171303575E-2</v>
      </c>
      <c r="W822" s="4">
        <f>1/TWD!C822</f>
        <v>3.4178686171303575E-2</v>
      </c>
      <c r="X822" s="4">
        <f>1/TWD!B822</f>
        <v>3.4178686171303575E-2</v>
      </c>
      <c r="Y822" s="4">
        <f>1/TWD!C822</f>
        <v>3.4178686171303575E-2</v>
      </c>
      <c r="Z822" s="4">
        <f>1/ZAR!B822</f>
        <v>0.1152392366552964</v>
      </c>
      <c r="AA822" s="4">
        <f>1/ZAR!C822</f>
        <v>0.11471573441013169</v>
      </c>
    </row>
    <row r="823" spans="1:27" x14ac:dyDescent="0.25">
      <c r="A823" t="str">
        <f>"15/10/2012"</f>
        <v>15/10/2012</v>
      </c>
      <c r="B823" s="3">
        <f>AUD!B823</f>
        <v>1.0243</v>
      </c>
      <c r="C823" s="3">
        <f>AUD!C823</f>
        <v>1.0215000000000001</v>
      </c>
      <c r="D823" s="3">
        <f>1/CAD!B823</f>
        <v>1.0227040294538761</v>
      </c>
      <c r="E823" s="3">
        <f>1/CAD!C823</f>
        <v>1.0219724067450178</v>
      </c>
      <c r="F823" s="3">
        <f>EUR!B823/1</f>
        <v>1.2972999999999999</v>
      </c>
      <c r="G823" s="3">
        <f>EUR!C823/1</f>
        <v>1.2976000000000001</v>
      </c>
      <c r="H823" s="3">
        <f>GBP!B823/1</f>
        <v>1.6066</v>
      </c>
      <c r="I823" s="3">
        <f>GBP!C823/1</f>
        <v>1.6064000000000001</v>
      </c>
      <c r="J823" s="4">
        <f>1/INR!B823</f>
        <v>1.885902876001886E-2</v>
      </c>
      <c r="K823" s="4">
        <f>1/INR!C823</f>
        <v>1.873711823121604E-2</v>
      </c>
      <c r="L823" s="4">
        <f>1/JPY!B823</f>
        <v>1.2705995959493285E-2</v>
      </c>
      <c r="M823" s="4">
        <f>1/JPY!C823</f>
        <v>1.2709225626882552E-2</v>
      </c>
      <c r="N823" s="5">
        <f>1/KRW!B823</f>
        <v>9.0045472963846745E-4</v>
      </c>
      <c r="O823" s="5">
        <f>1/KRW!C823</f>
        <v>9.0043040573394093E-4</v>
      </c>
      <c r="P823" s="3">
        <f>1/NOK!B823</f>
        <v>0.17515588874097948</v>
      </c>
      <c r="Q823" s="3">
        <f>1/NOK!C823</f>
        <v>0.17494139463279801</v>
      </c>
      <c r="R823" s="3">
        <f>NZD!B823/1</f>
        <v>0.81610000000000005</v>
      </c>
      <c r="S823" s="3">
        <f>NZD!C823/1</f>
        <v>0.81430000000000002</v>
      </c>
      <c r="T823" s="4">
        <f>1/PHP!B823</f>
        <v>2.4119633381572598E-2</v>
      </c>
      <c r="U823" s="4">
        <f>1/PHP!C823</f>
        <v>2.4103355187042038E-2</v>
      </c>
      <c r="V823" s="4">
        <f>1/TWD!B823</f>
        <v>3.4228991956186894E-2</v>
      </c>
      <c r="W823" s="4">
        <f>1/TWD!C823</f>
        <v>3.4228991956186894E-2</v>
      </c>
      <c r="X823" s="4">
        <f>1/TWD!B823</f>
        <v>3.4228991956186894E-2</v>
      </c>
      <c r="Y823" s="4">
        <f>1/TWD!C823</f>
        <v>3.4228991956186894E-2</v>
      </c>
      <c r="Z823" s="4">
        <f>1/ZAR!B823</f>
        <v>0.11441647597254004</v>
      </c>
      <c r="AA823" s="4">
        <f>1/ZAR!C823</f>
        <v>0.11387446479001549</v>
      </c>
    </row>
    <row r="824" spans="1:27" x14ac:dyDescent="0.25">
      <c r="A824" t="str">
        <f>"16/10/2012"</f>
        <v>16/10/2012</v>
      </c>
      <c r="B824" s="3">
        <f>AUD!B824</f>
        <v>1.0274000000000001</v>
      </c>
      <c r="C824" s="3">
        <f>AUD!C824</f>
        <v>1.0246999999999999</v>
      </c>
      <c r="D824" s="3">
        <f>1/CAD!B824</f>
        <v>1.019160211985324</v>
      </c>
      <c r="E824" s="3">
        <f>1/CAD!C824</f>
        <v>1.0184336490477646</v>
      </c>
      <c r="F824" s="3">
        <f>EUR!B824/1</f>
        <v>1.2986</v>
      </c>
      <c r="G824" s="3">
        <f>EUR!C824/1</f>
        <v>1.2988999999999999</v>
      </c>
      <c r="H824" s="3">
        <f>GBP!B824/1</f>
        <v>1.6082000000000001</v>
      </c>
      <c r="I824" s="3">
        <f>GBP!C824/1</f>
        <v>1.6080000000000001</v>
      </c>
      <c r="J824" s="4">
        <f>1/INR!B824</f>
        <v>1.8926847733509982E-2</v>
      </c>
      <c r="K824" s="4">
        <f>1/INR!C824</f>
        <v>1.8810251587114978E-2</v>
      </c>
      <c r="L824" s="4">
        <f>1/JPY!B824</f>
        <v>1.2673949963245544E-2</v>
      </c>
      <c r="M824" s="4">
        <f>1/JPY!C824</f>
        <v>1.2676970508295809E-2</v>
      </c>
      <c r="N824" s="5">
        <f>1/KRW!B824</f>
        <v>9.0305684742854569E-4</v>
      </c>
      <c r="O824" s="5">
        <f>1/KRW!C824</f>
        <v>9.0302626677653481E-4</v>
      </c>
      <c r="P824" s="3">
        <f>1/NOK!B824</f>
        <v>0.17573765882290918</v>
      </c>
      <c r="Q824" s="3">
        <f>1/NOK!C824</f>
        <v>0.17552481920943622</v>
      </c>
      <c r="R824" s="3">
        <f>NZD!B824/1</f>
        <v>0.81689999999999996</v>
      </c>
      <c r="S824" s="3">
        <f>NZD!C824/1</f>
        <v>0.81520000000000004</v>
      </c>
      <c r="T824" s="4">
        <f>1/PHP!B824</f>
        <v>2.4169184290030211E-2</v>
      </c>
      <c r="U824" s="4">
        <f>1/PHP!C824</f>
        <v>2.4153422539973914E-2</v>
      </c>
      <c r="V824" s="4">
        <f>1/TWD!B824</f>
        <v>3.4231335364392566E-2</v>
      </c>
      <c r="W824" s="4">
        <f>1/TWD!C824</f>
        <v>3.4231335364392566E-2</v>
      </c>
      <c r="X824" s="4">
        <f>1/TWD!B824</f>
        <v>3.4231335364392566E-2</v>
      </c>
      <c r="Y824" s="4">
        <f>1/TWD!C824</f>
        <v>3.4231335364392566E-2</v>
      </c>
      <c r="Z824" s="4">
        <f>1/ZAR!B824</f>
        <v>0.11389521640091117</v>
      </c>
      <c r="AA824" s="4">
        <f>1/ZAR!C824</f>
        <v>0.11336968721303298</v>
      </c>
    </row>
    <row r="825" spans="1:27" x14ac:dyDescent="0.25">
      <c r="A825" t="str">
        <f>"17/10/2012"</f>
        <v>17/10/2012</v>
      </c>
      <c r="B825" s="3">
        <f>AUD!B825</f>
        <v>1.0314000000000001</v>
      </c>
      <c r="C825" s="3">
        <f>AUD!C825</f>
        <v>1.0287999999999999</v>
      </c>
      <c r="D825" s="3">
        <f>1/CAD!B825</f>
        <v>1.0140959334753068</v>
      </c>
      <c r="E825" s="3">
        <f>1/CAD!C825</f>
        <v>1.0133765707336846</v>
      </c>
      <c r="F825" s="3">
        <f>EUR!B825/1</f>
        <v>1.3088</v>
      </c>
      <c r="G825" s="3">
        <f>EUR!C825/1</f>
        <v>1.3091999999999999</v>
      </c>
      <c r="H825" s="3">
        <f>GBP!B825/1</f>
        <v>1.6125</v>
      </c>
      <c r="I825" s="3">
        <f>GBP!C825/1</f>
        <v>1.6122000000000001</v>
      </c>
      <c r="J825" s="4">
        <f>1/INR!B825</f>
        <v>1.8957345971563982E-2</v>
      </c>
      <c r="K825" s="4">
        <f>1/INR!C825</f>
        <v>1.8841262364578427E-2</v>
      </c>
      <c r="L825" s="4">
        <f>1/JPY!B825</f>
        <v>1.2711002643888551E-2</v>
      </c>
      <c r="M825" s="4">
        <f>1/JPY!C825</f>
        <v>1.2714073207633528E-2</v>
      </c>
      <c r="N825" s="5">
        <f>1/KRW!B825</f>
        <v>9.0440444966989229E-4</v>
      </c>
      <c r="O825" s="5">
        <f>1/KRW!C825</f>
        <v>9.04386455184938E-4</v>
      </c>
      <c r="P825" s="3">
        <f>1/NOK!B825</f>
        <v>0.17690974065032022</v>
      </c>
      <c r="Q825" s="3">
        <f>1/NOK!C825</f>
        <v>0.17670966601873123</v>
      </c>
      <c r="R825" s="3">
        <f>NZD!B825/1</f>
        <v>0.81769999999999998</v>
      </c>
      <c r="S825" s="3">
        <f>NZD!C825/1</f>
        <v>0.81599999999999995</v>
      </c>
      <c r="T825" s="4">
        <f>1/PHP!B825</f>
        <v>2.4257125530624622E-2</v>
      </c>
      <c r="U825" s="4">
        <f>1/PHP!C825</f>
        <v>2.4248302618816681E-2</v>
      </c>
      <c r="V825" s="4">
        <f>1/TWD!B825</f>
        <v>3.4275921165381321E-2</v>
      </c>
      <c r="W825" s="4">
        <f>1/TWD!C825</f>
        <v>3.4275921165381321E-2</v>
      </c>
      <c r="X825" s="4">
        <f>1/TWD!B825</f>
        <v>3.4275921165381321E-2</v>
      </c>
      <c r="Y825" s="4">
        <f>1/TWD!C825</f>
        <v>3.4275921165381321E-2</v>
      </c>
      <c r="Z825" s="4">
        <f>1/ZAR!B825</f>
        <v>0.11503508570113885</v>
      </c>
      <c r="AA825" s="4">
        <f>1/ZAR!C825</f>
        <v>0.11453048228786092</v>
      </c>
    </row>
    <row r="826" spans="1:27" x14ac:dyDescent="0.25">
      <c r="A826" t="str">
        <f>"18/10/2012"</f>
        <v>18/10/2012</v>
      </c>
      <c r="B826" s="3">
        <f>AUD!B826</f>
        <v>1.0381</v>
      </c>
      <c r="C826" s="3">
        <f>AUD!C826</f>
        <v>1.0354000000000001</v>
      </c>
      <c r="D826" s="3">
        <f>1/CAD!B826</f>
        <v>1.0220768601798855</v>
      </c>
      <c r="E826" s="3">
        <f>1/CAD!C826</f>
        <v>1.021346134204882</v>
      </c>
      <c r="F826" s="3">
        <f>EUR!B826/1</f>
        <v>1.3093999999999999</v>
      </c>
      <c r="G826" s="3">
        <f>EUR!C826/1</f>
        <v>1.3098000000000001</v>
      </c>
      <c r="H826" s="3">
        <f>GBP!B826/1</f>
        <v>1.6128</v>
      </c>
      <c r="I826" s="3">
        <f>GBP!C826/1</f>
        <v>1.6125</v>
      </c>
      <c r="J826" s="4">
        <f>1/INR!B826</f>
        <v>1.8848364904344547E-2</v>
      </c>
      <c r="K826" s="4">
        <f>1/INR!C826</f>
        <v>1.8730099269526127E-2</v>
      </c>
      <c r="L826" s="4">
        <f>1/JPY!B826</f>
        <v>1.2639300894988896E-2</v>
      </c>
      <c r="M826" s="4">
        <f>1/JPY!C826</f>
        <v>1.2642496741396466E-2</v>
      </c>
      <c r="N826" s="5">
        <f>1/KRW!B826</f>
        <v>9.0481360839667025E-4</v>
      </c>
      <c r="O826" s="5">
        <f>1/KRW!C826</f>
        <v>9.0478290865085565E-4</v>
      </c>
      <c r="P826" s="3">
        <f>1/NOK!B826</f>
        <v>0.17711340571367848</v>
      </c>
      <c r="Q826" s="3">
        <f>1/NOK!C826</f>
        <v>0.17690661100005306</v>
      </c>
      <c r="R826" s="3">
        <f>NZD!B826/1</f>
        <v>0.82079999999999997</v>
      </c>
      <c r="S826" s="3">
        <f>NZD!C826/1</f>
        <v>0.81920000000000004</v>
      </c>
      <c r="T826" s="4">
        <f>1/PHP!B826</f>
        <v>2.420721374969741E-2</v>
      </c>
      <c r="U826" s="4">
        <f>1/PHP!C826</f>
        <v>2.4204284158296018E-2</v>
      </c>
      <c r="V826" s="4">
        <f>1/TWD!B826</f>
        <v>3.4200896063476864E-2</v>
      </c>
      <c r="W826" s="4">
        <f>1/TWD!C826</f>
        <v>3.4200896063476864E-2</v>
      </c>
      <c r="X826" s="4">
        <f>1/TWD!B826</f>
        <v>3.4200896063476864E-2</v>
      </c>
      <c r="Y826" s="4">
        <f>1/TWD!C826</f>
        <v>3.4200896063476864E-2</v>
      </c>
      <c r="Z826" s="4">
        <f>1/ZAR!B826</f>
        <v>0.11608200032502961</v>
      </c>
      <c r="AA826" s="4">
        <f>1/ZAR!C826</f>
        <v>0.11554015020219527</v>
      </c>
    </row>
    <row r="827" spans="1:27" x14ac:dyDescent="0.25">
      <c r="A827" t="str">
        <f>"19/10/2012"</f>
        <v>19/10/2012</v>
      </c>
      <c r="B827" s="3">
        <f>AUD!B827</f>
        <v>1.0354000000000001</v>
      </c>
      <c r="C827" s="3">
        <f>AUD!C827</f>
        <v>1.0327999999999999</v>
      </c>
      <c r="D827" s="3">
        <f>1/CAD!B827</f>
        <v>1.0127607859023697</v>
      </c>
      <c r="E827" s="3">
        <f>1/CAD!C827</f>
        <v>1.0120433154539015</v>
      </c>
      <c r="F827" s="3">
        <f>EUR!B827/1</f>
        <v>1.3049999999999999</v>
      </c>
      <c r="G827" s="3">
        <f>EUR!C827/1</f>
        <v>1.3052999999999999</v>
      </c>
      <c r="H827" s="3">
        <f>GBP!B827/1</f>
        <v>1.6043000000000001</v>
      </c>
      <c r="I827" s="3">
        <f>GBP!C827/1</f>
        <v>1.6040000000000001</v>
      </c>
      <c r="J827" s="4">
        <f>1/INR!B827</f>
        <v>1.8554596901382316E-2</v>
      </c>
      <c r="K827" s="4">
        <f>1/INR!C827</f>
        <v>1.8444229261769723E-2</v>
      </c>
      <c r="L827" s="4">
        <f>1/JPY!B827</f>
        <v>1.2601918011921415E-2</v>
      </c>
      <c r="M827" s="4">
        <f>1/JPY!C827</f>
        <v>1.2604936092974008E-2</v>
      </c>
      <c r="N827" s="5">
        <f>1/KRW!B827</f>
        <v>9.0604330887016397E-4</v>
      </c>
      <c r="O827" s="5">
        <f>1/KRW!C827</f>
        <v>9.060199134116769E-4</v>
      </c>
      <c r="P827" s="3">
        <f>1/NOK!B827</f>
        <v>0.17723582999539186</v>
      </c>
      <c r="Q827" s="3">
        <f>1/NOK!C827</f>
        <v>0.17703501752646672</v>
      </c>
      <c r="R827" s="3">
        <f>NZD!B827/1</f>
        <v>0.81889999999999996</v>
      </c>
      <c r="S827" s="3">
        <f>NZD!C827/1</f>
        <v>0.81710000000000005</v>
      </c>
      <c r="T827" s="4">
        <f>1/PHP!B827</f>
        <v>2.4154589371980676E-2</v>
      </c>
      <c r="U827" s="4">
        <f>1/PHP!C827</f>
        <v>2.4145840878908607E-2</v>
      </c>
      <c r="V827" s="4">
        <f>1/TWD!B827</f>
        <v>3.4193879295606085E-2</v>
      </c>
      <c r="W827" s="4">
        <f>1/TWD!C827</f>
        <v>3.4193879295606085E-2</v>
      </c>
      <c r="X827" s="4">
        <f>1/TWD!B827</f>
        <v>3.4193879295606085E-2</v>
      </c>
      <c r="Y827" s="4">
        <f>1/TWD!C827</f>
        <v>3.4193879295606085E-2</v>
      </c>
      <c r="Z827" s="4">
        <f>1/ZAR!B827</f>
        <v>0.1154374502175996</v>
      </c>
      <c r="AA827" s="4">
        <f>1/ZAR!C827</f>
        <v>0.11492799760949765</v>
      </c>
    </row>
    <row r="828" spans="1:27" x14ac:dyDescent="0.25">
      <c r="A828" t="str">
        <f>"22/10/2012"</f>
        <v>22/10/2012</v>
      </c>
      <c r="B828" s="3">
        <f>AUD!B828</f>
        <v>1.0330999999999999</v>
      </c>
      <c r="C828" s="3">
        <f>AUD!C828</f>
        <v>1.0303</v>
      </c>
      <c r="D828" s="3">
        <f>1/CAD!B828</f>
        <v>1.0071507704703393</v>
      </c>
      <c r="E828" s="3">
        <f>1/CAD!C828</f>
        <v>1.0064412238325282</v>
      </c>
      <c r="F828" s="3">
        <f>EUR!B828/1</f>
        <v>1.3070999999999999</v>
      </c>
      <c r="G828" s="3">
        <f>EUR!C828/1</f>
        <v>1.3073999999999999</v>
      </c>
      <c r="H828" s="3">
        <f>GBP!B828/1</f>
        <v>1.6047</v>
      </c>
      <c r="I828" s="3">
        <f>GBP!C828/1</f>
        <v>1.6044</v>
      </c>
      <c r="J828" s="4">
        <f>1/INR!B828</f>
        <v>1.8698578908002993E-2</v>
      </c>
      <c r="K828" s="4">
        <f>1/INR!C828</f>
        <v>1.8583906337112061E-2</v>
      </c>
      <c r="L828" s="4">
        <f>1/JPY!B828</f>
        <v>1.2520972629153833E-2</v>
      </c>
      <c r="M828" s="4">
        <f>1/JPY!C828</f>
        <v>1.2523481527864748E-2</v>
      </c>
      <c r="N828" s="5">
        <f>1/KRW!B828</f>
        <v>9.0546903295907275E-4</v>
      </c>
      <c r="O828" s="5">
        <f>1/KRW!C828</f>
        <v>9.0545058616607328E-4</v>
      </c>
      <c r="P828" s="3">
        <f>1/NOK!B828</f>
        <v>0.17699115044247787</v>
      </c>
      <c r="Q828" s="3">
        <f>1/NOK!C828</f>
        <v>0.1767783906095319</v>
      </c>
      <c r="R828" s="3">
        <f>NZD!B828/1</f>
        <v>0.81840000000000002</v>
      </c>
      <c r="S828" s="3">
        <f>NZD!C828/1</f>
        <v>0.81659999999999999</v>
      </c>
      <c r="T828" s="4">
        <f>1/PHP!B828</f>
        <v>2.420135527589545E-2</v>
      </c>
      <c r="U828" s="4">
        <f>1/PHP!C828</f>
        <v>2.4188593626789351E-2</v>
      </c>
      <c r="V828" s="4">
        <f>1/TWD!B828</f>
        <v>3.414367659109533E-2</v>
      </c>
      <c r="W828" s="4">
        <f>1/TWD!C828</f>
        <v>3.414367659109533E-2</v>
      </c>
      <c r="X828" s="4">
        <f>1/TWD!B828</f>
        <v>3.414367659109533E-2</v>
      </c>
      <c r="Y828" s="4">
        <f>1/TWD!C828</f>
        <v>3.414367659109533E-2</v>
      </c>
      <c r="Z828" s="4">
        <f>1/ZAR!B828</f>
        <v>0.11602543277486425</v>
      </c>
      <c r="AA828" s="4">
        <f>1/ZAR!C828</f>
        <v>0.11548811049902413</v>
      </c>
    </row>
    <row r="829" spans="1:27" x14ac:dyDescent="0.25">
      <c r="A829" t="str">
        <f>"23/10/2012"</f>
        <v>23/10/2012</v>
      </c>
      <c r="B829" s="3">
        <f>AUD!B829</f>
        <v>1.0316000000000001</v>
      </c>
      <c r="C829" s="3">
        <f>AUD!C829</f>
        <v>1.0288999999999999</v>
      </c>
      <c r="D829" s="3">
        <f>1/CAD!B829</f>
        <v>1.0073536818777071</v>
      </c>
      <c r="E829" s="3">
        <f>1/CAD!C829</f>
        <v>1.0066438494060801</v>
      </c>
      <c r="F829" s="3">
        <f>EUR!B829/1</f>
        <v>1.3052999999999999</v>
      </c>
      <c r="G829" s="3">
        <f>EUR!C829/1</f>
        <v>1.3056000000000001</v>
      </c>
      <c r="H829" s="3">
        <f>GBP!B829/1</f>
        <v>1.6011</v>
      </c>
      <c r="I829" s="3">
        <f>GBP!C829/1</f>
        <v>1.6008</v>
      </c>
      <c r="J829" s="4">
        <f>1/INR!B829</f>
        <v>1.8681113394358302E-2</v>
      </c>
      <c r="K829" s="4">
        <f>1/INR!C829</f>
        <v>1.8569240053850796E-2</v>
      </c>
      <c r="L829" s="4">
        <f>1/JPY!B829</f>
        <v>1.2523873634115033E-2</v>
      </c>
      <c r="M829" s="4">
        <f>1/JPY!C829</f>
        <v>1.252638369565898E-2</v>
      </c>
      <c r="N829" s="5">
        <f>1/KRW!B829</f>
        <v>9.0670051681929448E-4</v>
      </c>
      <c r="O829" s="5">
        <f>1/KRW!C829</f>
        <v>9.0668284188856604E-4</v>
      </c>
      <c r="P829" s="3">
        <f>1/NOK!B829</f>
        <v>0.17602844619690541</v>
      </c>
      <c r="Q829" s="3">
        <f>1/NOK!C829</f>
        <v>0.175821084464449</v>
      </c>
      <c r="R829" s="3">
        <f>NZD!B829/1</f>
        <v>0.81659999999999999</v>
      </c>
      <c r="S829" s="3">
        <f>NZD!C829/1</f>
        <v>0.81479999999999997</v>
      </c>
      <c r="T829" s="4">
        <f>1/PHP!B829</f>
        <v>2.420721374969741E-2</v>
      </c>
      <c r="U829" s="4">
        <f>1/PHP!C829</f>
        <v>2.4198427102238351E-2</v>
      </c>
      <c r="V829" s="4">
        <f>1/TWD!B829</f>
        <v>3.4168175761096119E-2</v>
      </c>
      <c r="W829" s="4">
        <f>1/TWD!C829</f>
        <v>3.4168175761096119E-2</v>
      </c>
      <c r="X829" s="4">
        <f>1/TWD!B829</f>
        <v>3.4168175761096119E-2</v>
      </c>
      <c r="Y829" s="4">
        <f>1/TWD!C829</f>
        <v>3.4168175761096119E-2</v>
      </c>
      <c r="Z829" s="4">
        <f>1/ZAR!B829</f>
        <v>0.11564169576982677</v>
      </c>
      <c r="AA829" s="4">
        <f>1/ZAR!C829</f>
        <v>0.11510393885678769</v>
      </c>
    </row>
    <row r="830" spans="1:27" x14ac:dyDescent="0.25">
      <c r="A830" t="str">
        <f>"25/10/2012"</f>
        <v>25/10/2012</v>
      </c>
      <c r="B830" s="3">
        <f>AUD!B830</f>
        <v>1.0388999999999999</v>
      </c>
      <c r="C830" s="3">
        <f>AUD!C830</f>
        <v>1.0362</v>
      </c>
      <c r="D830" s="3">
        <f>1/CAD!B830</f>
        <v>1.0092854259184498</v>
      </c>
      <c r="E830" s="3">
        <f>1/CAD!C830</f>
        <v>1.0085728693898133</v>
      </c>
      <c r="F830" s="3">
        <f>EUR!B830/1</f>
        <v>1.3003</v>
      </c>
      <c r="G830" s="3">
        <f>EUR!C830/1</f>
        <v>1.3006</v>
      </c>
      <c r="H830" s="3">
        <f>GBP!B830/1</f>
        <v>1.6140000000000001</v>
      </c>
      <c r="I830" s="3">
        <f>GBP!C830/1</f>
        <v>1.6136999999999999</v>
      </c>
      <c r="J830" s="4">
        <f>1/INR!B830</f>
        <v>1.8663680477790223E-2</v>
      </c>
      <c r="K830" s="4">
        <f>1/INR!C830</f>
        <v>1.854771399425021E-2</v>
      </c>
      <c r="L830" s="4">
        <f>1/JPY!B830</f>
        <v>1.2478163214374845E-2</v>
      </c>
      <c r="M830" s="4">
        <f>1/JPY!C830</f>
        <v>1.2480343459051992E-2</v>
      </c>
      <c r="N830" s="5">
        <f>1/KRW!B830</f>
        <v>9.1049804242920884E-4</v>
      </c>
      <c r="O830" s="5">
        <f>1/KRW!C830</f>
        <v>9.1048104810936327E-4</v>
      </c>
      <c r="P830" s="3">
        <f>1/NOK!B830</f>
        <v>0.17446526396594439</v>
      </c>
      <c r="Q830" s="3">
        <f>1/NOK!C830</f>
        <v>0.17427067721585165</v>
      </c>
      <c r="R830" s="3">
        <f>NZD!B830/1</f>
        <v>0.82350000000000001</v>
      </c>
      <c r="S830" s="3">
        <f>NZD!C830/1</f>
        <v>0.82179999999999997</v>
      </c>
      <c r="T830" s="4">
        <f>1/PHP!B830</f>
        <v>2.4188476609743118E-2</v>
      </c>
      <c r="U830" s="4">
        <f>1/PHP!C830</f>
        <v>2.4175027196905594E-2</v>
      </c>
      <c r="V830" s="4">
        <f>1/TWD!B830</f>
        <v>3.4190371991247262E-2</v>
      </c>
      <c r="W830" s="4">
        <f>1/TWD!C830</f>
        <v>3.4190371991247262E-2</v>
      </c>
      <c r="X830" s="4">
        <f>1/TWD!B830</f>
        <v>3.4190371991247262E-2</v>
      </c>
      <c r="Y830" s="4">
        <f>1/TWD!C830</f>
        <v>3.4190371991247262E-2</v>
      </c>
      <c r="Z830" s="4">
        <f>1/ZAR!B830</f>
        <v>0.11495442057224312</v>
      </c>
      <c r="AA830" s="4">
        <f>1/ZAR!C830</f>
        <v>0.11444790331441128</v>
      </c>
    </row>
    <row r="831" spans="1:27" x14ac:dyDescent="0.25">
      <c r="A831" t="str">
        <f>"26/10/2012"</f>
        <v>26/10/2012</v>
      </c>
      <c r="B831" s="3">
        <f>AUD!B831</f>
        <v>1.0327</v>
      </c>
      <c r="C831" s="3">
        <f>AUD!C831</f>
        <v>1.0301</v>
      </c>
      <c r="D831" s="3">
        <f>1/CAD!B831</f>
        <v>1.0026067776218168</v>
      </c>
      <c r="E831" s="3">
        <f>1/CAD!C831</f>
        <v>1.001903616872057</v>
      </c>
      <c r="F831" s="3">
        <f>EUR!B831/1</f>
        <v>1.2907</v>
      </c>
      <c r="G831" s="3">
        <f>EUR!C831/1</f>
        <v>1.2909999999999999</v>
      </c>
      <c r="H831" s="3">
        <f>GBP!B831/1</f>
        <v>1.6114999999999999</v>
      </c>
      <c r="I831" s="3">
        <f>GBP!C831/1</f>
        <v>1.6112</v>
      </c>
      <c r="J831" s="4">
        <f>1/INR!B831</f>
        <v>1.8663680477790223E-2</v>
      </c>
      <c r="K831" s="4">
        <f>1/INR!C831</f>
        <v>1.854771399425021E-2</v>
      </c>
      <c r="L831" s="4">
        <f>1/JPY!B831</f>
        <v>1.2515440925241516E-2</v>
      </c>
      <c r="M831" s="4">
        <f>1/JPY!C831</f>
        <v>1.2518025957378625E-2</v>
      </c>
      <c r="N831" s="5">
        <f>1/KRW!B831</f>
        <v>9.1136933242196396E-4</v>
      </c>
      <c r="O831" s="5">
        <f>1/KRW!C831</f>
        <v>9.1134192364230563E-4</v>
      </c>
      <c r="P831" s="3">
        <f>1/NOK!B831</f>
        <v>0.17266087677193226</v>
      </c>
      <c r="Q831" s="3">
        <f>1/NOK!C831</f>
        <v>0.17247029199220434</v>
      </c>
      <c r="R831" s="3">
        <f>NZD!B831/1</f>
        <v>0.81889999999999996</v>
      </c>
      <c r="S831" s="3">
        <f>NZD!C831/1</f>
        <v>0.81720000000000004</v>
      </c>
      <c r="T831" s="4">
        <f>1/PHP!B831</f>
        <v>2.4195499637067505E-2</v>
      </c>
      <c r="U831" s="4">
        <f>1/PHP!C831</f>
        <v>2.4180872929512758E-2</v>
      </c>
      <c r="V831" s="4">
        <f>1/TWD!B831</f>
        <v>3.4158838599487616E-2</v>
      </c>
      <c r="W831" s="4">
        <f>1/TWD!C831</f>
        <v>3.4158838599487616E-2</v>
      </c>
      <c r="X831" s="4">
        <f>1/TWD!B831</f>
        <v>3.4158838599487616E-2</v>
      </c>
      <c r="Y831" s="4">
        <f>1/TWD!C831</f>
        <v>3.4158838599487616E-2</v>
      </c>
      <c r="Z831" s="4">
        <f>1/ZAR!B831</f>
        <v>0.11422044545973728</v>
      </c>
      <c r="AA831" s="4">
        <f>1/ZAR!C831</f>
        <v>0.11371518893778641</v>
      </c>
    </row>
    <row r="832" spans="1:27" x14ac:dyDescent="0.25">
      <c r="A832" t="str">
        <f>"29/10/2012"</f>
        <v>29/10/2012</v>
      </c>
      <c r="B832" s="3">
        <f>AUD!B832</f>
        <v>1.0355000000000001</v>
      </c>
      <c r="C832" s="3">
        <f>AUD!C832</f>
        <v>1.0329999999999999</v>
      </c>
      <c r="D832" s="3">
        <f>1/CAD!B832</f>
        <v>1.0013016921998599</v>
      </c>
      <c r="E832" s="3">
        <f>1/CAD!C832</f>
        <v>1.0006003602161297</v>
      </c>
      <c r="F832" s="3">
        <f>EUR!B832/1</f>
        <v>1.2919</v>
      </c>
      <c r="G832" s="3">
        <f>EUR!C832/1</f>
        <v>1.2922</v>
      </c>
      <c r="H832" s="3">
        <f>GBP!B832/1</f>
        <v>1.6082000000000001</v>
      </c>
      <c r="I832" s="3">
        <f>GBP!C832/1</f>
        <v>1.6080000000000001</v>
      </c>
      <c r="J832" s="4">
        <f>1/INR!B832</f>
        <v>1.858045336306206E-2</v>
      </c>
      <c r="K832" s="4">
        <f>1/INR!C832</f>
        <v>1.846892603195124E-2</v>
      </c>
      <c r="L832" s="4">
        <f>1/JPY!B832</f>
        <v>1.2542409020500567E-2</v>
      </c>
      <c r="M832" s="4">
        <f>1/JPY!C832</f>
        <v>1.2545083895248549E-2</v>
      </c>
      <c r="N832" s="5">
        <f>1/KRW!B832</f>
        <v>9.1232551774473138E-4</v>
      </c>
      <c r="O832" s="5">
        <f>1/KRW!C832</f>
        <v>9.1229721913561662E-4</v>
      </c>
      <c r="P832" s="3">
        <f>1/NOK!B832</f>
        <v>0.17323516673884798</v>
      </c>
      <c r="Q832" s="3">
        <f>1/NOK!C832</f>
        <v>0.17304031839418585</v>
      </c>
      <c r="R832" s="3">
        <f>NZD!B832/1</f>
        <v>0.82120000000000004</v>
      </c>
      <c r="S832" s="3">
        <f>NZD!C832/1</f>
        <v>0.81950000000000001</v>
      </c>
      <c r="T832" s="4">
        <f>1/PHP!B832</f>
        <v>2.4277737314882253E-2</v>
      </c>
      <c r="U832" s="4">
        <f>1/PHP!C832</f>
        <v>2.4263011039670022E-2</v>
      </c>
      <c r="V832" s="4">
        <f>1/TWD!B832</f>
        <v>3.4179854393820278E-2</v>
      </c>
      <c r="W832" s="4">
        <f>1/TWD!C832</f>
        <v>3.4179854393820278E-2</v>
      </c>
      <c r="X832" s="4">
        <f>1/TWD!B832</f>
        <v>3.4179854393820278E-2</v>
      </c>
      <c r="Y832" s="4">
        <f>1/TWD!C832</f>
        <v>3.4179854393820278E-2</v>
      </c>
      <c r="Z832" s="4">
        <f>1/ZAR!B832</f>
        <v>0.1153761840480888</v>
      </c>
      <c r="AA832" s="4">
        <f>1/ZAR!C832</f>
        <v>0.11486727086851144</v>
      </c>
    </row>
    <row r="833" spans="1:27" x14ac:dyDescent="0.25">
      <c r="A833" t="str">
        <f>"30/10/2012"</f>
        <v>30/10/2012</v>
      </c>
      <c r="B833" s="3">
        <f>AUD!B833</f>
        <v>1.0370999999999999</v>
      </c>
      <c r="C833" s="3">
        <f>AUD!C833</f>
        <v>1.0344</v>
      </c>
      <c r="D833" s="3">
        <f>1/CAD!B833</f>
        <v>0.99940035978412955</v>
      </c>
      <c r="E833" s="3">
        <f>1/CAD!C833</f>
        <v>0.99870168780585233</v>
      </c>
      <c r="F833" s="3">
        <f>EUR!B833/1</f>
        <v>1.2948</v>
      </c>
      <c r="G833" s="3">
        <f>EUR!C833/1</f>
        <v>1.2951999999999999</v>
      </c>
      <c r="H833" s="3">
        <f>GBP!B833/1</f>
        <v>1.6061000000000001</v>
      </c>
      <c r="I833" s="3">
        <f>GBP!C833/1</f>
        <v>1.6059000000000001</v>
      </c>
      <c r="J833" s="4">
        <f>1/INR!B833</f>
        <v>1.8508236165093468E-2</v>
      </c>
      <c r="K833" s="4">
        <f>1/INR!C833</f>
        <v>1.8392495861688431E-2</v>
      </c>
      <c r="L833" s="4">
        <f>1/JPY!B833</f>
        <v>1.2586453200420386E-2</v>
      </c>
      <c r="M833" s="4">
        <f>1/JPY!C833</f>
        <v>1.2589463877680769E-2</v>
      </c>
      <c r="N833" s="5">
        <f>1/KRW!B833</f>
        <v>9.1600256480718146E-4</v>
      </c>
      <c r="O833" s="5">
        <f>1/KRW!C833</f>
        <v>9.1598368633054642E-4</v>
      </c>
      <c r="P833" s="3">
        <f>1/NOK!B833</f>
        <v>0.17372572183037421</v>
      </c>
      <c r="Q833" s="3">
        <f>1/NOK!C833</f>
        <v>0.17352374672473928</v>
      </c>
      <c r="R833" s="3">
        <f>NZD!B833/1</f>
        <v>0.82240000000000002</v>
      </c>
      <c r="S833" s="3">
        <f>NZD!C833/1</f>
        <v>0.82069999999999999</v>
      </c>
      <c r="T833" s="4">
        <f>1/PHP!B833</f>
        <v>2.4274790629930817E-2</v>
      </c>
      <c r="U833" s="4">
        <f>1/PHP!C833</f>
        <v>2.4262422360248448E-2</v>
      </c>
      <c r="V833" s="4">
        <f>1/TWD!B833</f>
        <v>3.4228991956186894E-2</v>
      </c>
      <c r="W833" s="4">
        <f>1/TWD!C833</f>
        <v>3.4228991956186894E-2</v>
      </c>
      <c r="X833" s="4">
        <f>1/TWD!B833</f>
        <v>3.4228991956186894E-2</v>
      </c>
      <c r="Y833" s="4">
        <f>1/TWD!C833</f>
        <v>3.4228991956186894E-2</v>
      </c>
      <c r="Z833" s="4">
        <f>1/ZAR!B833</f>
        <v>0.1154294552884005</v>
      </c>
      <c r="AA833" s="4">
        <f>1/ZAR!C833</f>
        <v>0.11488970588235294</v>
      </c>
    </row>
    <row r="834" spans="1:27" x14ac:dyDescent="0.25">
      <c r="A834" t="str">
        <f>"31/10/2012"</f>
        <v>31/10/2012</v>
      </c>
      <c r="B834" s="3">
        <f>AUD!B834</f>
        <v>1.0392999999999999</v>
      </c>
      <c r="C834" s="3">
        <f>AUD!C834</f>
        <v>1.0367999999999999</v>
      </c>
      <c r="D834" s="3">
        <f>1/CAD!B834</f>
        <v>1.0034115994380894</v>
      </c>
      <c r="E834" s="3">
        <f>1/CAD!C834</f>
        <v>1.0028078620136383</v>
      </c>
      <c r="F834" s="3">
        <f>EUR!B834/1</f>
        <v>1.3016000000000001</v>
      </c>
      <c r="G834" s="3">
        <f>EUR!C834/1</f>
        <v>1.3019000000000001</v>
      </c>
      <c r="H834" s="3">
        <f>GBP!B834/1</f>
        <v>1.6119000000000001</v>
      </c>
      <c r="I834" s="3">
        <f>GBP!C834/1</f>
        <v>1.6116999999999999</v>
      </c>
      <c r="J834" s="4">
        <f>1/INR!B834</f>
        <v>1.8583906337112061E-2</v>
      </c>
      <c r="K834" s="4">
        <f>1/INR!C834</f>
        <v>1.8466368127048612E-2</v>
      </c>
      <c r="L834" s="4">
        <f>1/JPY!B834</f>
        <v>1.252583453372581E-2</v>
      </c>
      <c r="M834" s="4">
        <f>1/JPY!C834</f>
        <v>1.2528816277438107E-2</v>
      </c>
      <c r="N834" s="5">
        <f>1/KRW!B834</f>
        <v>9.1675834250091678E-4</v>
      </c>
      <c r="O834" s="5">
        <f>1/KRW!C834</f>
        <v>9.1673985306493647E-4</v>
      </c>
      <c r="P834" s="3">
        <f>1/NOK!B834</f>
        <v>0.17599436818021821</v>
      </c>
      <c r="Q834" s="3">
        <f>1/NOK!C834</f>
        <v>0.17579635749947262</v>
      </c>
      <c r="R834" s="3">
        <f>NZD!B834/1</f>
        <v>0.8226</v>
      </c>
      <c r="S834" s="3">
        <f>NZD!C834/1</f>
        <v>0.82099999999999995</v>
      </c>
      <c r="T834" s="4">
        <f>1/PHP!B834</f>
        <v>2.4236548715462918E-2</v>
      </c>
      <c r="U834" s="4">
        <f>1/PHP!C834</f>
        <v>2.4221872350732712E-2</v>
      </c>
      <c r="V834" s="4">
        <f>1/TWD!B834</f>
        <v>3.4240712206813906E-2</v>
      </c>
      <c r="W834" s="4">
        <f>1/TWD!C834</f>
        <v>3.4240712206813906E-2</v>
      </c>
      <c r="X834" s="4">
        <f>1/TWD!B834</f>
        <v>3.4240712206813906E-2</v>
      </c>
      <c r="Y834" s="4">
        <f>1/TWD!C834</f>
        <v>3.4240712206813906E-2</v>
      </c>
      <c r="Z834" s="4">
        <f>1/ZAR!B834</f>
        <v>0.11543212014175064</v>
      </c>
      <c r="AA834" s="4">
        <f>1/ZAR!C834</f>
        <v>0.11490818835750236</v>
      </c>
    </row>
    <row r="835" spans="1:27" x14ac:dyDescent="0.25">
      <c r="A835" t="str">
        <f>"01/11/2012"</f>
        <v>01/11/2012</v>
      </c>
      <c r="B835" s="3">
        <f>AUD!B835</f>
        <v>1.0367999999999999</v>
      </c>
      <c r="C835" s="3">
        <f>AUD!C835</f>
        <v>1.0343</v>
      </c>
      <c r="D835" s="3">
        <f>1/CAD!B835</f>
        <v>1.000100010001</v>
      </c>
      <c r="E835" s="3">
        <f>1/CAD!C835</f>
        <v>0.99940035978412955</v>
      </c>
      <c r="F835" s="3">
        <f>EUR!B835/1</f>
        <v>1.2963</v>
      </c>
      <c r="G835" s="3">
        <f>EUR!C835/1</f>
        <v>1.2966</v>
      </c>
      <c r="H835" s="3">
        <f>GBP!B835/1</f>
        <v>1.6132</v>
      </c>
      <c r="I835" s="3">
        <f>GBP!C835/1</f>
        <v>1.613</v>
      </c>
      <c r="J835" s="4">
        <f>1/INR!B835</f>
        <v>1.859254438969973E-2</v>
      </c>
      <c r="K835" s="4">
        <f>1/INR!C835</f>
        <v>1.8480872297172428E-2</v>
      </c>
      <c r="L835" s="4">
        <f>1/JPY!B835</f>
        <v>1.249867201609829E-2</v>
      </c>
      <c r="M835" s="4">
        <f>1/JPY!C835</f>
        <v>1.2501484551290467E-2</v>
      </c>
      <c r="N835" s="5">
        <f>1/KRW!B835</f>
        <v>9.1528991808155242E-4</v>
      </c>
      <c r="O835" s="5">
        <f>1/KRW!C835</f>
        <v>9.1526059757364409E-4</v>
      </c>
      <c r="P835" s="3">
        <f>1/NOK!B835</f>
        <v>0.17546014422823855</v>
      </c>
      <c r="Q835" s="3">
        <f>1/NOK!C835</f>
        <v>0.17526026148831014</v>
      </c>
      <c r="R835" s="3">
        <f>NZD!B835/1</f>
        <v>0.82199999999999995</v>
      </c>
      <c r="S835" s="3">
        <f>NZD!C835/1</f>
        <v>0.82040000000000002</v>
      </c>
      <c r="T835" s="4">
        <f>1/PHP!B835</f>
        <v>2.4271844660194174E-2</v>
      </c>
      <c r="U835" s="4">
        <f>1/PHP!C835</f>
        <v>2.4261245087097868E-2</v>
      </c>
      <c r="V835" s="4">
        <f>1/TWD!B835</f>
        <v>3.4206745570226446E-2</v>
      </c>
      <c r="W835" s="4">
        <f>1/TWD!C835</f>
        <v>3.4206745570226446E-2</v>
      </c>
      <c r="X835" s="4">
        <f>1/TWD!B835</f>
        <v>3.4206745570226446E-2</v>
      </c>
      <c r="Y835" s="4">
        <f>1/TWD!C835</f>
        <v>3.4206745570226446E-2</v>
      </c>
      <c r="Z835" s="4">
        <f>1/ZAR!B835</f>
        <v>0.11544811184613077</v>
      </c>
      <c r="AA835" s="4">
        <f>1/ZAR!C835</f>
        <v>0.11493724426463151</v>
      </c>
    </row>
    <row r="836" spans="1:27" x14ac:dyDescent="0.25">
      <c r="A836" t="str">
        <f>"02/11/2012"</f>
        <v>02/11/2012</v>
      </c>
      <c r="B836" s="3">
        <f>AUD!B836</f>
        <v>1.0379</v>
      </c>
      <c r="C836" s="3">
        <f>AUD!C836</f>
        <v>1.0355000000000001</v>
      </c>
      <c r="D836" s="3">
        <f>1/CAD!B836</f>
        <v>1.0030090270812437</v>
      </c>
      <c r="E836" s="3">
        <f>1/CAD!C836</f>
        <v>1.0024057738572574</v>
      </c>
      <c r="F836" s="3">
        <f>EUR!B836/1</f>
        <v>1.2898000000000001</v>
      </c>
      <c r="G836" s="3">
        <f>EUR!C836/1</f>
        <v>1.2902</v>
      </c>
      <c r="H836" s="3">
        <f>GBP!B836/1</f>
        <v>1.6097999999999999</v>
      </c>
      <c r="I836" s="3">
        <f>GBP!C836/1</f>
        <v>1.6095999999999999</v>
      </c>
      <c r="J836" s="4">
        <f>1/INR!B836</f>
        <v>1.8621107024812626E-2</v>
      </c>
      <c r="K836" s="4">
        <f>1/INR!C836</f>
        <v>1.8508236165093468E-2</v>
      </c>
      <c r="L836" s="4">
        <f>1/JPY!B836</f>
        <v>1.2448649321548612E-2</v>
      </c>
      <c r="M836" s="4">
        <f>1/JPY!C836</f>
        <v>1.2451501402039059E-2</v>
      </c>
      <c r="N836" s="5">
        <f>1/KRW!B836</f>
        <v>9.1659028414298811E-4</v>
      </c>
      <c r="O836" s="5">
        <f>1/KRW!C836</f>
        <v>9.1657222153733908E-4</v>
      </c>
      <c r="P836" s="3">
        <f>1/NOK!B836</f>
        <v>0.17535245844146735</v>
      </c>
      <c r="Q836" s="3">
        <f>1/NOK!C836</f>
        <v>0.17516202487300755</v>
      </c>
      <c r="R836" s="3">
        <f>NZD!B836/1</f>
        <v>0.82620000000000005</v>
      </c>
      <c r="S836" s="3">
        <f>NZD!C836/1</f>
        <v>0.82450000000000001</v>
      </c>
      <c r="T836" s="4">
        <f>1/PHP!B836</f>
        <v>2.4265954865323951E-2</v>
      </c>
      <c r="U836" s="4">
        <f>1/PHP!C836</f>
        <v>2.4255360434656058E-2</v>
      </c>
      <c r="V836" s="4">
        <f>1/TWD!B836</f>
        <v>3.4211426616489904E-2</v>
      </c>
      <c r="W836" s="4">
        <f>1/TWD!C836</f>
        <v>3.4211426616489904E-2</v>
      </c>
      <c r="X836" s="4">
        <f>1/TWD!B836</f>
        <v>3.4211426616489904E-2</v>
      </c>
      <c r="Y836" s="4">
        <f>1/TWD!C836</f>
        <v>3.4211426616489904E-2</v>
      </c>
      <c r="Z836" s="4">
        <f>1/ZAR!B836</f>
        <v>0.11546810770865087</v>
      </c>
      <c r="AA836" s="4">
        <f>1/ZAR!C836</f>
        <v>0.11497424576894776</v>
      </c>
    </row>
    <row r="837" spans="1:27" x14ac:dyDescent="0.25">
      <c r="A837" t="str">
        <f>"05/11/2012"</f>
        <v>05/11/2012</v>
      </c>
      <c r="B837" s="3">
        <f>AUD!B837</f>
        <v>1.0363</v>
      </c>
      <c r="C837" s="3">
        <f>AUD!C837</f>
        <v>1.0338000000000001</v>
      </c>
      <c r="D837" s="3">
        <f>1/CAD!B837</f>
        <v>1.0054293183189222</v>
      </c>
      <c r="E837" s="3">
        <f>1/CAD!C837</f>
        <v>1.0047221943132725</v>
      </c>
      <c r="F837" s="3">
        <f>EUR!B837/1</f>
        <v>1.2829999999999999</v>
      </c>
      <c r="G837" s="3">
        <f>EUR!C837/1</f>
        <v>1.2834000000000001</v>
      </c>
      <c r="H837" s="3">
        <f>GBP!B837/1</f>
        <v>1.6032</v>
      </c>
      <c r="I837" s="3">
        <f>GBP!C837/1</f>
        <v>1.603</v>
      </c>
      <c r="J837" s="4">
        <f>1/INR!B837</f>
        <v>1.8492834026814609E-2</v>
      </c>
      <c r="K837" s="4">
        <f>1/INR!C837</f>
        <v>1.8381508202748035E-2</v>
      </c>
      <c r="L837" s="4">
        <f>1/JPY!B837</f>
        <v>1.2436805482143858E-2</v>
      </c>
      <c r="M837" s="4">
        <f>1/JPY!C837</f>
        <v>1.2439868784264063E-2</v>
      </c>
      <c r="N837" s="5">
        <f>1/KRW!B837</f>
        <v>9.1633831210482912E-4</v>
      </c>
      <c r="O837" s="5">
        <f>1/KRW!C837</f>
        <v>9.1630892439076913E-4</v>
      </c>
      <c r="P837" s="3">
        <f>1/NOK!B837</f>
        <v>0.17429801474561205</v>
      </c>
      <c r="Q837" s="3">
        <f>1/NOK!C837</f>
        <v>0.17410380068596898</v>
      </c>
      <c r="R837" s="3">
        <f>NZD!B837/1</f>
        <v>0.82579999999999998</v>
      </c>
      <c r="S837" s="3">
        <f>NZD!C837/1</f>
        <v>0.82420000000000004</v>
      </c>
      <c r="T837" s="4">
        <f>1/PHP!B837</f>
        <v>2.4242424242424242E-2</v>
      </c>
      <c r="U837" s="4">
        <f>1/PHP!C837</f>
        <v>2.4223632575941092E-2</v>
      </c>
      <c r="V837" s="4">
        <f>1/TWD!B837</f>
        <v>3.4199726402188782E-2</v>
      </c>
      <c r="W837" s="4">
        <f>1/TWD!C837</f>
        <v>3.4199726402188782E-2</v>
      </c>
      <c r="X837" s="4">
        <f>1/TWD!B837</f>
        <v>3.4199726402188782E-2</v>
      </c>
      <c r="Y837" s="4">
        <f>1/TWD!C837</f>
        <v>3.4199726402188782E-2</v>
      </c>
      <c r="Z837" s="4">
        <f>1/ZAR!B837</f>
        <v>0.11406670620979149</v>
      </c>
      <c r="AA837" s="4">
        <f>1/ZAR!C837</f>
        <v>0.11357828383213128</v>
      </c>
    </row>
    <row r="838" spans="1:27" x14ac:dyDescent="0.25">
      <c r="A838" t="str">
        <f>"06/11/2012"</f>
        <v>06/11/2012</v>
      </c>
      <c r="B838" s="3">
        <f>AUD!B838</f>
        <v>1.0431999999999999</v>
      </c>
      <c r="C838" s="3">
        <f>AUD!C838</f>
        <v>1.0404</v>
      </c>
      <c r="D838" s="3">
        <f>1/CAD!B838</f>
        <v>1.0049241282283188</v>
      </c>
      <c r="E838" s="3">
        <f>1/CAD!C838</f>
        <v>1.004217714400482</v>
      </c>
      <c r="F838" s="3">
        <f>EUR!B838/1</f>
        <v>1.2788999999999999</v>
      </c>
      <c r="G838" s="3">
        <f>EUR!C838/1</f>
        <v>1.2791999999999999</v>
      </c>
      <c r="H838" s="3">
        <f>GBP!B838/1</f>
        <v>1.5986</v>
      </c>
      <c r="I838" s="3">
        <f>GBP!C838/1</f>
        <v>1.5985</v>
      </c>
      <c r="J838" s="4">
        <f>1/INR!B838</f>
        <v>1.8322568824149146E-2</v>
      </c>
      <c r="K838" s="4">
        <f>1/INR!C838</f>
        <v>1.8206645425580339E-2</v>
      </c>
      <c r="L838" s="4">
        <f>1/JPY!B838</f>
        <v>1.2488526166584451E-2</v>
      </c>
      <c r="M838" s="4">
        <f>1/JPY!C838</f>
        <v>1.2491693024138948E-2</v>
      </c>
      <c r="N838" s="5">
        <f>1/KRW!B838</f>
        <v>9.1625435220817292E-4</v>
      </c>
      <c r="O838" s="5">
        <f>1/KRW!C838</f>
        <v>9.1623546335172683E-4</v>
      </c>
      <c r="P838" s="3">
        <f>1/NOK!B838</f>
        <v>0.1744287458573173</v>
      </c>
      <c r="Q838" s="3">
        <f>1/NOK!C838</f>
        <v>0.17422209833095231</v>
      </c>
      <c r="R838" s="3">
        <f>NZD!B838/1</f>
        <v>0.82689999999999997</v>
      </c>
      <c r="S838" s="3">
        <f>NZD!C838/1</f>
        <v>0.82520000000000004</v>
      </c>
      <c r="T838" s="4">
        <f>1/PHP!B838</f>
        <v>2.4248302618816681E-2</v>
      </c>
      <c r="U838" s="4">
        <f>1/PHP!C838</f>
        <v>2.4224806201550386E-2</v>
      </c>
      <c r="V838" s="4">
        <f>1/TWD!B838</f>
        <v>3.42102562348192E-2</v>
      </c>
      <c r="W838" s="4">
        <f>1/TWD!C838</f>
        <v>3.42102562348192E-2</v>
      </c>
      <c r="X838" s="4">
        <f>1/TWD!B838</f>
        <v>3.42102562348192E-2</v>
      </c>
      <c r="Y838" s="4">
        <f>1/TWD!C838</f>
        <v>3.42102562348192E-2</v>
      </c>
      <c r="Z838" s="4">
        <f>1/ZAR!B838</f>
        <v>0.11457378551787352</v>
      </c>
      <c r="AA838" s="4">
        <f>1/ZAR!C838</f>
        <v>0.11394453180191884</v>
      </c>
    </row>
    <row r="839" spans="1:27" x14ac:dyDescent="0.25">
      <c r="A839" t="str">
        <f>"07/11/2012"</f>
        <v>07/11/2012</v>
      </c>
      <c r="B839" s="3">
        <f>AUD!B839</f>
        <v>1.0465</v>
      </c>
      <c r="C839" s="3">
        <f>AUD!C839</f>
        <v>1.0438000000000001</v>
      </c>
      <c r="D839" s="3">
        <f>1/CAD!B839</f>
        <v>1.0107135637760258</v>
      </c>
      <c r="E839" s="3">
        <f>1/CAD!C839</f>
        <v>1.00999899000101</v>
      </c>
      <c r="F839" s="3">
        <f>EUR!B839/1</f>
        <v>1.2871999999999999</v>
      </c>
      <c r="G839" s="3">
        <f>EUR!C839/1</f>
        <v>1.2875000000000001</v>
      </c>
      <c r="H839" s="3">
        <f>GBP!B839/1</f>
        <v>1.6033999999999999</v>
      </c>
      <c r="I839" s="3">
        <f>GBP!C839/1</f>
        <v>1.6032</v>
      </c>
      <c r="J839" s="4">
        <f>1/INR!B839</f>
        <v>1.8422991893883568E-2</v>
      </c>
      <c r="K839" s="4">
        <f>1/INR!C839</f>
        <v>1.8310826276035707E-2</v>
      </c>
      <c r="L839" s="4">
        <f>1/JPY!B839</f>
        <v>1.2483615254977841E-2</v>
      </c>
      <c r="M839" s="4">
        <f>1/JPY!C839</f>
        <v>1.2486421017143855E-2</v>
      </c>
      <c r="N839" s="5">
        <f>1/KRW!B839</f>
        <v>9.2114959469417846E-4</v>
      </c>
      <c r="O839" s="5">
        <f>1/KRW!C839</f>
        <v>9.2112074603411457E-4</v>
      </c>
      <c r="P839" s="3">
        <f>1/NOK!B839</f>
        <v>0.17583963425356075</v>
      </c>
      <c r="Q839" s="3">
        <f>1/NOK!C839</f>
        <v>0.17563580160179851</v>
      </c>
      <c r="R839" s="3">
        <f>NZD!B839/1</f>
        <v>0.8286</v>
      </c>
      <c r="S839" s="3">
        <f>NZD!C839/1</f>
        <v>0.82699999999999996</v>
      </c>
      <c r="T839" s="4">
        <f>1/PHP!B839</f>
        <v>2.4295432458697766E-2</v>
      </c>
      <c r="U839" s="4">
        <f>1/PHP!C839</f>
        <v>2.4273612156224967E-2</v>
      </c>
      <c r="V839" s="4">
        <f>1/TWD!B839</f>
        <v>3.4290025031718276E-2</v>
      </c>
      <c r="W839" s="4">
        <f>1/TWD!C839</f>
        <v>3.4290025031718276E-2</v>
      </c>
      <c r="X839" s="4">
        <f>1/TWD!B839</f>
        <v>3.4290025031718276E-2</v>
      </c>
      <c r="Y839" s="4">
        <f>1/TWD!C839</f>
        <v>3.4290025031718276E-2</v>
      </c>
      <c r="Z839" s="4">
        <f>1/ZAR!B839</f>
        <v>0.11603485687100405</v>
      </c>
      <c r="AA839" s="4">
        <f>1/ZAR!C839</f>
        <v>0.11552279842426903</v>
      </c>
    </row>
    <row r="840" spans="1:27" x14ac:dyDescent="0.25">
      <c r="A840" t="str">
        <f>"08/11/2012"</f>
        <v>08/11/2012</v>
      </c>
      <c r="B840" s="3">
        <f>AUD!B840</f>
        <v>1.0409999999999999</v>
      </c>
      <c r="C840" s="3">
        <f>AUD!C840</f>
        <v>1.0384</v>
      </c>
      <c r="D840" s="3">
        <f>1/CAD!B840</f>
        <v>1.0034115994380894</v>
      </c>
      <c r="E840" s="3">
        <f>1/CAD!C840</f>
        <v>1.002707309736288</v>
      </c>
      <c r="F840" s="3">
        <f>EUR!B840/1</f>
        <v>1.2761</v>
      </c>
      <c r="G840" s="3">
        <f>EUR!C840/1</f>
        <v>1.2764</v>
      </c>
      <c r="H840" s="3">
        <f>GBP!B840/1</f>
        <v>1.5981000000000001</v>
      </c>
      <c r="I840" s="3">
        <f>GBP!C840/1</f>
        <v>1.5979000000000001</v>
      </c>
      <c r="J840" s="4">
        <f>1/INR!B840</f>
        <v>1.8355359765051395E-2</v>
      </c>
      <c r="K840" s="4">
        <f>1/INR!C840</f>
        <v>1.8240685849787951E-2</v>
      </c>
      <c r="L840" s="4">
        <f>1/JPY!B840</f>
        <v>1.2514078338130397E-2</v>
      </c>
      <c r="M840" s="4">
        <f>1/JPY!C840</f>
        <v>1.2516741141276457E-2</v>
      </c>
      <c r="N840" s="5">
        <f>1/KRW!B840</f>
        <v>9.1751536838242031E-4</v>
      </c>
      <c r="O840" s="5">
        <f>1/KRW!C840</f>
        <v>9.1749853200234874E-4</v>
      </c>
      <c r="P840" s="3">
        <f>1/NOK!B840</f>
        <v>0.17413411809775889</v>
      </c>
      <c r="Q840" s="3">
        <f>1/NOK!C840</f>
        <v>0.17393421807872264</v>
      </c>
      <c r="R840" s="3">
        <f>NZD!B840/1</f>
        <v>0.8175</v>
      </c>
      <c r="S840" s="3">
        <f>NZD!C840/1</f>
        <v>0.81589999999999996</v>
      </c>
      <c r="T840" s="4">
        <f>1/PHP!B840</f>
        <v>2.4330900243309E-2</v>
      </c>
      <c r="U840" s="4">
        <f>1/PHP!C840</f>
        <v>2.4322023592362883E-2</v>
      </c>
      <c r="V840" s="4">
        <f>1/TWD!B840</f>
        <v>3.4348916291690998E-2</v>
      </c>
      <c r="W840" s="4">
        <f>1/TWD!C840</f>
        <v>3.4348916291690998E-2</v>
      </c>
      <c r="X840" s="4">
        <f>1/TWD!B840</f>
        <v>3.4348916291690998E-2</v>
      </c>
      <c r="Y840" s="4">
        <f>1/TWD!C840</f>
        <v>3.4348916291690998E-2</v>
      </c>
      <c r="Z840" s="4">
        <f>1/ZAR!B840</f>
        <v>0.11576619858533706</v>
      </c>
      <c r="AA840" s="4">
        <f>1/ZAR!C840</f>
        <v>0.1152604887044721</v>
      </c>
    </row>
    <row r="841" spans="1:27" x14ac:dyDescent="0.25">
      <c r="A841" t="str">
        <f>"09/11/2012"</f>
        <v>09/11/2012</v>
      </c>
      <c r="B841" s="3">
        <f>AUD!B841</f>
        <v>1.0417000000000001</v>
      </c>
      <c r="C841" s="3">
        <f>AUD!C841</f>
        <v>1.0391999999999999</v>
      </c>
      <c r="D841" s="3">
        <f>1/CAD!B841</f>
        <v>1.000300090027008</v>
      </c>
      <c r="E841" s="3">
        <f>1/CAD!C841</f>
        <v>0.99970008997300808</v>
      </c>
      <c r="F841" s="3">
        <f>EUR!B841/1</f>
        <v>1.2771999999999999</v>
      </c>
      <c r="G841" s="3">
        <f>EUR!C841/1</f>
        <v>1.2775000000000001</v>
      </c>
      <c r="H841" s="3">
        <f>GBP!B841/1</f>
        <v>1.6007</v>
      </c>
      <c r="I841" s="3">
        <f>GBP!C841/1</f>
        <v>1.6005</v>
      </c>
      <c r="J841" s="4">
        <f>1/INR!B841</f>
        <v>1.8409425625920472E-2</v>
      </c>
      <c r="K841" s="4">
        <f>1/INR!C841</f>
        <v>1.8291567587342236E-2</v>
      </c>
      <c r="L841" s="4">
        <f>1/JPY!B841</f>
        <v>1.2577746193659558E-2</v>
      </c>
      <c r="M841" s="4">
        <f>1/JPY!C841</f>
        <v>1.2579961379518565E-2</v>
      </c>
      <c r="N841" s="5">
        <f>1/KRW!B841</f>
        <v>9.1873765446276814E-4</v>
      </c>
      <c r="O841" s="5">
        <f>1/KRW!C841</f>
        <v>9.1870980070428302E-4</v>
      </c>
      <c r="P841" s="3">
        <f>1/NOK!B841</f>
        <v>0.1750884196519242</v>
      </c>
      <c r="Q841" s="3">
        <f>1/NOK!C841</f>
        <v>0.17488326542033195</v>
      </c>
      <c r="R841" s="3">
        <f>NZD!B841/1</f>
        <v>0.81620000000000004</v>
      </c>
      <c r="S841" s="3">
        <f>NZD!C841/1</f>
        <v>0.81459999999999999</v>
      </c>
      <c r="T841" s="4">
        <f>1/PHP!B841</f>
        <v>2.4342745861733205E-2</v>
      </c>
      <c r="U841" s="4">
        <f>1/PHP!C841</f>
        <v>2.4333860566978952E-2</v>
      </c>
      <c r="V841" s="4">
        <f>1/TWD!B841</f>
        <v>3.4435261707988982E-2</v>
      </c>
      <c r="W841" s="4">
        <f>1/TWD!C841</f>
        <v>3.4435261707988982E-2</v>
      </c>
      <c r="X841" s="4">
        <f>1/TWD!B841</f>
        <v>3.4435261707988982E-2</v>
      </c>
      <c r="Y841" s="4">
        <f>1/TWD!C841</f>
        <v>3.4435261707988982E-2</v>
      </c>
      <c r="Z841" s="4">
        <f>1/ZAR!B841</f>
        <v>0.11499804503323444</v>
      </c>
      <c r="AA841" s="4">
        <f>1/ZAR!C841</f>
        <v>0.1144898333028027</v>
      </c>
    </row>
    <row r="842" spans="1:27" x14ac:dyDescent="0.25">
      <c r="A842" t="str">
        <f>"12/11/2012"</f>
        <v>12/11/2012</v>
      </c>
      <c r="B842" s="3">
        <f>AUD!B842</f>
        <v>1.0422</v>
      </c>
      <c r="C842" s="3">
        <f>AUD!C842</f>
        <v>1.0396000000000001</v>
      </c>
      <c r="D842" s="3">
        <f>1/CAD!B842</f>
        <v>1.0011012113324658</v>
      </c>
      <c r="E842" s="3">
        <f>1/CAD!C842</f>
        <v>1.0005002501250624</v>
      </c>
      <c r="F842" s="3">
        <f>EUR!B842/1</f>
        <v>1.2730999999999999</v>
      </c>
      <c r="G842" s="3">
        <f>EUR!C842/1</f>
        <v>1.2734000000000001</v>
      </c>
      <c r="H842" s="3">
        <f>GBP!B842/1</f>
        <v>1.5909</v>
      </c>
      <c r="I842" s="3">
        <f>GBP!C842/1</f>
        <v>1.5907</v>
      </c>
      <c r="J842" s="4">
        <f>1/INR!B842</f>
        <v>1.829324064758072E-2</v>
      </c>
      <c r="K842" s="4">
        <f>1/INR!C842</f>
        <v>1.8184297858798926E-2</v>
      </c>
      <c r="L842" s="4">
        <f>1/JPY!B842</f>
        <v>1.2581148407226612E-2</v>
      </c>
      <c r="M842" s="4">
        <f>1/JPY!C842</f>
        <v>1.2583998187904262E-2</v>
      </c>
      <c r="N842" s="5">
        <f>1/KRW!B842</f>
        <v>9.1920213254894744E-4</v>
      </c>
      <c r="O842" s="5">
        <f>1/KRW!C842</f>
        <v>9.1917467306105853E-4</v>
      </c>
      <c r="P842" s="3">
        <f>1/NOK!B842</f>
        <v>0.17422209833095231</v>
      </c>
      <c r="Q842" s="3">
        <f>1/NOK!C842</f>
        <v>0.17401896806751935</v>
      </c>
      <c r="R842" s="3">
        <f>NZD!B842/1</f>
        <v>0.81630000000000003</v>
      </c>
      <c r="S842" s="3">
        <f>NZD!C842/1</f>
        <v>0.81469999999999998</v>
      </c>
      <c r="T842" s="4">
        <f>1/PHP!B842</f>
        <v>2.4330900243309E-2</v>
      </c>
      <c r="U842" s="4">
        <f>1/PHP!C842</f>
        <v>2.4323206771580765E-2</v>
      </c>
      <c r="V842" s="4">
        <f>1/TWD!B842</f>
        <v>3.4502984508159952E-2</v>
      </c>
      <c r="W842" s="4">
        <f>1/TWD!C842</f>
        <v>3.4502984508159952E-2</v>
      </c>
      <c r="X842" s="4">
        <f>1/TWD!B842</f>
        <v>3.4502984508159952E-2</v>
      </c>
      <c r="Y842" s="4">
        <f>1/TWD!C842</f>
        <v>3.4502984508159952E-2</v>
      </c>
      <c r="Z842" s="4">
        <f>1/ZAR!B842</f>
        <v>0.11500069000414001</v>
      </c>
      <c r="AA842" s="4">
        <f>1/ZAR!C842</f>
        <v>0.11451343242562353</v>
      </c>
    </row>
    <row r="843" spans="1:27" x14ac:dyDescent="0.25">
      <c r="A843" t="str">
        <f>"15/11/2012"</f>
        <v>15/11/2012</v>
      </c>
      <c r="B843" s="3">
        <f>AUD!B843</f>
        <v>1.0356000000000001</v>
      </c>
      <c r="C843" s="3">
        <f>AUD!C843</f>
        <v>1.0330999999999999</v>
      </c>
      <c r="D843" s="3">
        <f>1/CAD!B843</f>
        <v>0.99780482937537418</v>
      </c>
      <c r="E843" s="3">
        <f>1/CAD!C843</f>
        <v>0.99710838568152371</v>
      </c>
      <c r="F843" s="3">
        <f>EUR!B843/1</f>
        <v>1.2754000000000001</v>
      </c>
      <c r="G843" s="3">
        <f>EUR!C843/1</f>
        <v>1.2757000000000001</v>
      </c>
      <c r="H843" s="3">
        <f>GBP!B843/1</f>
        <v>1.5851</v>
      </c>
      <c r="I843" s="3">
        <f>GBP!C843/1</f>
        <v>1.5849</v>
      </c>
      <c r="J843" s="4">
        <f>1/INR!B843</f>
        <v>1.8214936247723135E-2</v>
      </c>
      <c r="K843" s="4">
        <f>1/INR!C843</f>
        <v>1.8115942028985508E-2</v>
      </c>
      <c r="L843" s="4">
        <f>1/JPY!B843</f>
        <v>1.2371414609403511E-2</v>
      </c>
      <c r="M843" s="4">
        <f>1/JPY!C843</f>
        <v>1.2373863924618421E-2</v>
      </c>
      <c r="N843" s="5">
        <f>1/KRW!B843</f>
        <v>9.2009016883654602E-4</v>
      </c>
      <c r="O843" s="5">
        <f>1/KRW!C843</f>
        <v>9.2006900517538814E-4</v>
      </c>
      <c r="P843" s="3">
        <f>1/NOK!B843</f>
        <v>0.17346655564807104</v>
      </c>
      <c r="Q843" s="3">
        <f>1/NOK!C843</f>
        <v>0.17327418907679512</v>
      </c>
      <c r="R843" s="3">
        <f>NZD!B843/1</f>
        <v>0.81200000000000006</v>
      </c>
      <c r="S843" s="3">
        <f>NZD!C843/1</f>
        <v>0.81040000000000001</v>
      </c>
      <c r="T843" s="4">
        <f>1/PHP!B843</f>
        <v>2.4221872350732712E-2</v>
      </c>
      <c r="U843" s="4">
        <f>1/PHP!C843</f>
        <v>2.4204284158296018E-2</v>
      </c>
      <c r="V843" s="4">
        <f>1/TWD!B843</f>
        <v>3.4387895460797804E-2</v>
      </c>
      <c r="W843" s="4">
        <f>1/TWD!C843</f>
        <v>3.4387895460797804E-2</v>
      </c>
      <c r="X843" s="4">
        <f>1/TWD!B843</f>
        <v>3.4387895460797804E-2</v>
      </c>
      <c r="Y843" s="4">
        <f>1/TWD!C843</f>
        <v>3.4387895460797804E-2</v>
      </c>
      <c r="Z843" s="4">
        <f>1/ZAR!B843</f>
        <v>0.1120749557303925</v>
      </c>
      <c r="AA843" s="4">
        <f>1/ZAR!C843</f>
        <v>0.11158099106236262</v>
      </c>
    </row>
    <row r="844" spans="1:27" x14ac:dyDescent="0.25">
      <c r="A844" t="str">
        <f>"16/11/2012"</f>
        <v>16/11/2012</v>
      </c>
      <c r="B844" s="3">
        <f>AUD!B844</f>
        <v>1.0334000000000001</v>
      </c>
      <c r="C844" s="3">
        <f>AUD!C844</f>
        <v>1.0308999999999999</v>
      </c>
      <c r="D844" s="3">
        <f>1/CAD!B844</f>
        <v>0.99940035978412955</v>
      </c>
      <c r="E844" s="3">
        <f>1/CAD!C844</f>
        <v>0.99880143827407097</v>
      </c>
      <c r="F844" s="3">
        <f>EUR!B844/1</f>
        <v>1.2771999999999999</v>
      </c>
      <c r="G844" s="3">
        <f>EUR!C844/1</f>
        <v>1.2775000000000001</v>
      </c>
      <c r="H844" s="3">
        <f>GBP!B844/1</f>
        <v>1.5861000000000001</v>
      </c>
      <c r="I844" s="3">
        <f>GBP!C844/1</f>
        <v>1.5859000000000001</v>
      </c>
      <c r="J844" s="4">
        <f>1/INR!B844</f>
        <v>1.81967063961423E-2</v>
      </c>
      <c r="K844" s="4">
        <f>1/INR!C844</f>
        <v>1.8094634940740071E-2</v>
      </c>
      <c r="L844" s="4">
        <f>1/JPY!B844</f>
        <v>1.232589670898558E-2</v>
      </c>
      <c r="M844" s="4">
        <f>1/JPY!C844</f>
        <v>1.2328920812574513E-2</v>
      </c>
      <c r="N844" s="5">
        <f>1/KRW!B844</f>
        <v>9.1680036672014671E-4</v>
      </c>
      <c r="O844" s="5">
        <f>1/KRW!C844</f>
        <v>9.1678565780516932E-4</v>
      </c>
      <c r="P844" s="3">
        <f>1/NOK!B844</f>
        <v>0.17349063150589866</v>
      </c>
      <c r="Q844" s="3">
        <f>1/NOK!C844</f>
        <v>0.17328619948707283</v>
      </c>
      <c r="R844" s="3">
        <f>NZD!B844/1</f>
        <v>0.81059999999999999</v>
      </c>
      <c r="S844" s="3">
        <f>NZD!C844/1</f>
        <v>0.80900000000000005</v>
      </c>
      <c r="T844" s="4">
        <f>1/PHP!B844</f>
        <v>2.420135527589545E-2</v>
      </c>
      <c r="U844" s="4">
        <f>1/PHP!C844</f>
        <v>2.4178534297250899E-2</v>
      </c>
      <c r="V844" s="4">
        <f>1/TWD!B844</f>
        <v>3.4300610550867805E-2</v>
      </c>
      <c r="W844" s="4">
        <f>1/TWD!C844</f>
        <v>3.4300610550867805E-2</v>
      </c>
      <c r="X844" s="4">
        <f>1/TWD!B844</f>
        <v>3.4300610550867805E-2</v>
      </c>
      <c r="Y844" s="4">
        <f>1/TWD!C844</f>
        <v>3.4300610550867805E-2</v>
      </c>
      <c r="Z844" s="4">
        <f>1/ZAR!B844</f>
        <v>0.11183930928042589</v>
      </c>
      <c r="AA844" s="4">
        <f>1/ZAR!C844</f>
        <v>0.11133253916122064</v>
      </c>
    </row>
    <row r="845" spans="1:27" x14ac:dyDescent="0.25">
      <c r="A845" t="str">
        <f>"19/11/2012"</f>
        <v>19/11/2012</v>
      </c>
      <c r="B845" s="3">
        <f>AUD!B845</f>
        <v>1.0392999999999999</v>
      </c>
      <c r="C845" s="3">
        <f>AUD!C845</f>
        <v>1.0367</v>
      </c>
      <c r="D845" s="3">
        <f>1/CAD!B845</f>
        <v>1.0015022533800702</v>
      </c>
      <c r="E845" s="3">
        <f>1/CAD!C845</f>
        <v>1.0008006405124099</v>
      </c>
      <c r="F845" s="3">
        <f>EUR!B845/1</f>
        <v>1.2767999999999999</v>
      </c>
      <c r="G845" s="3">
        <f>EUR!C845/1</f>
        <v>1.2770999999999999</v>
      </c>
      <c r="H845" s="3">
        <f>GBP!B845/1</f>
        <v>1.5904</v>
      </c>
      <c r="I845" s="3">
        <f>GBP!C845/1</f>
        <v>1.5902000000000001</v>
      </c>
      <c r="J845" s="4">
        <f>1/INR!B845</f>
        <v>1.8158707100054475E-2</v>
      </c>
      <c r="K845" s="4">
        <f>1/INR!C845</f>
        <v>1.8052985512479126E-2</v>
      </c>
      <c r="L845" s="4">
        <f>1/JPY!B845</f>
        <v>1.231666642033334E-2</v>
      </c>
      <c r="M845" s="4">
        <f>1/JPY!C845</f>
        <v>1.2319397630733449E-2</v>
      </c>
      <c r="N845" s="5">
        <f>1/KRW!B845</f>
        <v>9.1987857602796443E-4</v>
      </c>
      <c r="O845" s="5">
        <f>1/KRW!C845</f>
        <v>9.1986334510145179E-4</v>
      </c>
      <c r="P845" s="3">
        <f>1/NOK!B845</f>
        <v>0.17337933665065799</v>
      </c>
      <c r="Q845" s="3">
        <f>1/NOK!C845</f>
        <v>0.17318416404004017</v>
      </c>
      <c r="R845" s="3">
        <f>NZD!B845/1</f>
        <v>0.81740000000000002</v>
      </c>
      <c r="S845" s="3">
        <f>NZD!C845/1</f>
        <v>0.81569999999999998</v>
      </c>
      <c r="T845" s="4">
        <f>1/PHP!B845</f>
        <v>2.4283632831471589E-2</v>
      </c>
      <c r="U845" s="4">
        <f>1/PHP!C845</f>
        <v>2.4264777249344848E-2</v>
      </c>
      <c r="V845" s="4">
        <f>1/TWD!B845</f>
        <v>3.4312379906670326E-2</v>
      </c>
      <c r="W845" s="4">
        <f>1/TWD!C845</f>
        <v>3.4312379906670326E-2</v>
      </c>
      <c r="X845" s="4">
        <f>1/TWD!B845</f>
        <v>3.4312379906670326E-2</v>
      </c>
      <c r="Y845" s="4">
        <f>1/TWD!C845</f>
        <v>3.4312379906670326E-2</v>
      </c>
      <c r="Z845" s="4">
        <f>1/ZAR!B845</f>
        <v>0.11306333808199354</v>
      </c>
      <c r="AA845" s="4">
        <f>1/ZAR!C845</f>
        <v>0.11256697735152417</v>
      </c>
    </row>
    <row r="846" spans="1:27" x14ac:dyDescent="0.25">
      <c r="A846" t="str">
        <f>"20/11/2012"</f>
        <v>20/11/2012</v>
      </c>
      <c r="B846" s="3">
        <f>AUD!B846</f>
        <v>1.0412999999999999</v>
      </c>
      <c r="C846" s="3">
        <f>AUD!C846</f>
        <v>1.0387</v>
      </c>
      <c r="D846" s="3">
        <f>1/CAD!B846</f>
        <v>1.003814495081309</v>
      </c>
      <c r="E846" s="3">
        <f>1/CAD!C846</f>
        <v>1.0031096398836392</v>
      </c>
      <c r="F846" s="3">
        <f>EUR!B846/1</f>
        <v>1.2804</v>
      </c>
      <c r="G846" s="3">
        <f>EUR!C846/1</f>
        <v>1.2807999999999999</v>
      </c>
      <c r="H846" s="3">
        <f>GBP!B846/1</f>
        <v>1.5919000000000001</v>
      </c>
      <c r="I846" s="3">
        <f>GBP!C846/1</f>
        <v>1.5916999999999999</v>
      </c>
      <c r="J846" s="4">
        <f>1/INR!B846</f>
        <v>1.8228217280349981E-2</v>
      </c>
      <c r="K846" s="4">
        <f>1/INR!C846</f>
        <v>1.8118403768627982E-2</v>
      </c>
      <c r="L846" s="4">
        <f>1/JPY!B846</f>
        <v>1.2305450822496334E-2</v>
      </c>
      <c r="M846" s="4">
        <f>1/JPY!C846</f>
        <v>1.2307874085524955E-2</v>
      </c>
      <c r="N846" s="5">
        <f>1/KRW!B846</f>
        <v>9.2447074050106307E-4</v>
      </c>
      <c r="O846" s="5">
        <f>1/KRW!C846</f>
        <v>9.244549298176929E-4</v>
      </c>
      <c r="P846" s="3">
        <f>1/NOK!B846</f>
        <v>0.17423727632289651</v>
      </c>
      <c r="Q846" s="3">
        <f>1/NOK!C846</f>
        <v>0.17400685587012127</v>
      </c>
      <c r="R846" s="3">
        <f>NZD!B846/1</f>
        <v>0.81840000000000002</v>
      </c>
      <c r="S846" s="3">
        <f>NZD!C846/1</f>
        <v>0.81669999999999998</v>
      </c>
      <c r="T846" s="4">
        <f>1/PHP!B846</f>
        <v>2.4313153415998053E-2</v>
      </c>
      <c r="U846" s="4">
        <f>1/PHP!C846</f>
        <v>2.4295432458697766E-2</v>
      </c>
      <c r="V846" s="4">
        <f>1/TWD!B846</f>
        <v>3.4325335530154807E-2</v>
      </c>
      <c r="W846" s="4">
        <f>1/TWD!C846</f>
        <v>3.4325335530154807E-2</v>
      </c>
      <c r="X846" s="4">
        <f>1/TWD!B846</f>
        <v>3.4325335530154807E-2</v>
      </c>
      <c r="Y846" s="4">
        <f>1/TWD!C846</f>
        <v>3.4325335530154807E-2</v>
      </c>
      <c r="Z846" s="4">
        <f>1/ZAR!B846</f>
        <v>0.11296626827229389</v>
      </c>
      <c r="AA846" s="4">
        <f>1/ZAR!C846</f>
        <v>0.11243787807236501</v>
      </c>
    </row>
    <row r="847" spans="1:27" x14ac:dyDescent="0.25">
      <c r="A847" t="str">
        <f>"21/11/2012"</f>
        <v>21/11/2012</v>
      </c>
      <c r="B847" s="3">
        <f>AUD!B847</f>
        <v>1.0357000000000001</v>
      </c>
      <c r="C847" s="3">
        <f>AUD!C847</f>
        <v>1.0330999999999999</v>
      </c>
      <c r="D847" s="3">
        <f>1/CAD!B847</f>
        <v>1.001401962747847</v>
      </c>
      <c r="E847" s="3">
        <f>1/CAD!C847</f>
        <v>1.0007004903432404</v>
      </c>
      <c r="F847" s="3">
        <f>EUR!B847/1</f>
        <v>1.2755000000000001</v>
      </c>
      <c r="G847" s="3">
        <f>EUR!C847/1</f>
        <v>1.2758</v>
      </c>
      <c r="H847" s="3">
        <f>GBP!B847/1</f>
        <v>1.5907</v>
      </c>
      <c r="I847" s="3">
        <f>GBP!C847/1</f>
        <v>1.5905</v>
      </c>
      <c r="J847" s="4">
        <f>1/INR!B847</f>
        <v>1.8083182640144666E-2</v>
      </c>
      <c r="K847" s="4">
        <f>1/INR!C847</f>
        <v>1.7972681524083392E-2</v>
      </c>
      <c r="L847" s="4">
        <f>1/JPY!B847</f>
        <v>1.2213591284381259E-2</v>
      </c>
      <c r="M847" s="4">
        <f>1/JPY!C847</f>
        <v>1.2215978499877841E-2</v>
      </c>
      <c r="N847" s="5">
        <f>1/KRW!B847</f>
        <v>9.2267946115519469E-4</v>
      </c>
      <c r="O847" s="5">
        <f>1/KRW!C847</f>
        <v>9.2265307045102062E-4</v>
      </c>
      <c r="P847" s="3">
        <f>1/NOK!B847</f>
        <v>0.17383746197305519</v>
      </c>
      <c r="Q847" s="3">
        <f>1/NOK!C847</f>
        <v>0.17360508315683482</v>
      </c>
      <c r="R847" s="3">
        <f>NZD!B847/1</f>
        <v>0.81330000000000002</v>
      </c>
      <c r="S847" s="3">
        <f>NZD!C847/1</f>
        <v>0.81159999999999999</v>
      </c>
      <c r="T847" s="4">
        <f>1/PHP!B847</f>
        <v>2.4265954865323951E-2</v>
      </c>
      <c r="U847" s="4">
        <f>1/PHP!C847</f>
        <v>2.4251242876197406E-2</v>
      </c>
      <c r="V847" s="4">
        <f>1/TWD!B847</f>
        <v>3.4250094187759018E-2</v>
      </c>
      <c r="W847" s="4">
        <f>1/TWD!C847</f>
        <v>3.4250094187759018E-2</v>
      </c>
      <c r="X847" s="4">
        <f>1/TWD!B847</f>
        <v>3.4250094187759018E-2</v>
      </c>
      <c r="Y847" s="4">
        <f>1/TWD!C847</f>
        <v>3.4250094187759018E-2</v>
      </c>
      <c r="Z847" s="4">
        <f>1/ZAR!B847</f>
        <v>0.11245684468585179</v>
      </c>
      <c r="AA847" s="4">
        <f>1/ZAR!C847</f>
        <v>0.11193069251519458</v>
      </c>
    </row>
    <row r="848" spans="1:27" x14ac:dyDescent="0.25">
      <c r="A848" t="str">
        <f>"22/11/2012"</f>
        <v>22/11/2012</v>
      </c>
      <c r="B848" s="3">
        <f>AUD!B848</f>
        <v>1.0361</v>
      </c>
      <c r="C848" s="3">
        <f>AUD!C848</f>
        <v>1.0334000000000001</v>
      </c>
      <c r="D848" s="3">
        <f>1/CAD!B848</f>
        <v>1.0032102728731942</v>
      </c>
      <c r="E848" s="3">
        <f>1/CAD!C848</f>
        <v>1.0026067776218168</v>
      </c>
      <c r="F848" s="3">
        <f>EUR!B848/1</f>
        <v>1.2866</v>
      </c>
      <c r="G848" s="3">
        <f>EUR!C848/1</f>
        <v>1.2867999999999999</v>
      </c>
      <c r="H848" s="3">
        <f>GBP!B848/1</f>
        <v>1.5951</v>
      </c>
      <c r="I848" s="3">
        <f>GBP!C848/1</f>
        <v>1.5949</v>
      </c>
      <c r="J848" s="4">
        <f>1/INR!B848</f>
        <v>1.8102824040550324E-2</v>
      </c>
      <c r="K848" s="4">
        <f>1/INR!C848</f>
        <v>1.8002610378504882E-2</v>
      </c>
      <c r="L848" s="4">
        <f>1/JPY!B848</f>
        <v>1.2088974854932303E-2</v>
      </c>
      <c r="M848" s="4">
        <f>1/JPY!C848</f>
        <v>1.2091459801941888E-2</v>
      </c>
      <c r="N848" s="5">
        <f>1/KRW!B848</f>
        <v>9.2076792044565173E-4</v>
      </c>
      <c r="O848" s="5">
        <f>1/KRW!C848</f>
        <v>9.2074672559445709E-4</v>
      </c>
      <c r="P848" s="3">
        <f>1/NOK!B848</f>
        <v>0.17530942112829143</v>
      </c>
      <c r="Q848" s="3">
        <f>1/NOK!C848</f>
        <v>0.17510374897126549</v>
      </c>
      <c r="R848" s="3">
        <f>NZD!B848/1</f>
        <v>0.81389999999999996</v>
      </c>
      <c r="S848" s="3">
        <f>NZD!C848/1</f>
        <v>0.81220000000000003</v>
      </c>
      <c r="T848" s="4">
        <f>1/PHP!B848</f>
        <v>2.4342745861733205E-2</v>
      </c>
      <c r="U848" s="4">
        <f>1/PHP!C848</f>
        <v>2.4325573475394682E-2</v>
      </c>
      <c r="V848" s="4">
        <f>1/TWD!B848</f>
        <v>3.4279446044151923E-2</v>
      </c>
      <c r="W848" s="4">
        <f>1/TWD!C848</f>
        <v>3.4279446044151923E-2</v>
      </c>
      <c r="X848" s="4">
        <f>1/TWD!B848</f>
        <v>3.4279446044151923E-2</v>
      </c>
      <c r="Y848" s="4">
        <f>1/TWD!C848</f>
        <v>3.4279446044151923E-2</v>
      </c>
      <c r="Z848" s="4">
        <f>1/ZAR!B848</f>
        <v>0.11138338159946536</v>
      </c>
      <c r="AA848" s="4">
        <f>1/ZAR!C848</f>
        <v>0.11087826675093415</v>
      </c>
    </row>
    <row r="849" spans="1:27" x14ac:dyDescent="0.25">
      <c r="A849" t="str">
        <f>"23/11/2012"</f>
        <v>23/11/2012</v>
      </c>
      <c r="B849" s="3">
        <f>AUD!B849</f>
        <v>1.04</v>
      </c>
      <c r="C849" s="3">
        <f>AUD!C849</f>
        <v>1.0374000000000001</v>
      </c>
      <c r="D849" s="3">
        <f>1/CAD!B849</f>
        <v>1.0023053021950485</v>
      </c>
      <c r="E849" s="3">
        <f>1/CAD!C849</f>
        <v>1.0016025641025641</v>
      </c>
      <c r="F849" s="3">
        <f>EUR!B849/1</f>
        <v>1.2882</v>
      </c>
      <c r="G849" s="3">
        <f>EUR!C849/1</f>
        <v>1.2886</v>
      </c>
      <c r="H849" s="3">
        <f>GBP!B849/1</f>
        <v>1.5941000000000001</v>
      </c>
      <c r="I849" s="3">
        <f>GBP!C849/1</f>
        <v>1.5939000000000001</v>
      </c>
      <c r="J849" s="4">
        <f>1/INR!B849</f>
        <v>1.8026137899954935E-2</v>
      </c>
      <c r="K849" s="4">
        <f>1/INR!C849</f>
        <v>1.7927572606669058E-2</v>
      </c>
      <c r="L849" s="4">
        <f>1/JPY!B849</f>
        <v>1.2172187768168512E-2</v>
      </c>
      <c r="M849" s="4">
        <f>1/JPY!C849</f>
        <v>1.2174899739700644E-2</v>
      </c>
      <c r="N849" s="5">
        <f>1/KRW!B849</f>
        <v>9.2055601583356352E-4</v>
      </c>
      <c r="O849" s="5">
        <f>1/KRW!C849</f>
        <v>9.2053525442904033E-4</v>
      </c>
      <c r="P849" s="3">
        <f>1/NOK!B849</f>
        <v>0.1756728269271309</v>
      </c>
      <c r="Q849" s="3">
        <f>1/NOK!C849</f>
        <v>0.1754693805930865</v>
      </c>
      <c r="R849" s="3">
        <f>NZD!B849/1</f>
        <v>0.81730000000000003</v>
      </c>
      <c r="S849" s="3">
        <f>NZD!C849/1</f>
        <v>0.81569999999999998</v>
      </c>
      <c r="T849" s="4">
        <f>1/PHP!B849</f>
        <v>2.4342745861733205E-2</v>
      </c>
      <c r="U849" s="4">
        <f>1/PHP!C849</f>
        <v>2.4326165223314197E-2</v>
      </c>
      <c r="V849" s="4">
        <f>1/TWD!B849</f>
        <v>3.4293552812071332E-2</v>
      </c>
      <c r="W849" s="4">
        <f>1/TWD!C849</f>
        <v>3.4293552812071332E-2</v>
      </c>
      <c r="X849" s="4">
        <f>1/TWD!B849</f>
        <v>3.4293552812071332E-2</v>
      </c>
      <c r="Y849" s="4">
        <f>1/TWD!C849</f>
        <v>3.4293552812071332E-2</v>
      </c>
      <c r="Z849" s="4">
        <f>1/ZAR!B849</f>
        <v>0.11185932571198461</v>
      </c>
      <c r="AA849" s="4">
        <f>1/ZAR!C849</f>
        <v>0.11136973638783396</v>
      </c>
    </row>
    <row r="850" spans="1:27" x14ac:dyDescent="0.25">
      <c r="A850" t="str">
        <f>"26/11/2012"</f>
        <v>26/11/2012</v>
      </c>
      <c r="B850" s="3">
        <f>AUD!B850</f>
        <v>1.0457000000000001</v>
      </c>
      <c r="C850" s="3">
        <f>AUD!C850</f>
        <v>1.0430999999999999</v>
      </c>
      <c r="D850" s="3">
        <f>1/CAD!B850</f>
        <v>1.0076582023377672</v>
      </c>
      <c r="E850" s="3">
        <f>1/CAD!C850</f>
        <v>1.006947940791461</v>
      </c>
      <c r="F850" s="3">
        <f>EUR!B850/1</f>
        <v>1.2955000000000001</v>
      </c>
      <c r="G850" s="3">
        <f>EUR!C850/1</f>
        <v>1.2958000000000001</v>
      </c>
      <c r="H850" s="3">
        <f>GBP!B850/1</f>
        <v>1.6025</v>
      </c>
      <c r="I850" s="3">
        <f>GBP!C850/1</f>
        <v>1.6023000000000001</v>
      </c>
      <c r="J850" s="4">
        <f>1/INR!B850</f>
        <v>1.8022889069117781E-2</v>
      </c>
      <c r="K850" s="4">
        <f>1/INR!C850</f>
        <v>1.7918738520808136E-2</v>
      </c>
      <c r="L850" s="4">
        <f>1/JPY!B850</f>
        <v>1.2152144853566653E-2</v>
      </c>
      <c r="M850" s="4">
        <f>1/JPY!C850</f>
        <v>1.2154833126296009E-2</v>
      </c>
      <c r="N850" s="5">
        <f>1/KRW!B850</f>
        <v>9.2140422003132781E-4</v>
      </c>
      <c r="O850" s="5">
        <f>1/KRW!C850</f>
        <v>9.2138936302049853E-4</v>
      </c>
      <c r="P850" s="3">
        <f>1/NOK!B850</f>
        <v>0.17627357659086904</v>
      </c>
      <c r="Q850" s="3">
        <f>1/NOK!C850</f>
        <v>0.17606563726957408</v>
      </c>
      <c r="R850" s="3">
        <f>NZD!B850/1</f>
        <v>0.82369999999999999</v>
      </c>
      <c r="S850" s="3">
        <f>NZD!C850/1</f>
        <v>0.82210000000000005</v>
      </c>
      <c r="T850" s="4">
        <f>1/PHP!B850</f>
        <v>2.4384296513045599E-2</v>
      </c>
      <c r="U850" s="4">
        <f>1/PHP!C850</f>
        <v>2.4378352023403216E-2</v>
      </c>
      <c r="V850" s="4">
        <f>1/TWD!B850</f>
        <v>3.4314734747100409E-2</v>
      </c>
      <c r="W850" s="4">
        <f>1/TWD!C850</f>
        <v>3.4314734747100409E-2</v>
      </c>
      <c r="X850" s="4">
        <f>1/TWD!B850</f>
        <v>3.4314734747100409E-2</v>
      </c>
      <c r="Y850" s="4">
        <f>1/TWD!C850</f>
        <v>3.4314734747100409E-2</v>
      </c>
      <c r="Z850" s="4">
        <f>1/ZAR!B850</f>
        <v>0.11242776516088412</v>
      </c>
      <c r="AA850" s="4">
        <f>1/ZAR!C850</f>
        <v>0.11191816543743215</v>
      </c>
    </row>
    <row r="851" spans="1:27" x14ac:dyDescent="0.25">
      <c r="A851" t="str">
        <f>"27/11/2012"</f>
        <v>27/11/2012</v>
      </c>
      <c r="B851" s="3">
        <f>AUD!B851</f>
        <v>1.0478000000000001</v>
      </c>
      <c r="C851" s="3">
        <f>AUD!C851</f>
        <v>1.0449999999999999</v>
      </c>
      <c r="D851" s="3">
        <f>1/CAD!B851</f>
        <v>1.0070493454179255</v>
      </c>
      <c r="E851" s="3">
        <f>1/CAD!C851</f>
        <v>1.0063399416322834</v>
      </c>
      <c r="F851" s="3">
        <f>EUR!B851/1</f>
        <v>1.2983</v>
      </c>
      <c r="G851" s="3">
        <f>EUR!C851/1</f>
        <v>1.2986</v>
      </c>
      <c r="H851" s="3">
        <f>GBP!B851/1</f>
        <v>1.6035999999999999</v>
      </c>
      <c r="I851" s="3">
        <f>GBP!C851/1</f>
        <v>1.6033999999999999</v>
      </c>
      <c r="J851" s="4">
        <f>1/INR!B851</f>
        <v>1.7969451931716084E-2</v>
      </c>
      <c r="K851" s="4">
        <f>1/INR!C851</f>
        <v>1.7867512395586725E-2</v>
      </c>
      <c r="L851" s="4">
        <f>1/JPY!B851</f>
        <v>1.2193932299287875E-2</v>
      </c>
      <c r="M851" s="4">
        <f>1/JPY!C851</f>
        <v>1.2196014342512867E-2</v>
      </c>
      <c r="N851" s="5">
        <f>1/KRW!B851</f>
        <v>9.2229651833064335E-4</v>
      </c>
      <c r="O851" s="5">
        <f>1/KRW!C851</f>
        <v>9.2227993132703624E-4</v>
      </c>
      <c r="P851" s="3">
        <f>1/NOK!B851</f>
        <v>0.17699741583772877</v>
      </c>
      <c r="Q851" s="3">
        <f>1/NOK!C851</f>
        <v>0.1767783906095319</v>
      </c>
      <c r="R851" s="3">
        <f>NZD!B851/1</f>
        <v>0.82279999999999998</v>
      </c>
      <c r="S851" s="3">
        <f>NZD!C851/1</f>
        <v>0.82110000000000005</v>
      </c>
      <c r="T851" s="4">
        <f>1/PHP!B851</f>
        <v>2.4431956999755682E-2</v>
      </c>
      <c r="U851" s="4">
        <f>1/PHP!C851</f>
        <v>2.4431360093816426E-2</v>
      </c>
      <c r="V851" s="4">
        <f>1/TWD!B851</f>
        <v>3.4353636332405783E-2</v>
      </c>
      <c r="W851" s="4">
        <f>1/TWD!C851</f>
        <v>3.4353636332405783E-2</v>
      </c>
      <c r="X851" s="4">
        <f>1/TWD!B851</f>
        <v>3.4353636332405783E-2</v>
      </c>
      <c r="Y851" s="4">
        <f>1/TWD!C851</f>
        <v>3.4353636332405783E-2</v>
      </c>
      <c r="Z851" s="4">
        <f>1/ZAR!B851</f>
        <v>0.11289739884393064</v>
      </c>
      <c r="AA851" s="4">
        <f>1/ZAR!C851</f>
        <v>0.11234061674998595</v>
      </c>
    </row>
    <row r="852" spans="1:27" x14ac:dyDescent="0.25">
      <c r="A852" t="str">
        <f>"29/11/2012"</f>
        <v>29/11/2012</v>
      </c>
      <c r="B852" s="3">
        <f>AUD!B852</f>
        <v>1.0467</v>
      </c>
      <c r="C852" s="3">
        <f>AUD!C852</f>
        <v>1.0441</v>
      </c>
      <c r="D852" s="3">
        <f>1/CAD!B852</f>
        <v>1.0079629069650238</v>
      </c>
      <c r="E852" s="3">
        <f>1/CAD!C852</f>
        <v>1.0072522159548751</v>
      </c>
      <c r="F852" s="3">
        <f>EUR!B852/1</f>
        <v>1.2952999999999999</v>
      </c>
      <c r="G852" s="3">
        <f>EUR!C852/1</f>
        <v>1.2957000000000001</v>
      </c>
      <c r="H852" s="3">
        <f>GBP!B852/1</f>
        <v>1.6017999999999999</v>
      </c>
      <c r="I852" s="3">
        <f>GBP!C852/1</f>
        <v>1.6016999999999999</v>
      </c>
      <c r="J852" s="4">
        <f>1/INR!B852</f>
        <v>1.804891255301868E-2</v>
      </c>
      <c r="K852" s="4">
        <f>1/INR!C852</f>
        <v>1.7946877243359655E-2</v>
      </c>
      <c r="L852" s="4">
        <f>1/JPY!B852</f>
        <v>1.2177598090552621E-2</v>
      </c>
      <c r="M852" s="4">
        <f>1/JPY!C852</f>
        <v>1.2179911914877032E-2</v>
      </c>
      <c r="N852" s="5">
        <f>1/KRW!B852</f>
        <v>9.2182890855457226E-4</v>
      </c>
      <c r="O852" s="5">
        <f>1/KRW!C852</f>
        <v>9.2180426592578186E-4</v>
      </c>
      <c r="P852" s="3">
        <f>1/NOK!B852</f>
        <v>0.1764602082230457</v>
      </c>
      <c r="Q852" s="3">
        <f>1/NOK!C852</f>
        <v>0.17624561589030474</v>
      </c>
      <c r="R852" s="3">
        <f>NZD!B852/1</f>
        <v>0.82450000000000001</v>
      </c>
      <c r="S852" s="3">
        <f>NZD!C852/1</f>
        <v>0.82279999999999998</v>
      </c>
      <c r="T852" s="4">
        <f>1/PHP!B852</f>
        <v>2.4437927663734114E-2</v>
      </c>
      <c r="U852" s="4">
        <f>1/PHP!C852</f>
        <v>2.4443901246638967E-2</v>
      </c>
      <c r="V852" s="4">
        <f>1/TWD!B852</f>
        <v>3.4300610550867805E-2</v>
      </c>
      <c r="W852" s="4">
        <f>1/TWD!C852</f>
        <v>3.4300610550867805E-2</v>
      </c>
      <c r="X852" s="4">
        <f>1/TWD!B852</f>
        <v>3.4300610550867805E-2</v>
      </c>
      <c r="Y852" s="4">
        <f>1/TWD!C852</f>
        <v>3.4300610550867805E-2</v>
      </c>
      <c r="Z852" s="4">
        <f>1/ZAR!B852</f>
        <v>0.11311449449132412</v>
      </c>
      <c r="AA852" s="4">
        <f>1/ZAR!C852</f>
        <v>0.11257077887721904</v>
      </c>
    </row>
    <row r="853" spans="1:27" x14ac:dyDescent="0.25">
      <c r="A853" t="str">
        <f>"30/11/2012"</f>
        <v>30/11/2012</v>
      </c>
      <c r="B853" s="3">
        <f>AUD!B853</f>
        <v>1.0430999999999999</v>
      </c>
      <c r="C853" s="3">
        <f>AUD!C853</f>
        <v>1.0405</v>
      </c>
      <c r="D853" s="3">
        <f>1/CAD!B853</f>
        <v>1.0073536818777071</v>
      </c>
      <c r="E853" s="3">
        <f>1/CAD!C853</f>
        <v>1.0066438494060801</v>
      </c>
      <c r="F853" s="3">
        <f>EUR!B853/1</f>
        <v>1.2998000000000001</v>
      </c>
      <c r="G853" s="3">
        <f>EUR!C853/1</f>
        <v>1.3002</v>
      </c>
      <c r="H853" s="3">
        <f>GBP!B853/1</f>
        <v>1.6046</v>
      </c>
      <c r="I853" s="3">
        <f>GBP!C853/1</f>
        <v>1.6046</v>
      </c>
      <c r="J853" s="4">
        <f>1/INR!B853</f>
        <v>1.8328445747800584E-2</v>
      </c>
      <c r="K853" s="4">
        <f>1/INR!C853</f>
        <v>1.8218254691200583E-2</v>
      </c>
      <c r="L853" s="4">
        <f>1/JPY!B853</f>
        <v>1.212326940329268E-2</v>
      </c>
      <c r="M853" s="4">
        <f>1/JPY!C853</f>
        <v>1.2127238991498805E-2</v>
      </c>
      <c r="N853" s="5">
        <f>1/KRW!B853</f>
        <v>9.231905465288035E-4</v>
      </c>
      <c r="O853" s="5">
        <f>1/KRW!C853</f>
        <v>9.2317435347792089E-4</v>
      </c>
      <c r="P853" s="3">
        <f>1/NOK!B853</f>
        <v>0.17599436818021821</v>
      </c>
      <c r="Q853" s="3">
        <f>1/NOK!C853</f>
        <v>0.17578708668061244</v>
      </c>
      <c r="R853" s="3">
        <f>NZD!B853/1</f>
        <v>0.82269999999999999</v>
      </c>
      <c r="S853" s="3">
        <f>NZD!C853/1</f>
        <v>0.82099999999999995</v>
      </c>
      <c r="T853" s="4">
        <f>1/PHP!B853</f>
        <v>2.4464831804281346E-2</v>
      </c>
      <c r="U853" s="4">
        <f>1/PHP!C853</f>
        <v>2.4473813020068527E-2</v>
      </c>
      <c r="V853" s="4">
        <f>1/TWD!B853</f>
        <v>3.4340659340659337E-2</v>
      </c>
      <c r="W853" s="4">
        <f>1/TWD!C853</f>
        <v>3.4340659340659337E-2</v>
      </c>
      <c r="X853" s="4">
        <f>1/TWD!B853</f>
        <v>3.4340659340659337E-2</v>
      </c>
      <c r="Y853" s="4">
        <f>1/TWD!C853</f>
        <v>3.4340659340659337E-2</v>
      </c>
      <c r="Z853" s="4">
        <f>1/ZAR!B853</f>
        <v>0.11387705832782928</v>
      </c>
      <c r="AA853" s="4">
        <f>1/ZAR!C853</f>
        <v>0.11331316359021426</v>
      </c>
    </row>
    <row r="854" spans="1:27" x14ac:dyDescent="0.25">
      <c r="A854" t="str">
        <f>"03/12/2012"</f>
        <v>03/12/2012</v>
      </c>
      <c r="B854" s="3">
        <f>AUD!B854</f>
        <v>1.0410999999999999</v>
      </c>
      <c r="C854" s="3">
        <f>AUD!C854</f>
        <v>1.0384</v>
      </c>
      <c r="D854" s="3">
        <f>1/CAD!B854</f>
        <v>1.0077597500755819</v>
      </c>
      <c r="E854" s="3">
        <f>1/CAD!C854</f>
        <v>1.0071507704703393</v>
      </c>
      <c r="F854" s="3">
        <f>EUR!B854/1</f>
        <v>1.3037000000000001</v>
      </c>
      <c r="G854" s="3">
        <f>EUR!C854/1</f>
        <v>1.3042</v>
      </c>
      <c r="H854" s="3">
        <f>GBP!B854/1</f>
        <v>1.6042000000000001</v>
      </c>
      <c r="I854" s="3">
        <f>GBP!C854/1</f>
        <v>1.6041000000000001</v>
      </c>
      <c r="J854" s="4">
        <f>1/INR!B854</f>
        <v>1.8392495861688431E-2</v>
      </c>
      <c r="K854" s="4">
        <f>1/INR!C854</f>
        <v>1.827485380116959E-2</v>
      </c>
      <c r="L854" s="4">
        <f>1/JPY!B854</f>
        <v>1.212893053155038E-2</v>
      </c>
      <c r="M854" s="4">
        <f>1/JPY!C854</f>
        <v>1.2133198250392814E-2</v>
      </c>
      <c r="N854" s="5">
        <f>1/KRW!B854</f>
        <v>9.2310532631773295E-4</v>
      </c>
      <c r="O854" s="5">
        <f>1/KRW!C854</f>
        <v>9.2308061539938472E-4</v>
      </c>
      <c r="P854" s="3">
        <f>1/NOK!B854</f>
        <v>0.17662851490744666</v>
      </c>
      <c r="Q854" s="3">
        <f>1/NOK!C854</f>
        <v>0.17640728914918763</v>
      </c>
      <c r="R854" s="3">
        <f>NZD!B854/1</f>
        <v>0.82020000000000004</v>
      </c>
      <c r="S854" s="3">
        <f>NZD!C854/1</f>
        <v>0.81850000000000001</v>
      </c>
      <c r="T854" s="4">
        <f>1/PHP!B854</f>
        <v>2.4479804161566705E-2</v>
      </c>
      <c r="U854" s="4">
        <f>1/PHP!C854</f>
        <v>2.4489995836700709E-2</v>
      </c>
      <c r="V854" s="4">
        <f>1/TWD!B854</f>
        <v>3.4405642525374161E-2</v>
      </c>
      <c r="W854" s="4">
        <f>1/TWD!C854</f>
        <v>3.4405642525374161E-2</v>
      </c>
      <c r="X854" s="4">
        <f>1/TWD!B854</f>
        <v>3.4405642525374161E-2</v>
      </c>
      <c r="Y854" s="4">
        <f>1/TWD!C854</f>
        <v>3.4405642525374161E-2</v>
      </c>
      <c r="Z854" s="4">
        <f>1/ZAR!B854</f>
        <v>0.11250365636883199</v>
      </c>
      <c r="AA854" s="4">
        <f>1/ZAR!C854</f>
        <v>0.11196954428395478</v>
      </c>
    </row>
    <row r="855" spans="1:27" x14ac:dyDescent="0.25">
      <c r="A855" t="str">
        <f>"04/12/2012"</f>
        <v>04/12/2012</v>
      </c>
      <c r="B855" s="3">
        <f>AUD!B855</f>
        <v>1.0441</v>
      </c>
      <c r="C855" s="3">
        <f>AUD!C855</f>
        <v>1.0415000000000001</v>
      </c>
      <c r="D855" s="3">
        <f>1/CAD!B855</f>
        <v>1.0052271813429834</v>
      </c>
      <c r="E855" s="3">
        <f>1/CAD!C855</f>
        <v>1.0046212577858149</v>
      </c>
      <c r="F855" s="3">
        <f>EUR!B855/1</f>
        <v>1.3058000000000001</v>
      </c>
      <c r="G855" s="3">
        <f>EUR!C855/1</f>
        <v>1.3062</v>
      </c>
      <c r="H855" s="3">
        <f>GBP!B855/1</f>
        <v>1.6099000000000001</v>
      </c>
      <c r="I855" s="3">
        <f>GBP!C855/1</f>
        <v>1.6097999999999999</v>
      </c>
      <c r="J855" s="4">
        <f>1/INR!B855</f>
        <v>1.8214936247723135E-2</v>
      </c>
      <c r="K855" s="4">
        <f>1/INR!C855</f>
        <v>1.8102824040550324E-2</v>
      </c>
      <c r="L855" s="4">
        <f>1/JPY!B855</f>
        <v>1.2177301509985387E-2</v>
      </c>
      <c r="M855" s="4">
        <f>1/JPY!C855</f>
        <v>1.2181306566942369E-2</v>
      </c>
      <c r="N855" s="5">
        <f>1/KRW!B855</f>
        <v>9.231479344564967E-4</v>
      </c>
      <c r="O855" s="5">
        <f>1/KRW!C855</f>
        <v>9.2312492557305287E-4</v>
      </c>
      <c r="P855" s="3">
        <f>1/NOK!B855</f>
        <v>0.17744654422855113</v>
      </c>
      <c r="Q855" s="3">
        <f>1/NOK!C855</f>
        <v>0.17722640673460346</v>
      </c>
      <c r="R855" s="3">
        <f>NZD!B855/1</f>
        <v>0.82279999999999998</v>
      </c>
      <c r="S855" s="3">
        <f>NZD!C855/1</f>
        <v>0.82110000000000005</v>
      </c>
      <c r="T855" s="4">
        <f>1/PHP!B855</f>
        <v>2.4408103490358799E-2</v>
      </c>
      <c r="U855" s="4">
        <f>1/PHP!C855</f>
        <v>2.4403933914146962E-2</v>
      </c>
      <c r="V855" s="4">
        <f>1/TWD!B855</f>
        <v>3.4365442111412764E-2</v>
      </c>
      <c r="W855" s="4">
        <f>1/TWD!C855</f>
        <v>3.4365442111412764E-2</v>
      </c>
      <c r="X855" s="4">
        <f>1/TWD!B855</f>
        <v>3.4365442111412764E-2</v>
      </c>
      <c r="Y855" s="4">
        <f>1/TWD!C855</f>
        <v>3.4365442111412764E-2</v>
      </c>
      <c r="Z855" s="4">
        <f>1/ZAR!B855</f>
        <v>0.11280315848843768</v>
      </c>
      <c r="AA855" s="4">
        <f>1/ZAR!C855</f>
        <v>0.11224226370197433</v>
      </c>
    </row>
    <row r="856" spans="1:27" x14ac:dyDescent="0.25">
      <c r="A856" t="str">
        <f>"05/12/2012"</f>
        <v>05/12/2012</v>
      </c>
      <c r="B856" s="3">
        <f>AUD!B856</f>
        <v>1.0479000000000001</v>
      </c>
      <c r="C856" s="3">
        <f>AUD!C856</f>
        <v>1.0454000000000001</v>
      </c>
      <c r="D856" s="3">
        <f>1/CAD!B856</f>
        <v>1.0081661457808246</v>
      </c>
      <c r="E856" s="3">
        <f>1/CAD!C856</f>
        <v>1.007455168245013</v>
      </c>
      <c r="F856" s="3">
        <f>EUR!B856/1</f>
        <v>1.3119000000000001</v>
      </c>
      <c r="G856" s="3">
        <f>EUR!C856/1</f>
        <v>1.3123</v>
      </c>
      <c r="H856" s="3">
        <f>GBP!B856/1</f>
        <v>1.6115999999999999</v>
      </c>
      <c r="I856" s="3">
        <f>GBP!C856/1</f>
        <v>1.6115999999999999</v>
      </c>
      <c r="J856" s="4">
        <f>1/INR!B856</f>
        <v>1.83452577508714E-2</v>
      </c>
      <c r="K856" s="4">
        <f>1/INR!C856</f>
        <v>1.8233202662047587E-2</v>
      </c>
      <c r="L856" s="4">
        <f>1/JPY!B856</f>
        <v>1.216012451967508E-2</v>
      </c>
      <c r="M856" s="4">
        <f>1/JPY!C856</f>
        <v>1.2164266251459712E-2</v>
      </c>
      <c r="N856" s="5">
        <f>1/KRW!B856</f>
        <v>9.2442801016870814E-4</v>
      </c>
      <c r="O856" s="5">
        <f>1/KRW!C856</f>
        <v>9.244053646940935E-4</v>
      </c>
      <c r="P856" s="3">
        <f>1/NOK!B856</f>
        <v>0.17820864668353709</v>
      </c>
      <c r="Q856" s="3">
        <f>1/NOK!C856</f>
        <v>0.17799295147912142</v>
      </c>
      <c r="R856" s="3">
        <f>NZD!B856/1</f>
        <v>0.82489999999999997</v>
      </c>
      <c r="S856" s="3">
        <f>NZD!C856/1</f>
        <v>0.82330000000000003</v>
      </c>
      <c r="T856" s="4">
        <f>1/PHP!B856</f>
        <v>2.446782481037436E-2</v>
      </c>
      <c r="U856" s="4">
        <f>1/PHP!C856</f>
        <v>2.4464233290928665E-2</v>
      </c>
      <c r="V856" s="4">
        <f>1/TWD!B856</f>
        <v>3.4376074252320386E-2</v>
      </c>
      <c r="W856" s="4">
        <f>1/TWD!C856</f>
        <v>3.4376074252320386E-2</v>
      </c>
      <c r="X856" s="4">
        <f>1/TWD!B856</f>
        <v>3.4376074252320386E-2</v>
      </c>
      <c r="Y856" s="4">
        <f>1/TWD!C856</f>
        <v>3.4376074252320386E-2</v>
      </c>
      <c r="Z856" s="4">
        <f>1/ZAR!B856</f>
        <v>0.1137009664582149</v>
      </c>
      <c r="AA856" s="4">
        <f>1/ZAR!C856</f>
        <v>0.1131554529612782</v>
      </c>
    </row>
    <row r="857" spans="1:27" x14ac:dyDescent="0.25">
      <c r="A857" t="str">
        <f>"06/12/2012"</f>
        <v>06/12/2012</v>
      </c>
      <c r="B857" s="3">
        <f>AUD!B857</f>
        <v>1.0465</v>
      </c>
      <c r="C857" s="3">
        <f>AUD!C857</f>
        <v>1.044</v>
      </c>
      <c r="D857" s="3">
        <f>1/CAD!B857</f>
        <v>1.0076582023377672</v>
      </c>
      <c r="E857" s="3">
        <f>1/CAD!C857</f>
        <v>1.006947940791461</v>
      </c>
      <c r="F857" s="3">
        <f>EUR!B857/1</f>
        <v>1.3056000000000001</v>
      </c>
      <c r="G857" s="3">
        <f>EUR!C857/1</f>
        <v>1.306</v>
      </c>
      <c r="H857" s="3">
        <f>GBP!B857/1</f>
        <v>1.609</v>
      </c>
      <c r="I857" s="3">
        <f>GBP!C857/1</f>
        <v>1.6089</v>
      </c>
      <c r="J857" s="4">
        <f>1/INR!B857</f>
        <v>1.8335166850018337E-2</v>
      </c>
      <c r="K857" s="4">
        <f>1/INR!C857</f>
        <v>1.8224895206852561E-2</v>
      </c>
      <c r="L857" s="4">
        <f>1/JPY!B857</f>
        <v>1.2121652908590616E-2</v>
      </c>
      <c r="M857" s="4">
        <f>1/JPY!C857</f>
        <v>1.212591550662075E-2</v>
      </c>
      <c r="N857" s="5">
        <f>1/KRW!B857</f>
        <v>9.2365953909388993E-4</v>
      </c>
      <c r="O857" s="5">
        <f>1/KRW!C857</f>
        <v>9.2364247647020782E-4</v>
      </c>
      <c r="P857" s="3">
        <f>1/NOK!B857</f>
        <v>0.17749378771742988</v>
      </c>
      <c r="Q857" s="3">
        <f>1/NOK!C857</f>
        <v>0.17728296133458613</v>
      </c>
      <c r="R857" s="3">
        <f>NZD!B857/1</f>
        <v>0.82889999999999997</v>
      </c>
      <c r="S857" s="3">
        <f>NZD!C857/1</f>
        <v>0.82730000000000004</v>
      </c>
      <c r="T857" s="4">
        <f>1/PHP!B857</f>
        <v>2.4425989252564732E-2</v>
      </c>
      <c r="U857" s="4">
        <f>1/PHP!C857</f>
        <v>2.4415254651106014E-2</v>
      </c>
      <c r="V857" s="4">
        <f>1/TWD!B857</f>
        <v>3.4361899525805789E-2</v>
      </c>
      <c r="W857" s="4">
        <f>1/TWD!C857</f>
        <v>3.4361899525805789E-2</v>
      </c>
      <c r="X857" s="4">
        <f>1/TWD!B857</f>
        <v>3.4361899525805789E-2</v>
      </c>
      <c r="Y857" s="4">
        <f>1/TWD!C857</f>
        <v>3.4361899525805789E-2</v>
      </c>
      <c r="Z857" s="4">
        <f>1/ZAR!B857</f>
        <v>0.11374493835024341</v>
      </c>
      <c r="AA857" s="4">
        <f>1/ZAR!C857</f>
        <v>0.11319772246182408</v>
      </c>
    </row>
    <row r="858" spans="1:27" x14ac:dyDescent="0.25">
      <c r="A858" t="str">
        <f>"07/12/2012"</f>
        <v>07/12/2012</v>
      </c>
      <c r="B858" s="3">
        <f>AUD!B858</f>
        <v>1.0479000000000001</v>
      </c>
      <c r="C858" s="3">
        <f>AUD!C858</f>
        <v>1.0454000000000001</v>
      </c>
      <c r="D858" s="3">
        <f>1/CAD!B858</f>
        <v>1.0086746015735324</v>
      </c>
      <c r="E858" s="3">
        <f>1/CAD!C858</f>
        <v>1.0079629069650238</v>
      </c>
      <c r="F858" s="3">
        <f>EUR!B858/1</f>
        <v>1.2968</v>
      </c>
      <c r="G858" s="3">
        <f>EUR!C858/1</f>
        <v>1.2972999999999999</v>
      </c>
      <c r="H858" s="3">
        <f>GBP!B858/1</f>
        <v>1.6052999999999999</v>
      </c>
      <c r="I858" s="3">
        <f>GBP!C858/1</f>
        <v>1.6052999999999999</v>
      </c>
      <c r="J858" s="4">
        <f>1/INR!B858</f>
        <v>1.8460402436773122E-2</v>
      </c>
      <c r="K858" s="4">
        <f>1/INR!C858</f>
        <v>1.8347782211825148E-2</v>
      </c>
      <c r="L858" s="4">
        <f>1/JPY!B858</f>
        <v>1.2123122431413436E-2</v>
      </c>
      <c r="M858" s="4">
        <f>1/JPY!C858</f>
        <v>1.2126944858781727E-2</v>
      </c>
      <c r="N858" s="5">
        <f>1/KRW!B858</f>
        <v>9.2374486166920701E-4</v>
      </c>
      <c r="O858" s="5">
        <f>1/KRW!C858</f>
        <v>9.2372224965164135E-4</v>
      </c>
      <c r="P858" s="3">
        <f>1/NOK!B858</f>
        <v>0.1768377866982617</v>
      </c>
      <c r="Q858" s="3">
        <f>1/NOK!C858</f>
        <v>0.17662851490744666</v>
      </c>
      <c r="R858" s="3">
        <f>NZD!B858/1</f>
        <v>0.83179999999999998</v>
      </c>
      <c r="S858" s="3">
        <f>NZD!C858/1</f>
        <v>0.83009999999999995</v>
      </c>
      <c r="T858" s="4">
        <f>1/PHP!B858</f>
        <v>2.4425989252564732E-2</v>
      </c>
      <c r="U858" s="4">
        <f>1/PHP!C858</f>
        <v>2.4408103490358799E-2</v>
      </c>
      <c r="V858" s="4">
        <f>1/TWD!B858</f>
        <v>3.4367804240987045E-2</v>
      </c>
      <c r="W858" s="4">
        <f>1/TWD!C858</f>
        <v>3.4367804240987045E-2</v>
      </c>
      <c r="X858" s="4">
        <f>1/TWD!B858</f>
        <v>3.4367804240987045E-2</v>
      </c>
      <c r="Y858" s="4">
        <f>1/TWD!C858</f>
        <v>3.4367804240987045E-2</v>
      </c>
      <c r="Z858" s="4">
        <f>1/ZAR!B858</f>
        <v>0.11504964392135206</v>
      </c>
      <c r="AA858" s="4">
        <f>1/ZAR!C858</f>
        <v>0.11450949856290578</v>
      </c>
    </row>
    <row r="859" spans="1:27" x14ac:dyDescent="0.25">
      <c r="A859" t="str">
        <f>"10/12/2012"</f>
        <v>10/12/2012</v>
      </c>
      <c r="B859" s="3">
        <f>AUD!B859</f>
        <v>1.0470999999999999</v>
      </c>
      <c r="C859" s="3">
        <f>AUD!C859</f>
        <v>1.0444</v>
      </c>
      <c r="D859" s="3">
        <f>1/CAD!B859</f>
        <v>1.0123506782749545</v>
      </c>
      <c r="E859" s="3">
        <f>1/CAD!C859</f>
        <v>1.0117361392148929</v>
      </c>
      <c r="F859" s="3">
        <f>EUR!B859/1</f>
        <v>1.2895000000000001</v>
      </c>
      <c r="G859" s="3">
        <f>EUR!C859/1</f>
        <v>1.2899</v>
      </c>
      <c r="H859" s="3">
        <f>GBP!B859/1</f>
        <v>1.6023000000000001</v>
      </c>
      <c r="I859" s="3">
        <f>GBP!C859/1</f>
        <v>1.6022000000000001</v>
      </c>
      <c r="J859" s="4">
        <f>1/INR!B859</f>
        <v>1.8387423002666176E-2</v>
      </c>
      <c r="K859" s="4">
        <f>1/INR!C859</f>
        <v>1.8267342558341327E-2</v>
      </c>
      <c r="L859" s="4">
        <f>1/JPY!B859</f>
        <v>1.212591550662075E-2</v>
      </c>
      <c r="M859" s="4">
        <f>1/JPY!C859</f>
        <v>1.2130696119996846E-2</v>
      </c>
      <c r="N859" s="5">
        <f>1/KRW!B859</f>
        <v>9.2609742544915732E-4</v>
      </c>
      <c r="O859" s="5">
        <f>1/KRW!C859</f>
        <v>9.2607512691859613E-4</v>
      </c>
      <c r="P859" s="3">
        <f>1/NOK!B859</f>
        <v>0.1756728269271309</v>
      </c>
      <c r="Q859" s="3">
        <f>1/NOK!C859</f>
        <v>0.17544783058757479</v>
      </c>
      <c r="R859" s="3">
        <f>NZD!B859/1</f>
        <v>0.83260000000000001</v>
      </c>
      <c r="S859" s="3">
        <f>NZD!C859/1</f>
        <v>0.83079999999999998</v>
      </c>
      <c r="T859" s="4">
        <f>1/PHP!B859</f>
        <v>2.44140625E-2</v>
      </c>
      <c r="U859" s="4">
        <f>1/PHP!C859</f>
        <v>2.4413466468103807E-2</v>
      </c>
      <c r="V859" s="4">
        <f>1/TWD!B859</f>
        <v>3.4345377112240692E-2</v>
      </c>
      <c r="W859" s="4">
        <f>1/TWD!C859</f>
        <v>3.4345377112240692E-2</v>
      </c>
      <c r="X859" s="4">
        <f>1/TWD!B859</f>
        <v>3.4345377112240692E-2</v>
      </c>
      <c r="Y859" s="4">
        <f>1/TWD!C859</f>
        <v>3.4345377112240692E-2</v>
      </c>
      <c r="Z859" s="4">
        <f>1/ZAR!B859</f>
        <v>0.1152392366552964</v>
      </c>
      <c r="AA859" s="4">
        <f>1/ZAR!C859</f>
        <v>0.11469731378891106</v>
      </c>
    </row>
    <row r="860" spans="1:27" x14ac:dyDescent="0.25">
      <c r="A860" t="str">
        <f>"11/12/2012"</f>
        <v>11/12/2012</v>
      </c>
      <c r="B860" s="3">
        <f>AUD!B860</f>
        <v>1.0479000000000001</v>
      </c>
      <c r="C860" s="3">
        <f>AUD!C860</f>
        <v>1.0452999999999999</v>
      </c>
      <c r="D860" s="3">
        <f>1/CAD!B860</f>
        <v>1.013787510137875</v>
      </c>
      <c r="E860" s="3">
        <f>1/CAD!C860</f>
        <v>1.0130685847431871</v>
      </c>
      <c r="F860" s="3">
        <f>EUR!B860/1</f>
        <v>1.2955000000000001</v>
      </c>
      <c r="G860" s="3">
        <f>EUR!C860/1</f>
        <v>1.2959000000000001</v>
      </c>
      <c r="H860" s="3">
        <f>GBP!B860/1</f>
        <v>1.6082000000000001</v>
      </c>
      <c r="I860" s="3">
        <f>GBP!C860/1</f>
        <v>1.6081000000000001</v>
      </c>
      <c r="J860" s="4">
        <f>1/INR!B860</f>
        <v>1.842468908337172E-2</v>
      </c>
      <c r="K860" s="4">
        <f>1/INR!C860</f>
        <v>1.8304960644334616E-2</v>
      </c>
      <c r="L860" s="4">
        <f>1/JPY!B860</f>
        <v>1.2141374160727511E-2</v>
      </c>
      <c r="M860" s="4">
        <f>1/JPY!C860</f>
        <v>1.2145798161126159E-2</v>
      </c>
      <c r="N860" s="5">
        <f>1/KRW!B860</f>
        <v>9.2850510677808728E-4</v>
      </c>
      <c r="O860" s="5">
        <f>1/KRW!C860</f>
        <v>9.2848183007482636E-4</v>
      </c>
      <c r="P860" s="3">
        <f>1/NOK!B860</f>
        <v>0.17651004342147067</v>
      </c>
      <c r="Q860" s="3">
        <f>1/NOK!C860</f>
        <v>0.17629843799583936</v>
      </c>
      <c r="R860" s="3">
        <f>NZD!B860/1</f>
        <v>0.83489999999999998</v>
      </c>
      <c r="S860" s="3">
        <f>NZD!C860/1</f>
        <v>0.83320000000000005</v>
      </c>
      <c r="T860" s="4">
        <f>1/PHP!B860</f>
        <v>2.4423006472096716E-2</v>
      </c>
      <c r="U860" s="4">
        <f>1/PHP!C860</f>
        <v>2.442897276169537E-2</v>
      </c>
      <c r="V860" s="4">
        <f>1/TWD!B860</f>
        <v>3.4337121862445488E-2</v>
      </c>
      <c r="W860" s="4">
        <f>1/TWD!C860</f>
        <v>3.4337121862445488E-2</v>
      </c>
      <c r="X860" s="4">
        <f>1/TWD!B860</f>
        <v>3.4337121862445488E-2</v>
      </c>
      <c r="Y860" s="4">
        <f>1/TWD!C860</f>
        <v>3.4337121862445488E-2</v>
      </c>
      <c r="Z860" s="4">
        <f>1/ZAR!B860</f>
        <v>0.1153455753437298</v>
      </c>
      <c r="AA860" s="4">
        <f>1/ZAR!C860</f>
        <v>0.11478552324980773</v>
      </c>
    </row>
    <row r="861" spans="1:27" x14ac:dyDescent="0.25">
      <c r="A861" t="str">
        <f>"12/12/2012"</f>
        <v>12/12/2012</v>
      </c>
      <c r="B861" s="3">
        <f>AUD!B861</f>
        <v>1.0527</v>
      </c>
      <c r="C861" s="3">
        <f>AUD!C861</f>
        <v>1.0502</v>
      </c>
      <c r="D861" s="3">
        <f>1/CAD!B861</f>
        <v>1.0139931048468871</v>
      </c>
      <c r="E861" s="3">
        <f>1/CAD!C861</f>
        <v>1.0132738879319081</v>
      </c>
      <c r="F861" s="3">
        <f>EUR!B861/1</f>
        <v>1.3003</v>
      </c>
      <c r="G861" s="3">
        <f>EUR!C861/1</f>
        <v>1.3007</v>
      </c>
      <c r="H861" s="3">
        <f>GBP!B861/1</f>
        <v>1.6113999999999999</v>
      </c>
      <c r="I861" s="3">
        <f>GBP!C861/1</f>
        <v>1.6113</v>
      </c>
      <c r="J861" s="4">
        <f>1/INR!B861</f>
        <v>1.8433179723502304E-2</v>
      </c>
      <c r="K861" s="4">
        <f>1/INR!C861</f>
        <v>1.8318373328448434E-2</v>
      </c>
      <c r="L861" s="4">
        <f>1/JPY!B861</f>
        <v>1.2103562925818474E-2</v>
      </c>
      <c r="M861" s="4">
        <f>1/JPY!C861</f>
        <v>1.2107226440245389E-2</v>
      </c>
      <c r="N861" s="5">
        <f>1/KRW!B861</f>
        <v>9.2906582431365268E-4</v>
      </c>
      <c r="O861" s="5">
        <f>1/KRW!C861</f>
        <v>9.2905071920138796E-4</v>
      </c>
      <c r="P861" s="3">
        <f>1/NOK!B861</f>
        <v>0.17699428308465637</v>
      </c>
      <c r="Q861" s="3">
        <f>1/NOK!C861</f>
        <v>0.17678776628657297</v>
      </c>
      <c r="R861" s="3">
        <f>NZD!B861/1</f>
        <v>0.83940000000000003</v>
      </c>
      <c r="S861" s="3">
        <f>NZD!C861/1</f>
        <v>0.8377</v>
      </c>
      <c r="T861" s="4">
        <f>1/PHP!B861</f>
        <v>2.4384296513045599E-2</v>
      </c>
      <c r="U861" s="4">
        <f>1/PHP!C861</f>
        <v>2.4389054192478415E-2</v>
      </c>
      <c r="V861" s="4">
        <f>1/TWD!B861</f>
        <v>3.436071882623784E-2</v>
      </c>
      <c r="W861" s="4">
        <f>1/TWD!C861</f>
        <v>3.436071882623784E-2</v>
      </c>
      <c r="X861" s="4">
        <f>1/TWD!B861</f>
        <v>3.436071882623784E-2</v>
      </c>
      <c r="Y861" s="4">
        <f>1/TWD!C861</f>
        <v>3.436071882623784E-2</v>
      </c>
      <c r="Z861" s="4">
        <f>1/ZAR!B861</f>
        <v>0.11548944426479421</v>
      </c>
      <c r="AA861" s="4">
        <f>1/ZAR!C861</f>
        <v>0.11493460221134175</v>
      </c>
    </row>
    <row r="862" spans="1:27" x14ac:dyDescent="0.25">
      <c r="A862" t="str">
        <f>"13/12/2012"</f>
        <v>13/12/2012</v>
      </c>
      <c r="B862" s="3">
        <f>AUD!B862</f>
        <v>1.0550999999999999</v>
      </c>
      <c r="C862" s="3">
        <f>AUD!C862</f>
        <v>1.0526</v>
      </c>
      <c r="D862" s="3">
        <f>1/CAD!B862</f>
        <v>1.0165700925078784</v>
      </c>
      <c r="E862" s="3">
        <f>1/CAD!C862</f>
        <v>1.0158472165786265</v>
      </c>
      <c r="F862" s="3">
        <f>EUR!B862/1</f>
        <v>1.3083</v>
      </c>
      <c r="G862" s="3">
        <f>EUR!C862/1</f>
        <v>1.3087</v>
      </c>
      <c r="H862" s="3">
        <f>GBP!B862/1</f>
        <v>1.6127</v>
      </c>
      <c r="I862" s="3">
        <f>GBP!C862/1</f>
        <v>1.6126</v>
      </c>
      <c r="J862" s="4">
        <f>1/INR!B862</f>
        <v>1.8404343425048313E-2</v>
      </c>
      <c r="K862" s="4">
        <f>1/INR!C862</f>
        <v>1.8292404079206112E-2</v>
      </c>
      <c r="L862" s="4">
        <f>1/JPY!B862</f>
        <v>1.1980352222355337E-2</v>
      </c>
      <c r="M862" s="4">
        <f>1/JPY!C862</f>
        <v>1.1984372378418543E-2</v>
      </c>
      <c r="N862" s="5">
        <f>1/KRW!B862</f>
        <v>9.3183618319899353E-4</v>
      </c>
      <c r="O862" s="5">
        <f>1/KRW!C862</f>
        <v>9.3181577815702667E-4</v>
      </c>
      <c r="P862" s="3">
        <f>1/NOK!B862</f>
        <v>0.17789795773144523</v>
      </c>
      <c r="Q862" s="3">
        <f>1/NOK!C862</f>
        <v>0.17769880053309639</v>
      </c>
      <c r="R862" s="3">
        <f>NZD!B862/1</f>
        <v>0.84430000000000005</v>
      </c>
      <c r="S862" s="3">
        <f>NZD!C862/1</f>
        <v>0.84260000000000002</v>
      </c>
      <c r="T862" s="4">
        <f>1/PHP!B862</f>
        <v>2.436647173489279E-2</v>
      </c>
      <c r="U862" s="4">
        <f>1/PHP!C862</f>
        <v>2.4371816431478639E-2</v>
      </c>
      <c r="V862" s="4">
        <f>1/TWD!B862</f>
        <v>3.438316600192546E-2</v>
      </c>
      <c r="W862" s="4">
        <f>1/TWD!C862</f>
        <v>3.438316600192546E-2</v>
      </c>
      <c r="X862" s="4">
        <f>1/TWD!B862</f>
        <v>3.438316600192546E-2</v>
      </c>
      <c r="Y862" s="4">
        <f>1/TWD!C862</f>
        <v>3.438316600192546E-2</v>
      </c>
      <c r="Z862" s="4">
        <f>1/ZAR!B862</f>
        <v>0.11564303308547177</v>
      </c>
      <c r="AA862" s="4">
        <f>1/ZAR!C862</f>
        <v>0.11509069146487431</v>
      </c>
    </row>
    <row r="863" spans="1:27" x14ac:dyDescent="0.25">
      <c r="A863" t="str">
        <f>"14/12/2012"</f>
        <v>14/12/2012</v>
      </c>
      <c r="B863" s="3">
        <f>AUD!B863</f>
        <v>1.0545</v>
      </c>
      <c r="C863" s="3">
        <f>AUD!C863</f>
        <v>1.052</v>
      </c>
      <c r="D863" s="3">
        <f>1/CAD!B863</f>
        <v>1.016053647632595</v>
      </c>
      <c r="E863" s="3">
        <f>1/CAD!C863</f>
        <v>1.015331505736623</v>
      </c>
      <c r="F863" s="3">
        <f>EUR!B863/1</f>
        <v>1.3088</v>
      </c>
      <c r="G863" s="3">
        <f>EUR!C863/1</f>
        <v>1.3091999999999999</v>
      </c>
      <c r="H863" s="3">
        <f>GBP!B863/1</f>
        <v>1.6120000000000001</v>
      </c>
      <c r="I863" s="3">
        <f>GBP!C863/1</f>
        <v>1.6119000000000001</v>
      </c>
      <c r="J863" s="4">
        <f>1/INR!B863</f>
        <v>1.839587932303164E-2</v>
      </c>
      <c r="K863" s="4">
        <f>1/INR!C863</f>
        <v>1.8282371223547696E-2</v>
      </c>
      <c r="L863" s="4">
        <f>1/JPY!B863</f>
        <v>1.1939443144371746E-2</v>
      </c>
      <c r="M863" s="4">
        <f>1/JPY!C863</f>
        <v>1.1942437451483849E-2</v>
      </c>
      <c r="N863" s="5">
        <f>1/KRW!B863</f>
        <v>9.3036237614550874E-4</v>
      </c>
      <c r="O863" s="5">
        <f>1/KRW!C863</f>
        <v>9.3034030452829178E-4</v>
      </c>
      <c r="P863" s="3">
        <f>1/NOK!B863</f>
        <v>0.17790112255608331</v>
      </c>
      <c r="Q863" s="3">
        <f>1/NOK!C863</f>
        <v>0.17770195827558022</v>
      </c>
      <c r="R863" s="3">
        <f>NZD!B863/1</f>
        <v>0.84330000000000005</v>
      </c>
      <c r="S863" s="3">
        <f>NZD!C863/1</f>
        <v>0.84160000000000001</v>
      </c>
      <c r="T863" s="4">
        <f>1/PHP!B863</f>
        <v>2.4327940639824842E-2</v>
      </c>
      <c r="U863" s="4">
        <f>1/PHP!C863</f>
        <v>2.4324981756263683E-2</v>
      </c>
      <c r="V863" s="4">
        <f>1/TWD!B863</f>
        <v>3.4397358282883879E-2</v>
      </c>
      <c r="W863" s="4">
        <f>1/TWD!C863</f>
        <v>3.4397358282883879E-2</v>
      </c>
      <c r="X863" s="4">
        <f>1/TWD!B863</f>
        <v>3.4397358282883879E-2</v>
      </c>
      <c r="Y863" s="4">
        <f>1/TWD!C863</f>
        <v>3.4397358282883879E-2</v>
      </c>
      <c r="Z863" s="4">
        <f>1/ZAR!B863</f>
        <v>0.11552680221811459</v>
      </c>
      <c r="AA863" s="4">
        <f>1/ZAR!C863</f>
        <v>0.11492271447451589</v>
      </c>
    </row>
    <row r="864" spans="1:27" x14ac:dyDescent="0.25">
      <c r="A864" t="str">
        <f>"17/12/2012"</f>
        <v>17/12/2012</v>
      </c>
      <c r="B864" s="3">
        <f>AUD!B864</f>
        <v>1.0542</v>
      </c>
      <c r="C864" s="3">
        <f>AUD!C864</f>
        <v>1.0513999999999999</v>
      </c>
      <c r="D864" s="3">
        <f>1/CAD!B864</f>
        <v>1.0139931048468871</v>
      </c>
      <c r="E864" s="3">
        <f>1/CAD!C864</f>
        <v>1.0132738879319081</v>
      </c>
      <c r="F864" s="3">
        <f>EUR!B864/1</f>
        <v>1.3158000000000001</v>
      </c>
      <c r="G864" s="3">
        <f>EUR!C864/1</f>
        <v>1.3163</v>
      </c>
      <c r="H864" s="3">
        <f>GBP!B864/1</f>
        <v>1.6165</v>
      </c>
      <c r="I864" s="3">
        <f>GBP!C864/1</f>
        <v>1.6164000000000001</v>
      </c>
      <c r="J864" s="4">
        <f>1/INR!B864</f>
        <v>1.8341892883345562E-2</v>
      </c>
      <c r="K864" s="4">
        <f>1/INR!C864</f>
        <v>1.8222404446266684E-2</v>
      </c>
      <c r="L864" s="4">
        <f>1/JPY!B864</f>
        <v>1.1893434823977166E-2</v>
      </c>
      <c r="M864" s="4">
        <f>1/JPY!C864</f>
        <v>1.1896264572924101E-2</v>
      </c>
      <c r="N864" s="5">
        <f>1/KRW!B864</f>
        <v>9.322270905192504E-4</v>
      </c>
      <c r="O864" s="5">
        <f>1/KRW!C864</f>
        <v>9.3220970989633825E-4</v>
      </c>
      <c r="P864" s="3">
        <f>1/NOK!B864</f>
        <v>0.17761989342806395</v>
      </c>
      <c r="Q864" s="3">
        <f>1/NOK!C864</f>
        <v>0.17739932588256166</v>
      </c>
      <c r="R864" s="3">
        <f>NZD!B864/1</f>
        <v>0.84399999999999997</v>
      </c>
      <c r="S864" s="3">
        <f>NZD!C864/1</f>
        <v>0.84209999999999996</v>
      </c>
      <c r="T864" s="4">
        <f>1/PHP!B864</f>
        <v>2.4360535931790502E-2</v>
      </c>
      <c r="U864" s="4">
        <f>1/PHP!C864</f>
        <v>2.4356382590057724E-2</v>
      </c>
      <c r="V864" s="4">
        <f>1/TWD!B864</f>
        <v>3.4391443408879868E-2</v>
      </c>
      <c r="W864" s="4">
        <f>1/TWD!C864</f>
        <v>3.4391443408879868E-2</v>
      </c>
      <c r="X864" s="4">
        <f>1/TWD!B864</f>
        <v>3.4391443408879868E-2</v>
      </c>
      <c r="Y864" s="4">
        <f>1/TWD!C864</f>
        <v>3.4391443408879868E-2</v>
      </c>
      <c r="Z864" s="4">
        <f>1/ZAR!B864</f>
        <v>0.11590708887755576</v>
      </c>
      <c r="AA864" s="4">
        <f>1/ZAR!C864</f>
        <v>0.11529902802919371</v>
      </c>
    </row>
    <row r="865" spans="1:27" x14ac:dyDescent="0.25">
      <c r="A865" t="str">
        <f>"18/12/2012"</f>
        <v>18/12/2012</v>
      </c>
      <c r="B865" s="3">
        <f>AUD!B865</f>
        <v>1.0542</v>
      </c>
      <c r="C865" s="3">
        <f>AUD!C865</f>
        <v>1.0516000000000001</v>
      </c>
      <c r="D865" s="3">
        <f>1/CAD!B865</f>
        <v>1.016880211511084</v>
      </c>
      <c r="E865" s="3">
        <f>1/CAD!C865</f>
        <v>1.0161568946245301</v>
      </c>
      <c r="F865" s="3">
        <f>EUR!B865/1</f>
        <v>1.3169999999999999</v>
      </c>
      <c r="G865" s="3">
        <f>EUR!C865/1</f>
        <v>1.3174999999999999</v>
      </c>
      <c r="H865" s="3">
        <f>GBP!B865/1</f>
        <v>1.6214</v>
      </c>
      <c r="I865" s="3">
        <f>GBP!C865/1</f>
        <v>1.6213</v>
      </c>
      <c r="J865" s="4">
        <f>1/INR!B865</f>
        <v>1.8258170531312762E-2</v>
      </c>
      <c r="K865" s="4">
        <f>1/INR!C865</f>
        <v>1.8143058012427996E-2</v>
      </c>
      <c r="L865" s="4">
        <f>1/JPY!B865</f>
        <v>1.1901857284829297E-2</v>
      </c>
      <c r="M865" s="4">
        <f>1/JPY!C865</f>
        <v>1.1904974493592147E-2</v>
      </c>
      <c r="N865" s="5">
        <f>1/KRW!B865</f>
        <v>9.3292284728052979E-4</v>
      </c>
      <c r="O865" s="5">
        <f>1/KRW!C865</f>
        <v>9.3290544070453009E-4</v>
      </c>
      <c r="P865" s="3">
        <f>1/NOK!B865</f>
        <v>0.1782912565967765</v>
      </c>
      <c r="Q865" s="3">
        <f>1/NOK!C865</f>
        <v>0.17807536149298384</v>
      </c>
      <c r="R865" s="3">
        <f>NZD!B865/1</f>
        <v>0.84409999999999996</v>
      </c>
      <c r="S865" s="3">
        <f>NZD!C865/1</f>
        <v>0.84230000000000005</v>
      </c>
      <c r="T865" s="4">
        <f>1/PHP!B865</f>
        <v>2.4360535931790502E-2</v>
      </c>
      <c r="U865" s="4">
        <f>1/PHP!C865</f>
        <v>2.4348672997321647E-2</v>
      </c>
      <c r="V865" s="4">
        <f>1/TWD!B865</f>
        <v>3.4385530568736673E-2</v>
      </c>
      <c r="W865" s="4">
        <f>1/TWD!C865</f>
        <v>3.4385530568736673E-2</v>
      </c>
      <c r="X865" s="4">
        <f>1/TWD!B865</f>
        <v>3.4385530568736673E-2</v>
      </c>
      <c r="Y865" s="4">
        <f>1/TWD!C865</f>
        <v>3.4385530568736673E-2</v>
      </c>
      <c r="Z865" s="4">
        <f>1/ZAR!B865</f>
        <v>0.11722230037042249</v>
      </c>
      <c r="AA865" s="4">
        <f>1/ZAR!C865</f>
        <v>0.11662759642186535</v>
      </c>
    </row>
    <row r="866" spans="1:27" x14ac:dyDescent="0.25">
      <c r="A866" t="str">
        <f>"19/12/2012"</f>
        <v>19/12/2012</v>
      </c>
      <c r="B866" s="3">
        <f>AUD!B866</f>
        <v>1.0517000000000001</v>
      </c>
      <c r="C866" s="3">
        <f>AUD!C866</f>
        <v>1.0490999999999999</v>
      </c>
      <c r="D866" s="3">
        <f>1/CAD!B866</f>
        <v>1.0135819987837016</v>
      </c>
      <c r="E866" s="3">
        <f>1/CAD!C866</f>
        <v>1.0128633647320977</v>
      </c>
      <c r="F866" s="3">
        <f>EUR!B866/1</f>
        <v>1.3247</v>
      </c>
      <c r="G866" s="3">
        <f>EUR!C866/1</f>
        <v>1.3251999999999999</v>
      </c>
      <c r="H866" s="3">
        <f>GBP!B866/1</f>
        <v>1.6262000000000001</v>
      </c>
      <c r="I866" s="3">
        <f>GBP!C866/1</f>
        <v>1.6261000000000001</v>
      </c>
      <c r="J866" s="4">
        <f>1/INR!B866</f>
        <v>1.8248175182481754E-2</v>
      </c>
      <c r="K866" s="4">
        <f>1/INR!C866</f>
        <v>1.8133188267827189E-2</v>
      </c>
      <c r="L866" s="4">
        <f>1/JPY!B866</f>
        <v>1.1865633565504231E-2</v>
      </c>
      <c r="M866" s="4">
        <f>1/JPY!C866</f>
        <v>1.1869154441437593E-2</v>
      </c>
      <c r="N866" s="5">
        <f>1/KRW!B866</f>
        <v>9.322270905192504E-4</v>
      </c>
      <c r="O866" s="5">
        <f>1/KRW!C866</f>
        <v>9.3220319232983212E-4</v>
      </c>
      <c r="P866" s="3">
        <f>1/NOK!B866</f>
        <v>0.17876935178233044</v>
      </c>
      <c r="Q866" s="3">
        <f>1/NOK!C866</f>
        <v>0.17856505124816971</v>
      </c>
      <c r="R866" s="3">
        <f>NZD!B866/1</f>
        <v>0.83940000000000003</v>
      </c>
      <c r="S866" s="3">
        <f>NZD!C866/1</f>
        <v>0.83760000000000001</v>
      </c>
      <c r="T866" s="4">
        <f>1/PHP!B866</f>
        <v>2.4348672997321647E-2</v>
      </c>
      <c r="U866" s="4">
        <f>1/PHP!C866</f>
        <v>2.4338598583493562E-2</v>
      </c>
      <c r="V866" s="4">
        <f>1/TWD!B866</f>
        <v>3.4390260678175938E-2</v>
      </c>
      <c r="W866" s="4">
        <f>1/TWD!C866</f>
        <v>3.4390260678175938E-2</v>
      </c>
      <c r="X866" s="4">
        <f>1/TWD!B866</f>
        <v>3.4390260678175938E-2</v>
      </c>
      <c r="Y866" s="4">
        <f>1/TWD!C866</f>
        <v>3.4390260678175938E-2</v>
      </c>
      <c r="Z866" s="4">
        <f>1/ZAR!B866</f>
        <v>0.11830399394283551</v>
      </c>
      <c r="AA866" s="4">
        <f>1/ZAR!C866</f>
        <v>0.11772046099332525</v>
      </c>
    </row>
    <row r="867" spans="1:27" x14ac:dyDescent="0.25">
      <c r="A867" t="str">
        <f>"20/12/2012"</f>
        <v>20/12/2012</v>
      </c>
      <c r="B867" s="3">
        <f>AUD!B867</f>
        <v>1.0476000000000001</v>
      </c>
      <c r="C867" s="3">
        <f>AUD!C867</f>
        <v>1.0451999999999999</v>
      </c>
      <c r="D867" s="3">
        <f>1/CAD!B867</f>
        <v>1.0111223458038423</v>
      </c>
      <c r="E867" s="3">
        <f>1/CAD!C867</f>
        <v>1.0104071940992219</v>
      </c>
      <c r="F867" s="3">
        <f>EUR!B867/1</f>
        <v>1.3221000000000001</v>
      </c>
      <c r="G867" s="3">
        <f>EUR!C867/1</f>
        <v>1.3226</v>
      </c>
      <c r="H867" s="3">
        <f>GBP!B867/1</f>
        <v>1.6257999999999999</v>
      </c>
      <c r="I867" s="3">
        <f>GBP!C867/1</f>
        <v>1.6256999999999999</v>
      </c>
      <c r="J867" s="4">
        <f>1/INR!B867</f>
        <v>1.8264840182648401E-2</v>
      </c>
      <c r="K867" s="4">
        <f>1/INR!C867</f>
        <v>1.8150467374534896E-2</v>
      </c>
      <c r="L867" s="4">
        <f>1/JPY!B867</f>
        <v>1.188428980078365E-2</v>
      </c>
      <c r="M867" s="4">
        <f>1/JPY!C867</f>
        <v>1.1887821758755678E-2</v>
      </c>
      <c r="N867" s="5">
        <f>1/KRW!B867</f>
        <v>9.3153237074988359E-4</v>
      </c>
      <c r="O867" s="5">
        <f>1/KRW!C867</f>
        <v>9.3150764045854409E-4</v>
      </c>
      <c r="P867" s="3">
        <f>1/NOK!B867</f>
        <v>0.1792692983399663</v>
      </c>
      <c r="Q867" s="3">
        <f>1/NOK!C867</f>
        <v>0.17907347384631914</v>
      </c>
      <c r="R867" s="3">
        <f>NZD!B867/1</f>
        <v>0.83509999999999995</v>
      </c>
      <c r="S867" s="3">
        <f>NZD!C867/1</f>
        <v>0.83340000000000003</v>
      </c>
      <c r="T867" s="4">
        <f>1/PHP!B867</f>
        <v>2.4357569114602361E-2</v>
      </c>
      <c r="U867" s="4">
        <f>1/PHP!C867</f>
        <v>2.4348672997321647E-2</v>
      </c>
      <c r="V867" s="4">
        <f>1/TWD!B867</f>
        <v>3.4428148454176133E-2</v>
      </c>
      <c r="W867" s="4">
        <f>1/TWD!C867</f>
        <v>3.4428148454176133E-2</v>
      </c>
      <c r="X867" s="4">
        <f>1/TWD!B867</f>
        <v>3.4428148454176133E-2</v>
      </c>
      <c r="Y867" s="4">
        <f>1/TWD!C867</f>
        <v>3.4428148454176133E-2</v>
      </c>
      <c r="Z867" s="4">
        <f>1/ZAR!B867</f>
        <v>0.11765536390804057</v>
      </c>
      <c r="AA867" s="4">
        <f>1/ZAR!C867</f>
        <v>0.117090534401199</v>
      </c>
    </row>
    <row r="868" spans="1:27" x14ac:dyDescent="0.25">
      <c r="A868" t="str">
        <f>"21/12/2012"</f>
        <v>21/12/2012</v>
      </c>
      <c r="B868" s="3">
        <f>AUD!B868</f>
        <v>1.044</v>
      </c>
      <c r="C868" s="3">
        <f>AUD!C868</f>
        <v>1.0414000000000001</v>
      </c>
      <c r="D868" s="3">
        <f>1/CAD!B868</f>
        <v>1.0096930533117934</v>
      </c>
      <c r="E868" s="3">
        <f>1/CAD!C868</f>
        <v>1.0090817356205852</v>
      </c>
      <c r="F868" s="3">
        <f>EUR!B868/1</f>
        <v>1.3209</v>
      </c>
      <c r="G868" s="3">
        <f>EUR!C868/1</f>
        <v>1.3214999999999999</v>
      </c>
      <c r="H868" s="3">
        <f>GBP!B868/1</f>
        <v>1.6248</v>
      </c>
      <c r="I868" s="3">
        <f>GBP!C868/1</f>
        <v>1.6247</v>
      </c>
      <c r="J868" s="4">
        <f>1/INR!B868</f>
        <v>1.8140589569160998E-2</v>
      </c>
      <c r="K868" s="4">
        <f>1/INR!C868</f>
        <v>1.8020453214398342E-2</v>
      </c>
      <c r="L868" s="4">
        <f>1/JPY!B868</f>
        <v>1.1899831974372522E-2</v>
      </c>
      <c r="M868" s="4">
        <f>1/JPY!C868</f>
        <v>1.1904081671523532E-2</v>
      </c>
      <c r="N868" s="5">
        <f>1/KRW!B868</f>
        <v>9.3066542577943234E-4</v>
      </c>
      <c r="O868" s="5">
        <f>1/KRW!C868</f>
        <v>9.3064593807947252E-4</v>
      </c>
      <c r="P868" s="3">
        <f>1/NOK!B868</f>
        <v>0.17939794051164293</v>
      </c>
      <c r="Q868" s="3">
        <f>1/NOK!C868</f>
        <v>0.17921146953405018</v>
      </c>
      <c r="R868" s="3">
        <f>NZD!B868/1</f>
        <v>0.82799999999999996</v>
      </c>
      <c r="S868" s="3">
        <f>NZD!C868/1</f>
        <v>0.82630000000000003</v>
      </c>
      <c r="T868" s="4">
        <f>1/PHP!B868</f>
        <v>2.4324981756263683E-2</v>
      </c>
      <c r="U868" s="4">
        <f>1/PHP!C868</f>
        <v>2.4330900243309E-2</v>
      </c>
      <c r="V868" s="4">
        <f>1/TWD!B868</f>
        <v>3.4385530568736673E-2</v>
      </c>
      <c r="W868" s="4">
        <f>1/TWD!C868</f>
        <v>3.4385530568736673E-2</v>
      </c>
      <c r="X868" s="4">
        <f>1/TWD!B868</f>
        <v>3.4385530568736673E-2</v>
      </c>
      <c r="Y868" s="4">
        <f>1/TWD!C868</f>
        <v>3.4385530568736673E-2</v>
      </c>
      <c r="Z868" s="4">
        <f>1/ZAR!B868</f>
        <v>0.11699874811339518</v>
      </c>
      <c r="AA868" s="4">
        <f>1/ZAR!C868</f>
        <v>0.11646324420013045</v>
      </c>
    </row>
    <row r="869" spans="1:27" x14ac:dyDescent="0.25">
      <c r="A869" t="str">
        <f>"24/12/2012"</f>
        <v>24/12/2012</v>
      </c>
      <c r="B869" s="3">
        <f>AUD!B869</f>
        <v>1.0409999999999999</v>
      </c>
      <c r="C869" s="3">
        <f>AUD!C869</f>
        <v>1.0384</v>
      </c>
      <c r="D869" s="3">
        <f>1/CAD!B869</f>
        <v>1.0066438494060801</v>
      </c>
      <c r="E869" s="3">
        <f>1/CAD!C869</f>
        <v>1.0059350165979277</v>
      </c>
      <c r="F869" s="3">
        <f>EUR!B869/1</f>
        <v>1.3214999999999999</v>
      </c>
      <c r="G869" s="3">
        <f>EUR!C869/1</f>
        <v>1.3220000000000001</v>
      </c>
      <c r="H869" s="3">
        <f>GBP!B869/1</f>
        <v>1.6194999999999999</v>
      </c>
      <c r="I869" s="3">
        <f>GBP!C869/1</f>
        <v>1.6194999999999999</v>
      </c>
      <c r="J869" s="4">
        <f>1/INR!B869</f>
        <v>1.8162829768877991E-2</v>
      </c>
      <c r="K869" s="4">
        <f>1/INR!C869</f>
        <v>1.8045655508436346E-2</v>
      </c>
      <c r="L869" s="4">
        <f>1/JPY!B869</f>
        <v>1.1843359724286585E-2</v>
      </c>
      <c r="M869" s="4">
        <f>1/JPY!C869</f>
        <v>1.1847569174994519E-2</v>
      </c>
      <c r="N869" s="5">
        <f>1/KRW!B869</f>
        <v>9.3079536463908422E-4</v>
      </c>
      <c r="O869" s="5">
        <f>1/KRW!C869</f>
        <v>9.3077587149708327E-4</v>
      </c>
      <c r="P869" s="3">
        <f>1/NOK!B869</f>
        <v>0.17975912277548087</v>
      </c>
      <c r="Q869" s="3">
        <f>1/NOK!C869</f>
        <v>0.17954933117874136</v>
      </c>
      <c r="R869" s="3">
        <f>NZD!B869/1</f>
        <v>0.82169999999999999</v>
      </c>
      <c r="S869" s="3">
        <f>NZD!C869/1</f>
        <v>0.82</v>
      </c>
      <c r="T869" s="4">
        <f>1/PHP!B869</f>
        <v>2.4307243558580455E-2</v>
      </c>
      <c r="U869" s="4">
        <f>1/PHP!C869</f>
        <v>2.4319066147859923E-2</v>
      </c>
      <c r="V869" s="4">
        <f>1/TWD!B869</f>
        <v>3.4396175145323837E-2</v>
      </c>
      <c r="W869" s="4">
        <f>1/TWD!C869</f>
        <v>3.4396175145323837E-2</v>
      </c>
      <c r="X869" s="4">
        <f>1/TWD!B869</f>
        <v>3.4396175145323837E-2</v>
      </c>
      <c r="Y869" s="4">
        <f>1/TWD!C869</f>
        <v>3.4396175145323837E-2</v>
      </c>
      <c r="Z869" s="4">
        <f>1/ZAR!B869</f>
        <v>0.1167705924939863</v>
      </c>
      <c r="AA869" s="4">
        <f>1/ZAR!C869</f>
        <v>0.11624527753560013</v>
      </c>
    </row>
    <row r="870" spans="1:27" x14ac:dyDescent="0.25">
      <c r="A870" t="str">
        <f>"26/12/2012"</f>
        <v>26/12/2012</v>
      </c>
      <c r="B870" s="3">
        <f>AUD!B870</f>
        <v>1.0366</v>
      </c>
      <c r="C870" s="3">
        <f>AUD!C870</f>
        <v>1.0341</v>
      </c>
      <c r="D870" s="3">
        <f>1/CAD!B870</f>
        <v>1.0072522159548751</v>
      </c>
      <c r="E870" s="3">
        <f>1/CAD!C870</f>
        <v>1.0065425264217414</v>
      </c>
      <c r="F870" s="3">
        <f>EUR!B870/1</f>
        <v>1.3178000000000001</v>
      </c>
      <c r="G870" s="3">
        <f>EUR!C870/1</f>
        <v>1.3183</v>
      </c>
      <c r="H870" s="3">
        <f>GBP!B870/1</f>
        <v>1.6123000000000001</v>
      </c>
      <c r="I870" s="3">
        <f>GBP!C870/1</f>
        <v>1.6123000000000001</v>
      </c>
      <c r="J870" s="4">
        <f>1/INR!B870</f>
        <v>1.8178512997636793E-2</v>
      </c>
      <c r="K870" s="4">
        <f>1/INR!C870</f>
        <v>1.806439958451881E-2</v>
      </c>
      <c r="L870" s="4">
        <f>1/JPY!B870</f>
        <v>1.173116854169844E-2</v>
      </c>
      <c r="M870" s="4">
        <f>1/JPY!C870</f>
        <v>1.1735574045604441E-2</v>
      </c>
      <c r="N870" s="5">
        <f>1/KRW!B870</f>
        <v>9.3075204765450477E-4</v>
      </c>
      <c r="O870" s="5">
        <f>1/KRW!C870</f>
        <v>9.3072605939893704E-4</v>
      </c>
      <c r="P870" s="3">
        <f>1/NOK!B870</f>
        <v>0.17851404905566068</v>
      </c>
      <c r="Q870" s="3">
        <f>1/NOK!C870</f>
        <v>0.17831033130059556</v>
      </c>
      <c r="R870" s="3">
        <f>NZD!B870/1</f>
        <v>0.82110000000000005</v>
      </c>
      <c r="S870" s="3">
        <f>NZD!C870/1</f>
        <v>0.81940000000000002</v>
      </c>
      <c r="T870" s="4">
        <f>1/PHP!B870</f>
        <v>2.4295432458697766E-2</v>
      </c>
      <c r="U870" s="4">
        <f>1/PHP!C870</f>
        <v>2.4307243558580455E-2</v>
      </c>
      <c r="V870" s="4">
        <f>1/TWD!B870</f>
        <v>3.4435261707988982E-2</v>
      </c>
      <c r="W870" s="4">
        <f>1/TWD!C870</f>
        <v>3.4435261707988982E-2</v>
      </c>
      <c r="X870" s="4">
        <f>1/TWD!B870</f>
        <v>3.4435261707988982E-2</v>
      </c>
      <c r="Y870" s="4">
        <f>1/TWD!C870</f>
        <v>3.4435261707988982E-2</v>
      </c>
      <c r="Z870" s="4">
        <f>1/ZAR!B870</f>
        <v>0.11634942057988552</v>
      </c>
      <c r="AA870" s="4">
        <f>1/ZAR!C870</f>
        <v>0.11581312394320524</v>
      </c>
    </row>
    <row r="871" spans="1:27" x14ac:dyDescent="0.25">
      <c r="A871" t="str">
        <f>"27/12/2012"</f>
        <v>27/12/2012</v>
      </c>
      <c r="B871" s="3">
        <f>AUD!B871</f>
        <v>1.036</v>
      </c>
      <c r="C871" s="3">
        <f>AUD!C871</f>
        <v>1.0336000000000001</v>
      </c>
      <c r="D871" s="3">
        <f>1/CAD!B871</f>
        <v>1.0072522159548751</v>
      </c>
      <c r="E871" s="3">
        <f>1/CAD!C871</f>
        <v>1.0065425264217414</v>
      </c>
      <c r="F871" s="3">
        <f>EUR!B871/1</f>
        <v>1.323</v>
      </c>
      <c r="G871" s="3">
        <f>EUR!C871/1</f>
        <v>1.3234999999999999</v>
      </c>
      <c r="H871" s="3">
        <f>GBP!B871/1</f>
        <v>1.6133</v>
      </c>
      <c r="I871" s="3">
        <f>GBP!C871/1</f>
        <v>1.6133</v>
      </c>
      <c r="J871" s="4">
        <f>1/INR!B871</f>
        <v>1.8254837531945966E-2</v>
      </c>
      <c r="K871" s="4">
        <f>1/INR!C871</f>
        <v>1.8141412308948252E-2</v>
      </c>
      <c r="L871" s="4">
        <f>1/JPY!B871</f>
        <v>1.1652363390604699E-2</v>
      </c>
      <c r="M871" s="4">
        <f>1/JPY!C871</f>
        <v>1.1655487111945126E-2</v>
      </c>
      <c r="N871" s="5">
        <f>1/KRW!B871</f>
        <v>9.3296636656248547E-4</v>
      </c>
      <c r="O871" s="5">
        <f>1/KRW!C871</f>
        <v>9.3294591199427927E-4</v>
      </c>
      <c r="P871" s="3">
        <f>1/NOK!B871</f>
        <v>0.17890367825962503</v>
      </c>
      <c r="Q871" s="3">
        <f>1/NOK!C871</f>
        <v>0.1786926843215039</v>
      </c>
      <c r="R871" s="3">
        <f>NZD!B871/1</f>
        <v>0.82</v>
      </c>
      <c r="S871" s="3">
        <f>NZD!C871/1</f>
        <v>0.81830000000000003</v>
      </c>
      <c r="T871" s="4">
        <f>1/PHP!B871</f>
        <v>2.4265954865323951E-2</v>
      </c>
      <c r="U871" s="4">
        <f>1/PHP!C871</f>
        <v>2.4255948771436196E-2</v>
      </c>
      <c r="V871" s="4">
        <f>1/TWD!B871</f>
        <v>3.4406826314340763E-2</v>
      </c>
      <c r="W871" s="4">
        <f>1/TWD!C871</f>
        <v>3.4406826314340763E-2</v>
      </c>
      <c r="X871" s="4">
        <f>1/TWD!B871</f>
        <v>3.4406826314340763E-2</v>
      </c>
      <c r="Y871" s="4">
        <f>1/TWD!C871</f>
        <v>3.4406826314340763E-2</v>
      </c>
      <c r="Z871" s="4">
        <f>1/ZAR!B871</f>
        <v>0.11651752423564504</v>
      </c>
      <c r="AA871" s="4">
        <f>1/ZAR!C871</f>
        <v>0.11598237067965669</v>
      </c>
    </row>
    <row r="872" spans="1:27" x14ac:dyDescent="0.25">
      <c r="A872" t="str">
        <f>"28/12/2012"</f>
        <v>28/12/2012</v>
      </c>
      <c r="B872" s="3">
        <f>AUD!B872</f>
        <v>1.0376000000000001</v>
      </c>
      <c r="C872" s="3">
        <f>AUD!C872</f>
        <v>1.0349999999999999</v>
      </c>
      <c r="D872" s="3">
        <f>1/CAD!B872</f>
        <v>1.0053282396702523</v>
      </c>
      <c r="E872" s="3">
        <f>1/CAD!C872</f>
        <v>1.0046212577858149</v>
      </c>
      <c r="F872" s="3">
        <f>EUR!B872/1</f>
        <v>1.3243</v>
      </c>
      <c r="G872" s="3">
        <f>EUR!C872/1</f>
        <v>1.3247</v>
      </c>
      <c r="H872" s="3">
        <f>GBP!B872/1</f>
        <v>1.6115999999999999</v>
      </c>
      <c r="I872" s="3">
        <f>GBP!C872/1</f>
        <v>1.6114999999999999</v>
      </c>
      <c r="J872" s="4">
        <f>1/INR!B872</f>
        <v>1.8203331209611359E-2</v>
      </c>
      <c r="K872" s="4">
        <f>1/INR!C872</f>
        <v>1.8083182640144666E-2</v>
      </c>
      <c r="L872" s="4">
        <f>1/JPY!B872</f>
        <v>1.1575145846837671E-2</v>
      </c>
      <c r="M872" s="4">
        <f>1/JPY!C872</f>
        <v>1.1577692102856215E-2</v>
      </c>
      <c r="N872" s="5">
        <f>1/KRW!B872</f>
        <v>9.3392481905206633E-4</v>
      </c>
      <c r="O872" s="5">
        <f>1/KRW!C872</f>
        <v>9.3390301417197819E-4</v>
      </c>
      <c r="P872" s="3">
        <f>1/NOK!B872</f>
        <v>0.17942369110417339</v>
      </c>
      <c r="Q872" s="3">
        <f>1/NOK!C872</f>
        <v>0.17920183502679066</v>
      </c>
      <c r="R872" s="3">
        <f>NZD!B872/1</f>
        <v>0.82040000000000002</v>
      </c>
      <c r="S872" s="3">
        <f>NZD!C872/1</f>
        <v>0.81869999999999998</v>
      </c>
      <c r="T872" s="4">
        <f>1/PHP!B872</f>
        <v>2.414875633904854E-2</v>
      </c>
      <c r="U872" s="4">
        <f>1/PHP!C872</f>
        <v>2.4131274131274132E-2</v>
      </c>
      <c r="V872" s="4">
        <f>1/TWD!B872</f>
        <v>3.4410378170056086E-2</v>
      </c>
      <c r="W872" s="4">
        <f>1/TWD!C872</f>
        <v>3.4410378170056086E-2</v>
      </c>
      <c r="X872" s="4">
        <f>1/TWD!B872</f>
        <v>3.4410378170056086E-2</v>
      </c>
      <c r="Y872" s="4">
        <f>1/TWD!C872</f>
        <v>3.4410378170056086E-2</v>
      </c>
      <c r="Z872" s="4">
        <f>1/ZAR!B872</f>
        <v>0.11763045217145814</v>
      </c>
      <c r="AA872" s="4">
        <f>1/ZAR!C872</f>
        <v>0.11703161023792526</v>
      </c>
    </row>
    <row r="873" spans="1:27" x14ac:dyDescent="0.25">
      <c r="A873" t="str">
        <f>"31/12/2012"</f>
        <v>31/12/2012</v>
      </c>
      <c r="B873" s="3">
        <f>AUD!B873</f>
        <v>1.0395000000000001</v>
      </c>
      <c r="C873" s="3">
        <f>AUD!C873</f>
        <v>1.0369999999999999</v>
      </c>
      <c r="D873" s="3">
        <f>1/CAD!B873</f>
        <v>1.004823151125402</v>
      </c>
      <c r="E873" s="3">
        <f>1/CAD!C873</f>
        <v>1.0041168792047395</v>
      </c>
      <c r="F873" s="3">
        <f>EUR!B873/1</f>
        <v>1.3211999999999999</v>
      </c>
      <c r="G873" s="3">
        <f>EUR!C873/1</f>
        <v>1.3214999999999999</v>
      </c>
      <c r="H873" s="3">
        <f>GBP!B873/1</f>
        <v>1.6163000000000001</v>
      </c>
      <c r="I873" s="3">
        <f>GBP!C873/1</f>
        <v>1.6162000000000001</v>
      </c>
      <c r="J873" s="4">
        <f>1/INR!B873</f>
        <v>1.8251505749224312E-2</v>
      </c>
      <c r="K873" s="4">
        <f>1/INR!C873</f>
        <v>1.813401033638589E-2</v>
      </c>
      <c r="L873" s="4">
        <f>1/JPY!B873</f>
        <v>1.162682541158962E-2</v>
      </c>
      <c r="M873" s="4">
        <f>1/JPY!C873</f>
        <v>1.1629624374762318E-2</v>
      </c>
      <c r="N873" s="5">
        <f>1/KRW!B873</f>
        <v>9.3817431278731586E-4</v>
      </c>
      <c r="O873" s="5">
        <f>1/KRW!C873</f>
        <v>9.381452680421753E-4</v>
      </c>
      <c r="P873" s="3">
        <f>1/NOK!B873</f>
        <v>0.1789356905128297</v>
      </c>
      <c r="Q873" s="3">
        <f>1/NOK!C873</f>
        <v>0.178711845021088</v>
      </c>
      <c r="R873" s="3">
        <f>NZD!B873/1</f>
        <v>0.82410000000000005</v>
      </c>
      <c r="S873" s="3">
        <f>NZD!C873/1</f>
        <v>0.82240000000000002</v>
      </c>
      <c r="T873" s="4">
        <f>1/PHP!B873</f>
        <v>2.4378352023403216E-2</v>
      </c>
      <c r="U873" s="4">
        <f>1/PHP!C873</f>
        <v>2.439619419370578E-2</v>
      </c>
      <c r="V873" s="4">
        <f>1/TWD!B873</f>
        <v>3.4419853371424634E-2</v>
      </c>
      <c r="W873" s="4">
        <f>1/TWD!C873</f>
        <v>3.4419853371424634E-2</v>
      </c>
      <c r="X873" s="4">
        <f>1/TWD!B873</f>
        <v>3.4419853371424634E-2</v>
      </c>
      <c r="Y873" s="4">
        <f>1/TWD!C873</f>
        <v>3.4419853371424634E-2</v>
      </c>
      <c r="Z873" s="4">
        <f>1/ZAR!B873</f>
        <v>0.11796487006169562</v>
      </c>
      <c r="AA873" s="4">
        <f>1/ZAR!C873</f>
        <v>0.11742602160638797</v>
      </c>
    </row>
    <row r="874" spans="1:27" x14ac:dyDescent="0.25">
      <c r="A874" t="str">
        <f>"01/01/2013"</f>
        <v>01/01/2013</v>
      </c>
      <c r="B874" s="3">
        <f>AUD!B874</f>
        <v>1.0390999999999999</v>
      </c>
      <c r="C874" s="3">
        <f>AUD!C874</f>
        <v>1.0366</v>
      </c>
      <c r="D874" s="3">
        <f>1/CAD!B874</f>
        <v>1.0057326762546515</v>
      </c>
      <c r="E874" s="3">
        <f>1/CAD!C874</f>
        <v>1.0050251256281406</v>
      </c>
      <c r="F874" s="3">
        <f>EUR!B874/1</f>
        <v>1.3219000000000001</v>
      </c>
      <c r="G874" s="3">
        <f>EUR!C874/1</f>
        <v>1.3222</v>
      </c>
      <c r="H874" s="3">
        <f>GBP!B874/1</f>
        <v>1.6218999999999999</v>
      </c>
      <c r="I874" s="3">
        <f>GBP!C874/1</f>
        <v>1.6216999999999999</v>
      </c>
      <c r="J874" s="4">
        <f>1/INR!B874</f>
        <v>1.826817683595177E-2</v>
      </c>
      <c r="K874" s="4">
        <f>1/INR!C874</f>
        <v>1.8154586302364634E-2</v>
      </c>
      <c r="L874" s="4">
        <f>1/JPY!B874</f>
        <v>1.1528041962072742E-2</v>
      </c>
      <c r="M874" s="4">
        <f>1/JPY!C874</f>
        <v>1.1530607420868323E-2</v>
      </c>
      <c r="N874" s="5">
        <f>1/KRW!B874</f>
        <v>9.391435011269722E-4</v>
      </c>
      <c r="O874" s="5">
        <f>1/KRW!C874</f>
        <v>9.391152782786392E-4</v>
      </c>
      <c r="P874" s="3">
        <f>1/NOK!B874</f>
        <v>0.17953321364452424</v>
      </c>
      <c r="Q874" s="3">
        <f>1/NOK!C874</f>
        <v>0.17932073306315677</v>
      </c>
      <c r="R874" s="3">
        <f>NZD!B874/1</f>
        <v>0.8256</v>
      </c>
      <c r="S874" s="3">
        <f>NZD!C874/1</f>
        <v>0.82389999999999997</v>
      </c>
      <c r="T874" s="4">
        <f>1/PHP!B874</f>
        <v>2.4301336573511544E-2</v>
      </c>
      <c r="U874" s="4">
        <f>1/PHP!C874</f>
        <v>2.4319066147859923E-2</v>
      </c>
      <c r="V874" s="4">
        <f>1/TWD!B874</f>
        <v>3.4385530568736673E-2</v>
      </c>
      <c r="W874" s="4">
        <f>1/TWD!C874</f>
        <v>3.4385530568736673E-2</v>
      </c>
      <c r="X874" s="4">
        <f>1/TWD!B874</f>
        <v>3.4385530568736673E-2</v>
      </c>
      <c r="Y874" s="4">
        <f>1/TWD!C874</f>
        <v>3.4385530568736673E-2</v>
      </c>
      <c r="Z874" s="4">
        <f>1/ZAR!B874</f>
        <v>0.11744532919925775</v>
      </c>
      <c r="AA874" s="4">
        <f>1/ZAR!C874</f>
        <v>0.11692350864064729</v>
      </c>
    </row>
    <row r="875" spans="1:27" x14ac:dyDescent="0.25">
      <c r="A875" t="str">
        <f>"02/01/2013"</f>
        <v>02/01/2013</v>
      </c>
      <c r="B875" s="3">
        <f>AUD!B875</f>
        <v>1.0470999999999999</v>
      </c>
      <c r="C875" s="3">
        <f>AUD!C875</f>
        <v>1.0447</v>
      </c>
      <c r="D875" s="3">
        <f>1/CAD!B875</f>
        <v>1.0128633647320977</v>
      </c>
      <c r="E875" s="3">
        <f>1/CAD!C875</f>
        <v>1.0122482032594393</v>
      </c>
      <c r="F875" s="3">
        <f>EUR!B875/1</f>
        <v>1.3270999999999999</v>
      </c>
      <c r="G875" s="3">
        <f>EUR!C875/1</f>
        <v>1.3274999999999999</v>
      </c>
      <c r="H875" s="3">
        <f>GBP!B875/1</f>
        <v>1.6335</v>
      </c>
      <c r="I875" s="3">
        <f>GBP!C875/1</f>
        <v>1.6334</v>
      </c>
      <c r="J875" s="4">
        <f>1/INR!B875</f>
        <v>1.8360414945377764E-2</v>
      </c>
      <c r="K875" s="4">
        <f>1/INR!C875</f>
        <v>1.8246510354894628E-2</v>
      </c>
      <c r="L875" s="4">
        <f>1/JPY!B875</f>
        <v>1.1463683052090976E-2</v>
      </c>
      <c r="M875" s="4">
        <f>1/JPY!C875</f>
        <v>1.1466285680214466E-2</v>
      </c>
      <c r="N875" s="5">
        <f>1/KRW!B875</f>
        <v>9.3954056466387945E-4</v>
      </c>
      <c r="O875" s="5">
        <f>1/KRW!C875</f>
        <v>9.3951937946624021E-4</v>
      </c>
      <c r="P875" s="3">
        <f>1/NOK!B875</f>
        <v>0.1810610175629187</v>
      </c>
      <c r="Q875" s="3">
        <f>1/NOK!C875</f>
        <v>0.18084817795460711</v>
      </c>
      <c r="R875" s="3">
        <f>NZD!B875/1</f>
        <v>0.83620000000000005</v>
      </c>
      <c r="S875" s="3">
        <f>NZD!C875/1</f>
        <v>0.83440000000000003</v>
      </c>
      <c r="T875" s="4">
        <f>1/PHP!B875</f>
        <v>2.4458847988259754E-2</v>
      </c>
      <c r="U875" s="4">
        <f>1/PHP!C875</f>
        <v>2.447081854888046E-2</v>
      </c>
      <c r="V875" s="4">
        <f>1/TWD!B875</f>
        <v>3.4478003034064265E-2</v>
      </c>
      <c r="W875" s="4">
        <f>1/TWD!C875</f>
        <v>3.4478003034064265E-2</v>
      </c>
      <c r="X875" s="4">
        <f>1/TWD!B875</f>
        <v>3.4478003034064265E-2</v>
      </c>
      <c r="Y875" s="4">
        <f>1/TWD!C875</f>
        <v>3.4478003034064265E-2</v>
      </c>
      <c r="Z875" s="4">
        <f>1/ZAR!B875</f>
        <v>0.11863803535413453</v>
      </c>
      <c r="AA875" s="4">
        <f>1/ZAR!C875</f>
        <v>0.11811535145222823</v>
      </c>
    </row>
    <row r="876" spans="1:27" x14ac:dyDescent="0.25">
      <c r="A876" t="str">
        <f>"03/01/2013"</f>
        <v>03/01/2013</v>
      </c>
      <c r="B876" s="3">
        <f>AUD!B876</f>
        <v>1.0488999999999999</v>
      </c>
      <c r="C876" s="3">
        <f>AUD!C876</f>
        <v>1.0464</v>
      </c>
      <c r="D876" s="3">
        <f>1/CAD!B876</f>
        <v>1.0140959334753068</v>
      </c>
      <c r="E876" s="3">
        <f>1/CAD!C876</f>
        <v>1.0133765707336846</v>
      </c>
      <c r="F876" s="3">
        <f>EUR!B876/1</f>
        <v>1.3139000000000001</v>
      </c>
      <c r="G876" s="3">
        <f>EUR!C876/1</f>
        <v>1.3142</v>
      </c>
      <c r="H876" s="3">
        <f>GBP!B876/1</f>
        <v>1.6228</v>
      </c>
      <c r="I876" s="3">
        <f>GBP!C876/1</f>
        <v>1.6226</v>
      </c>
      <c r="J876" s="4">
        <f>1/INR!B876</f>
        <v>1.8351991191044227E-2</v>
      </c>
      <c r="K876" s="4">
        <f>1/INR!C876</f>
        <v>1.8244845831052726E-2</v>
      </c>
      <c r="L876" s="4">
        <f>1/JPY!B876</f>
        <v>1.1465917560052743E-2</v>
      </c>
      <c r="M876" s="4">
        <f>1/JPY!C876</f>
        <v>1.14681529392876E-2</v>
      </c>
      <c r="N876" s="5">
        <f>1/KRW!B876</f>
        <v>9.3971714513931296E-4</v>
      </c>
      <c r="O876" s="5">
        <f>1/KRW!C876</f>
        <v>9.3968977081906175E-4</v>
      </c>
      <c r="P876" s="3">
        <f>1/NOK!B876</f>
        <v>0.17960415244800459</v>
      </c>
      <c r="Q876" s="3">
        <f>1/NOK!C876</f>
        <v>0.1794011589314867</v>
      </c>
      <c r="R876" s="3">
        <f>NZD!B876/1</f>
        <v>0.83240000000000003</v>
      </c>
      <c r="S876" s="3">
        <f>NZD!C876/1</f>
        <v>0.83069999999999999</v>
      </c>
      <c r="T876" s="4">
        <f>1/PHP!B876</f>
        <v>2.4494794856093079E-2</v>
      </c>
      <c r="U876" s="4">
        <f>1/PHP!C876</f>
        <v>2.4500796275878967E-2</v>
      </c>
      <c r="V876" s="4">
        <f>1/TWD!B876</f>
        <v>3.4436447536072175E-2</v>
      </c>
      <c r="W876" s="4">
        <f>1/TWD!C876</f>
        <v>3.4436447536072175E-2</v>
      </c>
      <c r="X876" s="4">
        <f>1/TWD!B876</f>
        <v>3.4436447536072175E-2</v>
      </c>
      <c r="Y876" s="4">
        <f>1/TWD!C876</f>
        <v>3.4436447536072175E-2</v>
      </c>
      <c r="Z876" s="4">
        <f>1/ZAR!B876</f>
        <v>0.11750881316098707</v>
      </c>
      <c r="AA876" s="4">
        <f>1/ZAR!C876</f>
        <v>0.11699601043604413</v>
      </c>
    </row>
    <row r="877" spans="1:27" x14ac:dyDescent="0.25">
      <c r="A877" t="str">
        <f>"04/01/2013"</f>
        <v>04/01/2013</v>
      </c>
      <c r="B877" s="3">
        <f>AUD!B877</f>
        <v>1.0435000000000001</v>
      </c>
      <c r="C877" s="3">
        <f>AUD!C877</f>
        <v>1.0410999999999999</v>
      </c>
      <c r="D877" s="3">
        <f>1/CAD!B877</f>
        <v>1.0115314586283632</v>
      </c>
      <c r="E877" s="3">
        <f>1/CAD!C877</f>
        <v>1.0109179134654267</v>
      </c>
      <c r="F877" s="3">
        <f>EUR!B877/1</f>
        <v>1.3033999999999999</v>
      </c>
      <c r="G877" s="3">
        <f>EUR!C877/1</f>
        <v>1.3037000000000001</v>
      </c>
      <c r="H877" s="3">
        <f>GBP!B877/1</f>
        <v>1.6076999999999999</v>
      </c>
      <c r="I877" s="3">
        <f>GBP!C877/1</f>
        <v>1.6074999999999999</v>
      </c>
      <c r="J877" s="4">
        <f>1/INR!B877</f>
        <v>1.8236527765113524E-2</v>
      </c>
      <c r="K877" s="4">
        <f>1/INR!C877</f>
        <v>1.8127435874195595E-2</v>
      </c>
      <c r="L877" s="4">
        <f>1/JPY!B877</f>
        <v>1.1392506009546921E-2</v>
      </c>
      <c r="M877" s="4">
        <f>1/JPY!C877</f>
        <v>1.1394842694196607E-2</v>
      </c>
      <c r="N877" s="5">
        <f>1/KRW!B877</f>
        <v>9.3954056466387945E-4</v>
      </c>
      <c r="O877" s="5">
        <f>1/KRW!C877</f>
        <v>9.3952026216373387E-4</v>
      </c>
      <c r="P877" s="3">
        <f>1/NOK!B877</f>
        <v>0.17898693395382137</v>
      </c>
      <c r="Q877" s="3">
        <f>1/NOK!C877</f>
        <v>0.17878213608896198</v>
      </c>
      <c r="R877" s="3">
        <f>NZD!B877/1</f>
        <v>0.8246</v>
      </c>
      <c r="S877" s="3">
        <f>NZD!C877/1</f>
        <v>0.82289999999999996</v>
      </c>
      <c r="T877" s="4">
        <f>1/PHP!B877</f>
        <v>2.4425989252564732E-2</v>
      </c>
      <c r="U877" s="4">
        <f>1/PHP!C877</f>
        <v>2.4415254651106014E-2</v>
      </c>
      <c r="V877" s="4">
        <f>1/TWD!B877</f>
        <v>3.4436447536072175E-2</v>
      </c>
      <c r="W877" s="4">
        <f>1/TWD!C877</f>
        <v>3.4436447536072175E-2</v>
      </c>
      <c r="X877" s="4">
        <f>1/TWD!B877</f>
        <v>3.4436447536072175E-2</v>
      </c>
      <c r="Y877" s="4">
        <f>1/TWD!C877</f>
        <v>3.4436447536072175E-2</v>
      </c>
      <c r="Z877" s="4">
        <f>1/ZAR!B877</f>
        <v>0.11627230974943317</v>
      </c>
      <c r="AA877" s="4">
        <f>1/ZAR!C877</f>
        <v>0.11576619858533706</v>
      </c>
    </row>
    <row r="878" spans="1:27" x14ac:dyDescent="0.25">
      <c r="A878" t="str">
        <f>"07/01/2013"</f>
        <v>07/01/2013</v>
      </c>
      <c r="B878" s="3">
        <f>AUD!B878</f>
        <v>1.0486</v>
      </c>
      <c r="C878" s="3">
        <f>AUD!C878</f>
        <v>1.0459000000000001</v>
      </c>
      <c r="D878" s="3">
        <f>1/CAD!B878</f>
        <v>1.0127607859023697</v>
      </c>
      <c r="E878" s="3">
        <f>1/CAD!C878</f>
        <v>1.0120433154539015</v>
      </c>
      <c r="F878" s="3">
        <f>EUR!B878/1</f>
        <v>1.3029999999999999</v>
      </c>
      <c r="G878" s="3">
        <f>EUR!C878/1</f>
        <v>1.3032999999999999</v>
      </c>
      <c r="H878" s="3">
        <f>GBP!B878/1</f>
        <v>1.6044</v>
      </c>
      <c r="I878" s="3">
        <f>GBP!C878/1</f>
        <v>1.6042000000000001</v>
      </c>
      <c r="J878" s="4">
        <f>1/INR!B878</f>
        <v>1.8135654697134566E-2</v>
      </c>
      <c r="K878" s="4">
        <f>1/INR!C878</f>
        <v>1.8024513338139873E-2</v>
      </c>
      <c r="L878" s="4">
        <f>1/JPY!B878</f>
        <v>1.1398999167873061E-2</v>
      </c>
      <c r="M878" s="4">
        <f>1/JPY!C878</f>
        <v>1.1401598504110277E-2</v>
      </c>
      <c r="N878" s="5">
        <f>1/KRW!B878</f>
        <v>9.3993796409436972E-4</v>
      </c>
      <c r="O878" s="5">
        <f>1/KRW!C878</f>
        <v>9.3991499408793472E-4</v>
      </c>
      <c r="P878" s="3">
        <f>1/NOK!B878</f>
        <v>0.17806901955197835</v>
      </c>
      <c r="Q878" s="3">
        <f>1/NOK!C878</f>
        <v>0.1778568252556692</v>
      </c>
      <c r="R878" s="3">
        <f>NZD!B878/1</f>
        <v>0.83079999999999998</v>
      </c>
      <c r="S878" s="3">
        <f>NZD!C878/1</f>
        <v>0.82899999999999996</v>
      </c>
      <c r="T878" s="4">
        <f>1/PHP!B878</f>
        <v>2.4431956999755682E-2</v>
      </c>
      <c r="U878" s="4">
        <f>1/PHP!C878</f>
        <v>2.4437629061228483E-2</v>
      </c>
      <c r="V878" s="4">
        <f>1/TWD!B878</f>
        <v>3.447087211306446E-2</v>
      </c>
      <c r="W878" s="4">
        <f>1/TWD!C878</f>
        <v>3.447087211306446E-2</v>
      </c>
      <c r="X878" s="4">
        <f>1/TWD!B878</f>
        <v>3.447087211306446E-2</v>
      </c>
      <c r="Y878" s="4">
        <f>1/TWD!C878</f>
        <v>3.447087211306446E-2</v>
      </c>
      <c r="Z878" s="4">
        <f>1/ZAR!B878</f>
        <v>0.11621420602454445</v>
      </c>
      <c r="AA878" s="4">
        <f>1/ZAR!C878</f>
        <v>0.11570458305853495</v>
      </c>
    </row>
    <row r="879" spans="1:27" x14ac:dyDescent="0.25">
      <c r="A879" t="str">
        <f>"08/01/2013"</f>
        <v>08/01/2013</v>
      </c>
      <c r="B879" s="3">
        <f>AUD!B879</f>
        <v>1.0479000000000001</v>
      </c>
      <c r="C879" s="3">
        <f>AUD!C879</f>
        <v>1.0454000000000001</v>
      </c>
      <c r="D879" s="3">
        <f>1/CAD!B879</f>
        <v>1.0130685847431871</v>
      </c>
      <c r="E879" s="3">
        <f>1/CAD!C879</f>
        <v>1.0124531740407006</v>
      </c>
      <c r="F879" s="3">
        <f>EUR!B879/1</f>
        <v>1.3125</v>
      </c>
      <c r="G879" s="3">
        <f>EUR!C879/1</f>
        <v>1.3129</v>
      </c>
      <c r="H879" s="3">
        <f>GBP!B879/1</f>
        <v>1.6113</v>
      </c>
      <c r="I879" s="3">
        <f>GBP!C879/1</f>
        <v>1.6111</v>
      </c>
      <c r="J879" s="4">
        <f>1/INR!B879</f>
        <v>1.8081547780490009E-2</v>
      </c>
      <c r="K879" s="4">
        <f>1/INR!C879</f>
        <v>1.7970259220989264E-2</v>
      </c>
      <c r="L879" s="4">
        <f>1/JPY!B879</f>
        <v>1.1420087934677097E-2</v>
      </c>
      <c r="M879" s="4">
        <f>1/JPY!C879</f>
        <v>1.1422175010565512E-2</v>
      </c>
      <c r="N879" s="5">
        <f>1/KRW!B879</f>
        <v>9.4042413128320884E-4</v>
      </c>
      <c r="O879" s="5">
        <f>1/KRW!C879</f>
        <v>9.4040202186434704E-4</v>
      </c>
      <c r="P879" s="3">
        <f>1/NOK!B879</f>
        <v>0.17910875483593638</v>
      </c>
      <c r="Q879" s="3">
        <f>1/NOK!C879</f>
        <v>0.17889087656529518</v>
      </c>
      <c r="R879" s="3">
        <f>NZD!B879/1</f>
        <v>0.83550000000000002</v>
      </c>
      <c r="S879" s="3">
        <f>NZD!C879/1</f>
        <v>0.8337</v>
      </c>
      <c r="T879" s="4">
        <f>1/PHP!B879</f>
        <v>2.4479804161566705E-2</v>
      </c>
      <c r="U879" s="4">
        <f>1/PHP!C879</f>
        <v>2.4491795248591724E-2</v>
      </c>
      <c r="V879" s="4">
        <f>1/TWD!B879</f>
        <v>3.4423407917383818E-2</v>
      </c>
      <c r="W879" s="4">
        <f>1/TWD!C879</f>
        <v>3.4423407917383818E-2</v>
      </c>
      <c r="X879" s="4">
        <f>1/TWD!B879</f>
        <v>3.4423407917383818E-2</v>
      </c>
      <c r="Y879" s="4">
        <f>1/TWD!C879</f>
        <v>3.4423407917383818E-2</v>
      </c>
      <c r="Z879" s="4">
        <f>1/ZAR!B879</f>
        <v>0.11667113906033065</v>
      </c>
      <c r="AA879" s="4">
        <f>1/ZAR!C879</f>
        <v>0.11616020815909302</v>
      </c>
    </row>
    <row r="880" spans="1:27" x14ac:dyDescent="0.25">
      <c r="A880" t="str">
        <f>"09/01/2013"</f>
        <v>09/01/2013</v>
      </c>
      <c r="B880" s="3">
        <f>AUD!B880</f>
        <v>1.0494000000000001</v>
      </c>
      <c r="C880" s="3">
        <f>AUD!C880</f>
        <v>1.0468999999999999</v>
      </c>
      <c r="D880" s="3">
        <f>1/CAD!B880</f>
        <v>1.0125556905629809</v>
      </c>
      <c r="E880" s="3">
        <f>1/CAD!C880</f>
        <v>1.0118385105737124</v>
      </c>
      <c r="F880" s="3">
        <f>EUR!B880/1</f>
        <v>1.3071999999999999</v>
      </c>
      <c r="G880" s="3">
        <f>EUR!C880/1</f>
        <v>1.3076000000000001</v>
      </c>
      <c r="H880" s="3">
        <f>GBP!B880/1</f>
        <v>1.6040000000000001</v>
      </c>
      <c r="I880" s="3">
        <f>GBP!C880/1</f>
        <v>1.6036999999999999</v>
      </c>
      <c r="J880" s="4">
        <f>1/INR!B880</f>
        <v>1.8162005085361425E-2</v>
      </c>
      <c r="K880" s="4">
        <f>1/INR!C880</f>
        <v>1.8050541516245487E-2</v>
      </c>
      <c r="L880" s="4">
        <f>1/JPY!B880</f>
        <v>1.1440600402709134E-2</v>
      </c>
      <c r="M880" s="4">
        <f>1/JPY!C880</f>
        <v>1.1442825920289274E-2</v>
      </c>
      <c r="N880" s="5">
        <f>1/KRW!B880</f>
        <v>9.4179694857788666E-4</v>
      </c>
      <c r="O880" s="5">
        <f>1/KRW!C880</f>
        <v>9.4176945295437796E-4</v>
      </c>
      <c r="P880" s="3">
        <f>1/NOK!B880</f>
        <v>0.17845670640302663</v>
      </c>
      <c r="Q880" s="3">
        <f>1/NOK!C880</f>
        <v>0.17824358768693296</v>
      </c>
      <c r="R880" s="3">
        <f>NZD!B880/1</f>
        <v>0.83799999999999997</v>
      </c>
      <c r="S880" s="3">
        <f>NZD!C880/1</f>
        <v>0.83630000000000004</v>
      </c>
      <c r="T880" s="4">
        <f>1/PHP!B880</f>
        <v>2.448280083241523E-2</v>
      </c>
      <c r="U880" s="4">
        <f>1/PHP!C880</f>
        <v>2.4488796375658137E-2</v>
      </c>
      <c r="V880" s="4">
        <f>1/TWD!B880</f>
        <v>3.4408010184771014E-2</v>
      </c>
      <c r="W880" s="4">
        <f>1/TWD!C880</f>
        <v>3.4408010184771014E-2</v>
      </c>
      <c r="X880" s="4">
        <f>1/TWD!B880</f>
        <v>3.4408010184771014E-2</v>
      </c>
      <c r="Y880" s="4">
        <f>1/TWD!C880</f>
        <v>3.4408010184771014E-2</v>
      </c>
      <c r="Z880" s="4">
        <f>1/ZAR!B880</f>
        <v>0.1164930919596468</v>
      </c>
      <c r="AA880" s="4">
        <f>1/ZAR!C880</f>
        <v>0.11597564511452595</v>
      </c>
    </row>
    <row r="881" spans="1:27" x14ac:dyDescent="0.25">
      <c r="A881" t="str">
        <f>"10/01/2013"</f>
        <v>10/01/2013</v>
      </c>
      <c r="B881" s="3">
        <f>AUD!B881</f>
        <v>1.0548999999999999</v>
      </c>
      <c r="C881" s="3">
        <f>AUD!C881</f>
        <v>1.0524</v>
      </c>
      <c r="D881" s="3">
        <f>1/CAD!B881</f>
        <v>1.0131712259371835</v>
      </c>
      <c r="E881" s="3">
        <f>1/CAD!C881</f>
        <v>1.0124531740407006</v>
      </c>
      <c r="F881" s="3">
        <f>EUR!B881/1</f>
        <v>1.3048</v>
      </c>
      <c r="G881" s="3">
        <f>EUR!C881/1</f>
        <v>1.3051999999999999</v>
      </c>
      <c r="H881" s="3">
        <f>GBP!B881/1</f>
        <v>1.6013999999999999</v>
      </c>
      <c r="I881" s="3">
        <f>GBP!C881/1</f>
        <v>1.6012</v>
      </c>
      <c r="J881" s="4">
        <f>1/INR!B881</f>
        <v>1.8301610541727673E-2</v>
      </c>
      <c r="K881" s="4">
        <f>1/INR!C881</f>
        <v>1.8188432157148056E-2</v>
      </c>
      <c r="L881" s="4">
        <f>1/JPY!B881</f>
        <v>1.134906313483822E-2</v>
      </c>
      <c r="M881" s="4">
        <f>1/JPY!C881</f>
        <v>1.135125317835089E-2</v>
      </c>
      <c r="N881" s="5">
        <f>1/KRW!B881</f>
        <v>9.42507068803016E-4</v>
      </c>
      <c r="O881" s="5">
        <f>1/KRW!C881</f>
        <v>9.424795317007703E-4</v>
      </c>
      <c r="P881" s="3">
        <f>1/NOK!B881</f>
        <v>0.17850767583006069</v>
      </c>
      <c r="Q881" s="3">
        <f>1/NOK!C881</f>
        <v>0.17830397261250983</v>
      </c>
      <c r="R881" s="3">
        <f>NZD!B881/1</f>
        <v>0.84009999999999996</v>
      </c>
      <c r="S881" s="3">
        <f>NZD!C881/1</f>
        <v>0.83830000000000005</v>
      </c>
      <c r="T881" s="4">
        <f>1/PHP!B881</f>
        <v>2.4533856722276742E-2</v>
      </c>
      <c r="U881" s="4">
        <f>1/PHP!C881</f>
        <v>2.4545900834560628E-2</v>
      </c>
      <c r="V881" s="4">
        <f>1/TWD!B881</f>
        <v>3.4442377901770342E-2</v>
      </c>
      <c r="W881" s="4">
        <f>1/TWD!C881</f>
        <v>3.4442377901770342E-2</v>
      </c>
      <c r="X881" s="4">
        <f>1/TWD!B881</f>
        <v>3.4442377901770342E-2</v>
      </c>
      <c r="Y881" s="4">
        <f>1/TWD!C881</f>
        <v>3.4442377901770342E-2</v>
      </c>
      <c r="Z881" s="4">
        <f>1/ZAR!B881</f>
        <v>0.11608739058763437</v>
      </c>
      <c r="AA881" s="4">
        <f>1/ZAR!C881</f>
        <v>0.11559891799412757</v>
      </c>
    </row>
    <row r="882" spans="1:27" x14ac:dyDescent="0.25">
      <c r="A882" t="str">
        <f>"11/01/2013"</f>
        <v>11/01/2013</v>
      </c>
      <c r="B882" s="3">
        <f>AUD!B882</f>
        <v>1.0584</v>
      </c>
      <c r="C882" s="3">
        <f>AUD!C882</f>
        <v>1.0559000000000001</v>
      </c>
      <c r="D882" s="3">
        <f>1/CAD!B882</f>
        <v>1.0169836265636123</v>
      </c>
      <c r="E882" s="3">
        <f>1/CAD!C882</f>
        <v>1.0163634515702815</v>
      </c>
      <c r="F882" s="3">
        <f>EUR!B882/1</f>
        <v>1.3259000000000001</v>
      </c>
      <c r="G882" s="3">
        <f>EUR!C882/1</f>
        <v>1.3262</v>
      </c>
      <c r="H882" s="3">
        <f>GBP!B882/1</f>
        <v>1.615</v>
      </c>
      <c r="I882" s="3">
        <f>GBP!C882/1</f>
        <v>1.6148</v>
      </c>
      <c r="J882" s="4">
        <f>1/INR!B882</f>
        <v>1.8341892883345562E-2</v>
      </c>
      <c r="K882" s="4">
        <f>1/INR!C882</f>
        <v>1.822738664843928E-2</v>
      </c>
      <c r="L882" s="4">
        <f>1/JPY!B882</f>
        <v>1.1227250783100742E-2</v>
      </c>
      <c r="M882" s="4">
        <f>1/JPY!C882</f>
        <v>1.1229911092793879E-2</v>
      </c>
      <c r="N882" s="5">
        <f>1/KRW!B882</f>
        <v>9.4692486151223907E-4</v>
      </c>
      <c r="O882" s="5">
        <f>1/KRW!C882</f>
        <v>9.4690423862744326E-4</v>
      </c>
      <c r="P882" s="3">
        <f>1/NOK!B882</f>
        <v>0.18093652746616487</v>
      </c>
      <c r="Q882" s="3">
        <f>1/NOK!C882</f>
        <v>0.18072071420826255</v>
      </c>
      <c r="R882" s="3">
        <f>NZD!B882/1</f>
        <v>0.84260000000000002</v>
      </c>
      <c r="S882" s="3">
        <f>NZD!C882/1</f>
        <v>0.84089999999999998</v>
      </c>
      <c r="T882" s="4">
        <f>1/PHP!B882</f>
        <v>2.4654832347140037E-2</v>
      </c>
      <c r="U882" s="4">
        <f>1/PHP!C882</f>
        <v>2.4682216463038382E-2</v>
      </c>
      <c r="V882" s="4">
        <f>1/TWD!B882</f>
        <v>3.4500603760565809E-2</v>
      </c>
      <c r="W882" s="4">
        <f>1/TWD!C882</f>
        <v>3.4500603760565809E-2</v>
      </c>
      <c r="X882" s="4">
        <f>1/TWD!B882</f>
        <v>3.4500603760565809E-2</v>
      </c>
      <c r="Y882" s="4">
        <f>1/TWD!C882</f>
        <v>3.4500603760565809E-2</v>
      </c>
      <c r="Z882" s="4">
        <f>1/ZAR!B882</f>
        <v>0.11515430677107324</v>
      </c>
      <c r="AA882" s="4">
        <f>1/ZAR!C882</f>
        <v>0.11466969394658684</v>
      </c>
    </row>
    <row r="883" spans="1:27" x14ac:dyDescent="0.25">
      <c r="A883" t="str">
        <f>"14/01/2013"</f>
        <v>14/01/2013</v>
      </c>
      <c r="B883" s="3">
        <f>AUD!B883</f>
        <v>1.0553999999999999</v>
      </c>
      <c r="C883" s="3">
        <f>AUD!C883</f>
        <v>1.0526</v>
      </c>
      <c r="D883" s="3">
        <f>1/CAD!B883</f>
        <v>1.016053647632595</v>
      </c>
      <c r="E883" s="3">
        <f>1/CAD!C883</f>
        <v>1.015331505736623</v>
      </c>
      <c r="F883" s="3">
        <f>EUR!B883/1</f>
        <v>1.3387</v>
      </c>
      <c r="G883" s="3">
        <f>EUR!C883/1</f>
        <v>1.3391</v>
      </c>
      <c r="H883" s="3">
        <f>GBP!B883/1</f>
        <v>1.6144000000000001</v>
      </c>
      <c r="I883" s="3">
        <f>GBP!C883/1</f>
        <v>1.6142000000000001</v>
      </c>
      <c r="J883" s="4">
        <f>1/INR!B883</f>
        <v>1.8298261665141813E-2</v>
      </c>
      <c r="K883" s="4">
        <f>1/INR!C883</f>
        <v>1.8173557473875512E-2</v>
      </c>
      <c r="L883" s="4">
        <f>1/JPY!B883</f>
        <v>1.1157912354598454E-2</v>
      </c>
      <c r="M883" s="4">
        <f>1/JPY!C883</f>
        <v>1.1160901131157329E-2</v>
      </c>
      <c r="N883" s="5">
        <f>1/KRW!B883</f>
        <v>9.4674556213017751E-4</v>
      </c>
      <c r="O883" s="5">
        <f>1/KRW!C883</f>
        <v>9.4671688053001002E-4</v>
      </c>
      <c r="P883" s="3">
        <f>1/NOK!B883</f>
        <v>0.18129736393632839</v>
      </c>
      <c r="Q883" s="3">
        <f>1/NOK!C883</f>
        <v>0.1810610175629187</v>
      </c>
      <c r="R883" s="3">
        <f>NZD!B883/1</f>
        <v>0.84</v>
      </c>
      <c r="S883" s="3">
        <f>NZD!C883/1</f>
        <v>0.83809999999999996</v>
      </c>
      <c r="T883" s="4">
        <f>1/PHP!B883</f>
        <v>2.4588148512417012E-2</v>
      </c>
      <c r="U883" s="4">
        <f>1/PHP!C883</f>
        <v>2.4612355402412009E-2</v>
      </c>
      <c r="V883" s="4">
        <f>1/TWD!B883</f>
        <v>3.4513701939670051E-2</v>
      </c>
      <c r="W883" s="4">
        <f>1/TWD!C883</f>
        <v>3.4513701939670051E-2</v>
      </c>
      <c r="X883" s="4">
        <f>1/TWD!B883</f>
        <v>3.4513701939670051E-2</v>
      </c>
      <c r="Y883" s="4">
        <f>1/TWD!C883</f>
        <v>3.4513701939670051E-2</v>
      </c>
      <c r="Z883" s="4">
        <f>1/ZAR!B883</f>
        <v>0.1145619722989151</v>
      </c>
      <c r="AA883" s="4">
        <f>1/ZAR!C883</f>
        <v>0.11407971890757261</v>
      </c>
    </row>
    <row r="884" spans="1:27" x14ac:dyDescent="0.25">
      <c r="A884" t="str">
        <f>"15/01/2013"</f>
        <v>15/01/2013</v>
      </c>
      <c r="B884" s="3">
        <f>AUD!B884</f>
        <v>1.0541</v>
      </c>
      <c r="C884" s="3">
        <f>AUD!C884</f>
        <v>1.0513999999999999</v>
      </c>
      <c r="D884" s="3">
        <f>1/CAD!B884</f>
        <v>1.0159504216194251</v>
      </c>
      <c r="E884" s="3">
        <f>1/CAD!C884</f>
        <v>1.015228426395939</v>
      </c>
      <c r="F884" s="3">
        <f>EUR!B884/1</f>
        <v>1.3351</v>
      </c>
      <c r="G884" s="3">
        <f>EUR!C884/1</f>
        <v>1.3354999999999999</v>
      </c>
      <c r="H884" s="3">
        <f>GBP!B884/1</f>
        <v>1.6073999999999999</v>
      </c>
      <c r="I884" s="3">
        <f>GBP!C884/1</f>
        <v>1.6071</v>
      </c>
      <c r="J884" s="4">
        <f>1/INR!B884</f>
        <v>1.8362100624311421E-2</v>
      </c>
      <c r="K884" s="4">
        <f>1/INR!C884</f>
        <v>1.8235696375655346E-2</v>
      </c>
      <c r="L884" s="4">
        <f>1/JPY!B884</f>
        <v>1.1237659645002332E-2</v>
      </c>
      <c r="M884" s="4">
        <f>1/JPY!C884</f>
        <v>1.123999640320115E-2</v>
      </c>
      <c r="N884" s="5">
        <f>1/KRW!B884</f>
        <v>9.4705938062316503E-4</v>
      </c>
      <c r="O884" s="5">
        <f>1/KRW!C884</f>
        <v>9.4703076969262882E-4</v>
      </c>
      <c r="P884" s="3">
        <f>1/NOK!B884</f>
        <v>0.18115285678055143</v>
      </c>
      <c r="Q884" s="3">
        <f>1/NOK!C884</f>
        <v>0.18091361374943465</v>
      </c>
      <c r="R884" s="3">
        <f>NZD!B884/1</f>
        <v>0.83979999999999999</v>
      </c>
      <c r="S884" s="3">
        <f>NZD!C884/1</f>
        <v>0.83799999999999997</v>
      </c>
      <c r="T884" s="4">
        <f>1/PHP!B884</f>
        <v>2.465300889973621E-2</v>
      </c>
      <c r="U884" s="4">
        <f>1/PHP!C884</f>
        <v>2.4680998099563145E-2</v>
      </c>
      <c r="V884" s="4">
        <f>1/TWD!B884</f>
        <v>3.4510128722780135E-2</v>
      </c>
      <c r="W884" s="4">
        <f>1/TWD!C884</f>
        <v>3.4510128722780135E-2</v>
      </c>
      <c r="X884" s="4">
        <f>1/TWD!B884</f>
        <v>3.4510128722780135E-2</v>
      </c>
      <c r="Y884" s="4">
        <f>1/TWD!C884</f>
        <v>3.4510128722780135E-2</v>
      </c>
      <c r="Z884" s="4">
        <f>1/ZAR!B884</f>
        <v>0.11477234904566792</v>
      </c>
      <c r="AA884" s="4">
        <f>1/ZAR!C884</f>
        <v>0.1142543759425986</v>
      </c>
    </row>
    <row r="885" spans="1:27" x14ac:dyDescent="0.25">
      <c r="A885" t="str">
        <f>"16/01/2013"</f>
        <v>16/01/2013</v>
      </c>
      <c r="B885" s="3">
        <f>AUD!B885</f>
        <v>1.0559000000000001</v>
      </c>
      <c r="C885" s="3">
        <f>AUD!C885</f>
        <v>1.0532999999999999</v>
      </c>
      <c r="D885" s="3">
        <f>1/CAD!B885</f>
        <v>1.015331505736623</v>
      </c>
      <c r="E885" s="3">
        <f>1/CAD!C885</f>
        <v>1.0145074566298062</v>
      </c>
      <c r="F885" s="3">
        <f>EUR!B885/1</f>
        <v>1.3290999999999999</v>
      </c>
      <c r="G885" s="3">
        <f>EUR!C885/1</f>
        <v>1.3293999999999999</v>
      </c>
      <c r="H885" s="3">
        <f>GBP!B885/1</f>
        <v>1.6064000000000001</v>
      </c>
      <c r="I885" s="3">
        <f>GBP!C885/1</f>
        <v>1.6061000000000001</v>
      </c>
      <c r="J885" s="4">
        <f>1/INR!B885</f>
        <v>1.8248175182481754E-2</v>
      </c>
      <c r="K885" s="4">
        <f>1/INR!C885</f>
        <v>1.812497167973175E-2</v>
      </c>
      <c r="L885" s="4">
        <f>1/JPY!B885</f>
        <v>1.1347414718504683E-2</v>
      </c>
      <c r="M885" s="4">
        <f>1/JPY!C885</f>
        <v>1.1349707177554819E-2</v>
      </c>
      <c r="N885" s="5">
        <f>1/KRW!B885</f>
        <v>9.4386370608084199E-4</v>
      </c>
      <c r="O885" s="5">
        <f>1/KRW!C885</f>
        <v>9.4383555515369143E-4</v>
      </c>
      <c r="P885" s="3">
        <f>1/NOK!B885</f>
        <v>0.17924359204158452</v>
      </c>
      <c r="Q885" s="3">
        <f>1/NOK!C885</f>
        <v>0.17901577128945059</v>
      </c>
      <c r="R885" s="3">
        <f>NZD!B885/1</f>
        <v>0.84009999999999996</v>
      </c>
      <c r="S885" s="3">
        <f>NZD!C885/1</f>
        <v>0.83830000000000005</v>
      </c>
      <c r="T885" s="4">
        <f>1/PHP!B885</f>
        <v>2.4606904697458104E-2</v>
      </c>
      <c r="U885" s="4">
        <f>1/PHP!C885</f>
        <v>2.4616960100831069E-2</v>
      </c>
      <c r="V885" s="4">
        <f>1/TWD!B885</f>
        <v>3.4488704949129159E-2</v>
      </c>
      <c r="W885" s="4">
        <f>1/TWD!C885</f>
        <v>3.4488704949129159E-2</v>
      </c>
      <c r="X885" s="4">
        <f>1/TWD!B885</f>
        <v>3.4488704949129159E-2</v>
      </c>
      <c r="Y885" s="4">
        <f>1/TWD!C885</f>
        <v>3.4488704949129159E-2</v>
      </c>
      <c r="Z885" s="4">
        <f>1/ZAR!B885</f>
        <v>0.11328877308258752</v>
      </c>
      <c r="AA885" s="4">
        <f>1/ZAR!C885</f>
        <v>0.11279043537108054</v>
      </c>
    </row>
    <row r="886" spans="1:27" x14ac:dyDescent="0.25">
      <c r="A886" t="str">
        <f>"17/01/2013"</f>
        <v>17/01/2013</v>
      </c>
      <c r="B886" s="3">
        <f>AUD!B886</f>
        <v>1.0504</v>
      </c>
      <c r="C886" s="3">
        <f>AUD!C886</f>
        <v>1.0479000000000001</v>
      </c>
      <c r="D886" s="3">
        <f>1/CAD!B886</f>
        <v>1.0130685847431871</v>
      </c>
      <c r="E886" s="3">
        <f>1/CAD!C886</f>
        <v>1.0123506782749545</v>
      </c>
      <c r="F886" s="3">
        <f>EUR!B886/1</f>
        <v>1.3280000000000001</v>
      </c>
      <c r="G886" s="3">
        <f>EUR!C886/1</f>
        <v>1.3283</v>
      </c>
      <c r="H886" s="3">
        <f>GBP!B886/1</f>
        <v>1.5986</v>
      </c>
      <c r="I886" s="3">
        <f>GBP!C886/1</f>
        <v>1.5983000000000001</v>
      </c>
      <c r="J886" s="4">
        <f>1/INR!B886</f>
        <v>1.8260671079662175E-2</v>
      </c>
      <c r="K886" s="4">
        <f>1/INR!C886</f>
        <v>1.8146350315292836E-2</v>
      </c>
      <c r="L886" s="4">
        <f>1/JPY!B886</f>
        <v>1.1337547121680225E-2</v>
      </c>
      <c r="M886" s="4">
        <f>1/JPY!C886</f>
        <v>1.1340015626541532E-2</v>
      </c>
      <c r="N886" s="5">
        <f>1/KRW!B886</f>
        <v>9.4357425929420652E-4</v>
      </c>
      <c r="O886" s="5">
        <f>1/KRW!C886</f>
        <v>9.4354746105059677E-4</v>
      </c>
      <c r="P886" s="3">
        <f>1/NOK!B886</f>
        <v>0.17937863241730645</v>
      </c>
      <c r="Q886" s="3">
        <f>1/NOK!C886</f>
        <v>0.17916009746309303</v>
      </c>
      <c r="R886" s="3">
        <f>NZD!B886/1</f>
        <v>0.83899999999999997</v>
      </c>
      <c r="S886" s="3">
        <f>NZD!C886/1</f>
        <v>0.83730000000000004</v>
      </c>
      <c r="T886" s="4">
        <f>1/PHP!B886</f>
        <v>2.4615384615384615E-2</v>
      </c>
      <c r="U886" s="4">
        <f>1/PHP!C886</f>
        <v>2.4615445207249741E-2</v>
      </c>
      <c r="V886" s="4">
        <f>1/TWD!B886</f>
        <v>3.4476814342354771E-2</v>
      </c>
      <c r="W886" s="4">
        <f>1/TWD!C886</f>
        <v>3.4476814342354771E-2</v>
      </c>
      <c r="X886" s="4">
        <f>1/TWD!B886</f>
        <v>3.4476814342354771E-2</v>
      </c>
      <c r="Y886" s="4">
        <f>1/TWD!C886</f>
        <v>3.4476814342354771E-2</v>
      </c>
      <c r="Z886" s="4">
        <f>1/ZAR!B886</f>
        <v>0.11339411257767497</v>
      </c>
      <c r="AA886" s="4">
        <f>1/ZAR!C886</f>
        <v>0.11290632162494779</v>
      </c>
    </row>
    <row r="887" spans="1:27" x14ac:dyDescent="0.25">
      <c r="A887" t="str">
        <f>"18/01/2013"</f>
        <v>18/01/2013</v>
      </c>
      <c r="B887" s="3">
        <f>AUD!B887</f>
        <v>1.0517000000000001</v>
      </c>
      <c r="C887" s="3">
        <f>AUD!C887</f>
        <v>1.0491999999999999</v>
      </c>
      <c r="D887" s="3">
        <f>1/CAD!B887</f>
        <v>1.0131712259371835</v>
      </c>
      <c r="E887" s="3">
        <f>1/CAD!C887</f>
        <v>1.0125556905629809</v>
      </c>
      <c r="F887" s="3">
        <f>EUR!B887/1</f>
        <v>1.3383</v>
      </c>
      <c r="G887" s="3">
        <f>EUR!C887/1</f>
        <v>1.3386</v>
      </c>
      <c r="H887" s="3">
        <f>GBP!B887/1</f>
        <v>1.5980000000000001</v>
      </c>
      <c r="I887" s="3">
        <f>GBP!C887/1</f>
        <v>1.5976999999999999</v>
      </c>
      <c r="J887" s="4">
        <f>1/INR!B887</f>
        <v>1.8491979104063611E-2</v>
      </c>
      <c r="K887" s="4">
        <f>1/INR!C887</f>
        <v>1.8377285674905815E-2</v>
      </c>
      <c r="L887" s="4">
        <f>1/JPY!B887</f>
        <v>1.1111111111111112E-2</v>
      </c>
      <c r="M887" s="4">
        <f>1/JPY!C887</f>
        <v>1.1113580795732384E-2</v>
      </c>
      <c r="N887" s="5">
        <f>1/KRW!B887</f>
        <v>9.4679038060973295E-4</v>
      </c>
      <c r="O887" s="5">
        <f>1/KRW!C887</f>
        <v>9.4676725374441724E-4</v>
      </c>
      <c r="P887" s="3">
        <f>1/NOK!B887</f>
        <v>0.17928858290304073</v>
      </c>
      <c r="Q887" s="3">
        <f>1/NOK!C887</f>
        <v>0.17907026717283864</v>
      </c>
      <c r="R887" s="3">
        <f>NZD!B887/1</f>
        <v>0.83489999999999998</v>
      </c>
      <c r="S887" s="3">
        <f>NZD!C887/1</f>
        <v>0.83299999999999996</v>
      </c>
      <c r="T887" s="4">
        <f>1/PHP!B887</f>
        <v>2.4632058624299527E-2</v>
      </c>
      <c r="U887" s="4">
        <f>1/PHP!C887</f>
        <v>2.4625568234987023E-2</v>
      </c>
      <c r="V887" s="4">
        <f>1/TWD!B887</f>
        <v>3.4507151607170584E-2</v>
      </c>
      <c r="W887" s="4">
        <f>1/TWD!C887</f>
        <v>3.4507151607170584E-2</v>
      </c>
      <c r="X887" s="4">
        <f>1/TWD!B887</f>
        <v>3.4507151607170584E-2</v>
      </c>
      <c r="Y887" s="4">
        <f>1/TWD!C887</f>
        <v>3.4507151607170584E-2</v>
      </c>
      <c r="Z887" s="4">
        <f>1/ZAR!B887</f>
        <v>0.11344942991661466</v>
      </c>
      <c r="AA887" s="4">
        <f>1/ZAR!C887</f>
        <v>0.11297520194317348</v>
      </c>
    </row>
    <row r="888" spans="1:27" x14ac:dyDescent="0.25">
      <c r="A888" t="str">
        <f>"21/01/2013"</f>
        <v>21/01/2013</v>
      </c>
      <c r="B888" s="3">
        <f>AUD!B888</f>
        <v>1.0515000000000001</v>
      </c>
      <c r="C888" s="3">
        <f>AUD!C888</f>
        <v>1.0488</v>
      </c>
      <c r="D888" s="3">
        <f>1/CAD!B888</f>
        <v>1.0087763542822556</v>
      </c>
      <c r="E888" s="3">
        <f>1/CAD!C888</f>
        <v>1.0080645161290323</v>
      </c>
      <c r="F888" s="3">
        <f>EUR!B888/1</f>
        <v>1.3322000000000001</v>
      </c>
      <c r="G888" s="3">
        <f>EUR!C888/1</f>
        <v>1.3325</v>
      </c>
      <c r="H888" s="3">
        <f>GBP!B888/1</f>
        <v>1.5868</v>
      </c>
      <c r="I888" s="3">
        <f>GBP!C888/1</f>
        <v>1.5865</v>
      </c>
      <c r="J888" s="4">
        <f>1/INR!B888</f>
        <v>1.8597731076808628E-2</v>
      </c>
      <c r="K888" s="4">
        <f>1/INR!C888</f>
        <v>1.8471484645578386E-2</v>
      </c>
      <c r="L888" s="4">
        <f>1/JPY!B888</f>
        <v>1.1148272017837234E-2</v>
      </c>
      <c r="M888" s="4">
        <f>1/JPY!C888</f>
        <v>1.1150907460849164E-2</v>
      </c>
      <c r="N888" s="5">
        <f>1/KRW!B888</f>
        <v>9.4370782805643365E-4</v>
      </c>
      <c r="O888" s="5">
        <f>1/KRW!C888</f>
        <v>9.4367968642656446E-4</v>
      </c>
      <c r="P888" s="3">
        <f>1/NOK!B888</f>
        <v>0.17835167383045888</v>
      </c>
      <c r="Q888" s="3">
        <f>1/NOK!C888</f>
        <v>0.17811976773182286</v>
      </c>
      <c r="R888" s="3">
        <f>NZD!B888/1</f>
        <v>0.8357</v>
      </c>
      <c r="S888" s="3">
        <f>NZD!C888/1</f>
        <v>0.83389999999999997</v>
      </c>
      <c r="T888" s="4">
        <f>1/PHP!B888</f>
        <v>2.4588148512417012E-2</v>
      </c>
      <c r="U888" s="4">
        <f>1/PHP!C888</f>
        <v>2.4590990352954482E-2</v>
      </c>
      <c r="V888" s="4">
        <f>1/TWD!B888</f>
        <v>3.4497033255140058E-2</v>
      </c>
      <c r="W888" s="4">
        <f>1/TWD!C888</f>
        <v>3.4497033255140058E-2</v>
      </c>
      <c r="X888" s="4">
        <f>1/TWD!B888</f>
        <v>3.4497033255140058E-2</v>
      </c>
      <c r="Y888" s="4">
        <f>1/TWD!C888</f>
        <v>3.4497033255140058E-2</v>
      </c>
      <c r="Z888" s="4">
        <f>1/ZAR!B888</f>
        <v>0.11248720458047896</v>
      </c>
      <c r="AA888" s="4">
        <f>1/ZAR!C888</f>
        <v>0.11201469632815825</v>
      </c>
    </row>
    <row r="889" spans="1:27" x14ac:dyDescent="0.25">
      <c r="A889" t="str">
        <f>"22/01/2013"</f>
        <v>22/01/2013</v>
      </c>
      <c r="B889" s="3">
        <f>AUD!B889</f>
        <v>1.0541</v>
      </c>
      <c r="C889" s="3">
        <f>AUD!C889</f>
        <v>1.0515000000000001</v>
      </c>
      <c r="D889" s="3">
        <f>1/CAD!B889</f>
        <v>1.0078613182826044</v>
      </c>
      <c r="E889" s="3">
        <f>1/CAD!C889</f>
        <v>1.0071507704703393</v>
      </c>
      <c r="F889" s="3">
        <f>EUR!B889/1</f>
        <v>1.3340000000000001</v>
      </c>
      <c r="G889" s="3">
        <f>EUR!C889/1</f>
        <v>1.3343</v>
      </c>
      <c r="H889" s="3">
        <f>GBP!B889/1</f>
        <v>1.5857000000000001</v>
      </c>
      <c r="I889" s="3">
        <f>GBP!C889/1</f>
        <v>1.5854999999999999</v>
      </c>
      <c r="J889" s="4">
        <f>1/INR!B889</f>
        <v>1.8698578908002993E-2</v>
      </c>
      <c r="K889" s="4">
        <f>1/INR!C889</f>
        <v>1.857700167193015E-2</v>
      </c>
      <c r="L889" s="4">
        <f>1/JPY!B889</f>
        <v>1.1229520162603451E-2</v>
      </c>
      <c r="M889" s="4">
        <f>1/JPY!C889</f>
        <v>1.1231853536629883E-2</v>
      </c>
      <c r="N889" s="5">
        <f>1/KRW!B889</f>
        <v>9.3817431278731586E-4</v>
      </c>
      <c r="O889" s="5">
        <f>1/KRW!C889</f>
        <v>9.3814702827856586E-4</v>
      </c>
      <c r="P889" s="3">
        <f>1/NOK!B889</f>
        <v>0.17877254768757708</v>
      </c>
      <c r="Q889" s="3">
        <f>1/NOK!C889</f>
        <v>0.17854592201114128</v>
      </c>
      <c r="R889" s="3">
        <f>NZD!B889/1</f>
        <v>0.84040000000000004</v>
      </c>
      <c r="S889" s="3">
        <f>NZD!C889/1</f>
        <v>0.83860000000000001</v>
      </c>
      <c r="T889" s="4">
        <f>1/PHP!B889</f>
        <v>2.4615384615384615E-2</v>
      </c>
      <c r="U889" s="4">
        <f>1/PHP!C889</f>
        <v>2.4618596395345114E-2</v>
      </c>
      <c r="V889" s="4">
        <f>1/TWD!B889</f>
        <v>3.447087211306446E-2</v>
      </c>
      <c r="W889" s="4">
        <f>1/TWD!C889</f>
        <v>3.447087211306446E-2</v>
      </c>
      <c r="X889" s="4">
        <f>1/TWD!B889</f>
        <v>3.447087211306446E-2</v>
      </c>
      <c r="Y889" s="4">
        <f>1/TWD!C889</f>
        <v>3.447087211306446E-2</v>
      </c>
      <c r="Z889" s="4">
        <f>1/ZAR!B889</f>
        <v>0.11287318697443421</v>
      </c>
      <c r="AA889" s="4">
        <f>1/ZAR!C889</f>
        <v>0.11236965120460266</v>
      </c>
    </row>
    <row r="890" spans="1:27" x14ac:dyDescent="0.25">
      <c r="A890" t="str">
        <f>"23/01/2013"</f>
        <v>23/01/2013</v>
      </c>
      <c r="B890" s="3">
        <f>AUD!B890</f>
        <v>1.0552999999999999</v>
      </c>
      <c r="C890" s="3">
        <f>AUD!C890</f>
        <v>1.0528</v>
      </c>
      <c r="D890" s="3">
        <f>1/CAD!B890</f>
        <v>1.0086746015735324</v>
      </c>
      <c r="E890" s="3">
        <f>1/CAD!C890</f>
        <v>1.0079629069650238</v>
      </c>
      <c r="F890" s="3">
        <f>EUR!B890/1</f>
        <v>1.3293999999999999</v>
      </c>
      <c r="G890" s="3">
        <f>EUR!C890/1</f>
        <v>1.3297000000000001</v>
      </c>
      <c r="H890" s="3">
        <f>GBP!B890/1</f>
        <v>1.5822000000000001</v>
      </c>
      <c r="I890" s="3">
        <f>GBP!C890/1</f>
        <v>1.5820000000000001</v>
      </c>
      <c r="J890" s="4">
        <f>1/INR!B890</f>
        <v>1.8585633305454884E-2</v>
      </c>
      <c r="K890" s="4">
        <f>1/INR!C890</f>
        <v>1.846977882439858E-2</v>
      </c>
      <c r="L890" s="4">
        <f>1/JPY!B890</f>
        <v>1.1332305115515851E-2</v>
      </c>
      <c r="M890" s="4">
        <f>1/JPY!C890</f>
        <v>1.1334450154488555E-2</v>
      </c>
      <c r="N890" s="5">
        <f>1/KRW!B890</f>
        <v>9.3777840296337979E-4</v>
      </c>
      <c r="O890" s="5">
        <f>1/KRW!C890</f>
        <v>9.377572971584078E-4</v>
      </c>
      <c r="P890" s="3">
        <f>1/NOK!B890</f>
        <v>0.17928215425436553</v>
      </c>
      <c r="Q890" s="3">
        <f>1/NOK!C890</f>
        <v>0.17906385417039716</v>
      </c>
      <c r="R890" s="3">
        <f>NZD!B890/1</f>
        <v>0.84219999999999995</v>
      </c>
      <c r="S890" s="3">
        <f>NZD!C890/1</f>
        <v>0.84050000000000002</v>
      </c>
      <c r="T890" s="4">
        <f>1/PHP!B890</f>
        <v>2.459117176933481E-2</v>
      </c>
      <c r="U890" s="4">
        <f>1/PHP!C890</f>
        <v>2.4595526565628242E-2</v>
      </c>
      <c r="V890" s="4">
        <f>1/TWD!B890</f>
        <v>3.4476814342354771E-2</v>
      </c>
      <c r="W890" s="4">
        <f>1/TWD!C890</f>
        <v>3.4476814342354771E-2</v>
      </c>
      <c r="X890" s="4">
        <f>1/TWD!B890</f>
        <v>3.4476814342354771E-2</v>
      </c>
      <c r="Y890" s="4">
        <f>1/TWD!C890</f>
        <v>3.4476814342354771E-2</v>
      </c>
      <c r="Z890" s="4">
        <f>1/ZAR!B890</f>
        <v>0.11236586325074442</v>
      </c>
      <c r="AA890" s="4">
        <f>1/ZAR!C890</f>
        <v>0.11189061573405838</v>
      </c>
    </row>
    <row r="891" spans="1:27" x14ac:dyDescent="0.25">
      <c r="A891" t="str">
        <f>"24/01/2013"</f>
        <v>24/01/2013</v>
      </c>
      <c r="B891" s="3">
        <f>AUD!B891</f>
        <v>1.0521</v>
      </c>
      <c r="C891" s="3">
        <f>AUD!C891</f>
        <v>1.0497000000000001</v>
      </c>
      <c r="D891" s="3">
        <f>1/CAD!B891</f>
        <v>1</v>
      </c>
      <c r="E891" s="3">
        <f>1/CAD!C891</f>
        <v>0.99930048965724005</v>
      </c>
      <c r="F891" s="3">
        <f>EUR!B891/1</f>
        <v>1.3315999999999999</v>
      </c>
      <c r="G891" s="3">
        <f>EUR!C891/1</f>
        <v>1.3319000000000001</v>
      </c>
      <c r="H891" s="3">
        <f>GBP!B891/1</f>
        <v>1.5832999999999999</v>
      </c>
      <c r="I891" s="3">
        <f>GBP!C891/1</f>
        <v>1.5831</v>
      </c>
      <c r="J891" s="4">
        <f>1/INR!B891</f>
        <v>1.8566654288897141E-2</v>
      </c>
      <c r="K891" s="4">
        <f>1/INR!C891</f>
        <v>1.8453589223103896E-2</v>
      </c>
      <c r="L891" s="4">
        <f>1/JPY!B891</f>
        <v>1.1220511094280345E-2</v>
      </c>
      <c r="M891" s="4">
        <f>1/JPY!C891</f>
        <v>1.122248807049518E-2</v>
      </c>
      <c r="N891" s="5">
        <f>1/KRW!B891</f>
        <v>9.3688663203309085E-4</v>
      </c>
      <c r="O891" s="5">
        <f>1/KRW!C891</f>
        <v>9.3686144109713211E-4</v>
      </c>
      <c r="P891" s="3">
        <f>1/NOK!B891</f>
        <v>0.17982377270275129</v>
      </c>
      <c r="Q891" s="3">
        <f>1/NOK!C891</f>
        <v>0.17960092674078199</v>
      </c>
      <c r="R891" s="3">
        <f>NZD!B891/1</f>
        <v>0.84340000000000004</v>
      </c>
      <c r="S891" s="3">
        <f>NZD!C891/1</f>
        <v>0.84160000000000001</v>
      </c>
      <c r="T891" s="4">
        <f>1/PHP!B891</f>
        <v>2.4612355402412009E-2</v>
      </c>
      <c r="U891" s="4">
        <f>1/PHP!C891</f>
        <v>2.4611689075609566E-2</v>
      </c>
      <c r="V891" s="4">
        <f>1/TWD!B891</f>
        <v>3.442103813851026E-2</v>
      </c>
      <c r="W891" s="4">
        <f>1/TWD!C891</f>
        <v>3.442103813851026E-2</v>
      </c>
      <c r="X891" s="4">
        <f>1/TWD!B891</f>
        <v>3.442103813851026E-2</v>
      </c>
      <c r="Y891" s="4">
        <f>1/TWD!C891</f>
        <v>3.442103813851026E-2</v>
      </c>
      <c r="Z891" s="4">
        <f>1/ZAR!B891</f>
        <v>0.1103058782002493</v>
      </c>
      <c r="AA891" s="4">
        <f>1/ZAR!C891</f>
        <v>0.10984062125855383</v>
      </c>
    </row>
    <row r="892" spans="1:27" x14ac:dyDescent="0.25">
      <c r="A892" t="str">
        <f>"28/01/2013"</f>
        <v>28/01/2013</v>
      </c>
      <c r="B892" s="3">
        <f>AUD!B892</f>
        <v>1.0416000000000001</v>
      </c>
      <c r="C892" s="3">
        <f>AUD!C892</f>
        <v>1.0392999999999999</v>
      </c>
      <c r="D892" s="3">
        <f>1/CAD!B892</f>
        <v>0.99176832291976602</v>
      </c>
      <c r="E892" s="3">
        <f>1/CAD!C892</f>
        <v>0.99117851124987622</v>
      </c>
      <c r="F892" s="3">
        <f>EUR!B892/1</f>
        <v>1.3452999999999999</v>
      </c>
      <c r="G892" s="3">
        <f>EUR!C892/1</f>
        <v>1.3454999999999999</v>
      </c>
      <c r="H892" s="3">
        <f>GBP!B892/1</f>
        <v>1.5759000000000001</v>
      </c>
      <c r="I892" s="3">
        <f>GBP!C892/1</f>
        <v>1.5755999999999999</v>
      </c>
      <c r="J892" s="4">
        <f>1/INR!B892</f>
        <v>1.8573551263001486E-2</v>
      </c>
      <c r="K892" s="4">
        <f>1/INR!C892</f>
        <v>1.8464663250703967E-2</v>
      </c>
      <c r="L892" s="4">
        <f>1/JPY!B892</f>
        <v>1.0985691137293675E-2</v>
      </c>
      <c r="M892" s="4">
        <f>1/JPY!C892</f>
        <v>1.0987115409758975E-2</v>
      </c>
      <c r="N892" s="5">
        <f>1/KRW!B892</f>
        <v>9.2395823708768369E-4</v>
      </c>
      <c r="O892" s="5">
        <f>1/KRW!C892</f>
        <v>9.2393220000729906E-4</v>
      </c>
      <c r="P892" s="3">
        <f>1/NOK!B892</f>
        <v>0.18065215427693976</v>
      </c>
      <c r="Q892" s="3">
        <f>1/NOK!C892</f>
        <v>0.18044027426921688</v>
      </c>
      <c r="R892" s="3">
        <f>NZD!B892/1</f>
        <v>0.83560000000000001</v>
      </c>
      <c r="S892" s="3">
        <f>NZD!C892/1</f>
        <v>0.83389999999999997</v>
      </c>
      <c r="T892" s="4">
        <f>1/PHP!B892</f>
        <v>2.4554941682013505E-2</v>
      </c>
      <c r="U892" s="4">
        <f>1/PHP!C892</f>
        <v>2.454692512942366E-2</v>
      </c>
      <c r="V892" s="4">
        <f>1/TWD!B892</f>
        <v>3.3943755197637517E-2</v>
      </c>
      <c r="W892" s="4">
        <f>1/TWD!C892</f>
        <v>3.3943755197637517E-2</v>
      </c>
      <c r="X892" s="4">
        <f>1/TWD!B892</f>
        <v>3.3943755197637517E-2</v>
      </c>
      <c r="Y892" s="4">
        <f>1/TWD!C892</f>
        <v>3.3943755197637517E-2</v>
      </c>
      <c r="Z892" s="4">
        <f>1/ZAR!B892</f>
        <v>0.11147277834752753</v>
      </c>
      <c r="AA892" s="4">
        <f>1/ZAR!C892</f>
        <v>0.11101982814130604</v>
      </c>
    </row>
    <row r="893" spans="1:27" x14ac:dyDescent="0.25">
      <c r="A893" t="str">
        <f>"29/01/2013"</f>
        <v>29/01/2013</v>
      </c>
      <c r="B893" s="3">
        <f>AUD!B893</f>
        <v>1.044</v>
      </c>
      <c r="C893" s="3">
        <f>AUD!C893</f>
        <v>1.0418000000000001</v>
      </c>
      <c r="D893" s="3">
        <f>1/CAD!B893</f>
        <v>0.99453008453505709</v>
      </c>
      <c r="E893" s="3">
        <f>1/CAD!C893</f>
        <v>0.99383820314052873</v>
      </c>
      <c r="F893" s="3">
        <f>EUR!B893/1</f>
        <v>1.3456999999999999</v>
      </c>
      <c r="G893" s="3">
        <f>EUR!C893/1</f>
        <v>1.3459000000000001</v>
      </c>
      <c r="H893" s="3">
        <f>GBP!B893/1</f>
        <v>1.5706</v>
      </c>
      <c r="I893" s="3">
        <f>GBP!C893/1</f>
        <v>1.5703</v>
      </c>
      <c r="J893" s="4">
        <f>1/INR!B893</f>
        <v>1.8545994065281898E-2</v>
      </c>
      <c r="K893" s="4">
        <f>1/INR!C893</f>
        <v>1.8387423002666176E-2</v>
      </c>
      <c r="L893" s="4">
        <f>1/JPY!B893</f>
        <v>1.099696263891913E-2</v>
      </c>
      <c r="M893" s="4">
        <f>1/JPY!C893</f>
        <v>1.099870435262726E-2</v>
      </c>
      <c r="N893" s="5">
        <f>1/KRW!B893</f>
        <v>9.1861106007716335E-4</v>
      </c>
      <c r="O893" s="5">
        <f>1/KRW!C893</f>
        <v>9.1859224269060077E-4</v>
      </c>
      <c r="P893" s="3">
        <f>1/NOK!B893</f>
        <v>0.18060321473722232</v>
      </c>
      <c r="Q893" s="3">
        <f>1/NOK!C893</f>
        <v>0.18039470361150195</v>
      </c>
      <c r="R893" s="3">
        <f>NZD!B893/1</f>
        <v>0.83640000000000003</v>
      </c>
      <c r="S893" s="3">
        <f>NZD!C893/1</f>
        <v>0.83489999999999998</v>
      </c>
      <c r="T893" s="4">
        <f>1/PHP!B893</f>
        <v>2.4530847540782535E-2</v>
      </c>
      <c r="U893" s="4">
        <f>1/PHP!C893</f>
        <v>2.452020096756713E-2</v>
      </c>
      <c r="V893" s="4">
        <f>1/TWD!B893</f>
        <v>3.3750147656895997E-2</v>
      </c>
      <c r="W893" s="4">
        <f>1/TWD!C893</f>
        <v>3.3750147656895997E-2</v>
      </c>
      <c r="X893" s="4">
        <f>1/TWD!B893</f>
        <v>3.3750147656895997E-2</v>
      </c>
      <c r="Y893" s="4">
        <f>1/TWD!C893</f>
        <v>3.3750147656895997E-2</v>
      </c>
      <c r="Z893" s="4">
        <f>1/ZAR!B893</f>
        <v>0.11000374012716432</v>
      </c>
      <c r="AA893" s="4">
        <f>1/ZAR!C893</f>
        <v>0.10956742779506509</v>
      </c>
    </row>
    <row r="894" spans="1:27" x14ac:dyDescent="0.25">
      <c r="A894" t="str">
        <f>"30/01/2013"</f>
        <v>30/01/2013</v>
      </c>
      <c r="B894" s="3">
        <f>AUD!B894</f>
        <v>1.0468999999999999</v>
      </c>
      <c r="C894" s="3">
        <f>AUD!C894</f>
        <v>1.0447</v>
      </c>
      <c r="D894" s="3">
        <f>1/CAD!B894</f>
        <v>0.99810360315400737</v>
      </c>
      <c r="E894" s="3">
        <f>1/CAD!C894</f>
        <v>0.99740674246957917</v>
      </c>
      <c r="F894" s="3">
        <f>EUR!B894/1</f>
        <v>1.3487</v>
      </c>
      <c r="G894" s="3">
        <f>EUR!C894/1</f>
        <v>1.3489</v>
      </c>
      <c r="H894" s="3">
        <f>GBP!B894/1</f>
        <v>1.5752999999999999</v>
      </c>
      <c r="I894" s="3">
        <f>GBP!C894/1</f>
        <v>1.575</v>
      </c>
      <c r="J894" s="4">
        <f>1/INR!B894</f>
        <v>1.8688095683049896E-2</v>
      </c>
      <c r="K894" s="4">
        <f>1/INR!C894</f>
        <v>1.8579590320033444E-2</v>
      </c>
      <c r="L894" s="4">
        <f>1/JPY!B894</f>
        <v>1.099565671559734E-2</v>
      </c>
      <c r="M894" s="4">
        <f>1/JPY!C894</f>
        <v>1.099693845233487E-2</v>
      </c>
      <c r="N894" s="5">
        <f>1/KRW!B894</f>
        <v>9.227646027498385E-4</v>
      </c>
      <c r="O894" s="5">
        <f>1/KRW!C894</f>
        <v>9.2274416733411832E-4</v>
      </c>
      <c r="P894" s="3">
        <f>1/NOK!B894</f>
        <v>0.18177852104995273</v>
      </c>
      <c r="Q894" s="3">
        <f>1/NOK!C894</f>
        <v>0.18157717938009552</v>
      </c>
      <c r="R894" s="3">
        <f>NZD!B894/1</f>
        <v>0.83699999999999997</v>
      </c>
      <c r="S894" s="3">
        <f>NZD!C894/1</f>
        <v>0.83540000000000003</v>
      </c>
      <c r="T894" s="4">
        <f>1/PHP!B894</f>
        <v>2.4576062914721062E-2</v>
      </c>
      <c r="U894" s="4">
        <f>1/PHP!C894</f>
        <v>2.456567879883657E-2</v>
      </c>
      <c r="V894" s="4">
        <f>1/TWD!B894</f>
        <v>3.3819774422104605E-2</v>
      </c>
      <c r="W894" s="4">
        <f>1/TWD!C894</f>
        <v>3.3819774422104605E-2</v>
      </c>
      <c r="X894" s="4">
        <f>1/TWD!B894</f>
        <v>3.3819774422104605E-2</v>
      </c>
      <c r="Y894" s="4">
        <f>1/TWD!C894</f>
        <v>3.3819774422104605E-2</v>
      </c>
      <c r="Z894" s="4">
        <f>1/ZAR!B894</f>
        <v>0.11068191125524356</v>
      </c>
      <c r="AA894" s="4">
        <f>1/ZAR!C894</f>
        <v>0.1102596615028392</v>
      </c>
    </row>
    <row r="895" spans="1:27" x14ac:dyDescent="0.25">
      <c r="A895" t="str">
        <f>"31/01/2013"</f>
        <v>31/01/2013</v>
      </c>
      <c r="B895" s="3">
        <f>AUD!B895</f>
        <v>1.0387</v>
      </c>
      <c r="C895" s="3">
        <f>AUD!C895</f>
        <v>1.0364</v>
      </c>
      <c r="D895" s="3">
        <f>1/CAD!B895</f>
        <v>0.99690958030106658</v>
      </c>
      <c r="E895" s="3">
        <f>1/CAD!C895</f>
        <v>0.99621438533572426</v>
      </c>
      <c r="F895" s="3">
        <f>EUR!B895/1</f>
        <v>1.3569</v>
      </c>
      <c r="G895" s="3">
        <f>EUR!C895/1</f>
        <v>1.3571</v>
      </c>
      <c r="H895" s="3">
        <f>GBP!B895/1</f>
        <v>1.5806</v>
      </c>
      <c r="I895" s="3">
        <f>GBP!C895/1</f>
        <v>1.5804</v>
      </c>
      <c r="J895" s="4">
        <f>1/INR!B895</f>
        <v>1.8804061677322303E-2</v>
      </c>
      <c r="K895" s="4">
        <f>1/INR!C895</f>
        <v>1.8696830887164624E-2</v>
      </c>
      <c r="L895" s="4">
        <f>1/JPY!B895</f>
        <v>1.1016855789357717E-2</v>
      </c>
      <c r="M895" s="4">
        <f>1/JPY!C895</f>
        <v>1.1018288154679137E-2</v>
      </c>
      <c r="N895" s="5">
        <f>1/KRW!B895</f>
        <v>9.1818933063997799E-4</v>
      </c>
      <c r="O895" s="5">
        <f>1/KRW!C895</f>
        <v>9.1816555663511417E-4</v>
      </c>
      <c r="P895" s="3">
        <f>1/NOK!B895</f>
        <v>0.18253837869412043</v>
      </c>
      <c r="Q895" s="3">
        <f>1/NOK!C895</f>
        <v>0.18232870218429784</v>
      </c>
      <c r="R895" s="3">
        <f>NZD!B895/1</f>
        <v>0.8347</v>
      </c>
      <c r="S895" s="3">
        <f>NZD!C895/1</f>
        <v>0.83309999999999995</v>
      </c>
      <c r="T895" s="4">
        <f>1/PHP!B895</f>
        <v>2.4594195769798328E-2</v>
      </c>
      <c r="U895" s="4">
        <f>1/PHP!C895</f>
        <v>2.458917633636026E-2</v>
      </c>
      <c r="V895" s="4">
        <f>1/TWD!B895</f>
        <v>3.3791775081945058E-2</v>
      </c>
      <c r="W895" s="4">
        <f>1/TWD!C895</f>
        <v>3.3791775081945058E-2</v>
      </c>
      <c r="X895" s="4">
        <f>1/TWD!B895</f>
        <v>3.3791775081945058E-2</v>
      </c>
      <c r="Y895" s="4">
        <f>1/TWD!C895</f>
        <v>3.3791775081945058E-2</v>
      </c>
      <c r="Z895" s="4">
        <f>1/ZAR!B895</f>
        <v>0.11077018509697931</v>
      </c>
      <c r="AA895" s="4">
        <f>1/ZAR!C895</f>
        <v>0.1103448275862069</v>
      </c>
    </row>
    <row r="896" spans="1:27" x14ac:dyDescent="0.25">
      <c r="A896" t="str">
        <f>"01/02/2013"</f>
        <v>01/02/2013</v>
      </c>
      <c r="B896" s="3">
        <f>AUD!B896</f>
        <v>1.0392999999999999</v>
      </c>
      <c r="C896" s="3">
        <f>AUD!C896</f>
        <v>1.0369999999999999</v>
      </c>
      <c r="D896" s="3">
        <f>1/CAD!B896</f>
        <v>1.0024057738572574</v>
      </c>
      <c r="E896" s="3">
        <f>1/CAD!C896</f>
        <v>1.0018032458425166</v>
      </c>
      <c r="F896" s="3">
        <f>EUR!B896/1</f>
        <v>1.3619000000000001</v>
      </c>
      <c r="G896" s="3">
        <f>EUR!C896/1</f>
        <v>1.3621000000000001</v>
      </c>
      <c r="H896" s="3">
        <f>GBP!B896/1</f>
        <v>1.5869</v>
      </c>
      <c r="I896" s="3">
        <f>GBP!C896/1</f>
        <v>1.5866</v>
      </c>
      <c r="J896" s="4">
        <f>1/INR!B896</f>
        <v>1.8761726078799251E-2</v>
      </c>
      <c r="K896" s="4">
        <f>1/INR!C896</f>
        <v>1.8655846275826688E-2</v>
      </c>
      <c r="L896" s="4">
        <f>1/JPY!B896</f>
        <v>1.0861206810411118E-2</v>
      </c>
      <c r="M896" s="4">
        <f>1/JPY!C896</f>
        <v>1.0862917584130582E-2</v>
      </c>
      <c r="N896" s="5">
        <f>1/KRW!B896</f>
        <v>9.1070534128682664E-4</v>
      </c>
      <c r="O896" s="5">
        <f>1/KRW!C896</f>
        <v>9.1068684639435853E-4</v>
      </c>
      <c r="P896" s="3">
        <f>1/NOK!B896</f>
        <v>0.18311664530305805</v>
      </c>
      <c r="Q896" s="3">
        <f>1/NOK!C896</f>
        <v>0.18290563898084977</v>
      </c>
      <c r="R896" s="3">
        <f>NZD!B896/1</f>
        <v>0.84060000000000001</v>
      </c>
      <c r="S896" s="3">
        <f>NZD!C896/1</f>
        <v>0.83899999999999997</v>
      </c>
      <c r="T896" s="4">
        <f>1/PHP!B896</f>
        <v>2.4505899795375735E-2</v>
      </c>
      <c r="U896" s="4">
        <f>1/PHP!C896</f>
        <v>2.4496774999571307E-2</v>
      </c>
      <c r="V896" s="4">
        <f>1/TWD!B896</f>
        <v>3.3722832043435007E-2</v>
      </c>
      <c r="W896" s="4">
        <f>1/TWD!C896</f>
        <v>3.3722832043435007E-2</v>
      </c>
      <c r="X896" s="4">
        <f>1/TWD!B896</f>
        <v>3.3722832043435007E-2</v>
      </c>
      <c r="Y896" s="4">
        <f>1/TWD!C896</f>
        <v>3.3722832043435007E-2</v>
      </c>
      <c r="Z896" s="4">
        <f>1/ZAR!B896</f>
        <v>0.11141688857196973</v>
      </c>
      <c r="AA896" s="4">
        <f>1/ZAR!C896</f>
        <v>0.11099271887764162</v>
      </c>
    </row>
    <row r="897" spans="1:27" x14ac:dyDescent="0.25">
      <c r="A897" t="str">
        <f>"04/02/2013"</f>
        <v>04/02/2013</v>
      </c>
      <c r="B897" s="3">
        <f>AUD!B897</f>
        <v>1.0425</v>
      </c>
      <c r="C897" s="3">
        <f>AUD!C897</f>
        <v>1.0402</v>
      </c>
      <c r="D897" s="3">
        <f>1/CAD!B897</f>
        <v>1.0023053021950485</v>
      </c>
      <c r="E897" s="3">
        <f>1/CAD!C897</f>
        <v>1.0017028949213664</v>
      </c>
      <c r="F897" s="3">
        <f>EUR!B897/1</f>
        <v>1.3626</v>
      </c>
      <c r="G897" s="3">
        <f>EUR!C897/1</f>
        <v>1.3628</v>
      </c>
      <c r="H897" s="3">
        <f>GBP!B897/1</f>
        <v>1.5697000000000001</v>
      </c>
      <c r="I897" s="3">
        <f>GBP!C897/1</f>
        <v>1.5693999999999999</v>
      </c>
      <c r="J897" s="4">
        <f>1/INR!B897</f>
        <v>1.8861696609610033E-2</v>
      </c>
      <c r="K897" s="4">
        <f>1/INR!C897</f>
        <v>1.8752930145335207E-2</v>
      </c>
      <c r="L897" s="4">
        <f>1/JPY!B897</f>
        <v>1.078853394612206E-2</v>
      </c>
      <c r="M897" s="4">
        <f>1/JPY!C897</f>
        <v>1.0790256829693061E-2</v>
      </c>
      <c r="N897" s="5">
        <f>1/KRW!B897</f>
        <v>9.1954022988505744E-4</v>
      </c>
      <c r="O897" s="5">
        <f>1/KRW!C897</f>
        <v>9.1951655497605578E-4</v>
      </c>
      <c r="P897" s="3">
        <f>1/NOK!B897</f>
        <v>0.18306301028814118</v>
      </c>
      <c r="Q897" s="3">
        <f>1/NOK!C897</f>
        <v>0.1828521274845033</v>
      </c>
      <c r="R897" s="3">
        <f>NZD!B897/1</f>
        <v>0.84550000000000003</v>
      </c>
      <c r="S897" s="3">
        <f>NZD!C897/1</f>
        <v>0.84399999999999997</v>
      </c>
      <c r="T897" s="4">
        <f>1/PHP!B897</f>
        <v>2.4624476729869491E-2</v>
      </c>
      <c r="U897" s="4">
        <f>1/PHP!C897</f>
        <v>2.461786912648415E-2</v>
      </c>
      <c r="V897" s="4">
        <f>1/TWD!B897</f>
        <v>3.3746730785455162E-2</v>
      </c>
      <c r="W897" s="4">
        <f>1/TWD!C897</f>
        <v>3.3746730785455162E-2</v>
      </c>
      <c r="X897" s="4">
        <f>1/TWD!B897</f>
        <v>3.3746730785455162E-2</v>
      </c>
      <c r="Y897" s="4">
        <f>1/TWD!C897</f>
        <v>3.3746730785455162E-2</v>
      </c>
      <c r="Z897" s="4">
        <f>1/ZAR!B897</f>
        <v>0.11292799710904328</v>
      </c>
      <c r="AA897" s="4">
        <f>1/ZAR!C897</f>
        <v>0.1124947971156334</v>
      </c>
    </row>
    <row r="898" spans="1:27" x14ac:dyDescent="0.25">
      <c r="A898" t="str">
        <f>"05/02/2013"</f>
        <v>05/02/2013</v>
      </c>
      <c r="B898" s="3">
        <f>AUD!B898</f>
        <v>1.0402</v>
      </c>
      <c r="C898" s="3">
        <f>AUD!C898</f>
        <v>1.038</v>
      </c>
      <c r="D898" s="3">
        <f>1/CAD!B898</f>
        <v>1.0008006405124099</v>
      </c>
      <c r="E898" s="3">
        <f>1/CAD!C898</f>
        <v>1.0002000400080016</v>
      </c>
      <c r="F898" s="3">
        <f>EUR!B898/1</f>
        <v>1.349</v>
      </c>
      <c r="G898" s="3">
        <f>EUR!C898/1</f>
        <v>1.3492999999999999</v>
      </c>
      <c r="H898" s="3">
        <f>GBP!B898/1</f>
        <v>1.5751999999999999</v>
      </c>
      <c r="I898" s="3">
        <f>GBP!C898/1</f>
        <v>1.5749</v>
      </c>
      <c r="J898" s="4">
        <f>1/INR!B898</f>
        <v>1.874414245548266E-2</v>
      </c>
      <c r="K898" s="4">
        <f>1/INR!C898</f>
        <v>1.8634987188446306E-2</v>
      </c>
      <c r="L898" s="4">
        <f>1/JPY!B898</f>
        <v>1.0825732766786651E-2</v>
      </c>
      <c r="M898" s="4">
        <f>1/JPY!C898</f>
        <v>1.0827408936077143E-2</v>
      </c>
      <c r="N898" s="5">
        <f>1/KRW!B898</f>
        <v>9.2030185900975525E-4</v>
      </c>
      <c r="O898" s="5">
        <f>1/KRW!C898</f>
        <v>9.2028119375931557E-4</v>
      </c>
      <c r="P898" s="3">
        <f>1/NOK!B898</f>
        <v>0.18229878771306171</v>
      </c>
      <c r="Q898" s="3">
        <f>1/NOK!C898</f>
        <v>0.18209297667388968</v>
      </c>
      <c r="R898" s="3">
        <f>NZD!B898/1</f>
        <v>0.84179999999999999</v>
      </c>
      <c r="S898" s="3">
        <f>NZD!C898/1</f>
        <v>0.84030000000000005</v>
      </c>
      <c r="T898" s="4">
        <f>1/PHP!B898</f>
        <v>2.4588148512417012E-2</v>
      </c>
      <c r="U898" s="4">
        <f>1/PHP!C898</f>
        <v>2.457745215384502E-2</v>
      </c>
      <c r="V898" s="4">
        <f>1/TWD!B898</f>
        <v>3.3840947546531303E-2</v>
      </c>
      <c r="W898" s="4">
        <f>1/TWD!C898</f>
        <v>3.3840947546531303E-2</v>
      </c>
      <c r="X898" s="4">
        <f>1/TWD!B898</f>
        <v>3.3840947546531303E-2</v>
      </c>
      <c r="Y898" s="4">
        <f>1/TWD!C898</f>
        <v>3.3840947546531303E-2</v>
      </c>
      <c r="Z898" s="4">
        <f>1/ZAR!B898</f>
        <v>0.11202599002968688</v>
      </c>
      <c r="AA898" s="4">
        <f>1/ZAR!C898</f>
        <v>0.11159468809284678</v>
      </c>
    </row>
    <row r="899" spans="1:27" x14ac:dyDescent="0.25">
      <c r="A899" t="str">
        <f>"06/02/2013"</f>
        <v>06/02/2013</v>
      </c>
      <c r="B899" s="3">
        <f>AUD!B899</f>
        <v>1.0354000000000001</v>
      </c>
      <c r="C899" s="3">
        <f>AUD!C899</f>
        <v>1.0331999999999999</v>
      </c>
      <c r="D899" s="3">
        <f>1/CAD!B899</f>
        <v>1.0033109260559847</v>
      </c>
      <c r="E899" s="3">
        <f>1/CAD!C899</f>
        <v>1.002707309736288</v>
      </c>
      <c r="F899" s="3">
        <f>EUR!B899/1</f>
        <v>1.3580000000000001</v>
      </c>
      <c r="G899" s="3">
        <f>EUR!C899/1</f>
        <v>1.3582000000000001</v>
      </c>
      <c r="H899" s="3">
        <f>GBP!B899/1</f>
        <v>1.5661</v>
      </c>
      <c r="I899" s="3">
        <f>GBP!C899/1</f>
        <v>1.5658000000000001</v>
      </c>
      <c r="J899" s="4">
        <f>1/INR!B899</f>
        <v>1.8850141376060323E-2</v>
      </c>
      <c r="K899" s="4">
        <f>1/INR!C899</f>
        <v>1.8739751698289998E-2</v>
      </c>
      <c r="L899" s="4">
        <f>1/JPY!B899</f>
        <v>1.0662685930585915E-2</v>
      </c>
      <c r="M899" s="4">
        <f>1/JPY!C899</f>
        <v>1.0664130025604577E-2</v>
      </c>
      <c r="N899" s="5">
        <f>1/KRW!B899</f>
        <v>9.1818933063997799E-4</v>
      </c>
      <c r="O899" s="5">
        <f>1/KRW!C899</f>
        <v>9.1817078343840264E-4</v>
      </c>
      <c r="P899" s="3">
        <f>1/NOK!B899</f>
        <v>0.18239521394958597</v>
      </c>
      <c r="Q899" s="3">
        <f>1/NOK!C899</f>
        <v>0.18218918524996355</v>
      </c>
      <c r="R899" s="3">
        <f>NZD!B899/1</f>
        <v>0.8448</v>
      </c>
      <c r="S899" s="3">
        <f>NZD!C899/1</f>
        <v>0.84319999999999995</v>
      </c>
      <c r="T899" s="4">
        <f>1/PHP!B899</f>
        <v>2.4585125998770746E-2</v>
      </c>
      <c r="U899" s="4">
        <f>1/PHP!C899</f>
        <v>2.4577029325311389E-2</v>
      </c>
      <c r="V899" s="4">
        <f>1/TWD!B899</f>
        <v>3.3898305084745763E-2</v>
      </c>
      <c r="W899" s="4">
        <f>1/TWD!C899</f>
        <v>3.3898305084745763E-2</v>
      </c>
      <c r="X899" s="4">
        <f>1/TWD!B899</f>
        <v>3.3898305084745763E-2</v>
      </c>
      <c r="Y899" s="4">
        <f>1/TWD!C899</f>
        <v>3.3898305084745763E-2</v>
      </c>
      <c r="Z899" s="4">
        <f>1/ZAR!B899</f>
        <v>0.11305566861122417</v>
      </c>
      <c r="AA899" s="4">
        <f>1/ZAR!C899</f>
        <v>0.11261388078694581</v>
      </c>
    </row>
    <row r="900" spans="1:27" x14ac:dyDescent="0.25">
      <c r="A900" t="str">
        <f>"07/02/2013"</f>
        <v>07/02/2013</v>
      </c>
      <c r="B900" s="3">
        <f>AUD!B900</f>
        <v>1.0317000000000001</v>
      </c>
      <c r="C900" s="3">
        <f>AUD!C900</f>
        <v>1.0294000000000001</v>
      </c>
      <c r="D900" s="3">
        <f>1/CAD!B900</f>
        <v>1.003814495081309</v>
      </c>
      <c r="E900" s="3">
        <f>1/CAD!C900</f>
        <v>1.0032102728731942</v>
      </c>
      <c r="F900" s="3">
        <f>EUR!B900/1</f>
        <v>1.3508</v>
      </c>
      <c r="G900" s="3">
        <f>EUR!C900/1</f>
        <v>1.3511</v>
      </c>
      <c r="H900" s="3">
        <f>GBP!B900/1</f>
        <v>1.5664</v>
      </c>
      <c r="I900" s="3">
        <f>GBP!C900/1</f>
        <v>1.5661</v>
      </c>
      <c r="J900" s="4">
        <f>1/INR!B900</f>
        <v>1.8823529411764704E-2</v>
      </c>
      <c r="K900" s="4">
        <f>1/INR!C900</f>
        <v>1.8709949015388933E-2</v>
      </c>
      <c r="L900" s="4">
        <f>1/JPY!B900</f>
        <v>1.0703200256876806E-2</v>
      </c>
      <c r="M900" s="4">
        <f>1/JPY!C900</f>
        <v>1.0704747020066048E-2</v>
      </c>
      <c r="N900" s="5">
        <f>1/KRW!B900</f>
        <v>9.1776798825256984E-4</v>
      </c>
      <c r="O900" s="5">
        <f>1/KRW!C900</f>
        <v>9.1774853157940573E-4</v>
      </c>
      <c r="P900" s="3">
        <f>1/NOK!B900</f>
        <v>0.18148820326678766</v>
      </c>
      <c r="Q900" s="3">
        <f>1/NOK!C900</f>
        <v>0.18128421739603348</v>
      </c>
      <c r="R900" s="3">
        <f>NZD!B900/1</f>
        <v>0.83599999999999997</v>
      </c>
      <c r="S900" s="3">
        <f>NZD!C900/1</f>
        <v>0.83450000000000002</v>
      </c>
      <c r="T900" s="4">
        <f>1/PHP!B900</f>
        <v>2.4570024570024569E-2</v>
      </c>
      <c r="U900" s="4">
        <f>1/PHP!C900</f>
        <v>2.4563747838390191E-2</v>
      </c>
      <c r="V900" s="4">
        <f>1/TWD!B900</f>
        <v>3.3816343438783966E-2</v>
      </c>
      <c r="W900" s="4">
        <f>1/TWD!C900</f>
        <v>3.3816343438783966E-2</v>
      </c>
      <c r="X900" s="4">
        <f>1/TWD!B900</f>
        <v>3.3816343438783966E-2</v>
      </c>
      <c r="Y900" s="4">
        <f>1/TWD!C900</f>
        <v>3.3816343438783966E-2</v>
      </c>
      <c r="Z900" s="4">
        <f>1/ZAR!B900</f>
        <v>0.11209254360399945</v>
      </c>
      <c r="AA900" s="4">
        <f>1/ZAR!C900</f>
        <v>0.11166073003785298</v>
      </c>
    </row>
    <row r="901" spans="1:27" x14ac:dyDescent="0.25">
      <c r="A901" t="str">
        <f>"08/02/2013"</f>
        <v>08/02/2013</v>
      </c>
      <c r="B901" s="3">
        <f>AUD!B901</f>
        <v>1.0294000000000001</v>
      </c>
      <c r="C901" s="3">
        <f>AUD!C901</f>
        <v>1.0270999999999999</v>
      </c>
      <c r="D901" s="3">
        <f>1/CAD!B901</f>
        <v>1.001903616872057</v>
      </c>
      <c r="E901" s="3">
        <f>1/CAD!C901</f>
        <v>1.0012014417300761</v>
      </c>
      <c r="F901" s="3">
        <f>EUR!B901/1</f>
        <v>1.3406</v>
      </c>
      <c r="G901" s="3">
        <f>EUR!C901/1</f>
        <v>1.3408</v>
      </c>
      <c r="H901" s="3">
        <f>GBP!B901/1</f>
        <v>1.5728</v>
      </c>
      <c r="I901" s="3">
        <f>GBP!C901/1</f>
        <v>1.5725</v>
      </c>
      <c r="J901" s="4">
        <f>1/INR!B901</f>
        <v>1.8667164457718873E-2</v>
      </c>
      <c r="K901" s="4">
        <f>1/INR!C901</f>
        <v>1.8552875695732839E-2</v>
      </c>
      <c r="L901" s="4">
        <f>1/JPY!B901</f>
        <v>1.0721963405938896E-2</v>
      </c>
      <c r="M901" s="4">
        <f>1/JPY!C901</f>
        <v>1.0723883590098853E-2</v>
      </c>
      <c r="N901" s="5">
        <f>1/KRW!B901</f>
        <v>9.1240875912408756E-4</v>
      </c>
      <c r="O901" s="5">
        <f>1/KRW!C901</f>
        <v>9.1239086094570222E-4</v>
      </c>
      <c r="P901" s="3">
        <f>1/NOK!B901</f>
        <v>0.18122836586382501</v>
      </c>
      <c r="Q901" s="3">
        <f>1/NOK!C901</f>
        <v>0.18101513286510754</v>
      </c>
      <c r="R901" s="3">
        <f>NZD!B901/1</f>
        <v>0.83540000000000003</v>
      </c>
      <c r="S901" s="3">
        <f>NZD!C901/1</f>
        <v>0.83379999999999999</v>
      </c>
      <c r="T901" s="4">
        <f>1/PHP!B901</f>
        <v>2.4573043371421549E-2</v>
      </c>
      <c r="U901" s="4">
        <f>1/PHP!C901</f>
        <v>2.4562903138647764E-2</v>
      </c>
      <c r="V901" s="4">
        <f>1/TWD!B901</f>
        <v>3.3719989209603451E-2</v>
      </c>
      <c r="W901" s="4">
        <f>1/TWD!C901</f>
        <v>3.3719989209603451E-2</v>
      </c>
      <c r="X901" s="4">
        <f>1/TWD!B901</f>
        <v>3.3719989209603451E-2</v>
      </c>
      <c r="Y901" s="4">
        <f>1/TWD!C901</f>
        <v>3.3719989209603451E-2</v>
      </c>
      <c r="Z901" s="4">
        <f>1/ZAR!B901</f>
        <v>0.11216672461947438</v>
      </c>
      <c r="AA901" s="4">
        <f>1/ZAR!C901</f>
        <v>0.11173683740055421</v>
      </c>
    </row>
    <row r="902" spans="1:27" x14ac:dyDescent="0.25">
      <c r="A902" t="str">
        <f>"11/02/2013"</f>
        <v>11/02/2013</v>
      </c>
      <c r="B902" s="3">
        <f>AUD!B902</f>
        <v>1.0297000000000001</v>
      </c>
      <c r="C902" s="3">
        <f>AUD!C902</f>
        <v>1.0274000000000001</v>
      </c>
      <c r="D902" s="3">
        <f>1/CAD!B902</f>
        <v>0.99522292993630579</v>
      </c>
      <c r="E902" s="3">
        <f>1/CAD!C902</f>
        <v>0.99462900338173854</v>
      </c>
      <c r="F902" s="3">
        <f>EUR!B902/1</f>
        <v>1.3369</v>
      </c>
      <c r="G902" s="3">
        <f>EUR!C902/1</f>
        <v>1.3371999999999999</v>
      </c>
      <c r="H902" s="3">
        <f>GBP!B902/1</f>
        <v>1.5798000000000001</v>
      </c>
      <c r="I902" s="3">
        <f>GBP!C902/1</f>
        <v>1.5795999999999999</v>
      </c>
      <c r="J902" s="4">
        <f>1/INR!B902</f>
        <v>1.8608978832286578E-2</v>
      </c>
      <c r="K902" s="4">
        <f>1/INR!C902</f>
        <v>1.8497109826589597E-2</v>
      </c>
      <c r="L902" s="4">
        <f>1/JPY!B902</f>
        <v>1.0807597741212071E-2</v>
      </c>
      <c r="M902" s="4">
        <f>1/JPY!C902</f>
        <v>1.0809525353741717E-2</v>
      </c>
      <c r="N902" s="5">
        <f>1/KRW!B902</f>
        <v>9.1074681238615665E-4</v>
      </c>
      <c r="O902" s="5">
        <f>1/KRW!C902</f>
        <v>9.1072897935058638E-4</v>
      </c>
      <c r="P902" s="3">
        <f>1/NOK!B902</f>
        <v>0.18079259473531964</v>
      </c>
      <c r="Q902" s="3">
        <f>1/NOK!C902</f>
        <v>0.18058038535854234</v>
      </c>
      <c r="R902" s="3">
        <f>NZD!B902/1</f>
        <v>0.83309999999999995</v>
      </c>
      <c r="S902" s="3">
        <f>NZD!C902/1</f>
        <v>0.83150000000000002</v>
      </c>
      <c r="T902" s="4">
        <f>1/PHP!B902</f>
        <v>2.4570024570024569E-2</v>
      </c>
      <c r="U902" s="4">
        <f>1/PHP!C902</f>
        <v>2.4559042393818977E-2</v>
      </c>
      <c r="V902" s="4">
        <f>1/TWD!B902</f>
        <v>3.3579583613163197E-2</v>
      </c>
      <c r="W902" s="4">
        <f>1/TWD!C902</f>
        <v>3.3579583613163197E-2</v>
      </c>
      <c r="X902" s="4">
        <f>1/TWD!B902</f>
        <v>3.3579583613163197E-2</v>
      </c>
      <c r="Y902" s="4">
        <f>1/TWD!C902</f>
        <v>3.3579583613163197E-2</v>
      </c>
      <c r="Z902" s="4">
        <f>1/ZAR!B902</f>
        <v>0.11244293521038073</v>
      </c>
      <c r="AA902" s="4">
        <f>1/ZAR!C902</f>
        <v>0.11200716845878135</v>
      </c>
    </row>
    <row r="903" spans="1:27" x14ac:dyDescent="0.25">
      <c r="A903" t="str">
        <f>"12/02/2013"</f>
        <v>12/02/2013</v>
      </c>
      <c r="B903" s="3">
        <f>AUD!B903</f>
        <v>1.0243</v>
      </c>
      <c r="C903" s="3">
        <f>AUD!C903</f>
        <v>1.0221</v>
      </c>
      <c r="D903" s="3">
        <f>1/CAD!B903</f>
        <v>0.99344327438903246</v>
      </c>
      <c r="E903" s="3">
        <f>1/CAD!C903</f>
        <v>0.99285146942017466</v>
      </c>
      <c r="F903" s="3">
        <f>EUR!B903/1</f>
        <v>1.3386</v>
      </c>
      <c r="G903" s="3">
        <f>EUR!C903/1</f>
        <v>1.3388</v>
      </c>
      <c r="H903" s="3">
        <f>GBP!B903/1</f>
        <v>1.5650999999999999</v>
      </c>
      <c r="I903" s="3">
        <f>GBP!C903/1</f>
        <v>1.5649</v>
      </c>
      <c r="J903" s="4">
        <f>1/INR!B903</f>
        <v>1.8549434242255611E-2</v>
      </c>
      <c r="K903" s="4">
        <f>1/INR!C903</f>
        <v>1.8434878790671953E-2</v>
      </c>
      <c r="L903" s="4">
        <f>1/JPY!B903</f>
        <v>1.0613908465653393E-2</v>
      </c>
      <c r="M903" s="4">
        <f>1/JPY!C903</f>
        <v>1.0615474601946241E-2</v>
      </c>
      <c r="N903" s="5">
        <f>1/KRW!B903</f>
        <v>9.1466203237903598E-4</v>
      </c>
      <c r="O903" s="5">
        <f>1/KRW!C903</f>
        <v>9.1463726949311537E-4</v>
      </c>
      <c r="P903" s="3">
        <f>1/NOK!B903</f>
        <v>0.18139931431059192</v>
      </c>
      <c r="Q903" s="3">
        <f>1/NOK!C903</f>
        <v>0.18119224497191519</v>
      </c>
      <c r="R903" s="3">
        <f>NZD!B903/1</f>
        <v>0.83499999999999996</v>
      </c>
      <c r="S903" s="3">
        <f>NZD!C903/1</f>
        <v>0.83350000000000002</v>
      </c>
      <c r="T903" s="4">
        <f>1/PHP!B903</f>
        <v>2.4563989191844757E-2</v>
      </c>
      <c r="U903" s="4">
        <f>1/PHP!C903</f>
        <v>2.454951637452742E-2</v>
      </c>
      <c r="V903" s="4">
        <f>1/TWD!B903</f>
        <v>3.3557046979865772E-2</v>
      </c>
      <c r="W903" s="4">
        <f>1/TWD!C903</f>
        <v>3.3557046979865772E-2</v>
      </c>
      <c r="X903" s="4">
        <f>1/TWD!B903</f>
        <v>3.3557046979865772E-2</v>
      </c>
      <c r="Y903" s="4">
        <f>1/TWD!C903</f>
        <v>3.3557046979865772E-2</v>
      </c>
      <c r="Z903" s="4">
        <f>1/ZAR!B903</f>
        <v>0.11179179895362877</v>
      </c>
      <c r="AA903" s="4">
        <f>1/ZAR!C903</f>
        <v>0.11136601554669577</v>
      </c>
    </row>
    <row r="904" spans="1:27" x14ac:dyDescent="0.25">
      <c r="A904" t="str">
        <f>"13/02/2013"</f>
        <v>13/02/2013</v>
      </c>
      <c r="B904" s="3">
        <f>AUD!B904</f>
        <v>1.0356000000000001</v>
      </c>
      <c r="C904" s="3">
        <f>AUD!C904</f>
        <v>1.0333000000000001</v>
      </c>
      <c r="D904" s="3">
        <f>1/CAD!B904</f>
        <v>0.99800399201596801</v>
      </c>
      <c r="E904" s="3">
        <f>1/CAD!C904</f>
        <v>0.99740674246957917</v>
      </c>
      <c r="F904" s="3">
        <f>EUR!B904/1</f>
        <v>1.3448</v>
      </c>
      <c r="G904" s="3">
        <f>EUR!C904/1</f>
        <v>1.345</v>
      </c>
      <c r="H904" s="3">
        <f>GBP!B904/1</f>
        <v>1.5687</v>
      </c>
      <c r="I904" s="3">
        <f>GBP!C904/1</f>
        <v>1.5684</v>
      </c>
      <c r="J904" s="4">
        <f>1/INR!B904</f>
        <v>1.857700167193015E-2</v>
      </c>
      <c r="K904" s="4">
        <f>1/INR!C904</f>
        <v>1.8460402436773122E-2</v>
      </c>
      <c r="L904" s="4">
        <f>1/JPY!B904</f>
        <v>1.0764726145366861E-2</v>
      </c>
      <c r="M904" s="4">
        <f>1/JPY!C904</f>
        <v>1.0766429841098263E-2</v>
      </c>
      <c r="N904" s="5">
        <f>1/KRW!B904</f>
        <v>9.2076792044565173E-4</v>
      </c>
      <c r="O904" s="5">
        <f>1/KRW!C904</f>
        <v>9.2074808203570775E-4</v>
      </c>
      <c r="P904" s="3">
        <f>1/NOK!B904</f>
        <v>0.18219250460036074</v>
      </c>
      <c r="Q904" s="3">
        <f>1/NOK!C904</f>
        <v>0.18198362147406733</v>
      </c>
      <c r="R904" s="3">
        <f>NZD!B904/1</f>
        <v>0.84240000000000004</v>
      </c>
      <c r="S904" s="3">
        <f>NZD!C904/1</f>
        <v>0.84079999999999999</v>
      </c>
      <c r="T904" s="4">
        <f>1/PHP!B904</f>
        <v>2.4600246002460024E-2</v>
      </c>
      <c r="U904" s="4">
        <f>1/PHP!C904</f>
        <v>2.4594195769798328E-2</v>
      </c>
      <c r="V904" s="4">
        <f>1/TWD!B904</f>
        <v>3.3615705257496298E-2</v>
      </c>
      <c r="W904" s="4">
        <f>1/TWD!C904</f>
        <v>3.3615705257496298E-2</v>
      </c>
      <c r="X904" s="4">
        <f>1/TWD!B904</f>
        <v>3.3615705257496298E-2</v>
      </c>
      <c r="Y904" s="4">
        <f>1/TWD!C904</f>
        <v>3.3615705257496298E-2</v>
      </c>
      <c r="Z904" s="4">
        <f>1/ZAR!B904</f>
        <v>0.11248214345972576</v>
      </c>
      <c r="AA904" s="4">
        <f>1/ZAR!C904</f>
        <v>0.11204607334535963</v>
      </c>
    </row>
    <row r="905" spans="1:27" x14ac:dyDescent="0.25">
      <c r="A905" t="str">
        <f>"14/02/2013"</f>
        <v>14/02/2013</v>
      </c>
      <c r="B905" s="3">
        <f>AUD!B905</f>
        <v>1.0339</v>
      </c>
      <c r="C905" s="3">
        <f>AUD!C905</f>
        <v>1.0317000000000001</v>
      </c>
      <c r="D905" s="3">
        <f>1/CAD!B905</f>
        <v>0.99850224663005482</v>
      </c>
      <c r="E905" s="3">
        <f>1/CAD!C905</f>
        <v>0.99790440075840736</v>
      </c>
      <c r="F905" s="3">
        <f>EUR!B905/1</f>
        <v>1.3324</v>
      </c>
      <c r="G905" s="3">
        <f>EUR!C905/1</f>
        <v>1.3326</v>
      </c>
      <c r="H905" s="3">
        <f>GBP!B905/1</f>
        <v>1.5504</v>
      </c>
      <c r="I905" s="3">
        <f>GBP!C905/1</f>
        <v>1.5502</v>
      </c>
      <c r="J905" s="4">
        <f>1/INR!B905</f>
        <v>1.854771399425021E-2</v>
      </c>
      <c r="K905" s="4">
        <f>1/INR!C905</f>
        <v>1.8434029217936309E-2</v>
      </c>
      <c r="L905" s="4">
        <f>1/JPY!B905</f>
        <v>1.0691356572778737E-2</v>
      </c>
      <c r="M905" s="4">
        <f>1/JPY!C905</f>
        <v>1.0693311547493273E-2</v>
      </c>
      <c r="N905" s="5">
        <f>1/KRW!B905</f>
        <v>9.2267946115519469E-4</v>
      </c>
      <c r="O905" s="5">
        <f>1/KRW!C905</f>
        <v>9.2266073211283786E-4</v>
      </c>
      <c r="P905" s="3">
        <f>1/NOK!B905</f>
        <v>0.18094307530850795</v>
      </c>
      <c r="Q905" s="3">
        <f>1/NOK!C905</f>
        <v>0.18074031231925969</v>
      </c>
      <c r="R905" s="3">
        <f>NZD!B905/1</f>
        <v>0.84909999999999997</v>
      </c>
      <c r="S905" s="3">
        <f>NZD!C905/1</f>
        <v>0.84750000000000003</v>
      </c>
      <c r="T905" s="4">
        <f>1/PHP!B905</f>
        <v>2.4597220514081908E-2</v>
      </c>
      <c r="U905" s="4">
        <f>1/PHP!C905</f>
        <v>2.4594195769798328E-2</v>
      </c>
      <c r="V905" s="4">
        <f>1/TWD!B905</f>
        <v>3.3691587210673495E-2</v>
      </c>
      <c r="W905" s="4">
        <f>1/TWD!C905</f>
        <v>3.3691587210673495E-2</v>
      </c>
      <c r="X905" s="4">
        <f>1/TWD!B905</f>
        <v>3.3691587210673495E-2</v>
      </c>
      <c r="Y905" s="4">
        <f>1/TWD!C905</f>
        <v>3.3691587210673495E-2</v>
      </c>
      <c r="Z905" s="4">
        <f>1/ZAR!B905</f>
        <v>0.11245810935426552</v>
      </c>
      <c r="AA905" s="4">
        <f>1/ZAR!C905</f>
        <v>0.11202724502599033</v>
      </c>
    </row>
    <row r="906" spans="1:27" x14ac:dyDescent="0.25">
      <c r="A906" t="str">
        <f>"15/02/2013"</f>
        <v>15/02/2013</v>
      </c>
      <c r="B906" s="3">
        <f>AUD!B906</f>
        <v>1.0364</v>
      </c>
      <c r="C906" s="3">
        <f>AUD!C906</f>
        <v>1.0341</v>
      </c>
      <c r="D906" s="3">
        <f>1/CAD!B906</f>
        <v>0.99970008997300808</v>
      </c>
      <c r="E906" s="3">
        <f>1/CAD!C906</f>
        <v>0.99900099900099915</v>
      </c>
      <c r="F906" s="3">
        <f>EUR!B906/1</f>
        <v>1.3362000000000001</v>
      </c>
      <c r="G906" s="3">
        <f>EUR!C906/1</f>
        <v>1.3364</v>
      </c>
      <c r="H906" s="3">
        <f>GBP!B906/1</f>
        <v>1.5519000000000001</v>
      </c>
      <c r="I906" s="3">
        <f>GBP!C906/1</f>
        <v>1.5516000000000001</v>
      </c>
      <c r="J906" s="4">
        <f>1/INR!B906</f>
        <v>1.8543414769829864E-2</v>
      </c>
      <c r="K906" s="4">
        <f>1/INR!C906</f>
        <v>1.8431480969495897E-2</v>
      </c>
      <c r="L906" s="4">
        <f>1/JPY!B906</f>
        <v>1.0822218013581884E-2</v>
      </c>
      <c r="M906" s="4">
        <f>1/JPY!C906</f>
        <v>1.0823869663291063E-2</v>
      </c>
      <c r="N906" s="5">
        <f>1/KRW!B906</f>
        <v>9.2781592132120988E-4</v>
      </c>
      <c r="O906" s="5">
        <f>1/KRW!C906</f>
        <v>9.2778923597484214E-4</v>
      </c>
      <c r="P906" s="3">
        <f>1/NOK!B906</f>
        <v>0.18032964258664841</v>
      </c>
      <c r="Q906" s="3">
        <f>1/NOK!C906</f>
        <v>0.18012825131493623</v>
      </c>
      <c r="R906" s="3">
        <f>NZD!B906/1</f>
        <v>0.85099999999999998</v>
      </c>
      <c r="S906" s="3">
        <f>NZD!C906/1</f>
        <v>0.84940000000000004</v>
      </c>
      <c r="T906" s="4">
        <f>1/PHP!B906</f>
        <v>2.4623264059883777E-2</v>
      </c>
      <c r="U906" s="4">
        <f>1/PHP!C906</f>
        <v>2.4617263101922856E-2</v>
      </c>
      <c r="V906" s="4">
        <f>1/TWD!B906</f>
        <v>3.3835222466587718E-2</v>
      </c>
      <c r="W906" s="4">
        <f>1/TWD!C906</f>
        <v>3.3835222466587718E-2</v>
      </c>
      <c r="X906" s="4">
        <f>1/TWD!B906</f>
        <v>3.3835222466587718E-2</v>
      </c>
      <c r="Y906" s="4">
        <f>1/TWD!C906</f>
        <v>3.3835222466587718E-2</v>
      </c>
      <c r="Z906" s="4">
        <f>1/ZAR!B906</f>
        <v>0.11356925453141327</v>
      </c>
      <c r="AA906" s="4">
        <f>1/ZAR!C906</f>
        <v>0.11313241017286632</v>
      </c>
    </row>
    <row r="907" spans="1:27" x14ac:dyDescent="0.25">
      <c r="A907" t="str">
        <f>"18/02/2013"</f>
        <v>18/02/2013</v>
      </c>
      <c r="B907" s="3">
        <f>AUD!B907</f>
        <v>1.0282</v>
      </c>
      <c r="C907" s="3">
        <f>AUD!C907</f>
        <v>1.0259</v>
      </c>
      <c r="D907" s="3">
        <f>1/CAD!B907</f>
        <v>0.99206349206349209</v>
      </c>
      <c r="E907" s="3">
        <f>1/CAD!C907</f>
        <v>0.99147332936744004</v>
      </c>
      <c r="F907" s="3">
        <f>EUR!B907/1</f>
        <v>1.3334999999999999</v>
      </c>
      <c r="G907" s="3">
        <f>EUR!C907/1</f>
        <v>1.3337000000000001</v>
      </c>
      <c r="H907" s="3">
        <f>GBP!B907/1</f>
        <v>1.5479000000000001</v>
      </c>
      <c r="I907" s="3">
        <f>GBP!C907/1</f>
        <v>1.5476000000000001</v>
      </c>
      <c r="J907" s="4">
        <f>1/INR!B907</f>
        <v>1.8388268284834277E-2</v>
      </c>
      <c r="K907" s="4">
        <f>1/INR!C907</f>
        <v>1.8279029383539733E-2</v>
      </c>
      <c r="L907" s="4">
        <f>1/JPY!B907</f>
        <v>1.0622815683525076E-2</v>
      </c>
      <c r="M907" s="4">
        <f>1/JPY!C907</f>
        <v>1.0624542480639427E-2</v>
      </c>
      <c r="N907" s="5">
        <f>1/KRW!B907</f>
        <v>9.2225398874850142E-4</v>
      </c>
      <c r="O907" s="5">
        <f>1/KRW!C907</f>
        <v>9.2222762237730005E-4</v>
      </c>
      <c r="P907" s="3">
        <f>1/NOK!B907</f>
        <v>0.17999532012167685</v>
      </c>
      <c r="Q907" s="3">
        <f>1/NOK!C907</f>
        <v>0.17979467448174186</v>
      </c>
      <c r="R907" s="3">
        <f>NZD!B907/1</f>
        <v>0.84260000000000002</v>
      </c>
      <c r="S907" s="3">
        <f>NZD!C907/1</f>
        <v>0.84099999999999997</v>
      </c>
      <c r="T907" s="4">
        <f>1/PHP!B907</f>
        <v>2.4600246002460024E-2</v>
      </c>
      <c r="U907" s="4">
        <f>1/PHP!C907</f>
        <v>2.4595526565628242E-2</v>
      </c>
      <c r="V907" s="4">
        <f>1/TWD!B907</f>
        <v>3.3697831544540112E-2</v>
      </c>
      <c r="W907" s="4">
        <f>1/TWD!C907</f>
        <v>3.3697831544540112E-2</v>
      </c>
      <c r="X907" s="4">
        <f>1/TWD!B907</f>
        <v>3.3697831544540112E-2</v>
      </c>
      <c r="Y907" s="4">
        <f>1/TWD!C907</f>
        <v>3.3697831544540112E-2</v>
      </c>
      <c r="Z907" s="4">
        <f>1/ZAR!B907</f>
        <v>0.11278789109201237</v>
      </c>
      <c r="AA907" s="4">
        <f>1/ZAR!C907</f>
        <v>0.11234818950892607</v>
      </c>
    </row>
    <row r="908" spans="1:27" x14ac:dyDescent="0.25">
      <c r="A908" t="str">
        <f>"20/02/2013"</f>
        <v>20/02/2013</v>
      </c>
      <c r="B908" s="3">
        <f>AUD!B908</f>
        <v>1.0359</v>
      </c>
      <c r="C908" s="3">
        <f>AUD!C908</f>
        <v>1.0337000000000001</v>
      </c>
      <c r="D908" s="3">
        <f>1/CAD!B908</f>
        <v>0.9884353069091627</v>
      </c>
      <c r="E908" s="3">
        <f>1/CAD!C908</f>
        <v>0.98784945174355432</v>
      </c>
      <c r="F908" s="3">
        <f>EUR!B908/1</f>
        <v>1.3411</v>
      </c>
      <c r="G908" s="3">
        <f>EUR!C908/1</f>
        <v>1.3412999999999999</v>
      </c>
      <c r="H908" s="3">
        <f>GBP!B908/1</f>
        <v>1.5441</v>
      </c>
      <c r="I908" s="3">
        <f>GBP!C908/1</f>
        <v>1.5438000000000001</v>
      </c>
      <c r="J908" s="4">
        <f>1/INR!B908</f>
        <v>1.8480872297172428E-2</v>
      </c>
      <c r="K908" s="4">
        <f>1/INR!C908</f>
        <v>1.8366316176132973E-2</v>
      </c>
      <c r="L908" s="4">
        <f>1/JPY!B908</f>
        <v>1.070342937877296E-2</v>
      </c>
      <c r="M908" s="4">
        <f>1/JPY!C908</f>
        <v>1.0704838694138137E-2</v>
      </c>
      <c r="N908" s="5">
        <f>1/KRW!B908</f>
        <v>9.2807424593967518E-4</v>
      </c>
      <c r="O908" s="5">
        <f>1/KRW!C908</f>
        <v>9.2805236888151318E-4</v>
      </c>
      <c r="P908" s="3">
        <f>1/NOK!B908</f>
        <v>0.18087434659142296</v>
      </c>
      <c r="Q908" s="3">
        <f>1/NOK!C908</f>
        <v>0.18066847335140018</v>
      </c>
      <c r="R908" s="3">
        <f>NZD!B908/1</f>
        <v>0.84150000000000003</v>
      </c>
      <c r="S908" s="3">
        <f>NZD!C908/1</f>
        <v>0.83989999999999998</v>
      </c>
      <c r="T908" s="4">
        <f>1/PHP!B908</f>
        <v>2.4606299212598423E-2</v>
      </c>
      <c r="U908" s="4">
        <f>1/PHP!C908</f>
        <v>2.4598430620126437E-2</v>
      </c>
      <c r="V908" s="4">
        <f>1/TWD!B908</f>
        <v>3.3804340477317285E-2</v>
      </c>
      <c r="W908" s="4">
        <f>1/TWD!C908</f>
        <v>3.3804340477317285E-2</v>
      </c>
      <c r="X908" s="4">
        <f>1/TWD!B908</f>
        <v>3.3804340477317285E-2</v>
      </c>
      <c r="Y908" s="4">
        <f>1/TWD!C908</f>
        <v>3.3804340477317285E-2</v>
      </c>
      <c r="Z908" s="4">
        <f>1/ZAR!B908</f>
        <v>0.11286044805597878</v>
      </c>
      <c r="AA908" s="4">
        <f>1/ZAR!C908</f>
        <v>0.11241133555907779</v>
      </c>
    </row>
    <row r="909" spans="1:27" x14ac:dyDescent="0.25">
      <c r="A909" t="str">
        <f>"21/02/2013"</f>
        <v>21/02/2013</v>
      </c>
      <c r="B909" s="3">
        <f>AUD!B909</f>
        <v>1.0236000000000001</v>
      </c>
      <c r="C909" s="3">
        <f>AUD!C909</f>
        <v>1.0214000000000001</v>
      </c>
      <c r="D909" s="3">
        <f>1/CAD!B909</f>
        <v>0.98173964264677016</v>
      </c>
      <c r="E909" s="3">
        <f>1/CAD!C909</f>
        <v>0.98116169544740961</v>
      </c>
      <c r="F909" s="3">
        <f>EUR!B909/1</f>
        <v>1.3255999999999999</v>
      </c>
      <c r="G909" s="3">
        <f>EUR!C909/1</f>
        <v>1.3258000000000001</v>
      </c>
      <c r="H909" s="3">
        <f>GBP!B909/1</f>
        <v>1.5206</v>
      </c>
      <c r="I909" s="3">
        <f>GBP!C909/1</f>
        <v>1.5204</v>
      </c>
      <c r="J909" s="4">
        <f>1/INR!B909</f>
        <v>1.8372221201543266E-2</v>
      </c>
      <c r="K909" s="4">
        <f>1/INR!C909</f>
        <v>1.8255670667701153E-2</v>
      </c>
      <c r="L909" s="4">
        <f>1/JPY!B909</f>
        <v>1.0703944938907233E-2</v>
      </c>
      <c r="M909" s="4">
        <f>1/JPY!C909</f>
        <v>1.0705595065148898E-2</v>
      </c>
      <c r="N909" s="5">
        <f>1/KRW!B909</f>
        <v>9.2161651536795544E-4</v>
      </c>
      <c r="O909" s="5">
        <f>1/KRW!C909</f>
        <v>9.2159213889278263E-4</v>
      </c>
      <c r="P909" s="3">
        <f>1/NOK!B909</f>
        <v>0.1781039058186546</v>
      </c>
      <c r="Q909" s="3">
        <f>1/NOK!C909</f>
        <v>0.17790428749332857</v>
      </c>
      <c r="R909" s="3">
        <f>NZD!B909/1</f>
        <v>0.83379999999999999</v>
      </c>
      <c r="S909" s="3">
        <f>NZD!C909/1</f>
        <v>0.83220000000000005</v>
      </c>
      <c r="T909" s="4">
        <f>1/PHP!B909</f>
        <v>2.4544394673866356E-2</v>
      </c>
      <c r="U909" s="4">
        <f>1/PHP!C909</f>
        <v>2.4536625821363549E-2</v>
      </c>
      <c r="V909" s="4">
        <f>1/TWD!B909</f>
        <v>3.3702942266859895E-2</v>
      </c>
      <c r="W909" s="4">
        <f>1/TWD!C909</f>
        <v>3.3702942266859895E-2</v>
      </c>
      <c r="X909" s="4">
        <f>1/TWD!B909</f>
        <v>3.3702942266859895E-2</v>
      </c>
      <c r="Y909" s="4">
        <f>1/TWD!C909</f>
        <v>3.3702942266859895E-2</v>
      </c>
      <c r="Z909" s="4">
        <f>1/ZAR!B909</f>
        <v>0.11215288681530663</v>
      </c>
      <c r="AA909" s="4">
        <f>1/ZAR!C909</f>
        <v>0.111724353674614</v>
      </c>
    </row>
    <row r="910" spans="1:27" x14ac:dyDescent="0.25">
      <c r="A910" t="str">
        <f>"22/02/2013"</f>
        <v>22/02/2013</v>
      </c>
      <c r="B910" s="3">
        <f>AUD!B910</f>
        <v>1.0317000000000001</v>
      </c>
      <c r="C910" s="3">
        <f>AUD!C910</f>
        <v>1.0295000000000001</v>
      </c>
      <c r="D910" s="3">
        <f>1/CAD!B910</f>
        <v>0.98415510284420826</v>
      </c>
      <c r="E910" s="3">
        <f>1/CAD!C910</f>
        <v>0.98357430903904797</v>
      </c>
      <c r="F910" s="3">
        <f>EUR!B910/1</f>
        <v>1.3214999999999999</v>
      </c>
      <c r="G910" s="3">
        <f>EUR!C910/1</f>
        <v>1.3217000000000001</v>
      </c>
      <c r="H910" s="3">
        <f>GBP!B910/1</f>
        <v>1.5303</v>
      </c>
      <c r="I910" s="3">
        <f>GBP!C910/1</f>
        <v>1.5301</v>
      </c>
      <c r="J910" s="4">
        <f>1/INR!B910</f>
        <v>1.8375597206909223E-2</v>
      </c>
      <c r="K910" s="4">
        <f>1/INR!C910</f>
        <v>1.8260671079662175E-2</v>
      </c>
      <c r="L910" s="4">
        <f>1/JPY!B910</f>
        <v>1.0722480753147048E-2</v>
      </c>
      <c r="M910" s="4">
        <f>1/JPY!C910</f>
        <v>1.0724263109071118E-2</v>
      </c>
      <c r="N910" s="5">
        <f>1/KRW!B910</f>
        <v>9.2191389324237114E-4</v>
      </c>
      <c r="O910" s="5">
        <f>1/KRW!C910</f>
        <v>9.2189417539884837E-4</v>
      </c>
      <c r="P910" s="3">
        <f>1/NOK!B910</f>
        <v>0.17644152727786011</v>
      </c>
      <c r="Q910" s="3">
        <f>1/NOK!C910</f>
        <v>0.17624250969333802</v>
      </c>
      <c r="R910" s="3">
        <f>NZD!B910/1</f>
        <v>0.83819999999999995</v>
      </c>
      <c r="S910" s="3">
        <f>NZD!C910/1</f>
        <v>0.83660000000000001</v>
      </c>
      <c r="T910" s="4">
        <f>1/PHP!B910</f>
        <v>2.4554338751657419E-2</v>
      </c>
      <c r="U910" s="4">
        <f>1/PHP!C910</f>
        <v>2.454969717948529E-2</v>
      </c>
      <c r="V910" s="4">
        <f>1/TWD!B910</f>
        <v>3.3737053405755543E-2</v>
      </c>
      <c r="W910" s="4">
        <f>1/TWD!C910</f>
        <v>3.3737053405755543E-2</v>
      </c>
      <c r="X910" s="4">
        <f>1/TWD!B910</f>
        <v>3.3737053405755543E-2</v>
      </c>
      <c r="Y910" s="4">
        <f>1/TWD!C910</f>
        <v>3.3737053405755543E-2</v>
      </c>
      <c r="Z910" s="4">
        <f>1/ZAR!B910</f>
        <v>0.11246822772566749</v>
      </c>
      <c r="AA910" s="4">
        <f>1/ZAR!C910</f>
        <v>0.11202850005041283</v>
      </c>
    </row>
    <row r="911" spans="1:27" x14ac:dyDescent="0.25">
      <c r="A911" t="str">
        <f>"25/02/2013"</f>
        <v>25/02/2013</v>
      </c>
      <c r="B911" s="3">
        <f>AUD!B911</f>
        <v>1.0279</v>
      </c>
      <c r="C911" s="3">
        <f>AUD!C911</f>
        <v>1.0257000000000001</v>
      </c>
      <c r="D911" s="3">
        <f>1/CAD!B911</f>
        <v>0.97675327212346152</v>
      </c>
      <c r="E911" s="3">
        <f>1/CAD!C911</f>
        <v>0.9760858955588092</v>
      </c>
      <c r="F911" s="3">
        <f>EUR!B911/1</f>
        <v>1.3188</v>
      </c>
      <c r="G911" s="3">
        <f>EUR!C911/1</f>
        <v>1.3190999999999999</v>
      </c>
      <c r="H911" s="3">
        <f>GBP!B911/1</f>
        <v>1.5124</v>
      </c>
      <c r="I911" s="3">
        <f>GBP!C911/1</f>
        <v>1.5121</v>
      </c>
      <c r="J911" s="4">
        <f>1/INR!B911</f>
        <v>1.8479164741753672E-2</v>
      </c>
      <c r="K911" s="4">
        <f>1/INR!C911</f>
        <v>1.8357887007205472E-2</v>
      </c>
      <c r="L911" s="4">
        <f>1/JPY!B911</f>
        <v>1.0629308191476358E-2</v>
      </c>
      <c r="M911" s="4">
        <f>1/JPY!C911</f>
        <v>1.0630924082444941E-2</v>
      </c>
      <c r="N911" s="5">
        <f>1/KRW!B911</f>
        <v>9.199208868037349E-4</v>
      </c>
      <c r="O911" s="5">
        <f>1/KRW!C911</f>
        <v>9.1989423056137E-4</v>
      </c>
      <c r="P911" s="3">
        <f>1/NOK!B911</f>
        <v>0.17629222198716593</v>
      </c>
      <c r="Q911" s="3">
        <f>1/NOK!C911</f>
        <v>0.17609974289437536</v>
      </c>
      <c r="R911" s="3">
        <f>NZD!B911/1</f>
        <v>0.83679999999999999</v>
      </c>
      <c r="S911" s="3">
        <f>NZD!C911/1</f>
        <v>0.83520000000000005</v>
      </c>
      <c r="T911" s="4">
        <f>1/PHP!B911</f>
        <v>2.4557956777996073E-2</v>
      </c>
      <c r="U911" s="4">
        <f>1/PHP!C911</f>
        <v>2.4546202088881797E-2</v>
      </c>
      <c r="V911" s="4">
        <f>1/TWD!B911</f>
        <v>3.3671734262673197E-2</v>
      </c>
      <c r="W911" s="4">
        <f>1/TWD!C911</f>
        <v>3.3671847641623794E-2</v>
      </c>
      <c r="X911" s="4">
        <f>1/TWD!B911</f>
        <v>3.3671734262673197E-2</v>
      </c>
      <c r="Y911" s="4">
        <f>1/TWD!C911</f>
        <v>3.3671847641623794E-2</v>
      </c>
      <c r="Z911" s="4">
        <f>1/ZAR!B911</f>
        <v>0.11232799775344005</v>
      </c>
      <c r="AA911" s="4">
        <f>1/ZAR!C911</f>
        <v>0.11189562376215467</v>
      </c>
    </row>
    <row r="912" spans="1:27" x14ac:dyDescent="0.25">
      <c r="A912" t="str">
        <f>"26/02/2013"</f>
        <v>26/02/2013</v>
      </c>
      <c r="B912" s="3">
        <f>AUD!B912</f>
        <v>1.0269999999999999</v>
      </c>
      <c r="C912" s="3">
        <f>AUD!C912</f>
        <v>1.0247999999999999</v>
      </c>
      <c r="D912" s="3">
        <f>1/CAD!B912</f>
        <v>0.97541943035505274</v>
      </c>
      <c r="E912" s="3">
        <f>1/CAD!C912</f>
        <v>0.97484889842074474</v>
      </c>
      <c r="F912" s="3">
        <f>EUR!B912/1</f>
        <v>1.3051999999999999</v>
      </c>
      <c r="G912" s="3">
        <f>EUR!C912/1</f>
        <v>1.3055000000000001</v>
      </c>
      <c r="H912" s="3">
        <f>GBP!B912/1</f>
        <v>1.5207999999999999</v>
      </c>
      <c r="I912" s="3">
        <f>GBP!C912/1</f>
        <v>1.5205</v>
      </c>
      <c r="J912" s="4">
        <f>1/INR!B912</f>
        <v>1.849539926943173E-2</v>
      </c>
      <c r="K912" s="4">
        <f>1/INR!C912</f>
        <v>1.8377285674905815E-2</v>
      </c>
      <c r="L912" s="4">
        <f>1/JPY!B912</f>
        <v>1.0866317133465539E-2</v>
      </c>
      <c r="M912" s="4">
        <f>1/JPY!C912</f>
        <v>1.0868289374725575E-2</v>
      </c>
      <c r="N912" s="5">
        <f>1/KRW!B912</f>
        <v>9.1886428374529086E-4</v>
      </c>
      <c r="O912" s="5">
        <f>1/KRW!C912</f>
        <v>9.1884410514186075E-4</v>
      </c>
      <c r="P912" s="3">
        <f>1/NOK!B912</f>
        <v>0.17530020159523182</v>
      </c>
      <c r="Q912" s="3">
        <f>1/NOK!C912</f>
        <v>0.17511908097506304</v>
      </c>
      <c r="R912" s="3">
        <f>NZD!B912/1</f>
        <v>0.83399999999999996</v>
      </c>
      <c r="S912" s="3">
        <f>NZD!C912/1</f>
        <v>0.83240000000000003</v>
      </c>
      <c r="T912" s="4">
        <f>1/PHP!B912</f>
        <v>2.4545900834560628E-2</v>
      </c>
      <c r="U912" s="4">
        <f>1/PHP!C912</f>
        <v>2.453831166600413E-2</v>
      </c>
      <c r="V912" s="4">
        <f>1/TWD!B912</f>
        <v>3.3657567904143246E-2</v>
      </c>
      <c r="W912" s="4">
        <f>1/TWD!C912</f>
        <v>3.3657567904143246E-2</v>
      </c>
      <c r="X912" s="4">
        <f>1/TWD!B912</f>
        <v>3.3657567904143246E-2</v>
      </c>
      <c r="Y912" s="4">
        <f>1/TWD!C912</f>
        <v>3.3657567904143246E-2</v>
      </c>
      <c r="Z912" s="4">
        <f>1/ZAR!B912</f>
        <v>0.11319259720414285</v>
      </c>
      <c r="AA912" s="4">
        <f>1/ZAR!C912</f>
        <v>0.11275864013080003</v>
      </c>
    </row>
    <row r="913" spans="1:27" x14ac:dyDescent="0.25">
      <c r="A913" t="str">
        <f>"27/02/2013"</f>
        <v>27/02/2013</v>
      </c>
      <c r="B913" s="3">
        <f>AUD!B913</f>
        <v>1.0225</v>
      </c>
      <c r="C913" s="3">
        <f>AUD!C913</f>
        <v>1.02</v>
      </c>
      <c r="D913" s="3">
        <f>1/CAD!B913</f>
        <v>0.97503900156006229</v>
      </c>
      <c r="E913" s="3">
        <f>1/CAD!C913</f>
        <v>0.97437396472766247</v>
      </c>
      <c r="F913" s="3">
        <f>EUR!B913/1</f>
        <v>1.3071999999999999</v>
      </c>
      <c r="G913" s="3">
        <f>EUR!C913/1</f>
        <v>1.3075000000000001</v>
      </c>
      <c r="H913" s="3">
        <f>GBP!B913/1</f>
        <v>1.5115000000000001</v>
      </c>
      <c r="I913" s="3">
        <f>GBP!C913/1</f>
        <v>1.5112000000000001</v>
      </c>
      <c r="J913" s="4">
        <f>1/INR!B913</f>
        <v>1.8545134220408922E-2</v>
      </c>
      <c r="K913" s="4">
        <f>1/INR!C913</f>
        <v>1.8411120316671269E-2</v>
      </c>
      <c r="L913" s="4">
        <f>1/JPY!B913</f>
        <v>1.0874884454352673E-2</v>
      </c>
      <c r="M913" s="4">
        <f>1/JPY!C913</f>
        <v>1.0876930791177068E-2</v>
      </c>
      <c r="N913" s="5">
        <f>1/KRW!B913</f>
        <v>9.2174393953359745E-4</v>
      </c>
      <c r="O913" s="5">
        <f>1/KRW!C913</f>
        <v>9.2172269972578755E-4</v>
      </c>
      <c r="P913" s="3">
        <f>1/NOK!B913</f>
        <v>0.1754693805930865</v>
      </c>
      <c r="Q913" s="3">
        <f>1/NOK!C913</f>
        <v>0.17525104712500655</v>
      </c>
      <c r="R913" s="3">
        <f>NZD!B913/1</f>
        <v>0.82499999999999996</v>
      </c>
      <c r="S913" s="3">
        <f>NZD!C913/1</f>
        <v>0.82320000000000004</v>
      </c>
      <c r="T913" s="4">
        <f>1/PHP!B913</f>
        <v>2.4533856722276742E-2</v>
      </c>
      <c r="U913" s="4">
        <f>1/PHP!C913</f>
        <v>2.452807974569287E-2</v>
      </c>
      <c r="V913" s="4">
        <f>1/TWD!B913</f>
        <v>3.3664366268305004E-2</v>
      </c>
      <c r="W913" s="4">
        <f>1/TWD!C913</f>
        <v>3.3664479597642141E-2</v>
      </c>
      <c r="X913" s="4">
        <f>1/TWD!B913</f>
        <v>3.3664366268305004E-2</v>
      </c>
      <c r="Y913" s="4">
        <f>1/TWD!C913</f>
        <v>3.3664479597642141E-2</v>
      </c>
      <c r="Z913" s="4">
        <f>1/ZAR!B913</f>
        <v>0.11313241017286632</v>
      </c>
      <c r="AA913" s="4">
        <f>1/ZAR!C913</f>
        <v>0.11270272402483969</v>
      </c>
    </row>
    <row r="914" spans="1:27" x14ac:dyDescent="0.25">
      <c r="A914" t="str">
        <f>"28/02/2013"</f>
        <v>28/02/2013</v>
      </c>
      <c r="B914" s="3">
        <f>AUD!B914</f>
        <v>1.0277000000000001</v>
      </c>
      <c r="C914" s="3">
        <f>AUD!C914</f>
        <v>1.0251999999999999</v>
      </c>
      <c r="D914" s="3">
        <f>1/CAD!B914</f>
        <v>0.97732603596559797</v>
      </c>
      <c r="E914" s="3">
        <f>1/CAD!C914</f>
        <v>0.97665787674577598</v>
      </c>
      <c r="F914" s="3">
        <f>EUR!B914/1</f>
        <v>1.3143</v>
      </c>
      <c r="G914" s="3">
        <f>EUR!C914/1</f>
        <v>1.3146</v>
      </c>
      <c r="H914" s="3">
        <f>GBP!B914/1</f>
        <v>1.5166999999999999</v>
      </c>
      <c r="I914" s="3">
        <f>GBP!C914/1</f>
        <v>1.5164</v>
      </c>
      <c r="J914" s="4">
        <f>1/INR!B914</f>
        <v>1.8622840914381489E-2</v>
      </c>
      <c r="K914" s="4">
        <f>1/INR!C914</f>
        <v>1.8491979104063611E-2</v>
      </c>
      <c r="L914" s="4">
        <f>1/JPY!B914</f>
        <v>1.0837758751490192E-2</v>
      </c>
      <c r="M914" s="4">
        <f>1/JPY!C914</f>
        <v>1.0839391649983036E-2</v>
      </c>
      <c r="N914" s="5" t="e">
        <f>1/KRW!B914</f>
        <v>#DIV/0!</v>
      </c>
      <c r="O914" s="5" t="e">
        <f>1/KRW!C914</f>
        <v>#DIV/0!</v>
      </c>
      <c r="P914" s="3">
        <f>1/NOK!B914</f>
        <v>0.17561729479119104</v>
      </c>
      <c r="Q914" s="3">
        <f>1/NOK!C914</f>
        <v>0.175404746452439</v>
      </c>
      <c r="R914" s="3">
        <f>NZD!B914/1</f>
        <v>0.83160000000000001</v>
      </c>
      <c r="S914" s="3">
        <f>NZD!C914/1</f>
        <v>0.82989999999999997</v>
      </c>
      <c r="T914" s="4">
        <f>1/PHP!B914</f>
        <v>2.459117176933481E-2</v>
      </c>
      <c r="U914" s="4">
        <f>1/PHP!C914</f>
        <v>2.4583433715687674E-2</v>
      </c>
      <c r="V914" s="4">
        <f>1/TWD!B914</f>
        <v>3.3679105482958376E-2</v>
      </c>
      <c r="W914" s="4">
        <f>1/TWD!C914</f>
        <v>3.3679105482958376E-2</v>
      </c>
      <c r="X914" s="4">
        <f>1/TWD!B914</f>
        <v>3.3679105482958376E-2</v>
      </c>
      <c r="Y914" s="4">
        <f>1/TWD!C914</f>
        <v>3.3679105482958376E-2</v>
      </c>
      <c r="Z914" s="4">
        <f>1/ZAR!B914</f>
        <v>0.11303905499350024</v>
      </c>
      <c r="AA914" s="4">
        <f>1/ZAR!C914</f>
        <v>0.11254924029262803</v>
      </c>
    </row>
    <row r="915" spans="1:27" x14ac:dyDescent="0.25">
      <c r="A915" t="str">
        <f>"01/03/2013"</f>
        <v>01/03/2013</v>
      </c>
      <c r="B915" s="3">
        <f>AUD!B915</f>
        <v>1.0228999999999999</v>
      </c>
      <c r="C915" s="3">
        <f>AUD!C915</f>
        <v>1.0205</v>
      </c>
      <c r="D915" s="3">
        <f>1/CAD!B915</f>
        <v>0.97115664756725251</v>
      </c>
      <c r="E915" s="3">
        <f>1/CAD!C915</f>
        <v>0.97049689440993792</v>
      </c>
      <c r="F915" s="3">
        <f>EUR!B915/1</f>
        <v>1.3076000000000001</v>
      </c>
      <c r="G915" s="3">
        <f>EUR!C915/1</f>
        <v>1.3079000000000001</v>
      </c>
      <c r="H915" s="3">
        <f>GBP!B915/1</f>
        <v>1.5172000000000001</v>
      </c>
      <c r="I915" s="3">
        <f>GBP!C915/1</f>
        <v>1.5169999999999999</v>
      </c>
      <c r="J915" s="4">
        <f>1/INR!B915</f>
        <v>1.8303285439736434E-2</v>
      </c>
      <c r="K915" s="4">
        <f>1/INR!C915</f>
        <v>1.817520901490367E-2</v>
      </c>
      <c r="L915" s="4">
        <f>1/JPY!B915</f>
        <v>1.0790804076765781E-2</v>
      </c>
      <c r="M915" s="4">
        <f>1/JPY!C915</f>
        <v>1.0792422855761426E-2</v>
      </c>
      <c r="N915" s="5">
        <f>1/KRW!B915</f>
        <v>9.2073824792718794E-4</v>
      </c>
      <c r="O915" s="5">
        <f>1/KRW!C915</f>
        <v>9.2071790216267436E-4</v>
      </c>
      <c r="P915" s="3">
        <f>1/NOK!B915</f>
        <v>0.17460844057201724</v>
      </c>
      <c r="Q915" s="3">
        <f>1/NOK!C915</f>
        <v>0.17440136730671968</v>
      </c>
      <c r="R915" s="3">
        <f>NZD!B915/1</f>
        <v>0.82669999999999999</v>
      </c>
      <c r="S915" s="3">
        <f>NZD!C915/1</f>
        <v>0.82499999999999996</v>
      </c>
      <c r="T915" s="4">
        <f>1/PHP!B915</f>
        <v>2.4539877300613498E-2</v>
      </c>
      <c r="U915" s="4">
        <f>1/PHP!C915</f>
        <v>2.4532833517738467E-2</v>
      </c>
      <c r="V915" s="4">
        <f>1/TWD!B915</f>
        <v>3.3691587210673495E-2</v>
      </c>
      <c r="W915" s="4">
        <f>1/TWD!C915</f>
        <v>3.3691587210673495E-2</v>
      </c>
      <c r="X915" s="4">
        <f>1/TWD!B915</f>
        <v>3.3691587210673495E-2</v>
      </c>
      <c r="Y915" s="4">
        <f>1/TWD!C915</f>
        <v>3.3691587210673495E-2</v>
      </c>
      <c r="Z915" s="4">
        <f>1/ZAR!B915</f>
        <v>0.11078613843835858</v>
      </c>
      <c r="AA915" s="4">
        <f>1/ZAR!C915</f>
        <v>0.11032169807157673</v>
      </c>
    </row>
    <row r="916" spans="1:27" x14ac:dyDescent="0.25">
      <c r="A916" t="str">
        <f>"04/03/2013"</f>
        <v>04/03/2013</v>
      </c>
      <c r="B916" s="3">
        <f>AUD!B916</f>
        <v>1.0122</v>
      </c>
      <c r="C916" s="3">
        <f>AUD!C916</f>
        <v>1.0097</v>
      </c>
      <c r="D916" s="3">
        <f>1/CAD!B916</f>
        <v>0.97021441738624237</v>
      </c>
      <c r="E916" s="3">
        <f>1/CAD!C916</f>
        <v>0.96955594337793283</v>
      </c>
      <c r="F916" s="3">
        <f>EUR!B916/1</f>
        <v>1.3016000000000001</v>
      </c>
      <c r="G916" s="3">
        <f>EUR!C916/1</f>
        <v>1.3019000000000001</v>
      </c>
      <c r="H916" s="3">
        <f>GBP!B916/1</f>
        <v>1.5029999999999999</v>
      </c>
      <c r="I916" s="3">
        <f>GBP!C916/1</f>
        <v>1.5026999999999999</v>
      </c>
      <c r="J916" s="4">
        <f>1/INR!B916</f>
        <v>1.817520901490367E-2</v>
      </c>
      <c r="K916" s="4">
        <f>1/INR!C916</f>
        <v>1.8040772145047807E-2</v>
      </c>
      <c r="L916" s="4">
        <f>1/JPY!B916</f>
        <v>1.0707750162490108E-2</v>
      </c>
      <c r="M916" s="4">
        <f>1/JPY!C916</f>
        <v>1.0709894657476149E-2</v>
      </c>
      <c r="N916" s="5">
        <f>1/KRW!B916</f>
        <v>9.158347834050737E-4</v>
      </c>
      <c r="O916" s="5">
        <f>1/KRW!C916</f>
        <v>9.1580668602987258E-4</v>
      </c>
      <c r="P916" s="3">
        <f>1/NOK!B916</f>
        <v>0.17391909283801177</v>
      </c>
      <c r="Q916" s="3">
        <f>1/NOK!C916</f>
        <v>0.17369856351287974</v>
      </c>
      <c r="R916" s="3">
        <f>NZD!B916/1</f>
        <v>0.82030000000000003</v>
      </c>
      <c r="S916" s="3">
        <f>NZD!C916/1</f>
        <v>0.81850000000000001</v>
      </c>
      <c r="T916" s="4">
        <f>1/PHP!B916</f>
        <v>2.4521824423737126E-2</v>
      </c>
      <c r="U916" s="4">
        <f>1/PHP!C916</f>
        <v>2.4514490515343618E-2</v>
      </c>
      <c r="V916" s="4">
        <f>1/TWD!B916</f>
        <v>3.3658700774150119E-2</v>
      </c>
      <c r="W916" s="4">
        <f>1/TWD!C916</f>
        <v>3.3658814065345218E-2</v>
      </c>
      <c r="X916" s="4">
        <f>1/TWD!B916</f>
        <v>3.3658700774150119E-2</v>
      </c>
      <c r="Y916" s="4">
        <f>1/TWD!C916</f>
        <v>3.3658814065345218E-2</v>
      </c>
      <c r="Z916" s="4">
        <f>1/ZAR!B916</f>
        <v>0.10993239157917879</v>
      </c>
      <c r="AA916" s="4">
        <f>1/ZAR!C916</f>
        <v>0.10947027334727255</v>
      </c>
    </row>
    <row r="917" spans="1:27" x14ac:dyDescent="0.25">
      <c r="A917" t="str">
        <f>"05/03/2013"</f>
        <v>05/03/2013</v>
      </c>
      <c r="B917" s="3">
        <f>AUD!B917</f>
        <v>1.0235000000000001</v>
      </c>
      <c r="C917" s="3">
        <f>AUD!C917</f>
        <v>1.0209999999999999</v>
      </c>
      <c r="D917" s="3">
        <f>1/CAD!B917</f>
        <v>0.97465886939571145</v>
      </c>
      <c r="E917" s="3">
        <f>1/CAD!C917</f>
        <v>0.9739943508327652</v>
      </c>
      <c r="F917" s="3">
        <f>EUR!B917/1</f>
        <v>1.3030999999999999</v>
      </c>
      <c r="G917" s="3">
        <f>EUR!C917/1</f>
        <v>1.3033999999999999</v>
      </c>
      <c r="H917" s="3">
        <f>GBP!B917/1</f>
        <v>1.5125999999999999</v>
      </c>
      <c r="I917" s="3">
        <f>GBP!C917/1</f>
        <v>1.5123</v>
      </c>
      <c r="J917" s="4">
        <f>1/INR!B917</f>
        <v>1.8269845619804513E-2</v>
      </c>
      <c r="K917" s="4">
        <f>1/INR!C917</f>
        <v>1.8138121797487871E-2</v>
      </c>
      <c r="L917" s="4">
        <f>1/JPY!B917</f>
        <v>1.0727656972440649E-2</v>
      </c>
      <c r="M917" s="4">
        <f>1/JPY!C917</f>
        <v>1.0729475586151251E-2</v>
      </c>
      <c r="N917" s="5">
        <f>1/KRW!B917</f>
        <v>9.2047128129602344E-4</v>
      </c>
      <c r="O917" s="5">
        <f>1/KRW!C917</f>
        <v>9.204501000989484E-4</v>
      </c>
      <c r="P917" s="3">
        <f>1/NOK!B917</f>
        <v>0.17490467695106168</v>
      </c>
      <c r="Q917" s="3">
        <f>1/NOK!C917</f>
        <v>0.17469079728879883</v>
      </c>
      <c r="R917" s="3">
        <f>NZD!B917/1</f>
        <v>0.82930000000000004</v>
      </c>
      <c r="S917" s="3">
        <f>NZD!C917/1</f>
        <v>0.82750000000000001</v>
      </c>
      <c r="T917" s="4">
        <f>1/PHP!B917</f>
        <v>2.4551927326295117E-2</v>
      </c>
      <c r="U917" s="4">
        <f>1/PHP!C917</f>
        <v>2.4546563603828283E-2</v>
      </c>
      <c r="V917" s="4">
        <f>1/TWD!B917</f>
        <v>3.3636623555727475E-2</v>
      </c>
      <c r="W917" s="4">
        <f>1/TWD!C917</f>
        <v>3.3636736698352473E-2</v>
      </c>
      <c r="X917" s="4">
        <f>1/TWD!B917</f>
        <v>3.3636623555727475E-2</v>
      </c>
      <c r="Y917" s="4">
        <f>1/TWD!C917</f>
        <v>3.3636736698352473E-2</v>
      </c>
      <c r="Z917" s="4">
        <f>1/ZAR!B917</f>
        <v>0.11024629021233434</v>
      </c>
      <c r="AA917" s="4">
        <f>1/ZAR!C917</f>
        <v>0.1097502085253962</v>
      </c>
    </row>
    <row r="918" spans="1:27" x14ac:dyDescent="0.25">
      <c r="A918" t="str">
        <f>"06/03/2013"</f>
        <v>06/03/2013</v>
      </c>
      <c r="B918" s="3">
        <f>AUD!B918</f>
        <v>1.0283</v>
      </c>
      <c r="C918" s="3">
        <f>AUD!C918</f>
        <v>1.0259</v>
      </c>
      <c r="D918" s="3">
        <f>1/CAD!B918</f>
        <v>0.97456388266250848</v>
      </c>
      <c r="E918" s="3">
        <f>1/CAD!C918</f>
        <v>0.97380465478625</v>
      </c>
      <c r="F918" s="3">
        <f>EUR!B918/1</f>
        <v>1.3064</v>
      </c>
      <c r="G918" s="3">
        <f>EUR!C918/1</f>
        <v>1.3066</v>
      </c>
      <c r="H918" s="3">
        <f>GBP!B918/1</f>
        <v>1.5139</v>
      </c>
      <c r="I918" s="3">
        <f>GBP!C918/1</f>
        <v>1.5136000000000001</v>
      </c>
      <c r="J918" s="4">
        <f>1/INR!B918</f>
        <v>1.827485380116959E-2</v>
      </c>
      <c r="K918" s="4">
        <f>1/INR!C918</f>
        <v>1.8146350315292836E-2</v>
      </c>
      <c r="L918" s="4">
        <f>1/JPY!B918</f>
        <v>1.0727311735679038E-2</v>
      </c>
      <c r="M918" s="4">
        <f>1/JPY!C918</f>
        <v>1.0728934541697467E-2</v>
      </c>
      <c r="N918" s="5">
        <f>1/KRW!B918</f>
        <v>9.2310532631773295E-4</v>
      </c>
      <c r="O918" s="5">
        <f>1/KRW!C918</f>
        <v>9.2307967811473173E-4</v>
      </c>
      <c r="P918" s="3">
        <f>1/NOK!B918</f>
        <v>0.1755402250425685</v>
      </c>
      <c r="Q918" s="3">
        <f>1/NOK!C918</f>
        <v>0.17532171534766294</v>
      </c>
      <c r="R918" s="3">
        <f>NZD!B918/1</f>
        <v>0.83299999999999996</v>
      </c>
      <c r="S918" s="3">
        <f>NZD!C918/1</f>
        <v>0.83130000000000004</v>
      </c>
      <c r="T918" s="4">
        <f>1/PHP!B918</f>
        <v>2.4570024570024569E-2</v>
      </c>
      <c r="U918" s="4">
        <f>1/PHP!C918</f>
        <v>2.4562360148061908E-2</v>
      </c>
      <c r="V918" s="4">
        <f>1/TWD!B918</f>
        <v>3.3740468317700251E-2</v>
      </c>
      <c r="W918" s="4">
        <f>1/TWD!C918</f>
        <v>3.3740582160004591E-2</v>
      </c>
      <c r="X918" s="4">
        <f>1/TWD!B918</f>
        <v>3.3740468317700251E-2</v>
      </c>
      <c r="Y918" s="4">
        <f>1/TWD!C918</f>
        <v>3.3740582160004591E-2</v>
      </c>
      <c r="Z918" s="4">
        <f>1/ZAR!B918</f>
        <v>0.11055587493919428</v>
      </c>
      <c r="AA918" s="4">
        <f>1/ZAR!C918</f>
        <v>0.11007518134886128</v>
      </c>
    </row>
    <row r="919" spans="1:27" x14ac:dyDescent="0.25">
      <c r="A919" t="str">
        <f>"07/03/2013"</f>
        <v>07/03/2013</v>
      </c>
      <c r="B919" s="3">
        <f>AUD!B919</f>
        <v>1.0246999999999999</v>
      </c>
      <c r="C919" s="3">
        <f>AUD!C919</f>
        <v>1.0222</v>
      </c>
      <c r="D919" s="3">
        <f>1/CAD!B919</f>
        <v>0.96918007365768555</v>
      </c>
      <c r="E919" s="3">
        <f>1/CAD!C919</f>
        <v>0.96852300242130751</v>
      </c>
      <c r="F919" s="3">
        <f>EUR!B919/1</f>
        <v>1.2987</v>
      </c>
      <c r="G919" s="3">
        <f>EUR!C919/1</f>
        <v>1.2989999999999999</v>
      </c>
      <c r="H919" s="3">
        <f>GBP!B919/1</f>
        <v>1.4998</v>
      </c>
      <c r="I919" s="3">
        <f>GBP!C919/1</f>
        <v>1.4995000000000001</v>
      </c>
      <c r="J919" s="4">
        <f>1/INR!B919</f>
        <v>1.8260671079662175E-2</v>
      </c>
      <c r="K919" s="4">
        <f>1/INR!C919</f>
        <v>1.8125793003443899E-2</v>
      </c>
      <c r="L919" s="4">
        <f>1/JPY!B919</f>
        <v>1.0651839306352225E-2</v>
      </c>
      <c r="M919" s="4">
        <f>1/JPY!C919</f>
        <v>1.0653462055564196E-2</v>
      </c>
      <c r="N919" s="5">
        <f>1/KRW!B919</f>
        <v>9.2125991505983586E-4</v>
      </c>
      <c r="O919" s="5">
        <f>1/KRW!C919</f>
        <v>9.2123258709194702E-4</v>
      </c>
      <c r="P919" s="3">
        <f>1/NOK!B919</f>
        <v>0.17488632388947184</v>
      </c>
      <c r="Q919" s="3">
        <f>1/NOK!C919</f>
        <v>0.17467554018410802</v>
      </c>
      <c r="R919" s="3">
        <f>NZD!B919/1</f>
        <v>0.82730000000000004</v>
      </c>
      <c r="S919" s="3">
        <f>NZD!C919/1</f>
        <v>0.82550000000000001</v>
      </c>
      <c r="T919" s="4">
        <f>1/PHP!B919</f>
        <v>2.452783909737552E-2</v>
      </c>
      <c r="U919" s="4">
        <f>1/PHP!C919</f>
        <v>2.4521042732821168E-2</v>
      </c>
      <c r="V919" s="4">
        <f>1/TWD!B919</f>
        <v>3.3670600515160187E-2</v>
      </c>
      <c r="W919" s="4">
        <f>1/TWD!C919</f>
        <v>3.3670713886475821E-2</v>
      </c>
      <c r="X919" s="4">
        <f>1/TWD!B919</f>
        <v>3.3670600515160187E-2</v>
      </c>
      <c r="Y919" s="4">
        <f>1/TWD!C919</f>
        <v>3.3670713886475821E-2</v>
      </c>
      <c r="Z919" s="4">
        <f>1/ZAR!B919</f>
        <v>0.10954222304987457</v>
      </c>
      <c r="AA919" s="4">
        <f>1/ZAR!C919</f>
        <v>0.10908575230989082</v>
      </c>
    </row>
    <row r="920" spans="1:27" x14ac:dyDescent="0.25">
      <c r="A920" t="str">
        <f>"08/03/2013"</f>
        <v>08/03/2013</v>
      </c>
      <c r="B920" s="3">
        <f>AUD!B920</f>
        <v>1.0246</v>
      </c>
      <c r="C920" s="3">
        <f>AUD!C920</f>
        <v>1.0222</v>
      </c>
      <c r="D920" s="3">
        <f>1/CAD!B920</f>
        <v>0.96993210475266745</v>
      </c>
      <c r="E920" s="3">
        <f>1/CAD!C920</f>
        <v>0.96918007365768555</v>
      </c>
      <c r="F920" s="3">
        <f>EUR!B920/1</f>
        <v>1.3097000000000001</v>
      </c>
      <c r="G920" s="3">
        <f>EUR!C920/1</f>
        <v>1.3099000000000001</v>
      </c>
      <c r="H920" s="3">
        <f>GBP!B920/1</f>
        <v>1.5007999999999999</v>
      </c>
      <c r="I920" s="3">
        <f>GBP!C920/1</f>
        <v>1.5004999999999999</v>
      </c>
      <c r="J920" s="4">
        <f>1/INR!B920</f>
        <v>1.8355359765051395E-2</v>
      </c>
      <c r="K920" s="4">
        <f>1/INR!C920</f>
        <v>1.8222404446266684E-2</v>
      </c>
      <c r="L920" s="4">
        <f>1/JPY!B920</f>
        <v>1.0489327109665915E-2</v>
      </c>
      <c r="M920" s="4">
        <f>1/JPY!C920</f>
        <v>1.0490955747050468E-2</v>
      </c>
      <c r="N920" s="5">
        <f>1/KRW!B920</f>
        <v>9.1654827918060593E-4</v>
      </c>
      <c r="O920" s="5">
        <f>1/KRW!C920</f>
        <v>9.1652366606166929E-4</v>
      </c>
      <c r="P920" s="3">
        <f>1/NOK!B920</f>
        <v>0.17612145335423307</v>
      </c>
      <c r="Q920" s="3">
        <f>1/NOK!C920</f>
        <v>0.17590768364762172</v>
      </c>
      <c r="R920" s="3">
        <f>NZD!B920/1</f>
        <v>0.82609999999999995</v>
      </c>
      <c r="S920" s="3">
        <f>NZD!C920/1</f>
        <v>0.82430000000000003</v>
      </c>
      <c r="T920" s="4">
        <f>1/PHP!B920</f>
        <v>2.4554941682013505E-2</v>
      </c>
      <c r="U920" s="4">
        <f>1/PHP!C920</f>
        <v>2.4545840584583742E-2</v>
      </c>
      <c r="V920" s="4">
        <f>1/TWD!B920</f>
        <v>3.3693289981300223E-2</v>
      </c>
      <c r="W920" s="4">
        <f>1/TWD!C920</f>
        <v>3.3693289981300223E-2</v>
      </c>
      <c r="X920" s="4">
        <f>1/TWD!B920</f>
        <v>3.3693289981300223E-2</v>
      </c>
      <c r="Y920" s="4">
        <f>1/TWD!C920</f>
        <v>3.3693289981300223E-2</v>
      </c>
      <c r="Z920" s="4">
        <f>1/ZAR!B920</f>
        <v>0.10909527290182516</v>
      </c>
      <c r="AA920" s="4">
        <f>1/ZAR!C920</f>
        <v>0.10864133150815897</v>
      </c>
    </row>
    <row r="921" spans="1:27" x14ac:dyDescent="0.25">
      <c r="A921" t="str">
        <f>"11/03/2013"</f>
        <v>11/03/2013</v>
      </c>
      <c r="B921" s="3">
        <f>AUD!B921</f>
        <v>1.0224</v>
      </c>
      <c r="C921" s="3">
        <f>AUD!C921</f>
        <v>1.0198</v>
      </c>
      <c r="D921" s="3">
        <f>1/CAD!B921</f>
        <v>0.97295193617435294</v>
      </c>
      <c r="E921" s="3">
        <f>1/CAD!C921</f>
        <v>0.9722897423432183</v>
      </c>
      <c r="F921" s="3">
        <f>EUR!B921/1</f>
        <v>1.3004</v>
      </c>
      <c r="G921" s="3">
        <f>EUR!C921/1</f>
        <v>1.3007</v>
      </c>
      <c r="H921" s="3">
        <f>GBP!B921/1</f>
        <v>1.4921</v>
      </c>
      <c r="I921" s="3">
        <f>GBP!C921/1</f>
        <v>1.4917</v>
      </c>
      <c r="J921" s="4">
        <f>1/INR!B921</f>
        <v>1.8351149240721201E-2</v>
      </c>
      <c r="K921" s="4">
        <f>1/INR!C921</f>
        <v>1.820913187963764E-2</v>
      </c>
      <c r="L921" s="4">
        <f>1/JPY!B921</f>
        <v>1.0400848709254675E-2</v>
      </c>
      <c r="M921" s="4">
        <f>1/JPY!C921</f>
        <v>1.0402266029631894E-2</v>
      </c>
      <c r="N921" s="5">
        <f>1/KRW!B921</f>
        <v>9.1099571832012382E-4</v>
      </c>
      <c r="O921" s="5">
        <f>1/KRW!C921</f>
        <v>9.1097007472414233E-4</v>
      </c>
      <c r="P921" s="3">
        <f>1/NOK!B921</f>
        <v>0.17455053237912374</v>
      </c>
      <c r="Q921" s="3">
        <f>1/NOK!C921</f>
        <v>0.17432536085349698</v>
      </c>
      <c r="R921" s="3">
        <f>NZD!B921/1</f>
        <v>0.82079999999999997</v>
      </c>
      <c r="S921" s="3">
        <f>NZD!C921/1</f>
        <v>0.81889999999999996</v>
      </c>
      <c r="T921" s="4">
        <f>1/PHP!B921</f>
        <v>2.4563385817101029E-2</v>
      </c>
      <c r="U921" s="4">
        <f>1/PHP!C921</f>
        <v>2.4556027031274557E-2</v>
      </c>
      <c r="V921" s="4">
        <f>1/TWD!B921</f>
        <v>3.3647375504710635E-2</v>
      </c>
      <c r="W921" s="4">
        <f>1/TWD!C921</f>
        <v>3.3647375504710635E-2</v>
      </c>
      <c r="X921" s="4">
        <f>1/TWD!B921</f>
        <v>3.3647375504710635E-2</v>
      </c>
      <c r="Y921" s="4">
        <f>1/TWD!C921</f>
        <v>3.3647375504710635E-2</v>
      </c>
      <c r="Z921" s="4">
        <f>1/ZAR!B921</f>
        <v>0.10991789133517263</v>
      </c>
      <c r="AA921" s="4">
        <f>1/ZAR!C921</f>
        <v>0.10945230068736045</v>
      </c>
    </row>
    <row r="922" spans="1:27" x14ac:dyDescent="0.25">
      <c r="A922" t="str">
        <f>"12/03/2013"</f>
        <v>12/03/2013</v>
      </c>
      <c r="B922" s="3">
        <f>AUD!B922</f>
        <v>1.0279</v>
      </c>
      <c r="C922" s="3">
        <f>AUD!C922</f>
        <v>1.0253000000000001</v>
      </c>
      <c r="D922" s="3">
        <f>1/CAD!B922</f>
        <v>0.97408922657315411</v>
      </c>
      <c r="E922" s="3">
        <f>1/CAD!C922</f>
        <v>0.97333073778469914</v>
      </c>
      <c r="F922" s="3">
        <f>EUR!B922/1</f>
        <v>1.3024</v>
      </c>
      <c r="G922" s="3">
        <f>EUR!C922/1</f>
        <v>1.3026</v>
      </c>
      <c r="H922" s="3">
        <f>GBP!B922/1</f>
        <v>1.4886999999999999</v>
      </c>
      <c r="I922" s="3">
        <f>GBP!C922/1</f>
        <v>1.4883999999999999</v>
      </c>
      <c r="J922" s="4">
        <f>1/INR!B922</f>
        <v>1.8419598452753729E-2</v>
      </c>
      <c r="K922" s="4">
        <f>1/INR!C922</f>
        <v>1.8281535648994516E-2</v>
      </c>
      <c r="L922" s="4">
        <f>1/JPY!B922</f>
        <v>1.0358400662937643E-2</v>
      </c>
      <c r="M922" s="4">
        <f>1/JPY!C922</f>
        <v>1.0360160623930314E-2</v>
      </c>
      <c r="N922" s="5">
        <f>1/KRW!B922</f>
        <v>9.1332541784637858E-4</v>
      </c>
      <c r="O922" s="5">
        <f>1/KRW!C922</f>
        <v>9.1330406376469782E-4</v>
      </c>
      <c r="P922" s="3">
        <f>1/NOK!B922</f>
        <v>0.17447135180403378</v>
      </c>
      <c r="Q922" s="3">
        <f>1/NOK!C922</f>
        <v>0.17425245695964311</v>
      </c>
      <c r="R922" s="3">
        <f>NZD!B922/1</f>
        <v>0.82450000000000001</v>
      </c>
      <c r="S922" s="3">
        <f>NZD!C922/1</f>
        <v>0.82269999999999999</v>
      </c>
      <c r="T922" s="4">
        <f>1/PHP!B922</f>
        <v>2.4606299212598423E-2</v>
      </c>
      <c r="U922" s="4">
        <f>1/PHP!C922</f>
        <v>2.4600730149670843E-2</v>
      </c>
      <c r="V922" s="4">
        <f>1/TWD!B922</f>
        <v>3.3671167379373042E-2</v>
      </c>
      <c r="W922" s="4">
        <f>1/TWD!C922</f>
        <v>3.3671167379373042E-2</v>
      </c>
      <c r="X922" s="4">
        <f>1/TWD!B922</f>
        <v>3.3671167379373042E-2</v>
      </c>
      <c r="Y922" s="4">
        <f>1/TWD!C922</f>
        <v>3.3671167379373042E-2</v>
      </c>
      <c r="Z922" s="4">
        <f>1/ZAR!B922</f>
        <v>0.1096371011950444</v>
      </c>
      <c r="AA922" s="4">
        <f>1/ZAR!C922</f>
        <v>0.10914766587716522</v>
      </c>
    </row>
    <row r="923" spans="1:27" x14ac:dyDescent="0.25">
      <c r="A923" t="str">
        <f>"13/03/2013"</f>
        <v>13/03/2013</v>
      </c>
      <c r="B923" s="3">
        <f>AUD!B923</f>
        <v>1.0316000000000001</v>
      </c>
      <c r="C923" s="3">
        <f>AUD!C923</f>
        <v>1.0291999999999999</v>
      </c>
      <c r="D923" s="3">
        <f>1/CAD!B923</f>
        <v>0.97475387464665164</v>
      </c>
      <c r="E923" s="3">
        <f>1/CAD!C923</f>
        <v>0.9739943508327652</v>
      </c>
      <c r="F923" s="3">
        <f>EUR!B923/1</f>
        <v>1.304</v>
      </c>
      <c r="G923" s="3">
        <f>EUR!C923/1</f>
        <v>1.3042</v>
      </c>
      <c r="H923" s="3">
        <f>GBP!B923/1</f>
        <v>1.4937</v>
      </c>
      <c r="I923" s="3">
        <f>GBP!C923/1</f>
        <v>1.4933000000000001</v>
      </c>
      <c r="J923" s="4">
        <f>1/INR!B923</f>
        <v>1.8484288354898334E-2</v>
      </c>
      <c r="K923" s="4">
        <f>1/INR!C923</f>
        <v>1.8347782211825148E-2</v>
      </c>
      <c r="L923" s="4">
        <f>1/JPY!B923</f>
        <v>1.0443646085721448E-2</v>
      </c>
      <c r="M923" s="4">
        <f>1/JPY!C923</f>
        <v>1.0445533333263696E-2</v>
      </c>
      <c r="N923" s="5">
        <f>1/KRW!B923</f>
        <v>9.1103721587026823E-4</v>
      </c>
      <c r="O923" s="5">
        <f>1/KRW!C923</f>
        <v>9.1101040802060859E-4</v>
      </c>
      <c r="P923" s="3">
        <f>1/NOK!B923</f>
        <v>0.17542936336684034</v>
      </c>
      <c r="Q923" s="3">
        <f>1/NOK!C923</f>
        <v>0.17520805957074026</v>
      </c>
      <c r="R923" s="3">
        <f>NZD!B923/1</f>
        <v>0.82530000000000003</v>
      </c>
      <c r="S923" s="3">
        <f>NZD!C923/1</f>
        <v>0.82350000000000001</v>
      </c>
      <c r="T923" s="4">
        <f>1/PHP!B923</f>
        <v>2.4619929833199976E-2</v>
      </c>
      <c r="U923" s="4">
        <f>1/PHP!C923</f>
        <v>2.4614475773202221E-2</v>
      </c>
      <c r="V923" s="4">
        <f>1/TWD!B923</f>
        <v>3.3694992924051488E-2</v>
      </c>
      <c r="W923" s="4">
        <f>1/TWD!C923</f>
        <v>3.3695106459688859E-2</v>
      </c>
      <c r="X923" s="4">
        <f>1/TWD!B923</f>
        <v>3.3694992924051488E-2</v>
      </c>
      <c r="Y923" s="4">
        <f>1/TWD!C923</f>
        <v>3.3695106459688859E-2</v>
      </c>
      <c r="Z923" s="4">
        <f>1/ZAR!B923</f>
        <v>0.10904055218135625</v>
      </c>
      <c r="AA923" s="4">
        <f>1/ZAR!C923</f>
        <v>0.1085823488533704</v>
      </c>
    </row>
    <row r="924" spans="1:27" x14ac:dyDescent="0.25">
      <c r="A924" t="str">
        <f>"14/03/2013"</f>
        <v>14/03/2013</v>
      </c>
      <c r="B924" s="3">
        <f>AUD!B924</f>
        <v>1.0366</v>
      </c>
      <c r="C924" s="3">
        <f>AUD!C924</f>
        <v>1.0341</v>
      </c>
      <c r="D924" s="3">
        <f>1/CAD!B924</f>
        <v>0.97370983446932824</v>
      </c>
      <c r="E924" s="3">
        <f>1/CAD!C924</f>
        <v>0.97304660893256778</v>
      </c>
      <c r="F924" s="3">
        <f>EUR!B924/1</f>
        <v>1.2951999999999999</v>
      </c>
      <c r="G924" s="3">
        <f>EUR!C924/1</f>
        <v>1.2954000000000001</v>
      </c>
      <c r="H924" s="3">
        <f>GBP!B924/1</f>
        <v>1.4941</v>
      </c>
      <c r="I924" s="3">
        <f>GBP!C924/1</f>
        <v>1.4937</v>
      </c>
      <c r="J924" s="4">
        <f>1/INR!B924</f>
        <v>1.8368846436443792E-2</v>
      </c>
      <c r="K924" s="4">
        <f>1/INR!C924</f>
        <v>1.8236527765113524E-2</v>
      </c>
      <c r="L924" s="4">
        <f>1/JPY!B924</f>
        <v>1.0420650394473721E-2</v>
      </c>
      <c r="M924" s="4">
        <f>1/JPY!C924</f>
        <v>1.0422496750786639E-2</v>
      </c>
      <c r="N924" s="5">
        <f>1/KRW!B924</f>
        <v>9.0144907939512765E-4</v>
      </c>
      <c r="O924" s="5">
        <f>1/KRW!C924</f>
        <v>9.0142746447564512E-4</v>
      </c>
      <c r="P924" s="3">
        <f>1/NOK!B924</f>
        <v>0.17390699453932035</v>
      </c>
      <c r="Q924" s="3">
        <f>1/NOK!C924</f>
        <v>0.17369856351287974</v>
      </c>
      <c r="R924" s="3">
        <f>NZD!B924/1</f>
        <v>0.81820000000000004</v>
      </c>
      <c r="S924" s="3">
        <f>NZD!C924/1</f>
        <v>0.81640000000000001</v>
      </c>
      <c r="T924" s="4">
        <f>1/PHP!B924</f>
        <v>2.4594195769798328E-2</v>
      </c>
      <c r="U924" s="4">
        <f>1/PHP!C924</f>
        <v>2.4593228008735514E-2</v>
      </c>
      <c r="V924" s="4">
        <f>1/TWD!B924</f>
        <v>3.3657567904143246E-2</v>
      </c>
      <c r="W924" s="4">
        <f>1/TWD!C924</f>
        <v>3.3657681187712257E-2</v>
      </c>
      <c r="X924" s="4">
        <f>1/TWD!B924</f>
        <v>3.3657567904143246E-2</v>
      </c>
      <c r="Y924" s="4">
        <f>1/TWD!C924</f>
        <v>3.3657681187712257E-2</v>
      </c>
      <c r="Z924" s="4">
        <f>1/ZAR!B924</f>
        <v>0.10813265714378401</v>
      </c>
      <c r="AA924" s="4">
        <f>1/ZAR!C924</f>
        <v>0.10767392029976419</v>
      </c>
    </row>
    <row r="925" spans="1:27" x14ac:dyDescent="0.25">
      <c r="A925" t="str">
        <f>"15/03/2013"</f>
        <v>15/03/2013</v>
      </c>
      <c r="B925" s="3">
        <f>AUD!B925</f>
        <v>1.0375000000000001</v>
      </c>
      <c r="C925" s="3">
        <f>AUD!C925</f>
        <v>1.0349999999999999</v>
      </c>
      <c r="D925" s="3">
        <f>1/CAD!B925</f>
        <v>0.9782821365681863</v>
      </c>
      <c r="E925" s="3">
        <f>1/CAD!C925</f>
        <v>0.97761266986020146</v>
      </c>
      <c r="F925" s="3">
        <f>EUR!B925/1</f>
        <v>1.302</v>
      </c>
      <c r="G925" s="3">
        <f>EUR!C925/1</f>
        <v>1.3023</v>
      </c>
      <c r="H925" s="3">
        <f>GBP!B925/1</f>
        <v>1.5093000000000001</v>
      </c>
      <c r="I925" s="3">
        <f>GBP!C925/1</f>
        <v>1.5089999999999999</v>
      </c>
      <c r="J925" s="4">
        <f>1/INR!B925</f>
        <v>1.8484288354898334E-2</v>
      </c>
      <c r="K925" s="4">
        <f>1/INR!C925</f>
        <v>1.8336847895846706E-2</v>
      </c>
      <c r="L925" s="4">
        <f>1/JPY!B925</f>
        <v>1.0396847675784701E-2</v>
      </c>
      <c r="M925" s="4">
        <f>1/JPY!C925</f>
        <v>1.0398631540089324E-2</v>
      </c>
      <c r="N925" s="5">
        <f>1/KRW!B925</f>
        <v>9.0041419052764281E-4</v>
      </c>
      <c r="O925" s="5">
        <f>1/KRW!C925</f>
        <v>9.0039351698659891E-4</v>
      </c>
      <c r="P925" s="3">
        <f>1/NOK!B925</f>
        <v>0.17280409200089858</v>
      </c>
      <c r="Q925" s="3">
        <f>1/NOK!C925</f>
        <v>0.1725953157631302</v>
      </c>
      <c r="R925" s="3">
        <f>NZD!B925/1</f>
        <v>0.82110000000000005</v>
      </c>
      <c r="S925" s="3">
        <f>NZD!C925/1</f>
        <v>0.81940000000000002</v>
      </c>
      <c r="T925" s="4">
        <f>1/PHP!B925</f>
        <v>2.4636610002463658E-2</v>
      </c>
      <c r="U925" s="4">
        <f>1/PHP!C925</f>
        <v>2.4631755258879749E-2</v>
      </c>
      <c r="V925" s="4">
        <f>1/TWD!B925</f>
        <v>3.3629270917406508E-2</v>
      </c>
      <c r="W925" s="4">
        <f>1/TWD!C925</f>
        <v>3.3629270917406508E-2</v>
      </c>
      <c r="X925" s="4">
        <f>1/TWD!B925</f>
        <v>3.3629270917406508E-2</v>
      </c>
      <c r="Y925" s="4">
        <f>1/TWD!C925</f>
        <v>3.3629270917406508E-2</v>
      </c>
      <c r="Z925" s="4">
        <f>1/ZAR!B925</f>
        <v>0.10888264628383527</v>
      </c>
      <c r="AA925" s="4">
        <f>1/ZAR!C925</f>
        <v>0.10842929325786654</v>
      </c>
    </row>
    <row r="926" spans="1:27" x14ac:dyDescent="0.25">
      <c r="A926" t="str">
        <f>"18/03/2013"</f>
        <v>18/03/2013</v>
      </c>
      <c r="B926" s="3">
        <f>AUD!B926</f>
        <v>1.0365</v>
      </c>
      <c r="C926" s="3">
        <f>AUD!C926</f>
        <v>1.0339</v>
      </c>
      <c r="D926" s="3">
        <f>1/CAD!B926</f>
        <v>0.97694411879640475</v>
      </c>
      <c r="E926" s="3">
        <f>1/CAD!C926</f>
        <v>0.9762764814995607</v>
      </c>
      <c r="F926" s="3">
        <f>EUR!B926/1</f>
        <v>1.2899</v>
      </c>
      <c r="G926" s="3">
        <f>EUR!C926/1</f>
        <v>1.2902</v>
      </c>
      <c r="H926" s="3">
        <f>GBP!B926/1</f>
        <v>1.5105</v>
      </c>
      <c r="I926" s="3">
        <f>GBP!C926/1</f>
        <v>1.5102</v>
      </c>
      <c r="J926" s="4">
        <f>1/INR!B926</f>
        <v>1.8419598452753729E-2</v>
      </c>
      <c r="K926" s="4">
        <f>1/INR!C926</f>
        <v>1.827568876502033E-2</v>
      </c>
      <c r="L926" s="4">
        <f>1/JPY!B926</f>
        <v>1.0554925191967702E-2</v>
      </c>
      <c r="M926" s="4">
        <f>1/JPY!C926</f>
        <v>1.0556997758749376E-2</v>
      </c>
      <c r="N926" s="5">
        <f>1/KRW!B926</f>
        <v>8.9736399326977002E-4</v>
      </c>
      <c r="O926" s="5">
        <f>1/KRW!C926</f>
        <v>8.9734209067426462E-4</v>
      </c>
      <c r="P926" s="3">
        <f>1/NOK!B926</f>
        <v>0.17221188950885169</v>
      </c>
      <c r="Q926" s="3">
        <f>1/NOK!C926</f>
        <v>0.17198087572661919</v>
      </c>
      <c r="R926" s="3">
        <f>NZD!B926/1</f>
        <v>0.82369999999999999</v>
      </c>
      <c r="S926" s="3">
        <f>NZD!C926/1</f>
        <v>0.82189999999999996</v>
      </c>
      <c r="T926" s="4">
        <f>1/PHP!B926</f>
        <v>2.4570024570024569E-2</v>
      </c>
      <c r="U926" s="4">
        <f>1/PHP!C926</f>
        <v>2.4567791134466891E-2</v>
      </c>
      <c r="V926" s="4">
        <f>1/TWD!B926</f>
        <v>3.3580711239464052E-2</v>
      </c>
      <c r="W926" s="4">
        <f>1/TWD!C926</f>
        <v>3.3580824006259467E-2</v>
      </c>
      <c r="X926" s="4">
        <f>1/TWD!B926</f>
        <v>3.3580711239464052E-2</v>
      </c>
      <c r="Y926" s="4">
        <f>1/TWD!C926</f>
        <v>3.3580824006259467E-2</v>
      </c>
      <c r="Z926" s="4">
        <f>1/ZAR!B926</f>
        <v>0.10839873390278802</v>
      </c>
      <c r="AA926" s="4">
        <f>1/ZAR!C926</f>
        <v>0.1079458975161649</v>
      </c>
    </row>
    <row r="927" spans="1:27" x14ac:dyDescent="0.25">
      <c r="A927" t="str">
        <f>"19/03/2013"</f>
        <v>19/03/2013</v>
      </c>
      <c r="B927" s="3">
        <f>AUD!B927</f>
        <v>1.0384</v>
      </c>
      <c r="C927" s="3">
        <f>AUD!C927</f>
        <v>1.0359</v>
      </c>
      <c r="D927" s="3">
        <f>1/CAD!B927</f>
        <v>0.97847358121330719</v>
      </c>
      <c r="E927" s="3">
        <f>1/CAD!C927</f>
        <v>0.97770825185764576</v>
      </c>
      <c r="F927" s="3">
        <f>EUR!B927/1</f>
        <v>1.2955000000000001</v>
      </c>
      <c r="G927" s="3">
        <f>EUR!C927/1</f>
        <v>1.2958000000000001</v>
      </c>
      <c r="H927" s="3">
        <f>GBP!B927/1</f>
        <v>1.5102</v>
      </c>
      <c r="I927" s="3">
        <f>GBP!C927/1</f>
        <v>1.5099</v>
      </c>
      <c r="J927" s="4">
        <f>1/INR!B927</f>
        <v>1.8532246108228317E-2</v>
      </c>
      <c r="K927" s="4">
        <f>1/INR!C927</f>
        <v>1.8392495861688431E-2</v>
      </c>
      <c r="L927" s="4">
        <f>1/JPY!B927</f>
        <v>1.0457374174259591E-2</v>
      </c>
      <c r="M927" s="4">
        <f>1/JPY!C927</f>
        <v>1.0459299206034597E-2</v>
      </c>
      <c r="N927" s="5">
        <f>1/KRW!B927</f>
        <v>8.9911886351375645E-4</v>
      </c>
      <c r="O927" s="5">
        <f>1/KRW!C927</f>
        <v>8.9909784522210407E-4</v>
      </c>
      <c r="P927" s="3">
        <f>1/NOK!B927</f>
        <v>0.17253278122843341</v>
      </c>
      <c r="Q927" s="3">
        <f>1/NOK!C927</f>
        <v>0.17231278216218079</v>
      </c>
      <c r="R927" s="3">
        <f>NZD!B927/1</f>
        <v>0.82530000000000003</v>
      </c>
      <c r="S927" s="3">
        <f>NZD!C927/1</f>
        <v>0.82350000000000001</v>
      </c>
      <c r="T927" s="4">
        <f>1/PHP!B927</f>
        <v>2.4579083200196632E-2</v>
      </c>
      <c r="U927" s="4">
        <f>1/PHP!C927</f>
        <v>2.4569964201562159E-2</v>
      </c>
      <c r="V927" s="4">
        <f>1/TWD!B927</f>
        <v>3.3602150537634407E-2</v>
      </c>
      <c r="W927" s="4">
        <f>1/TWD!C927</f>
        <v>3.360226344846589E-2</v>
      </c>
      <c r="X927" s="4">
        <f>1/TWD!B927</f>
        <v>3.3602150537634407E-2</v>
      </c>
      <c r="Y927" s="4">
        <f>1/TWD!C927</f>
        <v>3.360226344846589E-2</v>
      </c>
      <c r="Z927" s="4">
        <f>1/ZAR!B927</f>
        <v>0.10889806052554205</v>
      </c>
      <c r="AA927" s="4">
        <f>1/ZAR!C927</f>
        <v>0.10841401142683679</v>
      </c>
    </row>
    <row r="928" spans="1:27" x14ac:dyDescent="0.25">
      <c r="A928" t="str">
        <f>"20/03/2013"</f>
        <v>20/03/2013</v>
      </c>
      <c r="B928" s="3">
        <f>AUD!B928</f>
        <v>1.0379</v>
      </c>
      <c r="C928" s="3">
        <f>AUD!C928</f>
        <v>1.0355000000000001</v>
      </c>
      <c r="D928" s="3">
        <f>1/CAD!B928</f>
        <v>0.97370983446932824</v>
      </c>
      <c r="E928" s="3">
        <f>1/CAD!C928</f>
        <v>0.97304660893256778</v>
      </c>
      <c r="F928" s="3">
        <f>EUR!B928/1</f>
        <v>1.2876000000000001</v>
      </c>
      <c r="G928" s="3">
        <f>EUR!C928/1</f>
        <v>1.2879</v>
      </c>
      <c r="H928" s="3">
        <f>GBP!B928/1</f>
        <v>1.5087999999999999</v>
      </c>
      <c r="I928" s="3">
        <f>GBP!C928/1</f>
        <v>1.5085</v>
      </c>
      <c r="J928" s="4">
        <f>1/INR!B928</f>
        <v>1.8368846436443792E-2</v>
      </c>
      <c r="K928" s="4">
        <f>1/INR!C928</f>
        <v>1.8235696375655346E-2</v>
      </c>
      <c r="L928" s="4">
        <f>1/JPY!B928</f>
        <v>1.0517956781715583E-2</v>
      </c>
      <c r="M928" s="4">
        <f>1/JPY!C928</f>
        <v>1.051983778410137E-2</v>
      </c>
      <c r="N928" s="5">
        <f>1/KRW!B928</f>
        <v>8.9453439484748186E-4</v>
      </c>
      <c r="O928" s="5">
        <f>1/KRW!C928</f>
        <v>8.9451399042243861E-4</v>
      </c>
      <c r="P928" s="3">
        <f>1/NOK!B928</f>
        <v>0.17123580883234302</v>
      </c>
      <c r="Q928" s="3">
        <f>1/NOK!C928</f>
        <v>0.17101910283378655</v>
      </c>
      <c r="R928" s="3">
        <f>NZD!B928/1</f>
        <v>0.82279999999999998</v>
      </c>
      <c r="S928" s="3">
        <f>NZD!C928/1</f>
        <v>0.82110000000000005</v>
      </c>
      <c r="T928" s="4">
        <f>1/PHP!B928</f>
        <v>2.4539877300613498E-2</v>
      </c>
      <c r="U928" s="4">
        <f>1/PHP!C928</f>
        <v>2.4534579035692904E-2</v>
      </c>
      <c r="V928" s="4">
        <f>1/TWD!B928</f>
        <v>3.3541289327161737E-2</v>
      </c>
      <c r="W928" s="4">
        <f>1/TWD!C928</f>
        <v>3.3541401829348054E-2</v>
      </c>
      <c r="X928" s="4">
        <f>1/TWD!B928</f>
        <v>3.3541289327161737E-2</v>
      </c>
      <c r="Y928" s="4">
        <f>1/TWD!C928</f>
        <v>3.3541401829348054E-2</v>
      </c>
      <c r="Z928" s="4">
        <f>1/ZAR!B928</f>
        <v>0.10796104765400642</v>
      </c>
      <c r="AA928" s="4">
        <f>1/ZAR!C928</f>
        <v>0.10750838565408101</v>
      </c>
    </row>
    <row r="929" spans="1:27" x14ac:dyDescent="0.25">
      <c r="A929" t="str">
        <f>"21/03/2013"</f>
        <v>21/03/2013</v>
      </c>
      <c r="B929" s="3">
        <f>AUD!B929</f>
        <v>1.0374000000000001</v>
      </c>
      <c r="C929" s="3">
        <f>AUD!C929</f>
        <v>1.0348999999999999</v>
      </c>
      <c r="D929" s="3">
        <f>1/CAD!B929</f>
        <v>0.97560975609756106</v>
      </c>
      <c r="E929" s="3">
        <f>1/CAD!C929</f>
        <v>0.9749439407234084</v>
      </c>
      <c r="F929" s="3">
        <f>EUR!B929/1</f>
        <v>1.2946</v>
      </c>
      <c r="G929" s="3">
        <f>EUR!C929/1</f>
        <v>1.2948999999999999</v>
      </c>
      <c r="H929" s="3">
        <f>GBP!B929/1</f>
        <v>1.5117</v>
      </c>
      <c r="I929" s="3">
        <f>GBP!C929/1</f>
        <v>1.5114000000000001</v>
      </c>
      <c r="J929" s="4">
        <f>1/INR!B929</f>
        <v>1.8420446695832374E-2</v>
      </c>
      <c r="K929" s="4">
        <f>1/INR!C929</f>
        <v>1.8284042601819261E-2</v>
      </c>
      <c r="L929" s="4">
        <f>1/JPY!B929</f>
        <v>1.0426224038702143E-2</v>
      </c>
      <c r="M929" s="4">
        <f>1/JPY!C929</f>
        <v>1.0428017998759066E-2</v>
      </c>
      <c r="N929" s="5">
        <f>1/KRW!B929</f>
        <v>8.9557585527494181E-4</v>
      </c>
      <c r="O929" s="5">
        <f>1/KRW!C929</f>
        <v>8.955554033111369E-4</v>
      </c>
      <c r="P929" s="3">
        <f>1/NOK!B929</f>
        <v>0.17105128117409601</v>
      </c>
      <c r="Q929" s="3">
        <f>1/NOK!C929</f>
        <v>0.17083212327246017</v>
      </c>
      <c r="R929" s="3">
        <f>NZD!B929/1</f>
        <v>0.82679999999999998</v>
      </c>
      <c r="S929" s="3">
        <f>NZD!C929/1</f>
        <v>0.82499999999999996</v>
      </c>
      <c r="T929" s="4">
        <f>1/PHP!B929</f>
        <v>2.4539877300613498E-2</v>
      </c>
      <c r="U929" s="4">
        <f>1/PHP!C929</f>
        <v>2.4536926848059987E-2</v>
      </c>
      <c r="V929" s="4">
        <f>1/TWD!B929</f>
        <v>3.3533978303516038E-2</v>
      </c>
      <c r="W929" s="4">
        <f>1/TWD!C929</f>
        <v>3.3534090756663228E-2</v>
      </c>
      <c r="X929" s="4">
        <f>1/TWD!B929</f>
        <v>3.3533978303516038E-2</v>
      </c>
      <c r="Y929" s="4">
        <f>1/TWD!C929</f>
        <v>3.3534090756663228E-2</v>
      </c>
      <c r="Z929" s="4">
        <f>1/ZAR!B929</f>
        <v>0.10725585885128976</v>
      </c>
      <c r="AA929" s="4">
        <f>1/ZAR!C929</f>
        <v>0.1068056564275644</v>
      </c>
    </row>
    <row r="930" spans="1:27" x14ac:dyDescent="0.25">
      <c r="A930" t="str">
        <f>"22/03/2013"</f>
        <v>22/03/2013</v>
      </c>
      <c r="B930" s="3">
        <f>AUD!B930</f>
        <v>1.0427</v>
      </c>
      <c r="C930" s="3">
        <f>AUD!C930</f>
        <v>1.0401</v>
      </c>
      <c r="D930" s="3">
        <f>1/CAD!B930</f>
        <v>0.9762764814995607</v>
      </c>
      <c r="E930" s="3">
        <f>1/CAD!C930</f>
        <v>0.97560975609756106</v>
      </c>
      <c r="F930" s="3">
        <f>EUR!B930/1</f>
        <v>1.2914000000000001</v>
      </c>
      <c r="G930" s="3">
        <f>EUR!C930/1</f>
        <v>1.2917000000000001</v>
      </c>
      <c r="H930" s="3">
        <f>GBP!B930/1</f>
        <v>1.5186999999999999</v>
      </c>
      <c r="I930" s="3">
        <f>GBP!C930/1</f>
        <v>1.5184</v>
      </c>
      <c r="J930" s="4">
        <f>1/INR!B930</f>
        <v>1.8412815319462345E-2</v>
      </c>
      <c r="K930" s="4">
        <f>1/INR!C930</f>
        <v>1.8274018913609576E-2</v>
      </c>
      <c r="L930" s="4">
        <f>1/JPY!B930</f>
        <v>1.0533045851401895E-2</v>
      </c>
      <c r="M930" s="4">
        <f>1/JPY!C930</f>
        <v>1.0534932255118134E-2</v>
      </c>
      <c r="N930" s="5">
        <f>1/KRW!B930</f>
        <v>8.9495469291867101E-4</v>
      </c>
      <c r="O930" s="5">
        <f>1/KRW!C930</f>
        <v>8.9493466976910683E-4</v>
      </c>
      <c r="P930" s="3">
        <f>1/NOK!B930</f>
        <v>0.17132381915057651</v>
      </c>
      <c r="Q930" s="3">
        <f>1/NOK!C930</f>
        <v>0.17111274618846359</v>
      </c>
      <c r="R930" s="3">
        <f>NZD!B930/1</f>
        <v>0.83309999999999995</v>
      </c>
      <c r="S930" s="3">
        <f>NZD!C930/1</f>
        <v>0.83130000000000004</v>
      </c>
      <c r="T930" s="4">
        <f>1/PHP!B930</f>
        <v>2.4487297214569943E-2</v>
      </c>
      <c r="U930" s="4">
        <f>1/PHP!C930</f>
        <v>2.4482561071748593E-2</v>
      </c>
      <c r="V930" s="4">
        <f>1/TWD!B930</f>
        <v>3.3477285661678555E-2</v>
      </c>
      <c r="W930" s="4">
        <f>1/TWD!C930</f>
        <v>3.347739773491927E-2</v>
      </c>
      <c r="X930" s="4">
        <f>1/TWD!B930</f>
        <v>3.3477285661678555E-2</v>
      </c>
      <c r="Y930" s="4">
        <f>1/TWD!C930</f>
        <v>3.347739773491927E-2</v>
      </c>
      <c r="Z930" s="4">
        <f>1/ZAR!B930</f>
        <v>0.107342206955775</v>
      </c>
      <c r="AA930" s="4">
        <f>1/ZAR!C930</f>
        <v>0.1068924234650248</v>
      </c>
    </row>
    <row r="931" spans="1:27" x14ac:dyDescent="0.25">
      <c r="A931" t="str">
        <f>"25/03/2013"</f>
        <v>25/03/2013</v>
      </c>
      <c r="B931" s="3">
        <f>AUD!B931</f>
        <v>1.0448</v>
      </c>
      <c r="C931" s="3">
        <f>AUD!C931</f>
        <v>1.0422</v>
      </c>
      <c r="D931" s="3">
        <f>1/CAD!B931</f>
        <v>0.97761266986020146</v>
      </c>
      <c r="E931" s="3">
        <f>1/CAD!C931</f>
        <v>0.97694411879640475</v>
      </c>
      <c r="F931" s="3">
        <f>EUR!B931/1</f>
        <v>1.3039000000000001</v>
      </c>
      <c r="G931" s="3">
        <f>EUR!C931/1</f>
        <v>1.3042</v>
      </c>
      <c r="H931" s="3">
        <f>GBP!B931/1</f>
        <v>1.5246999999999999</v>
      </c>
      <c r="I931" s="3">
        <f>GBP!C931/1</f>
        <v>1.5245</v>
      </c>
      <c r="J931" s="4">
        <f>1/INR!B931</f>
        <v>1.8475750577367205E-2</v>
      </c>
      <c r="K931" s="4">
        <f>1/INR!C931</f>
        <v>1.8326766242096584E-2</v>
      </c>
      <c r="L931" s="4">
        <f>1/JPY!B931</f>
        <v>1.0541873375233764E-2</v>
      </c>
      <c r="M931" s="4">
        <f>1/JPY!C931</f>
        <v>1.0543751825387035E-2</v>
      </c>
      <c r="N931" s="5">
        <f>1/KRW!B931</f>
        <v>8.9930079363295049E-4</v>
      </c>
      <c r="O931" s="5">
        <f>1/KRW!C931</f>
        <v>8.9927960509395141E-4</v>
      </c>
      <c r="P931" s="3">
        <f>1/NOK!B931</f>
        <v>0.17284590787313112</v>
      </c>
      <c r="Q931" s="3">
        <f>1/NOK!C931</f>
        <v>0.17260425296879317</v>
      </c>
      <c r="R931" s="3">
        <f>NZD!B931/1</f>
        <v>0.83460000000000001</v>
      </c>
      <c r="S931" s="3">
        <f>NZD!C931/1</f>
        <v>0.83279999999999998</v>
      </c>
      <c r="T931" s="4">
        <f>1/PHP!B931</f>
        <v>2.4497795198432142E-2</v>
      </c>
      <c r="U931" s="4">
        <f>1/PHP!C931</f>
        <v>2.4494074883285734E-2</v>
      </c>
      <c r="V931" s="4">
        <f>1/TWD!B931</f>
        <v>3.3440342429106477E-2</v>
      </c>
      <c r="W931" s="4">
        <f>1/TWD!C931</f>
        <v>3.3440566081902635E-2</v>
      </c>
      <c r="X931" s="4">
        <f>1/TWD!B931</f>
        <v>3.3440342429106477E-2</v>
      </c>
      <c r="Y931" s="4">
        <f>1/TWD!C931</f>
        <v>3.3440566081902635E-2</v>
      </c>
      <c r="Z931" s="4">
        <f>1/ZAR!B931</f>
        <v>0.10786555637053977</v>
      </c>
      <c r="AA931" s="4">
        <f>1/ZAR!C931</f>
        <v>0.10740792455667379</v>
      </c>
    </row>
    <row r="932" spans="1:27" x14ac:dyDescent="0.25">
      <c r="A932" t="str">
        <f>"26/03/2013"</f>
        <v>26/03/2013</v>
      </c>
      <c r="B932" s="3">
        <f>AUD!B932</f>
        <v>1.0456000000000001</v>
      </c>
      <c r="C932" s="3">
        <f>AUD!C932</f>
        <v>1.0429999999999999</v>
      </c>
      <c r="D932" s="3">
        <f>1/CAD!B932</f>
        <v>0.98029604940692083</v>
      </c>
      <c r="E932" s="3">
        <f>1/CAD!C932</f>
        <v>0.97952786756783239</v>
      </c>
      <c r="F932" s="3">
        <f>EUR!B932/1</f>
        <v>1.2867999999999999</v>
      </c>
      <c r="G932" s="3">
        <f>EUR!C932/1</f>
        <v>1.2870999999999999</v>
      </c>
      <c r="H932" s="3">
        <f>GBP!B932/1</f>
        <v>1.5182</v>
      </c>
      <c r="I932" s="3">
        <f>GBP!C932/1</f>
        <v>1.5179</v>
      </c>
      <c r="J932" s="4">
        <f>1/INR!B932</f>
        <v>1.8396725382881847E-2</v>
      </c>
      <c r="K932" s="4">
        <f>1/INR!C932</f>
        <v>1.8276523805172255E-2</v>
      </c>
      <c r="L932" s="4">
        <f>1/JPY!B932</f>
        <v>1.0604453870625663E-2</v>
      </c>
      <c r="M932" s="4">
        <f>1/JPY!C932</f>
        <v>1.0606557185783395E-2</v>
      </c>
      <c r="N932" s="5">
        <f>1/KRW!B932</f>
        <v>9.0289377454742456E-4</v>
      </c>
      <c r="O932" s="5">
        <f>1/KRW!C932</f>
        <v>9.0287380216861268E-4</v>
      </c>
      <c r="P932" s="3">
        <f>1/NOK!B932</f>
        <v>0.17131501404783114</v>
      </c>
      <c r="Q932" s="3">
        <f>1/NOK!C932</f>
        <v>0.17110981828137298</v>
      </c>
      <c r="R932" s="3">
        <f>NZD!B932/1</f>
        <v>0.83450000000000002</v>
      </c>
      <c r="S932" s="3">
        <f>NZD!C932/1</f>
        <v>0.8327</v>
      </c>
      <c r="T932" s="4">
        <f>1/PHP!B932</f>
        <v>2.4412572474824534E-2</v>
      </c>
      <c r="U932" s="4">
        <f>1/PHP!C932</f>
        <v>2.4413645274616886E-2</v>
      </c>
      <c r="V932" s="4">
        <f>1/TWD!B932</f>
        <v>3.3481769176683294E-2</v>
      </c>
      <c r="W932" s="4">
        <f>1/TWD!C932</f>
        <v>3.3482105488721554E-2</v>
      </c>
      <c r="X932" s="4">
        <f>1/TWD!B932</f>
        <v>3.3481769176683294E-2</v>
      </c>
      <c r="Y932" s="4">
        <f>1/TWD!C932</f>
        <v>3.3482105488721554E-2</v>
      </c>
      <c r="Z932" s="4">
        <f>1/ZAR!B932</f>
        <v>0.10759282571038163</v>
      </c>
      <c r="AA932" s="4">
        <f>1/ZAR!C932</f>
        <v>0.10711110635061749</v>
      </c>
    </row>
    <row r="933" spans="1:27" x14ac:dyDescent="0.25">
      <c r="A933" t="str">
        <f>"28/03/2013"</f>
        <v>28/03/2013</v>
      </c>
      <c r="B933" s="3">
        <f>AUD!B933</f>
        <v>1.0427</v>
      </c>
      <c r="C933" s="3">
        <f>AUD!C933</f>
        <v>1.0403</v>
      </c>
      <c r="D933" s="3">
        <f>1/CAD!B933</f>
        <v>0.9838646202282566</v>
      </c>
      <c r="E933" s="3">
        <f>1/CAD!C933</f>
        <v>0.98318749385507831</v>
      </c>
      <c r="F933" s="3">
        <f>EUR!B933/1</f>
        <v>1.2781</v>
      </c>
      <c r="G933" s="3">
        <f>EUR!C933/1</f>
        <v>1.2783</v>
      </c>
      <c r="H933" s="3">
        <f>GBP!B933/1</f>
        <v>1.5133000000000001</v>
      </c>
      <c r="I933" s="3">
        <f>GBP!C933/1</f>
        <v>1.5130999999999999</v>
      </c>
      <c r="J933" s="4">
        <f>1/INR!B933</f>
        <v>1.8394187436769981E-2</v>
      </c>
      <c r="K933" s="4">
        <f>1/INR!C933</f>
        <v>1.827485380116959E-2</v>
      </c>
      <c r="L933" s="4">
        <f>1/JPY!B933</f>
        <v>1.0628856281919783E-2</v>
      </c>
      <c r="M933" s="4">
        <f>1/JPY!C933</f>
        <v>1.0630720656553308E-2</v>
      </c>
      <c r="N933" s="5">
        <f>1/KRW!B933</f>
        <v>8.9806915132465196E-4</v>
      </c>
      <c r="O933" s="5">
        <f>1/KRW!C933</f>
        <v>8.9804439159153846E-4</v>
      </c>
      <c r="P933" s="3">
        <f>1/NOK!B933</f>
        <v>0.17079419299743809</v>
      </c>
      <c r="Q933" s="3">
        <f>1/NOK!C933</f>
        <v>0.17058151237568872</v>
      </c>
      <c r="R933" s="3">
        <f>NZD!B933/1</f>
        <v>0.83599999999999997</v>
      </c>
      <c r="S933" s="3">
        <f>NZD!C933/1</f>
        <v>0.83440000000000003</v>
      </c>
      <c r="T933" s="4">
        <f>1/PHP!B933</f>
        <v>2.4481302405287963E-2</v>
      </c>
      <c r="U933" s="4">
        <f>1/PHP!C933</f>
        <v>2.448316048222033E-2</v>
      </c>
      <c r="V933" s="4">
        <f>1/TWD!B933</f>
        <v>3.3385637498748039E-2</v>
      </c>
      <c r="W933" s="4">
        <f>1/TWD!C933</f>
        <v>3.3385748959199275E-2</v>
      </c>
      <c r="X933" s="4">
        <f>1/TWD!B933</f>
        <v>3.3385637498748039E-2</v>
      </c>
      <c r="Y933" s="4">
        <f>1/TWD!C933</f>
        <v>3.3385748959199275E-2</v>
      </c>
      <c r="Z933" s="4">
        <f>1/ZAR!B933</f>
        <v>0.10799719207300611</v>
      </c>
      <c r="AA933" s="4">
        <f>1/ZAR!C933</f>
        <v>0.10755579456843238</v>
      </c>
    </row>
    <row r="934" spans="1:27" x14ac:dyDescent="0.25">
      <c r="A934" t="str">
        <f>"02/04/2013"</f>
        <v>02/04/2013</v>
      </c>
      <c r="B934" s="3">
        <f>AUD!B934</f>
        <v>1.046</v>
      </c>
      <c r="C934" s="3">
        <f>AUD!C934</f>
        <v>1.0435000000000001</v>
      </c>
      <c r="D934" s="3">
        <f>1/CAD!B934</f>
        <v>0.98493056239535104</v>
      </c>
      <c r="E934" s="3">
        <f>1/CAD!C934</f>
        <v>0.98434885323358601</v>
      </c>
      <c r="F934" s="3">
        <f>EUR!B934/1</f>
        <v>1.2864</v>
      </c>
      <c r="G934" s="3">
        <f>EUR!C934/1</f>
        <v>1.2867</v>
      </c>
      <c r="H934" s="3">
        <f>GBP!B934/1</f>
        <v>1.524</v>
      </c>
      <c r="I934" s="3">
        <f>GBP!C934/1</f>
        <v>1.5237000000000001</v>
      </c>
      <c r="J934" s="4">
        <f>1/INR!B934</f>
        <v>1.839587932303164E-2</v>
      </c>
      <c r="K934" s="4">
        <f>1/INR!C934</f>
        <v>1.8266508356927575E-2</v>
      </c>
      <c r="L934" s="4">
        <f>1/JPY!B934</f>
        <v>1.0776268501505985E-2</v>
      </c>
      <c r="M934" s="4">
        <f>1/JPY!C934</f>
        <v>1.0778219804547762E-2</v>
      </c>
      <c r="N934" s="5">
        <f>1/KRW!B934</f>
        <v>8.9968511021142603E-4</v>
      </c>
      <c r="O934" s="5">
        <f>1/KRW!C934</f>
        <v>8.9966730303133911E-4</v>
      </c>
      <c r="P934" s="3">
        <f>1/NOK!B934</f>
        <v>0.17204893071589561</v>
      </c>
      <c r="Q934" s="3">
        <f>1/NOK!C934</f>
        <v>0.1718213058419244</v>
      </c>
      <c r="R934" s="3">
        <f>NZD!B934/1</f>
        <v>0.84019999999999995</v>
      </c>
      <c r="S934" s="3">
        <f>NZD!C934/1</f>
        <v>0.83840000000000003</v>
      </c>
      <c r="T934" s="4">
        <f>1/PHP!B934</f>
        <v>2.4488796375658137E-2</v>
      </c>
      <c r="U934" s="4">
        <f>1/PHP!C934</f>
        <v>2.4483400254627363E-2</v>
      </c>
      <c r="V934" s="4">
        <f>1/TWD!B934</f>
        <v>3.3489618218352314E-2</v>
      </c>
      <c r="W934" s="4">
        <f>1/TWD!C934</f>
        <v>3.3489730374180758E-2</v>
      </c>
      <c r="X934" s="4">
        <f>1/TWD!B934</f>
        <v>3.3489618218352314E-2</v>
      </c>
      <c r="Y934" s="4">
        <f>1/TWD!C934</f>
        <v>3.3489730374180758E-2</v>
      </c>
      <c r="Z934" s="4">
        <f>1/ZAR!B934</f>
        <v>0.1088992464172148</v>
      </c>
      <c r="AA934" s="4">
        <f>1/ZAR!C934</f>
        <v>0.10845516463493991</v>
      </c>
    </row>
    <row r="935" spans="1:27" x14ac:dyDescent="0.25">
      <c r="A935" t="str">
        <f>"03/04/2013"</f>
        <v>03/04/2013</v>
      </c>
      <c r="B935" s="3">
        <f>AUD!B935</f>
        <v>1.0471999999999999</v>
      </c>
      <c r="C935" s="3">
        <f>AUD!C935</f>
        <v>1.0447</v>
      </c>
      <c r="D935" s="3">
        <f>1/CAD!B935</f>
        <v>0.98638784770171628</v>
      </c>
      <c r="E935" s="3">
        <f>1/CAD!C935</f>
        <v>0.98561009264734878</v>
      </c>
      <c r="F935" s="3">
        <f>EUR!B935/1</f>
        <v>1.2822</v>
      </c>
      <c r="G935" s="3">
        <f>EUR!C935/1</f>
        <v>1.2824</v>
      </c>
      <c r="H935" s="3">
        <f>GBP!B935/1</f>
        <v>1.5116000000000001</v>
      </c>
      <c r="I935" s="3">
        <f>GBP!C935/1</f>
        <v>1.5113000000000001</v>
      </c>
      <c r="J935" s="4">
        <f>1/INR!B935</f>
        <v>1.8362100624311421E-2</v>
      </c>
      <c r="K935" s="4">
        <f>1/INR!C935</f>
        <v>1.8234033824132745E-2</v>
      </c>
      <c r="L935" s="4">
        <f>1/JPY!B935</f>
        <v>1.0697475395806589E-2</v>
      </c>
      <c r="M935" s="4">
        <f>1/JPY!C935</f>
        <v>1.0699569984282332E-2</v>
      </c>
      <c r="N935" s="5">
        <f>1/KRW!B935</f>
        <v>8.9457440622623795E-4</v>
      </c>
      <c r="O935" s="5">
        <f>1/KRW!C935</f>
        <v>8.9456120207556081E-4</v>
      </c>
      <c r="P935" s="3">
        <f>1/NOK!B935</f>
        <v>0.17204597068336658</v>
      </c>
      <c r="Q935" s="3">
        <f>1/NOK!C935</f>
        <v>0.17183016306682475</v>
      </c>
      <c r="R935" s="3">
        <f>NZD!B935/1</f>
        <v>0.84319999999999995</v>
      </c>
      <c r="S935" s="3">
        <f>NZD!C935/1</f>
        <v>0.84140000000000004</v>
      </c>
      <c r="T935" s="4">
        <f>1/PHP!B935</f>
        <v>2.4431956999755682E-2</v>
      </c>
      <c r="U935" s="4">
        <f>1/PHP!C935</f>
        <v>2.4427122900183448E-2</v>
      </c>
      <c r="V935" s="4">
        <f>1/TWD!B935</f>
        <v>3.3487375259527163E-2</v>
      </c>
      <c r="W935" s="4">
        <f>1/TWD!C935</f>
        <v>3.3487487400332867E-2</v>
      </c>
      <c r="X935" s="4">
        <f>1/TWD!B935</f>
        <v>3.3487375259527163E-2</v>
      </c>
      <c r="Y935" s="4">
        <f>1/TWD!C935</f>
        <v>3.3487487400332867E-2</v>
      </c>
      <c r="Z935" s="4">
        <f>1/ZAR!B935</f>
        <v>0.1081233038156714</v>
      </c>
      <c r="AA935" s="4">
        <f>1/ZAR!C935</f>
        <v>0.10766812377527508</v>
      </c>
    </row>
    <row r="936" spans="1:27" x14ac:dyDescent="0.25">
      <c r="A936" t="str">
        <f>"04/04/2013"</f>
        <v>04/04/2013</v>
      </c>
      <c r="B936" s="3">
        <f>AUD!B936</f>
        <v>1.0466</v>
      </c>
      <c r="C936" s="3">
        <f>AUD!C936</f>
        <v>1.0442</v>
      </c>
      <c r="D936" s="3">
        <f>1/CAD!B936</f>
        <v>0.9855129594954174</v>
      </c>
      <c r="E936" s="3">
        <f>1/CAD!C936</f>
        <v>0.98483356312783132</v>
      </c>
      <c r="F936" s="3">
        <f>EUR!B936/1</f>
        <v>1.2848999999999999</v>
      </c>
      <c r="G936" s="3">
        <f>EUR!C936/1</f>
        <v>1.2850999999999999</v>
      </c>
      <c r="H936" s="3">
        <f>GBP!B936/1</f>
        <v>1.5135000000000001</v>
      </c>
      <c r="I936" s="3">
        <f>GBP!C936/1</f>
        <v>1.5133000000000001</v>
      </c>
      <c r="J936" s="4">
        <f>1/INR!B936</f>
        <v>1.8303285439736434E-2</v>
      </c>
      <c r="K936" s="4">
        <f>1/INR!C936</f>
        <v>1.8178512997636793E-2</v>
      </c>
      <c r="L936" s="4">
        <f>1/JPY!B936</f>
        <v>1.0763799190562301E-2</v>
      </c>
      <c r="M936" s="4">
        <f>1/JPY!C936</f>
        <v>1.0765491003279169E-2</v>
      </c>
      <c r="N936" s="5">
        <f>1/KRW!B936</f>
        <v>8.8877038617073275E-4</v>
      </c>
      <c r="O936" s="5">
        <f>1/KRW!C936</f>
        <v>8.8875616796780577E-4</v>
      </c>
      <c r="P936" s="3">
        <f>1/NOK!B936</f>
        <v>0.17187741702617693</v>
      </c>
      <c r="Q936" s="3">
        <f>1/NOK!C936</f>
        <v>0.17166497862771016</v>
      </c>
      <c r="R936" s="3">
        <f>NZD!B936/1</f>
        <v>0.8407</v>
      </c>
      <c r="S936" s="3">
        <f>NZD!C936/1</f>
        <v>0.83899999999999997</v>
      </c>
      <c r="T936" s="4">
        <f>1/PHP!B936</f>
        <v>2.4330900243309E-2</v>
      </c>
      <c r="U936" s="4">
        <f>1/PHP!C936</f>
        <v>2.4320958829480894E-2</v>
      </c>
      <c r="V936" s="4">
        <f>1/TWD!B936</f>
        <v>3.341129301703976E-2</v>
      </c>
      <c r="W936" s="4">
        <f>1/TWD!C936</f>
        <v>3.3411404648862844E-2</v>
      </c>
      <c r="X936" s="4">
        <f>1/TWD!B936</f>
        <v>3.341129301703976E-2</v>
      </c>
      <c r="Y936" s="4">
        <f>1/TWD!C936</f>
        <v>3.3411404648862844E-2</v>
      </c>
      <c r="Z936" s="4">
        <f>1/ZAR!B936</f>
        <v>0.10827901336163025</v>
      </c>
      <c r="AA936" s="4">
        <f>1/ZAR!C936</f>
        <v>0.10782484931477308</v>
      </c>
    </row>
    <row r="937" spans="1:27" x14ac:dyDescent="0.25">
      <c r="A937" t="str">
        <f>"05/04/2013"</f>
        <v>05/04/2013</v>
      </c>
      <c r="B937" s="3">
        <f>AUD!B937</f>
        <v>1.0424</v>
      </c>
      <c r="C937" s="3">
        <f>AUD!C937</f>
        <v>1.04</v>
      </c>
      <c r="D937" s="3">
        <f>1/CAD!B937</f>
        <v>0.98716683119447202</v>
      </c>
      <c r="E937" s="3">
        <f>1/CAD!C937</f>
        <v>0.98638784770171628</v>
      </c>
      <c r="F937" s="3">
        <f>EUR!B937/1</f>
        <v>1.2935000000000001</v>
      </c>
      <c r="G937" s="3">
        <f>EUR!C937/1</f>
        <v>1.2937000000000001</v>
      </c>
      <c r="H937" s="3">
        <f>GBP!B937/1</f>
        <v>1.5236000000000001</v>
      </c>
      <c r="I937" s="3">
        <f>GBP!C937/1</f>
        <v>1.5233000000000001</v>
      </c>
      <c r="J937" s="4">
        <f>1/INR!B937</f>
        <v>1.8236527765113524E-2</v>
      </c>
      <c r="K937" s="4">
        <f>1/INR!C937</f>
        <v>1.8113480958203143E-2</v>
      </c>
      <c r="L937" s="4">
        <f>1/JPY!B937</f>
        <v>1.0380982040901069E-2</v>
      </c>
      <c r="M937" s="4">
        <f>1/JPY!C937</f>
        <v>1.0382685003872742E-2</v>
      </c>
      <c r="N937" s="5">
        <f>1/KRW!B937</f>
        <v>8.8652482269503544E-4</v>
      </c>
      <c r="O937" s="5">
        <f>1/KRW!C937</f>
        <v>8.8650611804467247E-4</v>
      </c>
      <c r="P937" s="3">
        <f>1/NOK!B937</f>
        <v>0.17297446896838026</v>
      </c>
      <c r="Q937" s="3">
        <f>1/NOK!C937</f>
        <v>0.1727503584569938</v>
      </c>
      <c r="R937" s="3">
        <f>NZD!B937/1</f>
        <v>0.84119999999999995</v>
      </c>
      <c r="S937" s="3">
        <f>NZD!C937/1</f>
        <v>0.83950000000000002</v>
      </c>
      <c r="T937" s="4">
        <f>1/PHP!B937</f>
        <v>2.4271844660194174E-2</v>
      </c>
      <c r="U937" s="4">
        <f>1/PHP!C937</f>
        <v>2.4258067020187565E-2</v>
      </c>
      <c r="V937" s="4">
        <f>1/TWD!B937</f>
        <v>3.3373381391002536E-2</v>
      </c>
      <c r="W937" s="4">
        <f>1/TWD!C937</f>
        <v>3.3373492769632793E-2</v>
      </c>
      <c r="X937" s="4">
        <f>1/TWD!B937</f>
        <v>3.3373381391002536E-2</v>
      </c>
      <c r="Y937" s="4">
        <f>1/TWD!C937</f>
        <v>3.3373492769632793E-2</v>
      </c>
      <c r="Z937" s="4">
        <f>1/ZAR!B937</f>
        <v>0.10883169178864886</v>
      </c>
      <c r="AA937" s="4">
        <f>1/ZAR!C937</f>
        <v>0.10838815967743683</v>
      </c>
    </row>
    <row r="938" spans="1:27" x14ac:dyDescent="0.25">
      <c r="A938" t="str">
        <f>"08/04/2013"</f>
        <v>08/04/2013</v>
      </c>
      <c r="B938" s="3">
        <f>AUD!B938</f>
        <v>1.0370999999999999</v>
      </c>
      <c r="C938" s="3">
        <f>AUD!C938</f>
        <v>1.0347999999999999</v>
      </c>
      <c r="D938" s="3">
        <f>1/CAD!B938</f>
        <v>0.98328416912487715</v>
      </c>
      <c r="E938" s="3">
        <f>1/CAD!C938</f>
        <v>0.98251129887993705</v>
      </c>
      <c r="F938" s="3">
        <f>EUR!B938/1</f>
        <v>1.2988999999999999</v>
      </c>
      <c r="G938" s="3">
        <f>EUR!C938/1</f>
        <v>1.2990999999999999</v>
      </c>
      <c r="H938" s="3">
        <f>GBP!B938/1</f>
        <v>1.5327999999999999</v>
      </c>
      <c r="I938" s="3">
        <f>GBP!C938/1</f>
        <v>1.5325</v>
      </c>
      <c r="J938" s="4">
        <f>1/INR!B938</f>
        <v>1.8265674231700078E-2</v>
      </c>
      <c r="K938" s="4">
        <f>1/INR!C938</f>
        <v>1.8142235123367198E-2</v>
      </c>
      <c r="L938" s="4">
        <f>1/JPY!B938</f>
        <v>1.0148832630526673E-2</v>
      </c>
      <c r="M938" s="4">
        <f>1/JPY!C938</f>
        <v>1.0150264515893284E-2</v>
      </c>
      <c r="N938" s="5">
        <f>1/KRW!B938</f>
        <v>8.7788605039065934E-4</v>
      </c>
      <c r="O938" s="5">
        <f>1/KRW!C938</f>
        <v>8.7786501122394302E-4</v>
      </c>
      <c r="P938" s="3">
        <f>1/NOK!B938</f>
        <v>0.17451702413570444</v>
      </c>
      <c r="Q938" s="3">
        <f>1/NOK!C938</f>
        <v>0.17430105277835881</v>
      </c>
      <c r="R938" s="3">
        <f>NZD!B938/1</f>
        <v>0.84189999999999998</v>
      </c>
      <c r="S938" s="3">
        <f>NZD!C938/1</f>
        <v>0.84009999999999996</v>
      </c>
      <c r="T938" s="4">
        <f>1/PHP!B938</f>
        <v>2.420721374969741E-2</v>
      </c>
      <c r="U938" s="4">
        <f>1/PHP!C938</f>
        <v>2.4194504460256897E-2</v>
      </c>
      <c r="V938" s="4">
        <f>1/TWD!B938</f>
        <v>3.3286177914620955E-2</v>
      </c>
      <c r="W938" s="4">
        <f>1/TWD!C938</f>
        <v>3.3286288711953771E-2</v>
      </c>
      <c r="X938" s="4">
        <f>1/TWD!B938</f>
        <v>3.3286177914620955E-2</v>
      </c>
      <c r="Y938" s="4">
        <f>1/TWD!C938</f>
        <v>3.3286288711953771E-2</v>
      </c>
      <c r="Z938" s="4">
        <f>1/ZAR!B938</f>
        <v>0.10977791926931818</v>
      </c>
      <c r="AA938" s="4">
        <f>1/ZAR!C938</f>
        <v>0.10933382898002471</v>
      </c>
    </row>
    <row r="939" spans="1:27" x14ac:dyDescent="0.25">
      <c r="A939" t="str">
        <f>"09/04/2013"</f>
        <v>09/04/2013</v>
      </c>
      <c r="B939" s="3">
        <f>AUD!B939</f>
        <v>1.0428999999999999</v>
      </c>
      <c r="C939" s="3">
        <f>AUD!C939</f>
        <v>1.0404</v>
      </c>
      <c r="D939" s="3">
        <f>1/CAD!B939</f>
        <v>0.98357430903904797</v>
      </c>
      <c r="E939" s="3">
        <f>1/CAD!C939</f>
        <v>0.98289758207194799</v>
      </c>
      <c r="F939" s="3">
        <f>EUR!B939/1</f>
        <v>1.3047</v>
      </c>
      <c r="G939" s="3">
        <f>EUR!C939/1</f>
        <v>1.3049999999999999</v>
      </c>
      <c r="H939" s="3">
        <f>GBP!B939/1</f>
        <v>1.5268999999999999</v>
      </c>
      <c r="I939" s="3">
        <f>GBP!C939/1</f>
        <v>1.5266</v>
      </c>
      <c r="J939" s="4">
        <f>1/INR!B939</f>
        <v>1.8372221201543266E-2</v>
      </c>
      <c r="K939" s="4">
        <f>1/INR!C939</f>
        <v>1.8246510354894628E-2</v>
      </c>
      <c r="L939" s="4">
        <f>1/JPY!B939</f>
        <v>1.0075566750629723E-2</v>
      </c>
      <c r="M939" s="4">
        <f>1/JPY!C939</f>
        <v>1.0077353767519479E-2</v>
      </c>
      <c r="N939" s="5">
        <f>1/KRW!B939</f>
        <v>8.7873462214411243E-4</v>
      </c>
      <c r="O939" s="5">
        <f>1/KRW!C939</f>
        <v>8.7871269293455254E-4</v>
      </c>
      <c r="P939" s="3">
        <f>1/NOK!B939</f>
        <v>0.17436183568140606</v>
      </c>
      <c r="Q939" s="3">
        <f>1/NOK!C939</f>
        <v>0.17413411809775889</v>
      </c>
      <c r="R939" s="3">
        <f>NZD!B939/1</f>
        <v>0.84860000000000002</v>
      </c>
      <c r="S939" s="3">
        <f>NZD!C939/1</f>
        <v>0.8468</v>
      </c>
      <c r="T939" s="4">
        <f>1/PHP!B939</f>
        <v>2.4221872350732712E-2</v>
      </c>
      <c r="U939" s="4">
        <f>1/PHP!C939</f>
        <v>2.4211374988196956E-2</v>
      </c>
      <c r="V939" s="4">
        <f>1/TWD!B939</f>
        <v>3.3236946189384123E-2</v>
      </c>
      <c r="W939" s="4">
        <f>1/TWD!C939</f>
        <v>3.3237277601066248E-2</v>
      </c>
      <c r="X939" s="4">
        <f>1/TWD!B939</f>
        <v>3.3236946189384123E-2</v>
      </c>
      <c r="Y939" s="4">
        <f>1/TWD!C939</f>
        <v>3.3237277601066248E-2</v>
      </c>
      <c r="Z939" s="4">
        <f>1/ZAR!B939</f>
        <v>0.11146532313797179</v>
      </c>
      <c r="AA939" s="4">
        <f>1/ZAR!C939</f>
        <v>0.11100996869518882</v>
      </c>
    </row>
    <row r="940" spans="1:27" x14ac:dyDescent="0.25">
      <c r="A940" t="str">
        <f>"10/04/2013"</f>
        <v>10/04/2013</v>
      </c>
      <c r="B940" s="3">
        <f>AUD!B940</f>
        <v>1.0509999999999999</v>
      </c>
      <c r="C940" s="3">
        <f>AUD!C940</f>
        <v>1.0485</v>
      </c>
      <c r="D940" s="3">
        <f>1/CAD!B940</f>
        <v>0.98483356312783132</v>
      </c>
      <c r="E940" s="3">
        <f>1/CAD!C940</f>
        <v>0.98405825624876997</v>
      </c>
      <c r="F940" s="3">
        <f>EUR!B940/1</f>
        <v>1.3086</v>
      </c>
      <c r="G940" s="3">
        <f>EUR!C940/1</f>
        <v>1.3088</v>
      </c>
      <c r="H940" s="3">
        <f>GBP!B940/1</f>
        <v>1.5329999999999999</v>
      </c>
      <c r="I940" s="3">
        <f>GBP!C940/1</f>
        <v>1.5327</v>
      </c>
      <c r="J940" s="4">
        <f>1/INR!B940</f>
        <v>1.8363786612799561E-2</v>
      </c>
      <c r="K940" s="4">
        <f>1/INR!C940</f>
        <v>1.8244013683010263E-2</v>
      </c>
      <c r="L940" s="4">
        <f>1/JPY!B940</f>
        <v>1.009845998485231E-2</v>
      </c>
      <c r="M940" s="4">
        <f>1/JPY!C940</f>
        <v>1.00999899000101E-2</v>
      </c>
      <c r="N940" s="5">
        <f>1/KRW!B940</f>
        <v>8.7973959707926454E-4</v>
      </c>
      <c r="O940" s="5">
        <f>1/KRW!C940</f>
        <v>8.7972411851643323E-4</v>
      </c>
      <c r="P940" s="3">
        <f>1/NOK!B940</f>
        <v>0.17488938246559052</v>
      </c>
      <c r="Q940" s="3">
        <f>1/NOK!C940</f>
        <v>0.17466943808841767</v>
      </c>
      <c r="R940" s="3">
        <f>NZD!B940/1</f>
        <v>0.85289999999999999</v>
      </c>
      <c r="S940" s="3">
        <f>NZD!C940/1</f>
        <v>0.85109999999999997</v>
      </c>
      <c r="T940" s="4">
        <f>1/PHP!B940</f>
        <v>2.4307243558580455E-2</v>
      </c>
      <c r="U940" s="4">
        <f>1/PHP!C940</f>
        <v>2.4300864138728773E-2</v>
      </c>
      <c r="V940" s="4">
        <f>1/TWD!B940</f>
        <v>3.3316674995835412E-2</v>
      </c>
      <c r="W940" s="4">
        <f>1/TWD!C940</f>
        <v>3.3316785996288512E-2</v>
      </c>
      <c r="X940" s="4">
        <f>1/TWD!B940</f>
        <v>3.3316674995835412E-2</v>
      </c>
      <c r="Y940" s="4">
        <f>1/TWD!C940</f>
        <v>3.3316785996288512E-2</v>
      </c>
      <c r="Z940" s="4">
        <f>1/ZAR!B940</f>
        <v>0.11200465939383078</v>
      </c>
      <c r="AA940" s="4">
        <f>1/ZAR!C940</f>
        <v>0.11152374898234579</v>
      </c>
    </row>
    <row r="941" spans="1:27" x14ac:dyDescent="0.25">
      <c r="A941" t="str">
        <f>"12/04/2013"</f>
        <v>12/04/2013</v>
      </c>
      <c r="B941" s="3">
        <f>AUD!B941</f>
        <v>1.0552999999999999</v>
      </c>
      <c r="C941" s="3">
        <f>AUD!C941</f>
        <v>1.0528999999999999</v>
      </c>
      <c r="D941" s="3">
        <f>1/CAD!B941</f>
        <v>0.99009900990099009</v>
      </c>
      <c r="E941" s="3">
        <f>1/CAD!C941</f>
        <v>0.98931539374752675</v>
      </c>
      <c r="F941" s="3">
        <f>EUR!B941/1</f>
        <v>1.3113999999999999</v>
      </c>
      <c r="G941" s="3">
        <f>EUR!C941/1</f>
        <v>1.3116000000000001</v>
      </c>
      <c r="H941" s="3">
        <f>GBP!B941/1</f>
        <v>1.5392999999999999</v>
      </c>
      <c r="I941" s="3">
        <f>GBP!C941/1</f>
        <v>1.5389999999999999</v>
      </c>
      <c r="J941" s="4">
        <f>1/INR!B941</f>
        <v>1.8355359765051395E-2</v>
      </c>
      <c r="K941" s="4">
        <f>1/INR!C941</f>
        <v>1.823735923038344E-2</v>
      </c>
      <c r="L941" s="4">
        <f>1/JPY!B941</f>
        <v>1.0057326762546514E-2</v>
      </c>
      <c r="M941" s="4">
        <f>1/JPY!C941</f>
        <v>1.0058793648877691E-2</v>
      </c>
      <c r="N941" s="5">
        <f>1/KRW!B941</f>
        <v>8.8362640275691439E-4</v>
      </c>
      <c r="O941" s="5">
        <f>1/KRW!C941</f>
        <v>8.8361031865992359E-4</v>
      </c>
      <c r="P941" s="3">
        <f>1/NOK!B941</f>
        <v>0.17529405577856855</v>
      </c>
      <c r="Q941" s="3">
        <f>1/NOK!C941</f>
        <v>0.17508535411012868</v>
      </c>
      <c r="R941" s="3">
        <f>NZD!B941/1</f>
        <v>0.86280000000000001</v>
      </c>
      <c r="S941" s="3">
        <f>NZD!C941/1</f>
        <v>0.86109999999999998</v>
      </c>
      <c r="T941" s="4">
        <f>1/PHP!B941</f>
        <v>2.4260067928190198E-2</v>
      </c>
      <c r="U941" s="4">
        <f>1/PHP!C941</f>
        <v>2.4254125020312829E-2</v>
      </c>
      <c r="V941" s="4">
        <f>1/TWD!B941</f>
        <v>3.3388981636060099E-2</v>
      </c>
      <c r="W941" s="4">
        <f>1/TWD!C941</f>
        <v>3.3389093118841799E-2</v>
      </c>
      <c r="X941" s="4">
        <f>1/TWD!B941</f>
        <v>3.3388981636060099E-2</v>
      </c>
      <c r="Y941" s="4">
        <f>1/TWD!C941</f>
        <v>3.3389093118841799E-2</v>
      </c>
      <c r="Z941" s="4">
        <f>1/ZAR!B941</f>
        <v>0.11231664308017163</v>
      </c>
      <c r="AA941" s="4">
        <f>1/ZAR!C941</f>
        <v>0.11186057697685604</v>
      </c>
    </row>
    <row r="942" spans="1:27" x14ac:dyDescent="0.25">
      <c r="A942" t="str">
        <f>"15/04/2013"</f>
        <v>15/04/2013</v>
      </c>
      <c r="B942" s="3">
        <f>AUD!B942</f>
        <v>1.0424</v>
      </c>
      <c r="C942" s="3">
        <f>AUD!C942</f>
        <v>1.04</v>
      </c>
      <c r="D942" s="3">
        <f>1/CAD!B942</f>
        <v>0.98096919756719636</v>
      </c>
      <c r="E942" s="3">
        <f>1/CAD!C942</f>
        <v>0.98029604940692083</v>
      </c>
      <c r="F942" s="3">
        <f>EUR!B942/1</f>
        <v>1.3073999999999999</v>
      </c>
      <c r="G942" s="3">
        <f>EUR!C942/1</f>
        <v>1.3076000000000001</v>
      </c>
      <c r="H942" s="3">
        <f>GBP!B942/1</f>
        <v>1.5321</v>
      </c>
      <c r="I942" s="3">
        <f>GBP!C942/1</f>
        <v>1.5318000000000001</v>
      </c>
      <c r="J942" s="4">
        <f>1/INR!B942</f>
        <v>1.8248175182481754E-2</v>
      </c>
      <c r="K942" s="4">
        <f>1/INR!C942</f>
        <v>1.8130722509291996E-2</v>
      </c>
      <c r="L942" s="4">
        <f>1/JPY!B942</f>
        <v>1.0226831114110982E-2</v>
      </c>
      <c r="M942" s="4">
        <f>1/JPY!C942</f>
        <v>1.0228347866110927E-2</v>
      </c>
      <c r="N942" s="5">
        <f>1/KRW!B942</f>
        <v>8.897192935628809E-4</v>
      </c>
      <c r="O942" s="5">
        <f>1/KRW!C942</f>
        <v>8.8969800002117487E-4</v>
      </c>
      <c r="P942" s="3">
        <f>1/NOK!B942</f>
        <v>0.17419175027870679</v>
      </c>
      <c r="Q942" s="3">
        <f>1/NOK!C942</f>
        <v>0.17395842393667912</v>
      </c>
      <c r="R942" s="3">
        <f>NZD!B942/1</f>
        <v>0.84940000000000004</v>
      </c>
      <c r="S942" s="3">
        <f>NZD!C942/1</f>
        <v>0.84760000000000002</v>
      </c>
      <c r="T942" s="4">
        <f>1/PHP!B942</f>
        <v>2.4224806201550386E-2</v>
      </c>
      <c r="U942" s="4">
        <f>1/PHP!C942</f>
        <v>2.4217590204469116E-2</v>
      </c>
      <c r="V942" s="4">
        <f>1/TWD!B942</f>
        <v>3.3382294031245825E-2</v>
      </c>
      <c r="W942" s="4">
        <f>1/TWD!C942</f>
        <v>3.3382405469373315E-2</v>
      </c>
      <c r="X942" s="4">
        <f>1/TWD!B942</f>
        <v>3.3382294031245825E-2</v>
      </c>
      <c r="Y942" s="4">
        <f>1/TWD!C942</f>
        <v>3.3382405469373315E-2</v>
      </c>
      <c r="Z942" s="4">
        <f>1/ZAR!B942</f>
        <v>0.11085737090659158</v>
      </c>
      <c r="AA942" s="4">
        <f>1/ZAR!C942</f>
        <v>0.11041427435738892</v>
      </c>
    </row>
    <row r="943" spans="1:27" x14ac:dyDescent="0.25">
      <c r="A943" t="str">
        <f>"16/04/2013"</f>
        <v>16/04/2013</v>
      </c>
      <c r="B943" s="3">
        <f>AUD!B943</f>
        <v>1.0362</v>
      </c>
      <c r="C943" s="3">
        <f>AUD!C943</f>
        <v>1.0337000000000001</v>
      </c>
      <c r="D943" s="3">
        <f>1/CAD!B943</f>
        <v>0.97837784952548679</v>
      </c>
      <c r="E943" s="3">
        <f>1/CAD!C943</f>
        <v>0.97770825185764576</v>
      </c>
      <c r="F943" s="3">
        <f>EUR!B943/1</f>
        <v>1.3073999999999999</v>
      </c>
      <c r="G943" s="3">
        <f>EUR!C943/1</f>
        <v>1.3077000000000001</v>
      </c>
      <c r="H943" s="3">
        <f>GBP!B943/1</f>
        <v>1.5301</v>
      </c>
      <c r="I943" s="3">
        <f>GBP!C943/1</f>
        <v>1.5298</v>
      </c>
      <c r="J943" s="4">
        <f>1/INR!B943</f>
        <v>1.8365472910927456E-2</v>
      </c>
      <c r="K943" s="4">
        <f>1/INR!C943</f>
        <v>1.8241517694272163E-2</v>
      </c>
      <c r="L943" s="4">
        <f>1/JPY!B943</f>
        <v>1.0243487702693012E-2</v>
      </c>
      <c r="M943" s="4">
        <f>1/JPY!C943</f>
        <v>1.0244977911827623E-2</v>
      </c>
      <c r="N943" s="5">
        <f>1/KRW!B943</f>
        <v>8.9533530307099997E-4</v>
      </c>
      <c r="O943" s="5">
        <f>1/KRW!C943</f>
        <v>8.9531438113945054E-4</v>
      </c>
      <c r="P943" s="3">
        <f>1/NOK!B943</f>
        <v>0.17397052939232094</v>
      </c>
      <c r="Q943" s="3">
        <f>1/NOK!C943</f>
        <v>0.17374081345448858</v>
      </c>
      <c r="R943" s="3">
        <f>NZD!B943/1</f>
        <v>0.84789999999999999</v>
      </c>
      <c r="S943" s="3">
        <f>NZD!C943/1</f>
        <v>0.84599999999999997</v>
      </c>
      <c r="T943" s="4">
        <f>1/PHP!B943</f>
        <v>2.4183796856106408E-2</v>
      </c>
      <c r="U943" s="4">
        <f>1/PHP!C943</f>
        <v>2.4179001987513965E-2</v>
      </c>
      <c r="V943" s="4">
        <f>1/TWD!B943</f>
        <v>3.3430839949853741E-2</v>
      </c>
      <c r="W943" s="4">
        <f>1/TWD!C943</f>
        <v>3.3430839949853741E-2</v>
      </c>
      <c r="X943" s="4">
        <f>1/TWD!B943</f>
        <v>3.3430839949853741E-2</v>
      </c>
      <c r="Y943" s="4">
        <f>1/TWD!C943</f>
        <v>3.3430839949853741E-2</v>
      </c>
      <c r="Z943" s="4">
        <f>1/ZAR!B943</f>
        <v>0.10914290080001746</v>
      </c>
      <c r="AA943" s="4">
        <f>1/ZAR!C943</f>
        <v>0.1087027414831402</v>
      </c>
    </row>
    <row r="944" spans="1:27" x14ac:dyDescent="0.25">
      <c r="A944" t="str">
        <f>"17/04/2013"</f>
        <v>17/04/2013</v>
      </c>
      <c r="B944" s="3">
        <f>AUD!B944</f>
        <v>1.0346</v>
      </c>
      <c r="C944" s="3">
        <f>AUD!C944</f>
        <v>1.0322</v>
      </c>
      <c r="D944" s="3">
        <f>1/CAD!B944</f>
        <v>0.97761266986020146</v>
      </c>
      <c r="E944" s="3">
        <f>1/CAD!C944</f>
        <v>0.97684868613851705</v>
      </c>
      <c r="F944" s="3">
        <f>EUR!B944/1</f>
        <v>1.3171999999999999</v>
      </c>
      <c r="G944" s="3">
        <f>EUR!C944/1</f>
        <v>1.3173999999999999</v>
      </c>
      <c r="H944" s="3">
        <f>GBP!B944/1</f>
        <v>1.5353000000000001</v>
      </c>
      <c r="I944" s="3">
        <f>GBP!C944/1</f>
        <v>1.5349999999999999</v>
      </c>
      <c r="J944" s="4">
        <f>1/INR!B944</f>
        <v>1.8484288354898334E-2</v>
      </c>
      <c r="K944" s="4">
        <f>1/INR!C944</f>
        <v>1.8368002938880468E-2</v>
      </c>
      <c r="L944" s="4">
        <f>1/JPY!B944</f>
        <v>1.0187884974703482E-2</v>
      </c>
      <c r="M944" s="4">
        <f>1/JPY!C944</f>
        <v>1.0189182552451366E-2</v>
      </c>
      <c r="N944" s="5">
        <f>1/KRW!B944</f>
        <v>8.9501476774366776E-4</v>
      </c>
      <c r="O944" s="5">
        <f>1/KRW!C944</f>
        <v>8.9499714495910767E-4</v>
      </c>
      <c r="P944" s="3">
        <f>1/NOK!B944</f>
        <v>0.17441353449027644</v>
      </c>
      <c r="Q944" s="3">
        <f>1/NOK!C944</f>
        <v>0.17419781904330559</v>
      </c>
      <c r="R944" s="3">
        <f>NZD!B944/1</f>
        <v>0.84599999999999997</v>
      </c>
      <c r="S944" s="3">
        <f>NZD!C944/1</f>
        <v>0.84419999999999995</v>
      </c>
      <c r="T944" s="4">
        <f>1/PHP!B944</f>
        <v>2.42101440503571E-2</v>
      </c>
      <c r="U944" s="4">
        <f>1/PHP!C944</f>
        <v>2.420334683880087E-2</v>
      </c>
      <c r="V944" s="4">
        <f>1/TWD!B944</f>
        <v>3.3468322233006456E-2</v>
      </c>
      <c r="W944" s="4">
        <f>1/TWD!C944</f>
        <v>3.3468434246240658E-2</v>
      </c>
      <c r="X944" s="4">
        <f>1/TWD!B944</f>
        <v>3.3468322233006456E-2</v>
      </c>
      <c r="Y944" s="4">
        <f>1/TWD!C944</f>
        <v>3.3468434246240658E-2</v>
      </c>
      <c r="Z944" s="4">
        <f>1/ZAR!B944</f>
        <v>0.10944990477858285</v>
      </c>
      <c r="AA944" s="4">
        <f>1/ZAR!C944</f>
        <v>0.10897638481741008</v>
      </c>
    </row>
    <row r="945" spans="1:27" x14ac:dyDescent="0.25">
      <c r="A945" t="str">
        <f>"18/04/2013"</f>
        <v>18/04/2013</v>
      </c>
      <c r="B945" s="3">
        <f>AUD!B945</f>
        <v>1.0307999999999999</v>
      </c>
      <c r="C945" s="3">
        <f>AUD!C945</f>
        <v>1.0284</v>
      </c>
      <c r="D945" s="3">
        <f>1/CAD!B945</f>
        <v>0.97522917885703131</v>
      </c>
      <c r="E945" s="3">
        <f>1/CAD!C945</f>
        <v>0.97456388266250848</v>
      </c>
      <c r="F945" s="3">
        <f>EUR!B945/1</f>
        <v>1.306</v>
      </c>
      <c r="G945" s="3">
        <f>EUR!C945/1</f>
        <v>1.3062</v>
      </c>
      <c r="H945" s="3">
        <f>GBP!B945/1</f>
        <v>1.5253000000000001</v>
      </c>
      <c r="I945" s="3">
        <f>GBP!C945/1</f>
        <v>1.5249999999999999</v>
      </c>
      <c r="J945" s="4">
        <f>1/INR!B945</f>
        <v>1.8485142566662047E-2</v>
      </c>
      <c r="K945" s="4">
        <f>1/INR!C945</f>
        <v>1.8368846436443792E-2</v>
      </c>
      <c r="L945" s="4">
        <f>1/JPY!B945</f>
        <v>1.0180189351521938E-2</v>
      </c>
      <c r="M945" s="4">
        <f>1/JPY!C945</f>
        <v>1.0181536801164768E-2</v>
      </c>
      <c r="N945" s="5">
        <f>1/KRW!B945</f>
        <v>8.9353527230487417E-4</v>
      </c>
      <c r="O945" s="5">
        <f>1/KRW!C945</f>
        <v>8.9352209881192826E-4</v>
      </c>
      <c r="P945" s="3">
        <f>1/NOK!B945</f>
        <v>0.17243163085836466</v>
      </c>
      <c r="Q945" s="3">
        <f>1/NOK!C945</f>
        <v>0.17223561832586978</v>
      </c>
      <c r="R945" s="3">
        <f>NZD!B945/1</f>
        <v>0.84540000000000004</v>
      </c>
      <c r="S945" s="3">
        <f>NZD!C945/1</f>
        <v>0.84370000000000001</v>
      </c>
      <c r="T945" s="4">
        <f>1/PHP!B945</f>
        <v>2.4235080278703421E-2</v>
      </c>
      <c r="U945" s="4">
        <f>1/PHP!C945</f>
        <v>2.4229384428259216E-2</v>
      </c>
      <c r="V945" s="4">
        <f>1/TWD!B945</f>
        <v>3.3444816053511704E-2</v>
      </c>
      <c r="W945" s="4">
        <f>1/TWD!C945</f>
        <v>3.3444816053511704E-2</v>
      </c>
      <c r="X945" s="4">
        <f>1/TWD!B945</f>
        <v>3.3444816053511704E-2</v>
      </c>
      <c r="Y945" s="4">
        <f>1/TWD!C945</f>
        <v>3.3444816053511704E-2</v>
      </c>
      <c r="Z945" s="4">
        <f>1/ZAR!B945</f>
        <v>0.10880682436402411</v>
      </c>
      <c r="AA945" s="4">
        <f>1/ZAR!C945</f>
        <v>0.10835527527657685</v>
      </c>
    </row>
    <row r="946" spans="1:27" x14ac:dyDescent="0.25">
      <c r="A946" t="str">
        <f>"22/04/2013"</f>
        <v>22/04/2013</v>
      </c>
      <c r="B946" s="3">
        <f>AUD!B946</f>
        <v>1.0296000000000001</v>
      </c>
      <c r="C946" s="3">
        <f>AUD!C946</f>
        <v>1.0271999999999999</v>
      </c>
      <c r="D946" s="3">
        <f>1/CAD!B946</f>
        <v>0.97522917885703131</v>
      </c>
      <c r="E946" s="3">
        <f>1/CAD!C946</f>
        <v>0.97446891444162931</v>
      </c>
      <c r="F946" s="3">
        <f>EUR!B946/1</f>
        <v>1.3071999999999999</v>
      </c>
      <c r="G946" s="3">
        <f>EUR!C946/1</f>
        <v>1.3073999999999999</v>
      </c>
      <c r="H946" s="3">
        <f>GBP!B946/1</f>
        <v>1.5226999999999999</v>
      </c>
      <c r="I946" s="3">
        <f>GBP!C946/1</f>
        <v>1.5224</v>
      </c>
      <c r="J946" s="4">
        <f>1/INR!B946</f>
        <v>1.8510805682817346E-2</v>
      </c>
      <c r="K946" s="4">
        <f>1/INR!C946</f>
        <v>1.8384042650978948E-2</v>
      </c>
      <c r="L946" s="4">
        <f>1/JPY!B946</f>
        <v>1.0015925321260805E-2</v>
      </c>
      <c r="M946" s="4">
        <f>1/JPY!C946</f>
        <v>1.0017109222552119E-2</v>
      </c>
      <c r="N946" s="5">
        <f>1/KRW!B946</f>
        <v>8.9184585336270477E-4</v>
      </c>
      <c r="O946" s="5">
        <f>1/KRW!C946</f>
        <v>8.9182413977095993E-4</v>
      </c>
      <c r="P946" s="3">
        <f>1/NOK!B946</f>
        <v>0.17211111493580256</v>
      </c>
      <c r="Q946" s="3">
        <f>1/NOK!C946</f>
        <v>0.17191287455517543</v>
      </c>
      <c r="R946" s="3">
        <f>NZD!B946/1</f>
        <v>0.84370000000000001</v>
      </c>
      <c r="S946" s="3">
        <f>NZD!C946/1</f>
        <v>0.84199999999999997</v>
      </c>
      <c r="T946" s="4">
        <f>1/PHP!B946</f>
        <v>2.4313153415998053E-2</v>
      </c>
      <c r="U946" s="4">
        <f>1/PHP!C946</f>
        <v>2.4306002853524737E-2</v>
      </c>
      <c r="V946" s="4">
        <f>1/TWD!B946</f>
        <v>3.3525546466407402E-2</v>
      </c>
      <c r="W946" s="4">
        <f>1/TWD!C946</f>
        <v>3.3525658863010808E-2</v>
      </c>
      <c r="X946" s="4">
        <f>1/TWD!B946</f>
        <v>3.3525546466407402E-2</v>
      </c>
      <c r="Y946" s="4">
        <f>1/TWD!C946</f>
        <v>3.3525658863010808E-2</v>
      </c>
      <c r="Z946" s="4">
        <f>1/ZAR!B946</f>
        <v>0.1085316749693398</v>
      </c>
      <c r="AA946" s="4">
        <f>1/ZAR!C946</f>
        <v>0.10809174827593661</v>
      </c>
    </row>
    <row r="947" spans="1:27" x14ac:dyDescent="0.25">
      <c r="A947" t="str">
        <f>"23/04/2013"</f>
        <v>23/04/2013</v>
      </c>
      <c r="B947" s="3">
        <f>AUD!B947</f>
        <v>1.0234000000000001</v>
      </c>
      <c r="C947" s="3">
        <f>AUD!C947</f>
        <v>1.0208999999999999</v>
      </c>
      <c r="D947" s="3">
        <f>1/CAD!B947</f>
        <v>0.97333073778469914</v>
      </c>
      <c r="E947" s="3">
        <f>1/CAD!C947</f>
        <v>0.97266802840190647</v>
      </c>
      <c r="F947" s="3">
        <f>EUR!B947/1</f>
        <v>1.3039000000000001</v>
      </c>
      <c r="G947" s="3">
        <f>EUR!C947/1</f>
        <v>1.3042</v>
      </c>
      <c r="H947" s="3">
        <f>GBP!B947/1</f>
        <v>1.5263</v>
      </c>
      <c r="I947" s="3">
        <f>GBP!C947/1</f>
        <v>1.5259</v>
      </c>
      <c r="J947" s="4">
        <f>1/INR!B947</f>
        <v>1.8406037180195105E-2</v>
      </c>
      <c r="K947" s="4">
        <f>1/INR!C947</f>
        <v>1.8284042601819261E-2</v>
      </c>
      <c r="L947" s="4">
        <f>1/JPY!B947</f>
        <v>1.0122943144489829E-2</v>
      </c>
      <c r="M947" s="4">
        <f>1/JPY!C947</f>
        <v>1.0124213981337024E-2</v>
      </c>
      <c r="N947" s="5">
        <f>1/KRW!B947</f>
        <v>8.9134503966485418E-4</v>
      </c>
      <c r="O947" s="5">
        <f>1/KRW!C947</f>
        <v>8.913234298981252E-4</v>
      </c>
      <c r="P947" s="3">
        <f>1/NOK!B947</f>
        <v>0.17053206002728513</v>
      </c>
      <c r="Q947" s="3">
        <f>1/NOK!C947</f>
        <v>0.17032003133888576</v>
      </c>
      <c r="R947" s="3">
        <f>NZD!B947/1</f>
        <v>0.83899999999999997</v>
      </c>
      <c r="S947" s="3">
        <f>NZD!C947/1</f>
        <v>0.83709999999999996</v>
      </c>
      <c r="T947" s="4">
        <f>1/PHP!B947</f>
        <v>2.420721374969741E-2</v>
      </c>
      <c r="U947" s="4">
        <f>1/PHP!C947</f>
        <v>2.419936404071301E-2</v>
      </c>
      <c r="V947" s="4">
        <f>1/TWD!B947</f>
        <v>3.3471682956219037E-2</v>
      </c>
      <c r="W947" s="4">
        <f>1/TWD!C947</f>
        <v>3.3471682956219037E-2</v>
      </c>
      <c r="X947" s="4">
        <f>1/TWD!B947</f>
        <v>3.3471682956219037E-2</v>
      </c>
      <c r="Y947" s="4">
        <f>1/TWD!C947</f>
        <v>3.3471682956219037E-2</v>
      </c>
      <c r="Z947" s="4">
        <f>1/ZAR!B947</f>
        <v>0.10799369316831897</v>
      </c>
      <c r="AA947" s="4">
        <f>1/ZAR!C947</f>
        <v>0.10755926515510046</v>
      </c>
    </row>
    <row r="948" spans="1:27" x14ac:dyDescent="0.25">
      <c r="A948" t="str">
        <f>"25/04/2013"</f>
        <v>25/04/2013</v>
      </c>
      <c r="B948" s="3">
        <f>AUD!B948</f>
        <v>1.0310999999999999</v>
      </c>
      <c r="C948" s="3">
        <f>AUD!C948</f>
        <v>1.0286999999999999</v>
      </c>
      <c r="D948" s="3">
        <f>1/CAD!B948</f>
        <v>0.97703957010258913</v>
      </c>
      <c r="E948" s="3">
        <f>1/CAD!C948</f>
        <v>0.97637180238234722</v>
      </c>
      <c r="F948" s="3">
        <f>EUR!B948/1</f>
        <v>1.3042</v>
      </c>
      <c r="G948" s="3">
        <f>EUR!C948/1</f>
        <v>1.3044</v>
      </c>
      <c r="H948" s="3">
        <f>GBP!B948/1</f>
        <v>1.5315000000000001</v>
      </c>
      <c r="I948" s="3">
        <f>GBP!C948/1</f>
        <v>1.5311999999999999</v>
      </c>
      <c r="J948" s="4">
        <f>1/INR!B948</f>
        <v>1.8450184501845018E-2</v>
      </c>
      <c r="K948" s="4">
        <f>1/INR!C948</f>
        <v>1.8335166850018337E-2</v>
      </c>
      <c r="L948" s="4">
        <f>1/JPY!B948</f>
        <v>1.0062943712924342E-2</v>
      </c>
      <c r="M948" s="4">
        <f>1/JPY!C948</f>
        <v>1.0064473014128508E-2</v>
      </c>
      <c r="N948" s="5">
        <f>1/KRW!B948</f>
        <v>8.9806915132465196E-4</v>
      </c>
      <c r="O948" s="5">
        <f>1/KRW!C948</f>
        <v>8.9805044026024781E-4</v>
      </c>
      <c r="P948" s="3">
        <f>1/NOK!B948</f>
        <v>0.16987734855434378</v>
      </c>
      <c r="Q948" s="3">
        <f>1/NOK!C948</f>
        <v>0.16968421767091443</v>
      </c>
      <c r="R948" s="3">
        <f>NZD!B948/1</f>
        <v>0.85299999999999998</v>
      </c>
      <c r="S948" s="3">
        <f>NZD!C948/1</f>
        <v>0.85119999999999996</v>
      </c>
      <c r="T948" s="4">
        <f>1/PHP!B948</f>
        <v>2.4198427102238351E-2</v>
      </c>
      <c r="U948" s="4">
        <f>1/PHP!C948</f>
        <v>2.4179177376027313E-2</v>
      </c>
      <c r="V948" s="4">
        <f>1/TWD!B948</f>
        <v>3.3660966742964857E-2</v>
      </c>
      <c r="W948" s="4">
        <f>1/TWD!C948</f>
        <v>3.3661080049414469E-2</v>
      </c>
      <c r="X948" s="4">
        <f>1/TWD!B948</f>
        <v>3.3660966742964857E-2</v>
      </c>
      <c r="Y948" s="4">
        <f>1/TWD!C948</f>
        <v>3.3661080049414469E-2</v>
      </c>
      <c r="Z948" s="4">
        <f>1/ZAR!B948</f>
        <v>0.10989856362577342</v>
      </c>
      <c r="AA948" s="4">
        <f>1/ZAR!C948</f>
        <v>0.10942235936491262</v>
      </c>
    </row>
    <row r="949" spans="1:27" x14ac:dyDescent="0.25">
      <c r="A949" t="str">
        <f>"26/04/2013"</f>
        <v>26/04/2013</v>
      </c>
      <c r="B949" s="3">
        <f>AUD!B949</f>
        <v>1.0313000000000001</v>
      </c>
      <c r="C949" s="3">
        <f>AUD!C949</f>
        <v>1.0288999999999999</v>
      </c>
      <c r="D949" s="3">
        <f>1/CAD!B949</f>
        <v>0.98068059233107774</v>
      </c>
      <c r="E949" s="3">
        <f>1/CAD!C949</f>
        <v>0.97991180793728572</v>
      </c>
      <c r="F949" s="3">
        <f>EUR!B949/1</f>
        <v>1.3043</v>
      </c>
      <c r="G949" s="3">
        <f>EUR!C949/1</f>
        <v>1.3046</v>
      </c>
      <c r="H949" s="3">
        <f>GBP!B949/1</f>
        <v>1.5465</v>
      </c>
      <c r="I949" s="3">
        <f>GBP!C949/1</f>
        <v>1.5461</v>
      </c>
      <c r="J949" s="4">
        <f>1/INR!B949</f>
        <v>1.8451886705415629E-2</v>
      </c>
      <c r="K949" s="4">
        <f>1/INR!C949</f>
        <v>1.8286550242296789E-2</v>
      </c>
      <c r="L949" s="4">
        <f>1/JPY!B949</f>
        <v>1.009224310195184E-2</v>
      </c>
      <c r="M949" s="4">
        <f>1/JPY!C949</f>
        <v>1.0093913773750979E-2</v>
      </c>
      <c r="N949" s="5">
        <f>1/KRW!B949</f>
        <v>9.014693951140359E-4</v>
      </c>
      <c r="O949" s="5">
        <f>1/KRW!C949</f>
        <v>9.0145639294844746E-4</v>
      </c>
      <c r="P949" s="3">
        <f>1/NOK!B949</f>
        <v>0.17067759003242874</v>
      </c>
      <c r="Q949" s="3">
        <f>1/NOK!C949</f>
        <v>0.17047682367582129</v>
      </c>
      <c r="R949" s="3">
        <f>NZD!B949/1</f>
        <v>0.85289999999999999</v>
      </c>
      <c r="S949" s="3">
        <f>NZD!C949/1</f>
        <v>0.85109999999999997</v>
      </c>
      <c r="T949" s="4">
        <f>1/PHP!B949</f>
        <v>2.4265954865323951E-2</v>
      </c>
      <c r="U949" s="4">
        <f>1/PHP!C949</f>
        <v>2.4237312372905596E-2</v>
      </c>
      <c r="V949" s="4">
        <f>1/TWD!B949</f>
        <v>3.3740468317700251E-2</v>
      </c>
      <c r="W949" s="4">
        <f>1/TWD!C949</f>
        <v>3.3740468317700251E-2</v>
      </c>
      <c r="X949" s="4">
        <f>1/TWD!B949</f>
        <v>3.3740468317700251E-2</v>
      </c>
      <c r="Y949" s="4">
        <f>1/TWD!C949</f>
        <v>3.3740468317700251E-2</v>
      </c>
      <c r="Z949" s="4">
        <f>1/ZAR!B949</f>
        <v>0.11009093511240285</v>
      </c>
      <c r="AA949" s="4">
        <f>1/ZAR!C949</f>
        <v>0.10965032511321397</v>
      </c>
    </row>
    <row r="950" spans="1:27" x14ac:dyDescent="0.25">
      <c r="A950" t="str">
        <f>"29/04/2013"</f>
        <v>29/04/2013</v>
      </c>
      <c r="B950" s="3">
        <f>AUD!B950</f>
        <v>1.0317000000000001</v>
      </c>
      <c r="C950" s="3">
        <f>AUD!C950</f>
        <v>1.0290999999999999</v>
      </c>
      <c r="D950" s="3">
        <f>1/CAD!B950</f>
        <v>0.98493056239535104</v>
      </c>
      <c r="E950" s="3">
        <f>1/CAD!C950</f>
        <v>0.98415510284420826</v>
      </c>
      <c r="F950" s="3">
        <f>EUR!B950/1</f>
        <v>1.3048</v>
      </c>
      <c r="G950" s="3">
        <f>EUR!C950/1</f>
        <v>1.3050999999999999</v>
      </c>
      <c r="H950" s="3">
        <f>GBP!B950/1</f>
        <v>1.552</v>
      </c>
      <c r="I950" s="3">
        <f>GBP!C950/1</f>
        <v>1.5516000000000001</v>
      </c>
      <c r="J950" s="4">
        <f>1/INR!B950</f>
        <v>1.8400956849756189E-2</v>
      </c>
      <c r="K950" s="4">
        <f>1/INR!C950</f>
        <v>1.8282371223547696E-2</v>
      </c>
      <c r="L950" s="4">
        <f>1/JPY!B950</f>
        <v>1.0247161536254459E-2</v>
      </c>
      <c r="M950" s="4">
        <f>1/JPY!C950</f>
        <v>1.0248442749124271E-2</v>
      </c>
      <c r="N950" s="5">
        <f>1/KRW!B950</f>
        <v>9.0279188390096372E-4</v>
      </c>
      <c r="O950" s="5">
        <f>1/KRW!C950</f>
        <v>9.0277256802774987E-4</v>
      </c>
      <c r="P950" s="3">
        <f>1/NOK!B950</f>
        <v>0.17097816608819053</v>
      </c>
      <c r="Q950" s="3">
        <f>1/NOK!C950</f>
        <v>0.17077085966050753</v>
      </c>
      <c r="R950" s="3">
        <f>NZD!B950/1</f>
        <v>0.85270000000000001</v>
      </c>
      <c r="S950" s="3">
        <f>NZD!C950/1</f>
        <v>0.85070000000000001</v>
      </c>
      <c r="T950" s="4">
        <f>1/PHP!B950</f>
        <v>2.4277737314882253E-2</v>
      </c>
      <c r="U950" s="4">
        <f>1/PHP!C950</f>
        <v>2.4248596612471054E-2</v>
      </c>
      <c r="V950" s="4">
        <f>1/TWD!B950</f>
        <v>3.3829499323410013E-2</v>
      </c>
      <c r="W950" s="4">
        <f>1/TWD!C950</f>
        <v>3.3829613767299621E-2</v>
      </c>
      <c r="X950" s="4">
        <f>1/TWD!B950</f>
        <v>3.3829499323410013E-2</v>
      </c>
      <c r="Y950" s="4">
        <f>1/TWD!C950</f>
        <v>3.3829613767299621E-2</v>
      </c>
      <c r="Z950" s="4">
        <f>1/ZAR!B950</f>
        <v>0.10991426687183996</v>
      </c>
      <c r="AA950" s="4">
        <f>1/ZAR!C950</f>
        <v>0.10945709281961472</v>
      </c>
    </row>
    <row r="951" spans="1:27" x14ac:dyDescent="0.25">
      <c r="A951" t="str">
        <f>"30/04/2013"</f>
        <v>30/04/2013</v>
      </c>
      <c r="B951" s="3">
        <f>AUD!B951</f>
        <v>1.0354000000000001</v>
      </c>
      <c r="C951" s="3">
        <f>AUD!C951</f>
        <v>1.0328999999999999</v>
      </c>
      <c r="D951" s="3">
        <f>1/CAD!B951</f>
        <v>0.98833761612966986</v>
      </c>
      <c r="E951" s="3">
        <f>1/CAD!C951</f>
        <v>0.98755678451510964</v>
      </c>
      <c r="F951" s="3">
        <f>EUR!B951/1</f>
        <v>1.3096000000000001</v>
      </c>
      <c r="G951" s="3">
        <f>EUR!C951/1</f>
        <v>1.3098000000000001</v>
      </c>
      <c r="H951" s="3">
        <f>GBP!B951/1</f>
        <v>1.5488</v>
      </c>
      <c r="I951" s="3">
        <f>GBP!C951/1</f>
        <v>1.5485</v>
      </c>
      <c r="J951" s="4">
        <f>1/INR!B951</f>
        <v>1.8462106526354657E-2</v>
      </c>
      <c r="K951" s="4">
        <f>1/INR!C951</f>
        <v>1.8349465571815219E-2</v>
      </c>
      <c r="L951" s="4">
        <f>1/JPY!B951</f>
        <v>1.0208977775055384E-2</v>
      </c>
      <c r="M951" s="4">
        <f>1/JPY!C951</f>
        <v>1.0210364132216047E-2</v>
      </c>
      <c r="N951" s="5">
        <f>1/KRW!B951</f>
        <v>9.0777051561365292E-4</v>
      </c>
      <c r="O951" s="5">
        <f>1/KRW!C951</f>
        <v>9.0775774306007845E-4</v>
      </c>
      <c r="P951" s="3">
        <f>1/NOK!B951</f>
        <v>0.1718537867981921</v>
      </c>
      <c r="Q951" s="3">
        <f>1/NOK!C951</f>
        <v>0.17164729912974819</v>
      </c>
      <c r="R951" s="3">
        <f>NZD!B951/1</f>
        <v>0.85589999999999999</v>
      </c>
      <c r="S951" s="3">
        <f>NZD!C951/1</f>
        <v>0.85399999999999998</v>
      </c>
      <c r="T951" s="4">
        <f>1/PHP!B951</f>
        <v>2.4313153415998053E-2</v>
      </c>
      <c r="U951" s="4">
        <f>1/PHP!C951</f>
        <v>2.4271078825182698E-2</v>
      </c>
      <c r="V951" s="4">
        <f>1/TWD!B951</f>
        <v>3.3904051534158333E-2</v>
      </c>
      <c r="W951" s="4">
        <f>1/TWD!C951</f>
        <v>3.3904051534158333E-2</v>
      </c>
      <c r="X951" s="4">
        <f>1/TWD!B951</f>
        <v>3.3904051534158333E-2</v>
      </c>
      <c r="Y951" s="4">
        <f>1/TWD!C951</f>
        <v>3.3904051534158333E-2</v>
      </c>
      <c r="Z951" s="4">
        <f>1/ZAR!B951</f>
        <v>0.11123841729979866</v>
      </c>
      <c r="AA951" s="4">
        <f>1/ZAR!C951</f>
        <v>0.11075300971303896</v>
      </c>
    </row>
    <row r="952" spans="1:27" x14ac:dyDescent="0.25">
      <c r="A952" t="str">
        <f>"02/05/2013"</f>
        <v>02/05/2013</v>
      </c>
      <c r="B952" s="3">
        <f>AUD!B952</f>
        <v>1.0247999999999999</v>
      </c>
      <c r="C952" s="3">
        <f>AUD!C952</f>
        <v>1.0225</v>
      </c>
      <c r="D952" s="3">
        <f>1/CAD!B952</f>
        <v>0.99196508282908447</v>
      </c>
      <c r="E952" s="3">
        <f>1/CAD!C952</f>
        <v>0.99127676447264079</v>
      </c>
      <c r="F952" s="3">
        <f>EUR!B952/1</f>
        <v>1.3170999999999999</v>
      </c>
      <c r="G952" s="3">
        <f>EUR!C952/1</f>
        <v>1.3173999999999999</v>
      </c>
      <c r="H952" s="3">
        <f>GBP!B952/1</f>
        <v>1.5553999999999999</v>
      </c>
      <c r="I952" s="3">
        <f>GBP!C952/1</f>
        <v>1.5549999999999999</v>
      </c>
      <c r="J952" s="4">
        <f>1/INR!B952</f>
        <v>1.8604651162790697E-2</v>
      </c>
      <c r="K952" s="4">
        <f>1/INR!C952</f>
        <v>1.8489414810021261E-2</v>
      </c>
      <c r="L952" s="4">
        <f>1/JPY!B952</f>
        <v>1.0279235430468681E-2</v>
      </c>
      <c r="M952" s="4">
        <f>1/JPY!C952</f>
        <v>1.0280714920915601E-2</v>
      </c>
      <c r="N952" s="5">
        <f>1/KRW!B952</f>
        <v>9.0966978986627861E-4</v>
      </c>
      <c r="O952" s="5">
        <f>1/KRW!C952</f>
        <v>9.0965572259866807E-4</v>
      </c>
      <c r="P952" s="3">
        <f>1/NOK!B952</f>
        <v>0.17319916171605729</v>
      </c>
      <c r="Q952" s="3">
        <f>1/NOK!C952</f>
        <v>0.17299242293187558</v>
      </c>
      <c r="R952" s="3">
        <f>NZD!B952/1</f>
        <v>0.84950000000000003</v>
      </c>
      <c r="S952" s="3">
        <f>NZD!C952/1</f>
        <v>0.84770000000000001</v>
      </c>
      <c r="T952" s="4">
        <f>1/PHP!B952</f>
        <v>2.4260067928190198E-2</v>
      </c>
      <c r="U952" s="4">
        <f>1/PHP!C952</f>
        <v>2.4223691254520747E-2</v>
      </c>
      <c r="V952" s="4">
        <f>1/TWD!B952</f>
        <v>3.3829499323410013E-2</v>
      </c>
      <c r="W952" s="4">
        <f>1/TWD!C952</f>
        <v>3.3829499323410013E-2</v>
      </c>
      <c r="X952" s="4">
        <f>1/TWD!B952</f>
        <v>3.3829499323410013E-2</v>
      </c>
      <c r="Y952" s="4">
        <f>1/TWD!C952</f>
        <v>3.3829499323410013E-2</v>
      </c>
      <c r="Z952" s="4">
        <f>1/ZAR!B952</f>
        <v>0.11056320898657762</v>
      </c>
      <c r="AA952" s="4">
        <f>1/ZAR!C952</f>
        <v>0.11009941977605776</v>
      </c>
    </row>
    <row r="953" spans="1:27" x14ac:dyDescent="0.25">
      <c r="A953" t="str">
        <f>"03/05/2013"</f>
        <v>03/05/2013</v>
      </c>
      <c r="B953" s="3">
        <f>AUD!B953</f>
        <v>1.0266999999999999</v>
      </c>
      <c r="C953" s="3">
        <f>AUD!C953</f>
        <v>1.0243</v>
      </c>
      <c r="D953" s="3">
        <f>1/CAD!B953</f>
        <v>0.98872849515523031</v>
      </c>
      <c r="E953" s="3">
        <f>1/CAD!C953</f>
        <v>0.98804465961861476</v>
      </c>
      <c r="F953" s="3">
        <f>EUR!B953/1</f>
        <v>1.3071999999999999</v>
      </c>
      <c r="G953" s="3">
        <f>EUR!C953/1</f>
        <v>1.3073999999999999</v>
      </c>
      <c r="H953" s="3">
        <f>GBP!B953/1</f>
        <v>1.5523</v>
      </c>
      <c r="I953" s="3">
        <f>GBP!C953/1</f>
        <v>1.552</v>
      </c>
      <c r="J953" s="4">
        <f>1/INR!B953</f>
        <v>1.8538258330629838E-2</v>
      </c>
      <c r="K953" s="4">
        <f>1/INR!C953</f>
        <v>1.8422991893883568E-2</v>
      </c>
      <c r="L953" s="4">
        <f>1/JPY!B953</f>
        <v>1.0203561042803939E-2</v>
      </c>
      <c r="M953" s="4">
        <f>1/JPY!C953</f>
        <v>1.0205018828259738E-2</v>
      </c>
      <c r="N953" s="5">
        <f>1/KRW!B953</f>
        <v>9.0971116670457127E-4</v>
      </c>
      <c r="O953" s="5">
        <f>1/KRW!C953</f>
        <v>9.0969453276314898E-4</v>
      </c>
      <c r="P953" s="3">
        <f>1/NOK!B953</f>
        <v>0.17232169013113682</v>
      </c>
      <c r="Q953" s="3">
        <f>1/NOK!C953</f>
        <v>0.17211407721037503</v>
      </c>
      <c r="R953" s="3">
        <f>NZD!B953/1</f>
        <v>0.85270000000000001</v>
      </c>
      <c r="S953" s="3">
        <f>NZD!C953/1</f>
        <v>0.85089999999999999</v>
      </c>
      <c r="T953" s="4">
        <f>1/PHP!B953</f>
        <v>2.4409592970037225E-2</v>
      </c>
      <c r="U953" s="4">
        <f>1/PHP!C953</f>
        <v>2.437864917904899E-2</v>
      </c>
      <c r="V953" s="4">
        <f>1/TWD!B953</f>
        <v>3.3861573885954219E-2</v>
      </c>
      <c r="W953" s="4">
        <f>1/TWD!C953</f>
        <v>3.3861573885954219E-2</v>
      </c>
      <c r="X953" s="4">
        <f>1/TWD!B953</f>
        <v>3.3861573885954219E-2</v>
      </c>
      <c r="Y953" s="4">
        <f>1/TWD!C953</f>
        <v>3.3861573885954219E-2</v>
      </c>
      <c r="Z953" s="4">
        <f>1/ZAR!B953</f>
        <v>0.11170188999597873</v>
      </c>
      <c r="AA953" s="4">
        <f>1/ZAR!C953</f>
        <v>0.11123594255775926</v>
      </c>
    </row>
    <row r="954" spans="1:27" x14ac:dyDescent="0.25">
      <c r="A954" t="str">
        <f>"06/05/2013"</f>
        <v>06/05/2013</v>
      </c>
      <c r="B954" s="3">
        <f>AUD!B954</f>
        <v>1.0283</v>
      </c>
      <c r="C954" s="3">
        <f>AUD!C954</f>
        <v>1.0257000000000001</v>
      </c>
      <c r="D954" s="3">
        <f>1/CAD!B954</f>
        <v>0.99245732433505351</v>
      </c>
      <c r="E954" s="3">
        <f>1/CAD!C954</f>
        <v>0.99176832291976602</v>
      </c>
      <c r="F954" s="3">
        <f>EUR!B954/1</f>
        <v>1.3119000000000001</v>
      </c>
      <c r="G954" s="3">
        <f>EUR!C954/1</f>
        <v>1.3122</v>
      </c>
      <c r="H954" s="3">
        <f>GBP!B954/1</f>
        <v>1.5578000000000001</v>
      </c>
      <c r="I954" s="3">
        <f>GBP!C954/1</f>
        <v>1.5575000000000001</v>
      </c>
      <c r="J954" s="4">
        <f>1/INR!B954</f>
        <v>1.8561484918793503E-2</v>
      </c>
      <c r="K954" s="4">
        <f>1/INR!C954</f>
        <v>1.8439127829253676E-2</v>
      </c>
      <c r="L954" s="4">
        <f>1/JPY!B954</f>
        <v>1.0091530178720999E-2</v>
      </c>
      <c r="M954" s="4">
        <f>1/JPY!C954</f>
        <v>1.0093078368716302E-2</v>
      </c>
      <c r="N954" s="5">
        <f>1/KRW!B954</f>
        <v>9.1382619025861286E-4</v>
      </c>
      <c r="O954" s="5">
        <f>1/KRW!C954</f>
        <v>9.1380673334836237E-4</v>
      </c>
      <c r="P954" s="3">
        <f>1/NOK!B954</f>
        <v>0.17232169013113682</v>
      </c>
      <c r="Q954" s="3">
        <f>1/NOK!C954</f>
        <v>0.17210519069255131</v>
      </c>
      <c r="R954" s="3">
        <f>NZD!B954/1</f>
        <v>0.85429999999999995</v>
      </c>
      <c r="S954" s="3">
        <f>NZD!C954/1</f>
        <v>0.85240000000000005</v>
      </c>
      <c r="T954" s="4">
        <f>1/PHP!B954</f>
        <v>2.4473813020068527E-2</v>
      </c>
      <c r="U954" s="4">
        <f>1/PHP!C954</f>
        <v>2.4453166073677389E-2</v>
      </c>
      <c r="V954" s="4">
        <f>1/TWD!B954</f>
        <v>3.3859280828875196E-2</v>
      </c>
      <c r="W954" s="4">
        <f>1/TWD!C954</f>
        <v>3.3859395474353203E-2</v>
      </c>
      <c r="X954" s="4">
        <f>1/TWD!B954</f>
        <v>3.3859280828875196E-2</v>
      </c>
      <c r="Y954" s="4">
        <f>1/TWD!C954</f>
        <v>3.3859395474353203E-2</v>
      </c>
      <c r="Z954" s="4">
        <f>1/ZAR!B954</f>
        <v>0.11199086154569787</v>
      </c>
      <c r="AA954" s="4">
        <f>1/ZAR!C954</f>
        <v>0.11152001784320285</v>
      </c>
    </row>
    <row r="955" spans="1:27" x14ac:dyDescent="0.25">
      <c r="A955" t="str">
        <f>"07/05/2013"</f>
        <v>07/05/2013</v>
      </c>
      <c r="B955" s="3">
        <f>AUD!B955</f>
        <v>1.0188999999999999</v>
      </c>
      <c r="C955" s="3">
        <f>AUD!C955</f>
        <v>1.0164</v>
      </c>
      <c r="D955" s="3">
        <f>1/CAD!B955</f>
        <v>0.99295005461225294</v>
      </c>
      <c r="E955" s="3">
        <f>1/CAD!C955</f>
        <v>0.99216192082547872</v>
      </c>
      <c r="F955" s="3">
        <f>EUR!B955/1</f>
        <v>1.3087</v>
      </c>
      <c r="G955" s="3">
        <f>EUR!C955/1</f>
        <v>1.3089999999999999</v>
      </c>
      <c r="H955" s="3">
        <f>GBP!B955/1</f>
        <v>1.5543</v>
      </c>
      <c r="I955" s="3">
        <f>GBP!C955/1</f>
        <v>1.5539000000000001</v>
      </c>
      <c r="J955" s="4">
        <f>1/INR!B955</f>
        <v>1.8422991893883568E-2</v>
      </c>
      <c r="K955" s="4">
        <f>1/INR!C955</f>
        <v>1.8305798361631046E-2</v>
      </c>
      <c r="L955" s="4">
        <f>1/JPY!B955</f>
        <v>1.0089544709294993E-2</v>
      </c>
      <c r="M955" s="4">
        <f>1/JPY!C955</f>
        <v>1.0090970095410122E-2</v>
      </c>
      <c r="N955" s="5">
        <f>1/KRW!B955</f>
        <v>9.1390970572107475E-4</v>
      </c>
      <c r="O955" s="5">
        <f>1/KRW!C955</f>
        <v>9.1388874190511619E-4</v>
      </c>
      <c r="P955" s="3">
        <f>1/NOK!B955</f>
        <v>0.17133556069562236</v>
      </c>
      <c r="Q955" s="3">
        <f>1/NOK!C955</f>
        <v>0.17113031573543255</v>
      </c>
      <c r="R955" s="3">
        <f>NZD!B955/1</f>
        <v>0.85060000000000002</v>
      </c>
      <c r="S955" s="3">
        <f>NZD!C955/1</f>
        <v>0.8488</v>
      </c>
      <c r="T955" s="4">
        <f>1/PHP!B955</f>
        <v>2.4437927663734114E-2</v>
      </c>
      <c r="U955" s="4">
        <f>1/PHP!C955</f>
        <v>2.4406912037489015E-2</v>
      </c>
      <c r="V955" s="4">
        <f>1/TWD!B955</f>
        <v>3.3856988082340195E-2</v>
      </c>
      <c r="W955" s="4">
        <f>1/TWD!C955</f>
        <v>3.3857102712292496E-2</v>
      </c>
      <c r="X955" s="4">
        <f>1/TWD!B955</f>
        <v>3.3856988082340195E-2</v>
      </c>
      <c r="Y955" s="4">
        <f>1/TWD!C955</f>
        <v>3.3857102712292496E-2</v>
      </c>
      <c r="Z955" s="4">
        <f>1/ZAR!B955</f>
        <v>0.11096562285004107</v>
      </c>
      <c r="AA955" s="4">
        <f>1/ZAR!C955</f>
        <v>0.11046916253327883</v>
      </c>
    </row>
    <row r="956" spans="1:27" x14ac:dyDescent="0.25">
      <c r="A956" t="str">
        <f>"08/05/2013"</f>
        <v>08/05/2013</v>
      </c>
      <c r="B956" s="3">
        <f>AUD!B956</f>
        <v>1.0184</v>
      </c>
      <c r="C956" s="3">
        <f>AUD!C956</f>
        <v>1.0161</v>
      </c>
      <c r="D956" s="3">
        <f>1/CAD!B956</f>
        <v>0.99482690011937913</v>
      </c>
      <c r="E956" s="3">
        <f>1/CAD!C956</f>
        <v>0.99413460582562874</v>
      </c>
      <c r="F956" s="3">
        <f>EUR!B956/1</f>
        <v>1.3091999999999999</v>
      </c>
      <c r="G956" s="3">
        <f>EUR!C956/1</f>
        <v>1.3093999999999999</v>
      </c>
      <c r="H956" s="3">
        <f>GBP!B956/1</f>
        <v>1.5479000000000001</v>
      </c>
      <c r="I956" s="3">
        <f>GBP!C956/1</f>
        <v>1.5476000000000001</v>
      </c>
      <c r="J956" s="4">
        <f>1/INR!B956</f>
        <v>1.849796522382538E-2</v>
      </c>
      <c r="K956" s="4">
        <f>1/INR!C956</f>
        <v>1.8382352941176471E-2</v>
      </c>
      <c r="L956" s="4">
        <f>1/JPY!B956</f>
        <v>1.0104071940992221E-2</v>
      </c>
      <c r="M956" s="4">
        <f>1/JPY!C956</f>
        <v>1.0105399314853927E-2</v>
      </c>
      <c r="N956" s="5">
        <f>1/KRW!B956</f>
        <v>9.187798603454611E-4</v>
      </c>
      <c r="O956" s="5">
        <f>1/KRW!C956</f>
        <v>9.1876289311452444E-4</v>
      </c>
      <c r="P956" s="3">
        <f>1/NOK!B956</f>
        <v>0.17132968972193191</v>
      </c>
      <c r="Q956" s="3">
        <f>1/NOK!C956</f>
        <v>0.17112445881889898</v>
      </c>
      <c r="R956" s="3">
        <f>NZD!B956/1</f>
        <v>0.83960000000000001</v>
      </c>
      <c r="S956" s="3">
        <f>NZD!C956/1</f>
        <v>0.83789999999999998</v>
      </c>
      <c r="T956" s="4">
        <f>1/PHP!B956</f>
        <v>2.4497795198432142E-2</v>
      </c>
      <c r="U956" s="4">
        <f>1/PHP!C956</f>
        <v>2.4477647012747957E-2</v>
      </c>
      <c r="V956" s="4">
        <f>1/TWD!B956</f>
        <v>3.3929934684875734E-2</v>
      </c>
      <c r="W956" s="4">
        <f>1/TWD!C956</f>
        <v>3.3929934684875734E-2</v>
      </c>
      <c r="X956" s="4">
        <f>1/TWD!B956</f>
        <v>3.3929934684875734E-2</v>
      </c>
      <c r="Y956" s="4">
        <f>1/TWD!C956</f>
        <v>3.3929934684875734E-2</v>
      </c>
      <c r="Z956" s="4">
        <f>1/ZAR!B956</f>
        <v>0.11043988205020597</v>
      </c>
      <c r="AA956" s="4">
        <f>1/ZAR!C956</f>
        <v>0.10995898529848366</v>
      </c>
    </row>
    <row r="957" spans="1:27" x14ac:dyDescent="0.25">
      <c r="A957" t="str">
        <f>"09/05/2013"</f>
        <v>09/05/2013</v>
      </c>
      <c r="B957" s="3">
        <f>AUD!B957</f>
        <v>1.0237000000000001</v>
      </c>
      <c r="C957" s="3">
        <f>AUD!C957</f>
        <v>1.0214000000000001</v>
      </c>
      <c r="D957" s="3">
        <f>1/CAD!B957</f>
        <v>0.99760574620909825</v>
      </c>
      <c r="E957" s="3">
        <f>1/CAD!C957</f>
        <v>0.99690958030106658</v>
      </c>
      <c r="F957" s="3">
        <f>EUR!B957/1</f>
        <v>1.3158000000000001</v>
      </c>
      <c r="G957" s="3">
        <f>EUR!C957/1</f>
        <v>1.3160000000000001</v>
      </c>
      <c r="H957" s="3">
        <f>GBP!B957/1</f>
        <v>1.5536000000000001</v>
      </c>
      <c r="I957" s="3">
        <f>GBP!C957/1</f>
        <v>1.5532999999999999</v>
      </c>
      <c r="J957" s="4">
        <f>1/INR!B957</f>
        <v>1.8434878790671953E-2</v>
      </c>
      <c r="K957" s="4">
        <f>1/INR!C957</f>
        <v>1.8321729571271528E-2</v>
      </c>
      <c r="L957" s="4">
        <f>1/JPY!B957</f>
        <v>1.0125813229374985E-2</v>
      </c>
      <c r="M957" s="4">
        <f>1/JPY!C957</f>
        <v>1.0126992485771575E-2</v>
      </c>
      <c r="N957" s="5">
        <f>1/KRW!B957</f>
        <v>9.1920213254894744E-4</v>
      </c>
      <c r="O957" s="5">
        <f>1/KRW!C957</f>
        <v>9.1918607911066898E-4</v>
      </c>
      <c r="P957" s="3">
        <f>1/NOK!B957</f>
        <v>0.17393421807872264</v>
      </c>
      <c r="Q957" s="3">
        <f>1/NOK!C957</f>
        <v>0.17371666811430556</v>
      </c>
      <c r="R957" s="3">
        <f>NZD!B957/1</f>
        <v>0.8448</v>
      </c>
      <c r="S957" s="3">
        <f>NZD!C957/1</f>
        <v>0.84309999999999996</v>
      </c>
      <c r="T957" s="4">
        <f>1/PHP!B957</f>
        <v>2.4515812699190977E-2</v>
      </c>
      <c r="U957" s="4">
        <f>1/PHP!C957</f>
        <v>2.4496174922285886E-2</v>
      </c>
      <c r="V957" s="4">
        <f>1/TWD!B957</f>
        <v>3.4002040122407345E-2</v>
      </c>
      <c r="W957" s="4">
        <f>1/TWD!C957</f>
        <v>3.4002155736673707E-2</v>
      </c>
      <c r="X957" s="4">
        <f>1/TWD!B957</f>
        <v>3.4002040122407345E-2</v>
      </c>
      <c r="Y957" s="4">
        <f>1/TWD!C957</f>
        <v>3.4002155736673707E-2</v>
      </c>
      <c r="Z957" s="4">
        <f>1/ZAR!B957</f>
        <v>0.11119759813188035</v>
      </c>
      <c r="AA957" s="4">
        <f>1/ZAR!C957</f>
        <v>0.11071744906997343</v>
      </c>
    </row>
    <row r="958" spans="1:27" x14ac:dyDescent="0.25">
      <c r="A958" t="str">
        <f>"10/05/2013"</f>
        <v>10/05/2013</v>
      </c>
      <c r="B958" s="3">
        <f>AUD!B958</f>
        <v>1.0085</v>
      </c>
      <c r="C958" s="3">
        <f>AUD!C958</f>
        <v>1.0063</v>
      </c>
      <c r="D958" s="3">
        <f>1/CAD!B958</f>
        <v>0.99226036912085724</v>
      </c>
      <c r="E958" s="3">
        <f>1/CAD!C958</f>
        <v>0.99147332936744004</v>
      </c>
      <c r="F958" s="3">
        <f>EUR!B958/1</f>
        <v>1.3046</v>
      </c>
      <c r="G958" s="3">
        <f>EUR!C958/1</f>
        <v>1.3048</v>
      </c>
      <c r="H958" s="3">
        <f>GBP!B958/1</f>
        <v>1.5448999999999999</v>
      </c>
      <c r="I958" s="3">
        <f>GBP!C958/1</f>
        <v>1.5445</v>
      </c>
      <c r="J958" s="4">
        <f>1/INR!B958</f>
        <v>1.8336007334402934E-2</v>
      </c>
      <c r="K958" s="4">
        <f>1/INR!C958</f>
        <v>1.8225725611700917E-2</v>
      </c>
      <c r="L958" s="4">
        <f>1/JPY!B958</f>
        <v>9.8987359314215585E-3</v>
      </c>
      <c r="M958" s="4">
        <f>1/JPY!C958</f>
        <v>9.8996178747500357E-3</v>
      </c>
      <c r="N958" s="5">
        <f>1/KRW!B958</f>
        <v>9.05018326621114E-4</v>
      </c>
      <c r="O958" s="5">
        <f>1/KRW!C958</f>
        <v>9.0499424695157215E-4</v>
      </c>
      <c r="P958" s="3">
        <f>1/NOK!B958</f>
        <v>0.17291464932909117</v>
      </c>
      <c r="Q958" s="3">
        <f>1/NOK!C958</f>
        <v>0.17269964078474717</v>
      </c>
      <c r="R958" s="3">
        <f>NZD!B958/1</f>
        <v>0.83779999999999999</v>
      </c>
      <c r="S958" s="3">
        <f>NZD!C958/1</f>
        <v>0.83609999999999995</v>
      </c>
      <c r="T958" s="4">
        <f>1/PHP!B958</f>
        <v>2.4307243558580455E-2</v>
      </c>
      <c r="U958" s="4">
        <f>1/PHP!C958</f>
        <v>2.4283809741207443E-2</v>
      </c>
      <c r="V958" s="4">
        <f>1/TWD!B958</f>
        <v>3.3767812521104883E-2</v>
      </c>
      <c r="W958" s="4">
        <f>1/TWD!C958</f>
        <v>3.3767812521104883E-2</v>
      </c>
      <c r="X958" s="4">
        <f>1/TWD!B958</f>
        <v>3.3767812521104883E-2</v>
      </c>
      <c r="Y958" s="4">
        <f>1/TWD!C958</f>
        <v>3.3767812521104883E-2</v>
      </c>
      <c r="Z958" s="4">
        <f>1/ZAR!B958</f>
        <v>0.11080946312815115</v>
      </c>
      <c r="AA958" s="4">
        <f>1/ZAR!C958</f>
        <v>0.11034848050142348</v>
      </c>
    </row>
    <row r="959" spans="1:27" x14ac:dyDescent="0.25">
      <c r="A959" t="str">
        <f>"13/05/2013"</f>
        <v>13/05/2013</v>
      </c>
      <c r="B959" s="3">
        <f>AUD!B959</f>
        <v>0.99770000000000003</v>
      </c>
      <c r="C959" s="3">
        <f>AUD!C959</f>
        <v>0.99529999999999996</v>
      </c>
      <c r="D959" s="3">
        <f>1/CAD!B959</f>
        <v>0.98726429065060728</v>
      </c>
      <c r="E959" s="3">
        <f>1/CAD!C959</f>
        <v>0.98658247829518542</v>
      </c>
      <c r="F959" s="3">
        <f>EUR!B959/1</f>
        <v>1.2978000000000001</v>
      </c>
      <c r="G959" s="3">
        <f>EUR!C959/1</f>
        <v>1.298</v>
      </c>
      <c r="H959" s="3">
        <f>GBP!B959/1</f>
        <v>1.5366</v>
      </c>
      <c r="I959" s="3">
        <f>GBP!C959/1</f>
        <v>1.5362</v>
      </c>
      <c r="J959" s="4">
        <f>1/INR!B959</f>
        <v>1.8204988166757693E-2</v>
      </c>
      <c r="K959" s="4">
        <f>1/INR!C959</f>
        <v>1.8088906977795867E-2</v>
      </c>
      <c r="L959" s="4">
        <f>1/JPY!B959</f>
        <v>9.8333251388957182E-3</v>
      </c>
      <c r="M959" s="4">
        <f>1/JPY!C959</f>
        <v>9.8347177337663235E-3</v>
      </c>
      <c r="N959" s="5">
        <f>1/KRW!B959</f>
        <v>8.9932101263546019E-4</v>
      </c>
      <c r="O959" s="5">
        <f>1/KRW!C959</f>
        <v>8.9930354336387717E-4</v>
      </c>
      <c r="P959" s="3">
        <f>1/NOK!B959</f>
        <v>0.17220002755200442</v>
      </c>
      <c r="Q959" s="3">
        <f>1/NOK!C959</f>
        <v>0.17197200295791845</v>
      </c>
      <c r="R959" s="3">
        <f>NZD!B959/1</f>
        <v>0.82989999999999997</v>
      </c>
      <c r="S959" s="3">
        <f>NZD!C959/1</f>
        <v>0.82799999999999996</v>
      </c>
      <c r="T959" s="4">
        <f>1/PHP!B959</f>
        <v>2.4307243558580455E-2</v>
      </c>
      <c r="U959" s="4">
        <f>1/PHP!C959</f>
        <v>2.4285402044830852E-2</v>
      </c>
      <c r="V959" s="4">
        <f>1/TWD!B959</f>
        <v>3.3552543282780838E-2</v>
      </c>
      <c r="W959" s="4">
        <f>1/TWD!C959</f>
        <v>3.3552543282780838E-2</v>
      </c>
      <c r="X959" s="4">
        <f>1/TWD!B959</f>
        <v>3.3552543282780838E-2</v>
      </c>
      <c r="Y959" s="4">
        <f>1/TWD!C959</f>
        <v>3.3552543282780838E-2</v>
      </c>
      <c r="Z959" s="4">
        <f>1/ZAR!B959</f>
        <v>0.1093469798364169</v>
      </c>
      <c r="AA959" s="4">
        <f>1/ZAR!C959</f>
        <v>0.10884235273629675</v>
      </c>
    </row>
    <row r="960" spans="1:27" x14ac:dyDescent="0.25">
      <c r="A960" t="str">
        <f>"14/05/2013"</f>
        <v>14/05/2013</v>
      </c>
      <c r="B960" s="3">
        <f>AUD!B960</f>
        <v>0.99809999999999999</v>
      </c>
      <c r="C960" s="3">
        <f>AUD!C960</f>
        <v>0.99580000000000002</v>
      </c>
      <c r="D960" s="3">
        <f>1/CAD!B960</f>
        <v>0.98941327792618983</v>
      </c>
      <c r="E960" s="3">
        <f>1/CAD!C960</f>
        <v>0.98863074641621351</v>
      </c>
      <c r="F960" s="3">
        <f>EUR!B960/1</f>
        <v>1.3003</v>
      </c>
      <c r="G960" s="3">
        <f>EUR!C960/1</f>
        <v>1.3005</v>
      </c>
      <c r="H960" s="3">
        <f>GBP!B960/1</f>
        <v>1.5317000000000001</v>
      </c>
      <c r="I960" s="3">
        <f>GBP!C960/1</f>
        <v>1.5313000000000001</v>
      </c>
      <c r="J960" s="4">
        <f>1/INR!B960</f>
        <v>1.8318373328448434E-2</v>
      </c>
      <c r="K960" s="4">
        <f>1/INR!C960</f>
        <v>1.8205816758454327E-2</v>
      </c>
      <c r="L960" s="4">
        <f>1/JPY!B960</f>
        <v>9.8559066448522595E-3</v>
      </c>
      <c r="M960" s="4">
        <f>1/JPY!C960</f>
        <v>9.8571793287063735E-3</v>
      </c>
      <c r="N960" s="5">
        <f>1/KRW!B960</f>
        <v>9.0360765355682569E-4</v>
      </c>
      <c r="O960" s="5">
        <f>1/KRW!C960</f>
        <v>9.0359116042068306E-4</v>
      </c>
      <c r="P960" s="3">
        <f>1/NOK!B960</f>
        <v>0.17266385800124318</v>
      </c>
      <c r="Q960" s="3">
        <f>1/NOK!C960</f>
        <v>0.17244649847384849</v>
      </c>
      <c r="R960" s="3">
        <f>NZD!B960/1</f>
        <v>0.82869999999999999</v>
      </c>
      <c r="S960" s="3">
        <f>NZD!C960/1</f>
        <v>0.82689999999999997</v>
      </c>
      <c r="T960" s="4">
        <f>1/PHP!B960</f>
        <v>2.4279210925644917E-2</v>
      </c>
      <c r="U960" s="4">
        <f>1/PHP!C960</f>
        <v>2.4248361416977247E-2</v>
      </c>
      <c r="V960" s="4">
        <f>1/TWD!B960</f>
        <v>3.3554794980202675E-2</v>
      </c>
      <c r="W960" s="4">
        <f>1/TWD!C960</f>
        <v>3.3554907573007088E-2</v>
      </c>
      <c r="X960" s="4">
        <f>1/TWD!B960</f>
        <v>3.3554794980202675E-2</v>
      </c>
      <c r="Y960" s="4">
        <f>1/TWD!C960</f>
        <v>3.3554907573007088E-2</v>
      </c>
      <c r="Z960" s="4">
        <f>1/ZAR!B960</f>
        <v>0.10907504363001747</v>
      </c>
      <c r="AA960" s="4">
        <f>1/ZAR!C960</f>
        <v>0.10858706510880425</v>
      </c>
    </row>
    <row r="961" spans="1:27" x14ac:dyDescent="0.25">
      <c r="A961" t="str">
        <f>"15/05/2013"</f>
        <v>15/05/2013</v>
      </c>
      <c r="B961" s="3">
        <f>AUD!B961</f>
        <v>0.98929999999999996</v>
      </c>
      <c r="C961" s="3">
        <f>AUD!C961</f>
        <v>0.98699999999999999</v>
      </c>
      <c r="D961" s="3">
        <f>1/CAD!B961</f>
        <v>0.9818360333824252</v>
      </c>
      <c r="E961" s="3">
        <f>1/CAD!C961</f>
        <v>0.9810654370646521</v>
      </c>
      <c r="F961" s="3">
        <f>EUR!B961/1</f>
        <v>1.2936000000000001</v>
      </c>
      <c r="G961" s="3">
        <f>EUR!C961/1</f>
        <v>1.2938000000000001</v>
      </c>
      <c r="H961" s="3">
        <f>GBP!B961/1</f>
        <v>1.5229999999999999</v>
      </c>
      <c r="I961" s="3">
        <f>GBP!C961/1</f>
        <v>1.5226999999999999</v>
      </c>
      <c r="J961" s="4">
        <f>1/INR!B961</f>
        <v>1.8261504747991236E-2</v>
      </c>
      <c r="K961" s="4">
        <f>1/INR!C961</f>
        <v>1.8152114721365038E-2</v>
      </c>
      <c r="L961" s="4">
        <f>1/JPY!B961</f>
        <v>9.7936478400109696E-3</v>
      </c>
      <c r="M961" s="4">
        <f>1/JPY!C961</f>
        <v>9.7946070893366113E-3</v>
      </c>
      <c r="N961" s="5">
        <f>1/KRW!B961</f>
        <v>8.9782725803555399E-4</v>
      </c>
      <c r="O961" s="5">
        <f>1/KRW!C961</f>
        <v>8.9780960492875928E-4</v>
      </c>
      <c r="P961" s="3">
        <f>1/NOK!B961</f>
        <v>0.17142955102600585</v>
      </c>
      <c r="Q961" s="3">
        <f>1/NOK!C961</f>
        <v>0.17122408095474548</v>
      </c>
      <c r="R961" s="3">
        <f>NZD!B961/1</f>
        <v>0.82150000000000001</v>
      </c>
      <c r="S961" s="3">
        <f>NZD!C961/1</f>
        <v>0.81969999999999998</v>
      </c>
      <c r="T961" s="4">
        <f>1/PHP!B961</f>
        <v>2.4307243558580455E-2</v>
      </c>
      <c r="U961" s="4">
        <f>1/PHP!C961</f>
        <v>2.428481227840109E-2</v>
      </c>
      <c r="V961" s="4">
        <f>1/TWD!B961</f>
        <v>3.3429163602326666E-2</v>
      </c>
      <c r="W961" s="4">
        <f>1/TWD!C961</f>
        <v>3.3429163602326666E-2</v>
      </c>
      <c r="X961" s="4">
        <f>1/TWD!B961</f>
        <v>3.3429163602326666E-2</v>
      </c>
      <c r="Y961" s="4">
        <f>1/TWD!C961</f>
        <v>3.3429163602326666E-2</v>
      </c>
      <c r="Z961" s="4">
        <f>1/ZAR!B961</f>
        <v>0.10838815967743683</v>
      </c>
      <c r="AA961" s="4">
        <f>1/ZAR!C961</f>
        <v>0.10790163686783129</v>
      </c>
    </row>
    <row r="962" spans="1:27" x14ac:dyDescent="0.25">
      <c r="A962" t="str">
        <f>"16/05/2013"</f>
        <v>16/05/2013</v>
      </c>
      <c r="B962" s="3">
        <f>AUD!B962</f>
        <v>0.98329999999999995</v>
      </c>
      <c r="C962" s="3">
        <f>AUD!C962</f>
        <v>0.98099999999999998</v>
      </c>
      <c r="D962" s="3">
        <f>1/CAD!B962</f>
        <v>0.98299420033421792</v>
      </c>
      <c r="E962" s="3">
        <f>1/CAD!C962</f>
        <v>0.98231827111984282</v>
      </c>
      <c r="F962" s="3">
        <f>EUR!B962/1</f>
        <v>1.2859</v>
      </c>
      <c r="G962" s="3">
        <f>EUR!C962/1</f>
        <v>1.2862</v>
      </c>
      <c r="H962" s="3">
        <f>GBP!B962/1</f>
        <v>1.5208999999999999</v>
      </c>
      <c r="I962" s="3">
        <f>GBP!C962/1</f>
        <v>1.5206</v>
      </c>
      <c r="J962" s="4">
        <f>1/INR!B962</f>
        <v>1.8254837531945966E-2</v>
      </c>
      <c r="K962" s="4">
        <f>1/INR!C962</f>
        <v>1.8144704014515765E-2</v>
      </c>
      <c r="L962" s="4">
        <f>1/JPY!B962</f>
        <v>9.7657203683629724E-3</v>
      </c>
      <c r="M962" s="4">
        <f>1/JPY!C962</f>
        <v>9.7668076993698456E-3</v>
      </c>
      <c r="N962" s="5">
        <f>1/KRW!B962</f>
        <v>8.9537538613063529E-4</v>
      </c>
      <c r="O962" s="5">
        <f>1/KRW!C962</f>
        <v>8.953526185124539E-4</v>
      </c>
      <c r="P962" s="3">
        <f>1/NOK!B962</f>
        <v>0.17082628674900494</v>
      </c>
      <c r="Q962" s="3">
        <f>1/NOK!C962</f>
        <v>0.17061061539248973</v>
      </c>
      <c r="R962" s="3">
        <f>NZD!B962/1</f>
        <v>0.82110000000000005</v>
      </c>
      <c r="S962" s="3">
        <f>NZD!C962/1</f>
        <v>0.81930000000000003</v>
      </c>
      <c r="T962" s="4">
        <f>1/PHP!B962</f>
        <v>2.4248302618816681E-2</v>
      </c>
      <c r="U962" s="4">
        <f>1/PHP!C962</f>
        <v>2.4220112381321452E-2</v>
      </c>
      <c r="V962" s="4">
        <f>1/TWD!B962</f>
        <v>3.33350000833375E-2</v>
      </c>
      <c r="W962" s="4">
        <f>1/TWD!C962</f>
        <v>3.33350000833375E-2</v>
      </c>
      <c r="X962" s="4">
        <f>1/TWD!B962</f>
        <v>3.33350000833375E-2</v>
      </c>
      <c r="Y962" s="4">
        <f>1/TWD!C962</f>
        <v>3.33350000833375E-2</v>
      </c>
      <c r="Z962" s="4">
        <f>1/ZAR!B962</f>
        <v>0.10764610267285273</v>
      </c>
      <c r="AA962" s="4">
        <f>1/ZAR!C962</f>
        <v>0.10719377418559529</v>
      </c>
    </row>
    <row r="963" spans="1:27" x14ac:dyDescent="0.25">
      <c r="A963" t="str">
        <f>"17/05/2013"</f>
        <v>17/05/2013</v>
      </c>
      <c r="B963" s="3">
        <f>AUD!B963</f>
        <v>0.97450000000000003</v>
      </c>
      <c r="C963" s="3">
        <f>AUD!C963</f>
        <v>0.97230000000000005</v>
      </c>
      <c r="D963" s="3">
        <f>1/CAD!B963</f>
        <v>0.97856933163714643</v>
      </c>
      <c r="E963" s="3">
        <f>1/CAD!C963</f>
        <v>0.97780385254717905</v>
      </c>
      <c r="F963" s="3">
        <f>EUR!B963/1</f>
        <v>1.2862</v>
      </c>
      <c r="G963" s="3">
        <f>EUR!C963/1</f>
        <v>1.2864</v>
      </c>
      <c r="H963" s="3">
        <f>GBP!B963/1</f>
        <v>1.5245</v>
      </c>
      <c r="I963" s="3">
        <f>GBP!C963/1</f>
        <v>1.5241</v>
      </c>
      <c r="J963" s="4">
        <f>1/INR!B963</f>
        <v>1.8192568335834811E-2</v>
      </c>
      <c r="K963" s="4">
        <f>1/INR!C963</f>
        <v>1.8083182640144666E-2</v>
      </c>
      <c r="L963" s="4">
        <f>1/JPY!B963</f>
        <v>9.7787078415458185E-3</v>
      </c>
      <c r="M963" s="4">
        <f>1/JPY!C963</f>
        <v>9.7795685254366566E-3</v>
      </c>
      <c r="N963" s="5">
        <f>1/KRW!B963</f>
        <v>8.9447838492982812E-4</v>
      </c>
      <c r="O963" s="5">
        <f>1/KRW!C963</f>
        <v>8.944618233407487E-4</v>
      </c>
      <c r="P963" s="3">
        <f>1/NOK!B963</f>
        <v>0.17108054472045439</v>
      </c>
      <c r="Q963" s="3">
        <f>1/NOK!C963</f>
        <v>0.17086715079026057</v>
      </c>
      <c r="R963" s="3">
        <f>NZD!B963/1</f>
        <v>0.80959999999999999</v>
      </c>
      <c r="S963" s="3">
        <f>NZD!C963/1</f>
        <v>0.80789999999999995</v>
      </c>
      <c r="T963" s="4">
        <f>1/PHP!B963</f>
        <v>2.4260067928190198E-2</v>
      </c>
      <c r="U963" s="4">
        <f>1/PHP!C963</f>
        <v>2.4229032195537983E-2</v>
      </c>
      <c r="V963" s="4">
        <f>1/TWD!B963</f>
        <v>3.3364473508608029E-2</v>
      </c>
      <c r="W963" s="4">
        <f>1/TWD!C963</f>
        <v>3.3364584827788694E-2</v>
      </c>
      <c r="X963" s="4">
        <f>1/TWD!B963</f>
        <v>3.3364473508608029E-2</v>
      </c>
      <c r="Y963" s="4">
        <f>1/TWD!C963</f>
        <v>3.3364584827788694E-2</v>
      </c>
      <c r="Z963" s="4">
        <f>1/ZAR!B963</f>
        <v>0.10689470871191875</v>
      </c>
      <c r="AA963" s="4">
        <f>1/ZAR!C963</f>
        <v>0.10644299445431998</v>
      </c>
    </row>
    <row r="964" spans="1:27" x14ac:dyDescent="0.25">
      <c r="A964" t="str">
        <f>"20/05/2013"</f>
        <v>20/05/2013</v>
      </c>
      <c r="B964" s="3">
        <f>AUD!B964</f>
        <v>0.97770000000000001</v>
      </c>
      <c r="C964" s="3">
        <f>AUD!C964</f>
        <v>0.97529999999999994</v>
      </c>
      <c r="D964" s="3">
        <f>1/CAD!B964</f>
        <v>0.9723842862699339</v>
      </c>
      <c r="E964" s="3">
        <f>1/CAD!C964</f>
        <v>0.97172286463900504</v>
      </c>
      <c r="F964" s="3">
        <f>EUR!B964/1</f>
        <v>1.284</v>
      </c>
      <c r="G964" s="3">
        <f>EUR!C964/1</f>
        <v>1.2843</v>
      </c>
      <c r="H964" s="3">
        <f>GBP!B964/1</f>
        <v>1.5193000000000001</v>
      </c>
      <c r="I964" s="3">
        <f>GBP!C964/1</f>
        <v>1.5189999999999999</v>
      </c>
      <c r="J964" s="4">
        <f>1/INR!B964</f>
        <v>1.8173557473875512E-2</v>
      </c>
      <c r="K964" s="4">
        <f>1/INR!C964</f>
        <v>1.8057060310581435E-2</v>
      </c>
      <c r="L964" s="4">
        <f>1/JPY!B964</f>
        <v>9.7380465478624986E-3</v>
      </c>
      <c r="M964" s="4">
        <f>1/JPY!C964</f>
        <v>9.7393364005750101E-3</v>
      </c>
      <c r="N964" s="5">
        <f>1/KRW!B964</f>
        <v>8.9525514771709937E-4</v>
      </c>
      <c r="O964" s="5">
        <f>1/KRW!C964</f>
        <v>8.9523190534892107E-4</v>
      </c>
      <c r="P964" s="3">
        <f>1/NOK!B964</f>
        <v>0.17058733218471198</v>
      </c>
      <c r="Q964" s="3">
        <f>1/NOK!C964</f>
        <v>0.17036936077415837</v>
      </c>
      <c r="R964" s="3">
        <f>NZD!B964/1</f>
        <v>0.81169999999999998</v>
      </c>
      <c r="S964" s="3">
        <f>NZD!C964/1</f>
        <v>0.80979999999999996</v>
      </c>
      <c r="T964" s="4">
        <f>1/PHP!B964</f>
        <v>2.4265954865323951E-2</v>
      </c>
      <c r="U964" s="4">
        <f>1/PHP!C964</f>
        <v>2.4234316761907529E-2</v>
      </c>
      <c r="V964" s="4">
        <f>1/TWD!B964</f>
        <v>3.3347784039750562E-2</v>
      </c>
      <c r="W964" s="4">
        <f>1/TWD!C964</f>
        <v>3.3347784039750562E-2</v>
      </c>
      <c r="X964" s="4">
        <f>1/TWD!B964</f>
        <v>3.3347784039750562E-2</v>
      </c>
      <c r="Y964" s="4">
        <f>1/TWD!C964</f>
        <v>3.3347784039750562E-2</v>
      </c>
      <c r="Z964" s="4">
        <f>1/ZAR!B964</f>
        <v>0.10630042626470933</v>
      </c>
      <c r="AA964" s="4">
        <f>1/ZAR!C964</f>
        <v>0.1058525896836066</v>
      </c>
    </row>
    <row r="965" spans="1:27" x14ac:dyDescent="0.25">
      <c r="A965" t="str">
        <f>"21/05/2013"</f>
        <v>21/05/2013</v>
      </c>
      <c r="B965" s="3">
        <f>AUD!B965</f>
        <v>0.98080000000000001</v>
      </c>
      <c r="C965" s="3">
        <f>AUD!C965</f>
        <v>0.97850000000000004</v>
      </c>
      <c r="D965" s="3">
        <f>1/CAD!B965</f>
        <v>0.97532429532819653</v>
      </c>
      <c r="E965" s="3">
        <f>1/CAD!C965</f>
        <v>0.97456388266250848</v>
      </c>
      <c r="F965" s="3">
        <f>EUR!B965/1</f>
        <v>1.2887999999999999</v>
      </c>
      <c r="G965" s="3">
        <f>EUR!C965/1</f>
        <v>1.2889999999999999</v>
      </c>
      <c r="H965" s="3">
        <f>GBP!B965/1</f>
        <v>1.5248999999999999</v>
      </c>
      <c r="I965" s="3">
        <f>GBP!C965/1</f>
        <v>1.5245</v>
      </c>
      <c r="J965" s="4">
        <f>1/INR!B965</f>
        <v>1.8171080725026122E-2</v>
      </c>
      <c r="K965" s="4">
        <f>1/INR!C965</f>
        <v>1.8057875490948491E-2</v>
      </c>
      <c r="L965" s="4">
        <f>1/JPY!B965</f>
        <v>9.7558120250139015E-3</v>
      </c>
      <c r="M965" s="4">
        <f>1/JPY!C965</f>
        <v>9.7570018684658578E-3</v>
      </c>
      <c r="N965" s="5">
        <f>1/KRW!B965</f>
        <v>8.9970534649902163E-4</v>
      </c>
      <c r="O965" s="5">
        <f>1/KRW!C965</f>
        <v>8.9968260097520207E-4</v>
      </c>
      <c r="P965" s="3">
        <f>1/NOK!B965</f>
        <v>0.17137079498911795</v>
      </c>
      <c r="Q965" s="3">
        <f>1/NOK!C965</f>
        <v>0.17116546565564933</v>
      </c>
      <c r="R965" s="3">
        <f>NZD!B965/1</f>
        <v>0.81810000000000005</v>
      </c>
      <c r="S965" s="3">
        <f>NZD!C965/1</f>
        <v>0.81630000000000003</v>
      </c>
      <c r="T965" s="4">
        <f>1/PHP!B965</f>
        <v>2.4301336573511544E-2</v>
      </c>
      <c r="U965" s="4">
        <f>1/PHP!C965</f>
        <v>2.4277737314882253E-2</v>
      </c>
      <c r="V965" s="4">
        <f>1/TWD!B965</f>
        <v>3.3524422541821718E-2</v>
      </c>
      <c r="W965" s="4">
        <f>1/TWD!C965</f>
        <v>3.3524422541821718E-2</v>
      </c>
      <c r="X965" s="4">
        <f>1/TWD!B965</f>
        <v>3.3524422541821718E-2</v>
      </c>
      <c r="Y965" s="4">
        <f>1/TWD!C965</f>
        <v>3.3524422541821718E-2</v>
      </c>
      <c r="Z965" s="4">
        <f>1/ZAR!B965</f>
        <v>0.10598721794151625</v>
      </c>
      <c r="AA965" s="4">
        <f>1/ZAR!C965</f>
        <v>0.10551528388887131</v>
      </c>
    </row>
    <row r="966" spans="1:27" x14ac:dyDescent="0.25">
      <c r="A966" t="str">
        <f>"22/05/2013"</f>
        <v>22/05/2013</v>
      </c>
      <c r="B966" s="3">
        <f>AUD!B966</f>
        <v>0.97829999999999995</v>
      </c>
      <c r="C966" s="3">
        <f>AUD!C966</f>
        <v>0.97609999999999997</v>
      </c>
      <c r="D966" s="3">
        <f>1/CAD!B966</f>
        <v>0.9734254842791783</v>
      </c>
      <c r="E966" s="3">
        <f>1/CAD!C966</f>
        <v>0.97266802840190647</v>
      </c>
      <c r="F966" s="3">
        <f>EUR!B966/1</f>
        <v>1.2918000000000001</v>
      </c>
      <c r="G966" s="3">
        <f>EUR!C966/1</f>
        <v>1.292</v>
      </c>
      <c r="H966" s="3">
        <f>GBP!B966/1</f>
        <v>1.5146999999999999</v>
      </c>
      <c r="I966" s="3">
        <f>GBP!C966/1</f>
        <v>1.5144</v>
      </c>
      <c r="J966" s="4">
        <f>1/INR!B966</f>
        <v>1.803751803751804E-2</v>
      </c>
      <c r="K966" s="4">
        <f>1/INR!C966</f>
        <v>1.7928376137331361E-2</v>
      </c>
      <c r="L966" s="4">
        <f>1/JPY!B966</f>
        <v>9.7527673477349197E-3</v>
      </c>
      <c r="M966" s="4">
        <f>1/JPY!C966</f>
        <v>9.7538137411727985E-3</v>
      </c>
      <c r="N966" s="5">
        <f>1/KRW!B966</f>
        <v>8.9895720963682117E-4</v>
      </c>
      <c r="O966" s="5">
        <f>1/KRW!C966</f>
        <v>8.9894153230337412E-4</v>
      </c>
      <c r="P966" s="3">
        <f>1/NOK!B966</f>
        <v>0.17249111670748957</v>
      </c>
      <c r="Q966" s="3">
        <f>1/NOK!C966</f>
        <v>0.17228903208021779</v>
      </c>
      <c r="R966" s="3">
        <f>NZD!B966/1</f>
        <v>0.81510000000000005</v>
      </c>
      <c r="S966" s="3">
        <f>NZD!C966/1</f>
        <v>0.81330000000000002</v>
      </c>
      <c r="T966" s="4">
        <f>1/PHP!B966</f>
        <v>2.4263011039670022E-2</v>
      </c>
      <c r="U966" s="4">
        <f>1/PHP!C966</f>
        <v>2.4242424242424242E-2</v>
      </c>
      <c r="V966" s="4">
        <f>1/TWD!B966</f>
        <v>3.3526670466355983E-2</v>
      </c>
      <c r="W966" s="4">
        <f>1/TWD!C966</f>
        <v>3.3526670466355983E-2</v>
      </c>
      <c r="X966" s="4">
        <f>1/TWD!B966</f>
        <v>3.3526670466355983E-2</v>
      </c>
      <c r="Y966" s="4">
        <f>1/TWD!C966</f>
        <v>3.3526670466355983E-2</v>
      </c>
      <c r="Z966" s="4">
        <f>1/ZAR!B966</f>
        <v>0.10448665705389421</v>
      </c>
      <c r="AA966" s="4">
        <f>1/ZAR!C966</f>
        <v>0.10404852823356812</v>
      </c>
    </row>
    <row r="967" spans="1:27" x14ac:dyDescent="0.25">
      <c r="A967" t="str">
        <f>"23/05/2013"</f>
        <v>23/05/2013</v>
      </c>
      <c r="B967" s="3">
        <f>AUD!B967</f>
        <v>0.9637</v>
      </c>
      <c r="C967" s="3">
        <f>AUD!C967</f>
        <v>0.96160000000000001</v>
      </c>
      <c r="D967" s="3">
        <f>1/CAD!B967</f>
        <v>0.96413420748168155</v>
      </c>
      <c r="E967" s="3">
        <f>1/CAD!C967</f>
        <v>0.96339113680154143</v>
      </c>
      <c r="F967" s="3">
        <f>EUR!B967/1</f>
        <v>1.2849999999999999</v>
      </c>
      <c r="G967" s="3">
        <f>EUR!C967/1</f>
        <v>1.2851999999999999</v>
      </c>
      <c r="H967" s="3">
        <f>GBP!B967/1</f>
        <v>1.5043</v>
      </c>
      <c r="I967" s="3">
        <f>GBP!C967/1</f>
        <v>1.504</v>
      </c>
      <c r="J967" s="4">
        <f>1/INR!B967</f>
        <v>1.7912319197528101E-2</v>
      </c>
      <c r="K967" s="4">
        <f>1/INR!C967</f>
        <v>1.7802305398549111E-2</v>
      </c>
      <c r="L967" s="4">
        <f>1/JPY!B967</f>
        <v>9.7430751093660183E-3</v>
      </c>
      <c r="M967" s="4">
        <f>1/JPY!C967</f>
        <v>9.7442048777540771E-3</v>
      </c>
      <c r="N967" s="5">
        <f>1/KRW!B967</f>
        <v>8.902341315766047E-4</v>
      </c>
      <c r="O967" s="5">
        <f>1/KRW!C967</f>
        <v>8.9021756828347096E-4</v>
      </c>
      <c r="P967" s="3">
        <f>1/NOK!B967</f>
        <v>0.17138548022211558</v>
      </c>
      <c r="Q967" s="3">
        <f>1/NOK!C967</f>
        <v>0.17118890695882907</v>
      </c>
      <c r="R967" s="3">
        <f>NZD!B967/1</f>
        <v>0.8024</v>
      </c>
      <c r="S967" s="3">
        <f>NZD!C967/1</f>
        <v>0.80069999999999997</v>
      </c>
      <c r="T967" s="4">
        <f>1/PHP!B967</f>
        <v>2.3980815347721823E-2</v>
      </c>
      <c r="U967" s="4">
        <f>1/PHP!C967</f>
        <v>2.3952669525018563E-2</v>
      </c>
      <c r="V967" s="4">
        <f>1/TWD!B967</f>
        <v>3.3345004084763E-2</v>
      </c>
      <c r="W967" s="4">
        <f>1/TWD!C967</f>
        <v>3.3345004084763E-2</v>
      </c>
      <c r="X967" s="4">
        <f>1/TWD!B967</f>
        <v>3.3345004084763E-2</v>
      </c>
      <c r="Y967" s="4">
        <f>1/TWD!C967</f>
        <v>3.3345004084763E-2</v>
      </c>
      <c r="Z967" s="4">
        <f>1/ZAR!B967</f>
        <v>0.10429486243507645</v>
      </c>
      <c r="AA967" s="4">
        <f>1/ZAR!C967</f>
        <v>0.10385510136257893</v>
      </c>
    </row>
    <row r="968" spans="1:27" x14ac:dyDescent="0.25">
      <c r="A968" t="str">
        <f>"24/05/2013"</f>
        <v>24/05/2013</v>
      </c>
      <c r="B968" s="3">
        <f>AUD!B968</f>
        <v>0.96850000000000003</v>
      </c>
      <c r="C968" s="3">
        <f>AUD!C968</f>
        <v>0.96640000000000004</v>
      </c>
      <c r="D968" s="3">
        <f>1/CAD!B968</f>
        <v>0.96842920782490804</v>
      </c>
      <c r="E968" s="3">
        <f>1/CAD!C968</f>
        <v>0.96777315397270869</v>
      </c>
      <c r="F968" s="3">
        <f>EUR!B968/1</f>
        <v>1.2937000000000001</v>
      </c>
      <c r="G968" s="3">
        <f>EUR!C968/1</f>
        <v>1.2939000000000001</v>
      </c>
      <c r="H968" s="3">
        <f>GBP!B968/1</f>
        <v>1.5102</v>
      </c>
      <c r="I968" s="3">
        <f>GBP!C968/1</f>
        <v>1.5099</v>
      </c>
      <c r="J968" s="4">
        <f>1/INR!B968</f>
        <v>1.7977528089887642E-2</v>
      </c>
      <c r="K968" s="4">
        <f>1/INR!C968</f>
        <v>1.786831055123738E-2</v>
      </c>
      <c r="L968" s="4">
        <f>1/JPY!B968</f>
        <v>9.8398079269492664E-3</v>
      </c>
      <c r="M968" s="4">
        <f>1/JPY!C968</f>
        <v>9.8410861409952092E-3</v>
      </c>
      <c r="N968" s="5">
        <f>1/KRW!B968</f>
        <v>8.869376261114438E-4</v>
      </c>
      <c r="O968" s="5">
        <f>1/KRW!C968</f>
        <v>8.8692063461654792E-4</v>
      </c>
      <c r="P968" s="3">
        <f>1/NOK!B968</f>
        <v>0.17162078670968625</v>
      </c>
      <c r="Q968" s="3">
        <f>1/NOK!C968</f>
        <v>0.17142367360932545</v>
      </c>
      <c r="R968" s="3">
        <f>NZD!B968/1</f>
        <v>0.80979999999999996</v>
      </c>
      <c r="S968" s="3">
        <f>NZD!C968/1</f>
        <v>0.80800000000000005</v>
      </c>
      <c r="T968" s="4">
        <f>1/PHP!B968</f>
        <v>2.4026910139356081E-2</v>
      </c>
      <c r="U968" s="4">
        <f>1/PHP!C968</f>
        <v>2.3996122226648174E-2</v>
      </c>
      <c r="V968" s="4">
        <f>1/TWD!B968</f>
        <v>3.3424694164048398E-2</v>
      </c>
      <c r="W968" s="4">
        <f>1/TWD!C968</f>
        <v>3.3424694164048398E-2</v>
      </c>
      <c r="X968" s="4">
        <f>1/TWD!B968</f>
        <v>3.3424694164048398E-2</v>
      </c>
      <c r="Y968" s="4">
        <f>1/TWD!C968</f>
        <v>3.3424694164048398E-2</v>
      </c>
      <c r="Z968" s="4">
        <f>1/ZAR!B968</f>
        <v>0.10494060361835202</v>
      </c>
      <c r="AA968" s="4">
        <f>1/ZAR!C968</f>
        <v>0.10448774881145187</v>
      </c>
    </row>
    <row r="969" spans="1:27" x14ac:dyDescent="0.25">
      <c r="A969" t="str">
        <f>"27/05/2013"</f>
        <v>27/05/2013</v>
      </c>
      <c r="B969" s="3">
        <f>AUD!B969</f>
        <v>0.96289999999999998</v>
      </c>
      <c r="C969" s="3">
        <f>AUD!C969</f>
        <v>0.96079999999999999</v>
      </c>
      <c r="D969" s="3">
        <f>1/CAD!B969</f>
        <v>0.96796050721130589</v>
      </c>
      <c r="E969" s="3">
        <f>1/CAD!C969</f>
        <v>0.96721152916142761</v>
      </c>
      <c r="F969" s="3">
        <f>EUR!B969/1</f>
        <v>1.2922</v>
      </c>
      <c r="G969" s="3">
        <f>EUR!C969/1</f>
        <v>1.2924</v>
      </c>
      <c r="H969" s="3">
        <f>GBP!B969/1</f>
        <v>1.5123</v>
      </c>
      <c r="I969" s="3">
        <f>GBP!C969/1</f>
        <v>1.5119</v>
      </c>
      <c r="J969" s="4">
        <f>1/INR!B969</f>
        <v>1.7959770114942528E-2</v>
      </c>
      <c r="K969" s="4">
        <f>1/INR!C969</f>
        <v>1.7853157777281855E-2</v>
      </c>
      <c r="L969" s="4">
        <f>1/JPY!B969</f>
        <v>9.8950139024945316E-3</v>
      </c>
      <c r="M969" s="4">
        <f>1/JPY!C969</f>
        <v>9.8961498039572722E-3</v>
      </c>
      <c r="N969" s="5">
        <f>1/KRW!B969</f>
        <v>8.9017469678424389E-4</v>
      </c>
      <c r="O969" s="5">
        <f>1/KRW!C969</f>
        <v>8.9015908656147301E-4</v>
      </c>
      <c r="P969" s="3">
        <f>1/NOK!B969</f>
        <v>0.17141191998491576</v>
      </c>
      <c r="Q969" s="3">
        <f>1/NOK!C969</f>
        <v>0.1712182176183546</v>
      </c>
      <c r="R969" s="3">
        <f>NZD!B969/1</f>
        <v>0.80769999999999997</v>
      </c>
      <c r="S969" s="3">
        <f>NZD!C969/1</f>
        <v>0.80600000000000005</v>
      </c>
      <c r="T969" s="4">
        <f>1/PHP!B969</f>
        <v>2.3998080153587713E-2</v>
      </c>
      <c r="U969" s="4">
        <f>1/PHP!C969</f>
        <v>2.3964379346539305E-2</v>
      </c>
      <c r="V969" s="4">
        <f>1/TWD!B969</f>
        <v>3.3450969241833779E-2</v>
      </c>
      <c r="W969" s="4">
        <f>1/TWD!C969</f>
        <v>3.3450969241833779E-2</v>
      </c>
      <c r="X969" s="4">
        <f>1/TWD!B969</f>
        <v>3.3450969241833779E-2</v>
      </c>
      <c r="Y969" s="4">
        <f>1/TWD!C969</f>
        <v>3.3450969241833779E-2</v>
      </c>
      <c r="Z969" s="4">
        <f>1/ZAR!B969</f>
        <v>0.10392525695519783</v>
      </c>
      <c r="AA969" s="4">
        <f>1/ZAR!C969</f>
        <v>0.10347360905601026</v>
      </c>
    </row>
    <row r="970" spans="1:27" x14ac:dyDescent="0.25">
      <c r="A970" t="str">
        <f>"28/05/2013"</f>
        <v>28/05/2013</v>
      </c>
      <c r="B970" s="3">
        <f>AUD!B970</f>
        <v>0.96379999999999999</v>
      </c>
      <c r="C970" s="3">
        <f>AUD!C970</f>
        <v>0.96179999999999999</v>
      </c>
      <c r="D970" s="3">
        <f>1/CAD!B970</f>
        <v>0.96665055582406967</v>
      </c>
      <c r="E970" s="3">
        <f>1/CAD!C970</f>
        <v>0.96599690880989186</v>
      </c>
      <c r="F970" s="3">
        <f>EUR!B970/1</f>
        <v>1.2918000000000001</v>
      </c>
      <c r="G970" s="3">
        <f>EUR!C970/1</f>
        <v>1.292</v>
      </c>
      <c r="H970" s="3">
        <f>GBP!B970/1</f>
        <v>1.5105</v>
      </c>
      <c r="I970" s="3">
        <f>GBP!C970/1</f>
        <v>1.5101</v>
      </c>
      <c r="J970" s="4">
        <f>1/INR!B970</f>
        <v>1.7950098725542991E-2</v>
      </c>
      <c r="K970" s="4">
        <f>1/INR!C970</f>
        <v>1.7847581652686059E-2</v>
      </c>
      <c r="L970" s="4">
        <f>1/JPY!B970</f>
        <v>9.8080563374756038E-3</v>
      </c>
      <c r="M970" s="4">
        <f>1/JPY!C970</f>
        <v>9.8091531169564941E-3</v>
      </c>
      <c r="N970" s="5">
        <f>1/KRW!B970</f>
        <v>8.8699662941280814E-4</v>
      </c>
      <c r="O970" s="5">
        <f>1/KRW!C970</f>
        <v>8.8697696077344392E-4</v>
      </c>
      <c r="P970" s="3">
        <f>1/NOK!B970</f>
        <v>0.17094601524838457</v>
      </c>
      <c r="Q970" s="3">
        <f>1/NOK!C970</f>
        <v>0.17075336384126769</v>
      </c>
      <c r="R970" s="3">
        <f>NZD!B970/1</f>
        <v>0.80830000000000002</v>
      </c>
      <c r="S970" s="3">
        <f>NZD!C970/1</f>
        <v>0.80669999999999997</v>
      </c>
      <c r="T970" s="4">
        <f>1/PHP!B970</f>
        <v>2.3889154323936932E-2</v>
      </c>
      <c r="U970" s="4">
        <f>1/PHP!C970</f>
        <v>2.385945824714104E-2</v>
      </c>
      <c r="V970" s="4">
        <f>1/TWD!B970</f>
        <v>3.3441460723004385E-2</v>
      </c>
      <c r="W970" s="4">
        <f>1/TWD!C970</f>
        <v>3.3441572556507898E-2</v>
      </c>
      <c r="X970" s="4">
        <f>1/TWD!B970</f>
        <v>3.3441460723004385E-2</v>
      </c>
      <c r="Y970" s="4">
        <f>1/TWD!C970</f>
        <v>3.3441572556507898E-2</v>
      </c>
      <c r="Z970" s="4">
        <f>1/ZAR!B970</f>
        <v>0.10374950718984084</v>
      </c>
      <c r="AA970" s="4">
        <f>1/ZAR!C970</f>
        <v>0.10331432349780974</v>
      </c>
    </row>
    <row r="971" spans="1:27" x14ac:dyDescent="0.25">
      <c r="A971" t="str">
        <f>"29/05/2013"</f>
        <v>29/05/2013</v>
      </c>
      <c r="B971" s="3">
        <f>AUD!B971</f>
        <v>0.95730000000000004</v>
      </c>
      <c r="C971" s="3">
        <f>AUD!C971</f>
        <v>0.95540000000000003</v>
      </c>
      <c r="D971" s="3">
        <f>1/CAD!B971</f>
        <v>0.96079938508839358</v>
      </c>
      <c r="E971" s="3">
        <f>1/CAD!C971</f>
        <v>0.9601536245799327</v>
      </c>
      <c r="F971" s="3">
        <f>EUR!B971/1</f>
        <v>1.2856000000000001</v>
      </c>
      <c r="G971" s="3">
        <f>EUR!C971/1</f>
        <v>1.2857000000000001</v>
      </c>
      <c r="H971" s="3">
        <f>GBP!B971/1</f>
        <v>1.5027999999999999</v>
      </c>
      <c r="I971" s="3">
        <f>GBP!C971/1</f>
        <v>1.5024999999999999</v>
      </c>
      <c r="J971" s="4">
        <f>1/INR!B971</f>
        <v>1.7812611328820806E-2</v>
      </c>
      <c r="K971" s="4">
        <f>1/INR!C971</f>
        <v>1.7711654268508677E-2</v>
      </c>
      <c r="L971" s="4">
        <f>1/JPY!B971</f>
        <v>9.7760311268831074E-3</v>
      </c>
      <c r="M971" s="4">
        <f>1/JPY!C971</f>
        <v>9.7769486925286513E-3</v>
      </c>
      <c r="N971" s="5">
        <f>1/KRW!B971</f>
        <v>8.8581805297191952E-4</v>
      </c>
      <c r="O971" s="5">
        <f>1/KRW!C971</f>
        <v>8.8580392907190784E-4</v>
      </c>
      <c r="P971" s="3">
        <f>1/NOK!B971</f>
        <v>0.16953750169537501</v>
      </c>
      <c r="Q971" s="3">
        <f>1/NOK!C971</f>
        <v>0.16935374610486384</v>
      </c>
      <c r="R971" s="3">
        <f>NZD!B971/1</f>
        <v>0.80769999999999997</v>
      </c>
      <c r="S971" s="3">
        <f>NZD!C971/1</f>
        <v>0.80610000000000004</v>
      </c>
      <c r="T971" s="4">
        <f>1/PHP!B971</f>
        <v>2.3657440264963331E-2</v>
      </c>
      <c r="U971" s="4">
        <f>1/PHP!C971</f>
        <v>2.3627982146696692E-2</v>
      </c>
      <c r="V971" s="4">
        <f>1/TWD!B971</f>
        <v>3.3341112926349482E-2</v>
      </c>
      <c r="W971" s="4">
        <f>1/TWD!C971</f>
        <v>3.3341224089701228E-2</v>
      </c>
      <c r="X971" s="4">
        <f>1/TWD!B971</f>
        <v>3.3341112926349482E-2</v>
      </c>
      <c r="Y971" s="4">
        <f>1/TWD!C971</f>
        <v>3.3341224089701228E-2</v>
      </c>
      <c r="Z971" s="4">
        <f>1/ZAR!B971</f>
        <v>0.10189006062458607</v>
      </c>
      <c r="AA971" s="4">
        <f>1/ZAR!C971</f>
        <v>0.1014744233715892</v>
      </c>
    </row>
    <row r="972" spans="1:27" x14ac:dyDescent="0.25">
      <c r="A972" t="str">
        <f>"30/05/2013"</f>
        <v>30/05/2013</v>
      </c>
      <c r="B972" s="3">
        <f>AUD!B972</f>
        <v>0.96689999999999998</v>
      </c>
      <c r="C972" s="3">
        <f>AUD!C972</f>
        <v>0.96479999999999999</v>
      </c>
      <c r="D972" s="3">
        <f>1/CAD!B972</f>
        <v>0.96618357487922713</v>
      </c>
      <c r="E972" s="3">
        <f>1/CAD!C972</f>
        <v>0.9654373431164317</v>
      </c>
      <c r="F972" s="3">
        <f>EUR!B972/1</f>
        <v>1.296</v>
      </c>
      <c r="G972" s="3">
        <f>EUR!C972/1</f>
        <v>1.2962</v>
      </c>
      <c r="H972" s="3">
        <f>GBP!B972/1</f>
        <v>1.5138</v>
      </c>
      <c r="I972" s="3">
        <f>GBP!C972/1</f>
        <v>1.5135000000000001</v>
      </c>
      <c r="J972" s="4">
        <f>1/INR!B972</f>
        <v>1.7811818141336779E-2</v>
      </c>
      <c r="K972" s="4">
        <f>1/INR!C972</f>
        <v>1.7707733852760196E-2</v>
      </c>
      <c r="L972" s="4">
        <f>1/JPY!B972</f>
        <v>9.8944264695696917E-3</v>
      </c>
      <c r="M972" s="4">
        <f>1/JPY!C972</f>
        <v>9.8954838990581474E-3</v>
      </c>
      <c r="N972" s="5">
        <f>1/KRW!B972</f>
        <v>8.869179600886918E-4</v>
      </c>
      <c r="O972" s="5">
        <f>1/KRW!C972</f>
        <v>8.8690222789839651E-4</v>
      </c>
      <c r="P972" s="3">
        <f>1/NOK!B972</f>
        <v>0.16984561034020076</v>
      </c>
      <c r="Q972" s="3">
        <f>1/NOK!C972</f>
        <v>0.16964967342437867</v>
      </c>
      <c r="R972" s="3">
        <f>NZD!B972/1</f>
        <v>0.81069999999999998</v>
      </c>
      <c r="S972" s="3">
        <f>NZD!C972/1</f>
        <v>0.80900000000000005</v>
      </c>
      <c r="T972" s="4">
        <f>1/PHP!B972</f>
        <v>2.3643456673365645E-2</v>
      </c>
      <c r="U972" s="4">
        <f>1/PHP!C972</f>
        <v>2.3619722468260999E-2</v>
      </c>
      <c r="V972" s="4">
        <f>1/TWD!B972</f>
        <v>3.3322225924691765E-2</v>
      </c>
      <c r="W972" s="4">
        <f>1/TWD!C972</f>
        <v>3.332233696213583E-2</v>
      </c>
      <c r="X972" s="4">
        <f>1/TWD!B972</f>
        <v>3.3322225924691765E-2</v>
      </c>
      <c r="Y972" s="4">
        <f>1/TWD!C972</f>
        <v>3.332233696213583E-2</v>
      </c>
      <c r="Z972" s="4">
        <f>1/ZAR!B972</f>
        <v>0.10205539566876901</v>
      </c>
      <c r="AA972" s="4">
        <f>1/ZAR!C972</f>
        <v>0.10164874260505398</v>
      </c>
    </row>
    <row r="973" spans="1:27" x14ac:dyDescent="0.25">
      <c r="A973" t="str">
        <f>"31/05/2013"</f>
        <v>31/05/2013</v>
      </c>
      <c r="B973" s="3">
        <f>AUD!B973</f>
        <v>0.96379999999999999</v>
      </c>
      <c r="C973" s="3">
        <f>AUD!C973</f>
        <v>0.9617</v>
      </c>
      <c r="D973" s="3">
        <f>1/CAD!B973</f>
        <v>0.96974398758727709</v>
      </c>
      <c r="E973" s="3">
        <f>1/CAD!C973</f>
        <v>0.96908615175889135</v>
      </c>
      <c r="F973" s="3">
        <f>EUR!B973/1</f>
        <v>1.3037000000000001</v>
      </c>
      <c r="G973" s="3">
        <f>EUR!C973/1</f>
        <v>1.3039000000000001</v>
      </c>
      <c r="H973" s="3">
        <f>GBP!B973/1</f>
        <v>1.5223</v>
      </c>
      <c r="I973" s="3">
        <f>GBP!C973/1</f>
        <v>1.522</v>
      </c>
      <c r="J973" s="4">
        <f>1/INR!B973</f>
        <v>1.7692852087756547E-2</v>
      </c>
      <c r="K973" s="4">
        <f>1/INR!C973</f>
        <v>1.7585509540138926E-2</v>
      </c>
      <c r="L973" s="4">
        <f>1/JPY!B973</f>
        <v>9.9036376060927175E-3</v>
      </c>
      <c r="M973" s="4">
        <f>1/JPY!C973</f>
        <v>9.9048735940031919E-3</v>
      </c>
      <c r="N973" s="5">
        <f>1/KRW!B973</f>
        <v>8.860142648296637E-4</v>
      </c>
      <c r="O973" s="5">
        <f>1/KRW!C973</f>
        <v>8.8599157829565153E-4</v>
      </c>
      <c r="P973" s="3">
        <f>1/NOK!B973</f>
        <v>0.17122994469272787</v>
      </c>
      <c r="Q973" s="3">
        <f>1/NOK!C973</f>
        <v>0.17102787754403967</v>
      </c>
      <c r="R973" s="3">
        <f>NZD!B973/1</f>
        <v>0.80779999999999996</v>
      </c>
      <c r="S973" s="3">
        <f>NZD!C973/1</f>
        <v>0.80610000000000004</v>
      </c>
      <c r="T973" s="4">
        <f>1/PHP!B973</f>
        <v>2.3674242424242424E-2</v>
      </c>
      <c r="U973" s="4">
        <f>1/PHP!C973</f>
        <v>2.3651844843897825E-2</v>
      </c>
      <c r="V973" s="4">
        <f>1/TWD!B973</f>
        <v>3.3385637498748039E-2</v>
      </c>
      <c r="W973" s="4">
        <f>1/TWD!C973</f>
        <v>3.3385637498748039E-2</v>
      </c>
      <c r="X973" s="4">
        <f>1/TWD!B973</f>
        <v>3.3385637498748039E-2</v>
      </c>
      <c r="Y973" s="4">
        <f>1/TWD!C973</f>
        <v>3.3385637498748039E-2</v>
      </c>
      <c r="Z973" s="4">
        <f>1/ZAR!B973</f>
        <v>9.8816182137986916E-2</v>
      </c>
      <c r="AA973" s="4">
        <f>1/ZAR!C973</f>
        <v>9.8381622312951944E-2</v>
      </c>
    </row>
    <row r="974" spans="1:27" x14ac:dyDescent="0.25">
      <c r="A974" t="str">
        <f>"03/06/2013"</f>
        <v>03/06/2013</v>
      </c>
      <c r="B974" s="3">
        <f>AUD!B974</f>
        <v>0.9627</v>
      </c>
      <c r="C974" s="3">
        <f>AUD!C974</f>
        <v>0.96060000000000001</v>
      </c>
      <c r="D974" s="3">
        <f>1/CAD!B974</f>
        <v>0.9645992090286486</v>
      </c>
      <c r="E974" s="3">
        <f>1/CAD!C974</f>
        <v>0.96385542168674687</v>
      </c>
      <c r="F974" s="3">
        <f>EUR!B974/1</f>
        <v>1.3010999999999999</v>
      </c>
      <c r="G974" s="3">
        <f>EUR!C974/1</f>
        <v>1.3012999999999999</v>
      </c>
      <c r="H974" s="3">
        <f>GBP!B974/1</f>
        <v>1.5216000000000001</v>
      </c>
      <c r="I974" s="3">
        <f>GBP!C974/1</f>
        <v>1.5213000000000001</v>
      </c>
      <c r="J974" s="4">
        <f>1/INR!B974</f>
        <v>1.7714791851195746E-2</v>
      </c>
      <c r="K974" s="4">
        <f>1/INR!C974</f>
        <v>1.7611835153222965E-2</v>
      </c>
      <c r="L974" s="4">
        <f>1/JPY!B974</f>
        <v>9.9416425581834635E-3</v>
      </c>
      <c r="M974" s="4">
        <f>1/JPY!C974</f>
        <v>9.9425123933416983E-3</v>
      </c>
      <c r="N974" s="5">
        <f>1/KRW!B974</f>
        <v>8.8670169138347623E-4</v>
      </c>
      <c r="O974" s="5">
        <f>1/KRW!C974</f>
        <v>8.866843944433262E-4</v>
      </c>
      <c r="P974" s="3">
        <f>1/NOK!B974</f>
        <v>0.17044486108743823</v>
      </c>
      <c r="Q974" s="3">
        <f>1/NOK!C974</f>
        <v>0.17025333696540454</v>
      </c>
      <c r="R974" s="3">
        <f>NZD!B974/1</f>
        <v>0.79669999999999996</v>
      </c>
      <c r="S974" s="3">
        <f>NZD!C974/1</f>
        <v>0.79500000000000004</v>
      </c>
      <c r="T974" s="4">
        <f>1/PHP!B974</f>
        <v>2.3674242424242424E-2</v>
      </c>
      <c r="U974" s="4">
        <f>1/PHP!C974</f>
        <v>2.3640158956428823E-2</v>
      </c>
      <c r="V974" s="4">
        <f>1/TWD!B974</f>
        <v>3.3368926855312335E-2</v>
      </c>
      <c r="W974" s="4">
        <f>1/TWD!C974</f>
        <v>3.3369038204211839E-2</v>
      </c>
      <c r="X974" s="4">
        <f>1/TWD!B974</f>
        <v>3.3368926855312335E-2</v>
      </c>
      <c r="Y974" s="4">
        <f>1/TWD!C974</f>
        <v>3.3369038204211839E-2</v>
      </c>
      <c r="Z974" s="4">
        <f>1/ZAR!B974</f>
        <v>9.9334459123870067E-2</v>
      </c>
      <c r="AA974" s="4">
        <f>1/ZAR!C974</f>
        <v>9.8901207583744599E-2</v>
      </c>
    </row>
    <row r="975" spans="1:27" x14ac:dyDescent="0.25">
      <c r="A975" t="str">
        <f>"04/06/2013"</f>
        <v>04/06/2013</v>
      </c>
      <c r="B975" s="3">
        <f>AUD!B975</f>
        <v>0.97299999999999998</v>
      </c>
      <c r="C975" s="3">
        <f>AUD!C975</f>
        <v>0.9708</v>
      </c>
      <c r="D975" s="3">
        <f>1/CAD!B975</f>
        <v>0.97191175041306255</v>
      </c>
      <c r="E975" s="3">
        <f>1/CAD!C975</f>
        <v>0.97125097125097115</v>
      </c>
      <c r="F975" s="3">
        <f>EUR!B975/1</f>
        <v>1.3063</v>
      </c>
      <c r="G975" s="3">
        <f>EUR!C975/1</f>
        <v>1.3065</v>
      </c>
      <c r="H975" s="3">
        <f>GBP!B975/1</f>
        <v>1.5325</v>
      </c>
      <c r="I975" s="3">
        <f>GBP!C975/1</f>
        <v>1.5322</v>
      </c>
      <c r="J975" s="4">
        <f>1/INR!B975</f>
        <v>1.7682684231466336E-2</v>
      </c>
      <c r="K975" s="4">
        <f>1/INR!C975</f>
        <v>1.7574692442882251E-2</v>
      </c>
      <c r="L975" s="4">
        <f>1/JPY!B975</f>
        <v>1.0026469880484478E-2</v>
      </c>
      <c r="M975" s="4">
        <f>1/JPY!C975</f>
        <v>1.0027585888780033E-2</v>
      </c>
      <c r="N975" s="5">
        <f>1/KRW!B975</f>
        <v>8.9158345221112699E-4</v>
      </c>
      <c r="O975" s="5">
        <f>1/KRW!C975</f>
        <v>8.9156636173611155E-4</v>
      </c>
      <c r="P975" s="3">
        <f>1/NOK!B975</f>
        <v>0.17209926685712318</v>
      </c>
      <c r="Q975" s="3">
        <f>1/NOK!C975</f>
        <v>0.17188332559858369</v>
      </c>
      <c r="R975" s="3">
        <f>NZD!B975/1</f>
        <v>0.80569999999999997</v>
      </c>
      <c r="S975" s="3">
        <f>NZD!C975/1</f>
        <v>0.80389999999999995</v>
      </c>
      <c r="T975" s="4">
        <f>1/PHP!B975</f>
        <v>2.3849272597185785E-2</v>
      </c>
      <c r="U975" s="4">
        <f>1/PHP!C975</f>
        <v>2.3831596407148523E-2</v>
      </c>
      <c r="V975" s="4">
        <f>1/TWD!B975</f>
        <v>3.3381179690890272E-2</v>
      </c>
      <c r="W975" s="4">
        <f>1/TWD!C975</f>
        <v>3.3381291121577998E-2</v>
      </c>
      <c r="X975" s="4">
        <f>1/TWD!B975</f>
        <v>3.3381179690890272E-2</v>
      </c>
      <c r="Y975" s="4">
        <f>1/TWD!C975</f>
        <v>3.3381291121577998E-2</v>
      </c>
      <c r="Z975" s="4">
        <f>1/ZAR!B975</f>
        <v>0.10172733006449514</v>
      </c>
      <c r="AA975" s="4">
        <f>1/ZAR!C975</f>
        <v>0.10128531059140491</v>
      </c>
    </row>
    <row r="976" spans="1:27" x14ac:dyDescent="0.25">
      <c r="A976" t="str">
        <f>"05/06/2013"</f>
        <v>05/06/2013</v>
      </c>
      <c r="B976" s="3">
        <f>AUD!B976</f>
        <v>0.96479999999999999</v>
      </c>
      <c r="C976" s="3">
        <f>AUD!C976</f>
        <v>0.9627</v>
      </c>
      <c r="D976" s="3">
        <f>1/CAD!B976</f>
        <v>0.967305088024763</v>
      </c>
      <c r="E976" s="3">
        <f>1/CAD!C976</f>
        <v>0.96655712352600043</v>
      </c>
      <c r="F976" s="3">
        <f>EUR!B976/1</f>
        <v>1.3089</v>
      </c>
      <c r="G976" s="3">
        <f>EUR!C976/1</f>
        <v>1.3090999999999999</v>
      </c>
      <c r="H976" s="3">
        <f>GBP!B976/1</f>
        <v>1.5324</v>
      </c>
      <c r="I976" s="3">
        <f>GBP!C976/1</f>
        <v>1.5321</v>
      </c>
      <c r="J976" s="4">
        <f>1/INR!B976</f>
        <v>1.7730496453900711E-2</v>
      </c>
      <c r="K976" s="4">
        <f>1/INR!C976</f>
        <v>1.7625804177315591E-2</v>
      </c>
      <c r="L976" s="4">
        <f>1/JPY!B976</f>
        <v>1.0022148949177682E-2</v>
      </c>
      <c r="M976" s="4">
        <f>1/JPY!C976</f>
        <v>1.0023193670152733E-2</v>
      </c>
      <c r="N976" s="5">
        <f>1/KRW!B976</f>
        <v>8.9545556301768529E-4</v>
      </c>
      <c r="O976" s="5">
        <f>1/KRW!C976</f>
        <v>8.9543952649157846E-4</v>
      </c>
      <c r="P976" s="3">
        <f>1/NOK!B976</f>
        <v>0.17225638640552599</v>
      </c>
      <c r="Q976" s="3">
        <f>1/NOK!C976</f>
        <v>0.17204893071589561</v>
      </c>
      <c r="R976" s="3">
        <f>NZD!B976/1</f>
        <v>0.80500000000000005</v>
      </c>
      <c r="S976" s="3">
        <f>NZD!C976/1</f>
        <v>0.80320000000000003</v>
      </c>
      <c r="T976" s="4">
        <f>1/PHP!B976</f>
        <v>2.390057361376673E-2</v>
      </c>
      <c r="U976" s="4">
        <f>1/PHP!C976</f>
        <v>2.3883676939832243E-2</v>
      </c>
      <c r="V976" s="4">
        <f>1/TWD!B976</f>
        <v>3.3520489399145231E-2</v>
      </c>
      <c r="W976" s="4">
        <f>1/TWD!C976</f>
        <v>3.3520601761842829E-2</v>
      </c>
      <c r="X976" s="4">
        <f>1/TWD!B976</f>
        <v>3.3520489399145231E-2</v>
      </c>
      <c r="Y976" s="4">
        <f>1/TWD!C976</f>
        <v>3.3520601761842829E-2</v>
      </c>
      <c r="Z976" s="4">
        <f>1/ZAR!B976</f>
        <v>0.10178220643467109</v>
      </c>
      <c r="AA976" s="4">
        <f>1/ZAR!C976</f>
        <v>0.10132225543340595</v>
      </c>
    </row>
    <row r="977" spans="1:27" x14ac:dyDescent="0.25">
      <c r="A977" t="str">
        <f>"06/06/2013"</f>
        <v>06/06/2013</v>
      </c>
      <c r="B977" s="3">
        <f>AUD!B977</f>
        <v>0.94420000000000004</v>
      </c>
      <c r="C977" s="3">
        <f>AUD!C977</f>
        <v>0.94220000000000004</v>
      </c>
      <c r="D977" s="3">
        <f>1/CAD!B977</f>
        <v>0.9654373431164317</v>
      </c>
      <c r="E977" s="3">
        <f>1/CAD!C977</f>
        <v>0.96469226316804946</v>
      </c>
      <c r="F977" s="3">
        <f>EUR!B977/1</f>
        <v>1.3102</v>
      </c>
      <c r="G977" s="3">
        <f>EUR!C977/1</f>
        <v>1.3103</v>
      </c>
      <c r="H977" s="3">
        <f>GBP!B977/1</f>
        <v>1.5407999999999999</v>
      </c>
      <c r="I977" s="3">
        <f>GBP!C977/1</f>
        <v>1.5405</v>
      </c>
      <c r="J977" s="4">
        <f>1/INR!B977</f>
        <v>1.7554638813306416E-2</v>
      </c>
      <c r="K977" s="4">
        <f>1/INR!C977</f>
        <v>1.7455814968361336E-2</v>
      </c>
      <c r="L977" s="4">
        <f>1/JPY!B977</f>
        <v>1.0090817356205853E-2</v>
      </c>
      <c r="M977" s="4">
        <f>1/JPY!C977</f>
        <v>1.0091978290136302E-2</v>
      </c>
      <c r="N977" s="5">
        <f>1/KRW!B977</f>
        <v>8.9349535382416008E-4</v>
      </c>
      <c r="O977" s="5">
        <f>1/KRW!C977</f>
        <v>8.9347938743053197E-4</v>
      </c>
      <c r="P977" s="3">
        <f>1/NOK!B977</f>
        <v>0.17199566570922414</v>
      </c>
      <c r="Q977" s="3">
        <f>1/NOK!C977</f>
        <v>0.17179769103903242</v>
      </c>
      <c r="R977" s="3">
        <f>NZD!B977/1</f>
        <v>0.79079999999999995</v>
      </c>
      <c r="S977" s="3">
        <f>NZD!C977/1</f>
        <v>0.78920000000000001</v>
      </c>
      <c r="T977" s="4">
        <f>1/PHP!B977</f>
        <v>2.3691068467187871E-2</v>
      </c>
      <c r="U977" s="4">
        <f>1/PHP!C977</f>
        <v>2.3674746857769224E-2</v>
      </c>
      <c r="V977" s="4">
        <f>1/TWD!B977</f>
        <v>3.3541289327161737E-2</v>
      </c>
      <c r="W977" s="4">
        <f>1/TWD!C977</f>
        <v>3.3541401829348054E-2</v>
      </c>
      <c r="X977" s="4">
        <f>1/TWD!B977</f>
        <v>3.3541289327161737E-2</v>
      </c>
      <c r="Y977" s="4">
        <f>1/TWD!C977</f>
        <v>3.3541401829348054E-2</v>
      </c>
      <c r="Z977" s="4">
        <f>1/ZAR!B977</f>
        <v>9.9512389292466918E-2</v>
      </c>
      <c r="AA977" s="4">
        <f>1/ZAR!C977</f>
        <v>9.9078569305459233E-2</v>
      </c>
    </row>
    <row r="978" spans="1:27" x14ac:dyDescent="0.25">
      <c r="A978" t="str">
        <f>"07/06/2013"</f>
        <v>07/06/2013</v>
      </c>
      <c r="B978" s="3">
        <f>AUD!B978</f>
        <v>0.95050000000000001</v>
      </c>
      <c r="C978" s="3">
        <f>AUD!C978</f>
        <v>0.94850000000000001</v>
      </c>
      <c r="D978" s="3">
        <f>1/CAD!B978</f>
        <v>0.97361503261610371</v>
      </c>
      <c r="E978" s="3">
        <f>1/CAD!C978</f>
        <v>0.97295193617435294</v>
      </c>
      <c r="F978" s="3">
        <f>EUR!B978/1</f>
        <v>1.3261000000000001</v>
      </c>
      <c r="G978" s="3">
        <f>EUR!C978/1</f>
        <v>1.3263</v>
      </c>
      <c r="H978" s="3">
        <f>GBP!B978/1</f>
        <v>1.5606</v>
      </c>
      <c r="I978" s="3">
        <f>GBP!C978/1</f>
        <v>1.5602</v>
      </c>
      <c r="J978" s="4">
        <f>1/INR!B978</f>
        <v>1.7599436818021823E-2</v>
      </c>
      <c r="K978" s="4">
        <f>1/INR!C978</f>
        <v>1.7500109375683599E-2</v>
      </c>
      <c r="L978" s="4">
        <f>1/JPY!B978</f>
        <v>1.03777501037775E-2</v>
      </c>
      <c r="M978" s="4">
        <f>1/JPY!C978</f>
        <v>1.0379010319849962E-2</v>
      </c>
      <c r="N978" s="5">
        <f>1/KRW!B978</f>
        <v>8.990986535997663E-4</v>
      </c>
      <c r="O978" s="5">
        <f>1/KRW!C978</f>
        <v>8.9907634290987493E-4</v>
      </c>
      <c r="P978" s="3">
        <f>1/NOK!B978</f>
        <v>0.17409167667693806</v>
      </c>
      <c r="Q978" s="3">
        <f>1/NOK!C978</f>
        <v>0.17388885024692216</v>
      </c>
      <c r="R978" s="3">
        <f>NZD!B978/1</f>
        <v>0.79720000000000002</v>
      </c>
      <c r="S978" s="3">
        <f>NZD!C978/1</f>
        <v>0.79549999999999998</v>
      </c>
      <c r="T978" s="4">
        <f>1/PHP!B978</f>
        <v>2.3747328425552126E-2</v>
      </c>
      <c r="U978" s="4">
        <f>1/PHP!C978</f>
        <v>2.3726593715299858E-2</v>
      </c>
      <c r="V978" s="4">
        <f>1/TWD!B978</f>
        <v>3.3685912551371017E-2</v>
      </c>
      <c r="W978" s="4">
        <f>1/TWD!C978</f>
        <v>3.3686026025823705E-2</v>
      </c>
      <c r="X978" s="4">
        <f>1/TWD!B978</f>
        <v>3.3685912551371017E-2</v>
      </c>
      <c r="Y978" s="4">
        <f>1/TWD!C978</f>
        <v>3.3686026025823705E-2</v>
      </c>
      <c r="Z978" s="4">
        <f>1/ZAR!B978</f>
        <v>0.10108668182966894</v>
      </c>
      <c r="AA978" s="4">
        <f>1/ZAR!C978</f>
        <v>0.10063804520660991</v>
      </c>
    </row>
    <row r="979" spans="1:27" x14ac:dyDescent="0.25">
      <c r="A979" t="str">
        <f>"10/06/2013"</f>
        <v>10/06/2013</v>
      </c>
      <c r="B979" s="3">
        <f>AUD!B979</f>
        <v>0.94130000000000003</v>
      </c>
      <c r="C979" s="3">
        <f>AUD!C979</f>
        <v>0.93930000000000002</v>
      </c>
      <c r="D979" s="3">
        <f>1/CAD!B979</f>
        <v>0.97952786756783239</v>
      </c>
      <c r="E979" s="3">
        <f>1/CAD!C979</f>
        <v>0.97885669537979636</v>
      </c>
      <c r="F979" s="3">
        <f>EUR!B979/1</f>
        <v>1.3193999999999999</v>
      </c>
      <c r="G979" s="3">
        <f>EUR!C979/1</f>
        <v>1.3196000000000001</v>
      </c>
      <c r="H979" s="3">
        <f>GBP!B979/1</f>
        <v>1.5523</v>
      </c>
      <c r="I979" s="3">
        <f>GBP!C979/1</f>
        <v>1.552</v>
      </c>
      <c r="J979" s="4">
        <f>1/INR!B979</f>
        <v>1.737921445950643E-2</v>
      </c>
      <c r="K979" s="4">
        <f>1/INR!C979</f>
        <v>1.7281603732826407E-2</v>
      </c>
      <c r="L979" s="4">
        <f>1/JPY!B979</f>
        <v>1.0176097364899588E-2</v>
      </c>
      <c r="M979" s="4">
        <f>1/JPY!C979</f>
        <v>1.0177288363288486E-2</v>
      </c>
      <c r="N979" s="5">
        <f>1/KRW!B979</f>
        <v>8.8880988356590529E-4</v>
      </c>
      <c r="O979" s="5">
        <f>1/KRW!C979</f>
        <v>8.8878808056970602E-4</v>
      </c>
      <c r="P979" s="3">
        <f>1/NOK!B979</f>
        <v>0.17300439431161552</v>
      </c>
      <c r="Q979" s="3">
        <f>1/NOK!C979</f>
        <v>0.17280409200089858</v>
      </c>
      <c r="R979" s="3">
        <f>NZD!B979/1</f>
        <v>0.78400000000000003</v>
      </c>
      <c r="S979" s="3">
        <f>NZD!C979/1</f>
        <v>0.78239999999999998</v>
      </c>
      <c r="T979" s="4">
        <f>1/PHP!B979</f>
        <v>2.3463162834350071E-2</v>
      </c>
      <c r="U979" s="4">
        <f>1/PHP!C979</f>
        <v>2.3437261965308168E-2</v>
      </c>
      <c r="V979" s="4">
        <f>1/TWD!B979</f>
        <v>3.3487375259527163E-2</v>
      </c>
      <c r="W979" s="4">
        <f>1/TWD!C979</f>
        <v>3.3487375259527163E-2</v>
      </c>
      <c r="X979" s="4">
        <f>1/TWD!B979</f>
        <v>3.3487375259527163E-2</v>
      </c>
      <c r="Y979" s="4">
        <f>1/TWD!C979</f>
        <v>3.3487375259527163E-2</v>
      </c>
      <c r="Z979" s="4">
        <f>1/ZAR!B979</f>
        <v>9.9179783192993934E-2</v>
      </c>
      <c r="AA979" s="4">
        <f>1/ZAR!C979</f>
        <v>9.8726429065060725E-2</v>
      </c>
    </row>
    <row r="980" spans="1:27" x14ac:dyDescent="0.25">
      <c r="A980" t="str">
        <f>"11/06/2013"</f>
        <v>11/06/2013</v>
      </c>
      <c r="B980" s="3">
        <f>AUD!B980</f>
        <v>0.94240000000000002</v>
      </c>
      <c r="C980" s="3">
        <f>AUD!C980</f>
        <v>0.94020000000000004</v>
      </c>
      <c r="D980" s="3">
        <f>1/CAD!B980</f>
        <v>0.98145058396309759</v>
      </c>
      <c r="E980" s="3">
        <f>1/CAD!C980</f>
        <v>0.98068059233107774</v>
      </c>
      <c r="F980" s="3">
        <f>EUR!B980/1</f>
        <v>1.3270999999999999</v>
      </c>
      <c r="G980" s="3">
        <f>EUR!C980/1</f>
        <v>1.3272999999999999</v>
      </c>
      <c r="H980" s="3">
        <f>GBP!B980/1</f>
        <v>1.5584</v>
      </c>
      <c r="I980" s="3">
        <f>GBP!C980/1</f>
        <v>1.5581</v>
      </c>
      <c r="J980" s="4">
        <f>1/INR!B980</f>
        <v>1.704593880507969E-2</v>
      </c>
      <c r="K980" s="4">
        <f>1/INR!C980</f>
        <v>1.6946280291476021E-2</v>
      </c>
      <c r="L980" s="4">
        <f>1/JPY!B980</f>
        <v>1.0177081213108081E-2</v>
      </c>
      <c r="M980" s="4">
        <f>1/JPY!C980</f>
        <v>1.0178490000651423E-2</v>
      </c>
      <c r="N980" s="5">
        <f>1/KRW!B980</f>
        <v>8.8284629645978636E-4</v>
      </c>
      <c r="O980" s="5">
        <f>1/KRW!C980</f>
        <v>8.8282330423989145E-4</v>
      </c>
      <c r="P980" s="3">
        <f>1/NOK!B980</f>
        <v>0.17359302850397529</v>
      </c>
      <c r="Q980" s="3">
        <f>1/NOK!C980</f>
        <v>0.17337933665065799</v>
      </c>
      <c r="R980" s="3">
        <f>NZD!B980/1</f>
        <v>0.78869999999999996</v>
      </c>
      <c r="S980" s="3">
        <f>NZD!C980/1</f>
        <v>0.78690000000000004</v>
      </c>
      <c r="T980" s="4">
        <f>1/PHP!B980</f>
        <v>2.318840579710145E-2</v>
      </c>
      <c r="U980" s="4">
        <f>1/PHP!C980</f>
        <v>2.3166917641607783E-2</v>
      </c>
      <c r="V980" s="4">
        <f>1/TWD!B980</f>
        <v>3.3356683011441346E-2</v>
      </c>
      <c r="W980" s="4">
        <f>1/TWD!C980</f>
        <v>3.3356794278642646E-2</v>
      </c>
      <c r="X980" s="4">
        <f>1/TWD!B980</f>
        <v>3.3356683011441346E-2</v>
      </c>
      <c r="Y980" s="4">
        <f>1/TWD!C980</f>
        <v>3.3356794278642646E-2</v>
      </c>
      <c r="Z980" s="4">
        <f>1/ZAR!B980</f>
        <v>9.7907712190489257E-2</v>
      </c>
      <c r="AA980" s="4">
        <f>1/ZAR!C980</f>
        <v>9.7447841043081684E-2</v>
      </c>
    </row>
    <row r="981" spans="1:27" x14ac:dyDescent="0.25">
      <c r="A981" t="str">
        <f>"12/06/2013"</f>
        <v>12/06/2013</v>
      </c>
      <c r="B981" s="3">
        <f>AUD!B981</f>
        <v>0.94499999999999995</v>
      </c>
      <c r="C981" s="3">
        <f>AUD!C981</f>
        <v>0.94279999999999997</v>
      </c>
      <c r="D981" s="3">
        <f>1/CAD!B981</f>
        <v>0.97952786756783239</v>
      </c>
      <c r="E981" s="3">
        <f>1/CAD!C981</f>
        <v>0.97876088871488687</v>
      </c>
      <c r="F981" s="3">
        <f>EUR!B981/1</f>
        <v>1.3307</v>
      </c>
      <c r="G981" s="3">
        <f>EUR!C981/1</f>
        <v>1.3309</v>
      </c>
      <c r="H981" s="3">
        <f>GBP!B981/1</f>
        <v>1.5639000000000001</v>
      </c>
      <c r="I981" s="3">
        <f>GBP!C981/1</f>
        <v>1.5636000000000001</v>
      </c>
      <c r="J981" s="4">
        <f>1/INR!B981</f>
        <v>1.7164435290078956E-2</v>
      </c>
      <c r="K981" s="4">
        <f>1/INR!C981</f>
        <v>1.7065574469900594E-2</v>
      </c>
      <c r="L981" s="4">
        <f>1/JPY!B981</f>
        <v>1.0366346692098771E-2</v>
      </c>
      <c r="M981" s="4">
        <f>1/JPY!C981</f>
        <v>1.0367808369724341E-2</v>
      </c>
      <c r="N981" s="5">
        <f>1/KRW!B981</f>
        <v>8.823788934968676E-4</v>
      </c>
      <c r="O981" s="5">
        <f>1/KRW!C981</f>
        <v>8.8236012981635168E-4</v>
      </c>
      <c r="P981" s="3">
        <f>1/NOK!B981</f>
        <v>0.17296848514200713</v>
      </c>
      <c r="Q981" s="3">
        <f>1/NOK!C981</f>
        <v>0.17276229635644319</v>
      </c>
      <c r="R981" s="3">
        <f>NZD!B981/1</f>
        <v>0.78790000000000004</v>
      </c>
      <c r="S981" s="3">
        <f>NZD!C981/1</f>
        <v>0.78620000000000001</v>
      </c>
      <c r="T981" s="4">
        <f>1/PHP!B981</f>
        <v>2.3245002324500229E-2</v>
      </c>
      <c r="U981" s="4">
        <f>1/PHP!C981</f>
        <v>2.3222762022423901E-2</v>
      </c>
      <c r="V981" s="4">
        <f>1/TWD!B981</f>
        <v>3.3433634236041461E-2</v>
      </c>
      <c r="W981" s="4">
        <f>1/TWD!C981</f>
        <v>3.3433634236041461E-2</v>
      </c>
      <c r="X981" s="4">
        <f>1/TWD!B981</f>
        <v>3.3433634236041461E-2</v>
      </c>
      <c r="Y981" s="4">
        <f>1/TWD!C981</f>
        <v>3.3433634236041461E-2</v>
      </c>
      <c r="Z981" s="4">
        <f>1/ZAR!B981</f>
        <v>9.8020956880581073E-2</v>
      </c>
      <c r="AA981" s="4">
        <f>1/ZAR!C981</f>
        <v>9.7542894487851042E-2</v>
      </c>
    </row>
    <row r="982" spans="1:27" x14ac:dyDescent="0.25">
      <c r="A982" t="str">
        <f>"13/06/2013"</f>
        <v>13/06/2013</v>
      </c>
      <c r="B982" s="3">
        <f>AUD!B982</f>
        <v>0.94620000000000004</v>
      </c>
      <c r="C982" s="3">
        <f>AUD!C982</f>
        <v>0.94410000000000005</v>
      </c>
      <c r="D982" s="3">
        <f>1/CAD!B982</f>
        <v>0.97885669537979636</v>
      </c>
      <c r="E982" s="3">
        <f>1/CAD!C982</f>
        <v>0.97809076682316121</v>
      </c>
      <c r="F982" s="3">
        <f>EUR!B982/1</f>
        <v>1.3352999999999999</v>
      </c>
      <c r="G982" s="3">
        <f>EUR!C982/1</f>
        <v>1.3354999999999999</v>
      </c>
      <c r="H982" s="3">
        <f>GBP!B982/1</f>
        <v>1.5680000000000001</v>
      </c>
      <c r="I982" s="3">
        <f>GBP!C982/1</f>
        <v>1.5677000000000001</v>
      </c>
      <c r="J982" s="4">
        <f>1/INR!B982</f>
        <v>1.7202821262687081E-2</v>
      </c>
      <c r="K982" s="4">
        <f>1/INR!C982</f>
        <v>1.7107176460525189E-2</v>
      </c>
      <c r="L982" s="4">
        <f>1/JPY!B982</f>
        <v>1.054385187996879E-2</v>
      </c>
      <c r="M982" s="4">
        <f>1/JPY!C982</f>
        <v>1.0545653187212763E-2</v>
      </c>
      <c r="N982" s="5">
        <f>1/KRW!B982</f>
        <v>8.810378626021453E-4</v>
      </c>
      <c r="O982" s="5">
        <f>1/KRW!C982</f>
        <v>8.8101659447616684E-4</v>
      </c>
      <c r="P982" s="3">
        <f>1/NOK!B982</f>
        <v>0.17355988683895376</v>
      </c>
      <c r="Q982" s="3">
        <f>1/NOK!C982</f>
        <v>0.1733613022901028</v>
      </c>
      <c r="R982" s="3">
        <f>NZD!B982/1</f>
        <v>0.7923</v>
      </c>
      <c r="S982" s="3">
        <f>NZD!C982/1</f>
        <v>0.79069999999999996</v>
      </c>
      <c r="T982" s="4">
        <f>1/PHP!B982</f>
        <v>2.3124060585038735E-2</v>
      </c>
      <c r="U982" s="4">
        <f>1/PHP!C982</f>
        <v>2.3098422377751601E-2</v>
      </c>
      <c r="V982" s="4">
        <f>1/TWD!B982</f>
        <v>3.3381179690890272E-2</v>
      </c>
      <c r="W982" s="4">
        <f>1/TWD!C982</f>
        <v>3.3381291121577998E-2</v>
      </c>
      <c r="X982" s="4">
        <f>1/TWD!B982</f>
        <v>3.3381179690890272E-2</v>
      </c>
      <c r="Y982" s="4">
        <f>1/TWD!C982</f>
        <v>3.3381291121577998E-2</v>
      </c>
      <c r="Z982" s="4">
        <f>1/ZAR!B982</f>
        <v>9.8910011671381373E-2</v>
      </c>
      <c r="AA982" s="4">
        <f>1/ZAR!C982</f>
        <v>9.8461053730197021E-2</v>
      </c>
    </row>
    <row r="983" spans="1:27" x14ac:dyDescent="0.25">
      <c r="A983" t="str">
        <f>"14/06/2013"</f>
        <v>14/06/2013</v>
      </c>
      <c r="B983" s="3">
        <f>AUD!B983</f>
        <v>0.95789999999999997</v>
      </c>
      <c r="C983" s="3">
        <f>AUD!C983</f>
        <v>0.95569999999999999</v>
      </c>
      <c r="D983" s="3">
        <f>1/CAD!B983</f>
        <v>0.98222178567920637</v>
      </c>
      <c r="E983" s="3">
        <f>1/CAD!C983</f>
        <v>0.98154691794267768</v>
      </c>
      <c r="F983" s="3">
        <f>EUR!B983/1</f>
        <v>1.3344</v>
      </c>
      <c r="G983" s="3">
        <f>EUR!C983/1</f>
        <v>1.3346</v>
      </c>
      <c r="H983" s="3">
        <f>GBP!B983/1</f>
        <v>1.5698000000000001</v>
      </c>
      <c r="I983" s="3">
        <f>GBP!C983/1</f>
        <v>1.5693999999999999</v>
      </c>
      <c r="J983" s="4">
        <f>1/INR!B983</f>
        <v>1.7292062943109112E-2</v>
      </c>
      <c r="K983" s="4">
        <f>1/INR!C983</f>
        <v>1.71961652551481E-2</v>
      </c>
      <c r="L983" s="4">
        <f>1/JPY!B983</f>
        <v>1.0504753400913914E-2</v>
      </c>
      <c r="M983" s="4">
        <f>1/JPY!C983</f>
        <v>1.0506265411378076E-2</v>
      </c>
      <c r="N983" s="5">
        <f>1/KRW!B983</f>
        <v>8.8487744447394046E-4</v>
      </c>
      <c r="O983" s="5">
        <f>1/KRW!C983</f>
        <v>8.8485646035471415E-4</v>
      </c>
      <c r="P983" s="3">
        <f>1/NOK!B983</f>
        <v>0.1737981855469429</v>
      </c>
      <c r="Q983" s="3">
        <f>1/NOK!C983</f>
        <v>0.17359604201024215</v>
      </c>
      <c r="R983" s="3">
        <f>NZD!B983/1</f>
        <v>0.80459999999999998</v>
      </c>
      <c r="S983" s="3">
        <f>NZD!C983/1</f>
        <v>0.80279999999999996</v>
      </c>
      <c r="T983" s="4">
        <f>1/PHP!B983</f>
        <v>2.3323615160349854E-2</v>
      </c>
      <c r="U983" s="4">
        <f>1/PHP!C983</f>
        <v>2.3309914639092592E-2</v>
      </c>
      <c r="V983" s="4">
        <f>1/TWD!B983</f>
        <v>3.3442579091699551E-2</v>
      </c>
      <c r="W983" s="4">
        <f>1/TWD!C983</f>
        <v>3.3442579091699551E-2</v>
      </c>
      <c r="X983" s="4">
        <f>1/TWD!B983</f>
        <v>3.3442579091699551E-2</v>
      </c>
      <c r="Y983" s="4">
        <f>1/TWD!C983</f>
        <v>3.3442579091699551E-2</v>
      </c>
      <c r="Z983" s="4">
        <f>1/ZAR!B983</f>
        <v>0.10084711577248891</v>
      </c>
      <c r="AA983" s="4">
        <f>1/ZAR!C983</f>
        <v>0.10040362256270206</v>
      </c>
    </row>
    <row r="984" spans="1:27" x14ac:dyDescent="0.25">
      <c r="A984" t="str">
        <f>"17/06/2013"</f>
        <v>17/06/2013</v>
      </c>
      <c r="B984" s="3">
        <f>AUD!B984</f>
        <v>0.9607</v>
      </c>
      <c r="C984" s="3">
        <f>AUD!C984</f>
        <v>0.95860000000000001</v>
      </c>
      <c r="D984" s="3">
        <f>1/CAD!B984</f>
        <v>0.9837678307919332</v>
      </c>
      <c r="E984" s="3">
        <f>1/CAD!C984</f>
        <v>0.98299420033421792</v>
      </c>
      <c r="F984" s="3">
        <f>EUR!B984/1</f>
        <v>1.3322000000000001</v>
      </c>
      <c r="G984" s="3">
        <f>EUR!C984/1</f>
        <v>1.3324</v>
      </c>
      <c r="H984" s="3">
        <f>GBP!B984/1</f>
        <v>1.5697000000000001</v>
      </c>
      <c r="I984" s="3">
        <f>GBP!C984/1</f>
        <v>1.5692999999999999</v>
      </c>
      <c r="J984" s="4">
        <f>1/INR!B984</f>
        <v>1.7295053614666205E-2</v>
      </c>
      <c r="K984" s="4">
        <f>1/INR!C984</f>
        <v>1.7200602021070738E-2</v>
      </c>
      <c r="L984" s="4">
        <f>1/JPY!B984</f>
        <v>1.0549691685260498E-2</v>
      </c>
      <c r="M984" s="4">
        <f>1/JPY!C984</f>
        <v>1.055117212971189E-2</v>
      </c>
      <c r="N984" s="5">
        <f>1/KRW!B984</f>
        <v>8.8628910750686882E-4</v>
      </c>
      <c r="O984" s="5">
        <f>1/KRW!C984</f>
        <v>8.8627355471383208E-4</v>
      </c>
      <c r="P984" s="3">
        <f>1/NOK!B984</f>
        <v>0.17463893400394684</v>
      </c>
      <c r="Q984" s="3">
        <f>1/NOK!C984</f>
        <v>0.17443787395119228</v>
      </c>
      <c r="R984" s="3">
        <f>NZD!B984/1</f>
        <v>0.80759999999999998</v>
      </c>
      <c r="S984" s="3">
        <f>NZD!C984/1</f>
        <v>0.80589999999999995</v>
      </c>
      <c r="T984" s="4">
        <f>1/PHP!B984</f>
        <v>2.3288309268747091E-2</v>
      </c>
      <c r="U984" s="4">
        <f>1/PHP!C984</f>
        <v>2.3273945981171378E-2</v>
      </c>
      <c r="V984" s="4">
        <f>1/TWD!B984</f>
        <v>3.3458244111349032E-2</v>
      </c>
      <c r="W984" s="4">
        <f>1/TWD!C984</f>
        <v>3.3458356057133494E-2</v>
      </c>
      <c r="X984" s="4">
        <f>1/TWD!B984</f>
        <v>3.3458244111349032E-2</v>
      </c>
      <c r="Y984" s="4">
        <f>1/TWD!C984</f>
        <v>3.3458356057133494E-2</v>
      </c>
      <c r="Z984" s="4">
        <f>1/ZAR!B984</f>
        <v>0.10059248976471416</v>
      </c>
      <c r="AA984" s="4">
        <f>1/ZAR!C984</f>
        <v>0.10016025641025642</v>
      </c>
    </row>
    <row r="985" spans="1:27" x14ac:dyDescent="0.25">
      <c r="A985" t="str">
        <f>"18/06/2013"</f>
        <v>18/06/2013</v>
      </c>
      <c r="B985" s="3">
        <f>AUD!B985</f>
        <v>0.95199999999999996</v>
      </c>
      <c r="C985" s="3">
        <f>AUD!C985</f>
        <v>0.94969999999999999</v>
      </c>
      <c r="D985" s="3">
        <f>1/CAD!B985</f>
        <v>0.98222178567920637</v>
      </c>
      <c r="E985" s="3">
        <f>1/CAD!C985</f>
        <v>0.98154691794267768</v>
      </c>
      <c r="F985" s="3">
        <f>EUR!B985/1</f>
        <v>1.3351</v>
      </c>
      <c r="G985" s="3">
        <f>EUR!C985/1</f>
        <v>1.3352999999999999</v>
      </c>
      <c r="H985" s="3">
        <f>GBP!B985/1</f>
        <v>1.5701000000000001</v>
      </c>
      <c r="I985" s="3">
        <f>GBP!C985/1</f>
        <v>1.5698000000000001</v>
      </c>
      <c r="J985" s="4">
        <f>1/INR!B985</f>
        <v>1.7124753831663668E-2</v>
      </c>
      <c r="K985" s="4">
        <f>1/INR!C985</f>
        <v>1.7023449802102394E-2</v>
      </c>
      <c r="L985" s="4">
        <f>1/JPY!B985</f>
        <v>1.0540184453227932E-2</v>
      </c>
      <c r="M985" s="4">
        <f>1/JPY!C985</f>
        <v>1.0541573329819476E-2</v>
      </c>
      <c r="N985" s="5">
        <f>1/KRW!B985</f>
        <v>8.8462304000707704E-4</v>
      </c>
      <c r="O985" s="5">
        <f>1/KRW!C985</f>
        <v>8.8460660659598082E-4</v>
      </c>
      <c r="P985" s="3">
        <f>1/NOK!B985</f>
        <v>0.17388280299078421</v>
      </c>
      <c r="Q985" s="3">
        <f>1/NOK!C985</f>
        <v>0.17367141368530739</v>
      </c>
      <c r="R985" s="3">
        <f>NZD!B985/1</f>
        <v>0.79869999999999997</v>
      </c>
      <c r="S985" s="3">
        <f>NZD!C985/1</f>
        <v>0.79679999999999995</v>
      </c>
      <c r="T985" s="4">
        <f>1/PHP!B985</f>
        <v>2.3129409043598937E-2</v>
      </c>
      <c r="U985" s="4">
        <f>1/PHP!C985</f>
        <v>2.3108030040439053E-2</v>
      </c>
      <c r="V985" s="4">
        <f>1/TWD!B985</f>
        <v>3.3400133600534399E-2</v>
      </c>
      <c r="W985" s="4">
        <f>1/TWD!C985</f>
        <v>3.3400245157799456E-2</v>
      </c>
      <c r="X985" s="4">
        <f>1/TWD!B985</f>
        <v>3.3400133600534399E-2</v>
      </c>
      <c r="Y985" s="4">
        <f>1/TWD!C985</f>
        <v>3.3400245157799456E-2</v>
      </c>
      <c r="Z985" s="4">
        <f>1/ZAR!B985</f>
        <v>0.10007505629221916</v>
      </c>
      <c r="AA985" s="4">
        <f>1/ZAR!C985</f>
        <v>9.9645262864203429E-2</v>
      </c>
    </row>
    <row r="986" spans="1:27" x14ac:dyDescent="0.25">
      <c r="A986" t="str">
        <f>"19/06/2013"</f>
        <v>19/06/2013</v>
      </c>
      <c r="B986" s="3">
        <f>AUD!B986</f>
        <v>0.94750000000000001</v>
      </c>
      <c r="C986" s="3">
        <f>AUD!C986</f>
        <v>0.94530000000000003</v>
      </c>
      <c r="D986" s="3">
        <f>1/CAD!B986</f>
        <v>0.97789947193428517</v>
      </c>
      <c r="E986" s="3">
        <f>1/CAD!C986</f>
        <v>0.9771350400625366</v>
      </c>
      <c r="F986" s="3">
        <f>EUR!B986/1</f>
        <v>1.339</v>
      </c>
      <c r="G986" s="3">
        <f>EUR!C986/1</f>
        <v>1.3391999999999999</v>
      </c>
      <c r="H986" s="3">
        <f>GBP!B986/1</f>
        <v>1.5637000000000001</v>
      </c>
      <c r="I986" s="3">
        <f>GBP!C986/1</f>
        <v>1.5633999999999999</v>
      </c>
      <c r="J986" s="4">
        <f>1/INR!B986</f>
        <v>1.7051025192889722E-2</v>
      </c>
      <c r="K986" s="4">
        <f>1/INR!C986</f>
        <v>1.6951307369580879E-2</v>
      </c>
      <c r="L986" s="4">
        <f>1/JPY!B986</f>
        <v>1.0499128572328497E-2</v>
      </c>
      <c r="M986" s="4">
        <f>1/JPY!C986</f>
        <v>1.0500440493478702E-2</v>
      </c>
      <c r="N986" s="5">
        <f>1/KRW!B986</f>
        <v>8.8350929893537134E-4</v>
      </c>
      <c r="O986" s="5">
        <f>1/KRW!C986</f>
        <v>8.8349368743760332E-4</v>
      </c>
      <c r="P986" s="3">
        <f>1/NOK!B986</f>
        <v>0.17417354652175429</v>
      </c>
      <c r="Q986" s="3">
        <f>1/NOK!C986</f>
        <v>0.17396750287046381</v>
      </c>
      <c r="R986" s="3">
        <f>NZD!B986/1</f>
        <v>0.79810000000000003</v>
      </c>
      <c r="S986" s="3">
        <f>NZD!C986/1</f>
        <v>0.7964</v>
      </c>
      <c r="T986" s="4">
        <f>1/PHP!B986</f>
        <v>2.3146808633759619E-2</v>
      </c>
      <c r="U986" s="4">
        <f>1/PHP!C986</f>
        <v>2.3126467085255724E-2</v>
      </c>
      <c r="V986" s="4">
        <f>1/TWD!B986</f>
        <v>3.3435870001337437E-2</v>
      </c>
      <c r="W986" s="4">
        <f>1/TWD!C986</f>
        <v>3.3435981797451511E-2</v>
      </c>
      <c r="X986" s="4">
        <f>1/TWD!B986</f>
        <v>3.3435870001337437E-2</v>
      </c>
      <c r="Y986" s="4">
        <f>1/TWD!C986</f>
        <v>3.3435981797451511E-2</v>
      </c>
      <c r="Z986" s="4">
        <f>1/ZAR!B986</f>
        <v>9.9850224663005485E-2</v>
      </c>
      <c r="AA986" s="4">
        <f>1/ZAR!C986</f>
        <v>9.9401602353829943E-2</v>
      </c>
    </row>
    <row r="987" spans="1:27" x14ac:dyDescent="0.25">
      <c r="A987" t="str">
        <f>"20/06/2013"</f>
        <v>20/06/2013</v>
      </c>
      <c r="B987" s="3">
        <f>AUD!B987</f>
        <v>0.92569999999999997</v>
      </c>
      <c r="C987" s="3">
        <f>AUD!C987</f>
        <v>0.92359999999999998</v>
      </c>
      <c r="D987" s="3">
        <f>1/CAD!B987</f>
        <v>0.97191175041306255</v>
      </c>
      <c r="E987" s="3">
        <f>1/CAD!C987</f>
        <v>0.97115664756725251</v>
      </c>
      <c r="F987" s="3">
        <f>EUR!B987/1</f>
        <v>1.3254999999999999</v>
      </c>
      <c r="G987" s="3">
        <f>EUR!C987/1</f>
        <v>1.3257000000000001</v>
      </c>
      <c r="H987" s="3">
        <f>GBP!B987/1</f>
        <v>1.5444</v>
      </c>
      <c r="I987" s="3">
        <f>GBP!C987/1</f>
        <v>1.5441</v>
      </c>
      <c r="J987" s="4">
        <f>1/INR!B987</f>
        <v>1.6742005692281937E-2</v>
      </c>
      <c r="K987" s="4">
        <f>1/INR!C987</f>
        <v>1.6645859342488554E-2</v>
      </c>
      <c r="L987" s="4">
        <f>1/JPY!B987</f>
        <v>1.0309012654313034E-2</v>
      </c>
      <c r="M987" s="4">
        <f>1/JPY!C987</f>
        <v>1.0310468837638986E-2</v>
      </c>
      <c r="N987" s="5">
        <f>1/KRW!B987</f>
        <v>8.724100327153762E-4</v>
      </c>
      <c r="O987" s="5">
        <f>1/KRW!C987</f>
        <v>8.7238948351925404E-4</v>
      </c>
      <c r="P987" s="3">
        <f>1/NOK!B987</f>
        <v>0.17251492254079978</v>
      </c>
      <c r="Q987" s="3">
        <f>1/NOK!C987</f>
        <v>0.17232169013113682</v>
      </c>
      <c r="R987" s="3">
        <f>NZD!B987/1</f>
        <v>0.78559999999999997</v>
      </c>
      <c r="S987" s="3">
        <f>NZD!C987/1</f>
        <v>0.78390000000000004</v>
      </c>
      <c r="T987" s="4">
        <f>1/PHP!B987</f>
        <v>2.2883295194508008E-2</v>
      </c>
      <c r="U987" s="4">
        <f>1/PHP!C987</f>
        <v>2.2861323213387592E-2</v>
      </c>
      <c r="V987" s="4">
        <f>1/TWD!B987</f>
        <v>3.3296706955682084E-2</v>
      </c>
      <c r="W987" s="4">
        <f>1/TWD!C987</f>
        <v>3.3296706955682084E-2</v>
      </c>
      <c r="X987" s="4">
        <f>1/TWD!B987</f>
        <v>3.3296706955682084E-2</v>
      </c>
      <c r="Y987" s="4">
        <f>1/TWD!C987</f>
        <v>3.3296706955682084E-2</v>
      </c>
      <c r="Z987" s="4">
        <f>1/ZAR!B987</f>
        <v>9.7870341371750713E-2</v>
      </c>
      <c r="AA987" s="4">
        <f>1/ZAR!C987</f>
        <v>9.745638826625086E-2</v>
      </c>
    </row>
    <row r="988" spans="1:27" x14ac:dyDescent="0.25">
      <c r="A988" t="str">
        <f>"21/06/2013"</f>
        <v>21/06/2013</v>
      </c>
      <c r="B988" s="3">
        <f>AUD!B988</f>
        <v>0.92220000000000002</v>
      </c>
      <c r="C988" s="3">
        <f>AUD!C988</f>
        <v>0.92020000000000002</v>
      </c>
      <c r="D988" s="3">
        <f>1/CAD!B988</f>
        <v>0.96385542168674687</v>
      </c>
      <c r="E988" s="3">
        <f>1/CAD!C988</f>
        <v>0.96311278050659732</v>
      </c>
      <c r="F988" s="3">
        <f>EUR!B988/1</f>
        <v>1.3232999999999999</v>
      </c>
      <c r="G988" s="3">
        <f>EUR!C988/1</f>
        <v>1.3234999999999999</v>
      </c>
      <c r="H988" s="3">
        <f>GBP!B988/1</f>
        <v>1.5508</v>
      </c>
      <c r="I988" s="3">
        <f>GBP!C988/1</f>
        <v>1.5505</v>
      </c>
      <c r="J988" s="4">
        <f>1/INR!B988</f>
        <v>1.6758840288252051E-2</v>
      </c>
      <c r="K988" s="4">
        <f>1/INR!C988</f>
        <v>1.6661112962345882E-2</v>
      </c>
      <c r="L988" s="4">
        <f>1/JPY!B988</f>
        <v>1.0280397851396849E-2</v>
      </c>
      <c r="M988" s="4">
        <f>1/JPY!C988</f>
        <v>1.0281877676501282E-2</v>
      </c>
      <c r="N988" s="5">
        <f>1/KRW!B988</f>
        <v>8.6535133264105239E-4</v>
      </c>
      <c r="O988" s="5">
        <f>1/KRW!C988</f>
        <v>8.6533703016850462E-4</v>
      </c>
      <c r="P988" s="3">
        <f>1/NOK!B988</f>
        <v>0.16704251231938527</v>
      </c>
      <c r="Q988" s="3">
        <f>1/NOK!C988</f>
        <v>0.16686133822793259</v>
      </c>
      <c r="R988" s="3">
        <f>NZD!B988/1</f>
        <v>0.77790000000000004</v>
      </c>
      <c r="S988" s="3">
        <f>NZD!C988/1</f>
        <v>0.7762</v>
      </c>
      <c r="T988" s="4">
        <f>1/PHP!B988</f>
        <v>2.2740193291642979E-2</v>
      </c>
      <c r="U988" s="4">
        <f>1/PHP!C988</f>
        <v>2.2713438178563965E-2</v>
      </c>
      <c r="V988" s="4">
        <f>1/TWD!B988</f>
        <v>3.3259054777663222E-2</v>
      </c>
      <c r="W988" s="4">
        <f>1/TWD!C988</f>
        <v>3.3259054777663222E-2</v>
      </c>
      <c r="X988" s="4">
        <f>1/TWD!B988</f>
        <v>3.3259054777663222E-2</v>
      </c>
      <c r="Y988" s="4">
        <f>1/TWD!C988</f>
        <v>3.3259054777663222E-2</v>
      </c>
      <c r="Z988" s="4">
        <f>1/ZAR!B988</f>
        <v>9.7650528289358038E-2</v>
      </c>
      <c r="AA988" s="4">
        <f>1/ZAR!C988</f>
        <v>9.7228974234321822E-2</v>
      </c>
    </row>
    <row r="989" spans="1:27" x14ac:dyDescent="0.25">
      <c r="A989" t="str">
        <f>"24/06/2013"</f>
        <v>24/06/2013</v>
      </c>
      <c r="B989" s="3">
        <f>AUD!B989</f>
        <v>0.92030000000000001</v>
      </c>
      <c r="C989" s="3">
        <f>AUD!C989</f>
        <v>0.91820000000000002</v>
      </c>
      <c r="D989" s="3">
        <f>1/CAD!B989</f>
        <v>0.95256239283673072</v>
      </c>
      <c r="E989" s="3">
        <f>1/CAD!C989</f>
        <v>0.95192765349833408</v>
      </c>
      <c r="F989" s="3">
        <f>EUR!B989/1</f>
        <v>1.3099000000000001</v>
      </c>
      <c r="G989" s="3">
        <f>EUR!C989/1</f>
        <v>1.3101</v>
      </c>
      <c r="H989" s="3">
        <f>GBP!B989/1</f>
        <v>1.5371999999999999</v>
      </c>
      <c r="I989" s="3">
        <f>GBP!C989/1</f>
        <v>1.5367999999999999</v>
      </c>
      <c r="J989" s="4">
        <f>1/INR!B989</f>
        <v>1.6753224995811694E-2</v>
      </c>
      <c r="K989" s="4">
        <f>1/INR!C989</f>
        <v>1.6656256506350199E-2</v>
      </c>
      <c r="L989" s="4">
        <f>1/JPY!B989</f>
        <v>1.0158472165786267E-2</v>
      </c>
      <c r="M989" s="4">
        <f>1/JPY!C989</f>
        <v>1.0160278391627931E-2</v>
      </c>
      <c r="N989" s="5">
        <f>1/KRW!B989</f>
        <v>8.6352057337766078E-4</v>
      </c>
      <c r="O989" s="5">
        <f>1/KRW!C989</f>
        <v>8.6350014256387359E-4</v>
      </c>
      <c r="P989" s="3">
        <f>1/NOK!B989</f>
        <v>0.16454134101192924</v>
      </c>
      <c r="Q989" s="3">
        <f>1/NOK!C989</f>
        <v>0.16436284742196874</v>
      </c>
      <c r="R989" s="3">
        <f>NZD!B989/1</f>
        <v>0.77410000000000001</v>
      </c>
      <c r="S989" s="3">
        <f>NZD!C989/1</f>
        <v>0.77239999999999998</v>
      </c>
      <c r="T989" s="4">
        <f>1/PHP!B989</f>
        <v>2.2874135071767599E-2</v>
      </c>
      <c r="U989" s="4">
        <f>1/PHP!C989</f>
        <v>2.2851397362948743E-2</v>
      </c>
      <c r="V989" s="4">
        <f>1/TWD!B989</f>
        <v>3.3186758483365136E-2</v>
      </c>
      <c r="W989" s="4">
        <f>1/TWD!C989</f>
        <v>3.3186868619824506E-2</v>
      </c>
      <c r="X989" s="4">
        <f>1/TWD!B989</f>
        <v>3.3186758483365136E-2</v>
      </c>
      <c r="Y989" s="4">
        <f>1/TWD!C989</f>
        <v>3.3186868619824506E-2</v>
      </c>
      <c r="Z989" s="4">
        <f>1/ZAR!B989</f>
        <v>9.755716850074142E-2</v>
      </c>
      <c r="AA989" s="4">
        <f>1/ZAR!C989</f>
        <v>9.7146798527254538E-2</v>
      </c>
    </row>
    <row r="990" spans="1:27" x14ac:dyDescent="0.25">
      <c r="A990" t="str">
        <f>"25/06/2013"</f>
        <v>25/06/2013</v>
      </c>
      <c r="B990" s="3">
        <f>AUD!B990</f>
        <v>0.92179999999999995</v>
      </c>
      <c r="C990" s="3">
        <f>AUD!C990</f>
        <v>0.91959999999999997</v>
      </c>
      <c r="D990" s="3">
        <f>1/CAD!B990</f>
        <v>0.95047999239615999</v>
      </c>
      <c r="E990" s="3">
        <f>1/CAD!C990</f>
        <v>0.94975781175800178</v>
      </c>
      <c r="F990" s="3">
        <f>EUR!B990/1</f>
        <v>1.3112999999999999</v>
      </c>
      <c r="G990" s="3">
        <f>EUR!C990/1</f>
        <v>1.3115000000000001</v>
      </c>
      <c r="H990" s="3">
        <f>GBP!B990/1</f>
        <v>1.5439000000000001</v>
      </c>
      <c r="I990" s="3">
        <f>GBP!C990/1</f>
        <v>1.5435000000000001</v>
      </c>
      <c r="J990" s="4">
        <f>1/INR!B990</f>
        <v>1.6735001255125094E-2</v>
      </c>
      <c r="K990" s="4">
        <f>1/INR!C990</f>
        <v>1.6632708220716039E-2</v>
      </c>
      <c r="L990" s="4">
        <f>1/JPY!B990</f>
        <v>1.0260619741432383E-2</v>
      </c>
      <c r="M990" s="4">
        <f>1/JPY!C990</f>
        <v>1.0262388755705888E-2</v>
      </c>
      <c r="N990" s="5">
        <f>1/KRW!B990</f>
        <v>8.6036307321689755E-4</v>
      </c>
      <c r="O990" s="5">
        <f>1/KRW!C990</f>
        <v>8.6034286555946855E-4</v>
      </c>
      <c r="P990" s="3">
        <f>1/NOK!B990</f>
        <v>0.16294075474157596</v>
      </c>
      <c r="Q990" s="3">
        <f>1/NOK!C990</f>
        <v>0.16275246976872873</v>
      </c>
      <c r="R990" s="3">
        <f>NZD!B990/1</f>
        <v>0.77210000000000001</v>
      </c>
      <c r="S990" s="3">
        <f>NZD!C990/1</f>
        <v>0.77029999999999998</v>
      </c>
      <c r="T990" s="4">
        <f>1/PHP!B990</f>
        <v>2.2883295194508008E-2</v>
      </c>
      <c r="U990" s="4">
        <f>1/PHP!C990</f>
        <v>2.2873873461732006E-2</v>
      </c>
      <c r="V990" s="4">
        <f>1/TWD!B990</f>
        <v>3.3124648050614464E-2</v>
      </c>
      <c r="W990" s="4">
        <f>1/TWD!C990</f>
        <v>3.312475777520877E-2</v>
      </c>
      <c r="X990" s="4">
        <f>1/TWD!B990</f>
        <v>3.3124648050614464E-2</v>
      </c>
      <c r="Y990" s="4">
        <f>1/TWD!C990</f>
        <v>3.312475777520877E-2</v>
      </c>
      <c r="Z990" s="4">
        <f>1/ZAR!B990</f>
        <v>9.9157164105106582E-2</v>
      </c>
      <c r="AA990" s="4">
        <f>1/ZAR!C990</f>
        <v>9.8739101671652979E-2</v>
      </c>
    </row>
    <row r="991" spans="1:27" x14ac:dyDescent="0.25">
      <c r="A991" t="str">
        <f>"26/06/2013"</f>
        <v>26/06/2013</v>
      </c>
      <c r="B991" s="3">
        <f>AUD!B991</f>
        <v>0.92559999999999998</v>
      </c>
      <c r="C991" s="3">
        <f>AUD!C991</f>
        <v>0.9234</v>
      </c>
      <c r="D991" s="3">
        <f>1/CAD!B991</f>
        <v>0.95147478591817325</v>
      </c>
      <c r="E991" s="3">
        <f>1/CAD!C991</f>
        <v>0.95075109336375729</v>
      </c>
      <c r="F991" s="3">
        <f>EUR!B991/1</f>
        <v>1.3061</v>
      </c>
      <c r="G991" s="3">
        <f>EUR!C991/1</f>
        <v>1.3063</v>
      </c>
      <c r="H991" s="3">
        <f>GBP!B991/1</f>
        <v>1.5418000000000001</v>
      </c>
      <c r="I991" s="3">
        <f>GBP!C991/1</f>
        <v>1.5414000000000001</v>
      </c>
      <c r="J991" s="4">
        <f>1/INR!B991</f>
        <v>1.671681711802073E-2</v>
      </c>
      <c r="K991" s="4">
        <f>1/INR!C991</f>
        <v>1.6616125950234702E-2</v>
      </c>
      <c r="L991" s="4">
        <f>1/JPY!B991</f>
        <v>1.0217322448479151E-2</v>
      </c>
      <c r="M991" s="4">
        <f>1/JPY!C991</f>
        <v>1.0218752842090634E-2</v>
      </c>
      <c r="N991" s="5">
        <f>1/KRW!B991</f>
        <v>8.6647604193744053E-4</v>
      </c>
      <c r="O991" s="5">
        <f>1/KRW!C991</f>
        <v>8.6645321880439159E-4</v>
      </c>
      <c r="P991" s="3">
        <f>1/NOK!B991</f>
        <v>0.16387800920994411</v>
      </c>
      <c r="Q991" s="3">
        <f>1/NOK!C991</f>
        <v>0.16368219465086589</v>
      </c>
      <c r="R991" s="3">
        <f>NZD!B991/1</f>
        <v>0.77300000000000002</v>
      </c>
      <c r="S991" s="3">
        <f>NZD!C991/1</f>
        <v>0.7712</v>
      </c>
      <c r="T991" s="4">
        <f>1/PHP!B991</f>
        <v>2.3078698361412416E-2</v>
      </c>
      <c r="U991" s="4">
        <f>1/PHP!C991</f>
        <v>2.307284095890727E-2</v>
      </c>
      <c r="V991" s="4">
        <f>1/TWD!B991</f>
        <v>3.320990319313219E-2</v>
      </c>
      <c r="W991" s="4">
        <f>1/TWD!C991</f>
        <v>3.3210013483265473E-2</v>
      </c>
      <c r="X991" s="4">
        <f>1/TWD!B991</f>
        <v>3.320990319313219E-2</v>
      </c>
      <c r="Y991" s="4">
        <f>1/TWD!C991</f>
        <v>3.3210013483265473E-2</v>
      </c>
      <c r="Z991" s="4">
        <f>1/ZAR!B991</f>
        <v>9.878396933745591E-2</v>
      </c>
      <c r="AA991" s="4">
        <f>1/ZAR!C991</f>
        <v>9.8341954644690519E-2</v>
      </c>
    </row>
    <row r="992" spans="1:27" x14ac:dyDescent="0.25">
      <c r="A992" t="str">
        <f>"27/06/2013"</f>
        <v>27/06/2013</v>
      </c>
      <c r="B992" s="3">
        <f>AUD!B992</f>
        <v>0.93230000000000002</v>
      </c>
      <c r="C992" s="3">
        <f>AUD!C992</f>
        <v>0.93020000000000003</v>
      </c>
      <c r="D992" s="3">
        <f>1/CAD!B992</f>
        <v>0.95849707658391647</v>
      </c>
      <c r="E992" s="3">
        <f>1/CAD!C992</f>
        <v>0.95776266641126329</v>
      </c>
      <c r="F992" s="3">
        <f>EUR!B992/1</f>
        <v>1.3031999999999999</v>
      </c>
      <c r="G992" s="3">
        <f>EUR!C992/1</f>
        <v>1.3032999999999999</v>
      </c>
      <c r="H992" s="3">
        <f>GBP!B992/1</f>
        <v>1.5336000000000001</v>
      </c>
      <c r="I992" s="3">
        <f>GBP!C992/1</f>
        <v>1.5333000000000001</v>
      </c>
      <c r="J992" s="4">
        <f>1/INR!B992</f>
        <v>1.6513912971678639E-2</v>
      </c>
      <c r="K992" s="4">
        <f>1/INR!C992</f>
        <v>1.6416317819912995E-2</v>
      </c>
      <c r="L992" s="4">
        <f>1/JPY!B992</f>
        <v>1.0230074372640688E-2</v>
      </c>
      <c r="M992" s="4">
        <f>1/JPY!C992</f>
        <v>1.0231298975949285E-2</v>
      </c>
      <c r="N992" s="5">
        <f>1/KRW!B992</f>
        <v>8.6901735862173857E-4</v>
      </c>
      <c r="O992" s="5">
        <f>1/KRW!C992</f>
        <v>8.6899545862973327E-4</v>
      </c>
      <c r="P992" s="3">
        <f>1/NOK!B992</f>
        <v>0.16404199475065617</v>
      </c>
      <c r="Q992" s="3">
        <f>1/NOK!C992</f>
        <v>0.16385384237260364</v>
      </c>
      <c r="R992" s="3">
        <f>NZD!B992/1</f>
        <v>0.78210000000000002</v>
      </c>
      <c r="S992" s="3">
        <f>NZD!C992/1</f>
        <v>0.78039999999999998</v>
      </c>
      <c r="T992" s="4">
        <f>1/PHP!B992</f>
        <v>2.3081361800346218E-2</v>
      </c>
      <c r="U992" s="4">
        <f>1/PHP!C992</f>
        <v>2.3081947839414273E-2</v>
      </c>
      <c r="V992" s="4">
        <f>1/TWD!B992</f>
        <v>3.3290056260195079E-2</v>
      </c>
      <c r="W992" s="4">
        <f>1/TWD!C992</f>
        <v>3.3290056260195079E-2</v>
      </c>
      <c r="X992" s="4">
        <f>1/TWD!B992</f>
        <v>3.3290056260195079E-2</v>
      </c>
      <c r="Y992" s="4">
        <f>1/TWD!C992</f>
        <v>3.3290056260195079E-2</v>
      </c>
      <c r="Z992" s="4">
        <f>1/ZAR!B992</f>
        <v>9.8864052042036993E-2</v>
      </c>
      <c r="AA992" s="4">
        <f>1/ZAR!C992</f>
        <v>9.8389366077314355E-2</v>
      </c>
    </row>
    <row r="993" spans="1:27" x14ac:dyDescent="0.25">
      <c r="A993" t="str">
        <f>"28/06/2013"</f>
        <v>28/06/2013</v>
      </c>
      <c r="B993" s="3">
        <f>AUD!B993</f>
        <v>0.92510000000000003</v>
      </c>
      <c r="C993" s="3">
        <f>AUD!C993</f>
        <v>0.92290000000000005</v>
      </c>
      <c r="D993" s="3">
        <f>1/CAD!B993</f>
        <v>0.95447169991409753</v>
      </c>
      <c r="E993" s="3">
        <f>1/CAD!C993</f>
        <v>0.9537434430138293</v>
      </c>
      <c r="F993" s="3">
        <f>EUR!B993/1</f>
        <v>1.3064</v>
      </c>
      <c r="G993" s="3">
        <f>EUR!C993/1</f>
        <v>1.3066</v>
      </c>
      <c r="H993" s="3">
        <f>GBP!B993/1</f>
        <v>1.5265</v>
      </c>
      <c r="I993" s="3">
        <f>GBP!C993/1</f>
        <v>1.5261</v>
      </c>
      <c r="J993" s="4">
        <f>1/INR!B993</f>
        <v>1.6722408026755852E-2</v>
      </c>
      <c r="K993" s="4">
        <f>1/INR!C993</f>
        <v>1.6626485992185552E-2</v>
      </c>
      <c r="L993" s="4">
        <f>1/JPY!B993</f>
        <v>1.0104378227085797E-2</v>
      </c>
      <c r="M993" s="4">
        <f>1/JPY!C993</f>
        <v>1.0105419738714268E-2</v>
      </c>
      <c r="N993" s="5">
        <f>1/KRW!B993</f>
        <v>8.7267649882188665E-4</v>
      </c>
      <c r="O993" s="5">
        <f>1/KRW!C993</f>
        <v>8.7265433786435818E-4</v>
      </c>
      <c r="P993" s="3">
        <f>1/NOK!B993</f>
        <v>0.16557936218829686</v>
      </c>
      <c r="Q993" s="3">
        <f>1/NOK!C993</f>
        <v>0.1653904040487571</v>
      </c>
      <c r="R993" s="3">
        <f>NZD!B993/1</f>
        <v>0.78</v>
      </c>
      <c r="S993" s="3">
        <f>NZD!C993/1</f>
        <v>0.77829999999999999</v>
      </c>
      <c r="T993" s="4">
        <f>1/PHP!B993</f>
        <v>2.3116042533518264E-2</v>
      </c>
      <c r="U993" s="4">
        <f>1/PHP!C993</f>
        <v>2.3104079256233478E-2</v>
      </c>
      <c r="V993" s="4">
        <f>1/TWD!B993</f>
        <v>3.3260160979179137E-2</v>
      </c>
      <c r="W993" s="4">
        <f>1/TWD!C993</f>
        <v>3.3260160979179137E-2</v>
      </c>
      <c r="X993" s="4">
        <f>1/TWD!B993</f>
        <v>3.3260160979179137E-2</v>
      </c>
      <c r="Y993" s="4">
        <f>1/TWD!C993</f>
        <v>3.3260160979179137E-2</v>
      </c>
      <c r="Z993" s="4">
        <f>1/ZAR!B993</f>
        <v>0.1002004008016032</v>
      </c>
      <c r="AA993" s="4">
        <f>1/ZAR!C993</f>
        <v>9.9746643525445378E-2</v>
      </c>
    </row>
    <row r="994" spans="1:27" x14ac:dyDescent="0.25">
      <c r="A994" t="str">
        <f>"01/07/2013"</f>
        <v>01/07/2013</v>
      </c>
      <c r="B994" s="3">
        <f>AUD!B994</f>
        <v>0.91810000000000003</v>
      </c>
      <c r="C994" s="3">
        <f>AUD!C994</f>
        <v>0.91579999999999995</v>
      </c>
      <c r="D994" s="3">
        <f>1/CAD!B994</f>
        <v>0.95156532495955848</v>
      </c>
      <c r="E994" s="3">
        <f>1/CAD!C994</f>
        <v>0.95093191327500948</v>
      </c>
      <c r="F994" s="3">
        <f>EUR!B994/1</f>
        <v>1.3025</v>
      </c>
      <c r="G994" s="3">
        <f>EUR!C994/1</f>
        <v>1.3026</v>
      </c>
      <c r="H994" s="3">
        <f>GBP!B994/1</f>
        <v>1.5218</v>
      </c>
      <c r="I994" s="3">
        <f>GBP!C994/1</f>
        <v>1.5215000000000001</v>
      </c>
      <c r="J994" s="4">
        <f>1/INR!B994</f>
        <v>1.6867673104495235E-2</v>
      </c>
      <c r="K994" s="4">
        <f>1/INR!C994</f>
        <v>1.676727028839705E-2</v>
      </c>
      <c r="L994" s="4">
        <f>1/JPY!B994</f>
        <v>1.0062639933586576E-2</v>
      </c>
      <c r="M994" s="4">
        <f>1/JPY!C994</f>
        <v>1.006379439265504E-2</v>
      </c>
      <c r="N994" s="5">
        <f>1/KRW!B994</f>
        <v>8.8173702193320846E-4</v>
      </c>
      <c r="O994" s="5">
        <f>1/KRW!C994</f>
        <v>8.8171447616461254E-4</v>
      </c>
      <c r="P994" s="3">
        <f>1/NOK!B994</f>
        <v>0.16474735992355724</v>
      </c>
      <c r="Q994" s="3">
        <f>1/NOK!C994</f>
        <v>0.1645575869275453</v>
      </c>
      <c r="R994" s="3">
        <f>NZD!B994/1</f>
        <v>0.77700000000000002</v>
      </c>
      <c r="S994" s="3">
        <f>NZD!C994/1</f>
        <v>0.7752</v>
      </c>
      <c r="T994" s="4">
        <f>1/PHP!B994</f>
        <v>2.3204548091425921E-2</v>
      </c>
      <c r="U994" s="4">
        <f>1/PHP!C994</f>
        <v>2.3195882266979967E-2</v>
      </c>
      <c r="V994" s="4">
        <f>1/TWD!B994</f>
        <v>3.333444448148272E-2</v>
      </c>
      <c r="W994" s="4">
        <f>1/TWD!C994</f>
        <v>3.333444448148272E-2</v>
      </c>
      <c r="X994" s="4">
        <f>1/TWD!B994</f>
        <v>3.333444448148272E-2</v>
      </c>
      <c r="Y994" s="4">
        <f>1/TWD!C994</f>
        <v>3.333444448148272E-2</v>
      </c>
      <c r="Z994" s="4">
        <f>1/ZAR!B994</f>
        <v>0.10146206840572652</v>
      </c>
      <c r="AA994" s="4">
        <f>1/ZAR!C994</f>
        <v>0.10099989900010101</v>
      </c>
    </row>
    <row r="995" spans="1:27" x14ac:dyDescent="0.25">
      <c r="A995" t="str">
        <f>"02/07/2013"</f>
        <v>02/07/2013</v>
      </c>
      <c r="B995" s="3">
        <f>AUD!B995</f>
        <v>0.92030000000000001</v>
      </c>
      <c r="C995" s="3">
        <f>AUD!C995</f>
        <v>0.91810000000000003</v>
      </c>
      <c r="D995" s="3">
        <f>1/CAD!B995</f>
        <v>0.951022349025202</v>
      </c>
      <c r="E995" s="3">
        <f>1/CAD!C995</f>
        <v>0.95029934429345242</v>
      </c>
      <c r="F995" s="3">
        <f>EUR!B995/1</f>
        <v>1.3062</v>
      </c>
      <c r="G995" s="3">
        <f>EUR!C995/1</f>
        <v>1.3064</v>
      </c>
      <c r="H995" s="3">
        <f>GBP!B995/1</f>
        <v>1.5210999999999999</v>
      </c>
      <c r="I995" s="3">
        <f>GBP!C995/1</f>
        <v>1.5206999999999999</v>
      </c>
      <c r="J995" s="4">
        <f>1/INR!B995</f>
        <v>1.6861984655593965E-2</v>
      </c>
      <c r="K995" s="4">
        <f>1/INR!C995</f>
        <v>1.6765161993377759E-2</v>
      </c>
      <c r="L995" s="4">
        <f>1/JPY!B995</f>
        <v>1.0036381884330698E-2</v>
      </c>
      <c r="M995" s="4">
        <f>1/JPY!C995</f>
        <v>1.0037459799973501E-2</v>
      </c>
      <c r="N995" s="5">
        <f>1/KRW!B995</f>
        <v>8.8198976891868059E-4</v>
      </c>
      <c r="O995" s="5">
        <f>1/KRW!C995</f>
        <v>8.8196853259751298E-4</v>
      </c>
      <c r="P995" s="3">
        <f>1/NOK!B995</f>
        <v>0.1634975393620326</v>
      </c>
      <c r="Q995" s="3">
        <f>1/NOK!C995</f>
        <v>0.16331596740213292</v>
      </c>
      <c r="R995" s="3">
        <f>NZD!B995/1</f>
        <v>0.78010000000000002</v>
      </c>
      <c r="S995" s="3">
        <f>NZD!C995/1</f>
        <v>0.77829999999999999</v>
      </c>
      <c r="T995" s="4">
        <f>1/PHP!B995</f>
        <v>2.3064060427838321E-2</v>
      </c>
      <c r="U995" s="4">
        <f>1/PHP!C995</f>
        <v>2.306938116385028E-2</v>
      </c>
      <c r="V995" s="4">
        <f>1/TWD!B995</f>
        <v>3.32944897619444E-2</v>
      </c>
      <c r="W995" s="4">
        <f>1/TWD!C995</f>
        <v>3.3294600614618329E-2</v>
      </c>
      <c r="X995" s="4">
        <f>1/TWD!B995</f>
        <v>3.32944897619444E-2</v>
      </c>
      <c r="Y995" s="4">
        <f>1/TWD!C995</f>
        <v>3.3294600614618329E-2</v>
      </c>
      <c r="Z995" s="4">
        <f>1/ZAR!B995</f>
        <v>0.10069986405518352</v>
      </c>
      <c r="AA995" s="4">
        <f>1/ZAR!C995</f>
        <v>0.10022048506714773</v>
      </c>
    </row>
    <row r="996" spans="1:27" x14ac:dyDescent="0.25">
      <c r="A996" t="str">
        <f>"03/07/2013"</f>
        <v>03/07/2013</v>
      </c>
      <c r="B996" s="3">
        <f>AUD!B996</f>
        <v>0.91679999999999995</v>
      </c>
      <c r="C996" s="3">
        <f>AUD!C996</f>
        <v>0.91459999999999997</v>
      </c>
      <c r="D996" s="3">
        <f>1/CAD!B996</f>
        <v>0.94813691096994412</v>
      </c>
      <c r="E996" s="3">
        <f>1/CAD!C996</f>
        <v>0.94732853353543001</v>
      </c>
      <c r="F996" s="3">
        <f>EUR!B996/1</f>
        <v>1.3025</v>
      </c>
      <c r="G996" s="3">
        <f>EUR!C996/1</f>
        <v>1.3026</v>
      </c>
      <c r="H996" s="3">
        <f>GBP!B996/1</f>
        <v>1.5167999999999999</v>
      </c>
      <c r="I996" s="3">
        <f>GBP!C996/1</f>
        <v>1.5164</v>
      </c>
      <c r="J996" s="4">
        <f>1/INR!B996</f>
        <v>1.6758840288252051E-2</v>
      </c>
      <c r="K996" s="4">
        <f>1/INR!C996</f>
        <v>1.6663195167673402E-2</v>
      </c>
      <c r="L996" s="4">
        <f>1/JPY!B996</f>
        <v>1.0018935788640529E-2</v>
      </c>
      <c r="M996" s="4">
        <f>1/JPY!C996</f>
        <v>1.0020090281013432E-2</v>
      </c>
      <c r="N996" s="5">
        <f>1/KRW!B996</f>
        <v>8.8163985012122551E-4</v>
      </c>
      <c r="O996" s="5">
        <f>1/KRW!C996</f>
        <v>8.8162041832888841E-4</v>
      </c>
      <c r="P996" s="3">
        <f>1/NOK!B996</f>
        <v>0.16435204207412277</v>
      </c>
      <c r="Q996" s="3">
        <f>1/NOK!C996</f>
        <v>0.16417395872666679</v>
      </c>
      <c r="R996" s="3">
        <f>NZD!B996/1</f>
        <v>0.7772</v>
      </c>
      <c r="S996" s="3">
        <f>NZD!C996/1</f>
        <v>0.77549999999999997</v>
      </c>
      <c r="T996" s="4">
        <f>1/PHP!B996</f>
        <v>2.3076035537094728E-2</v>
      </c>
      <c r="U996" s="4">
        <f>1/PHP!C996</f>
        <v>2.3087596650451479E-2</v>
      </c>
      <c r="V996" s="4">
        <f>1/TWD!B996</f>
        <v>3.329116452493508E-2</v>
      </c>
      <c r="W996" s="4">
        <f>1/TWD!C996</f>
        <v>3.329116452493508E-2</v>
      </c>
      <c r="X996" s="4">
        <f>1/TWD!B996</f>
        <v>3.329116452493508E-2</v>
      </c>
      <c r="Y996" s="4">
        <f>1/TWD!C996</f>
        <v>3.329116452493508E-2</v>
      </c>
      <c r="Z996" s="4">
        <f>1/ZAR!B996</f>
        <v>0.10086135598006979</v>
      </c>
      <c r="AA996" s="4">
        <f>1/ZAR!C996</f>
        <v>0.100409671459555</v>
      </c>
    </row>
    <row r="997" spans="1:27" x14ac:dyDescent="0.25">
      <c r="A997" t="str">
        <f>"04/07/2013"</f>
        <v>04/07/2013</v>
      </c>
      <c r="B997" s="3">
        <f>AUD!B997</f>
        <v>0.91120000000000001</v>
      </c>
      <c r="C997" s="3">
        <f>AUD!C997</f>
        <v>0.90910000000000002</v>
      </c>
      <c r="D997" s="3">
        <f>1/CAD!B997</f>
        <v>0.95138426410427179</v>
      </c>
      <c r="E997" s="3">
        <f>1/CAD!C997</f>
        <v>0.9505703422053231</v>
      </c>
      <c r="F997" s="3">
        <f>EUR!B997/1</f>
        <v>1.2994000000000001</v>
      </c>
      <c r="G997" s="3">
        <f>EUR!C997/1</f>
        <v>1.2995000000000001</v>
      </c>
      <c r="H997" s="3">
        <f>GBP!B997/1</f>
        <v>1.5257000000000001</v>
      </c>
      <c r="I997" s="3">
        <f>GBP!C997/1</f>
        <v>1.5254000000000001</v>
      </c>
      <c r="J997" s="4">
        <f>1/INR!B997</f>
        <v>1.6658337497917706E-2</v>
      </c>
      <c r="K997" s="4">
        <f>1/INR!C997</f>
        <v>1.6563146997929608E-2</v>
      </c>
      <c r="L997" s="4">
        <f>1/JPY!B997</f>
        <v>1.0018534288433602E-2</v>
      </c>
      <c r="M997" s="4">
        <f>1/JPY!C997</f>
        <v>1.0019738885604642E-2</v>
      </c>
      <c r="N997" s="5">
        <f>1/KRW!B997</f>
        <v>8.7692375147980887E-4</v>
      </c>
      <c r="O997" s="5">
        <f>1/KRW!C997</f>
        <v>8.7690214324529739E-4</v>
      </c>
      <c r="P997" s="3">
        <f>1/NOK!B997</f>
        <v>0.16348417473188598</v>
      </c>
      <c r="Q997" s="3">
        <f>1/NOK!C997</f>
        <v>0.1633026324384349</v>
      </c>
      <c r="R997" s="3">
        <f>NZD!B997/1</f>
        <v>0.77839999999999998</v>
      </c>
      <c r="S997" s="3">
        <f>NZD!C997/1</f>
        <v>0.77659999999999996</v>
      </c>
      <c r="T997" s="4">
        <f>1/PHP!B997</f>
        <v>2.3033513762524473E-2</v>
      </c>
      <c r="U997" s="4">
        <f>1/PHP!C997</f>
        <v>2.302359688444687E-2</v>
      </c>
      <c r="V997" s="4">
        <f>1/TWD!B997</f>
        <v>3.3257948649727281E-2</v>
      </c>
      <c r="W997" s="4">
        <f>1/TWD!C997</f>
        <v>3.3258059259209986E-2</v>
      </c>
      <c r="X997" s="4">
        <f>1/TWD!B997</f>
        <v>3.3257948649727281E-2</v>
      </c>
      <c r="Y997" s="4">
        <f>1/TWD!C997</f>
        <v>3.3258059259209986E-2</v>
      </c>
      <c r="Z997" s="4">
        <f>1/ZAR!B997</f>
        <v>9.9152248277229696E-2</v>
      </c>
      <c r="AA997" s="4">
        <f>1/ZAR!C997</f>
        <v>9.870401626642189E-2</v>
      </c>
    </row>
    <row r="998" spans="1:27" x14ac:dyDescent="0.25">
      <c r="A998" t="str">
        <f>"05/07/2013"</f>
        <v>05/07/2013</v>
      </c>
      <c r="B998" s="3">
        <f>AUD!B998</f>
        <v>0.91359999999999997</v>
      </c>
      <c r="C998" s="3">
        <f>AUD!C998</f>
        <v>0.91149999999999998</v>
      </c>
      <c r="D998" s="3">
        <f>1/CAD!B998</f>
        <v>0.94957743804007222</v>
      </c>
      <c r="E998" s="3">
        <f>1/CAD!C998</f>
        <v>0.94885662776354485</v>
      </c>
      <c r="F998" s="3">
        <f>EUR!B998/1</f>
        <v>1.2899</v>
      </c>
      <c r="G998" s="3">
        <f>EUR!C998/1</f>
        <v>1.2901</v>
      </c>
      <c r="H998" s="3">
        <f>GBP!B998/1</f>
        <v>1.5048999999999999</v>
      </c>
      <c r="I998" s="3">
        <f>GBP!C998/1</f>
        <v>1.5045999999999999</v>
      </c>
      <c r="J998" s="4">
        <f>1/INR!B998</f>
        <v>1.6572754391779913E-2</v>
      </c>
      <c r="K998" s="4">
        <f>1/INR!C998</f>
        <v>1.647175094712568E-2</v>
      </c>
      <c r="L998" s="4">
        <f>1/JPY!B998</f>
        <v>9.9688970412313577E-3</v>
      </c>
      <c r="M998" s="4">
        <f>1/JPY!C998</f>
        <v>9.9700996710864118E-3</v>
      </c>
      <c r="N998" s="5">
        <f>1/KRW!B998</f>
        <v>8.7550341446331634E-4</v>
      </c>
      <c r="O998" s="5">
        <f>1/KRW!C998</f>
        <v>8.7548271928434532E-4</v>
      </c>
      <c r="P998" s="3">
        <f>1/NOK!B998</f>
        <v>0.16351625351559945</v>
      </c>
      <c r="Q998" s="3">
        <f>1/NOK!C998</f>
        <v>0.16333464001045342</v>
      </c>
      <c r="R998" s="3">
        <f>NZD!B998/1</f>
        <v>0.78129999999999999</v>
      </c>
      <c r="S998" s="3">
        <f>NZD!C998/1</f>
        <v>0.77949999999999997</v>
      </c>
      <c r="T998" s="4">
        <f>1/PHP!B998</f>
        <v>2.3030861354214647E-2</v>
      </c>
      <c r="U998" s="4">
        <f>1/PHP!C998</f>
        <v>2.3024233005238013E-2</v>
      </c>
      <c r="V998" s="4">
        <f>1/TWD!B998</f>
        <v>3.3232527998404836E-2</v>
      </c>
      <c r="W998" s="4">
        <f>1/TWD!C998</f>
        <v>3.3232527998404836E-2</v>
      </c>
      <c r="X998" s="4">
        <f>1/TWD!B998</f>
        <v>3.3232527998404836E-2</v>
      </c>
      <c r="Y998" s="4">
        <f>1/TWD!C998</f>
        <v>3.3232527998404836E-2</v>
      </c>
      <c r="Z998" s="4">
        <f>1/ZAR!B998</f>
        <v>9.953715224207435E-2</v>
      </c>
      <c r="AA998" s="4">
        <f>1/ZAR!C998</f>
        <v>9.9094278296371172E-2</v>
      </c>
    </row>
    <row r="999" spans="1:27" x14ac:dyDescent="0.25">
      <c r="A999" t="str">
        <f>"08/07/2013"</f>
        <v>08/07/2013</v>
      </c>
      <c r="B999" s="3">
        <f>AUD!B999</f>
        <v>0.90449999999999997</v>
      </c>
      <c r="C999" s="3">
        <f>AUD!C999</f>
        <v>0.90229999999999999</v>
      </c>
      <c r="D999" s="3">
        <f>1/CAD!B999</f>
        <v>0.945000945000945</v>
      </c>
      <c r="E999" s="3">
        <f>1/CAD!C999</f>
        <v>0.94428706326723333</v>
      </c>
      <c r="F999" s="3">
        <f>EUR!B999/1</f>
        <v>1.2814000000000001</v>
      </c>
      <c r="G999" s="3">
        <f>EUR!C999/1</f>
        <v>1.2816000000000001</v>
      </c>
      <c r="H999" s="3">
        <f>GBP!B999/1</f>
        <v>1.4869000000000001</v>
      </c>
      <c r="I999" s="3">
        <f>GBP!C999/1</f>
        <v>1.4864999999999999</v>
      </c>
      <c r="J999" s="4">
        <f>1/INR!B999</f>
        <v>1.6366612111292964E-2</v>
      </c>
      <c r="K999" s="4">
        <f>1/INR!C999</f>
        <v>1.6272068993572534E-2</v>
      </c>
      <c r="L999" s="4">
        <f>1/JPY!B999</f>
        <v>9.8821064698151068E-3</v>
      </c>
      <c r="M999" s="4">
        <f>1/JPY!C999</f>
        <v>9.8835715274071447E-3</v>
      </c>
      <c r="N999" s="5">
        <f>1/KRW!B999</f>
        <v>8.6813091414185254E-4</v>
      </c>
      <c r="O999" s="5">
        <f>1/KRW!C999</f>
        <v>8.6810996314178718E-4</v>
      </c>
      <c r="P999" s="3">
        <f>1/NOK!B999</f>
        <v>0.15963985249277629</v>
      </c>
      <c r="Q999" s="3">
        <f>1/NOK!C999</f>
        <v>0.15945148688511521</v>
      </c>
      <c r="R999" s="3">
        <f>NZD!B999/1</f>
        <v>0.77259999999999995</v>
      </c>
      <c r="S999" s="3">
        <f>NZD!C999/1</f>
        <v>0.77070000000000005</v>
      </c>
      <c r="T999" s="4">
        <f>1/PHP!B999</f>
        <v>2.2875443211712226E-2</v>
      </c>
      <c r="U999" s="4">
        <f>1/PHP!C999</f>
        <v>2.2865714233449793E-2</v>
      </c>
      <c r="V999" s="4">
        <f>1/TWD!B999</f>
        <v>3.3143311679703039E-2</v>
      </c>
      <c r="W999" s="4">
        <f>1/TWD!C999</f>
        <v>3.3143421527978022E-2</v>
      </c>
      <c r="X999" s="4">
        <f>1/TWD!B999</f>
        <v>3.3143311679703039E-2</v>
      </c>
      <c r="Y999" s="4">
        <f>1/TWD!C999</f>
        <v>3.3143421527978022E-2</v>
      </c>
      <c r="Z999" s="4">
        <f>1/ZAR!B999</f>
        <v>9.7742156191965593E-2</v>
      </c>
      <c r="AA999" s="4">
        <f>1/ZAR!C999</f>
        <v>9.7268695043187303E-2</v>
      </c>
    </row>
    <row r="1000" spans="1:27" x14ac:dyDescent="0.25">
      <c r="A1000" t="str">
        <f>"09/07/2013"</f>
        <v>09/07/2013</v>
      </c>
      <c r="B1000" s="3">
        <f>AUD!B1000</f>
        <v>0.91279999999999994</v>
      </c>
      <c r="C1000" s="3">
        <f>AUD!C1000</f>
        <v>0.91069999999999995</v>
      </c>
      <c r="D1000" s="3">
        <f>1/CAD!B1000</f>
        <v>0.9471490812653911</v>
      </c>
      <c r="E1000" s="3">
        <f>1/CAD!C1000</f>
        <v>0.94634238667549919</v>
      </c>
      <c r="F1000" s="3">
        <f>EUR!B1000/1</f>
        <v>1.286</v>
      </c>
      <c r="G1000" s="3">
        <f>EUR!C1000/1</f>
        <v>1.2861</v>
      </c>
      <c r="H1000" s="3">
        <f>GBP!B1000/1</f>
        <v>1.4938</v>
      </c>
      <c r="I1000" s="3">
        <f>GBP!C1000/1</f>
        <v>1.4935</v>
      </c>
      <c r="J1000" s="4">
        <f>1/INR!B1000</f>
        <v>1.6597510373443983E-2</v>
      </c>
      <c r="K1000" s="4">
        <f>1/INR!C1000</f>
        <v>1.6502330954247288E-2</v>
      </c>
      <c r="L1000" s="4">
        <f>1/JPY!B1000</f>
        <v>9.8887515451174281E-3</v>
      </c>
      <c r="M1000" s="4">
        <f>1/JPY!C1000</f>
        <v>9.8902381371538655E-3</v>
      </c>
      <c r="N1000" s="5">
        <f>1/KRW!B1000</f>
        <v>8.7443161944735924E-4</v>
      </c>
      <c r="O1000" s="5">
        <f>1/KRW!C1000</f>
        <v>8.7441059260991887E-4</v>
      </c>
      <c r="P1000" s="3">
        <f>1/NOK!B1000</f>
        <v>0.16246953696181965</v>
      </c>
      <c r="Q1000" s="3">
        <f>1/NOK!C1000</f>
        <v>0.16228233881306697</v>
      </c>
      <c r="R1000" s="3">
        <f>NZD!B1000/1</f>
        <v>0.78059999999999996</v>
      </c>
      <c r="S1000" s="3">
        <f>NZD!C1000/1</f>
        <v>0.77880000000000005</v>
      </c>
      <c r="T1000" s="4">
        <f>1/PHP!B1000</f>
        <v>2.2943673282092462E-2</v>
      </c>
      <c r="U1000" s="4">
        <f>1/PHP!C1000</f>
        <v>2.2936831964769026E-2</v>
      </c>
      <c r="V1000" s="4">
        <f>1/TWD!B1000</f>
        <v>3.3203287125425418E-2</v>
      </c>
      <c r="W1000" s="4">
        <f>1/TWD!C1000</f>
        <v>3.3203287125425418E-2</v>
      </c>
      <c r="X1000" s="4">
        <f>1/TWD!B1000</f>
        <v>3.3203287125425418E-2</v>
      </c>
      <c r="Y1000" s="4">
        <f>1/TWD!C1000</f>
        <v>3.3203287125425418E-2</v>
      </c>
      <c r="Z1000" s="4">
        <f>1/ZAR!B1000</f>
        <v>9.8312949781745249E-2</v>
      </c>
      <c r="AA1000" s="4">
        <f>1/ZAR!C1000</f>
        <v>9.784640072014951E-2</v>
      </c>
    </row>
    <row r="1001" spans="1:27" x14ac:dyDescent="0.25">
      <c r="A1001" t="str">
        <f>"10/07/2013"</f>
        <v>10/07/2013</v>
      </c>
      <c r="B1001" s="3">
        <f>AUD!B1001</f>
        <v>0.91769999999999996</v>
      </c>
      <c r="C1001" s="3">
        <f>AUD!C1001</f>
        <v>0.91559999999999997</v>
      </c>
      <c r="D1001" s="3">
        <f>1/CAD!B1001</f>
        <v>0.95029934429345242</v>
      </c>
      <c r="E1001" s="3">
        <f>1/CAD!C1001</f>
        <v>0.94948727687049006</v>
      </c>
      <c r="F1001" s="3">
        <f>EUR!B1001/1</f>
        <v>1.2778</v>
      </c>
      <c r="G1001" s="3">
        <f>EUR!C1001/1</f>
        <v>1.278</v>
      </c>
      <c r="H1001" s="3">
        <f>GBP!B1001/1</f>
        <v>1.4871000000000001</v>
      </c>
      <c r="I1001" s="3">
        <f>GBP!C1001/1</f>
        <v>1.4867999999999999</v>
      </c>
      <c r="J1001" s="4">
        <f>1/INR!B1001</f>
        <v>1.6619577862722286E-2</v>
      </c>
      <c r="K1001" s="4">
        <f>1/INR!C1001</f>
        <v>1.6526194017517766E-2</v>
      </c>
      <c r="L1001" s="4">
        <f>1/JPY!B1001</f>
        <v>9.9017743979721157E-3</v>
      </c>
      <c r="M1001" s="4">
        <f>1/JPY!C1001</f>
        <v>9.9032943308591595E-3</v>
      </c>
      <c r="N1001" s="5">
        <f>1/KRW!B1001</f>
        <v>8.7981699806440267E-4</v>
      </c>
      <c r="O1001" s="5">
        <f>1/KRW!C1001</f>
        <v>8.7980074272778696E-4</v>
      </c>
      <c r="P1001" s="3">
        <f>1/NOK!B1001</f>
        <v>0.16166319090806214</v>
      </c>
      <c r="Q1001" s="3">
        <f>1/NOK!C1001</f>
        <v>0.16148566814695195</v>
      </c>
      <c r="R1001" s="3">
        <f>NZD!B1001/1</f>
        <v>0.78480000000000005</v>
      </c>
      <c r="S1001" s="3">
        <f>NZD!C1001/1</f>
        <v>0.78300000000000003</v>
      </c>
      <c r="T1001" s="4">
        <f>1/PHP!B1001</f>
        <v>2.3065390381732213E-2</v>
      </c>
      <c r="U1001" s="4">
        <f>1/PHP!C1001</f>
        <v>2.3067252574882069E-2</v>
      </c>
      <c r="V1001" s="4">
        <f>1/TWD!B1001</f>
        <v>3.3233632436025257E-2</v>
      </c>
      <c r="W1001" s="4">
        <f>1/TWD!C1001</f>
        <v>3.3233742883824802E-2</v>
      </c>
      <c r="X1001" s="4">
        <f>1/TWD!B1001</f>
        <v>3.3233632436025257E-2</v>
      </c>
      <c r="Y1001" s="4">
        <f>1/TWD!C1001</f>
        <v>3.3233742883824802E-2</v>
      </c>
      <c r="Z1001" s="4">
        <f>1/ZAR!B1001</f>
        <v>9.9399626257405282E-2</v>
      </c>
      <c r="AA1001" s="4">
        <f>1/ZAR!C1001</f>
        <v>9.8938391063884509E-2</v>
      </c>
    </row>
    <row r="1002" spans="1:27" x14ac:dyDescent="0.25">
      <c r="A1002" t="str">
        <f>"11/07/2013"</f>
        <v>11/07/2013</v>
      </c>
      <c r="B1002" s="3">
        <f>AUD!B1002</f>
        <v>0.92869999999999997</v>
      </c>
      <c r="C1002" s="3">
        <f>AUD!C1002</f>
        <v>0.92659999999999998</v>
      </c>
      <c r="D1002" s="3">
        <f>1/CAD!B1002</f>
        <v>0.96590360282043841</v>
      </c>
      <c r="E1002" s="3">
        <f>1/CAD!C1002</f>
        <v>0.96515780330083967</v>
      </c>
      <c r="F1002" s="3">
        <f>EUR!B1002/1</f>
        <v>1.3134999999999999</v>
      </c>
      <c r="G1002" s="3">
        <f>EUR!C1002/1</f>
        <v>1.3136000000000001</v>
      </c>
      <c r="H1002" s="3">
        <f>GBP!B1002/1</f>
        <v>1.5154000000000001</v>
      </c>
      <c r="I1002" s="3">
        <f>GBP!C1002/1</f>
        <v>1.5150999999999999</v>
      </c>
      <c r="J1002" s="4">
        <f>1/INR!B1002</f>
        <v>1.6829350387075059E-2</v>
      </c>
      <c r="K1002" s="4">
        <f>1/INR!C1002</f>
        <v>1.6730101635367433E-2</v>
      </c>
      <c r="L1002" s="4">
        <f>1/JPY!B1002</f>
        <v>1.0138748777013429E-2</v>
      </c>
      <c r="M1002" s="4">
        <f>1/JPY!C1002</f>
        <v>1.0140404034258341E-2</v>
      </c>
      <c r="N1002" s="5">
        <f>1/KRW!B1002</f>
        <v>8.9067022934758409E-4</v>
      </c>
      <c r="O1002" s="5">
        <f>1/KRW!C1002</f>
        <v>8.9064857296277723E-4</v>
      </c>
      <c r="P1002" s="3">
        <f>1/NOK!B1002</f>
        <v>0.16629527388831611</v>
      </c>
      <c r="Q1002" s="3">
        <f>1/NOK!C1002</f>
        <v>0.16610192013819677</v>
      </c>
      <c r="R1002" s="3">
        <f>NZD!B1002/1</f>
        <v>0.79479999999999995</v>
      </c>
      <c r="S1002" s="3">
        <f>NZD!C1002/1</f>
        <v>0.79310000000000003</v>
      </c>
      <c r="T1002" s="4">
        <f>1/PHP!B1002</f>
        <v>2.3142791020597082E-2</v>
      </c>
      <c r="U1002" s="4">
        <f>1/PHP!C1002</f>
        <v>2.3148148148148147E-2</v>
      </c>
      <c r="V1002" s="4">
        <f>1/TWD!B1002</f>
        <v>3.3476164970540977E-2</v>
      </c>
      <c r="W1002" s="4">
        <f>1/TWD!C1002</f>
        <v>3.3476164970540977E-2</v>
      </c>
      <c r="X1002" s="4">
        <f>1/TWD!B1002</f>
        <v>3.3476164970540977E-2</v>
      </c>
      <c r="Y1002" s="4">
        <f>1/TWD!C1002</f>
        <v>3.3476164970540977E-2</v>
      </c>
      <c r="Z1002" s="4">
        <f>1/ZAR!B1002</f>
        <v>0.10091122839238321</v>
      </c>
      <c r="AA1002" s="4">
        <f>1/ZAR!C1002</f>
        <v>0.10045607056034397</v>
      </c>
    </row>
    <row r="1003" spans="1:27" x14ac:dyDescent="0.25">
      <c r="A1003" t="str">
        <f>"12/07/2013"</f>
        <v>12/07/2013</v>
      </c>
      <c r="B1003" s="3">
        <f>AUD!B1003</f>
        <v>0.91779999999999995</v>
      </c>
      <c r="C1003" s="3">
        <f>AUD!C1003</f>
        <v>0.91569999999999996</v>
      </c>
      <c r="D1003" s="3">
        <f>1/CAD!B1003</f>
        <v>0.96497153333976649</v>
      </c>
      <c r="E1003" s="3">
        <f>1/CAD!C1003</f>
        <v>0.96422717192170482</v>
      </c>
      <c r="F1003" s="3">
        <f>EUR!B1003/1</f>
        <v>1.3081</v>
      </c>
      <c r="G1003" s="3">
        <f>EUR!C1003/1</f>
        <v>1.3082</v>
      </c>
      <c r="H1003" s="3">
        <f>GBP!B1003/1</f>
        <v>1.5173000000000001</v>
      </c>
      <c r="I1003" s="3">
        <f>GBP!C1003/1</f>
        <v>1.5169999999999999</v>
      </c>
      <c r="J1003" s="4">
        <f>1/INR!B1003</f>
        <v>1.6707042018210678E-2</v>
      </c>
      <c r="K1003" s="4">
        <f>1/INR!C1003</f>
        <v>1.6612675471384668E-2</v>
      </c>
      <c r="L1003" s="4">
        <f>1/JPY!B1003</f>
        <v>1.00981540574383E-2</v>
      </c>
      <c r="M1003" s="4">
        <f>1/JPY!C1003</f>
        <v>1.0099530876790773E-2</v>
      </c>
      <c r="N1003" s="5">
        <f>1/KRW!B1003</f>
        <v>8.9221984296930772E-4</v>
      </c>
      <c r="O1003" s="5">
        <f>1/KRW!C1003</f>
        <v>8.9220145444896697E-4</v>
      </c>
      <c r="P1003" s="3">
        <f>1/NOK!B1003</f>
        <v>0.16482067510548523</v>
      </c>
      <c r="Q1003" s="3">
        <f>1/NOK!C1003</f>
        <v>0.16462802298207202</v>
      </c>
      <c r="R1003" s="3">
        <f>NZD!B1003/1</f>
        <v>0.78669999999999995</v>
      </c>
      <c r="S1003" s="3">
        <f>NZD!C1003/1</f>
        <v>0.78490000000000004</v>
      </c>
      <c r="T1003" s="4">
        <f>1/PHP!B1003</f>
        <v>2.306805074971165E-2</v>
      </c>
      <c r="U1003" s="4">
        <f>1/PHP!C1003</f>
        <v>2.3063794455463815E-2</v>
      </c>
      <c r="V1003" s="4">
        <f>1/TWD!B1003</f>
        <v>3.3435870001337437E-2</v>
      </c>
      <c r="W1003" s="4">
        <f>1/TWD!C1003</f>
        <v>3.3435870001337437E-2</v>
      </c>
      <c r="X1003" s="4">
        <f>1/TWD!B1003</f>
        <v>3.3435870001337437E-2</v>
      </c>
      <c r="Y1003" s="4">
        <f>1/TWD!C1003</f>
        <v>3.3435870001337437E-2</v>
      </c>
      <c r="Z1003" s="4">
        <f>1/ZAR!B1003</f>
        <v>0.1000450202591166</v>
      </c>
      <c r="AA1003" s="4">
        <f>1/ZAR!C1003</f>
        <v>9.9595641694719447E-2</v>
      </c>
    </row>
    <row r="1004" spans="1:27" x14ac:dyDescent="0.25">
      <c r="A1004" t="str">
        <f>"15/07/2013"</f>
        <v>15/07/2013</v>
      </c>
      <c r="B1004" s="3">
        <f>AUD!B1004</f>
        <v>0.90980000000000005</v>
      </c>
      <c r="C1004" s="3">
        <f>AUD!C1004</f>
        <v>0.90759999999999996</v>
      </c>
      <c r="D1004" s="3">
        <f>1/CAD!B1004</f>
        <v>0.96283458501829389</v>
      </c>
      <c r="E1004" s="3">
        <f>1/CAD!C1004</f>
        <v>0.96200096200096197</v>
      </c>
      <c r="F1004" s="3">
        <f>EUR!B1004/1</f>
        <v>1.3071999999999999</v>
      </c>
      <c r="G1004" s="3">
        <f>EUR!C1004/1</f>
        <v>1.3073999999999999</v>
      </c>
      <c r="H1004" s="3">
        <f>GBP!B1004/1</f>
        <v>1.512</v>
      </c>
      <c r="I1004" s="3">
        <f>GBP!C1004/1</f>
        <v>1.5117</v>
      </c>
      <c r="J1004" s="4">
        <f>1/INR!B1004</f>
        <v>1.6656950112434413E-2</v>
      </c>
      <c r="K1004" s="4">
        <f>1/INR!C1004</f>
        <v>1.6554235815089188E-2</v>
      </c>
      <c r="L1004" s="4">
        <f>1/JPY!B1004</f>
        <v>1.0072572887655559E-2</v>
      </c>
      <c r="M1004" s="4">
        <f>1/JPY!C1004</f>
        <v>1.0074166010166847E-2</v>
      </c>
      <c r="N1004" s="5">
        <f>1/KRW!B1004</f>
        <v>8.9198109000089207E-4</v>
      </c>
      <c r="O1004" s="5">
        <f>1/KRW!C1004</f>
        <v>8.9195873335080986E-4</v>
      </c>
      <c r="P1004" s="3">
        <f>1/NOK!B1004</f>
        <v>0.16494301218928858</v>
      </c>
      <c r="Q1004" s="3">
        <f>1/NOK!C1004</f>
        <v>0.16473650396191294</v>
      </c>
      <c r="R1004" s="3">
        <f>NZD!B1004/1</f>
        <v>0.78049999999999997</v>
      </c>
      <c r="S1004" s="3">
        <f>NZD!C1004/1</f>
        <v>0.77849999999999997</v>
      </c>
      <c r="T1004" s="4">
        <f>1/PHP!B1004</f>
        <v>2.3020257826887661E-2</v>
      </c>
      <c r="U1004" s="4">
        <f>1/PHP!C1004</f>
        <v>2.301702569390578E-2</v>
      </c>
      <c r="V1004" s="4">
        <f>1/TWD!B1004</f>
        <v>3.3444816053511704E-2</v>
      </c>
      <c r="W1004" s="4">
        <f>1/TWD!C1004</f>
        <v>3.3444816053511704E-2</v>
      </c>
      <c r="X1004" s="4">
        <f>1/TWD!B1004</f>
        <v>3.3444816053511704E-2</v>
      </c>
      <c r="Y1004" s="4">
        <f>1/TWD!C1004</f>
        <v>3.3444816053511704E-2</v>
      </c>
      <c r="Z1004" s="4">
        <f>1/ZAR!B1004</f>
        <v>0.10008507231146474</v>
      </c>
      <c r="AA1004" s="4">
        <f>1/ZAR!C1004</f>
        <v>9.9634341964988493E-2</v>
      </c>
    </row>
    <row r="1005" spans="1:27" x14ac:dyDescent="0.25">
      <c r="A1005" t="str">
        <f>"16/07/2013"</f>
        <v>16/07/2013</v>
      </c>
      <c r="B1005" s="3">
        <f>AUD!B1005</f>
        <v>0.91600000000000004</v>
      </c>
      <c r="C1005" s="3">
        <f>AUD!C1005</f>
        <v>0.91390000000000005</v>
      </c>
      <c r="D1005" s="3">
        <f>1/CAD!B1005</f>
        <v>0.95822154082023758</v>
      </c>
      <c r="E1005" s="3">
        <f>1/CAD!C1005</f>
        <v>0.9574875526618154</v>
      </c>
      <c r="F1005" s="3">
        <f>EUR!B1005/1</f>
        <v>1.3069</v>
      </c>
      <c r="G1005" s="3">
        <f>EUR!C1005/1</f>
        <v>1.3070999999999999</v>
      </c>
      <c r="H1005" s="3">
        <f>GBP!B1005/1</f>
        <v>1.5104</v>
      </c>
      <c r="I1005" s="3">
        <f>GBP!C1005/1</f>
        <v>1.51</v>
      </c>
      <c r="J1005" s="4">
        <f>1/INR!B1005</f>
        <v>1.6842105263157894E-2</v>
      </c>
      <c r="K1005" s="4">
        <f>1/INR!C1005</f>
        <v>1.6716118517280287E-2</v>
      </c>
      <c r="L1005" s="4">
        <f>1/JPY!B1005</f>
        <v>1.0021897846795249E-2</v>
      </c>
      <c r="M1005" s="4">
        <f>1/JPY!C1005</f>
        <v>1.0023474978399411E-2</v>
      </c>
      <c r="N1005" s="5">
        <f>1/KRW!B1005</f>
        <v>8.9349535382416008E-4</v>
      </c>
      <c r="O1005" s="5">
        <f>1/KRW!C1005</f>
        <v>8.9347858912582946E-4</v>
      </c>
      <c r="P1005" s="3">
        <f>1/NOK!B1005</f>
        <v>0.16464699683877768</v>
      </c>
      <c r="Q1005" s="3">
        <f>1/NOK!C1005</f>
        <v>0.16444663706627199</v>
      </c>
      <c r="R1005" s="3">
        <f>NZD!B1005/1</f>
        <v>0.78220000000000001</v>
      </c>
      <c r="S1005" s="3">
        <f>NZD!C1005/1</f>
        <v>0.78029999999999999</v>
      </c>
      <c r="T1005" s="4">
        <f>1/PHP!B1005</f>
        <v>2.3049441051054512E-2</v>
      </c>
      <c r="U1005" s="4">
        <f>1/PHP!C1005</f>
        <v>2.3049972340033191E-2</v>
      </c>
      <c r="V1005" s="4">
        <f>1/TWD!B1005</f>
        <v>3.3504204777699602E-2</v>
      </c>
      <c r="W1005" s="4">
        <f>1/TWD!C1005</f>
        <v>3.3504204777699602E-2</v>
      </c>
      <c r="X1005" s="4">
        <f>1/TWD!B1005</f>
        <v>3.3504204777699602E-2</v>
      </c>
      <c r="Y1005" s="4">
        <f>1/TWD!C1005</f>
        <v>3.3504204777699602E-2</v>
      </c>
      <c r="Z1005" s="4">
        <f>1/ZAR!B1005</f>
        <v>0.10111223458038422</v>
      </c>
      <c r="AA1005" s="4">
        <f>1/ZAR!C1005</f>
        <v>0.10063095609471386</v>
      </c>
    </row>
    <row r="1006" spans="1:27" x14ac:dyDescent="0.25">
      <c r="A1006" t="str">
        <f>"17/07/2013"</f>
        <v>17/07/2013</v>
      </c>
      <c r="B1006" s="3">
        <f>AUD!B1006</f>
        <v>0.9234</v>
      </c>
      <c r="C1006" s="3">
        <f>AUD!C1006</f>
        <v>0.92130000000000001</v>
      </c>
      <c r="D1006" s="3">
        <f>1/CAD!B1006</f>
        <v>0.9626492106276473</v>
      </c>
      <c r="E1006" s="3">
        <f>1/CAD!C1006</f>
        <v>0.96181590843512543</v>
      </c>
      <c r="F1006" s="3">
        <f>EUR!B1006/1</f>
        <v>1.3141</v>
      </c>
      <c r="G1006" s="3">
        <f>EUR!C1006/1</f>
        <v>1.3142</v>
      </c>
      <c r="H1006" s="3">
        <f>GBP!B1006/1</f>
        <v>1.5117</v>
      </c>
      <c r="I1006" s="3">
        <f>GBP!C1006/1</f>
        <v>1.5113000000000001</v>
      </c>
      <c r="J1006" s="4">
        <f>1/INR!B1006</f>
        <v>1.6889039013680121E-2</v>
      </c>
      <c r="K1006" s="4">
        <f>1/INR!C1006</f>
        <v>1.6763756757889443E-2</v>
      </c>
      <c r="L1006" s="4">
        <f>1/JPY!B1006</f>
        <v>1.0061576850323982E-2</v>
      </c>
      <c r="M1006" s="4">
        <f>1/JPY!C1006</f>
        <v>1.0063186749600743E-2</v>
      </c>
      <c r="N1006" s="5">
        <f>1/KRW!B1006</f>
        <v>8.9453439484748186E-4</v>
      </c>
      <c r="O1006" s="5">
        <f>1/KRW!C1006</f>
        <v>8.9451759113568841E-4</v>
      </c>
      <c r="P1006" s="3">
        <f>1/NOK!B1006</f>
        <v>0.16651680154527593</v>
      </c>
      <c r="Q1006" s="3">
        <f>1/NOK!C1006</f>
        <v>0.16632293260594769</v>
      </c>
      <c r="R1006" s="3">
        <f>NZD!B1006/1</f>
        <v>0.78790000000000004</v>
      </c>
      <c r="S1006" s="3">
        <f>NZD!C1006/1</f>
        <v>0.78610000000000002</v>
      </c>
      <c r="T1006" s="4">
        <f>1/PHP!B1006</f>
        <v>2.3089355806972984E-2</v>
      </c>
      <c r="U1006" s="4">
        <f>1/PHP!C1006</f>
        <v>2.3088396233820807E-2</v>
      </c>
      <c r="V1006" s="4">
        <f>1/TWD!B1006</f>
        <v>3.3524422541821718E-2</v>
      </c>
      <c r="W1006" s="4">
        <f>1/TWD!C1006</f>
        <v>3.3524534930889173E-2</v>
      </c>
      <c r="X1006" s="4">
        <f>1/TWD!B1006</f>
        <v>3.3524422541821718E-2</v>
      </c>
      <c r="Y1006" s="4">
        <f>1/TWD!C1006</f>
        <v>3.3524534930889173E-2</v>
      </c>
      <c r="Z1006" s="4">
        <f>1/ZAR!B1006</f>
        <v>0.10165287575985524</v>
      </c>
      <c r="AA1006" s="4">
        <f>1/ZAR!C1006</f>
        <v>0.10118077969908836</v>
      </c>
    </row>
    <row r="1007" spans="1:27" x14ac:dyDescent="0.25">
      <c r="A1007" t="str">
        <f>"18/07/2013"</f>
        <v>18/07/2013</v>
      </c>
      <c r="B1007" s="3">
        <f>AUD!B1007</f>
        <v>0.91679999999999995</v>
      </c>
      <c r="C1007" s="3">
        <f>AUD!C1007</f>
        <v>0.91479999999999995</v>
      </c>
      <c r="D1007" s="3">
        <f>1/CAD!B1007</f>
        <v>0.95858895705521485</v>
      </c>
      <c r="E1007" s="3">
        <f>1/CAD!C1007</f>
        <v>0.95785440613026818</v>
      </c>
      <c r="F1007" s="3">
        <f>EUR!B1007/1</f>
        <v>1.3093999999999999</v>
      </c>
      <c r="G1007" s="3">
        <f>EUR!C1007/1</f>
        <v>1.3096000000000001</v>
      </c>
      <c r="H1007" s="3">
        <f>GBP!B1007/1</f>
        <v>1.5177</v>
      </c>
      <c r="I1007" s="3">
        <f>GBP!C1007/1</f>
        <v>1.5173000000000001</v>
      </c>
      <c r="J1007" s="4">
        <f>1/INR!B1007</f>
        <v>1.6742005692281937E-2</v>
      </c>
      <c r="K1007" s="4">
        <f>1/INR!C1007</f>
        <v>1.6619577862722286E-2</v>
      </c>
      <c r="L1007" s="4">
        <f>1/JPY!B1007</f>
        <v>9.9893114367626632E-3</v>
      </c>
      <c r="M1007" s="4">
        <f>1/JPY!C1007</f>
        <v>9.9905888652888977E-3</v>
      </c>
      <c r="N1007" s="5">
        <f>1/KRW!B1007</f>
        <v>8.8815862513044839E-4</v>
      </c>
      <c r="O1007" s="5">
        <f>1/KRW!C1007</f>
        <v>8.88142060098797E-4</v>
      </c>
      <c r="P1007" s="3">
        <f>1/NOK!B1007</f>
        <v>0.16638104587125435</v>
      </c>
      <c r="Q1007" s="3">
        <f>1/NOK!C1007</f>
        <v>0.1661847309469206</v>
      </c>
      <c r="R1007" s="3">
        <f>NZD!B1007/1</f>
        <v>0.78610000000000002</v>
      </c>
      <c r="S1007" s="3">
        <f>NZD!C1007/1</f>
        <v>0.7843</v>
      </c>
      <c r="T1007" s="4">
        <f>1/PHP!B1007</f>
        <v>2.3007017140227768E-2</v>
      </c>
      <c r="U1007" s="4">
        <f>1/PHP!C1007</f>
        <v>2.3004370830457789E-2</v>
      </c>
      <c r="V1007" s="4">
        <f>1/TWD!B1007</f>
        <v>3.3354457823288081E-2</v>
      </c>
      <c r="W1007" s="4">
        <f>1/TWD!C1007</f>
        <v>3.3354569075644831E-2</v>
      </c>
      <c r="X1007" s="4">
        <f>1/TWD!B1007</f>
        <v>3.3354457823288081E-2</v>
      </c>
      <c r="Y1007" s="4">
        <f>1/TWD!C1007</f>
        <v>3.3354569075644831E-2</v>
      </c>
      <c r="Z1007" s="4">
        <f>1/ZAR!B1007</f>
        <v>0.1013520361624065</v>
      </c>
      <c r="AA1007" s="4">
        <f>1/ZAR!C1007</f>
        <v>0.10089290218433133</v>
      </c>
    </row>
    <row r="1008" spans="1:27" x14ac:dyDescent="0.25">
      <c r="A1008" t="str">
        <f>"19/07/2013"</f>
        <v>19/07/2013</v>
      </c>
      <c r="B1008" s="3">
        <f>AUD!B1008</f>
        <v>0.91779999999999995</v>
      </c>
      <c r="C1008" s="3">
        <f>AUD!C1008</f>
        <v>0.91569999999999996</v>
      </c>
      <c r="D1008" s="3">
        <f>1/CAD!B1008</f>
        <v>0.96432015429122475</v>
      </c>
      <c r="E1008" s="3">
        <f>1/CAD!C1008</f>
        <v>0.96357679707072652</v>
      </c>
      <c r="F1008" s="3">
        <f>EUR!B1008/1</f>
        <v>1.3136000000000001</v>
      </c>
      <c r="G1008" s="3">
        <f>EUR!C1008/1</f>
        <v>1.3137000000000001</v>
      </c>
      <c r="H1008" s="3">
        <f>GBP!B1008/1</f>
        <v>1.5236000000000001</v>
      </c>
      <c r="I1008" s="3">
        <f>GBP!C1008/1</f>
        <v>1.5232000000000001</v>
      </c>
      <c r="J1008" s="4">
        <f>1/INR!B1008</f>
        <v>1.6719612104999164E-2</v>
      </c>
      <c r="K1008" s="4">
        <f>1/INR!C1008</f>
        <v>1.6601643562712709E-2</v>
      </c>
      <c r="L1008" s="4">
        <f>1/JPY!B1008</f>
        <v>9.9901097913066058E-3</v>
      </c>
      <c r="M1008" s="4">
        <f>1/JPY!C1008</f>
        <v>9.9915970668667652E-3</v>
      </c>
      <c r="N1008" s="5">
        <f>1/KRW!B1008</f>
        <v>8.9039266316445558E-4</v>
      </c>
      <c r="O1008" s="5">
        <f>1/KRW!C1008</f>
        <v>8.9037205086517455E-4</v>
      </c>
      <c r="P1008" s="3">
        <f>1/NOK!B1008</f>
        <v>0.16737802326554524</v>
      </c>
      <c r="Q1008" s="3">
        <f>1/NOK!C1008</f>
        <v>0.16718214494691969</v>
      </c>
      <c r="R1008" s="3">
        <f>NZD!B1008/1</f>
        <v>0.79069999999999996</v>
      </c>
      <c r="S1008" s="3">
        <f>NZD!C1008/1</f>
        <v>0.78890000000000005</v>
      </c>
      <c r="T1008" s="4">
        <f>1/PHP!B1008</f>
        <v>2.3030861354214647E-2</v>
      </c>
      <c r="U1008" s="4">
        <f>1/PHP!C1008</f>
        <v>2.3024445053313105E-2</v>
      </c>
      <c r="V1008" s="4">
        <f>1/TWD!B1008</f>
        <v>3.3360021350413667E-2</v>
      </c>
      <c r="W1008" s="4">
        <f>1/TWD!C1008</f>
        <v>3.336013263988738E-2</v>
      </c>
      <c r="X1008" s="4">
        <f>1/TWD!B1008</f>
        <v>3.3360021350413667E-2</v>
      </c>
      <c r="Y1008" s="4">
        <f>1/TWD!C1008</f>
        <v>3.336013263988738E-2</v>
      </c>
      <c r="Z1008" s="4">
        <f>1/ZAR!B1008</f>
        <v>0.1009479007884031</v>
      </c>
      <c r="AA1008" s="4">
        <f>1/ZAR!C1008</f>
        <v>0.10050251256281408</v>
      </c>
    </row>
    <row r="1009" spans="1:27" x14ac:dyDescent="0.25">
      <c r="A1009" t="str">
        <f>"22/07/2013"</f>
        <v>22/07/2013</v>
      </c>
      <c r="B1009" s="3">
        <f>AUD!B1009</f>
        <v>0.92159999999999997</v>
      </c>
      <c r="C1009" s="3">
        <f>AUD!C1009</f>
        <v>0.9194</v>
      </c>
      <c r="D1009" s="3">
        <f>1/CAD!B1009</f>
        <v>0.96534414518775935</v>
      </c>
      <c r="E1009" s="3">
        <f>1/CAD!C1009</f>
        <v>0.9645992090286486</v>
      </c>
      <c r="F1009" s="3">
        <f>EUR!B1009/1</f>
        <v>1.3156000000000001</v>
      </c>
      <c r="G1009" s="3">
        <f>EUR!C1009/1</f>
        <v>1.3157000000000001</v>
      </c>
      <c r="H1009" s="3">
        <f>GBP!B1009/1</f>
        <v>1.5285</v>
      </c>
      <c r="I1009" s="3">
        <f>GBP!C1009/1</f>
        <v>1.5281</v>
      </c>
      <c r="J1009" s="4">
        <f>1/INR!B1009</f>
        <v>1.6815200941651252E-2</v>
      </c>
      <c r="K1009" s="4">
        <f>1/INR!C1009</f>
        <v>1.6697278343629988E-2</v>
      </c>
      <c r="L1009" s="4">
        <f>1/JPY!B1009</f>
        <v>1.0012265024655203E-2</v>
      </c>
      <c r="M1009" s="4">
        <f>1/JPY!C1009</f>
        <v>1.0013859181106652E-2</v>
      </c>
      <c r="N1009" s="5">
        <f>1/KRW!B1009</f>
        <v>8.9381480157311414E-4</v>
      </c>
      <c r="O1009" s="5">
        <f>1/KRW!C1009</f>
        <v>8.9379650702537468E-4</v>
      </c>
      <c r="P1009" s="3">
        <f>1/NOK!B1009</f>
        <v>0.16739203213927017</v>
      </c>
      <c r="Q1009" s="3">
        <f>1/NOK!C1009</f>
        <v>0.16717935000668716</v>
      </c>
      <c r="R1009" s="3">
        <f>NZD!B1009/1</f>
        <v>0.79349999999999998</v>
      </c>
      <c r="S1009" s="3">
        <f>NZD!C1009/1</f>
        <v>0.79149999999999998</v>
      </c>
      <c r="T1009" s="4">
        <f>1/PHP!B1009</f>
        <v>2.3124060585038735E-2</v>
      </c>
      <c r="U1009" s="4">
        <f>1/PHP!C1009</f>
        <v>2.3115347897543534E-2</v>
      </c>
      <c r="V1009" s="4">
        <f>1/TWD!B1009</f>
        <v>3.3436987996121312E-2</v>
      </c>
      <c r="W1009" s="4">
        <f>1/TWD!C1009</f>
        <v>3.3437099799711774E-2</v>
      </c>
      <c r="X1009" s="4">
        <f>1/TWD!B1009</f>
        <v>3.3436987996121312E-2</v>
      </c>
      <c r="Y1009" s="4">
        <f>1/TWD!C1009</f>
        <v>3.3437099799711774E-2</v>
      </c>
      <c r="Z1009" s="4">
        <f>1/ZAR!B1009</f>
        <v>0.10172008666551384</v>
      </c>
      <c r="AA1009" s="4">
        <f>1/ZAR!C1009</f>
        <v>0.10126889930833341</v>
      </c>
    </row>
    <row r="1010" spans="1:27" x14ac:dyDescent="0.25">
      <c r="A1010" t="str">
        <f>"23/07/2013"</f>
        <v>23/07/2013</v>
      </c>
      <c r="B1010" s="3">
        <f>AUD!B1010</f>
        <v>0.92689999999999995</v>
      </c>
      <c r="C1010" s="3">
        <f>AUD!C1010</f>
        <v>0.92479999999999996</v>
      </c>
      <c r="D1010" s="3">
        <f>1/CAD!B1010</f>
        <v>0.96852300242130751</v>
      </c>
      <c r="E1010" s="3">
        <f>1/CAD!C1010</f>
        <v>0.96767950454809359</v>
      </c>
      <c r="F1010" s="3">
        <f>EUR!B1010/1</f>
        <v>1.3197000000000001</v>
      </c>
      <c r="G1010" s="3">
        <f>EUR!C1010/1</f>
        <v>1.3199000000000001</v>
      </c>
      <c r="H1010" s="3">
        <f>GBP!B1010/1</f>
        <v>1.5369999999999999</v>
      </c>
      <c r="I1010" s="3">
        <f>GBP!C1010/1</f>
        <v>1.5366</v>
      </c>
      <c r="J1010" s="4">
        <f>1/INR!B1010</f>
        <v>1.6770082173402649E-2</v>
      </c>
      <c r="K1010" s="4">
        <f>1/INR!C1010</f>
        <v>1.6639627272349099E-2</v>
      </c>
      <c r="L1010" s="4">
        <f>1/JPY!B1010</f>
        <v>1.0052979200386034E-2</v>
      </c>
      <c r="M1010" s="4">
        <f>1/JPY!C1010</f>
        <v>1.0054384163942765E-2</v>
      </c>
      <c r="N1010" s="5">
        <f>1/KRW!B1010</f>
        <v>8.9569617985579288E-4</v>
      </c>
      <c r="O1010" s="5">
        <f>1/KRW!C1010</f>
        <v>8.956785302273591E-4</v>
      </c>
      <c r="P1010" s="3">
        <f>1/NOK!B1010</f>
        <v>0.16821706730364863</v>
      </c>
      <c r="Q1010" s="3">
        <f>1/NOK!C1010</f>
        <v>0.16801075268817203</v>
      </c>
      <c r="R1010" s="3">
        <f>NZD!B1010/1</f>
        <v>0.79959999999999998</v>
      </c>
      <c r="S1010" s="3">
        <f>NZD!C1010/1</f>
        <v>0.79769999999999996</v>
      </c>
      <c r="T1010" s="4">
        <f>1/PHP!B1010</f>
        <v>2.316423442205235E-2</v>
      </c>
      <c r="U1010" s="4">
        <f>1/PHP!C1010</f>
        <v>2.3162463837603335E-2</v>
      </c>
      <c r="V1010" s="4">
        <f>1/TWD!B1010</f>
        <v>3.3431398769724528E-2</v>
      </c>
      <c r="W1010" s="4">
        <f>1/TWD!C1010</f>
        <v>3.3431510535940547E-2</v>
      </c>
      <c r="X1010" s="4">
        <f>1/TWD!B1010</f>
        <v>3.3431398769724528E-2</v>
      </c>
      <c r="Y1010" s="4">
        <f>1/TWD!C1010</f>
        <v>3.3431510535940547E-2</v>
      </c>
      <c r="Z1010" s="4">
        <f>1/ZAR!B1010</f>
        <v>0.10199294208840748</v>
      </c>
      <c r="AA1010" s="4">
        <f>1/ZAR!C1010</f>
        <v>0.10151047588111092</v>
      </c>
    </row>
    <row r="1011" spans="1:27" x14ac:dyDescent="0.25">
      <c r="A1011" t="str">
        <f>"24/07/2013"</f>
        <v>24/07/2013</v>
      </c>
      <c r="B1011" s="3">
        <f>AUD!B1011</f>
        <v>0.92659999999999998</v>
      </c>
      <c r="C1011" s="3">
        <f>AUD!C1011</f>
        <v>0.92459999999999998</v>
      </c>
      <c r="D1011" s="3">
        <f>1/CAD!B1011</f>
        <v>0.97049689440993792</v>
      </c>
      <c r="E1011" s="3">
        <f>1/CAD!C1011</f>
        <v>0.96964995636575191</v>
      </c>
      <c r="F1011" s="3">
        <f>EUR!B1011/1</f>
        <v>1.3210999999999999</v>
      </c>
      <c r="G1011" s="3">
        <f>EUR!C1011/1</f>
        <v>1.3211999999999999</v>
      </c>
      <c r="H1011" s="3">
        <f>GBP!B1011/1</f>
        <v>1.5364</v>
      </c>
      <c r="I1011" s="3">
        <f>GBP!C1011/1</f>
        <v>1.536</v>
      </c>
      <c r="J1011" s="4">
        <f>1/INR!B1011</f>
        <v>1.6812373907195696E-2</v>
      </c>
      <c r="K1011" s="4">
        <f>1/INR!C1011</f>
        <v>1.6666666666666666E-2</v>
      </c>
      <c r="L1011" s="4">
        <f>1/JPY!B1011</f>
        <v>1.0033612602217428E-2</v>
      </c>
      <c r="M1011" s="4">
        <f>1/JPY!C1011</f>
        <v>1.0035082648940697E-2</v>
      </c>
      <c r="N1011" s="5">
        <f>1/KRW!B1011</f>
        <v>8.9764592356544957E-4</v>
      </c>
      <c r="O1011" s="5">
        <f>1/KRW!C1011</f>
        <v>8.9762698841208428E-4</v>
      </c>
      <c r="P1011" s="3">
        <f>1/NOK!B1011</f>
        <v>0.16992353440951571</v>
      </c>
      <c r="Q1011" s="3">
        <f>1/NOK!C1011</f>
        <v>0.16971877598818758</v>
      </c>
      <c r="R1011" s="3">
        <f>NZD!B1011/1</f>
        <v>0.79730000000000001</v>
      </c>
      <c r="S1011" s="3">
        <f>NZD!C1011/1</f>
        <v>0.7954</v>
      </c>
      <c r="T1011" s="4">
        <f>1/PHP!B1011</f>
        <v>2.3126734505087881E-2</v>
      </c>
      <c r="U1011" s="4">
        <f>1/PHP!C1011</f>
        <v>2.3123044657536149E-2</v>
      </c>
      <c r="V1011" s="4">
        <f>1/TWD!B1011</f>
        <v>3.3410734869113445E-2</v>
      </c>
      <c r="W1011" s="4">
        <f>1/TWD!C1011</f>
        <v>3.3410734869113445E-2</v>
      </c>
      <c r="X1011" s="4">
        <f>1/TWD!B1011</f>
        <v>3.3410734869113445E-2</v>
      </c>
      <c r="Y1011" s="4">
        <f>1/TWD!C1011</f>
        <v>3.3410734869113445E-2</v>
      </c>
      <c r="Z1011" s="4">
        <f>1/ZAR!B1011</f>
        <v>0.10308109389656843</v>
      </c>
      <c r="AA1011" s="4">
        <f>1/ZAR!C1011</f>
        <v>0.10260619741432382</v>
      </c>
    </row>
    <row r="1012" spans="1:27" x14ac:dyDescent="0.25">
      <c r="A1012" t="str">
        <f>"25/07/2013"</f>
        <v>25/07/2013</v>
      </c>
      <c r="B1012" s="3">
        <f>AUD!B1012</f>
        <v>0.91510000000000002</v>
      </c>
      <c r="C1012" s="3">
        <f>AUD!C1012</f>
        <v>0.91310000000000002</v>
      </c>
      <c r="D1012" s="3">
        <f>1/CAD!B1012</f>
        <v>0.9701202949165697</v>
      </c>
      <c r="E1012" s="3">
        <f>1/CAD!C1012</f>
        <v>0.96936797208220238</v>
      </c>
      <c r="F1012" s="3">
        <f>EUR!B1012/1</f>
        <v>1.3203</v>
      </c>
      <c r="G1012" s="3">
        <f>EUR!C1012/1</f>
        <v>1.3204</v>
      </c>
      <c r="H1012" s="3">
        <f>GBP!B1012/1</f>
        <v>1.5327</v>
      </c>
      <c r="I1012" s="3">
        <f>GBP!C1012/1</f>
        <v>1.5323</v>
      </c>
      <c r="J1012" s="4">
        <f>1/INR!B1012</f>
        <v>1.6895459345300949E-2</v>
      </c>
      <c r="K1012" s="4">
        <f>1/INR!C1012</f>
        <v>1.6749717348519745E-2</v>
      </c>
      <c r="L1012" s="4">
        <f>1/JPY!B1012</f>
        <v>9.9964012955336082E-3</v>
      </c>
      <c r="M1012" s="4">
        <f>1/JPY!C1012</f>
        <v>9.9979004409074101E-3</v>
      </c>
      <c r="N1012" s="5">
        <f>1/KRW!B1012</f>
        <v>8.9457440622623795E-4</v>
      </c>
      <c r="O1012" s="5">
        <f>1/KRW!C1012</f>
        <v>8.9455664073227693E-4</v>
      </c>
      <c r="P1012" s="3">
        <f>1/NOK!B1012</f>
        <v>0.16850051392656748</v>
      </c>
      <c r="Q1012" s="3">
        <f>1/NOK!C1012</f>
        <v>0.16829916860210711</v>
      </c>
      <c r="R1012" s="3">
        <f>NZD!B1012/1</f>
        <v>0.79859999999999998</v>
      </c>
      <c r="S1012" s="3">
        <f>NZD!C1012/1</f>
        <v>0.79679999999999995</v>
      </c>
      <c r="T1012" s="4">
        <f>1/PHP!B1012</f>
        <v>2.3052097740894419E-2</v>
      </c>
      <c r="U1012" s="4">
        <f>1/PHP!C1012</f>
        <v>2.3044979190383792E-2</v>
      </c>
      <c r="V1012" s="4">
        <f>1/TWD!B1012</f>
        <v>3.3337778370449392E-2</v>
      </c>
      <c r="W1012" s="4">
        <f>1/TWD!C1012</f>
        <v>3.3337778370449392E-2</v>
      </c>
      <c r="X1012" s="4">
        <f>1/TWD!B1012</f>
        <v>3.3337778370449392E-2</v>
      </c>
      <c r="Y1012" s="4">
        <f>1/TWD!C1012</f>
        <v>3.3337778370449392E-2</v>
      </c>
      <c r="Z1012" s="4">
        <f>1/ZAR!B1012</f>
        <v>0.10222126815705275</v>
      </c>
      <c r="AA1012" s="4">
        <f>1/ZAR!C1012</f>
        <v>0.10176770503648372</v>
      </c>
    </row>
    <row r="1013" spans="1:27" x14ac:dyDescent="0.25">
      <c r="A1013" t="str">
        <f>"26/07/2013"</f>
        <v>26/07/2013</v>
      </c>
      <c r="B1013" s="3">
        <f>AUD!B1013</f>
        <v>0.92620000000000002</v>
      </c>
      <c r="C1013" s="3">
        <f>AUD!C1013</f>
        <v>0.92420000000000002</v>
      </c>
      <c r="D1013" s="3">
        <f>1/CAD!B1013</f>
        <v>0.97304660893256778</v>
      </c>
      <c r="E1013" s="3">
        <f>1/CAD!C1013</f>
        <v>0.9722897423432183</v>
      </c>
      <c r="F1013" s="3">
        <f>EUR!B1013/1</f>
        <v>1.3275999999999999</v>
      </c>
      <c r="G1013" s="3">
        <f>EUR!C1013/1</f>
        <v>1.3278000000000001</v>
      </c>
      <c r="H1013" s="3">
        <f>GBP!B1013/1</f>
        <v>1.5388999999999999</v>
      </c>
      <c r="I1013" s="3">
        <f>GBP!C1013/1</f>
        <v>1.5385</v>
      </c>
      <c r="J1013" s="4">
        <f>1/INR!B1013</f>
        <v>1.7015484090522375E-2</v>
      </c>
      <c r="K1013" s="4">
        <f>1/INR!C1013</f>
        <v>1.6868384430481172E-2</v>
      </c>
      <c r="L1013" s="4">
        <f>1/JPY!B1013</f>
        <v>1.0115161109228566E-2</v>
      </c>
      <c r="M1013" s="4">
        <f>1/JPY!C1013</f>
        <v>1.0116675619924591E-2</v>
      </c>
      <c r="N1013" s="5">
        <f>1/KRW!B1013</f>
        <v>8.9968511021142603E-4</v>
      </c>
      <c r="O1013" s="5">
        <f>1/KRW!C1013</f>
        <v>8.9966179913646854E-4</v>
      </c>
      <c r="P1013" s="3">
        <f>1/NOK!B1013</f>
        <v>0.16910745087428553</v>
      </c>
      <c r="Q1013" s="3">
        <f>1/NOK!C1013</f>
        <v>0.16890465332319907</v>
      </c>
      <c r="R1013" s="3">
        <f>NZD!B1013/1</f>
        <v>0.80800000000000005</v>
      </c>
      <c r="S1013" s="3">
        <f>NZD!C1013/1</f>
        <v>0.80630000000000002</v>
      </c>
      <c r="T1013" s="4">
        <f>1/PHP!B1013</f>
        <v>2.3089355806972984E-2</v>
      </c>
      <c r="U1013" s="4">
        <f>1/PHP!C1013</f>
        <v>2.3081788007626225E-2</v>
      </c>
      <c r="V1013" s="4">
        <f>1/TWD!B1013</f>
        <v>3.3417992247025796E-2</v>
      </c>
      <c r="W1013" s="4">
        <f>1/TWD!C1013</f>
        <v>3.3418103923619581E-2</v>
      </c>
      <c r="X1013" s="4">
        <f>1/TWD!B1013</f>
        <v>3.3417992247025796E-2</v>
      </c>
      <c r="Y1013" s="4">
        <f>1/TWD!C1013</f>
        <v>3.3418103923619581E-2</v>
      </c>
      <c r="Z1013" s="4">
        <f>1/ZAR!B1013</f>
        <v>0.10303860856662991</v>
      </c>
      <c r="AA1013" s="4">
        <f>1/ZAR!C1013</f>
        <v>0.10257146666940191</v>
      </c>
    </row>
    <row r="1014" spans="1:27" x14ac:dyDescent="0.25">
      <c r="A1014" t="str">
        <f>"29/07/2013"</f>
        <v>29/07/2013</v>
      </c>
      <c r="B1014" s="3">
        <f>AUD!B1014</f>
        <v>0.92669999999999997</v>
      </c>
      <c r="C1014" s="3">
        <f>AUD!C1014</f>
        <v>0.92479999999999996</v>
      </c>
      <c r="D1014" s="3">
        <f>1/CAD!B1014</f>
        <v>0.97352024922118385</v>
      </c>
      <c r="E1014" s="3">
        <f>1/CAD!C1014</f>
        <v>0.97276264591439687</v>
      </c>
      <c r="F1014" s="3">
        <f>EUR!B1014/1</f>
        <v>1.3282</v>
      </c>
      <c r="G1014" s="3">
        <f>EUR!C1014/1</f>
        <v>1.3283</v>
      </c>
      <c r="H1014" s="3">
        <f>GBP!B1014/1</f>
        <v>1.5385</v>
      </c>
      <c r="I1014" s="3">
        <f>GBP!C1014/1</f>
        <v>1.5382</v>
      </c>
      <c r="J1014" s="4">
        <f>1/INR!B1014</f>
        <v>1.6863406408094434E-2</v>
      </c>
      <c r="K1014" s="4">
        <f>1/INR!C1014</f>
        <v>1.6718214494691967E-2</v>
      </c>
      <c r="L1014" s="4">
        <f>1/JPY!B1014</f>
        <v>1.021346134204882E-2</v>
      </c>
      <c r="M1014" s="4">
        <f>1/JPY!C1014</f>
        <v>1.0214890654702987E-2</v>
      </c>
      <c r="N1014" s="5">
        <f>1/KRW!B1014</f>
        <v>9.0122566690699357E-4</v>
      </c>
      <c r="O1014" s="5">
        <f>1/KRW!C1014</f>
        <v>9.0120130133467902E-4</v>
      </c>
      <c r="P1014" s="3">
        <f>1/NOK!B1014</f>
        <v>0.16937956266196921</v>
      </c>
      <c r="Q1014" s="3">
        <f>1/NOK!C1014</f>
        <v>0.16917897443705696</v>
      </c>
      <c r="R1014" s="3">
        <f>NZD!B1014/1</f>
        <v>0.80859999999999999</v>
      </c>
      <c r="S1014" s="3">
        <f>NZD!C1014/1</f>
        <v>0.80689999999999995</v>
      </c>
      <c r="T1014" s="4">
        <f>1/PHP!B1014</f>
        <v>2.3073373327180433E-2</v>
      </c>
      <c r="U1014" s="4">
        <f>1/PHP!C1014</f>
        <v>2.3066241632720846E-2</v>
      </c>
      <c r="V1014" s="4">
        <f>1/TWD!B1014</f>
        <v>3.3374495210759934E-2</v>
      </c>
      <c r="W1014" s="4">
        <f>1/TWD!C1014</f>
        <v>3.3374606596824737E-2</v>
      </c>
      <c r="X1014" s="4">
        <f>1/TWD!B1014</f>
        <v>3.3374495210759934E-2</v>
      </c>
      <c r="Y1014" s="4">
        <f>1/TWD!C1014</f>
        <v>3.3374606596824737E-2</v>
      </c>
      <c r="Z1014" s="4">
        <f>1/ZAR!B1014</f>
        <v>0.10227249483523902</v>
      </c>
      <c r="AA1014" s="4">
        <f>1/ZAR!C1014</f>
        <v>0.10182055146010671</v>
      </c>
    </row>
    <row r="1015" spans="1:27" x14ac:dyDescent="0.25">
      <c r="A1015" t="str">
        <f>"30/07/2013"</f>
        <v>30/07/2013</v>
      </c>
      <c r="B1015" s="3">
        <f>AUD!B1015</f>
        <v>0.90839999999999999</v>
      </c>
      <c r="C1015" s="3">
        <f>AUD!C1015</f>
        <v>0.90629999999999999</v>
      </c>
      <c r="D1015" s="3">
        <f>1/CAD!B1015</f>
        <v>0.97314130011677691</v>
      </c>
      <c r="E1015" s="3">
        <f>1/CAD!C1015</f>
        <v>0.9723842862699339</v>
      </c>
      <c r="F1015" s="3">
        <f>EUR!B1015/1</f>
        <v>1.3255999999999999</v>
      </c>
      <c r="G1015" s="3">
        <f>EUR!C1015/1</f>
        <v>1.3257000000000001</v>
      </c>
      <c r="H1015" s="3">
        <f>GBP!B1015/1</f>
        <v>1.5329999999999999</v>
      </c>
      <c r="I1015" s="3">
        <f>GBP!C1015/1</f>
        <v>1.5326</v>
      </c>
      <c r="J1015" s="4">
        <f>1/INR!B1015</f>
        <v>1.678345151680443E-2</v>
      </c>
      <c r="K1015" s="4">
        <f>1/INR!C1015</f>
        <v>1.6634783331947102E-2</v>
      </c>
      <c r="L1015" s="4">
        <f>1/JPY!B1015</f>
        <v>1.0165494246330257E-2</v>
      </c>
      <c r="M1015" s="4">
        <f>1/JPY!C1015</f>
        <v>1.0167034204953176E-2</v>
      </c>
      <c r="N1015" s="5">
        <f>1/KRW!B1015</f>
        <v>8.9742439199497442E-4</v>
      </c>
      <c r="O1015" s="5">
        <f>1/KRW!C1015</f>
        <v>8.9740385551618455E-4</v>
      </c>
      <c r="P1015" s="3">
        <f>1/NOK!B1015</f>
        <v>0.16809547823163556</v>
      </c>
      <c r="Q1015" s="3">
        <f>1/NOK!C1015</f>
        <v>0.16787818758708681</v>
      </c>
      <c r="R1015" s="3">
        <f>NZD!B1015/1</f>
        <v>0.79910000000000003</v>
      </c>
      <c r="S1015" s="3">
        <f>NZD!C1015/1</f>
        <v>0.79730000000000001</v>
      </c>
      <c r="T1015" s="4">
        <f>1/PHP!B1015</f>
        <v>2.3030861354214647E-2</v>
      </c>
      <c r="U1015" s="4">
        <f>1/PHP!C1015</f>
        <v>2.3025558369790467E-2</v>
      </c>
      <c r="V1015" s="4">
        <f>1/TWD!B1015</f>
        <v>3.3363360357655227E-2</v>
      </c>
      <c r="W1015" s="4">
        <f>1/TWD!C1015</f>
        <v>3.3363471669408035E-2</v>
      </c>
      <c r="X1015" s="4">
        <f>1/TWD!B1015</f>
        <v>3.3363360357655227E-2</v>
      </c>
      <c r="Y1015" s="4">
        <f>1/TWD!C1015</f>
        <v>3.3363471669408035E-2</v>
      </c>
      <c r="Z1015" s="4">
        <f>1/ZAR!B1015</f>
        <v>0.10178013455333787</v>
      </c>
      <c r="AA1015" s="4">
        <f>1/ZAR!C1015</f>
        <v>0.10134484610785119</v>
      </c>
    </row>
    <row r="1016" spans="1:27" x14ac:dyDescent="0.25">
      <c r="A1016" t="str">
        <f>"31/07/2013"</f>
        <v>31/07/2013</v>
      </c>
      <c r="B1016" s="3">
        <f>AUD!B1016</f>
        <v>0.90269999999999995</v>
      </c>
      <c r="C1016" s="3">
        <f>AUD!C1016</f>
        <v>0.90069999999999995</v>
      </c>
      <c r="D1016" s="3">
        <f>1/CAD!B1016</f>
        <v>0.970873786407767</v>
      </c>
      <c r="E1016" s="3">
        <f>1/CAD!C1016</f>
        <v>0.9701202949165697</v>
      </c>
      <c r="F1016" s="3">
        <f>EUR!B1016/1</f>
        <v>1.3257000000000001</v>
      </c>
      <c r="G1016" s="3">
        <f>EUR!C1016/1</f>
        <v>1.3258000000000001</v>
      </c>
      <c r="H1016" s="3">
        <f>GBP!B1016/1</f>
        <v>1.5226</v>
      </c>
      <c r="I1016" s="3">
        <f>GBP!C1016/1</f>
        <v>1.5223</v>
      </c>
      <c r="J1016" s="4">
        <f>1/INR!B1016</f>
        <v>1.6375992794563171E-2</v>
      </c>
      <c r="K1016" s="4">
        <f>1/INR!C1016</f>
        <v>1.6233107422588371E-2</v>
      </c>
      <c r="L1016" s="4">
        <f>1/JPY!B1016</f>
        <v>1.0200438618860611E-2</v>
      </c>
      <c r="M1016" s="4">
        <f>1/JPY!C1016</f>
        <v>1.0202062040779681E-2</v>
      </c>
      <c r="N1016" s="5">
        <f>1/KRW!B1016</f>
        <v>8.9118616879066046E-4</v>
      </c>
      <c r="O1016" s="5">
        <f>1/KRW!C1016</f>
        <v>8.9116472556136702E-4</v>
      </c>
      <c r="P1016" s="3">
        <f>1/NOK!B1016</f>
        <v>0.16827934371055953</v>
      </c>
      <c r="Q1016" s="3">
        <f>1/NOK!C1016</f>
        <v>0.16807005159750582</v>
      </c>
      <c r="R1016" s="3">
        <f>NZD!B1016/1</f>
        <v>0.79759999999999998</v>
      </c>
      <c r="S1016" s="3">
        <f>NZD!C1016/1</f>
        <v>0.79579999999999995</v>
      </c>
      <c r="T1016" s="4">
        <f>1/PHP!B1016</f>
        <v>2.2962112514351322E-2</v>
      </c>
      <c r="U1016" s="4">
        <f>1/PHP!C1016</f>
        <v>2.2959476523935256E-2</v>
      </c>
      <c r="V1016" s="4">
        <f>1/TWD!B1016</f>
        <v>3.3316674995835412E-2</v>
      </c>
      <c r="W1016" s="4">
        <f>1/TWD!C1016</f>
        <v>3.3316785996288512E-2</v>
      </c>
      <c r="X1016" s="4">
        <f>1/TWD!B1016</f>
        <v>3.3316674995835412E-2</v>
      </c>
      <c r="Y1016" s="4">
        <f>1/TWD!C1016</f>
        <v>3.3316785996288512E-2</v>
      </c>
      <c r="Z1016" s="4">
        <f>1/ZAR!B1016</f>
        <v>0.10171594804349374</v>
      </c>
      <c r="AA1016" s="4">
        <f>1/ZAR!C1016</f>
        <v>0.10124019235636549</v>
      </c>
    </row>
    <row r="1017" spans="1:27" x14ac:dyDescent="0.25">
      <c r="A1017" t="str">
        <f>"01/08/2013"</f>
        <v>01/08/2013</v>
      </c>
      <c r="B1017" s="3">
        <f>AUD!B1017</f>
        <v>0.89610000000000001</v>
      </c>
      <c r="C1017" s="3">
        <f>AUD!C1017</f>
        <v>0.89419999999999999</v>
      </c>
      <c r="D1017" s="3">
        <f>1/CAD!B1017</f>
        <v>0.97125097125097115</v>
      </c>
      <c r="E1017" s="3">
        <f>1/CAD!C1017</f>
        <v>0.97040271712760795</v>
      </c>
      <c r="F1017" s="3">
        <f>EUR!B1017/1</f>
        <v>1.3273999999999999</v>
      </c>
      <c r="G1017" s="3">
        <f>EUR!C1017/1</f>
        <v>1.3274999999999999</v>
      </c>
      <c r="H1017" s="3">
        <f>GBP!B1017/1</f>
        <v>1.5158</v>
      </c>
      <c r="I1017" s="3">
        <f>GBP!C1017/1</f>
        <v>1.5155000000000001</v>
      </c>
      <c r="J1017" s="4">
        <f>1/INR!B1017</f>
        <v>1.650437365901964E-2</v>
      </c>
      <c r="K1017" s="4">
        <f>1/INR!C1017</f>
        <v>1.6366612111292964E-2</v>
      </c>
      <c r="L1017" s="4">
        <f>1/JPY!B1017</f>
        <v>1.0172939979654121E-2</v>
      </c>
      <c r="M1017" s="4">
        <f>1/JPY!C1017</f>
        <v>1.017442008349129E-2</v>
      </c>
      <c r="N1017" s="5">
        <f>1/KRW!B1017</f>
        <v>8.9166295140436912E-4</v>
      </c>
      <c r="O1017" s="5">
        <f>1/KRW!C1017</f>
        <v>8.9164466533454964E-4</v>
      </c>
      <c r="P1017" s="3">
        <f>1/NOK!B1017</f>
        <v>0.16912747137517548</v>
      </c>
      <c r="Q1017" s="3">
        <f>1/NOK!C1017</f>
        <v>0.16892177232723526</v>
      </c>
      <c r="R1017" s="3">
        <f>NZD!B1017/1</f>
        <v>0.79669999999999996</v>
      </c>
      <c r="S1017" s="3">
        <f>NZD!C1017/1</f>
        <v>0.79490000000000005</v>
      </c>
      <c r="T1017" s="4">
        <f>1/PHP!B1017</f>
        <v>2.3004370830457789E-2</v>
      </c>
      <c r="U1017" s="4">
        <f>1/PHP!C1017</f>
        <v>2.3000402507043875E-2</v>
      </c>
      <c r="V1017" s="4">
        <f>1/TWD!B1017</f>
        <v>3.3317785033650966E-2</v>
      </c>
      <c r="W1017" s="4">
        <f>1/TWD!C1017</f>
        <v>3.3317896041500775E-2</v>
      </c>
      <c r="X1017" s="4">
        <f>1/TWD!B1017</f>
        <v>3.3317785033650966E-2</v>
      </c>
      <c r="Y1017" s="4">
        <f>1/TWD!C1017</f>
        <v>3.3317896041500775E-2</v>
      </c>
      <c r="Z1017" s="4">
        <f>1/ZAR!B1017</f>
        <v>0.10123711757678835</v>
      </c>
      <c r="AA1017" s="4">
        <f>1/ZAR!C1017</f>
        <v>0.10078206885430945</v>
      </c>
    </row>
    <row r="1018" spans="1:27" x14ac:dyDescent="0.25">
      <c r="A1018" t="str">
        <f>"02/08/2013"</f>
        <v>02/08/2013</v>
      </c>
      <c r="B1018" s="3">
        <f>AUD!B1018</f>
        <v>0.8911</v>
      </c>
      <c r="C1018" s="3">
        <f>AUD!C1018</f>
        <v>0.8891</v>
      </c>
      <c r="D1018" s="3">
        <f>1/CAD!B1018</f>
        <v>0.9660902328277462</v>
      </c>
      <c r="E1018" s="3">
        <f>1/CAD!C1018</f>
        <v>0.96534414518775935</v>
      </c>
      <c r="F1018" s="3">
        <f>EUR!B1018/1</f>
        <v>1.3210999999999999</v>
      </c>
      <c r="G1018" s="3">
        <f>EUR!C1018/1</f>
        <v>1.3211999999999999</v>
      </c>
      <c r="H1018" s="3">
        <f>GBP!B1018/1</f>
        <v>1.5119</v>
      </c>
      <c r="I1018" s="3">
        <f>GBP!C1018/1</f>
        <v>1.5115000000000001</v>
      </c>
      <c r="J1018" s="4">
        <f>1/INR!B1018</f>
        <v>1.646090534979424E-2</v>
      </c>
      <c r="K1018" s="4">
        <f>1/INR!C1018</f>
        <v>1.6324531689997143E-2</v>
      </c>
      <c r="L1018" s="4">
        <f>1/JPY!B1018</f>
        <v>1.0054748103423139E-2</v>
      </c>
      <c r="M1018" s="4">
        <f>1/JPY!C1018</f>
        <v>1.0056163674119959E-2</v>
      </c>
      <c r="N1018" s="5">
        <f>1/KRW!B1018</f>
        <v>8.8892839681763635E-4</v>
      </c>
      <c r="O1018" s="5">
        <f>1/KRW!C1018</f>
        <v>8.8890729914672907E-4</v>
      </c>
      <c r="P1018" s="3">
        <f>1/NOK!B1018</f>
        <v>0.16775708773695688</v>
      </c>
      <c r="Q1018" s="3">
        <f>1/NOK!C1018</f>
        <v>0.16755470661170871</v>
      </c>
      <c r="R1018" s="3">
        <f>NZD!B1018/1</f>
        <v>0.78939999999999999</v>
      </c>
      <c r="S1018" s="3">
        <f>NZD!C1018/1</f>
        <v>0.78769999999999996</v>
      </c>
      <c r="T1018" s="4">
        <f>1/PHP!B1018</f>
        <v>2.2921322560311732E-2</v>
      </c>
      <c r="U1018" s="4">
        <f>1/PHP!C1018</f>
        <v>2.2916437502291644E-2</v>
      </c>
      <c r="V1018" s="4">
        <f>1/TWD!B1018</f>
        <v>3.3311125916055964E-2</v>
      </c>
      <c r="W1018" s="4">
        <f>1/TWD!C1018</f>
        <v>3.3311236879536577E-2</v>
      </c>
      <c r="X1018" s="4">
        <f>1/TWD!B1018</f>
        <v>3.3311125916055964E-2</v>
      </c>
      <c r="Y1018" s="4">
        <f>1/TWD!C1018</f>
        <v>3.3311236879536577E-2</v>
      </c>
      <c r="Z1018" s="4">
        <f>1/ZAR!B1018</f>
        <v>0.10022048506714773</v>
      </c>
      <c r="AA1018" s="4">
        <f>1/ZAR!C1018</f>
        <v>9.9785461258294669E-2</v>
      </c>
    </row>
    <row r="1019" spans="1:27" x14ac:dyDescent="0.25">
      <c r="A1019" t="str">
        <f>"05/08/2013"</f>
        <v>05/08/2013</v>
      </c>
      <c r="B1019" s="3">
        <f>AUD!B1019</f>
        <v>0.88719999999999999</v>
      </c>
      <c r="C1019" s="3">
        <f>AUD!C1019</f>
        <v>0.88529999999999998</v>
      </c>
      <c r="D1019" s="3">
        <f>1/CAD!B1019</f>
        <v>0.96163092605058176</v>
      </c>
      <c r="E1019" s="3">
        <f>1/CAD!C1019</f>
        <v>0.96079938508839358</v>
      </c>
      <c r="F1019" s="3">
        <f>EUR!B1019/1</f>
        <v>1.3274999999999999</v>
      </c>
      <c r="G1019" s="3">
        <f>EUR!C1019/1</f>
        <v>1.3275999999999999</v>
      </c>
      <c r="H1019" s="3">
        <f>GBP!B1019/1</f>
        <v>1.5268999999999999</v>
      </c>
      <c r="I1019" s="3">
        <f>GBP!C1019/1</f>
        <v>1.5265</v>
      </c>
      <c r="J1019" s="4">
        <f>1/INR!B1019</f>
        <v>1.6425755584756899E-2</v>
      </c>
      <c r="K1019" s="4">
        <f>1/INR!C1019</f>
        <v>1.627802873072071E-2</v>
      </c>
      <c r="L1019" s="4">
        <f>1/JPY!B1019</f>
        <v>1.0118282725055903E-2</v>
      </c>
      <c r="M1019" s="4">
        <f>1/JPY!C1019</f>
        <v>1.011976744774405E-2</v>
      </c>
      <c r="N1019" s="5">
        <f>1/KRW!B1019</f>
        <v>8.9641880686656809E-4</v>
      </c>
      <c r="O1019" s="5">
        <f>1/KRW!C1019</f>
        <v>8.9639662897498119E-4</v>
      </c>
      <c r="P1019" s="3">
        <f>1/NOK!B1019</f>
        <v>0.16820292000269124</v>
      </c>
      <c r="Q1019" s="3">
        <f>1/NOK!C1019</f>
        <v>0.16798535167733375</v>
      </c>
      <c r="R1019" s="3">
        <f>NZD!B1019/1</f>
        <v>0.77639999999999998</v>
      </c>
      <c r="S1019" s="3">
        <f>NZD!C1019/1</f>
        <v>0.77459999999999996</v>
      </c>
      <c r="T1019" s="4">
        <f>1/PHP!B1019</f>
        <v>2.2988505747126436E-2</v>
      </c>
      <c r="U1019" s="4">
        <f>1/PHP!C1019</f>
        <v>2.2985546688242431E-2</v>
      </c>
      <c r="V1019" s="4">
        <f>1/TWD!B1019</f>
        <v>3.3365586733842711E-2</v>
      </c>
      <c r="W1019" s="4">
        <f>1/TWD!C1019</f>
        <v>3.3365586733842711E-2</v>
      </c>
      <c r="X1019" s="4">
        <f>1/TWD!B1019</f>
        <v>3.3365586733842711E-2</v>
      </c>
      <c r="Y1019" s="4">
        <f>1/TWD!C1019</f>
        <v>3.3365586733842711E-2</v>
      </c>
      <c r="Z1019" s="4">
        <f>1/ZAR!B1019</f>
        <v>0.10134690030505417</v>
      </c>
      <c r="AA1019" s="4">
        <f>1/ZAR!C1019</f>
        <v>0.10089901018071012</v>
      </c>
    </row>
    <row r="1020" spans="1:27" x14ac:dyDescent="0.25">
      <c r="A1020" t="str">
        <f>"06/08/2013"</f>
        <v>06/08/2013</v>
      </c>
      <c r="B1020" s="3">
        <f>AUD!B1020</f>
        <v>0.89639999999999997</v>
      </c>
      <c r="C1020" s="3">
        <f>AUD!C1020</f>
        <v>0.89439999999999997</v>
      </c>
      <c r="D1020" s="3">
        <f>1/CAD!B1020</f>
        <v>0.96590360282043841</v>
      </c>
      <c r="E1020" s="3">
        <f>1/CAD!C1020</f>
        <v>0.96515780330083967</v>
      </c>
      <c r="F1020" s="3">
        <f>EUR!B1020/1</f>
        <v>1.3263</v>
      </c>
      <c r="G1020" s="3">
        <f>EUR!C1020/1</f>
        <v>1.3264</v>
      </c>
      <c r="H1020" s="3">
        <f>GBP!B1020/1</f>
        <v>1.5348999999999999</v>
      </c>
      <c r="I1020" s="3">
        <f>GBP!C1020/1</f>
        <v>1.5344</v>
      </c>
      <c r="J1020" s="4">
        <f>1/INR!B1020</f>
        <v>1.627339300244101E-2</v>
      </c>
      <c r="K1020" s="4">
        <f>1/INR!C1020</f>
        <v>1.6132284734825572E-2</v>
      </c>
      <c r="L1020" s="4">
        <f>1/JPY!B1020</f>
        <v>1.0173819709740925E-2</v>
      </c>
      <c r="M1020" s="4">
        <f>1/JPY!C1020</f>
        <v>1.0175227594403218E-2</v>
      </c>
      <c r="N1020" s="5">
        <f>1/KRW!B1020</f>
        <v>8.971023593792051E-4</v>
      </c>
      <c r="O1020" s="5">
        <f>1/KRW!C1020</f>
        <v>8.9708344715079568E-4</v>
      </c>
      <c r="P1020" s="3">
        <f>1/NOK!B1020</f>
        <v>0.16892462583195378</v>
      </c>
      <c r="Q1020" s="3">
        <f>1/NOK!C1020</f>
        <v>0.16870803387657321</v>
      </c>
      <c r="R1020" s="3">
        <f>NZD!B1020/1</f>
        <v>0.78469999999999995</v>
      </c>
      <c r="S1020" s="3">
        <f>NZD!C1020/1</f>
        <v>0.78290000000000004</v>
      </c>
      <c r="T1020" s="4">
        <f>1/PHP!B1020</f>
        <v>2.296738631143776E-2</v>
      </c>
      <c r="U1020" s="4">
        <f>1/PHP!C1020</f>
        <v>2.2962745242119185E-2</v>
      </c>
      <c r="V1020" s="4">
        <f>1/TWD!B1020</f>
        <v>3.336113427856547E-2</v>
      </c>
      <c r="W1020" s="4">
        <f>1/TWD!C1020</f>
        <v>3.3361245575464805E-2</v>
      </c>
      <c r="X1020" s="4">
        <f>1/TWD!B1020</f>
        <v>3.336113427856547E-2</v>
      </c>
      <c r="Y1020" s="4">
        <f>1/TWD!C1020</f>
        <v>3.3361245575464805E-2</v>
      </c>
      <c r="Z1020" s="4">
        <f>1/ZAR!B1020</f>
        <v>0.1016260162601626</v>
      </c>
      <c r="AA1020" s="4">
        <f>1/ZAR!C1020</f>
        <v>0.10115007636830765</v>
      </c>
    </row>
    <row r="1021" spans="1:27" x14ac:dyDescent="0.25">
      <c r="A1021" t="str">
        <f>"07/08/2013"</f>
        <v>07/08/2013</v>
      </c>
      <c r="B1021" s="3">
        <f>AUD!B1021</f>
        <v>0.89649999999999996</v>
      </c>
      <c r="C1021" s="3">
        <f>AUD!C1021</f>
        <v>0.89459999999999995</v>
      </c>
      <c r="D1021" s="3">
        <f>1/CAD!B1021</f>
        <v>0.96311278050659732</v>
      </c>
      <c r="E1021" s="3">
        <f>1/CAD!C1021</f>
        <v>0.96237128284092011</v>
      </c>
      <c r="F1021" s="3">
        <f>EUR!B1021/1</f>
        <v>1.3297000000000001</v>
      </c>
      <c r="G1021" s="3">
        <f>EUR!C1021/1</f>
        <v>1.3299000000000001</v>
      </c>
      <c r="H1021" s="3">
        <f>GBP!B1021/1</f>
        <v>1.5327999999999999</v>
      </c>
      <c r="I1021" s="3">
        <f>GBP!C1021/1</f>
        <v>1.5324</v>
      </c>
      <c r="J1021" s="4">
        <f>1/INR!B1021</f>
        <v>1.6302575806977502E-2</v>
      </c>
      <c r="K1021" s="4">
        <f>1/INR!C1021</f>
        <v>1.6164228562191869E-2</v>
      </c>
      <c r="L1021" s="4">
        <f>1/JPY!B1021</f>
        <v>1.0278971280554243E-2</v>
      </c>
      <c r="M1021" s="4">
        <f>1/JPY!C1021</f>
        <v>1.028027102906541E-2</v>
      </c>
      <c r="N1021" s="5">
        <f>1/KRW!B1021</f>
        <v>8.9381480157311414E-4</v>
      </c>
      <c r="O1021" s="5">
        <f>1/KRW!C1021</f>
        <v>8.9379155404520675E-4</v>
      </c>
      <c r="P1021" s="3">
        <f>1/NOK!B1021</f>
        <v>0.16879346431706163</v>
      </c>
      <c r="Q1021" s="3">
        <f>1/NOK!C1021</f>
        <v>0.16858857643806055</v>
      </c>
      <c r="R1021" s="3">
        <f>NZD!B1021/1</f>
        <v>0.78990000000000005</v>
      </c>
      <c r="S1021" s="3">
        <f>NZD!C1021/1</f>
        <v>0.78820000000000001</v>
      </c>
      <c r="T1021" s="4">
        <f>1/PHP!B1021</f>
        <v>2.2925263640531868E-2</v>
      </c>
      <c r="U1021" s="4">
        <f>1/PHP!C1021</f>
        <v>2.2922320839140323E-2</v>
      </c>
      <c r="V1021" s="4">
        <f>1/TWD!B1021</f>
        <v>3.3362247280976844E-2</v>
      </c>
      <c r="W1021" s="4">
        <f>1/TWD!C1021</f>
        <v>3.3362358585302544E-2</v>
      </c>
      <c r="X1021" s="4">
        <f>1/TWD!B1021</f>
        <v>3.3362247280976844E-2</v>
      </c>
      <c r="Y1021" s="4">
        <f>1/TWD!C1021</f>
        <v>3.3362358585302544E-2</v>
      </c>
      <c r="Z1021" s="4">
        <f>1/ZAR!B1021</f>
        <v>0.10074551682450131</v>
      </c>
      <c r="AA1021" s="4">
        <f>1/ZAR!C1021</f>
        <v>0.10028380316295114</v>
      </c>
    </row>
    <row r="1022" spans="1:27" x14ac:dyDescent="0.25">
      <c r="A1022" t="str">
        <f>"08/08/2013"</f>
        <v>08/08/2013</v>
      </c>
      <c r="B1022" s="3">
        <f>AUD!B1022</f>
        <v>0.90639999999999998</v>
      </c>
      <c r="C1022" s="3">
        <f>AUD!C1022</f>
        <v>0.90449999999999997</v>
      </c>
      <c r="D1022" s="3">
        <f>1/CAD!B1022</f>
        <v>0.95969289827255277</v>
      </c>
      <c r="E1022" s="3">
        <f>1/CAD!C1022</f>
        <v>0.95895665515918682</v>
      </c>
      <c r="F1022" s="3">
        <f>EUR!B1022/1</f>
        <v>1.3332999999999999</v>
      </c>
      <c r="G1022" s="3">
        <f>EUR!C1022/1</f>
        <v>1.3333999999999999</v>
      </c>
      <c r="H1022" s="3">
        <f>GBP!B1022/1</f>
        <v>1.5495000000000001</v>
      </c>
      <c r="I1022" s="3">
        <f>GBP!C1022/1</f>
        <v>1.5490999999999999</v>
      </c>
      <c r="J1022" s="4">
        <f>1/INR!B1022</f>
        <v>1.6318537859007831E-2</v>
      </c>
      <c r="K1022" s="4">
        <f>1/INR!C1022</f>
        <v>1.6177303243549299E-2</v>
      </c>
      <c r="L1022" s="4">
        <f>1/JPY!B1022</f>
        <v>1.0325191919504805E-2</v>
      </c>
      <c r="M1022" s="4">
        <f>1/JPY!C1022</f>
        <v>1.0326492720338957E-2</v>
      </c>
      <c r="N1022" s="5">
        <f>1/KRW!B1022</f>
        <v>8.9798850574712653E-4</v>
      </c>
      <c r="O1022" s="5">
        <f>1/KRW!C1022</f>
        <v>8.9796818534638046E-4</v>
      </c>
      <c r="P1022" s="3">
        <f>1/NOK!B1022</f>
        <v>0.16926201760324983</v>
      </c>
      <c r="Q1022" s="3">
        <f>1/NOK!C1022</f>
        <v>0.16906170752324598</v>
      </c>
      <c r="R1022" s="3">
        <f>NZD!B1022/1</f>
        <v>0.79549999999999998</v>
      </c>
      <c r="S1022" s="3">
        <f>NZD!C1022/1</f>
        <v>0.79379999999999995</v>
      </c>
      <c r="T1022" s="4">
        <f>1/PHP!B1022</f>
        <v>2.2925263640531868E-2</v>
      </c>
      <c r="U1022" s="4">
        <f>1/PHP!C1022</f>
        <v>2.2921847959382485E-2</v>
      </c>
      <c r="V1022" s="4">
        <f>1/TWD!B1022</f>
        <v>3.3386752136752136E-2</v>
      </c>
      <c r="W1022" s="4">
        <f>1/TWD!C1022</f>
        <v>3.3386863604646121E-2</v>
      </c>
      <c r="X1022" s="4">
        <f>1/TWD!B1022</f>
        <v>3.3386752136752136E-2</v>
      </c>
      <c r="Y1022" s="4">
        <f>1/TWD!C1022</f>
        <v>3.3386863604646121E-2</v>
      </c>
      <c r="Z1022" s="4">
        <f>1/ZAR!B1022</f>
        <v>0.100409671459555</v>
      </c>
      <c r="AA1022" s="4">
        <f>1/ZAR!C1022</f>
        <v>9.9968010236724247E-2</v>
      </c>
    </row>
    <row r="1023" spans="1:27" x14ac:dyDescent="0.25">
      <c r="A1023" t="str">
        <f>"12/08/2013"</f>
        <v>12/08/2013</v>
      </c>
      <c r="B1023" s="3">
        <f>AUD!B1023</f>
        <v>0.92030000000000001</v>
      </c>
      <c r="C1023" s="3">
        <f>AUD!C1023</f>
        <v>0.91830000000000001</v>
      </c>
      <c r="D1023" s="3">
        <f>1/CAD!B1023</f>
        <v>0.97200622083981347</v>
      </c>
      <c r="E1023" s="3">
        <f>1/CAD!C1023</f>
        <v>0.97125097125097115</v>
      </c>
      <c r="F1023" s="3">
        <f>EUR!B1023/1</f>
        <v>1.3326</v>
      </c>
      <c r="G1023" s="3">
        <f>EUR!C1023/1</f>
        <v>1.3327</v>
      </c>
      <c r="H1023" s="3">
        <f>GBP!B1023/1</f>
        <v>1.5491999999999999</v>
      </c>
      <c r="I1023" s="3">
        <f>GBP!C1023/1</f>
        <v>1.5488</v>
      </c>
      <c r="J1023" s="4">
        <f>1/INR!B1023</f>
        <v>1.6473107651758506E-2</v>
      </c>
      <c r="K1023" s="4">
        <f>1/INR!C1023</f>
        <v>1.6320535313558284E-2</v>
      </c>
      <c r="L1023" s="4">
        <f>1/JPY!B1023</f>
        <v>1.0368679123597766E-2</v>
      </c>
      <c r="M1023" s="4">
        <f>1/JPY!C1023</f>
        <v>1.037037805213189E-2</v>
      </c>
      <c r="N1023" s="5">
        <f>1/KRW!B1023</f>
        <v>8.9814981138853958E-4</v>
      </c>
      <c r="O1023" s="5">
        <f>1/KRW!C1023</f>
        <v>8.9812778975331394E-4</v>
      </c>
      <c r="P1023" s="3">
        <f>1/NOK!B1023</f>
        <v>0.1702127659574468</v>
      </c>
      <c r="Q1023" s="3">
        <f>1/NOK!C1023</f>
        <v>0.16999575010624735</v>
      </c>
      <c r="R1023" s="3">
        <f>NZD!B1023/1</f>
        <v>0.80369999999999997</v>
      </c>
      <c r="S1023" s="3">
        <f>NZD!C1023/1</f>
        <v>0.80189999999999995</v>
      </c>
      <c r="T1023" s="4">
        <f>1/PHP!B1023</f>
        <v>2.2904260192395786E-2</v>
      </c>
      <c r="U1023" s="4">
        <f>1/PHP!C1023</f>
        <v>2.2901637467078895E-2</v>
      </c>
      <c r="V1023" s="4">
        <f>1/TWD!B1023</f>
        <v>3.3368370121961394E-2</v>
      </c>
      <c r="W1023" s="4">
        <f>1/TWD!C1023</f>
        <v>3.3368481467145397E-2</v>
      </c>
      <c r="X1023" s="4">
        <f>1/TWD!B1023</f>
        <v>3.3368370121961394E-2</v>
      </c>
      <c r="Y1023" s="4">
        <f>1/TWD!C1023</f>
        <v>3.3368481467145397E-2</v>
      </c>
      <c r="Z1023" s="4">
        <f>1/ZAR!B1023</f>
        <v>0.1018962899560827</v>
      </c>
      <c r="AA1023" s="4">
        <f>1/ZAR!C1023</f>
        <v>0.1014425125281503</v>
      </c>
    </row>
    <row r="1024" spans="1:27" x14ac:dyDescent="0.25">
      <c r="A1024" t="str">
        <f>"13/08/2013"</f>
        <v>13/08/2013</v>
      </c>
      <c r="B1024" s="3">
        <f>AUD!B1024</f>
        <v>0.91300000000000003</v>
      </c>
      <c r="C1024" s="3">
        <f>AUD!C1024</f>
        <v>0.91110000000000002</v>
      </c>
      <c r="D1024" s="3">
        <f>1/CAD!B1024</f>
        <v>0.97021441738624237</v>
      </c>
      <c r="E1024" s="3">
        <f>1/CAD!C1024</f>
        <v>0.96936797208220238</v>
      </c>
      <c r="F1024" s="3">
        <f>EUR!B1024/1</f>
        <v>1.3309</v>
      </c>
      <c r="G1024" s="3">
        <f>EUR!C1024/1</f>
        <v>1.3310999999999999</v>
      </c>
      <c r="H1024" s="3">
        <f>GBP!B1024/1</f>
        <v>1.5463</v>
      </c>
      <c r="I1024" s="3">
        <f>GBP!C1024/1</f>
        <v>1.5459000000000001</v>
      </c>
      <c r="J1024" s="4">
        <f>1/INR!B1024</f>
        <v>1.6217969510217322E-2</v>
      </c>
      <c r="K1024" s="4">
        <f>1/INR!C1024</f>
        <v>1.6079755587715069E-2</v>
      </c>
      <c r="L1024" s="4">
        <f>1/JPY!B1024</f>
        <v>1.0281983394596819E-2</v>
      </c>
      <c r="M1024" s="4">
        <f>1/JPY!C1024</f>
        <v>1.0283558851778953E-2</v>
      </c>
      <c r="N1024" s="5">
        <f>1/KRW!B1024</f>
        <v>8.9617780167585261E-4</v>
      </c>
      <c r="O1024" s="5">
        <f>1/KRW!C1024</f>
        <v>8.9615419013918524E-4</v>
      </c>
      <c r="P1024" s="3">
        <f>1/NOK!B1024</f>
        <v>0.17032873445750296</v>
      </c>
      <c r="Q1024" s="3">
        <f>1/NOK!C1024</f>
        <v>0.1701172107582124</v>
      </c>
      <c r="R1024" s="3">
        <f>NZD!B1024/1</f>
        <v>0.79930000000000001</v>
      </c>
      <c r="S1024" s="3">
        <f>NZD!C1024/1</f>
        <v>0.79749999999999999</v>
      </c>
      <c r="T1024" s="4">
        <f>1/PHP!B1024</f>
        <v>2.2872827081427266E-2</v>
      </c>
      <c r="U1024" s="4">
        <f>1/PHP!C1024</f>
        <v>2.2870839222574435E-2</v>
      </c>
      <c r="V1024" s="4">
        <f>1/TWD!B1024</f>
        <v>3.3355570380253503E-2</v>
      </c>
      <c r="W1024" s="4">
        <f>1/TWD!C1024</f>
        <v>3.3355681640032157E-2</v>
      </c>
      <c r="X1024" s="4">
        <f>1/TWD!B1024</f>
        <v>3.3355570380253503E-2</v>
      </c>
      <c r="Y1024" s="4">
        <f>1/TWD!C1024</f>
        <v>3.3355681640032157E-2</v>
      </c>
      <c r="Z1024" s="4">
        <f>1/ZAR!B1024</f>
        <v>0.10113882314865384</v>
      </c>
      <c r="AA1024" s="4">
        <f>1/ZAR!C1024</f>
        <v>0.10066235831773067</v>
      </c>
    </row>
    <row r="1025" spans="1:27" x14ac:dyDescent="0.25">
      <c r="A1025" t="str">
        <f>"14/08/2013"</f>
        <v>14/08/2013</v>
      </c>
      <c r="B1025" s="3">
        <f>AUD!B1025</f>
        <v>0.90990000000000004</v>
      </c>
      <c r="C1025" s="3">
        <f>AUD!C1025</f>
        <v>0.90800000000000003</v>
      </c>
      <c r="D1025" s="3">
        <f>1/CAD!B1025</f>
        <v>0.96618357487922713</v>
      </c>
      <c r="E1025" s="3">
        <f>1/CAD!C1025</f>
        <v>0.9654373431164317</v>
      </c>
      <c r="F1025" s="3">
        <f>EUR!B1025/1</f>
        <v>1.3263</v>
      </c>
      <c r="G1025" s="3">
        <f>EUR!C1025/1</f>
        <v>1.3264</v>
      </c>
      <c r="H1025" s="3">
        <f>GBP!B1025/1</f>
        <v>1.5445</v>
      </c>
      <c r="I1025" s="3">
        <f>GBP!C1025/1</f>
        <v>1.5441</v>
      </c>
      <c r="J1025" s="4">
        <f>1/INR!B1025</f>
        <v>1.626280696048138E-2</v>
      </c>
      <c r="K1025" s="4">
        <f>1/INR!C1025</f>
        <v>1.6123831022250887E-2</v>
      </c>
      <c r="L1025" s="4">
        <f>1/JPY!B1025</f>
        <v>1.0206893736029314E-2</v>
      </c>
      <c r="M1025" s="4">
        <f>1/JPY!C1025</f>
        <v>1.0208321210951896E-2</v>
      </c>
      <c r="N1025" s="5">
        <f>1/KRW!B1025</f>
        <v>8.9353527230487417E-4</v>
      </c>
      <c r="O1025" s="5">
        <f>1/KRW!C1025</f>
        <v>8.9351531261866999E-4</v>
      </c>
      <c r="P1025" s="3">
        <f>1/NOK!B1025</f>
        <v>0.16960363630196232</v>
      </c>
      <c r="Q1025" s="3">
        <f>1/NOK!C1025</f>
        <v>0.16939677807328105</v>
      </c>
      <c r="R1025" s="3">
        <f>NZD!B1025/1</f>
        <v>0.79800000000000004</v>
      </c>
      <c r="S1025" s="3">
        <f>NZD!C1025/1</f>
        <v>0.79620000000000002</v>
      </c>
      <c r="T1025" s="4">
        <f>1/PHP!B1025</f>
        <v>2.2821931876533346E-2</v>
      </c>
      <c r="U1025" s="4">
        <f>1/PHP!C1025</f>
        <v>2.2819171755341969E-2</v>
      </c>
      <c r="V1025" s="4">
        <f>1/TWD!B1025</f>
        <v>3.3335555703713576E-2</v>
      </c>
      <c r="W1025" s="4">
        <f>1/TWD!C1025</f>
        <v>3.3335666830011434E-2</v>
      </c>
      <c r="X1025" s="4">
        <f>1/TWD!B1025</f>
        <v>3.3335555703713576E-2</v>
      </c>
      <c r="Y1025" s="4">
        <f>1/TWD!C1025</f>
        <v>3.3335666830011434E-2</v>
      </c>
      <c r="Z1025" s="4">
        <f>1/ZAR!B1025</f>
        <v>0.1001081167661074</v>
      </c>
      <c r="AA1025" s="4">
        <f>1/ZAR!C1025</f>
        <v>9.9655193032108916E-2</v>
      </c>
    </row>
    <row r="1026" spans="1:27" x14ac:dyDescent="0.25">
      <c r="A1026" t="str">
        <f>"16/08/2013"</f>
        <v>16/08/2013</v>
      </c>
      <c r="B1026" s="3">
        <f>AUD!B1026</f>
        <v>0.91669999999999996</v>
      </c>
      <c r="C1026" s="3">
        <f>AUD!C1026</f>
        <v>0.91479999999999995</v>
      </c>
      <c r="D1026" s="3">
        <f>1/CAD!B1026</f>
        <v>0.97021441738624237</v>
      </c>
      <c r="E1026" s="3">
        <f>1/CAD!C1026</f>
        <v>0.96946194861851664</v>
      </c>
      <c r="F1026" s="3">
        <f>EUR!B1026/1</f>
        <v>1.3342000000000001</v>
      </c>
      <c r="G1026" s="3">
        <f>EUR!C1026/1</f>
        <v>1.3343</v>
      </c>
      <c r="H1026" s="3">
        <f>GBP!B1026/1</f>
        <v>1.5628</v>
      </c>
      <c r="I1026" s="3">
        <f>GBP!C1026/1</f>
        <v>1.5624</v>
      </c>
      <c r="J1026" s="4">
        <f>1/INR!B1026</f>
        <v>1.6215339711366954E-2</v>
      </c>
      <c r="K1026" s="4">
        <f>1/INR!C1026</f>
        <v>1.6076524255455971E-2</v>
      </c>
      <c r="L1026" s="4">
        <f>1/JPY!B1026</f>
        <v>1.0245481742551535E-2</v>
      </c>
      <c r="M1026" s="4">
        <f>1/JPY!C1026</f>
        <v>1.0246993532097681E-2</v>
      </c>
      <c r="N1026" s="5">
        <f>1/KRW!B1026</f>
        <v>8.9678055779750698E-4</v>
      </c>
      <c r="O1026" s="5">
        <f>1/KRW!C1026</f>
        <v>8.9676125704405969E-4</v>
      </c>
      <c r="P1026" s="3">
        <f>1/NOK!B1026</f>
        <v>0.16901027582477013</v>
      </c>
      <c r="Q1026" s="3">
        <f>1/NOK!C1026</f>
        <v>0.16880771113624471</v>
      </c>
      <c r="R1026" s="3">
        <f>NZD!B1026/1</f>
        <v>0.80730000000000002</v>
      </c>
      <c r="S1026" s="3">
        <f>NZD!C1026/1</f>
        <v>0.80559999999999998</v>
      </c>
      <c r="T1026" s="4">
        <f>1/PHP!B1026</f>
        <v>2.2831050228310504E-2</v>
      </c>
      <c r="U1026" s="4">
        <f>1/PHP!C1026</f>
        <v>2.2828131563087824E-2</v>
      </c>
      <c r="V1026" s="4">
        <f>1/TWD!B1026</f>
        <v>3.3397902611715984E-2</v>
      </c>
      <c r="W1026" s="4">
        <f>1/TWD!C1026</f>
        <v>3.33980141540784E-2</v>
      </c>
      <c r="X1026" s="4">
        <f>1/TWD!B1026</f>
        <v>3.3397902611715984E-2</v>
      </c>
      <c r="Y1026" s="4">
        <f>1/TWD!C1026</f>
        <v>3.33980141540784E-2</v>
      </c>
      <c r="Z1026" s="4">
        <f>1/ZAR!B1026</f>
        <v>0.10019538099293623</v>
      </c>
      <c r="AA1026" s="4">
        <f>1/ZAR!C1026</f>
        <v>9.9749628432634088E-2</v>
      </c>
    </row>
    <row r="1027" spans="1:27" x14ac:dyDescent="0.25">
      <c r="A1027" t="str">
        <f>"19/08/2013"</f>
        <v>19/08/2013</v>
      </c>
      <c r="B1027" s="3">
        <f>AUD!B1027</f>
        <v>0.9214</v>
      </c>
      <c r="C1027" s="3">
        <f>AUD!C1027</f>
        <v>0.9194</v>
      </c>
      <c r="D1027" s="3">
        <f>1/CAD!B1027</f>
        <v>0.96786682152535819</v>
      </c>
      <c r="E1027" s="3">
        <f>1/CAD!C1027</f>
        <v>0.96711798839458407</v>
      </c>
      <c r="F1027" s="3">
        <f>EUR!B1027/1</f>
        <v>1.3324</v>
      </c>
      <c r="G1027" s="3">
        <f>EUR!C1027/1</f>
        <v>1.3325</v>
      </c>
      <c r="H1027" s="3">
        <f>GBP!B1027/1</f>
        <v>1.5623</v>
      </c>
      <c r="I1027" s="3">
        <f>GBP!C1027/1</f>
        <v>1.5619000000000001</v>
      </c>
      <c r="J1027" s="4">
        <f>1/INR!B1027</f>
        <v>1.6046213093709884E-2</v>
      </c>
      <c r="K1027" s="4">
        <f>1/INR!C1027</f>
        <v>1.5908367801463569E-2</v>
      </c>
      <c r="L1027" s="4">
        <f>1/JPY!B1027</f>
        <v>1.0244484625589698E-2</v>
      </c>
      <c r="M1027" s="4">
        <f>1/JPY!C1027</f>
        <v>1.0246143095585244E-2</v>
      </c>
      <c r="N1027" s="5">
        <f>1/KRW!B1027</f>
        <v>8.9645898700134474E-4</v>
      </c>
      <c r="O1027" s="5">
        <f>1/KRW!C1027</f>
        <v>8.9643431597176122E-4</v>
      </c>
      <c r="P1027" s="3">
        <f>1/NOK!B1027</f>
        <v>0.16895316618233425</v>
      </c>
      <c r="Q1027" s="3">
        <f>1/NOK!C1027</f>
        <v>0.16873650107991361</v>
      </c>
      <c r="R1027" s="3">
        <f>NZD!B1027/1</f>
        <v>0.81189999999999996</v>
      </c>
      <c r="S1027" s="3">
        <f>NZD!C1027/1</f>
        <v>0.81010000000000004</v>
      </c>
      <c r="T1027" s="4">
        <f>1/PHP!B1027</f>
        <v>2.2883295194508008E-2</v>
      </c>
      <c r="U1027" s="4">
        <f>1/PHP!C1027</f>
        <v>2.2885913720105275E-2</v>
      </c>
      <c r="V1027" s="4">
        <f>1/TWD!B1027</f>
        <v>3.3357795716859026E-2</v>
      </c>
      <c r="W1027" s="4">
        <f>1/TWD!C1027</f>
        <v>3.3357906991483721E-2</v>
      </c>
      <c r="X1027" s="4">
        <f>1/TWD!B1027</f>
        <v>3.3357795716859026E-2</v>
      </c>
      <c r="Y1027" s="4">
        <f>1/TWD!C1027</f>
        <v>3.3357906991483721E-2</v>
      </c>
      <c r="Z1027" s="4">
        <f>1/ZAR!B1027</f>
        <v>9.9029510794216666E-2</v>
      </c>
      <c r="AA1027" s="4">
        <f>1/ZAR!C1027</f>
        <v>9.859210474425209E-2</v>
      </c>
    </row>
    <row r="1028" spans="1:27" x14ac:dyDescent="0.25">
      <c r="A1028" t="str">
        <f>"20/08/2013"</f>
        <v>20/08/2013</v>
      </c>
      <c r="B1028" s="3">
        <f>AUD!B1028</f>
        <v>0.90539999999999998</v>
      </c>
      <c r="C1028" s="3">
        <f>AUD!C1028</f>
        <v>0.90339999999999998</v>
      </c>
      <c r="D1028" s="3">
        <f>1/CAD!B1028</f>
        <v>0.9640412609659692</v>
      </c>
      <c r="E1028" s="3">
        <f>1/CAD!C1028</f>
        <v>0.96329833349388305</v>
      </c>
      <c r="F1028" s="3">
        <f>EUR!B1028/1</f>
        <v>1.3347</v>
      </c>
      <c r="G1028" s="3">
        <f>EUR!C1028/1</f>
        <v>1.3348</v>
      </c>
      <c r="H1028" s="3">
        <f>GBP!B1028/1</f>
        <v>1.5641</v>
      </c>
      <c r="I1028" s="3">
        <f>GBP!C1028/1</f>
        <v>1.5637000000000001</v>
      </c>
      <c r="J1028" s="4">
        <f>1/INR!B1028</f>
        <v>1.5654351909830933E-2</v>
      </c>
      <c r="K1028" s="4">
        <f>1/INR!C1028</f>
        <v>1.5509887553315239E-2</v>
      </c>
      <c r="L1028" s="4">
        <f>1/JPY!B1028</f>
        <v>1.0246899032180385E-2</v>
      </c>
      <c r="M1028" s="4">
        <f>1/JPY!C1028</f>
        <v>1.0248526774276198E-2</v>
      </c>
      <c r="N1028" s="5">
        <f>1/KRW!B1028</f>
        <v>8.9031339031339033E-4</v>
      </c>
      <c r="O1028" s="5">
        <f>1/KRW!C1028</f>
        <v>8.9029436692948162E-4</v>
      </c>
      <c r="P1028" s="3">
        <f>1/NOK!B1028</f>
        <v>0.16879061524179256</v>
      </c>
      <c r="Q1028" s="3">
        <f>1/NOK!C1028</f>
        <v>0.16858005023685499</v>
      </c>
      <c r="R1028" s="3">
        <f>NZD!B1028/1</f>
        <v>0.7984</v>
      </c>
      <c r="S1028" s="3">
        <f>NZD!C1028/1</f>
        <v>0.79659999999999997</v>
      </c>
      <c r="T1028" s="4">
        <f>1/PHP!B1028</f>
        <v>2.273760800363802E-2</v>
      </c>
      <c r="U1028" s="4">
        <f>1/PHP!C1028</f>
        <v>2.2740193291642979E-2</v>
      </c>
      <c r="V1028" s="4">
        <f>1/TWD!B1028</f>
        <v>3.3338889814969158E-2</v>
      </c>
      <c r="W1028" s="4">
        <f>1/TWD!C1028</f>
        <v>3.333900096349713E-2</v>
      </c>
      <c r="X1028" s="4">
        <f>1/TWD!B1028</f>
        <v>3.3338889814969158E-2</v>
      </c>
      <c r="Y1028" s="4">
        <f>1/TWD!C1028</f>
        <v>3.333900096349713E-2</v>
      </c>
      <c r="Z1028" s="4">
        <f>1/ZAR!B1028</f>
        <v>9.7853102921893656E-2</v>
      </c>
      <c r="AA1028" s="4">
        <f>1/ZAR!C1028</f>
        <v>9.7390897846687252E-2</v>
      </c>
    </row>
    <row r="1029" spans="1:27" x14ac:dyDescent="0.25">
      <c r="A1029" t="str">
        <f>"21/08/2013"</f>
        <v>21/08/2013</v>
      </c>
      <c r="B1029" s="3">
        <f>AUD!B1029</f>
        <v>0.90329999999999999</v>
      </c>
      <c r="C1029" s="3">
        <f>AUD!C1029</f>
        <v>0.90149999999999997</v>
      </c>
      <c r="D1029" s="3">
        <f>1/CAD!B1029</f>
        <v>0.95941667466180558</v>
      </c>
      <c r="E1029" s="3">
        <f>1/CAD!C1029</f>
        <v>0.95868085514332291</v>
      </c>
      <c r="F1029" s="3">
        <f>EUR!B1029/1</f>
        <v>1.3422000000000001</v>
      </c>
      <c r="G1029" s="3">
        <f>EUR!C1029/1</f>
        <v>1.3424</v>
      </c>
      <c r="H1029" s="3">
        <f>GBP!B1029/1</f>
        <v>1.5668</v>
      </c>
      <c r="I1029" s="3">
        <f>GBP!C1029/1</f>
        <v>1.5664</v>
      </c>
      <c r="J1029" s="4">
        <f>1/INR!B1029</f>
        <v>1.5782828282828284E-2</v>
      </c>
      <c r="K1029" s="4">
        <f>1/INR!C1029</f>
        <v>1.5642720269054788E-2</v>
      </c>
      <c r="L1029" s="4">
        <f>1/JPY!B1029</f>
        <v>1.0276383329650963E-2</v>
      </c>
      <c r="M1029" s="4">
        <f>1/JPY!C1029</f>
        <v>1.0277851435713067E-2</v>
      </c>
      <c r="N1029" s="5">
        <f>1/KRW!B1029</f>
        <v>8.937349182232549E-4</v>
      </c>
      <c r="O1029" s="5">
        <f>1/KRW!C1029</f>
        <v>8.9371550872565742E-4</v>
      </c>
      <c r="P1029" s="3">
        <f>1/NOK!B1029</f>
        <v>0.16779649640915498</v>
      </c>
      <c r="Q1029" s="3">
        <f>1/NOK!C1029</f>
        <v>0.16759402024535763</v>
      </c>
      <c r="R1029" s="3">
        <f>NZD!B1029/1</f>
        <v>0.79349999999999998</v>
      </c>
      <c r="S1029" s="3">
        <f>NZD!C1029/1</f>
        <v>0.79179999999999995</v>
      </c>
      <c r="T1029" s="4">
        <f>1/PHP!B1029</f>
        <v>2.2753128555176336E-2</v>
      </c>
      <c r="U1029" s="4">
        <f>1/PHP!C1029</f>
        <v>2.2755717373990215E-2</v>
      </c>
      <c r="V1029" s="4">
        <f>1/TWD!B1029</f>
        <v>3.3360577805207584E-2</v>
      </c>
      <c r="W1029" s="4">
        <f>1/TWD!C1029</f>
        <v>3.3360577805207584E-2</v>
      </c>
      <c r="X1029" s="4">
        <f>1/TWD!B1029</f>
        <v>3.3360577805207584E-2</v>
      </c>
      <c r="Y1029" s="4">
        <f>1/TWD!C1029</f>
        <v>3.3360577805207584E-2</v>
      </c>
      <c r="Z1029" s="4">
        <f>1/ZAR!B1029</f>
        <v>9.8429072010709093E-2</v>
      </c>
      <c r="AA1029" s="4">
        <f>1/ZAR!C1029</f>
        <v>9.7971020172233053E-2</v>
      </c>
    </row>
    <row r="1030" spans="1:27" x14ac:dyDescent="0.25">
      <c r="A1030" t="str">
        <f>"22/08/2013"</f>
        <v>22/08/2013</v>
      </c>
      <c r="B1030" s="3">
        <f>AUD!B1030</f>
        <v>0.89839999999999998</v>
      </c>
      <c r="C1030" s="3">
        <f>AUD!C1030</f>
        <v>0.89659999999999995</v>
      </c>
      <c r="D1030" s="3">
        <f>1/CAD!B1030</f>
        <v>0.95283468318246778</v>
      </c>
      <c r="E1030" s="3">
        <f>1/CAD!C1030</f>
        <v>0.95210892126059221</v>
      </c>
      <c r="F1030" s="3">
        <f>EUR!B1030/1</f>
        <v>1.3338000000000001</v>
      </c>
      <c r="G1030" s="3">
        <f>EUR!C1030/1</f>
        <v>1.3340000000000001</v>
      </c>
      <c r="H1030" s="3">
        <f>GBP!B1030/1</f>
        <v>1.5602</v>
      </c>
      <c r="I1030" s="3">
        <f>GBP!C1030/1</f>
        <v>1.5598000000000001</v>
      </c>
      <c r="J1030" s="4">
        <f>1/INR!B1030</f>
        <v>1.5446400988569664E-2</v>
      </c>
      <c r="K1030" s="4">
        <f>1/INR!C1030</f>
        <v>1.5316281206922957E-2</v>
      </c>
      <c r="L1030" s="4">
        <f>1/JPY!B1030</f>
        <v>1.0186203805565742E-2</v>
      </c>
      <c r="M1030" s="4">
        <f>1/JPY!C1030</f>
        <v>1.0187604741311246E-2</v>
      </c>
      <c r="N1030" s="5">
        <f>1/KRW!B1030</f>
        <v>8.9063056644104034E-4</v>
      </c>
      <c r="O1030" s="5">
        <f>1/KRW!C1030</f>
        <v>8.9061152950061623E-4</v>
      </c>
      <c r="P1030" s="3">
        <f>1/NOK!B1030</f>
        <v>0.16443041304919759</v>
      </c>
      <c r="Q1030" s="3">
        <f>1/NOK!C1030</f>
        <v>0.1642278826099095</v>
      </c>
      <c r="R1030" s="3">
        <f>NZD!B1030/1</f>
        <v>0.78300000000000003</v>
      </c>
      <c r="S1030" s="3">
        <f>NZD!C1030/1</f>
        <v>0.78129999999999999</v>
      </c>
      <c r="T1030" s="4">
        <f>1/PHP!B1030</f>
        <v>2.2650056625141565E-2</v>
      </c>
      <c r="U1030" s="4">
        <f>1/PHP!C1030</f>
        <v>2.2648004710784979E-2</v>
      </c>
      <c r="V1030" s="4">
        <f>1/TWD!B1030</f>
        <v>3.3327778703549409E-2</v>
      </c>
      <c r="W1030" s="4">
        <f>1/TWD!C1030</f>
        <v>3.3327889778002925E-2</v>
      </c>
      <c r="X1030" s="4">
        <f>1/TWD!B1030</f>
        <v>3.3327778703549409E-2</v>
      </c>
      <c r="Y1030" s="4">
        <f>1/TWD!C1030</f>
        <v>3.3327889778002925E-2</v>
      </c>
      <c r="Z1030" s="4">
        <f>1/ZAR!B1030</f>
        <v>9.6242685555897753E-2</v>
      </c>
      <c r="AA1030" s="4">
        <f>1/ZAR!C1030</f>
        <v>9.5811137086574932E-2</v>
      </c>
    </row>
    <row r="1031" spans="1:27" x14ac:dyDescent="0.25">
      <c r="A1031" t="str">
        <f>"23/08/2013"</f>
        <v>23/08/2013</v>
      </c>
      <c r="B1031" s="3">
        <f>AUD!B1031</f>
        <v>0.90210000000000001</v>
      </c>
      <c r="C1031" s="3">
        <f>AUD!C1031</f>
        <v>0.9002</v>
      </c>
      <c r="D1031" s="3">
        <f>1/CAD!B1031</f>
        <v>0.94876660341555974</v>
      </c>
      <c r="E1031" s="3">
        <f>1/CAD!C1031</f>
        <v>0.94804702313234746</v>
      </c>
      <c r="F1031" s="3">
        <f>EUR!B1031/1</f>
        <v>1.3346</v>
      </c>
      <c r="G1031" s="3">
        <f>EUR!C1031/1</f>
        <v>1.3347</v>
      </c>
      <c r="H1031" s="3">
        <f>GBP!B1031/1</f>
        <v>1.5584</v>
      </c>
      <c r="I1031" s="3">
        <f>GBP!C1031/1</f>
        <v>1.5580000000000001</v>
      </c>
      <c r="J1031" s="4">
        <f>1/INR!B1031</f>
        <v>1.5502674211301451E-2</v>
      </c>
      <c r="K1031" s="4">
        <f>1/INR!C1031</f>
        <v>1.537042729787888E-2</v>
      </c>
      <c r="L1031" s="4">
        <f>1/JPY!B1031</f>
        <v>1.0095503462757687E-2</v>
      </c>
      <c r="M1031" s="4">
        <f>1/JPY!C1031</f>
        <v>1.0096930533117932E-2</v>
      </c>
      <c r="N1031" s="5">
        <f>1/KRW!B1031</f>
        <v>8.9533530307099997E-4</v>
      </c>
      <c r="O1031" s="5">
        <f>1/KRW!C1031</f>
        <v>8.9531646527268871E-4</v>
      </c>
      <c r="P1031" s="3">
        <f>1/NOK!B1031</f>
        <v>0.16381089670084856</v>
      </c>
      <c r="Q1031" s="3">
        <f>1/NOK!C1031</f>
        <v>0.16361256544502617</v>
      </c>
      <c r="R1031" s="3">
        <f>NZD!B1031/1</f>
        <v>0.78320000000000001</v>
      </c>
      <c r="S1031" s="3">
        <f>NZD!C1031/1</f>
        <v>0.78159999999999996</v>
      </c>
      <c r="T1031" s="4">
        <f>1/PHP!B1031</f>
        <v>2.2624434389140271E-2</v>
      </c>
      <c r="U1031" s="4">
        <f>1/PHP!C1031</f>
        <v>2.2619009920697753E-2</v>
      </c>
      <c r="V1031" s="4">
        <f>1/TWD!B1031</f>
        <v>3.3355570380253503E-2</v>
      </c>
      <c r="W1031" s="4">
        <f>1/TWD!C1031</f>
        <v>3.3355681640032157E-2</v>
      </c>
      <c r="X1031" s="4">
        <f>1/TWD!B1031</f>
        <v>3.3355570380253503E-2</v>
      </c>
      <c r="Y1031" s="4">
        <f>1/TWD!C1031</f>
        <v>3.3355681640032157E-2</v>
      </c>
      <c r="Z1031" s="4">
        <f>1/ZAR!B1031</f>
        <v>9.7369087262175996E-2</v>
      </c>
      <c r="AA1031" s="4">
        <f>1/ZAR!C1031</f>
        <v>9.6910493468232745E-2</v>
      </c>
    </row>
    <row r="1032" spans="1:27" x14ac:dyDescent="0.25">
      <c r="A1032" t="str">
        <f>"26/08/2013"</f>
        <v>26/08/2013</v>
      </c>
      <c r="B1032" s="3">
        <f>AUD!B1032</f>
        <v>0.90369999999999995</v>
      </c>
      <c r="C1032" s="3">
        <f>AUD!C1032</f>
        <v>0.90180000000000005</v>
      </c>
      <c r="D1032" s="3">
        <f>1/CAD!B1032</f>
        <v>0.95210892126059221</v>
      </c>
      <c r="E1032" s="3">
        <f>1/CAD!C1032</f>
        <v>0.95138426410427179</v>
      </c>
      <c r="F1032" s="3">
        <f>EUR!B1032/1</f>
        <v>1.3379000000000001</v>
      </c>
      <c r="G1032" s="3">
        <f>EUR!C1032/1</f>
        <v>1.3380000000000001</v>
      </c>
      <c r="H1032" s="3">
        <f>GBP!B1032/1</f>
        <v>1.5565</v>
      </c>
      <c r="I1032" s="3">
        <f>GBP!C1032/1</f>
        <v>1.5561</v>
      </c>
      <c r="J1032" s="4">
        <f>1/INR!B1032</f>
        <v>1.5617679212868968E-2</v>
      </c>
      <c r="K1032" s="4">
        <f>1/INR!C1032</f>
        <v>1.5472690700912889E-2</v>
      </c>
      <c r="L1032" s="4">
        <f>1/JPY!B1032</f>
        <v>1.0131476166208894E-2</v>
      </c>
      <c r="M1032" s="4">
        <f>1/JPY!C1032</f>
        <v>1.0133036638020572E-2</v>
      </c>
      <c r="N1032" s="5">
        <f>1/KRW!B1032</f>
        <v>8.9821031594547864E-4</v>
      </c>
      <c r="O1032" s="5">
        <f>1/KRW!C1032</f>
        <v>8.9818901741175333E-4</v>
      </c>
      <c r="P1032" s="3">
        <f>1/NOK!B1032</f>
        <v>0.1661847309469206</v>
      </c>
      <c r="Q1032" s="3">
        <f>1/NOK!C1032</f>
        <v>0.1659723490066555</v>
      </c>
      <c r="R1032" s="3">
        <f>NZD!B1032/1</f>
        <v>0.78200000000000003</v>
      </c>
      <c r="S1032" s="3">
        <f>NZD!C1032/1</f>
        <v>0.7802</v>
      </c>
      <c r="T1032" s="4">
        <f>1/PHP!B1032</f>
        <v>2.2609088853719195E-2</v>
      </c>
      <c r="U1032" s="4">
        <f>1/PHP!C1032</f>
        <v>2.2614201718679332E-2</v>
      </c>
      <c r="V1032" s="4">
        <f>1/TWD!B1032</f>
        <v>3.3366700033366704E-2</v>
      </c>
      <c r="W1032" s="4">
        <f>1/TWD!C1032</f>
        <v>3.3366811367405297E-2</v>
      </c>
      <c r="X1032" s="4">
        <f>1/TWD!B1032</f>
        <v>3.3366700033366704E-2</v>
      </c>
      <c r="Y1032" s="4">
        <f>1/TWD!C1032</f>
        <v>3.3366811367405297E-2</v>
      </c>
      <c r="Z1032" s="4">
        <f>1/ZAR!B1032</f>
        <v>9.7630507581008927E-2</v>
      </c>
      <c r="AA1032" s="4">
        <f>1/ZAR!C1032</f>
        <v>9.7167565466647246E-2</v>
      </c>
    </row>
    <row r="1033" spans="1:27" x14ac:dyDescent="0.25">
      <c r="A1033" t="str">
        <f>"27/08/2013"</f>
        <v>27/08/2013</v>
      </c>
      <c r="B1033" s="3">
        <f>AUD!B1033</f>
        <v>0.89870000000000005</v>
      </c>
      <c r="C1033" s="3">
        <f>AUD!C1033</f>
        <v>0.89680000000000004</v>
      </c>
      <c r="D1033" s="3">
        <f>1/CAD!B1033</f>
        <v>0.95111280197831471</v>
      </c>
      <c r="E1033" s="3">
        <f>1/CAD!C1033</f>
        <v>0.95029934429345242</v>
      </c>
      <c r="F1033" s="3">
        <f>EUR!B1033/1</f>
        <v>1.3374999999999999</v>
      </c>
      <c r="G1033" s="3">
        <f>EUR!C1033/1</f>
        <v>1.3375999999999999</v>
      </c>
      <c r="H1033" s="3">
        <f>GBP!B1033/1</f>
        <v>1.5570999999999999</v>
      </c>
      <c r="I1033" s="3">
        <f>GBP!C1033/1</f>
        <v>1.5567</v>
      </c>
      <c r="J1033" s="4">
        <f>1/INR!B1033</f>
        <v>1.5316281206922957E-2</v>
      </c>
      <c r="K1033" s="4">
        <f>1/INR!C1033</f>
        <v>1.5180265654648957E-2</v>
      </c>
      <c r="L1033" s="4">
        <f>1/JPY!B1033</f>
        <v>1.0169525998393216E-2</v>
      </c>
      <c r="M1033" s="4">
        <f>1/JPY!C1033</f>
        <v>1.0171025798806939E-2</v>
      </c>
      <c r="N1033" s="5">
        <f>1/KRW!B1033</f>
        <v>8.9617780167585261E-4</v>
      </c>
      <c r="O1033" s="5">
        <f>1/KRW!C1033</f>
        <v>8.9615852685876721E-4</v>
      </c>
      <c r="P1033" s="3">
        <f>1/NOK!B1033</f>
        <v>0.16562324025307232</v>
      </c>
      <c r="Q1033" s="3">
        <f>1/NOK!C1033</f>
        <v>0.16542323534763695</v>
      </c>
      <c r="R1033" s="3">
        <f>NZD!B1033/1</f>
        <v>0.78239999999999998</v>
      </c>
      <c r="S1033" s="3">
        <f>NZD!C1033/1</f>
        <v>0.78059999999999996</v>
      </c>
      <c r="T1033" s="4">
        <f>1/PHP!B1033</f>
        <v>2.2507314877335136E-2</v>
      </c>
      <c r="U1033" s="4">
        <f>1/PHP!C1033</f>
        <v>2.25071122474702E-2</v>
      </c>
      <c r="V1033" s="4">
        <f>1/TWD!B1033</f>
        <v>3.335334534053766E-2</v>
      </c>
      <c r="W1033" s="4">
        <f>1/TWD!C1033</f>
        <v>3.3353456585473236E-2</v>
      </c>
      <c r="X1033" s="4">
        <f>1/TWD!B1033</f>
        <v>3.335334534053766E-2</v>
      </c>
      <c r="Y1033" s="4">
        <f>1/TWD!C1033</f>
        <v>3.3353456585473236E-2</v>
      </c>
      <c r="Z1033" s="4">
        <f>1/ZAR!B1033</f>
        <v>9.6472018291094669E-2</v>
      </c>
      <c r="AA1033" s="4">
        <f>1/ZAR!C1033</f>
        <v>9.5986792217390884E-2</v>
      </c>
    </row>
    <row r="1034" spans="1:27" x14ac:dyDescent="0.25">
      <c r="A1034" t="str">
        <f>"28/08/2013"</f>
        <v>28/08/2013</v>
      </c>
      <c r="B1034" s="3">
        <f>AUD!B1034</f>
        <v>0.89129999999999998</v>
      </c>
      <c r="C1034" s="3">
        <f>AUD!C1034</f>
        <v>0.88949999999999996</v>
      </c>
      <c r="D1034" s="3">
        <f>1/CAD!B1034</f>
        <v>0.95319797922028415</v>
      </c>
      <c r="E1034" s="3">
        <f>1/CAD!C1034</f>
        <v>0.95238095238095233</v>
      </c>
      <c r="F1034" s="3">
        <f>EUR!B1034/1</f>
        <v>1.3383</v>
      </c>
      <c r="G1034" s="3">
        <f>EUR!C1034/1</f>
        <v>1.3384</v>
      </c>
      <c r="H1034" s="3">
        <f>GBP!B1034/1</f>
        <v>1.5529999999999999</v>
      </c>
      <c r="I1034" s="3">
        <f>GBP!C1034/1</f>
        <v>1.5526</v>
      </c>
      <c r="J1034" s="4">
        <f>1/INR!B1034</f>
        <v>1.4742739200943536E-2</v>
      </c>
      <c r="K1034" s="4">
        <f>1/INR!C1034</f>
        <v>1.4615609470914937E-2</v>
      </c>
      <c r="L1034" s="4">
        <f>1/JPY!B1034</f>
        <v>1.0291242152927859E-2</v>
      </c>
      <c r="M1034" s="4">
        <f>1/JPY!C1034</f>
        <v>1.0292799260565302E-2</v>
      </c>
      <c r="N1034" s="5">
        <f>1/KRW!B1034</f>
        <v>8.9461442118446953E-4</v>
      </c>
      <c r="O1034" s="5">
        <f>1/KRW!C1034</f>
        <v>8.9459273263280169E-4</v>
      </c>
      <c r="P1034" s="3">
        <f>1/NOK!B1034</f>
        <v>0.16622064127923405</v>
      </c>
      <c r="Q1034" s="3">
        <f>1/NOK!C1034</f>
        <v>0.16602470447602602</v>
      </c>
      <c r="R1034" s="3">
        <f>NZD!B1034/1</f>
        <v>0.77690000000000003</v>
      </c>
      <c r="S1034" s="3">
        <f>NZD!C1034/1</f>
        <v>0.7752</v>
      </c>
      <c r="T1034" s="4">
        <f>1/PHP!B1034</f>
        <v>2.23463687150838E-2</v>
      </c>
      <c r="U1034" s="4">
        <f>1/PHP!C1034</f>
        <v>2.2339579479755876E-2</v>
      </c>
      <c r="V1034" s="4">
        <f>1/TWD!B1034</f>
        <v>3.3314455142086155E-2</v>
      </c>
      <c r="W1034" s="4">
        <f>1/TWD!C1034</f>
        <v>3.3314566127748038E-2</v>
      </c>
      <c r="X1034" s="4">
        <f>1/TWD!B1034</f>
        <v>3.3314455142086155E-2</v>
      </c>
      <c r="Y1034" s="4">
        <f>1/TWD!C1034</f>
        <v>3.3314566127748038E-2</v>
      </c>
      <c r="Z1034" s="4">
        <f>1/ZAR!B1034</f>
        <v>9.5372525082974086E-2</v>
      </c>
      <c r="AA1034" s="4">
        <f>1/ZAR!C1034</f>
        <v>9.4883862152725068E-2</v>
      </c>
    </row>
    <row r="1035" spans="1:27" x14ac:dyDescent="0.25">
      <c r="A1035" t="str">
        <f>"29/08/2013"</f>
        <v>29/08/2013</v>
      </c>
      <c r="B1035" s="3">
        <f>AUD!B1035</f>
        <v>0.89749999999999996</v>
      </c>
      <c r="C1035" s="3">
        <f>AUD!C1035</f>
        <v>0.89570000000000005</v>
      </c>
      <c r="D1035" s="3">
        <f>1/CAD!B1035</f>
        <v>0.95410743249689911</v>
      </c>
      <c r="E1035" s="3">
        <f>1/CAD!C1035</f>
        <v>0.95337973114691588</v>
      </c>
      <c r="F1035" s="3">
        <f>EUR!B1035/1</f>
        <v>1.3334999999999999</v>
      </c>
      <c r="G1035" s="3">
        <f>EUR!C1035/1</f>
        <v>1.3335999999999999</v>
      </c>
      <c r="H1035" s="3">
        <f>GBP!B1035/1</f>
        <v>1.5541</v>
      </c>
      <c r="I1035" s="3">
        <f>GBP!C1035/1</f>
        <v>1.5537000000000001</v>
      </c>
      <c r="J1035" s="4">
        <f>1/INR!B1035</f>
        <v>1.4775413711583923E-2</v>
      </c>
      <c r="K1035" s="4">
        <f>1/INR!C1035</f>
        <v>1.4648795136600015E-2</v>
      </c>
      <c r="L1035" s="4">
        <f>1/JPY!B1035</f>
        <v>1.0239659224141022E-2</v>
      </c>
      <c r="M1035" s="4">
        <f>1/JPY!C1035</f>
        <v>1.0241043439433958E-2</v>
      </c>
      <c r="N1035" s="5">
        <f>1/KRW!B1035</f>
        <v>9.0138813773210733E-4</v>
      </c>
      <c r="O1035" s="5">
        <f>1/KRW!C1035</f>
        <v>9.0136270718159839E-4</v>
      </c>
      <c r="P1035" s="3">
        <f>1/NOK!B1035</f>
        <v>0.16528379227132986</v>
      </c>
      <c r="Q1035" s="3">
        <f>1/NOK!C1035</f>
        <v>0.16509550775123408</v>
      </c>
      <c r="R1035" s="3">
        <f>NZD!B1035/1</f>
        <v>0.78349999999999997</v>
      </c>
      <c r="S1035" s="3">
        <f>NZD!C1035/1</f>
        <v>0.78190000000000004</v>
      </c>
      <c r="T1035" s="4">
        <f>1/PHP!B1035</f>
        <v>2.2436616558223019E-2</v>
      </c>
      <c r="U1035" s="4">
        <f>1/PHP!C1035</f>
        <v>2.2432288138254677E-2</v>
      </c>
      <c r="V1035" s="4">
        <f>1/TWD!B1035</f>
        <v>3.3381179690890272E-2</v>
      </c>
      <c r="W1035" s="4">
        <f>1/TWD!C1035</f>
        <v>3.3381291121577998E-2</v>
      </c>
      <c r="X1035" s="4">
        <f>1/TWD!B1035</f>
        <v>3.3381179690890272E-2</v>
      </c>
      <c r="Y1035" s="4">
        <f>1/TWD!C1035</f>
        <v>3.3381291121577998E-2</v>
      </c>
      <c r="Z1035" s="4">
        <f>1/ZAR!B1035</f>
        <v>9.7018617872769788E-2</v>
      </c>
      <c r="AA1035" s="4">
        <f>1/ZAR!C1035</f>
        <v>9.651112290691502E-2</v>
      </c>
    </row>
    <row r="1036" spans="1:27" x14ac:dyDescent="0.25">
      <c r="A1036" t="str">
        <f>"30/08/2013"</f>
        <v>30/08/2013</v>
      </c>
      <c r="B1036" s="3">
        <f>AUD!B1036</f>
        <v>0.89410000000000001</v>
      </c>
      <c r="C1036" s="3">
        <f>AUD!C1036</f>
        <v>0.89229999999999998</v>
      </c>
      <c r="D1036" s="3">
        <f>1/CAD!B1036</f>
        <v>0.94948727687049006</v>
      </c>
      <c r="E1036" s="3">
        <f>1/CAD!C1036</f>
        <v>0.94876660341555974</v>
      </c>
      <c r="F1036" s="3">
        <f>EUR!B1036/1</f>
        <v>1.3240000000000001</v>
      </c>
      <c r="G1036" s="3">
        <f>EUR!C1036/1</f>
        <v>1.3241000000000001</v>
      </c>
      <c r="H1036" s="3">
        <f>GBP!B1036/1</f>
        <v>1.5512999999999999</v>
      </c>
      <c r="I1036" s="3">
        <f>GBP!C1036/1</f>
        <v>1.5509999999999999</v>
      </c>
      <c r="J1036" s="4">
        <f>1/INR!B1036</f>
        <v>1.4843402107763099E-2</v>
      </c>
      <c r="K1036" s="4">
        <f>1/INR!C1036</f>
        <v>1.4717244931748776E-2</v>
      </c>
      <c r="L1036" s="4">
        <f>1/JPY!B1036</f>
        <v>1.017413023904119E-2</v>
      </c>
      <c r="M1036" s="4">
        <f>1/JPY!C1036</f>
        <v>1.017541396127848E-2</v>
      </c>
      <c r="N1036" s="5">
        <f>1/KRW!B1036</f>
        <v>9.0163195383644403E-4</v>
      </c>
      <c r="O1036" s="5">
        <f>1/KRW!C1036</f>
        <v>9.0161081788723738E-4</v>
      </c>
      <c r="P1036" s="3">
        <f>1/NOK!B1036</f>
        <v>0.16400701950043461</v>
      </c>
      <c r="Q1036" s="3">
        <f>1/NOK!C1036</f>
        <v>0.16382163100815833</v>
      </c>
      <c r="R1036" s="3">
        <f>NZD!B1036/1</f>
        <v>0.77729999999999999</v>
      </c>
      <c r="S1036" s="3">
        <f>NZD!C1036/1</f>
        <v>0.77569999999999995</v>
      </c>
      <c r="T1036" s="4">
        <f>1/PHP!B1036</f>
        <v>2.241147467503362E-2</v>
      </c>
      <c r="U1036" s="4">
        <f>1/PHP!C1036</f>
        <v>2.2404445041896311E-2</v>
      </c>
      <c r="V1036" s="4">
        <f>1/TWD!B1036</f>
        <v>3.3391211433150797E-2</v>
      </c>
      <c r="W1036" s="4">
        <f>1/TWD!C1036</f>
        <v>3.3391322930823197E-2</v>
      </c>
      <c r="X1036" s="4">
        <f>1/TWD!B1036</f>
        <v>3.3391211433150797E-2</v>
      </c>
      <c r="Y1036" s="4">
        <f>1/TWD!C1036</f>
        <v>3.3391322930823197E-2</v>
      </c>
      <c r="Z1036" s="4">
        <f>1/ZAR!B1036</f>
        <v>9.661462358942649E-2</v>
      </c>
      <c r="AA1036" s="4">
        <f>1/ZAR!C1036</f>
        <v>9.6174190694185313E-2</v>
      </c>
    </row>
    <row r="1037" spans="1:27" x14ac:dyDescent="0.25">
      <c r="A1037" t="str">
        <f>"02/09/2013"</f>
        <v>02/09/2013</v>
      </c>
      <c r="B1037" s="3">
        <f>AUD!B1037</f>
        <v>0.89670000000000005</v>
      </c>
      <c r="C1037" s="3">
        <f>AUD!C1037</f>
        <v>0.89500000000000002</v>
      </c>
      <c r="D1037" s="3">
        <f>1/CAD!B1037</f>
        <v>0.95047999239615999</v>
      </c>
      <c r="E1037" s="3">
        <f>1/CAD!C1037</f>
        <v>0.94975781175800178</v>
      </c>
      <c r="F1037" s="3">
        <f>EUR!B1037/1</f>
        <v>1.3203</v>
      </c>
      <c r="G1037" s="3">
        <f>EUR!C1037/1</f>
        <v>1.3205</v>
      </c>
      <c r="H1037" s="3">
        <f>GBP!B1037/1</f>
        <v>1.5558000000000001</v>
      </c>
      <c r="I1037" s="3">
        <f>GBP!C1037/1</f>
        <v>1.5555000000000001</v>
      </c>
      <c r="J1037" s="4">
        <f>1/INR!B1037</f>
        <v>1.516070345664039E-2</v>
      </c>
      <c r="K1037" s="4">
        <f>1/INR!C1037</f>
        <v>1.5027425050717559E-2</v>
      </c>
      <c r="L1037" s="4">
        <f>1/JPY!B1037</f>
        <v>1.0141062174852195E-2</v>
      </c>
      <c r="M1037" s="4">
        <f>1/JPY!C1037</f>
        <v>1.0142388999159195E-2</v>
      </c>
      <c r="N1037" s="5">
        <f>1/KRW!B1037</f>
        <v>9.0686496780629361E-4</v>
      </c>
      <c r="O1037" s="5">
        <f>1/KRW!C1037</f>
        <v>9.0683939176105577E-4</v>
      </c>
      <c r="P1037" s="3">
        <f>1/NOK!B1037</f>
        <v>0.16345210853220005</v>
      </c>
      <c r="Q1037" s="3">
        <f>1/NOK!C1037</f>
        <v>0.16326530612244897</v>
      </c>
      <c r="R1037" s="3">
        <f>NZD!B1037/1</f>
        <v>0.77900000000000003</v>
      </c>
      <c r="S1037" s="3">
        <f>NZD!C1037/1</f>
        <v>0.77739999999999998</v>
      </c>
      <c r="T1037" s="4">
        <f>1/PHP!B1037</f>
        <v>2.2422781546050791E-2</v>
      </c>
      <c r="U1037" s="4">
        <f>1/PHP!C1037</f>
        <v>2.2416498542927595E-2</v>
      </c>
      <c r="V1037" s="4">
        <f>1/TWD!B1037</f>
        <v>3.3540164346805297E-2</v>
      </c>
      <c r="W1037" s="4">
        <f>1/TWD!C1037</f>
        <v>3.3540276841445046E-2</v>
      </c>
      <c r="X1037" s="4">
        <f>1/TWD!B1037</f>
        <v>3.3540164346805297E-2</v>
      </c>
      <c r="Y1037" s="4">
        <f>1/TWD!C1037</f>
        <v>3.3540276841445046E-2</v>
      </c>
      <c r="Z1037" s="4">
        <f>1/ZAR!B1037</f>
        <v>9.7631460761915922E-2</v>
      </c>
      <c r="AA1037" s="4">
        <f>1/ZAR!C1037</f>
        <v>9.7175119282458922E-2</v>
      </c>
    </row>
    <row r="1038" spans="1:27" x14ac:dyDescent="0.25">
      <c r="A1038" t="str">
        <f>"03/09/2013"</f>
        <v>03/09/2013</v>
      </c>
      <c r="B1038" s="3">
        <f>AUD!B1038</f>
        <v>0.9002</v>
      </c>
      <c r="C1038" s="3">
        <f>AUD!C1038</f>
        <v>0.8982</v>
      </c>
      <c r="D1038" s="3">
        <f>1/CAD!B1038</f>
        <v>0.94777746185195721</v>
      </c>
      <c r="E1038" s="3">
        <f>1/CAD!C1038</f>
        <v>0.94705938062316497</v>
      </c>
      <c r="F1038" s="3">
        <f>EUR!B1038/1</f>
        <v>1.3190999999999999</v>
      </c>
      <c r="G1038" s="3">
        <f>EUR!C1038/1</f>
        <v>1.3191999999999999</v>
      </c>
      <c r="H1038" s="3">
        <f>GBP!B1038/1</f>
        <v>1.5557000000000001</v>
      </c>
      <c r="I1038" s="3">
        <f>GBP!C1038/1</f>
        <v>1.5552999999999999</v>
      </c>
      <c r="J1038" s="4">
        <f>1/INR!B1038</f>
        <v>1.4970059880239521E-2</v>
      </c>
      <c r="K1038" s="4">
        <f>1/INR!C1038</f>
        <v>1.4834044131281292E-2</v>
      </c>
      <c r="L1038" s="4">
        <f>1/JPY!B1038</f>
        <v>1.0049948242766549E-2</v>
      </c>
      <c r="M1038" s="4">
        <f>1/JPY!C1038</f>
        <v>1.0051281638921779E-2</v>
      </c>
      <c r="N1038" s="5">
        <f>1/KRW!B1038</f>
        <v>9.1203429248939755E-4</v>
      </c>
      <c r="O1038" s="5">
        <f>1/KRW!C1038</f>
        <v>9.1200717640206965E-4</v>
      </c>
      <c r="P1038" s="3">
        <f>1/NOK!B1038</f>
        <v>0.16435204207412277</v>
      </c>
      <c r="Q1038" s="3">
        <f>1/NOK!C1038</f>
        <v>0.16414970453053185</v>
      </c>
      <c r="R1038" s="3">
        <f>NZD!B1038/1</f>
        <v>0.78169999999999995</v>
      </c>
      <c r="S1038" s="3">
        <f>NZD!C1038/1</f>
        <v>0.78</v>
      </c>
      <c r="T1038" s="4">
        <f>1/PHP!B1038</f>
        <v>2.257081593499605E-2</v>
      </c>
      <c r="U1038" s="4">
        <f>1/PHP!C1038</f>
        <v>2.256582451009595E-2</v>
      </c>
      <c r="V1038" s="4">
        <f>1/TWD!B1038</f>
        <v>3.3577328587737557E-2</v>
      </c>
      <c r="W1038" s="4">
        <f>1/TWD!C1038</f>
        <v>3.357744133181563E-2</v>
      </c>
      <c r="X1038" s="4">
        <f>1/TWD!B1038</f>
        <v>3.3577328587737557E-2</v>
      </c>
      <c r="Y1038" s="4">
        <f>1/TWD!C1038</f>
        <v>3.357744133181563E-2</v>
      </c>
      <c r="Z1038" s="4">
        <f>1/ZAR!B1038</f>
        <v>9.7277210867810007E-2</v>
      </c>
      <c r="AA1038" s="4">
        <f>1/ZAR!C1038</f>
        <v>9.6841982936442597E-2</v>
      </c>
    </row>
    <row r="1039" spans="1:27" x14ac:dyDescent="0.25">
      <c r="A1039" t="str">
        <f>"04/09/2013"</f>
        <v>04/09/2013</v>
      </c>
      <c r="B1039" s="3">
        <f>AUD!B1039</f>
        <v>0.90980000000000005</v>
      </c>
      <c r="C1039" s="3">
        <f>AUD!C1039</f>
        <v>0.90790000000000004</v>
      </c>
      <c r="D1039" s="3">
        <f>1/CAD!B1039</f>
        <v>0.94867659614837296</v>
      </c>
      <c r="E1039" s="3">
        <f>1/CAD!C1039</f>
        <v>0.9479571523367144</v>
      </c>
      <c r="F1039" s="3">
        <f>EUR!B1039/1</f>
        <v>1.3165</v>
      </c>
      <c r="G1039" s="3">
        <f>EUR!C1039/1</f>
        <v>1.3166</v>
      </c>
      <c r="H1039" s="3">
        <f>GBP!B1039/1</f>
        <v>1.5561</v>
      </c>
      <c r="I1039" s="3">
        <f>GBP!C1039/1</f>
        <v>1.5557000000000001</v>
      </c>
      <c r="J1039" s="4">
        <f>1/INR!B1039</f>
        <v>1.4667057788207684E-2</v>
      </c>
      <c r="K1039" s="4">
        <f>1/INR!C1039</f>
        <v>1.4543339150668992E-2</v>
      </c>
      <c r="L1039" s="4">
        <f>1/JPY!B1039</f>
        <v>1.0035173282354653E-2</v>
      </c>
      <c r="M1039" s="4">
        <f>1/JPY!C1039</f>
        <v>1.0036482614302992E-2</v>
      </c>
      <c r="N1039" s="5">
        <f>1/KRW!B1039</f>
        <v>9.0871916034349586E-4</v>
      </c>
      <c r="O1039" s="5">
        <f>1/KRW!C1039</f>
        <v>9.0869471819377673E-4</v>
      </c>
      <c r="P1039" s="3">
        <f>1/NOK!B1039</f>
        <v>0.16454404844176787</v>
      </c>
      <c r="Q1039" s="3">
        <f>1/NOK!C1039</f>
        <v>0.16434934095914275</v>
      </c>
      <c r="R1039" s="3">
        <f>NZD!B1039/1</f>
        <v>0.78080000000000005</v>
      </c>
      <c r="S1039" s="3">
        <f>NZD!C1039/1</f>
        <v>0.77910000000000001</v>
      </c>
      <c r="T1039" s="4">
        <f>1/PHP!B1039</f>
        <v>2.2421524663677129E-2</v>
      </c>
      <c r="U1039" s="4">
        <f>1/PHP!C1039</f>
        <v>2.2409666633799154E-2</v>
      </c>
      <c r="V1039" s="4">
        <f>1/TWD!B1039</f>
        <v>3.3523298692591352E-2</v>
      </c>
      <c r="W1039" s="4">
        <f>1/TWD!C1039</f>
        <v>3.3523411074123613E-2</v>
      </c>
      <c r="X1039" s="4">
        <f>1/TWD!B1039</f>
        <v>3.3523298692591352E-2</v>
      </c>
      <c r="Y1039" s="4">
        <f>1/TWD!C1039</f>
        <v>3.3523411074123613E-2</v>
      </c>
      <c r="Z1039" s="4">
        <f>1/ZAR!B1039</f>
        <v>9.6707122479570612E-2</v>
      </c>
      <c r="AA1039" s="4">
        <f>1/ZAR!C1039</f>
        <v>9.6245464432488617E-2</v>
      </c>
    </row>
    <row r="1040" spans="1:27" x14ac:dyDescent="0.25">
      <c r="A1040" t="str">
        <f>"05/09/2013"</f>
        <v>05/09/2013</v>
      </c>
      <c r="B1040" s="3">
        <f>AUD!B1040</f>
        <v>0.91679999999999995</v>
      </c>
      <c r="C1040" s="3">
        <f>AUD!C1040</f>
        <v>0.91500000000000004</v>
      </c>
      <c r="D1040" s="3">
        <f>1/CAD!B1040</f>
        <v>0.95401640908223617</v>
      </c>
      <c r="E1040" s="3">
        <f>1/CAD!C1040</f>
        <v>0.95328884652049573</v>
      </c>
      <c r="F1040" s="3">
        <f>EUR!B1040/1</f>
        <v>1.3191999999999999</v>
      </c>
      <c r="G1040" s="3">
        <f>EUR!C1040/1</f>
        <v>1.3192999999999999</v>
      </c>
      <c r="H1040" s="3">
        <f>GBP!B1040/1</f>
        <v>1.5616000000000001</v>
      </c>
      <c r="I1040" s="3">
        <f>GBP!C1040/1</f>
        <v>1.5612999999999999</v>
      </c>
      <c r="J1040" s="4">
        <f>1/INR!B1040</f>
        <v>1.5186028853454823E-2</v>
      </c>
      <c r="K1040" s="4">
        <f>1/INR!C1040</f>
        <v>1.506421120024103E-2</v>
      </c>
      <c r="L1040" s="4">
        <f>1/JPY!B1040</f>
        <v>1.0027776942129699E-2</v>
      </c>
      <c r="M1040" s="4">
        <f>1/JPY!C1040</f>
        <v>1.0029074286356146E-2</v>
      </c>
      <c r="N1040" s="5">
        <f>1/KRW!B1040</f>
        <v>9.1541559868180144E-4</v>
      </c>
      <c r="O1040" s="5">
        <f>1/KRW!C1040</f>
        <v>9.1538694046744429E-4</v>
      </c>
      <c r="P1040" s="3">
        <f>1/NOK!B1040</f>
        <v>0.16470123196521511</v>
      </c>
      <c r="Q1040" s="3">
        <f>1/NOK!C1040</f>
        <v>0.16451427161306242</v>
      </c>
      <c r="R1040" s="3">
        <f>NZD!B1040/1</f>
        <v>0.79020000000000001</v>
      </c>
      <c r="S1040" s="3">
        <f>NZD!C1040/1</f>
        <v>0.78859999999999997</v>
      </c>
      <c r="T1040" s="4">
        <f>1/PHP!B1040</f>
        <v>2.2563176895306861E-2</v>
      </c>
      <c r="U1040" s="4">
        <f>1/PHP!C1040</f>
        <v>2.2554525565554727E-2</v>
      </c>
      <c r="V1040" s="4">
        <f>1/TWD!B1040</f>
        <v>3.3586350507153889E-2</v>
      </c>
      <c r="W1040" s="4">
        <f>1/TWD!C1040</f>
        <v>3.3586463311826797E-2</v>
      </c>
      <c r="X1040" s="4">
        <f>1/TWD!B1040</f>
        <v>3.3586350507153889E-2</v>
      </c>
      <c r="Y1040" s="4">
        <f>1/TWD!C1040</f>
        <v>3.3586463311826797E-2</v>
      </c>
      <c r="Z1040" s="4">
        <f>1/ZAR!B1040</f>
        <v>9.7471587032380069E-2</v>
      </c>
      <c r="AA1040" s="4">
        <f>1/ZAR!C1040</f>
        <v>9.7026148547033425E-2</v>
      </c>
    </row>
    <row r="1041" spans="1:27" x14ac:dyDescent="0.25">
      <c r="A1041" t="str">
        <f>"06/09/2013"</f>
        <v>06/09/2013</v>
      </c>
      <c r="B1041" s="3">
        <f>AUD!B1041</f>
        <v>0.91259999999999997</v>
      </c>
      <c r="C1041" s="3">
        <f>AUD!C1041</f>
        <v>0.91069999999999995</v>
      </c>
      <c r="D1041" s="3">
        <f>1/CAD!B1041</f>
        <v>0.95337973114691588</v>
      </c>
      <c r="E1041" s="3">
        <f>1/CAD!C1041</f>
        <v>0.95265313899209292</v>
      </c>
      <c r="F1041" s="3">
        <f>EUR!B1041/1</f>
        <v>1.3123</v>
      </c>
      <c r="G1041" s="3">
        <f>EUR!C1041/1</f>
        <v>1.3124</v>
      </c>
      <c r="H1041" s="3">
        <f>GBP!B1041/1</f>
        <v>1.5602</v>
      </c>
      <c r="I1041" s="3">
        <f>GBP!C1041/1</f>
        <v>1.5598000000000001</v>
      </c>
      <c r="J1041" s="4">
        <f>1/INR!B1041</f>
        <v>1.509433962264151E-2</v>
      </c>
      <c r="K1041" s="4">
        <f>1/INR!C1041</f>
        <v>1.4970620157940043E-2</v>
      </c>
      <c r="L1041" s="4">
        <f>1/JPY!B1041</f>
        <v>1.0008557316505611E-2</v>
      </c>
      <c r="M1041" s="4">
        <f>1/JPY!C1041</f>
        <v>1.0009869731555314E-2</v>
      </c>
      <c r="N1041" s="5">
        <f>1/KRW!B1041</f>
        <v>9.1203429248939755E-4</v>
      </c>
      <c r="O1041" s="5">
        <f>1/KRW!C1041</f>
        <v>9.120070932263683E-4</v>
      </c>
      <c r="P1041" s="3">
        <f>1/NOK!B1041</f>
        <v>0.16331596740213292</v>
      </c>
      <c r="Q1041" s="3">
        <f>1/NOK!C1041</f>
        <v>0.16313213703099511</v>
      </c>
      <c r="R1041" s="3">
        <f>NZD!B1041/1</f>
        <v>0.79069999999999996</v>
      </c>
      <c r="S1041" s="3">
        <f>NZD!C1041/1</f>
        <v>0.78900000000000003</v>
      </c>
      <c r="T1041" s="4">
        <f>1/PHP!B1041</f>
        <v>2.2461814914645103E-2</v>
      </c>
      <c r="U1041" s="4">
        <f>1/PHP!C1041</f>
        <v>2.2451728783116302E-2</v>
      </c>
      <c r="V1041" s="4">
        <f>1/TWD!B1041</f>
        <v>3.3536789858474747E-2</v>
      </c>
      <c r="W1041" s="4">
        <f>1/TWD!C1041</f>
        <v>3.3536902330479339E-2</v>
      </c>
      <c r="X1041" s="4">
        <f>1/TWD!B1041</f>
        <v>3.3536789858474747E-2</v>
      </c>
      <c r="Y1041" s="4">
        <f>1/TWD!C1041</f>
        <v>3.3536902330479339E-2</v>
      </c>
      <c r="Z1041" s="4">
        <f>1/ZAR!B1041</f>
        <v>9.7811946751176201E-2</v>
      </c>
      <c r="AA1041" s="4">
        <f>1/ZAR!C1041</f>
        <v>9.737287970554441E-2</v>
      </c>
    </row>
    <row r="1042" spans="1:27" x14ac:dyDescent="0.25">
      <c r="A1042" t="str">
        <f>"10/09/2013"</f>
        <v>10/09/2013</v>
      </c>
      <c r="B1042" s="3">
        <f>AUD!B1042</f>
        <v>0.92659999999999998</v>
      </c>
      <c r="C1042" s="3">
        <f>AUD!C1042</f>
        <v>0.92459999999999998</v>
      </c>
      <c r="D1042" s="3">
        <f>1/CAD!B1042</f>
        <v>0.96497153333976649</v>
      </c>
      <c r="E1042" s="3">
        <f>1/CAD!C1042</f>
        <v>0.96422717192170482</v>
      </c>
      <c r="F1042" s="3">
        <f>EUR!B1042/1</f>
        <v>1.3269</v>
      </c>
      <c r="G1042" s="3">
        <f>EUR!C1042/1</f>
        <v>1.327</v>
      </c>
      <c r="H1042" s="3">
        <f>GBP!B1042/1</f>
        <v>1.5703</v>
      </c>
      <c r="I1042" s="3">
        <f>GBP!C1042/1</f>
        <v>1.5699000000000001</v>
      </c>
      <c r="J1042" s="4">
        <f>1/INR!B1042</f>
        <v>1.555572839698219E-2</v>
      </c>
      <c r="K1042" s="4">
        <f>1/INR!C1042</f>
        <v>1.5405946695424435E-2</v>
      </c>
      <c r="L1042" s="4">
        <f>1/JPY!B1042</f>
        <v>1.0038094568888933E-2</v>
      </c>
      <c r="M1042" s="4">
        <f>1/JPY!C1042</f>
        <v>1.0039576008626004E-2</v>
      </c>
      <c r="N1042" s="5">
        <f>1/KRW!B1042</f>
        <v>9.2140422003132781E-4</v>
      </c>
      <c r="O1042" s="5">
        <f>1/KRW!C1042</f>
        <v>9.213766288211217E-4</v>
      </c>
      <c r="P1042" s="3">
        <f>1/NOK!B1042</f>
        <v>0.16659447572718489</v>
      </c>
      <c r="Q1042" s="3">
        <f>1/NOK!C1042</f>
        <v>0.16638381418255632</v>
      </c>
      <c r="R1042" s="3">
        <f>NZD!B1042/1</f>
        <v>0.80459999999999998</v>
      </c>
      <c r="S1042" s="3">
        <f>NZD!C1042/1</f>
        <v>0.80269999999999997</v>
      </c>
      <c r="T1042" s="4">
        <f>1/PHP!B1042</f>
        <v>2.2766078542970976E-2</v>
      </c>
      <c r="U1042" s="4">
        <f>1/PHP!C1042</f>
        <v>2.2765508433482601E-2</v>
      </c>
      <c r="V1042" s="4">
        <f>1/TWD!B1042</f>
        <v>3.3676837071462247E-2</v>
      </c>
      <c r="W1042" s="4">
        <f>1/TWD!C1042</f>
        <v>3.36769504847797E-2</v>
      </c>
      <c r="X1042" s="4">
        <f>1/TWD!B1042</f>
        <v>3.3676837071462247E-2</v>
      </c>
      <c r="Y1042" s="4">
        <f>1/TWD!C1042</f>
        <v>3.36769504847797E-2</v>
      </c>
      <c r="Z1042" s="4">
        <f>1/ZAR!B1042</f>
        <v>0.10044295342460249</v>
      </c>
      <c r="AA1042" s="4">
        <f>1/ZAR!C1042</f>
        <v>0.1</v>
      </c>
    </row>
    <row r="1043" spans="1:27" x14ac:dyDescent="0.25">
      <c r="A1043" t="str">
        <f>"11/09/2013"</f>
        <v>11/09/2013</v>
      </c>
      <c r="B1043" s="3">
        <f>AUD!B1043</f>
        <v>0.92820000000000003</v>
      </c>
      <c r="C1043" s="3">
        <f>AUD!C1043</f>
        <v>0.92620000000000002</v>
      </c>
      <c r="D1043" s="3">
        <f>1/CAD!B1043</f>
        <v>0.96487842531840984</v>
      </c>
      <c r="E1043" s="3">
        <f>1/CAD!C1043</f>
        <v>0.9640412609659692</v>
      </c>
      <c r="F1043" s="3">
        <f>EUR!B1043/1</f>
        <v>1.3250999999999999</v>
      </c>
      <c r="G1043" s="3">
        <f>EUR!C1043/1</f>
        <v>1.3251999999999999</v>
      </c>
      <c r="H1043" s="3">
        <f>GBP!B1043/1</f>
        <v>1.5721000000000001</v>
      </c>
      <c r="I1043" s="3">
        <f>GBP!C1043/1</f>
        <v>1.5717000000000001</v>
      </c>
      <c r="J1043" s="4">
        <f>1/INR!B1043</f>
        <v>1.5598190609889253E-2</v>
      </c>
      <c r="K1043" s="4">
        <f>1/INR!C1043</f>
        <v>1.5452368075407556E-2</v>
      </c>
      <c r="L1043" s="4">
        <f>1/JPY!B1043</f>
        <v>9.9475762730410738E-3</v>
      </c>
      <c r="M1043" s="4">
        <f>1/JPY!C1043</f>
        <v>9.9490608086596627E-3</v>
      </c>
      <c r="N1043" s="5">
        <f>1/KRW!B1043</f>
        <v>9.1759955955221149E-4</v>
      </c>
      <c r="O1043" s="5">
        <f>1/KRW!C1043</f>
        <v>9.175756476891224E-4</v>
      </c>
      <c r="P1043" s="3">
        <f>1/NOK!B1043</f>
        <v>0.16875073828447998</v>
      </c>
      <c r="Q1043" s="3">
        <f>1/NOK!C1043</f>
        <v>0.16854311332838939</v>
      </c>
      <c r="R1043" s="3">
        <f>NZD!B1043/1</f>
        <v>0.80410000000000004</v>
      </c>
      <c r="S1043" s="3">
        <f>NZD!C1043/1</f>
        <v>0.8024</v>
      </c>
      <c r="T1043" s="4">
        <f>1/PHP!B1043</f>
        <v>2.2797218739313802E-2</v>
      </c>
      <c r="U1043" s="4">
        <f>1/PHP!C1043</f>
        <v>2.2793061791990518E-2</v>
      </c>
      <c r="V1043" s="4">
        <f>1/TWD!B1043</f>
        <v>3.3551417547391375E-2</v>
      </c>
      <c r="W1043" s="4">
        <f>1/TWD!C1043</f>
        <v>3.3551530117531009E-2</v>
      </c>
      <c r="X1043" s="4">
        <f>1/TWD!B1043</f>
        <v>3.3551417547391375E-2</v>
      </c>
      <c r="Y1043" s="4">
        <f>1/TWD!C1043</f>
        <v>3.3551530117531009E-2</v>
      </c>
      <c r="Z1043" s="4">
        <f>1/ZAR!B1043</f>
        <v>9.9923059244381829E-2</v>
      </c>
      <c r="AA1043" s="4">
        <f>1/ZAR!C1043</f>
        <v>9.9442129652648634E-2</v>
      </c>
    </row>
    <row r="1044" spans="1:27" x14ac:dyDescent="0.25">
      <c r="A1044" t="str">
        <f>"12/09/2013"</f>
        <v>12/09/2013</v>
      </c>
      <c r="B1044" s="3">
        <f>AUD!B1044</f>
        <v>0.92530000000000001</v>
      </c>
      <c r="C1044" s="3">
        <f>AUD!C1044</f>
        <v>0.92349999999999999</v>
      </c>
      <c r="D1044" s="3">
        <f>1/CAD!B1044</f>
        <v>0.96871064613000102</v>
      </c>
      <c r="E1044" s="3">
        <f>1/CAD!C1044</f>
        <v>0.96796050721130589</v>
      </c>
      <c r="F1044" s="3">
        <f>EUR!B1044/1</f>
        <v>1.3310999999999999</v>
      </c>
      <c r="G1044" s="3">
        <f>EUR!C1044/1</f>
        <v>1.3311999999999999</v>
      </c>
      <c r="H1044" s="3">
        <f>GBP!B1044/1</f>
        <v>1.5820000000000001</v>
      </c>
      <c r="I1044" s="3">
        <f>GBP!C1044/1</f>
        <v>1.5815999999999999</v>
      </c>
      <c r="J1044" s="4">
        <f>1/INR!B1044</f>
        <v>1.5810276679841896E-2</v>
      </c>
      <c r="K1044" s="4">
        <f>1/INR!C1044</f>
        <v>1.5670296952127242E-2</v>
      </c>
      <c r="L1044" s="4">
        <f>1/JPY!B1044</f>
        <v>1.0046212577858147E-2</v>
      </c>
      <c r="M1044" s="4">
        <f>1/JPY!C1044</f>
        <v>1.0047605555120159E-2</v>
      </c>
      <c r="N1044" s="5">
        <f>1/KRW!B1044</f>
        <v>9.2336103416435823E-4</v>
      </c>
      <c r="O1044" s="5">
        <f>1/KRW!C1044</f>
        <v>9.2334065757920954E-4</v>
      </c>
      <c r="P1044" s="3">
        <f>1/NOK!B1044</f>
        <v>0.16890180049319325</v>
      </c>
      <c r="Q1044" s="3">
        <f>1/NOK!C1044</f>
        <v>0.16870803387657321</v>
      </c>
      <c r="R1044" s="3">
        <f>NZD!B1044/1</f>
        <v>0.8125</v>
      </c>
      <c r="S1044" s="3">
        <f>NZD!C1044/1</f>
        <v>0.81079999999999997</v>
      </c>
      <c r="T1044" s="4">
        <f>1/PHP!B1044</f>
        <v>2.2844089091947458E-2</v>
      </c>
      <c r="U1044" s="4">
        <f>1/PHP!C1044</f>
        <v>2.2847220635609677E-2</v>
      </c>
      <c r="V1044" s="4">
        <f>1/TWD!B1044</f>
        <v>3.3659833720421424E-2</v>
      </c>
      <c r="W1044" s="4">
        <f>1/TWD!C1044</f>
        <v>3.3659947019243394E-2</v>
      </c>
      <c r="X1044" s="4">
        <f>1/TWD!B1044</f>
        <v>3.3659833720421424E-2</v>
      </c>
      <c r="Y1044" s="4">
        <f>1/TWD!C1044</f>
        <v>3.3659947019243394E-2</v>
      </c>
      <c r="Z1044" s="4">
        <f>1/ZAR!B1044</f>
        <v>0.10100499974748751</v>
      </c>
      <c r="AA1044" s="4">
        <f>1/ZAR!C1044</f>
        <v>0.10053585611308273</v>
      </c>
    </row>
    <row r="1045" spans="1:27" x14ac:dyDescent="0.25">
      <c r="A1045" t="str">
        <f>"13/09/2013"</f>
        <v>13/09/2013</v>
      </c>
      <c r="B1045" s="3">
        <f>AUD!B1045</f>
        <v>0.92459999999999998</v>
      </c>
      <c r="C1045" s="3">
        <f>AUD!C1045</f>
        <v>0.92279999999999995</v>
      </c>
      <c r="D1045" s="3">
        <f>1/CAD!B1045</f>
        <v>0.96805421103581812</v>
      </c>
      <c r="E1045" s="3">
        <f>1/CAD!C1045</f>
        <v>0.967305088024763</v>
      </c>
      <c r="F1045" s="3">
        <f>EUR!B1045/1</f>
        <v>1.3283</v>
      </c>
      <c r="G1045" s="3">
        <f>EUR!C1045/1</f>
        <v>1.3284</v>
      </c>
      <c r="H1045" s="3">
        <f>GBP!B1045/1</f>
        <v>1.5791999999999999</v>
      </c>
      <c r="I1045" s="3">
        <f>GBP!C1045/1</f>
        <v>1.5789</v>
      </c>
      <c r="J1045" s="4">
        <f>1/INR!B1045</f>
        <v>1.5617679212868968E-2</v>
      </c>
      <c r="K1045" s="4">
        <f>1/INR!C1045</f>
        <v>1.5479277117758599E-2</v>
      </c>
      <c r="L1045" s="4">
        <f>1/JPY!B1045</f>
        <v>1.0029436395821736E-2</v>
      </c>
      <c r="M1045" s="4">
        <f>1/JPY!C1045</f>
        <v>1.0030824724378013E-2</v>
      </c>
      <c r="N1045" s="5">
        <f>1/KRW!B1045</f>
        <v>9.2106475085198484E-4</v>
      </c>
      <c r="O1045" s="5">
        <f>1/KRW!C1045</f>
        <v>9.2103802827863052E-4</v>
      </c>
      <c r="P1045" s="3">
        <f>1/NOK!B1045</f>
        <v>0.16966982252536564</v>
      </c>
      <c r="Q1045" s="3">
        <f>1/NOK!C1045</f>
        <v>0.16947141864524548</v>
      </c>
      <c r="R1045" s="3">
        <f>NZD!B1045/1</f>
        <v>0.81140000000000001</v>
      </c>
      <c r="S1045" s="3">
        <f>NZD!C1045/1</f>
        <v>0.80969999999999998</v>
      </c>
      <c r="T1045" s="4">
        <f>1/PHP!B1045</f>
        <v>2.2805017103762829E-2</v>
      </c>
      <c r="U1045" s="4">
        <f>1/PHP!C1045</f>
        <v>2.2807305636141369E-2</v>
      </c>
      <c r="V1045" s="4">
        <f>1/TWD!B1045</f>
        <v>3.363945234971575E-2</v>
      </c>
      <c r="W1045" s="4">
        <f>1/TWD!C1045</f>
        <v>3.3639565511371858E-2</v>
      </c>
      <c r="X1045" s="4">
        <f>1/TWD!B1045</f>
        <v>3.363945234971575E-2</v>
      </c>
      <c r="Y1045" s="4">
        <f>1/TWD!C1045</f>
        <v>3.3639565511371858E-2</v>
      </c>
      <c r="Z1045" s="4">
        <f>1/ZAR!B1045</f>
        <v>0.10023153484549309</v>
      </c>
      <c r="AA1045" s="4">
        <f>1/ZAR!C1045</f>
        <v>9.9797411255152041E-2</v>
      </c>
    </row>
    <row r="1046" spans="1:27" x14ac:dyDescent="0.25">
      <c r="A1046" t="str">
        <f>"16/09/2013"</f>
        <v>16/09/2013</v>
      </c>
      <c r="B1046" s="3">
        <f>AUD!B1046</f>
        <v>0.9325</v>
      </c>
      <c r="C1046" s="3">
        <f>AUD!C1046</f>
        <v>0.93069999999999997</v>
      </c>
      <c r="D1046" s="3">
        <f>1/CAD!B1046</f>
        <v>0.97049689440993792</v>
      </c>
      <c r="E1046" s="3">
        <f>1/CAD!C1046</f>
        <v>0.96974398758727709</v>
      </c>
      <c r="F1046" s="3">
        <f>EUR!B1046/1</f>
        <v>1.3365</v>
      </c>
      <c r="G1046" s="3">
        <f>EUR!C1046/1</f>
        <v>1.3366</v>
      </c>
      <c r="H1046" s="3">
        <f>GBP!B1046/1</f>
        <v>1.5955999999999999</v>
      </c>
      <c r="I1046" s="3">
        <f>GBP!C1046/1</f>
        <v>1.5952</v>
      </c>
      <c r="J1046" s="4">
        <f>1/INR!B1046</f>
        <v>1.5926102882624624E-2</v>
      </c>
      <c r="K1046" s="4">
        <f>1/INR!C1046</f>
        <v>1.5780960271432515E-2</v>
      </c>
      <c r="L1046" s="4">
        <f>1/JPY!B1046</f>
        <v>1.0110507850809346E-2</v>
      </c>
      <c r="M1046" s="4">
        <f>1/JPY!C1046</f>
        <v>1.0111867591161014E-2</v>
      </c>
      <c r="N1046" s="5">
        <f>1/KRW!B1046</f>
        <v>9.2359555750536851E-4</v>
      </c>
      <c r="O1046" s="5">
        <f>1/KRW!C1046</f>
        <v>9.2357380578443507E-4</v>
      </c>
      <c r="P1046" s="3">
        <f>1/NOK!B1046</f>
        <v>0.16937382496908929</v>
      </c>
      <c r="Q1046" s="3">
        <f>1/NOK!C1046</f>
        <v>0.16917611233293861</v>
      </c>
      <c r="R1046" s="3">
        <f>NZD!B1046/1</f>
        <v>0.81889999999999996</v>
      </c>
      <c r="S1046" s="3">
        <f>NZD!C1046/1</f>
        <v>0.81720000000000004</v>
      </c>
      <c r="T1046" s="4">
        <f>1/PHP!B1046</f>
        <v>2.2623154798936711E-2</v>
      </c>
      <c r="U1046" s="4">
        <f>1/PHP!C1046</f>
        <v>2.2624843888577169E-2</v>
      </c>
      <c r="V1046" s="4">
        <f>1/TWD!B1046</f>
        <v>3.3699534946417739E-2</v>
      </c>
      <c r="W1046" s="4">
        <f>1/TWD!C1046</f>
        <v>3.3699648512666013E-2</v>
      </c>
      <c r="X1046" s="4">
        <f>1/TWD!B1046</f>
        <v>3.3699534946417739E-2</v>
      </c>
      <c r="Y1046" s="4">
        <f>1/TWD!C1046</f>
        <v>3.3699648512666013E-2</v>
      </c>
      <c r="Z1046" s="4">
        <f>1/ZAR!B1046</f>
        <v>0.10127095042786977</v>
      </c>
      <c r="AA1046" s="4">
        <f>1/ZAR!C1046</f>
        <v>0.10082779620685831</v>
      </c>
    </row>
    <row r="1047" spans="1:27" x14ac:dyDescent="0.25">
      <c r="A1047" t="str">
        <f>"17/09/2013"</f>
        <v>17/09/2013</v>
      </c>
      <c r="B1047" s="3">
        <f>AUD!B1047</f>
        <v>0.92949999999999999</v>
      </c>
      <c r="C1047" s="3">
        <f>AUD!C1047</f>
        <v>0.92749999999999999</v>
      </c>
      <c r="D1047" s="3">
        <f>1/CAD!B1047</f>
        <v>0.96796050721130589</v>
      </c>
      <c r="E1047" s="3">
        <f>1/CAD!C1047</f>
        <v>0.967305088024763</v>
      </c>
      <c r="F1047" s="3">
        <f>EUR!B1047/1</f>
        <v>1.3331</v>
      </c>
      <c r="G1047" s="3">
        <f>EUR!C1047/1</f>
        <v>1.3331999999999999</v>
      </c>
      <c r="H1047" s="3">
        <f>GBP!B1047/1</f>
        <v>1.5893999999999999</v>
      </c>
      <c r="I1047" s="3">
        <f>GBP!C1047/1</f>
        <v>1.589</v>
      </c>
      <c r="J1047" s="4">
        <f>1/INR!B1047</f>
        <v>1.5750511891636478E-2</v>
      </c>
      <c r="K1047" s="4">
        <f>1/INR!C1047</f>
        <v>1.5600015600015598E-2</v>
      </c>
      <c r="L1047" s="4">
        <f>1/JPY!B1047</f>
        <v>1.0074500934409963E-2</v>
      </c>
      <c r="M1047" s="4">
        <f>1/JPY!C1047</f>
        <v>1.0075942377700729E-2</v>
      </c>
      <c r="N1047" s="5">
        <f>1/KRW!B1047</f>
        <v>9.206661940580203E-4</v>
      </c>
      <c r="O1047" s="5">
        <f>1/KRW!C1047</f>
        <v>9.206409354890324E-4</v>
      </c>
      <c r="P1047" s="3">
        <f>1/NOK!B1047</f>
        <v>0.16913605304106624</v>
      </c>
      <c r="Q1047" s="3">
        <f>1/NOK!C1047</f>
        <v>0.1689274794330794</v>
      </c>
      <c r="R1047" s="3">
        <f>NZD!B1047/1</f>
        <v>0.81640000000000001</v>
      </c>
      <c r="S1047" s="3">
        <f>NZD!C1047/1</f>
        <v>0.81459999999999999</v>
      </c>
      <c r="T1047" s="4">
        <f>1/PHP!B1047</f>
        <v>2.2857142857142857E-2</v>
      </c>
      <c r="U1047" s="4">
        <f>1/PHP!C1047</f>
        <v>2.2870263854234088E-2</v>
      </c>
      <c r="V1047" s="4">
        <f>1/TWD!B1047</f>
        <v>3.3708622665677881E-2</v>
      </c>
      <c r="W1047" s="4">
        <f>1/TWD!C1047</f>
        <v>3.3708736293185104E-2</v>
      </c>
      <c r="X1047" s="4">
        <f>1/TWD!B1047</f>
        <v>3.3708622665677881E-2</v>
      </c>
      <c r="Y1047" s="4">
        <f>1/TWD!C1047</f>
        <v>3.3708736293185104E-2</v>
      </c>
      <c r="Z1047" s="4">
        <f>1/ZAR!B1047</f>
        <v>0.10180085716321731</v>
      </c>
      <c r="AA1047" s="4">
        <f>1/ZAR!C1047</f>
        <v>0.10136950197163681</v>
      </c>
    </row>
    <row r="1048" spans="1:27" x14ac:dyDescent="0.25">
      <c r="A1048" t="str">
        <f>"18/09/2013"</f>
        <v>18/09/2013</v>
      </c>
      <c r="B1048" s="3">
        <f>AUD!B1048</f>
        <v>0.93479999999999996</v>
      </c>
      <c r="C1048" s="3">
        <f>AUD!C1048</f>
        <v>0.93289999999999995</v>
      </c>
      <c r="D1048" s="3">
        <f>1/CAD!B1048</f>
        <v>0.97106234220236931</v>
      </c>
      <c r="E1048" s="3">
        <f>1/CAD!C1048</f>
        <v>0.97030855812148264</v>
      </c>
      <c r="F1048" s="3">
        <f>EUR!B1048/1</f>
        <v>1.3354999999999999</v>
      </c>
      <c r="G1048" s="3">
        <f>EUR!C1048/1</f>
        <v>1.3355999999999999</v>
      </c>
      <c r="H1048" s="3">
        <f>GBP!B1048/1</f>
        <v>1.5904</v>
      </c>
      <c r="I1048" s="3">
        <f>GBP!C1048/1</f>
        <v>1.59</v>
      </c>
      <c r="J1048" s="4">
        <f>1/INR!B1048</f>
        <v>1.5800284405119294E-2</v>
      </c>
      <c r="K1048" s="4">
        <f>1/INR!C1048</f>
        <v>1.565251418509098E-2</v>
      </c>
      <c r="L1048" s="4">
        <f>1/JPY!B1048</f>
        <v>1.0078613182826043E-2</v>
      </c>
      <c r="M1048" s="4">
        <f>1/JPY!C1048</f>
        <v>1.0080106607207479E-2</v>
      </c>
      <c r="N1048" s="5">
        <f>1/KRW!B1048</f>
        <v>9.2348894121992901E-4</v>
      </c>
      <c r="O1048" s="5">
        <f>1/KRW!C1048</f>
        <v>9.2346659756673943E-4</v>
      </c>
      <c r="P1048" s="3">
        <f>1/NOK!B1048</f>
        <v>0.16923337282112033</v>
      </c>
      <c r="Q1048" s="3">
        <f>1/NOK!C1048</f>
        <v>0.16903027332195195</v>
      </c>
      <c r="R1048" s="3">
        <f>NZD!B1048/1</f>
        <v>0.82250000000000001</v>
      </c>
      <c r="S1048" s="3">
        <f>NZD!C1048/1</f>
        <v>0.82069999999999999</v>
      </c>
      <c r="T1048" s="4">
        <f>1/PHP!B1048</f>
        <v>2.2962112514351322E-2</v>
      </c>
      <c r="U1048" s="4">
        <f>1/PHP!C1048</f>
        <v>2.2977941176470586E-2</v>
      </c>
      <c r="V1048" s="4">
        <f>1/TWD!B1048</f>
        <v>3.3692722371967652E-2</v>
      </c>
      <c r="W1048" s="4">
        <f>1/TWD!C1048</f>
        <v>3.3692835892304221E-2</v>
      </c>
      <c r="X1048" s="4">
        <f>1/TWD!B1048</f>
        <v>3.3692722371967652E-2</v>
      </c>
      <c r="Y1048" s="4">
        <f>1/TWD!C1048</f>
        <v>3.3692835892304221E-2</v>
      </c>
      <c r="Z1048" s="4">
        <f>1/ZAR!B1048</f>
        <v>0.10191290523118943</v>
      </c>
      <c r="AA1048" s="4">
        <f>1/ZAR!C1048</f>
        <v>0.10145589205093085</v>
      </c>
    </row>
    <row r="1049" spans="1:27" x14ac:dyDescent="0.25">
      <c r="A1049" t="str">
        <f>"19/09/2013"</f>
        <v>19/09/2013</v>
      </c>
      <c r="B1049" s="3">
        <f>AUD!B1049</f>
        <v>0.94920000000000004</v>
      </c>
      <c r="C1049" s="3">
        <f>AUD!C1049</f>
        <v>0.94730000000000003</v>
      </c>
      <c r="D1049" s="3">
        <f>1/CAD!B1049</f>
        <v>0.97818644233590923</v>
      </c>
      <c r="E1049" s="3">
        <f>1/CAD!C1049</f>
        <v>0.97742156191965601</v>
      </c>
      <c r="F1049" s="3">
        <f>EUR!B1049/1</f>
        <v>1.3526</v>
      </c>
      <c r="G1049" s="3">
        <f>EUR!C1049/1</f>
        <v>1.3527</v>
      </c>
      <c r="H1049" s="3">
        <f>GBP!B1049/1</f>
        <v>1.6122000000000001</v>
      </c>
      <c r="I1049" s="3">
        <f>GBP!C1049/1</f>
        <v>1.6119000000000001</v>
      </c>
      <c r="J1049" s="4">
        <f>1/INR!B1049</f>
        <v>1.6198922771635687E-2</v>
      </c>
      <c r="K1049" s="4">
        <f>1/INR!C1049</f>
        <v>1.60481444332999E-2</v>
      </c>
      <c r="L1049" s="4">
        <f>1/JPY!B1049</f>
        <v>1.0155377272265665E-2</v>
      </c>
      <c r="M1049" s="4">
        <f>1/JPY!C1049</f>
        <v>1.0156831637311731E-2</v>
      </c>
      <c r="N1049" s="5">
        <f>1/KRW!B1049</f>
        <v>9.335673475484521E-4</v>
      </c>
      <c r="O1049" s="5">
        <f>1/KRW!C1049</f>
        <v>9.3354451354955837E-4</v>
      </c>
      <c r="P1049" s="3">
        <f>1/NOK!B1049</f>
        <v>0.17166792556478749</v>
      </c>
      <c r="Q1049" s="3">
        <f>1/NOK!C1049</f>
        <v>0.17146482399135818</v>
      </c>
      <c r="R1049" s="3">
        <f>NZD!B1049/1</f>
        <v>0.83930000000000005</v>
      </c>
      <c r="S1049" s="3">
        <f>NZD!C1049/1</f>
        <v>0.83760000000000001</v>
      </c>
      <c r="T1049" s="4">
        <f>1/PHP!B1049</f>
        <v>2.3199164830066118E-2</v>
      </c>
      <c r="U1049" s="4">
        <f>1/PHP!C1049</f>
        <v>2.3246839592157446E-2</v>
      </c>
      <c r="V1049" s="4">
        <f>1/TWD!B1049</f>
        <v>3.3938571186153066E-2</v>
      </c>
      <c r="W1049" s="4">
        <f>1/TWD!C1049</f>
        <v>3.3938686369205391E-2</v>
      </c>
      <c r="X1049" s="4">
        <f>1/TWD!B1049</f>
        <v>3.3938571186153066E-2</v>
      </c>
      <c r="Y1049" s="4">
        <f>1/TWD!C1049</f>
        <v>3.3938686369205391E-2</v>
      </c>
      <c r="Z1049" s="4">
        <f>1/ZAR!B1049</f>
        <v>0.10445718822140745</v>
      </c>
      <c r="AA1049" s="4">
        <f>1/ZAR!C1049</f>
        <v>0.10399010014246643</v>
      </c>
    </row>
    <row r="1050" spans="1:27" x14ac:dyDescent="0.25">
      <c r="A1050" t="str">
        <f>"20/09/2013"</f>
        <v>20/09/2013</v>
      </c>
      <c r="B1050" s="3">
        <f>AUD!B1050</f>
        <v>0.94469999999999998</v>
      </c>
      <c r="C1050" s="3">
        <f>AUD!C1050</f>
        <v>0.94279999999999997</v>
      </c>
      <c r="D1050" s="3">
        <f>1/CAD!B1050</f>
        <v>0.97257342929391166</v>
      </c>
      <c r="E1050" s="3">
        <f>1/CAD!C1050</f>
        <v>0.97191175041306255</v>
      </c>
      <c r="F1050" s="3">
        <f>EUR!B1050/1</f>
        <v>1.3537999999999999</v>
      </c>
      <c r="G1050" s="3">
        <f>EUR!C1050/1</f>
        <v>1.3539000000000001</v>
      </c>
      <c r="H1050" s="3">
        <f>GBP!B1050/1</f>
        <v>1.6044</v>
      </c>
      <c r="I1050" s="3">
        <f>GBP!C1050/1</f>
        <v>1.6040000000000001</v>
      </c>
      <c r="J1050" s="4">
        <f>1/INR!B1050</f>
        <v>1.6092693916961699E-2</v>
      </c>
      <c r="K1050" s="4">
        <f>1/INR!C1050</f>
        <v>1.5957234611241874E-2</v>
      </c>
      <c r="L1050" s="4">
        <f>1/JPY!B1050</f>
        <v>1.008150900026716E-2</v>
      </c>
      <c r="M1050" s="4">
        <f>1/JPY!C1050</f>
        <v>1.0083013449731641E-2</v>
      </c>
      <c r="N1050" s="5">
        <f>1/KRW!B1050</f>
        <v>9.308560151915702E-4</v>
      </c>
      <c r="O1050" s="5">
        <f>1/KRW!C1050</f>
        <v>9.3083331363069482E-4</v>
      </c>
      <c r="P1050" s="3">
        <f>1/NOK!B1050</f>
        <v>0.17150599413449499</v>
      </c>
      <c r="Q1050" s="3">
        <f>1/NOK!C1050</f>
        <v>0.17130914448213247</v>
      </c>
      <c r="R1050" s="3">
        <f>NZD!B1050/1</f>
        <v>0.83779999999999999</v>
      </c>
      <c r="S1050" s="3">
        <f>NZD!C1050/1</f>
        <v>0.83609999999999995</v>
      </c>
      <c r="T1050" s="4">
        <f>1/PHP!B1050</f>
        <v>2.3234200743494426E-2</v>
      </c>
      <c r="U1050" s="4">
        <f>1/PHP!C1050</f>
        <v>2.323538842598832E-2</v>
      </c>
      <c r="V1050" s="4">
        <f>1/TWD!B1050</f>
        <v>3.3852403520649964E-2</v>
      </c>
      <c r="W1050" s="4">
        <f>1/TWD!C1050</f>
        <v>3.3852518119560325E-2</v>
      </c>
      <c r="X1050" s="4">
        <f>1/TWD!B1050</f>
        <v>3.3852403520649964E-2</v>
      </c>
      <c r="Y1050" s="4">
        <f>1/TWD!C1050</f>
        <v>3.3852518119560325E-2</v>
      </c>
      <c r="Z1050" s="4">
        <f>1/ZAR!B1050</f>
        <v>0.10304391731756075</v>
      </c>
      <c r="AA1050" s="4">
        <f>1/ZAR!C1050</f>
        <v>0.10260619741432382</v>
      </c>
    </row>
    <row r="1051" spans="1:27" x14ac:dyDescent="0.25">
      <c r="A1051" t="str">
        <f>"23/09/2013"</f>
        <v>23/09/2013</v>
      </c>
      <c r="B1051" s="3">
        <f>AUD!B1051</f>
        <v>0.94189999999999996</v>
      </c>
      <c r="C1051" s="3">
        <f>AUD!C1051</f>
        <v>0.94</v>
      </c>
      <c r="D1051" s="3">
        <f>1/CAD!B1051</f>
        <v>0.97125097125097115</v>
      </c>
      <c r="E1051" s="3">
        <f>1/CAD!C1051</f>
        <v>0.97059108997379406</v>
      </c>
      <c r="F1051" s="3">
        <f>EUR!B1051/1</f>
        <v>1.3525</v>
      </c>
      <c r="G1051" s="3">
        <f>EUR!C1051/1</f>
        <v>1.3526</v>
      </c>
      <c r="H1051" s="3">
        <f>GBP!B1051/1</f>
        <v>1.6015999999999999</v>
      </c>
      <c r="I1051" s="3">
        <f>GBP!C1051/1</f>
        <v>1.6012</v>
      </c>
      <c r="J1051" s="4">
        <f>1/INR!B1051</f>
        <v>1.6020506247997435E-2</v>
      </c>
      <c r="K1051" s="4">
        <f>1/INR!C1051</f>
        <v>1.5884992653190898E-2</v>
      </c>
      <c r="L1051" s="4">
        <f>1/JPY!B1051</f>
        <v>1.0087305630229637E-2</v>
      </c>
      <c r="M1051" s="4">
        <f>1/JPY!C1051</f>
        <v>1.008890341690981E-2</v>
      </c>
      <c r="N1051" s="5">
        <f>1/KRW!B1051</f>
        <v>9.2902266815310288E-4</v>
      </c>
      <c r="O1051" s="5">
        <f>1/KRW!C1051</f>
        <v>9.290012641849203E-4</v>
      </c>
      <c r="P1051" s="3">
        <f>1/NOK!B1051</f>
        <v>0.1687792199024456</v>
      </c>
      <c r="Q1051" s="3">
        <f>1/NOK!C1051</f>
        <v>0.16858857643806055</v>
      </c>
      <c r="R1051" s="3">
        <f>NZD!B1051/1</f>
        <v>0.83630000000000004</v>
      </c>
      <c r="S1051" s="3">
        <f>NZD!C1051/1</f>
        <v>0.83450000000000002</v>
      </c>
      <c r="T1051" s="4">
        <f>1/PHP!B1051</f>
        <v>2.3158869847151459E-2</v>
      </c>
      <c r="U1051" s="4">
        <f>1/PHP!C1051</f>
        <v>2.3152650052324988E-2</v>
      </c>
      <c r="V1051" s="4">
        <f>1/TWD!B1051</f>
        <v>3.3794630033287712E-2</v>
      </c>
      <c r="W1051" s="4">
        <f>1/TWD!C1051</f>
        <v>3.3794858450235381E-2</v>
      </c>
      <c r="X1051" s="4">
        <f>1/TWD!B1051</f>
        <v>3.3794630033287712E-2</v>
      </c>
      <c r="Y1051" s="4">
        <f>1/TWD!C1051</f>
        <v>3.3794858450235381E-2</v>
      </c>
      <c r="Z1051" s="4">
        <f>1/ZAR!B1051</f>
        <v>0.10133868401584936</v>
      </c>
      <c r="AA1051" s="4">
        <f>1/ZAR!C1051</f>
        <v>0.10091021009505741</v>
      </c>
    </row>
    <row r="1052" spans="1:27" x14ac:dyDescent="0.25">
      <c r="A1052" t="str">
        <f>"24/09/2013"</f>
        <v>24/09/2013</v>
      </c>
      <c r="B1052" s="3">
        <f>AUD!B1052</f>
        <v>0.94140000000000001</v>
      </c>
      <c r="C1052" s="3">
        <f>AUD!C1052</f>
        <v>0.93940000000000001</v>
      </c>
      <c r="D1052" s="3">
        <f>1/CAD!B1052</f>
        <v>0.97210070963351813</v>
      </c>
      <c r="E1052" s="3">
        <f>1/CAD!C1052</f>
        <v>0.97143967359626959</v>
      </c>
      <c r="F1052" s="3">
        <f>EUR!B1052/1</f>
        <v>1.3492</v>
      </c>
      <c r="G1052" s="3">
        <f>EUR!C1052/1</f>
        <v>1.3492999999999999</v>
      </c>
      <c r="H1052" s="3">
        <f>GBP!B1052/1</f>
        <v>1.6028</v>
      </c>
      <c r="I1052" s="3">
        <f>GBP!C1052/1</f>
        <v>1.6024</v>
      </c>
      <c r="J1052" s="4">
        <f>1/INR!B1052</f>
        <v>1.5938159939434992E-2</v>
      </c>
      <c r="K1052" s="4">
        <f>1/INR!C1052</f>
        <v>1.5792174977298748E-2</v>
      </c>
      <c r="L1052" s="4">
        <f>1/JPY!B1052</f>
        <v>1.0119204225779685E-2</v>
      </c>
      <c r="M1052" s="4">
        <f>1/JPY!C1052</f>
        <v>1.0120904323043071E-2</v>
      </c>
      <c r="N1052" s="5">
        <f>1/KRW!B1052</f>
        <v>9.2971364819635562E-4</v>
      </c>
      <c r="O1052" s="5">
        <f>1/KRW!C1052</f>
        <v>9.2968970583409108E-4</v>
      </c>
      <c r="P1052" s="3">
        <f>1/NOK!B1052</f>
        <v>0.16888468553671554</v>
      </c>
      <c r="Q1052" s="3">
        <f>1/NOK!C1052</f>
        <v>0.16868242160484456</v>
      </c>
      <c r="R1052" s="3">
        <f>NZD!B1052/1</f>
        <v>0.83309999999999995</v>
      </c>
      <c r="S1052" s="3">
        <f>NZD!C1052/1</f>
        <v>0.83120000000000005</v>
      </c>
      <c r="T1052" s="4">
        <f>1/PHP!B1052</f>
        <v>2.3062730627306273E-2</v>
      </c>
      <c r="U1052" s="4">
        <f>1/PHP!C1052</f>
        <v>2.3056668680282399E-2</v>
      </c>
      <c r="V1052" s="4">
        <f>1/TWD!B1052</f>
        <v>3.3772374197906116E-2</v>
      </c>
      <c r="W1052" s="4">
        <f>1/TWD!C1052</f>
        <v>3.3772488255617211E-2</v>
      </c>
      <c r="X1052" s="4">
        <f>1/TWD!B1052</f>
        <v>3.3772374197906116E-2</v>
      </c>
      <c r="Y1052" s="4">
        <f>1/TWD!C1052</f>
        <v>3.3772488255617211E-2</v>
      </c>
      <c r="Z1052" s="4">
        <f>1/ZAR!B1052</f>
        <v>0.10151150632924241</v>
      </c>
      <c r="AA1052" s="4">
        <f>1/ZAR!C1052</f>
        <v>0.10104684531748918</v>
      </c>
    </row>
    <row r="1053" spans="1:27" x14ac:dyDescent="0.25">
      <c r="A1053" t="str">
        <f>"25/09/2013"</f>
        <v>25/09/2013</v>
      </c>
      <c r="B1053" s="3">
        <f>AUD!B1053</f>
        <v>0.93740000000000001</v>
      </c>
      <c r="C1053" s="3">
        <f>AUD!C1053</f>
        <v>0.93540000000000001</v>
      </c>
      <c r="D1053" s="3">
        <f>1/CAD!B1053</f>
        <v>0.97040271712760795</v>
      </c>
      <c r="E1053" s="3">
        <f>1/CAD!C1053</f>
        <v>0.96964995636575191</v>
      </c>
      <c r="F1053" s="3">
        <f>EUR!B1053/1</f>
        <v>1.3466</v>
      </c>
      <c r="G1053" s="3">
        <f>EUR!C1053/1</f>
        <v>1.3467</v>
      </c>
      <c r="H1053" s="3">
        <f>GBP!B1053/1</f>
        <v>1.5984</v>
      </c>
      <c r="I1053" s="3">
        <f>GBP!C1053/1</f>
        <v>1.5979000000000001</v>
      </c>
      <c r="J1053" s="4">
        <f>1/INR!B1053</f>
        <v>1.5943877551020409E-2</v>
      </c>
      <c r="K1053" s="4">
        <f>1/INR!C1053</f>
        <v>1.5803405633914108E-2</v>
      </c>
      <c r="L1053" s="4">
        <f>1/JPY!B1053</f>
        <v>1.0129813560781414E-2</v>
      </c>
      <c r="M1053" s="4">
        <f>1/JPY!C1053</f>
        <v>1.0131322198334815E-2</v>
      </c>
      <c r="N1053" s="5">
        <f>1/KRW!B1053</f>
        <v>9.278804889930178E-4</v>
      </c>
      <c r="O1053" s="5">
        <f>1/KRW!C1053</f>
        <v>9.2785896543725352E-4</v>
      </c>
      <c r="P1053" s="3">
        <f>1/NOK!B1053</f>
        <v>0.16738362653365246</v>
      </c>
      <c r="Q1053" s="3">
        <f>1/NOK!C1053</f>
        <v>0.16718773510775251</v>
      </c>
      <c r="R1053" s="3">
        <f>NZD!B1053/1</f>
        <v>0.82320000000000004</v>
      </c>
      <c r="S1053" s="3">
        <f>NZD!C1053/1</f>
        <v>0.82130000000000003</v>
      </c>
      <c r="T1053" s="4">
        <f>1/PHP!B1053</f>
        <v>2.2977941176470586E-2</v>
      </c>
      <c r="U1053" s="4">
        <f>1/PHP!C1053</f>
        <v>2.2967913824387329E-2</v>
      </c>
      <c r="V1053" s="4">
        <f>1/TWD!B1053</f>
        <v>3.3749008622871703E-2</v>
      </c>
      <c r="W1053" s="4">
        <f>1/TWD!C1053</f>
        <v>3.3749122522814402E-2</v>
      </c>
      <c r="X1053" s="4">
        <f>1/TWD!B1053</f>
        <v>3.3749008622871703E-2</v>
      </c>
      <c r="Y1053" s="4">
        <f>1/TWD!C1053</f>
        <v>3.3749122522814402E-2</v>
      </c>
      <c r="Z1053" s="4">
        <f>1/ZAR!B1053</f>
        <v>0.10122994381738118</v>
      </c>
      <c r="AA1053" s="4">
        <f>1/ZAR!C1053</f>
        <v>0.10076480486895538</v>
      </c>
    </row>
    <row r="1054" spans="1:27" x14ac:dyDescent="0.25">
      <c r="A1054" t="str">
        <f>"26/09/2013"</f>
        <v>26/09/2013</v>
      </c>
      <c r="B1054" s="3">
        <f>AUD!B1054</f>
        <v>0.93700000000000006</v>
      </c>
      <c r="C1054" s="3">
        <f>AUD!C1054</f>
        <v>0.93510000000000004</v>
      </c>
      <c r="D1054" s="3">
        <f>1/CAD!B1054</f>
        <v>0.96908615175889135</v>
      </c>
      <c r="E1054" s="3">
        <f>1/CAD!C1054</f>
        <v>0.96842920782490804</v>
      </c>
      <c r="F1054" s="3">
        <f>EUR!B1054/1</f>
        <v>1.3525</v>
      </c>
      <c r="G1054" s="3">
        <f>EUR!C1054/1</f>
        <v>1.3526</v>
      </c>
      <c r="H1054" s="3">
        <f>GBP!B1054/1</f>
        <v>1.6081000000000001</v>
      </c>
      <c r="I1054" s="3">
        <f>GBP!C1054/1</f>
        <v>1.6077999999999999</v>
      </c>
      <c r="J1054" s="4">
        <f>1/INR!B1054</f>
        <v>1.603592046183451E-2</v>
      </c>
      <c r="K1054" s="4">
        <f>1/INR!C1054</f>
        <v>1.5888147442008262E-2</v>
      </c>
      <c r="L1054" s="4">
        <f>1/JPY!B1054</f>
        <v>1.0122943144489829E-2</v>
      </c>
      <c r="M1054" s="4">
        <f>1/JPY!C1054</f>
        <v>1.0124449736156841E-2</v>
      </c>
      <c r="N1054" s="5">
        <f>1/KRW!B1054</f>
        <v>9.3083868565577588E-4</v>
      </c>
      <c r="O1054" s="5">
        <f>1/KRW!C1054</f>
        <v>9.3080948684752236E-4</v>
      </c>
      <c r="P1054" s="3">
        <f>1/NOK!B1054</f>
        <v>0.16645859342488556</v>
      </c>
      <c r="Q1054" s="3">
        <f>1/NOK!C1054</f>
        <v>0.16626485992185552</v>
      </c>
      <c r="R1054" s="3">
        <f>NZD!B1054/1</f>
        <v>0.82569999999999999</v>
      </c>
      <c r="S1054" s="3">
        <f>NZD!C1054/1</f>
        <v>0.82389999999999997</v>
      </c>
      <c r="T1054" s="4">
        <f>1/PHP!B1054</f>
        <v>2.3052097740894419E-2</v>
      </c>
      <c r="U1054" s="4">
        <f>1/PHP!C1054</f>
        <v>2.3046094493596642E-2</v>
      </c>
      <c r="V1054" s="4">
        <f>1/TWD!B1054</f>
        <v>3.3798627775712305E-2</v>
      </c>
      <c r="W1054" s="4">
        <f>1/TWD!C1054</f>
        <v>3.3798742010822357E-2</v>
      </c>
      <c r="X1054" s="4">
        <f>1/TWD!B1054</f>
        <v>3.3798627775712305E-2</v>
      </c>
      <c r="Y1054" s="4">
        <f>1/TWD!C1054</f>
        <v>3.3798742010822357E-2</v>
      </c>
      <c r="Z1054" s="4">
        <f>1/ZAR!B1054</f>
        <v>0.10032706623592913</v>
      </c>
      <c r="AA1054" s="4">
        <f>1/ZAR!C1054</f>
        <v>9.9874158560214116E-2</v>
      </c>
    </row>
    <row r="1055" spans="1:27" x14ac:dyDescent="0.25">
      <c r="A1055" t="str">
        <f>"27/09/2013"</f>
        <v>27/09/2013</v>
      </c>
      <c r="B1055" s="3">
        <f>AUD!B1055</f>
        <v>0.93469999999999998</v>
      </c>
      <c r="C1055" s="3">
        <f>AUD!C1055</f>
        <v>0.93279999999999996</v>
      </c>
      <c r="D1055" s="3">
        <f>1/CAD!B1055</f>
        <v>0.96964995636575191</v>
      </c>
      <c r="E1055" s="3">
        <f>1/CAD!C1055</f>
        <v>0.9688983625617672</v>
      </c>
      <c r="F1055" s="3">
        <f>EUR!B1055/1</f>
        <v>1.3482000000000001</v>
      </c>
      <c r="G1055" s="3">
        <f>EUR!C1055/1</f>
        <v>1.3483000000000001</v>
      </c>
      <c r="H1055" s="3">
        <f>GBP!B1055/1</f>
        <v>1.6046</v>
      </c>
      <c r="I1055" s="3">
        <f>GBP!C1055/1</f>
        <v>1.6042000000000001</v>
      </c>
      <c r="J1055" s="4">
        <f>1/INR!B1055</f>
        <v>1.6144656118824669E-2</v>
      </c>
      <c r="K1055" s="4">
        <f>1/INR!C1055</f>
        <v>1.5996160921378868E-2</v>
      </c>
      <c r="L1055" s="4">
        <f>1/JPY!B1055</f>
        <v>1.0130788479267341E-2</v>
      </c>
      <c r="M1055" s="4">
        <f>1/JPY!C1055</f>
        <v>1.0132297407246417E-2</v>
      </c>
      <c r="N1055" s="5">
        <f>1/KRW!B1055</f>
        <v>9.3060046995323731E-4</v>
      </c>
      <c r="O1055" s="5">
        <f>1/KRW!C1055</f>
        <v>9.3057093970263247E-4</v>
      </c>
      <c r="P1055" s="3">
        <f>1/NOK!B1055</f>
        <v>0.16713464366893971</v>
      </c>
      <c r="Q1055" s="3">
        <f>1/NOK!C1055</f>
        <v>0.16694212116659154</v>
      </c>
      <c r="R1055" s="3">
        <f>NZD!B1055/1</f>
        <v>0.82879999999999998</v>
      </c>
      <c r="S1055" s="3">
        <f>NZD!C1055/1</f>
        <v>0.82699999999999996</v>
      </c>
      <c r="T1055" s="4">
        <f>1/PHP!B1055</f>
        <v>2.3074704355350448E-2</v>
      </c>
      <c r="U1055" s="4">
        <f>1/PHP!C1055</f>
        <v>2.306938116385028E-2</v>
      </c>
      <c r="V1055" s="4">
        <f>1/TWD!B1055</f>
        <v>3.3782642478294655E-2</v>
      </c>
      <c r="W1055" s="4">
        <f>1/TWD!C1055</f>
        <v>3.3782756605373485E-2</v>
      </c>
      <c r="X1055" s="4">
        <f>1/TWD!B1055</f>
        <v>3.3782642478294655E-2</v>
      </c>
      <c r="Y1055" s="4">
        <f>1/TWD!C1055</f>
        <v>3.3782756605373485E-2</v>
      </c>
      <c r="Z1055" s="4">
        <f>1/ZAR!B1055</f>
        <v>9.9918067184908366E-2</v>
      </c>
      <c r="AA1055" s="4">
        <f>1/ZAR!C1055</f>
        <v>9.9458943348185877E-2</v>
      </c>
    </row>
    <row r="1056" spans="1:27" x14ac:dyDescent="0.25">
      <c r="A1056" t="str">
        <f>"30/09/2013"</f>
        <v>30/09/2013</v>
      </c>
      <c r="B1056" s="3">
        <f>AUD!B1056</f>
        <v>0.93079999999999996</v>
      </c>
      <c r="C1056" s="3">
        <f>AUD!C1056</f>
        <v>0.92879999999999996</v>
      </c>
      <c r="D1056" s="3">
        <f>1/CAD!B1056</f>
        <v>0.97040271712760795</v>
      </c>
      <c r="E1056" s="3">
        <f>1/CAD!C1056</f>
        <v>0.96964995636575191</v>
      </c>
      <c r="F1056" s="3">
        <f>EUR!B1056/1</f>
        <v>1.3502000000000001</v>
      </c>
      <c r="G1056" s="3">
        <f>EUR!C1056/1</f>
        <v>1.3503000000000001</v>
      </c>
      <c r="H1056" s="3">
        <f>GBP!B1056/1</f>
        <v>1.6164000000000001</v>
      </c>
      <c r="I1056" s="3">
        <f>GBP!C1056/1</f>
        <v>1.6158999999999999</v>
      </c>
      <c r="J1056" s="4">
        <f>1/INR!B1056</f>
        <v>1.5948963317384369E-2</v>
      </c>
      <c r="K1056" s="4">
        <f>1/INR!C1056</f>
        <v>1.5797164408988585E-2</v>
      </c>
      <c r="L1056" s="4">
        <f>1/JPY!B1056</f>
        <v>1.0204029571277697E-2</v>
      </c>
      <c r="M1056" s="4">
        <f>1/JPY!C1056</f>
        <v>1.020582078782813E-2</v>
      </c>
      <c r="N1056" s="5">
        <f>1/KRW!B1056</f>
        <v>9.3031909945111161E-4</v>
      </c>
      <c r="O1056" s="5">
        <f>1/KRW!C1056</f>
        <v>9.3029486626080996E-4</v>
      </c>
      <c r="P1056" s="3">
        <f>1/NOK!B1056</f>
        <v>0.16685298583418151</v>
      </c>
      <c r="Q1056" s="3">
        <f>1/NOK!C1056</f>
        <v>0.16664722449047611</v>
      </c>
      <c r="R1056" s="3">
        <f>NZD!B1056/1</f>
        <v>0.82809999999999995</v>
      </c>
      <c r="S1056" s="3">
        <f>NZD!C1056/1</f>
        <v>0.82620000000000005</v>
      </c>
      <c r="T1056" s="4">
        <f>1/PHP!B1056</f>
        <v>2.296738631143776E-2</v>
      </c>
      <c r="U1056" s="4">
        <f>1/PHP!C1056</f>
        <v>2.2968283097870152E-2</v>
      </c>
      <c r="V1056" s="4">
        <f>1/TWD!B1056</f>
        <v>3.3794630033287712E-2</v>
      </c>
      <c r="W1056" s="4">
        <f>1/TWD!C1056</f>
        <v>3.3794744241375581E-2</v>
      </c>
      <c r="X1056" s="4">
        <f>1/TWD!B1056</f>
        <v>3.3794630033287712E-2</v>
      </c>
      <c r="Y1056" s="4">
        <f>1/TWD!C1056</f>
        <v>3.3794744241375581E-2</v>
      </c>
      <c r="Z1056" s="4">
        <f>1/ZAR!B1056</f>
        <v>9.8741051592199466E-2</v>
      </c>
      <c r="AA1056" s="4">
        <f>1/ZAR!C1056</f>
        <v>9.8297487516219084E-2</v>
      </c>
    </row>
    <row r="1057" spans="1:27" x14ac:dyDescent="0.25">
      <c r="A1057" t="str">
        <f>"01/10/2013"</f>
        <v>01/10/2013</v>
      </c>
      <c r="B1057" s="3">
        <f>AUD!B1057</f>
        <v>0.93730000000000002</v>
      </c>
      <c r="C1057" s="3">
        <f>AUD!C1057</f>
        <v>0.93530000000000002</v>
      </c>
      <c r="D1057" s="3">
        <f>1/CAD!B1057</f>
        <v>0.96983803704781313</v>
      </c>
      <c r="E1057" s="3">
        <f>1/CAD!C1057</f>
        <v>0.96899224806201545</v>
      </c>
      <c r="F1057" s="3">
        <f>EUR!B1057/1</f>
        <v>1.3541000000000001</v>
      </c>
      <c r="G1057" s="3">
        <f>EUR!C1057/1</f>
        <v>1.3542000000000001</v>
      </c>
      <c r="H1057" s="3">
        <f>GBP!B1057/1</f>
        <v>1.6244000000000001</v>
      </c>
      <c r="I1057" s="3">
        <f>GBP!C1057/1</f>
        <v>1.6238999999999999</v>
      </c>
      <c r="J1057" s="4">
        <f>1/INR!B1057</f>
        <v>1.6011528300376273E-2</v>
      </c>
      <c r="K1057" s="4">
        <f>1/INR!C1057</f>
        <v>1.5863573269879042E-2</v>
      </c>
      <c r="L1057" s="4">
        <f>1/JPY!B1057</f>
        <v>1.0169267456818749E-2</v>
      </c>
      <c r="M1057" s="4">
        <f>1/JPY!C1057</f>
        <v>1.0171077523952889E-2</v>
      </c>
      <c r="N1057" s="5">
        <f>1/KRW!B1057</f>
        <v>9.3023255813953494E-4</v>
      </c>
      <c r="O1057" s="5">
        <f>1/KRW!C1057</f>
        <v>9.3020694499946783E-4</v>
      </c>
      <c r="P1057" s="3">
        <f>1/NOK!B1057</f>
        <v>0.16655562958027983</v>
      </c>
      <c r="Q1057" s="3">
        <f>1/NOK!C1057</f>
        <v>0.16635060052566789</v>
      </c>
      <c r="R1057" s="3">
        <f>NZD!B1057/1</f>
        <v>0.83150000000000002</v>
      </c>
      <c r="S1057" s="3">
        <f>NZD!C1057/1</f>
        <v>0.8296</v>
      </c>
      <c r="T1057" s="4">
        <f>1/PHP!B1057</f>
        <v>2.3052097740894419E-2</v>
      </c>
      <c r="U1057" s="4">
        <f>1/PHP!C1057</f>
        <v>2.3045085405086513E-2</v>
      </c>
      <c r="V1057" s="4">
        <f>1/TWD!B1057</f>
        <v>3.3814628208162847E-2</v>
      </c>
      <c r="W1057" s="4">
        <f>1/TWD!C1057</f>
        <v>3.3814742551457583E-2</v>
      </c>
      <c r="X1057" s="4">
        <f>1/TWD!B1057</f>
        <v>3.3814628208162847E-2</v>
      </c>
      <c r="Y1057" s="4">
        <f>1/TWD!C1057</f>
        <v>3.3814742551457583E-2</v>
      </c>
      <c r="Z1057" s="4">
        <f>1/ZAR!B1057</f>
        <v>9.9597625592605876E-2</v>
      </c>
      <c r="AA1057" s="4">
        <f>1/ZAR!C1057</f>
        <v>9.9121781020161379E-2</v>
      </c>
    </row>
    <row r="1058" spans="1:27" x14ac:dyDescent="0.25">
      <c r="A1058" t="str">
        <f>"03/10/2013"</f>
        <v>03/10/2013</v>
      </c>
      <c r="B1058" s="3">
        <f>AUD!B1058</f>
        <v>0.93940000000000001</v>
      </c>
      <c r="C1058" s="3">
        <f>AUD!C1058</f>
        <v>0.93740000000000001</v>
      </c>
      <c r="D1058" s="3">
        <f>1/CAD!B1058</f>
        <v>0.96880449525285794</v>
      </c>
      <c r="E1058" s="3">
        <f>1/CAD!C1058</f>
        <v>0.96805421103581812</v>
      </c>
      <c r="F1058" s="3">
        <f>EUR!B1058/1</f>
        <v>1.3608</v>
      </c>
      <c r="G1058" s="3">
        <f>EUR!C1058/1</f>
        <v>1.3608</v>
      </c>
      <c r="H1058" s="3">
        <f>GBP!B1058/1</f>
        <v>1.6237999999999999</v>
      </c>
      <c r="I1058" s="3">
        <f>GBP!C1058/1</f>
        <v>1.6234</v>
      </c>
      <c r="J1058" s="4">
        <f>1/INR!B1058</f>
        <v>1.616488179430188E-2</v>
      </c>
      <c r="K1058" s="4">
        <f>1/INR!C1058</f>
        <v>1.6021789633902106E-2</v>
      </c>
      <c r="L1058" s="4">
        <f>1/JPY!B1058</f>
        <v>1.0239921357403975E-2</v>
      </c>
      <c r="M1058" s="4">
        <f>1/JPY!C1058</f>
        <v>1.0241431506330228E-2</v>
      </c>
      <c r="N1058" s="5">
        <f>1/KRW!B1058</f>
        <v>9.3366758632923918E-4</v>
      </c>
      <c r="O1058" s="5">
        <f>1/KRW!C1058</f>
        <v>9.336381226105866E-4</v>
      </c>
      <c r="P1058" s="3">
        <f>1/NOK!B1058</f>
        <v>0.16645028130097542</v>
      </c>
      <c r="Q1058" s="3">
        <f>1/NOK!C1058</f>
        <v>0.16625380305574491</v>
      </c>
      <c r="R1058" s="3">
        <f>NZD!B1058/1</f>
        <v>0.83099999999999996</v>
      </c>
      <c r="S1058" s="3">
        <f>NZD!C1058/1</f>
        <v>0.82920000000000005</v>
      </c>
      <c r="T1058" s="4">
        <f>1/PHP!B1058</f>
        <v>2.3148148148148147E-2</v>
      </c>
      <c r="U1058" s="4">
        <f>1/PHP!C1058</f>
        <v>2.3156885584144016E-2</v>
      </c>
      <c r="V1058" s="4">
        <f>1/TWD!B1058</f>
        <v>3.3979510355255781E-2</v>
      </c>
      <c r="W1058" s="4">
        <f>1/TWD!C1058</f>
        <v>3.3979625816360506E-2</v>
      </c>
      <c r="X1058" s="4">
        <f>1/TWD!B1058</f>
        <v>3.3979510355255781E-2</v>
      </c>
      <c r="Y1058" s="4">
        <f>1/TWD!C1058</f>
        <v>3.3979625816360506E-2</v>
      </c>
      <c r="Z1058" s="4">
        <f>1/ZAR!B1058</f>
        <v>9.9700897308075784E-2</v>
      </c>
      <c r="AA1058" s="4">
        <f>1/ZAR!C1058</f>
        <v>9.9246717414821495E-2</v>
      </c>
    </row>
    <row r="1059" spans="1:27" x14ac:dyDescent="0.25">
      <c r="A1059" t="str">
        <f>"04/10/2013"</f>
        <v>04/10/2013</v>
      </c>
      <c r="B1059" s="3">
        <f>AUD!B1059</f>
        <v>0.94350000000000001</v>
      </c>
      <c r="C1059" s="3">
        <f>AUD!C1059</f>
        <v>0.94130000000000003</v>
      </c>
      <c r="D1059" s="3">
        <f>1/CAD!B1059</f>
        <v>0.96842920782490804</v>
      </c>
      <c r="E1059" s="3">
        <f>1/CAD!C1059</f>
        <v>0.96767950454809359</v>
      </c>
      <c r="F1059" s="3">
        <f>EUR!B1059/1</f>
        <v>1.3625</v>
      </c>
      <c r="G1059" s="3">
        <f>EUR!C1059/1</f>
        <v>1.3626</v>
      </c>
      <c r="H1059" s="3">
        <f>GBP!B1059/1</f>
        <v>1.6172</v>
      </c>
      <c r="I1059" s="3">
        <f>GBP!C1059/1</f>
        <v>1.6168</v>
      </c>
      <c r="J1059" s="4">
        <f>1/INR!B1059</f>
        <v>1.6276041666666668E-2</v>
      </c>
      <c r="K1059" s="4">
        <f>1/INR!C1059</f>
        <v>1.6136840406648378E-2</v>
      </c>
      <c r="L1059" s="4">
        <f>1/JPY!B1059</f>
        <v>1.0288065843621399E-2</v>
      </c>
      <c r="M1059" s="4">
        <f>1/JPY!C1059</f>
        <v>1.0289537289797616E-2</v>
      </c>
      <c r="N1059" s="5">
        <f>1/KRW!B1059</f>
        <v>9.3309694877297751E-4</v>
      </c>
      <c r="O1059" s="5">
        <f>1/KRW!C1059</f>
        <v>9.3306865285880565E-4</v>
      </c>
      <c r="P1059" s="3">
        <f>1/NOK!B1059</f>
        <v>0.16794867488495516</v>
      </c>
      <c r="Q1059" s="3">
        <f>1/NOK!C1059</f>
        <v>0.16775427354011843</v>
      </c>
      <c r="R1059" s="3">
        <f>NZD!B1059/1</f>
        <v>0.82969999999999999</v>
      </c>
      <c r="S1059" s="3">
        <f>NZD!C1059/1</f>
        <v>0.82789999999999997</v>
      </c>
      <c r="T1059" s="4">
        <f>1/PHP!B1059</f>
        <v>2.3201856148491878E-2</v>
      </c>
      <c r="U1059" s="4">
        <f>1/PHP!C1059</f>
        <v>2.3210849679574218E-2</v>
      </c>
      <c r="V1059" s="4">
        <f>1/TWD!B1059</f>
        <v>3.4034442856170445E-2</v>
      </c>
      <c r="W1059" s="4">
        <f>1/TWD!C1059</f>
        <v>3.403455869089473E-2</v>
      </c>
      <c r="X1059" s="4">
        <f>1/TWD!B1059</f>
        <v>3.4034442856170445E-2</v>
      </c>
      <c r="Y1059" s="4">
        <f>1/TWD!C1059</f>
        <v>3.403455869089473E-2</v>
      </c>
      <c r="Z1059" s="4">
        <f>1/ZAR!B1059</f>
        <v>9.9625408464174711E-2</v>
      </c>
      <c r="AA1059" s="4">
        <f>1/ZAR!C1059</f>
        <v>9.9176832291976588E-2</v>
      </c>
    </row>
    <row r="1060" spans="1:27" x14ac:dyDescent="0.25">
      <c r="A1060" t="str">
        <f>"07/10/2013"</f>
        <v>07/10/2013</v>
      </c>
      <c r="B1060" s="3">
        <f>AUD!B1060</f>
        <v>0.94210000000000005</v>
      </c>
      <c r="C1060" s="3">
        <f>AUD!C1060</f>
        <v>0.94</v>
      </c>
      <c r="D1060" s="3">
        <f>1/CAD!B1060</f>
        <v>0.97030855812148264</v>
      </c>
      <c r="E1060" s="3">
        <f>1/CAD!C1060</f>
        <v>0.96955594337793283</v>
      </c>
      <c r="F1060" s="3">
        <f>EUR!B1060/1</f>
        <v>1.3565</v>
      </c>
      <c r="G1060" s="3">
        <f>EUR!C1060/1</f>
        <v>1.3566</v>
      </c>
      <c r="H1060" s="3">
        <f>GBP!B1060/1</f>
        <v>1.6032</v>
      </c>
      <c r="I1060" s="3">
        <f>GBP!C1060/1</f>
        <v>1.6028</v>
      </c>
      <c r="J1060" s="4">
        <f>1/INR!B1060</f>
        <v>1.6210082671421624E-2</v>
      </c>
      <c r="K1060" s="4">
        <f>1/INR!C1060</f>
        <v>1.6057808109193095E-2</v>
      </c>
      <c r="L1060" s="4">
        <f>1/JPY!B1060</f>
        <v>1.0294155493218726E-2</v>
      </c>
      <c r="M1060" s="4">
        <f>1/JPY!C1060</f>
        <v>1.0295872487678414E-2</v>
      </c>
      <c r="N1060" s="5">
        <f>1/KRW!B1060</f>
        <v>9.3440478415249479E-4</v>
      </c>
      <c r="O1060" s="5">
        <f>1/KRW!C1060</f>
        <v>9.3437588502915867E-4</v>
      </c>
      <c r="P1060" s="3">
        <f>1/NOK!B1060</f>
        <v>0.16732201121057477</v>
      </c>
      <c r="Q1060" s="3">
        <f>1/NOK!C1060</f>
        <v>0.16710950685984527</v>
      </c>
      <c r="R1060" s="3">
        <f>NZD!B1060/1</f>
        <v>0.82940000000000003</v>
      </c>
      <c r="S1060" s="3">
        <f>NZD!C1060/1</f>
        <v>0.82740000000000002</v>
      </c>
      <c r="T1060" s="4">
        <f>1/PHP!B1060</f>
        <v>2.3185717597959656E-2</v>
      </c>
      <c r="U1060" s="4">
        <f>1/PHP!C1060</f>
        <v>2.3181256563193264E-2</v>
      </c>
      <c r="V1060" s="4">
        <f>1/TWD!B1060</f>
        <v>3.4012448556171561E-2</v>
      </c>
      <c r="W1060" s="4">
        <f>1/TWD!C1060</f>
        <v>3.4012564241230711E-2</v>
      </c>
      <c r="X1060" s="4">
        <f>1/TWD!B1060</f>
        <v>3.4012448556171561E-2</v>
      </c>
      <c r="Y1060" s="4">
        <f>1/TWD!C1060</f>
        <v>3.4012564241230711E-2</v>
      </c>
      <c r="Z1060" s="4">
        <f>1/ZAR!B1060</f>
        <v>9.9845239878188816E-2</v>
      </c>
      <c r="AA1060" s="4">
        <f>1/ZAR!C1060</f>
        <v>9.939567430025445E-2</v>
      </c>
    </row>
    <row r="1061" spans="1:27" x14ac:dyDescent="0.25">
      <c r="A1061" t="str">
        <f>"08/10/2013"</f>
        <v>08/10/2013</v>
      </c>
      <c r="B1061" s="3">
        <f>AUD!B1061</f>
        <v>0.94279999999999997</v>
      </c>
      <c r="C1061" s="3">
        <f>AUD!C1061</f>
        <v>0.94069999999999998</v>
      </c>
      <c r="D1061" s="3">
        <f>1/CAD!B1061</f>
        <v>0.96861681518791165</v>
      </c>
      <c r="E1061" s="3">
        <f>1/CAD!C1061</f>
        <v>0.96777315397270869</v>
      </c>
      <c r="F1061" s="3">
        <f>EUR!B1061/1</f>
        <v>1.3560000000000001</v>
      </c>
      <c r="G1061" s="3">
        <f>EUR!C1061/1</f>
        <v>1.3561000000000001</v>
      </c>
      <c r="H1061" s="3">
        <f>GBP!B1061/1</f>
        <v>1.6074999999999999</v>
      </c>
      <c r="I1061" s="3">
        <f>GBP!C1061/1</f>
        <v>1.607</v>
      </c>
      <c r="J1061" s="4">
        <f>1/INR!B1061</f>
        <v>1.6203516163007373E-2</v>
      </c>
      <c r="K1061" s="4">
        <f>1/INR!C1061</f>
        <v>1.6064257028112448E-2</v>
      </c>
      <c r="L1061" s="4">
        <f>1/JPY!B1061</f>
        <v>1.0314935614171896E-2</v>
      </c>
      <c r="M1061" s="4">
        <f>1/JPY!C1061</f>
        <v>1.031679791353079E-2</v>
      </c>
      <c r="N1061" s="5">
        <f>1/KRW!B1061</f>
        <v>9.3023255813953494E-4</v>
      </c>
      <c r="O1061" s="5">
        <f>1/KRW!C1061</f>
        <v>9.3020685847097989E-4</v>
      </c>
      <c r="P1061" s="3">
        <f>1/NOK!B1061</f>
        <v>0.16733601070950468</v>
      </c>
      <c r="Q1061" s="3">
        <f>1/NOK!C1061</f>
        <v>0.16712626389237067</v>
      </c>
      <c r="R1061" s="3">
        <f>NZD!B1061/1</f>
        <v>0.83020000000000005</v>
      </c>
      <c r="S1061" s="3">
        <f>NZD!C1061/1</f>
        <v>0.82830000000000004</v>
      </c>
      <c r="T1061" s="4">
        <f>1/PHP!B1061</f>
        <v>2.3208587177255584E-2</v>
      </c>
      <c r="U1061" s="4">
        <f>1/PHP!C1061</f>
        <v>2.3211280682411649E-2</v>
      </c>
      <c r="V1061" s="4">
        <f>1/TWD!B1061</f>
        <v>3.3992793527772111E-2</v>
      </c>
      <c r="W1061" s="4">
        <f>1/TWD!C1061</f>
        <v>3.3992909079166085E-2</v>
      </c>
      <c r="X1061" s="4">
        <f>1/TWD!B1061</f>
        <v>3.3992793527772111E-2</v>
      </c>
      <c r="Y1061" s="4">
        <f>1/TWD!C1061</f>
        <v>3.3992909079166085E-2</v>
      </c>
      <c r="Z1061" s="4">
        <f>1/ZAR!B1061</f>
        <v>9.9897105980839729E-2</v>
      </c>
      <c r="AA1061" s="4">
        <f>1/ZAR!C1061</f>
        <v>9.9402590431506649E-2</v>
      </c>
    </row>
    <row r="1062" spans="1:27" x14ac:dyDescent="0.25">
      <c r="A1062" t="str">
        <f>"09/10/2013"</f>
        <v>09/10/2013</v>
      </c>
      <c r="B1062" s="3">
        <f>AUD!B1062</f>
        <v>0.94289999999999996</v>
      </c>
      <c r="C1062" s="3">
        <f>AUD!C1062</f>
        <v>0.94089999999999996</v>
      </c>
      <c r="D1062" s="3">
        <f>1/CAD!B1062</f>
        <v>0.9640412609659692</v>
      </c>
      <c r="E1062" s="3">
        <f>1/CAD!C1062</f>
        <v>0.96320554806395686</v>
      </c>
      <c r="F1062" s="3">
        <f>EUR!B1062/1</f>
        <v>1.3567</v>
      </c>
      <c r="G1062" s="3">
        <f>EUR!C1062/1</f>
        <v>1.3569</v>
      </c>
      <c r="H1062" s="3">
        <f>GBP!B1062/1</f>
        <v>1.6067</v>
      </c>
      <c r="I1062" s="3">
        <f>GBP!C1062/1</f>
        <v>1.6063000000000001</v>
      </c>
      <c r="J1062" s="4">
        <f>1/INR!B1062</f>
        <v>1.6062966829973494E-2</v>
      </c>
      <c r="K1062" s="4">
        <f>1/INR!C1062</f>
        <v>1.5929908403026685E-2</v>
      </c>
      <c r="L1062" s="4">
        <f>1/JPY!B1062</f>
        <v>1.0273480038628286E-2</v>
      </c>
      <c r="M1062" s="4">
        <f>1/JPY!C1062</f>
        <v>1.0275306281191976E-2</v>
      </c>
      <c r="N1062" s="5">
        <f>1/KRW!B1062</f>
        <v>9.2785035629453687E-4</v>
      </c>
      <c r="O1062" s="5">
        <f>1/KRW!C1062</f>
        <v>9.2782513242616169E-4</v>
      </c>
      <c r="P1062" s="3">
        <f>1/NOK!B1062</f>
        <v>0.16714861183077873</v>
      </c>
      <c r="Q1062" s="3">
        <f>1/NOK!C1062</f>
        <v>0.16694212116659154</v>
      </c>
      <c r="R1062" s="3">
        <f>NZD!B1062/1</f>
        <v>0.82879999999999998</v>
      </c>
      <c r="S1062" s="3">
        <f>NZD!C1062/1</f>
        <v>0.82699999999999996</v>
      </c>
      <c r="T1062" s="4">
        <f>1/PHP!B1062</f>
        <v>2.316423442205235E-2</v>
      </c>
      <c r="U1062" s="4">
        <f>1/PHP!C1062</f>
        <v>2.3161551823972209E-2</v>
      </c>
      <c r="V1062" s="4">
        <f>1/TWD!B1062</f>
        <v>3.394663588838346E-2</v>
      </c>
      <c r="W1062" s="4">
        <f>1/TWD!C1062</f>
        <v>3.3946751126183471E-2</v>
      </c>
      <c r="X1062" s="4">
        <f>1/TWD!B1062</f>
        <v>3.394663588838346E-2</v>
      </c>
      <c r="Y1062" s="4">
        <f>1/TWD!C1062</f>
        <v>3.3946751126183471E-2</v>
      </c>
      <c r="Z1062" s="4">
        <f>1/ZAR!B1062</f>
        <v>0.1000480230510645</v>
      </c>
      <c r="AA1062" s="4">
        <f>1/ZAR!C1062</f>
        <v>9.9568866806726872E-2</v>
      </c>
    </row>
    <row r="1063" spans="1:27" x14ac:dyDescent="0.25">
      <c r="A1063" t="str">
        <f>"10/10/2013"</f>
        <v>10/10/2013</v>
      </c>
      <c r="B1063" s="3">
        <f>AUD!B1063</f>
        <v>0.94030000000000002</v>
      </c>
      <c r="C1063" s="3">
        <f>AUD!C1063</f>
        <v>0.93840000000000001</v>
      </c>
      <c r="D1063" s="3">
        <f>1/CAD!B1063</f>
        <v>0.96061479346781953</v>
      </c>
      <c r="E1063" s="3">
        <f>1/CAD!C1063</f>
        <v>0.95987713572662692</v>
      </c>
      <c r="F1063" s="3">
        <f>EUR!B1063/1</f>
        <v>1.3501000000000001</v>
      </c>
      <c r="G1063" s="3">
        <f>EUR!C1063/1</f>
        <v>1.3502000000000001</v>
      </c>
      <c r="H1063" s="3">
        <f>GBP!B1063/1</f>
        <v>1.5934999999999999</v>
      </c>
      <c r="I1063" s="3">
        <f>GBP!C1063/1</f>
        <v>1.593</v>
      </c>
      <c r="J1063" s="4">
        <f>1/INR!B1063</f>
        <v>1.607717041800643E-2</v>
      </c>
      <c r="K1063" s="4">
        <f>1/INR!C1063</f>
        <v>1.5948963317384369E-2</v>
      </c>
      <c r="L1063" s="4">
        <f>1/JPY!B1063</f>
        <v>1.023085934103035E-2</v>
      </c>
      <c r="M1063" s="4">
        <f>1/JPY!C1063</f>
        <v>1.0232586695590778E-2</v>
      </c>
      <c r="N1063" s="5">
        <f>1/KRW!B1063</f>
        <v>9.3057882002605633E-4</v>
      </c>
      <c r="O1063" s="5">
        <f>1/KRW!C1063</f>
        <v>9.3055197551531637E-4</v>
      </c>
      <c r="P1063" s="3">
        <f>1/NOK!B1063</f>
        <v>0.16643088957310478</v>
      </c>
      <c r="Q1063" s="3">
        <f>1/NOK!C1063</f>
        <v>0.16623722051367301</v>
      </c>
      <c r="R1063" s="3">
        <f>NZD!B1063/1</f>
        <v>0.82420000000000004</v>
      </c>
      <c r="S1063" s="3">
        <f>NZD!C1063/1</f>
        <v>0.82250000000000001</v>
      </c>
      <c r="T1063" s="4">
        <f>1/PHP!B1063</f>
        <v>2.3116042533518264E-2</v>
      </c>
      <c r="U1063" s="4">
        <f>1/PHP!C1063</f>
        <v>2.3111180958235784E-2</v>
      </c>
      <c r="V1063" s="4">
        <f>1/TWD!B1063</f>
        <v>3.395931673854722E-2</v>
      </c>
      <c r="W1063" s="4">
        <f>1/TWD!C1063</f>
        <v>3.3959432062458189E-2</v>
      </c>
      <c r="X1063" s="4">
        <f>1/TWD!B1063</f>
        <v>3.395931673854722E-2</v>
      </c>
      <c r="Y1063" s="4">
        <f>1/TWD!C1063</f>
        <v>3.3959432062458189E-2</v>
      </c>
      <c r="Z1063" s="4">
        <f>1/ZAR!B1063</f>
        <v>0.10018333550397227</v>
      </c>
      <c r="AA1063" s="4">
        <f>1/ZAR!C1063</f>
        <v>9.9739679436670295E-2</v>
      </c>
    </row>
    <row r="1064" spans="1:27" x14ac:dyDescent="0.25">
      <c r="A1064" t="str">
        <f>"11/10/2013"</f>
        <v>11/10/2013</v>
      </c>
      <c r="B1064" s="3">
        <f>AUD!B1064</f>
        <v>0.94710000000000005</v>
      </c>
      <c r="C1064" s="3">
        <f>AUD!C1064</f>
        <v>0.94520000000000004</v>
      </c>
      <c r="D1064" s="3">
        <f>1/CAD!B1064</f>
        <v>0.96153846153846145</v>
      </c>
      <c r="E1064" s="3">
        <f>1/CAD!C1064</f>
        <v>0.96089170750456432</v>
      </c>
      <c r="F1064" s="3">
        <f>EUR!B1064/1</f>
        <v>1.3537999999999999</v>
      </c>
      <c r="G1064" s="3">
        <f>EUR!C1064/1</f>
        <v>1.3539000000000001</v>
      </c>
      <c r="H1064" s="3">
        <f>GBP!B1064/1</f>
        <v>1.5982000000000001</v>
      </c>
      <c r="I1064" s="3">
        <f>GBP!C1064/1</f>
        <v>1.5978000000000001</v>
      </c>
      <c r="J1064" s="4">
        <f>1/INR!B1064</f>
        <v>1.6335865392469166E-2</v>
      </c>
      <c r="K1064" s="4">
        <f>1/INR!C1064</f>
        <v>1.6204829039053639E-2</v>
      </c>
      <c r="L1064" s="4">
        <f>1/JPY!B1064</f>
        <v>1.0157337152492103E-2</v>
      </c>
      <c r="M1064" s="4">
        <f>1/JPY!C1064</f>
        <v>1.0159050088180556E-2</v>
      </c>
      <c r="N1064" s="5">
        <f>1/KRW!B1064</f>
        <v>9.3327111525898275E-4</v>
      </c>
      <c r="O1064" s="5">
        <f>1/KRW!C1064</f>
        <v>9.3324995056108387E-4</v>
      </c>
      <c r="P1064" s="3">
        <f>1/NOK!B1064</f>
        <v>0.16569459172852599</v>
      </c>
      <c r="Q1064" s="3">
        <f>1/NOK!C1064</f>
        <v>0.16550263149184072</v>
      </c>
      <c r="R1064" s="3">
        <f>NZD!B1064/1</f>
        <v>0.83020000000000005</v>
      </c>
      <c r="S1064" s="3">
        <f>NZD!C1064/1</f>
        <v>0.82840000000000003</v>
      </c>
      <c r="T1064" s="4">
        <f>1/PHP!B1064</f>
        <v>2.3201856148491878E-2</v>
      </c>
      <c r="U1064" s="4">
        <f>1/PHP!C1064</f>
        <v>2.3198895732563129E-2</v>
      </c>
      <c r="V1064" s="4">
        <f>1/TWD!B1064</f>
        <v>3.4011291748860618E-2</v>
      </c>
      <c r="W1064" s="4">
        <f>1/TWD!C1064</f>
        <v>3.4011407426050695E-2</v>
      </c>
      <c r="X1064" s="4">
        <f>1/TWD!B1064</f>
        <v>3.4011291748860618E-2</v>
      </c>
      <c r="Y1064" s="4">
        <f>1/TWD!C1064</f>
        <v>3.4011407426050695E-2</v>
      </c>
      <c r="Z1064" s="4">
        <f>1/ZAR!B1064</f>
        <v>0.10103561505430664</v>
      </c>
      <c r="AA1064" s="4">
        <f>1/ZAR!C1064</f>
        <v>0.1005854070691424</v>
      </c>
    </row>
    <row r="1065" spans="1:27" x14ac:dyDescent="0.25">
      <c r="A1065" t="str">
        <f>"14/10/2013"</f>
        <v>14/10/2013</v>
      </c>
      <c r="B1065" s="3">
        <f>AUD!B1065</f>
        <v>0.94679999999999997</v>
      </c>
      <c r="C1065" s="3">
        <f>AUD!C1065</f>
        <v>0.94469999999999998</v>
      </c>
      <c r="D1065" s="3">
        <f>1/CAD!B1065</f>
        <v>0.96553055904219365</v>
      </c>
      <c r="E1065" s="3">
        <f>1/CAD!C1065</f>
        <v>0.96487842531840984</v>
      </c>
      <c r="F1065" s="3">
        <f>EUR!B1065/1</f>
        <v>1.3562000000000001</v>
      </c>
      <c r="G1065" s="3">
        <f>EUR!C1065/1</f>
        <v>1.3564000000000001</v>
      </c>
      <c r="H1065" s="3">
        <f>GBP!B1065/1</f>
        <v>1.5983000000000001</v>
      </c>
      <c r="I1065" s="3">
        <f>GBP!C1065/1</f>
        <v>1.5978000000000001</v>
      </c>
      <c r="J1065" s="4">
        <f>1/INR!B1065</f>
        <v>1.6347214843271077E-2</v>
      </c>
      <c r="K1065" s="4">
        <f>1/INR!C1065</f>
        <v>1.6214025131738957E-2</v>
      </c>
      <c r="L1065" s="4">
        <f>1/JPY!B1065</f>
        <v>1.0174337269106134E-2</v>
      </c>
      <c r="M1065" s="4">
        <f>1/JPY!C1065</f>
        <v>1.0176107720205883E-2</v>
      </c>
      <c r="N1065" s="5">
        <f>1/KRW!B1065</f>
        <v>9.3179276928811029E-4</v>
      </c>
      <c r="O1065" s="5">
        <f>1/KRW!C1065</f>
        <v>9.3176680970218962E-4</v>
      </c>
      <c r="P1065" s="3">
        <f>1/NOK!B1065</f>
        <v>0.16671946116270153</v>
      </c>
      <c r="Q1065" s="3">
        <f>1/NOK!C1065</f>
        <v>0.16651402880692701</v>
      </c>
      <c r="R1065" s="3">
        <f>NZD!B1065/1</f>
        <v>0.83340000000000003</v>
      </c>
      <c r="S1065" s="3">
        <f>NZD!C1065/1</f>
        <v>0.83150000000000002</v>
      </c>
      <c r="T1065" s="4">
        <f>1/PHP!B1065</f>
        <v>2.316423442205235E-2</v>
      </c>
      <c r="U1065" s="4">
        <f>1/PHP!C1065</f>
        <v>2.3167185997752783E-2</v>
      </c>
      <c r="V1065" s="4">
        <f>1/TWD!B1065</f>
        <v>3.4019391052900153E-2</v>
      </c>
      <c r="W1065" s="4">
        <f>1/TWD!C1065</f>
        <v>3.4019506785190626E-2</v>
      </c>
      <c r="X1065" s="4">
        <f>1/TWD!B1065</f>
        <v>3.4019391052900153E-2</v>
      </c>
      <c r="Y1065" s="4">
        <f>1/TWD!C1065</f>
        <v>3.4019506785190626E-2</v>
      </c>
      <c r="Z1065" s="4">
        <f>1/ZAR!B1065</f>
        <v>0.10084711577248891</v>
      </c>
      <c r="AA1065" s="4">
        <f>1/ZAR!C1065</f>
        <v>0.1003885035085782</v>
      </c>
    </row>
    <row r="1066" spans="1:27" x14ac:dyDescent="0.25">
      <c r="A1066" t="str">
        <f>"15/10/2013"</f>
        <v>15/10/2013</v>
      </c>
      <c r="B1066" s="3">
        <f>AUD!B1066</f>
        <v>0.95350000000000001</v>
      </c>
      <c r="C1066" s="3">
        <f>AUD!C1066</f>
        <v>0.95150000000000001</v>
      </c>
      <c r="D1066" s="3">
        <f>1/CAD!B1066</f>
        <v>0.96758587324625056</v>
      </c>
      <c r="E1066" s="3">
        <f>1/CAD!C1066</f>
        <v>0.96683747462051628</v>
      </c>
      <c r="F1066" s="3">
        <f>EUR!B1066/1</f>
        <v>1.3566</v>
      </c>
      <c r="G1066" s="3">
        <f>EUR!C1066/1</f>
        <v>1.3567</v>
      </c>
      <c r="H1066" s="3">
        <f>GBP!B1066/1</f>
        <v>1.5996999999999999</v>
      </c>
      <c r="I1066" s="3">
        <f>GBP!C1066/1</f>
        <v>1.5992</v>
      </c>
      <c r="J1066" s="4">
        <f>1/INR!B1066</f>
        <v>1.624167614097775E-2</v>
      </c>
      <c r="K1066" s="4">
        <f>1/INR!C1066</f>
        <v>1.6112789526686808E-2</v>
      </c>
      <c r="L1066" s="4">
        <f>1/JPY!B1066</f>
        <v>1.0153263512724577E-2</v>
      </c>
      <c r="M1066" s="4">
        <f>1/JPY!C1066</f>
        <v>1.0155954842562388E-2</v>
      </c>
      <c r="N1066" s="5">
        <f>1/KRW!B1066</f>
        <v>9.3672427520959209E-4</v>
      </c>
      <c r="O1066" s="5">
        <f>1/KRW!C1066</f>
        <v>9.3670190070866191E-4</v>
      </c>
      <c r="P1066" s="3">
        <f>1/NOK!B1066</f>
        <v>0.16731081329786346</v>
      </c>
      <c r="Q1066" s="3">
        <f>1/NOK!C1066</f>
        <v>0.16711229946524064</v>
      </c>
      <c r="R1066" s="3">
        <f>NZD!B1066/1</f>
        <v>0.83930000000000005</v>
      </c>
      <c r="S1066" s="3">
        <f>NZD!C1066/1</f>
        <v>0.83740000000000003</v>
      </c>
      <c r="T1066" s="4">
        <f>1/PHP!B1066</f>
        <v>2.3174971031286212E-2</v>
      </c>
      <c r="U1066" s="4">
        <f>1/PHP!C1066</f>
        <v>2.3181095353117628E-2</v>
      </c>
      <c r="V1066" s="4">
        <f>1/TWD!B1066</f>
        <v>3.4048348655090224E-2</v>
      </c>
      <c r="W1066" s="4">
        <f>1/TWD!C1066</f>
        <v>3.4048580514678344E-2</v>
      </c>
      <c r="X1066" s="4">
        <f>1/TWD!B1066</f>
        <v>3.4048348655090224E-2</v>
      </c>
      <c r="Y1066" s="4">
        <f>1/TWD!C1066</f>
        <v>3.4048580514678344E-2</v>
      </c>
      <c r="Z1066" s="4">
        <f>1/ZAR!B1066</f>
        <v>0.10093873019077421</v>
      </c>
      <c r="AA1066" s="4">
        <f>1/ZAR!C1066</f>
        <v>0.10045102510271117</v>
      </c>
    </row>
    <row r="1067" spans="1:27" x14ac:dyDescent="0.25">
      <c r="A1067" t="str">
        <f>"17/10/2013"</f>
        <v>17/10/2013</v>
      </c>
      <c r="B1067" s="3">
        <f>AUD!B1067</f>
        <v>0.95420000000000005</v>
      </c>
      <c r="C1067" s="3">
        <f>AUD!C1067</f>
        <v>0.95220000000000005</v>
      </c>
      <c r="D1067" s="3">
        <f>1/CAD!B1067</f>
        <v>0.96880449525285794</v>
      </c>
      <c r="E1067" s="3">
        <f>1/CAD!C1067</f>
        <v>0.96805421103581812</v>
      </c>
      <c r="F1067" s="3">
        <f>EUR!B1067/1</f>
        <v>1.3542000000000001</v>
      </c>
      <c r="G1067" s="3">
        <f>EUR!C1067/1</f>
        <v>1.3543000000000001</v>
      </c>
      <c r="H1067" s="3">
        <f>GBP!B1067/1</f>
        <v>1.5972999999999999</v>
      </c>
      <c r="I1067" s="3">
        <f>GBP!C1067/1</f>
        <v>1.5969</v>
      </c>
      <c r="J1067" s="4">
        <f>1/INR!B1067</f>
        <v>1.6237720224080539E-2</v>
      </c>
      <c r="K1067" s="4">
        <f>1/INR!C1067</f>
        <v>1.6108247422680414E-2</v>
      </c>
      <c r="L1067" s="4">
        <f>1/JPY!B1067</f>
        <v>1.0141010754541905E-2</v>
      </c>
      <c r="M1067" s="4">
        <f>1/JPY!C1067</f>
        <v>1.0142666750512711E-2</v>
      </c>
      <c r="N1067" s="5">
        <f>1/KRW!B1067</f>
        <v>9.3949642991356629E-4</v>
      </c>
      <c r="O1067" s="5">
        <f>1/KRW!C1067</f>
        <v>9.3946774454932566E-4</v>
      </c>
      <c r="P1067" s="3">
        <f>1/NOK!B1067</f>
        <v>0.1668641225450116</v>
      </c>
      <c r="Q1067" s="3">
        <f>1/NOK!C1067</f>
        <v>0.1666694444907415</v>
      </c>
      <c r="R1067" s="3">
        <f>NZD!B1067/1</f>
        <v>0.84319999999999995</v>
      </c>
      <c r="S1067" s="3">
        <f>NZD!C1067/1</f>
        <v>0.84130000000000005</v>
      </c>
      <c r="T1067" s="4">
        <f>1/PHP!B1067</f>
        <v>2.318840579710145E-2</v>
      </c>
      <c r="U1067" s="4">
        <f>1/PHP!C1067</f>
        <v>2.3212627669452184E-2</v>
      </c>
      <c r="V1067" s="4">
        <f>1/TWD!B1067</f>
        <v>3.403328455229214E-2</v>
      </c>
      <c r="W1067" s="4">
        <f>1/TWD!C1067</f>
        <v>3.4033400379132078E-2</v>
      </c>
      <c r="X1067" s="4">
        <f>1/TWD!B1067</f>
        <v>3.403328455229214E-2</v>
      </c>
      <c r="Y1067" s="4">
        <f>1/TWD!C1067</f>
        <v>3.4033400379132078E-2</v>
      </c>
      <c r="Z1067" s="4">
        <f>1/ZAR!B1067</f>
        <v>0.10132636207962226</v>
      </c>
      <c r="AA1067" s="4">
        <f>1/ZAR!C1067</f>
        <v>0.10086644274316378</v>
      </c>
    </row>
    <row r="1068" spans="1:27" x14ac:dyDescent="0.25">
      <c r="A1068" t="str">
        <f>"18/10/2013"</f>
        <v>18/10/2013</v>
      </c>
      <c r="B1068" s="3">
        <f>AUD!B1068</f>
        <v>0.96189999999999998</v>
      </c>
      <c r="C1068" s="3">
        <f>AUD!C1068</f>
        <v>0.96</v>
      </c>
      <c r="D1068" s="3">
        <f>1/CAD!B1068</f>
        <v>0.97115664756725251</v>
      </c>
      <c r="E1068" s="3">
        <f>1/CAD!C1068</f>
        <v>0.97040271712760795</v>
      </c>
      <c r="F1068" s="3">
        <f>EUR!B1068/1</f>
        <v>1.3663000000000001</v>
      </c>
      <c r="G1068" s="3">
        <f>EUR!C1068/1</f>
        <v>1.3664000000000001</v>
      </c>
      <c r="H1068" s="3">
        <f>GBP!B1068/1</f>
        <v>1.6149</v>
      </c>
      <c r="I1068" s="3">
        <f>GBP!C1068/1</f>
        <v>1.6144000000000001</v>
      </c>
      <c r="J1068" s="4">
        <f>1/INR!B1068</f>
        <v>1.6361925798666504E-2</v>
      </c>
      <c r="K1068" s="4">
        <f>1/INR!C1068</f>
        <v>1.6231131309852296E-2</v>
      </c>
      <c r="L1068" s="4">
        <f>1/JPY!B1068</f>
        <v>1.0203352821737222E-2</v>
      </c>
      <c r="M1068" s="4">
        <f>1/JPY!C1068</f>
        <v>1.0204956343196764E-2</v>
      </c>
      <c r="N1068" s="5">
        <f>1/KRW!B1068</f>
        <v>9.4148660735301028E-4</v>
      </c>
      <c r="O1068" s="5">
        <f>1/KRW!C1068</f>
        <v>9.4145912984698458E-4</v>
      </c>
      <c r="P1068" s="3">
        <f>1/NOK!B1068</f>
        <v>0.16842388924445043</v>
      </c>
      <c r="Q1068" s="3">
        <f>1/NOK!C1068</f>
        <v>0.1682255568265931</v>
      </c>
      <c r="R1068" s="3">
        <f>NZD!B1068/1</f>
        <v>0.84550000000000003</v>
      </c>
      <c r="S1068" s="3">
        <f>NZD!C1068/1</f>
        <v>0.84370000000000001</v>
      </c>
      <c r="T1068" s="4">
        <f>1/PHP!B1068</f>
        <v>2.3212627669452184E-2</v>
      </c>
      <c r="U1068" s="4">
        <f>1/PHP!C1068</f>
        <v>2.3241058583736374E-2</v>
      </c>
      <c r="V1068" s="4">
        <f>1/TWD!B1068</f>
        <v>3.4032126327252929E-2</v>
      </c>
      <c r="W1068" s="4">
        <f>1/TWD!C1068</f>
        <v>3.403224214620932E-2</v>
      </c>
      <c r="X1068" s="4">
        <f>1/TWD!B1068</f>
        <v>3.4032126327252929E-2</v>
      </c>
      <c r="Y1068" s="4">
        <f>1/TWD!C1068</f>
        <v>3.403224214620932E-2</v>
      </c>
      <c r="Z1068" s="4">
        <f>1/ZAR!B1068</f>
        <v>0.10172112137364202</v>
      </c>
      <c r="AA1068" s="4">
        <f>1/ZAR!C1068</f>
        <v>0.10126274644820918</v>
      </c>
    </row>
    <row r="1069" spans="1:27" x14ac:dyDescent="0.25">
      <c r="A1069" t="str">
        <f>"21/10/2013"</f>
        <v>21/10/2013</v>
      </c>
      <c r="B1069" s="3">
        <f>AUD!B1069</f>
        <v>0.96650000000000003</v>
      </c>
      <c r="C1069" s="3">
        <f>AUD!C1069</f>
        <v>0.96440000000000003</v>
      </c>
      <c r="D1069" s="3">
        <f>1/CAD!B1069</f>
        <v>0.97153405226853196</v>
      </c>
      <c r="E1069" s="3">
        <f>1/CAD!C1069</f>
        <v>0.97077953596738176</v>
      </c>
      <c r="F1069" s="3">
        <f>EUR!B1069/1</f>
        <v>1.3673</v>
      </c>
      <c r="G1069" s="3">
        <f>EUR!C1069/1</f>
        <v>1.3673999999999999</v>
      </c>
      <c r="H1069" s="3">
        <f>GBP!B1069/1</f>
        <v>1.6156999999999999</v>
      </c>
      <c r="I1069" s="3">
        <f>GBP!C1069/1</f>
        <v>1.6152</v>
      </c>
      <c r="J1069" s="4">
        <f>1/INR!B1069</f>
        <v>1.6251574371267216E-2</v>
      </c>
      <c r="K1069" s="4">
        <f>1/INR!C1069</f>
        <v>1.6113438607798902E-2</v>
      </c>
      <c r="L1069" s="4">
        <f>1/JPY!B1069</f>
        <v>1.0206268690229539E-2</v>
      </c>
      <c r="M1069" s="4">
        <f>1/JPY!C1069</f>
        <v>1.0207998170726727E-2</v>
      </c>
      <c r="N1069" s="5">
        <f>1/KRW!B1069</f>
        <v>9.4135366657253135E-4</v>
      </c>
      <c r="O1069" s="5">
        <f>1/KRW!C1069</f>
        <v>9.4132495629428226E-4</v>
      </c>
      <c r="P1069" s="3">
        <f>1/NOK!B1069</f>
        <v>0.16921332724165355</v>
      </c>
      <c r="Q1069" s="3">
        <f>1/NOK!C1069</f>
        <v>0.16900456312320433</v>
      </c>
      <c r="R1069" s="3">
        <f>NZD!B1069/1</f>
        <v>0.84919999999999995</v>
      </c>
      <c r="S1069" s="3">
        <f>NZD!C1069/1</f>
        <v>0.84719999999999995</v>
      </c>
      <c r="T1069" s="4">
        <f>1/PHP!B1069</f>
        <v>2.3172285946008574E-2</v>
      </c>
      <c r="U1069" s="4">
        <f>1/PHP!C1069</f>
        <v>2.3180020676578445E-2</v>
      </c>
      <c r="V1069" s="4">
        <f>1/TWD!B1069</f>
        <v>3.4003196300452246E-2</v>
      </c>
      <c r="W1069" s="4">
        <f>1/TWD!C1069</f>
        <v>3.4003311922581263E-2</v>
      </c>
      <c r="X1069" s="4">
        <f>1/TWD!B1069</f>
        <v>3.4003196300452246E-2</v>
      </c>
      <c r="Y1069" s="4">
        <f>1/TWD!C1069</f>
        <v>3.4003311922581263E-2</v>
      </c>
      <c r="Z1069" s="4">
        <f>1/ZAR!B1069</f>
        <v>0.10210020113739625</v>
      </c>
      <c r="AA1069" s="4">
        <f>1/ZAR!C1069</f>
        <v>0.10163427920969184</v>
      </c>
    </row>
    <row r="1070" spans="1:27" x14ac:dyDescent="0.25">
      <c r="A1070" t="str">
        <f>"22/10/2013"</f>
        <v>22/10/2013</v>
      </c>
      <c r="B1070" s="3">
        <f>AUD!B1070</f>
        <v>0.96460000000000001</v>
      </c>
      <c r="C1070" s="3">
        <f>AUD!C1070</f>
        <v>0.96250000000000002</v>
      </c>
      <c r="D1070" s="3">
        <f>1/CAD!B1070</f>
        <v>0.97030855812148264</v>
      </c>
      <c r="E1070" s="3">
        <f>1/CAD!C1070</f>
        <v>0.96955594337793283</v>
      </c>
      <c r="F1070" s="3">
        <f>EUR!B1070/1</f>
        <v>1.3665</v>
      </c>
      <c r="G1070" s="3">
        <f>EUR!C1070/1</f>
        <v>1.3666</v>
      </c>
      <c r="H1070" s="3">
        <f>GBP!B1070/1</f>
        <v>1.6121000000000001</v>
      </c>
      <c r="I1070" s="3">
        <f>GBP!C1070/1</f>
        <v>1.6116999999999999</v>
      </c>
      <c r="J1070" s="4">
        <f>1/INR!B1070</f>
        <v>1.6190399093337651E-2</v>
      </c>
      <c r="K1070" s="4">
        <f>1/INR!C1070</f>
        <v>1.6055874443061856E-2</v>
      </c>
      <c r="L1070" s="4">
        <f>1/JPY!B1070</f>
        <v>1.0169732841118264E-2</v>
      </c>
      <c r="M1070" s="4">
        <f>1/JPY!C1070</f>
        <v>1.0171387885877028E-2</v>
      </c>
      <c r="N1070" s="5">
        <f>1/KRW!B1070</f>
        <v>9.4232943837165473E-4</v>
      </c>
      <c r="O1070" s="5">
        <f>1/KRW!C1070</f>
        <v>9.423053745988959E-4</v>
      </c>
      <c r="P1070" s="3">
        <f>1/NOK!B1070</f>
        <v>0.1687535860137028</v>
      </c>
      <c r="Q1070" s="3">
        <f>1/NOK!C1070</f>
        <v>0.16855163579362537</v>
      </c>
      <c r="R1070" s="3">
        <f>NZD!B1070/1</f>
        <v>0.84409999999999996</v>
      </c>
      <c r="S1070" s="3">
        <f>NZD!C1070/1</f>
        <v>0.84219999999999995</v>
      </c>
      <c r="T1070" s="4">
        <f>1/PHP!B1070</f>
        <v>2.3141452126120916E-2</v>
      </c>
      <c r="U1070" s="4">
        <f>1/PHP!C1070</f>
        <v>2.3161498178348169E-2</v>
      </c>
      <c r="V1070" s="4">
        <f>1/TWD!B1070</f>
        <v>3.3984706881903144E-2</v>
      </c>
      <c r="W1070" s="4">
        <f>1/TWD!C1070</f>
        <v>3.3984937875533562E-2</v>
      </c>
      <c r="X1070" s="4">
        <f>1/TWD!B1070</f>
        <v>3.3984706881903144E-2</v>
      </c>
      <c r="Y1070" s="4">
        <f>1/TWD!C1070</f>
        <v>3.3984937875533562E-2</v>
      </c>
      <c r="Z1070" s="4">
        <f>1/ZAR!B1070</f>
        <v>0.10155583539830199</v>
      </c>
      <c r="AA1070" s="4">
        <f>1/ZAR!C1070</f>
        <v>0.10106420609012906</v>
      </c>
    </row>
    <row r="1071" spans="1:27" x14ac:dyDescent="0.25">
      <c r="A1071" t="str">
        <f>"23/10/2013"</f>
        <v>23/10/2013</v>
      </c>
      <c r="B1071" s="3">
        <f>AUD!B1071</f>
        <v>0.96409999999999996</v>
      </c>
      <c r="C1071" s="3">
        <f>AUD!C1071</f>
        <v>0.96209999999999996</v>
      </c>
      <c r="D1071" s="3">
        <f>1/CAD!B1071</f>
        <v>0.97030855812148264</v>
      </c>
      <c r="E1071" s="3">
        <f>1/CAD!C1071</f>
        <v>0.96955594337793283</v>
      </c>
      <c r="F1071" s="3">
        <f>EUR!B1071/1</f>
        <v>1.3771</v>
      </c>
      <c r="G1071" s="3">
        <f>EUR!C1071/1</f>
        <v>1.3772</v>
      </c>
      <c r="H1071" s="3">
        <f>GBP!B1071/1</f>
        <v>1.6218999999999999</v>
      </c>
      <c r="I1071" s="3">
        <f>GBP!C1071/1</f>
        <v>1.6214999999999999</v>
      </c>
      <c r="J1071" s="4">
        <f>1/INR!B1071</f>
        <v>1.6305233980107615E-2</v>
      </c>
      <c r="K1071" s="4">
        <f>1/INR!C1071</f>
        <v>1.6174686615446826E-2</v>
      </c>
      <c r="L1071" s="4">
        <f>1/JPY!B1071</f>
        <v>1.0274746727493168E-2</v>
      </c>
      <c r="M1071" s="4">
        <f>1/JPY!C1071</f>
        <v>1.0276341088202863E-2</v>
      </c>
      <c r="N1071" s="5">
        <f>1/KRW!B1071</f>
        <v>9.4553706505295021E-4</v>
      </c>
      <c r="O1071" s="5">
        <f>1/KRW!C1071</f>
        <v>9.4551516157199468E-4</v>
      </c>
      <c r="P1071" s="3">
        <f>1/NOK!B1071</f>
        <v>0.16906456575766285</v>
      </c>
      <c r="Q1071" s="3">
        <f>1/NOK!C1071</f>
        <v>0.16886472247082862</v>
      </c>
      <c r="R1071" s="3">
        <f>NZD!B1071/1</f>
        <v>0.83960000000000001</v>
      </c>
      <c r="S1071" s="3">
        <f>NZD!C1071/1</f>
        <v>0.8377</v>
      </c>
      <c r="T1071" s="4">
        <f>1/PHP!B1071</f>
        <v>2.3209933851688524E-2</v>
      </c>
      <c r="U1071" s="4">
        <f>1/PHP!C1071</f>
        <v>2.323490254120129E-2</v>
      </c>
      <c r="V1071" s="4">
        <f>1/TWD!B1071</f>
        <v>3.4007821799013772E-2</v>
      </c>
      <c r="W1071" s="4">
        <f>1/TWD!C1071</f>
        <v>3.4008168762136665E-2</v>
      </c>
      <c r="X1071" s="4">
        <f>1/TWD!B1071</f>
        <v>3.4007821799013772E-2</v>
      </c>
      <c r="Y1071" s="4">
        <f>1/TWD!C1071</f>
        <v>3.4008168762136665E-2</v>
      </c>
      <c r="Z1071" s="4">
        <f>1/ZAR!B1071</f>
        <v>0.10233529134857446</v>
      </c>
      <c r="AA1071" s="4">
        <f>1/ZAR!C1071</f>
        <v>0.10185685038247247</v>
      </c>
    </row>
    <row r="1072" spans="1:27" x14ac:dyDescent="0.25">
      <c r="A1072" t="str">
        <f>"24/10/2013"</f>
        <v>24/10/2013</v>
      </c>
      <c r="B1072" s="3">
        <f>AUD!B1072</f>
        <v>0.96530000000000005</v>
      </c>
      <c r="C1072" s="3">
        <f>AUD!C1072</f>
        <v>0.96319999999999995</v>
      </c>
      <c r="D1072" s="3">
        <f>1/CAD!B1072</f>
        <v>0.96376252891287584</v>
      </c>
      <c r="E1072" s="3">
        <f>1/CAD!C1072</f>
        <v>0.963020030816641</v>
      </c>
      <c r="F1072" s="3">
        <f>EUR!B1072/1</f>
        <v>1.3788</v>
      </c>
      <c r="G1072" s="3">
        <f>EUR!C1072/1</f>
        <v>1.3789</v>
      </c>
      <c r="H1072" s="3">
        <f>GBP!B1072/1</f>
        <v>1.6193</v>
      </c>
      <c r="I1072" s="3">
        <f>GBP!C1072/1</f>
        <v>1.6189</v>
      </c>
      <c r="J1072" s="4">
        <f>1/INR!B1072</f>
        <v>1.626280696048138E-2</v>
      </c>
      <c r="K1072" s="4">
        <f>1/INR!C1072</f>
        <v>1.6129032258064516E-2</v>
      </c>
      <c r="L1072" s="4">
        <f>1/JPY!B1072</f>
        <v>1.027189711667848E-2</v>
      </c>
      <c r="M1072" s="4">
        <f>1/JPY!C1072</f>
        <v>1.0273501147550077E-2</v>
      </c>
      <c r="N1072" s="5">
        <f>1/KRW!B1072</f>
        <v>9.4759783947692602E-4</v>
      </c>
      <c r="O1072" s="5">
        <f>1/KRW!C1072</f>
        <v>9.4757539146708356E-4</v>
      </c>
      <c r="P1072" s="3">
        <f>1/NOK!B1072</f>
        <v>0.16900741942571279</v>
      </c>
      <c r="Q1072" s="3">
        <f>1/NOK!C1072</f>
        <v>0.16880201211998447</v>
      </c>
      <c r="R1072" s="3">
        <f>NZD!B1072/1</f>
        <v>0.84140000000000004</v>
      </c>
      <c r="S1072" s="3">
        <f>NZD!C1072/1</f>
        <v>0.83960000000000001</v>
      </c>
      <c r="T1072" s="4">
        <f>1/PHP!B1072</f>
        <v>2.3204548091425921E-2</v>
      </c>
      <c r="U1072" s="4">
        <f>1/PHP!C1072</f>
        <v>2.3203148203148203E-2</v>
      </c>
      <c r="V1072" s="4">
        <f>1/TWD!B1072</f>
        <v>3.4018233773302486E-2</v>
      </c>
      <c r="W1072" s="4">
        <f>1/TWD!C1072</f>
        <v>3.4018696675692961E-2</v>
      </c>
      <c r="X1072" s="4">
        <f>1/TWD!B1072</f>
        <v>3.4018233773302486E-2</v>
      </c>
      <c r="Y1072" s="4">
        <f>1/TWD!C1072</f>
        <v>3.4018696675692961E-2</v>
      </c>
      <c r="Z1072" s="4">
        <f>1/ZAR!B1072</f>
        <v>0.10210541362903063</v>
      </c>
      <c r="AA1072" s="4">
        <f>1/ZAR!C1072</f>
        <v>0.10164564295951453</v>
      </c>
    </row>
    <row r="1073" spans="1:27" x14ac:dyDescent="0.25">
      <c r="A1073" t="str">
        <f>"25/10/2013"</f>
        <v>25/10/2013</v>
      </c>
      <c r="B1073" s="3">
        <f>AUD!B1073</f>
        <v>0.96140000000000003</v>
      </c>
      <c r="C1073" s="3">
        <f>AUD!C1073</f>
        <v>0.95940000000000003</v>
      </c>
      <c r="D1073" s="3">
        <f>1/CAD!B1073</f>
        <v>0.96033803898972447</v>
      </c>
      <c r="E1073" s="3">
        <f>1/CAD!C1073</f>
        <v>0.95960080606467713</v>
      </c>
      <c r="F1073" s="3">
        <f>EUR!B1073/1</f>
        <v>1.3818999999999999</v>
      </c>
      <c r="G1073" s="3">
        <f>EUR!C1073/1</f>
        <v>1.3819999999999999</v>
      </c>
      <c r="H1073" s="3">
        <f>GBP!B1073/1</f>
        <v>1.6235999999999999</v>
      </c>
      <c r="I1073" s="3">
        <f>GBP!C1073/1</f>
        <v>1.6232</v>
      </c>
      <c r="J1073" s="4">
        <f>1/INR!B1073</f>
        <v>1.6215339711366954E-2</v>
      </c>
      <c r="K1073" s="4">
        <f>1/INR!C1073</f>
        <v>1.6090104585679808E-2</v>
      </c>
      <c r="L1073" s="4">
        <f>1/JPY!B1073</f>
        <v>1.0313531353135313E-2</v>
      </c>
      <c r="M1073" s="4">
        <f>1/JPY!C1073</f>
        <v>1.0315031373167922E-2</v>
      </c>
      <c r="N1073" s="5">
        <f>1/KRW!B1073</f>
        <v>9.4148217538871451E-4</v>
      </c>
      <c r="O1073" s="5">
        <f>1/KRW!C1073</f>
        <v>9.4145390043880227E-4</v>
      </c>
      <c r="P1073" s="3">
        <f>1/NOK!B1073</f>
        <v>0.16983984102990879</v>
      </c>
      <c r="Q1073" s="3">
        <f>1/NOK!C1073</f>
        <v>0.16964103956029042</v>
      </c>
      <c r="R1073" s="3">
        <f>NZD!B1073/1</f>
        <v>0.83250000000000002</v>
      </c>
      <c r="S1073" s="3">
        <f>NZD!C1073/1</f>
        <v>0.83079999999999998</v>
      </c>
      <c r="T1073" s="4">
        <f>1/PHP!B1073</f>
        <v>2.3204548091425921E-2</v>
      </c>
      <c r="U1073" s="4">
        <f>1/PHP!C1073</f>
        <v>2.3226160088631025E-2</v>
      </c>
      <c r="V1073" s="4">
        <f>1/TWD!B1073</f>
        <v>3.4002040122407345E-2</v>
      </c>
      <c r="W1073" s="4">
        <f>1/TWD!C1073</f>
        <v>3.4002271351726295E-2</v>
      </c>
      <c r="X1073" s="4">
        <f>1/TWD!B1073</f>
        <v>3.4002040122407345E-2</v>
      </c>
      <c r="Y1073" s="4">
        <f>1/TWD!C1073</f>
        <v>3.4002271351726295E-2</v>
      </c>
      <c r="Z1073" s="4">
        <f>1/ZAR!B1073</f>
        <v>0.10233005536055996</v>
      </c>
      <c r="AA1073" s="4">
        <f>1/ZAR!C1073</f>
        <v>0.10185270062435706</v>
      </c>
    </row>
    <row r="1074" spans="1:27" x14ac:dyDescent="0.25">
      <c r="A1074" t="str">
        <f>"28/10/2013"</f>
        <v>28/10/2013</v>
      </c>
      <c r="B1074" s="3">
        <f>AUD!B1074</f>
        <v>0.9607</v>
      </c>
      <c r="C1074" s="3">
        <f>AUD!C1074</f>
        <v>0.95879999999999999</v>
      </c>
      <c r="D1074" s="3">
        <f>1/CAD!B1074</f>
        <v>0.95812973076554564</v>
      </c>
      <c r="E1074" s="3">
        <f>1/CAD!C1074</f>
        <v>0.9573958831977023</v>
      </c>
      <c r="F1074" s="3">
        <f>EUR!B1074/1</f>
        <v>1.3809</v>
      </c>
      <c r="G1074" s="3">
        <f>EUR!C1074/1</f>
        <v>1.3809</v>
      </c>
      <c r="H1074" s="3">
        <f>GBP!B1074/1</f>
        <v>1.6183000000000001</v>
      </c>
      <c r="I1074" s="3">
        <f>GBP!C1074/1</f>
        <v>1.6178999999999999</v>
      </c>
      <c r="J1074" s="4">
        <f>1/INR!B1074</f>
        <v>1.6264129462470522E-2</v>
      </c>
      <c r="K1074" s="4">
        <f>1/INR!C1074</f>
        <v>1.6142050040355124E-2</v>
      </c>
      <c r="L1074" s="4">
        <f>1/JPY!B1074</f>
        <v>1.0247686584753493E-2</v>
      </c>
      <c r="M1074" s="4">
        <f>1/JPY!C1074</f>
        <v>1.0249062467010829E-2</v>
      </c>
      <c r="N1074" s="5">
        <f>1/KRW!B1074</f>
        <v>9.4234719840177912E-4</v>
      </c>
      <c r="O1074" s="5">
        <f>1/KRW!C1074</f>
        <v>9.4231878267490377E-4</v>
      </c>
      <c r="P1074" s="3">
        <f>1/NOK!B1074</f>
        <v>0.16983407211154702</v>
      </c>
      <c r="Q1074" s="3">
        <f>1/NOK!C1074</f>
        <v>0.16963816180087873</v>
      </c>
      <c r="R1074" s="3">
        <f>NZD!B1074/1</f>
        <v>0.83099999999999996</v>
      </c>
      <c r="S1074" s="3">
        <f>NZD!C1074/1</f>
        <v>0.82920000000000005</v>
      </c>
      <c r="T1074" s="4">
        <f>1/PHP!B1074</f>
        <v>2.3234200743494426E-2</v>
      </c>
      <c r="U1074" s="4">
        <f>1/PHP!C1074</f>
        <v>2.3261223540358221E-2</v>
      </c>
      <c r="V1074" s="4">
        <f>1/TWD!B1074</f>
        <v>3.4005508892440577E-2</v>
      </c>
      <c r="W1074" s="4">
        <f>1/TWD!C1074</f>
        <v>3.4005740168940514E-2</v>
      </c>
      <c r="X1074" s="4">
        <f>1/TWD!B1074</f>
        <v>3.4005508892440577E-2</v>
      </c>
      <c r="Y1074" s="4">
        <f>1/TWD!C1074</f>
        <v>3.4005740168940514E-2</v>
      </c>
      <c r="Z1074" s="4">
        <f>1/ZAR!B1074</f>
        <v>0.10183299389002036</v>
      </c>
      <c r="AA1074" s="4">
        <f>1/ZAR!C1074</f>
        <v>0.10137772325909104</v>
      </c>
    </row>
    <row r="1075" spans="1:27" x14ac:dyDescent="0.25">
      <c r="A1075" t="str">
        <f>"29/10/2013"</f>
        <v>29/10/2013</v>
      </c>
      <c r="B1075" s="3">
        <f>AUD!B1075</f>
        <v>0.95130000000000003</v>
      </c>
      <c r="C1075" s="3">
        <f>AUD!C1075</f>
        <v>0.94950000000000001</v>
      </c>
      <c r="D1075" s="3">
        <f>1/CAD!B1075</f>
        <v>0.95675468809797182</v>
      </c>
      <c r="E1075" s="3">
        <f>1/CAD!C1075</f>
        <v>0.95602294455066916</v>
      </c>
      <c r="F1075" s="3">
        <f>EUR!B1075/1</f>
        <v>1.3774999999999999</v>
      </c>
      <c r="G1075" s="3">
        <f>EUR!C1075/1</f>
        <v>1.3775999999999999</v>
      </c>
      <c r="H1075" s="3">
        <f>GBP!B1075/1</f>
        <v>1.6094999999999999</v>
      </c>
      <c r="I1075" s="3">
        <f>GBP!C1075/1</f>
        <v>1.6091</v>
      </c>
      <c r="J1075" s="4">
        <f>1/INR!B1075</f>
        <v>1.6220600162206E-2</v>
      </c>
      <c r="K1075" s="4">
        <f>1/INR!C1075</f>
        <v>1.6101763143064166E-2</v>
      </c>
      <c r="L1075" s="4">
        <f>1/JPY!B1075</f>
        <v>1.0250575313539474E-2</v>
      </c>
      <c r="M1075" s="4">
        <f>1/JPY!C1075</f>
        <v>1.0251941461414255E-2</v>
      </c>
      <c r="N1075" s="5">
        <f>1/KRW!B1075</f>
        <v>9.4259590913375424E-4</v>
      </c>
      <c r="O1075" s="5">
        <f>1/KRW!C1075</f>
        <v>9.4256650112999583E-4</v>
      </c>
      <c r="P1075" s="3">
        <f>1/NOK!B1075</f>
        <v>0.16924769400016926</v>
      </c>
      <c r="Q1075" s="3">
        <f>1/NOK!C1075</f>
        <v>0.16906170752324598</v>
      </c>
      <c r="R1075" s="3">
        <f>NZD!B1075/1</f>
        <v>0.82669999999999999</v>
      </c>
      <c r="S1075" s="3">
        <f>NZD!C1075/1</f>
        <v>0.82499999999999996</v>
      </c>
      <c r="T1075" s="4">
        <f>1/PHP!B1075</f>
        <v>2.3180343069077423E-2</v>
      </c>
      <c r="U1075" s="4">
        <f>1/PHP!C1075</f>
        <v>2.3178032787645179E-2</v>
      </c>
      <c r="V1075" s="4">
        <f>1/TWD!B1075</f>
        <v>3.3988172116103596E-2</v>
      </c>
      <c r="W1075" s="4">
        <f>1/TWD!C1075</f>
        <v>3.3988518678390436E-2</v>
      </c>
      <c r="X1075" s="4">
        <f>1/TWD!B1075</f>
        <v>3.3988172116103596E-2</v>
      </c>
      <c r="Y1075" s="4">
        <f>1/TWD!C1075</f>
        <v>3.3988518678390436E-2</v>
      </c>
      <c r="Z1075" s="4">
        <f>1/ZAR!B1075</f>
        <v>0.1014476580808132</v>
      </c>
      <c r="AA1075" s="4">
        <f>1/ZAR!C1075</f>
        <v>0.10100499974748751</v>
      </c>
    </row>
    <row r="1076" spans="1:27" x14ac:dyDescent="0.25">
      <c r="A1076" t="str">
        <f>"30/10/2013"</f>
        <v>30/10/2013</v>
      </c>
      <c r="B1076" s="3">
        <f>AUD!B1076</f>
        <v>0.94779999999999998</v>
      </c>
      <c r="C1076" s="3">
        <f>AUD!C1076</f>
        <v>0.94589999999999996</v>
      </c>
      <c r="D1076" s="3">
        <f>1/CAD!B1076</f>
        <v>0.95602294455066916</v>
      </c>
      <c r="E1076" s="3">
        <f>1/CAD!C1076</f>
        <v>0.95529231944975168</v>
      </c>
      <c r="F1076" s="3">
        <f>EUR!B1076/1</f>
        <v>1.3738999999999999</v>
      </c>
      <c r="G1076" s="3">
        <f>EUR!C1076/1</f>
        <v>1.3740000000000001</v>
      </c>
      <c r="H1076" s="3">
        <f>GBP!B1076/1</f>
        <v>1.6037999999999999</v>
      </c>
      <c r="I1076" s="3">
        <f>GBP!C1076/1</f>
        <v>1.6033999999999999</v>
      </c>
      <c r="J1076" s="4">
        <f>1/INR!B1076</f>
        <v>1.6252895046930234E-2</v>
      </c>
      <c r="K1076" s="4">
        <f>1/INR!C1076</f>
        <v>1.6130333091378339E-2</v>
      </c>
      <c r="L1076" s="4">
        <f>1/JPY!B1076</f>
        <v>1.0189525168127165E-2</v>
      </c>
      <c r="M1076" s="4">
        <f>1/JPY!C1076</f>
        <v>1.0190989331053269E-2</v>
      </c>
      <c r="N1076" s="5">
        <f>1/KRW!B1076</f>
        <v>9.4241824521722748E-4</v>
      </c>
      <c r="O1076" s="5">
        <f>1/KRW!C1076</f>
        <v>9.4239089092503967E-4</v>
      </c>
      <c r="P1076" s="3">
        <f>1/NOK!B1076</f>
        <v>0.16942260775277854</v>
      </c>
      <c r="Q1076" s="3">
        <f>1/NOK!C1076</f>
        <v>0.16922764502809179</v>
      </c>
      <c r="R1076" s="3">
        <f>NZD!B1076/1</f>
        <v>0.82489999999999997</v>
      </c>
      <c r="S1076" s="3">
        <f>NZD!C1076/1</f>
        <v>0.82310000000000005</v>
      </c>
      <c r="T1076" s="4">
        <f>1/PHP!B1076</f>
        <v>2.31535077564251E-2</v>
      </c>
      <c r="U1076" s="4">
        <f>1/PHP!C1076</f>
        <v>2.3161229953955472E-2</v>
      </c>
      <c r="V1076" s="4">
        <f>1/TWD!B1076</f>
        <v>3.3971430027347004E-2</v>
      </c>
      <c r="W1076" s="4">
        <f>1/TWD!C1076</f>
        <v>3.3971660840526836E-2</v>
      </c>
      <c r="X1076" s="4">
        <f>1/TWD!B1076</f>
        <v>3.3971430027347004E-2</v>
      </c>
      <c r="Y1076" s="4">
        <f>1/TWD!C1076</f>
        <v>3.3971660840526836E-2</v>
      </c>
      <c r="Z1076" s="4">
        <f>1/ZAR!B1076</f>
        <v>0.10102132560183455</v>
      </c>
      <c r="AA1076" s="4">
        <f>1/ZAR!C1076</f>
        <v>0.10060159755336914</v>
      </c>
    </row>
    <row r="1077" spans="1:27" x14ac:dyDescent="0.25">
      <c r="A1077" t="str">
        <f>"31/10/2013"</f>
        <v>31/10/2013</v>
      </c>
      <c r="B1077" s="3">
        <f>AUD!B1077</f>
        <v>0.94920000000000004</v>
      </c>
      <c r="C1077" s="3">
        <f>AUD!C1077</f>
        <v>0.94740000000000002</v>
      </c>
      <c r="D1077" s="3">
        <f>1/CAD!B1077</f>
        <v>0.95383441434566962</v>
      </c>
      <c r="E1077" s="3">
        <f>1/CAD!C1077</f>
        <v>0.95310712924132679</v>
      </c>
      <c r="F1077" s="3">
        <f>EUR!B1077/1</f>
        <v>1.3709</v>
      </c>
      <c r="G1077" s="3">
        <f>EUR!C1077/1</f>
        <v>1.371</v>
      </c>
      <c r="H1077" s="3">
        <f>GBP!B1077/1</f>
        <v>1.6019000000000001</v>
      </c>
      <c r="I1077" s="3">
        <f>GBP!C1077/1</f>
        <v>1.6014999999999999</v>
      </c>
      <c r="J1077" s="4">
        <f>1/INR!B1077</f>
        <v>1.6299918500407497E-2</v>
      </c>
      <c r="K1077" s="4">
        <f>1/INR!C1077</f>
        <v>1.6177303243549299E-2</v>
      </c>
      <c r="L1077" s="4">
        <f>1/JPY!B1077</f>
        <v>1.0156408693885843E-2</v>
      </c>
      <c r="M1077" s="4">
        <f>1/JPY!C1077</f>
        <v>1.0157842717994922E-2</v>
      </c>
      <c r="N1077" s="5">
        <f>1/KRW!B1077</f>
        <v>9.4326274583785301E-4</v>
      </c>
      <c r="O1077" s="5">
        <f>1/KRW!C1077</f>
        <v>9.4323916819510705E-4</v>
      </c>
      <c r="P1077" s="3">
        <f>1/NOK!B1077</f>
        <v>0.16913033183371104</v>
      </c>
      <c r="Q1077" s="3">
        <f>1/NOK!C1077</f>
        <v>0.16894460306465509</v>
      </c>
      <c r="R1077" s="3">
        <f>NZD!B1077/1</f>
        <v>0.82509999999999994</v>
      </c>
      <c r="S1077" s="3">
        <f>NZD!C1077/1</f>
        <v>0.82340000000000002</v>
      </c>
      <c r="T1077" s="4">
        <f>1/PHP!B1077</f>
        <v>2.3113371085172772E-2</v>
      </c>
      <c r="U1077" s="4">
        <f>1/PHP!C1077</f>
        <v>2.311289029004366E-2</v>
      </c>
      <c r="V1077" s="4">
        <f>1/TWD!B1077</f>
        <v>3.4007821799013772E-2</v>
      </c>
      <c r="W1077" s="4">
        <f>1/TWD!C1077</f>
        <v>3.4007937452601437E-2</v>
      </c>
      <c r="X1077" s="4">
        <f>1/TWD!B1077</f>
        <v>3.4007821799013772E-2</v>
      </c>
      <c r="Y1077" s="4">
        <f>1/TWD!C1077</f>
        <v>3.4007937452601437E-2</v>
      </c>
      <c r="Z1077" s="4">
        <f>1/ZAR!B1077</f>
        <v>0.10044698910150168</v>
      </c>
      <c r="AA1077" s="4">
        <f>1/ZAR!C1077</f>
        <v>0.10000800064005121</v>
      </c>
    </row>
    <row r="1078" spans="1:27" x14ac:dyDescent="0.25">
      <c r="A1078" t="str">
        <f>"01/11/2013"</f>
        <v>01/11/2013</v>
      </c>
      <c r="B1078" s="3">
        <f>AUD!B1078</f>
        <v>0.94799999999999995</v>
      </c>
      <c r="C1078" s="3">
        <f>AUD!C1078</f>
        <v>0.94610000000000005</v>
      </c>
      <c r="D1078" s="3">
        <f>1/CAD!B1078</f>
        <v>0.95904862376522493</v>
      </c>
      <c r="E1078" s="3">
        <f>1/CAD!C1078</f>
        <v>0.95831336847149007</v>
      </c>
      <c r="F1078" s="3">
        <f>EUR!B1078/1</f>
        <v>1.3557999999999999</v>
      </c>
      <c r="G1078" s="3">
        <f>EUR!C1078/1</f>
        <v>1.3559000000000001</v>
      </c>
      <c r="H1078" s="3">
        <f>GBP!B1078/1</f>
        <v>1.6033999999999999</v>
      </c>
      <c r="I1078" s="3">
        <f>GBP!C1078/1</f>
        <v>1.603</v>
      </c>
      <c r="J1078" s="4">
        <f>1/INR!B1078</f>
        <v>1.6152479405588758E-2</v>
      </c>
      <c r="K1078" s="4">
        <f>1/INR!C1078</f>
        <v>1.6037206318659292E-2</v>
      </c>
      <c r="L1078" s="4">
        <f>1/JPY!B1078</f>
        <v>1.0205539566876901E-2</v>
      </c>
      <c r="M1078" s="4">
        <f>1/JPY!C1078</f>
        <v>1.0207039591065167E-2</v>
      </c>
      <c r="N1078" s="5">
        <f>1/KRW!B1078</f>
        <v>9.4104804520794806E-4</v>
      </c>
      <c r="O1078" s="5">
        <f>1/KRW!C1078</f>
        <v>9.4102422393967501E-4</v>
      </c>
      <c r="P1078" s="3">
        <f>1/NOK!B1078</f>
        <v>0.16777960471125128</v>
      </c>
      <c r="Q1078" s="3">
        <f>1/NOK!C1078</f>
        <v>0.16759121151686807</v>
      </c>
      <c r="R1078" s="3">
        <f>NZD!B1078/1</f>
        <v>0.82599999999999996</v>
      </c>
      <c r="S1078" s="3">
        <f>NZD!C1078/1</f>
        <v>0.82430000000000003</v>
      </c>
      <c r="T1078" s="4">
        <f>1/PHP!B1078</f>
        <v>2.3108030040439053E-2</v>
      </c>
      <c r="U1078" s="4">
        <f>1/PHP!C1078</f>
        <v>2.3112623190281605E-2</v>
      </c>
      <c r="V1078" s="4">
        <f>1/TWD!B1078</f>
        <v>3.3975469710868754E-2</v>
      </c>
      <c r="W1078" s="4">
        <f>1/TWD!C1078</f>
        <v>3.3975585144515152E-2</v>
      </c>
      <c r="X1078" s="4">
        <f>1/TWD!B1078</f>
        <v>3.3975469710868754E-2</v>
      </c>
      <c r="Y1078" s="4">
        <f>1/TWD!C1078</f>
        <v>3.3975585144515152E-2</v>
      </c>
      <c r="Z1078" s="4">
        <f>1/ZAR!B1078</f>
        <v>9.9407531114557246E-2</v>
      </c>
      <c r="AA1078" s="4">
        <f>1/ZAR!C1078</f>
        <v>9.89834400704762E-2</v>
      </c>
    </row>
    <row r="1079" spans="1:27" x14ac:dyDescent="0.25">
      <c r="A1079" t="str">
        <f>"05/11/2013"</f>
        <v>05/11/2013</v>
      </c>
      <c r="B1079" s="3">
        <f>AUD!B1079</f>
        <v>0.94789999999999996</v>
      </c>
      <c r="C1079" s="3">
        <f>AUD!C1079</f>
        <v>0.94589999999999996</v>
      </c>
      <c r="D1079" s="3">
        <f>1/CAD!B1079</f>
        <v>0.95803793830235673</v>
      </c>
      <c r="E1079" s="3">
        <f>1/CAD!C1079</f>
        <v>0.95730423128470232</v>
      </c>
      <c r="F1079" s="3">
        <f>EUR!B1079/1</f>
        <v>1.3502000000000001</v>
      </c>
      <c r="G1079" s="3">
        <f>EUR!C1079/1</f>
        <v>1.3502000000000001</v>
      </c>
      <c r="H1079" s="3">
        <f>GBP!B1079/1</f>
        <v>1.5972</v>
      </c>
      <c r="I1079" s="3">
        <f>GBP!C1079/1</f>
        <v>1.5969</v>
      </c>
      <c r="J1079" s="4">
        <f>1/INR!B1079</f>
        <v>1.6172724699793795E-2</v>
      </c>
      <c r="K1079" s="4">
        <f>1/INR!C1079</f>
        <v>1.6054585591009432E-2</v>
      </c>
      <c r="L1079" s="4">
        <f>1/JPY!B1079</f>
        <v>1.0154088289797679E-2</v>
      </c>
      <c r="M1079" s="4">
        <f>1/JPY!C1079</f>
        <v>1.0155583539830199E-2</v>
      </c>
      <c r="N1079" s="5">
        <f>1/KRW!B1079</f>
        <v>9.4170825878142942E-4</v>
      </c>
      <c r="O1079" s="5">
        <f>1/KRW!C1079</f>
        <v>9.4168360598526567E-4</v>
      </c>
      <c r="P1079" s="3">
        <f>1/NOK!B1079</f>
        <v>0.16759121151686807</v>
      </c>
      <c r="Q1079" s="3">
        <f>1/NOK!C1079</f>
        <v>0.16739203213927017</v>
      </c>
      <c r="R1079" s="3">
        <f>NZD!B1079/1</f>
        <v>0.82750000000000001</v>
      </c>
      <c r="S1079" s="3">
        <f>NZD!C1079/1</f>
        <v>0.82569999999999999</v>
      </c>
      <c r="T1079" s="4">
        <f>1/PHP!B1079</f>
        <v>2.3102691463555505E-2</v>
      </c>
      <c r="U1079" s="4">
        <f>1/PHP!C1079</f>
        <v>2.3093834869843146E-2</v>
      </c>
      <c r="V1079" s="4">
        <f>1/TWD!B1079</f>
        <v>3.3999150021249466E-2</v>
      </c>
      <c r="W1079" s="4">
        <f>1/TWD!C1079</f>
        <v>3.3999265615862695E-2</v>
      </c>
      <c r="X1079" s="4">
        <f>1/TWD!B1079</f>
        <v>3.3999150021249466E-2</v>
      </c>
      <c r="Y1079" s="4">
        <f>1/TWD!C1079</f>
        <v>3.3999265615862695E-2</v>
      </c>
      <c r="Z1079" s="4">
        <f>1/ZAR!B1079</f>
        <v>9.8655327880982205E-2</v>
      </c>
      <c r="AA1079" s="4">
        <f>1/ZAR!C1079</f>
        <v>9.8226037758088913E-2</v>
      </c>
    </row>
    <row r="1080" spans="1:27" x14ac:dyDescent="0.25">
      <c r="A1080" t="str">
        <f>"06/11/2013"</f>
        <v>06/11/2013</v>
      </c>
      <c r="B1080" s="3">
        <f>AUD!B1080</f>
        <v>0.95169999999999999</v>
      </c>
      <c r="C1080" s="3">
        <f>AUD!C1080</f>
        <v>0.94969999999999999</v>
      </c>
      <c r="D1080" s="3">
        <f>1/CAD!B1080</f>
        <v>0.9574875526618154</v>
      </c>
      <c r="E1080" s="3">
        <f>1/CAD!C1080</f>
        <v>0.9566631589017508</v>
      </c>
      <c r="F1080" s="3">
        <f>EUR!B1080/1</f>
        <v>1.3514999999999999</v>
      </c>
      <c r="G1080" s="3">
        <f>EUR!C1080/1</f>
        <v>1.3515999999999999</v>
      </c>
      <c r="H1080" s="3">
        <f>GBP!B1080/1</f>
        <v>1.609</v>
      </c>
      <c r="I1080" s="3">
        <f>GBP!C1080/1</f>
        <v>1.6086</v>
      </c>
      <c r="J1080" s="4">
        <f>1/INR!B1080</f>
        <v>1.6160310277957335E-2</v>
      </c>
      <c r="K1080" s="4">
        <f>1/INR!C1080</f>
        <v>1.6040421863094997E-2</v>
      </c>
      <c r="L1080" s="4">
        <f>1/JPY!B1080</f>
        <v>1.0130224029904421E-2</v>
      </c>
      <c r="M1080" s="4">
        <f>1/JPY!C1080</f>
        <v>1.0131568549179647E-2</v>
      </c>
      <c r="N1080" s="5">
        <f>1/KRW!B1080</f>
        <v>9.4206311822892137E-4</v>
      </c>
      <c r="O1080" s="5">
        <f>1/KRW!C1080</f>
        <v>9.4203960051868706E-4</v>
      </c>
      <c r="P1080" s="3">
        <f>1/NOK!B1080</f>
        <v>0.16753505671061672</v>
      </c>
      <c r="Q1080" s="3">
        <f>1/NOK!C1080</f>
        <v>0.16734161116503232</v>
      </c>
      <c r="R1080" s="3">
        <f>NZD!B1080/1</f>
        <v>0.83930000000000005</v>
      </c>
      <c r="S1080" s="3">
        <f>NZD!C1080/1</f>
        <v>0.83750000000000002</v>
      </c>
      <c r="T1080" s="4">
        <f>1/PHP!B1080</f>
        <v>2.3126734505087881E-2</v>
      </c>
      <c r="U1080" s="4">
        <f>1/PHP!C1080</f>
        <v>2.3122991190140357E-2</v>
      </c>
      <c r="V1080" s="4">
        <f>1/TWD!B1080</f>
        <v>3.3978933061501869E-2</v>
      </c>
      <c r="W1080" s="4">
        <f>1/TWD!C1080</f>
        <v>3.3979163976649518E-2</v>
      </c>
      <c r="X1080" s="4">
        <f>1/TWD!B1080</f>
        <v>3.3978933061501869E-2</v>
      </c>
      <c r="Y1080" s="4">
        <f>1/TWD!C1080</f>
        <v>3.3979163976649518E-2</v>
      </c>
      <c r="Z1080" s="4">
        <f>1/ZAR!B1080</f>
        <v>9.7788034656079478E-2</v>
      </c>
      <c r="AA1080" s="4">
        <f>1/ZAR!C1080</f>
        <v>9.7335915979637325E-2</v>
      </c>
    </row>
    <row r="1081" spans="1:27" x14ac:dyDescent="0.25">
      <c r="A1081" t="str">
        <f>"07/11/2013"</f>
        <v>07/11/2013</v>
      </c>
      <c r="B1081" s="3">
        <f>AUD!B1081</f>
        <v>0.94750000000000001</v>
      </c>
      <c r="C1081" s="3">
        <f>AUD!C1081</f>
        <v>0.9456</v>
      </c>
      <c r="D1081" s="3">
        <f>1/CAD!B1081</f>
        <v>0.95960080606467713</v>
      </c>
      <c r="E1081" s="3">
        <f>1/CAD!C1081</f>
        <v>0.95877277085330781</v>
      </c>
      <c r="F1081" s="3">
        <f>EUR!B1081/1</f>
        <v>1.3522000000000001</v>
      </c>
      <c r="G1081" s="3">
        <f>EUR!C1081/1</f>
        <v>1.3522000000000001</v>
      </c>
      <c r="H1081" s="3">
        <f>GBP!B1081/1</f>
        <v>1.6084000000000001</v>
      </c>
      <c r="I1081" s="3">
        <f>GBP!C1081/1</f>
        <v>1.6080000000000001</v>
      </c>
      <c r="J1081" s="4">
        <f>1/INR!B1081</f>
        <v>1.5966151758272464E-2</v>
      </c>
      <c r="K1081" s="4">
        <f>1/INR!C1081</f>
        <v>1.5851000594412523E-2</v>
      </c>
      <c r="L1081" s="4">
        <f>1/JPY!B1081</f>
        <v>1.0139262774203689E-2</v>
      </c>
      <c r="M1081" s="4">
        <f>1/JPY!C1081</f>
        <v>1.0140558278295454E-2</v>
      </c>
      <c r="N1081" s="5">
        <f>1/KRW!B1081</f>
        <v>9.4267587975226488E-4</v>
      </c>
      <c r="O1081" s="5">
        <f>1/KRW!C1081</f>
        <v>9.4265002110122077E-4</v>
      </c>
      <c r="P1081" s="3">
        <f>1/NOK!B1081</f>
        <v>0.16777678975890475</v>
      </c>
      <c r="Q1081" s="3">
        <f>1/NOK!C1081</f>
        <v>0.16758840288252053</v>
      </c>
      <c r="R1081" s="3">
        <f>NZD!B1081/1</f>
        <v>0.83579999999999999</v>
      </c>
      <c r="S1081" s="3">
        <f>NZD!C1081/1</f>
        <v>0.83409999999999995</v>
      </c>
      <c r="T1081" s="4">
        <f>1/PHP!B1081</f>
        <v>2.3129409043598937E-2</v>
      </c>
      <c r="U1081" s="4">
        <f>1/PHP!C1081</f>
        <v>2.31293555467664E-2</v>
      </c>
      <c r="V1081" s="4">
        <f>1/TWD!B1081</f>
        <v>3.3985861881457316E-2</v>
      </c>
      <c r="W1081" s="4">
        <f>1/TWD!C1081</f>
        <v>3.3986092890789091E-2</v>
      </c>
      <c r="X1081" s="4">
        <f>1/TWD!B1081</f>
        <v>3.3985861881457316E-2</v>
      </c>
      <c r="Y1081" s="4">
        <f>1/TWD!C1081</f>
        <v>3.3986092890789091E-2</v>
      </c>
      <c r="Z1081" s="4">
        <f>1/ZAR!B1081</f>
        <v>9.7434548342151164E-2</v>
      </c>
      <c r="AA1081" s="4">
        <f>1/ZAR!C1081</f>
        <v>9.6996032862255943E-2</v>
      </c>
    </row>
    <row r="1082" spans="1:27" x14ac:dyDescent="0.25">
      <c r="A1082" t="str">
        <f>"08/11/2013"</f>
        <v>08/11/2013</v>
      </c>
      <c r="B1082" s="3">
        <f>AUD!B1082</f>
        <v>0.9456</v>
      </c>
      <c r="C1082" s="3">
        <f>AUD!C1082</f>
        <v>0.94379999999999997</v>
      </c>
      <c r="D1082" s="3">
        <f>1/CAD!B1082</f>
        <v>0.9566631589017508</v>
      </c>
      <c r="E1082" s="3">
        <f>1/CAD!C1082</f>
        <v>0.95593155530064045</v>
      </c>
      <c r="F1082" s="3">
        <f>EUR!B1082/1</f>
        <v>1.3408</v>
      </c>
      <c r="G1082" s="3">
        <f>EUR!C1082/1</f>
        <v>1.3409</v>
      </c>
      <c r="H1082" s="3">
        <f>GBP!B1082/1</f>
        <v>1.6092</v>
      </c>
      <c r="I1082" s="3">
        <f>GBP!C1082/1</f>
        <v>1.6088</v>
      </c>
      <c r="J1082" s="4">
        <f>1/INR!B1082</f>
        <v>1.5945148688511518E-2</v>
      </c>
      <c r="K1082" s="4">
        <f>1/INR!C1082</f>
        <v>1.5827793605571384E-2</v>
      </c>
      <c r="L1082" s="4">
        <f>1/JPY!B1082</f>
        <v>1.0193160389378727E-2</v>
      </c>
      <c r="M1082" s="4">
        <f>1/JPY!C1082</f>
        <v>1.0194459311364274E-2</v>
      </c>
      <c r="N1082" s="5">
        <f>1/KRW!B1082</f>
        <v>9.4043739743354627E-4</v>
      </c>
      <c r="O1082" s="5">
        <f>1/KRW!C1082</f>
        <v>9.4041440301083064E-4</v>
      </c>
      <c r="P1082" s="3">
        <f>1/NOK!B1082</f>
        <v>0.16516640515319184</v>
      </c>
      <c r="Q1082" s="3">
        <f>1/NOK!C1082</f>
        <v>0.16498110966294358</v>
      </c>
      <c r="R1082" s="3">
        <f>NZD!B1082/1</f>
        <v>0.83279999999999998</v>
      </c>
      <c r="S1082" s="3">
        <f>NZD!C1082/1</f>
        <v>0.83109999999999995</v>
      </c>
      <c r="T1082" s="4">
        <f>1/PHP!B1082</f>
        <v>2.3129409043598937E-2</v>
      </c>
      <c r="U1082" s="4">
        <f>1/PHP!C1082</f>
        <v>2.31107002542177E-2</v>
      </c>
      <c r="V1082" s="4">
        <f>1/TWD!B1082</f>
        <v>3.3992793527772111E-2</v>
      </c>
      <c r="W1082" s="4">
        <f>1/TWD!C1082</f>
        <v>3.3992909079166085E-2</v>
      </c>
      <c r="X1082" s="4">
        <f>1/TWD!B1082</f>
        <v>3.3992793527772111E-2</v>
      </c>
      <c r="Y1082" s="4">
        <f>1/TWD!C1082</f>
        <v>3.3992909079166085E-2</v>
      </c>
      <c r="Z1082" s="4">
        <f>1/ZAR!B1082</f>
        <v>9.7309395222108686E-2</v>
      </c>
      <c r="AA1082" s="4">
        <f>1/ZAR!C1082</f>
        <v>9.6889836256176726E-2</v>
      </c>
    </row>
    <row r="1083" spans="1:27" x14ac:dyDescent="0.25">
      <c r="A1083" t="str">
        <f>"11/11/2013"</f>
        <v>11/11/2013</v>
      </c>
      <c r="B1083" s="3">
        <f>AUD!B1083</f>
        <v>0.93830000000000002</v>
      </c>
      <c r="C1083" s="3">
        <f>AUD!C1083</f>
        <v>0.9365</v>
      </c>
      <c r="D1083" s="3">
        <f>1/CAD!B1083</f>
        <v>0.95428953144383999</v>
      </c>
      <c r="E1083" s="3">
        <f>1/CAD!C1083</f>
        <v>0.95356155239820739</v>
      </c>
      <c r="F1083" s="3">
        <f>EUR!B1083/1</f>
        <v>1.3362000000000001</v>
      </c>
      <c r="G1083" s="3">
        <f>EUR!C1083/1</f>
        <v>1.3363</v>
      </c>
      <c r="H1083" s="3">
        <f>GBP!B1083/1</f>
        <v>1.6012999999999999</v>
      </c>
      <c r="I1083" s="3">
        <f>GBP!C1083/1</f>
        <v>1.601</v>
      </c>
      <c r="J1083" s="4">
        <f>1/INR!B1083</f>
        <v>1.5821533106558025E-2</v>
      </c>
      <c r="K1083" s="4">
        <f>1/INR!C1083</f>
        <v>1.5702284682421293E-2</v>
      </c>
      <c r="L1083" s="4">
        <f>1/JPY!B1083</f>
        <v>1.0100244930939577E-2</v>
      </c>
      <c r="M1083" s="4">
        <f>1/JPY!C1083</f>
        <v>1.0101489666681146E-2</v>
      </c>
      <c r="N1083" s="5">
        <f>1/KRW!B1083</f>
        <v>9.3596151326257461E-4</v>
      </c>
      <c r="O1083" s="5">
        <f>1/KRW!C1083</f>
        <v>9.3593873719401827E-4</v>
      </c>
      <c r="P1083" s="3">
        <f>1/NOK!B1083</f>
        <v>0.1626412946247052</v>
      </c>
      <c r="Q1083" s="3">
        <f>1/NOK!C1083</f>
        <v>0.16245897910777529</v>
      </c>
      <c r="R1083" s="3">
        <f>NZD!B1083/1</f>
        <v>0.82820000000000005</v>
      </c>
      <c r="S1083" s="3">
        <f>NZD!C1083/1</f>
        <v>0.82650000000000001</v>
      </c>
      <c r="T1083" s="4">
        <f>1/PHP!B1083</f>
        <v>2.3049441051054512E-2</v>
      </c>
      <c r="U1083" s="4">
        <f>1/PHP!C1083</f>
        <v>2.3039457374699913E-2</v>
      </c>
      <c r="V1083" s="4">
        <f>1/TWD!B1083</f>
        <v>3.3916700583367251E-2</v>
      </c>
      <c r="W1083" s="4">
        <f>1/TWD!C1083</f>
        <v>3.391681561801526E-2</v>
      </c>
      <c r="X1083" s="4">
        <f>1/TWD!B1083</f>
        <v>3.3916700583367251E-2</v>
      </c>
      <c r="Y1083" s="4">
        <f>1/TWD!C1083</f>
        <v>3.391681561801526E-2</v>
      </c>
      <c r="Z1083" s="4">
        <f>1/ZAR!B1083</f>
        <v>9.6767014060247153E-2</v>
      </c>
      <c r="AA1083" s="4">
        <f>1/ZAR!C1083</f>
        <v>9.6345610975691998E-2</v>
      </c>
    </row>
    <row r="1084" spans="1:27" x14ac:dyDescent="0.25">
      <c r="A1084" t="str">
        <f>"12/11/2013"</f>
        <v>12/11/2013</v>
      </c>
      <c r="B1084" s="3">
        <f>AUD!B1084</f>
        <v>0.93389999999999995</v>
      </c>
      <c r="C1084" s="3">
        <f>AUD!C1084</f>
        <v>0.93189999999999995</v>
      </c>
      <c r="D1084" s="3">
        <f>1/CAD!B1084</f>
        <v>0.95392540303348272</v>
      </c>
      <c r="E1084" s="3">
        <f>1/CAD!C1084</f>
        <v>0.95328884652049573</v>
      </c>
      <c r="F1084" s="3">
        <f>EUR!B1084/1</f>
        <v>1.3399000000000001</v>
      </c>
      <c r="G1084" s="3">
        <f>EUR!C1084/1</f>
        <v>1.34</v>
      </c>
      <c r="H1084" s="3">
        <f>GBP!B1084/1</f>
        <v>1.5985</v>
      </c>
      <c r="I1084" s="3">
        <f>GBP!C1084/1</f>
        <v>1.5981000000000001</v>
      </c>
      <c r="J1084" s="4">
        <f>1/INR!B1084</f>
        <v>1.575175238245255E-2</v>
      </c>
      <c r="K1084" s="4">
        <f>1/INR!C1084</f>
        <v>1.5625610375405288E-2</v>
      </c>
      <c r="L1084" s="4">
        <f>1/JPY!B1084</f>
        <v>1.0053383466205552E-2</v>
      </c>
      <c r="M1084" s="4">
        <f>1/JPY!C1084</f>
        <v>1.0054717774126799E-2</v>
      </c>
      <c r="N1084" s="5">
        <f>1/KRW!B1084</f>
        <v>9.3375912749547125E-4</v>
      </c>
      <c r="O1084" s="5">
        <f>1/KRW!C1084</f>
        <v>9.337337557171351E-4</v>
      </c>
      <c r="P1084" s="3">
        <f>1/NOK!B1084</f>
        <v>0.162335027028782</v>
      </c>
      <c r="Q1084" s="3">
        <f>1/NOK!C1084</f>
        <v>0.16214025131738954</v>
      </c>
      <c r="R1084" s="3">
        <f>NZD!B1084/1</f>
        <v>0.8236</v>
      </c>
      <c r="S1084" s="3">
        <f>NZD!C1084/1</f>
        <v>0.82169999999999999</v>
      </c>
      <c r="T1084" s="4">
        <f>1/PHP!B1084</f>
        <v>2.2904260192395786E-2</v>
      </c>
      <c r="U1084" s="4">
        <f>1/PHP!C1084</f>
        <v>2.2898962905969988E-2</v>
      </c>
      <c r="V1084" s="4">
        <f>1/TWD!B1084</f>
        <v>3.3822634106744236E-2</v>
      </c>
      <c r="W1084" s="4">
        <f>1/TWD!C1084</f>
        <v>3.3822862902407512E-2</v>
      </c>
      <c r="X1084" s="4">
        <f>1/TWD!B1084</f>
        <v>3.3822634106744236E-2</v>
      </c>
      <c r="Y1084" s="4">
        <f>1/TWD!C1084</f>
        <v>3.3822862902407512E-2</v>
      </c>
      <c r="Z1084" s="4">
        <f>1/ZAR!B1084</f>
        <v>9.6283458501829386E-2</v>
      </c>
      <c r="AA1084" s="4">
        <f>1/ZAR!C1084</f>
        <v>9.5872681079526387E-2</v>
      </c>
    </row>
    <row r="1085" spans="1:27" x14ac:dyDescent="0.25">
      <c r="A1085" t="str">
        <f>"13/11/2013"</f>
        <v>13/11/2013</v>
      </c>
      <c r="B1085" s="3">
        <f>AUD!B1085</f>
        <v>0.93030000000000002</v>
      </c>
      <c r="C1085" s="3">
        <f>AUD!C1085</f>
        <v>0.9284</v>
      </c>
      <c r="D1085" s="3">
        <f>1/CAD!B1085</f>
        <v>0.95328884652049573</v>
      </c>
      <c r="E1085" s="3">
        <f>1/CAD!C1085</f>
        <v>0.95247166396799687</v>
      </c>
      <c r="F1085" s="3">
        <f>EUR!B1085/1</f>
        <v>1.3446</v>
      </c>
      <c r="G1085" s="3">
        <f>EUR!C1085/1</f>
        <v>1.3447</v>
      </c>
      <c r="H1085" s="3">
        <f>GBP!B1085/1</f>
        <v>1.5889</v>
      </c>
      <c r="I1085" s="3">
        <f>GBP!C1085/1</f>
        <v>1.5885</v>
      </c>
      <c r="J1085" s="4">
        <f>1/INR!B1085</f>
        <v>1.5688735487919672E-2</v>
      </c>
      <c r="K1085" s="4">
        <f>1/INR!C1085</f>
        <v>1.5566625155666253E-2</v>
      </c>
      <c r="L1085" s="4">
        <f>1/JPY!B1085</f>
        <v>1.0053252076247885E-2</v>
      </c>
      <c r="M1085" s="4">
        <f>1/JPY!C1085</f>
        <v>1.0054586349290297E-2</v>
      </c>
      <c r="N1085" s="5">
        <f>1/KRW!B1085</f>
        <v>9.3179711049716041E-4</v>
      </c>
      <c r="O1085" s="5">
        <f>1/KRW!C1085</f>
        <v>9.3176845926494641E-4</v>
      </c>
      <c r="P1085" s="3">
        <f>1/NOK!B1085</f>
        <v>0.16134757494594856</v>
      </c>
      <c r="Q1085" s="3">
        <f>1/NOK!C1085</f>
        <v>0.16115775732864901</v>
      </c>
      <c r="R1085" s="3">
        <f>NZD!B1085/1</f>
        <v>0.82269999999999999</v>
      </c>
      <c r="S1085" s="3">
        <f>NZD!C1085/1</f>
        <v>0.82099999999999995</v>
      </c>
      <c r="T1085" s="4">
        <f>1/PHP!B1085</f>
        <v>2.2846698652044778E-2</v>
      </c>
      <c r="U1085" s="4">
        <f>1/PHP!C1085</f>
        <v>2.2841897522110955E-2</v>
      </c>
      <c r="V1085" s="4">
        <f>1/TWD!B1085</f>
        <v>3.3772374197906116E-2</v>
      </c>
      <c r="W1085" s="4">
        <f>1/TWD!C1085</f>
        <v>3.3772488255617211E-2</v>
      </c>
      <c r="X1085" s="4">
        <f>1/TWD!B1085</f>
        <v>3.3772374197906116E-2</v>
      </c>
      <c r="Y1085" s="4">
        <f>1/TWD!C1085</f>
        <v>3.3772488255617211E-2</v>
      </c>
      <c r="Z1085" s="4">
        <f>1/ZAR!B1085</f>
        <v>9.6690291327847774E-2</v>
      </c>
      <c r="AA1085" s="4">
        <f>1/ZAR!C1085</f>
        <v>9.6224163812016469E-2</v>
      </c>
    </row>
    <row r="1086" spans="1:27" x14ac:dyDescent="0.25">
      <c r="A1086" t="str">
        <f>"14/11/2013"</f>
        <v>14/11/2013</v>
      </c>
      <c r="B1086" s="3">
        <f>AUD!B1086</f>
        <v>0.93440000000000001</v>
      </c>
      <c r="C1086" s="3">
        <f>AUD!C1086</f>
        <v>0.9325</v>
      </c>
      <c r="D1086" s="3">
        <f>1/CAD!B1086</f>
        <v>0.95474508306282213</v>
      </c>
      <c r="E1086" s="3">
        <f>1/CAD!C1086</f>
        <v>0.95401640908223617</v>
      </c>
      <c r="F1086" s="3">
        <f>EUR!B1086/1</f>
        <v>1.3467</v>
      </c>
      <c r="G1086" s="3">
        <f>EUR!C1086/1</f>
        <v>1.3468</v>
      </c>
      <c r="H1086" s="3">
        <f>GBP!B1086/1</f>
        <v>1.6032</v>
      </c>
      <c r="I1086" s="3">
        <f>GBP!C1086/1</f>
        <v>1.6028</v>
      </c>
      <c r="J1086" s="4">
        <f>1/INR!B1086</f>
        <v>1.5861686097232135E-2</v>
      </c>
      <c r="K1086" s="4">
        <f>1/INR!C1086</f>
        <v>1.5742453461371955E-2</v>
      </c>
      <c r="L1086" s="4">
        <f>1/JPY!B1086</f>
        <v>1.0034770479712204E-2</v>
      </c>
      <c r="M1086" s="4">
        <f>1/JPY!C1086</f>
        <v>1.0036079706545029E-2</v>
      </c>
      <c r="N1086" s="5">
        <f>1/KRW!B1086</f>
        <v>9.3669795237827618E-4</v>
      </c>
      <c r="O1086" s="5">
        <f>1/KRW!C1086</f>
        <v>9.3667180649709288E-4</v>
      </c>
      <c r="P1086" s="3">
        <f>1/NOK!B1086</f>
        <v>0.1619643030676039</v>
      </c>
      <c r="Q1086" s="3">
        <f>1/NOK!C1086</f>
        <v>0.16177303243549301</v>
      </c>
      <c r="R1086" s="3">
        <f>NZD!B1086/1</f>
        <v>0.8286</v>
      </c>
      <c r="S1086" s="3">
        <f>NZD!C1086/1</f>
        <v>0.82679999999999998</v>
      </c>
      <c r="T1086" s="4">
        <f>1/PHP!B1086</f>
        <v>2.2951572182694516E-2</v>
      </c>
      <c r="U1086" s="4">
        <f>1/PHP!C1086</f>
        <v>2.2945726473173004E-2</v>
      </c>
      <c r="V1086" s="4">
        <f>1/TWD!B1086</f>
        <v>3.3828354927099895E-2</v>
      </c>
      <c r="W1086" s="4">
        <f>1/TWD!C1086</f>
        <v>3.3828469363246724E-2</v>
      </c>
      <c r="X1086" s="4">
        <f>1/TWD!B1086</f>
        <v>3.3828354927099895E-2</v>
      </c>
      <c r="Y1086" s="4">
        <f>1/TWD!C1086</f>
        <v>3.3828469363246724E-2</v>
      </c>
      <c r="Z1086" s="4">
        <f>1/ZAR!B1086</f>
        <v>9.7102462518449464E-2</v>
      </c>
      <c r="AA1086" s="4">
        <f>1/ZAR!C1086</f>
        <v>9.6649173166323557E-2</v>
      </c>
    </row>
    <row r="1087" spans="1:27" x14ac:dyDescent="0.25">
      <c r="A1087" t="str">
        <f>"18/11/2013"</f>
        <v>18/11/2013</v>
      </c>
      <c r="B1087" s="3">
        <f>AUD!B1087</f>
        <v>0.93959999999999999</v>
      </c>
      <c r="C1087" s="3">
        <f>AUD!C1087</f>
        <v>0.93769999999999998</v>
      </c>
      <c r="D1087" s="3">
        <f>1/CAD!B1087</f>
        <v>0.95858895705521485</v>
      </c>
      <c r="E1087" s="3">
        <f>1/CAD!C1087</f>
        <v>0.95785440613026818</v>
      </c>
      <c r="F1087" s="3">
        <f>EUR!B1087/1</f>
        <v>1.3491</v>
      </c>
      <c r="G1087" s="3">
        <f>EUR!C1087/1</f>
        <v>1.3492</v>
      </c>
      <c r="H1087" s="3">
        <f>GBP!B1087/1</f>
        <v>1.6127</v>
      </c>
      <c r="I1087" s="3">
        <f>GBP!C1087/1</f>
        <v>1.6123000000000001</v>
      </c>
      <c r="J1087" s="4">
        <f>1/INR!B1087</f>
        <v>1.5908367801463569E-2</v>
      </c>
      <c r="K1087" s="4">
        <f>1/INR!C1087</f>
        <v>1.5786565632646618E-2</v>
      </c>
      <c r="L1087" s="4">
        <f>1/JPY!B1087</f>
        <v>9.9830288509533786E-3</v>
      </c>
      <c r="M1087" s="4">
        <f>1/JPY!C1087</f>
        <v>9.9843246103617327E-3</v>
      </c>
      <c r="N1087" s="5">
        <f>1/KRW!B1087</f>
        <v>9.4195219592605676E-4</v>
      </c>
      <c r="O1087" s="5">
        <f>1/KRW!C1087</f>
        <v>9.4193081310952925E-4</v>
      </c>
      <c r="P1087" s="3">
        <f>1/NOK!B1087</f>
        <v>0.16333197223356474</v>
      </c>
      <c r="Q1087" s="3">
        <f>1/NOK!C1087</f>
        <v>0.16314278256329939</v>
      </c>
      <c r="R1087" s="3">
        <f>NZD!B1087/1</f>
        <v>0.83509999999999995</v>
      </c>
      <c r="S1087" s="3">
        <f>NZD!C1087/1</f>
        <v>0.83340000000000003</v>
      </c>
      <c r="T1087" s="4">
        <f>1/PHP!B1087</f>
        <v>2.2925263640531868E-2</v>
      </c>
      <c r="U1087" s="4">
        <f>1/PHP!C1087</f>
        <v>2.2933149868134391E-2</v>
      </c>
      <c r="V1087" s="4">
        <f>1/TWD!B1087</f>
        <v>3.3853549544669757E-2</v>
      </c>
      <c r="W1087" s="4">
        <f>1/TWD!C1087</f>
        <v>3.3853664151339419E-2</v>
      </c>
      <c r="X1087" s="4">
        <f>1/TWD!B1087</f>
        <v>3.3853549544669757E-2</v>
      </c>
      <c r="Y1087" s="4">
        <f>1/TWD!C1087</f>
        <v>3.3853664151339419E-2</v>
      </c>
      <c r="Z1087" s="4">
        <f>1/ZAR!B1087</f>
        <v>9.8172036677072902E-2</v>
      </c>
      <c r="AA1087" s="4">
        <f>1/ZAR!C1087</f>
        <v>9.77450223347376E-2</v>
      </c>
    </row>
    <row r="1088" spans="1:27" x14ac:dyDescent="0.25">
      <c r="A1088" t="str">
        <f>"19/11/2013"</f>
        <v>19/11/2013</v>
      </c>
      <c r="B1088" s="3">
        <f>AUD!B1088</f>
        <v>0.93789999999999996</v>
      </c>
      <c r="C1088" s="3">
        <f>AUD!C1088</f>
        <v>0.93600000000000005</v>
      </c>
      <c r="D1088" s="3">
        <f>1/CAD!B1088</f>
        <v>0.95831336847149007</v>
      </c>
      <c r="E1088" s="3">
        <f>1/CAD!C1088</f>
        <v>0.9574875526618154</v>
      </c>
      <c r="F1088" s="3">
        <f>EUR!B1088/1</f>
        <v>1.3506</v>
      </c>
      <c r="G1088" s="3">
        <f>EUR!C1088/1</f>
        <v>1.3507</v>
      </c>
      <c r="H1088" s="3">
        <f>GBP!B1088/1</f>
        <v>1.6103000000000001</v>
      </c>
      <c r="I1088" s="3">
        <f>GBP!C1088/1</f>
        <v>1.6099000000000001</v>
      </c>
      <c r="J1088" s="4">
        <f>1/INR!B1088</f>
        <v>1.6060387055328033E-2</v>
      </c>
      <c r="K1088" s="4">
        <f>1/INR!C1088</f>
        <v>1.5928005415521841E-2</v>
      </c>
      <c r="L1088" s="4">
        <f>1/JPY!B1088</f>
        <v>1.0013969487434972E-2</v>
      </c>
      <c r="M1088" s="4">
        <f>1/JPY!C1088</f>
        <v>1.0015383629254535E-2</v>
      </c>
      <c r="N1088" s="5">
        <f>1/KRW!B1088</f>
        <v>9.4740482134313575E-4</v>
      </c>
      <c r="O1088" s="5">
        <f>1/KRW!C1088</f>
        <v>9.4738148494468723E-4</v>
      </c>
      <c r="P1088" s="3">
        <f>1/NOK!B1088</f>
        <v>0.16307627077183998</v>
      </c>
      <c r="Q1088" s="3">
        <f>1/NOK!C1088</f>
        <v>0.16287971333170453</v>
      </c>
      <c r="R1088" s="3">
        <f>NZD!B1088/1</f>
        <v>0.83220000000000005</v>
      </c>
      <c r="S1088" s="3">
        <f>NZD!C1088/1</f>
        <v>0.83030000000000004</v>
      </c>
      <c r="T1088" s="4">
        <f>1/PHP!B1088</f>
        <v>2.2951572182694516E-2</v>
      </c>
      <c r="U1088" s="4">
        <f>1/PHP!C1088</f>
        <v>2.2970024118525327E-2</v>
      </c>
      <c r="V1088" s="4">
        <f>1/TWD!B1088</f>
        <v>3.39236040436936E-2</v>
      </c>
      <c r="W1088" s="4">
        <f>1/TWD!C1088</f>
        <v>3.3923834207437463E-2</v>
      </c>
      <c r="X1088" s="4">
        <f>1/TWD!B1088</f>
        <v>3.39236040436936E-2</v>
      </c>
      <c r="Y1088" s="4">
        <f>1/TWD!C1088</f>
        <v>3.3923834207437463E-2</v>
      </c>
      <c r="Z1088" s="4">
        <f>1/ZAR!B1088</f>
        <v>9.8526050287696065E-2</v>
      </c>
      <c r="AA1088" s="4">
        <f>1/ZAR!C1088</f>
        <v>9.8089221956291439E-2</v>
      </c>
    </row>
    <row r="1089" spans="1:27" x14ac:dyDescent="0.25">
      <c r="A1089" t="str">
        <f>"20/11/2013"</f>
        <v>20/11/2013</v>
      </c>
      <c r="B1089" s="3">
        <f>AUD!B1089</f>
        <v>0.94130000000000003</v>
      </c>
      <c r="C1089" s="3">
        <f>AUD!C1089</f>
        <v>0.93940000000000001</v>
      </c>
      <c r="D1089" s="3">
        <f>1/CAD!B1089</f>
        <v>0.95529231944975168</v>
      </c>
      <c r="E1089" s="3">
        <f>1/CAD!C1089</f>
        <v>0.95447169991409753</v>
      </c>
      <c r="F1089" s="3">
        <f>EUR!B1089/1</f>
        <v>1.3552</v>
      </c>
      <c r="G1089" s="3">
        <f>EUR!C1089/1</f>
        <v>1.3552999999999999</v>
      </c>
      <c r="H1089" s="3">
        <f>GBP!B1089/1</f>
        <v>1.6114999999999999</v>
      </c>
      <c r="I1089" s="3">
        <f>GBP!C1089/1</f>
        <v>1.611</v>
      </c>
      <c r="J1089" s="4">
        <f>1/INR!B1089</f>
        <v>1.6023073225444641E-2</v>
      </c>
      <c r="K1089" s="4">
        <f>1/INR!C1089</f>
        <v>1.5895092390224519E-2</v>
      </c>
      <c r="L1089" s="4">
        <f>1/JPY!B1089</f>
        <v>9.9969009607021823E-3</v>
      </c>
      <c r="M1089" s="4">
        <f>1/JPY!C1089</f>
        <v>9.9982003239416899E-3</v>
      </c>
      <c r="N1089" s="5">
        <f>1/KRW!B1089</f>
        <v>9.4679038060973295E-4</v>
      </c>
      <c r="O1089" s="5">
        <f>1/KRW!C1089</f>
        <v>9.4676438537476249E-4</v>
      </c>
      <c r="P1089" s="3">
        <f>1/NOK!B1089</f>
        <v>0.16409313926584729</v>
      </c>
      <c r="Q1089" s="3">
        <f>1/NOK!C1089</f>
        <v>0.16390218317707991</v>
      </c>
      <c r="R1089" s="3">
        <f>NZD!B1089/1</f>
        <v>0.83460000000000001</v>
      </c>
      <c r="S1089" s="3">
        <f>NZD!C1089/1</f>
        <v>0.83289999999999997</v>
      </c>
      <c r="T1089" s="4">
        <f>1/PHP!B1089</f>
        <v>2.2954206358315164E-2</v>
      </c>
      <c r="U1089" s="4">
        <f>1/PHP!C1089</f>
        <v>2.296459089729546E-2</v>
      </c>
      <c r="V1089" s="4">
        <f>1/TWD!B1089</f>
        <v>3.3908650096639653E-2</v>
      </c>
      <c r="W1089" s="4">
        <f>1/TWD!C1089</f>
        <v>3.3908880057509458E-2</v>
      </c>
      <c r="X1089" s="4">
        <f>1/TWD!B1089</f>
        <v>3.3908650096639653E-2</v>
      </c>
      <c r="Y1089" s="4">
        <f>1/TWD!C1089</f>
        <v>3.3908880057509458E-2</v>
      </c>
      <c r="Z1089" s="4">
        <f>1/ZAR!B1089</f>
        <v>9.801807453294388E-2</v>
      </c>
      <c r="AA1089" s="4">
        <f>1/ZAR!C1089</f>
        <v>9.7553361688843793E-2</v>
      </c>
    </row>
    <row r="1090" spans="1:27" x14ac:dyDescent="0.25">
      <c r="A1090" t="str">
        <f>"21/11/2013"</f>
        <v>21/11/2013</v>
      </c>
      <c r="B1090" s="3">
        <f>AUD!B1090</f>
        <v>0.92989999999999995</v>
      </c>
      <c r="C1090" s="3">
        <f>AUD!C1090</f>
        <v>0.92789999999999995</v>
      </c>
      <c r="D1090" s="3">
        <f>1/CAD!B1090</f>
        <v>0.95538358650998378</v>
      </c>
      <c r="E1090" s="3">
        <f>1/CAD!C1090</f>
        <v>0.95465393794749398</v>
      </c>
      <c r="F1090" s="3">
        <f>EUR!B1090/1</f>
        <v>1.3421000000000001</v>
      </c>
      <c r="G1090" s="3">
        <f>EUR!C1090/1</f>
        <v>1.3422000000000001</v>
      </c>
      <c r="H1090" s="3">
        <f>GBP!B1090/1</f>
        <v>1.6081000000000001</v>
      </c>
      <c r="I1090" s="3">
        <f>GBP!C1090/1</f>
        <v>1.6076999999999999</v>
      </c>
      <c r="J1090" s="4">
        <f>1/INR!B1090</f>
        <v>1.5893197711379529E-2</v>
      </c>
      <c r="K1090" s="4">
        <f>1/INR!C1090</f>
        <v>1.5764789343002406E-2</v>
      </c>
      <c r="L1090" s="4">
        <f>1/JPY!B1090</f>
        <v>9.9603577760513165E-3</v>
      </c>
      <c r="M1090" s="4">
        <f>1/JPY!C1090</f>
        <v>9.9616178862841475E-3</v>
      </c>
      <c r="N1090" s="5">
        <f>1/KRW!B1090</f>
        <v>9.4144228958764826E-4</v>
      </c>
      <c r="O1090" s="5">
        <f>1/KRW!C1090</f>
        <v>9.4141968913380447E-4</v>
      </c>
      <c r="P1090" s="3">
        <f>1/NOK!B1090</f>
        <v>0.16303373167908439</v>
      </c>
      <c r="Q1090" s="3">
        <f>1/NOK!C1090</f>
        <v>0.16283462515469288</v>
      </c>
      <c r="R1090" s="3">
        <f>NZD!B1090/1</f>
        <v>0.82479999999999998</v>
      </c>
      <c r="S1090" s="3">
        <f>NZD!C1090/1</f>
        <v>0.82299999999999995</v>
      </c>
      <c r="T1090" s="4">
        <f>1/PHP!B1090</f>
        <v>2.2831050228310504E-2</v>
      </c>
      <c r="U1090" s="4">
        <f>1/PHP!C1090</f>
        <v>2.2831050228310504E-2</v>
      </c>
      <c r="V1090" s="4">
        <f>1/TWD!B1090</f>
        <v>3.3803769120256906E-2</v>
      </c>
      <c r="W1090" s="4">
        <f>1/TWD!C1090</f>
        <v>3.3803997660763363E-2</v>
      </c>
      <c r="X1090" s="4">
        <f>1/TWD!B1090</f>
        <v>3.3803769120256906E-2</v>
      </c>
      <c r="Y1090" s="4">
        <f>1/TWD!C1090</f>
        <v>3.3803997660763363E-2</v>
      </c>
      <c r="Z1090" s="4">
        <f>1/ZAR!B1090</f>
        <v>9.8307150862153705E-2</v>
      </c>
      <c r="AA1090" s="4">
        <f>1/ZAR!C1090</f>
        <v>9.785597557514851E-2</v>
      </c>
    </row>
    <row r="1091" spans="1:27" x14ac:dyDescent="0.25">
      <c r="A1091" t="str">
        <f>"22/11/2013"</f>
        <v>22/11/2013</v>
      </c>
      <c r="B1091" s="3">
        <f>AUD!B1091</f>
        <v>0.91949999999999998</v>
      </c>
      <c r="C1091" s="3">
        <f>AUD!C1091</f>
        <v>0.91759999999999997</v>
      </c>
      <c r="D1091" s="3">
        <f>1/CAD!B1091</f>
        <v>0.94858660595712385</v>
      </c>
      <c r="E1091" s="3">
        <f>1/CAD!C1091</f>
        <v>0.94777746185195721</v>
      </c>
      <c r="F1091" s="3">
        <f>EUR!B1091/1</f>
        <v>1.3467</v>
      </c>
      <c r="G1091" s="3">
        <f>EUR!C1091/1</f>
        <v>1.3467</v>
      </c>
      <c r="H1091" s="3">
        <f>GBP!B1091/1</f>
        <v>1.6189</v>
      </c>
      <c r="I1091" s="3">
        <f>GBP!C1091/1</f>
        <v>1.6185</v>
      </c>
      <c r="J1091" s="4">
        <f>1/INR!B1091</f>
        <v>1.5861057139458345E-2</v>
      </c>
      <c r="K1091" s="4">
        <f>1/INR!C1091</f>
        <v>1.5738117721120555E-2</v>
      </c>
      <c r="L1091" s="4">
        <f>1/JPY!B1091</f>
        <v>9.8870894386110623E-3</v>
      </c>
      <c r="M1091" s="4">
        <f>1/JPY!C1091</f>
        <v>9.8883115213661693E-3</v>
      </c>
      <c r="N1091" s="5">
        <f>1/KRW!B1091</f>
        <v>9.4179694857788666E-4</v>
      </c>
      <c r="O1091" s="5">
        <f>1/KRW!C1091</f>
        <v>9.4177468586869911E-4</v>
      </c>
      <c r="P1091" s="3">
        <f>1/NOK!B1091</f>
        <v>0.16383773510714988</v>
      </c>
      <c r="Q1091" s="3">
        <f>1/NOK!C1091</f>
        <v>0.1636446946389998</v>
      </c>
      <c r="R1091" s="3">
        <f>NZD!B1091/1</f>
        <v>0.82020000000000004</v>
      </c>
      <c r="S1091" s="3">
        <f>NZD!C1091/1</f>
        <v>0.81840000000000002</v>
      </c>
      <c r="T1091" s="4">
        <f>1/PHP!B1091</f>
        <v>2.2794620469569184E-2</v>
      </c>
      <c r="U1091" s="4">
        <f>1/PHP!C1091</f>
        <v>2.2819275898737182E-2</v>
      </c>
      <c r="V1091" s="4">
        <f>1/TWD!B1091</f>
        <v>3.3813484817745314E-2</v>
      </c>
      <c r="W1091" s="4">
        <f>1/TWD!C1091</f>
        <v>3.3813713489642863E-2</v>
      </c>
      <c r="X1091" s="4">
        <f>1/TWD!B1091</f>
        <v>3.3813484817745314E-2</v>
      </c>
      <c r="Y1091" s="4">
        <f>1/TWD!C1091</f>
        <v>3.3813713489642863E-2</v>
      </c>
      <c r="Z1091" s="4">
        <f>1/ZAR!B1091</f>
        <v>9.8558095069138499E-2</v>
      </c>
      <c r="AA1091" s="4">
        <f>1/ZAR!C1091</f>
        <v>9.8087297694948505E-2</v>
      </c>
    </row>
    <row r="1092" spans="1:27" x14ac:dyDescent="0.25">
      <c r="A1092" t="str">
        <f>"25/11/2013"</f>
        <v>25/11/2013</v>
      </c>
      <c r="B1092" s="3">
        <f>AUD!B1092</f>
        <v>0.91579999999999995</v>
      </c>
      <c r="C1092" s="3">
        <f>AUD!C1092</f>
        <v>0.91400000000000003</v>
      </c>
      <c r="D1092" s="3">
        <f>1/CAD!B1092</f>
        <v>0.94732853353543001</v>
      </c>
      <c r="E1092" s="3">
        <f>1/CAD!C1092</f>
        <v>0.94652153336488409</v>
      </c>
      <c r="F1092" s="3">
        <f>EUR!B1092/1</f>
        <v>1.3545</v>
      </c>
      <c r="G1092" s="3">
        <f>EUR!C1092/1</f>
        <v>1.3545</v>
      </c>
      <c r="H1092" s="3">
        <f>GBP!B1092/1</f>
        <v>1.6223000000000001</v>
      </c>
      <c r="I1092" s="3">
        <f>GBP!C1092/1</f>
        <v>1.6218999999999999</v>
      </c>
      <c r="J1092" s="4">
        <f>1/INR!B1092</f>
        <v>1.5996160921378868E-2</v>
      </c>
      <c r="K1092" s="4">
        <f>1/INR!C1092</f>
        <v>1.5874275736169539E-2</v>
      </c>
      <c r="L1092" s="4">
        <f>1/JPY!B1092</f>
        <v>9.8326483254999909E-3</v>
      </c>
      <c r="M1092" s="4">
        <f>1/JPY!C1092</f>
        <v>9.8338473157530363E-3</v>
      </c>
      <c r="N1092" s="5">
        <f>1/KRW!B1092</f>
        <v>9.4188121935942666E-4</v>
      </c>
      <c r="O1092" s="5">
        <f>1/KRW!C1092</f>
        <v>9.4185948492530355E-4</v>
      </c>
      <c r="P1092" s="3">
        <f>1/NOK!B1092</f>
        <v>0.16461718274153456</v>
      </c>
      <c r="Q1092" s="3">
        <f>1/NOK!C1092</f>
        <v>0.16442770935758094</v>
      </c>
      <c r="R1092" s="3">
        <f>NZD!B1092/1</f>
        <v>0.82189999999999996</v>
      </c>
      <c r="S1092" s="3">
        <f>NZD!C1092/1</f>
        <v>0.82020000000000004</v>
      </c>
      <c r="T1092" s="4">
        <f>1/PHP!B1092</f>
        <v>2.2768670309653915E-2</v>
      </c>
      <c r="U1092" s="4">
        <f>1/PHP!C1092</f>
        <v>2.2785271600437477E-2</v>
      </c>
      <c r="V1092" s="4">
        <f>1/TWD!B1092</f>
        <v>3.3790633236466847E-2</v>
      </c>
      <c r="W1092" s="4">
        <f>1/TWD!C1092</f>
        <v>3.3790975782007661E-2</v>
      </c>
      <c r="X1092" s="4">
        <f>1/TWD!B1092</f>
        <v>3.3790633236466847E-2</v>
      </c>
      <c r="Y1092" s="4">
        <f>1/TWD!C1092</f>
        <v>3.3790975782007661E-2</v>
      </c>
      <c r="Z1092" s="4">
        <f>1/ZAR!B1092</f>
        <v>9.9098206322465576E-2</v>
      </c>
      <c r="AA1092" s="4">
        <f>1/ZAR!C1092</f>
        <v>9.8388398040103103E-2</v>
      </c>
    </row>
    <row r="1093" spans="1:27" x14ac:dyDescent="0.25">
      <c r="A1093" t="str">
        <f>"26/11/2013"</f>
        <v>26/11/2013</v>
      </c>
      <c r="B1093" s="3">
        <f>AUD!B1093</f>
        <v>0.91910000000000003</v>
      </c>
      <c r="C1093" s="3">
        <f>AUD!C1093</f>
        <v>0.91720000000000002</v>
      </c>
      <c r="D1093" s="3">
        <f>1/CAD!B1093</f>
        <v>0.94957743804007222</v>
      </c>
      <c r="E1093" s="3">
        <f>1/CAD!C1093</f>
        <v>0.94885662776354485</v>
      </c>
      <c r="F1093" s="3">
        <f>EUR!B1093/1</f>
        <v>1.3532999999999999</v>
      </c>
      <c r="G1093" s="3">
        <f>EUR!C1093/1</f>
        <v>1.3532999999999999</v>
      </c>
      <c r="H1093" s="3">
        <f>GBP!B1093/1</f>
        <v>1.6154999999999999</v>
      </c>
      <c r="I1093" s="3">
        <f>GBP!C1093/1</f>
        <v>1.6152</v>
      </c>
      <c r="J1093" s="4">
        <f>1/INR!B1093</f>
        <v>1.6032064128256512E-2</v>
      </c>
      <c r="K1093" s="4">
        <f>1/INR!C1093</f>
        <v>1.5910898965791568E-2</v>
      </c>
      <c r="L1093" s="4">
        <f>1/JPY!B1093</f>
        <v>9.8523138158996652E-3</v>
      </c>
      <c r="M1093" s="4">
        <f>1/JPY!C1093</f>
        <v>9.853663247117065E-3</v>
      </c>
      <c r="N1093" s="5">
        <f>1/KRW!B1093</f>
        <v>9.4290698222620345E-4</v>
      </c>
      <c r="O1093" s="5">
        <f>1/KRW!C1093</f>
        <v>9.4288386687988411E-4</v>
      </c>
      <c r="P1093" s="3">
        <f>1/NOK!B1093</f>
        <v>0.16405006808077827</v>
      </c>
      <c r="Q1093" s="3">
        <f>1/NOK!C1093</f>
        <v>0.1638511576084285</v>
      </c>
      <c r="R1093" s="3">
        <f>NZD!B1093/1</f>
        <v>0.82489999999999997</v>
      </c>
      <c r="S1093" s="3">
        <f>NZD!C1093/1</f>
        <v>0.82310000000000005</v>
      </c>
      <c r="T1093" s="4">
        <f>1/PHP!B1093</f>
        <v>2.2831050228310504E-2</v>
      </c>
      <c r="U1093" s="4">
        <f>1/PHP!C1093</f>
        <v>2.2839654207635299E-2</v>
      </c>
      <c r="V1093" s="4">
        <f>1/TWD!B1093</f>
        <v>3.3787208162989489E-2</v>
      </c>
      <c r="W1093" s="4">
        <f>1/TWD!C1093</f>
        <v>3.3787550639091522E-2</v>
      </c>
      <c r="X1093" s="4">
        <f>1/TWD!B1093</f>
        <v>3.3787208162989489E-2</v>
      </c>
      <c r="Y1093" s="4">
        <f>1/TWD!C1093</f>
        <v>3.3787550639091522E-2</v>
      </c>
      <c r="Z1093" s="4">
        <f>1/ZAR!B1093</f>
        <v>9.9031472201865756E-2</v>
      </c>
      <c r="AA1093" s="4">
        <f>1/ZAR!C1093</f>
        <v>9.8507609712850316E-2</v>
      </c>
    </row>
    <row r="1094" spans="1:27" x14ac:dyDescent="0.25">
      <c r="A1094" t="str">
        <f>"27/11/2013"</f>
        <v>27/11/2013</v>
      </c>
      <c r="B1094" s="3">
        <f>AUD!B1094</f>
        <v>0.9123</v>
      </c>
      <c r="C1094" s="3">
        <f>AUD!C1094</f>
        <v>0.91039999999999999</v>
      </c>
      <c r="D1094" s="3">
        <f>1/CAD!B1094</f>
        <v>0.94777746185195721</v>
      </c>
      <c r="E1094" s="3">
        <f>1/CAD!C1094</f>
        <v>0.94696969696969691</v>
      </c>
      <c r="F1094" s="3">
        <f>EUR!B1094/1</f>
        <v>1.3593999999999999</v>
      </c>
      <c r="G1094" s="3">
        <f>EUR!C1094/1</f>
        <v>1.3593999999999999</v>
      </c>
      <c r="H1094" s="3">
        <f>GBP!B1094/1</f>
        <v>1.6226</v>
      </c>
      <c r="I1094" s="3">
        <f>GBP!C1094/1</f>
        <v>1.6222000000000001</v>
      </c>
      <c r="J1094" s="4">
        <f>1/INR!B1094</f>
        <v>1.6041708441949069E-2</v>
      </c>
      <c r="K1094" s="4">
        <f>1/INR!C1094</f>
        <v>1.5915330442048303E-2</v>
      </c>
      <c r="L1094" s="4">
        <f>1/JPY!B1094</f>
        <v>9.8525079559001749E-3</v>
      </c>
      <c r="M1094" s="4">
        <f>1/JPY!C1094</f>
        <v>9.8538671501630804E-3</v>
      </c>
      <c r="N1094" s="5">
        <f>1/KRW!B1094</f>
        <v>9.42507068803016E-4</v>
      </c>
      <c r="O1094" s="5">
        <f>1/KRW!C1094</f>
        <v>9.4248388423244251E-4</v>
      </c>
      <c r="P1094" s="3">
        <f>1/NOK!B1094</f>
        <v>0.16425485783742055</v>
      </c>
      <c r="Q1094" s="3">
        <f>1/NOK!C1094</f>
        <v>0.16406890894175555</v>
      </c>
      <c r="R1094" s="3">
        <f>NZD!B1094/1</f>
        <v>0.81920000000000004</v>
      </c>
      <c r="S1094" s="3">
        <f>NZD!C1094/1</f>
        <v>0.81740000000000002</v>
      </c>
      <c r="T1094" s="4">
        <f>1/PHP!B1094</f>
        <v>2.2870211549456832E-2</v>
      </c>
      <c r="U1094" s="4">
        <f>1/PHP!C1094</f>
        <v>2.2880415508345631E-2</v>
      </c>
      <c r="V1094" s="4">
        <f>1/TWD!B1094</f>
        <v>3.3771233663165715E-2</v>
      </c>
      <c r="W1094" s="4">
        <f>1/TWD!C1094</f>
        <v>3.3771575815499125E-2</v>
      </c>
      <c r="X1094" s="4">
        <f>1/TWD!B1094</f>
        <v>3.3771233663165715E-2</v>
      </c>
      <c r="Y1094" s="4">
        <f>1/TWD!C1094</f>
        <v>3.3771575815499125E-2</v>
      </c>
      <c r="Z1094" s="4">
        <f>1/ZAR!B1094</f>
        <v>9.8425196850393692E-2</v>
      </c>
      <c r="AA1094" s="4">
        <f>1/ZAR!C1094</f>
        <v>9.794127441186265E-2</v>
      </c>
    </row>
    <row r="1095" spans="1:27" x14ac:dyDescent="0.25">
      <c r="A1095" t="str">
        <f>"28/11/2013"</f>
        <v>28/11/2013</v>
      </c>
      <c r="B1095" s="3">
        <f>AUD!B1095</f>
        <v>0.91259999999999997</v>
      </c>
      <c r="C1095" s="3">
        <f>AUD!C1095</f>
        <v>0.91080000000000005</v>
      </c>
      <c r="D1095" s="3">
        <f>1/CAD!B1095</f>
        <v>0.94464386926128852</v>
      </c>
      <c r="E1095" s="3">
        <f>1/CAD!C1095</f>
        <v>0.94384143463898051</v>
      </c>
      <c r="F1095" s="3">
        <f>EUR!B1095/1</f>
        <v>1.3577999999999999</v>
      </c>
      <c r="G1095" s="3">
        <f>EUR!C1095/1</f>
        <v>1.3576999999999999</v>
      </c>
      <c r="H1095" s="3">
        <f>GBP!B1095/1</f>
        <v>1.6311</v>
      </c>
      <c r="I1095" s="3">
        <f>GBP!C1095/1</f>
        <v>1.6307</v>
      </c>
      <c r="J1095" s="4">
        <f>1/INR!B1095</f>
        <v>1.6046213093709884E-2</v>
      </c>
      <c r="K1095" s="4">
        <f>1/INR!C1095</f>
        <v>1.5922299180001591E-2</v>
      </c>
      <c r="L1095" s="4">
        <f>1/JPY!B1095</f>
        <v>9.7976779503257724E-3</v>
      </c>
      <c r="M1095" s="4">
        <f>1/JPY!C1095</f>
        <v>9.8004241623577473E-3</v>
      </c>
      <c r="N1095" s="5">
        <f>1/KRW!B1095</f>
        <v>9.4232943837165473E-4</v>
      </c>
      <c r="O1095" s="5">
        <f>1/KRW!C1095</f>
        <v>9.4230679530410834E-4</v>
      </c>
      <c r="P1095" s="3">
        <f>1/NOK!B1095</f>
        <v>0.1637036309465344</v>
      </c>
      <c r="Q1095" s="3">
        <f>1/NOK!C1095</f>
        <v>0.1634761570025012</v>
      </c>
      <c r="R1095" s="3">
        <f>NZD!B1095/1</f>
        <v>0.81659999999999999</v>
      </c>
      <c r="S1095" s="3">
        <f>NZD!C1095/1</f>
        <v>0.81479999999999997</v>
      </c>
      <c r="T1095" s="4">
        <f>1/PHP!B1095</f>
        <v>2.2864982279638735E-2</v>
      </c>
      <c r="U1095" s="4">
        <f>1/PHP!C1095</f>
        <v>2.2878949764690001E-2</v>
      </c>
      <c r="V1095" s="4">
        <f>1/TWD!B1095</f>
        <v>3.3774655498513911E-2</v>
      </c>
      <c r="W1095" s="4">
        <f>1/TWD!C1095</f>
        <v>3.3774997720187654E-2</v>
      </c>
      <c r="X1095" s="4">
        <f>1/TWD!B1095</f>
        <v>3.3774655498513911E-2</v>
      </c>
      <c r="Y1095" s="4">
        <f>1/TWD!C1095</f>
        <v>3.3774997720187654E-2</v>
      </c>
      <c r="Z1095" s="4">
        <f>1/ZAR!B1095</f>
        <v>9.782342871117633E-2</v>
      </c>
      <c r="AA1095" s="4">
        <f>1/ZAR!C1095</f>
        <v>9.7334021160416201E-2</v>
      </c>
    </row>
    <row r="1096" spans="1:27" x14ac:dyDescent="0.25">
      <c r="A1096" t="str">
        <f>"29/11/2013"</f>
        <v>29/11/2013</v>
      </c>
      <c r="B1096" s="3">
        <f>AUD!B1096</f>
        <v>0.90869999999999995</v>
      </c>
      <c r="C1096" s="3">
        <f>AUD!C1096</f>
        <v>0.90690000000000004</v>
      </c>
      <c r="D1096" s="3">
        <f>1/CAD!B1096</f>
        <v>0.94357425929420635</v>
      </c>
      <c r="E1096" s="3">
        <f>1/CAD!C1096</f>
        <v>0.94286253064303227</v>
      </c>
      <c r="F1096" s="3">
        <f>EUR!B1096/1</f>
        <v>1.3611</v>
      </c>
      <c r="G1096" s="3">
        <f>EUR!C1096/1</f>
        <v>1.361</v>
      </c>
      <c r="H1096" s="3">
        <f>GBP!B1096/1</f>
        <v>1.6362000000000001</v>
      </c>
      <c r="I1096" s="3">
        <f>GBP!C1096/1</f>
        <v>1.6358999999999999</v>
      </c>
      <c r="J1096" s="4">
        <f>1/INR!B1096</f>
        <v>1.6055874443061856E-2</v>
      </c>
      <c r="K1096" s="4">
        <f>1/INR!C1096</f>
        <v>1.5931177314003505E-2</v>
      </c>
      <c r="L1096" s="4">
        <f>1/JPY!B1096</f>
        <v>9.7728783081193083E-3</v>
      </c>
      <c r="M1096" s="4">
        <f>1/JPY!C1096</f>
        <v>9.7757348664292473E-3</v>
      </c>
      <c r="N1096" s="5">
        <f>1/KRW!B1096</f>
        <v>9.4451003541912637E-4</v>
      </c>
      <c r="O1096" s="5">
        <f>1/KRW!C1096</f>
        <v>9.4448719823161779E-4</v>
      </c>
      <c r="P1096" s="3">
        <f>1/NOK!B1096</f>
        <v>0.16417934952141719</v>
      </c>
      <c r="Q1096" s="3">
        <f>1/NOK!C1096</f>
        <v>0.16396668197022365</v>
      </c>
      <c r="R1096" s="3">
        <f>NZD!B1096/1</f>
        <v>0.81030000000000002</v>
      </c>
      <c r="S1096" s="3">
        <f>NZD!C1096/1</f>
        <v>0.80859999999999999</v>
      </c>
      <c r="T1096" s="4">
        <f>1/PHP!B1096</f>
        <v>2.2851919561243144E-2</v>
      </c>
      <c r="U1096" s="4">
        <f>1/PHP!C1096</f>
        <v>2.2875286227018916E-2</v>
      </c>
      <c r="V1096" s="4">
        <f>1/TWD!B1096</f>
        <v>3.3774655498513911E-2</v>
      </c>
      <c r="W1096" s="4">
        <f>1/TWD!C1096</f>
        <v>3.3774997720187654E-2</v>
      </c>
      <c r="X1096" s="4">
        <f>1/TWD!B1096</f>
        <v>3.3774655498513911E-2</v>
      </c>
      <c r="Y1096" s="4">
        <f>1/TWD!C1096</f>
        <v>3.3774997720187654E-2</v>
      </c>
      <c r="Z1096" s="4">
        <f>1/ZAR!B1096</f>
        <v>9.7944152244390251E-2</v>
      </c>
      <c r="AA1096" s="4">
        <f>1/ZAR!C1096</f>
        <v>9.745638826625086E-2</v>
      </c>
    </row>
    <row r="1097" spans="1:27" x14ac:dyDescent="0.25">
      <c r="A1097" t="str">
        <f>"02/12/2013"</f>
        <v>02/12/2013</v>
      </c>
      <c r="B1097" s="3">
        <f>AUD!B1097</f>
        <v>0.91490000000000005</v>
      </c>
      <c r="C1097" s="3">
        <f>AUD!C1097</f>
        <v>0.91290000000000004</v>
      </c>
      <c r="D1097" s="3">
        <f>1/CAD!B1097</f>
        <v>0.9414422895876482</v>
      </c>
      <c r="E1097" s="3">
        <f>1/CAD!C1097</f>
        <v>0.94073377234242717</v>
      </c>
      <c r="F1097" s="3">
        <f>EUR!B1097/1</f>
        <v>1.3603000000000001</v>
      </c>
      <c r="G1097" s="3">
        <f>EUR!C1097/1</f>
        <v>1.3603000000000001</v>
      </c>
      <c r="H1097" s="3">
        <f>GBP!B1097/1</f>
        <v>1.6419999999999999</v>
      </c>
      <c r="I1097" s="3">
        <f>GBP!C1097/1</f>
        <v>1.6415999999999999</v>
      </c>
      <c r="J1097" s="4">
        <f>1/INR!B1097</f>
        <v>1.6044282218924229E-2</v>
      </c>
      <c r="K1097" s="4">
        <f>1/INR!C1097</f>
        <v>1.5919130815457476E-2</v>
      </c>
      <c r="L1097" s="4">
        <f>1/JPY!B1097</f>
        <v>9.7720188013641733E-3</v>
      </c>
      <c r="M1097" s="4">
        <f>1/JPY!C1097</f>
        <v>9.7748653023561338E-3</v>
      </c>
      <c r="N1097" s="5">
        <f>1/KRW!B1097</f>
        <v>9.4482237339380188E-4</v>
      </c>
      <c r="O1097" s="5">
        <f>1/KRW!C1097</f>
        <v>9.4479827139708271E-4</v>
      </c>
      <c r="P1097" s="3">
        <f>1/NOK!B1097</f>
        <v>0.16339869281045752</v>
      </c>
      <c r="Q1097" s="3">
        <f>1/NOK!C1097</f>
        <v>0.16317206494248185</v>
      </c>
      <c r="R1097" s="3">
        <f>NZD!B1097/1</f>
        <v>0.81969999999999998</v>
      </c>
      <c r="S1097" s="3">
        <f>NZD!C1097/1</f>
        <v>0.81779999999999997</v>
      </c>
      <c r="T1097" s="4">
        <f>1/PHP!B1097</f>
        <v>2.2878059940517045E-2</v>
      </c>
      <c r="U1097" s="4">
        <f>1/PHP!C1097</f>
        <v>2.2897494785095562E-2</v>
      </c>
      <c r="V1097" s="4">
        <f>1/TWD!B1097</f>
        <v>3.3806054664390392E-2</v>
      </c>
      <c r="W1097" s="4">
        <f>1/TWD!C1097</f>
        <v>3.3806511810304897E-2</v>
      </c>
      <c r="X1097" s="4">
        <f>1/TWD!B1097</f>
        <v>3.3806054664390392E-2</v>
      </c>
      <c r="Y1097" s="4">
        <f>1/TWD!C1097</f>
        <v>3.3806511810304897E-2</v>
      </c>
      <c r="Z1097" s="4">
        <f>1/ZAR!B1097</f>
        <v>9.8120020408964254E-2</v>
      </c>
      <c r="AA1097" s="4">
        <f>1/ZAR!C1097</f>
        <v>9.7636226945645901E-2</v>
      </c>
    </row>
    <row r="1098" spans="1:27" x14ac:dyDescent="0.25">
      <c r="A1098" t="str">
        <f>"03/12/2013"</f>
        <v>03/12/2013</v>
      </c>
      <c r="B1098" s="3">
        <f>AUD!B1098</f>
        <v>0.90759999999999996</v>
      </c>
      <c r="C1098" s="3">
        <f>AUD!C1098</f>
        <v>0.90569999999999995</v>
      </c>
      <c r="D1098" s="3">
        <f>1/CAD!B1098</f>
        <v>0.9391435011269722</v>
      </c>
      <c r="E1098" s="3">
        <f>1/CAD!C1098</f>
        <v>0.93835038003190385</v>
      </c>
      <c r="F1098" s="3">
        <f>EUR!B1098/1</f>
        <v>1.3532</v>
      </c>
      <c r="G1098" s="3">
        <f>EUR!C1098/1</f>
        <v>1.3531</v>
      </c>
      <c r="H1098" s="3">
        <f>GBP!B1098/1</f>
        <v>1.6356999999999999</v>
      </c>
      <c r="I1098" s="3">
        <f>GBP!C1098/1</f>
        <v>1.6354</v>
      </c>
      <c r="J1098" s="4">
        <f>1/INR!B1098</f>
        <v>1.6020506247997435E-2</v>
      </c>
      <c r="K1098" s="4">
        <f>1/INR!C1098</f>
        <v>1.590583744234134E-2</v>
      </c>
      <c r="L1098" s="4">
        <f>1/JPY!B1098</f>
        <v>9.6749226006191957E-3</v>
      </c>
      <c r="M1098" s="4">
        <f>1/JPY!C1098</f>
        <v>9.6778532972930081E-3</v>
      </c>
      <c r="N1098" s="5">
        <f>1/KRW!B1098</f>
        <v>9.4153092929102726E-4</v>
      </c>
      <c r="O1098" s="5">
        <f>1/KRW!C1098</f>
        <v>9.4150211955664669E-4</v>
      </c>
      <c r="P1098" s="3">
        <f>1/NOK!B1098</f>
        <v>0.16319603107252431</v>
      </c>
      <c r="Q1098" s="3">
        <f>1/NOK!C1098</f>
        <v>0.1629938714304342</v>
      </c>
      <c r="R1098" s="3">
        <f>NZD!B1098/1</f>
        <v>0.81669999999999998</v>
      </c>
      <c r="S1098" s="3">
        <f>NZD!C1098/1</f>
        <v>0.81489999999999996</v>
      </c>
      <c r="T1098" s="4">
        <f>1/PHP!B1098</f>
        <v>2.2848786729424669E-2</v>
      </c>
      <c r="U1098" s="4">
        <f>1/PHP!C1098</f>
        <v>2.288088668012063E-2</v>
      </c>
      <c r="V1098" s="4">
        <f>1/TWD!B1098</f>
        <v>3.3794059004427023E-2</v>
      </c>
      <c r="W1098" s="4">
        <f>1/TWD!C1098</f>
        <v>3.3794630033287712E-2</v>
      </c>
      <c r="X1098" s="4">
        <f>1/TWD!B1098</f>
        <v>3.3794059004427023E-2</v>
      </c>
      <c r="Y1098" s="4">
        <f>1/TWD!C1098</f>
        <v>3.3794630033287712E-2</v>
      </c>
      <c r="Z1098" s="4">
        <f>1/ZAR!B1098</f>
        <v>9.7262072654768272E-2</v>
      </c>
      <c r="AA1098" s="4">
        <f>1/ZAR!C1098</f>
        <v>9.6755778738885176E-2</v>
      </c>
    </row>
    <row r="1099" spans="1:27" x14ac:dyDescent="0.25">
      <c r="A1099" t="str">
        <f>"04/12/2013"</f>
        <v>04/12/2013</v>
      </c>
      <c r="B1099" s="3">
        <f>AUD!B1099</f>
        <v>0.90659999999999996</v>
      </c>
      <c r="C1099" s="3">
        <f>AUD!C1099</f>
        <v>0.90480000000000005</v>
      </c>
      <c r="D1099" s="3">
        <f>1/CAD!B1099</f>
        <v>0.93984962406015038</v>
      </c>
      <c r="E1099" s="3">
        <f>1/CAD!C1099</f>
        <v>0.9391435011269722</v>
      </c>
      <c r="F1099" s="3">
        <f>EUR!B1099/1</f>
        <v>1.3587</v>
      </c>
      <c r="G1099" s="3">
        <f>EUR!C1099/1</f>
        <v>1.3587</v>
      </c>
      <c r="H1099" s="3">
        <f>GBP!B1099/1</f>
        <v>1.639</v>
      </c>
      <c r="I1099" s="3">
        <f>GBP!C1099/1</f>
        <v>1.6386000000000001</v>
      </c>
      <c r="J1099" s="4">
        <f>1/INR!B1099</f>
        <v>1.6000640025601025E-2</v>
      </c>
      <c r="K1099" s="4">
        <f>1/INR!C1099</f>
        <v>1.5888778550148957E-2</v>
      </c>
      <c r="L1099" s="4">
        <f>1/JPY!B1099</f>
        <v>9.7456388266250853E-3</v>
      </c>
      <c r="M1099" s="4">
        <f>1/JPY!C1099</f>
        <v>9.7487455801624733E-3</v>
      </c>
      <c r="N1099" s="5">
        <f>1/KRW!B1099</f>
        <v>9.4224064826156607E-4</v>
      </c>
      <c r="O1099" s="5">
        <f>1/KRW!C1099</f>
        <v>9.4221845334840882E-4</v>
      </c>
      <c r="P1099" s="3">
        <f>1/NOK!B1099</f>
        <v>0.16380284689347901</v>
      </c>
      <c r="Q1099" s="3">
        <f>1/NOK!C1099</f>
        <v>0.16358847682769226</v>
      </c>
      <c r="R1099" s="3">
        <f>NZD!B1099/1</f>
        <v>0.81950000000000001</v>
      </c>
      <c r="S1099" s="3">
        <f>NZD!C1099/1</f>
        <v>0.81769999999999998</v>
      </c>
      <c r="T1099" s="4">
        <f>1/PHP!B1099</f>
        <v>2.2864982279638735E-2</v>
      </c>
      <c r="U1099" s="4">
        <f>1/PHP!C1099</f>
        <v>2.2902896300266134E-2</v>
      </c>
      <c r="V1099" s="4">
        <f>1/TWD!B1099</f>
        <v>3.3804340477317285E-2</v>
      </c>
      <c r="W1099" s="4">
        <f>1/TWD!C1099</f>
        <v>3.3804911853692346E-2</v>
      </c>
      <c r="X1099" s="4">
        <f>1/TWD!B1099</f>
        <v>3.3804340477317285E-2</v>
      </c>
      <c r="Y1099" s="4">
        <f>1/TWD!C1099</f>
        <v>3.3804911853692346E-2</v>
      </c>
      <c r="Z1099" s="4">
        <f>1/ZAR!B1099</f>
        <v>9.6422717192170465E-2</v>
      </c>
      <c r="AA1099" s="4">
        <f>1/ZAR!C1099</f>
        <v>9.5914980960876278E-2</v>
      </c>
    </row>
    <row r="1100" spans="1:27" x14ac:dyDescent="0.25">
      <c r="A1100" t="str">
        <f>"05/12/2013"</f>
        <v>05/12/2013</v>
      </c>
      <c r="B1100" s="3">
        <f>AUD!B1100</f>
        <v>0.90390000000000004</v>
      </c>
      <c r="C1100" s="3">
        <f>AUD!C1100</f>
        <v>0.90200000000000002</v>
      </c>
      <c r="D1100" s="3">
        <f>1/CAD!B1100</f>
        <v>0.93641726753441323</v>
      </c>
      <c r="E1100" s="3">
        <f>1/CAD!C1100</f>
        <v>0.93562874251497008</v>
      </c>
      <c r="F1100" s="3">
        <f>EUR!B1100/1</f>
        <v>1.3603000000000001</v>
      </c>
      <c r="G1100" s="3">
        <f>EUR!C1100/1</f>
        <v>1.3603000000000001</v>
      </c>
      <c r="H1100" s="3">
        <f>GBP!B1100/1</f>
        <v>1.6382000000000001</v>
      </c>
      <c r="I1100" s="3">
        <f>GBP!C1100/1</f>
        <v>1.6378999999999999</v>
      </c>
      <c r="J1100" s="4">
        <f>1/INR!B1100</f>
        <v>1.624167614097775E-2</v>
      </c>
      <c r="K1100" s="4">
        <f>1/INR!C1100</f>
        <v>1.6125131016689512E-2</v>
      </c>
      <c r="L1100" s="4">
        <f>1/JPY!B1100</f>
        <v>9.773833492972615E-3</v>
      </c>
      <c r="M1100" s="4">
        <f>1/JPY!C1100</f>
        <v>9.7769869281684758E-3</v>
      </c>
      <c r="N1100" s="5">
        <f>1/KRW!B1100</f>
        <v>9.42507068803016E-4</v>
      </c>
      <c r="O1100" s="5">
        <f>1/KRW!C1100</f>
        <v>9.4248530547598106E-4</v>
      </c>
      <c r="P1100" s="3">
        <f>1/NOK!B1100</f>
        <v>0.16257254799954482</v>
      </c>
      <c r="Q1100" s="3">
        <f>1/NOK!C1100</f>
        <v>0.16237192914089013</v>
      </c>
      <c r="R1100" s="3">
        <f>NZD!B1100/1</f>
        <v>0.8206</v>
      </c>
      <c r="S1100" s="3">
        <f>NZD!C1100/1</f>
        <v>0.81879999999999997</v>
      </c>
      <c r="T1100" s="4">
        <f>1/PHP!B1100</f>
        <v>2.2794620469569184E-2</v>
      </c>
      <c r="U1100" s="4">
        <f>1/PHP!C1100</f>
        <v>2.2820629849383843E-2</v>
      </c>
      <c r="V1100" s="4">
        <f>1/TWD!B1100</f>
        <v>3.3780360098638648E-2</v>
      </c>
      <c r="W1100" s="4">
        <f>1/TWD!C1100</f>
        <v>3.3780816549897646E-2</v>
      </c>
      <c r="X1100" s="4">
        <f>1/TWD!B1100</f>
        <v>3.3780360098638648E-2</v>
      </c>
      <c r="Y1100" s="4">
        <f>1/TWD!C1100</f>
        <v>3.3780816549897646E-2</v>
      </c>
      <c r="Z1100" s="4">
        <f>1/ZAR!B1100</f>
        <v>9.5788193147312656E-2</v>
      </c>
      <c r="AA1100" s="4">
        <f>1/ZAR!C1100</f>
        <v>9.5280744714300689E-2</v>
      </c>
    </row>
    <row r="1101" spans="1:27" x14ac:dyDescent="0.25">
      <c r="A1101" t="str">
        <f>"06/12/2013"</f>
        <v>06/12/2013</v>
      </c>
      <c r="B1101" s="3">
        <f>AUD!B1101</f>
        <v>0.90590000000000004</v>
      </c>
      <c r="C1101" s="3">
        <f>AUD!C1101</f>
        <v>0.90400000000000003</v>
      </c>
      <c r="D1101" s="3">
        <f>1/CAD!B1101</f>
        <v>0.93835038003190385</v>
      </c>
      <c r="E1101" s="3">
        <f>1/CAD!C1101</f>
        <v>0.93764650726676046</v>
      </c>
      <c r="F1101" s="3">
        <f>EUR!B1101/1</f>
        <v>1.3665</v>
      </c>
      <c r="G1101" s="3">
        <f>EUR!C1101/1</f>
        <v>1.3664000000000001</v>
      </c>
      <c r="H1101" s="3">
        <f>GBP!B1101/1</f>
        <v>1.6331</v>
      </c>
      <c r="I1101" s="3">
        <f>GBP!C1101/1</f>
        <v>1.6327</v>
      </c>
      <c r="J1101" s="4">
        <f>1/INR!B1101</f>
        <v>1.6218627093216559E-2</v>
      </c>
      <c r="K1101" s="4">
        <f>1/INR!C1101</f>
        <v>1.6098522960518374E-2</v>
      </c>
      <c r="L1101" s="4">
        <f>1/JPY!B1101</f>
        <v>9.8109431259626977E-3</v>
      </c>
      <c r="M1101" s="4">
        <f>1/JPY!C1101</f>
        <v>9.8141109249701413E-3</v>
      </c>
      <c r="N1101" s="5">
        <f>1/KRW!B1101</f>
        <v>9.4491165076065391E-4</v>
      </c>
      <c r="O1101" s="5">
        <f>1/KRW!C1101</f>
        <v>9.448899548087481E-4</v>
      </c>
      <c r="P1101" s="3">
        <f>1/NOK!B1101</f>
        <v>0.16252234682268812</v>
      </c>
      <c r="Q1101" s="3">
        <f>1/NOK!C1101</f>
        <v>0.16231131309852298</v>
      </c>
      <c r="R1101" s="3">
        <f>NZD!B1101/1</f>
        <v>0.82020000000000004</v>
      </c>
      <c r="S1101" s="3">
        <f>NZD!C1101/1</f>
        <v>0.81840000000000002</v>
      </c>
      <c r="T1101" s="4">
        <f>1/PHP!B1101</f>
        <v>2.2794620469569184E-2</v>
      </c>
      <c r="U1101" s="4">
        <f>1/PHP!C1101</f>
        <v>2.2818338642400127E-2</v>
      </c>
      <c r="V1101" s="4">
        <f>1/TWD!B1101</f>
        <v>3.3810055110389828E-2</v>
      </c>
      <c r="W1101" s="4">
        <f>1/TWD!C1101</f>
        <v>3.3810512364504372E-2</v>
      </c>
      <c r="X1101" s="4">
        <f>1/TWD!B1101</f>
        <v>3.3810055110389828E-2</v>
      </c>
      <c r="Y1101" s="4">
        <f>1/TWD!C1101</f>
        <v>3.3810512364504372E-2</v>
      </c>
      <c r="Z1101" s="4">
        <f>1/ZAR!B1101</f>
        <v>9.5748755266181526E-2</v>
      </c>
      <c r="AA1101" s="4">
        <f>1/ZAR!C1101</f>
        <v>9.5242630601457212E-2</v>
      </c>
    </row>
    <row r="1102" spans="1:27" x14ac:dyDescent="0.25">
      <c r="A1102" t="str">
        <f>"09/12/2013"</f>
        <v>09/12/2013</v>
      </c>
      <c r="B1102" s="3">
        <f>AUD!B1102</f>
        <v>0.91039999999999999</v>
      </c>
      <c r="C1102" s="3">
        <f>AUD!C1102</f>
        <v>0.90839999999999999</v>
      </c>
      <c r="D1102" s="3">
        <f>1/CAD!B1102</f>
        <v>0.93923170846247772</v>
      </c>
      <c r="E1102" s="3">
        <f>1/CAD!C1102</f>
        <v>0.93843843843843833</v>
      </c>
      <c r="F1102" s="3">
        <f>EUR!B1102/1</f>
        <v>1.3702000000000001</v>
      </c>
      <c r="G1102" s="3">
        <f>EUR!C1102/1</f>
        <v>1.3701000000000001</v>
      </c>
      <c r="H1102" s="3">
        <f>GBP!B1102/1</f>
        <v>1.6338999999999999</v>
      </c>
      <c r="I1102" s="3">
        <f>GBP!C1102/1</f>
        <v>1.6335</v>
      </c>
      <c r="J1102" s="4">
        <f>1/INR!B1102</f>
        <v>1.6378674965195315E-2</v>
      </c>
      <c r="K1102" s="4">
        <f>1/INR!C1102</f>
        <v>1.6255537042305035E-2</v>
      </c>
      <c r="L1102" s="4">
        <f>1/JPY!B1102</f>
        <v>9.7125097125097138E-3</v>
      </c>
      <c r="M1102" s="4">
        <f>1/JPY!C1102</f>
        <v>9.7158596835544512E-3</v>
      </c>
      <c r="N1102" s="5">
        <f>1/KRW!B1102</f>
        <v>9.4899169632265714E-4</v>
      </c>
      <c r="O1102" s="5">
        <f>1/KRW!C1102</f>
        <v>9.4896963249727529E-4</v>
      </c>
      <c r="P1102" s="3">
        <f>1/NOK!B1102</f>
        <v>0.16264658523494299</v>
      </c>
      <c r="Q1102" s="3">
        <f>1/NOK!C1102</f>
        <v>0.16242203742203742</v>
      </c>
      <c r="R1102" s="3">
        <f>NZD!B1102/1</f>
        <v>0.82950000000000002</v>
      </c>
      <c r="S1102" s="3">
        <f>NZD!C1102/1</f>
        <v>0.8276</v>
      </c>
      <c r="T1102" s="4">
        <f>1/PHP!B1102</f>
        <v>2.2740193291642979E-2</v>
      </c>
      <c r="U1102" s="4">
        <f>1/PHP!C1102</f>
        <v>2.2751057924193473E-2</v>
      </c>
      <c r="V1102" s="4">
        <f>1/TWD!B1102</f>
        <v>3.3832932976959773E-2</v>
      </c>
      <c r="W1102" s="4">
        <f>1/TWD!C1102</f>
        <v>3.3833390850097782E-2</v>
      </c>
      <c r="X1102" s="4">
        <f>1/TWD!B1102</f>
        <v>3.3832932976959773E-2</v>
      </c>
      <c r="Y1102" s="4">
        <f>1/TWD!C1102</f>
        <v>3.3833390850097782E-2</v>
      </c>
      <c r="Z1102" s="4">
        <f>1/ZAR!B1102</f>
        <v>9.6799798656418787E-2</v>
      </c>
      <c r="AA1102" s="4">
        <f>1/ZAR!C1102</f>
        <v>9.6253802025179983E-2</v>
      </c>
    </row>
    <row r="1103" spans="1:27" x14ac:dyDescent="0.25">
      <c r="A1103" t="str">
        <f>"10/12/2013"</f>
        <v>10/12/2013</v>
      </c>
      <c r="B1103" s="3">
        <f>AUD!B1103</f>
        <v>0.91059999999999997</v>
      </c>
      <c r="C1103" s="3">
        <f>AUD!C1103</f>
        <v>0.90859999999999996</v>
      </c>
      <c r="D1103" s="3">
        <f>1/CAD!B1103</f>
        <v>0.94046835323991351</v>
      </c>
      <c r="E1103" s="3">
        <f>1/CAD!C1103</f>
        <v>0.93967299379815816</v>
      </c>
      <c r="F1103" s="3">
        <f>EUR!B1103/1</f>
        <v>1.3755999999999999</v>
      </c>
      <c r="G1103" s="3">
        <f>EUR!C1103/1</f>
        <v>1.3754999999999999</v>
      </c>
      <c r="H1103" s="3">
        <f>GBP!B1103/1</f>
        <v>1.6456999999999999</v>
      </c>
      <c r="I1103" s="3">
        <f>GBP!C1103/1</f>
        <v>1.6454</v>
      </c>
      <c r="J1103" s="4">
        <f>1/INR!B1103</f>
        <v>1.6334531198954592E-2</v>
      </c>
      <c r="K1103" s="4">
        <f>1/INR!C1103</f>
        <v>1.6205485556860997E-2</v>
      </c>
      <c r="L1103" s="4">
        <f>1/JPY!B1103</f>
        <v>9.682510481317597E-3</v>
      </c>
      <c r="M1103" s="4">
        <f>1/JPY!C1103</f>
        <v>9.6859898936381451E-3</v>
      </c>
      <c r="N1103" s="5">
        <f>1/KRW!B1103</f>
        <v>9.497578117580016E-4</v>
      </c>
      <c r="O1103" s="5">
        <f>1/KRW!C1103</f>
        <v>9.4973616329383696E-4</v>
      </c>
      <c r="P1103" s="3">
        <f>1/NOK!B1103</f>
        <v>0.16309488860619109</v>
      </c>
      <c r="Q1103" s="3">
        <f>1/NOK!C1103</f>
        <v>0.162877060394814</v>
      </c>
      <c r="R1103" s="3">
        <f>NZD!B1103/1</f>
        <v>0.82940000000000003</v>
      </c>
      <c r="S1103" s="3">
        <f>NZD!C1103/1</f>
        <v>0.82750000000000001</v>
      </c>
      <c r="T1103" s="4">
        <f>1/PHP!B1103</f>
        <v>2.2581009371118892E-2</v>
      </c>
      <c r="U1103" s="4">
        <f>1/PHP!C1103</f>
        <v>2.2582488183713056E-2</v>
      </c>
      <c r="V1103" s="4">
        <f>1/TWD!B1103</f>
        <v>3.3832932976959773E-2</v>
      </c>
      <c r="W1103" s="4">
        <f>1/TWD!C1103</f>
        <v>3.3833390850097782E-2</v>
      </c>
      <c r="X1103" s="4">
        <f>1/TWD!B1103</f>
        <v>3.3832932976959773E-2</v>
      </c>
      <c r="Y1103" s="4">
        <f>1/TWD!C1103</f>
        <v>3.3833390850097782E-2</v>
      </c>
      <c r="Z1103" s="4">
        <f>1/ZAR!B1103</f>
        <v>9.6429225769746288E-2</v>
      </c>
      <c r="AA1103" s="4">
        <f>1/ZAR!C1103</f>
        <v>9.590302286328066E-2</v>
      </c>
    </row>
    <row r="1104" spans="1:27" x14ac:dyDescent="0.25">
      <c r="A1104" t="str">
        <f>"11/12/2013"</f>
        <v>11/12/2013</v>
      </c>
      <c r="B1104" s="3">
        <f>AUD!B1104</f>
        <v>0.91349999999999998</v>
      </c>
      <c r="C1104" s="3">
        <f>AUD!C1104</f>
        <v>0.91159999999999997</v>
      </c>
      <c r="D1104" s="3">
        <f>1/CAD!B1104</f>
        <v>0.94295143800094294</v>
      </c>
      <c r="E1104" s="3">
        <f>1/CAD!C1104</f>
        <v>0.94215187488223107</v>
      </c>
      <c r="F1104" s="3">
        <f>EUR!B1104/1</f>
        <v>1.3757999999999999</v>
      </c>
      <c r="G1104" s="3">
        <f>EUR!C1104/1</f>
        <v>1.3756999999999999</v>
      </c>
      <c r="H1104" s="3">
        <f>GBP!B1104/1</f>
        <v>1.6439999999999999</v>
      </c>
      <c r="I1104" s="3">
        <f>GBP!C1104/1</f>
        <v>1.6436999999999999</v>
      </c>
      <c r="J1104" s="4">
        <f>1/INR!B1104</f>
        <v>1.6298590171950126E-2</v>
      </c>
      <c r="K1104" s="4">
        <f>1/INR!C1104</f>
        <v>1.6173378618793467E-2</v>
      </c>
      <c r="L1104" s="4">
        <f>1/JPY!B1104</f>
        <v>9.7372879705544414E-3</v>
      </c>
      <c r="M1104" s="4">
        <f>1/JPY!C1104</f>
        <v>9.7405506917739096E-3</v>
      </c>
      <c r="N1104" s="5">
        <f>1/KRW!B1104</f>
        <v>9.5052516515374747E-4</v>
      </c>
      <c r="O1104" s="5">
        <f>1/KRW!C1104</f>
        <v>9.5050167478395091E-4</v>
      </c>
      <c r="P1104" s="3">
        <f>1/NOK!B1104</f>
        <v>0.16358044886475168</v>
      </c>
      <c r="Q1104" s="3">
        <f>1/NOK!C1104</f>
        <v>0.16338000555492019</v>
      </c>
      <c r="R1104" s="3">
        <f>NZD!B1104/1</f>
        <v>0.82830000000000004</v>
      </c>
      <c r="S1104" s="3">
        <f>NZD!C1104/1</f>
        <v>0.82650000000000001</v>
      </c>
      <c r="T1104" s="4">
        <f>1/PHP!B1104</f>
        <v>2.2629554197782304E-2</v>
      </c>
      <c r="U1104" s="4">
        <f>1/PHP!C1104</f>
        <v>2.2641953728903361E-2</v>
      </c>
      <c r="V1104" s="4">
        <f>1/TWD!B1104</f>
        <v>3.3821490174857104E-2</v>
      </c>
      <c r="W1104" s="4">
        <f>1/TWD!C1104</f>
        <v>3.3822062131128136E-2</v>
      </c>
      <c r="X1104" s="4">
        <f>1/TWD!B1104</f>
        <v>3.3821490174857104E-2</v>
      </c>
      <c r="Y1104" s="4">
        <f>1/TWD!C1104</f>
        <v>3.3822062131128136E-2</v>
      </c>
      <c r="Z1104" s="4">
        <f>1/ZAR!B1104</f>
        <v>9.6594092305314599E-2</v>
      </c>
      <c r="AA1104" s="4">
        <f>1/ZAR!C1104</f>
        <v>9.6067939246635217E-2</v>
      </c>
    </row>
    <row r="1105" spans="1:27" x14ac:dyDescent="0.25">
      <c r="A1105" t="str">
        <f>"12/12/2013"</f>
        <v>12/12/2013</v>
      </c>
      <c r="B1105" s="3">
        <f>AUD!B1105</f>
        <v>0.90259999999999996</v>
      </c>
      <c r="C1105" s="3">
        <f>AUD!C1105</f>
        <v>0.90069999999999995</v>
      </c>
      <c r="D1105" s="3">
        <f>1/CAD!B1105</f>
        <v>0.94437623949381433</v>
      </c>
      <c r="E1105" s="3">
        <f>1/CAD!C1105</f>
        <v>0.94366330093422657</v>
      </c>
      <c r="F1105" s="3">
        <f>EUR!B1105/1</f>
        <v>1.3794999999999999</v>
      </c>
      <c r="G1105" s="3">
        <f>EUR!C1105/1</f>
        <v>1.3794</v>
      </c>
      <c r="H1105" s="3">
        <f>GBP!B1105/1</f>
        <v>1.6362000000000001</v>
      </c>
      <c r="I1105" s="3">
        <f>GBP!C1105/1</f>
        <v>1.6359999999999999</v>
      </c>
      <c r="J1105" s="4">
        <f>1/INR!B1105</f>
        <v>1.6218627093216559E-2</v>
      </c>
      <c r="K1105" s="4">
        <f>1/INR!C1105</f>
        <v>1.6093341380004022E-2</v>
      </c>
      <c r="L1105" s="4">
        <f>1/JPY!B1105</f>
        <v>9.7499146882464773E-3</v>
      </c>
      <c r="M1105" s="4">
        <f>1/JPY!C1105</f>
        <v>9.7527958827596899E-3</v>
      </c>
      <c r="N1105" s="5">
        <f>1/KRW!B1105</f>
        <v>9.4921689606074992E-4</v>
      </c>
      <c r="O1105" s="5">
        <f>1/KRW!C1105</f>
        <v>9.4919743458510958E-4</v>
      </c>
      <c r="P1105" s="3">
        <f>1/NOK!B1105</f>
        <v>0.16286910210264011</v>
      </c>
      <c r="Q1105" s="3">
        <f>1/NOK!C1105</f>
        <v>0.16265981326653436</v>
      </c>
      <c r="R1105" s="3">
        <f>NZD!B1105/1</f>
        <v>0.82750000000000001</v>
      </c>
      <c r="S1105" s="3">
        <f>NZD!C1105/1</f>
        <v>0.82569999999999999</v>
      </c>
      <c r="T1105" s="4">
        <f>1/PHP!B1105</f>
        <v>2.2619316896629722E-2</v>
      </c>
      <c r="U1105" s="4">
        <f>1/PHP!C1105</f>
        <v>2.2634778790306884E-2</v>
      </c>
      <c r="V1105" s="4">
        <f>1/TWD!B1105</f>
        <v>3.37655321447866E-2</v>
      </c>
      <c r="W1105" s="4">
        <f>1/TWD!C1105</f>
        <v>3.3766216225342219E-2</v>
      </c>
      <c r="X1105" s="4">
        <f>1/TWD!B1105</f>
        <v>3.37655321447866E-2</v>
      </c>
      <c r="Y1105" s="4">
        <f>1/TWD!C1105</f>
        <v>3.3766216225342219E-2</v>
      </c>
      <c r="Z1105" s="4">
        <f>1/ZAR!B1105</f>
        <v>9.6144601480626868E-2</v>
      </c>
      <c r="AA1105" s="4">
        <f>1/ZAR!C1105</f>
        <v>9.5612349291034432E-2</v>
      </c>
    </row>
    <row r="1106" spans="1:27" x14ac:dyDescent="0.25">
      <c r="A1106" t="str">
        <f>"13/12/2013"</f>
        <v>13/12/2013</v>
      </c>
      <c r="B1106" s="3">
        <f>AUD!B1106</f>
        <v>0.89329999999999998</v>
      </c>
      <c r="C1106" s="3">
        <f>AUD!C1106</f>
        <v>0.89139999999999997</v>
      </c>
      <c r="D1106" s="3">
        <f>1/CAD!B1106</f>
        <v>0.93931993236896483</v>
      </c>
      <c r="E1106" s="3">
        <f>1/CAD!C1106</f>
        <v>0.93861460484325143</v>
      </c>
      <c r="F1106" s="3">
        <f>EUR!B1106/1</f>
        <v>1.375</v>
      </c>
      <c r="G1106" s="3">
        <f>EUR!C1106/1</f>
        <v>1.3749</v>
      </c>
      <c r="H1106" s="3">
        <f>GBP!B1106/1</f>
        <v>1.6341000000000001</v>
      </c>
      <c r="I1106" s="3">
        <f>GBP!C1106/1</f>
        <v>1.6337999999999999</v>
      </c>
      <c r="J1106" s="4">
        <f>1/INR!B1106</f>
        <v>1.6108247422680414E-2</v>
      </c>
      <c r="K1106" s="4">
        <f>1/INR!C1106</f>
        <v>1.5985293529952444E-2</v>
      </c>
      <c r="L1106" s="4">
        <f>1/JPY!B1106</f>
        <v>9.6294584392573757E-3</v>
      </c>
      <c r="M1106" s="4">
        <f>1/JPY!C1106</f>
        <v>9.6324080442166064E-3</v>
      </c>
      <c r="N1106" s="5">
        <f>1/KRW!B1106</f>
        <v>9.4966761633428305E-4</v>
      </c>
      <c r="O1106" s="5">
        <f>1/KRW!C1106</f>
        <v>9.4964822655567807E-4</v>
      </c>
      <c r="P1106" s="3">
        <f>1/NOK!B1106</f>
        <v>0.1612019215269046</v>
      </c>
      <c r="Q1106" s="3">
        <f>1/NOK!C1106</f>
        <v>0.16099689275996976</v>
      </c>
      <c r="R1106" s="3">
        <f>NZD!B1106/1</f>
        <v>0.82199999999999995</v>
      </c>
      <c r="S1106" s="3">
        <f>NZD!C1106/1</f>
        <v>0.82020000000000004</v>
      </c>
      <c r="T1106" s="4">
        <f>1/PHP!B1106</f>
        <v>2.2619316896629722E-2</v>
      </c>
      <c r="U1106" s="4">
        <f>1/PHP!C1106</f>
        <v>2.2630578437584863E-2</v>
      </c>
      <c r="V1106" s="4">
        <f>1/TWD!B1106</f>
        <v>3.3760972316002696E-2</v>
      </c>
      <c r="W1106" s="4">
        <f>1/TWD!C1106</f>
        <v>3.3761656211807128E-2</v>
      </c>
      <c r="X1106" s="4">
        <f>1/TWD!B1106</f>
        <v>3.3760972316002696E-2</v>
      </c>
      <c r="Y1106" s="4">
        <f>1/TWD!C1106</f>
        <v>3.3761656211807128E-2</v>
      </c>
      <c r="Z1106" s="4">
        <f>1/ZAR!B1106</f>
        <v>9.5959159781596956E-2</v>
      </c>
      <c r="AA1106" s="4">
        <f>1/ZAR!C1106</f>
        <v>9.5387990651976923E-2</v>
      </c>
    </row>
    <row r="1107" spans="1:27" x14ac:dyDescent="0.25">
      <c r="A1107" t="str">
        <f>"16/12/2013"</f>
        <v>16/12/2013</v>
      </c>
      <c r="B1107" s="3">
        <f>AUD!B1107</f>
        <v>0.8952</v>
      </c>
      <c r="C1107" s="3">
        <f>AUD!C1107</f>
        <v>0.8931</v>
      </c>
      <c r="D1107" s="3">
        <f>1/CAD!B1107</f>
        <v>0.94473311289560702</v>
      </c>
      <c r="E1107" s="3">
        <f>1/CAD!C1107</f>
        <v>0.94401963560842073</v>
      </c>
      <c r="F1107" s="3">
        <f>EUR!B1107/1</f>
        <v>1.3754999999999999</v>
      </c>
      <c r="G1107" s="3">
        <f>EUR!C1107/1</f>
        <v>1.3754</v>
      </c>
      <c r="H1107" s="3">
        <f>GBP!B1107/1</f>
        <v>1.6304000000000001</v>
      </c>
      <c r="I1107" s="3">
        <f>GBP!C1107/1</f>
        <v>1.6301000000000001</v>
      </c>
      <c r="J1107" s="4">
        <f>1/INR!B1107</f>
        <v>1.6076524255455971E-2</v>
      </c>
      <c r="K1107" s="4">
        <f>1/INR!C1107</f>
        <v>1.5941335883947076E-2</v>
      </c>
      <c r="L1107" s="4">
        <f>1/JPY!B1107</f>
        <v>9.7266802840190649E-3</v>
      </c>
      <c r="M1107" s="4">
        <f>1/JPY!C1107</f>
        <v>9.7298506954410779E-3</v>
      </c>
      <c r="N1107" s="5">
        <f>1/KRW!B1107</f>
        <v>9.4991118330436106E-4</v>
      </c>
      <c r="O1107" s="5">
        <f>1/KRW!C1107</f>
        <v>9.4988718189940586E-4</v>
      </c>
      <c r="P1107" s="3">
        <f>1/NOK!B1107</f>
        <v>0.16153262151291453</v>
      </c>
      <c r="Q1107" s="3">
        <f>1/NOK!C1107</f>
        <v>0.16130593283220956</v>
      </c>
      <c r="R1107" s="3">
        <f>NZD!B1107/1</f>
        <v>0.82779999999999998</v>
      </c>
      <c r="S1107" s="3">
        <f>NZD!C1107/1</f>
        <v>0.82579999999999998</v>
      </c>
      <c r="T1107" s="4">
        <f>1/PHP!B1107</f>
        <v>2.2639800769753225E-2</v>
      </c>
      <c r="U1107" s="4">
        <f>1/PHP!C1107</f>
        <v>2.2644466032168728E-2</v>
      </c>
      <c r="V1107" s="4">
        <f>1/TWD!B1107</f>
        <v>3.3759832551230551E-2</v>
      </c>
      <c r="W1107" s="4">
        <f>1/TWD!C1107</f>
        <v>3.3760630378490426E-2</v>
      </c>
      <c r="X1107" s="4">
        <f>1/TWD!B1107</f>
        <v>3.3759832551230551E-2</v>
      </c>
      <c r="Y1107" s="4">
        <f>1/TWD!C1107</f>
        <v>3.3760630378490426E-2</v>
      </c>
      <c r="Z1107" s="4">
        <f>1/ZAR!B1107</f>
        <v>9.6997914544837291E-2</v>
      </c>
      <c r="AA1107" s="4">
        <f>1/ZAR!C1107</f>
        <v>9.6435735226045358E-2</v>
      </c>
    </row>
    <row r="1108" spans="1:27" x14ac:dyDescent="0.25">
      <c r="A1108" t="str">
        <f>"17/12/2013"</f>
        <v>17/12/2013</v>
      </c>
      <c r="B1108" s="3">
        <f>AUD!B1108</f>
        <v>0.89419999999999999</v>
      </c>
      <c r="C1108" s="3">
        <f>AUD!C1108</f>
        <v>0.8921</v>
      </c>
      <c r="D1108" s="3">
        <f>1/CAD!B1108</f>
        <v>0.94473311289560702</v>
      </c>
      <c r="E1108" s="3">
        <f>1/CAD!C1108</f>
        <v>0.94401963560842073</v>
      </c>
      <c r="F1108" s="3">
        <f>EUR!B1108/1</f>
        <v>1.3768</v>
      </c>
      <c r="G1108" s="3">
        <f>EUR!C1108/1</f>
        <v>1.3767</v>
      </c>
      <c r="H1108" s="3">
        <f>GBP!B1108/1</f>
        <v>1.6315999999999999</v>
      </c>
      <c r="I1108" s="3">
        <f>GBP!C1108/1</f>
        <v>1.6313</v>
      </c>
      <c r="J1108" s="4">
        <f>1/INR!B1108</f>
        <v>1.6127731634545599E-2</v>
      </c>
      <c r="K1108" s="4">
        <f>1/INR!C1108</f>
        <v>1.5995521254048867E-2</v>
      </c>
      <c r="L1108" s="4">
        <f>1/JPY!B1108</f>
        <v>9.7112835403455281E-3</v>
      </c>
      <c r="M1108" s="4">
        <f>1/JPY!C1108</f>
        <v>9.7143212409462523E-3</v>
      </c>
      <c r="N1108" s="5">
        <f>1/KRW!B1108</f>
        <v>9.5052516515374747E-4</v>
      </c>
      <c r="O1108" s="5">
        <f>1/KRW!C1108</f>
        <v>9.5050574034179235E-4</v>
      </c>
      <c r="P1108" s="3">
        <f>1/NOK!B1108</f>
        <v>0.16263335935467085</v>
      </c>
      <c r="Q1108" s="3">
        <f>1/NOK!C1108</f>
        <v>0.16241412353218238</v>
      </c>
      <c r="R1108" s="3">
        <f>NZD!B1108/1</f>
        <v>0.82809999999999995</v>
      </c>
      <c r="S1108" s="3">
        <f>NZD!C1108/1</f>
        <v>0.82620000000000005</v>
      </c>
      <c r="T1108" s="4">
        <f>1/PHP!B1108</f>
        <v>2.2644927536231887E-2</v>
      </c>
      <c r="U1108" s="4">
        <f>1/PHP!C1108</f>
        <v>2.2664070875082439E-2</v>
      </c>
      <c r="V1108" s="4">
        <f>1/TWD!B1108</f>
        <v>3.373477718179671E-2</v>
      </c>
      <c r="W1108" s="4">
        <f>1/TWD!C1108</f>
        <v>3.3735573825242983E-2</v>
      </c>
      <c r="X1108" s="4">
        <f>1/TWD!B1108</f>
        <v>3.373477718179671E-2</v>
      </c>
      <c r="Y1108" s="4">
        <f>1/TWD!C1108</f>
        <v>3.3735573825242983E-2</v>
      </c>
      <c r="Z1108" s="4">
        <f>1/ZAR!B1108</f>
        <v>9.6951834328705508E-2</v>
      </c>
      <c r="AA1108" s="4">
        <f>1/ZAR!C1108</f>
        <v>9.6416209493139976E-2</v>
      </c>
    </row>
    <row r="1109" spans="1:27" x14ac:dyDescent="0.25">
      <c r="A1109" t="str">
        <f>"18/12/2013"</f>
        <v>18/12/2013</v>
      </c>
      <c r="B1109" s="3">
        <f>AUD!B1109</f>
        <v>0.89039999999999997</v>
      </c>
      <c r="C1109" s="3">
        <f>AUD!C1109</f>
        <v>0.88849999999999996</v>
      </c>
      <c r="D1109" s="3">
        <f>1/CAD!B1109</f>
        <v>0.94250706880301605</v>
      </c>
      <c r="E1109" s="3">
        <f>1/CAD!C1109</f>
        <v>0.9417082587814295</v>
      </c>
      <c r="F1109" s="3">
        <f>EUR!B1109/1</f>
        <v>1.3773</v>
      </c>
      <c r="G1109" s="3">
        <f>EUR!C1109/1</f>
        <v>1.3771</v>
      </c>
      <c r="H1109" s="3">
        <f>GBP!B1109/1</f>
        <v>1.6283000000000001</v>
      </c>
      <c r="I1109" s="3">
        <f>GBP!C1109/1</f>
        <v>1.6279999999999999</v>
      </c>
      <c r="J1109" s="4">
        <f>1/INR!B1109</f>
        <v>1.6160310277957335E-2</v>
      </c>
      <c r="K1109" s="4">
        <f>1/INR!C1109</f>
        <v>1.602820964898221E-2</v>
      </c>
      <c r="L1109" s="4">
        <f>1/JPY!B1109</f>
        <v>9.7118494274864766E-3</v>
      </c>
      <c r="M1109" s="4">
        <f>1/JPY!C1109</f>
        <v>9.7145288550650587E-3</v>
      </c>
      <c r="N1109" s="5">
        <f>1/KRW!B1109</f>
        <v>9.4989313702208502E-4</v>
      </c>
      <c r="O1109" s="5">
        <f>1/KRW!C1109</f>
        <v>9.4987202374224118E-4</v>
      </c>
      <c r="P1109" s="3">
        <f>1/NOK!B1109</f>
        <v>0.16354834489074971</v>
      </c>
      <c r="Q1109" s="3">
        <f>1/NOK!C1109</f>
        <v>0.16333464001045342</v>
      </c>
      <c r="R1109" s="3">
        <f>NZD!B1109/1</f>
        <v>0.82489999999999997</v>
      </c>
      <c r="S1109" s="3">
        <f>NZD!C1109/1</f>
        <v>0.82299999999999995</v>
      </c>
      <c r="T1109" s="4">
        <f>1/PHP!B1109</f>
        <v>2.2581009371118892E-2</v>
      </c>
      <c r="U1109" s="4">
        <f>1/PHP!C1109</f>
        <v>2.2600708758226656E-2</v>
      </c>
      <c r="V1109" s="4">
        <f>1/TWD!B1109</f>
        <v>3.3685912551371017E-2</v>
      </c>
      <c r="W1109" s="4">
        <f>1/TWD!C1109</f>
        <v>3.368636645376883E-2</v>
      </c>
      <c r="X1109" s="4">
        <f>1/TWD!B1109</f>
        <v>3.3685912551371017E-2</v>
      </c>
      <c r="Y1109" s="4">
        <f>1/TWD!C1109</f>
        <v>3.368636645376883E-2</v>
      </c>
      <c r="Z1109" s="4">
        <f>1/ZAR!B1109</f>
        <v>9.6608089961453369E-2</v>
      </c>
      <c r="AA1109" s="4">
        <f>1/ZAR!C1109</f>
        <v>9.6078092273399807E-2</v>
      </c>
    </row>
    <row r="1110" spans="1:27" x14ac:dyDescent="0.25">
      <c r="A1110" t="str">
        <f>"19/12/2013"</f>
        <v>19/12/2013</v>
      </c>
      <c r="B1110" s="3">
        <f>AUD!B1110</f>
        <v>0.88339999999999996</v>
      </c>
      <c r="C1110" s="3">
        <f>AUD!C1110</f>
        <v>0.88149999999999995</v>
      </c>
      <c r="D1110" s="3">
        <f>1/CAD!B1110</f>
        <v>0.93257483913084027</v>
      </c>
      <c r="E1110" s="3">
        <f>1/CAD!C1110</f>
        <v>0.93179276928811039</v>
      </c>
      <c r="F1110" s="3">
        <f>EUR!B1110/1</f>
        <v>1.3663000000000001</v>
      </c>
      <c r="G1110" s="3">
        <f>EUR!C1110/1</f>
        <v>1.3662000000000001</v>
      </c>
      <c r="H1110" s="3">
        <f>GBP!B1110/1</f>
        <v>1.6372</v>
      </c>
      <c r="I1110" s="3">
        <f>GBP!C1110/1</f>
        <v>1.6369</v>
      </c>
      <c r="J1110" s="4">
        <f>1/INR!B1110</f>
        <v>1.6015374759769378E-2</v>
      </c>
      <c r="K1110" s="4">
        <f>1/INR!C1110</f>
        <v>1.589067217543302E-2</v>
      </c>
      <c r="L1110" s="4">
        <f>1/JPY!B1110</f>
        <v>9.6151072565214459E-3</v>
      </c>
      <c r="M1110" s="4">
        <f>1/JPY!C1110</f>
        <v>9.6174745665885079E-3</v>
      </c>
      <c r="N1110" s="5">
        <f>1/KRW!B1110</f>
        <v>9.42507068803016E-4</v>
      </c>
      <c r="O1110" s="5">
        <f>1/KRW!C1110</f>
        <v>9.424821965113079E-4</v>
      </c>
      <c r="P1110" s="3">
        <f>1/NOK!B1110</f>
        <v>0.16277896244689335</v>
      </c>
      <c r="Q1110" s="3">
        <f>1/NOK!C1110</f>
        <v>0.16257254799954482</v>
      </c>
      <c r="R1110" s="3">
        <f>NZD!B1110/1</f>
        <v>0.81830000000000003</v>
      </c>
      <c r="S1110" s="3">
        <f>NZD!C1110/1</f>
        <v>0.8165</v>
      </c>
      <c r="T1110" s="4">
        <f>1/PHP!B1110</f>
        <v>2.2497187851518559E-2</v>
      </c>
      <c r="U1110" s="4">
        <f>1/PHP!C1110</f>
        <v>2.251324341543913E-2</v>
      </c>
      <c r="V1110" s="4">
        <f>1/TWD!B1110</f>
        <v>3.3551417547391375E-2</v>
      </c>
      <c r="W1110" s="4">
        <f>1/TWD!C1110</f>
        <v>3.3551867832482235E-2</v>
      </c>
      <c r="X1110" s="4">
        <f>1/TWD!B1110</f>
        <v>3.3551417547391375E-2</v>
      </c>
      <c r="Y1110" s="4">
        <f>1/TWD!C1110</f>
        <v>3.3551867832482235E-2</v>
      </c>
      <c r="Z1110" s="4">
        <f>1/ZAR!B1110</f>
        <v>9.6383684169943723E-2</v>
      </c>
      <c r="AA1110" s="4">
        <f>1/ZAR!C1110</f>
        <v>9.5846032932696903E-2</v>
      </c>
    </row>
    <row r="1111" spans="1:27" x14ac:dyDescent="0.25">
      <c r="A1111" t="str">
        <f>"20/12/2013"</f>
        <v>20/12/2013</v>
      </c>
      <c r="B1111" s="3">
        <f>AUD!B1111</f>
        <v>0.88680000000000003</v>
      </c>
      <c r="C1111" s="3">
        <f>AUD!C1111</f>
        <v>0.88500000000000001</v>
      </c>
      <c r="D1111" s="3">
        <f>1/CAD!B1111</f>
        <v>0.93729496672602874</v>
      </c>
      <c r="E1111" s="3">
        <f>1/CAD!C1111</f>
        <v>0.93650496347630641</v>
      </c>
      <c r="F1111" s="3">
        <f>EUR!B1111/1</f>
        <v>1.3643000000000001</v>
      </c>
      <c r="G1111" s="3">
        <f>EUR!C1111/1</f>
        <v>1.3642000000000001</v>
      </c>
      <c r="H1111" s="3">
        <f>GBP!B1111/1</f>
        <v>1.6364000000000001</v>
      </c>
      <c r="I1111" s="3">
        <f>GBP!C1111/1</f>
        <v>1.6362000000000001</v>
      </c>
      <c r="J1111" s="4">
        <f>1/INR!B1111</f>
        <v>1.6055874443061856E-2</v>
      </c>
      <c r="K1111" s="4">
        <f>1/INR!C1111</f>
        <v>1.5930542833247043E-2</v>
      </c>
      <c r="L1111" s="4">
        <f>1/JPY!B1111</f>
        <v>9.574417157355547E-3</v>
      </c>
      <c r="M1111" s="4">
        <f>1/JPY!C1111</f>
        <v>9.5765535324554181E-3</v>
      </c>
      <c r="N1111" s="5">
        <f>1/KRW!B1111</f>
        <v>9.4064528266390752E-4</v>
      </c>
      <c r="O1111" s="5">
        <f>1/KRW!C1111</f>
        <v>9.4062581716867859E-4</v>
      </c>
      <c r="P1111" s="3">
        <f>1/NOK!B1111</f>
        <v>0.16241148574027156</v>
      </c>
      <c r="Q1111" s="3">
        <f>1/NOK!C1111</f>
        <v>0.16220863274343461</v>
      </c>
      <c r="R1111" s="3">
        <f>NZD!B1111/1</f>
        <v>0.81989999999999996</v>
      </c>
      <c r="S1111" s="3">
        <f>NZD!C1111/1</f>
        <v>0.81810000000000005</v>
      </c>
      <c r="T1111" s="4">
        <f>1/PHP!B1111</f>
        <v>2.247191011235955E-2</v>
      </c>
      <c r="U1111" s="4">
        <f>1/PHP!C1111</f>
        <v>2.2497592757574941E-2</v>
      </c>
      <c r="V1111" s="4">
        <f>1/TWD!B1111</f>
        <v>3.3431398769724528E-2</v>
      </c>
      <c r="W1111" s="4">
        <f>1/TWD!C1111</f>
        <v>3.343162230290387E-2</v>
      </c>
      <c r="X1111" s="4">
        <f>1/TWD!B1111</f>
        <v>3.3431398769724528E-2</v>
      </c>
      <c r="Y1111" s="4">
        <f>1/TWD!C1111</f>
        <v>3.343162230290387E-2</v>
      </c>
      <c r="Z1111" s="4">
        <f>1/ZAR!B1111</f>
        <v>9.6159393811181409E-2</v>
      </c>
      <c r="AA1111" s="4">
        <f>1/ZAR!C1111</f>
        <v>9.5607778648870864E-2</v>
      </c>
    </row>
    <row r="1112" spans="1:27" x14ac:dyDescent="0.25">
      <c r="A1112" t="str">
        <f>"23/12/2013"</f>
        <v>23/12/2013</v>
      </c>
      <c r="B1112" s="3">
        <f>AUD!B1112</f>
        <v>0.89290000000000003</v>
      </c>
      <c r="C1112" s="3">
        <f>AUD!C1112</f>
        <v>0.89100000000000001</v>
      </c>
      <c r="D1112" s="3">
        <f>1/CAD!B1112</f>
        <v>0.93976130062964003</v>
      </c>
      <c r="E1112" s="3">
        <f>1/CAD!C1112</f>
        <v>0.93905531035778012</v>
      </c>
      <c r="F1112" s="3">
        <f>EUR!B1112/1</f>
        <v>1.3674999999999999</v>
      </c>
      <c r="G1112" s="3">
        <f>EUR!C1112/1</f>
        <v>1.3673999999999999</v>
      </c>
      <c r="H1112" s="3">
        <f>GBP!B1112/1</f>
        <v>1.6347</v>
      </c>
      <c r="I1112" s="3">
        <f>GBP!C1112/1</f>
        <v>1.6344000000000001</v>
      </c>
      <c r="J1112" s="4">
        <f>1/INR!B1112</f>
        <v>1.6147263038914905E-2</v>
      </c>
      <c r="K1112" s="4">
        <f>1/INR!C1112</f>
        <v>1.6019223067681217E-2</v>
      </c>
      <c r="L1112" s="4">
        <f>1/JPY!B1112</f>
        <v>9.609840476648087E-3</v>
      </c>
      <c r="M1112" s="4">
        <f>1/JPY!C1112</f>
        <v>9.6114845706838196E-3</v>
      </c>
      <c r="N1112" s="5">
        <f>1/KRW!B1112</f>
        <v>9.4177477456266329E-4</v>
      </c>
      <c r="O1112" s="5">
        <f>1/KRW!C1112</f>
        <v>9.4174639334675006E-4</v>
      </c>
      <c r="P1112" s="3">
        <f>1/NOK!B1112</f>
        <v>0.16225600752867875</v>
      </c>
      <c r="Q1112" s="3">
        <f>1/NOK!C1112</f>
        <v>0.16205091639793223</v>
      </c>
      <c r="R1112" s="3">
        <f>NZD!B1112/1</f>
        <v>0.81979999999999997</v>
      </c>
      <c r="S1112" s="3">
        <f>NZD!C1112/1</f>
        <v>0.81799999999999995</v>
      </c>
      <c r="T1112" s="4">
        <f>1/PHP!B1112</f>
        <v>2.2517451024544024E-2</v>
      </c>
      <c r="U1112" s="4">
        <f>1/PHP!C1112</f>
        <v>2.2540189157267406E-2</v>
      </c>
      <c r="V1112" s="4">
        <f>1/TWD!B1112</f>
        <v>3.3377837116154871E-2</v>
      </c>
      <c r="W1112" s="4">
        <f>1/TWD!C1112</f>
        <v>3.3378282754108868E-2</v>
      </c>
      <c r="X1112" s="4">
        <f>1/TWD!B1112</f>
        <v>3.3377837116154871E-2</v>
      </c>
      <c r="Y1112" s="4">
        <f>1/TWD!C1112</f>
        <v>3.3378282754108868E-2</v>
      </c>
      <c r="Z1112" s="4">
        <f>1/ZAR!B1112</f>
        <v>9.6379968387370368E-2</v>
      </c>
      <c r="AA1112" s="4">
        <f>1/ZAR!C1112</f>
        <v>9.5788193147312656E-2</v>
      </c>
    </row>
    <row r="1113" spans="1:27" x14ac:dyDescent="0.25">
      <c r="A1113" t="str">
        <f>"24/12/2013"</f>
        <v>24/12/2013</v>
      </c>
      <c r="B1113" s="3">
        <f>AUD!B1113</f>
        <v>0.8911</v>
      </c>
      <c r="C1113" s="3">
        <f>AUD!C1113</f>
        <v>0.88929999999999998</v>
      </c>
      <c r="D1113" s="3">
        <f>1/CAD!B1113</f>
        <v>0.94117647058823528</v>
      </c>
      <c r="E1113" s="3">
        <f>1/CAD!C1113</f>
        <v>0.94046835323991351</v>
      </c>
      <c r="F1113" s="3">
        <f>EUR!B1113/1</f>
        <v>1.3675999999999999</v>
      </c>
      <c r="G1113" s="3">
        <f>EUR!C1113/1</f>
        <v>1.3674999999999999</v>
      </c>
      <c r="H1113" s="3">
        <f>GBP!B1113/1</f>
        <v>1.6349</v>
      </c>
      <c r="I1113" s="3">
        <f>GBP!C1113/1</f>
        <v>1.6347</v>
      </c>
      <c r="J1113" s="4">
        <f>1/INR!B1113</f>
        <v>1.6168148746968473E-2</v>
      </c>
      <c r="K1113" s="4">
        <f>1/INR!C1113</f>
        <v>1.6038492381716118E-2</v>
      </c>
      <c r="L1113" s="4">
        <f>1/JPY!B1113</f>
        <v>9.5833173611377317E-3</v>
      </c>
      <c r="M1113" s="4">
        <f>1/JPY!C1113</f>
        <v>9.5846859721411513E-3</v>
      </c>
      <c r="N1113" s="5">
        <f>1/KRW!B1113</f>
        <v>9.4255148687497048E-4</v>
      </c>
      <c r="O1113" s="5">
        <f>1/KRW!C1113</f>
        <v>9.42529632660386E-4</v>
      </c>
      <c r="P1113" s="3">
        <f>1/NOK!B1113</f>
        <v>0.16241676140977748</v>
      </c>
      <c r="Q1113" s="3">
        <f>1/NOK!C1113</f>
        <v>0.16221126395016872</v>
      </c>
      <c r="R1113" s="3">
        <f>NZD!B1113/1</f>
        <v>0.81810000000000005</v>
      </c>
      <c r="S1113" s="3">
        <f>NZD!C1113/1</f>
        <v>0.81630000000000003</v>
      </c>
      <c r="T1113" s="4">
        <f>1/PHP!B1113</f>
        <v>2.2552999548940009E-2</v>
      </c>
      <c r="U1113" s="4">
        <f>1/PHP!C1113</f>
        <v>2.2575045093652574E-2</v>
      </c>
      <c r="V1113" s="4">
        <f>1/TWD!B1113</f>
        <v>3.3325557369947009E-2</v>
      </c>
      <c r="W1113" s="4">
        <f>1/TWD!C1113</f>
        <v>3.332577948998227E-2</v>
      </c>
      <c r="X1113" s="4">
        <f>1/TWD!B1113</f>
        <v>3.3325557369947009E-2</v>
      </c>
      <c r="Y1113" s="4">
        <f>1/TWD!C1113</f>
        <v>3.332577948998227E-2</v>
      </c>
      <c r="Z1113" s="4">
        <f>1/ZAR!B1113</f>
        <v>9.660249041220284E-2</v>
      </c>
      <c r="AA1113" s="4">
        <f>1/ZAR!C1113</f>
        <v>9.6054097667806509E-2</v>
      </c>
    </row>
    <row r="1114" spans="1:27" x14ac:dyDescent="0.25">
      <c r="A1114" t="str">
        <f>"26/12/2013"</f>
        <v>26/12/2013</v>
      </c>
      <c r="B1114" s="3">
        <f>AUD!B1114</f>
        <v>0.88880000000000003</v>
      </c>
      <c r="C1114" s="3">
        <f>AUD!C1114</f>
        <v>0.88690000000000002</v>
      </c>
      <c r="D1114" s="3">
        <f>1/CAD!B1114</f>
        <v>0.93958470356102597</v>
      </c>
      <c r="E1114" s="3">
        <f>1/CAD!C1114</f>
        <v>0.9388789784996715</v>
      </c>
      <c r="F1114" s="3">
        <f>EUR!B1114/1</f>
        <v>1.3673999999999999</v>
      </c>
      <c r="G1114" s="3">
        <f>EUR!C1114/1</f>
        <v>1.3673</v>
      </c>
      <c r="H1114" s="3">
        <f>GBP!B1114/1</f>
        <v>1.6375</v>
      </c>
      <c r="I1114" s="3">
        <f>GBP!C1114/1</f>
        <v>1.6373</v>
      </c>
      <c r="J1114" s="4">
        <f>1/INR!B1114</f>
        <v>1.6147263038914905E-2</v>
      </c>
      <c r="K1114" s="4">
        <f>1/INR!C1114</f>
        <v>1.6020506247997435E-2</v>
      </c>
      <c r="L1114" s="4">
        <f>1/JPY!B1114</f>
        <v>9.5489095145334397E-3</v>
      </c>
      <c r="M1114" s="4">
        <f>1/JPY!C1114</f>
        <v>9.5500038200015281E-3</v>
      </c>
      <c r="N1114" s="5">
        <f>1/KRW!B1114</f>
        <v>9.4335172869204284E-4</v>
      </c>
      <c r="O1114" s="5">
        <f>1/KRW!C1114</f>
        <v>9.4332423119782656E-4</v>
      </c>
      <c r="P1114" s="3">
        <f>1/NOK!B1114</f>
        <v>0.16258576399050501</v>
      </c>
      <c r="Q1114" s="3">
        <f>1/NOK!C1114</f>
        <v>0.16236665638344511</v>
      </c>
      <c r="R1114" s="3">
        <f>NZD!B1114/1</f>
        <v>0.81630000000000003</v>
      </c>
      <c r="S1114" s="3">
        <f>NZD!C1114/1</f>
        <v>0.8145</v>
      </c>
      <c r="T1114" s="4">
        <f>1/PHP!B1114</f>
        <v>2.2507314877335136E-2</v>
      </c>
      <c r="U1114" s="4">
        <f>1/PHP!C1114</f>
        <v>2.2510709470030369E-2</v>
      </c>
      <c r="V1114" s="4">
        <f>1/TWD!B1114</f>
        <v>3.3332222259258026E-2</v>
      </c>
      <c r="W1114" s="4">
        <f>1/TWD!C1114</f>
        <v>3.3332555573703279E-2</v>
      </c>
      <c r="X1114" s="4">
        <f>1/TWD!B1114</f>
        <v>3.3332222259258026E-2</v>
      </c>
      <c r="Y1114" s="4">
        <f>1/TWD!C1114</f>
        <v>3.3332555573703279E-2</v>
      </c>
      <c r="Z1114" s="4">
        <f>1/ZAR!B1114</f>
        <v>9.6441315459542876E-2</v>
      </c>
      <c r="AA1114" s="4">
        <f>1/ZAR!C1114</f>
        <v>9.5914980960876278E-2</v>
      </c>
    </row>
    <row r="1115" spans="1:27" x14ac:dyDescent="0.25">
      <c r="A1115" t="str">
        <f>"27/12/2013"</f>
        <v>27/12/2013</v>
      </c>
      <c r="B1115" s="3">
        <f>AUD!B1115</f>
        <v>0.88929999999999998</v>
      </c>
      <c r="C1115" s="3">
        <f>AUD!C1115</f>
        <v>0.88739999999999997</v>
      </c>
      <c r="D1115" s="3">
        <f>1/CAD!B1115</f>
        <v>0.94029149036201232</v>
      </c>
      <c r="E1115" s="3">
        <f>1/CAD!C1115</f>
        <v>0.93958470356102597</v>
      </c>
      <c r="F1115" s="3">
        <f>EUR!B1115/1</f>
        <v>1.3734</v>
      </c>
      <c r="G1115" s="3">
        <f>EUR!C1115/1</f>
        <v>1.3733</v>
      </c>
      <c r="H1115" s="3">
        <f>GBP!B1115/1</f>
        <v>1.6435999999999999</v>
      </c>
      <c r="I1115" s="3">
        <f>GBP!C1115/1</f>
        <v>1.6433</v>
      </c>
      <c r="J1115" s="4">
        <f>1/INR!B1115</f>
        <v>1.6088810232483309E-2</v>
      </c>
      <c r="K1115" s="4">
        <f>1/INR!C1115</f>
        <v>1.5962965919067762E-2</v>
      </c>
      <c r="L1115" s="4">
        <f>1/JPY!B1115</f>
        <v>9.545445867776484E-3</v>
      </c>
      <c r="M1115" s="4">
        <f>1/JPY!C1115</f>
        <v>9.5466396305832323E-3</v>
      </c>
      <c r="N1115" s="5">
        <f>1/KRW!B1115</f>
        <v>9.475080538184574E-4</v>
      </c>
      <c r="O1115" s="5">
        <f>1/KRW!C1115</f>
        <v>9.4748013394716152E-4</v>
      </c>
      <c r="P1115" s="3">
        <f>1/NOK!B1115</f>
        <v>0.16329996570700719</v>
      </c>
      <c r="Q1115" s="3">
        <f>1/NOK!C1115</f>
        <v>0.16307893020221789</v>
      </c>
      <c r="R1115" s="3">
        <f>NZD!B1115/1</f>
        <v>0.81569999999999998</v>
      </c>
      <c r="S1115" s="3">
        <f>NZD!C1115/1</f>
        <v>0.81389999999999996</v>
      </c>
      <c r="T1115" s="4">
        <f>1/PHP!B1115</f>
        <v>2.2545372562281594E-2</v>
      </c>
      <c r="U1115" s="4">
        <f>1/PHP!C1115</f>
        <v>2.2541256134039324E-2</v>
      </c>
      <c r="V1115" s="4">
        <f>1/TWD!B1115</f>
        <v>3.3356683011441346E-2</v>
      </c>
      <c r="W1115" s="4">
        <f>1/TWD!C1115</f>
        <v>3.335712808470042E-2</v>
      </c>
      <c r="X1115" s="4">
        <f>1/TWD!B1115</f>
        <v>3.3356683011441346E-2</v>
      </c>
      <c r="Y1115" s="4">
        <f>1/TWD!C1115</f>
        <v>3.335712808470042E-2</v>
      </c>
      <c r="Z1115" s="4">
        <f>1/ZAR!B1115</f>
        <v>9.653534641709062E-2</v>
      </c>
      <c r="AA1115" s="4">
        <f>1/ZAR!C1115</f>
        <v>9.6008909626813368E-2</v>
      </c>
    </row>
    <row r="1116" spans="1:27" x14ac:dyDescent="0.25">
      <c r="A1116" t="str">
        <f>"30/12/2013"</f>
        <v>30/12/2013</v>
      </c>
      <c r="B1116" s="3">
        <f>AUD!B1116</f>
        <v>0.88529999999999998</v>
      </c>
      <c r="C1116" s="3">
        <f>AUD!C1116</f>
        <v>0.88339999999999996</v>
      </c>
      <c r="D1116" s="3">
        <f>1/CAD!B1116</f>
        <v>0.93353248693054525</v>
      </c>
      <c r="E1116" s="3">
        <f>1/CAD!C1116</f>
        <v>0.93283582089552231</v>
      </c>
      <c r="F1116" s="3">
        <f>EUR!B1116/1</f>
        <v>1.3741000000000001</v>
      </c>
      <c r="G1116" s="3">
        <f>EUR!C1116/1</f>
        <v>1.3740000000000001</v>
      </c>
      <c r="H1116" s="3">
        <f>GBP!B1116/1</f>
        <v>1.6476</v>
      </c>
      <c r="I1116" s="3">
        <f>GBP!C1116/1</f>
        <v>1.6473</v>
      </c>
      <c r="J1116" s="4">
        <f>1/INR!B1116</f>
        <v>1.6135538523598225E-2</v>
      </c>
      <c r="K1116" s="4">
        <f>1/INR!C1116</f>
        <v>1.6008965020411429E-2</v>
      </c>
      <c r="L1116" s="4">
        <f>1/JPY!B1116</f>
        <v>9.4960448973002744E-3</v>
      </c>
      <c r="M1116" s="4">
        <f>1/JPY!C1116</f>
        <v>9.4973886929788642E-3</v>
      </c>
      <c r="N1116" s="5">
        <f>1/KRW!B1116</f>
        <v>9.4737340722845912E-4</v>
      </c>
      <c r="O1116" s="5">
        <f>1/KRW!C1116</f>
        <v>9.4734755946216428E-4</v>
      </c>
      <c r="P1116" s="3">
        <f>1/NOK!B1116</f>
        <v>0.16257783413809362</v>
      </c>
      <c r="Q1116" s="3">
        <f>1/NOK!C1116</f>
        <v>0.16235084016559784</v>
      </c>
      <c r="R1116" s="3">
        <f>NZD!B1116/1</f>
        <v>0.81369999999999998</v>
      </c>
      <c r="S1116" s="3">
        <f>NZD!C1116/1</f>
        <v>0.81189999999999996</v>
      </c>
      <c r="T1116" s="4">
        <f>1/PHP!B1116</f>
        <v>2.2525059128280209E-2</v>
      </c>
      <c r="U1116" s="4">
        <f>1/PHP!C1116</f>
        <v>2.2520950113843401E-2</v>
      </c>
      <c r="V1116" s="4">
        <f>1/TWD!B1116</f>
        <v>3.340459647247461E-2</v>
      </c>
      <c r="W1116" s="4">
        <f>1/TWD!C1116</f>
        <v>3.3404819647378722E-2</v>
      </c>
      <c r="X1116" s="4">
        <f>1/TWD!B1116</f>
        <v>3.340459647247461E-2</v>
      </c>
      <c r="Y1116" s="4">
        <f>1/TWD!C1116</f>
        <v>3.3404819647378722E-2</v>
      </c>
      <c r="Z1116" s="4">
        <f>1/ZAR!B1116</f>
        <v>9.4889264228645159E-2</v>
      </c>
      <c r="AA1116" s="4">
        <f>1/ZAR!C1116</f>
        <v>9.4380580251807386E-2</v>
      </c>
    </row>
    <row r="1117" spans="1:27" x14ac:dyDescent="0.25">
      <c r="A1117" t="str">
        <f>"31/12/2013"</f>
        <v>31/12/2013</v>
      </c>
      <c r="B1117" s="3">
        <f>AUD!B1117</f>
        <v>0.89370000000000005</v>
      </c>
      <c r="C1117" s="3">
        <f>AUD!C1117</f>
        <v>0.89190000000000003</v>
      </c>
      <c r="D1117" s="3">
        <f>1/CAD!B1117</f>
        <v>0.93905531035778012</v>
      </c>
      <c r="E1117" s="3">
        <f>1/CAD!C1117</f>
        <v>0.93835038003190385</v>
      </c>
      <c r="F1117" s="3">
        <f>EUR!B1117/1</f>
        <v>1.3794999999999999</v>
      </c>
      <c r="G1117" s="3">
        <f>EUR!C1117/1</f>
        <v>1.3794999999999999</v>
      </c>
      <c r="H1117" s="3">
        <f>GBP!B1117/1</f>
        <v>1.6478999999999999</v>
      </c>
      <c r="I1117" s="3">
        <f>GBP!C1117/1</f>
        <v>1.6476</v>
      </c>
      <c r="J1117" s="4">
        <f>1/INR!B1117</f>
        <v>1.6159004605316312E-2</v>
      </c>
      <c r="K1117" s="4">
        <f>1/INR!C1117</f>
        <v>1.60333493666827E-2</v>
      </c>
      <c r="L1117" s="4">
        <f>1/JPY!B1117</f>
        <v>9.5258961486801869E-3</v>
      </c>
      <c r="M1117" s="4">
        <f>1/JPY!C1117</f>
        <v>9.5273028681945281E-3</v>
      </c>
      <c r="N1117" s="5">
        <f>1/KRW!B1117</f>
        <v>9.4876660341555979E-4</v>
      </c>
      <c r="O1117" s="5">
        <f>1/KRW!C1117</f>
        <v>9.4873923939954661E-4</v>
      </c>
      <c r="P1117" s="3">
        <f>1/NOK!B1117</f>
        <v>0.16440067733079061</v>
      </c>
      <c r="Q1117" s="3">
        <f>1/NOK!C1117</f>
        <v>0.16417395872666679</v>
      </c>
      <c r="R1117" s="3">
        <f>NZD!B1117/1</f>
        <v>0.82179999999999997</v>
      </c>
      <c r="S1117" s="3">
        <f>NZD!C1117/1</f>
        <v>0.81989999999999996</v>
      </c>
      <c r="T1117" s="4">
        <f>1/PHP!B1117</f>
        <v>2.2525059128280209E-2</v>
      </c>
      <c r="U1117" s="4">
        <f>1/PHP!C1117</f>
        <v>2.2520950113843401E-2</v>
      </c>
      <c r="V1117" s="4">
        <f>1/TWD!B1117</f>
        <v>3.3494105037513398E-2</v>
      </c>
      <c r="W1117" s="4">
        <f>1/TWD!C1117</f>
        <v>3.3494329410030881E-2</v>
      </c>
      <c r="X1117" s="4">
        <f>1/TWD!B1117</f>
        <v>3.3494105037513398E-2</v>
      </c>
      <c r="Y1117" s="4">
        <f>1/TWD!C1117</f>
        <v>3.3494329410030881E-2</v>
      </c>
      <c r="Z1117" s="4">
        <f>1/ZAR!B1117</f>
        <v>9.5835928889740768E-2</v>
      </c>
      <c r="AA1117" s="4">
        <f>1/ZAR!C1117</f>
        <v>9.5376163589195789E-2</v>
      </c>
    </row>
    <row r="1118" spans="1:27" x14ac:dyDescent="0.25">
      <c r="A1118" t="str">
        <f>"01/01/2014"</f>
        <v>01/01/2014</v>
      </c>
      <c r="B1118" s="3">
        <f>AUD!B1118</f>
        <v>0.8448</v>
      </c>
      <c r="C1118" s="3">
        <f>AUD!C1118</f>
        <v>0.84289999999999998</v>
      </c>
      <c r="D1118" s="3">
        <f>1/CAD!B1118</f>
        <v>0.93283582089552231</v>
      </c>
      <c r="E1118" s="3">
        <f>1/CAD!C1118</f>
        <v>0.93214019388516034</v>
      </c>
      <c r="F1118" s="3">
        <f>EUR!B1118/1</f>
        <v>1.3759999999999999</v>
      </c>
      <c r="G1118" s="3">
        <f>EUR!C1118/1</f>
        <v>1.3759999999999999</v>
      </c>
      <c r="H1118" s="3">
        <f>GBP!B1118/1</f>
        <v>1.6528</v>
      </c>
      <c r="I1118" s="3">
        <f>GBP!C1118/1</f>
        <v>1.6525000000000001</v>
      </c>
      <c r="J1118" s="4">
        <f>1/INR!B1118</f>
        <v>1.6151174997981105E-2</v>
      </c>
      <c r="K1118" s="4">
        <f>1/INR!C1118</f>
        <v>1.602820964898221E-2</v>
      </c>
      <c r="L1118" s="4">
        <f>1/JPY!B1118</f>
        <v>9.5144762756534072E-3</v>
      </c>
      <c r="M1118" s="4">
        <f>1/JPY!C1118</f>
        <v>9.5158886793278736E-3</v>
      </c>
      <c r="N1118" s="5">
        <f>1/KRW!B1118</f>
        <v>9.4808297622207892E-4</v>
      </c>
      <c r="O1118" s="5">
        <f>1/KRW!C1118</f>
        <v>9.4805565162519483E-4</v>
      </c>
      <c r="P1118" s="3">
        <f>1/NOK!B1118</f>
        <v>0.1638914383112626</v>
      </c>
      <c r="Q1118" s="3">
        <f>1/NOK!C1118</f>
        <v>0.16370095110252592</v>
      </c>
      <c r="R1118" s="3">
        <f>NZD!B1118/1</f>
        <v>0.82010000000000005</v>
      </c>
      <c r="S1118" s="3">
        <f>NZD!C1118/1</f>
        <v>0.81830000000000003</v>
      </c>
      <c r="T1118" s="4">
        <f>1/PHP!B1118</f>
        <v>2.2525059128280209E-2</v>
      </c>
      <c r="U1118" s="4">
        <f>1/PHP!C1118</f>
        <v>2.2520950113843401E-2</v>
      </c>
      <c r="V1118" s="4">
        <f>1/TWD!B1118</f>
        <v>3.3519927596956392E-2</v>
      </c>
      <c r="W1118" s="4">
        <f>1/TWD!C1118</f>
        <v>3.3520152315572121E-2</v>
      </c>
      <c r="X1118" s="4">
        <f>1/TWD!B1118</f>
        <v>3.3519927596956392E-2</v>
      </c>
      <c r="Y1118" s="4">
        <f>1/TWD!C1118</f>
        <v>3.3520152315572121E-2</v>
      </c>
      <c r="Z1118" s="4">
        <f>1/ZAR!B1118</f>
        <v>9.4966761633428307E-2</v>
      </c>
      <c r="AA1118" s="4">
        <f>1/ZAR!C1118</f>
        <v>9.4540297801938067E-2</v>
      </c>
    </row>
    <row r="1119" spans="1:27" x14ac:dyDescent="0.25">
      <c r="A1119" t="str">
        <f>"02/01/2014"</f>
        <v>02/01/2014</v>
      </c>
      <c r="B1119" s="3">
        <f>AUD!B1119</f>
        <v>0.89190000000000003</v>
      </c>
      <c r="C1119" s="3">
        <f>AUD!C1119</f>
        <v>0.89</v>
      </c>
      <c r="D1119" s="3">
        <f>1/CAD!B1119</f>
        <v>0.94011469399266701</v>
      </c>
      <c r="E1119" s="3">
        <f>1/CAD!C1119</f>
        <v>0.93940817285110378</v>
      </c>
      <c r="F1119" s="3">
        <f>EUR!B1119/1</f>
        <v>1.3752</v>
      </c>
      <c r="G1119" s="3">
        <f>EUR!C1119/1</f>
        <v>1.3752</v>
      </c>
      <c r="H1119" s="3">
        <f>GBP!B1119/1</f>
        <v>1.6585000000000001</v>
      </c>
      <c r="I1119" s="3">
        <f>GBP!C1119/1</f>
        <v>1.6581999999999999</v>
      </c>
      <c r="J1119" s="4">
        <f>1/INR!B1119</f>
        <v>1.6181229773462785E-2</v>
      </c>
      <c r="K1119" s="4">
        <f>1/INR!C1119</f>
        <v>1.6064902204907826E-2</v>
      </c>
      <c r="L1119" s="4">
        <f>1/JPY!B1119</f>
        <v>9.4968565404850991E-3</v>
      </c>
      <c r="M1119" s="4">
        <f>1/JPY!C1119</f>
        <v>9.4982727391023942E-3</v>
      </c>
      <c r="N1119" s="5">
        <f>1/KRW!B1119</f>
        <v>9.5174645474445602E-4</v>
      </c>
      <c r="O1119" s="5">
        <f>1/KRW!C1119</f>
        <v>9.5171792222846648E-4</v>
      </c>
      <c r="P1119" s="3">
        <f>1/NOK!B1119</f>
        <v>0.16445475027546169</v>
      </c>
      <c r="Q1119" s="3">
        <f>1/NOK!C1119</f>
        <v>0.16425755584756899</v>
      </c>
      <c r="R1119" s="3">
        <f>NZD!B1119/1</f>
        <v>0.82269999999999999</v>
      </c>
      <c r="S1119" s="3">
        <f>NZD!C1119/1</f>
        <v>0.82079999999999997</v>
      </c>
      <c r="T1119" s="4">
        <f>1/PHP!B1119</f>
        <v>2.2563176895306861E-2</v>
      </c>
      <c r="U1119" s="4">
        <f>1/PHP!C1119</f>
        <v>2.2551473738808829E-2</v>
      </c>
      <c r="V1119" s="4">
        <f>1/TWD!B1119</f>
        <v>3.3482890243085782E-2</v>
      </c>
      <c r="W1119" s="4">
        <f>1/TWD!C1119</f>
        <v>3.3483114465375108E-2</v>
      </c>
      <c r="X1119" s="4">
        <f>1/TWD!B1119</f>
        <v>3.3482890243085782E-2</v>
      </c>
      <c r="Y1119" s="4">
        <f>1/TWD!C1119</f>
        <v>3.3483114465375108E-2</v>
      </c>
      <c r="Z1119" s="4">
        <f>1/ZAR!B1119</f>
        <v>9.5241723494228353E-2</v>
      </c>
      <c r="AA1119" s="4">
        <f>1/ZAR!C1119</f>
        <v>9.4777746185195716E-2</v>
      </c>
    </row>
    <row r="1120" spans="1:27" x14ac:dyDescent="0.25">
      <c r="A1120" t="str">
        <f>"03/01/2014"</f>
        <v>03/01/2014</v>
      </c>
      <c r="B1120" s="3">
        <f>AUD!B1120</f>
        <v>0.89670000000000005</v>
      </c>
      <c r="C1120" s="3">
        <f>AUD!C1120</f>
        <v>0.89490000000000003</v>
      </c>
      <c r="D1120" s="3">
        <f>1/CAD!B1120</f>
        <v>0.93923170846247772</v>
      </c>
      <c r="E1120" s="3">
        <f>1/CAD!C1120</f>
        <v>0.93852651337400295</v>
      </c>
      <c r="F1120" s="3">
        <f>EUR!B1120/1</f>
        <v>1.3663000000000001</v>
      </c>
      <c r="G1120" s="3">
        <f>EUR!C1120/1</f>
        <v>1.3662000000000001</v>
      </c>
      <c r="H1120" s="3">
        <f>GBP!B1120/1</f>
        <v>1.6447000000000001</v>
      </c>
      <c r="I1120" s="3">
        <f>GBP!C1120/1</f>
        <v>1.6443000000000001</v>
      </c>
      <c r="J1120" s="4">
        <f>1/INR!B1120</f>
        <v>1.6038492381716118E-2</v>
      </c>
      <c r="K1120" s="4">
        <f>1/INR!C1120</f>
        <v>1.5923566878980892E-2</v>
      </c>
      <c r="L1120" s="4">
        <f>1/JPY!B1120</f>
        <v>9.5904862376522491E-3</v>
      </c>
      <c r="M1120" s="4">
        <f>1/JPY!C1120</f>
        <v>9.5917556941457673E-3</v>
      </c>
      <c r="N1120" s="5">
        <f>1/KRW!B1120</f>
        <v>9.4930700588570331E-4</v>
      </c>
      <c r="O1120" s="5">
        <f>1/KRW!C1120</f>
        <v>9.4928492739631545E-4</v>
      </c>
      <c r="P1120" s="3">
        <f>1/NOK!B1120</f>
        <v>0.16212973621491916</v>
      </c>
      <c r="Q1120" s="3">
        <f>1/NOK!C1120</f>
        <v>0.16193807488016582</v>
      </c>
      <c r="R1120" s="3">
        <f>NZD!B1120/1</f>
        <v>0.82279999999999998</v>
      </c>
      <c r="S1120" s="3">
        <f>NZD!C1120/1</f>
        <v>0.82089999999999996</v>
      </c>
      <c r="T1120" s="4">
        <f>1/PHP!B1120</f>
        <v>2.2400179201433612E-2</v>
      </c>
      <c r="U1120" s="4">
        <f>1/PHP!C1120</f>
        <v>2.2393808559809384E-2</v>
      </c>
      <c r="V1120" s="4">
        <f>1/TWD!B1120</f>
        <v>3.3370597166836304E-2</v>
      </c>
      <c r="W1120" s="4">
        <f>1/TWD!C1120</f>
        <v>3.3370819887673819E-2</v>
      </c>
      <c r="X1120" s="4">
        <f>1/TWD!B1120</f>
        <v>3.3370597166836304E-2</v>
      </c>
      <c r="Y1120" s="4">
        <f>1/TWD!C1120</f>
        <v>3.3370819887673819E-2</v>
      </c>
      <c r="Z1120" s="4">
        <f>1/ZAR!B1120</f>
        <v>9.3753222767032615E-2</v>
      </c>
      <c r="AA1120" s="4">
        <f>1/ZAR!C1120</f>
        <v>9.3287062950110078E-2</v>
      </c>
    </row>
    <row r="1121" spans="1:27" x14ac:dyDescent="0.25">
      <c r="A1121" t="str">
        <f>"06/01/2014"</f>
        <v>06/01/2014</v>
      </c>
      <c r="B1121" s="3">
        <f>AUD!B1121</f>
        <v>0.89470000000000005</v>
      </c>
      <c r="C1121" s="3">
        <f>AUD!C1121</f>
        <v>0.89280000000000004</v>
      </c>
      <c r="D1121" s="3">
        <f>1/CAD!B1121</f>
        <v>0.94135366657253128</v>
      </c>
      <c r="E1121" s="3">
        <f>1/CAD!C1121</f>
        <v>0.94064528266390746</v>
      </c>
      <c r="F1121" s="3">
        <f>EUR!B1121/1</f>
        <v>1.3581000000000001</v>
      </c>
      <c r="G1121" s="3">
        <f>EUR!C1121/1</f>
        <v>1.3581000000000001</v>
      </c>
      <c r="H1121" s="3">
        <f>GBP!B1121/1</f>
        <v>1.6351</v>
      </c>
      <c r="I1121" s="3">
        <f>GBP!C1121/1</f>
        <v>1.6348</v>
      </c>
      <c r="J1121" s="4">
        <f>1/INR!B1121</f>
        <v>1.6015374759769378E-2</v>
      </c>
      <c r="K1121" s="4">
        <f>1/INR!C1121</f>
        <v>1.5894460780418024E-2</v>
      </c>
      <c r="L1121" s="4">
        <f>1/JPY!B1121</f>
        <v>9.5797369404236159E-3</v>
      </c>
      <c r="M1121" s="4">
        <f>1/JPY!C1121</f>
        <v>9.5810769897022585E-3</v>
      </c>
      <c r="N1121" s="5">
        <f>1/KRW!B1121</f>
        <v>9.3964650498482472E-4</v>
      </c>
      <c r="O1121" s="5">
        <f>1/KRW!C1121</f>
        <v>9.3962399066765457E-4</v>
      </c>
      <c r="P1121" s="3">
        <f>1/NOK!B1121</f>
        <v>0.16215339711366952</v>
      </c>
      <c r="Q1121" s="3">
        <f>1/NOK!C1121</f>
        <v>0.16195381077316751</v>
      </c>
      <c r="R1121" s="3">
        <f>NZD!B1121/1</f>
        <v>0.82530000000000003</v>
      </c>
      <c r="S1121" s="3">
        <f>NZD!C1121/1</f>
        <v>0.82340000000000002</v>
      </c>
      <c r="T1121" s="4">
        <f>1/PHP!B1121</f>
        <v>2.2343972043222179E-2</v>
      </c>
      <c r="U1121" s="4">
        <f>1/PHP!C1121</f>
        <v>2.2331098734719945E-2</v>
      </c>
      <c r="V1121" s="4">
        <f>1/TWD!B1121</f>
        <v>3.3316674995835412E-2</v>
      </c>
      <c r="W1121" s="4">
        <f>1/TWD!C1121</f>
        <v>3.3316896997481242E-2</v>
      </c>
      <c r="X1121" s="4">
        <f>1/TWD!B1121</f>
        <v>3.3316674995835412E-2</v>
      </c>
      <c r="Y1121" s="4">
        <f>1/TWD!C1121</f>
        <v>3.3316896997481242E-2</v>
      </c>
      <c r="Z1121" s="4">
        <f>1/ZAR!B1121</f>
        <v>9.3501636278634878E-2</v>
      </c>
      <c r="AA1121" s="4">
        <f>1/ZAR!C1121</f>
        <v>9.3003357421202901E-2</v>
      </c>
    </row>
    <row r="1122" spans="1:27" x14ac:dyDescent="0.25">
      <c r="A1122" t="str">
        <f>"07/01/2014"</f>
        <v>07/01/2014</v>
      </c>
      <c r="B1122" s="3">
        <f>AUD!B1122</f>
        <v>0.89300000000000002</v>
      </c>
      <c r="C1122" s="3">
        <f>AUD!C1122</f>
        <v>0.8911</v>
      </c>
      <c r="D1122" s="3">
        <f>1/CAD!B1122</f>
        <v>0.93668040464593472</v>
      </c>
      <c r="E1122" s="3">
        <f>1/CAD!C1122</f>
        <v>0.93597903406963678</v>
      </c>
      <c r="F1122" s="3">
        <f>EUR!B1122/1</f>
        <v>1.3627</v>
      </c>
      <c r="G1122" s="3">
        <f>EUR!C1122/1</f>
        <v>1.3627</v>
      </c>
      <c r="H1122" s="3">
        <f>GBP!B1122/1</f>
        <v>1.6393</v>
      </c>
      <c r="I1122" s="3">
        <f>GBP!C1122/1</f>
        <v>1.6389</v>
      </c>
      <c r="J1122" s="4">
        <f>1/INR!B1122</f>
        <v>1.6025641025641028E-2</v>
      </c>
      <c r="K1122" s="4">
        <f>1/INR!C1122</f>
        <v>1.5904572564612324E-2</v>
      </c>
      <c r="L1122" s="4">
        <f>1/JPY!B1122</f>
        <v>9.5735005504762813E-3</v>
      </c>
      <c r="M1122" s="4">
        <f>1/JPY!C1122</f>
        <v>9.574774681614804E-3</v>
      </c>
      <c r="N1122" s="5">
        <f>1/KRW!B1122</f>
        <v>9.3554121059032645E-4</v>
      </c>
      <c r="O1122" s="5">
        <f>1/KRW!C1122</f>
        <v>9.3551976776657276E-4</v>
      </c>
      <c r="P1122" s="3">
        <f>1/NOK!B1122</f>
        <v>0.16198004405857197</v>
      </c>
      <c r="Q1122" s="3">
        <f>1/NOK!C1122</f>
        <v>0.1617992071838848</v>
      </c>
      <c r="R1122" s="3">
        <f>NZD!B1122/1</f>
        <v>0.82669999999999999</v>
      </c>
      <c r="S1122" s="3">
        <f>NZD!C1122/1</f>
        <v>0.82469999999999999</v>
      </c>
      <c r="T1122" s="4">
        <f>1/PHP!B1122</f>
        <v>2.2353861629596513E-2</v>
      </c>
      <c r="U1122" s="4">
        <f>1/PHP!C1122</f>
        <v>2.2340927014425537E-2</v>
      </c>
      <c r="V1122" s="4">
        <f>1/TWD!B1122</f>
        <v>3.3234736947057066E-2</v>
      </c>
      <c r="W1122" s="4">
        <f>1/TWD!C1122</f>
        <v>3.3234957858073434E-2</v>
      </c>
      <c r="X1122" s="4">
        <f>1/TWD!B1122</f>
        <v>3.3234736947057066E-2</v>
      </c>
      <c r="Y1122" s="4">
        <f>1/TWD!C1122</f>
        <v>3.3234957858073434E-2</v>
      </c>
      <c r="Z1122" s="4">
        <f>1/ZAR!B1122</f>
        <v>9.3813030629954511E-2</v>
      </c>
      <c r="AA1122" s="4">
        <f>1/ZAR!C1122</f>
        <v>9.332536956846349E-2</v>
      </c>
    </row>
    <row r="1123" spans="1:27" x14ac:dyDescent="0.25">
      <c r="A1123" t="str">
        <f>"08/01/2014"</f>
        <v>08/01/2014</v>
      </c>
      <c r="B1123" s="3">
        <f>AUD!B1123</f>
        <v>0.89300000000000002</v>
      </c>
      <c r="C1123" s="3">
        <f>AUD!C1123</f>
        <v>0.8911</v>
      </c>
      <c r="D1123" s="3">
        <f>1/CAD!B1123</f>
        <v>0.92669817440459645</v>
      </c>
      <c r="E1123" s="3">
        <f>1/CAD!C1123</f>
        <v>0.92601166774701349</v>
      </c>
      <c r="F1123" s="3">
        <f>EUR!B1123/1</f>
        <v>1.3623000000000001</v>
      </c>
      <c r="G1123" s="3">
        <f>EUR!C1123/1</f>
        <v>1.3622000000000001</v>
      </c>
      <c r="H1123" s="3">
        <f>GBP!B1123/1</f>
        <v>1.6406000000000001</v>
      </c>
      <c r="I1123" s="3">
        <f>GBP!C1123/1</f>
        <v>1.6402000000000001</v>
      </c>
      <c r="J1123" s="4">
        <f>1/INR!B1123</f>
        <v>1.6069419893941828E-2</v>
      </c>
      <c r="K1123" s="4">
        <f>1/INR!C1123</f>
        <v>1.5951507417450949E-2</v>
      </c>
      <c r="L1123" s="4">
        <f>1/JPY!B1123</f>
        <v>9.5335246393944313E-3</v>
      </c>
      <c r="M1123" s="4">
        <f>1/JPY!C1123</f>
        <v>9.5346972399911901E-3</v>
      </c>
      <c r="N1123" s="5">
        <f>1/KRW!B1123</f>
        <v>9.3896713615023472E-4</v>
      </c>
      <c r="O1123" s="5">
        <f>1/KRW!C1123</f>
        <v>9.3894685842465381E-4</v>
      </c>
      <c r="P1123" s="3">
        <f>1/NOK!B1123</f>
        <v>0.16218758616215515</v>
      </c>
      <c r="Q1123" s="3">
        <f>1/NOK!C1123</f>
        <v>0.16200103680663558</v>
      </c>
      <c r="R1123" s="3">
        <f>NZD!B1123/1</f>
        <v>0.8296</v>
      </c>
      <c r="S1123" s="3">
        <f>NZD!C1123/1</f>
        <v>0.82779999999999998</v>
      </c>
      <c r="T1123" s="4">
        <f>1/PHP!B1123</f>
        <v>2.2343872193051055E-2</v>
      </c>
      <c r="U1123" s="4">
        <f>1/PHP!C1123</f>
        <v>2.2333642282051567E-2</v>
      </c>
      <c r="V1123" s="4">
        <f>1/TWD!B1123</f>
        <v>3.3233632436025257E-2</v>
      </c>
      <c r="W1123" s="4">
        <f>1/TWD!C1123</f>
        <v>3.3233853332358475E-2</v>
      </c>
      <c r="X1123" s="4">
        <f>1/TWD!B1123</f>
        <v>3.3233632436025257E-2</v>
      </c>
      <c r="Y1123" s="4">
        <f>1/TWD!C1123</f>
        <v>3.3233853332358475E-2</v>
      </c>
      <c r="Z1123" s="4">
        <f>1/ZAR!B1123</f>
        <v>9.392758183440568E-2</v>
      </c>
      <c r="AA1123" s="4">
        <f>1/ZAR!C1123</f>
        <v>9.3471921034921121E-2</v>
      </c>
    </row>
    <row r="1124" spans="1:27" x14ac:dyDescent="0.25">
      <c r="A1124" t="str">
        <f>"09/01/2014"</f>
        <v>09/01/2014</v>
      </c>
      <c r="B1124" s="3">
        <f>AUD!B1124</f>
        <v>0.88800000000000001</v>
      </c>
      <c r="C1124" s="3">
        <f>AUD!C1124</f>
        <v>0.88619999999999999</v>
      </c>
      <c r="D1124" s="3">
        <f>1/CAD!B1124</f>
        <v>0.92233905183545462</v>
      </c>
      <c r="E1124" s="3">
        <f>1/CAD!C1124</f>
        <v>0.92165898617511521</v>
      </c>
      <c r="F1124" s="3">
        <f>EUR!B1124/1</f>
        <v>1.3576999999999999</v>
      </c>
      <c r="G1124" s="3">
        <f>EUR!C1124/1</f>
        <v>1.3575999999999999</v>
      </c>
      <c r="H1124" s="3">
        <f>GBP!B1124/1</f>
        <v>1.6446000000000001</v>
      </c>
      <c r="I1124" s="3">
        <f>GBP!C1124/1</f>
        <v>1.6443000000000001</v>
      </c>
      <c r="J1124" s="4">
        <f>1/INR!B1124</f>
        <v>1.6073940124573038E-2</v>
      </c>
      <c r="K1124" s="4">
        <f>1/INR!C1124</f>
        <v>1.5956598053295037E-2</v>
      </c>
      <c r="L1124" s="4">
        <f>1/JPY!B1124</f>
        <v>9.5354336715233814E-3</v>
      </c>
      <c r="M1124" s="4">
        <f>1/JPY!C1124</f>
        <v>9.5366613102418965E-3</v>
      </c>
      <c r="N1124" s="5">
        <f>1/KRW!B1124</f>
        <v>9.395847035610261E-4</v>
      </c>
      <c r="O1124" s="5">
        <f>1/KRW!C1124</f>
        <v>9.3956016182232581E-4</v>
      </c>
      <c r="P1124" s="3">
        <f>1/NOK!B1124</f>
        <v>0.16119412608604541</v>
      </c>
      <c r="Q1124" s="3">
        <f>1/NOK!C1124</f>
        <v>0.16100726142749039</v>
      </c>
      <c r="R1124" s="3">
        <f>NZD!B1124/1</f>
        <v>0.82489999999999997</v>
      </c>
      <c r="S1124" s="3">
        <f>NZD!C1124/1</f>
        <v>0.82310000000000005</v>
      </c>
      <c r="T1124" s="4">
        <f>1/PHP!B1124</f>
        <v>2.2348865795060902E-2</v>
      </c>
      <c r="U1124" s="4">
        <f>1/PHP!C1124</f>
        <v>2.2342025125841457E-2</v>
      </c>
      <c r="V1124" s="4">
        <f>1/TWD!B1124</f>
        <v>3.320273590543861E-2</v>
      </c>
      <c r="W1124" s="4">
        <f>1/TWD!C1124</f>
        <v>3.3202956391237076E-2</v>
      </c>
      <c r="X1124" s="4">
        <f>1/TWD!B1124</f>
        <v>3.320273590543861E-2</v>
      </c>
      <c r="Y1124" s="4">
        <f>1/TWD!C1124</f>
        <v>3.3202956391237076E-2</v>
      </c>
      <c r="Z1124" s="4">
        <f>1/ZAR!B1124</f>
        <v>9.2852234953295323E-2</v>
      </c>
      <c r="AA1124" s="4">
        <f>1/ZAR!C1124</f>
        <v>9.2400092400092407E-2</v>
      </c>
    </row>
    <row r="1125" spans="1:27" x14ac:dyDescent="0.25">
      <c r="A1125" t="str">
        <f>"10/01/2014"</f>
        <v>10/01/2014</v>
      </c>
      <c r="B1125" s="3">
        <f>AUD!B1125</f>
        <v>0.89</v>
      </c>
      <c r="C1125" s="3">
        <f>AUD!C1125</f>
        <v>0.88819999999999999</v>
      </c>
      <c r="D1125" s="3">
        <f>1/CAD!B1125</f>
        <v>0.92225398874850129</v>
      </c>
      <c r="E1125" s="3">
        <f>1/CAD!C1125</f>
        <v>0.92148912642830816</v>
      </c>
      <c r="F1125" s="3">
        <f>EUR!B1125/1</f>
        <v>1.3609</v>
      </c>
      <c r="G1125" s="3">
        <f>EUR!C1125/1</f>
        <v>1.3609</v>
      </c>
      <c r="H1125" s="3">
        <f>GBP!B1125/1</f>
        <v>1.6477999999999999</v>
      </c>
      <c r="I1125" s="3">
        <f>GBP!C1125/1</f>
        <v>1.6474</v>
      </c>
      <c r="J1125" s="4">
        <f>1/INR!B1125</f>
        <v>1.6138142499798273E-2</v>
      </c>
      <c r="K1125" s="4">
        <f>1/INR!C1125</f>
        <v>1.6010887403434336E-2</v>
      </c>
      <c r="L1125" s="4">
        <f>1/JPY!B1125</f>
        <v>9.5326158451140581E-3</v>
      </c>
      <c r="M1125" s="4">
        <f>1/JPY!C1125</f>
        <v>9.5340154603594691E-3</v>
      </c>
      <c r="N1125" s="5">
        <f>1/KRW!B1125</f>
        <v>9.4117647058823532E-4</v>
      </c>
      <c r="O1125" s="5">
        <f>1/KRW!C1125</f>
        <v>9.4115556586225478E-4</v>
      </c>
      <c r="P1125" s="3">
        <f>1/NOK!B1125</f>
        <v>0.16202203499675957</v>
      </c>
      <c r="Q1125" s="3">
        <f>1/NOK!C1125</f>
        <v>0.16183324702226826</v>
      </c>
      <c r="R1125" s="3">
        <f>NZD!B1125/1</f>
        <v>0.82410000000000005</v>
      </c>
      <c r="S1125" s="3">
        <f>NZD!C1125/1</f>
        <v>0.82230000000000003</v>
      </c>
      <c r="T1125" s="4">
        <f>1/PHP!B1125</f>
        <v>2.2398924851607122E-2</v>
      </c>
      <c r="U1125" s="4">
        <f>1/PHP!C1125</f>
        <v>2.2396968346364638E-2</v>
      </c>
      <c r="V1125" s="4">
        <f>1/TWD!B1125</f>
        <v>3.3293381275802371E-2</v>
      </c>
      <c r="W1125" s="4">
        <f>1/TWD!C1125</f>
        <v>3.3293602967125899E-2</v>
      </c>
      <c r="X1125" s="4">
        <f>1/TWD!B1125</f>
        <v>3.3293381275802371E-2</v>
      </c>
      <c r="Y1125" s="4">
        <f>1/TWD!C1125</f>
        <v>3.3293602967125899E-2</v>
      </c>
      <c r="Z1125" s="4">
        <f>1/ZAR!B1125</f>
        <v>9.2629472845670038E-2</v>
      </c>
      <c r="AA1125" s="4">
        <f>1/ZAR!C1125</f>
        <v>9.2174393953359759E-2</v>
      </c>
    </row>
    <row r="1126" spans="1:27" x14ac:dyDescent="0.25">
      <c r="A1126" t="str">
        <f>"16/01/2014"</f>
        <v>16/01/2014</v>
      </c>
      <c r="B1126" s="3">
        <f>AUD!B1126</f>
        <v>0.88129999999999997</v>
      </c>
      <c r="C1126" s="3">
        <f>AUD!C1126</f>
        <v>0.87949999999999995</v>
      </c>
      <c r="D1126" s="3">
        <f>1/CAD!B1126</f>
        <v>0.91449474165523559</v>
      </c>
      <c r="E1126" s="3">
        <f>1/CAD!C1126</f>
        <v>0.91382619025861278</v>
      </c>
      <c r="F1126" s="3">
        <f>EUR!B1126/1</f>
        <v>1.3626</v>
      </c>
      <c r="G1126" s="3">
        <f>EUR!C1126/1</f>
        <v>1.3624000000000001</v>
      </c>
      <c r="H1126" s="3">
        <f>GBP!B1126/1</f>
        <v>1.6369</v>
      </c>
      <c r="I1126" s="3">
        <f>GBP!C1126/1</f>
        <v>1.6365000000000001</v>
      </c>
      <c r="J1126" s="4">
        <f>1/INR!B1126</f>
        <v>1.6250253910217345E-2</v>
      </c>
      <c r="K1126" s="4">
        <f>1/INR!C1126</f>
        <v>1.6130333091378339E-2</v>
      </c>
      <c r="L1126" s="4">
        <f>1/JPY!B1126</f>
        <v>9.5483624558388228E-3</v>
      </c>
      <c r="M1126" s="4">
        <f>1/JPY!C1126</f>
        <v>9.5496937413217155E-3</v>
      </c>
      <c r="N1126" s="5">
        <f>1/KRW!B1126</f>
        <v>9.4026938717942684E-4</v>
      </c>
      <c r="O1126" s="5">
        <f>1/KRW!C1126</f>
        <v>9.4024480966060182E-4</v>
      </c>
      <c r="P1126" s="3">
        <f>1/NOK!B1126</f>
        <v>0.16326797172198729</v>
      </c>
      <c r="Q1126" s="3">
        <f>1/NOK!C1126</f>
        <v>0.16308158971933659</v>
      </c>
      <c r="R1126" s="3">
        <f>NZD!B1126/1</f>
        <v>0.83279999999999998</v>
      </c>
      <c r="S1126" s="3">
        <f>NZD!C1126/1</f>
        <v>0.83099999999999996</v>
      </c>
      <c r="T1126" s="4">
        <f>1/PHP!B1126</f>
        <v>2.2172949002217293E-2</v>
      </c>
      <c r="U1126" s="4">
        <f>1/PHP!C1126</f>
        <v>2.2167738846302201E-2</v>
      </c>
      <c r="V1126" s="4">
        <f>1/TWD!B1126</f>
        <v>3.3238050920694012E-2</v>
      </c>
      <c r="W1126" s="4">
        <f>1/TWD!C1126</f>
        <v>3.3238382354407577E-2</v>
      </c>
      <c r="X1126" s="4">
        <f>1/TWD!B1126</f>
        <v>3.3238050920694012E-2</v>
      </c>
      <c r="Y1126" s="4">
        <f>1/TWD!C1126</f>
        <v>3.3238382354407577E-2</v>
      </c>
      <c r="Z1126" s="4">
        <f>1/ZAR!B1126</f>
        <v>9.1588511137162959E-2</v>
      </c>
      <c r="AA1126" s="4">
        <f>1/ZAR!C1126</f>
        <v>9.1173494041812173E-2</v>
      </c>
    </row>
    <row r="1127" spans="1:27" x14ac:dyDescent="0.25">
      <c r="A1127" t="str">
        <f>"17/01/2014"</f>
        <v>17/01/2014</v>
      </c>
      <c r="B1127" s="3">
        <f>AUD!B1127</f>
        <v>0.88180000000000003</v>
      </c>
      <c r="C1127" s="3">
        <f>AUD!C1127</f>
        <v>0.88</v>
      </c>
      <c r="D1127" s="3">
        <f>1/CAD!B1127</f>
        <v>0.91432751211483965</v>
      </c>
      <c r="E1127" s="3">
        <f>1/CAD!C1127</f>
        <v>0.91365920511649157</v>
      </c>
      <c r="F1127" s="3">
        <f>EUR!B1127/1</f>
        <v>1.3614999999999999</v>
      </c>
      <c r="G1127" s="3">
        <f>EUR!C1127/1</f>
        <v>1.3613999999999999</v>
      </c>
      <c r="H1127" s="3">
        <f>GBP!B1127/1</f>
        <v>1.6332</v>
      </c>
      <c r="I1127" s="3">
        <f>GBP!C1127/1</f>
        <v>1.6328</v>
      </c>
      <c r="J1127" s="4">
        <f>1/INR!B1127</f>
        <v>1.6298590171950126E-2</v>
      </c>
      <c r="K1127" s="4">
        <f>1/INR!C1127</f>
        <v>1.6177303243549299E-2</v>
      </c>
      <c r="L1127" s="4">
        <f>1/JPY!B1127</f>
        <v>9.5812973076554557E-3</v>
      </c>
      <c r="M1127" s="4">
        <f>1/JPY!C1127</f>
        <v>9.5826286108542432E-3</v>
      </c>
      <c r="N1127" s="5">
        <f>1/KRW!B1127</f>
        <v>9.4295143800094295E-4</v>
      </c>
      <c r="O1127" s="5">
        <f>1/KRW!C1127</f>
        <v>9.4293054326471785E-4</v>
      </c>
      <c r="P1127" s="3">
        <f>1/NOK!B1127</f>
        <v>0.16163183500622283</v>
      </c>
      <c r="Q1127" s="3">
        <f>1/NOK!C1127</f>
        <v>0.16144656118824668</v>
      </c>
      <c r="R1127" s="3">
        <f>NZD!B1127/1</f>
        <v>0.83050000000000002</v>
      </c>
      <c r="S1127" s="3">
        <f>NZD!C1127/1</f>
        <v>0.8286</v>
      </c>
      <c r="T1127" s="4">
        <f>1/PHP!B1127</f>
        <v>2.2172949002217293E-2</v>
      </c>
      <c r="U1127" s="4">
        <f>1/PHP!C1127</f>
        <v>2.2171965766484857E-2</v>
      </c>
      <c r="V1127" s="4">
        <f>1/TWD!B1127</f>
        <v>3.3240260603643136E-2</v>
      </c>
      <c r="W1127" s="4">
        <f>1/TWD!C1127</f>
        <v>3.3240481588097247E-2</v>
      </c>
      <c r="X1127" s="4">
        <f>1/TWD!B1127</f>
        <v>3.3240260603643136E-2</v>
      </c>
      <c r="Y1127" s="4">
        <f>1/TWD!C1127</f>
        <v>3.3240481588097247E-2</v>
      </c>
      <c r="Z1127" s="4">
        <f>1/ZAR!B1127</f>
        <v>9.1863637616322338E-2</v>
      </c>
      <c r="AA1127" s="4">
        <f>1/ZAR!C1127</f>
        <v>9.1434423231658263E-2</v>
      </c>
    </row>
    <row r="1128" spans="1:27" x14ac:dyDescent="0.25">
      <c r="A1128" t="str">
        <f>"20/01/2014"</f>
        <v>20/01/2014</v>
      </c>
      <c r="B1128" s="3">
        <f>AUD!B1128</f>
        <v>0.87809999999999999</v>
      </c>
      <c r="C1128" s="3">
        <f>AUD!C1128</f>
        <v>0.87619999999999998</v>
      </c>
      <c r="D1128" s="3">
        <f>1/CAD!B1128</f>
        <v>0.91332541784637866</v>
      </c>
      <c r="E1128" s="3">
        <f>1/CAD!C1128</f>
        <v>0.9126585744273068</v>
      </c>
      <c r="F1128" s="3">
        <f>EUR!B1128/1</f>
        <v>1.3528</v>
      </c>
      <c r="G1128" s="3">
        <f>EUR!C1128/1</f>
        <v>1.3527</v>
      </c>
      <c r="H1128" s="3">
        <f>GBP!B1128/1</f>
        <v>1.6412</v>
      </c>
      <c r="I1128" s="3">
        <f>GBP!C1128/1</f>
        <v>1.6408</v>
      </c>
      <c r="J1128" s="4">
        <f>1/INR!B1128</f>
        <v>1.6228497241155469E-2</v>
      </c>
      <c r="K1128" s="4">
        <f>1/INR!C1128</f>
        <v>1.6099818877037635E-2</v>
      </c>
      <c r="L1128" s="4">
        <f>1/JPY!B1128</f>
        <v>9.6108564234158901E-3</v>
      </c>
      <c r="M1128" s="4">
        <f>1/JPY!C1128</f>
        <v>9.612288349425905E-3</v>
      </c>
      <c r="N1128" s="5">
        <f>1/KRW!B1128</f>
        <v>9.3949642991356629E-4</v>
      </c>
      <c r="O1128" s="5">
        <f>1/KRW!C1128</f>
        <v>9.3947436409328984E-4</v>
      </c>
      <c r="P1128" s="3">
        <f>1/NOK!B1128</f>
        <v>0.16210082671421625</v>
      </c>
      <c r="Q1128" s="3">
        <f>1/NOK!C1128</f>
        <v>0.16189350645145623</v>
      </c>
      <c r="R1128" s="3">
        <f>NZD!B1128/1</f>
        <v>0.82499999999999996</v>
      </c>
      <c r="S1128" s="3">
        <f>NZD!C1128/1</f>
        <v>0.82310000000000005</v>
      </c>
      <c r="T1128" s="4">
        <f>1/PHP!B1128</f>
        <v>2.2160664819944598E-2</v>
      </c>
      <c r="U1128" s="4">
        <f>1/PHP!C1128</f>
        <v>2.2154331504124027E-2</v>
      </c>
      <c r="V1128" s="4" t="e">
        <f>1/TWD!B1128</f>
        <v>#DIV/0!</v>
      </c>
      <c r="W1128" s="4" t="e">
        <f>1/TWD!C1128</f>
        <v>#DIV/0!</v>
      </c>
      <c r="X1128" s="4" t="e">
        <f>1/TWD!B1128</f>
        <v>#DIV/0!</v>
      </c>
      <c r="Y1128" s="4" t="e">
        <f>1/TWD!C1128</f>
        <v>#DIV/0!</v>
      </c>
      <c r="Z1128" s="4">
        <f>1/ZAR!B1128</f>
        <v>9.2034420873406644E-2</v>
      </c>
      <c r="AA1128" s="4">
        <f>1/ZAR!C1128</f>
        <v>9.1555807842670506E-2</v>
      </c>
    </row>
    <row r="1129" spans="1:27" x14ac:dyDescent="0.25">
      <c r="A1129" t="str">
        <f>"21/01/2014"</f>
        <v>21/01/2014</v>
      </c>
      <c r="B1129" s="3">
        <f>AUD!B1129</f>
        <v>0.88149999999999995</v>
      </c>
      <c r="C1129" s="3">
        <f>AUD!C1129</f>
        <v>0.87960000000000005</v>
      </c>
      <c r="D1129" s="3">
        <f>1/CAD!B1129</f>
        <v>0.91290852656563815</v>
      </c>
      <c r="E1129" s="3">
        <f>1/CAD!C1129</f>
        <v>0.91224229155263636</v>
      </c>
      <c r="F1129" s="3">
        <f>EUR!B1129/1</f>
        <v>1.3545</v>
      </c>
      <c r="G1129" s="3">
        <f>EUR!C1129/1</f>
        <v>1.3544</v>
      </c>
      <c r="H1129" s="3">
        <f>GBP!B1129/1</f>
        <v>1.6425000000000001</v>
      </c>
      <c r="I1129" s="3">
        <f>GBP!C1129/1</f>
        <v>1.6420999999999999</v>
      </c>
      <c r="J1129" s="4">
        <f>1/INR!B1129</f>
        <v>1.626280696048138E-2</v>
      </c>
      <c r="K1129" s="4">
        <f>1/INR!C1129</f>
        <v>1.6143352974412786E-2</v>
      </c>
      <c r="L1129" s="4">
        <f>1/JPY!B1129</f>
        <v>9.5530144537108678E-3</v>
      </c>
      <c r="M1129" s="4">
        <f>1/JPY!C1129</f>
        <v>9.5544109371252881E-3</v>
      </c>
      <c r="N1129" s="5">
        <f>1/KRW!B1129</f>
        <v>9.3976130062964011E-4</v>
      </c>
      <c r="O1129" s="5">
        <f>1/KRW!C1129</f>
        <v>9.3973878081109782E-4</v>
      </c>
      <c r="P1129" s="3">
        <f>1/NOK!B1129</f>
        <v>0.1617992071838848</v>
      </c>
      <c r="Q1129" s="3">
        <f>1/NOK!C1129</f>
        <v>0.16160049126549345</v>
      </c>
      <c r="R1129" s="3">
        <f>NZD!B1129/1</f>
        <v>0.83199999999999996</v>
      </c>
      <c r="S1129" s="3">
        <f>NZD!C1129/1</f>
        <v>0.83009999999999995</v>
      </c>
      <c r="T1129" s="4">
        <f>1/PHP!B1129</f>
        <v>2.2136137244050915E-2</v>
      </c>
      <c r="U1129" s="4">
        <f>1/PHP!C1129</f>
        <v>2.2127418526844984E-2</v>
      </c>
      <c r="V1129" s="4">
        <f>1/TWD!B1129</f>
        <v>3.3182904167772767E-2</v>
      </c>
      <c r="W1129" s="4">
        <f>1/TWD!C1129</f>
        <v>3.3183234502599905E-2</v>
      </c>
      <c r="X1129" s="4">
        <f>1/TWD!B1129</f>
        <v>3.3182904167772767E-2</v>
      </c>
      <c r="Y1129" s="4">
        <f>1/TWD!C1129</f>
        <v>3.3183234502599905E-2</v>
      </c>
      <c r="Z1129" s="4">
        <f>1/ZAR!B1129</f>
        <v>9.207848770291796E-2</v>
      </c>
      <c r="AA1129" s="4">
        <f>1/ZAR!C1129</f>
        <v>9.1624595706471454E-2</v>
      </c>
    </row>
    <row r="1130" spans="1:27" x14ac:dyDescent="0.25">
      <c r="A1130" t="str">
        <f>"22/01/2014"</f>
        <v>22/01/2014</v>
      </c>
      <c r="B1130" s="3">
        <f>AUD!B1130</f>
        <v>0.88619999999999999</v>
      </c>
      <c r="C1130" s="3">
        <f>AUD!C1130</f>
        <v>0.88429999999999997</v>
      </c>
      <c r="D1130" s="3">
        <f>1/CAD!B1130</f>
        <v>0.91149393856530858</v>
      </c>
      <c r="E1130" s="3">
        <f>1/CAD!C1130</f>
        <v>0.91082976591675002</v>
      </c>
      <c r="F1130" s="3">
        <f>EUR!B1130/1</f>
        <v>1.3560000000000001</v>
      </c>
      <c r="G1130" s="3">
        <f>EUR!C1130/1</f>
        <v>1.3559000000000001</v>
      </c>
      <c r="H1130" s="3">
        <f>GBP!B1130/1</f>
        <v>1.6478999999999999</v>
      </c>
      <c r="I1130" s="3">
        <f>GBP!C1130/1</f>
        <v>1.6475</v>
      </c>
      <c r="J1130" s="4">
        <f>1/INR!B1130</f>
        <v>1.6142050040355124E-2</v>
      </c>
      <c r="K1130" s="4">
        <f>1/INR!C1130</f>
        <v>1.6027567415955443E-2</v>
      </c>
      <c r="L1130" s="4">
        <f>1/JPY!B1130</f>
        <v>9.6006144393241174E-3</v>
      </c>
      <c r="M1130" s="4">
        <f>1/JPY!C1130</f>
        <v>9.6019142376224127E-3</v>
      </c>
      <c r="N1130" s="5">
        <f>1/KRW!B1130</f>
        <v>9.3589143659335522E-4</v>
      </c>
      <c r="O1130" s="5">
        <f>1/KRW!C1130</f>
        <v>9.3587041563876906E-4</v>
      </c>
      <c r="P1130" s="3">
        <f>1/NOK!B1130</f>
        <v>0.16191972020272347</v>
      </c>
      <c r="Q1130" s="3">
        <f>1/NOK!C1130</f>
        <v>0.16172855479363435</v>
      </c>
      <c r="R1130" s="3">
        <f>NZD!B1130/1</f>
        <v>0.83140000000000003</v>
      </c>
      <c r="S1130" s="3">
        <f>NZD!C1130/1</f>
        <v>0.82950000000000002</v>
      </c>
      <c r="T1130" s="4">
        <f>1/PHP!B1130</f>
        <v>2.2087244616234125E-2</v>
      </c>
      <c r="U1130" s="4">
        <f>1/PHP!C1130</f>
        <v>2.2073447188173931E-2</v>
      </c>
      <c r="V1130" s="4">
        <f>1/TWD!B1130</f>
        <v>3.3140016570008285E-2</v>
      </c>
      <c r="W1130" s="4">
        <f>1/TWD!C1130</f>
        <v>3.314034605149347E-2</v>
      </c>
      <c r="X1130" s="4">
        <f>1/TWD!B1130</f>
        <v>3.3140016570008285E-2</v>
      </c>
      <c r="Y1130" s="4">
        <f>1/TWD!C1130</f>
        <v>3.314034605149347E-2</v>
      </c>
      <c r="Z1130" s="4">
        <f>1/ZAR!B1130</f>
        <v>9.2257731197874379E-2</v>
      </c>
      <c r="AA1130" s="4">
        <f>1/ZAR!C1130</f>
        <v>9.181809000009182E-2</v>
      </c>
    </row>
    <row r="1131" spans="1:27" x14ac:dyDescent="0.25">
      <c r="A1131" t="str">
        <f>"23/01/2014"</f>
        <v>23/01/2014</v>
      </c>
      <c r="B1131" s="3">
        <f>AUD!B1131</f>
        <v>0.87949999999999995</v>
      </c>
      <c r="C1131" s="3">
        <f>AUD!C1131</f>
        <v>0.87760000000000005</v>
      </c>
      <c r="D1131" s="3">
        <f>1/CAD!B1131</f>
        <v>0.89726334679228348</v>
      </c>
      <c r="E1131" s="3">
        <f>1/CAD!C1131</f>
        <v>0.89661974356675334</v>
      </c>
      <c r="F1131" s="3">
        <f>EUR!B1131/1</f>
        <v>1.3544</v>
      </c>
      <c r="G1131" s="3">
        <f>EUR!C1131/1</f>
        <v>1.3543000000000001</v>
      </c>
      <c r="H1131" s="3">
        <f>GBP!B1131/1</f>
        <v>1.6559999999999999</v>
      </c>
      <c r="I1131" s="3">
        <f>GBP!C1131/1</f>
        <v>1.6556</v>
      </c>
      <c r="J1131" s="4">
        <f>1/INR!B1131</f>
        <v>1.6116035455278004E-2</v>
      </c>
      <c r="K1131" s="4">
        <f>1/INR!C1131</f>
        <v>1.6000640025601025E-2</v>
      </c>
      <c r="L1131" s="4">
        <f>1/JPY!B1131</f>
        <v>9.5881873531808819E-3</v>
      </c>
      <c r="M1131" s="4">
        <f>1/JPY!C1131</f>
        <v>9.589483788498181E-3</v>
      </c>
      <c r="N1131" s="5">
        <f>1/KRW!B1131</f>
        <v>9.3255744553864524E-4</v>
      </c>
      <c r="O1131" s="5">
        <f>1/KRW!C1131</f>
        <v>9.3253648712199745E-4</v>
      </c>
      <c r="P1131" s="3">
        <f>1/NOK!B1131</f>
        <v>0.16205879493080089</v>
      </c>
      <c r="Q1131" s="3">
        <f>1/NOK!C1131</f>
        <v>0.16186730118648732</v>
      </c>
      <c r="R1131" s="3">
        <f>NZD!B1131/1</f>
        <v>0.82750000000000001</v>
      </c>
      <c r="S1131" s="3">
        <f>NZD!C1131/1</f>
        <v>0.82569999999999999</v>
      </c>
      <c r="T1131" s="4">
        <f>1/PHP!B1131</f>
        <v>2.2075542506457095E-2</v>
      </c>
      <c r="U1131" s="4">
        <f>1/PHP!C1131</f>
        <v>2.2058207197151843E-2</v>
      </c>
      <c r="V1131" s="4">
        <f>1/TWD!B1131</f>
        <v>3.3110390040394677E-2</v>
      </c>
      <c r="W1131" s="4">
        <f>1/TWD!C1131</f>
        <v>3.3110718933040191E-2</v>
      </c>
      <c r="X1131" s="4">
        <f>1/TWD!B1131</f>
        <v>3.3110390040394677E-2</v>
      </c>
      <c r="Y1131" s="4">
        <f>1/TWD!C1131</f>
        <v>3.3110718933040191E-2</v>
      </c>
      <c r="Z1131" s="4">
        <f>1/ZAR!B1131</f>
        <v>9.1709464416727809E-2</v>
      </c>
      <c r="AA1131" s="4">
        <f>1/ZAR!C1131</f>
        <v>9.129251949095292E-2</v>
      </c>
    </row>
    <row r="1132" spans="1:27" x14ac:dyDescent="0.25">
      <c r="A1132" t="str">
        <f>"24/01/2014"</f>
        <v>24/01/2014</v>
      </c>
      <c r="B1132" s="3">
        <f>AUD!B1132</f>
        <v>0.87549999999999994</v>
      </c>
      <c r="C1132" s="3">
        <f>AUD!C1132</f>
        <v>0.87370000000000003</v>
      </c>
      <c r="D1132" s="3">
        <f>1/CAD!B1132</f>
        <v>0.90033312325560455</v>
      </c>
      <c r="E1132" s="3">
        <f>1/CAD!C1132</f>
        <v>0.89968511021142605</v>
      </c>
      <c r="F1132" s="3">
        <f>EUR!B1132/1</f>
        <v>1.3684000000000001</v>
      </c>
      <c r="G1132" s="3">
        <f>EUR!C1132/1</f>
        <v>1.3683000000000001</v>
      </c>
      <c r="H1132" s="3">
        <f>GBP!B1132/1</f>
        <v>1.6634</v>
      </c>
      <c r="I1132" s="3">
        <f>GBP!C1132/1</f>
        <v>1.663</v>
      </c>
      <c r="J1132" s="4">
        <f>1/INR!B1132</f>
        <v>1.6082341588935348E-2</v>
      </c>
      <c r="K1132" s="4">
        <f>1/INR!C1132</f>
        <v>1.5969976444284745E-2</v>
      </c>
      <c r="L1132" s="4">
        <f>1/JPY!B1132</f>
        <v>9.6674400618716166E-3</v>
      </c>
      <c r="M1132" s="4">
        <f>1/JPY!C1132</f>
        <v>9.6688515048117037E-3</v>
      </c>
      <c r="N1132" s="5">
        <f>1/KRW!B1132</f>
        <v>9.2850510677808728E-4</v>
      </c>
      <c r="O1132" s="5">
        <f>1/KRW!C1132</f>
        <v>9.2848070937411769E-4</v>
      </c>
      <c r="P1132" s="3">
        <f>1/NOK!B1132</f>
        <v>0.16410121763103483</v>
      </c>
      <c r="Q1132" s="3">
        <f>1/NOK!C1132</f>
        <v>0.16390755613833799</v>
      </c>
      <c r="R1132" s="3">
        <f>NZD!B1132/1</f>
        <v>0.82820000000000005</v>
      </c>
      <c r="S1132" s="3">
        <f>NZD!C1132/1</f>
        <v>0.82640000000000002</v>
      </c>
      <c r="T1132" s="4">
        <f>1/PHP!B1132</f>
        <v>2.2065313327449251E-2</v>
      </c>
      <c r="U1132" s="4">
        <f>1/PHP!C1132</f>
        <v>2.2044105846978634E-2</v>
      </c>
      <c r="V1132" s="4">
        <f>1/TWD!B1132</f>
        <v>3.3090668431502317E-2</v>
      </c>
      <c r="W1132" s="4">
        <f>1/TWD!C1132</f>
        <v>3.3090887431419136E-2</v>
      </c>
      <c r="X1132" s="4">
        <f>1/TWD!B1132</f>
        <v>3.3090668431502317E-2</v>
      </c>
      <c r="Y1132" s="4">
        <f>1/TWD!C1132</f>
        <v>3.3090887431419136E-2</v>
      </c>
      <c r="Z1132" s="4">
        <f>1/ZAR!B1132</f>
        <v>9.0956222769980805E-2</v>
      </c>
      <c r="AA1132" s="4">
        <f>1/ZAR!C1132</f>
        <v>9.0514120202751625E-2</v>
      </c>
    </row>
    <row r="1133" spans="1:27" x14ac:dyDescent="0.25">
      <c r="A1133" t="str">
        <f>"27/01/2014"</f>
        <v>27/01/2014</v>
      </c>
      <c r="B1133" s="3">
        <f>AUD!B1133</f>
        <v>0.87219999999999998</v>
      </c>
      <c r="C1133" s="3">
        <f>AUD!C1133</f>
        <v>0.87039999999999995</v>
      </c>
      <c r="D1133" s="3">
        <f>1/CAD!B1133</f>
        <v>0.90415913200723319</v>
      </c>
      <c r="E1133" s="3">
        <f>1/CAD!C1133</f>
        <v>0.90350560173473071</v>
      </c>
      <c r="F1133" s="3">
        <f>EUR!B1133/1</f>
        <v>1.3683000000000001</v>
      </c>
      <c r="G1133" s="3">
        <f>EUR!C1133/1</f>
        <v>1.3682000000000001</v>
      </c>
      <c r="H1133" s="3">
        <f>GBP!B1133/1</f>
        <v>1.6501999999999999</v>
      </c>
      <c r="I1133" s="3">
        <f>GBP!C1133/1</f>
        <v>1.6497999999999999</v>
      </c>
      <c r="J1133" s="4">
        <f>1/INR!B1133</f>
        <v>1.5929274023336385E-2</v>
      </c>
      <c r="K1133" s="4">
        <f>1/INR!C1133</f>
        <v>1.5814652275333095E-2</v>
      </c>
      <c r="L1133" s="4">
        <f>1/JPY!B1133</f>
        <v>9.7560023804645797E-3</v>
      </c>
      <c r="M1133" s="4">
        <f>1/JPY!C1133</f>
        <v>9.7574493246869332E-3</v>
      </c>
      <c r="N1133" s="5">
        <f>1/KRW!B1133</f>
        <v>9.2302012183865601E-4</v>
      </c>
      <c r="O1133" s="5">
        <f>1/KRW!C1133</f>
        <v>9.2300010106851097E-4</v>
      </c>
      <c r="P1133" s="3">
        <f>1/NOK!B1133</f>
        <v>0.16271009941587075</v>
      </c>
      <c r="Q1133" s="3">
        <f>1/NOK!C1133</f>
        <v>0.16252762969704851</v>
      </c>
      <c r="R1133" s="3">
        <f>NZD!B1133/1</f>
        <v>0.82279999999999998</v>
      </c>
      <c r="S1133" s="3">
        <f>NZD!C1133/1</f>
        <v>0.82099999999999995</v>
      </c>
      <c r="T1133" s="4">
        <f>1/PHP!B1133</f>
        <v>2.2004620970403784E-2</v>
      </c>
      <c r="U1133" s="4">
        <f>1/PHP!C1133</f>
        <v>2.1981645326152661E-2</v>
      </c>
      <c r="V1133" s="4">
        <f>1/TWD!B1133</f>
        <v>3.2941331488618768E-2</v>
      </c>
      <c r="W1133" s="4">
        <f>1/TWD!C1133</f>
        <v>3.2941657031231988E-2</v>
      </c>
      <c r="X1133" s="4">
        <f>1/TWD!B1133</f>
        <v>3.2941331488618768E-2</v>
      </c>
      <c r="Y1133" s="4">
        <f>1/TWD!C1133</f>
        <v>3.2941657031231988E-2</v>
      </c>
      <c r="Z1133" s="4">
        <f>1/ZAR!B1133</f>
        <v>8.9883600737045516E-2</v>
      </c>
      <c r="AA1133" s="4">
        <f>1/ZAR!C1133</f>
        <v>8.945584012452254E-2</v>
      </c>
    </row>
    <row r="1134" spans="1:27" x14ac:dyDescent="0.25">
      <c r="A1134" t="str">
        <f>"28/01/2014"</f>
        <v>28/01/2014</v>
      </c>
      <c r="B1134" s="3">
        <f>AUD!B1134</f>
        <v>0.87860000000000005</v>
      </c>
      <c r="C1134" s="3">
        <f>AUD!C1134</f>
        <v>0.87690000000000001</v>
      </c>
      <c r="D1134" s="3">
        <f>1/CAD!B1134</f>
        <v>0.9009009009009008</v>
      </c>
      <c r="E1134" s="3">
        <f>1/CAD!C1134</f>
        <v>0.90025207057976231</v>
      </c>
      <c r="F1134" s="3">
        <f>EUR!B1134/1</f>
        <v>1.3675999999999999</v>
      </c>
      <c r="G1134" s="3">
        <f>EUR!C1134/1</f>
        <v>1.3674999999999999</v>
      </c>
      <c r="H1134" s="3">
        <f>GBP!B1134/1</f>
        <v>1.6606000000000001</v>
      </c>
      <c r="I1134" s="3">
        <f>GBP!C1134/1</f>
        <v>1.6601999999999999</v>
      </c>
      <c r="J1134" s="4">
        <f>1/INR!B1134</f>
        <v>1.5862944162436547E-2</v>
      </c>
      <c r="K1134" s="4">
        <f>1/INR!C1134</f>
        <v>1.5756716300323013E-2</v>
      </c>
      <c r="L1134" s="4">
        <f>1/JPY!B1134</f>
        <v>9.7372879705544414E-3</v>
      </c>
      <c r="M1134" s="4">
        <f>1/JPY!C1134</f>
        <v>9.7385207187028287E-3</v>
      </c>
      <c r="N1134" s="5">
        <f>1/KRW!B1134</f>
        <v>9.2686996014459163E-4</v>
      </c>
      <c r="O1134" s="5">
        <f>1/KRW!C1134</f>
        <v>9.2684951430304903E-4</v>
      </c>
      <c r="P1134" s="3">
        <f>1/NOK!B1134</f>
        <v>0.1625487646293888</v>
      </c>
      <c r="Q1134" s="3">
        <f>1/NOK!C1134</f>
        <v>0.16236665638344511</v>
      </c>
      <c r="R1134" s="3">
        <f>NZD!B1134/1</f>
        <v>0.82679999999999998</v>
      </c>
      <c r="S1134" s="3">
        <f>NZD!C1134/1</f>
        <v>0.82509999999999994</v>
      </c>
      <c r="T1134" s="4">
        <f>1/PHP!B1134</f>
        <v>2.2079929344226101E-2</v>
      </c>
      <c r="U1134" s="4">
        <f>1/PHP!C1134</f>
        <v>2.206005629726367E-2</v>
      </c>
      <c r="V1134" s="4">
        <f>1/TWD!B1134</f>
        <v>3.2926146653057195E-2</v>
      </c>
      <c r="W1134" s="4">
        <f>1/TWD!C1134</f>
        <v>3.2926363480711734E-2</v>
      </c>
      <c r="X1134" s="4">
        <f>1/TWD!B1134</f>
        <v>3.2926146653057195E-2</v>
      </c>
      <c r="Y1134" s="4">
        <f>1/TWD!C1134</f>
        <v>3.2926363480711734E-2</v>
      </c>
      <c r="Z1134" s="4">
        <f>1/ZAR!B1134</f>
        <v>9.0368522836125731E-2</v>
      </c>
      <c r="AA1134" s="4">
        <f>1/ZAR!C1134</f>
        <v>8.9945852596736764E-2</v>
      </c>
    </row>
    <row r="1135" spans="1:27" x14ac:dyDescent="0.25">
      <c r="A1135" t="str">
        <f>"29/01/2014"</f>
        <v>29/01/2014</v>
      </c>
      <c r="B1135" s="3">
        <f>AUD!B1135</f>
        <v>0.88060000000000005</v>
      </c>
      <c r="C1135" s="3">
        <f>AUD!C1135</f>
        <v>0.87890000000000001</v>
      </c>
      <c r="D1135" s="3">
        <f>1/CAD!B1135</f>
        <v>0.897182845863987</v>
      </c>
      <c r="E1135" s="3">
        <f>1/CAD!C1135</f>
        <v>0.89661974356675334</v>
      </c>
      <c r="F1135" s="3">
        <f>EUR!B1135/1</f>
        <v>1.3653999999999999</v>
      </c>
      <c r="G1135" s="3">
        <f>EUR!C1135/1</f>
        <v>1.3653</v>
      </c>
      <c r="H1135" s="3">
        <f>GBP!B1135/1</f>
        <v>1.6575</v>
      </c>
      <c r="I1135" s="3">
        <f>GBP!C1135/1</f>
        <v>1.6571</v>
      </c>
      <c r="J1135" s="4">
        <f>1/INR!B1135</f>
        <v>1.6082341588935348E-2</v>
      </c>
      <c r="K1135" s="4">
        <f>1/INR!C1135</f>
        <v>1.5977631316157381E-2</v>
      </c>
      <c r="L1135" s="4">
        <f>1/JPY!B1135</f>
        <v>9.6842920782490797E-3</v>
      </c>
      <c r="M1135" s="4">
        <f>1/JPY!C1135</f>
        <v>9.685398873781819E-3</v>
      </c>
      <c r="N1135" s="5">
        <f>1/KRW!B1135</f>
        <v>9.3414728700274186E-4</v>
      </c>
      <c r="O1135" s="5">
        <f>1/KRW!C1135</f>
        <v>9.3412634432457522E-4</v>
      </c>
      <c r="P1135" s="3">
        <f>1/NOK!B1135</f>
        <v>0.16306031601089244</v>
      </c>
      <c r="Q1135" s="3">
        <f>1/NOK!C1135</f>
        <v>0.16288767266093301</v>
      </c>
      <c r="R1135" s="3">
        <f>NZD!B1135/1</f>
        <v>0.82769999999999999</v>
      </c>
      <c r="S1135" s="3">
        <f>NZD!C1135/1</f>
        <v>0.82609999999999995</v>
      </c>
      <c r="T1135" s="4">
        <f>1/PHP!B1135</f>
        <v>2.2155754957350171E-2</v>
      </c>
      <c r="U1135" s="4">
        <f>1/PHP!C1135</f>
        <v>2.2141430602114064E-2</v>
      </c>
      <c r="V1135" s="4">
        <f>1/TWD!B1135</f>
        <v>3.3009836931405558E-2</v>
      </c>
      <c r="W1135" s="4">
        <f>1/TWD!C1135</f>
        <v>3.3010054862711184E-2</v>
      </c>
      <c r="X1135" s="4">
        <f>1/TWD!B1135</f>
        <v>3.3009836931405558E-2</v>
      </c>
      <c r="Y1135" s="4">
        <f>1/TWD!C1135</f>
        <v>3.3010054862711184E-2</v>
      </c>
      <c r="Z1135" s="4">
        <f>1/ZAR!B1135</f>
        <v>9.1608647856357639E-2</v>
      </c>
      <c r="AA1135" s="4">
        <f>1/ZAR!C1135</f>
        <v>9.1196775282026035E-2</v>
      </c>
    </row>
    <row r="1136" spans="1:27" x14ac:dyDescent="0.25">
      <c r="A1136" t="str">
        <f>"30/01/2014"</f>
        <v>30/01/2014</v>
      </c>
      <c r="B1136" s="3">
        <f>AUD!B1136</f>
        <v>0.87280000000000002</v>
      </c>
      <c r="C1136" s="3">
        <f>AUD!C1136</f>
        <v>0.87109999999999999</v>
      </c>
      <c r="D1136" s="3">
        <f>1/CAD!B1136</f>
        <v>0.89341552756186904</v>
      </c>
      <c r="E1136" s="3">
        <f>1/CAD!C1136</f>
        <v>0.89277743058655468</v>
      </c>
      <c r="F1136" s="3">
        <f>EUR!B1136/1</f>
        <v>1.3651</v>
      </c>
      <c r="G1136" s="3">
        <f>EUR!C1136/1</f>
        <v>1.3651</v>
      </c>
      <c r="H1136" s="3">
        <f>GBP!B1136/1</f>
        <v>1.6561999999999999</v>
      </c>
      <c r="I1136" s="3">
        <f>GBP!C1136/1</f>
        <v>1.6558999999999999</v>
      </c>
      <c r="J1136" s="4">
        <f>1/INR!B1136</f>
        <v>1.5912797867685086E-2</v>
      </c>
      <c r="K1136" s="4">
        <f>1/INR!C1136</f>
        <v>1.5806528096103691E-2</v>
      </c>
      <c r="L1136" s="4">
        <f>1/JPY!B1136</f>
        <v>9.7596205459531734E-3</v>
      </c>
      <c r="M1136" s="4">
        <f>1/JPY!C1136</f>
        <v>9.7608684830341463E-3</v>
      </c>
      <c r="N1136" s="5">
        <f>1/KRW!B1136</f>
        <v>9.2677547010685721E-4</v>
      </c>
      <c r="O1136" s="5">
        <f>1/KRW!C1136</f>
        <v>9.2675228004229695E-4</v>
      </c>
      <c r="P1136" s="3">
        <f>1/NOK!B1136</f>
        <v>0.16181491609896601</v>
      </c>
      <c r="Q1136" s="3">
        <f>1/NOK!C1136</f>
        <v>0.16162922256343945</v>
      </c>
      <c r="R1136" s="3">
        <f>NZD!B1136/1</f>
        <v>0.81730000000000003</v>
      </c>
      <c r="S1136" s="3">
        <f>NZD!C1136/1</f>
        <v>0.81569999999999998</v>
      </c>
      <c r="T1136" s="4">
        <f>1/PHP!B1136</f>
        <v>2.2055580061755623E-2</v>
      </c>
      <c r="U1136" s="4">
        <f>1/PHP!C1136</f>
        <v>2.2039684656191938E-2</v>
      </c>
      <c r="V1136" s="4">
        <f>1/TWD!B1136</f>
        <v>3.2946758039008962E-2</v>
      </c>
      <c r="W1136" s="4">
        <f>1/TWD!C1136</f>
        <v>3.2946975138212563E-2</v>
      </c>
      <c r="X1136" s="4">
        <f>1/TWD!B1136</f>
        <v>3.2946758039008962E-2</v>
      </c>
      <c r="Y1136" s="4">
        <f>1/TWD!C1136</f>
        <v>3.2946975138212563E-2</v>
      </c>
      <c r="Z1136" s="4">
        <f>1/ZAR!B1136</f>
        <v>8.8799694529050816E-2</v>
      </c>
      <c r="AA1136" s="4">
        <f>1/ZAR!C1136</f>
        <v>8.8390757862357908E-2</v>
      </c>
    </row>
    <row r="1137" spans="1:27" x14ac:dyDescent="0.25">
      <c r="A1137" t="str">
        <f>"31/01/2014"</f>
        <v>31/01/2014</v>
      </c>
      <c r="B1137" s="3">
        <f>AUD!B1137</f>
        <v>0.87649999999999995</v>
      </c>
      <c r="C1137" s="3">
        <f>AUD!C1137</f>
        <v>0.87480000000000002</v>
      </c>
      <c r="D1137" s="3">
        <f>1/CAD!B1137</f>
        <v>0.89461442118446954</v>
      </c>
      <c r="E1137" s="3">
        <f>1/CAD!C1137</f>
        <v>0.89405453732677687</v>
      </c>
      <c r="F1137" s="3">
        <f>EUR!B1137/1</f>
        <v>1.3546</v>
      </c>
      <c r="G1137" s="3">
        <f>EUR!C1137/1</f>
        <v>1.3545</v>
      </c>
      <c r="H1137" s="3">
        <f>GBP!B1137/1</f>
        <v>1.6471</v>
      </c>
      <c r="I1137" s="3">
        <f>GBP!C1137/1</f>
        <v>1.6467000000000001</v>
      </c>
      <c r="J1137" s="4">
        <f>1/INR!B1137</f>
        <v>1.6007683688170321E-2</v>
      </c>
      <c r="K1137" s="4">
        <f>1/INR!C1137</f>
        <v>1.5900779138177772E-2</v>
      </c>
      <c r="L1137" s="4">
        <f>1/JPY!B1137</f>
        <v>9.7631460761915916E-3</v>
      </c>
      <c r="M1137" s="4">
        <f>1/JPY!C1137</f>
        <v>9.7642900384713027E-3</v>
      </c>
      <c r="N1137" s="5">
        <f>1/KRW!B1137</f>
        <v>9.244365559191673E-4</v>
      </c>
      <c r="O1137" s="5">
        <f>1/KRW!C1137</f>
        <v>9.244134827555286E-4</v>
      </c>
      <c r="P1137" s="3">
        <f>1/NOK!B1137</f>
        <v>0.1598976654940838</v>
      </c>
      <c r="Q1137" s="3">
        <f>1/NOK!C1137</f>
        <v>0.1597137928831534</v>
      </c>
      <c r="R1137" s="3">
        <f>NZD!B1137/1</f>
        <v>0.81289999999999996</v>
      </c>
      <c r="S1137" s="3">
        <f>NZD!C1137/1</f>
        <v>0.81140000000000001</v>
      </c>
      <c r="T1137" s="4">
        <f>1/PHP!B1137</f>
        <v>2.2065313327449251E-2</v>
      </c>
      <c r="U1137" s="4">
        <f>1/PHP!C1137</f>
        <v>2.2052856285946158E-2</v>
      </c>
      <c r="V1137" s="4">
        <f>1/TWD!B1137</f>
        <v>3.2941331488618768E-2</v>
      </c>
      <c r="W1137" s="4">
        <f>1/TWD!C1137</f>
        <v>3.2941548516312653E-2</v>
      </c>
      <c r="X1137" s="4">
        <f>1/TWD!B1137</f>
        <v>3.2941331488618768E-2</v>
      </c>
      <c r="Y1137" s="4">
        <f>1/TWD!C1137</f>
        <v>3.2941548516312653E-2</v>
      </c>
      <c r="Z1137" s="4">
        <f>1/ZAR!B1137</f>
        <v>8.9123382410609256E-2</v>
      </c>
      <c r="AA1137" s="4">
        <f>1/ZAR!C1137</f>
        <v>8.8707531269404769E-2</v>
      </c>
    </row>
    <row r="1138" spans="1:27" x14ac:dyDescent="0.25">
      <c r="A1138" t="str">
        <f>"03/02/2014"</f>
        <v>03/02/2014</v>
      </c>
      <c r="B1138" s="3">
        <f>AUD!B1138</f>
        <v>0.87490000000000001</v>
      </c>
      <c r="C1138" s="3">
        <f>AUD!C1138</f>
        <v>0.87319999999999998</v>
      </c>
      <c r="D1138" s="3">
        <f>1/CAD!B1138</f>
        <v>0.89968511021142605</v>
      </c>
      <c r="E1138" s="3">
        <f>1/CAD!C1138</f>
        <v>0.89903802930863974</v>
      </c>
      <c r="F1138" s="3">
        <f>EUR!B1138/1</f>
        <v>1.3484</v>
      </c>
      <c r="G1138" s="3">
        <f>EUR!C1138/1</f>
        <v>1.3484</v>
      </c>
      <c r="H1138" s="3">
        <f>GBP!B1138/1</f>
        <v>1.6428</v>
      </c>
      <c r="I1138" s="3">
        <f>GBP!C1138/1</f>
        <v>1.6424000000000001</v>
      </c>
      <c r="J1138" s="4">
        <f>1/INR!B1138</f>
        <v>1.5968063872255488E-2</v>
      </c>
      <c r="K1138" s="4">
        <f>1/INR!C1138</f>
        <v>1.5861057139458345E-2</v>
      </c>
      <c r="L1138" s="4">
        <f>1/JPY!B1138</f>
        <v>9.7663879990624279E-3</v>
      </c>
      <c r="M1138" s="4">
        <f>1/JPY!C1138</f>
        <v>9.7676376675271959E-3</v>
      </c>
      <c r="N1138" s="5">
        <f>1/KRW!B1138</f>
        <v>9.225943352707814E-4</v>
      </c>
      <c r="O1138" s="5">
        <f>1/KRW!C1138</f>
        <v>9.2257560968409165E-4</v>
      </c>
      <c r="P1138" s="3">
        <f>1/NOK!B1138</f>
        <v>0.15926610180289227</v>
      </c>
      <c r="Q1138" s="3">
        <f>1/NOK!C1138</f>
        <v>0.15908114729323428</v>
      </c>
      <c r="R1138" s="3">
        <f>NZD!B1138/1</f>
        <v>0.81169999999999998</v>
      </c>
      <c r="S1138" s="3">
        <f>NZD!C1138/1</f>
        <v>0.81010000000000004</v>
      </c>
      <c r="T1138" s="4">
        <f>1/PHP!B1138</f>
        <v>2.203128442388191E-2</v>
      </c>
      <c r="U1138" s="4">
        <f>1/PHP!C1138</f>
        <v>2.2015617879323591E-2</v>
      </c>
      <c r="V1138" s="4">
        <f>1/TWD!B1138</f>
        <v>3.2956530336486177E-2</v>
      </c>
      <c r="W1138" s="4">
        <f>1/TWD!C1138</f>
        <v>3.2956747564496354E-2</v>
      </c>
      <c r="X1138" s="4">
        <f>1/TWD!B1138</f>
        <v>3.2956530336486177E-2</v>
      </c>
      <c r="Y1138" s="4">
        <f>1/TWD!C1138</f>
        <v>3.2956747564496354E-2</v>
      </c>
      <c r="Z1138" s="4">
        <f>1/ZAR!B1138</f>
        <v>8.9663582239437642E-2</v>
      </c>
      <c r="AA1138" s="4">
        <f>1/ZAR!C1138</f>
        <v>8.9243482994654316E-2</v>
      </c>
    </row>
    <row r="1139" spans="1:27" x14ac:dyDescent="0.25">
      <c r="A1139" t="str">
        <f>"04/02/2014"</f>
        <v>04/02/2014</v>
      </c>
      <c r="B1139" s="3">
        <f>AUD!B1139</f>
        <v>0.88759999999999994</v>
      </c>
      <c r="C1139" s="3">
        <f>AUD!C1139</f>
        <v>0.88590000000000002</v>
      </c>
      <c r="D1139" s="3">
        <f>1/CAD!B1139</f>
        <v>0.90203860725239038</v>
      </c>
      <c r="E1139" s="3">
        <f>1/CAD!C1139</f>
        <v>0.9014693951140359</v>
      </c>
      <c r="F1139" s="3">
        <f>EUR!B1139/1</f>
        <v>1.3508</v>
      </c>
      <c r="G1139" s="3">
        <f>EUR!C1139/1</f>
        <v>1.3507</v>
      </c>
      <c r="H1139" s="3">
        <f>GBP!B1139/1</f>
        <v>1.6293</v>
      </c>
      <c r="I1139" s="3">
        <f>GBP!C1139/1</f>
        <v>1.6289</v>
      </c>
      <c r="J1139" s="4">
        <f>1/INR!B1139</f>
        <v>1.5941335883947076E-2</v>
      </c>
      <c r="K1139" s="4">
        <f>1/INR!C1139</f>
        <v>1.5834685879418865E-2</v>
      </c>
      <c r="L1139" s="4">
        <f>1/JPY!B1139</f>
        <v>9.8735202061591022E-3</v>
      </c>
      <c r="M1139" s="4">
        <f>1/JPY!C1139</f>
        <v>9.8748852044594979E-3</v>
      </c>
      <c r="N1139" s="5">
        <f>1/KRW!B1139</f>
        <v>9.2131084106466675E-4</v>
      </c>
      <c r="O1139" s="5">
        <f>1/KRW!C1139</f>
        <v>9.21292591932333E-4</v>
      </c>
      <c r="P1139" s="3">
        <f>1/NOK!B1139</f>
        <v>0.15890167164558572</v>
      </c>
      <c r="Q1139" s="3">
        <f>1/NOK!C1139</f>
        <v>0.15871252400526925</v>
      </c>
      <c r="R1139" s="3">
        <f>NZD!B1139/1</f>
        <v>0.81169999999999998</v>
      </c>
      <c r="S1139" s="3">
        <f>NZD!C1139/1</f>
        <v>0.81010000000000004</v>
      </c>
      <c r="T1139" s="4">
        <f>1/PHP!B1139</f>
        <v>2.2014309301045681E-2</v>
      </c>
      <c r="U1139" s="4">
        <f>1/PHP!C1139</f>
        <v>2.1996053907928918E-2</v>
      </c>
      <c r="V1139" s="4">
        <f>1/TWD!B1139</f>
        <v>3.2976092333058531E-2</v>
      </c>
      <c r="W1139" s="4">
        <f>1/TWD!C1139</f>
        <v>3.2976309819026009E-2</v>
      </c>
      <c r="X1139" s="4">
        <f>1/TWD!B1139</f>
        <v>3.2976092333058531E-2</v>
      </c>
      <c r="Y1139" s="4">
        <f>1/TWD!C1139</f>
        <v>3.2976309819026009E-2</v>
      </c>
      <c r="Z1139" s="4">
        <f>1/ZAR!B1139</f>
        <v>8.9051952909327298E-2</v>
      </c>
      <c r="AA1139" s="4">
        <f>1/ZAR!C1139</f>
        <v>8.8639909232732947E-2</v>
      </c>
    </row>
    <row r="1140" spans="1:27" x14ac:dyDescent="0.25">
      <c r="A1140" t="str">
        <f>"05/02/2014"</f>
        <v>05/02/2014</v>
      </c>
      <c r="B1140" s="3">
        <f>AUD!B1140</f>
        <v>0.88870000000000005</v>
      </c>
      <c r="C1140" s="3">
        <f>AUD!C1140</f>
        <v>0.8871</v>
      </c>
      <c r="D1140" s="3">
        <f>1/CAD!B1140</f>
        <v>0.90155066714749377</v>
      </c>
      <c r="E1140" s="3">
        <f>1/CAD!C1140</f>
        <v>0.9009009009009008</v>
      </c>
      <c r="F1140" s="3">
        <f>EUR!B1140/1</f>
        <v>1.3512</v>
      </c>
      <c r="G1140" s="3">
        <f>EUR!C1140/1</f>
        <v>1.3512</v>
      </c>
      <c r="H1140" s="3">
        <f>GBP!B1140/1</f>
        <v>1.6333</v>
      </c>
      <c r="I1140" s="3">
        <f>GBP!C1140/1</f>
        <v>1.6329</v>
      </c>
      <c r="J1140" s="4">
        <f>1/INR!B1140</f>
        <v>1.6012810248198558E-2</v>
      </c>
      <c r="K1140" s="4">
        <f>1/INR!C1140</f>
        <v>1.5906469956654869E-2</v>
      </c>
      <c r="L1140" s="4">
        <f>1/JPY!B1140</f>
        <v>9.8595020951441955E-3</v>
      </c>
      <c r="M1140" s="4">
        <f>1/JPY!C1140</f>
        <v>9.8607562608406685E-3</v>
      </c>
      <c r="N1140" s="5">
        <f>1/KRW!B1140</f>
        <v>9.25754489909276E-4</v>
      </c>
      <c r="O1140" s="5">
        <f>1/KRW!C1140</f>
        <v>9.2573220788983032E-4</v>
      </c>
      <c r="P1140" s="3">
        <f>1/NOK!B1140</f>
        <v>0.15899515064790523</v>
      </c>
      <c r="Q1140" s="3">
        <f>1/NOK!C1140</f>
        <v>0.15880830249805461</v>
      </c>
      <c r="R1140" s="3">
        <f>NZD!B1140/1</f>
        <v>0.8206</v>
      </c>
      <c r="S1140" s="3">
        <f>NZD!C1140/1</f>
        <v>0.81899999999999995</v>
      </c>
      <c r="T1140" s="4">
        <f>1/PHP!B1140</f>
        <v>2.2045855379188711E-2</v>
      </c>
      <c r="U1140" s="4">
        <f>1/PHP!C1140</f>
        <v>2.2036139268400173E-2</v>
      </c>
      <c r="V1140" s="4">
        <f>1/TWD!B1140</f>
        <v>3.2970656116056714E-2</v>
      </c>
      <c r="W1140" s="4">
        <f>1/TWD!C1140</f>
        <v>3.2970982238531871E-2</v>
      </c>
      <c r="X1140" s="4">
        <f>1/TWD!B1140</f>
        <v>3.2970656116056714E-2</v>
      </c>
      <c r="Y1140" s="4">
        <f>1/TWD!C1140</f>
        <v>3.2970982238531871E-2</v>
      </c>
      <c r="Z1140" s="4">
        <f>1/ZAR!B1140</f>
        <v>8.9735191450030949E-2</v>
      </c>
      <c r="AA1140" s="4">
        <f>1/ZAR!C1140</f>
        <v>8.9328783520626023E-2</v>
      </c>
    </row>
    <row r="1141" spans="1:27" x14ac:dyDescent="0.25">
      <c r="A1141" t="str">
        <f>"06/02/2014"</f>
        <v>06/02/2014</v>
      </c>
      <c r="B1141" s="3">
        <f>AUD!B1141</f>
        <v>0.8962</v>
      </c>
      <c r="C1141" s="3">
        <f>AUD!C1141</f>
        <v>0.89449999999999996</v>
      </c>
      <c r="D1141" s="3">
        <f>1/CAD!B1141</f>
        <v>0.90366889571660947</v>
      </c>
      <c r="E1141" s="3">
        <f>1/CAD!C1141</f>
        <v>0.90309762485324663</v>
      </c>
      <c r="F1141" s="3">
        <f>EUR!B1141/1</f>
        <v>1.3524</v>
      </c>
      <c r="G1141" s="3">
        <f>EUR!C1141/1</f>
        <v>1.3524</v>
      </c>
      <c r="H1141" s="3">
        <f>GBP!B1141/1</f>
        <v>1.6308</v>
      </c>
      <c r="I1141" s="3">
        <f>GBP!C1141/1</f>
        <v>1.6304000000000001</v>
      </c>
      <c r="J1141" s="4">
        <f>1/INR!B1141</f>
        <v>1.6015374759769378E-2</v>
      </c>
      <c r="K1141" s="4">
        <f>1/INR!C1141</f>
        <v>1.5910266099200508E-2</v>
      </c>
      <c r="L1141" s="4">
        <f>1/JPY!B1141</f>
        <v>9.8395174700632686E-3</v>
      </c>
      <c r="M1141" s="4">
        <f>1/JPY!C1141</f>
        <v>9.8407375042315181E-3</v>
      </c>
      <c r="N1141" s="5">
        <f>1/KRW!B1141</f>
        <v>9.2928166527274424E-4</v>
      </c>
      <c r="O1141" s="5">
        <f>1/KRW!C1141</f>
        <v>9.2926223547969687E-4</v>
      </c>
      <c r="P1141" s="3">
        <f>1/NOK!B1141</f>
        <v>0.16032578198900163</v>
      </c>
      <c r="Q1141" s="3">
        <f>1/NOK!C1141</f>
        <v>0.16013579515429083</v>
      </c>
      <c r="R1141" s="3">
        <f>NZD!B1141/1</f>
        <v>0.82340000000000002</v>
      </c>
      <c r="S1141" s="3">
        <f>NZD!C1141/1</f>
        <v>0.82179999999999997</v>
      </c>
      <c r="T1141" s="4">
        <f>1/PHP!B1141</f>
        <v>2.2089684117517119E-2</v>
      </c>
      <c r="U1141" s="4">
        <f>1/PHP!C1141</f>
        <v>2.2081684567552291E-2</v>
      </c>
      <c r="V1141" s="4">
        <f>1/TWD!B1141</f>
        <v>3.3031644315254009E-2</v>
      </c>
      <c r="W1141" s="4">
        <f>1/TWD!C1141</f>
        <v>3.303197164535554E-2</v>
      </c>
      <c r="X1141" s="4">
        <f>1/TWD!B1141</f>
        <v>3.3031644315254009E-2</v>
      </c>
      <c r="Y1141" s="4">
        <f>1/TWD!C1141</f>
        <v>3.303197164535554E-2</v>
      </c>
      <c r="Z1141" s="4">
        <f>1/ZAR!B1141</f>
        <v>8.9924014207994243E-2</v>
      </c>
      <c r="AA1141" s="4">
        <f>1/ZAR!C1141</f>
        <v>8.9495869765610317E-2</v>
      </c>
    </row>
    <row r="1142" spans="1:27" x14ac:dyDescent="0.25">
      <c r="A1142" t="str">
        <f>"07/02/2014"</f>
        <v>07/02/2014</v>
      </c>
      <c r="B1142" s="3">
        <f>AUD!B1142</f>
        <v>0.89429999999999998</v>
      </c>
      <c r="C1142" s="3">
        <f>AUD!C1142</f>
        <v>0.89259999999999995</v>
      </c>
      <c r="D1142" s="3">
        <f>1/CAD!B1142</f>
        <v>0.90366889571660947</v>
      </c>
      <c r="E1142" s="3">
        <f>1/CAD!C1142</f>
        <v>0.90309762485324663</v>
      </c>
      <c r="F1142" s="3">
        <f>EUR!B1142/1</f>
        <v>1.359</v>
      </c>
      <c r="G1142" s="3">
        <f>EUR!C1142/1</f>
        <v>1.359</v>
      </c>
      <c r="H1142" s="3">
        <f>GBP!B1142/1</f>
        <v>1.6323000000000001</v>
      </c>
      <c r="I1142" s="3">
        <f>GBP!C1142/1</f>
        <v>1.6318999999999999</v>
      </c>
      <c r="J1142" s="4">
        <f>1/INR!B1142</f>
        <v>1.6032064128256512E-2</v>
      </c>
      <c r="K1142" s="4">
        <f>1/INR!C1142</f>
        <v>1.5924200804172142E-2</v>
      </c>
      <c r="L1142" s="4">
        <f>1/JPY!B1142</f>
        <v>9.8048828316501628E-3</v>
      </c>
      <c r="M1142" s="4">
        <f>1/JPY!C1142</f>
        <v>9.8061039074382236E-3</v>
      </c>
      <c r="N1142" s="5">
        <f>1/KRW!B1142</f>
        <v>9.2902266815310288E-4</v>
      </c>
      <c r="O1142" s="5">
        <f>1/KRW!C1142</f>
        <v>9.2900368071258295E-4</v>
      </c>
      <c r="P1142" s="3">
        <f>1/NOK!B1142</f>
        <v>0.16082341588935348</v>
      </c>
      <c r="Q1142" s="3">
        <f>1/NOK!C1142</f>
        <v>0.16063482884358987</v>
      </c>
      <c r="R1142" s="3">
        <f>NZD!B1142/1</f>
        <v>0.82340000000000002</v>
      </c>
      <c r="S1142" s="3">
        <f>NZD!C1142/1</f>
        <v>0.82169999999999999</v>
      </c>
      <c r="T1142" s="4">
        <f>1/PHP!B1142</f>
        <v>2.2177866489243733E-2</v>
      </c>
      <c r="U1142" s="4">
        <f>1/PHP!C1142</f>
        <v>2.2173588152208379E-2</v>
      </c>
      <c r="V1142" s="4">
        <f>1/TWD!B1142</f>
        <v>3.3021827427929862E-2</v>
      </c>
      <c r="W1142" s="4">
        <f>1/TWD!C1142</f>
        <v>3.3022045517587542E-2</v>
      </c>
      <c r="X1142" s="4">
        <f>1/TWD!B1142</f>
        <v>3.3021827427929862E-2</v>
      </c>
      <c r="Y1142" s="4">
        <f>1/TWD!C1142</f>
        <v>3.3022045517587542E-2</v>
      </c>
      <c r="Z1142" s="4">
        <f>1/ZAR!B1142</f>
        <v>9.057724880664475E-2</v>
      </c>
      <c r="AA1142" s="4">
        <f>1/ZAR!C1142</f>
        <v>9.0150190216901363E-2</v>
      </c>
    </row>
    <row r="1143" spans="1:27" x14ac:dyDescent="0.25">
      <c r="A1143" t="str">
        <f>"10/02/2014"</f>
        <v>10/02/2014</v>
      </c>
      <c r="B1143" s="3">
        <f>AUD!B1143</f>
        <v>0.89359999999999995</v>
      </c>
      <c r="C1143" s="3">
        <f>AUD!C1143</f>
        <v>0.89190000000000003</v>
      </c>
      <c r="D1143" s="3">
        <f>1/CAD!B1143</f>
        <v>0.90653612546459983</v>
      </c>
      <c r="E1143" s="3">
        <f>1/CAD!C1143</f>
        <v>0.90587915572062683</v>
      </c>
      <c r="F1143" s="3">
        <f>EUR!B1143/1</f>
        <v>1.3625</v>
      </c>
      <c r="G1143" s="3">
        <f>EUR!C1143/1</f>
        <v>1.3624000000000001</v>
      </c>
      <c r="H1143" s="3">
        <f>GBP!B1143/1</f>
        <v>1.6411</v>
      </c>
      <c r="I1143" s="3">
        <f>GBP!C1143/1</f>
        <v>1.6407</v>
      </c>
      <c r="J1143" s="4">
        <f>1/INR!B1143</f>
        <v>1.6079755587715069E-2</v>
      </c>
      <c r="K1143" s="4">
        <f>1/INR!C1143</f>
        <v>1.5970614070110994E-2</v>
      </c>
      <c r="L1143" s="4">
        <f>1/JPY!B1143</f>
        <v>9.7648621201468638E-3</v>
      </c>
      <c r="M1143" s="4">
        <f>1/JPY!C1143</f>
        <v>9.7661495490480449E-3</v>
      </c>
      <c r="N1143" s="5">
        <f>1/KRW!B1143</f>
        <v>9.3292284728052979E-4</v>
      </c>
      <c r="O1143" s="5">
        <f>1/KRW!C1143</f>
        <v>9.3290370008265527E-4</v>
      </c>
      <c r="P1143" s="3">
        <f>1/NOK!B1143</f>
        <v>0.16182015308186481</v>
      </c>
      <c r="Q1143" s="3">
        <f>1/NOK!C1143</f>
        <v>0.16163183500622283</v>
      </c>
      <c r="R1143" s="3">
        <f>NZD!B1143/1</f>
        <v>0.8276</v>
      </c>
      <c r="S1143" s="3">
        <f>NZD!C1143/1</f>
        <v>0.82589999999999997</v>
      </c>
      <c r="T1143" s="4">
        <f>1/PHP!B1143</f>
        <v>2.2254367419606097E-2</v>
      </c>
      <c r="U1143" s="4">
        <f>1/PHP!C1143</f>
        <v>2.2248376424730407E-2</v>
      </c>
      <c r="V1143" s="4">
        <f>1/TWD!B1143</f>
        <v>3.3004389583814644E-2</v>
      </c>
      <c r="W1143" s="4">
        <f>1/TWD!C1143</f>
        <v>3.3004607443199073E-2</v>
      </c>
      <c r="X1143" s="4">
        <f>1/TWD!B1143</f>
        <v>3.3004389583814644E-2</v>
      </c>
      <c r="Y1143" s="4">
        <f>1/TWD!C1143</f>
        <v>3.3004607443199073E-2</v>
      </c>
      <c r="Z1143" s="4">
        <f>1/ZAR!B1143</f>
        <v>9.0223393121368498E-2</v>
      </c>
      <c r="AA1143" s="4">
        <f>1/ZAR!C1143</f>
        <v>8.9823855419522328E-2</v>
      </c>
    </row>
    <row r="1144" spans="1:27" x14ac:dyDescent="0.25">
      <c r="A1144" t="str">
        <f>"11/02/2014"</f>
        <v>11/02/2014</v>
      </c>
      <c r="B1144" s="3">
        <f>AUD!B1144</f>
        <v>0.90080000000000005</v>
      </c>
      <c r="C1144" s="3">
        <f>AUD!C1144</f>
        <v>0.89910000000000001</v>
      </c>
      <c r="D1144" s="3">
        <f>1/CAD!B1144</f>
        <v>0.90293453724604977</v>
      </c>
      <c r="E1144" s="3">
        <f>1/CAD!C1144</f>
        <v>0.90236419418877456</v>
      </c>
      <c r="F1144" s="3">
        <f>EUR!B1144/1</f>
        <v>1.3667</v>
      </c>
      <c r="G1144" s="3">
        <f>EUR!C1144/1</f>
        <v>1.3666</v>
      </c>
      <c r="H1144" s="3">
        <f>GBP!B1144/1</f>
        <v>1.6423000000000001</v>
      </c>
      <c r="I1144" s="3">
        <f>GBP!C1144/1</f>
        <v>1.6418999999999999</v>
      </c>
      <c r="J1144" s="4">
        <f>1/INR!B1144</f>
        <v>1.6015374759769378E-2</v>
      </c>
      <c r="K1144" s="4">
        <f>1/INR!C1144</f>
        <v>1.590583744234134E-2</v>
      </c>
      <c r="L1144" s="4">
        <f>1/JPY!B1144</f>
        <v>9.7882795141098055E-3</v>
      </c>
      <c r="M1144" s="4">
        <f>1/JPY!C1144</f>
        <v>9.7896018764708891E-3</v>
      </c>
      <c r="N1144" s="5">
        <f>1/KRW!B1144</f>
        <v>9.3259658203352679E-4</v>
      </c>
      <c r="O1144" s="5">
        <f>1/KRW!C1144</f>
        <v>9.325774482256315E-4</v>
      </c>
      <c r="P1144" s="3">
        <f>1/NOK!B1144</f>
        <v>0.16321734021022394</v>
      </c>
      <c r="Q1144" s="3">
        <f>1/NOK!C1144</f>
        <v>0.16302575806977501</v>
      </c>
      <c r="R1144" s="3">
        <f>NZD!B1144/1</f>
        <v>0.83040000000000003</v>
      </c>
      <c r="S1144" s="3">
        <f>NZD!C1144/1</f>
        <v>0.82879999999999998</v>
      </c>
      <c r="T1144" s="4">
        <f>1/PHP!B1144</f>
        <v>2.2229632099588753E-2</v>
      </c>
      <c r="U1144" s="4">
        <f>1/PHP!C1144</f>
        <v>2.222029646319541E-2</v>
      </c>
      <c r="V1144" s="4">
        <f>1/TWD!B1144</f>
        <v>3.2952186377566153E-2</v>
      </c>
      <c r="W1144" s="4">
        <f>1/TWD!C1144</f>
        <v>3.2952403548314815E-2</v>
      </c>
      <c r="X1144" s="4">
        <f>1/TWD!B1144</f>
        <v>3.2952186377566153E-2</v>
      </c>
      <c r="Y1144" s="4">
        <f>1/TWD!C1144</f>
        <v>3.2952403548314815E-2</v>
      </c>
      <c r="Z1144" s="4">
        <f>1/ZAR!B1144</f>
        <v>8.9825469113512441E-2</v>
      </c>
      <c r="AA1144" s="4">
        <f>1/ZAR!C1144</f>
        <v>8.9402256512954387E-2</v>
      </c>
    </row>
    <row r="1145" spans="1:27" x14ac:dyDescent="0.25">
      <c r="A1145" t="str">
        <f>"12/02/2014"</f>
        <v>12/02/2014</v>
      </c>
      <c r="B1145" s="3">
        <f>AUD!B1145</f>
        <v>0.90510000000000002</v>
      </c>
      <c r="C1145" s="3">
        <f>AUD!C1145</f>
        <v>0.90339999999999998</v>
      </c>
      <c r="D1145" s="3">
        <f>1/CAD!B1145</f>
        <v>0.90917356123283921</v>
      </c>
      <c r="E1145" s="3">
        <f>1/CAD!C1145</f>
        <v>0.90859531164819185</v>
      </c>
      <c r="F1145" s="3">
        <f>EUR!B1145/1</f>
        <v>1.3627</v>
      </c>
      <c r="G1145" s="3">
        <f>EUR!C1145/1</f>
        <v>1.3627</v>
      </c>
      <c r="H1145" s="3">
        <f>GBP!B1145/1</f>
        <v>1.6447000000000001</v>
      </c>
      <c r="I1145" s="3">
        <f>GBP!C1145/1</f>
        <v>1.6444000000000001</v>
      </c>
      <c r="J1145" s="4">
        <f>1/INR!B1145</f>
        <v>1.6097875080489377E-2</v>
      </c>
      <c r="K1145" s="4">
        <f>1/INR!C1145</f>
        <v>1.5987849234581717E-2</v>
      </c>
      <c r="L1145" s="4">
        <f>1/JPY!B1145</f>
        <v>9.7489641725566657E-3</v>
      </c>
      <c r="M1145" s="4">
        <f>1/JPY!C1145</f>
        <v>9.7502569192698223E-3</v>
      </c>
      <c r="N1145" s="5">
        <f>1/KRW!B1145</f>
        <v>9.3940817285110385E-4</v>
      </c>
      <c r="O1145" s="5">
        <f>1/KRW!C1145</f>
        <v>9.3938875852260452E-4</v>
      </c>
      <c r="P1145" s="3">
        <f>1/NOK!B1145</f>
        <v>0.16310020876826722</v>
      </c>
      <c r="Q1145" s="3">
        <f>1/NOK!C1145</f>
        <v>0.16290890134236935</v>
      </c>
      <c r="R1145" s="3">
        <f>NZD!B1145/1</f>
        <v>0.83440000000000003</v>
      </c>
      <c r="S1145" s="3">
        <f>NZD!C1145/1</f>
        <v>0.8327</v>
      </c>
      <c r="T1145" s="4">
        <f>1/PHP!B1145</f>
        <v>2.2241992882562279E-2</v>
      </c>
      <c r="U1145" s="4">
        <f>1/PHP!C1145</f>
        <v>2.22280015026129E-2</v>
      </c>
      <c r="V1145" s="4">
        <f>1/TWD!B1145</f>
        <v>3.3015286077453861E-2</v>
      </c>
      <c r="W1145" s="4">
        <f>1/TWD!C1145</f>
        <v>3.3015504080716303E-2</v>
      </c>
      <c r="X1145" s="4">
        <f>1/TWD!B1145</f>
        <v>3.3015286077453861E-2</v>
      </c>
      <c r="Y1145" s="4">
        <f>1/TWD!C1145</f>
        <v>3.3015504080716303E-2</v>
      </c>
      <c r="Z1145" s="4">
        <f>1/ZAR!B1145</f>
        <v>9.123088712914644E-2</v>
      </c>
      <c r="AA1145" s="4">
        <f>1/ZAR!C1145</f>
        <v>9.0807551555987395E-2</v>
      </c>
    </row>
    <row r="1146" spans="1:27" x14ac:dyDescent="0.25">
      <c r="A1146" t="str">
        <f>"13/02/2014"</f>
        <v>13/02/2014</v>
      </c>
      <c r="B1146" s="3">
        <f>AUD!B1146</f>
        <v>0.89370000000000005</v>
      </c>
      <c r="C1146" s="3">
        <f>AUD!C1146</f>
        <v>0.89200000000000002</v>
      </c>
      <c r="D1146" s="3">
        <f>1/CAD!B1146</f>
        <v>0.90834771550549553</v>
      </c>
      <c r="E1146" s="3">
        <f>1/CAD!C1146</f>
        <v>0.90777051561365296</v>
      </c>
      <c r="F1146" s="3">
        <f>EUR!B1146/1</f>
        <v>1.3614999999999999</v>
      </c>
      <c r="G1146" s="3">
        <f>EUR!C1146/1</f>
        <v>1.3614999999999999</v>
      </c>
      <c r="H1146" s="3">
        <f>GBP!B1146/1</f>
        <v>1.6617999999999999</v>
      </c>
      <c r="I1146" s="3">
        <f>GBP!C1146/1</f>
        <v>1.6615</v>
      </c>
      <c r="J1146" s="4">
        <f>1/INR!B1146</f>
        <v>1.6079755587715069E-2</v>
      </c>
      <c r="K1146" s="4">
        <f>1/INR!C1146</f>
        <v>1.5968063872255488E-2</v>
      </c>
      <c r="L1146" s="4">
        <f>1/JPY!B1146</f>
        <v>9.7873215037240762E-3</v>
      </c>
      <c r="M1146" s="4">
        <f>1/JPY!C1146</f>
        <v>9.7885669537979645E-3</v>
      </c>
      <c r="N1146" s="5">
        <f>1/KRW!B1146</f>
        <v>9.3901122118409308E-4</v>
      </c>
      <c r="O1146" s="5">
        <f>1/KRW!C1146</f>
        <v>9.3898485783628402E-4</v>
      </c>
      <c r="P1146" s="3">
        <f>1/NOK!B1146</f>
        <v>0.16362059656069505</v>
      </c>
      <c r="Q1146" s="3">
        <f>1/NOK!C1146</f>
        <v>0.16342539630658606</v>
      </c>
      <c r="R1146" s="3">
        <f>NZD!B1146/1</f>
        <v>0.83089999999999997</v>
      </c>
      <c r="S1146" s="3">
        <f>NZD!C1146/1</f>
        <v>0.82930000000000004</v>
      </c>
      <c r="T1146" s="4">
        <f>1/PHP!B1146</f>
        <v>2.2261798753339269E-2</v>
      </c>
      <c r="U1146" s="4">
        <f>1/PHP!C1146</f>
        <v>2.2250307054237351E-2</v>
      </c>
      <c r="V1146" s="4">
        <f>1/TWD!B1146</f>
        <v>3.2981530343007916E-2</v>
      </c>
      <c r="W1146" s="4">
        <f>1/TWD!C1146</f>
        <v>3.2981747900711747E-2</v>
      </c>
      <c r="X1146" s="4">
        <f>1/TWD!B1146</f>
        <v>3.2981530343007916E-2</v>
      </c>
      <c r="Y1146" s="4">
        <f>1/TWD!C1146</f>
        <v>3.2981747900711747E-2</v>
      </c>
      <c r="Z1146" s="4">
        <f>1/ZAR!B1146</f>
        <v>9.0452715842793172E-2</v>
      </c>
      <c r="AA1146" s="4">
        <f>1/ZAR!C1146</f>
        <v>9.0034122932591457E-2</v>
      </c>
    </row>
    <row r="1147" spans="1:27" x14ac:dyDescent="0.25">
      <c r="A1147" t="str">
        <f>"14/02/2014"</f>
        <v>14/02/2014</v>
      </c>
      <c r="B1147" s="3">
        <f>AUD!B1147</f>
        <v>0.89949999999999997</v>
      </c>
      <c r="C1147" s="3">
        <f>AUD!C1147</f>
        <v>0.89780000000000004</v>
      </c>
      <c r="D1147" s="3">
        <f>1/CAD!B1147</f>
        <v>0.91282519397535378</v>
      </c>
      <c r="E1147" s="3">
        <f>1/CAD!C1147</f>
        <v>0.91224229155263636</v>
      </c>
      <c r="F1147" s="3">
        <f>EUR!B1147/1</f>
        <v>1.3681000000000001</v>
      </c>
      <c r="G1147" s="3">
        <f>EUR!C1147/1</f>
        <v>1.3681000000000001</v>
      </c>
      <c r="H1147" s="3">
        <f>GBP!B1147/1</f>
        <v>1.6653</v>
      </c>
      <c r="I1147" s="3">
        <f>GBP!C1147/1</f>
        <v>1.6649</v>
      </c>
      <c r="J1147" s="4">
        <f>1/INR!B1147</f>
        <v>1.6039778651054614E-2</v>
      </c>
      <c r="K1147" s="4">
        <f>1/INR!C1147</f>
        <v>1.5928005415521841E-2</v>
      </c>
      <c r="L1147" s="4">
        <f>1/JPY!B1147</f>
        <v>9.8254025958713666E-3</v>
      </c>
      <c r="M1147" s="4">
        <f>1/JPY!C1147</f>
        <v>9.8267253518704682E-3</v>
      </c>
      <c r="N1147" s="5">
        <f>1/KRW!B1147</f>
        <v>9.4044181956683256E-4</v>
      </c>
      <c r="O1147" s="5">
        <f>1/KRW!C1147</f>
        <v>9.4041811741834907E-4</v>
      </c>
      <c r="P1147" s="3">
        <f>1/NOK!B1147</f>
        <v>0.16378138460782549</v>
      </c>
      <c r="Q1147" s="3">
        <f>1/NOK!C1147</f>
        <v>0.16358580075249468</v>
      </c>
      <c r="R1147" s="3">
        <f>NZD!B1147/1</f>
        <v>0.8337</v>
      </c>
      <c r="S1147" s="3">
        <f>NZD!C1147/1</f>
        <v>0.83209999999999995</v>
      </c>
      <c r="T1147" s="4">
        <f>1/PHP!B1147</f>
        <v>2.2296544035674468E-2</v>
      </c>
      <c r="U1147" s="4">
        <f>1/PHP!C1147</f>
        <v>2.2285215096896117E-2</v>
      </c>
      <c r="V1147" s="4">
        <f>1/TWD!B1147</f>
        <v>3.3002211148146929E-2</v>
      </c>
      <c r="W1147" s="4">
        <f>1/TWD!C1147</f>
        <v>3.3002428978772841E-2</v>
      </c>
      <c r="X1147" s="4">
        <f>1/TWD!B1147</f>
        <v>3.3002211148146929E-2</v>
      </c>
      <c r="Y1147" s="4">
        <f>1/TWD!C1147</f>
        <v>3.3002428978772841E-2</v>
      </c>
      <c r="Z1147" s="4">
        <f>1/ZAR!B1147</f>
        <v>9.0829821246911774E-2</v>
      </c>
      <c r="AA1147" s="4">
        <f>1/ZAR!C1147</f>
        <v>9.0409373643859398E-2</v>
      </c>
    </row>
    <row r="1148" spans="1:27" x14ac:dyDescent="0.25">
      <c r="A1148" t="str">
        <f>"17/02/2014"</f>
        <v>17/02/2014</v>
      </c>
      <c r="B1148" s="3">
        <f>AUD!B1148</f>
        <v>0.90490000000000004</v>
      </c>
      <c r="C1148" s="3">
        <f>AUD!C1148</f>
        <v>0.9032</v>
      </c>
      <c r="D1148" s="3">
        <f>1/CAD!B1148</f>
        <v>0.91124476034262814</v>
      </c>
      <c r="E1148" s="3">
        <f>1/CAD!C1148</f>
        <v>0.91066387396411974</v>
      </c>
      <c r="F1148" s="3">
        <f>EUR!B1148/1</f>
        <v>1.3712</v>
      </c>
      <c r="G1148" s="3">
        <f>EUR!C1148/1</f>
        <v>1.3712</v>
      </c>
      <c r="H1148" s="3">
        <f>GBP!B1148/1</f>
        <v>1.6789000000000001</v>
      </c>
      <c r="I1148" s="3">
        <f>GBP!C1148/1</f>
        <v>1.6785000000000001</v>
      </c>
      <c r="J1148" s="4">
        <f>1/INR!B1148</f>
        <v>1.6116035455278004E-2</v>
      </c>
      <c r="K1148" s="4">
        <f>1/INR!C1148</f>
        <v>1.6002560409665547E-2</v>
      </c>
      <c r="L1148" s="4">
        <f>1/JPY!B1148</f>
        <v>9.8434885323358604E-3</v>
      </c>
      <c r="M1148" s="4">
        <f>1/JPY!C1148</f>
        <v>9.8448258548754532E-3</v>
      </c>
      <c r="N1148" s="5">
        <f>1/KRW!B1148</f>
        <v>9.4230723927536577E-4</v>
      </c>
      <c r="O1148" s="5">
        <f>1/KRW!C1148</f>
        <v>9.422881488890659E-4</v>
      </c>
      <c r="P1148" s="3">
        <f>1/NOK!B1148</f>
        <v>0.16460092505719881</v>
      </c>
      <c r="Q1148" s="3">
        <f>1/NOK!C1148</f>
        <v>0.16440338013349554</v>
      </c>
      <c r="R1148" s="3">
        <f>NZD!B1148/1</f>
        <v>0.83699999999999997</v>
      </c>
      <c r="S1148" s="3">
        <f>NZD!C1148/1</f>
        <v>0.83540000000000003</v>
      </c>
      <c r="T1148" s="4">
        <f>1/PHP!B1148</f>
        <v>2.2446689113355782E-2</v>
      </c>
      <c r="U1148" s="4">
        <f>1/PHP!C1148</f>
        <v>2.2439133849433412E-2</v>
      </c>
      <c r="V1148" s="4">
        <f>1/TWD!B1148</f>
        <v>3.3077533739084418E-2</v>
      </c>
      <c r="W1148" s="4">
        <f>1/TWD!C1148</f>
        <v>3.3077752565179711E-2</v>
      </c>
      <c r="X1148" s="4">
        <f>1/TWD!B1148</f>
        <v>3.3077533739084418E-2</v>
      </c>
      <c r="Y1148" s="4">
        <f>1/TWD!C1148</f>
        <v>3.3077752565179711E-2</v>
      </c>
      <c r="Z1148" s="4">
        <f>1/ZAR!B1148</f>
        <v>9.1962479308442147E-2</v>
      </c>
      <c r="AA1148" s="4">
        <f>1/ZAR!C1148</f>
        <v>9.1536532230012999E-2</v>
      </c>
    </row>
    <row r="1149" spans="1:27" x14ac:dyDescent="0.25">
      <c r="A1149" t="str">
        <f>"18/02/2014"</f>
        <v>18/02/2014</v>
      </c>
      <c r="B1149" s="3">
        <f>AUD!B1149</f>
        <v>0.90559999999999996</v>
      </c>
      <c r="C1149" s="3">
        <f>AUD!C1149</f>
        <v>0.90380000000000005</v>
      </c>
      <c r="D1149" s="3">
        <f>1/CAD!B1149</f>
        <v>0.91274187659729833</v>
      </c>
      <c r="E1149" s="3">
        <f>1/CAD!C1149</f>
        <v>0.91215908054364681</v>
      </c>
      <c r="F1149" s="3">
        <f>EUR!B1149/1</f>
        <v>1.3714999999999999</v>
      </c>
      <c r="G1149" s="3">
        <f>EUR!C1149/1</f>
        <v>1.3714999999999999</v>
      </c>
      <c r="H1149" s="3">
        <f>GBP!B1149/1</f>
        <v>1.6731</v>
      </c>
      <c r="I1149" s="3">
        <f>GBP!C1149/1</f>
        <v>1.6727000000000001</v>
      </c>
      <c r="J1149" s="4">
        <f>1/INR!B1149</f>
        <v>1.6116035455278004E-2</v>
      </c>
      <c r="K1149" s="4">
        <f>1/INR!C1149</f>
        <v>1.6002560409665547E-2</v>
      </c>
      <c r="L1149" s="4">
        <f>1/JPY!B1149</f>
        <v>9.7515309903654871E-3</v>
      </c>
      <c r="M1149" s="4">
        <f>1/JPY!C1149</f>
        <v>9.752881488835876E-3</v>
      </c>
      <c r="N1149" s="5">
        <f>1/KRW!B1149</f>
        <v>9.3933757913919108E-4</v>
      </c>
      <c r="O1149" s="5">
        <f>1/KRW!C1149</f>
        <v>9.393190500478582E-4</v>
      </c>
      <c r="P1149" s="3">
        <f>1/NOK!B1149</f>
        <v>0.16453321925696798</v>
      </c>
      <c r="Q1149" s="3">
        <f>1/NOK!C1149</f>
        <v>0.16434663993294657</v>
      </c>
      <c r="R1149" s="3">
        <f>NZD!B1149/1</f>
        <v>0.83530000000000004</v>
      </c>
      <c r="S1149" s="3">
        <f>NZD!C1149/1</f>
        <v>0.83360000000000001</v>
      </c>
      <c r="T1149" s="4">
        <f>1/PHP!B1149</f>
        <v>2.2468123349997191E-2</v>
      </c>
      <c r="U1149" s="4">
        <f>1/PHP!C1149</f>
        <v>2.2459696075392707E-2</v>
      </c>
      <c r="V1149" s="4">
        <f>1/TWD!B1149</f>
        <v>3.3013106203162654E-2</v>
      </c>
      <c r="W1149" s="4">
        <f>1/TWD!C1149</f>
        <v>3.3013324177638095E-2</v>
      </c>
      <c r="X1149" s="4">
        <f>1/TWD!B1149</f>
        <v>3.3013106203162654E-2</v>
      </c>
      <c r="Y1149" s="4">
        <f>1/TWD!C1149</f>
        <v>3.3013324177638095E-2</v>
      </c>
      <c r="Z1149" s="4">
        <f>1/ZAR!B1149</f>
        <v>9.2159103476241386E-2</v>
      </c>
      <c r="AA1149" s="4">
        <f>1/ZAR!C1149</f>
        <v>9.1731337259434567E-2</v>
      </c>
    </row>
    <row r="1150" spans="1:27" x14ac:dyDescent="0.25">
      <c r="A1150" t="str">
        <f>"19/02/2014"</f>
        <v>19/02/2014</v>
      </c>
      <c r="B1150" s="3">
        <f>AUD!B1150</f>
        <v>0.90059999999999996</v>
      </c>
      <c r="C1150" s="3">
        <f>AUD!C1150</f>
        <v>0.89890000000000003</v>
      </c>
      <c r="D1150" s="3">
        <f>1/CAD!B1150</f>
        <v>0.91390970572107466</v>
      </c>
      <c r="E1150" s="3">
        <f>1/CAD!C1150</f>
        <v>0.91324200913242015</v>
      </c>
      <c r="F1150" s="3">
        <f>EUR!B1150/1</f>
        <v>1.3765000000000001</v>
      </c>
      <c r="G1150" s="3">
        <f>EUR!C1150/1</f>
        <v>1.3765000000000001</v>
      </c>
      <c r="H1150" s="3">
        <f>GBP!B1150/1</f>
        <v>1.6688000000000001</v>
      </c>
      <c r="I1150" s="3">
        <f>GBP!C1150/1</f>
        <v>1.6684000000000001</v>
      </c>
      <c r="J1150" s="4">
        <f>1/INR!B1150</f>
        <v>1.6069419893941828E-2</v>
      </c>
      <c r="K1150" s="4">
        <f>1/INR!C1150</f>
        <v>1.5958507879513265E-2</v>
      </c>
      <c r="L1150" s="4">
        <f>1/JPY!B1150</f>
        <v>9.7810990042841214E-3</v>
      </c>
      <c r="M1150" s="4">
        <f>1/JPY!C1150</f>
        <v>9.7825725426666909E-3</v>
      </c>
      <c r="N1150" s="5">
        <f>1/KRW!B1150</f>
        <v>9.3641726753441329E-4</v>
      </c>
      <c r="O1150" s="5">
        <f>1/KRW!C1150</f>
        <v>9.3639885347324375E-4</v>
      </c>
      <c r="P1150" s="3">
        <f>1/NOK!B1150</f>
        <v>0.16557113763928671</v>
      </c>
      <c r="Q1150" s="3">
        <f>1/NOK!C1150</f>
        <v>0.1653849334325643</v>
      </c>
      <c r="R1150" s="3">
        <f>NZD!B1150/1</f>
        <v>0.83020000000000005</v>
      </c>
      <c r="S1150" s="3">
        <f>NZD!C1150/1</f>
        <v>0.82850000000000001</v>
      </c>
      <c r="T1150" s="4">
        <f>1/PHP!B1150</f>
        <v>2.2396416573348264E-2</v>
      </c>
      <c r="U1150" s="4">
        <f>1/PHP!C1150</f>
        <v>2.238689023707717E-2</v>
      </c>
      <c r="V1150" s="4">
        <f>1/TWD!B1150</f>
        <v>3.3012016373960118E-2</v>
      </c>
      <c r="W1150" s="4">
        <f>1/TWD!C1150</f>
        <v>3.3012343315165539E-2</v>
      </c>
      <c r="X1150" s="4">
        <f>1/TWD!B1150</f>
        <v>3.3012016373960118E-2</v>
      </c>
      <c r="Y1150" s="4">
        <f>1/TWD!C1150</f>
        <v>3.3012343315165539E-2</v>
      </c>
      <c r="Z1150" s="4">
        <f>1/ZAR!B1150</f>
        <v>9.1843388653667771E-2</v>
      </c>
      <c r="AA1150" s="4">
        <f>1/ZAR!C1150</f>
        <v>9.137343408777332E-2</v>
      </c>
    </row>
    <row r="1151" spans="1:27" x14ac:dyDescent="0.25">
      <c r="A1151" t="str">
        <f>"20/02/2014"</f>
        <v>20/02/2014</v>
      </c>
      <c r="B1151" s="3">
        <f>AUD!B1151</f>
        <v>0.89429999999999998</v>
      </c>
      <c r="C1151" s="3">
        <f>AUD!C1151</f>
        <v>0.89259999999999995</v>
      </c>
      <c r="D1151" s="3">
        <f>1/CAD!B1151</f>
        <v>0.90285301552907193</v>
      </c>
      <c r="E1151" s="3">
        <f>1/CAD!C1151</f>
        <v>0.90228277542181712</v>
      </c>
      <c r="F1151" s="3">
        <f>EUR!B1151/1</f>
        <v>1.3751</v>
      </c>
      <c r="G1151" s="3">
        <f>EUR!C1151/1</f>
        <v>1.3751</v>
      </c>
      <c r="H1151" s="3">
        <f>GBP!B1151/1</f>
        <v>1.6672</v>
      </c>
      <c r="I1151" s="3">
        <f>GBP!C1151/1</f>
        <v>1.6669</v>
      </c>
      <c r="J1151" s="4">
        <f>1/INR!B1151</f>
        <v>1.6021147915248127E-2</v>
      </c>
      <c r="K1151" s="4">
        <f>1/INR!C1151</f>
        <v>1.5909000517042516E-2</v>
      </c>
      <c r="L1151" s="4">
        <f>1/JPY!B1151</f>
        <v>9.8106543706465207E-3</v>
      </c>
      <c r="M1151" s="4">
        <f>1/JPY!C1151</f>
        <v>9.8119346485904656E-3</v>
      </c>
      <c r="N1151" s="5">
        <f>1/KRW!B1151</f>
        <v>9.3210543976734658E-4</v>
      </c>
      <c r="O1151" s="5">
        <f>1/KRW!C1151</f>
        <v>9.3208719489290776E-4</v>
      </c>
      <c r="P1151" s="3">
        <f>1/NOK!B1151</f>
        <v>0.16466868660255565</v>
      </c>
      <c r="Q1151" s="3">
        <f>1/NOK!C1151</f>
        <v>0.16448721111933545</v>
      </c>
      <c r="R1151" s="3">
        <f>NZD!B1151/1</f>
        <v>0.82499999999999996</v>
      </c>
      <c r="S1151" s="3">
        <f>NZD!C1151/1</f>
        <v>0.82340000000000002</v>
      </c>
      <c r="T1151" s="4">
        <f>1/PHP!B1151</f>
        <v>2.23463687150838E-2</v>
      </c>
      <c r="U1151" s="4">
        <f>1/PHP!C1151</f>
        <v>2.2337084474386065E-2</v>
      </c>
      <c r="V1151" s="4">
        <f>1/TWD!B1151</f>
        <v>3.3002211148146929E-2</v>
      </c>
      <c r="W1151" s="4">
        <f>1/TWD!C1151</f>
        <v>3.3002428978772841E-2</v>
      </c>
      <c r="X1151" s="4">
        <f>1/TWD!B1151</f>
        <v>3.3002211148146929E-2</v>
      </c>
      <c r="Y1151" s="4">
        <f>1/TWD!C1151</f>
        <v>3.3002428978772841E-2</v>
      </c>
      <c r="Z1151" s="4">
        <f>1/ZAR!B1151</f>
        <v>9.0265742345465041E-2</v>
      </c>
      <c r="AA1151" s="4">
        <f>1/ZAR!C1151</f>
        <v>8.9852910785044871E-2</v>
      </c>
    </row>
    <row r="1152" spans="1:27" x14ac:dyDescent="0.25">
      <c r="A1152" t="str">
        <f>"21/02/2014"</f>
        <v>21/02/2014</v>
      </c>
      <c r="B1152" s="3">
        <f>AUD!B1152</f>
        <v>0.89939999999999998</v>
      </c>
      <c r="C1152" s="3">
        <f>AUD!C1152</f>
        <v>0.89770000000000005</v>
      </c>
      <c r="D1152" s="3">
        <f>1/CAD!B1152</f>
        <v>0.89863407620416969</v>
      </c>
      <c r="E1152" s="3">
        <f>1/CAD!C1152</f>
        <v>0.89806915132465204</v>
      </c>
      <c r="F1152" s="3">
        <f>EUR!B1152/1</f>
        <v>1.3716999999999999</v>
      </c>
      <c r="G1152" s="3">
        <f>EUR!C1152/1</f>
        <v>1.3716999999999999</v>
      </c>
      <c r="H1152" s="3">
        <f>GBP!B1152/1</f>
        <v>1.6651</v>
      </c>
      <c r="I1152" s="3">
        <f>GBP!C1152/1</f>
        <v>1.6647000000000001</v>
      </c>
      <c r="J1152" s="4">
        <f>1/INR!B1152</f>
        <v>1.6093341380004022E-2</v>
      </c>
      <c r="K1152" s="4">
        <f>1/INR!C1152</f>
        <v>1.5981461504654602E-2</v>
      </c>
      <c r="L1152" s="4">
        <f>1/JPY!B1152</f>
        <v>9.757049468240804E-3</v>
      </c>
      <c r="M1152" s="4">
        <f>1/JPY!C1152</f>
        <v>9.7583729279314881E-3</v>
      </c>
      <c r="N1152" s="5">
        <f>1/KRW!B1152</f>
        <v>9.3106401996201262E-4</v>
      </c>
      <c r="O1152" s="5">
        <f>1/KRW!C1152</f>
        <v>9.3104581583355146E-4</v>
      </c>
      <c r="P1152" s="3">
        <f>1/NOK!B1152</f>
        <v>0.16395861684510829</v>
      </c>
      <c r="Q1152" s="3">
        <f>1/NOK!C1152</f>
        <v>0.16377601991516402</v>
      </c>
      <c r="R1152" s="3">
        <f>NZD!B1152/1</f>
        <v>0.83050000000000002</v>
      </c>
      <c r="S1152" s="3">
        <f>NZD!C1152/1</f>
        <v>0.82879999999999998</v>
      </c>
      <c r="T1152" s="4">
        <f>1/PHP!B1152</f>
        <v>2.2393908856790951E-2</v>
      </c>
      <c r="U1152" s="4">
        <f>1/PHP!C1152</f>
        <v>2.2384885725158371E-2</v>
      </c>
      <c r="V1152" s="4">
        <f>1/TWD!B1152</f>
        <v>3.2971743216063831E-2</v>
      </c>
      <c r="W1152" s="4">
        <f>1/TWD!C1152</f>
        <v>3.2971960644667772E-2</v>
      </c>
      <c r="X1152" s="4">
        <f>1/TWD!B1152</f>
        <v>3.2971743216063831E-2</v>
      </c>
      <c r="Y1152" s="4">
        <f>1/TWD!C1152</f>
        <v>3.2971960644667772E-2</v>
      </c>
      <c r="Z1152" s="4">
        <f>1/ZAR!B1152</f>
        <v>9.0660187485267718E-2</v>
      </c>
      <c r="AA1152" s="4">
        <f>1/ZAR!C1152</f>
        <v>9.0243748364332063E-2</v>
      </c>
    </row>
    <row r="1153" spans="1:27" x14ac:dyDescent="0.25">
      <c r="A1153" t="str">
        <f>"24/02/2014"</f>
        <v>24/02/2014</v>
      </c>
      <c r="B1153" s="3">
        <f>AUD!B1153</f>
        <v>0.89739999999999998</v>
      </c>
      <c r="C1153" s="3">
        <f>AUD!C1153</f>
        <v>0.89570000000000005</v>
      </c>
      <c r="D1153" s="3">
        <f>1/CAD!B1153</f>
        <v>0.89976606082418575</v>
      </c>
      <c r="E1153" s="3">
        <f>1/CAD!C1153</f>
        <v>0.89911886351375647</v>
      </c>
      <c r="F1153" s="3">
        <f>EUR!B1153/1</f>
        <v>1.3736999999999999</v>
      </c>
      <c r="G1153" s="3">
        <f>EUR!C1153/1</f>
        <v>1.3736999999999999</v>
      </c>
      <c r="H1153" s="3">
        <f>GBP!B1153/1</f>
        <v>1.6638999999999999</v>
      </c>
      <c r="I1153" s="3">
        <f>GBP!C1153/1</f>
        <v>1.6635</v>
      </c>
      <c r="J1153" s="4">
        <f>1/INR!B1153</f>
        <v>1.6089457383049757E-2</v>
      </c>
      <c r="K1153" s="4">
        <f>1/INR!C1153</f>
        <v>1.5976354994607981E-2</v>
      </c>
      <c r="L1153" s="4">
        <f>1/JPY!B1153</f>
        <v>9.783682773869741E-3</v>
      </c>
      <c r="M1153" s="4">
        <f>1/JPY!C1153</f>
        <v>9.7849751706255046E-3</v>
      </c>
      <c r="N1153" s="5">
        <f>1/KRW!B1153</f>
        <v>9.2915214866434379E-4</v>
      </c>
      <c r="O1153" s="5">
        <f>1/KRW!C1153</f>
        <v>9.2913445086527965E-4</v>
      </c>
      <c r="P1153" s="3">
        <f>1/NOK!B1153</f>
        <v>0.16461176315659515</v>
      </c>
      <c r="Q1153" s="3">
        <f>1/NOK!C1153</f>
        <v>0.1644250057548752</v>
      </c>
      <c r="R1153" s="3">
        <f>NZD!B1153/1</f>
        <v>0.82840000000000003</v>
      </c>
      <c r="S1153" s="3">
        <f>NZD!C1153/1</f>
        <v>0.82669999999999999</v>
      </c>
      <c r="T1153" s="4">
        <f>1/PHP!B1153</f>
        <v>2.2403943093984541E-2</v>
      </c>
      <c r="U1153" s="4">
        <f>1/PHP!C1153</f>
        <v>2.239405930394785E-2</v>
      </c>
      <c r="V1153" s="4">
        <f>1/TWD!B1153</f>
        <v>3.2956530336486177E-2</v>
      </c>
      <c r="W1153" s="4">
        <f>1/TWD!C1153</f>
        <v>3.2956747564496354E-2</v>
      </c>
      <c r="X1153" s="4">
        <f>1/TWD!B1153</f>
        <v>3.2956530336486177E-2</v>
      </c>
      <c r="Y1153" s="4">
        <f>1/TWD!C1153</f>
        <v>3.2956747564496354E-2</v>
      </c>
      <c r="Z1153" s="4">
        <f>1/ZAR!B1153</f>
        <v>9.1225061348853762E-2</v>
      </c>
      <c r="AA1153" s="4">
        <f>1/ZAR!C1153</f>
        <v>9.0813324130916487E-2</v>
      </c>
    </row>
    <row r="1154" spans="1:27" x14ac:dyDescent="0.25">
      <c r="A1154" t="str">
        <f>"25/02/2014"</f>
        <v>25/02/2014</v>
      </c>
      <c r="B1154" s="3">
        <f>AUD!B1154</f>
        <v>0.90290000000000004</v>
      </c>
      <c r="C1154" s="3">
        <f>AUD!C1154</f>
        <v>0.9012</v>
      </c>
      <c r="D1154" s="3">
        <f>1/CAD!B1154</f>
        <v>0.90424088977303541</v>
      </c>
      <c r="E1154" s="3">
        <f>1/CAD!C1154</f>
        <v>0.90366889571660947</v>
      </c>
      <c r="F1154" s="3">
        <f>EUR!B1154/1</f>
        <v>1.3734999999999999</v>
      </c>
      <c r="G1154" s="3">
        <f>EUR!C1154/1</f>
        <v>1.3734999999999999</v>
      </c>
      <c r="H1154" s="3">
        <f>GBP!B1154/1</f>
        <v>1.6661999999999999</v>
      </c>
      <c r="I1154" s="3">
        <f>GBP!C1154/1</f>
        <v>1.6657999999999999</v>
      </c>
      <c r="J1154" s="4">
        <f>1/INR!B1154</f>
        <v>1.6123831022250887E-2</v>
      </c>
      <c r="K1154" s="4">
        <f>1/INR!C1154</f>
        <v>1.6012169248628957E-2</v>
      </c>
      <c r="L1154" s="4">
        <f>1/JPY!B1154</f>
        <v>9.7487740916579746E-3</v>
      </c>
      <c r="M1154" s="4">
        <f>1/JPY!C1154</f>
        <v>9.7500858007550477E-3</v>
      </c>
      <c r="N1154" s="5">
        <f>1/KRW!B1154</f>
        <v>9.3410802025146187E-4</v>
      </c>
      <c r="O1154" s="5">
        <f>1/KRW!C1154</f>
        <v>9.3409013315921894E-4</v>
      </c>
      <c r="P1154" s="3">
        <f>1/NOK!B1154</f>
        <v>0.16568910097093814</v>
      </c>
      <c r="Q1154" s="3">
        <f>1/NOK!C1154</f>
        <v>0.16550537064927759</v>
      </c>
      <c r="R1154" s="3">
        <f>NZD!B1154/1</f>
        <v>0.83360000000000001</v>
      </c>
      <c r="S1154" s="3">
        <f>NZD!C1154/1</f>
        <v>0.83189999999999997</v>
      </c>
      <c r="T1154" s="4">
        <f>1/PHP!B1154</f>
        <v>2.2421524663677129E-2</v>
      </c>
      <c r="U1154" s="4">
        <f>1/PHP!C1154</f>
        <v>2.2414890660163361E-2</v>
      </c>
      <c r="V1154" s="4">
        <f>1/TWD!B1154</f>
        <v>3.294567258590584E-2</v>
      </c>
      <c r="W1154" s="4">
        <f>1/TWD!C1154</f>
        <v>3.2945889670804675E-2</v>
      </c>
      <c r="X1154" s="4">
        <f>1/TWD!B1154</f>
        <v>3.294567258590584E-2</v>
      </c>
      <c r="Y1154" s="4">
        <f>1/TWD!C1154</f>
        <v>3.2945889670804675E-2</v>
      </c>
      <c r="Z1154" s="4">
        <f>1/ZAR!B1154</f>
        <v>9.2354011396485011E-2</v>
      </c>
      <c r="AA1154" s="4">
        <f>1/ZAR!C1154</f>
        <v>9.1943877457200118E-2</v>
      </c>
    </row>
    <row r="1155" spans="1:27" x14ac:dyDescent="0.25">
      <c r="A1155" t="str">
        <f>"26/02/2014"</f>
        <v>26/02/2014</v>
      </c>
      <c r="B1155" s="3">
        <f>AUD!B1155</f>
        <v>0.90059999999999996</v>
      </c>
      <c r="C1155" s="3">
        <f>AUD!C1155</f>
        <v>0.89870000000000005</v>
      </c>
      <c r="D1155" s="3">
        <f>1/CAD!B1155</f>
        <v>0.90163195383644401</v>
      </c>
      <c r="E1155" s="3">
        <f>1/CAD!C1155</f>
        <v>0.90098207045679779</v>
      </c>
      <c r="F1155" s="3">
        <f>EUR!B1155/1</f>
        <v>1.3741000000000001</v>
      </c>
      <c r="G1155" s="3">
        <f>EUR!C1155/1</f>
        <v>1.3741000000000001</v>
      </c>
      <c r="H1155" s="3">
        <f>GBP!B1155/1</f>
        <v>1.6677999999999999</v>
      </c>
      <c r="I1155" s="3">
        <f>GBP!C1155/1</f>
        <v>1.6674</v>
      </c>
      <c r="J1155" s="4">
        <f>1/INR!B1155</f>
        <v>1.6134236850596968E-2</v>
      </c>
      <c r="K1155" s="4">
        <f>1/INR!C1155</f>
        <v>1.6008965020411429E-2</v>
      </c>
      <c r="L1155" s="4">
        <f>1/JPY!B1155</f>
        <v>9.7722097897997677E-3</v>
      </c>
      <c r="M1155" s="4">
        <f>1/JPY!C1155</f>
        <v>9.7736519934829291E-3</v>
      </c>
      <c r="N1155" s="5">
        <f>1/KRW!B1155</f>
        <v>9.3589143659335522E-4</v>
      </c>
      <c r="O1155" s="5">
        <f>1/KRW!C1155</f>
        <v>9.3587172942076555E-4</v>
      </c>
      <c r="P1155" s="3">
        <f>1/NOK!B1155</f>
        <v>0.16541776255934362</v>
      </c>
      <c r="Q1155" s="3">
        <f>1/NOK!C1155</f>
        <v>0.16521552365060221</v>
      </c>
      <c r="R1155" s="3">
        <f>NZD!B1155/1</f>
        <v>0.83330000000000004</v>
      </c>
      <c r="S1155" s="3">
        <f>NZD!C1155/1</f>
        <v>0.83140000000000003</v>
      </c>
      <c r="T1155" s="4">
        <f>1/PHP!B1155</f>
        <v>2.2421524663677129E-2</v>
      </c>
      <c r="U1155" s="4">
        <f>1/PHP!C1155</f>
        <v>2.241147467503362E-2</v>
      </c>
      <c r="V1155" s="4">
        <f>1/TWD!B1155</f>
        <v>3.2985882042485815E-2</v>
      </c>
      <c r="W1155" s="4">
        <f>1/TWD!C1155</f>
        <v>3.2986099657604288E-2</v>
      </c>
      <c r="X1155" s="4">
        <f>1/TWD!B1155</f>
        <v>3.2985882042485815E-2</v>
      </c>
      <c r="Y1155" s="4">
        <f>1/TWD!C1155</f>
        <v>3.2986099657604288E-2</v>
      </c>
      <c r="Z1155" s="4">
        <f>1/ZAR!B1155</f>
        <v>9.3154104835629581E-2</v>
      </c>
      <c r="AA1155" s="4">
        <f>1/ZAR!C1155</f>
        <v>9.2674111486956118E-2</v>
      </c>
    </row>
    <row r="1156" spans="1:27" x14ac:dyDescent="0.25">
      <c r="A1156" t="str">
        <f>"28/02/2014"</f>
        <v>28/02/2014</v>
      </c>
      <c r="B1156" s="3">
        <f>AUD!B1156</f>
        <v>0.8952</v>
      </c>
      <c r="C1156" s="3">
        <f>AUD!C1156</f>
        <v>0.89329999999999998</v>
      </c>
      <c r="D1156" s="3">
        <f>1/CAD!B1156</f>
        <v>0.89863407620416969</v>
      </c>
      <c r="E1156" s="3">
        <f>1/CAD!C1156</f>
        <v>0.89798850574712652</v>
      </c>
      <c r="F1156" s="3">
        <f>EUR!B1156/1</f>
        <v>1.37</v>
      </c>
      <c r="G1156" s="3">
        <f>EUR!C1156/1</f>
        <v>1.37</v>
      </c>
      <c r="H1156" s="3">
        <f>GBP!B1156/1</f>
        <v>1.6681999999999999</v>
      </c>
      <c r="I1156" s="3">
        <f>GBP!C1156/1</f>
        <v>1.6677999999999999</v>
      </c>
      <c r="J1156" s="4">
        <f>1/INR!B1156</f>
        <v>1.6092693916961699E-2</v>
      </c>
      <c r="K1156" s="4">
        <f>1/INR!C1156</f>
        <v>1.59655144887044E-2</v>
      </c>
      <c r="L1156" s="4">
        <f>1/JPY!B1156</f>
        <v>9.8239547312165987E-3</v>
      </c>
      <c r="M1156" s="4">
        <f>1/JPY!C1156</f>
        <v>9.8254219036165418E-3</v>
      </c>
      <c r="N1156" s="5">
        <f>1/KRW!B1156</f>
        <v>9.3628575441224667E-4</v>
      </c>
      <c r="O1156" s="5">
        <f>1/KRW!C1156</f>
        <v>9.3626603062994319E-4</v>
      </c>
      <c r="P1156" s="3">
        <f>1/NOK!B1156</f>
        <v>0.16536852375518843</v>
      </c>
      <c r="Q1156" s="3">
        <f>1/NOK!C1156</f>
        <v>0.16516913319238899</v>
      </c>
      <c r="R1156" s="3">
        <f>NZD!B1156/1</f>
        <v>0.83909999999999996</v>
      </c>
      <c r="S1156" s="3">
        <f>NZD!C1156/1</f>
        <v>0.83720000000000006</v>
      </c>
      <c r="T1156" s="4">
        <f>1/PHP!B1156</f>
        <v>2.2386389075442131E-2</v>
      </c>
      <c r="U1156" s="4">
        <f>1/PHP!C1156</f>
        <v>2.2378323460762965E-2</v>
      </c>
      <c r="V1156" s="4">
        <f>1/TWD!B1156</f>
        <v>3.2971743216063831E-2</v>
      </c>
      <c r="W1156" s="4">
        <f>1/TWD!C1156</f>
        <v>3.2971960644667772E-2</v>
      </c>
      <c r="X1156" s="4">
        <f>1/TWD!B1156</f>
        <v>3.2971743216063831E-2</v>
      </c>
      <c r="Y1156" s="4">
        <f>1/TWD!C1156</f>
        <v>3.2971960644667772E-2</v>
      </c>
      <c r="Z1156" s="4">
        <f>1/ZAR!B1156</f>
        <v>9.3323627676055024E-2</v>
      </c>
      <c r="AA1156" s="4">
        <f>1/ZAR!C1156</f>
        <v>9.2851372807546961E-2</v>
      </c>
    </row>
    <row r="1157" spans="1:27" x14ac:dyDescent="0.25">
      <c r="A1157" t="str">
        <f>"03/03/2014"</f>
        <v>03/03/2014</v>
      </c>
      <c r="B1157" s="3">
        <f>AUD!B1157</f>
        <v>0.89080000000000004</v>
      </c>
      <c r="C1157" s="3">
        <f>AUD!C1157</f>
        <v>0.88880000000000003</v>
      </c>
      <c r="D1157" s="3">
        <f>1/CAD!B1157</f>
        <v>0.90432266232591796</v>
      </c>
      <c r="E1157" s="3">
        <f>1/CAD!C1157</f>
        <v>0.90366889571660947</v>
      </c>
      <c r="F1157" s="3">
        <f>EUR!B1157/1</f>
        <v>1.3776999999999999</v>
      </c>
      <c r="G1157" s="3">
        <f>EUR!C1157/1</f>
        <v>1.3775999999999999</v>
      </c>
      <c r="H1157" s="3">
        <f>GBP!B1157/1</f>
        <v>1.6746000000000001</v>
      </c>
      <c r="I1157" s="3">
        <f>GBP!C1157/1</f>
        <v>1.6741999999999999</v>
      </c>
      <c r="J1157" s="4">
        <f>1/INR!B1157</f>
        <v>1.6147914900488475E-2</v>
      </c>
      <c r="K1157" s="4">
        <f>1/INR!C1157</f>
        <v>1.6010246557796991E-2</v>
      </c>
      <c r="L1157" s="4">
        <f>1/JPY!B1157</f>
        <v>9.8631001696453217E-3</v>
      </c>
      <c r="M1157" s="4">
        <f>1/JPY!C1157</f>
        <v>9.8647250257222693E-3</v>
      </c>
      <c r="N1157" s="5">
        <f>1/KRW!B1157</f>
        <v>9.3361964335729626E-4</v>
      </c>
      <c r="O1157" s="5">
        <f>1/KRW!C1157</f>
        <v>9.3359855000942006E-4</v>
      </c>
      <c r="P1157" s="3">
        <f>1/NOK!B1157</f>
        <v>0.16640042598509053</v>
      </c>
      <c r="Q1157" s="3">
        <f>1/NOK!C1157</f>
        <v>0.16618196925633569</v>
      </c>
      <c r="R1157" s="3">
        <f>NZD!B1157/1</f>
        <v>0.83530000000000004</v>
      </c>
      <c r="S1157" s="3">
        <f>NZD!C1157/1</f>
        <v>0.83330000000000004</v>
      </c>
      <c r="T1157" s="4">
        <f>1/PHP!B1157</f>
        <v>2.2353861629596513E-2</v>
      </c>
      <c r="U1157" s="4">
        <f>1/PHP!C1157</f>
        <v>2.2343173266840051E-2</v>
      </c>
      <c r="V1157" s="4">
        <f>1/TWD!B1157</f>
        <v>3.299676631690094E-2</v>
      </c>
      <c r="W1157" s="4">
        <f>1/TWD!C1157</f>
        <v>3.2997092956110564E-2</v>
      </c>
      <c r="X1157" s="4">
        <f>1/TWD!B1157</f>
        <v>3.299676631690094E-2</v>
      </c>
      <c r="Y1157" s="4">
        <f>1/TWD!C1157</f>
        <v>3.2997092956110564E-2</v>
      </c>
      <c r="Z1157" s="4">
        <f>1/ZAR!B1157</f>
        <v>9.2514640441849913E-2</v>
      </c>
      <c r="AA1157" s="4">
        <f>1/ZAR!C1157</f>
        <v>9.201071004664943E-2</v>
      </c>
    </row>
    <row r="1158" spans="1:27" x14ac:dyDescent="0.25">
      <c r="A1158" t="str">
        <f>"04/03/2014"</f>
        <v>04/03/2014</v>
      </c>
      <c r="B1158" s="3">
        <f>AUD!B1158</f>
        <v>0.89329999999999998</v>
      </c>
      <c r="C1158" s="3">
        <f>AUD!C1158</f>
        <v>0.89139999999999997</v>
      </c>
      <c r="D1158" s="3">
        <f>1/CAD!B1158</f>
        <v>0.90122566690699357</v>
      </c>
      <c r="E1158" s="3">
        <f>1/CAD!C1158</f>
        <v>0.90049527239981986</v>
      </c>
      <c r="F1158" s="3">
        <f>EUR!B1158/1</f>
        <v>1.3733</v>
      </c>
      <c r="G1158" s="3">
        <f>EUR!C1158/1</f>
        <v>1.3733</v>
      </c>
      <c r="H1158" s="3">
        <f>GBP!B1158/1</f>
        <v>1.6656</v>
      </c>
      <c r="I1158" s="3">
        <f>GBP!C1158/1</f>
        <v>1.6652</v>
      </c>
      <c r="J1158" s="4">
        <f>1/INR!B1158</f>
        <v>1.6097875080489377E-2</v>
      </c>
      <c r="K1158" s="4">
        <f>1/INR!C1158</f>
        <v>1.5964240102171137E-2</v>
      </c>
      <c r="L1158" s="4">
        <f>1/JPY!B1158</f>
        <v>9.83342183412984E-3</v>
      </c>
      <c r="M1158" s="4">
        <f>1/JPY!C1158</f>
        <v>9.8349692165463527E-3</v>
      </c>
      <c r="N1158" s="5">
        <f>1/KRW!B1158</f>
        <v>9.3297507090610548E-4</v>
      </c>
      <c r="O1158" s="5">
        <f>1/KRW!C1158</f>
        <v>9.3295409371393261E-4</v>
      </c>
      <c r="P1158" s="3">
        <f>1/NOK!B1158</f>
        <v>0.16512276877858689</v>
      </c>
      <c r="Q1158" s="3">
        <f>1/NOK!C1158</f>
        <v>0.16491037121324559</v>
      </c>
      <c r="R1158" s="3">
        <f>NZD!B1158/1</f>
        <v>0.83709999999999996</v>
      </c>
      <c r="S1158" s="3">
        <f>NZD!C1158/1</f>
        <v>0.83520000000000005</v>
      </c>
      <c r="T1158" s="4">
        <f>1/PHP!B1158</f>
        <v>2.2308979364194088E-2</v>
      </c>
      <c r="U1158" s="4">
        <f>1/PHP!C1158</f>
        <v>2.2294555669505507E-2</v>
      </c>
      <c r="V1158" s="4">
        <f>1/TWD!B1158</f>
        <v>3.3004389583814644E-2</v>
      </c>
      <c r="W1158" s="4">
        <f>1/TWD!C1158</f>
        <v>3.3004716373969838E-2</v>
      </c>
      <c r="X1158" s="4">
        <f>1/TWD!B1158</f>
        <v>3.3004389583814644E-2</v>
      </c>
      <c r="Y1158" s="4">
        <f>1/TWD!C1158</f>
        <v>3.3004716373969838E-2</v>
      </c>
      <c r="Z1158" s="4">
        <f>1/ZAR!B1158</f>
        <v>9.1895716740642716E-2</v>
      </c>
      <c r="AA1158" s="4">
        <f>1/ZAR!C1158</f>
        <v>9.1411856117738471E-2</v>
      </c>
    </row>
    <row r="1159" spans="1:27" x14ac:dyDescent="0.25">
      <c r="A1159" t="str">
        <f>"05/03/2014"</f>
        <v>05/03/2014</v>
      </c>
      <c r="B1159" s="3">
        <f>AUD!B1159</f>
        <v>0.89570000000000005</v>
      </c>
      <c r="C1159" s="3">
        <f>AUD!C1159</f>
        <v>0.89380000000000004</v>
      </c>
      <c r="D1159" s="3">
        <f>1/CAD!B1159</f>
        <v>0.9014693951140359</v>
      </c>
      <c r="E1159" s="3">
        <f>1/CAD!C1159</f>
        <v>0.90081974596883152</v>
      </c>
      <c r="F1159" s="3">
        <f>EUR!B1159/1</f>
        <v>1.3733</v>
      </c>
      <c r="G1159" s="3">
        <f>EUR!C1159/1</f>
        <v>1.3732</v>
      </c>
      <c r="H1159" s="3">
        <f>GBP!B1159/1</f>
        <v>1.6664000000000001</v>
      </c>
      <c r="I1159" s="3">
        <f>GBP!C1159/1</f>
        <v>1.6660999999999999</v>
      </c>
      <c r="J1159" s="4">
        <f>1/INR!B1159</f>
        <v>1.6166841807452915E-2</v>
      </c>
      <c r="K1159" s="4">
        <f>1/INR!C1159</f>
        <v>1.603592046183451E-2</v>
      </c>
      <c r="L1159" s="4">
        <f>1/JPY!B1159</f>
        <v>9.7811946751176198E-3</v>
      </c>
      <c r="M1159" s="4">
        <f>1/JPY!C1159</f>
        <v>9.782639532233307E-3</v>
      </c>
      <c r="N1159" s="5">
        <f>1/KRW!B1159</f>
        <v>9.3318402388951113E-4</v>
      </c>
      <c r="O1159" s="5">
        <f>1/KRW!C1159</f>
        <v>9.3316399517367576E-4</v>
      </c>
      <c r="P1159" s="3">
        <f>1/NOK!B1159</f>
        <v>0.1661847309469206</v>
      </c>
      <c r="Q1159" s="3">
        <f>1/NOK!C1159</f>
        <v>0.16598061346434737</v>
      </c>
      <c r="R1159" s="3">
        <f>NZD!B1159/1</f>
        <v>0.83930000000000005</v>
      </c>
      <c r="S1159" s="3">
        <f>NZD!C1159/1</f>
        <v>0.83730000000000004</v>
      </c>
      <c r="T1159" s="4">
        <f>1/PHP!B1159</f>
        <v>2.2343872193051055E-2</v>
      </c>
      <c r="U1159" s="4">
        <f>1/PHP!C1159</f>
        <v>2.232681092763434E-2</v>
      </c>
      <c r="V1159" s="4">
        <f>1/TWD!B1159</f>
        <v>3.3014196104324864E-2</v>
      </c>
      <c r="W1159" s="4">
        <f>1/TWD!C1159</f>
        <v>3.301452308870672E-2</v>
      </c>
      <c r="X1159" s="4">
        <f>1/TWD!B1159</f>
        <v>3.3014196104324864E-2</v>
      </c>
      <c r="Y1159" s="4">
        <f>1/TWD!C1159</f>
        <v>3.301452308870672E-2</v>
      </c>
      <c r="Z1159" s="4">
        <f>1/ZAR!B1159</f>
        <v>9.2765239009638317E-2</v>
      </c>
      <c r="AA1159" s="4">
        <f>1/ZAR!C1159</f>
        <v>9.2291789722386289E-2</v>
      </c>
    </row>
    <row r="1160" spans="1:27" x14ac:dyDescent="0.25">
      <c r="A1160" t="str">
        <f>"06/03/2014"</f>
        <v>06/03/2014</v>
      </c>
      <c r="B1160" s="3">
        <f>AUD!B1160</f>
        <v>0.90139999999999998</v>
      </c>
      <c r="C1160" s="3">
        <f>AUD!C1160</f>
        <v>0.89939999999999998</v>
      </c>
      <c r="D1160" s="3">
        <f>1/CAD!B1160</f>
        <v>0.90546903295907277</v>
      </c>
      <c r="E1160" s="3">
        <f>1/CAD!C1160</f>
        <v>0.90481360839667035</v>
      </c>
      <c r="F1160" s="3">
        <f>EUR!B1160/1</f>
        <v>1.3726</v>
      </c>
      <c r="G1160" s="3">
        <f>EUR!C1160/1</f>
        <v>1.3726</v>
      </c>
      <c r="H1160" s="3">
        <f>GBP!B1160/1</f>
        <v>1.671</v>
      </c>
      <c r="I1160" s="3">
        <f>GBP!C1160/1</f>
        <v>1.6706000000000001</v>
      </c>
      <c r="J1160" s="4">
        <f>1/INR!B1160</f>
        <v>1.6270745200130166E-2</v>
      </c>
      <c r="K1160" s="4">
        <f>1/INR!C1160</f>
        <v>1.6134236850596968E-2</v>
      </c>
      <c r="L1160" s="4">
        <f>1/JPY!B1160</f>
        <v>9.7409871516379466E-3</v>
      </c>
      <c r="M1160" s="4">
        <f>1/JPY!C1160</f>
        <v>9.7423916792181153E-3</v>
      </c>
      <c r="N1160" s="5">
        <f>1/KRW!B1160</f>
        <v>9.3861460484325127E-4</v>
      </c>
      <c r="O1160" s="5">
        <f>1/KRW!C1160</f>
        <v>9.3859522330118957E-4</v>
      </c>
      <c r="P1160" s="3">
        <f>1/NOK!B1160</f>
        <v>0.16669444907484582</v>
      </c>
      <c r="Q1160" s="3">
        <f>1/NOK!C1160</f>
        <v>0.16648907831646242</v>
      </c>
      <c r="R1160" s="3">
        <f>NZD!B1160/1</f>
        <v>0.84260000000000002</v>
      </c>
      <c r="S1160" s="3">
        <f>NZD!C1160/1</f>
        <v>0.84060000000000001</v>
      </c>
      <c r="T1160" s="4">
        <f>1/PHP!B1160</f>
        <v>2.2391401701746531E-2</v>
      </c>
      <c r="U1160" s="4">
        <f>1/PHP!C1160</f>
        <v>2.2375218997455936E-2</v>
      </c>
      <c r="V1160" s="4">
        <f>1/TWD!B1160</f>
        <v>3.3016376122556791E-2</v>
      </c>
      <c r="W1160" s="4">
        <f>1/TWD!C1160</f>
        <v>3.3016594140214871E-2</v>
      </c>
      <c r="X1160" s="4">
        <f>1/TWD!B1160</f>
        <v>3.3016376122556791E-2</v>
      </c>
      <c r="Y1160" s="4">
        <f>1/TWD!C1160</f>
        <v>3.3016594140214871E-2</v>
      </c>
      <c r="Z1160" s="4">
        <f>1/ZAR!B1160</f>
        <v>9.3494642756970017E-2</v>
      </c>
      <c r="AA1160" s="4">
        <f>1/ZAR!C1160</f>
        <v>9.3018064108049775E-2</v>
      </c>
    </row>
    <row r="1161" spans="1:27" x14ac:dyDescent="0.25">
      <c r="A1161" t="str">
        <f>"07/03/2014"</f>
        <v>07/03/2014</v>
      </c>
      <c r="B1161" s="3">
        <f>AUD!B1161</f>
        <v>0.90849999999999997</v>
      </c>
      <c r="C1161" s="3">
        <f>AUD!C1161</f>
        <v>0.90659999999999996</v>
      </c>
      <c r="D1161" s="3">
        <f>1/CAD!B1161</f>
        <v>0.90925622840516451</v>
      </c>
      <c r="E1161" s="3">
        <f>1/CAD!C1161</f>
        <v>0.90859531164819185</v>
      </c>
      <c r="F1161" s="3">
        <f>EUR!B1161/1</f>
        <v>1.3858999999999999</v>
      </c>
      <c r="G1161" s="3">
        <f>EUR!C1161/1</f>
        <v>1.3857999999999999</v>
      </c>
      <c r="H1161" s="3">
        <f>GBP!B1161/1</f>
        <v>1.6737</v>
      </c>
      <c r="I1161" s="3">
        <f>GBP!C1161/1</f>
        <v>1.6733</v>
      </c>
      <c r="J1161" s="4">
        <f>1/INR!B1161</f>
        <v>1.6386726751331421E-2</v>
      </c>
      <c r="K1161" s="4">
        <f>1/INR!C1161</f>
        <v>1.6244974211103439E-2</v>
      </c>
      <c r="L1161" s="4">
        <f>1/JPY!B1161</f>
        <v>9.7135474846768797E-3</v>
      </c>
      <c r="M1161" s="4">
        <f>1/JPY!C1161</f>
        <v>9.7149252339353998E-3</v>
      </c>
      <c r="N1161" s="5">
        <f>1/KRW!B1161</f>
        <v>9.4004841249324331E-4</v>
      </c>
      <c r="O1161" s="5">
        <f>1/KRW!C1161</f>
        <v>9.4002852986588151E-4</v>
      </c>
      <c r="P1161" s="3">
        <f>1/NOK!B1161</f>
        <v>0.16735001255125093</v>
      </c>
      <c r="Q1161" s="3">
        <f>1/NOK!C1161</f>
        <v>0.16714302428588143</v>
      </c>
      <c r="R1161" s="3">
        <f>NZD!B1161/1</f>
        <v>0.84789999999999999</v>
      </c>
      <c r="S1161" s="3">
        <f>NZD!C1161/1</f>
        <v>0.84599999999999997</v>
      </c>
      <c r="T1161" s="4">
        <f>1/PHP!B1161</f>
        <v>2.2492127755285651E-2</v>
      </c>
      <c r="U1161" s="4">
        <f>1/PHP!C1161</f>
        <v>2.2480700318776331E-2</v>
      </c>
      <c r="V1161" s="4">
        <f>1/TWD!B1161</f>
        <v>3.3037100664045728E-2</v>
      </c>
      <c r="W1161" s="4">
        <f>1/TWD!C1161</f>
        <v>3.3037318955492126E-2</v>
      </c>
      <c r="X1161" s="4">
        <f>1/TWD!B1161</f>
        <v>3.3037100664045728E-2</v>
      </c>
      <c r="Y1161" s="4">
        <f>1/TWD!C1161</f>
        <v>3.3037318955492126E-2</v>
      </c>
      <c r="Z1161" s="4">
        <f>1/ZAR!B1161</f>
        <v>9.4074262222598529E-2</v>
      </c>
      <c r="AA1161" s="4">
        <f>1/ZAR!C1161</f>
        <v>9.3593523328185685E-2</v>
      </c>
    </row>
    <row r="1162" spans="1:27" x14ac:dyDescent="0.25">
      <c r="A1162" t="str">
        <f>"10/03/2014"</f>
        <v>10/03/2014</v>
      </c>
      <c r="B1162" s="3">
        <f>AUD!B1162</f>
        <v>0.90400000000000003</v>
      </c>
      <c r="C1162" s="3">
        <f>AUD!C1162</f>
        <v>0.90200000000000002</v>
      </c>
      <c r="D1162" s="3">
        <f>1/CAD!B1162</f>
        <v>0.89944234574563775</v>
      </c>
      <c r="E1162" s="3">
        <f>1/CAD!C1162</f>
        <v>0.89879561387740425</v>
      </c>
      <c r="F1162" s="3">
        <f>EUR!B1162/1</f>
        <v>1.3885000000000001</v>
      </c>
      <c r="G1162" s="3">
        <f>EUR!C1162/1</f>
        <v>1.3884000000000001</v>
      </c>
      <c r="H1162" s="3">
        <f>GBP!B1162/1</f>
        <v>1.6734</v>
      </c>
      <c r="I1162" s="3">
        <f>GBP!C1162/1</f>
        <v>1.673</v>
      </c>
      <c r="J1162" s="4">
        <f>1/INR!B1162</f>
        <v>1.6305233980107615E-2</v>
      </c>
      <c r="K1162" s="4">
        <f>1/INR!C1162</f>
        <v>1.6147263038914905E-2</v>
      </c>
      <c r="L1162" s="4">
        <f>1/JPY!B1162</f>
        <v>9.7018617872769788E-3</v>
      </c>
      <c r="M1162" s="4">
        <f>1/JPY!C1162</f>
        <v>9.7034433639121183E-3</v>
      </c>
      <c r="N1162" s="5">
        <f>1/KRW!B1162</f>
        <v>9.3795432162453686E-4</v>
      </c>
      <c r="O1162" s="5">
        <f>1/KRW!C1162</f>
        <v>9.3793364775995641E-4</v>
      </c>
      <c r="P1162" s="3">
        <f>1/NOK!B1162</f>
        <v>0.16716258232757181</v>
      </c>
      <c r="Q1162" s="3">
        <f>1/NOK!C1162</f>
        <v>0.16693933424593504</v>
      </c>
      <c r="R1162" s="3">
        <f>NZD!B1162/1</f>
        <v>0.84609999999999996</v>
      </c>
      <c r="S1162" s="3">
        <f>NZD!C1162/1</f>
        <v>0.84399999999999997</v>
      </c>
      <c r="T1162" s="4">
        <f>1/PHP!B1162</f>
        <v>2.2482014388489211E-2</v>
      </c>
      <c r="U1162" s="4">
        <f>1/PHP!C1162</f>
        <v>2.2462117638602497E-2</v>
      </c>
      <c r="V1162" s="4">
        <f>1/TWD!B1162</f>
        <v>3.3015286077453861E-2</v>
      </c>
      <c r="W1162" s="4">
        <f>1/TWD!C1162</f>
        <v>3.3015504080716303E-2</v>
      </c>
      <c r="X1162" s="4">
        <f>1/TWD!B1162</f>
        <v>3.3015286077453861E-2</v>
      </c>
      <c r="Y1162" s="4">
        <f>1/TWD!C1162</f>
        <v>3.3015504080716303E-2</v>
      </c>
      <c r="Z1162" s="4">
        <f>1/ZAR!B1162</f>
        <v>9.2816900101170427E-2</v>
      </c>
      <c r="AA1162" s="4">
        <f>1/ZAR!C1162</f>
        <v>9.2310532631773287E-2</v>
      </c>
    </row>
    <row r="1163" spans="1:27" x14ac:dyDescent="0.25">
      <c r="A1163" t="str">
        <f>"11/03/2014"</f>
        <v>11/03/2014</v>
      </c>
      <c r="B1163" s="3">
        <f>AUD!B1163</f>
        <v>0.90300000000000002</v>
      </c>
      <c r="C1163" s="3">
        <f>AUD!C1163</f>
        <v>0.90100000000000002</v>
      </c>
      <c r="D1163" s="3">
        <f>1/CAD!B1163</f>
        <v>0.89968511021142605</v>
      </c>
      <c r="E1163" s="3">
        <f>1/CAD!C1163</f>
        <v>0.89895720963682124</v>
      </c>
      <c r="F1163" s="3">
        <f>EUR!B1163/1</f>
        <v>1.3868</v>
      </c>
      <c r="G1163" s="3">
        <f>EUR!C1163/1</f>
        <v>1.3867</v>
      </c>
      <c r="H1163" s="3">
        <f>GBP!B1163/1</f>
        <v>1.6641999999999999</v>
      </c>
      <c r="I1163" s="3">
        <f>GBP!C1163/1</f>
        <v>1.6637</v>
      </c>
      <c r="J1163" s="4">
        <f>1/INR!B1163</f>
        <v>1.6488046166529265E-2</v>
      </c>
      <c r="K1163" s="4">
        <f>1/INR!C1163</f>
        <v>1.6327863499061148E-2</v>
      </c>
      <c r="L1163" s="4">
        <f>1/JPY!B1163</f>
        <v>9.6865434538339328E-3</v>
      </c>
      <c r="M1163" s="4">
        <f>1/JPY!C1163</f>
        <v>9.6880449525285801E-3</v>
      </c>
      <c r="N1163" s="5">
        <f>1/KRW!B1163</f>
        <v>9.3940817285110385E-4</v>
      </c>
      <c r="O1163" s="5">
        <f>1/KRW!C1163</f>
        <v>9.3938831729719187E-4</v>
      </c>
      <c r="P1163" s="3">
        <f>1/NOK!B1163</f>
        <v>0.16776834546857697</v>
      </c>
      <c r="Q1163" s="3">
        <f>1/NOK!C1163</f>
        <v>0.16755189920077743</v>
      </c>
      <c r="R1163" s="3">
        <f>NZD!B1163/1</f>
        <v>0.84830000000000005</v>
      </c>
      <c r="S1163" s="3">
        <f>NZD!C1163/1</f>
        <v>0.84619999999999995</v>
      </c>
      <c r="T1163" s="4">
        <f>1/PHP!B1163</f>
        <v>2.2484541877459244E-2</v>
      </c>
      <c r="U1163" s="4">
        <f>1/PHP!C1163</f>
        <v>2.2468779630703137E-2</v>
      </c>
      <c r="V1163" s="4">
        <f>1/TWD!B1163</f>
        <v>3.3018556428712938E-2</v>
      </c>
      <c r="W1163" s="4">
        <f>1/TWD!C1163</f>
        <v>3.301877447516658E-2</v>
      </c>
      <c r="X1163" s="4">
        <f>1/TWD!B1163</f>
        <v>3.3018556428712938E-2</v>
      </c>
      <c r="Y1163" s="4">
        <f>1/TWD!C1163</f>
        <v>3.301877447516658E-2</v>
      </c>
      <c r="Z1163" s="4">
        <f>1/ZAR!B1163</f>
        <v>9.3008547485513918E-2</v>
      </c>
      <c r="AA1163" s="4">
        <f>1/ZAR!C1163</f>
        <v>9.2513784553898526E-2</v>
      </c>
    </row>
    <row r="1164" spans="1:27" x14ac:dyDescent="0.25">
      <c r="A1164" t="str">
        <f>"12/03/2014"</f>
        <v>12/03/2014</v>
      </c>
      <c r="B1164" s="3">
        <f>AUD!B1164</f>
        <v>0.89629999999999999</v>
      </c>
      <c r="C1164" s="3">
        <f>AUD!C1164</f>
        <v>0.89449999999999996</v>
      </c>
      <c r="D1164" s="3">
        <f>1/CAD!B1164</f>
        <v>0.89976606082418575</v>
      </c>
      <c r="E1164" s="3">
        <f>1/CAD!C1164</f>
        <v>0.89911886351375647</v>
      </c>
      <c r="F1164" s="3">
        <f>EUR!B1164/1</f>
        <v>1.3851</v>
      </c>
      <c r="G1164" s="3">
        <f>EUR!C1164/1</f>
        <v>1.3851</v>
      </c>
      <c r="H1164" s="3">
        <f>GBP!B1164/1</f>
        <v>1.6625000000000001</v>
      </c>
      <c r="I1164" s="3">
        <f>GBP!C1164/1</f>
        <v>1.6620999999999999</v>
      </c>
      <c r="J1164" s="4">
        <f>1/INR!B1164</f>
        <v>1.6371301109155648E-2</v>
      </c>
      <c r="K1164" s="4">
        <f>1/INR!C1164</f>
        <v>1.6215997081120526E-2</v>
      </c>
      <c r="L1164" s="4">
        <f>1/JPY!B1164</f>
        <v>9.7065703774885225E-3</v>
      </c>
      <c r="M1164" s="4">
        <f>1/JPY!C1164</f>
        <v>9.7080309686187905E-3</v>
      </c>
      <c r="N1164" s="5">
        <f>1/KRW!B1164</f>
        <v>9.3485465347275132E-4</v>
      </c>
      <c r="O1164" s="5">
        <f>1/KRW!C1164</f>
        <v>9.3483586385611377E-4</v>
      </c>
      <c r="P1164" s="3">
        <f>1/NOK!B1164</f>
        <v>0.16780775943079607</v>
      </c>
      <c r="Q1164" s="3">
        <f>1/NOK!C1164</f>
        <v>0.16759682906799403</v>
      </c>
      <c r="R1164" s="3">
        <f>NZD!B1164/1</f>
        <v>0.84740000000000004</v>
      </c>
      <c r="S1164" s="3">
        <f>NZD!C1164/1</f>
        <v>0.84540000000000004</v>
      </c>
      <c r="T1164" s="4">
        <f>1/PHP!B1164</f>
        <v>2.2406453058480841E-2</v>
      </c>
      <c r="U1164" s="4">
        <f>1/PHP!C1164</f>
        <v>2.2386639653454818E-2</v>
      </c>
      <c r="V1164" s="4">
        <f>1/TWD!B1164</f>
        <v>3.2971743216063831E-2</v>
      </c>
      <c r="W1164" s="4">
        <f>1/TWD!C1164</f>
        <v>3.2971960644667772E-2</v>
      </c>
      <c r="X1164" s="4">
        <f>1/TWD!B1164</f>
        <v>3.2971743216063831E-2</v>
      </c>
      <c r="Y1164" s="4">
        <f>1/TWD!C1164</f>
        <v>3.2971960644667772E-2</v>
      </c>
      <c r="Z1164" s="4">
        <f>1/ZAR!B1164</f>
        <v>9.1959942249156268E-2</v>
      </c>
      <c r="AA1164" s="4">
        <f>1/ZAR!C1164</f>
        <v>9.1486286205697764E-2</v>
      </c>
    </row>
    <row r="1165" spans="1:27" x14ac:dyDescent="0.25">
      <c r="A1165" t="str">
        <f>"13/03/2014"</f>
        <v>13/03/2014</v>
      </c>
      <c r="B1165" s="3">
        <f>AUD!B1165</f>
        <v>0.90710000000000002</v>
      </c>
      <c r="C1165" s="3">
        <f>AUD!C1165</f>
        <v>0.9052</v>
      </c>
      <c r="D1165" s="3">
        <f>1/CAD!B1165</f>
        <v>0.9014693951140359</v>
      </c>
      <c r="E1165" s="3">
        <f>1/CAD!C1165</f>
        <v>0.90081974596883152</v>
      </c>
      <c r="F1165" s="3">
        <f>EUR!B1165/1</f>
        <v>1.3935</v>
      </c>
      <c r="G1165" s="3">
        <f>EUR!C1165/1</f>
        <v>1.3935</v>
      </c>
      <c r="H1165" s="3">
        <f>GBP!B1165/1</f>
        <v>1.6662999999999999</v>
      </c>
      <c r="I1165" s="3">
        <f>GBP!C1165/1</f>
        <v>1.6658999999999999</v>
      </c>
      <c r="J1165" s="4">
        <f>1/INR!B1165</f>
        <v>1.6404199475065617E-2</v>
      </c>
      <c r="K1165" s="4">
        <f>1/INR!C1165</f>
        <v>1.6236402013313847E-2</v>
      </c>
      <c r="L1165" s="4">
        <f>1/JPY!B1165</f>
        <v>9.731602405652115E-3</v>
      </c>
      <c r="M1165" s="4">
        <f>1/JPY!C1165</f>
        <v>9.733023174328179E-3</v>
      </c>
      <c r="N1165" s="5">
        <f>1/KRW!B1165</f>
        <v>9.3722908221842134E-4</v>
      </c>
      <c r="O1165" s="5">
        <f>1/KRW!C1165</f>
        <v>9.3721063621606817E-4</v>
      </c>
      <c r="P1165" s="3">
        <f>1/NOK!B1165</f>
        <v>0.16833883240185846</v>
      </c>
      <c r="Q1165" s="3">
        <f>1/NOK!C1165</f>
        <v>0.16807852628748152</v>
      </c>
      <c r="R1165" s="3">
        <f>NZD!B1165/1</f>
        <v>0.85629999999999995</v>
      </c>
      <c r="S1165" s="3">
        <f>NZD!C1165/1</f>
        <v>0.85429999999999995</v>
      </c>
      <c r="T1165" s="4">
        <f>1/PHP!B1165</f>
        <v>2.2456770716370984E-2</v>
      </c>
      <c r="U1165" s="4">
        <f>1/PHP!C1165</f>
        <v>2.2438982796031889E-2</v>
      </c>
      <c r="V1165" s="4">
        <f>1/TWD!B1165</f>
        <v>3.2978267321834911E-2</v>
      </c>
      <c r="W1165" s="4">
        <f>1/TWD!C1165</f>
        <v>3.2978484836492669E-2</v>
      </c>
      <c r="X1165" s="4">
        <f>1/TWD!B1165</f>
        <v>3.2978267321834911E-2</v>
      </c>
      <c r="Y1165" s="4">
        <f>1/TWD!C1165</f>
        <v>3.2978484836492669E-2</v>
      </c>
      <c r="Z1165" s="4">
        <f>1/ZAR!B1165</f>
        <v>9.2834133254114867E-2</v>
      </c>
      <c r="AA1165" s="4">
        <f>1/ZAR!C1165</f>
        <v>9.2349746961693319E-2</v>
      </c>
    </row>
    <row r="1166" spans="1:27" x14ac:dyDescent="0.25">
      <c r="A1166" t="str">
        <f>"14/03/2014"</f>
        <v>14/03/2014</v>
      </c>
      <c r="B1166" s="3">
        <f>AUD!B1166</f>
        <v>0.90169999999999995</v>
      </c>
      <c r="C1166" s="3">
        <f>AUD!C1166</f>
        <v>0.89949999999999997</v>
      </c>
      <c r="D1166" s="3">
        <f>1/CAD!B1166</f>
        <v>0.90114445345588901</v>
      </c>
      <c r="E1166" s="3">
        <f>1/CAD!C1166</f>
        <v>0.90049527239981986</v>
      </c>
      <c r="F1166" s="3">
        <f>EUR!B1166/1</f>
        <v>1.3861000000000001</v>
      </c>
      <c r="G1166" s="3">
        <f>EUR!C1166/1</f>
        <v>1.3859999999999999</v>
      </c>
      <c r="H1166" s="3">
        <f>GBP!B1166/1</f>
        <v>1.6623000000000001</v>
      </c>
      <c r="I1166" s="3">
        <f>GBP!C1166/1</f>
        <v>1.6617999999999999</v>
      </c>
      <c r="J1166" s="4">
        <f>1/INR!B1166</f>
        <v>1.6265452179570594E-2</v>
      </c>
      <c r="K1166" s="4">
        <f>1/INR!C1166</f>
        <v>1.6116035455278004E-2</v>
      </c>
      <c r="L1166" s="4">
        <f>1/JPY!B1166</f>
        <v>9.8320682738820935E-3</v>
      </c>
      <c r="M1166" s="4">
        <f>1/JPY!C1166</f>
        <v>9.8335572106524952E-3</v>
      </c>
      <c r="N1166" s="5">
        <f>1/KRW!B1166</f>
        <v>9.3318402388951113E-4</v>
      </c>
      <c r="O1166" s="5">
        <f>1/KRW!C1166</f>
        <v>9.3316347269694331E-4</v>
      </c>
      <c r="P1166" s="3">
        <f>1/NOK!B1166</f>
        <v>0.16719332564244035</v>
      </c>
      <c r="Q1166" s="3">
        <f>1/NOK!C1166</f>
        <v>0.16695605716575396</v>
      </c>
      <c r="R1166" s="3">
        <f>NZD!B1166/1</f>
        <v>0.8538</v>
      </c>
      <c r="S1166" s="3">
        <f>NZD!C1166/1</f>
        <v>0.85150000000000003</v>
      </c>
      <c r="T1166" s="4">
        <f>1/PHP!B1166</f>
        <v>2.2396416573348264E-2</v>
      </c>
      <c r="U1166" s="4">
        <f>1/PHP!C1166</f>
        <v>2.2375519391743884E-2</v>
      </c>
      <c r="V1166" s="4">
        <f>1/TWD!B1166</f>
        <v>3.2973917631153753E-2</v>
      </c>
      <c r="W1166" s="4">
        <f>1/TWD!C1166</f>
        <v>3.2974135088436635E-2</v>
      </c>
      <c r="X1166" s="4">
        <f>1/TWD!B1166</f>
        <v>3.2973917631153753E-2</v>
      </c>
      <c r="Y1166" s="4">
        <f>1/TWD!C1166</f>
        <v>3.2974135088436635E-2</v>
      </c>
      <c r="Z1166" s="4">
        <f>1/ZAR!B1166</f>
        <v>9.2506938020351523E-2</v>
      </c>
      <c r="AA1166" s="4">
        <f>1/ZAR!C1166</f>
        <v>9.1961633606459384E-2</v>
      </c>
    </row>
    <row r="1167" spans="1:27" x14ac:dyDescent="0.25">
      <c r="A1167" t="str">
        <f>"18/03/2014"</f>
        <v>18/03/2014</v>
      </c>
      <c r="B1167" s="3">
        <f>AUD!B1167</f>
        <v>0.90769999999999995</v>
      </c>
      <c r="C1167" s="3">
        <f>AUD!C1167</f>
        <v>0.90569999999999995</v>
      </c>
      <c r="D1167" s="3">
        <f>1/CAD!B1167</f>
        <v>0.90448625180897257</v>
      </c>
      <c r="E1167" s="3">
        <f>1/CAD!C1167</f>
        <v>0.90375056484410299</v>
      </c>
      <c r="F1167" s="3">
        <f>EUR!B1167/1</f>
        <v>1.3931</v>
      </c>
      <c r="G1167" s="3">
        <f>EUR!C1167/1</f>
        <v>1.3931</v>
      </c>
      <c r="H1167" s="3">
        <f>GBP!B1167/1</f>
        <v>1.6637</v>
      </c>
      <c r="I1167" s="3">
        <f>GBP!C1167/1</f>
        <v>1.6633</v>
      </c>
      <c r="J1167" s="4">
        <f>1/INR!B1167</f>
        <v>1.6418339284981324E-2</v>
      </c>
      <c r="K1167" s="4">
        <f>1/INR!C1167</f>
        <v>1.6268098259313486E-2</v>
      </c>
      <c r="L1167" s="4">
        <f>1/JPY!B1167</f>
        <v>9.8228932349734288E-3</v>
      </c>
      <c r="M1167" s="4">
        <f>1/JPY!C1167</f>
        <v>9.8244952174357282E-3</v>
      </c>
      <c r="N1167" s="5">
        <f>1/KRW!B1167</f>
        <v>9.3580385551188478E-4</v>
      </c>
      <c r="O1167" s="5">
        <f>1/KRW!C1167</f>
        <v>9.357854655673058E-4</v>
      </c>
      <c r="P1167" s="3">
        <f>1/NOK!B1167</f>
        <v>0.16797406480439422</v>
      </c>
      <c r="Q1167" s="3">
        <f>1/NOK!C1167</f>
        <v>0.16774301769688837</v>
      </c>
      <c r="R1167" s="3">
        <f>NZD!B1167/1</f>
        <v>0.85580000000000001</v>
      </c>
      <c r="S1167" s="3">
        <f>NZD!C1167/1</f>
        <v>0.85360000000000003</v>
      </c>
      <c r="T1167" s="4">
        <f>1/PHP!B1167</f>
        <v>2.2401433691756272E-2</v>
      </c>
      <c r="U1167" s="4">
        <f>1/PHP!C1167</f>
        <v>2.2382280396255894E-2</v>
      </c>
      <c r="V1167" s="4">
        <f>1/TWD!B1167</f>
        <v>3.2965765052992466E-2</v>
      </c>
      <c r="W1167" s="4">
        <f>1/TWD!C1167</f>
        <v>3.2965982402758595E-2</v>
      </c>
      <c r="X1167" s="4">
        <f>1/TWD!B1167</f>
        <v>3.2965765052992466E-2</v>
      </c>
      <c r="Y1167" s="4">
        <f>1/TWD!C1167</f>
        <v>3.2965982402758595E-2</v>
      </c>
      <c r="Z1167" s="4">
        <f>1/ZAR!B1167</f>
        <v>9.2748891650744764E-2</v>
      </c>
      <c r="AA1167" s="4">
        <f>1/ZAR!C1167</f>
        <v>9.2243263935651104E-2</v>
      </c>
    </row>
    <row r="1168" spans="1:27" x14ac:dyDescent="0.25">
      <c r="A1168" t="str">
        <f>"19/03/2014"</f>
        <v>19/03/2014</v>
      </c>
      <c r="B1168" s="3">
        <f>AUD!B1168</f>
        <v>0.91210000000000002</v>
      </c>
      <c r="C1168" s="3">
        <f>AUD!C1168</f>
        <v>0.91010000000000002</v>
      </c>
      <c r="D1168" s="3">
        <f>1/CAD!B1168</f>
        <v>0.89903802930863974</v>
      </c>
      <c r="E1168" s="3">
        <f>1/CAD!C1168</f>
        <v>0.89839187853741809</v>
      </c>
      <c r="F1168" s="3">
        <f>EUR!B1168/1</f>
        <v>1.3923000000000001</v>
      </c>
      <c r="G1168" s="3">
        <f>EUR!C1168/1</f>
        <v>1.3922000000000001</v>
      </c>
      <c r="H1168" s="3">
        <f>GBP!B1168/1</f>
        <v>1.6595</v>
      </c>
      <c r="I1168" s="3">
        <f>GBP!C1168/1</f>
        <v>1.6591</v>
      </c>
      <c r="J1168" s="4">
        <f>1/INR!B1168</f>
        <v>1.6353229762878167E-2</v>
      </c>
      <c r="K1168" s="4">
        <f>1/INR!C1168</f>
        <v>1.6206798752076496E-2</v>
      </c>
      <c r="L1168" s="4">
        <f>1/JPY!B1168</f>
        <v>9.8516343861446611E-3</v>
      </c>
      <c r="M1168" s="4">
        <f>1/JPY!C1168</f>
        <v>9.8531875061582432E-3</v>
      </c>
      <c r="N1168" s="5">
        <f>1/KRW!B1168</f>
        <v>9.3318402388951113E-4</v>
      </c>
      <c r="O1168" s="5">
        <f>1/KRW!C1168</f>
        <v>9.3316573676700994E-4</v>
      </c>
      <c r="P1168" s="3">
        <f>1/NOK!B1168</f>
        <v>0.16789509914205603</v>
      </c>
      <c r="Q1168" s="3">
        <f>1/NOK!C1168</f>
        <v>0.16767551434464026</v>
      </c>
      <c r="R1168" s="3">
        <f>NZD!B1168/1</f>
        <v>0.86109999999999998</v>
      </c>
      <c r="S1168" s="3">
        <f>NZD!C1168/1</f>
        <v>0.85899999999999999</v>
      </c>
      <c r="T1168" s="4">
        <f>1/PHP!B1168</f>
        <v>2.2281639928698752E-2</v>
      </c>
      <c r="U1168" s="4">
        <f>1/PHP!C1168</f>
        <v>2.2259321090706736E-2</v>
      </c>
      <c r="V1168" s="4">
        <f>1/TWD!B1168</f>
        <v>3.2862306933946761E-2</v>
      </c>
      <c r="W1168" s="4">
        <f>1/TWD!C1168</f>
        <v>3.2862522921609738E-2</v>
      </c>
      <c r="X1168" s="4">
        <f>1/TWD!B1168</f>
        <v>3.2862306933946761E-2</v>
      </c>
      <c r="Y1168" s="4">
        <f>1/TWD!C1168</f>
        <v>3.2862522921609738E-2</v>
      </c>
      <c r="Z1168" s="4">
        <f>1/ZAR!B1168</f>
        <v>9.3104668268066959E-2</v>
      </c>
      <c r="AA1168" s="4">
        <f>1/ZAR!C1168</f>
        <v>9.2616604304819772E-2</v>
      </c>
    </row>
    <row r="1169" spans="1:27" x14ac:dyDescent="0.25">
      <c r="A1169" t="str">
        <f>"20/03/2014"</f>
        <v>20/03/2014</v>
      </c>
      <c r="B1169" s="3">
        <f>AUD!B1169</f>
        <v>0.90190000000000003</v>
      </c>
      <c r="C1169" s="3">
        <f>AUD!C1169</f>
        <v>0.9</v>
      </c>
      <c r="D1169" s="3">
        <f>1/CAD!B1169</f>
        <v>0.88912598915266294</v>
      </c>
      <c r="E1169" s="3">
        <f>1/CAD!C1169</f>
        <v>0.88849400266548206</v>
      </c>
      <c r="F1169" s="3">
        <f>EUR!B1169/1</f>
        <v>1.3832</v>
      </c>
      <c r="G1169" s="3">
        <f>EUR!C1169/1</f>
        <v>1.3831</v>
      </c>
      <c r="H1169" s="3">
        <f>GBP!B1169/1</f>
        <v>1.6539999999999999</v>
      </c>
      <c r="I1169" s="3">
        <f>GBP!C1169/1</f>
        <v>1.6536</v>
      </c>
      <c r="J1169" s="4">
        <f>1/INR!B1169</f>
        <v>1.6339201829990605E-2</v>
      </c>
      <c r="K1169" s="4">
        <f>1/INR!C1169</f>
        <v>1.6195643371932952E-2</v>
      </c>
      <c r="L1169" s="4">
        <f>1/JPY!B1169</f>
        <v>9.7777517037732353E-3</v>
      </c>
      <c r="M1169" s="4">
        <f>1/JPY!C1169</f>
        <v>9.7793772492567668E-3</v>
      </c>
      <c r="N1169" s="5">
        <f>1/KRW!B1169</f>
        <v>9.2915646530297475E-4</v>
      </c>
      <c r="O1169" s="5">
        <f>1/KRW!C1169</f>
        <v>9.2913540048616093E-4</v>
      </c>
      <c r="P1169" s="3">
        <f>1/NOK!B1169</f>
        <v>0.16524282433035345</v>
      </c>
      <c r="Q1169" s="3">
        <f>1/NOK!C1169</f>
        <v>0.16503828888302086</v>
      </c>
      <c r="R1169" s="3">
        <f>NZD!B1169/1</f>
        <v>0.8528</v>
      </c>
      <c r="S1169" s="3">
        <f>NZD!C1169/1</f>
        <v>0.8508</v>
      </c>
      <c r="T1169" s="4">
        <f>1/PHP!B1169</f>
        <v>2.2192632046160673E-2</v>
      </c>
      <c r="U1169" s="4">
        <f>1/PHP!C1169</f>
        <v>2.2168033695411218E-2</v>
      </c>
      <c r="V1169" s="4">
        <f>1/TWD!B1169</f>
        <v>3.2742870240005238E-2</v>
      </c>
      <c r="W1169" s="4">
        <f>1/TWD!C1169</f>
        <v>3.27430846605197E-2</v>
      </c>
      <c r="X1169" s="4">
        <f>1/TWD!B1169</f>
        <v>3.2742870240005238E-2</v>
      </c>
      <c r="Y1169" s="4">
        <f>1/TWD!C1169</f>
        <v>3.27430846605197E-2</v>
      </c>
      <c r="Z1169" s="4">
        <f>1/ZAR!B1169</f>
        <v>9.1948949942991645E-2</v>
      </c>
      <c r="AA1169" s="4">
        <f>1/ZAR!C1169</f>
        <v>9.1469549786875937E-2</v>
      </c>
    </row>
    <row r="1170" spans="1:27" x14ac:dyDescent="0.25">
      <c r="A1170" t="str">
        <f>"21/03/2014"</f>
        <v>21/03/2014</v>
      </c>
      <c r="B1170" s="3">
        <f>AUD!B1170</f>
        <v>0.90600000000000003</v>
      </c>
      <c r="C1170" s="3">
        <f>AUD!C1170</f>
        <v>0.90390000000000004</v>
      </c>
      <c r="D1170" s="3">
        <f>1/CAD!B1170</f>
        <v>0.88912598915266294</v>
      </c>
      <c r="E1170" s="3">
        <f>1/CAD!C1170</f>
        <v>0.88849400266548206</v>
      </c>
      <c r="F1170" s="3">
        <f>EUR!B1170/1</f>
        <v>1.3783000000000001</v>
      </c>
      <c r="G1170" s="3">
        <f>EUR!C1170/1</f>
        <v>1.3782000000000001</v>
      </c>
      <c r="H1170" s="3">
        <f>GBP!B1170/1</f>
        <v>1.6508</v>
      </c>
      <c r="I1170" s="3">
        <f>GBP!C1170/1</f>
        <v>1.6504000000000001</v>
      </c>
      <c r="J1170" s="4">
        <f>1/INR!B1170</f>
        <v>1.6387398090868123E-2</v>
      </c>
      <c r="K1170" s="4">
        <f>1/INR!C1170</f>
        <v>1.6250253910217345E-2</v>
      </c>
      <c r="L1170" s="4">
        <f>1/JPY!B1170</f>
        <v>9.7698229708077702E-3</v>
      </c>
      <c r="M1170" s="4">
        <f>1/JPY!C1170</f>
        <v>9.7713981405029345E-3</v>
      </c>
      <c r="N1170" s="5">
        <f>1/KRW!B1170</f>
        <v>9.2412900840957402E-4</v>
      </c>
      <c r="O1170" s="5">
        <f>1/KRW!C1170</f>
        <v>9.2410808552989988E-4</v>
      </c>
      <c r="P1170" s="3">
        <f>1/NOK!B1170</f>
        <v>0.16506280639783438</v>
      </c>
      <c r="Q1170" s="3">
        <f>1/NOK!C1170</f>
        <v>0.16485599828549763</v>
      </c>
      <c r="R1170" s="3">
        <f>NZD!B1170/1</f>
        <v>0.85370000000000001</v>
      </c>
      <c r="S1170" s="3">
        <f>NZD!C1170/1</f>
        <v>0.85150000000000003</v>
      </c>
      <c r="T1170" s="4">
        <f>1/PHP!B1170</f>
        <v>2.210188971157034E-2</v>
      </c>
      <c r="U1170" s="4">
        <f>1/PHP!C1170</f>
        <v>2.207261891623441E-2</v>
      </c>
      <c r="V1170" s="4">
        <f>1/TWD!B1170</f>
        <v>3.2652528121989849E-2</v>
      </c>
      <c r="W1170" s="4">
        <f>1/TWD!C1170</f>
        <v>3.2652741360900954E-2</v>
      </c>
      <c r="X1170" s="4">
        <f>1/TWD!B1170</f>
        <v>3.2652528121989849E-2</v>
      </c>
      <c r="Y1170" s="4">
        <f>1/TWD!C1170</f>
        <v>3.2652741360900954E-2</v>
      </c>
      <c r="Z1170" s="4">
        <f>1/ZAR!B1170</f>
        <v>9.1658188284250375E-2</v>
      </c>
      <c r="AA1170" s="4">
        <f>1/ZAR!C1170</f>
        <v>9.1174325309992713E-2</v>
      </c>
    </row>
    <row r="1171" spans="1:27" x14ac:dyDescent="0.25">
      <c r="A1171" t="str">
        <f>"24/03/2014"</f>
        <v>24/03/2014</v>
      </c>
      <c r="B1171" s="3">
        <f>AUD!B1171</f>
        <v>0.90759999999999996</v>
      </c>
      <c r="C1171" s="3">
        <f>AUD!C1171</f>
        <v>0.90559999999999996</v>
      </c>
      <c r="D1171" s="3">
        <f>1/CAD!B1171</f>
        <v>0.89023413157660469</v>
      </c>
      <c r="E1171" s="3">
        <f>1/CAD!C1171</f>
        <v>0.88960056934436427</v>
      </c>
      <c r="F1171" s="3">
        <f>EUR!B1171/1</f>
        <v>1.3801000000000001</v>
      </c>
      <c r="G1171" s="3">
        <f>EUR!C1171/1</f>
        <v>1.38</v>
      </c>
      <c r="H1171" s="3">
        <f>GBP!B1171/1</f>
        <v>1.6488</v>
      </c>
      <c r="I1171" s="3">
        <f>GBP!C1171/1</f>
        <v>1.6483000000000001</v>
      </c>
      <c r="J1171" s="4">
        <f>1/INR!B1171</f>
        <v>1.6480573523958632E-2</v>
      </c>
      <c r="K1171" s="4">
        <f>1/INR!C1171</f>
        <v>1.6336532570961813E-2</v>
      </c>
      <c r="L1171" s="4" t="e">
        <f>1/JPY!B1171</f>
        <v>#DIV/0!</v>
      </c>
      <c r="M1171" s="4" t="e">
        <f>1/JPY!C1171</f>
        <v>#DIV/0!</v>
      </c>
      <c r="N1171" s="5">
        <f>1/KRW!B1171</f>
        <v>9.2592592592592596E-4</v>
      </c>
      <c r="O1171" s="5">
        <f>1/KRW!C1171</f>
        <v>9.2590835081371133E-4</v>
      </c>
      <c r="P1171" s="3">
        <f>1/NOK!B1171</f>
        <v>0.16518550332022863</v>
      </c>
      <c r="Q1171" s="3">
        <f>1/NOK!C1171</f>
        <v>0.16496750140222377</v>
      </c>
      <c r="R1171" s="3">
        <f>NZD!B1171/1</f>
        <v>0.85329999999999995</v>
      </c>
      <c r="S1171" s="3">
        <f>NZD!C1171/1</f>
        <v>0.85119999999999996</v>
      </c>
      <c r="T1171" s="4">
        <f>1/PHP!B1171</f>
        <v>2.2128789555211331E-2</v>
      </c>
      <c r="U1171" s="4">
        <f>1/PHP!C1171</f>
        <v>2.2104723337282712E-2</v>
      </c>
      <c r="V1171" s="4">
        <f>1/TWD!B1171</f>
        <v>3.2696834946377193E-2</v>
      </c>
      <c r="W1171" s="4">
        <f>1/TWD!C1171</f>
        <v>3.269715567442788E-2</v>
      </c>
      <c r="X1171" s="4">
        <f>1/TWD!B1171</f>
        <v>3.2696834946377193E-2</v>
      </c>
      <c r="Y1171" s="4">
        <f>1/TWD!C1171</f>
        <v>3.269715567442788E-2</v>
      </c>
      <c r="Z1171" s="4">
        <f>1/ZAR!B1171</f>
        <v>9.1585994669695109E-2</v>
      </c>
      <c r="AA1171" s="4">
        <f>1/ZAR!C1171</f>
        <v>9.1055607659597707E-2</v>
      </c>
    </row>
    <row r="1172" spans="1:27" x14ac:dyDescent="0.25">
      <c r="A1172" t="str">
        <f>"25/03/2014"</f>
        <v>25/03/2014</v>
      </c>
      <c r="B1172" s="3">
        <f>AUD!B1172</f>
        <v>0.91379999999999995</v>
      </c>
      <c r="C1172" s="3">
        <f>AUD!C1172</f>
        <v>0.91180000000000005</v>
      </c>
      <c r="D1172" s="3">
        <f>1/CAD!B1172</f>
        <v>0.89293686936333605</v>
      </c>
      <c r="E1172" s="3">
        <f>1/CAD!C1172</f>
        <v>0.89229945569733204</v>
      </c>
      <c r="F1172" s="3">
        <f>EUR!B1172/1</f>
        <v>1.3834</v>
      </c>
      <c r="G1172" s="3">
        <f>EUR!C1172/1</f>
        <v>1.3833</v>
      </c>
      <c r="H1172" s="3">
        <f>GBP!B1172/1</f>
        <v>1.6495</v>
      </c>
      <c r="I1172" s="3">
        <f>GBP!C1172/1</f>
        <v>1.6491</v>
      </c>
      <c r="J1172" s="4">
        <f>1/INR!B1172</f>
        <v>1.6528925619834711E-2</v>
      </c>
      <c r="K1172" s="4">
        <f>1/INR!C1172</f>
        <v>1.6388740934977671E-2</v>
      </c>
      <c r="L1172" s="4">
        <f>1/JPY!B1172</f>
        <v>9.7717323327079428E-3</v>
      </c>
      <c r="M1172" s="4">
        <f>1/JPY!C1172</f>
        <v>9.7734418446003193E-3</v>
      </c>
      <c r="N1172" s="5">
        <f>1/KRW!B1172</f>
        <v>9.2664665109900288E-4</v>
      </c>
      <c r="O1172" s="5">
        <f>1/KRW!C1172</f>
        <v>9.2662947793695205E-4</v>
      </c>
      <c r="P1172" s="3">
        <f>1/NOK!B1172</f>
        <v>0.16603297414866594</v>
      </c>
      <c r="Q1172" s="3">
        <f>1/NOK!C1172</f>
        <v>0.16581823005621238</v>
      </c>
      <c r="R1172" s="3">
        <f>NZD!B1172/1</f>
        <v>0.85509999999999997</v>
      </c>
      <c r="S1172" s="3">
        <f>NZD!C1172/1</f>
        <v>0.85299999999999998</v>
      </c>
      <c r="T1172" s="4">
        <f>1/PHP!B1172</f>
        <v>2.2185246810870769E-2</v>
      </c>
      <c r="U1172" s="4">
        <f>1/PHP!C1172</f>
        <v>2.2162432903234386E-2</v>
      </c>
      <c r="V1172" s="4">
        <f>1/TWD!B1172</f>
        <v>3.2750376629331238E-2</v>
      </c>
      <c r="W1172" s="4">
        <f>1/TWD!C1172</f>
        <v>3.2750591148170229E-2</v>
      </c>
      <c r="X1172" s="4">
        <f>1/TWD!B1172</f>
        <v>3.2750376629331238E-2</v>
      </c>
      <c r="Y1172" s="4">
        <f>1/TWD!C1172</f>
        <v>3.2750591148170229E-2</v>
      </c>
      <c r="Z1172" s="4">
        <f>1/ZAR!B1172</f>
        <v>9.2250922509225092E-2</v>
      </c>
      <c r="AA1172" s="4">
        <f>1/ZAR!C1172</f>
        <v>9.172628875435701E-2</v>
      </c>
    </row>
    <row r="1173" spans="1:27" x14ac:dyDescent="0.25">
      <c r="A1173" t="str">
        <f>"26/03/2014"</f>
        <v>26/03/2014</v>
      </c>
      <c r="B1173" s="3">
        <f>AUD!B1173</f>
        <v>0.91900000000000004</v>
      </c>
      <c r="C1173" s="3">
        <f>AUD!C1173</f>
        <v>0.91710000000000003</v>
      </c>
      <c r="D1173" s="3">
        <f>1/CAD!B1173</f>
        <v>0.8962982880702699</v>
      </c>
      <c r="E1173" s="3">
        <f>1/CAD!C1173</f>
        <v>0.89565606806986109</v>
      </c>
      <c r="F1173" s="3">
        <f>EUR!B1173/1</f>
        <v>1.3813</v>
      </c>
      <c r="G1173" s="3">
        <f>EUR!C1173/1</f>
        <v>1.3812</v>
      </c>
      <c r="H1173" s="3">
        <f>GBP!B1173/1</f>
        <v>1.6532</v>
      </c>
      <c r="I1173" s="3">
        <f>GBP!C1173/1</f>
        <v>1.6528</v>
      </c>
      <c r="J1173" s="4">
        <f>1/INR!B1173</f>
        <v>1.659475605708596E-2</v>
      </c>
      <c r="K1173" s="4">
        <f>1/INR!C1173</f>
        <v>1.6446692159039513E-2</v>
      </c>
      <c r="L1173" s="4">
        <f>1/JPY!B1173</f>
        <v>9.7779429163692543E-3</v>
      </c>
      <c r="M1173" s="4">
        <f>1/JPY!C1173</f>
        <v>9.7797119874819694E-3</v>
      </c>
      <c r="N1173" s="5">
        <f>1/KRW!B1173</f>
        <v>9.3057882002605633E-4</v>
      </c>
      <c r="O1173" s="5">
        <f>1/KRW!C1173</f>
        <v>9.3056106783743662E-4</v>
      </c>
      <c r="P1173" s="3">
        <f>1/NOK!B1173</f>
        <v>0.16563695691782751</v>
      </c>
      <c r="Q1173" s="3">
        <f>1/NOK!C1173</f>
        <v>0.16542597187758479</v>
      </c>
      <c r="R1173" s="3">
        <f>NZD!B1173/1</f>
        <v>0.85950000000000004</v>
      </c>
      <c r="S1173" s="3">
        <f>NZD!C1173/1</f>
        <v>0.85740000000000005</v>
      </c>
      <c r="T1173" s="4">
        <f>1/PHP!B1173</f>
        <v>2.22000222000222E-2</v>
      </c>
      <c r="U1173" s="4">
        <f>1/PHP!C1173</f>
        <v>2.2179342160711511E-2</v>
      </c>
      <c r="V1173" s="4">
        <f>1/TWD!B1173</f>
        <v>3.2731081434930608E-2</v>
      </c>
      <c r="W1173" s="4">
        <f>1/TWD!C1173</f>
        <v>3.2731295701071625E-2</v>
      </c>
      <c r="X1173" s="4">
        <f>1/TWD!B1173</f>
        <v>3.2731081434930608E-2</v>
      </c>
      <c r="Y1173" s="4">
        <f>1/TWD!C1173</f>
        <v>3.2731295701071625E-2</v>
      </c>
      <c r="Z1173" s="4">
        <f>1/ZAR!B1173</f>
        <v>9.3002492466798106E-2</v>
      </c>
      <c r="AA1173" s="4">
        <f>1/ZAR!C1173</f>
        <v>9.2501803785173808E-2</v>
      </c>
    </row>
    <row r="1174" spans="1:27" x14ac:dyDescent="0.25">
      <c r="A1174" t="str">
        <f>"27/03/2014"</f>
        <v>27/03/2014</v>
      </c>
      <c r="B1174" s="3">
        <f>AUD!B1174</f>
        <v>0.92369999999999997</v>
      </c>
      <c r="C1174" s="3">
        <f>AUD!C1174</f>
        <v>0.92179999999999995</v>
      </c>
      <c r="D1174" s="3">
        <f>1/CAD!B1174</f>
        <v>0.90130689499774674</v>
      </c>
      <c r="E1174" s="3">
        <f>1/CAD!C1174</f>
        <v>0.90065747996037104</v>
      </c>
      <c r="F1174" s="3">
        <f>EUR!B1174/1</f>
        <v>1.3785000000000001</v>
      </c>
      <c r="G1174" s="3">
        <f>EUR!C1174/1</f>
        <v>1.3784000000000001</v>
      </c>
      <c r="H1174" s="3">
        <f>GBP!B1174/1</f>
        <v>1.6581999999999999</v>
      </c>
      <c r="I1174" s="3">
        <f>GBP!C1174/1</f>
        <v>1.6577999999999999</v>
      </c>
      <c r="J1174" s="4">
        <f>1/INR!B1174</f>
        <v>1.6605778811026237E-2</v>
      </c>
      <c r="K1174" s="4">
        <f>1/INR!C1174</f>
        <v>1.6486687000247299E-2</v>
      </c>
      <c r="L1174" s="4">
        <f>1/JPY!B1174</f>
        <v>9.7883753254634793E-3</v>
      </c>
      <c r="M1174" s="4">
        <f>1/JPY!C1174</f>
        <v>9.7901194198766837E-3</v>
      </c>
      <c r="N1174" s="5">
        <f>1/KRW!B1174</f>
        <v>9.3270096208104239E-4</v>
      </c>
      <c r="O1174" s="5">
        <f>1/KRW!C1174</f>
        <v>9.326839987334151E-4</v>
      </c>
      <c r="P1174" s="3">
        <f>1/NOK!B1174</f>
        <v>0.16521825331262599</v>
      </c>
      <c r="Q1174" s="3">
        <f>1/NOK!C1174</f>
        <v>0.16501650165016502</v>
      </c>
      <c r="R1174" s="3">
        <f>NZD!B1174/1</f>
        <v>0.8629</v>
      </c>
      <c r="S1174" s="3">
        <f>NZD!C1174/1</f>
        <v>0.8609</v>
      </c>
      <c r="T1174" s="4">
        <f>1/PHP!B1174</f>
        <v>2.2232103156958651E-2</v>
      </c>
      <c r="U1174" s="4">
        <f>1/PHP!C1174</f>
        <v>2.2212054037485062E-2</v>
      </c>
      <c r="V1174" s="4">
        <f>1/TWD!B1174</f>
        <v>3.2733224222585927E-2</v>
      </c>
      <c r="W1174" s="4">
        <f>1/TWD!C1174</f>
        <v>3.2733438516782433E-2</v>
      </c>
      <c r="X1174" s="4">
        <f>1/TWD!B1174</f>
        <v>3.2733224222585927E-2</v>
      </c>
      <c r="Y1174" s="4">
        <f>1/TWD!C1174</f>
        <v>3.2733438516782433E-2</v>
      </c>
      <c r="Z1174" s="4">
        <f>1/ZAR!B1174</f>
        <v>9.3501636278634878E-2</v>
      </c>
      <c r="AA1174" s="4">
        <f>1/ZAR!C1174</f>
        <v>9.3021525180926865E-2</v>
      </c>
    </row>
    <row r="1175" spans="1:27" x14ac:dyDescent="0.25">
      <c r="A1175" t="str">
        <f>"28/03/2014"</f>
        <v>28/03/2014</v>
      </c>
      <c r="B1175" s="3">
        <f>AUD!B1175</f>
        <v>0.92710000000000004</v>
      </c>
      <c r="C1175" s="3">
        <f>AUD!C1175</f>
        <v>0.92520000000000002</v>
      </c>
      <c r="D1175" s="3">
        <f>1/CAD!B1175</f>
        <v>0.90777051561365296</v>
      </c>
      <c r="E1175" s="3">
        <f>1/CAD!C1175</f>
        <v>0.90711175616835993</v>
      </c>
      <c r="F1175" s="3">
        <f>EUR!B1175/1</f>
        <v>1.375</v>
      </c>
      <c r="G1175" s="3">
        <f>EUR!C1175/1</f>
        <v>1.3749</v>
      </c>
      <c r="H1175" s="3">
        <f>GBP!B1175/1</f>
        <v>1.6618999999999999</v>
      </c>
      <c r="I1175" s="3">
        <f>GBP!C1175/1</f>
        <v>1.6616</v>
      </c>
      <c r="J1175" s="4">
        <f>1/INR!B1175</f>
        <v>1.6658337497917706E-2</v>
      </c>
      <c r="K1175" s="4">
        <f>1/INR!C1175</f>
        <v>1.6529608661514938E-2</v>
      </c>
      <c r="L1175" s="4">
        <f>1/JPY!B1175</f>
        <v>9.7880878970293145E-3</v>
      </c>
      <c r="M1175" s="4">
        <f>1/JPY!C1175</f>
        <v>9.7895827092474349E-3</v>
      </c>
      <c r="N1175" s="5">
        <f>1/KRW!B1175</f>
        <v>9.3540994340769843E-4</v>
      </c>
      <c r="O1175" s="5">
        <f>1/KRW!C1175</f>
        <v>9.3539288137955479E-4</v>
      </c>
      <c r="P1175" s="3">
        <f>1/NOK!B1175</f>
        <v>0.16665555629624693</v>
      </c>
      <c r="Q1175" s="3">
        <f>1/NOK!C1175</f>
        <v>0.1664558226246754</v>
      </c>
      <c r="R1175" s="3">
        <f>NZD!B1175/1</f>
        <v>0.86760000000000004</v>
      </c>
      <c r="S1175" s="3">
        <f>NZD!C1175/1</f>
        <v>0.86560000000000004</v>
      </c>
      <c r="T1175" s="4">
        <f>1/PHP!B1175</f>
        <v>2.2232103156958651E-2</v>
      </c>
      <c r="U1175" s="4">
        <f>1/PHP!C1175</f>
        <v>2.2207861138685871E-2</v>
      </c>
      <c r="V1175" s="4">
        <f>1/TWD!B1175</f>
        <v>3.2779362113613271E-2</v>
      </c>
      <c r="W1175" s="4">
        <f>1/TWD!C1175</f>
        <v>3.2779684462757364E-2</v>
      </c>
      <c r="X1175" s="4">
        <f>1/TWD!B1175</f>
        <v>3.2779362113613271E-2</v>
      </c>
      <c r="Y1175" s="4">
        <f>1/TWD!C1175</f>
        <v>3.2779684462757364E-2</v>
      </c>
      <c r="Z1175" s="4">
        <f>1/ZAR!B1175</f>
        <v>9.4369001670331326E-2</v>
      </c>
      <c r="AA1175" s="4">
        <f>1/ZAR!C1175</f>
        <v>9.3876439829895894E-2</v>
      </c>
    </row>
    <row r="1176" spans="1:27" x14ac:dyDescent="0.25">
      <c r="A1176" t="str">
        <f>"02/04/2014"</f>
        <v>02/04/2014</v>
      </c>
      <c r="B1176" s="3">
        <f>AUD!B1176</f>
        <v>0.92349999999999999</v>
      </c>
      <c r="C1176" s="3">
        <f>AUD!C1176</f>
        <v>0.92149999999999999</v>
      </c>
      <c r="D1176" s="3">
        <f>1/CAD!B1176</f>
        <v>0.90571506204148167</v>
      </c>
      <c r="E1176" s="3">
        <f>1/CAD!C1176</f>
        <v>0.90505928138293057</v>
      </c>
      <c r="F1176" s="3">
        <f>EUR!B1176/1</f>
        <v>1.3805000000000001</v>
      </c>
      <c r="G1176" s="3">
        <f>EUR!C1176/1</f>
        <v>1.3803000000000001</v>
      </c>
      <c r="H1176" s="3">
        <f>GBP!B1176/1</f>
        <v>1.6627000000000001</v>
      </c>
      <c r="I1176" s="3">
        <f>GBP!C1176/1</f>
        <v>1.6621999999999999</v>
      </c>
      <c r="J1176" s="4">
        <f>1/INR!B1176</f>
        <v>1.6739903745553463E-2</v>
      </c>
      <c r="K1176" s="4">
        <f>1/INR!C1176</f>
        <v>1.6605778811026237E-2</v>
      </c>
      <c r="L1176" s="4">
        <f>1/JPY!B1176</f>
        <v>9.6278823472777161E-3</v>
      </c>
      <c r="M1176" s="4">
        <f>1/JPY!C1176</f>
        <v>9.6293100791914471E-3</v>
      </c>
      <c r="N1176" s="5">
        <f>1/KRW!B1176</f>
        <v>9.4564436206831331E-4</v>
      </c>
      <c r="O1176" s="5">
        <f>1/KRW!C1176</f>
        <v>9.4562173825511796E-4</v>
      </c>
      <c r="P1176" s="3">
        <f>1/NOK!B1176</f>
        <v>0.16723246985634729</v>
      </c>
      <c r="Q1176" s="3">
        <f>1/NOK!C1176</f>
        <v>0.16701740321341485</v>
      </c>
      <c r="R1176" s="3">
        <f>NZD!B1176/1</f>
        <v>0.85960000000000003</v>
      </c>
      <c r="S1176" s="3">
        <f>NZD!C1176/1</f>
        <v>0.85750000000000004</v>
      </c>
      <c r="T1176" s="4">
        <f>1/PHP!B1176</f>
        <v>2.2337383845604002E-2</v>
      </c>
      <c r="U1176" s="4">
        <f>1/PHP!C1176</f>
        <v>2.2320930336376419E-2</v>
      </c>
      <c r="V1176" s="4">
        <f>1/TWD!B1176</f>
        <v>3.3020737022850348E-2</v>
      </c>
      <c r="W1176" s="4">
        <f>1/TWD!C1176</f>
        <v>3.3020955098105258E-2</v>
      </c>
      <c r="X1176" s="4">
        <f>1/TWD!B1176</f>
        <v>3.3020737022850348E-2</v>
      </c>
      <c r="Y1176" s="4">
        <f>1/TWD!C1176</f>
        <v>3.3020955098105258E-2</v>
      </c>
      <c r="Z1176" s="4">
        <f>1/ZAR!B1176</f>
        <v>9.4464386926128852E-2</v>
      </c>
      <c r="AA1176" s="4">
        <f>1/ZAR!C1176</f>
        <v>9.3972597590542592E-2</v>
      </c>
    </row>
    <row r="1177" spans="1:27" x14ac:dyDescent="0.25">
      <c r="A1177" t="str">
        <f>"03/04/2014"</f>
        <v>03/04/2014</v>
      </c>
      <c r="B1177" s="3">
        <f>AUD!B1177</f>
        <v>0.92220000000000002</v>
      </c>
      <c r="C1177" s="3">
        <f>AUD!C1177</f>
        <v>0.92020000000000002</v>
      </c>
      <c r="D1177" s="3">
        <f>1/CAD!B1177</f>
        <v>0.90686496780629366</v>
      </c>
      <c r="E1177" s="3">
        <f>1/CAD!C1177</f>
        <v>0.90620752152242867</v>
      </c>
      <c r="F1177" s="3">
        <f>EUR!B1177/1</f>
        <v>1.3755999999999999</v>
      </c>
      <c r="G1177" s="3">
        <f>EUR!C1177/1</f>
        <v>1.3754999999999999</v>
      </c>
      <c r="H1177" s="3">
        <f>GBP!B1177/1</f>
        <v>1.6638999999999999</v>
      </c>
      <c r="I1177" s="3">
        <f>GBP!C1177/1</f>
        <v>1.6635</v>
      </c>
      <c r="J1177" s="4">
        <f>1/INR!B1177</f>
        <v>1.665972511453561E-2</v>
      </c>
      <c r="K1177" s="4">
        <f>1/INR!C1177</f>
        <v>1.6530974914245569E-2</v>
      </c>
      <c r="L1177" s="4">
        <f>1/JPY!B1177</f>
        <v>9.6184366193118979E-3</v>
      </c>
      <c r="M1177" s="4">
        <f>1/JPY!C1177</f>
        <v>9.6197597561198511E-3</v>
      </c>
      <c r="N1177" s="5">
        <f>1/KRW!B1177</f>
        <v>9.4544766947149471E-4</v>
      </c>
      <c r="O1177" s="5">
        <f>1/KRW!C1177</f>
        <v>9.4542979238361761E-4</v>
      </c>
      <c r="P1177" s="3">
        <f>1/NOK!B1177</f>
        <v>0.16726323888535777</v>
      </c>
      <c r="Q1177" s="3">
        <f>1/NOK!C1177</f>
        <v>0.16705646508519881</v>
      </c>
      <c r="R1177" s="3">
        <f>NZD!B1177/1</f>
        <v>0.85460000000000003</v>
      </c>
      <c r="S1177" s="3">
        <f>NZD!C1177/1</f>
        <v>0.85260000000000002</v>
      </c>
      <c r="T1177" s="4">
        <f>1/PHP!B1177</f>
        <v>2.2222222222222223E-2</v>
      </c>
      <c r="U1177" s="4">
        <f>1/PHP!C1177</f>
        <v>2.2202733156451562E-2</v>
      </c>
      <c r="V1177" s="4">
        <f>1/TWD!B1177</f>
        <v>3.3001122038149297E-2</v>
      </c>
      <c r="W1177" s="4">
        <f>1/TWD!C1177</f>
        <v>3.3001339854398092E-2</v>
      </c>
      <c r="X1177" s="4">
        <f>1/TWD!B1177</f>
        <v>3.3001122038149297E-2</v>
      </c>
      <c r="Y1177" s="4">
        <f>1/TWD!C1177</f>
        <v>3.3001339854398092E-2</v>
      </c>
      <c r="Z1177" s="4">
        <f>1/ZAR!B1177</f>
        <v>9.3984962406015032E-2</v>
      </c>
      <c r="AA1177" s="4">
        <f>1/ZAR!C1177</f>
        <v>9.3496391039305876E-2</v>
      </c>
    </row>
    <row r="1178" spans="1:27" x14ac:dyDescent="0.25">
      <c r="A1178" t="str">
        <f>"04/04/2014"</f>
        <v>04/04/2014</v>
      </c>
      <c r="B1178" s="3">
        <f>AUD!B1178</f>
        <v>0.92349999999999999</v>
      </c>
      <c r="C1178" s="3">
        <f>AUD!C1178</f>
        <v>0.92149999999999999</v>
      </c>
      <c r="D1178" s="3">
        <f>1/CAD!B1178</f>
        <v>0.90670051681929464</v>
      </c>
      <c r="E1178" s="3">
        <f>1/CAD!C1178</f>
        <v>0.90604330887016404</v>
      </c>
      <c r="F1178" s="3">
        <f>EUR!B1178/1</f>
        <v>1.3712</v>
      </c>
      <c r="G1178" s="3">
        <f>EUR!C1178/1</f>
        <v>1.3711</v>
      </c>
      <c r="H1178" s="3">
        <f>GBP!B1178/1</f>
        <v>1.6586000000000001</v>
      </c>
      <c r="I1178" s="3">
        <f>GBP!C1178/1</f>
        <v>1.6581999999999999</v>
      </c>
      <c r="J1178" s="4">
        <f>1/INR!B1178</f>
        <v>1.6570008285004142E-2</v>
      </c>
      <c r="K1178" s="4">
        <f>1/INR!C1178</f>
        <v>1.6448721111933545E-2</v>
      </c>
      <c r="L1178" s="4">
        <f>1/JPY!B1178</f>
        <v>9.6226941619114506E-3</v>
      </c>
      <c r="M1178" s="4">
        <f>1/JPY!C1178</f>
        <v>9.6240740437760642E-3</v>
      </c>
      <c r="N1178" s="5">
        <f>1/KRW!B1178</f>
        <v>9.4696072953854606E-4</v>
      </c>
      <c r="O1178" s="5">
        <f>1/KRW!C1178</f>
        <v>9.4693911872732132E-4</v>
      </c>
      <c r="P1178" s="3">
        <f>1/NOK!B1178</f>
        <v>0.1663422991832593</v>
      </c>
      <c r="Q1178" s="3">
        <f>1/NOK!C1178</f>
        <v>0.16613779468691334</v>
      </c>
      <c r="R1178" s="3">
        <f>NZD!B1178/1</f>
        <v>0.85550000000000004</v>
      </c>
      <c r="S1178" s="3">
        <f>NZD!C1178/1</f>
        <v>0.85350000000000004</v>
      </c>
      <c r="T1178" s="4">
        <f>1/PHP!B1178</f>
        <v>2.2222222222222223E-2</v>
      </c>
      <c r="U1178" s="4">
        <f>1/PHP!C1178</f>
        <v>2.220120508141182E-2</v>
      </c>
      <c r="V1178" s="4">
        <f>1/TWD!B1178</f>
        <v>3.2995677566238828E-2</v>
      </c>
      <c r="W1178" s="4">
        <f>1/TWD!C1178</f>
        <v>3.2995895310623358E-2</v>
      </c>
      <c r="X1178" s="4">
        <f>1/TWD!B1178</f>
        <v>3.2995677566238828E-2</v>
      </c>
      <c r="Y1178" s="4">
        <f>1/TWD!C1178</f>
        <v>3.2995895310623358E-2</v>
      </c>
      <c r="Z1178" s="4">
        <f>1/ZAR!B1178</f>
        <v>9.389406871167949E-2</v>
      </c>
      <c r="AA1178" s="4">
        <f>1/ZAR!C1178</f>
        <v>9.3418655705544404E-2</v>
      </c>
    </row>
    <row r="1179" spans="1:27" x14ac:dyDescent="0.25">
      <c r="A1179" t="str">
        <f>"07/04/2014"</f>
        <v>07/04/2014</v>
      </c>
      <c r="B1179" s="3">
        <f>AUD!B1179</f>
        <v>0.92720000000000002</v>
      </c>
      <c r="C1179" s="3">
        <f>AUD!C1179</f>
        <v>0.92520000000000002</v>
      </c>
      <c r="D1179" s="3">
        <f>1/CAD!B1179</f>
        <v>0.91099571832012394</v>
      </c>
      <c r="E1179" s="3">
        <f>1/CAD!C1179</f>
        <v>0.91033227127901684</v>
      </c>
      <c r="F1179" s="3">
        <f>EUR!B1179/1</f>
        <v>1.3697999999999999</v>
      </c>
      <c r="G1179" s="3">
        <f>EUR!C1179/1</f>
        <v>1.3695999999999999</v>
      </c>
      <c r="H1179" s="3">
        <f>GBP!B1179/1</f>
        <v>1.6571</v>
      </c>
      <c r="I1179" s="3">
        <f>GBP!C1179/1</f>
        <v>1.6567000000000001</v>
      </c>
      <c r="J1179" s="4">
        <f>1/INR!B1179</f>
        <v>1.6686133822793259E-2</v>
      </c>
      <c r="K1179" s="4">
        <f>1/INR!C1179</f>
        <v>1.6564518800728841E-2</v>
      </c>
      <c r="L1179" s="4">
        <f>1/JPY!B1179</f>
        <v>9.6849486213475642E-3</v>
      </c>
      <c r="M1179" s="4">
        <f>1/JPY!C1179</f>
        <v>9.6864214775086131E-3</v>
      </c>
      <c r="N1179" s="5">
        <f>1/KRW!B1179</f>
        <v>9.4894666919719114E-4</v>
      </c>
      <c r="O1179" s="5">
        <f>1/KRW!C1179</f>
        <v>9.4892865954337557E-4</v>
      </c>
      <c r="P1179" s="3">
        <f>1/NOK!B1179</f>
        <v>0.1667055646317474</v>
      </c>
      <c r="Q1179" s="3">
        <f>1/NOK!C1179</f>
        <v>0.16649462222370218</v>
      </c>
      <c r="R1179" s="3">
        <f>NZD!B1179/1</f>
        <v>0.85970000000000002</v>
      </c>
      <c r="S1179" s="3">
        <f>NZD!C1179/1</f>
        <v>0.85770000000000002</v>
      </c>
      <c r="T1179" s="4">
        <f>1/PHP!B1179</f>
        <v>2.2271714922048998E-2</v>
      </c>
      <c r="U1179" s="4">
        <f>1/PHP!C1179</f>
        <v>2.224966347383996E-2</v>
      </c>
      <c r="V1179" s="4">
        <f>1/TWD!B1179</f>
        <v>3.3063316250619937E-2</v>
      </c>
      <c r="W1179" s="4">
        <f>1/TWD!C1179</f>
        <v>3.3063534888642013E-2</v>
      </c>
      <c r="X1179" s="4">
        <f>1/TWD!B1179</f>
        <v>3.3063316250619937E-2</v>
      </c>
      <c r="Y1179" s="4">
        <f>1/TWD!C1179</f>
        <v>3.3063534888642013E-2</v>
      </c>
      <c r="Z1179" s="4">
        <f>1/ZAR!B1179</f>
        <v>9.4777746185195716E-2</v>
      </c>
      <c r="AA1179" s="4">
        <f>1/ZAR!C1179</f>
        <v>9.4301368312854211E-2</v>
      </c>
    </row>
    <row r="1180" spans="1:27" x14ac:dyDescent="0.25">
      <c r="A1180" t="str">
        <f>"09/04/2014"</f>
        <v>09/04/2014</v>
      </c>
      <c r="B1180" s="3">
        <f>AUD!B1180</f>
        <v>0.93700000000000006</v>
      </c>
      <c r="C1180" s="3">
        <f>AUD!C1180</f>
        <v>0.93500000000000005</v>
      </c>
      <c r="D1180" s="3">
        <f>1/CAD!B1180</f>
        <v>0.91600256480718156</v>
      </c>
      <c r="E1180" s="3">
        <f>1/CAD!C1180</f>
        <v>0.91524803221673068</v>
      </c>
      <c r="F1180" s="3">
        <f>EUR!B1180/1</f>
        <v>1.3791</v>
      </c>
      <c r="G1180" s="3">
        <f>EUR!C1180/1</f>
        <v>1.379</v>
      </c>
      <c r="H1180" s="3">
        <f>GBP!B1180/1</f>
        <v>1.6746000000000001</v>
      </c>
      <c r="I1180" s="3">
        <f>GBP!C1180/1</f>
        <v>1.6741999999999999</v>
      </c>
      <c r="J1180" s="4">
        <f>1/INR!B1180</f>
        <v>1.6668750260449224E-2</v>
      </c>
      <c r="K1180" s="4">
        <f>1/INR!C1180</f>
        <v>1.6545334215751158E-2</v>
      </c>
      <c r="L1180" s="4">
        <f>1/JPY!B1180</f>
        <v>9.8058442831927828E-3</v>
      </c>
      <c r="M1180" s="4">
        <f>1/JPY!C1180</f>
        <v>9.8074310905373E-3</v>
      </c>
      <c r="N1180" s="5">
        <f>1/KRW!B1180</f>
        <v>9.5923261390887292E-4</v>
      </c>
      <c r="O1180" s="5">
        <f>1/KRW!C1180</f>
        <v>9.5921365966293614E-4</v>
      </c>
      <c r="P1180" s="3">
        <f>1/NOK!B1180</f>
        <v>0.16726883447076141</v>
      </c>
      <c r="Q1180" s="3">
        <f>1/NOK!C1180</f>
        <v>0.16705088369917476</v>
      </c>
      <c r="R1180" s="3">
        <f>NZD!B1180/1</f>
        <v>0.87</v>
      </c>
      <c r="S1180" s="3">
        <f>NZD!C1180/1</f>
        <v>0.8679</v>
      </c>
      <c r="T1180" s="4">
        <f>1/PHP!B1180</f>
        <v>2.2287847551122751E-2</v>
      </c>
      <c r="U1180" s="4">
        <f>1/PHP!C1180</f>
        <v>2.2267648224600405E-2</v>
      </c>
      <c r="V1180" s="4">
        <f>1/TWD!B1180</f>
        <v>3.3245786096612252E-2</v>
      </c>
      <c r="W1180" s="4">
        <f>1/TWD!C1180</f>
        <v>3.3246007154540735E-2</v>
      </c>
      <c r="X1180" s="4">
        <f>1/TWD!B1180</f>
        <v>3.3245786096612252E-2</v>
      </c>
      <c r="Y1180" s="4">
        <f>1/TWD!C1180</f>
        <v>3.3246007154540735E-2</v>
      </c>
      <c r="Z1180" s="4">
        <f>1/ZAR!B1180</f>
        <v>9.5724924855933993E-2</v>
      </c>
      <c r="AA1180" s="4">
        <f>1/ZAR!C1180</f>
        <v>9.5229025807065992E-2</v>
      </c>
    </row>
    <row r="1181" spans="1:27" x14ac:dyDescent="0.25">
      <c r="A1181" t="str">
        <f>"10/04/2014"</f>
        <v>10/04/2014</v>
      </c>
      <c r="B1181" s="3">
        <f>AUD!B1181</f>
        <v>0.94069999999999998</v>
      </c>
      <c r="C1181" s="3">
        <f>AUD!C1181</f>
        <v>0.93869999999999998</v>
      </c>
      <c r="D1181" s="3">
        <f>1/CAD!B1181</f>
        <v>0.91776798825256989</v>
      </c>
      <c r="E1181" s="3">
        <f>1/CAD!C1181</f>
        <v>0.91709464416727804</v>
      </c>
      <c r="F1181" s="3">
        <f>EUR!B1181/1</f>
        <v>1.3847</v>
      </c>
      <c r="G1181" s="3">
        <f>EUR!C1181/1</f>
        <v>1.3845000000000001</v>
      </c>
      <c r="H1181" s="3">
        <f>GBP!B1181/1</f>
        <v>1.6796</v>
      </c>
      <c r="I1181" s="3">
        <f>GBP!C1181/1</f>
        <v>1.6792</v>
      </c>
      <c r="J1181" s="4">
        <f>1/INR!B1181</f>
        <v>1.6594067620825555E-2</v>
      </c>
      <c r="K1181" s="4">
        <f>1/INR!C1181</f>
        <v>1.6475143127805923E-2</v>
      </c>
      <c r="L1181" s="4">
        <f>1/JPY!B1181</f>
        <v>9.8344856072303134E-3</v>
      </c>
      <c r="M1181" s="4">
        <f>1/JPY!C1181</f>
        <v>9.8359752762925464E-3</v>
      </c>
      <c r="N1181" s="5">
        <f>1/KRW!B1181</f>
        <v>9.6348395799209939E-4</v>
      </c>
      <c r="O1181" s="5">
        <f>1/KRW!C1181</f>
        <v>9.6346585645611246E-4</v>
      </c>
      <c r="P1181" s="3">
        <f>1/NOK!B1181</f>
        <v>0.16831899816532292</v>
      </c>
      <c r="Q1181" s="3">
        <f>1/NOK!C1181</f>
        <v>0.1681039554860726</v>
      </c>
      <c r="R1181" s="3">
        <f>NZD!B1181/1</f>
        <v>0.87180000000000002</v>
      </c>
      <c r="S1181" s="3">
        <f>NZD!C1181/1</f>
        <v>0.86970000000000003</v>
      </c>
      <c r="T1181" s="4">
        <f>1/PHP!B1181</f>
        <v>2.2461814914645103E-2</v>
      </c>
      <c r="U1181" s="4">
        <f>1/PHP!C1181</f>
        <v>2.2442205709745977E-2</v>
      </c>
      <c r="V1181" s="4">
        <f>1/TWD!B1181</f>
        <v>3.3286731908661209E-2</v>
      </c>
      <c r="W1181" s="4">
        <f>1/TWD!C1181</f>
        <v>3.3286953511440724E-2</v>
      </c>
      <c r="X1181" s="4">
        <f>1/TWD!B1181</f>
        <v>3.3286731908661209E-2</v>
      </c>
      <c r="Y1181" s="4">
        <f>1/TWD!C1181</f>
        <v>3.3286953511440724E-2</v>
      </c>
      <c r="Z1181" s="4">
        <f>1/ZAR!B1181</f>
        <v>9.6032881658679931E-2</v>
      </c>
      <c r="AA1181" s="4">
        <f>1/ZAR!C1181</f>
        <v>9.5552051980316272E-2</v>
      </c>
    </row>
    <row r="1182" spans="1:27" x14ac:dyDescent="0.25">
      <c r="A1182" t="str">
        <f>"11/04/2014"</f>
        <v>11/04/2014</v>
      </c>
      <c r="B1182" s="3">
        <f>AUD!B1182</f>
        <v>0.93820000000000003</v>
      </c>
      <c r="C1182" s="3">
        <f>AUD!C1182</f>
        <v>0.93630000000000002</v>
      </c>
      <c r="D1182" s="3">
        <f>1/CAD!B1182</f>
        <v>0.91424392027793011</v>
      </c>
      <c r="E1182" s="3">
        <f>1/CAD!C1182</f>
        <v>0.91357573542846704</v>
      </c>
      <c r="F1182" s="3">
        <f>EUR!B1182/1</f>
        <v>1.3892</v>
      </c>
      <c r="G1182" s="3">
        <f>EUR!C1182/1</f>
        <v>1.3891</v>
      </c>
      <c r="H1182" s="3">
        <f>GBP!B1182/1</f>
        <v>1.6769000000000001</v>
      </c>
      <c r="I1182" s="3">
        <f>GBP!C1182/1</f>
        <v>1.6766000000000001</v>
      </c>
      <c r="J1182" s="4">
        <f>1/INR!B1182</f>
        <v>1.6600265604249667E-2</v>
      </c>
      <c r="K1182" s="4">
        <f>1/INR!C1182</f>
        <v>1.6481931682393175E-2</v>
      </c>
      <c r="L1182" s="4">
        <f>1/JPY!B1182</f>
        <v>9.8393238416656006E-3</v>
      </c>
      <c r="M1182" s="4">
        <f>1/JPY!C1182</f>
        <v>9.840834345299131E-3</v>
      </c>
      <c r="N1182" s="5">
        <f>1/KRW!B1182</f>
        <v>9.6627693496956224E-4</v>
      </c>
      <c r="O1182" s="5">
        <f>1/KRW!C1182</f>
        <v>9.6625163260291461E-4</v>
      </c>
      <c r="P1182" s="3">
        <f>1/NOK!B1182</f>
        <v>0.16871941960519657</v>
      </c>
      <c r="Q1182" s="3">
        <f>1/NOK!C1182</f>
        <v>0.16850335321672902</v>
      </c>
      <c r="R1182" s="3">
        <f>NZD!B1182/1</f>
        <v>0.86419999999999997</v>
      </c>
      <c r="S1182" s="3">
        <f>NZD!C1182/1</f>
        <v>0.86209999999999998</v>
      </c>
      <c r="T1182" s="4">
        <f>1/PHP!B1182</f>
        <v>2.2537750732476901E-2</v>
      </c>
      <c r="U1182" s="4">
        <f>1/PHP!C1182</f>
        <v>2.2521710929335879E-2</v>
      </c>
      <c r="V1182" s="4">
        <f>1/TWD!B1182</f>
        <v>3.3256842595363996E-2</v>
      </c>
      <c r="W1182" s="4">
        <f>1/TWD!C1182</f>
        <v>3.3257063800351198E-2</v>
      </c>
      <c r="X1182" s="4">
        <f>1/TWD!B1182</f>
        <v>3.3256842595363996E-2</v>
      </c>
      <c r="Y1182" s="4">
        <f>1/TWD!C1182</f>
        <v>3.3257063800351198E-2</v>
      </c>
      <c r="Z1182" s="4">
        <f>1/ZAR!B1182</f>
        <v>9.5381621869098265E-2</v>
      </c>
      <c r="AA1182" s="4">
        <f>1/ZAR!C1182</f>
        <v>9.490187146490528E-2</v>
      </c>
    </row>
    <row r="1183" spans="1:27" x14ac:dyDescent="0.25">
      <c r="A1183" t="str">
        <f>"15/04/2014"</f>
        <v>15/04/2014</v>
      </c>
      <c r="B1183" s="3">
        <f>AUD!B1183</f>
        <v>0.93959999999999999</v>
      </c>
      <c r="C1183" s="3">
        <f>AUD!C1183</f>
        <v>0.9375</v>
      </c>
      <c r="D1183" s="3">
        <f>1/CAD!B1183</f>
        <v>0.91116173120728938</v>
      </c>
      <c r="E1183" s="3">
        <f>1/CAD!C1183</f>
        <v>0.91049804242920873</v>
      </c>
      <c r="F1183" s="3">
        <f>EUR!B1183/1</f>
        <v>1.3816999999999999</v>
      </c>
      <c r="G1183" s="3">
        <f>EUR!C1183/1</f>
        <v>1.3815</v>
      </c>
      <c r="H1183" s="3">
        <f>GBP!B1183/1</f>
        <v>1.6714</v>
      </c>
      <c r="I1183" s="3">
        <f>GBP!C1183/1</f>
        <v>1.671</v>
      </c>
      <c r="J1183" s="4">
        <f>1/INR!B1183</f>
        <v>1.658374792703151E-2</v>
      </c>
      <c r="K1183" s="4">
        <f>1/INR!C1183</f>
        <v>1.6464970774676874E-2</v>
      </c>
      <c r="L1183" s="4">
        <f>1/JPY!B1183</f>
        <v>9.8129648892116266E-3</v>
      </c>
      <c r="M1183" s="4">
        <f>1/JPY!C1183</f>
        <v>9.8148140877915499E-3</v>
      </c>
      <c r="N1183" s="5">
        <f>1/KRW!B1183</f>
        <v>9.5992320614350852E-4</v>
      </c>
      <c r="O1183" s="5">
        <f>1/KRW!C1183</f>
        <v>9.599061595738401E-4</v>
      </c>
      <c r="P1183" s="3">
        <f>1/NOK!B1183</f>
        <v>0.16756312940900484</v>
      </c>
      <c r="Q1183" s="3">
        <f>1/NOK!C1183</f>
        <v>0.1673584147810952</v>
      </c>
      <c r="R1183" s="3">
        <f>NZD!B1183/1</f>
        <v>0.86580000000000001</v>
      </c>
      <c r="S1183" s="3">
        <f>NZD!C1183/1</f>
        <v>0.86360000000000003</v>
      </c>
      <c r="T1183" s="4">
        <f>1/PHP!B1183</f>
        <v>2.244165170556553E-2</v>
      </c>
      <c r="U1183" s="4">
        <f>1/PHP!C1183</f>
        <v>2.2421524663677129E-2</v>
      </c>
      <c r="V1183" s="4">
        <f>1/TWD!B1183</f>
        <v>3.3068783068783074E-2</v>
      </c>
      <c r="W1183" s="4">
        <f>1/TWD!C1183</f>
        <v>3.3069001779112296E-2</v>
      </c>
      <c r="X1183" s="4">
        <f>1/TWD!B1183</f>
        <v>3.3068783068783074E-2</v>
      </c>
      <c r="Y1183" s="4">
        <f>1/TWD!C1183</f>
        <v>3.3069001779112296E-2</v>
      </c>
      <c r="Z1183" s="4">
        <f>1/ZAR!B1183</f>
        <v>9.5000142500213741E-2</v>
      </c>
      <c r="AA1183" s="4">
        <f>1/ZAR!C1183</f>
        <v>9.4489379393756151E-2</v>
      </c>
    </row>
    <row r="1184" spans="1:27" x14ac:dyDescent="0.25">
      <c r="A1184" t="str">
        <f>"16/04/2014"</f>
        <v>16/04/2014</v>
      </c>
      <c r="B1184" s="3">
        <f>AUD!B1184</f>
        <v>0.9365</v>
      </c>
      <c r="C1184" s="3">
        <f>AUD!C1184</f>
        <v>0.93459999999999999</v>
      </c>
      <c r="D1184" s="3">
        <f>1/CAD!B1184</f>
        <v>0.91041514930808443</v>
      </c>
      <c r="E1184" s="3">
        <f>1/CAD!C1184</f>
        <v>0.90975254730713251</v>
      </c>
      <c r="F1184" s="3">
        <f>EUR!B1184/1</f>
        <v>1.3817999999999999</v>
      </c>
      <c r="G1184" s="3">
        <f>EUR!C1184/1</f>
        <v>1.3816999999999999</v>
      </c>
      <c r="H1184" s="3">
        <f>GBP!B1184/1</f>
        <v>1.6726000000000001</v>
      </c>
      <c r="I1184" s="3">
        <f>GBP!C1184/1</f>
        <v>1.6720999999999999</v>
      </c>
      <c r="J1184" s="4">
        <f>1/INR!B1184</f>
        <v>1.6594067620825555E-2</v>
      </c>
      <c r="K1184" s="4">
        <f>1/INR!C1184</f>
        <v>1.6475143127805923E-2</v>
      </c>
      <c r="L1184" s="4">
        <f>1/JPY!B1184</f>
        <v>9.7863636808471072E-3</v>
      </c>
      <c r="M1184" s="4">
        <f>1/JPY!C1184</f>
        <v>9.7880016717906866E-3</v>
      </c>
      <c r="N1184" s="5">
        <f>1/KRW!B1184</f>
        <v>9.618159084351255E-4</v>
      </c>
      <c r="O1184" s="5">
        <f>1/KRW!C1184</f>
        <v>9.6180018216495441E-4</v>
      </c>
      <c r="P1184" s="3">
        <f>1/NOK!B1184</f>
        <v>0.16797688638043407</v>
      </c>
      <c r="Q1184" s="3">
        <f>1/NOK!C1184</f>
        <v>0.16777116013757237</v>
      </c>
      <c r="R1184" s="3">
        <f>NZD!B1184/1</f>
        <v>0.85880000000000001</v>
      </c>
      <c r="S1184" s="3">
        <f>NZD!C1184/1</f>
        <v>0.85670000000000002</v>
      </c>
      <c r="T1184" s="4">
        <f>1/PHP!B1184</f>
        <v>2.2487069934787499E-2</v>
      </c>
      <c r="U1184" s="4">
        <f>1/PHP!C1184</f>
        <v>2.2471203153159227E-2</v>
      </c>
      <c r="V1184" s="4">
        <f>1/TWD!B1184</f>
        <v>3.3169696165583122E-2</v>
      </c>
      <c r="W1184" s="4">
        <f>1/TWD!C1184</f>
        <v>3.3169916212791646E-2</v>
      </c>
      <c r="X1184" s="4">
        <f>1/TWD!B1184</f>
        <v>3.3169696165583122E-2</v>
      </c>
      <c r="Y1184" s="4">
        <f>1/TWD!C1184</f>
        <v>3.3169916212791646E-2</v>
      </c>
      <c r="Z1184" s="4">
        <f>1/ZAR!B1184</f>
        <v>9.472118818258457E-2</v>
      </c>
      <c r="AA1184" s="4">
        <f>1/ZAR!C1184</f>
        <v>9.4241824521722736E-2</v>
      </c>
    </row>
    <row r="1185" spans="1:27" x14ac:dyDescent="0.25">
      <c r="A1185" t="str">
        <f>"17/04/2014"</f>
        <v>17/04/2014</v>
      </c>
      <c r="B1185" s="3">
        <f>AUD!B1185</f>
        <v>0.93569999999999998</v>
      </c>
      <c r="C1185" s="3">
        <f>AUD!C1185</f>
        <v>0.93379999999999996</v>
      </c>
      <c r="D1185" s="3">
        <f>1/CAD!B1185</f>
        <v>0.90826521344232514</v>
      </c>
      <c r="E1185" s="3">
        <f>1/CAD!C1185</f>
        <v>0.90760573606825201</v>
      </c>
      <c r="F1185" s="3">
        <f>EUR!B1185/1</f>
        <v>1.3837999999999999</v>
      </c>
      <c r="G1185" s="3">
        <f>EUR!C1185/1</f>
        <v>1.3836999999999999</v>
      </c>
      <c r="H1185" s="3">
        <f>GBP!B1185/1</f>
        <v>1.6830000000000001</v>
      </c>
      <c r="I1185" s="3">
        <f>GBP!C1185/1</f>
        <v>1.6826000000000001</v>
      </c>
      <c r="J1185" s="4">
        <f>1/INR!B1185</f>
        <v>1.656726308813784E-2</v>
      </c>
      <c r="K1185" s="4">
        <f>1/INR!C1185</f>
        <v>1.6449397540815067E-2</v>
      </c>
      <c r="L1185" s="4">
        <f>1/JPY!B1185</f>
        <v>9.8032487966512091E-3</v>
      </c>
      <c r="M1185" s="4">
        <f>1/JPY!C1185</f>
        <v>9.804700177170932E-3</v>
      </c>
      <c r="N1185" s="5">
        <f>1/KRW!B1185</f>
        <v>9.6255655019732405E-4</v>
      </c>
      <c r="O1185" s="5">
        <f>1/KRW!C1185</f>
        <v>9.6254079969814723E-4</v>
      </c>
      <c r="P1185" s="3">
        <f>1/NOK!B1185</f>
        <v>0.16733881089040981</v>
      </c>
      <c r="Q1185" s="3">
        <f>1/NOK!C1185</f>
        <v>0.16713185031671485</v>
      </c>
      <c r="R1185" s="3">
        <f>NZD!B1185/1</f>
        <v>0.86109999999999998</v>
      </c>
      <c r="S1185" s="3">
        <f>NZD!C1185/1</f>
        <v>0.85899999999999999</v>
      </c>
      <c r="T1185" s="4">
        <f>1/PHP!B1185</f>
        <v>2.2503516174402251E-2</v>
      </c>
      <c r="U1185" s="4">
        <f>1/PHP!C1185</f>
        <v>2.2487322771787405E-2</v>
      </c>
      <c r="V1185" s="4">
        <f>1/TWD!B1185</f>
        <v>3.3144410195220575E-2</v>
      </c>
      <c r="W1185" s="4">
        <f>1/TWD!C1185</f>
        <v>3.3144629907062455E-2</v>
      </c>
      <c r="X1185" s="4">
        <f>1/TWD!B1185</f>
        <v>3.3144410195220575E-2</v>
      </c>
      <c r="Y1185" s="4">
        <f>1/TWD!C1185</f>
        <v>3.3144629907062455E-2</v>
      </c>
      <c r="Z1185" s="4">
        <f>1/ZAR!B1185</f>
        <v>9.4736443214975929E-2</v>
      </c>
      <c r="AA1185" s="4">
        <f>1/ZAR!C1185</f>
        <v>9.426136792097127E-2</v>
      </c>
    </row>
    <row r="1186" spans="1:27" x14ac:dyDescent="0.25">
      <c r="A1186" t="str">
        <f>"21/04/2014"</f>
        <v>21/04/2014</v>
      </c>
      <c r="B1186" s="3">
        <f>AUD!B1186</f>
        <v>0.93279999999999996</v>
      </c>
      <c r="C1186" s="3">
        <f>AUD!C1186</f>
        <v>0.93079999999999996</v>
      </c>
      <c r="D1186" s="3">
        <f>1/CAD!B1186</f>
        <v>0.9071940488070398</v>
      </c>
      <c r="E1186" s="3">
        <f>1/CAD!C1186</f>
        <v>0.90653612546459983</v>
      </c>
      <c r="F1186" s="3">
        <f>EUR!B1186/1</f>
        <v>1.3813</v>
      </c>
      <c r="G1186" s="3">
        <f>EUR!C1186/1</f>
        <v>1.3812</v>
      </c>
      <c r="H1186" s="3">
        <f>GBP!B1186/1</f>
        <v>1.6798</v>
      </c>
      <c r="I1186" s="3">
        <f>GBP!C1186/1</f>
        <v>1.6794</v>
      </c>
      <c r="J1186" s="4">
        <f>1/INR!B1186</f>
        <v>1.6564518800728841E-2</v>
      </c>
      <c r="K1186" s="4">
        <f>1/INR!C1186</f>
        <v>1.6446692159039513E-2</v>
      </c>
      <c r="L1186" s="4">
        <f>1/JPY!B1186</f>
        <v>9.7500097500097509E-3</v>
      </c>
      <c r="M1186" s="4">
        <f>1/JPY!C1186</f>
        <v>9.7514929535711913E-3</v>
      </c>
      <c r="N1186" s="5">
        <f>1/KRW!B1186</f>
        <v>9.6320554806395681E-4</v>
      </c>
      <c r="O1186" s="5">
        <f>1/KRW!C1186</f>
        <v>9.6318597262182398E-4</v>
      </c>
      <c r="P1186" s="3">
        <f>1/NOK!B1186</f>
        <v>0.1670090351888037</v>
      </c>
      <c r="Q1186" s="3">
        <f>1/NOK!C1186</f>
        <v>0.16680288902603793</v>
      </c>
      <c r="R1186" s="3">
        <f>NZD!B1186/1</f>
        <v>0.85680000000000001</v>
      </c>
      <c r="S1186" s="3">
        <f>NZD!C1186/1</f>
        <v>0.85460000000000003</v>
      </c>
      <c r="T1186" s="4">
        <f>1/PHP!B1186</f>
        <v>2.2514916131937408E-2</v>
      </c>
      <c r="U1186" s="4">
        <f>1/PHP!C1186</f>
        <v>2.249491052649338E-2</v>
      </c>
      <c r="V1186" s="4">
        <f>1/TWD!B1186</f>
        <v>3.307206402751596E-2</v>
      </c>
      <c r="W1186" s="4">
        <f>1/TWD!C1186</f>
        <v>3.3072282781246694E-2</v>
      </c>
      <c r="X1186" s="4">
        <f>1/TWD!B1186</f>
        <v>3.307206402751596E-2</v>
      </c>
      <c r="Y1186" s="4">
        <f>1/TWD!C1186</f>
        <v>3.3072282781246694E-2</v>
      </c>
      <c r="Z1186" s="4">
        <f>1/ZAR!B1186</f>
        <v>9.5052516515374746E-2</v>
      </c>
      <c r="AA1186" s="4">
        <f>1/ZAR!C1186</f>
        <v>9.4576957270130713E-2</v>
      </c>
    </row>
    <row r="1187" spans="1:27" x14ac:dyDescent="0.25">
      <c r="A1187" t="str">
        <f>"22/04/2014"</f>
        <v>22/04/2014</v>
      </c>
      <c r="B1187" s="3">
        <f>AUD!B1187</f>
        <v>0.93520000000000003</v>
      </c>
      <c r="C1187" s="3">
        <f>AUD!C1187</f>
        <v>0.93310000000000004</v>
      </c>
      <c r="D1187" s="3">
        <f>1/CAD!B1187</f>
        <v>0.90744101633393826</v>
      </c>
      <c r="E1187" s="3">
        <f>1/CAD!C1187</f>
        <v>0.90678273485672833</v>
      </c>
      <c r="F1187" s="3">
        <f>EUR!B1187/1</f>
        <v>1.3794999999999999</v>
      </c>
      <c r="G1187" s="3">
        <f>EUR!C1187/1</f>
        <v>1.3794</v>
      </c>
      <c r="H1187" s="3">
        <f>GBP!B1187/1</f>
        <v>1.6793</v>
      </c>
      <c r="I1187" s="3">
        <f>GBP!C1187/1</f>
        <v>1.6789000000000001</v>
      </c>
      <c r="J1187" s="4">
        <f>1/INR!B1187</f>
        <v>1.6467682173734045E-2</v>
      </c>
      <c r="K1187" s="4">
        <f>1/INR!C1187</f>
        <v>1.6343875132793985E-2</v>
      </c>
      <c r="L1187" s="4">
        <f>1/JPY!B1187</f>
        <v>9.7426004949241057E-3</v>
      </c>
      <c r="M1187" s="4">
        <f>1/JPY!C1187</f>
        <v>9.7442903330793324E-3</v>
      </c>
      <c r="N1187" s="5">
        <f>1/KRW!B1187</f>
        <v>9.614922359501947E-4</v>
      </c>
      <c r="O1187" s="5">
        <f>1/KRW!C1187</f>
        <v>9.6147420917544447E-4</v>
      </c>
      <c r="P1187" s="3">
        <f>1/NOK!B1187</f>
        <v>0.16693097404223353</v>
      </c>
      <c r="Q1187" s="3">
        <f>1/NOK!C1187</f>
        <v>0.16669167041722924</v>
      </c>
      <c r="R1187" s="3">
        <f>NZD!B1187/1</f>
        <v>0.85829999999999995</v>
      </c>
      <c r="S1187" s="3">
        <f>NZD!C1187/1</f>
        <v>0.85599999999999998</v>
      </c>
      <c r="T1187" s="4">
        <f>1/PHP!B1187</f>
        <v>2.2469385462307603E-2</v>
      </c>
      <c r="U1187" s="4">
        <f>1/PHP!C1187</f>
        <v>2.2451930416977253E-2</v>
      </c>
      <c r="V1187" s="4">
        <f>1/TWD!B1187</f>
        <v>3.3016376122556791E-2</v>
      </c>
      <c r="W1187" s="4">
        <f>1/TWD!C1187</f>
        <v>3.3016594140214871E-2</v>
      </c>
      <c r="X1187" s="4">
        <f>1/TWD!B1187</f>
        <v>3.3016376122556791E-2</v>
      </c>
      <c r="Y1187" s="4">
        <f>1/TWD!C1187</f>
        <v>3.3016594140214871E-2</v>
      </c>
      <c r="Z1187" s="4">
        <f>1/ZAR!B1187</f>
        <v>9.527439024390244E-2</v>
      </c>
      <c r="AA1187" s="4">
        <f>1/ZAR!C1187</f>
        <v>9.4746316736936842E-2</v>
      </c>
    </row>
    <row r="1188" spans="1:27" x14ac:dyDescent="0.25">
      <c r="A1188" t="str">
        <f>"23/04/2014"</f>
        <v>23/04/2014</v>
      </c>
      <c r="B1188" s="3">
        <f>AUD!B1188</f>
        <v>0.92869999999999997</v>
      </c>
      <c r="C1188" s="3">
        <f>AUD!C1188</f>
        <v>0.92669999999999997</v>
      </c>
      <c r="D1188" s="3">
        <f>1/CAD!B1188</f>
        <v>0.90645395213923141</v>
      </c>
      <c r="E1188" s="3">
        <f>1/CAD!C1188</f>
        <v>0.90571506204148167</v>
      </c>
      <c r="F1188" s="3">
        <f>EUR!B1188/1</f>
        <v>1.3817999999999999</v>
      </c>
      <c r="G1188" s="3">
        <f>EUR!C1188/1</f>
        <v>1.3816999999999999</v>
      </c>
      <c r="H1188" s="3">
        <f>GBP!B1188/1</f>
        <v>1.6832</v>
      </c>
      <c r="I1188" s="3">
        <f>GBP!C1188/1</f>
        <v>1.6828000000000001</v>
      </c>
      <c r="J1188" s="4">
        <f>1/INR!B1188</f>
        <v>1.6390083999180495E-2</v>
      </c>
      <c r="K1188" s="4">
        <f>1/INR!C1188</f>
        <v>1.6274055087676473E-2</v>
      </c>
      <c r="L1188" s="4">
        <f>1/JPY!B1188</f>
        <v>9.7508653893033006E-3</v>
      </c>
      <c r="M1188" s="4">
        <f>1/JPY!C1188</f>
        <v>9.7524629845267413E-3</v>
      </c>
      <c r="N1188" s="5">
        <f>1/KRW!B1188</f>
        <v>9.6172340834775919E-4</v>
      </c>
      <c r="O1188" s="5">
        <f>1/KRW!C1188</f>
        <v>9.6170676022150033E-4</v>
      </c>
      <c r="P1188" s="3">
        <f>1/NOK!B1188</f>
        <v>0.16713185031671485</v>
      </c>
      <c r="Q1188" s="3">
        <f>1/NOK!C1188</f>
        <v>0.16690032712464117</v>
      </c>
      <c r="R1188" s="3">
        <f>NZD!B1188/1</f>
        <v>0.8599</v>
      </c>
      <c r="S1188" s="3">
        <f>NZD!C1188/1</f>
        <v>0.85780000000000001</v>
      </c>
      <c r="T1188" s="4">
        <f>1/PHP!B1188</f>
        <v>2.2408963585434174E-2</v>
      </c>
      <c r="U1188" s="4">
        <f>1/PHP!C1188</f>
        <v>2.2390900338102593E-2</v>
      </c>
      <c r="V1188" s="4">
        <f>1/TWD!B1188</f>
        <v>3.3005478909498981E-2</v>
      </c>
      <c r="W1188" s="4">
        <f>1/TWD!C1188</f>
        <v>3.3005696783264794E-2</v>
      </c>
      <c r="X1188" s="4">
        <f>1/TWD!B1188</f>
        <v>3.3005478909498981E-2</v>
      </c>
      <c r="Y1188" s="4">
        <f>1/TWD!C1188</f>
        <v>3.3005696783264794E-2</v>
      </c>
      <c r="Z1188" s="4">
        <f>1/ZAR!B1188</f>
        <v>9.4764273868751484E-2</v>
      </c>
      <c r="AA1188" s="4">
        <f>1/ZAR!C1188</f>
        <v>9.4267587975226469E-2</v>
      </c>
    </row>
    <row r="1189" spans="1:27" x14ac:dyDescent="0.25">
      <c r="A1189" t="str">
        <f>"25/04/2014"</f>
        <v>25/04/2014</v>
      </c>
      <c r="B1189" s="3">
        <f>AUD!B1189</f>
        <v>0.92749999999999999</v>
      </c>
      <c r="C1189" s="3">
        <f>AUD!C1189</f>
        <v>0.92559999999999998</v>
      </c>
      <c r="D1189" s="3">
        <f>1/CAD!B1189</f>
        <v>0.90678273485672833</v>
      </c>
      <c r="E1189" s="3">
        <f>1/CAD!C1189</f>
        <v>0.90612540775643358</v>
      </c>
      <c r="F1189" s="3">
        <f>EUR!B1189/1</f>
        <v>1.3832</v>
      </c>
      <c r="G1189" s="3">
        <f>EUR!C1189/1</f>
        <v>1.383</v>
      </c>
      <c r="H1189" s="3">
        <f>GBP!B1189/1</f>
        <v>1.6807000000000001</v>
      </c>
      <c r="I1189" s="3">
        <f>GBP!C1189/1</f>
        <v>1.6802999999999999</v>
      </c>
      <c r="J1189" s="4">
        <f>1/INR!B1189</f>
        <v>1.6361256544502618E-2</v>
      </c>
      <c r="K1189" s="4">
        <f>1/INR!C1189</f>
        <v>1.6246293814223631E-2</v>
      </c>
      <c r="L1189" s="4">
        <f>1/JPY!B1189</f>
        <v>9.7724007857010239E-3</v>
      </c>
      <c r="M1189" s="4">
        <f>1/JPY!C1189</f>
        <v>9.7739863398766912E-3</v>
      </c>
      <c r="N1189" s="5">
        <f>1/KRW!B1189</f>
        <v>9.6174653170157001E-4</v>
      </c>
      <c r="O1189" s="5">
        <f>1/KRW!C1189</f>
        <v>9.6173034523715066E-4</v>
      </c>
      <c r="P1189" s="3">
        <f>1/NOK!B1189</f>
        <v>0.16675838377774443</v>
      </c>
      <c r="Q1189" s="3">
        <f>1/NOK!C1189</f>
        <v>0.16654176034640686</v>
      </c>
      <c r="R1189" s="3">
        <f>NZD!B1189/1</f>
        <v>0.85709999999999997</v>
      </c>
      <c r="S1189" s="3">
        <f>NZD!C1189/1</f>
        <v>0.85499999999999998</v>
      </c>
      <c r="T1189" s="4">
        <f>1/PHP!B1189</f>
        <v>2.2381378692927483E-2</v>
      </c>
      <c r="U1189" s="4">
        <f>1/PHP!C1189</f>
        <v>2.2364160091603601E-2</v>
      </c>
      <c r="V1189" s="4">
        <f>1/TWD!B1189</f>
        <v>3.2993500280444753E-2</v>
      </c>
      <c r="W1189" s="4">
        <f>1/TWD!C1189</f>
        <v>3.299371799609354E-2</v>
      </c>
      <c r="X1189" s="4">
        <f>1/TWD!B1189</f>
        <v>3.2993500280444753E-2</v>
      </c>
      <c r="Y1189" s="4">
        <f>1/TWD!C1189</f>
        <v>3.299371799609354E-2</v>
      </c>
      <c r="Z1189" s="4">
        <f>1/ZAR!B1189</f>
        <v>9.4119418718469988E-2</v>
      </c>
      <c r="AA1189" s="4">
        <f>1/ZAR!C1189</f>
        <v>9.3641726753441332E-2</v>
      </c>
    </row>
    <row r="1190" spans="1:27" x14ac:dyDescent="0.25">
      <c r="A1190" t="str">
        <f>"28/04/2014"</f>
        <v>28/04/2014</v>
      </c>
      <c r="B1190" s="3">
        <f>AUD!B1190</f>
        <v>0.92969999999999997</v>
      </c>
      <c r="C1190" s="3">
        <f>AUD!C1190</f>
        <v>0.92769999999999997</v>
      </c>
      <c r="D1190" s="3">
        <f>1/CAD!B1190</f>
        <v>0.90670051681929464</v>
      </c>
      <c r="E1190" s="3">
        <f>1/CAD!C1190</f>
        <v>0.90604330887016404</v>
      </c>
      <c r="F1190" s="3">
        <f>EUR!B1190/1</f>
        <v>1.3822000000000001</v>
      </c>
      <c r="G1190" s="3">
        <f>EUR!C1190/1</f>
        <v>1.3821000000000001</v>
      </c>
      <c r="H1190" s="3">
        <f>GBP!B1190/1</f>
        <v>1.6802999999999999</v>
      </c>
      <c r="I1190" s="3">
        <f>GBP!C1190/1</f>
        <v>1.6798999999999999</v>
      </c>
      <c r="J1190" s="4">
        <f>1/INR!B1190</f>
        <v>1.6526194017517766E-2</v>
      </c>
      <c r="K1190" s="4">
        <f>1/INR!C1190</f>
        <v>1.6409583196586808E-2</v>
      </c>
      <c r="L1190" s="4">
        <f>1/JPY!B1190</f>
        <v>9.7807163396647166E-3</v>
      </c>
      <c r="M1190" s="4">
        <f>1/JPY!C1190</f>
        <v>9.7825534029590266E-3</v>
      </c>
      <c r="N1190" s="5">
        <f>1/KRW!B1190</f>
        <v>9.6571704490584255E-4</v>
      </c>
      <c r="O1190" s="5">
        <f>1/KRW!C1190</f>
        <v>9.6569242464508871E-4</v>
      </c>
      <c r="P1190" s="3">
        <f>1/NOK!B1190</f>
        <v>0.16619577862722285</v>
      </c>
      <c r="Q1190" s="3">
        <f>1/NOK!C1190</f>
        <v>0.16599438938963862</v>
      </c>
      <c r="R1190" s="3">
        <f>NZD!B1190/1</f>
        <v>0.85760000000000003</v>
      </c>
      <c r="S1190" s="3">
        <f>NZD!C1190/1</f>
        <v>0.85550000000000004</v>
      </c>
      <c r="T1190" s="4">
        <f>1/PHP!B1190</f>
        <v>2.244165170556553E-2</v>
      </c>
      <c r="U1190" s="4">
        <f>1/PHP!C1190</f>
        <v>2.2425144866435837E-2</v>
      </c>
      <c r="V1190" s="4">
        <f>1/TWD!B1190</f>
        <v>3.3056758454265971E-2</v>
      </c>
      <c r="W1190" s="4">
        <f>1/TWD!C1190</f>
        <v>3.3056977005566791E-2</v>
      </c>
      <c r="X1190" s="4">
        <f>1/TWD!B1190</f>
        <v>3.3056758454265971E-2</v>
      </c>
      <c r="Y1190" s="4">
        <f>1/TWD!C1190</f>
        <v>3.3056977005566791E-2</v>
      </c>
      <c r="Z1190" s="4">
        <f>1/ZAR!B1190</f>
        <v>9.3896713615023469E-2</v>
      </c>
      <c r="AA1190" s="4">
        <f>1/ZAR!C1190</f>
        <v>9.3456197080428405E-2</v>
      </c>
    </row>
    <row r="1191" spans="1:27" x14ac:dyDescent="0.25">
      <c r="A1191" t="str">
        <f>"29/04/2014"</f>
        <v>29/04/2014</v>
      </c>
      <c r="B1191" s="3">
        <f>AUD!B1191</f>
        <v>0.92469999999999997</v>
      </c>
      <c r="C1191" s="3">
        <f>AUD!C1191</f>
        <v>0.92269999999999996</v>
      </c>
      <c r="D1191" s="3">
        <f>1/CAD!B1191</f>
        <v>0.90702947845804982</v>
      </c>
      <c r="E1191" s="3">
        <f>1/CAD!C1191</f>
        <v>0.90637179370977983</v>
      </c>
      <c r="F1191" s="3">
        <f>EUR!B1191/1</f>
        <v>1.3862000000000001</v>
      </c>
      <c r="G1191" s="3">
        <f>EUR!C1191/1</f>
        <v>1.3859999999999999</v>
      </c>
      <c r="H1191" s="3">
        <f>GBP!B1191/1</f>
        <v>1.6815</v>
      </c>
      <c r="I1191" s="3">
        <f>GBP!C1191/1</f>
        <v>1.6811</v>
      </c>
      <c r="J1191" s="4">
        <f>1/INR!B1191</f>
        <v>1.6519368960105724E-2</v>
      </c>
      <c r="K1191" s="4">
        <f>1/INR!C1191</f>
        <v>1.6400164001640016E-2</v>
      </c>
      <c r="L1191" s="4">
        <f>1/JPY!B1191</f>
        <v>9.7572398719850129E-3</v>
      </c>
      <c r="M1191" s="4">
        <f>1/JPY!C1191</f>
        <v>9.7590300304872101E-3</v>
      </c>
      <c r="N1191" s="5">
        <f>1/KRW!B1191</f>
        <v>9.6946194861851677E-4</v>
      </c>
      <c r="O1191" s="5">
        <f>1/KRW!C1191</f>
        <v>9.6943854675732993E-4</v>
      </c>
      <c r="P1191" s="3">
        <f>1/NOK!B1191</f>
        <v>0.16675838377774443</v>
      </c>
      <c r="Q1191" s="3">
        <f>1/NOK!C1191</f>
        <v>0.16654176034640686</v>
      </c>
      <c r="R1191" s="3">
        <f>NZD!B1191/1</f>
        <v>0.85319999999999996</v>
      </c>
      <c r="S1191" s="3">
        <f>NZD!C1191/1</f>
        <v>0.8508</v>
      </c>
      <c r="T1191" s="4">
        <f>1/PHP!B1191</f>
        <v>2.248959856066569E-2</v>
      </c>
      <c r="U1191" s="4">
        <f>1/PHP!C1191</f>
        <v>2.2478678972994114E-2</v>
      </c>
      <c r="V1191" s="4">
        <f>1/TWD!B1191</f>
        <v>3.3113679260902674E-2</v>
      </c>
      <c r="W1191" s="4">
        <f>1/TWD!C1191</f>
        <v>3.3113898565505916E-2</v>
      </c>
      <c r="X1191" s="4">
        <f>1/TWD!B1191</f>
        <v>3.3113679260902674E-2</v>
      </c>
      <c r="Y1191" s="4">
        <f>1/TWD!C1191</f>
        <v>3.3113898565505916E-2</v>
      </c>
      <c r="Z1191" s="4">
        <f>1/ZAR!B1191</f>
        <v>9.4031801555285996E-2</v>
      </c>
      <c r="AA1191" s="4">
        <f>1/ZAR!C1191</f>
        <v>9.3536619586568129E-2</v>
      </c>
    </row>
    <row r="1192" spans="1:27" x14ac:dyDescent="0.25">
      <c r="A1192" t="str">
        <f>"30/04/2014"</f>
        <v>30/04/2014</v>
      </c>
      <c r="B1192" s="3">
        <f>AUD!B1192</f>
        <v>0.92859999999999998</v>
      </c>
      <c r="C1192" s="3">
        <f>AUD!C1192</f>
        <v>0.92659999999999998</v>
      </c>
      <c r="D1192" s="3">
        <f>1/CAD!B1192</f>
        <v>0.91232551774473125</v>
      </c>
      <c r="E1192" s="3">
        <f>1/CAD!C1192</f>
        <v>0.91166013310237948</v>
      </c>
      <c r="F1192" s="3">
        <f>EUR!B1192/1</f>
        <v>1.381</v>
      </c>
      <c r="G1192" s="3">
        <f>EUR!C1192/1</f>
        <v>1.3808</v>
      </c>
      <c r="H1192" s="3">
        <f>GBP!B1192/1</f>
        <v>1.6827000000000001</v>
      </c>
      <c r="I1192" s="3">
        <f>GBP!C1192/1</f>
        <v>1.6822999999999999</v>
      </c>
      <c r="J1192" s="4">
        <f>1/INR!B1192</f>
        <v>1.6570694726376404E-2</v>
      </c>
      <c r="K1192" s="4">
        <f>1/INR!C1192</f>
        <v>1.6453457282711529E-2</v>
      </c>
      <c r="L1192" s="4">
        <f>1/JPY!B1192</f>
        <v>9.7670557210528877E-3</v>
      </c>
      <c r="M1192" s="4">
        <f>1/JPY!C1192</f>
        <v>9.768897198964106E-3</v>
      </c>
      <c r="N1192" s="5">
        <f>1/KRW!B1192</f>
        <v>9.6913311043271804E-4</v>
      </c>
      <c r="O1192" s="5">
        <f>1/KRW!C1192</f>
        <v>9.6911291764526885E-4</v>
      </c>
      <c r="P1192" s="3">
        <f>1/NOK!B1192</f>
        <v>0.16636167027116952</v>
      </c>
      <c r="Q1192" s="3">
        <f>1/NOK!C1192</f>
        <v>0.1661405549094534</v>
      </c>
      <c r="R1192" s="3">
        <f>NZD!B1192/1</f>
        <v>0.85640000000000005</v>
      </c>
      <c r="S1192" s="3">
        <f>NZD!C1192/1</f>
        <v>0.85409999999999997</v>
      </c>
      <c r="T1192" s="4">
        <f>1/PHP!B1192</f>
        <v>2.2456770716370984E-2</v>
      </c>
      <c r="U1192" s="4">
        <f>1/PHP!C1192</f>
        <v>2.244497614099036E-2</v>
      </c>
      <c r="V1192" s="4">
        <f>1/TWD!B1192</f>
        <v>3.3087383780564472E-2</v>
      </c>
      <c r="W1192" s="4">
        <f>1/TWD!C1192</f>
        <v>3.3087602737006498E-2</v>
      </c>
      <c r="X1192" s="4">
        <f>1/TWD!B1192</f>
        <v>3.3087383780564472E-2</v>
      </c>
      <c r="Y1192" s="4">
        <f>1/TWD!C1192</f>
        <v>3.3087602737006498E-2</v>
      </c>
      <c r="Z1192" s="4">
        <f>1/ZAR!B1192</f>
        <v>9.46073793755913E-2</v>
      </c>
      <c r="AA1192" s="4">
        <f>1/ZAR!C1192</f>
        <v>9.4108789760963679E-2</v>
      </c>
    </row>
    <row r="1193" spans="1:27" x14ac:dyDescent="0.25">
      <c r="A1193" t="str">
        <f>"02/05/2014"</f>
        <v>02/05/2014</v>
      </c>
      <c r="B1193" s="3">
        <f>AUD!B1193</f>
        <v>0.92769999999999997</v>
      </c>
      <c r="C1193" s="3">
        <f>AUD!C1193</f>
        <v>0.92569999999999997</v>
      </c>
      <c r="D1193" s="3">
        <f>1/CAD!B1193</f>
        <v>0.9124920156948626</v>
      </c>
      <c r="E1193" s="3">
        <f>1/CAD!C1193</f>
        <v>0.91182638825567608</v>
      </c>
      <c r="F1193" s="3">
        <f>EUR!B1193/1</f>
        <v>1.3861000000000001</v>
      </c>
      <c r="G1193" s="3">
        <f>EUR!C1193/1</f>
        <v>1.3859999999999999</v>
      </c>
      <c r="H1193" s="3">
        <f>GBP!B1193/1</f>
        <v>1.6884999999999999</v>
      </c>
      <c r="I1193" s="3">
        <f>GBP!C1193/1</f>
        <v>1.6880999999999999</v>
      </c>
      <c r="J1193" s="4">
        <f>1/INR!B1193</f>
        <v>1.6614745586708203E-2</v>
      </c>
      <c r="K1193" s="4">
        <f>1/INR!C1193</f>
        <v>1.6503011799653439E-2</v>
      </c>
      <c r="L1193" s="4">
        <f>1/JPY!B1193</f>
        <v>9.7694411879640491E-3</v>
      </c>
      <c r="M1193" s="4">
        <f>1/JPY!C1193</f>
        <v>9.7712262791268042E-3</v>
      </c>
      <c r="N1193" s="5">
        <f>1/KRW!B1193</f>
        <v>9.6964995636575205E-4</v>
      </c>
      <c r="O1193" s="5">
        <f>1/KRW!C1193</f>
        <v>9.6962974203485528E-4</v>
      </c>
      <c r="P1193" s="3">
        <f>1/NOK!B1193</f>
        <v>0.167937392939912</v>
      </c>
      <c r="Q1193" s="3">
        <f>1/NOK!C1193</f>
        <v>0.16771488469601675</v>
      </c>
      <c r="R1193" s="3">
        <f>NZD!B1193/1</f>
        <v>0.86309999999999998</v>
      </c>
      <c r="S1193" s="3">
        <f>NZD!C1193/1</f>
        <v>0.8609</v>
      </c>
      <c r="T1193" s="4">
        <f>1/PHP!B1193</f>
        <v>2.2446689113355782E-2</v>
      </c>
      <c r="U1193" s="4">
        <f>1/PHP!C1193</f>
        <v>2.243158366980709E-2</v>
      </c>
      <c r="V1193" s="4">
        <f>1/TWD!B1193</f>
        <v>3.3134526176275679E-2</v>
      </c>
      <c r="W1193" s="4">
        <f>1/TWD!C1193</f>
        <v>3.3134745757095803E-2</v>
      </c>
      <c r="X1193" s="4">
        <f>1/TWD!B1193</f>
        <v>3.3134526176275679E-2</v>
      </c>
      <c r="Y1193" s="4">
        <f>1/TWD!C1193</f>
        <v>3.3134745757095803E-2</v>
      </c>
      <c r="Z1193" s="4">
        <f>1/ZAR!B1193</f>
        <v>9.5240816404278214E-2</v>
      </c>
      <c r="AA1193" s="4">
        <f>1/ZAR!C1193</f>
        <v>9.4754396604002436E-2</v>
      </c>
    </row>
    <row r="1194" spans="1:27" x14ac:dyDescent="0.25">
      <c r="A1194" t="str">
        <f>"05/05/2014"</f>
        <v>05/05/2014</v>
      </c>
      <c r="B1194" s="3">
        <f>AUD!B1194</f>
        <v>0.9264</v>
      </c>
      <c r="C1194" s="3">
        <f>AUD!C1194</f>
        <v>0.92420000000000002</v>
      </c>
      <c r="D1194" s="3">
        <f>1/CAD!B1194</f>
        <v>0.91149393856530858</v>
      </c>
      <c r="E1194" s="3">
        <f>1/CAD!C1194</f>
        <v>0.91082976591675002</v>
      </c>
      <c r="F1194" s="3">
        <f>EUR!B1194/1</f>
        <v>1.3875</v>
      </c>
      <c r="G1194" s="3">
        <f>EUR!C1194/1</f>
        <v>1.3874</v>
      </c>
      <c r="H1194" s="3">
        <f>GBP!B1194/1</f>
        <v>1.6873</v>
      </c>
      <c r="I1194" s="3">
        <f>GBP!C1194/1</f>
        <v>1.6869000000000001</v>
      </c>
      <c r="J1194" s="4">
        <f>1/INR!B1194</f>
        <v>1.6649323621227889E-2</v>
      </c>
      <c r="K1194" s="4">
        <f>1/INR!C1194</f>
        <v>1.6526876833450398E-2</v>
      </c>
      <c r="L1194" s="4">
        <f>1/JPY!B1194</f>
        <v>9.8094995193345243E-3</v>
      </c>
      <c r="M1194" s="4">
        <f>1/JPY!C1194</f>
        <v>9.8113281594929512E-3</v>
      </c>
      <c r="N1194" s="5">
        <f>1/KRW!B1194</f>
        <v>9.7181729834791054E-4</v>
      </c>
      <c r="O1194" s="5">
        <f>1/KRW!C1194</f>
        <v>9.7179170499980024E-4</v>
      </c>
      <c r="P1194" s="3">
        <f>1/NOK!B1194</f>
        <v>0.16820009082804907</v>
      </c>
      <c r="Q1194" s="3">
        <f>1/NOK!C1194</f>
        <v>0.16797124332314306</v>
      </c>
      <c r="R1194" s="3">
        <f>NZD!B1194/1</f>
        <v>0.86560000000000004</v>
      </c>
      <c r="S1194" s="3">
        <f>NZD!C1194/1</f>
        <v>0.86329999999999996</v>
      </c>
      <c r="T1194" s="4">
        <f>1/PHP!B1194</f>
        <v>2.2522522522522525E-2</v>
      </c>
      <c r="U1194" s="4">
        <f>1/PHP!C1194</f>
        <v>2.2508784052976672E-2</v>
      </c>
      <c r="V1194" s="4">
        <f>1/TWD!B1194</f>
        <v>3.3187309172972253E-2</v>
      </c>
      <c r="W1194" s="4">
        <f>1/TWD!C1194</f>
        <v>3.3187529453932392E-2</v>
      </c>
      <c r="X1194" s="4">
        <f>1/TWD!B1194</f>
        <v>3.3187309172972253E-2</v>
      </c>
      <c r="Y1194" s="4">
        <f>1/TWD!C1194</f>
        <v>3.3187529453932392E-2</v>
      </c>
      <c r="Z1194" s="4">
        <f>1/ZAR!B1194</f>
        <v>9.5512808267588692E-2</v>
      </c>
      <c r="AA1194" s="4">
        <f>1/ZAR!C1194</f>
        <v>9.4990216007751205E-2</v>
      </c>
    </row>
    <row r="1195" spans="1:27" x14ac:dyDescent="0.25">
      <c r="A1195" t="str">
        <f>"06/05/2014"</f>
        <v>06/05/2014</v>
      </c>
      <c r="B1195" s="3">
        <f>AUD!B1195</f>
        <v>0.92879999999999996</v>
      </c>
      <c r="C1195" s="3">
        <f>AUD!C1195</f>
        <v>0.92669999999999997</v>
      </c>
      <c r="D1195" s="3">
        <f>1/CAD!B1195</f>
        <v>0.91282519397535378</v>
      </c>
      <c r="E1195" s="3">
        <f>1/CAD!C1195</f>
        <v>0.91207588471360812</v>
      </c>
      <c r="F1195" s="3">
        <f>EUR!B1195/1</f>
        <v>1.3882000000000001</v>
      </c>
      <c r="G1195" s="3">
        <f>EUR!C1195/1</f>
        <v>1.3880999999999999</v>
      </c>
      <c r="H1195" s="3">
        <f>GBP!B1195/1</f>
        <v>1.6890000000000001</v>
      </c>
      <c r="I1195" s="3">
        <f>GBP!C1195/1</f>
        <v>1.6886000000000001</v>
      </c>
      <c r="J1195" s="4">
        <f>1/INR!B1195</f>
        <v>1.6611295681063121E-2</v>
      </c>
      <c r="K1195" s="4">
        <f>1/INR!C1195</f>
        <v>1.649416518906437E-2</v>
      </c>
      <c r="L1195" s="4">
        <f>1/JPY!B1195</f>
        <v>9.7997902844879116E-3</v>
      </c>
      <c r="M1195" s="4">
        <f>1/JPY!C1195</f>
        <v>9.801576877688083E-3</v>
      </c>
      <c r="N1195" s="5">
        <f>1/KRW!B1195</f>
        <v>9.7508653893033006E-4</v>
      </c>
      <c r="O1195" s="5">
        <f>1/KRW!C1195</f>
        <v>9.7506077310033541E-4</v>
      </c>
      <c r="P1195" s="3">
        <f>1/NOK!B1195</f>
        <v>0.16791201410460918</v>
      </c>
      <c r="Q1195" s="3">
        <f>1/NOK!C1195</f>
        <v>0.16765302529884152</v>
      </c>
      <c r="R1195" s="3">
        <f>NZD!B1195/1</f>
        <v>0.86970000000000003</v>
      </c>
      <c r="S1195" s="3">
        <f>NZD!C1195/1</f>
        <v>0.86739999999999995</v>
      </c>
      <c r="T1195" s="4">
        <f>1/PHP!B1195</f>
        <v>2.2536480928503012E-2</v>
      </c>
      <c r="U1195" s="4">
        <f>1/PHP!C1195</f>
        <v>2.2523537096265596E-2</v>
      </c>
      <c r="V1195" s="4">
        <f>1/TWD!B1195</f>
        <v>3.3182904167772767E-2</v>
      </c>
      <c r="W1195" s="4">
        <f>1/TWD!C1195</f>
        <v>3.3183124390260089E-2</v>
      </c>
      <c r="X1195" s="4">
        <f>1/TWD!B1195</f>
        <v>3.3182904167772767E-2</v>
      </c>
      <c r="Y1195" s="4">
        <f>1/TWD!C1195</f>
        <v>3.3183124390260089E-2</v>
      </c>
      <c r="Z1195" s="4">
        <f>1/ZAR!B1195</f>
        <v>9.4902772109973332E-2</v>
      </c>
      <c r="AA1195" s="4">
        <f>1/ZAR!C1195</f>
        <v>9.4400181248347995E-2</v>
      </c>
    </row>
    <row r="1196" spans="1:27" x14ac:dyDescent="0.25">
      <c r="A1196" t="str">
        <f>"07/05/2014"</f>
        <v>07/05/2014</v>
      </c>
      <c r="B1196" s="3">
        <f>AUD!B1196</f>
        <v>0.93389999999999995</v>
      </c>
      <c r="C1196" s="3">
        <f>AUD!C1196</f>
        <v>0.93189999999999995</v>
      </c>
      <c r="D1196" s="3">
        <f>1/CAD!B1196</f>
        <v>0.91818933063997799</v>
      </c>
      <c r="E1196" s="3">
        <f>1/CAD!C1196</f>
        <v>0.91751536838242032</v>
      </c>
      <c r="F1196" s="3">
        <f>EUR!B1196/1</f>
        <v>1.3925000000000001</v>
      </c>
      <c r="G1196" s="3">
        <f>EUR!C1196/1</f>
        <v>1.3923000000000001</v>
      </c>
      <c r="H1196" s="3">
        <f>GBP!B1196/1</f>
        <v>1.6977</v>
      </c>
      <c r="I1196" s="3">
        <f>GBP!C1196/1</f>
        <v>1.6973</v>
      </c>
      <c r="J1196" s="4">
        <f>1/INR!B1196</f>
        <v>1.6634091570674095E-2</v>
      </c>
      <c r="K1196" s="4">
        <f>1/INR!C1196</f>
        <v>1.6520733520568313E-2</v>
      </c>
      <c r="L1196" s="4">
        <f>1/JPY!B1196</f>
        <v>9.8415510284420825E-3</v>
      </c>
      <c r="M1196" s="4">
        <f>1/JPY!C1196</f>
        <v>9.8434013282685754E-3</v>
      </c>
      <c r="N1196" s="5">
        <f>1/KRW!B1196</f>
        <v>9.7385207187028304E-4</v>
      </c>
      <c r="O1196" s="5">
        <f>1/KRW!C1196</f>
        <v>9.7382532806714549E-4</v>
      </c>
      <c r="P1196" s="3">
        <f>1/NOK!B1196</f>
        <v>0.16869664968453726</v>
      </c>
      <c r="Q1196" s="3">
        <f>1/NOK!C1196</f>
        <v>0.16845793605336745</v>
      </c>
      <c r="R1196" s="3">
        <f>NZD!B1196/1</f>
        <v>0.86950000000000005</v>
      </c>
      <c r="S1196" s="3">
        <f>NZD!C1196/1</f>
        <v>0.86729999999999996</v>
      </c>
      <c r="T1196" s="4">
        <f>1/PHP!B1196</f>
        <v>2.2545372562281594E-2</v>
      </c>
      <c r="U1196" s="4">
        <f>1/PHP!C1196</f>
        <v>2.2534195641886561E-2</v>
      </c>
      <c r="V1196" s="4">
        <f>1/TWD!B1196</f>
        <v>3.3189512114171919E-2</v>
      </c>
      <c r="W1196" s="4">
        <f>1/TWD!C1196</f>
        <v>3.3189732424377193E-2</v>
      </c>
      <c r="X1196" s="4">
        <f>1/TWD!B1196</f>
        <v>3.3189512114171919E-2</v>
      </c>
      <c r="Y1196" s="4">
        <f>1/TWD!C1196</f>
        <v>3.3189732424377193E-2</v>
      </c>
      <c r="Z1196" s="4">
        <f>1/ZAR!B1196</f>
        <v>9.5159249003206867E-2</v>
      </c>
      <c r="AA1196" s="4">
        <f>1/ZAR!C1196</f>
        <v>9.4656633063561924E-2</v>
      </c>
    </row>
    <row r="1197" spans="1:27" x14ac:dyDescent="0.25">
      <c r="A1197" t="str">
        <f>"08/05/2014"</f>
        <v>08/05/2014</v>
      </c>
      <c r="B1197" s="3">
        <f>AUD!B1197</f>
        <v>0.93659999999999999</v>
      </c>
      <c r="C1197" s="3">
        <f>AUD!C1197</f>
        <v>0.93459999999999999</v>
      </c>
      <c r="D1197" s="3">
        <f>1/CAD!B1197</f>
        <v>0.91802074726888838</v>
      </c>
      <c r="E1197" s="3">
        <f>1/CAD!C1197</f>
        <v>0.91734703238235016</v>
      </c>
      <c r="F1197" s="3">
        <f>EUR!B1197/1</f>
        <v>1.3914</v>
      </c>
      <c r="G1197" s="3">
        <f>EUR!C1197/1</f>
        <v>1.3913</v>
      </c>
      <c r="H1197" s="3">
        <f>GBP!B1197/1</f>
        <v>1.6952</v>
      </c>
      <c r="I1197" s="3">
        <f>GBP!C1197/1</f>
        <v>1.6948000000000001</v>
      </c>
      <c r="J1197" s="4">
        <f>1/INR!B1197</f>
        <v>1.6655562958027982E-2</v>
      </c>
      <c r="K1197" s="4">
        <f>1/INR!C1197</f>
        <v>1.6542597187758478E-2</v>
      </c>
      <c r="L1197" s="4">
        <f>1/JPY!B1197</f>
        <v>9.8195172725308831E-3</v>
      </c>
      <c r="M1197" s="4">
        <f>1/JPY!C1197</f>
        <v>9.8212724833480324E-3</v>
      </c>
      <c r="N1197" s="5">
        <f>1/KRW!B1197</f>
        <v>9.7799511002444979E-4</v>
      </c>
      <c r="O1197" s="5">
        <f>1/KRW!C1197</f>
        <v>9.7796689484264273E-4</v>
      </c>
      <c r="P1197" s="3">
        <f>1/NOK!B1197</f>
        <v>0.16915608031530693</v>
      </c>
      <c r="Q1197" s="3">
        <f>1/NOK!C1197</f>
        <v>0.1689274794330794</v>
      </c>
      <c r="R1197" s="3">
        <f>NZD!B1197/1</f>
        <v>0.86580000000000001</v>
      </c>
      <c r="S1197" s="3">
        <f>NZD!C1197/1</f>
        <v>0.86360000000000003</v>
      </c>
      <c r="T1197" s="4">
        <f>1/PHP!B1197</f>
        <v>2.2611644997173545E-2</v>
      </c>
      <c r="U1197" s="4">
        <f>1/PHP!C1197</f>
        <v>2.2601423889705052E-2</v>
      </c>
      <c r="V1197" s="4">
        <f>1/TWD!B1197</f>
        <v>3.3223695139373399E-2</v>
      </c>
      <c r="W1197" s="4">
        <f>1/TWD!C1197</f>
        <v>3.3223915903624064E-2</v>
      </c>
      <c r="X1197" s="4">
        <f>1/TWD!B1197</f>
        <v>3.3223695139373399E-2</v>
      </c>
      <c r="Y1197" s="4">
        <f>1/TWD!C1197</f>
        <v>3.3223915903624064E-2</v>
      </c>
      <c r="Z1197" s="4">
        <f>1/ZAR!B1197</f>
        <v>9.5574882920768434E-2</v>
      </c>
      <c r="AA1197" s="4">
        <f>1/ZAR!C1197</f>
        <v>9.5085957705766014E-2</v>
      </c>
    </row>
    <row r="1198" spans="1:27" x14ac:dyDescent="0.25">
      <c r="A1198" t="str">
        <f>"09/05/2014"</f>
        <v>09/05/2014</v>
      </c>
      <c r="B1198" s="3">
        <f>AUD!B1198</f>
        <v>0.93579999999999997</v>
      </c>
      <c r="C1198" s="3">
        <f>AUD!C1198</f>
        <v>0.93379999999999996</v>
      </c>
      <c r="D1198" s="3">
        <f>1/CAD!B1198</f>
        <v>0.92336103416435833</v>
      </c>
      <c r="E1198" s="3">
        <f>1/CAD!C1198</f>
        <v>0.9227646027498384</v>
      </c>
      <c r="F1198" s="3">
        <f>EUR!B1198/1</f>
        <v>1.3838999999999999</v>
      </c>
      <c r="G1198" s="3">
        <f>EUR!C1198/1</f>
        <v>1.3837999999999999</v>
      </c>
      <c r="H1198" s="3">
        <f>GBP!B1198/1</f>
        <v>0</v>
      </c>
      <c r="I1198" s="3">
        <f>GBP!C1198/1</f>
        <v>0</v>
      </c>
      <c r="J1198" s="4">
        <f>1/INR!B1198</f>
        <v>1.6646552082899831E-2</v>
      </c>
      <c r="K1198" s="4">
        <f>1/INR!C1198</f>
        <v>1.6529608661514938E-2</v>
      </c>
      <c r="L1198" s="4">
        <f>1/JPY!B1198</f>
        <v>9.8340987540196882E-3</v>
      </c>
      <c r="M1198" s="4">
        <f>1/JPY!C1198</f>
        <v>9.8358495075681947E-3</v>
      </c>
      <c r="N1198" s="5">
        <f>1/KRW!B1198</f>
        <v>9.7787556533431128E-4</v>
      </c>
      <c r="O1198" s="5">
        <f>1/KRW!C1198</f>
        <v>9.7785644089591205E-4</v>
      </c>
      <c r="P1198" s="3">
        <f>1/NOK!B1198</f>
        <v>0.16938530074360147</v>
      </c>
      <c r="Q1198" s="3">
        <f>1/NOK!C1198</f>
        <v>0.16915894174166046</v>
      </c>
      <c r="R1198" s="3">
        <f>NZD!B1198/1</f>
        <v>0.8639</v>
      </c>
      <c r="S1198" s="3">
        <f>NZD!C1198/1</f>
        <v>0.86170000000000002</v>
      </c>
      <c r="T1198" s="4">
        <f>1/PHP!B1198</f>
        <v>2.2862368541380886E-2</v>
      </c>
      <c r="U1198" s="4">
        <f>1/PHP!C1198</f>
        <v>2.2857404084618112E-2</v>
      </c>
      <c r="V1198" s="4">
        <f>1/TWD!B1198</f>
        <v>3.3238050920694012E-2</v>
      </c>
      <c r="W1198" s="4">
        <f>1/TWD!C1198</f>
        <v>3.3238271875768638E-2</v>
      </c>
      <c r="X1198" s="4">
        <f>1/TWD!B1198</f>
        <v>3.3238050920694012E-2</v>
      </c>
      <c r="Y1198" s="4">
        <f>1/TWD!C1198</f>
        <v>3.3238271875768638E-2</v>
      </c>
      <c r="Z1198" s="4">
        <f>1/ZAR!B1198</f>
        <v>9.6664121178142298E-2</v>
      </c>
      <c r="AA1198" s="4">
        <f>1/ZAR!C1198</f>
        <v>9.6160318482974808E-2</v>
      </c>
    </row>
    <row r="1199" spans="1:27" x14ac:dyDescent="0.25">
      <c r="A1199" t="str">
        <f>"12/05/2014"</f>
        <v>12/05/2014</v>
      </c>
      <c r="B1199" s="3">
        <f>AUD!B1199</f>
        <v>0.93579999999999997</v>
      </c>
      <c r="C1199" s="3">
        <f>AUD!C1199</f>
        <v>0.93369999999999997</v>
      </c>
      <c r="D1199" s="3">
        <f>1/CAD!B1199</f>
        <v>0.91759955955221129</v>
      </c>
      <c r="E1199" s="3">
        <f>1/CAD!C1199</f>
        <v>0.91692646249770771</v>
      </c>
      <c r="F1199" s="3">
        <f>EUR!B1199/1</f>
        <v>1.3761000000000001</v>
      </c>
      <c r="G1199" s="3">
        <f>EUR!C1199/1</f>
        <v>1.3759999999999999</v>
      </c>
      <c r="H1199" s="3">
        <f>GBP!B1199/1</f>
        <v>1.6856</v>
      </c>
      <c r="I1199" s="3">
        <f>GBP!C1199/1</f>
        <v>1.6851</v>
      </c>
      <c r="J1199" s="4">
        <f>1/INR!B1199</f>
        <v>1.6742005692281937E-2</v>
      </c>
      <c r="K1199" s="4">
        <f>1/INR!C1199</f>
        <v>1.6620268417334941E-2</v>
      </c>
      <c r="L1199" s="4">
        <f>1/JPY!B1199</f>
        <v>9.8071906321715082E-3</v>
      </c>
      <c r="M1199" s="4">
        <f>1/JPY!C1199</f>
        <v>9.8090953856053483E-3</v>
      </c>
      <c r="N1199" s="5">
        <f>1/KRW!B1199</f>
        <v>9.7570494682408027E-4</v>
      </c>
      <c r="O1199" s="5">
        <f>1/KRW!C1199</f>
        <v>9.7568447925036215E-4</v>
      </c>
      <c r="P1199" s="3">
        <f>1/NOK!B1199</f>
        <v>0.16911317053372119</v>
      </c>
      <c r="Q1199" s="3">
        <f>1/NOK!C1199</f>
        <v>0.16888183338118321</v>
      </c>
      <c r="R1199" s="3">
        <f>NZD!B1199/1</f>
        <v>0.86240000000000006</v>
      </c>
      <c r="S1199" s="3">
        <f>NZD!C1199/1</f>
        <v>0.86</v>
      </c>
      <c r="T1199" s="4">
        <f>1/PHP!B1199</f>
        <v>2.2851919561243144E-2</v>
      </c>
      <c r="U1199" s="4">
        <f>1/PHP!C1199</f>
        <v>2.2841688823104823E-2</v>
      </c>
      <c r="V1199" s="4">
        <f>1/TWD!B1199</f>
        <v>3.316749585406302E-2</v>
      </c>
      <c r="W1199" s="4">
        <f>1/TWD!C1199</f>
        <v>3.3167715872078757E-2</v>
      </c>
      <c r="X1199" s="4">
        <f>1/TWD!B1199</f>
        <v>3.316749585406302E-2</v>
      </c>
      <c r="Y1199" s="4">
        <f>1/TWD!C1199</f>
        <v>3.3167715872078757E-2</v>
      </c>
      <c r="Z1199" s="4">
        <f>1/ZAR!B1199</f>
        <v>9.6417139110648295E-2</v>
      </c>
      <c r="AA1199" s="4">
        <f>1/ZAR!C1199</f>
        <v>9.5857976821541208E-2</v>
      </c>
    </row>
    <row r="1200" spans="1:27" x14ac:dyDescent="0.25">
      <c r="A1200" t="str">
        <f>"13/05/2014"</f>
        <v>13/05/2014</v>
      </c>
      <c r="B1200" s="3">
        <f>AUD!B1200</f>
        <v>0.93520000000000003</v>
      </c>
      <c r="C1200" s="3">
        <f>AUD!C1200</f>
        <v>0.93320000000000003</v>
      </c>
      <c r="D1200" s="3">
        <f>1/CAD!B1200</f>
        <v>0.91717875813996141</v>
      </c>
      <c r="E1200" s="3">
        <f>1/CAD!C1200</f>
        <v>0.9164222873900294</v>
      </c>
      <c r="F1200" s="3">
        <f>EUR!B1200/1</f>
        <v>1.3756999999999999</v>
      </c>
      <c r="G1200" s="3">
        <f>EUR!C1200/1</f>
        <v>1.3754999999999999</v>
      </c>
      <c r="H1200" s="3">
        <f>GBP!B1200/1</f>
        <v>1.6879999999999999</v>
      </c>
      <c r="I1200" s="3">
        <f>GBP!C1200/1</f>
        <v>1.6876</v>
      </c>
      <c r="J1200" s="4">
        <f>1/INR!B1200</f>
        <v>1.6731501233948218E-2</v>
      </c>
      <c r="K1200" s="4">
        <f>1/INR!C1200</f>
        <v>1.6613365452506541E-2</v>
      </c>
      <c r="L1200" s="4">
        <f>1/JPY!B1200</f>
        <v>9.7731648439714231E-3</v>
      </c>
      <c r="M1200" s="4">
        <f>1/JPY!C1200</f>
        <v>9.7749990713750876E-3</v>
      </c>
      <c r="N1200" s="5">
        <f>1/KRW!B1200</f>
        <v>9.7718278203938035E-4</v>
      </c>
      <c r="O1200" s="5">
        <f>1/KRW!C1200</f>
        <v>9.7716206144844524E-4</v>
      </c>
      <c r="P1200" s="3">
        <f>1/NOK!B1200</f>
        <v>0.16881911032328861</v>
      </c>
      <c r="Q1200" s="3">
        <f>1/NOK!C1200</f>
        <v>0.16858573427516563</v>
      </c>
      <c r="R1200" s="3">
        <f>NZD!B1200/1</f>
        <v>0.86270000000000002</v>
      </c>
      <c r="S1200" s="3">
        <f>NZD!C1200/1</f>
        <v>0.86040000000000005</v>
      </c>
      <c r="T1200" s="4">
        <f>1/PHP!B1200</f>
        <v>2.2836263987211693E-2</v>
      </c>
      <c r="U1200" s="4">
        <f>1/PHP!C1200</f>
        <v>2.2825630443912861E-2</v>
      </c>
      <c r="V1200" s="4">
        <f>1/TWD!B1200</f>
        <v>3.3126842680624109E-2</v>
      </c>
      <c r="W1200" s="4">
        <f>1/TWD!C1200</f>
        <v>3.3127062159619435E-2</v>
      </c>
      <c r="X1200" s="4">
        <f>1/TWD!B1200</f>
        <v>3.3126842680624109E-2</v>
      </c>
      <c r="Y1200" s="4">
        <f>1/TWD!C1200</f>
        <v>3.3127062159619435E-2</v>
      </c>
      <c r="Z1200" s="4">
        <f>1/ZAR!B1200</f>
        <v>9.6429225769746288E-2</v>
      </c>
      <c r="AA1200" s="4">
        <f>1/ZAR!C1200</f>
        <v>9.5884631611245358E-2</v>
      </c>
    </row>
    <row r="1201" spans="1:27" x14ac:dyDescent="0.25">
      <c r="A1201" t="str">
        <f>"15/05/2014"</f>
        <v>15/05/2014</v>
      </c>
      <c r="B1201" s="3">
        <f>AUD!B1201</f>
        <v>0.93789999999999996</v>
      </c>
      <c r="C1201" s="3">
        <f>AUD!C1201</f>
        <v>0.93589999999999995</v>
      </c>
      <c r="D1201" s="3">
        <f>1/CAD!B1201</f>
        <v>0.9198785760279643</v>
      </c>
      <c r="E1201" s="3">
        <f>1/CAD!C1201</f>
        <v>0.91920213254894745</v>
      </c>
      <c r="F1201" s="3">
        <f>EUR!B1201/1</f>
        <v>1.3716999999999999</v>
      </c>
      <c r="G1201" s="3">
        <f>EUR!C1201/1</f>
        <v>1.3715999999999999</v>
      </c>
      <c r="H1201" s="3">
        <f>GBP!B1201/1</f>
        <v>1.6773</v>
      </c>
      <c r="I1201" s="3">
        <f>GBP!C1201/1</f>
        <v>1.6769000000000001</v>
      </c>
      <c r="J1201" s="4">
        <f>1/INR!B1201</f>
        <v>1.6801075268817203E-2</v>
      </c>
      <c r="K1201" s="4">
        <f>1/INR!C1201</f>
        <v>1.668195846192343E-2</v>
      </c>
      <c r="L1201" s="4">
        <f>1/JPY!B1201</f>
        <v>9.8197101221571947E-3</v>
      </c>
      <c r="M1201" s="4">
        <f>1/JPY!C1201</f>
        <v>9.8215908030623716E-3</v>
      </c>
      <c r="N1201" s="5">
        <f>1/KRW!B1201</f>
        <v>9.7399435083276513E-4</v>
      </c>
      <c r="O1201" s="5">
        <f>1/KRW!C1201</f>
        <v>9.7397537790244661E-4</v>
      </c>
      <c r="P1201" s="3">
        <f>1/NOK!B1201</f>
        <v>0.16867957627690439</v>
      </c>
      <c r="Q1201" s="3">
        <f>1/NOK!C1201</f>
        <v>0.16845793605336745</v>
      </c>
      <c r="R1201" s="3">
        <f>NZD!B1201/1</f>
        <v>0.86850000000000005</v>
      </c>
      <c r="S1201" s="3">
        <f>NZD!C1201/1</f>
        <v>0.86629999999999996</v>
      </c>
      <c r="T1201" s="4">
        <f>1/PHP!B1201</f>
        <v>2.2883295194508008E-2</v>
      </c>
      <c r="U1201" s="4">
        <f>1/PHP!C1201</f>
        <v>2.28712053811372E-2</v>
      </c>
      <c r="V1201" s="4">
        <f>1/TWD!B1201</f>
        <v>3.3152101843256863E-2</v>
      </c>
      <c r="W1201" s="4">
        <f>1/TWD!C1201</f>
        <v>3.3152321657085648E-2</v>
      </c>
      <c r="X1201" s="4">
        <f>1/TWD!B1201</f>
        <v>3.3152101843256863E-2</v>
      </c>
      <c r="Y1201" s="4">
        <f>1/TWD!C1201</f>
        <v>3.3152321657085648E-2</v>
      </c>
      <c r="Z1201" s="4">
        <f>1/ZAR!B1201</f>
        <v>9.7004501008846819E-2</v>
      </c>
      <c r="AA1201" s="4">
        <f>1/ZAR!C1201</f>
        <v>9.6492497708303177E-2</v>
      </c>
    </row>
    <row r="1202" spans="1:27" x14ac:dyDescent="0.25">
      <c r="A1202" t="str">
        <f>"16/05/2014"</f>
        <v>16/05/2014</v>
      </c>
      <c r="B1202" s="3">
        <f>AUD!B1202</f>
        <v>0.93559999999999999</v>
      </c>
      <c r="C1202" s="3">
        <f>AUD!C1202</f>
        <v>0.93359999999999999</v>
      </c>
      <c r="D1202" s="3">
        <f>1/CAD!B1202</f>
        <v>0.91962479308442158</v>
      </c>
      <c r="E1202" s="3">
        <f>1/CAD!C1202</f>
        <v>0.91894872266127547</v>
      </c>
      <c r="F1202" s="3">
        <f>EUR!B1202/1</f>
        <v>1.3714999999999999</v>
      </c>
      <c r="G1202" s="3">
        <f>EUR!C1202/1</f>
        <v>1.3714</v>
      </c>
      <c r="H1202" s="3">
        <f>GBP!B1202/1</f>
        <v>1.6791</v>
      </c>
      <c r="I1202" s="3">
        <f>GBP!C1202/1</f>
        <v>1.6786000000000001</v>
      </c>
      <c r="J1202" s="4">
        <f>1/INR!B1202</f>
        <v>1.7024174327545112E-2</v>
      </c>
      <c r="K1202" s="4">
        <f>1/INR!C1202</f>
        <v>1.6904741780069309E-2</v>
      </c>
      <c r="L1202" s="4">
        <f>1/JPY!B1202</f>
        <v>9.8567809724700098E-3</v>
      </c>
      <c r="M1202" s="4">
        <f>1/JPY!C1202</f>
        <v>9.8586661619029601E-3</v>
      </c>
      <c r="N1202" s="5">
        <f>1/KRW!B1202</f>
        <v>9.7556216769913672E-4</v>
      </c>
      <c r="O1202" s="5">
        <f>1/KRW!C1202</f>
        <v>9.7554313363965397E-4</v>
      </c>
      <c r="P1202" s="3">
        <f>1/NOK!B1202</f>
        <v>0.1680587533401677</v>
      </c>
      <c r="Q1202" s="3">
        <f>1/NOK!C1202</f>
        <v>0.16783592360108759</v>
      </c>
      <c r="R1202" s="3">
        <f>NZD!B1202/1</f>
        <v>0.86439999999999995</v>
      </c>
      <c r="S1202" s="3">
        <f>NZD!C1202/1</f>
        <v>0.86219999999999997</v>
      </c>
      <c r="T1202" s="4">
        <f>1/PHP!B1202</f>
        <v>2.2857142857142857E-2</v>
      </c>
      <c r="U1202" s="4">
        <f>1/PHP!C1202</f>
        <v>2.2844297834817451E-2</v>
      </c>
      <c r="V1202" s="4">
        <f>1/TWD!B1202</f>
        <v>3.3152101843256863E-2</v>
      </c>
      <c r="W1202" s="4">
        <f>1/TWD!C1202</f>
        <v>3.3152211749806884E-2</v>
      </c>
      <c r="X1202" s="4">
        <f>1/TWD!B1202</f>
        <v>3.3152101843256863E-2</v>
      </c>
      <c r="Y1202" s="4">
        <f>1/TWD!C1202</f>
        <v>3.3152211749806884E-2</v>
      </c>
      <c r="Z1202" s="4">
        <f>1/ZAR!B1202</f>
        <v>9.6033803898972439E-2</v>
      </c>
      <c r="AA1202" s="4">
        <f>1/ZAR!C1202</f>
        <v>9.5524669245832736E-2</v>
      </c>
    </row>
    <row r="1203" spans="1:27" x14ac:dyDescent="0.25">
      <c r="A1203" t="str">
        <f>"19/05/2014"</f>
        <v>19/05/2014</v>
      </c>
      <c r="B1203" s="3">
        <f>AUD!B1203</f>
        <v>0.93540000000000001</v>
      </c>
      <c r="C1203" s="3">
        <f>AUD!C1203</f>
        <v>0.93330000000000002</v>
      </c>
      <c r="D1203" s="3">
        <f>1/CAD!B1203</f>
        <v>0.92064076597311728</v>
      </c>
      <c r="E1203" s="3">
        <f>1/CAD!C1203</f>
        <v>0.91996320147194111</v>
      </c>
      <c r="F1203" s="3">
        <f>EUR!B1203/1</f>
        <v>1.3703000000000001</v>
      </c>
      <c r="G1203" s="3">
        <f>EUR!C1203/1</f>
        <v>1.3701000000000001</v>
      </c>
      <c r="H1203" s="3">
        <f>GBP!B1203/1</f>
        <v>1.6822999999999999</v>
      </c>
      <c r="I1203" s="3">
        <f>GBP!C1203/1</f>
        <v>1.6818</v>
      </c>
      <c r="J1203" s="4">
        <f>1/INR!B1203</f>
        <v>1.7105713308244952E-2</v>
      </c>
      <c r="K1203" s="4">
        <f>1/INR!C1203</f>
        <v>1.6980090843486013E-2</v>
      </c>
      <c r="L1203" s="4">
        <f>1/JPY!B1203</f>
        <v>9.8548382328304089E-3</v>
      </c>
      <c r="M1203" s="4">
        <f>1/JPY!C1203</f>
        <v>9.856955856608892E-3</v>
      </c>
      <c r="N1203" s="5">
        <f>1/KRW!B1203</f>
        <v>9.7789947193428523E-4</v>
      </c>
      <c r="O1203" s="5">
        <f>1/KRW!C1203</f>
        <v>9.7787939031175782E-4</v>
      </c>
      <c r="P1203" s="3">
        <f>1/NOK!B1203</f>
        <v>0.16843523665150748</v>
      </c>
      <c r="Q1203" s="3">
        <f>1/NOK!C1203</f>
        <v>0.16820009082804907</v>
      </c>
      <c r="R1203" s="3">
        <f>NZD!B1203/1</f>
        <v>0.86360000000000003</v>
      </c>
      <c r="S1203" s="3">
        <f>NZD!C1203/1</f>
        <v>0.86119999999999997</v>
      </c>
      <c r="T1203" s="4">
        <f>1/PHP!B1203</f>
        <v>2.2925263640531868E-2</v>
      </c>
      <c r="U1203" s="4">
        <f>1/PHP!C1203</f>
        <v>2.2908405322997063E-2</v>
      </c>
      <c r="V1203" s="4">
        <f>1/TWD!B1203</f>
        <v>3.3187309172972253E-2</v>
      </c>
      <c r="W1203" s="4">
        <f>1/TWD!C1203</f>
        <v>3.3187529453932392E-2</v>
      </c>
      <c r="X1203" s="4">
        <f>1/TWD!B1203</f>
        <v>3.3187309172972253E-2</v>
      </c>
      <c r="Y1203" s="4">
        <f>1/TWD!C1203</f>
        <v>3.3187529453932392E-2</v>
      </c>
      <c r="Z1203" s="4">
        <f>1/ZAR!B1203</f>
        <v>9.6567041668678494E-2</v>
      </c>
      <c r="AA1203" s="4">
        <f>1/ZAR!C1203</f>
        <v>9.6018128222608426E-2</v>
      </c>
    </row>
    <row r="1204" spans="1:27" x14ac:dyDescent="0.25">
      <c r="A1204" t="str">
        <f>"20/05/2014"</f>
        <v>20/05/2014</v>
      </c>
      <c r="B1204" s="3">
        <f>AUD!B1204</f>
        <v>0.92579999999999996</v>
      </c>
      <c r="C1204" s="3">
        <f>AUD!C1204</f>
        <v>0.92379999999999995</v>
      </c>
      <c r="D1204" s="3">
        <f>1/CAD!B1204</f>
        <v>0.91810503121557108</v>
      </c>
      <c r="E1204" s="3">
        <f>1/CAD!C1204</f>
        <v>0.9174311926605504</v>
      </c>
      <c r="F1204" s="3">
        <f>EUR!B1204/1</f>
        <v>1.3702000000000001</v>
      </c>
      <c r="G1204" s="3">
        <f>EUR!C1204/1</f>
        <v>1.3701000000000001</v>
      </c>
      <c r="H1204" s="3">
        <f>GBP!B1204/1</f>
        <v>1.6826000000000001</v>
      </c>
      <c r="I1204" s="3">
        <f>GBP!C1204/1</f>
        <v>1.6821999999999999</v>
      </c>
      <c r="J1204" s="4">
        <f>1/INR!B1204</f>
        <v>1.7051752067524937E-2</v>
      </c>
      <c r="K1204" s="4">
        <f>1/INR!C1204</f>
        <v>1.6926201760324982E-2</v>
      </c>
      <c r="L1204" s="4">
        <f>1/JPY!B1204</f>
        <v>9.8642676767676761E-3</v>
      </c>
      <c r="M1204" s="4">
        <f>1/JPY!C1204</f>
        <v>9.8661265291262856E-3</v>
      </c>
      <c r="N1204" s="5">
        <f>1/KRW!B1204</f>
        <v>9.7503900156006244E-4</v>
      </c>
      <c r="O1204" s="5">
        <f>1/KRW!C1204</f>
        <v>9.7501951257799549E-4</v>
      </c>
      <c r="P1204" s="3">
        <f>1/NOK!B1204</f>
        <v>0.16832749798007002</v>
      </c>
      <c r="Q1204" s="3">
        <f>1/NOK!C1204</f>
        <v>0.16811243359558872</v>
      </c>
      <c r="R1204" s="3">
        <f>NZD!B1204/1</f>
        <v>0.85740000000000005</v>
      </c>
      <c r="S1204" s="3">
        <f>NZD!C1204/1</f>
        <v>0.85499999999999998</v>
      </c>
      <c r="T1204" s="4">
        <f>1/PHP!B1204</f>
        <v>2.2848003655680585E-2</v>
      </c>
      <c r="U1204" s="4">
        <f>1/PHP!C1204</f>
        <v>2.282990352082772E-2</v>
      </c>
      <c r="V1204" s="4">
        <f>1/TWD!B1204</f>
        <v>3.3123550844650546E-2</v>
      </c>
      <c r="W1204" s="4">
        <f>1/TWD!C1204</f>
        <v>3.312366056197602E-2</v>
      </c>
      <c r="X1204" s="4">
        <f>1/TWD!B1204</f>
        <v>3.3123550844650546E-2</v>
      </c>
      <c r="Y1204" s="4">
        <f>1/TWD!C1204</f>
        <v>3.312366056197602E-2</v>
      </c>
      <c r="Z1204" s="4">
        <f>1/ZAR!B1204</f>
        <v>9.5659909888364883E-2</v>
      </c>
      <c r="AA1204" s="4">
        <f>1/ZAR!C1204</f>
        <v>9.5178268897645288E-2</v>
      </c>
    </row>
    <row r="1205" spans="1:27" x14ac:dyDescent="0.25">
      <c r="A1205" t="str">
        <f>"21/05/2014"</f>
        <v>21/05/2014</v>
      </c>
      <c r="B1205" s="3">
        <f>AUD!B1205</f>
        <v>0.92330000000000001</v>
      </c>
      <c r="C1205" s="3">
        <f>AUD!C1205</f>
        <v>0.9214</v>
      </c>
      <c r="D1205" s="3">
        <f>1/CAD!B1205</f>
        <v>0.9164222873900294</v>
      </c>
      <c r="E1205" s="3">
        <f>1/CAD!C1205</f>
        <v>0.91566706345572746</v>
      </c>
      <c r="F1205" s="3">
        <f>EUR!B1205/1</f>
        <v>1.3702000000000001</v>
      </c>
      <c r="G1205" s="3">
        <f>EUR!C1205/1</f>
        <v>1.3701000000000001</v>
      </c>
      <c r="H1205" s="3">
        <f>GBP!B1205/1</f>
        <v>1.6837</v>
      </c>
      <c r="I1205" s="3">
        <f>GBP!C1205/1</f>
        <v>1.6833</v>
      </c>
      <c r="J1205" s="4">
        <f>1/INR!B1205</f>
        <v>1.7003910899506886E-2</v>
      </c>
      <c r="K1205" s="4">
        <f>1/INR!C1205</f>
        <v>1.6884761502743772E-2</v>
      </c>
      <c r="L1205" s="4">
        <f>1/JPY!B1205</f>
        <v>9.8835715274071447E-3</v>
      </c>
      <c r="M1205" s="4">
        <f>1/JPY!C1205</f>
        <v>9.8853301700276789E-3</v>
      </c>
      <c r="N1205" s="5">
        <f>1/KRW!B1205</f>
        <v>9.7286674644173976E-4</v>
      </c>
      <c r="O1205" s="5">
        <f>1/KRW!C1205</f>
        <v>9.7284829063258972E-4</v>
      </c>
      <c r="P1205" s="3">
        <f>1/NOK!B1205</f>
        <v>0.16777397490101337</v>
      </c>
      <c r="Q1205" s="3">
        <f>1/NOK!C1205</f>
        <v>0.16755189920077743</v>
      </c>
      <c r="R1205" s="3">
        <f>NZD!B1205/1</f>
        <v>0.85599999999999998</v>
      </c>
      <c r="S1205" s="3">
        <f>NZD!C1205/1</f>
        <v>0.85370000000000001</v>
      </c>
      <c r="T1205" s="4">
        <f>1/PHP!B1205</f>
        <v>2.2840175869354194E-2</v>
      </c>
      <c r="U1205" s="4">
        <f>1/PHP!C1205</f>
        <v>2.2811519817507842E-2</v>
      </c>
      <c r="V1205" s="4">
        <f>1/TWD!B1205</f>
        <v>3.3149903865278788E-2</v>
      </c>
      <c r="W1205" s="4">
        <f>1/TWD!C1205</f>
        <v>3.3150013757255709E-2</v>
      </c>
      <c r="X1205" s="4">
        <f>1/TWD!B1205</f>
        <v>3.3149903865278788E-2</v>
      </c>
      <c r="Y1205" s="4">
        <f>1/TWD!C1205</f>
        <v>3.3150013757255709E-2</v>
      </c>
      <c r="Z1205" s="4">
        <f>1/ZAR!B1205</f>
        <v>9.5616920370228717E-2</v>
      </c>
      <c r="AA1205" s="4">
        <f>1/ZAR!C1205</f>
        <v>9.5120327213925618E-2</v>
      </c>
    </row>
    <row r="1206" spans="1:27" x14ac:dyDescent="0.25">
      <c r="A1206" t="str">
        <f>"22/05/2014"</f>
        <v>22/05/2014</v>
      </c>
      <c r="B1206" s="3">
        <f>AUD!B1206</f>
        <v>0.92679999999999996</v>
      </c>
      <c r="C1206" s="3">
        <f>AUD!C1206</f>
        <v>0.92490000000000006</v>
      </c>
      <c r="D1206" s="3">
        <f>1/CAD!B1206</f>
        <v>0.91675834250091681</v>
      </c>
      <c r="E1206" s="3">
        <f>1/CAD!C1206</f>
        <v>0.9160864785635765</v>
      </c>
      <c r="F1206" s="3">
        <f>EUR!B1206/1</f>
        <v>1.3671</v>
      </c>
      <c r="G1206" s="3">
        <f>EUR!C1206/1</f>
        <v>1.3669</v>
      </c>
      <c r="H1206" s="3">
        <f>GBP!B1206/1</f>
        <v>1.6887000000000001</v>
      </c>
      <c r="I1206" s="3">
        <f>GBP!C1206/1</f>
        <v>1.6882999999999999</v>
      </c>
      <c r="J1206" s="4">
        <f>1/INR!B1206</f>
        <v>1.7056841925717454E-2</v>
      </c>
      <c r="K1206" s="4">
        <f>1/INR!C1206</f>
        <v>1.6933367200067734E-2</v>
      </c>
      <c r="L1206" s="4">
        <f>1/JPY!B1206</f>
        <v>9.833131754132373E-3</v>
      </c>
      <c r="M1206" s="4">
        <f>1/JPY!C1206</f>
        <v>9.8348241287575175E-3</v>
      </c>
      <c r="N1206" s="5">
        <f>1/KRW!B1206</f>
        <v>9.7546700482856164E-4</v>
      </c>
      <c r="O1206" s="5">
        <f>1/KRW!C1206</f>
        <v>9.7544902113203013E-4</v>
      </c>
      <c r="P1206" s="3">
        <f>1/NOK!B1206</f>
        <v>0.16798535167733375</v>
      </c>
      <c r="Q1206" s="3">
        <f>1/NOK!C1206</f>
        <v>0.16776271641390417</v>
      </c>
      <c r="R1206" s="3">
        <f>NZD!B1206/1</f>
        <v>0.8579</v>
      </c>
      <c r="S1206" s="3">
        <f>NZD!C1206/1</f>
        <v>0.85560000000000003</v>
      </c>
      <c r="T1206" s="4">
        <f>1/PHP!B1206</f>
        <v>2.2872827081427266E-2</v>
      </c>
      <c r="U1206" s="4">
        <f>1/PHP!C1206</f>
        <v>2.2855627855525008E-2</v>
      </c>
      <c r="V1206" s="4">
        <f>1/TWD!B1206</f>
        <v>3.3188410607016029E-2</v>
      </c>
      <c r="W1206" s="4">
        <f>1/TWD!C1206</f>
        <v>3.3188520754441453E-2</v>
      </c>
      <c r="X1206" s="4">
        <f>1/TWD!B1206</f>
        <v>3.3188410607016029E-2</v>
      </c>
      <c r="Y1206" s="4">
        <f>1/TWD!C1206</f>
        <v>3.3188520754441453E-2</v>
      </c>
      <c r="Z1206" s="4">
        <f>1/ZAR!B1206</f>
        <v>9.6294584392573754E-2</v>
      </c>
      <c r="AA1206" s="4">
        <f>1/ZAR!C1206</f>
        <v>9.578085340740386E-2</v>
      </c>
    </row>
    <row r="1207" spans="1:27" x14ac:dyDescent="0.25">
      <c r="A1207" t="str">
        <f>"23/05/2014"</f>
        <v>23/05/2014</v>
      </c>
      <c r="B1207" s="3">
        <f>AUD!B1207</f>
        <v>0.92410000000000003</v>
      </c>
      <c r="C1207" s="3">
        <f>AUD!C1207</f>
        <v>0.92210000000000003</v>
      </c>
      <c r="D1207" s="3">
        <f>1/CAD!B1207</f>
        <v>0.9178522257916476</v>
      </c>
      <c r="E1207" s="3">
        <f>1/CAD!C1207</f>
        <v>0.91717875813996141</v>
      </c>
      <c r="F1207" s="3">
        <f>EUR!B1207/1</f>
        <v>1.3647</v>
      </c>
      <c r="G1207" s="3">
        <f>EUR!C1207/1</f>
        <v>1.3646</v>
      </c>
      <c r="H1207" s="3">
        <f>GBP!B1207/1</f>
        <v>1.6871</v>
      </c>
      <c r="I1207" s="3">
        <f>GBP!C1207/1</f>
        <v>1.6867000000000001</v>
      </c>
      <c r="J1207" s="4">
        <f>1/INR!B1207</f>
        <v>1.7082336863682952E-2</v>
      </c>
      <c r="K1207" s="4">
        <f>1/INR!C1207</f>
        <v>1.6959213092512505E-2</v>
      </c>
      <c r="L1207" s="4">
        <f>1/JPY!B1207</f>
        <v>9.8278166522525363E-3</v>
      </c>
      <c r="M1207" s="4">
        <f>1/JPY!C1207</f>
        <v>9.829671453061354E-3</v>
      </c>
      <c r="N1207" s="5">
        <f>1/KRW!B1207</f>
        <v>9.7646714188067579E-4</v>
      </c>
      <c r="O1207" s="5">
        <f>1/KRW!C1207</f>
        <v>9.7644015891368285E-4</v>
      </c>
      <c r="P1207" s="3">
        <f>1/NOK!B1207</f>
        <v>0.16787255115915997</v>
      </c>
      <c r="Q1207" s="3">
        <f>1/NOK!C1207</f>
        <v>0.16765021459227467</v>
      </c>
      <c r="R1207" s="3">
        <f>NZD!B1207/1</f>
        <v>0.85650000000000004</v>
      </c>
      <c r="S1207" s="3">
        <f>NZD!C1207/1</f>
        <v>0.85419999999999996</v>
      </c>
      <c r="T1207" s="4">
        <f>1/PHP!B1207</f>
        <v>2.2927891780350797E-2</v>
      </c>
      <c r="U1207" s="4">
        <f>1/PHP!C1207</f>
        <v>2.2912551954211557E-2</v>
      </c>
      <c r="V1207" s="4">
        <f>1/TWD!B1207</f>
        <v>3.319391887406227E-2</v>
      </c>
      <c r="W1207" s="4">
        <f>1/TWD!C1207</f>
        <v>3.3194029058053034E-2</v>
      </c>
      <c r="X1207" s="4">
        <f>1/TWD!B1207</f>
        <v>3.319391887406227E-2</v>
      </c>
      <c r="Y1207" s="4">
        <f>1/TWD!C1207</f>
        <v>3.3194029058053034E-2</v>
      </c>
      <c r="Z1207" s="4">
        <f>1/ZAR!B1207</f>
        <v>9.6609956622129484E-2</v>
      </c>
      <c r="AA1207" s="4">
        <f>1/ZAR!C1207</f>
        <v>9.6102098869839322E-2</v>
      </c>
    </row>
    <row r="1208" spans="1:27" x14ac:dyDescent="0.25">
      <c r="A1208" t="str">
        <f>"26/05/2014"</f>
        <v>26/05/2014</v>
      </c>
      <c r="B1208" s="3">
        <f>AUD!B1208</f>
        <v>0.92359999999999998</v>
      </c>
      <c r="C1208" s="3">
        <f>AUD!C1208</f>
        <v>0.9214</v>
      </c>
      <c r="D1208" s="3">
        <f>1/CAD!B1208</f>
        <v>0.92021717125241553</v>
      </c>
      <c r="E1208" s="3">
        <f>1/CAD!C1208</f>
        <v>0.91945568223611629</v>
      </c>
      <c r="F1208" s="3">
        <f>EUR!B1208/1</f>
        <v>1.3617999999999999</v>
      </c>
      <c r="G1208" s="3">
        <f>EUR!C1208/1</f>
        <v>1.3616999999999999</v>
      </c>
      <c r="H1208" s="3">
        <f>GBP!B1208/1</f>
        <v>1.6835</v>
      </c>
      <c r="I1208" s="3">
        <f>GBP!C1208/1</f>
        <v>1.6831</v>
      </c>
      <c r="J1208" s="4">
        <f>1/INR!B1208</f>
        <v>1.7102056522296807E-2</v>
      </c>
      <c r="K1208" s="4">
        <f>1/INR!C1208</f>
        <v>1.6970005515251792E-2</v>
      </c>
      <c r="L1208" s="4">
        <f>1/JPY!B1208</f>
        <v>9.8106543706465207E-3</v>
      </c>
      <c r="M1208" s="4">
        <f>1/JPY!C1208</f>
        <v>9.8127723044314479E-3</v>
      </c>
      <c r="N1208" s="5">
        <f>1/KRW!B1208</f>
        <v>9.7661018604424049E-4</v>
      </c>
      <c r="O1208" s="5">
        <f>1/KRW!C1208</f>
        <v>9.7658939435636802E-4</v>
      </c>
      <c r="P1208" s="3">
        <f>1/NOK!B1208</f>
        <v>0.16751260532355061</v>
      </c>
      <c r="Q1208" s="3">
        <f>1/NOK!C1208</f>
        <v>0.16727722855087734</v>
      </c>
      <c r="R1208" s="3">
        <f>NZD!B1208/1</f>
        <v>0.85340000000000005</v>
      </c>
      <c r="S1208" s="3">
        <f>NZD!C1208/1</f>
        <v>0.85099999999999998</v>
      </c>
      <c r="T1208" s="4">
        <f>1/PHP!B1208</f>
        <v>2.2885913720105275E-2</v>
      </c>
      <c r="U1208" s="4">
        <f>1/PHP!C1208</f>
        <v>2.2871153072053282E-2</v>
      </c>
      <c r="V1208" s="4">
        <f>1/TWD!B1208</f>
        <v>3.3222591362126241E-2</v>
      </c>
      <c r="W1208" s="4">
        <f>1/TWD!C1208</f>
        <v>3.3222701736550619E-2</v>
      </c>
      <c r="X1208" s="4">
        <f>1/TWD!B1208</f>
        <v>3.3222591362126241E-2</v>
      </c>
      <c r="Y1208" s="4">
        <f>1/TWD!C1208</f>
        <v>3.3222701736550619E-2</v>
      </c>
      <c r="Z1208" s="4">
        <f>1/ZAR!B1208</f>
        <v>9.6851362214409542E-2</v>
      </c>
      <c r="AA1208" s="4">
        <f>1/ZAR!C1208</f>
        <v>9.6304785384785777E-2</v>
      </c>
    </row>
    <row r="1209" spans="1:27" x14ac:dyDescent="0.25">
      <c r="A1209" t="str">
        <f>"27/05/2014"</f>
        <v>27/05/2014</v>
      </c>
      <c r="B1209" s="3">
        <f>AUD!B1209</f>
        <v>0.92579999999999996</v>
      </c>
      <c r="C1209" s="3">
        <f>AUD!C1209</f>
        <v>0.92369999999999997</v>
      </c>
      <c r="D1209" s="3">
        <f>1/CAD!B1209</f>
        <v>0.9219988936013277</v>
      </c>
      <c r="E1209" s="3">
        <f>1/CAD!C1209</f>
        <v>0.92123445416858596</v>
      </c>
      <c r="F1209" s="3">
        <f>EUR!B1209/1</f>
        <v>1.3656999999999999</v>
      </c>
      <c r="G1209" s="3">
        <f>EUR!C1209/1</f>
        <v>1.3655999999999999</v>
      </c>
      <c r="H1209" s="3">
        <f>GBP!B1209/1</f>
        <v>1.6860999999999999</v>
      </c>
      <c r="I1209" s="3">
        <f>GBP!C1209/1</f>
        <v>1.6856</v>
      </c>
      <c r="J1209" s="4">
        <f>1/INR!B1209</f>
        <v>1.6964967342437867E-2</v>
      </c>
      <c r="K1209" s="4">
        <f>1/INR!C1209</f>
        <v>1.6835725409318575E-2</v>
      </c>
      <c r="L1209" s="4">
        <f>1/JPY!B1209</f>
        <v>9.8073829979208344E-3</v>
      </c>
      <c r="M1209" s="4">
        <f>1/JPY!C1209</f>
        <v>9.8092493373852074E-3</v>
      </c>
      <c r="N1209" s="5">
        <f>1/KRW!B1209</f>
        <v>9.7686777117849343E-4</v>
      </c>
      <c r="O1209" s="5">
        <f>1/KRW!C1209</f>
        <v>9.7684572802407272E-4</v>
      </c>
      <c r="P1209" s="3">
        <f>1/NOK!B1209</f>
        <v>0.1678274733573886</v>
      </c>
      <c r="Q1209" s="3">
        <f>1/NOK!C1209</f>
        <v>0.16760806530010222</v>
      </c>
      <c r="R1209" s="3">
        <f>NZD!B1209/1</f>
        <v>0.85580000000000001</v>
      </c>
      <c r="S1209" s="3">
        <f>NZD!C1209/1</f>
        <v>0.85350000000000004</v>
      </c>
      <c r="T1209" s="4">
        <f>1/PHP!B1209</f>
        <v>2.2867596615595703E-2</v>
      </c>
      <c r="U1209" s="4">
        <f>1/PHP!C1209</f>
        <v>2.2856411451976394E-2</v>
      </c>
      <c r="V1209" s="4">
        <f>1/TWD!B1209</f>
        <v>3.3187309172972253E-2</v>
      </c>
      <c r="W1209" s="4">
        <f>1/TWD!C1209</f>
        <v>3.3187419313086795E-2</v>
      </c>
      <c r="X1209" s="4">
        <f>1/TWD!B1209</f>
        <v>3.3187309172972253E-2</v>
      </c>
      <c r="Y1209" s="4">
        <f>1/TWD!C1209</f>
        <v>3.3187419313086795E-2</v>
      </c>
      <c r="Z1209" s="4">
        <f>1/ZAR!B1209</f>
        <v>9.6605290105686192E-2</v>
      </c>
      <c r="AA1209" s="4">
        <f>1/ZAR!C1209</f>
        <v>9.6073476995205936E-2</v>
      </c>
    </row>
    <row r="1210" spans="1:27" x14ac:dyDescent="0.25">
      <c r="A1210" t="str">
        <f>"28/05/2014"</f>
        <v>28/05/2014</v>
      </c>
      <c r="B1210" s="3">
        <f>AUD!B1210</f>
        <v>0.92600000000000005</v>
      </c>
      <c r="C1210" s="3">
        <f>AUD!C1210</f>
        <v>0.92400000000000004</v>
      </c>
      <c r="D1210" s="3">
        <f>1/CAD!B1210</f>
        <v>0.92123445416858596</v>
      </c>
      <c r="E1210" s="3">
        <f>1/CAD!C1210</f>
        <v>0.92055601583356339</v>
      </c>
      <c r="F1210" s="3">
        <f>EUR!B1210/1</f>
        <v>1.3633</v>
      </c>
      <c r="G1210" s="3">
        <f>EUR!C1210/1</f>
        <v>1.3632</v>
      </c>
      <c r="H1210" s="3">
        <f>GBP!B1210/1</f>
        <v>1.6811</v>
      </c>
      <c r="I1210" s="3">
        <f>GBP!C1210/1</f>
        <v>1.6807000000000001</v>
      </c>
      <c r="J1210" s="4">
        <f>1/INR!B1210</f>
        <v>1.6886187098953058E-2</v>
      </c>
      <c r="K1210" s="4">
        <f>1/INR!C1210</f>
        <v>1.6770082173402649E-2</v>
      </c>
      <c r="L1210" s="4">
        <f>1/JPY!B1210</f>
        <v>9.8087297694948502E-3</v>
      </c>
      <c r="M1210" s="4">
        <f>1/JPY!C1210</f>
        <v>9.810481125615363E-3</v>
      </c>
      <c r="N1210" s="5">
        <f>1/KRW!B1210</f>
        <v>9.7780385254717908E-4</v>
      </c>
      <c r="O1210" s="5">
        <f>1/KRW!C1210</f>
        <v>9.7778568697755677E-4</v>
      </c>
      <c r="P1210" s="3">
        <f>1/NOK!B1210</f>
        <v>0.16787255115915997</v>
      </c>
      <c r="Q1210" s="3">
        <f>1/NOK!C1210</f>
        <v>0.16765864699471875</v>
      </c>
      <c r="R1210" s="3">
        <f>NZD!B1210/1</f>
        <v>0.85389999999999999</v>
      </c>
      <c r="S1210" s="3">
        <f>NZD!C1210/1</f>
        <v>0.85160000000000002</v>
      </c>
      <c r="T1210" s="4">
        <f>1/PHP!B1210</f>
        <v>2.2758306781975421E-2</v>
      </c>
      <c r="U1210" s="4">
        <f>1/PHP!C1210</f>
        <v>2.2747849190859003E-2</v>
      </c>
      <c r="V1210" s="4">
        <f>1/TWD!B1210</f>
        <v>3.320273590543861E-2</v>
      </c>
      <c r="W1210" s="4">
        <f>1/TWD!C1210</f>
        <v>3.3202846147971803E-2</v>
      </c>
      <c r="X1210" s="4">
        <f>1/TWD!B1210</f>
        <v>3.320273590543861E-2</v>
      </c>
      <c r="Y1210" s="4">
        <f>1/TWD!C1210</f>
        <v>3.3202846147971803E-2</v>
      </c>
      <c r="Z1210" s="4">
        <f>1/ZAR!B1210</f>
        <v>9.5598638675385261E-2</v>
      </c>
      <c r="AA1210" s="4">
        <f>1/ZAR!C1210</f>
        <v>9.5082341307572357E-2</v>
      </c>
    </row>
    <row r="1211" spans="1:27" x14ac:dyDescent="0.25">
      <c r="A1211" t="str">
        <f>"29/05/2014"</f>
        <v>29/05/2014</v>
      </c>
      <c r="B1211" s="3">
        <f>AUD!B1211</f>
        <v>0.92749999999999999</v>
      </c>
      <c r="C1211" s="3">
        <f>AUD!C1211</f>
        <v>0.92559999999999998</v>
      </c>
      <c r="D1211" s="3">
        <f>1/CAD!B1211</f>
        <v>0.92064076597311728</v>
      </c>
      <c r="E1211" s="3">
        <f>1/CAD!C1211</f>
        <v>0.9198785760279643</v>
      </c>
      <c r="F1211" s="3">
        <f>EUR!B1211/1</f>
        <v>1.3605</v>
      </c>
      <c r="G1211" s="3">
        <f>EUR!C1211/1</f>
        <v>1.3604000000000001</v>
      </c>
      <c r="H1211" s="3">
        <f>GBP!B1211/1</f>
        <v>1.6727000000000001</v>
      </c>
      <c r="I1211" s="3">
        <f>GBP!C1211/1</f>
        <v>1.6722999999999999</v>
      </c>
      <c r="J1211" s="4">
        <f>1/INR!B1211</f>
        <v>1.7007525830179854E-2</v>
      </c>
      <c r="K1211" s="4">
        <f>1/INR!C1211</f>
        <v>1.6893318692457134E-2</v>
      </c>
      <c r="L1211" s="4">
        <f>1/JPY!B1211</f>
        <v>9.8290724304347394E-3</v>
      </c>
      <c r="M1211" s="4">
        <f>1/JPY!C1211</f>
        <v>9.8308407236678483E-3</v>
      </c>
      <c r="N1211" s="5">
        <f>1/KRW!B1211</f>
        <v>9.7890460574617008E-4</v>
      </c>
      <c r="O1211" s="5">
        <f>1/KRW!C1211</f>
        <v>9.7888639925448016E-4</v>
      </c>
      <c r="P1211" s="3">
        <f>1/NOK!B1211</f>
        <v>0.16771488469601675</v>
      </c>
      <c r="Q1211" s="3">
        <f>1/NOK!C1211</f>
        <v>0.16750138188640054</v>
      </c>
      <c r="R1211" s="3">
        <f>NZD!B1211/1</f>
        <v>0.84819999999999995</v>
      </c>
      <c r="S1211" s="3">
        <f>NZD!C1211/1</f>
        <v>0.84599999999999997</v>
      </c>
      <c r="T1211" s="4">
        <f>1/PHP!B1211</f>
        <v>2.2741486156120306E-2</v>
      </c>
      <c r="U1211" s="4">
        <f>1/PHP!C1211</f>
        <v>2.2733317723121829E-2</v>
      </c>
      <c r="V1211" s="4">
        <f>1/TWD!B1211</f>
        <v>3.3281192797949881E-2</v>
      </c>
      <c r="W1211" s="4">
        <f>1/TWD!C1211</f>
        <v>3.3281303562097922E-2</v>
      </c>
      <c r="X1211" s="4">
        <f>1/TWD!B1211</f>
        <v>3.3281192797949881E-2</v>
      </c>
      <c r="Y1211" s="4">
        <f>1/TWD!C1211</f>
        <v>3.3281303562097922E-2</v>
      </c>
      <c r="Z1211" s="4">
        <f>1/ZAR!B1211</f>
        <v>9.5542009821718607E-2</v>
      </c>
      <c r="AA1211" s="4">
        <f>1/ZAR!C1211</f>
        <v>9.5040772491398806E-2</v>
      </c>
    </row>
    <row r="1212" spans="1:27" x14ac:dyDescent="0.25">
      <c r="A1212" t="str">
        <f>"30/05/2014"</f>
        <v>30/05/2014</v>
      </c>
      <c r="B1212" s="3">
        <f>AUD!B1212</f>
        <v>0.93230000000000002</v>
      </c>
      <c r="C1212" s="3">
        <f>AUD!C1212</f>
        <v>0.9304</v>
      </c>
      <c r="D1212" s="3">
        <f>1/CAD!B1212</f>
        <v>0.9227646027498384</v>
      </c>
      <c r="E1212" s="3">
        <f>1/CAD!C1212</f>
        <v>0.9220839096357768</v>
      </c>
      <c r="F1212" s="3">
        <f>EUR!B1212/1</f>
        <v>1.3601000000000001</v>
      </c>
      <c r="G1212" s="3">
        <f>EUR!C1212/1</f>
        <v>1.36</v>
      </c>
      <c r="H1212" s="3">
        <f>GBP!B1212/1</f>
        <v>1.6734</v>
      </c>
      <c r="I1212" s="3">
        <f>GBP!C1212/1</f>
        <v>1.673</v>
      </c>
      <c r="J1212" s="4">
        <f>1/INR!B1212</f>
        <v>1.696137047873468E-2</v>
      </c>
      <c r="K1212" s="4">
        <f>1/INR!C1212</f>
        <v>1.6844232955741778E-2</v>
      </c>
      <c r="L1212" s="4">
        <f>1/JPY!B1212</f>
        <v>9.8396142871199459E-3</v>
      </c>
      <c r="M1212" s="4">
        <f>1/JPY!C1212</f>
        <v>9.8413282643931878E-3</v>
      </c>
      <c r="N1212" s="5">
        <f>1/KRW!B1212</f>
        <v>9.7971980013716073E-4</v>
      </c>
      <c r="O1212" s="5">
        <f>1/KRW!C1212</f>
        <v>9.7969820396826761E-4</v>
      </c>
      <c r="P1212" s="3">
        <f>1/NOK!B1212</f>
        <v>0.16754347753241966</v>
      </c>
      <c r="Q1212" s="3">
        <f>1/NOK!C1212</f>
        <v>0.16733041062882767</v>
      </c>
      <c r="R1212" s="3">
        <f>NZD!B1212/1</f>
        <v>0.85060000000000002</v>
      </c>
      <c r="S1212" s="3">
        <f>NZD!C1212/1</f>
        <v>0.84819999999999995</v>
      </c>
      <c r="T1212" s="4">
        <f>1/PHP!B1212</f>
        <v>2.2815423226100844E-2</v>
      </c>
      <c r="U1212" s="4">
        <f>1/PHP!C1212</f>
        <v>2.2806213324758195E-2</v>
      </c>
      <c r="V1212" s="4">
        <f>1/TWD!B1212</f>
        <v>3.335334534053766E-2</v>
      </c>
      <c r="W1212" s="4">
        <f>1/TWD!C1212</f>
        <v>3.3353456585473236E-2</v>
      </c>
      <c r="X1212" s="4">
        <f>1/TWD!B1212</f>
        <v>3.335334534053766E-2</v>
      </c>
      <c r="Y1212" s="4">
        <f>1/TWD!C1212</f>
        <v>3.3353456585473236E-2</v>
      </c>
      <c r="Z1212" s="4">
        <f>1/ZAR!B1212</f>
        <v>9.5938906104592603E-2</v>
      </c>
      <c r="AA1212" s="4">
        <f>1/ZAR!C1212</f>
        <v>9.5437149864956439E-2</v>
      </c>
    </row>
    <row r="1213" spans="1:27" x14ac:dyDescent="0.25">
      <c r="A1213" t="str">
        <f>"02/06/2014"</f>
        <v>02/06/2014</v>
      </c>
      <c r="B1213" s="3">
        <f>AUD!B1213</f>
        <v>0.92649999999999999</v>
      </c>
      <c r="C1213" s="3">
        <f>AUD!C1213</f>
        <v>0.92430000000000001</v>
      </c>
      <c r="D1213" s="3">
        <f>1/CAD!B1213</f>
        <v>0.92123445416858596</v>
      </c>
      <c r="E1213" s="3">
        <f>1/CAD!C1213</f>
        <v>0.92055601583356339</v>
      </c>
      <c r="F1213" s="3">
        <f>EUR!B1213/1</f>
        <v>1.3628</v>
      </c>
      <c r="G1213" s="3">
        <f>EUR!C1213/1</f>
        <v>1.3627</v>
      </c>
      <c r="H1213" s="3">
        <f>GBP!B1213/1</f>
        <v>1.6738999999999999</v>
      </c>
      <c r="I1213" s="3">
        <f>GBP!C1213/1</f>
        <v>1.6735</v>
      </c>
      <c r="J1213" s="4">
        <f>1/INR!B1213</f>
        <v>1.6920473773265651E-2</v>
      </c>
      <c r="K1213" s="4">
        <f>1/INR!C1213</f>
        <v>1.6792611251049538E-2</v>
      </c>
      <c r="L1213" s="4">
        <f>1/JPY!B1213</f>
        <v>9.7997902844879116E-3</v>
      </c>
      <c r="M1213" s="4">
        <f>1/JPY!C1213</f>
        <v>9.8017402009552782E-3</v>
      </c>
      <c r="N1213" s="5">
        <f>1/KRW!B1213</f>
        <v>9.7615735656587845E-4</v>
      </c>
      <c r="O1213" s="5">
        <f>1/KRW!C1213</f>
        <v>9.7613086713218991E-4</v>
      </c>
      <c r="P1213" s="3">
        <f>1/NOK!B1213</f>
        <v>0.16708716937626361</v>
      </c>
      <c r="Q1213" s="3">
        <f>1/NOK!C1213</f>
        <v>0.16685576987252221</v>
      </c>
      <c r="R1213" s="3">
        <f>NZD!B1213/1</f>
        <v>0.84750000000000003</v>
      </c>
      <c r="S1213" s="3">
        <f>NZD!C1213/1</f>
        <v>0.84499999999999997</v>
      </c>
      <c r="T1213" s="4">
        <f>1/PHP!B1213</f>
        <v>2.2799817601459188E-2</v>
      </c>
      <c r="U1213" s="4">
        <f>1/PHP!C1213</f>
        <v>2.2789062161724861E-2</v>
      </c>
      <c r="V1213" s="4">
        <f>1/TWD!B1213</f>
        <v>3.3282300472608668E-2</v>
      </c>
      <c r="W1213" s="4">
        <f>1/TWD!C1213</f>
        <v>3.3282411244129818E-2</v>
      </c>
      <c r="X1213" s="4">
        <f>1/TWD!B1213</f>
        <v>3.3282300472608668E-2</v>
      </c>
      <c r="Y1213" s="4">
        <f>1/TWD!C1213</f>
        <v>3.3282411244129818E-2</v>
      </c>
      <c r="Z1213" s="4">
        <f>1/ZAR!B1213</f>
        <v>9.4426923004286983E-2</v>
      </c>
      <c r="AA1213" s="4">
        <f>1/ZAR!C1213</f>
        <v>9.3942582293702087E-2</v>
      </c>
    </row>
    <row r="1214" spans="1:27" x14ac:dyDescent="0.25">
      <c r="A1214" t="str">
        <f>"03/06/2014"</f>
        <v>03/06/2014</v>
      </c>
      <c r="B1214" s="3">
        <f>AUD!B1214</f>
        <v>0.92500000000000004</v>
      </c>
      <c r="C1214" s="3">
        <f>AUD!C1214</f>
        <v>0.92290000000000005</v>
      </c>
      <c r="D1214" s="3">
        <f>1/CAD!B1214</f>
        <v>0.9174311926605504</v>
      </c>
      <c r="E1214" s="3">
        <f>1/CAD!C1214</f>
        <v>0.91667430561921348</v>
      </c>
      <c r="F1214" s="3">
        <f>EUR!B1214/1</f>
        <v>1.3603000000000001</v>
      </c>
      <c r="G1214" s="3">
        <f>EUR!C1214/1</f>
        <v>1.3603000000000001</v>
      </c>
      <c r="H1214" s="3">
        <f>GBP!B1214/1</f>
        <v>1.6745000000000001</v>
      </c>
      <c r="I1214" s="3">
        <f>GBP!C1214/1</f>
        <v>1.6740999999999999</v>
      </c>
      <c r="J1214" s="4">
        <f>1/INR!B1214</f>
        <v>1.6900456312320431E-2</v>
      </c>
      <c r="K1214" s="4">
        <f>1/INR!C1214</f>
        <v>1.677289500167729E-2</v>
      </c>
      <c r="L1214" s="4">
        <f>1/JPY!B1214</f>
        <v>9.7668649340248281E-3</v>
      </c>
      <c r="M1214" s="4">
        <f>1/JPY!C1214</f>
        <v>9.7687158827597792E-3</v>
      </c>
      <c r="N1214" s="5">
        <f>1/KRW!B1214</f>
        <v>9.7646714188067579E-4</v>
      </c>
      <c r="O1214" s="5">
        <f>1/KRW!C1214</f>
        <v>9.7644997939690548E-4</v>
      </c>
      <c r="P1214" s="3">
        <f>1/NOK!B1214</f>
        <v>0.16684463427656168</v>
      </c>
      <c r="Q1214" s="3">
        <f>1/NOK!C1214</f>
        <v>0.16661945782028426</v>
      </c>
      <c r="R1214" s="3">
        <f>NZD!B1214/1</f>
        <v>0.84599999999999997</v>
      </c>
      <c r="S1214" s="3">
        <f>NZD!C1214/1</f>
        <v>0.84360000000000002</v>
      </c>
      <c r="T1214" s="4">
        <f>1/PHP!B1214</f>
        <v>2.2836263987211693E-2</v>
      </c>
      <c r="U1214" s="4">
        <f>1/PHP!C1214</f>
        <v>2.282312987273823E-2</v>
      </c>
      <c r="V1214" s="4">
        <f>1/TWD!B1214</f>
        <v>3.3316674995835412E-2</v>
      </c>
      <c r="W1214" s="4">
        <f>1/TWD!C1214</f>
        <v>3.3316785996288512E-2</v>
      </c>
      <c r="X1214" s="4">
        <f>1/TWD!B1214</f>
        <v>3.3316674995835412E-2</v>
      </c>
      <c r="Y1214" s="4">
        <f>1/TWD!C1214</f>
        <v>3.3316785996288512E-2</v>
      </c>
      <c r="Z1214" s="4">
        <f>1/ZAR!B1214</f>
        <v>9.3762013257948668E-2</v>
      </c>
      <c r="AA1214" s="4">
        <f>1/ZAR!C1214</f>
        <v>9.3243570855789493E-2</v>
      </c>
    </row>
    <row r="1215" spans="1:27" x14ac:dyDescent="0.25">
      <c r="A1215" t="str">
        <f>"04/06/2014"</f>
        <v>04/06/2014</v>
      </c>
      <c r="B1215" s="3">
        <f>AUD!B1215</f>
        <v>0.92689999999999995</v>
      </c>
      <c r="C1215" s="3">
        <f>AUD!C1215</f>
        <v>0.92490000000000006</v>
      </c>
      <c r="D1215" s="3">
        <f>1/CAD!B1215</f>
        <v>0.91474570069520678</v>
      </c>
      <c r="E1215" s="3">
        <f>1/CAD!C1215</f>
        <v>0.91399323645005026</v>
      </c>
      <c r="F1215" s="3">
        <f>EUR!B1215/1</f>
        <v>1.361</v>
      </c>
      <c r="G1215" s="3">
        <f>EUR!C1215/1</f>
        <v>1.361</v>
      </c>
      <c r="H1215" s="3">
        <f>GBP!B1215/1</f>
        <v>1.6724000000000001</v>
      </c>
      <c r="I1215" s="3">
        <f>GBP!C1215/1</f>
        <v>1.6719999999999999</v>
      </c>
      <c r="J1215" s="4">
        <f>1/INR!B1215</f>
        <v>1.6835016835016835E-2</v>
      </c>
      <c r="K1215" s="4">
        <f>1/INR!C1215</f>
        <v>1.671681711802073E-2</v>
      </c>
      <c r="L1215" s="4">
        <f>1/JPY!B1215</f>
        <v>9.7375724231948974E-3</v>
      </c>
      <c r="M1215" s="4">
        <f>1/JPY!C1215</f>
        <v>9.7394027992991523E-3</v>
      </c>
      <c r="N1215" s="5">
        <f>1/KRW!B1215</f>
        <v>9.7331179069903243E-4</v>
      </c>
      <c r="O1215" s="5">
        <f>1/KRW!C1215</f>
        <v>9.73291802323267E-4</v>
      </c>
      <c r="P1215" s="3">
        <f>1/NOK!B1215</f>
        <v>0.16643365954330605</v>
      </c>
      <c r="Q1215" s="3">
        <f>1/NOK!C1215</f>
        <v>0.16621787839500016</v>
      </c>
      <c r="R1215" s="3">
        <f>NZD!B1215/1</f>
        <v>0.84150000000000003</v>
      </c>
      <c r="S1215" s="3">
        <f>NZD!C1215/1</f>
        <v>0.83919999999999995</v>
      </c>
      <c r="T1215" s="4">
        <f>1/PHP!B1215</f>
        <v>2.2781637999772182E-2</v>
      </c>
      <c r="U1215" s="4">
        <f>1/PHP!C1215</f>
        <v>2.2768773992595595E-2</v>
      </c>
      <c r="V1215" s="4">
        <f>1/TWD!B1215</f>
        <v>3.3285623939020736E-2</v>
      </c>
      <c r="W1215" s="4">
        <f>1/TWD!C1215</f>
        <v>3.328573473266562E-2</v>
      </c>
      <c r="X1215" s="4">
        <f>1/TWD!B1215</f>
        <v>3.3285623939020736E-2</v>
      </c>
      <c r="Y1215" s="4">
        <f>1/TWD!C1215</f>
        <v>3.328573473266562E-2</v>
      </c>
      <c r="Z1215" s="4">
        <f>1/ZAR!B1215</f>
        <v>9.2927302970885875E-2</v>
      </c>
      <c r="AA1215" s="4">
        <f>1/ZAR!C1215</f>
        <v>9.2432547348572383E-2</v>
      </c>
    </row>
    <row r="1216" spans="1:27" x14ac:dyDescent="0.25">
      <c r="A1216" t="str">
        <f>"05/06/2014"</f>
        <v>05/06/2014</v>
      </c>
      <c r="B1216" s="3">
        <f>AUD!B1216</f>
        <v>0.92849999999999999</v>
      </c>
      <c r="C1216" s="3">
        <f>AUD!C1216</f>
        <v>0.92659999999999998</v>
      </c>
      <c r="D1216" s="3">
        <f>1/CAD!B1216</f>
        <v>0.91332541784637866</v>
      </c>
      <c r="E1216" s="3">
        <f>1/CAD!C1216</f>
        <v>0.91257528746121541</v>
      </c>
      <c r="F1216" s="3">
        <f>EUR!B1216/1</f>
        <v>1.36</v>
      </c>
      <c r="G1216" s="3">
        <f>EUR!C1216/1</f>
        <v>1.36</v>
      </c>
      <c r="H1216" s="3">
        <f>GBP!B1216/1</f>
        <v>1.6749000000000001</v>
      </c>
      <c r="I1216" s="3">
        <f>GBP!C1216/1</f>
        <v>1.6745000000000001</v>
      </c>
      <c r="J1216" s="4">
        <f>1/INR!B1216</f>
        <v>1.6860563142808968E-2</v>
      </c>
      <c r="K1216" s="4">
        <f>1/INR!C1216</f>
        <v>1.6744108166938759E-2</v>
      </c>
      <c r="L1216" s="4">
        <f>1/JPY!B1216</f>
        <v>9.757620701768081E-3</v>
      </c>
      <c r="M1216" s="4">
        <f>1/JPY!C1216</f>
        <v>9.7594014754263155E-3</v>
      </c>
      <c r="N1216" s="5">
        <f>1/KRW!B1216</f>
        <v>9.7895731256638545E-4</v>
      </c>
      <c r="O1216" s="5">
        <f>1/KRW!C1216</f>
        <v>9.789395832752088E-4</v>
      </c>
      <c r="P1216" s="3">
        <f>1/NOK!B1216</f>
        <v>0.1665861500274867</v>
      </c>
      <c r="Q1216" s="3">
        <f>1/NOK!C1216</f>
        <v>0.16637550952499791</v>
      </c>
      <c r="R1216" s="3">
        <f>NZD!B1216/1</f>
        <v>0.84470000000000001</v>
      </c>
      <c r="S1216" s="3">
        <f>NZD!C1216/1</f>
        <v>0.84240000000000004</v>
      </c>
      <c r="T1216" s="4">
        <f>1/PHP!B1216</f>
        <v>2.2841480127912289E-2</v>
      </c>
      <c r="U1216" s="4">
        <f>1/PHP!C1216</f>
        <v>2.2827923115554948E-2</v>
      </c>
      <c r="V1216" s="4">
        <f>1/TWD!B1216</f>
        <v>3.3287839952065509E-2</v>
      </c>
      <c r="W1216" s="4">
        <f>1/TWD!C1216</f>
        <v>3.3287950760463238E-2</v>
      </c>
      <c r="X1216" s="4">
        <f>1/TWD!B1216</f>
        <v>3.3287839952065509E-2</v>
      </c>
      <c r="Y1216" s="4">
        <f>1/TWD!C1216</f>
        <v>3.3287950760463238E-2</v>
      </c>
      <c r="Z1216" s="4">
        <f>1/ZAR!B1216</f>
        <v>9.3012007850213463E-2</v>
      </c>
      <c r="AA1216" s="4">
        <f>1/ZAR!C1216</f>
        <v>9.2527480661756534E-2</v>
      </c>
    </row>
    <row r="1217" spans="1:27" x14ac:dyDescent="0.25">
      <c r="A1217" t="str">
        <f>"06/06/2014"</f>
        <v>06/06/2014</v>
      </c>
      <c r="B1217" s="3">
        <f>AUD!B1217</f>
        <v>0.93269999999999997</v>
      </c>
      <c r="C1217" s="3">
        <f>AUD!C1217</f>
        <v>0.93069999999999997</v>
      </c>
      <c r="D1217" s="3">
        <f>1/CAD!B1217</f>
        <v>0.91541559868180156</v>
      </c>
      <c r="E1217" s="3">
        <f>1/CAD!C1217</f>
        <v>0.91474570069520678</v>
      </c>
      <c r="F1217" s="3">
        <f>EUR!B1217/1</f>
        <v>1.3654999999999999</v>
      </c>
      <c r="G1217" s="3">
        <f>EUR!C1217/1</f>
        <v>1.3654999999999999</v>
      </c>
      <c r="H1217" s="3">
        <f>GBP!B1217/1</f>
        <v>1.6808000000000001</v>
      </c>
      <c r="I1217" s="3">
        <f>GBP!C1217/1</f>
        <v>1.6803999999999999</v>
      </c>
      <c r="J1217" s="4">
        <f>1/INR!B1217</f>
        <v>1.6889039013680121E-2</v>
      </c>
      <c r="K1217" s="4">
        <f>1/INR!C1217</f>
        <v>1.6770082173402649E-2</v>
      </c>
      <c r="L1217" s="4">
        <f>1/JPY!B1217</f>
        <v>9.7704911625907439E-3</v>
      </c>
      <c r="M1217" s="4">
        <f>1/JPY!C1217</f>
        <v>9.7722097897997677E-3</v>
      </c>
      <c r="N1217" s="5">
        <f>1/KRW!B1217</f>
        <v>9.7959023740369394E-4</v>
      </c>
      <c r="O1217" s="5">
        <f>1/KRW!C1217</f>
        <v>9.7957248518029281E-4</v>
      </c>
      <c r="P1217" s="3">
        <f>1/NOK!B1217</f>
        <v>0.16695326977978864</v>
      </c>
      <c r="Q1217" s="3">
        <f>1/NOK!C1217</f>
        <v>0.16674170043186101</v>
      </c>
      <c r="R1217" s="3">
        <f>NZD!B1217/1</f>
        <v>0.84830000000000005</v>
      </c>
      <c r="S1217" s="3">
        <f>NZD!C1217/1</f>
        <v>0.84599999999999997</v>
      </c>
      <c r="T1217" s="4">
        <f>1/PHP!B1217</f>
        <v>2.288722320764433E-2</v>
      </c>
      <c r="U1217" s="4">
        <f>1/PHP!C1217</f>
        <v>2.2872931715149657E-2</v>
      </c>
      <c r="V1217" s="4">
        <f>1/TWD!B1217</f>
        <v>3.3307797355360894E-2</v>
      </c>
      <c r="W1217" s="4">
        <f>1/TWD!C1217</f>
        <v>3.3307908296666876E-2</v>
      </c>
      <c r="X1217" s="4">
        <f>1/TWD!B1217</f>
        <v>3.3307797355360894E-2</v>
      </c>
      <c r="Y1217" s="4">
        <f>1/TWD!C1217</f>
        <v>3.3307908296666876E-2</v>
      </c>
      <c r="Z1217" s="4">
        <f>1/ZAR!B1217</f>
        <v>9.3396843186700287E-2</v>
      </c>
      <c r="AA1217" s="4">
        <f>1/ZAR!C1217</f>
        <v>9.2922121969577304E-2</v>
      </c>
    </row>
    <row r="1218" spans="1:27" x14ac:dyDescent="0.25">
      <c r="A1218" t="str">
        <f>"09/06/2014"</f>
        <v>09/06/2014</v>
      </c>
      <c r="B1218" s="3">
        <f>AUD!B1218</f>
        <v>0.93530000000000002</v>
      </c>
      <c r="C1218" s="3">
        <f>AUD!C1218</f>
        <v>0.93330000000000002</v>
      </c>
      <c r="D1218" s="3">
        <f>1/CAD!B1218</f>
        <v>0.91499679751120877</v>
      </c>
      <c r="E1218" s="3">
        <f>1/CAD!C1218</f>
        <v>0.91432751211483965</v>
      </c>
      <c r="F1218" s="3">
        <f>EUR!B1218/1</f>
        <v>1.3645</v>
      </c>
      <c r="G1218" s="3">
        <f>EUR!C1218/1</f>
        <v>1.3645</v>
      </c>
      <c r="H1218" s="3">
        <f>GBP!B1218/1</f>
        <v>1.6807000000000001</v>
      </c>
      <c r="I1218" s="3">
        <f>GBP!C1218/1</f>
        <v>1.6802999999999999</v>
      </c>
      <c r="J1218" s="4">
        <f>1/INR!B1218</f>
        <v>1.6937669376693769E-2</v>
      </c>
      <c r="K1218" s="4">
        <f>1/INR!C1218</f>
        <v>1.6815200941651252E-2</v>
      </c>
      <c r="L1218" s="4">
        <f>1/JPY!B1218</f>
        <v>9.7542894487851022E-3</v>
      </c>
      <c r="M1218" s="4">
        <f>1/JPY!C1218</f>
        <v>9.7560880428409335E-3</v>
      </c>
      <c r="N1218" s="5">
        <f>1/KRW!B1218</f>
        <v>9.8280098280098278E-4</v>
      </c>
      <c r="O1218" s="5">
        <f>1/KRW!C1218</f>
        <v>9.8277529059191183E-4</v>
      </c>
      <c r="P1218" s="3">
        <f>1/NOK!B1218</f>
        <v>0.16809830388811375</v>
      </c>
      <c r="Q1218" s="3">
        <f>1/NOK!C1218</f>
        <v>0.16789228031295123</v>
      </c>
      <c r="R1218" s="3">
        <f>NZD!B1218/1</f>
        <v>0.85129999999999995</v>
      </c>
      <c r="S1218" s="3">
        <f>NZD!C1218/1</f>
        <v>0.84909999999999997</v>
      </c>
      <c r="T1218" s="4">
        <f>1/PHP!B1218</f>
        <v>2.2943673282092462E-2</v>
      </c>
      <c r="U1218" s="4">
        <f>1/PHP!C1218</f>
        <v>2.292952152967424E-2</v>
      </c>
      <c r="V1218" s="4">
        <f>1/TWD!B1218</f>
        <v>3.3325557369947009E-2</v>
      </c>
      <c r="W1218" s="4">
        <f>1/TWD!C1218</f>
        <v>3.3325668429594522E-2</v>
      </c>
      <c r="X1218" s="4">
        <f>1/TWD!B1218</f>
        <v>3.3325557369947009E-2</v>
      </c>
      <c r="Y1218" s="4">
        <f>1/TWD!C1218</f>
        <v>3.3325668429594522E-2</v>
      </c>
      <c r="Z1218" s="4">
        <f>1/ZAR!B1218</f>
        <v>9.4472418777337946E-2</v>
      </c>
      <c r="AA1218" s="4">
        <f>1/ZAR!C1218</f>
        <v>9.3975246919961286E-2</v>
      </c>
    </row>
    <row r="1219" spans="1:27" x14ac:dyDescent="0.25">
      <c r="A1219" t="str">
        <f>"10/06/2014"</f>
        <v>10/06/2014</v>
      </c>
      <c r="B1219" s="3">
        <f>AUD!B1219</f>
        <v>0.93569999999999998</v>
      </c>
      <c r="C1219" s="3">
        <f>AUD!C1219</f>
        <v>0.93359999999999999</v>
      </c>
      <c r="D1219" s="3">
        <f>1/CAD!B1219</f>
        <v>0.91734703238235016</v>
      </c>
      <c r="E1219" s="3">
        <f>1/CAD!C1219</f>
        <v>0.91667430561921348</v>
      </c>
      <c r="F1219" s="3">
        <f>EUR!B1219/1</f>
        <v>1.359</v>
      </c>
      <c r="G1219" s="3">
        <f>EUR!C1219/1</f>
        <v>1.359</v>
      </c>
      <c r="H1219" s="3">
        <f>GBP!B1219/1</f>
        <v>1.6809000000000001</v>
      </c>
      <c r="I1219" s="3">
        <f>GBP!C1219/1</f>
        <v>1.6805000000000001</v>
      </c>
      <c r="J1219" s="4">
        <f>1/INR!B1219</f>
        <v>1.6866250632484397E-2</v>
      </c>
      <c r="K1219" s="4">
        <f>1/INR!C1219</f>
        <v>1.6738502740929823E-2</v>
      </c>
      <c r="L1219" s="4">
        <f>1/JPY!B1219</f>
        <v>9.7702047834922617E-3</v>
      </c>
      <c r="M1219" s="4">
        <f>1/JPY!C1219</f>
        <v>9.7721047452363433E-3</v>
      </c>
      <c r="N1219" s="5">
        <f>1/KRW!B1219</f>
        <v>9.8367106039740299E-4</v>
      </c>
      <c r="O1219" s="5">
        <f>1/KRW!C1219</f>
        <v>9.8365219238859768E-4</v>
      </c>
      <c r="P1219" s="3">
        <f>1/NOK!B1219</f>
        <v>0.16738642830839276</v>
      </c>
      <c r="Q1219" s="3">
        <f>1/NOK!C1219</f>
        <v>0.16717096574666909</v>
      </c>
      <c r="R1219" s="3">
        <f>NZD!B1219/1</f>
        <v>0.85040000000000004</v>
      </c>
      <c r="S1219" s="3">
        <f>NZD!C1219/1</f>
        <v>0.84799999999999998</v>
      </c>
      <c r="T1219" s="4">
        <f>1/PHP!B1219</f>
        <v>2.2891152569531874E-2</v>
      </c>
      <c r="U1219" s="4">
        <f>1/PHP!C1219</f>
        <v>2.2880310806141991E-2</v>
      </c>
      <c r="V1219" s="4">
        <f>1/TWD!B1219</f>
        <v>3.333444448148272E-2</v>
      </c>
      <c r="W1219" s="4">
        <f>1/TWD!C1219</f>
        <v>3.3334555600372018E-2</v>
      </c>
      <c r="X1219" s="4">
        <f>1/TWD!B1219</f>
        <v>3.333444448148272E-2</v>
      </c>
      <c r="Y1219" s="4">
        <f>1/TWD!C1219</f>
        <v>3.3334555600372018E-2</v>
      </c>
      <c r="Z1219" s="4">
        <f>1/ZAR!B1219</f>
        <v>9.3941699781115842E-2</v>
      </c>
      <c r="AA1219" s="4">
        <f>1/ZAR!C1219</f>
        <v>9.3410802025146192E-2</v>
      </c>
    </row>
    <row r="1220" spans="1:27" x14ac:dyDescent="0.25">
      <c r="A1220" t="str">
        <f>"11/06/2014"</f>
        <v>11/06/2014</v>
      </c>
      <c r="B1220" s="3">
        <f>AUD!B1220</f>
        <v>0.9385</v>
      </c>
      <c r="C1220" s="3">
        <f>AUD!C1220</f>
        <v>0.9365</v>
      </c>
      <c r="D1220" s="3">
        <f>1/CAD!B1220</f>
        <v>0.91818933063997799</v>
      </c>
      <c r="E1220" s="3">
        <f>1/CAD!C1220</f>
        <v>0.9174311926605504</v>
      </c>
      <c r="F1220" s="3">
        <f>EUR!B1220/1</f>
        <v>1.3531</v>
      </c>
      <c r="G1220" s="3">
        <f>EUR!C1220/1</f>
        <v>1.3531</v>
      </c>
      <c r="H1220" s="3">
        <f>GBP!B1220/1</f>
        <v>1.6755</v>
      </c>
      <c r="I1220" s="3">
        <f>GBP!C1220/1</f>
        <v>1.675</v>
      </c>
      <c r="J1220" s="4">
        <f>1/INR!B1220</f>
        <v>1.6854879487611663E-2</v>
      </c>
      <c r="K1220" s="4">
        <f>1/INR!C1220</f>
        <v>1.6730801405387317E-2</v>
      </c>
      <c r="L1220" s="4">
        <f>1/JPY!B1220</f>
        <v>9.7776561002796414E-3</v>
      </c>
      <c r="M1220" s="4">
        <f>1/JPY!C1220</f>
        <v>9.7794250676002756E-3</v>
      </c>
      <c r="N1220" s="5">
        <f>1/KRW!B1220</f>
        <v>9.836226823390548E-4</v>
      </c>
      <c r="O1220" s="5">
        <f>1/KRW!C1220</f>
        <v>9.8360623488320158E-4</v>
      </c>
      <c r="P1220" s="3">
        <f>1/NOK!B1220</f>
        <v>0.16705925591807413</v>
      </c>
      <c r="Q1220" s="3">
        <f>1/NOK!C1220</f>
        <v>0.1668474180362059</v>
      </c>
      <c r="R1220" s="3">
        <f>NZD!B1220/1</f>
        <v>0.85489999999999999</v>
      </c>
      <c r="S1220" s="3">
        <f>NZD!C1220/1</f>
        <v>0.85250000000000004</v>
      </c>
      <c r="T1220" s="4">
        <f>1/PHP!B1220</f>
        <v>2.2878059940517045E-2</v>
      </c>
      <c r="U1220" s="4">
        <f>1/PHP!C1220</f>
        <v>2.2867596615595703E-2</v>
      </c>
      <c r="V1220" s="4">
        <f>1/TWD!B1220</f>
        <v>3.33433363342336E-2</v>
      </c>
      <c r="W1220" s="4">
        <f>1/TWD!C1220</f>
        <v>3.3343447512412097E-2</v>
      </c>
      <c r="X1220" s="4">
        <f>1/TWD!B1220</f>
        <v>3.33433363342336E-2</v>
      </c>
      <c r="Y1220" s="4">
        <f>1/TWD!C1220</f>
        <v>3.3343447512412097E-2</v>
      </c>
      <c r="Z1220" s="4">
        <f>1/ZAR!B1220</f>
        <v>9.3454450300923322E-2</v>
      </c>
      <c r="AA1220" s="4">
        <f>1/ZAR!C1220</f>
        <v>9.2954944738285361E-2</v>
      </c>
    </row>
    <row r="1221" spans="1:27" x14ac:dyDescent="0.25">
      <c r="A1221" t="str">
        <f>"12/06/2014"</f>
        <v>12/06/2014</v>
      </c>
      <c r="B1221" s="3">
        <f>AUD!B1221</f>
        <v>0.93769999999999998</v>
      </c>
      <c r="C1221" s="3">
        <f>AUD!C1221</f>
        <v>0.93569999999999998</v>
      </c>
      <c r="D1221" s="3">
        <f>1/CAD!B1221</f>
        <v>0.92072553171899452</v>
      </c>
      <c r="E1221" s="3">
        <f>1/CAD!C1221</f>
        <v>0.92004784248780935</v>
      </c>
      <c r="F1221" s="3">
        <f>EUR!B1221/1</f>
        <v>1.3540000000000001</v>
      </c>
      <c r="G1221" s="3">
        <f>EUR!C1221/1</f>
        <v>1.3541000000000001</v>
      </c>
      <c r="H1221" s="3">
        <f>GBP!B1221/1</f>
        <v>1.6796</v>
      </c>
      <c r="I1221" s="3">
        <f>GBP!C1221/1</f>
        <v>1.6792</v>
      </c>
      <c r="J1221" s="4">
        <f>1/INR!B1221</f>
        <v>1.685701040920393E-2</v>
      </c>
      <c r="K1221" s="4">
        <f>1/INR!C1221</f>
        <v>1.6732901066722441E-2</v>
      </c>
      <c r="L1221" s="4">
        <f>1/JPY!B1221</f>
        <v>9.7956624806535674E-3</v>
      </c>
      <c r="M1221" s="4">
        <f>1/JPY!C1221</f>
        <v>9.7973419811205227E-3</v>
      </c>
      <c r="N1221" s="5">
        <f>1/KRW!B1221</f>
        <v>9.8328416912487715E-4</v>
      </c>
      <c r="O1221" s="5">
        <f>1/KRW!C1221</f>
        <v>9.8326270557319204E-4</v>
      </c>
      <c r="P1221" s="3">
        <f>1/NOK!B1221</f>
        <v>0.16671668167116802</v>
      </c>
      <c r="Q1221" s="3">
        <f>1/NOK!C1221</f>
        <v>0.16651125616091647</v>
      </c>
      <c r="R1221" s="3">
        <f>NZD!B1221/1</f>
        <v>0.86499999999999999</v>
      </c>
      <c r="S1221" s="3">
        <f>NZD!C1221/1</f>
        <v>0.86270000000000002</v>
      </c>
      <c r="T1221" s="4">
        <f>1/PHP!B1221</f>
        <v>2.2831050228310504E-2</v>
      </c>
      <c r="U1221" s="4">
        <f>1/PHP!C1221</f>
        <v>2.2820525693629877E-2</v>
      </c>
      <c r="V1221" s="4">
        <f>1/TWD!B1221</f>
        <v>3.3333333333333333E-2</v>
      </c>
      <c r="W1221" s="4">
        <f>1/TWD!C1221</f>
        <v>3.3333444444814814E-2</v>
      </c>
      <c r="X1221" s="4">
        <f>1/TWD!B1221</f>
        <v>3.3333333333333333E-2</v>
      </c>
      <c r="Y1221" s="4">
        <f>1/TWD!C1221</f>
        <v>3.3333444444814814E-2</v>
      </c>
      <c r="Z1221" s="4">
        <f>1/ZAR!B1221</f>
        <v>9.2990384794212275E-2</v>
      </c>
      <c r="AA1221" s="4">
        <f>1/ZAR!C1221</f>
        <v>9.2509505351674889E-2</v>
      </c>
    </row>
    <row r="1222" spans="1:27" x14ac:dyDescent="0.25">
      <c r="A1222" t="str">
        <f>"13/06/2014"</f>
        <v>13/06/2014</v>
      </c>
      <c r="B1222" s="3">
        <f>AUD!B1222</f>
        <v>0.94210000000000005</v>
      </c>
      <c r="C1222" s="3">
        <f>AUD!C1222</f>
        <v>0.94010000000000005</v>
      </c>
      <c r="D1222" s="3">
        <f>1/CAD!B1222</f>
        <v>0.92097992263768647</v>
      </c>
      <c r="E1222" s="3">
        <f>1/CAD!C1222</f>
        <v>0.92021717125241553</v>
      </c>
      <c r="F1222" s="3">
        <f>EUR!B1222/1</f>
        <v>1.3557999999999999</v>
      </c>
      <c r="G1222" s="3">
        <f>EUR!C1222/1</f>
        <v>1.3560000000000001</v>
      </c>
      <c r="H1222" s="3">
        <f>GBP!B1222/1</f>
        <v>1.6962999999999999</v>
      </c>
      <c r="I1222" s="3">
        <f>GBP!C1222/1</f>
        <v>1.6958</v>
      </c>
      <c r="J1222" s="4">
        <f>1/INR!B1222</f>
        <v>1.6819443276427551E-2</v>
      </c>
      <c r="K1222" s="4">
        <f>1/INR!C1222</f>
        <v>1.6700764059955745E-2</v>
      </c>
      <c r="L1222" s="4">
        <f>1/JPY!B1222</f>
        <v>9.811424422597673E-3</v>
      </c>
      <c r="M1222" s="4">
        <f>1/JPY!C1222</f>
        <v>9.8130900733724748E-3</v>
      </c>
      <c r="N1222" s="5">
        <f>1/KRW!B1222</f>
        <v>9.8202887164882649E-4</v>
      </c>
      <c r="O1222" s="5">
        <f>1/KRW!C1222</f>
        <v>9.8201247745053851E-4</v>
      </c>
      <c r="P1222" s="3">
        <f>1/NOK!B1222</f>
        <v>0.16703414177857956</v>
      </c>
      <c r="Q1222" s="3">
        <f>1/NOK!C1222</f>
        <v>0.16683906703593712</v>
      </c>
      <c r="R1222" s="3">
        <f>NZD!B1222/1</f>
        <v>0.86670000000000003</v>
      </c>
      <c r="S1222" s="3">
        <f>NZD!C1222/1</f>
        <v>0.86429999999999996</v>
      </c>
      <c r="T1222" s="4">
        <f>1/PHP!B1222</f>
        <v>2.2853225161400901E-2</v>
      </c>
      <c r="U1222" s="4">
        <f>1/PHP!C1222</f>
        <v>2.2840854065215209E-2</v>
      </c>
      <c r="V1222" s="4">
        <f>1/TWD!B1222</f>
        <v>3.3326667999733384E-2</v>
      </c>
      <c r="W1222" s="4">
        <f>1/TWD!C1222</f>
        <v>3.3326779066783531E-2</v>
      </c>
      <c r="X1222" s="4">
        <f>1/TWD!B1222</f>
        <v>3.3326667999733384E-2</v>
      </c>
      <c r="Y1222" s="4">
        <f>1/TWD!C1222</f>
        <v>3.3326779066783531E-2</v>
      </c>
      <c r="Z1222" s="4">
        <f>1/ZAR!B1222</f>
        <v>9.347541596560105E-2</v>
      </c>
      <c r="AA1222" s="4">
        <f>1/ZAR!C1222</f>
        <v>9.300595238095237E-2</v>
      </c>
    </row>
    <row r="1223" spans="1:27" x14ac:dyDescent="0.25">
      <c r="A1223" t="str">
        <f>"16/06/2014"</f>
        <v>16/06/2014</v>
      </c>
      <c r="B1223" s="3">
        <f>AUD!B1223</f>
        <v>0.94030000000000002</v>
      </c>
      <c r="C1223" s="3">
        <f>AUD!C1223</f>
        <v>0.93830000000000002</v>
      </c>
      <c r="D1223" s="3">
        <f>1/CAD!B1223</f>
        <v>0.92148912642830816</v>
      </c>
      <c r="E1223" s="3">
        <f>1/CAD!C1223</f>
        <v>0.92081031307550643</v>
      </c>
      <c r="F1223" s="3">
        <f>EUR!B1223/1</f>
        <v>1.3541000000000001</v>
      </c>
      <c r="G1223" s="3">
        <f>EUR!C1223/1</f>
        <v>1.3542000000000001</v>
      </c>
      <c r="H1223" s="3">
        <f>GBP!B1223/1</f>
        <v>1.6982999999999999</v>
      </c>
      <c r="I1223" s="3">
        <f>GBP!C1223/1</f>
        <v>1.6979</v>
      </c>
      <c r="J1223" s="4">
        <f>1/INR!B1223</f>
        <v>1.6668750260449224E-2</v>
      </c>
      <c r="K1223" s="4">
        <f>1/INR!C1223</f>
        <v>1.6548756774647302E-2</v>
      </c>
      <c r="L1223" s="4">
        <f>1/JPY!B1223</f>
        <v>9.8242442700095297E-3</v>
      </c>
      <c r="M1223" s="4">
        <f>1/JPY!C1223</f>
        <v>9.8259818612374834E-3</v>
      </c>
      <c r="N1223" s="5">
        <f>1/KRW!B1223</f>
        <v>9.8048828316501624E-4</v>
      </c>
      <c r="O1223" s="5">
        <f>1/KRW!C1223</f>
        <v>9.8047290168994301E-4</v>
      </c>
      <c r="P1223" s="3">
        <f>1/NOK!B1223</f>
        <v>0.16672780019340425</v>
      </c>
      <c r="Q1223" s="3">
        <f>1/NOK!C1223</f>
        <v>0.16652789342214822</v>
      </c>
      <c r="R1223" s="3">
        <f>NZD!B1223/1</f>
        <v>0.86850000000000005</v>
      </c>
      <c r="S1223" s="3">
        <f>NZD!C1223/1</f>
        <v>0.86619999999999997</v>
      </c>
      <c r="T1223" s="4">
        <f>1/PHP!B1223</f>
        <v>2.2813445332140952E-2</v>
      </c>
      <c r="U1223" s="4">
        <f>1/PHP!C1223</f>
        <v>2.2803613004444424E-2</v>
      </c>
      <c r="V1223" s="4">
        <f>1/TWD!B1223</f>
        <v>3.3330000333300004E-2</v>
      </c>
      <c r="W1223" s="4">
        <f>1/TWD!C1223</f>
        <v>3.3330111422562488E-2</v>
      </c>
      <c r="X1223" s="4">
        <f>1/TWD!B1223</f>
        <v>3.3330000333300004E-2</v>
      </c>
      <c r="Y1223" s="4">
        <f>1/TWD!C1223</f>
        <v>3.3330111422562488E-2</v>
      </c>
      <c r="Z1223" s="4">
        <f>1/ZAR!B1223</f>
        <v>9.3209675164282052E-2</v>
      </c>
      <c r="AA1223" s="4">
        <f>1/ZAR!C1223</f>
        <v>9.2727390743951851E-2</v>
      </c>
    </row>
    <row r="1224" spans="1:27" x14ac:dyDescent="0.25">
      <c r="A1224" t="str">
        <f>"17/06/2014"</f>
        <v>17/06/2014</v>
      </c>
      <c r="B1224" s="3">
        <f>AUD!B1224</f>
        <v>0.93579999999999997</v>
      </c>
      <c r="C1224" s="3">
        <f>AUD!C1224</f>
        <v>0.93369999999999997</v>
      </c>
      <c r="D1224" s="3">
        <f>1/CAD!B1224</f>
        <v>0.92131932927952831</v>
      </c>
      <c r="E1224" s="3">
        <f>1/CAD!C1224</f>
        <v>0.92064076597311728</v>
      </c>
      <c r="F1224" s="3">
        <f>EUR!B1224/1</f>
        <v>1.3561000000000001</v>
      </c>
      <c r="G1224" s="3">
        <f>EUR!C1224/1</f>
        <v>1.3564000000000001</v>
      </c>
      <c r="H1224" s="3">
        <f>GBP!B1224/1</f>
        <v>1.6966000000000001</v>
      </c>
      <c r="I1224" s="3">
        <f>GBP!C1224/1</f>
        <v>1.6960999999999999</v>
      </c>
      <c r="J1224" s="4">
        <f>1/INR!B1224</f>
        <v>1.6561775422325273E-2</v>
      </c>
      <c r="K1224" s="4">
        <f>1/INR!C1224</f>
        <v>1.6433853738701727E-2</v>
      </c>
      <c r="L1224" s="4">
        <f>1/JPY!B1224</f>
        <v>9.8067097508115052E-3</v>
      </c>
      <c r="M1224" s="4">
        <f>1/JPY!C1224</f>
        <v>9.8085854548486291E-3</v>
      </c>
      <c r="N1224" s="5">
        <f>1/KRW!B1224</f>
        <v>9.7742156191965601E-4</v>
      </c>
      <c r="O1224" s="5">
        <f>1/KRW!C1224</f>
        <v>9.7740618097985166E-4</v>
      </c>
      <c r="P1224" s="3">
        <f>1/NOK!B1224</f>
        <v>0.16687247605379968</v>
      </c>
      <c r="Q1224" s="3">
        <f>1/NOK!C1224</f>
        <v>0.16667222240741358</v>
      </c>
      <c r="R1224" s="3">
        <f>NZD!B1224/1</f>
        <v>0.86599999999999999</v>
      </c>
      <c r="S1224" s="3">
        <f>NZD!C1224/1</f>
        <v>0.86350000000000005</v>
      </c>
      <c r="T1224" s="4">
        <f>1/PHP!B1224</f>
        <v>2.2749246431211966E-2</v>
      </c>
      <c r="U1224" s="4">
        <f>1/PHP!C1224</f>
        <v>2.2736522357959258E-2</v>
      </c>
      <c r="V1224" s="4">
        <f>1/TWD!B1224</f>
        <v>3.3313345326137653E-2</v>
      </c>
      <c r="W1224" s="4">
        <f>1/TWD!C1224</f>
        <v>3.3313456304405034E-2</v>
      </c>
      <c r="X1224" s="4">
        <f>1/TWD!B1224</f>
        <v>3.3313345326137653E-2</v>
      </c>
      <c r="Y1224" s="4">
        <f>1/TWD!C1224</f>
        <v>3.3313456304405034E-2</v>
      </c>
      <c r="Z1224" s="4">
        <f>1/ZAR!B1224</f>
        <v>9.2867756315007419E-2</v>
      </c>
      <c r="AA1224" s="4">
        <f>1/ZAR!C1224</f>
        <v>9.2354864330704306E-2</v>
      </c>
    </row>
    <row r="1225" spans="1:27" x14ac:dyDescent="0.25">
      <c r="A1225" t="str">
        <f>"18/06/2014"</f>
        <v>18/06/2014</v>
      </c>
      <c r="B1225" s="3">
        <f>AUD!B1225</f>
        <v>0.93310000000000004</v>
      </c>
      <c r="C1225" s="3">
        <f>AUD!C1225</f>
        <v>0.93100000000000005</v>
      </c>
      <c r="D1225" s="3">
        <f>1/CAD!B1225</f>
        <v>0.9198785760279643</v>
      </c>
      <c r="E1225" s="3">
        <f>1/CAD!C1225</f>
        <v>0.91920213254894745</v>
      </c>
      <c r="F1225" s="3">
        <f>EUR!B1225/1</f>
        <v>1.3544</v>
      </c>
      <c r="G1225" s="3">
        <f>EUR!C1225/1</f>
        <v>1.3546</v>
      </c>
      <c r="H1225" s="3">
        <f>GBP!B1225/1</f>
        <v>1.6959</v>
      </c>
      <c r="I1225" s="3">
        <f>GBP!C1225/1</f>
        <v>1.6955</v>
      </c>
      <c r="J1225" s="4">
        <f>1/INR!B1225</f>
        <v>1.66237220513673E-2</v>
      </c>
      <c r="K1225" s="4">
        <f>1/INR!C1225</f>
        <v>1.6502330954247288E-2</v>
      </c>
      <c r="L1225" s="4">
        <f>1/JPY!B1225</f>
        <v>9.7795685254366566E-3</v>
      </c>
      <c r="M1225" s="4">
        <f>1/JPY!C1225</f>
        <v>9.7813668873343029E-3</v>
      </c>
      <c r="N1225" s="5">
        <f>1/KRW!B1225</f>
        <v>9.7725440375265684E-4</v>
      </c>
      <c r="O1225" s="5">
        <f>1/KRW!C1225</f>
        <v>9.7723511260484745E-4</v>
      </c>
      <c r="P1225" s="3">
        <f>1/NOK!B1225</f>
        <v>0.16646413530204918</v>
      </c>
      <c r="Q1225" s="3">
        <f>1/NOK!C1225</f>
        <v>0.16625656713440182</v>
      </c>
      <c r="R1225" s="3">
        <f>NZD!B1225/1</f>
        <v>0.8659</v>
      </c>
      <c r="S1225" s="3">
        <f>NZD!C1225/1</f>
        <v>0.86350000000000005</v>
      </c>
      <c r="T1225" s="4">
        <f>1/PHP!B1225</f>
        <v>2.2742779167614285E-2</v>
      </c>
      <c r="U1225" s="4">
        <f>1/PHP!C1225</f>
        <v>2.272660125950824E-2</v>
      </c>
      <c r="V1225" s="4">
        <f>1/TWD!B1225</f>
        <v>3.3300033300033297E-2</v>
      </c>
      <c r="W1225" s="4">
        <f>1/TWD!C1225</f>
        <v>3.3300033300033297E-2</v>
      </c>
      <c r="X1225" s="4">
        <f>1/TWD!B1225</f>
        <v>3.3300033300033297E-2</v>
      </c>
      <c r="Y1225" s="4">
        <f>1/TWD!C1225</f>
        <v>3.3300033300033297E-2</v>
      </c>
      <c r="Z1225" s="4">
        <f>1/ZAR!B1225</f>
        <v>9.2162500921625007E-2</v>
      </c>
      <c r="AA1225" s="4">
        <f>1/ZAR!C1225</f>
        <v>9.1664069518030328E-2</v>
      </c>
    </row>
    <row r="1226" spans="1:27" x14ac:dyDescent="0.25">
      <c r="A1226" t="str">
        <f>"19/06/2014"</f>
        <v>19/06/2014</v>
      </c>
      <c r="B1226" s="3">
        <f>AUD!B1226</f>
        <v>0.9405</v>
      </c>
      <c r="C1226" s="3">
        <f>AUD!C1226</f>
        <v>0.9385</v>
      </c>
      <c r="D1226" s="3">
        <f>1/CAD!B1226</f>
        <v>0.92370219841123224</v>
      </c>
      <c r="E1226" s="3">
        <f>1/CAD!C1226</f>
        <v>0.92293493308721741</v>
      </c>
      <c r="F1226" s="3">
        <f>EUR!B1226/1</f>
        <v>1.359</v>
      </c>
      <c r="G1226" s="3">
        <f>EUR!C1226/1</f>
        <v>1.3592</v>
      </c>
      <c r="H1226" s="3">
        <f>GBP!B1226/1</f>
        <v>1.6993</v>
      </c>
      <c r="I1226" s="3">
        <f>GBP!C1226/1</f>
        <v>1.6988000000000001</v>
      </c>
      <c r="J1226" s="4">
        <f>1/INR!B1226</f>
        <v>1.6672224074691565E-2</v>
      </c>
      <c r="K1226" s="4">
        <f>1/INR!C1226</f>
        <v>1.6552865714876887E-2</v>
      </c>
      <c r="L1226" s="4">
        <f>1/JPY!B1226</f>
        <v>9.8147948217142521E-3</v>
      </c>
      <c r="M1226" s="4">
        <f>1/JPY!C1226</f>
        <v>9.8165483445372872E-3</v>
      </c>
      <c r="N1226" s="5">
        <f>1/KRW!B1226</f>
        <v>9.8176855788016529E-4</v>
      </c>
      <c r="O1226" s="5">
        <f>1/KRW!C1226</f>
        <v>9.8175313621039358E-4</v>
      </c>
      <c r="P1226" s="3">
        <f>1/NOK!B1226</f>
        <v>0.16636167027116952</v>
      </c>
      <c r="Q1226" s="3">
        <f>1/NOK!C1226</f>
        <v>0.16616263999202419</v>
      </c>
      <c r="R1226" s="3">
        <f>NZD!B1226/1</f>
        <v>0.87139999999999995</v>
      </c>
      <c r="S1226" s="3">
        <f>NZD!C1226/1</f>
        <v>0.86909999999999998</v>
      </c>
      <c r="T1226" s="4">
        <f>1/PHP!B1226</f>
        <v>2.2789425706472195E-2</v>
      </c>
      <c r="U1226" s="4">
        <f>1/PHP!C1226</f>
        <v>2.2776916051120512E-2</v>
      </c>
      <c r="V1226" s="4">
        <f>1/TWD!B1226</f>
        <v>3.3346672002134189E-2</v>
      </c>
      <c r="W1226" s="4">
        <f>1/TWD!C1226</f>
        <v>3.3346672002134189E-2</v>
      </c>
      <c r="X1226" s="4">
        <f>1/TWD!B1226</f>
        <v>3.3346672002134189E-2</v>
      </c>
      <c r="Y1226" s="4">
        <f>1/TWD!C1226</f>
        <v>3.3346672002134189E-2</v>
      </c>
      <c r="Z1226" s="4">
        <f>1/ZAR!B1226</f>
        <v>9.3638219375620363E-2</v>
      </c>
      <c r="AA1226" s="4">
        <f>1/ZAR!C1226</f>
        <v>9.3146295571825119E-2</v>
      </c>
    </row>
    <row r="1227" spans="1:27" x14ac:dyDescent="0.25">
      <c r="A1227" t="str">
        <f>"20/06/2014"</f>
        <v>20/06/2014</v>
      </c>
      <c r="B1227" s="3">
        <f>AUD!B1227</f>
        <v>0.94099999999999995</v>
      </c>
      <c r="C1227" s="3">
        <f>AUD!C1227</f>
        <v>0.93889999999999996</v>
      </c>
      <c r="D1227" s="3">
        <f>1/CAD!B1227</f>
        <v>0.92464170134073054</v>
      </c>
      <c r="E1227" s="3">
        <f>1/CAD!C1227</f>
        <v>0.92395823708768365</v>
      </c>
      <c r="F1227" s="3">
        <f>EUR!B1227/1</f>
        <v>1.3624000000000001</v>
      </c>
      <c r="G1227" s="3">
        <f>EUR!C1227/1</f>
        <v>1.3625</v>
      </c>
      <c r="H1227" s="3">
        <f>GBP!B1227/1</f>
        <v>1.7048000000000001</v>
      </c>
      <c r="I1227" s="3">
        <f>GBP!C1227/1</f>
        <v>1.7043999999999999</v>
      </c>
      <c r="J1227" s="4">
        <f>1/INR!B1227</f>
        <v>1.6596133100987471E-2</v>
      </c>
      <c r="K1227" s="4">
        <f>1/INR!C1227</f>
        <v>1.6478536705940513E-2</v>
      </c>
      <c r="L1227" s="4">
        <f>1/JPY!B1227</f>
        <v>9.8166254368398324E-3</v>
      </c>
      <c r="M1227" s="4">
        <f>1/JPY!C1227</f>
        <v>9.8182928541482774E-3</v>
      </c>
      <c r="N1227" s="5">
        <f>1/KRW!B1227</f>
        <v>9.8111356389502078E-4</v>
      </c>
      <c r="O1227" s="5">
        <f>1/KRW!C1227</f>
        <v>9.8109787402958374E-4</v>
      </c>
      <c r="P1227" s="3">
        <f>1/NOK!B1227</f>
        <v>0.16340403281152979</v>
      </c>
      <c r="Q1227" s="3">
        <f>1/NOK!C1227</f>
        <v>0.16321467626368963</v>
      </c>
      <c r="R1227" s="3">
        <f>NZD!B1227/1</f>
        <v>0.87209999999999999</v>
      </c>
      <c r="S1227" s="3">
        <f>NZD!C1227/1</f>
        <v>0.86970000000000003</v>
      </c>
      <c r="T1227" s="4">
        <f>1/PHP!B1227</f>
        <v>2.2846698652044778E-2</v>
      </c>
      <c r="U1227" s="4">
        <f>1/PHP!C1227</f>
        <v>2.2833187581485937E-2</v>
      </c>
      <c r="V1227" s="4">
        <f>1/TWD!B1227</f>
        <v>3.3354457823288081E-2</v>
      </c>
      <c r="W1227" s="4">
        <f>1/TWD!C1227</f>
        <v>3.3354569075644831E-2</v>
      </c>
      <c r="X1227" s="4">
        <f>1/TWD!B1227</f>
        <v>3.3354457823288081E-2</v>
      </c>
      <c r="Y1227" s="4">
        <f>1/TWD!C1227</f>
        <v>3.3354569075644831E-2</v>
      </c>
      <c r="Z1227" s="4">
        <f>1/ZAR!B1227</f>
        <v>9.3198382076087161E-2</v>
      </c>
      <c r="AA1227" s="4">
        <f>1/ZAR!C1227</f>
        <v>9.2704180958561228E-2</v>
      </c>
    </row>
    <row r="1228" spans="1:27" x14ac:dyDescent="0.25">
      <c r="A1228" t="str">
        <f>"23/06/2014"</f>
        <v>23/06/2014</v>
      </c>
      <c r="B1228" s="3">
        <f>AUD!B1228</f>
        <v>0.94389999999999996</v>
      </c>
      <c r="C1228" s="3">
        <f>AUD!C1228</f>
        <v>0.94189999999999996</v>
      </c>
      <c r="D1228" s="3">
        <f>1/CAD!B1228</f>
        <v>0.93214019388516034</v>
      </c>
      <c r="E1228" s="3">
        <f>1/CAD!C1228</f>
        <v>0.93144560357675099</v>
      </c>
      <c r="F1228" s="3">
        <f>EUR!B1228/1</f>
        <v>1.3605</v>
      </c>
      <c r="G1228" s="3">
        <f>EUR!C1228/1</f>
        <v>1.3606</v>
      </c>
      <c r="H1228" s="3">
        <f>GBP!B1228/1</f>
        <v>1.7034</v>
      </c>
      <c r="I1228" s="3">
        <f>GBP!C1228/1</f>
        <v>1.7030000000000001</v>
      </c>
      <c r="J1228" s="4">
        <f>1/INR!B1228</f>
        <v>1.6622340425531915E-2</v>
      </c>
      <c r="K1228" s="4">
        <f>1/INR!C1228</f>
        <v>1.6500288755053213E-2</v>
      </c>
      <c r="L1228" s="4">
        <f>1/JPY!B1228</f>
        <v>9.8108468723020169E-3</v>
      </c>
      <c r="M1228" s="4">
        <f>1/JPY!C1228</f>
        <v>9.8126471283778802E-3</v>
      </c>
      <c r="N1228" s="5">
        <f>1/KRW!B1228</f>
        <v>9.8241477551822389E-4</v>
      </c>
      <c r="O1228" s="5">
        <f>1/KRW!C1228</f>
        <v>9.8239923702945651E-4</v>
      </c>
      <c r="P1228" s="3">
        <f>1/NOK!B1228</f>
        <v>0.16325464459463873</v>
      </c>
      <c r="Q1228" s="3">
        <f>1/NOK!C1228</f>
        <v>0.16306297492091446</v>
      </c>
      <c r="R1228" s="3">
        <f>NZD!B1228/1</f>
        <v>0.87329999999999997</v>
      </c>
      <c r="S1228" s="3">
        <f>NZD!C1228/1</f>
        <v>0.871</v>
      </c>
      <c r="T1228" s="4">
        <f>1/PHP!B1228</f>
        <v>2.2841480127912289E-2</v>
      </c>
      <c r="U1228" s="4">
        <f>1/PHP!C1228</f>
        <v>2.2826516194271913E-2</v>
      </c>
      <c r="V1228" s="4">
        <f>1/TWD!B1228</f>
        <v>3.334444814938313E-2</v>
      </c>
      <c r="W1228" s="4">
        <f>1/TWD!C1228</f>
        <v>3.334444814938313E-2</v>
      </c>
      <c r="X1228" s="4">
        <f>1/TWD!B1228</f>
        <v>3.334444814938313E-2</v>
      </c>
      <c r="Y1228" s="4">
        <f>1/TWD!C1228</f>
        <v>3.334444814938313E-2</v>
      </c>
      <c r="Z1228" s="4">
        <f>1/ZAR!B1228</f>
        <v>9.3781358141628607E-2</v>
      </c>
      <c r="AA1228" s="4">
        <f>1/ZAR!C1228</f>
        <v>9.3281841756683637E-2</v>
      </c>
    </row>
    <row r="1229" spans="1:27" x14ac:dyDescent="0.25">
      <c r="A1229" t="str">
        <f>"24/06/2014"</f>
        <v>24/06/2014</v>
      </c>
      <c r="B1229" s="3">
        <f>AUD!B1229</f>
        <v>0.94230000000000003</v>
      </c>
      <c r="C1229" s="3">
        <f>AUD!C1229</f>
        <v>0.94010000000000005</v>
      </c>
      <c r="D1229" s="3">
        <f>1/CAD!B1229</f>
        <v>0.93274881074526628</v>
      </c>
      <c r="E1229" s="3">
        <f>1/CAD!C1229</f>
        <v>0.93205331344952935</v>
      </c>
      <c r="F1229" s="3">
        <f>EUR!B1229/1</f>
        <v>1.3594999999999999</v>
      </c>
      <c r="G1229" s="3">
        <f>EUR!C1229/1</f>
        <v>1.3595999999999999</v>
      </c>
      <c r="H1229" s="3">
        <f>GBP!B1229/1</f>
        <v>1.7024999999999999</v>
      </c>
      <c r="I1229" s="3">
        <f>GBP!C1229/1</f>
        <v>1.7020999999999999</v>
      </c>
      <c r="J1229" s="4">
        <f>1/INR!B1229</f>
        <v>1.6641704110500914E-2</v>
      </c>
      <c r="K1229" s="4">
        <f>1/INR!C1229</f>
        <v>1.651323122652025E-2</v>
      </c>
      <c r="L1229" s="4">
        <f>1/JPY!B1229</f>
        <v>9.8129648892116266E-3</v>
      </c>
      <c r="M1229" s="4">
        <f>1/JPY!C1229</f>
        <v>9.8149200525687111E-3</v>
      </c>
      <c r="N1229" s="5">
        <f>1/KRW!B1229</f>
        <v>9.8251129887993722E-4</v>
      </c>
      <c r="O1229" s="5">
        <f>1/KRW!C1229</f>
        <v>9.8249585386749657E-4</v>
      </c>
      <c r="P1229" s="3">
        <f>1/NOK!B1229</f>
        <v>0.16359115299044627</v>
      </c>
      <c r="Q1229" s="3">
        <f>1/NOK!C1229</f>
        <v>0.16339869281045752</v>
      </c>
      <c r="R1229" s="3">
        <f>NZD!B1229/1</f>
        <v>0.87180000000000002</v>
      </c>
      <c r="S1229" s="3">
        <f>NZD!C1229/1</f>
        <v>0.86929999999999996</v>
      </c>
      <c r="T1229" s="4">
        <f>1/PHP!B1229</f>
        <v>2.2805017103762829E-2</v>
      </c>
      <c r="U1229" s="4">
        <f>1/PHP!C1229</f>
        <v>2.2789010227707789E-2</v>
      </c>
      <c r="V1229" s="4">
        <f>1/TWD!B1229</f>
        <v>3.3358908496513996E-2</v>
      </c>
      <c r="W1229" s="4">
        <f>1/TWD!C1229</f>
        <v>3.3358908496513996E-2</v>
      </c>
      <c r="X1229" s="4">
        <f>1/TWD!B1229</f>
        <v>3.3358908496513996E-2</v>
      </c>
      <c r="Y1229" s="4">
        <f>1/TWD!C1229</f>
        <v>3.3358908496513996E-2</v>
      </c>
      <c r="Z1229" s="4">
        <f>1/ZAR!B1229</f>
        <v>9.4311151350535694E-2</v>
      </c>
      <c r="AA1229" s="4">
        <f>1/ZAR!C1229</f>
        <v>9.3808630393996242E-2</v>
      </c>
    </row>
    <row r="1230" spans="1:27" x14ac:dyDescent="0.25">
      <c r="A1230" t="str">
        <f>"25/06/2014"</f>
        <v>25/06/2014</v>
      </c>
      <c r="B1230" s="3">
        <f>AUD!B1230</f>
        <v>0.93600000000000005</v>
      </c>
      <c r="C1230" s="3">
        <f>AUD!C1230</f>
        <v>0.93400000000000005</v>
      </c>
      <c r="D1230" s="3">
        <f>1/CAD!B1230</f>
        <v>0.93023255813953487</v>
      </c>
      <c r="E1230" s="3">
        <f>1/CAD!C1230</f>
        <v>0.92954080684142026</v>
      </c>
      <c r="F1230" s="3">
        <f>EUR!B1230/1</f>
        <v>1.3607</v>
      </c>
      <c r="G1230" s="3">
        <f>EUR!C1230/1</f>
        <v>1.3609</v>
      </c>
      <c r="H1230" s="3">
        <f>GBP!B1230/1</f>
        <v>1.6974</v>
      </c>
      <c r="I1230" s="3">
        <f>GBP!C1230/1</f>
        <v>1.6970000000000001</v>
      </c>
      <c r="J1230" s="4">
        <f>1/INR!B1230</f>
        <v>1.6571381224625072E-2</v>
      </c>
      <c r="K1230" s="4">
        <f>1/INR!C1230</f>
        <v>1.6449397540815067E-2</v>
      </c>
      <c r="L1230" s="4">
        <f>1/JPY!B1230</f>
        <v>9.8112318982771472E-3</v>
      </c>
      <c r="M1230" s="4">
        <f>1/JPY!C1230</f>
        <v>9.8130804437082456E-3</v>
      </c>
      <c r="N1230" s="5">
        <f>1/KRW!B1230</f>
        <v>9.7924010967489214E-4</v>
      </c>
      <c r="O1230" s="5">
        <f>1/KRW!C1230</f>
        <v>9.7922428789585744E-4</v>
      </c>
      <c r="P1230" s="3">
        <f>1/NOK!B1230</f>
        <v>0.16360721180589641</v>
      </c>
      <c r="Q1230" s="3">
        <f>1/NOK!C1230</f>
        <v>0.16341471386083603</v>
      </c>
      <c r="R1230" s="3">
        <f>NZD!B1230/1</f>
        <v>0.86770000000000003</v>
      </c>
      <c r="S1230" s="3">
        <f>NZD!C1230/1</f>
        <v>0.86529999999999996</v>
      </c>
      <c r="T1230" s="4">
        <f>1/PHP!B1230</f>
        <v>2.2753128555176336E-2</v>
      </c>
      <c r="U1230" s="4">
        <f>1/PHP!C1230</f>
        <v>2.2736729139619435E-2</v>
      </c>
      <c r="V1230" s="4">
        <f>1/TWD!B1230</f>
        <v>3.3352232931994796E-2</v>
      </c>
      <c r="W1230" s="4">
        <f>1/TWD!C1230</f>
        <v>3.3352232931994796E-2</v>
      </c>
      <c r="X1230" s="4">
        <f>1/TWD!B1230</f>
        <v>3.3352232931994796E-2</v>
      </c>
      <c r="Y1230" s="4">
        <f>1/TWD!C1230</f>
        <v>3.3352232931994796E-2</v>
      </c>
      <c r="Z1230" s="4">
        <f>1/ZAR!B1230</f>
        <v>9.3926699603629329E-2</v>
      </c>
      <c r="AA1230" s="4">
        <f>1/ZAR!C1230</f>
        <v>9.3413419771884429E-2</v>
      </c>
    </row>
    <row r="1231" spans="1:27" x14ac:dyDescent="0.25">
      <c r="A1231" t="str">
        <f>"26/06/2014"</f>
        <v>26/06/2014</v>
      </c>
      <c r="B1231" s="3">
        <f>AUD!B1231</f>
        <v>0.93989999999999996</v>
      </c>
      <c r="C1231" s="3">
        <f>AUD!C1231</f>
        <v>0.93779999999999997</v>
      </c>
      <c r="D1231" s="3">
        <f>1/CAD!B1231</f>
        <v>0.93292284728052988</v>
      </c>
      <c r="E1231" s="3">
        <f>1/CAD!C1231</f>
        <v>0.93222709051925046</v>
      </c>
      <c r="F1231" s="3">
        <f>EUR!B1231/1</f>
        <v>1.3632</v>
      </c>
      <c r="G1231" s="3">
        <f>EUR!C1231/1</f>
        <v>1.3633</v>
      </c>
      <c r="H1231" s="3">
        <f>GBP!B1231/1</f>
        <v>1.6987000000000001</v>
      </c>
      <c r="I1231" s="3">
        <f>GBP!C1231/1</f>
        <v>1.6982999999999999</v>
      </c>
      <c r="J1231" s="4">
        <f>1/INR!B1231</f>
        <v>1.6616125950234702E-2</v>
      </c>
      <c r="K1231" s="4">
        <f>1/INR!C1231</f>
        <v>1.6494845360824743E-2</v>
      </c>
      <c r="L1231" s="4">
        <f>1/JPY!B1231</f>
        <v>9.8275269028548964E-3</v>
      </c>
      <c r="M1231" s="4">
        <f>1/JPY!C1231</f>
        <v>9.8294299028950632E-3</v>
      </c>
      <c r="N1231" s="5">
        <f>1/KRW!B1231</f>
        <v>9.835259404966806E-4</v>
      </c>
      <c r="O1231" s="5">
        <f>1/KRW!C1231</f>
        <v>9.835102701092936E-4</v>
      </c>
      <c r="P1231" s="3">
        <f>1/NOK!B1231</f>
        <v>0.16298590171950125</v>
      </c>
      <c r="Q1231" s="3">
        <f>1/NOK!C1231</f>
        <v>0.16279486219414915</v>
      </c>
      <c r="R1231" s="3">
        <f>NZD!B1231/1</f>
        <v>0.87590000000000001</v>
      </c>
      <c r="S1231" s="3">
        <f>NZD!C1231/1</f>
        <v>0.87339999999999995</v>
      </c>
      <c r="T1231" s="4">
        <f>1/PHP!B1231</f>
        <v>2.2818026240730177E-2</v>
      </c>
      <c r="U1231" s="4">
        <f>1/PHP!C1231</f>
        <v>2.28028330239749E-2</v>
      </c>
      <c r="V1231" s="4">
        <f>1/TWD!B1231</f>
        <v>3.340459647247461E-2</v>
      </c>
      <c r="W1231" s="4">
        <f>1/TWD!C1231</f>
        <v>3.340459647247461E-2</v>
      </c>
      <c r="X1231" s="4">
        <f>1/TWD!B1231</f>
        <v>3.340459647247461E-2</v>
      </c>
      <c r="Y1231" s="4">
        <f>1/TWD!C1231</f>
        <v>3.340459647247461E-2</v>
      </c>
      <c r="Z1231" s="4">
        <f>1/ZAR!B1231</f>
        <v>9.4425139749206827E-2</v>
      </c>
      <c r="AA1231" s="4">
        <f>1/ZAR!C1231</f>
        <v>9.392758183440568E-2</v>
      </c>
    </row>
    <row r="1232" spans="1:27" x14ac:dyDescent="0.25">
      <c r="A1232" t="str">
        <f>"27/06/2014"</f>
        <v>27/06/2014</v>
      </c>
      <c r="B1232" s="3">
        <f>AUD!B1232</f>
        <v>0.94350000000000001</v>
      </c>
      <c r="C1232" s="3">
        <f>AUD!C1232</f>
        <v>0.94140000000000001</v>
      </c>
      <c r="D1232" s="3">
        <f>1/CAD!B1232</f>
        <v>0.93615427822505148</v>
      </c>
      <c r="E1232" s="3">
        <f>1/CAD!C1232</f>
        <v>0.93545369504209541</v>
      </c>
      <c r="F1232" s="3">
        <f>EUR!B1232/1</f>
        <v>1.3628</v>
      </c>
      <c r="G1232" s="3">
        <f>EUR!C1232/1</f>
        <v>1.3629</v>
      </c>
      <c r="H1232" s="3">
        <f>GBP!B1232/1</f>
        <v>1.7040999999999999</v>
      </c>
      <c r="I1232" s="3">
        <f>GBP!C1232/1</f>
        <v>1.7036</v>
      </c>
      <c r="J1232" s="4">
        <f>1/INR!B1232</f>
        <v>1.6629250852249106E-2</v>
      </c>
      <c r="K1232" s="4">
        <f>1/INR!C1232</f>
        <v>1.6507098052162432E-2</v>
      </c>
      <c r="L1232" s="4">
        <f>1/JPY!B1232</f>
        <v>9.8599881680141981E-3</v>
      </c>
      <c r="M1232" s="4">
        <f>1/JPY!C1232</f>
        <v>9.8618259565231535E-3</v>
      </c>
      <c r="N1232" s="5">
        <f>1/KRW!B1232</f>
        <v>9.8619329388560163E-4</v>
      </c>
      <c r="O1232" s="5">
        <f>1/KRW!C1232</f>
        <v>9.8617481526480275E-4</v>
      </c>
      <c r="P1232" s="3">
        <f>1/NOK!B1232</f>
        <v>0.16307627077183998</v>
      </c>
      <c r="Q1232" s="3">
        <f>1/NOK!C1232</f>
        <v>0.16288501946475981</v>
      </c>
      <c r="R1232" s="3">
        <f>NZD!B1232/1</f>
        <v>0.87809999999999999</v>
      </c>
      <c r="S1232" s="3">
        <f>NZD!C1232/1</f>
        <v>0.87560000000000004</v>
      </c>
      <c r="T1232" s="4">
        <f>1/PHP!B1232</f>
        <v>2.283887175973507E-2</v>
      </c>
      <c r="U1232" s="4">
        <f>1/PHP!C1232</f>
        <v>2.2823077783331393E-2</v>
      </c>
      <c r="V1232" s="4">
        <f>1/TWD!B1232</f>
        <v>3.3449290875033448E-2</v>
      </c>
      <c r="W1232" s="4">
        <f>1/TWD!C1232</f>
        <v>3.3449290875033448E-2</v>
      </c>
      <c r="X1232" s="4">
        <f>1/TWD!B1232</f>
        <v>3.3449290875033448E-2</v>
      </c>
      <c r="Y1232" s="4">
        <f>1/TWD!C1232</f>
        <v>3.3449290875033448E-2</v>
      </c>
      <c r="Z1232" s="4">
        <f>1/ZAR!B1232</f>
        <v>9.4060989145361859E-2</v>
      </c>
      <c r="AA1232" s="4">
        <f>1/ZAR!C1232</f>
        <v>9.3535744684831307E-2</v>
      </c>
    </row>
    <row r="1233" spans="1:27" x14ac:dyDescent="0.25">
      <c r="A1233" t="str">
        <f>"30/06/2014"</f>
        <v>30/06/2014</v>
      </c>
      <c r="B1233" s="3">
        <f>AUD!B1233</f>
        <v>0.94220000000000004</v>
      </c>
      <c r="C1233" s="3">
        <f>AUD!C1233</f>
        <v>0.93989999999999996</v>
      </c>
      <c r="D1233" s="3">
        <f>1/CAD!B1233</f>
        <v>0.93676814988290402</v>
      </c>
      <c r="E1233" s="3">
        <f>1/CAD!C1233</f>
        <v>0.93597903406963678</v>
      </c>
      <c r="F1233" s="3">
        <f>EUR!B1233/1</f>
        <v>1.3645</v>
      </c>
      <c r="G1233" s="3">
        <f>EUR!C1233/1</f>
        <v>1.3646</v>
      </c>
      <c r="H1233" s="3">
        <f>GBP!B1233/1</f>
        <v>1.7029000000000001</v>
      </c>
      <c r="I1233" s="3">
        <f>GBP!C1233/1</f>
        <v>1.7023999999999999</v>
      </c>
      <c r="J1233" s="4">
        <f>1/INR!B1233</f>
        <v>1.6647937736712862E-2</v>
      </c>
      <c r="K1233" s="4">
        <f>1/INR!C1233</f>
        <v>1.6528242634601877E-2</v>
      </c>
      <c r="L1233" s="4">
        <f>1/JPY!B1233</f>
        <v>9.8693300698748567E-3</v>
      </c>
      <c r="M1233" s="4">
        <f>1/JPY!C1233</f>
        <v>9.8713662266998736E-3</v>
      </c>
      <c r="N1233" s="5">
        <f>1/KRW!B1233</f>
        <v>9.8828877798092592E-4</v>
      </c>
      <c r="O1233" s="5">
        <f>1/KRW!C1233</f>
        <v>9.8827149043298848E-4</v>
      </c>
      <c r="P1233" s="3">
        <f>1/NOK!B1233</f>
        <v>0.16305765718758153</v>
      </c>
      <c r="Q1233" s="3">
        <f>1/NOK!C1233</f>
        <v>0.16285318785115219</v>
      </c>
      <c r="R1233" s="3">
        <f>NZD!B1233/1</f>
        <v>0.87580000000000002</v>
      </c>
      <c r="S1233" s="3">
        <f>NZD!C1233/1</f>
        <v>0.87309999999999999</v>
      </c>
      <c r="T1233" s="4">
        <f>1/PHP!B1233</f>
        <v>2.2922636103151862E-2</v>
      </c>
      <c r="U1233" s="4">
        <f>1/PHP!C1233</f>
        <v>2.2906831046086255E-2</v>
      </c>
      <c r="V1233" s="4">
        <f>1/TWD!B1233</f>
        <v>3.3491861477660929E-2</v>
      </c>
      <c r="W1233" s="4">
        <f>1/TWD!C1233</f>
        <v>3.3491973648515132E-2</v>
      </c>
      <c r="X1233" s="4">
        <f>1/TWD!B1233</f>
        <v>3.3491861477660929E-2</v>
      </c>
      <c r="Y1233" s="4">
        <f>1/TWD!C1233</f>
        <v>3.3491973648515132E-2</v>
      </c>
      <c r="Z1233" s="4">
        <f>1/ZAR!B1233</f>
        <v>9.4511705274698266E-2</v>
      </c>
      <c r="AA1233" s="4">
        <f>1/ZAR!C1233</f>
        <v>9.3954939211154331E-2</v>
      </c>
    </row>
    <row r="1234" spans="1:27" x14ac:dyDescent="0.25">
      <c r="A1234" t="str">
        <f>"01/07/2014"</f>
        <v>01/07/2014</v>
      </c>
      <c r="B1234" s="3">
        <f>AUD!B1234</f>
        <v>0.94499999999999995</v>
      </c>
      <c r="C1234" s="3">
        <f>AUD!C1234</f>
        <v>0.94269999999999998</v>
      </c>
      <c r="D1234" s="3">
        <f>1/CAD!B1234</f>
        <v>0.93711929528629001</v>
      </c>
      <c r="E1234" s="3">
        <f>1/CAD!C1234</f>
        <v>0.93632958801498123</v>
      </c>
      <c r="F1234" s="3">
        <f>EUR!B1234/1</f>
        <v>1.3687</v>
      </c>
      <c r="G1234" s="3">
        <f>EUR!C1234/1</f>
        <v>1.3689</v>
      </c>
      <c r="H1234" s="3">
        <f>GBP!B1234/1</f>
        <v>1.7109000000000001</v>
      </c>
      <c r="I1234" s="3">
        <f>GBP!C1234/1</f>
        <v>1.7104999999999999</v>
      </c>
      <c r="J1234" s="4">
        <f>1/INR!B1234</f>
        <v>1.6616816218012628E-2</v>
      </c>
      <c r="K1234" s="4">
        <f>1/INR!C1234</f>
        <v>1.6487366555376942E-2</v>
      </c>
      <c r="L1234" s="4">
        <f>1/JPY!B1234</f>
        <v>9.8595993058842087E-3</v>
      </c>
      <c r="M1234" s="4">
        <f>1/JPY!C1234</f>
        <v>9.8620107456469097E-3</v>
      </c>
      <c r="N1234" s="5">
        <f>1/KRW!B1234</f>
        <v>9.8843530690916276E-4</v>
      </c>
      <c r="O1234" s="5">
        <f>1/KRW!C1234</f>
        <v>9.8842065206110417E-4</v>
      </c>
      <c r="P1234" s="3">
        <f>1/NOK!B1234</f>
        <v>0.16296730875786319</v>
      </c>
      <c r="Q1234" s="3">
        <f>1/NOK!C1234</f>
        <v>0.16276306580510749</v>
      </c>
      <c r="R1234" s="3">
        <f>NZD!B1234/1</f>
        <v>0.87629999999999997</v>
      </c>
      <c r="S1234" s="3">
        <f>NZD!C1234/1</f>
        <v>0.87380000000000002</v>
      </c>
      <c r="T1234" s="4">
        <f>1/PHP!B1234</f>
        <v>2.2920009168003665E-2</v>
      </c>
      <c r="U1234" s="4">
        <f>1/PHP!C1234</f>
        <v>2.2903735599276241E-2</v>
      </c>
      <c r="V1234" s="4">
        <f>1/TWD!B1234</f>
        <v>3.3452647777071555E-2</v>
      </c>
      <c r="W1234" s="4">
        <f>1/TWD!C1234</f>
        <v>3.3452647777071555E-2</v>
      </c>
      <c r="X1234" s="4">
        <f>1/TWD!B1234</f>
        <v>3.3452647777071555E-2</v>
      </c>
      <c r="Y1234" s="4">
        <f>1/TWD!C1234</f>
        <v>3.3452647777071555E-2</v>
      </c>
      <c r="Z1234" s="4">
        <f>1/ZAR!B1234</f>
        <v>9.4068067653754264E-2</v>
      </c>
      <c r="AA1234" s="4">
        <f>1/ZAR!C1234</f>
        <v>9.3536619586568129E-2</v>
      </c>
    </row>
    <row r="1235" spans="1:27" x14ac:dyDescent="0.25">
      <c r="A1235" t="str">
        <f>"02/07/2014"</f>
        <v>02/07/2014</v>
      </c>
      <c r="B1235" s="3">
        <f>AUD!B1235</f>
        <v>0.94599999999999995</v>
      </c>
      <c r="C1235" s="3">
        <f>AUD!C1235</f>
        <v>0.94389999999999996</v>
      </c>
      <c r="D1235" s="3">
        <f>1/CAD!B1235</f>
        <v>0.93993796409436969</v>
      </c>
      <c r="E1235" s="3">
        <f>1/CAD!C1235</f>
        <v>0.9391435011269722</v>
      </c>
      <c r="F1235" s="3">
        <f>EUR!B1235/1</f>
        <v>1.3675999999999999</v>
      </c>
      <c r="G1235" s="3">
        <f>EUR!C1235/1</f>
        <v>1.3676999999999999</v>
      </c>
      <c r="H1235" s="3">
        <f>GBP!B1235/1</f>
        <v>1.7146999999999999</v>
      </c>
      <c r="I1235" s="3">
        <f>GBP!C1235/1</f>
        <v>1.7141999999999999</v>
      </c>
      <c r="J1235" s="4">
        <f>1/INR!B1235</f>
        <v>1.6653482659561181E-2</v>
      </c>
      <c r="K1235" s="4">
        <f>1/INR!C1235</f>
        <v>1.6530291759649558E-2</v>
      </c>
      <c r="L1235" s="4">
        <f>1/JPY!B1235</f>
        <v>9.8425196850393699E-3</v>
      </c>
      <c r="M1235" s="4">
        <f>1/JPY!C1235</f>
        <v>9.8447289352334971E-3</v>
      </c>
      <c r="N1235" s="5">
        <f>1/KRW!B1235</f>
        <v>9.895601405175401E-4</v>
      </c>
      <c r="O1235" s="5">
        <f>1/KRW!C1235</f>
        <v>9.8954545229648747E-4</v>
      </c>
      <c r="P1235" s="3">
        <f>1/NOK!B1235</f>
        <v>0.1621034544246138</v>
      </c>
      <c r="Q1235" s="3">
        <f>1/NOK!C1235</f>
        <v>0.16191185518603673</v>
      </c>
      <c r="R1235" s="3">
        <f>NZD!B1235/1</f>
        <v>0.87539999999999996</v>
      </c>
      <c r="S1235" s="3">
        <f>NZD!C1235/1</f>
        <v>0.87290000000000001</v>
      </c>
      <c r="T1235" s="4">
        <f>1/PHP!B1235</f>
        <v>2.2925263640531868E-2</v>
      </c>
      <c r="U1235" s="4">
        <f>1/PHP!C1235</f>
        <v>2.2908142928485361E-2</v>
      </c>
      <c r="V1235" s="4">
        <f>1/TWD!B1235</f>
        <v>3.3487375259527163E-2</v>
      </c>
      <c r="W1235" s="4">
        <f>1/TWD!C1235</f>
        <v>3.3487487400332867E-2</v>
      </c>
      <c r="X1235" s="4">
        <f>1/TWD!B1235</f>
        <v>3.3487375259527163E-2</v>
      </c>
      <c r="Y1235" s="4">
        <f>1/TWD!C1235</f>
        <v>3.3487487400332867E-2</v>
      </c>
      <c r="Z1235" s="4">
        <f>1/ZAR!B1235</f>
        <v>9.3732132312277977E-2</v>
      </c>
      <c r="AA1235" s="4">
        <f>1/ZAR!C1235</f>
        <v>9.3211412805383878E-2</v>
      </c>
    </row>
    <row r="1236" spans="1:27" x14ac:dyDescent="0.25">
      <c r="A1236" t="str">
        <f>"03/07/2014"</f>
        <v>03/07/2014</v>
      </c>
      <c r="B1236" s="3">
        <f>AUD!B1236</f>
        <v>0.93779999999999997</v>
      </c>
      <c r="C1236" s="3">
        <f>AUD!C1236</f>
        <v>0.93569999999999998</v>
      </c>
      <c r="D1236" s="3">
        <f>1/CAD!B1236</f>
        <v>0.93703148425787108</v>
      </c>
      <c r="E1236" s="3">
        <f>1/CAD!C1236</f>
        <v>0.93632958801498123</v>
      </c>
      <c r="F1236" s="3">
        <f>EUR!B1236/1</f>
        <v>1.3648</v>
      </c>
      <c r="G1236" s="3">
        <f>EUR!C1236/1</f>
        <v>1.3649</v>
      </c>
      <c r="H1236" s="3">
        <f>GBP!B1236/1</f>
        <v>1.7156</v>
      </c>
      <c r="I1236" s="3">
        <f>GBP!C1236/1</f>
        <v>1.7152000000000001</v>
      </c>
      <c r="J1236" s="4">
        <f>1/INR!B1236</f>
        <v>1.677289500167729E-2</v>
      </c>
      <c r="K1236" s="4">
        <f>1/INR!C1236</f>
        <v>1.66472448809722E-2</v>
      </c>
      <c r="L1236" s="4">
        <f>1/JPY!B1236</f>
        <v>9.8164327083537836E-3</v>
      </c>
      <c r="M1236" s="4">
        <f>1/JPY!C1236</f>
        <v>9.8182446549476086E-3</v>
      </c>
      <c r="N1236" s="5">
        <f>1/KRW!B1236</f>
        <v>9.9058940069341253E-4</v>
      </c>
      <c r="O1236" s="5">
        <f>1/KRW!C1236</f>
        <v>9.9057468190170538E-4</v>
      </c>
      <c r="P1236" s="3">
        <f>1/NOK!B1236</f>
        <v>0.16189088554314393</v>
      </c>
      <c r="Q1236" s="3">
        <f>1/NOK!C1236</f>
        <v>0.16169978817327749</v>
      </c>
      <c r="R1236" s="3">
        <f>NZD!B1236/1</f>
        <v>0.87660000000000005</v>
      </c>
      <c r="S1236" s="3">
        <f>NZD!C1236/1</f>
        <v>0.87409999999999999</v>
      </c>
      <c r="T1236" s="4">
        <f>1/PHP!B1236</f>
        <v>2.2912131973880166E-2</v>
      </c>
      <c r="U1236" s="4">
        <f>1/PHP!C1236</f>
        <v>2.2894768774282762E-2</v>
      </c>
      <c r="V1236" s="4">
        <f>1/TWD!B1236</f>
        <v>3.3469442399089631E-2</v>
      </c>
      <c r="W1236" s="4">
        <f>1/TWD!C1236</f>
        <v>3.3469554419822009E-2</v>
      </c>
      <c r="X1236" s="4">
        <f>1/TWD!B1236</f>
        <v>3.3469442399089631E-2</v>
      </c>
      <c r="Y1236" s="4">
        <f>1/TWD!C1236</f>
        <v>3.3469554419822009E-2</v>
      </c>
      <c r="Z1236" s="4">
        <f>1/ZAR!B1236</f>
        <v>9.3033640964572797E-2</v>
      </c>
      <c r="AA1236" s="4">
        <f>1/ZAR!C1236</f>
        <v>9.2524912332645565E-2</v>
      </c>
    </row>
    <row r="1237" spans="1:27" x14ac:dyDescent="0.25">
      <c r="A1237" t="str">
        <f>"04/07/2014"</f>
        <v>04/07/2014</v>
      </c>
      <c r="B1237" s="3">
        <f>AUD!B1237</f>
        <v>0.93620000000000003</v>
      </c>
      <c r="C1237" s="3">
        <f>AUD!C1237</f>
        <v>0.93410000000000004</v>
      </c>
      <c r="D1237" s="3">
        <f>1/CAD!B1237</f>
        <v>0.94002632073698056</v>
      </c>
      <c r="E1237" s="3">
        <f>1/CAD!C1237</f>
        <v>0.93931993236896483</v>
      </c>
      <c r="F1237" s="3">
        <f>EUR!B1237/1</f>
        <v>1.3608</v>
      </c>
      <c r="G1237" s="3">
        <f>EUR!C1237/1</f>
        <v>1.3609</v>
      </c>
      <c r="H1237" s="3">
        <f>GBP!B1237/1</f>
        <v>1.7170000000000001</v>
      </c>
      <c r="I1237" s="3">
        <f>GBP!C1237/1</f>
        <v>1.7165999999999999</v>
      </c>
      <c r="J1237" s="4">
        <f>1/INR!B1237</f>
        <v>1.6739903745553463E-2</v>
      </c>
      <c r="K1237" s="4">
        <f>1/INR!C1237</f>
        <v>1.6617506543143201E-2</v>
      </c>
      <c r="L1237" s="4">
        <f>1/JPY!B1237</f>
        <v>9.7952786756783233E-3</v>
      </c>
      <c r="M1237" s="4">
        <f>1/JPY!C1237</f>
        <v>9.7971788043914876E-3</v>
      </c>
      <c r="N1237" s="5">
        <f>1/KRW!B1237</f>
        <v>9.9057468190170538E-4</v>
      </c>
      <c r="O1237" s="5">
        <f>1/KRW!C1237</f>
        <v>9.9055545000636936E-4</v>
      </c>
      <c r="P1237" s="3">
        <f>1/NOK!B1237</f>
        <v>0.16138923856557244</v>
      </c>
      <c r="Q1237" s="3">
        <f>1/NOK!C1237</f>
        <v>0.1612019215269046</v>
      </c>
      <c r="R1237" s="3">
        <f>NZD!B1237/1</f>
        <v>0.87519999999999998</v>
      </c>
      <c r="S1237" s="3">
        <f>NZD!C1237/1</f>
        <v>0.87280000000000002</v>
      </c>
      <c r="T1237" s="4">
        <f>1/PHP!B1237</f>
        <v>2.2959476523935256E-2</v>
      </c>
      <c r="U1237" s="4">
        <f>1/PHP!C1237</f>
        <v>2.2941883620412769E-2</v>
      </c>
      <c r="V1237" s="4">
        <f>1/TWD!B1237</f>
        <v>3.3463842318374994E-2</v>
      </c>
      <c r="W1237" s="4">
        <f>1/TWD!C1237</f>
        <v>3.3463842318374994E-2</v>
      </c>
      <c r="X1237" s="4">
        <f>1/TWD!B1237</f>
        <v>3.3463842318374994E-2</v>
      </c>
      <c r="Y1237" s="4">
        <f>1/TWD!C1237</f>
        <v>3.3463842318374994E-2</v>
      </c>
      <c r="Z1237" s="4">
        <f>1/ZAR!B1237</f>
        <v>9.3063944236084606E-2</v>
      </c>
      <c r="AA1237" s="4">
        <f>1/ZAR!C1237</f>
        <v>9.2560025176326846E-2</v>
      </c>
    </row>
    <row r="1238" spans="1:27" x14ac:dyDescent="0.25">
      <c r="A1238" t="str">
        <f>"07/07/2014"</f>
        <v>07/07/2014</v>
      </c>
      <c r="B1238" s="3">
        <f>AUD!B1238</f>
        <v>0.93600000000000005</v>
      </c>
      <c r="C1238" s="3">
        <f>AUD!C1238</f>
        <v>0.93379999999999996</v>
      </c>
      <c r="D1238" s="3">
        <f>1/CAD!B1238</f>
        <v>0.93773443360840214</v>
      </c>
      <c r="E1238" s="3">
        <f>1/CAD!C1238</f>
        <v>0.93703148425787108</v>
      </c>
      <c r="F1238" s="3">
        <f>EUR!B1238/1</f>
        <v>1.3585</v>
      </c>
      <c r="G1238" s="3">
        <f>EUR!C1238/1</f>
        <v>1.3586</v>
      </c>
      <c r="H1238" s="3">
        <f>GBP!B1238/1</f>
        <v>1.7141</v>
      </c>
      <c r="I1238" s="3">
        <f>GBP!C1238/1</f>
        <v>1.7136</v>
      </c>
      <c r="J1238" s="4">
        <f>1/INR!B1238</f>
        <v>1.6701461377870562E-2</v>
      </c>
      <c r="K1238" s="4">
        <f>1/INR!C1238</f>
        <v>1.6574127786525235E-2</v>
      </c>
      <c r="L1238" s="4">
        <f>1/JPY!B1238</f>
        <v>9.7908670791885342E-3</v>
      </c>
      <c r="M1238" s="4">
        <f>1/JPY!C1238</f>
        <v>9.7928709857797724E-3</v>
      </c>
      <c r="N1238" s="5">
        <f>1/KRW!B1238</f>
        <v>9.9004999752487499E-4</v>
      </c>
      <c r="O1238" s="5">
        <f>1/KRW!C1238</f>
        <v>9.9003058996516877E-4</v>
      </c>
      <c r="P1238" s="3">
        <f>1/NOK!B1238</f>
        <v>0.1614700230902133</v>
      </c>
      <c r="Q1238" s="3">
        <f>1/NOK!C1238</f>
        <v>0.16127471535012741</v>
      </c>
      <c r="R1238" s="3">
        <f>NZD!B1238/1</f>
        <v>0.87219999999999998</v>
      </c>
      <c r="S1238" s="3">
        <f>NZD!C1238/1</f>
        <v>0.86950000000000005</v>
      </c>
      <c r="T1238" s="4">
        <f>1/PHP!B1238</f>
        <v>2.3004370830457789E-2</v>
      </c>
      <c r="U1238" s="4">
        <f>1/PHP!C1238</f>
        <v>2.2984701382759636E-2</v>
      </c>
      <c r="V1238" s="4">
        <f>1/TWD!B1238</f>
        <v>3.3442579091699551E-2</v>
      </c>
      <c r="W1238" s="4">
        <f>1/TWD!C1238</f>
        <v>3.3442579091699551E-2</v>
      </c>
      <c r="X1238" s="4">
        <f>1/TWD!B1238</f>
        <v>3.3442579091699551E-2</v>
      </c>
      <c r="Y1238" s="4">
        <f>1/TWD!C1238</f>
        <v>3.3442579091699551E-2</v>
      </c>
      <c r="Z1238" s="4">
        <f>1/ZAR!B1238</f>
        <v>9.287120621122627E-2</v>
      </c>
      <c r="AA1238" s="4">
        <f>1/ZAR!C1238</f>
        <v>9.2357423227891935E-2</v>
      </c>
    </row>
    <row r="1239" spans="1:27" x14ac:dyDescent="0.25">
      <c r="A1239" t="str">
        <f>"08/07/2014"</f>
        <v>08/07/2014</v>
      </c>
      <c r="B1239" s="3">
        <f>AUD!B1239</f>
        <v>0.94</v>
      </c>
      <c r="C1239" s="3">
        <f>AUD!C1239</f>
        <v>0.93789999999999996</v>
      </c>
      <c r="D1239" s="3">
        <f>1/CAD!B1239</f>
        <v>0.93650496347630641</v>
      </c>
      <c r="E1239" s="3">
        <f>1/CAD!C1239</f>
        <v>0.93580385551188472</v>
      </c>
      <c r="F1239" s="3">
        <f>EUR!B1239/1</f>
        <v>1.3604000000000001</v>
      </c>
      <c r="G1239" s="3">
        <f>EUR!C1239/1</f>
        <v>1.3605</v>
      </c>
      <c r="H1239" s="3">
        <f>GBP!B1239/1</f>
        <v>1.7130000000000001</v>
      </c>
      <c r="I1239" s="3">
        <f>GBP!C1239/1</f>
        <v>1.7124999999999999</v>
      </c>
      <c r="J1239" s="4">
        <f>1/INR!B1239</f>
        <v>1.6742005692281937E-2</v>
      </c>
      <c r="K1239" s="4">
        <f>1/INR!C1239</f>
        <v>1.6616816218012628E-2</v>
      </c>
      <c r="L1239" s="4">
        <f>1/JPY!B1239</f>
        <v>9.8257887651931261E-3</v>
      </c>
      <c r="M1239" s="4">
        <f>1/JPY!C1239</f>
        <v>9.8275172448358851E-3</v>
      </c>
      <c r="N1239" s="5">
        <f>1/KRW!B1239</f>
        <v>9.8814229249011851E-4</v>
      </c>
      <c r="O1239" s="5">
        <f>1/KRW!C1239</f>
        <v>9.8812208090210004E-4</v>
      </c>
      <c r="P1239" s="3">
        <f>1/NOK!B1239</f>
        <v>0.16229287371991497</v>
      </c>
      <c r="Q1239" s="3">
        <f>1/NOK!C1239</f>
        <v>0.16209031672447888</v>
      </c>
      <c r="R1239" s="3">
        <f>NZD!B1239/1</f>
        <v>0.87970000000000004</v>
      </c>
      <c r="S1239" s="3">
        <f>NZD!C1239/1</f>
        <v>0.87709999999999999</v>
      </c>
      <c r="T1239" s="4">
        <f>1/PHP!B1239</f>
        <v>2.3038820412394884E-2</v>
      </c>
      <c r="U1239" s="4">
        <f>1/PHP!C1239</f>
        <v>2.3021052752742382E-2</v>
      </c>
      <c r="V1239" s="4">
        <f>1/TWD!B1239</f>
        <v>3.3366700033366704E-2</v>
      </c>
      <c r="W1239" s="4">
        <f>1/TWD!C1239</f>
        <v>3.3366700033366704E-2</v>
      </c>
      <c r="X1239" s="4">
        <f>1/TWD!B1239</f>
        <v>3.3366700033366704E-2</v>
      </c>
      <c r="Y1239" s="4">
        <f>1/TWD!C1239</f>
        <v>3.3366700033366704E-2</v>
      </c>
      <c r="Z1239" s="4">
        <f>1/ZAR!B1239</f>
        <v>9.3360221077003508E-2</v>
      </c>
      <c r="AA1239" s="4">
        <f>1/ZAR!C1239</f>
        <v>9.2877244146411686E-2</v>
      </c>
    </row>
    <row r="1240" spans="1:27" x14ac:dyDescent="0.25">
      <c r="A1240" t="str">
        <f>"09/07/2014"</f>
        <v>09/07/2014</v>
      </c>
      <c r="B1240" s="3">
        <f>AUD!B1240</f>
        <v>0.93979999999999997</v>
      </c>
      <c r="C1240" s="3">
        <f>AUD!C1240</f>
        <v>0.93769999999999998</v>
      </c>
      <c r="D1240" s="3">
        <f>1/CAD!B1240</f>
        <v>0.93606664794533367</v>
      </c>
      <c r="E1240" s="3">
        <f>1/CAD!C1240</f>
        <v>0.93536619586568148</v>
      </c>
      <c r="F1240" s="3">
        <f>EUR!B1240/1</f>
        <v>1.3614999999999999</v>
      </c>
      <c r="G1240" s="3">
        <f>EUR!C1240/1</f>
        <v>1.3615999999999999</v>
      </c>
      <c r="H1240" s="3">
        <f>GBP!B1240/1</f>
        <v>1.7130000000000001</v>
      </c>
      <c r="I1240" s="3">
        <f>GBP!C1240/1</f>
        <v>1.7125999999999999</v>
      </c>
      <c r="J1240" s="4">
        <f>1/INR!B1240</f>
        <v>1.6709833737154317E-2</v>
      </c>
      <c r="K1240" s="4">
        <f>1/INR!C1240</f>
        <v>1.6587874263913081E-2</v>
      </c>
      <c r="L1240" s="4">
        <f>1/JPY!B1240</f>
        <v>9.8405825624876993E-3</v>
      </c>
      <c r="M1240" s="4">
        <f>1/JPY!C1240</f>
        <v>9.8423065642279407E-3</v>
      </c>
      <c r="N1240" s="5">
        <f>1/KRW!B1240</f>
        <v>9.8733739787228787E-4</v>
      </c>
      <c r="O1240" s="5">
        <f>1/KRW!C1240</f>
        <v>9.8732131335455735E-4</v>
      </c>
      <c r="P1240" s="3">
        <f>1/NOK!B1240</f>
        <v>0.16162922256343945</v>
      </c>
      <c r="Q1240" s="3">
        <f>1/NOK!C1240</f>
        <v>0.16143352974412786</v>
      </c>
      <c r="R1240" s="3">
        <f>NZD!B1240/1</f>
        <v>0.87909999999999999</v>
      </c>
      <c r="S1240" s="3">
        <f>NZD!C1240/1</f>
        <v>0.87649999999999995</v>
      </c>
      <c r="T1240" s="4">
        <f>1/PHP!B1240</f>
        <v>2.3060071486221606E-2</v>
      </c>
      <c r="U1240" s="4">
        <f>1/PHP!C1240</f>
        <v>2.3041049934563421E-2</v>
      </c>
      <c r="V1240" s="4">
        <f>1/TWD!B1240</f>
        <v>3.3440342429106477E-2</v>
      </c>
      <c r="W1240" s="4">
        <f>1/TWD!C1240</f>
        <v>3.3440342429106477E-2</v>
      </c>
      <c r="X1240" s="4">
        <f>1/TWD!B1240</f>
        <v>3.3440342429106477E-2</v>
      </c>
      <c r="Y1240" s="4">
        <f>1/TWD!C1240</f>
        <v>3.3440342429106477E-2</v>
      </c>
      <c r="Z1240" s="4">
        <f>1/ZAR!B1240</f>
        <v>9.3540994340769845E-2</v>
      </c>
      <c r="AA1240" s="4">
        <f>1/ZAR!C1240</f>
        <v>9.3031909945111166E-2</v>
      </c>
    </row>
    <row r="1241" spans="1:27" x14ac:dyDescent="0.25">
      <c r="A1241" t="str">
        <f>"10/07/2014"</f>
        <v>10/07/2014</v>
      </c>
      <c r="B1241" s="3">
        <f>AUD!B1241</f>
        <v>0.94069999999999998</v>
      </c>
      <c r="C1241" s="3">
        <f>AUD!C1241</f>
        <v>0.93859999999999999</v>
      </c>
      <c r="D1241" s="3">
        <f>1/CAD!B1241</f>
        <v>0.93852651337400295</v>
      </c>
      <c r="E1241" s="3">
        <f>1/CAD!C1241</f>
        <v>0.93782237644190192</v>
      </c>
      <c r="F1241" s="3">
        <f>EUR!B1241/1</f>
        <v>1.3645</v>
      </c>
      <c r="G1241" s="3">
        <f>EUR!C1241/1</f>
        <v>1.3647</v>
      </c>
      <c r="H1241" s="3">
        <f>GBP!B1241/1</f>
        <v>1.7152000000000001</v>
      </c>
      <c r="I1241" s="3">
        <f>GBP!C1241/1</f>
        <v>1.7148000000000001</v>
      </c>
      <c r="J1241" s="4">
        <f>1/INR!B1241</f>
        <v>1.6765864699471875E-2</v>
      </c>
      <c r="K1241" s="4">
        <f>1/INR!C1241</f>
        <v>1.6642396505096736E-2</v>
      </c>
      <c r="L1241" s="4">
        <f>1/JPY!B1241</f>
        <v>9.848723605420738E-3</v>
      </c>
      <c r="M1241" s="4">
        <f>1/JPY!C1241</f>
        <v>9.8504795705978941E-3</v>
      </c>
      <c r="N1241" s="5">
        <f>1/KRW!B1241</f>
        <v>9.8744951664346157E-4</v>
      </c>
      <c r="O1241" s="5">
        <f>1/KRW!C1241</f>
        <v>9.8743186843536766E-4</v>
      </c>
      <c r="P1241" s="3">
        <f>1/NOK!B1241</f>
        <v>0.16247217663975044</v>
      </c>
      <c r="Q1241" s="3">
        <f>1/NOK!C1241</f>
        <v>0.16228233881306697</v>
      </c>
      <c r="R1241" s="3">
        <f>NZD!B1241/1</f>
        <v>0.88229999999999997</v>
      </c>
      <c r="S1241" s="3">
        <f>NZD!C1241/1</f>
        <v>0.87970000000000004</v>
      </c>
      <c r="T1241" s="4">
        <f>1/PHP!B1241</f>
        <v>2.3109365070194697E-2</v>
      </c>
      <c r="U1241" s="4">
        <f>1/PHP!C1241</f>
        <v>2.3091861735168674E-2</v>
      </c>
      <c r="V1241" s="4">
        <f>1/TWD!B1241</f>
        <v>3.3452647777071555E-2</v>
      </c>
      <c r="W1241" s="4">
        <f>1/TWD!C1241</f>
        <v>3.3452647777071555E-2</v>
      </c>
      <c r="X1241" s="4">
        <f>1/TWD!B1241</f>
        <v>3.3452647777071555E-2</v>
      </c>
      <c r="Y1241" s="4">
        <f>1/TWD!C1241</f>
        <v>3.3452647777071555E-2</v>
      </c>
      <c r="Z1241" s="4">
        <f>1/ZAR!B1241</f>
        <v>9.3601407765172784E-2</v>
      </c>
      <c r="AA1241" s="4">
        <f>1/ZAR!C1241</f>
        <v>9.3110736599037236E-2</v>
      </c>
    </row>
    <row r="1242" spans="1:27" x14ac:dyDescent="0.25">
      <c r="A1242" t="str">
        <f>"11/07/2014"</f>
        <v>11/07/2014</v>
      </c>
      <c r="B1242" s="3">
        <f>AUD!B1242</f>
        <v>0.93889999999999996</v>
      </c>
      <c r="C1242" s="3">
        <f>AUD!C1242</f>
        <v>0.93689999999999996</v>
      </c>
      <c r="D1242" s="3">
        <f>1/CAD!B1242</f>
        <v>0.93993796409436969</v>
      </c>
      <c r="E1242" s="3">
        <f>1/CAD!C1242</f>
        <v>0.93923170846247772</v>
      </c>
      <c r="F1242" s="3">
        <f>EUR!B1242/1</f>
        <v>1.3601000000000001</v>
      </c>
      <c r="G1242" s="3">
        <f>EUR!C1242/1</f>
        <v>1.3603000000000001</v>
      </c>
      <c r="H1242" s="3">
        <f>GBP!B1242/1</f>
        <v>1.7128000000000001</v>
      </c>
      <c r="I1242" s="3">
        <f>GBP!C1242/1</f>
        <v>1.7122999999999999</v>
      </c>
      <c r="J1242" s="4">
        <f>1/INR!B1242</f>
        <v>1.6611295681063121E-2</v>
      </c>
      <c r="K1242" s="4">
        <f>1/INR!C1242</f>
        <v>1.6473107651758506E-2</v>
      </c>
      <c r="L1242" s="4">
        <f>1/JPY!B1242</f>
        <v>9.8738126740259471E-3</v>
      </c>
      <c r="M1242" s="4">
        <f>1/JPY!C1242</f>
        <v>9.8756848787463422E-3</v>
      </c>
      <c r="N1242" s="5">
        <f>1/KRW!B1242</f>
        <v>9.8039215686274508E-4</v>
      </c>
      <c r="O1242" s="5">
        <f>1/KRW!C1242</f>
        <v>9.8037533669765469E-4</v>
      </c>
      <c r="P1242" s="3">
        <f>1/NOK!B1242</f>
        <v>0.16198266785453957</v>
      </c>
      <c r="Q1242" s="3">
        <f>1/NOK!C1242</f>
        <v>0.16179397155661981</v>
      </c>
      <c r="R1242" s="3">
        <f>NZD!B1242/1</f>
        <v>0.88109999999999999</v>
      </c>
      <c r="S1242" s="3">
        <f>NZD!C1242/1</f>
        <v>0.87860000000000005</v>
      </c>
      <c r="T1242" s="4">
        <f>1/PHP!B1242</f>
        <v>2.2985863693828296E-2</v>
      </c>
      <c r="U1242" s="4">
        <f>1/PHP!C1242</f>
        <v>2.2966331358228835E-2</v>
      </c>
      <c r="V1242" s="4">
        <f>1/TWD!B1242</f>
        <v>3.3400133600534399E-2</v>
      </c>
      <c r="W1242" s="4">
        <f>1/TWD!C1242</f>
        <v>3.3400133600534399E-2</v>
      </c>
      <c r="X1242" s="4">
        <f>1/TWD!B1242</f>
        <v>3.3400133600534399E-2</v>
      </c>
      <c r="Y1242" s="4">
        <f>1/TWD!C1242</f>
        <v>3.3400133600534399E-2</v>
      </c>
      <c r="Z1242" s="4">
        <f>1/ZAR!B1242</f>
        <v>9.3429129333943733E-2</v>
      </c>
      <c r="AA1242" s="4">
        <f>1/ZAR!C1242</f>
        <v>9.2919531685560303E-2</v>
      </c>
    </row>
    <row r="1243" spans="1:27" x14ac:dyDescent="0.25">
      <c r="A1243" t="str">
        <f>"14/07/2014"</f>
        <v>14/07/2014</v>
      </c>
      <c r="B1243" s="3">
        <f>AUD!B1243</f>
        <v>0.9395</v>
      </c>
      <c r="C1243" s="3">
        <f>AUD!C1243</f>
        <v>0.93730000000000002</v>
      </c>
      <c r="D1243" s="3">
        <f>1/CAD!B1243</f>
        <v>0.93083868565577588</v>
      </c>
      <c r="E1243" s="3">
        <f>1/CAD!C1243</f>
        <v>0.93005952380952384</v>
      </c>
      <c r="F1243" s="3">
        <f>EUR!B1243/1</f>
        <v>1.3603000000000001</v>
      </c>
      <c r="G1243" s="3">
        <f>EUR!C1243/1</f>
        <v>1.3605</v>
      </c>
      <c r="H1243" s="3">
        <f>GBP!B1243/1</f>
        <v>1.7113</v>
      </c>
      <c r="I1243" s="3">
        <f>GBP!C1243/1</f>
        <v>1.7109000000000001</v>
      </c>
      <c r="J1243" s="4">
        <f>1/INR!B1243</f>
        <v>1.6669444907484579E-2</v>
      </c>
      <c r="K1243" s="4">
        <f>1/INR!C1243</f>
        <v>1.6536442184464012E-2</v>
      </c>
      <c r="L1243" s="4">
        <f>1/JPY!B1243</f>
        <v>9.8621274581352694E-3</v>
      </c>
      <c r="M1243" s="4">
        <f>1/JPY!C1243</f>
        <v>9.8641022631209812E-3</v>
      </c>
      <c r="N1243" s="5">
        <f>1/KRW!B1243</f>
        <v>9.8096919756719648E-4</v>
      </c>
      <c r="O1243" s="5">
        <f>1/KRW!C1243</f>
        <v>9.8094783495984304E-4</v>
      </c>
      <c r="P1243" s="3">
        <f>1/NOK!B1243</f>
        <v>0.16174424999191278</v>
      </c>
      <c r="Q1243" s="3">
        <f>1/NOK!C1243</f>
        <v>0.16154305930245708</v>
      </c>
      <c r="R1243" s="3">
        <f>NZD!B1243/1</f>
        <v>0.88160000000000005</v>
      </c>
      <c r="S1243" s="3">
        <f>NZD!C1243/1</f>
        <v>0.87880000000000003</v>
      </c>
      <c r="T1243" s="4">
        <f>1/PHP!B1243</f>
        <v>2.2972662531587411E-2</v>
      </c>
      <c r="U1243" s="4">
        <f>1/PHP!C1243</f>
        <v>2.295241505311189E-2</v>
      </c>
      <c r="V1243" s="4">
        <f>1/TWD!B1243</f>
        <v>3.3390096497378875E-2</v>
      </c>
      <c r="W1243" s="4">
        <f>1/TWD!C1243</f>
        <v>3.3390207987605558E-2</v>
      </c>
      <c r="X1243" s="4">
        <f>1/TWD!B1243</f>
        <v>3.3390096497378875E-2</v>
      </c>
      <c r="Y1243" s="4">
        <f>1/TWD!C1243</f>
        <v>3.3390207987605558E-2</v>
      </c>
      <c r="Z1243" s="4">
        <f>1/ZAR!B1243</f>
        <v>9.3168859240487456E-2</v>
      </c>
      <c r="AA1243" s="4">
        <f>1/ZAR!C1243</f>
        <v>9.2695587690025949E-2</v>
      </c>
    </row>
    <row r="1244" spans="1:27" x14ac:dyDescent="0.25">
      <c r="A1244" t="str">
        <f>"15/07/2014"</f>
        <v>15/07/2014</v>
      </c>
      <c r="B1244" s="3">
        <f>AUD!B1244</f>
        <v>0.9395</v>
      </c>
      <c r="C1244" s="3">
        <f>AUD!C1244</f>
        <v>0.93740000000000001</v>
      </c>
      <c r="D1244" s="3">
        <f>1/CAD!B1244</f>
        <v>0.93231400335633041</v>
      </c>
      <c r="E1244" s="3">
        <f>1/CAD!C1244</f>
        <v>0.93161915408980811</v>
      </c>
      <c r="F1244" s="3">
        <f>EUR!B1244/1</f>
        <v>1.3616999999999999</v>
      </c>
      <c r="G1244" s="3">
        <f>EUR!C1244/1</f>
        <v>1.3619000000000001</v>
      </c>
      <c r="H1244" s="3">
        <f>GBP!B1244/1</f>
        <v>1.7078</v>
      </c>
      <c r="I1244" s="3">
        <f>GBP!C1244/1</f>
        <v>1.7074</v>
      </c>
      <c r="J1244" s="4">
        <f>1/INR!B1244</f>
        <v>1.6603021749958494E-2</v>
      </c>
      <c r="K1244" s="4">
        <f>1/INR!C1244</f>
        <v>1.6475143127805923E-2</v>
      </c>
      <c r="L1244" s="4">
        <f>1/JPY!B1244</f>
        <v>9.843100970529756E-3</v>
      </c>
      <c r="M1244" s="4">
        <f>1/JPY!C1244</f>
        <v>9.8449809302719373E-3</v>
      </c>
      <c r="N1244" s="5">
        <f>1/KRW!B1244</f>
        <v>9.7410820393929363E-4</v>
      </c>
      <c r="O1244" s="5">
        <f>1/KRW!C1244</f>
        <v>9.7408438746310539E-4</v>
      </c>
      <c r="P1244" s="3">
        <f>1/NOK!B1244</f>
        <v>0.16178088397075002</v>
      </c>
      <c r="Q1244" s="3">
        <f>1/NOK!C1244</f>
        <v>0.16157699143641946</v>
      </c>
      <c r="R1244" s="3">
        <f>NZD!B1244/1</f>
        <v>0.88049999999999995</v>
      </c>
      <c r="S1244" s="3">
        <f>NZD!C1244/1</f>
        <v>0.87790000000000001</v>
      </c>
      <c r="T1244" s="4">
        <f>1/PHP!B1244</f>
        <v>2.2922636103151862E-2</v>
      </c>
      <c r="U1244" s="4">
        <f>1/PHP!C1244</f>
        <v>2.2903473311727724E-2</v>
      </c>
      <c r="V1244" s="4">
        <f>1/TWD!B1244</f>
        <v>3.3336111342611885E-2</v>
      </c>
      <c r="W1244" s="4">
        <f>1/TWD!C1244</f>
        <v>3.3336111342611885E-2</v>
      </c>
      <c r="X1244" s="4">
        <f>1/TWD!B1244</f>
        <v>3.3336111342611885E-2</v>
      </c>
      <c r="Y1244" s="4">
        <f>1/TWD!C1244</f>
        <v>3.3336111342611885E-2</v>
      </c>
      <c r="Z1244" s="4">
        <f>1/ZAR!B1244</f>
        <v>9.3471921034921121E-2</v>
      </c>
      <c r="AA1244" s="4">
        <f>1/ZAR!C1244</f>
        <v>9.2940258002156204E-2</v>
      </c>
    </row>
    <row r="1245" spans="1:27" x14ac:dyDescent="0.25">
      <c r="A1245" t="str">
        <f>"16/07/2014"</f>
        <v>16/07/2014</v>
      </c>
      <c r="B1245" s="3">
        <f>AUD!B1245</f>
        <v>0.93369999999999997</v>
      </c>
      <c r="C1245" s="3">
        <f>AUD!C1245</f>
        <v>0.93159999999999998</v>
      </c>
      <c r="D1245" s="3">
        <f>1/CAD!B1245</f>
        <v>0.92910898448387991</v>
      </c>
      <c r="E1245" s="3">
        <f>1/CAD!C1245</f>
        <v>0.9283327144448571</v>
      </c>
      <c r="F1245" s="3">
        <f>EUR!B1245/1</f>
        <v>1.3561000000000001</v>
      </c>
      <c r="G1245" s="3">
        <f>EUR!C1245/1</f>
        <v>1.3562000000000001</v>
      </c>
      <c r="H1245" s="3">
        <f>GBP!B1245/1</f>
        <v>1.7134</v>
      </c>
      <c r="I1245" s="3">
        <f>GBP!C1245/1</f>
        <v>1.7130000000000001</v>
      </c>
      <c r="J1245" s="4">
        <f>1/INR!B1245</f>
        <v>1.6606468219371444E-2</v>
      </c>
      <c r="K1245" s="4">
        <f>1/INR!C1245</f>
        <v>1.6480573523958632E-2</v>
      </c>
      <c r="L1245" s="4">
        <f>1/JPY!B1245</f>
        <v>9.8284928006290226E-3</v>
      </c>
      <c r="M1245" s="4">
        <f>1/JPY!C1245</f>
        <v>9.8303381931248591E-3</v>
      </c>
      <c r="N1245" s="5">
        <f>1/KRW!B1245</f>
        <v>9.6826511098738828E-4</v>
      </c>
      <c r="O1245" s="5">
        <f>1/KRW!C1245</f>
        <v>9.6824429810615288E-4</v>
      </c>
      <c r="P1245" s="3">
        <f>1/NOK!B1245</f>
        <v>0.16090104585679807</v>
      </c>
      <c r="Q1245" s="3">
        <f>1/NOK!C1245</f>
        <v>0.16070711128967458</v>
      </c>
      <c r="R1245" s="3">
        <f>NZD!B1245/1</f>
        <v>0.86980000000000002</v>
      </c>
      <c r="S1245" s="3">
        <f>NZD!C1245/1</f>
        <v>0.86729999999999996</v>
      </c>
      <c r="T1245" s="4">
        <f>1/PHP!B1245</f>
        <v>2.293052052281587E-2</v>
      </c>
      <c r="U1245" s="4">
        <f>1/PHP!C1245</f>
        <v>2.2911344552255047E-2</v>
      </c>
      <c r="V1245" s="4">
        <f>1/TWD!B1245</f>
        <v>3.3322781119312216E-2</v>
      </c>
      <c r="W1245" s="4">
        <f>1/TWD!C1245</f>
        <v>3.3322781119312216E-2</v>
      </c>
      <c r="X1245" s="4">
        <f>1/TWD!B1245</f>
        <v>3.3322781119312216E-2</v>
      </c>
      <c r="Y1245" s="4">
        <f>1/TWD!C1245</f>
        <v>3.3322781119312216E-2</v>
      </c>
      <c r="Z1245" s="4">
        <f>1/ZAR!B1245</f>
        <v>9.3192302315828715E-2</v>
      </c>
      <c r="AA1245" s="4">
        <f>1/ZAR!C1245</f>
        <v>9.2686136934498717E-2</v>
      </c>
    </row>
    <row r="1246" spans="1:27" x14ac:dyDescent="0.25">
      <c r="A1246" t="str">
        <f>"17/07/2014"</f>
        <v>17/07/2014</v>
      </c>
      <c r="B1246" s="3">
        <f>AUD!B1246</f>
        <v>0.93610000000000004</v>
      </c>
      <c r="C1246" s="3">
        <f>AUD!C1246</f>
        <v>0.93410000000000004</v>
      </c>
      <c r="D1246" s="3">
        <f>1/CAD!B1246</f>
        <v>0.93144560357675099</v>
      </c>
      <c r="E1246" s="3">
        <f>1/CAD!C1246</f>
        <v>0.93075204765450481</v>
      </c>
      <c r="F1246" s="3">
        <f>EUR!B1246/1</f>
        <v>1.3526</v>
      </c>
      <c r="G1246" s="3">
        <f>EUR!C1246/1</f>
        <v>1.3528</v>
      </c>
      <c r="H1246" s="3">
        <f>GBP!B1246/1</f>
        <v>1.7139</v>
      </c>
      <c r="I1246" s="3">
        <f>GBP!C1246/1</f>
        <v>1.7135</v>
      </c>
      <c r="J1246" s="4">
        <f>1/INR!B1246</f>
        <v>1.6618887365490879E-2</v>
      </c>
      <c r="K1246" s="4">
        <f>1/INR!C1246</f>
        <v>1.6496205872649293E-2</v>
      </c>
      <c r="L1246" s="4">
        <f>1/JPY!B1246</f>
        <v>9.8524108849435445E-3</v>
      </c>
      <c r="M1246" s="4">
        <f>1/JPY!C1246</f>
        <v>9.8542944029578645E-3</v>
      </c>
      <c r="N1246" s="5">
        <f>1/KRW!B1246</f>
        <v>9.6824167312161119E-4</v>
      </c>
      <c r="O1246" s="5">
        <f>1/KRW!C1246</f>
        <v>9.6821823639048235E-4</v>
      </c>
      <c r="P1246" s="3">
        <f>1/NOK!B1246</f>
        <v>0.16127991742468228</v>
      </c>
      <c r="Q1246" s="3">
        <f>1/NOK!C1246</f>
        <v>0.161090258872046</v>
      </c>
      <c r="R1246" s="3">
        <f>NZD!B1246/1</f>
        <v>0.86909999999999998</v>
      </c>
      <c r="S1246" s="3">
        <f>NZD!C1246/1</f>
        <v>0.86650000000000005</v>
      </c>
      <c r="T1246" s="4">
        <f>1/PHP!B1246</f>
        <v>2.2954206358315164E-2</v>
      </c>
      <c r="U1246" s="4">
        <f>1/PHP!C1246</f>
        <v>2.2934254372988953E-2</v>
      </c>
      <c r="V1246" s="4">
        <f>1/TWD!B1246</f>
        <v>3.3325557369947009E-2</v>
      </c>
      <c r="W1246" s="4">
        <f>1/TWD!C1246</f>
        <v>3.3325557369947009E-2</v>
      </c>
      <c r="X1246" s="4">
        <f>1/TWD!B1246</f>
        <v>3.3325557369947009E-2</v>
      </c>
      <c r="Y1246" s="4">
        <f>1/TWD!C1246</f>
        <v>3.3325557369947009E-2</v>
      </c>
      <c r="Z1246" s="4">
        <f>1/ZAR!B1246</f>
        <v>9.3634712260529218E-2</v>
      </c>
      <c r="AA1246" s="4">
        <f>1/ZAR!C1246</f>
        <v>9.3114204571907444E-2</v>
      </c>
    </row>
    <row r="1247" spans="1:27" x14ac:dyDescent="0.25">
      <c r="A1247" t="str">
        <f>"18/07/2014"</f>
        <v>18/07/2014</v>
      </c>
      <c r="B1247" s="3">
        <f>AUD!B1247</f>
        <v>0.93610000000000004</v>
      </c>
      <c r="C1247" s="3">
        <f>AUD!C1247</f>
        <v>0.93410000000000004</v>
      </c>
      <c r="D1247" s="3">
        <f>1/CAD!B1247</f>
        <v>0.93049223038987627</v>
      </c>
      <c r="E1247" s="3">
        <f>1/CAD!C1247</f>
        <v>0.92980009298000943</v>
      </c>
      <c r="F1247" s="3">
        <f>EUR!B1247/1</f>
        <v>1.3525</v>
      </c>
      <c r="G1247" s="3">
        <f>EUR!C1247/1</f>
        <v>1.3527</v>
      </c>
      <c r="H1247" s="3">
        <f>GBP!B1247/1</f>
        <v>1.7099</v>
      </c>
      <c r="I1247" s="3">
        <f>GBP!C1247/1</f>
        <v>1.7095</v>
      </c>
      <c r="J1247" s="4">
        <f>1/INR!B1247</f>
        <v>1.6564518800728841E-2</v>
      </c>
      <c r="K1247" s="4">
        <f>1/INR!C1247</f>
        <v>1.644398766700925E-2</v>
      </c>
      <c r="L1247" s="4">
        <f>1/JPY!B1247</f>
        <v>9.8667982239763197E-3</v>
      </c>
      <c r="M1247" s="4">
        <f>1/JPY!C1247</f>
        <v>9.8688820333055031E-3</v>
      </c>
      <c r="N1247" s="5">
        <f>1/KRW!B1247</f>
        <v>9.6861681518791158E-4</v>
      </c>
      <c r="O1247" s="5">
        <f>1/KRW!C1247</f>
        <v>9.68598051180721E-4</v>
      </c>
      <c r="P1247" s="3">
        <f>1/NOK!B1247</f>
        <v>0.16088292549511721</v>
      </c>
      <c r="Q1247" s="3">
        <f>1/NOK!C1247</f>
        <v>0.1606941989394183</v>
      </c>
      <c r="R1247" s="3">
        <f>NZD!B1247/1</f>
        <v>0.86770000000000003</v>
      </c>
      <c r="S1247" s="3">
        <f>NZD!C1247/1</f>
        <v>0.86509999999999998</v>
      </c>
      <c r="T1247" s="4">
        <f>1/PHP!B1247</f>
        <v>2.2935779816513759E-2</v>
      </c>
      <c r="U1247" s="4">
        <f>1/PHP!C1247</f>
        <v>2.2915177180149956E-2</v>
      </c>
      <c r="V1247" s="4">
        <f>1/TWD!B1247</f>
        <v>3.33433363342336E-2</v>
      </c>
      <c r="W1247" s="4">
        <f>1/TWD!C1247</f>
        <v>3.33433363342336E-2</v>
      </c>
      <c r="X1247" s="4">
        <f>1/TWD!B1247</f>
        <v>3.33433363342336E-2</v>
      </c>
      <c r="Y1247" s="4">
        <f>1/TWD!C1247</f>
        <v>3.33433363342336E-2</v>
      </c>
      <c r="Z1247" s="4">
        <f>1/ZAR!B1247</f>
        <v>9.3205331344952944E-2</v>
      </c>
      <c r="AA1247" s="4">
        <f>1/ZAR!C1247</f>
        <v>9.2683559790164419E-2</v>
      </c>
    </row>
    <row r="1248" spans="1:27" x14ac:dyDescent="0.25">
      <c r="A1248" t="str">
        <f>"21/07/2014"</f>
        <v>21/07/2014</v>
      </c>
      <c r="B1248" s="3">
        <f>AUD!B1248</f>
        <v>0.93969999999999998</v>
      </c>
      <c r="C1248" s="3">
        <f>AUD!C1248</f>
        <v>0.9375</v>
      </c>
      <c r="D1248" s="3">
        <f>1/CAD!B1248</f>
        <v>0.93179276928811039</v>
      </c>
      <c r="E1248" s="3">
        <f>1/CAD!C1248</f>
        <v>0.93109869646182486</v>
      </c>
      <c r="F1248" s="3">
        <f>EUR!B1248/1</f>
        <v>1.3546</v>
      </c>
      <c r="G1248" s="3">
        <f>EUR!C1248/1</f>
        <v>1.3548</v>
      </c>
      <c r="H1248" s="3">
        <f>GBP!B1248/1</f>
        <v>1.7099</v>
      </c>
      <c r="I1248" s="3">
        <f>GBP!C1248/1</f>
        <v>1.7094</v>
      </c>
      <c r="J1248" s="4">
        <f>1/INR!B1248</f>
        <v>1.6607847207805688E-2</v>
      </c>
      <c r="K1248" s="4">
        <f>1/INR!C1248</f>
        <v>1.6479215589337948E-2</v>
      </c>
      <c r="L1248" s="4">
        <f>1/JPY!B1248</f>
        <v>9.8791776572518097E-3</v>
      </c>
      <c r="M1248" s="4">
        <f>1/JPY!C1248</f>
        <v>9.8812471714929961E-3</v>
      </c>
      <c r="N1248" s="5">
        <f>1/KRW!B1248</f>
        <v>9.7318865262031049E-4</v>
      </c>
      <c r="O1248" s="5">
        <f>1/KRW!C1248</f>
        <v>9.7316327110538107E-4</v>
      </c>
      <c r="P1248" s="3">
        <f>1/NOK!B1248</f>
        <v>0.16173901792068318</v>
      </c>
      <c r="Q1248" s="3">
        <f>1/NOK!C1248</f>
        <v>0.16154566896061517</v>
      </c>
      <c r="R1248" s="3">
        <f>NZD!B1248/1</f>
        <v>0.87160000000000004</v>
      </c>
      <c r="S1248" s="3">
        <f>NZD!C1248/1</f>
        <v>0.86880000000000002</v>
      </c>
      <c r="T1248" s="4">
        <f>1/PHP!B1248</f>
        <v>2.3009664058904738E-2</v>
      </c>
      <c r="U1248" s="4">
        <f>1/PHP!C1248</f>
        <v>2.2992681429500988E-2</v>
      </c>
      <c r="V1248" s="4">
        <f>1/TWD!B1248</f>
        <v>3.335334534053766E-2</v>
      </c>
      <c r="W1248" s="4">
        <f>1/TWD!C1248</f>
        <v>3.3353456585473236E-2</v>
      </c>
      <c r="X1248" s="4">
        <f>1/TWD!B1248</f>
        <v>3.335334534053766E-2</v>
      </c>
      <c r="Y1248" s="4">
        <f>1/TWD!C1248</f>
        <v>3.3353456585473236E-2</v>
      </c>
      <c r="Z1248" s="4">
        <f>1/ZAR!B1248</f>
        <v>9.3946112509864343E-2</v>
      </c>
      <c r="AA1248" s="4">
        <f>1/ZAR!C1248</f>
        <v>9.3387248905034512E-2</v>
      </c>
    </row>
    <row r="1249" spans="1:27" x14ac:dyDescent="0.25">
      <c r="A1249" t="str">
        <f>"22/07/2014"</f>
        <v>22/07/2014</v>
      </c>
      <c r="B1249" s="3">
        <f>AUD!B1249</f>
        <v>0.93879999999999997</v>
      </c>
      <c r="C1249" s="3">
        <f>AUD!C1249</f>
        <v>0.93669999999999998</v>
      </c>
      <c r="D1249" s="3">
        <f>1/CAD!B1249</f>
        <v>0.93092533978774894</v>
      </c>
      <c r="E1249" s="3">
        <f>1/CAD!C1249</f>
        <v>0.93023255813953487</v>
      </c>
      <c r="F1249" s="3">
        <f>EUR!B1249/1</f>
        <v>1.3524</v>
      </c>
      <c r="G1249" s="3">
        <f>EUR!C1249/1</f>
        <v>1.3526</v>
      </c>
      <c r="H1249" s="3">
        <f>GBP!B1249/1</f>
        <v>1.7079</v>
      </c>
      <c r="I1249" s="3">
        <f>GBP!C1249/1</f>
        <v>1.7075</v>
      </c>
      <c r="J1249" s="4">
        <f>1/INR!B1249</f>
        <v>1.6613365452506541E-2</v>
      </c>
      <c r="K1249" s="4">
        <f>1/INR!C1249</f>
        <v>1.6488046166529265E-2</v>
      </c>
      <c r="L1249" s="4">
        <f>1/JPY!B1249</f>
        <v>9.8527991802471078E-3</v>
      </c>
      <c r="M1249" s="4">
        <f>1/JPY!C1249</f>
        <v>9.8547605391736594E-3</v>
      </c>
      <c r="N1249" s="5">
        <f>1/KRW!B1249</f>
        <v>9.7646714188067579E-4</v>
      </c>
      <c r="O1249" s="5">
        <f>1/KRW!C1249</f>
        <v>9.7644902594327422E-4</v>
      </c>
      <c r="P1249" s="3">
        <f>1/NOK!B1249</f>
        <v>0.16130593283220956</v>
      </c>
      <c r="Q1249" s="3">
        <f>1/NOK!C1249</f>
        <v>0.1611058304200029</v>
      </c>
      <c r="R1249" s="3">
        <f>NZD!B1249/1</f>
        <v>0.86760000000000004</v>
      </c>
      <c r="S1249" s="3">
        <f>NZD!C1249/1</f>
        <v>0.8649</v>
      </c>
      <c r="T1249" s="4">
        <f>1/PHP!B1249</f>
        <v>2.3062730627306273E-2</v>
      </c>
      <c r="U1249" s="4">
        <f>1/PHP!C1249</f>
        <v>2.3046784973496198E-2</v>
      </c>
      <c r="V1249" s="4">
        <f>1/TWD!B1249</f>
        <v>3.335334534053766E-2</v>
      </c>
      <c r="W1249" s="4">
        <f>1/TWD!C1249</f>
        <v>3.335334534053766E-2</v>
      </c>
      <c r="X1249" s="4">
        <f>1/TWD!B1249</f>
        <v>3.335334534053766E-2</v>
      </c>
      <c r="Y1249" s="4">
        <f>1/TWD!C1249</f>
        <v>3.335334534053766E-2</v>
      </c>
      <c r="Z1249" s="4">
        <f>1/ZAR!B1249</f>
        <v>9.4099934130046109E-2</v>
      </c>
      <c r="AA1249" s="4">
        <f>1/ZAR!C1249</f>
        <v>9.3554121059032644E-2</v>
      </c>
    </row>
    <row r="1250" spans="1:27" x14ac:dyDescent="0.25">
      <c r="A1250" t="str">
        <f>"23/07/2014"</f>
        <v>23/07/2014</v>
      </c>
      <c r="B1250" s="3">
        <f>AUD!B1250</f>
        <v>0.94310000000000005</v>
      </c>
      <c r="C1250" s="3">
        <f>AUD!C1250</f>
        <v>0.94099999999999995</v>
      </c>
      <c r="D1250" s="3">
        <f>1/CAD!B1250</f>
        <v>0.93161915408980811</v>
      </c>
      <c r="E1250" s="3">
        <f>1/CAD!C1250</f>
        <v>0.93092533978774894</v>
      </c>
      <c r="F1250" s="3">
        <f>EUR!B1250/1</f>
        <v>1.3463000000000001</v>
      </c>
      <c r="G1250" s="3">
        <f>EUR!C1250/1</f>
        <v>1.3464</v>
      </c>
      <c r="H1250" s="3">
        <f>GBP!B1250/1</f>
        <v>1.7071000000000001</v>
      </c>
      <c r="I1250" s="3">
        <f>GBP!C1250/1</f>
        <v>1.7065999999999999</v>
      </c>
      <c r="J1250" s="4">
        <f>1/INR!B1250</f>
        <v>1.6619577862722286E-2</v>
      </c>
      <c r="K1250" s="4">
        <f>1/INR!C1250</f>
        <v>1.6497566608925183E-2</v>
      </c>
      <c r="L1250" s="4">
        <f>1/JPY!B1250</f>
        <v>9.8595020951441955E-3</v>
      </c>
      <c r="M1250" s="4">
        <f>1/JPY!C1250</f>
        <v>9.8613688763364623E-3</v>
      </c>
      <c r="N1250" s="5">
        <f>1/KRW!B1250</f>
        <v>9.7761266986020148E-4</v>
      </c>
      <c r="O1250" s="5">
        <f>1/KRW!C1250</f>
        <v>9.7759451139337516E-4</v>
      </c>
      <c r="P1250" s="3">
        <f>1/NOK!B1250</f>
        <v>0.1615013162357273</v>
      </c>
      <c r="Q1250" s="3">
        <f>1/NOK!C1250</f>
        <v>0.1613085348345781</v>
      </c>
      <c r="R1250" s="3">
        <f>NZD!B1250/1</f>
        <v>0.86780000000000002</v>
      </c>
      <c r="S1250" s="3">
        <f>NZD!C1250/1</f>
        <v>0.86519999999999997</v>
      </c>
      <c r="T1250" s="4">
        <f>1/PHP!B1250</f>
        <v>2.3105360443622922E-2</v>
      </c>
      <c r="U1250" s="4">
        <f>1/PHP!C1250</f>
        <v>2.3091221872005359E-2</v>
      </c>
      <c r="V1250" s="4">
        <f>1/TWD!B1250</f>
        <v>3.3356683011441346E-2</v>
      </c>
      <c r="W1250" s="4">
        <f>1/TWD!C1250</f>
        <v>3.3356683011441346E-2</v>
      </c>
      <c r="X1250" s="4">
        <f>1/TWD!B1250</f>
        <v>3.3356683011441346E-2</v>
      </c>
      <c r="Y1250" s="4">
        <f>1/TWD!C1250</f>
        <v>3.3356683011441346E-2</v>
      </c>
      <c r="Z1250" s="4">
        <f>1/ZAR!B1250</f>
        <v>9.458053532582994E-2</v>
      </c>
      <c r="AA1250" s="4">
        <f>1/ZAR!C1250</f>
        <v>9.4045950851586083E-2</v>
      </c>
    </row>
    <row r="1251" spans="1:27" x14ac:dyDescent="0.25">
      <c r="A1251" t="str">
        <f>"24/07/2014"</f>
        <v>24/07/2014</v>
      </c>
      <c r="B1251" s="3">
        <f>AUD!B1251</f>
        <v>0.94499999999999995</v>
      </c>
      <c r="C1251" s="3">
        <f>AUD!C1251</f>
        <v>0.94299999999999995</v>
      </c>
      <c r="D1251" s="3">
        <f>1/CAD!B1251</f>
        <v>0.93118539901294339</v>
      </c>
      <c r="E1251" s="3">
        <f>1/CAD!C1251</f>
        <v>0.93049223038987627</v>
      </c>
      <c r="F1251" s="3">
        <f>EUR!B1251/1</f>
        <v>1.3460000000000001</v>
      </c>
      <c r="G1251" s="3">
        <f>EUR!C1251/1</f>
        <v>1.3461000000000001</v>
      </c>
      <c r="H1251" s="3">
        <f>GBP!B1251/1</f>
        <v>1.7033</v>
      </c>
      <c r="I1251" s="3">
        <f>GBP!C1251/1</f>
        <v>1.7029000000000001</v>
      </c>
      <c r="J1251" s="4">
        <f>1/INR!B1251</f>
        <v>1.6647937736712862E-2</v>
      </c>
      <c r="K1251" s="4">
        <f>1/INR!C1251</f>
        <v>1.6525511258004544E-2</v>
      </c>
      <c r="L1251" s="4">
        <f>1/JPY!B1251</f>
        <v>9.8533816805927796E-3</v>
      </c>
      <c r="M1251" s="4">
        <f>1/JPY!C1251</f>
        <v>9.8552267194906822E-3</v>
      </c>
      <c r="N1251" s="5">
        <f>1/KRW!B1251</f>
        <v>9.7122738861235884E-4</v>
      </c>
      <c r="O1251" s="5">
        <f>1/KRW!C1251</f>
        <v>9.7120399576632759E-4</v>
      </c>
      <c r="P1251" s="3">
        <f>1/NOK!B1251</f>
        <v>0.16134757494594856</v>
      </c>
      <c r="Q1251" s="3">
        <f>1/NOK!C1251</f>
        <v>0.16116295186062626</v>
      </c>
      <c r="R1251" s="3">
        <f>NZD!B1251/1</f>
        <v>0.85929999999999995</v>
      </c>
      <c r="S1251" s="3">
        <f>NZD!C1251/1</f>
        <v>0.85670000000000002</v>
      </c>
      <c r="T1251" s="4">
        <f>1/PHP!B1251</f>
        <v>2.3087330134968533E-2</v>
      </c>
      <c r="U1251" s="4">
        <f>1/PHP!C1251</f>
        <v>2.3072628018476562E-2</v>
      </c>
      <c r="V1251" s="4">
        <f>1/TWD!B1251</f>
        <v>3.3357795716859026E-2</v>
      </c>
      <c r="W1251" s="4">
        <f>1/TWD!C1251</f>
        <v>3.3357795716859026E-2</v>
      </c>
      <c r="X1251" s="4">
        <f>1/TWD!B1251</f>
        <v>3.3357795716859026E-2</v>
      </c>
      <c r="Y1251" s="4">
        <f>1/TWD!C1251</f>
        <v>3.3357795716859026E-2</v>
      </c>
      <c r="Z1251" s="4">
        <f>1/ZAR!B1251</f>
        <v>9.5017293147352813E-2</v>
      </c>
      <c r="AA1251" s="4">
        <f>1/ZAR!C1251</f>
        <v>9.4500987535319755E-2</v>
      </c>
    </row>
    <row r="1252" spans="1:27" x14ac:dyDescent="0.25">
      <c r="A1252" t="str">
        <f>"25/07/2014"</f>
        <v>25/07/2014</v>
      </c>
      <c r="B1252" s="3">
        <f>AUD!B1252</f>
        <v>0.94110000000000005</v>
      </c>
      <c r="C1252" s="3">
        <f>AUD!C1252</f>
        <v>0.93910000000000005</v>
      </c>
      <c r="D1252" s="3">
        <f>1/CAD!B1252</f>
        <v>0.93092533978774894</v>
      </c>
      <c r="E1252" s="3">
        <f>1/CAD!C1252</f>
        <v>0.93023255813953487</v>
      </c>
      <c r="F1252" s="3">
        <f>EUR!B1252/1</f>
        <v>1.3467</v>
      </c>
      <c r="G1252" s="3">
        <f>EUR!C1252/1</f>
        <v>1.3467</v>
      </c>
      <c r="H1252" s="3">
        <f>GBP!B1252/1</f>
        <v>1.6993</v>
      </c>
      <c r="I1252" s="3">
        <f>GBP!C1252/1</f>
        <v>1.6989000000000001</v>
      </c>
      <c r="J1252" s="4">
        <f>1/INR!B1252</f>
        <v>1.6625103906899419E-2</v>
      </c>
      <c r="K1252" s="4">
        <f>1/INR!C1252</f>
        <v>1.650982334489021E-2</v>
      </c>
      <c r="L1252" s="4">
        <f>1/JPY!B1252</f>
        <v>9.8257887651931261E-3</v>
      </c>
      <c r="M1252" s="4">
        <f>1/JPY!C1252</f>
        <v>9.8276331423169036E-3</v>
      </c>
      <c r="N1252" s="5">
        <f>1/KRW!B1252</f>
        <v>9.7137361943524332E-4</v>
      </c>
      <c r="O1252" s="5">
        <f>1/KRW!C1252</f>
        <v>9.7135569199865177E-4</v>
      </c>
      <c r="P1252" s="3">
        <f>1/NOK!B1252</f>
        <v>0.16118113535991746</v>
      </c>
      <c r="Q1252" s="3">
        <f>1/NOK!C1252</f>
        <v>0.16099430080175162</v>
      </c>
      <c r="R1252" s="3">
        <f>NZD!B1252/1</f>
        <v>0.85760000000000003</v>
      </c>
      <c r="S1252" s="3">
        <f>NZD!C1252/1</f>
        <v>0.85509999999999997</v>
      </c>
      <c r="T1252" s="4">
        <f>1/PHP!B1252</f>
        <v>2.3060071486221606E-2</v>
      </c>
      <c r="U1252" s="4">
        <f>1/PHP!C1252</f>
        <v>2.3046944320887216E-2</v>
      </c>
      <c r="V1252" s="4">
        <f>1/TWD!B1252</f>
        <v>3.3351120597652079E-2</v>
      </c>
      <c r="W1252" s="4">
        <f>1/TWD!C1252</f>
        <v>3.3351120597652079E-2</v>
      </c>
      <c r="X1252" s="4">
        <f>1/TWD!B1252</f>
        <v>3.3351120597652079E-2</v>
      </c>
      <c r="Y1252" s="4">
        <f>1/TWD!C1252</f>
        <v>3.3351120597652079E-2</v>
      </c>
      <c r="Z1252" s="4">
        <f>1/ZAR!B1252</f>
        <v>9.4867659614837299E-2</v>
      </c>
      <c r="AA1252" s="4">
        <f>1/ZAR!C1252</f>
        <v>9.4339622641509441E-2</v>
      </c>
    </row>
    <row r="1253" spans="1:27" x14ac:dyDescent="0.25">
      <c r="A1253" t="str">
        <f>"28/07/2014"</f>
        <v>28/07/2014</v>
      </c>
      <c r="B1253" s="3">
        <f>AUD!B1253</f>
        <v>0.93899999999999995</v>
      </c>
      <c r="C1253" s="3">
        <f>AUD!C1253</f>
        <v>0.93700000000000006</v>
      </c>
      <c r="D1253" s="3">
        <f>1/CAD!B1253</f>
        <v>0.92481272542310189</v>
      </c>
      <c r="E1253" s="3">
        <f>1/CAD!C1253</f>
        <v>0.9241290084095739</v>
      </c>
      <c r="F1253" s="3">
        <f>EUR!B1253/1</f>
        <v>1.3428</v>
      </c>
      <c r="G1253" s="3">
        <f>EUR!C1253/1</f>
        <v>1.3429</v>
      </c>
      <c r="H1253" s="3">
        <f>GBP!B1253/1</f>
        <v>1.6976</v>
      </c>
      <c r="I1253" s="3">
        <f>GBP!C1253/1</f>
        <v>1.6972</v>
      </c>
      <c r="J1253" s="4">
        <f>1/INR!B1253</f>
        <v>1.6637550952499792E-2</v>
      </c>
      <c r="K1253" s="4">
        <f>1/INR!C1253</f>
        <v>1.6526876833450398E-2</v>
      </c>
      <c r="L1253" s="4">
        <f>1/JPY!B1253</f>
        <v>9.8205780392233884E-3</v>
      </c>
      <c r="M1253" s="4">
        <f>1/JPY!C1253</f>
        <v>9.8223915165968952E-3</v>
      </c>
      <c r="N1253" s="5">
        <f>1/KRW!B1253</f>
        <v>9.7494394072340838E-4</v>
      </c>
      <c r="O1253" s="5">
        <f>1/KRW!C1253</f>
        <v>9.7492635650034594E-4</v>
      </c>
      <c r="P1253" s="3">
        <f>1/NOK!B1253</f>
        <v>0.16060644995503021</v>
      </c>
      <c r="Q1253" s="3">
        <f>1/NOK!C1253</f>
        <v>0.16042094455852157</v>
      </c>
      <c r="R1253" s="3">
        <f>NZD!B1253/1</f>
        <v>0.85360000000000003</v>
      </c>
      <c r="S1253" s="3">
        <f>NZD!C1253/1</f>
        <v>0.85109999999999997</v>
      </c>
      <c r="T1253" s="4">
        <f>1/PHP!B1253</f>
        <v>2.3089355806972984E-2</v>
      </c>
      <c r="U1253" s="4">
        <f>1/PHP!C1253</f>
        <v>2.3071616605103904E-2</v>
      </c>
      <c r="V1253" s="4">
        <f>1/TWD!B1253</f>
        <v>3.3366700033366704E-2</v>
      </c>
      <c r="W1253" s="4">
        <f>1/TWD!C1253</f>
        <v>3.3366700033366704E-2</v>
      </c>
      <c r="X1253" s="4">
        <f>1/TWD!B1253</f>
        <v>3.3366700033366704E-2</v>
      </c>
      <c r="Y1253" s="4">
        <f>1/TWD!C1253</f>
        <v>3.3366700033366704E-2</v>
      </c>
      <c r="Z1253" s="4">
        <f>1/ZAR!B1253</f>
        <v>9.5232653372188253E-2</v>
      </c>
      <c r="AA1253" s="4">
        <f>1/ZAR!C1253</f>
        <v>9.4705041149340377E-2</v>
      </c>
    </row>
    <row r="1254" spans="1:27" x14ac:dyDescent="0.25">
      <c r="A1254" t="str">
        <f>"30/07/2014"</f>
        <v>30/07/2014</v>
      </c>
      <c r="B1254" s="3">
        <f>AUD!B1254</f>
        <v>0.93830000000000002</v>
      </c>
      <c r="C1254" s="3">
        <f>AUD!C1254</f>
        <v>0.93620000000000003</v>
      </c>
      <c r="D1254" s="3">
        <f>1/CAD!B1254</f>
        <v>0.92114959469417845</v>
      </c>
      <c r="E1254" s="3">
        <f>1/CAD!C1254</f>
        <v>0.92047128129602351</v>
      </c>
      <c r="F1254" s="3">
        <f>EUR!B1254/1</f>
        <v>1.3408</v>
      </c>
      <c r="G1254" s="3">
        <f>EUR!C1254/1</f>
        <v>1.3409</v>
      </c>
      <c r="H1254" s="3">
        <f>GBP!B1254/1</f>
        <v>1.6947000000000001</v>
      </c>
      <c r="I1254" s="3">
        <f>GBP!C1254/1</f>
        <v>1.6942999999999999</v>
      </c>
      <c r="J1254" s="4">
        <f>1/INR!B1254</f>
        <v>1.6614055490945339E-2</v>
      </c>
      <c r="K1254" s="4">
        <f>1/INR!C1254</f>
        <v>1.64887258337112E-2</v>
      </c>
      <c r="L1254" s="4">
        <f>1/JPY!B1254</f>
        <v>9.7933601018509453E-3</v>
      </c>
      <c r="M1254" s="4">
        <f>1/JPY!C1254</f>
        <v>9.7951059732515246E-3</v>
      </c>
      <c r="N1254" s="5">
        <f>1/KRW!B1254</f>
        <v>9.7767957529599245E-4</v>
      </c>
      <c r="O1254" s="5">
        <f>1/KRW!C1254</f>
        <v>9.7765386340943681E-4</v>
      </c>
      <c r="P1254" s="3">
        <f>1/NOK!B1254</f>
        <v>0.15997184495528788</v>
      </c>
      <c r="Q1254" s="3">
        <f>1/NOK!C1254</f>
        <v>0.15978269553407368</v>
      </c>
      <c r="R1254" s="3">
        <f>NZD!B1254/1</f>
        <v>0.85109999999999997</v>
      </c>
      <c r="S1254" s="3">
        <f>NZD!C1254/1</f>
        <v>0.84840000000000004</v>
      </c>
      <c r="T1254" s="4">
        <f>1/PHP!B1254</f>
        <v>2.3041474654377881E-2</v>
      </c>
      <c r="U1254" s="4">
        <f>1/PHP!C1254</f>
        <v>2.3027467162831824E-2</v>
      </c>
      <c r="V1254" s="4">
        <f>1/TWD!B1254</f>
        <v>3.3384522935167256E-2</v>
      </c>
      <c r="W1254" s="4">
        <f>1/TWD!C1254</f>
        <v>3.3384522935167256E-2</v>
      </c>
      <c r="X1254" s="4">
        <f>1/TWD!B1254</f>
        <v>3.3384522935167256E-2</v>
      </c>
      <c r="Y1254" s="4">
        <f>1/TWD!C1254</f>
        <v>3.3384522935167256E-2</v>
      </c>
      <c r="Z1254" s="4">
        <f>1/ZAR!B1254</f>
        <v>9.4253371914380241E-2</v>
      </c>
      <c r="AA1254" s="4">
        <f>1/ZAR!C1254</f>
        <v>9.3715442430603715E-2</v>
      </c>
    </row>
    <row r="1255" spans="1:27" x14ac:dyDescent="0.25">
      <c r="A1255" t="str">
        <f>"31/07/2014"</f>
        <v>31/07/2014</v>
      </c>
      <c r="B1255" s="3">
        <f>AUD!B1255</f>
        <v>0.93169999999999997</v>
      </c>
      <c r="C1255" s="3">
        <f>AUD!C1255</f>
        <v>0.92969999999999997</v>
      </c>
      <c r="D1255" s="3">
        <f>1/CAD!B1255</f>
        <v>0.9170105456212746</v>
      </c>
      <c r="E1255" s="3">
        <f>1/CAD!C1255</f>
        <v>0.91633831210482919</v>
      </c>
      <c r="F1255" s="3">
        <f>EUR!B1255/1</f>
        <v>1.3393999999999999</v>
      </c>
      <c r="G1255" s="3">
        <f>EUR!C1255/1</f>
        <v>1.3394999999999999</v>
      </c>
      <c r="H1255" s="3">
        <f>GBP!B1255/1</f>
        <v>1.6919</v>
      </c>
      <c r="I1255" s="3">
        <f>GBP!C1255/1</f>
        <v>1.6915</v>
      </c>
      <c r="J1255" s="4">
        <f>1/INR!B1255</f>
        <v>1.6605778811026237E-2</v>
      </c>
      <c r="K1255" s="4">
        <f>1/INR!C1255</f>
        <v>1.6486007501133413E-2</v>
      </c>
      <c r="L1255" s="4">
        <f>1/JPY!B1255</f>
        <v>9.7291407222914062E-3</v>
      </c>
      <c r="M1255" s="4">
        <f>1/JPY!C1255</f>
        <v>9.7307974875080888E-3</v>
      </c>
      <c r="N1255" s="5">
        <f>1/KRW!B1255</f>
        <v>9.7380465478624984E-4</v>
      </c>
      <c r="O1255" s="5">
        <f>1/KRW!C1255</f>
        <v>9.7378568924551083E-4</v>
      </c>
      <c r="P1255" s="3">
        <f>1/NOK!B1255</f>
        <v>0.15976482617586912</v>
      </c>
      <c r="Q1255" s="3">
        <f>1/NOK!C1255</f>
        <v>0.15957871219979256</v>
      </c>
      <c r="R1255" s="3">
        <f>NZD!B1255/1</f>
        <v>0.85029999999999994</v>
      </c>
      <c r="S1255" s="3">
        <f>NZD!C1255/1</f>
        <v>0.84770000000000001</v>
      </c>
      <c r="T1255" s="4">
        <f>1/PHP!B1255</f>
        <v>2.3034840195796141E-2</v>
      </c>
      <c r="U1255" s="4">
        <f>1/PHP!C1255</f>
        <v>2.3017449528487544E-2</v>
      </c>
      <c r="V1255" s="4">
        <f>1/TWD!B1255</f>
        <v>3.3340001333600051E-2</v>
      </c>
      <c r="W1255" s="4">
        <f>1/TWD!C1255</f>
        <v>3.3340001333600051E-2</v>
      </c>
      <c r="X1255" s="4">
        <f>1/TWD!B1255</f>
        <v>3.3340001333600051E-2</v>
      </c>
      <c r="Y1255" s="4">
        <f>1/TWD!C1255</f>
        <v>3.3340001333600051E-2</v>
      </c>
      <c r="Z1255" s="4">
        <f>1/ZAR!B1255</f>
        <v>9.3607541023504853E-2</v>
      </c>
      <c r="AA1255" s="4">
        <f>1/ZAR!C1255</f>
        <v>9.3090800767068188E-2</v>
      </c>
    </row>
    <row r="1256" spans="1:27" x14ac:dyDescent="0.25">
      <c r="A1256" t="str">
        <f>"01/08/2014"</f>
        <v>01/08/2014</v>
      </c>
      <c r="B1256" s="3">
        <f>AUD!B1256</f>
        <v>0.92910000000000004</v>
      </c>
      <c r="C1256" s="3">
        <f>AUD!C1256</f>
        <v>0.92689999999999995</v>
      </c>
      <c r="D1256" s="3">
        <f>1/CAD!B1256</f>
        <v>0.91575091575091572</v>
      </c>
      <c r="E1256" s="3">
        <f>1/CAD!C1256</f>
        <v>0.91508052708638365</v>
      </c>
      <c r="F1256" s="3">
        <f>EUR!B1256/1</f>
        <v>1.3384</v>
      </c>
      <c r="G1256" s="3">
        <f>EUR!C1256/1</f>
        <v>1.3385</v>
      </c>
      <c r="H1256" s="3">
        <f>GBP!B1256/1</f>
        <v>1.6870000000000001</v>
      </c>
      <c r="I1256" s="3">
        <f>GBP!C1256/1</f>
        <v>1.6866000000000001</v>
      </c>
      <c r="J1256" s="4">
        <f>1/INR!B1256</f>
        <v>1.6445339801833655E-2</v>
      </c>
      <c r="K1256" s="4">
        <f>1/INR!C1256</f>
        <v>1.6323865491348351E-2</v>
      </c>
      <c r="L1256" s="4">
        <f>1/JPY!B1256</f>
        <v>9.7129813996406199E-3</v>
      </c>
      <c r="M1256" s="4">
        <f>1/JPY!C1256</f>
        <v>9.7146987277630537E-3</v>
      </c>
      <c r="N1256" s="5">
        <f>1/KRW!B1256</f>
        <v>9.6627693496956224E-4</v>
      </c>
      <c r="O1256" s="5">
        <f>1/KRW!C1256</f>
        <v>9.6625144587450724E-4</v>
      </c>
      <c r="P1256" s="3">
        <f>1/NOK!B1256</f>
        <v>0.15906343449767765</v>
      </c>
      <c r="Q1256" s="3">
        <f>1/NOK!C1256</f>
        <v>0.15888399879248161</v>
      </c>
      <c r="R1256" s="3">
        <f>NZD!B1256/1</f>
        <v>0.84970000000000001</v>
      </c>
      <c r="S1256" s="3">
        <f>NZD!C1256/1</f>
        <v>0.84709999999999996</v>
      </c>
      <c r="T1256" s="4">
        <f>1/PHP!B1256</f>
        <v>2.2872827081427266E-2</v>
      </c>
      <c r="U1256" s="4">
        <f>1/PHP!C1256</f>
        <v>2.2851919561243144E-2</v>
      </c>
      <c r="V1256" s="4">
        <f>1/TWD!B1256</f>
        <v>3.3293381275802371E-2</v>
      </c>
      <c r="W1256" s="4">
        <f>1/TWD!C1256</f>
        <v>3.3293381275802371E-2</v>
      </c>
      <c r="X1256" s="4">
        <f>1/TWD!B1256</f>
        <v>3.3293381275802371E-2</v>
      </c>
      <c r="Y1256" s="4">
        <f>1/TWD!C1256</f>
        <v>3.3293381275802371E-2</v>
      </c>
      <c r="Z1256" s="4">
        <f>1/ZAR!B1256</f>
        <v>9.3301859506059959E-2</v>
      </c>
      <c r="AA1256" s="4">
        <f>1/ZAR!C1256</f>
        <v>9.2804840700490943E-2</v>
      </c>
    </row>
    <row r="1257" spans="1:27" x14ac:dyDescent="0.25">
      <c r="A1257" t="str">
        <f>"04/08/2014"</f>
        <v>04/08/2014</v>
      </c>
      <c r="B1257" s="3">
        <f>AUD!B1257</f>
        <v>0.93200000000000005</v>
      </c>
      <c r="C1257" s="3">
        <f>AUD!C1257</f>
        <v>0.92989999999999995</v>
      </c>
      <c r="D1257" s="3">
        <f>1/CAD!B1257</f>
        <v>0.91541559868180156</v>
      </c>
      <c r="E1257" s="3">
        <f>1/CAD!C1257</f>
        <v>0.91474570069520678</v>
      </c>
      <c r="F1257" s="3">
        <f>EUR!B1257/1</f>
        <v>1.3423</v>
      </c>
      <c r="G1257" s="3">
        <f>EUR!C1257/1</f>
        <v>1.3424</v>
      </c>
      <c r="H1257" s="3">
        <f>GBP!B1257/1</f>
        <v>1.6825000000000001</v>
      </c>
      <c r="I1257" s="3">
        <f>GBP!C1257/1</f>
        <v>1.6820999999999999</v>
      </c>
      <c r="J1257" s="4">
        <f>1/INR!B1257</f>
        <v>1.6398819285011482E-2</v>
      </c>
      <c r="K1257" s="4">
        <f>1/INR!C1257</f>
        <v>1.6272730971075219E-2</v>
      </c>
      <c r="L1257" s="4">
        <f>1/JPY!B1257</f>
        <v>9.7400383757512005E-3</v>
      </c>
      <c r="M1257" s="4">
        <f>1/JPY!C1257</f>
        <v>9.7419550934838024E-3</v>
      </c>
      <c r="N1257" s="5">
        <f>1/KRW!B1257</f>
        <v>9.6786213771710367E-4</v>
      </c>
      <c r="O1257" s="5">
        <f>1/KRW!C1257</f>
        <v>9.6783300544764155E-4</v>
      </c>
      <c r="P1257" s="3">
        <f>1/NOK!B1257</f>
        <v>0.15957871219979256</v>
      </c>
      <c r="Q1257" s="3">
        <f>1/NOK!C1257</f>
        <v>0.15938540985958147</v>
      </c>
      <c r="R1257" s="3">
        <f>NZD!B1257/1</f>
        <v>0.85109999999999997</v>
      </c>
      <c r="S1257" s="3">
        <f>NZD!C1257/1</f>
        <v>0.84840000000000004</v>
      </c>
      <c r="T1257" s="4">
        <f>1/PHP!B1257</f>
        <v>2.2880677268047135E-2</v>
      </c>
      <c r="U1257" s="4">
        <f>1/PHP!C1257</f>
        <v>2.2860225721868774E-2</v>
      </c>
      <c r="V1257" s="4">
        <f>1/TWD!B1257</f>
        <v>3.3345560038680847E-2</v>
      </c>
      <c r="W1257" s="4">
        <f>1/TWD!C1257</f>
        <v>3.3345560038680847E-2</v>
      </c>
      <c r="X1257" s="4">
        <f>1/TWD!B1257</f>
        <v>3.3345560038680847E-2</v>
      </c>
      <c r="Y1257" s="4">
        <f>1/TWD!C1257</f>
        <v>3.3345560038680847E-2</v>
      </c>
      <c r="Z1257" s="4">
        <f>1/ZAR!B1257</f>
        <v>9.3769926109298227E-2</v>
      </c>
      <c r="AA1257" s="4">
        <f>1/ZAR!C1257</f>
        <v>9.3219232992150944E-2</v>
      </c>
    </row>
    <row r="1258" spans="1:27" x14ac:dyDescent="0.25">
      <c r="A1258" t="str">
        <f>"05/08/2014"</f>
        <v>05/08/2014</v>
      </c>
      <c r="B1258" s="3">
        <f>AUD!B1258</f>
        <v>0.93330000000000002</v>
      </c>
      <c r="C1258" s="3">
        <f>AUD!C1258</f>
        <v>0.93120000000000003</v>
      </c>
      <c r="D1258" s="3">
        <f>1/CAD!B1258</f>
        <v>0.91625435220817308</v>
      </c>
      <c r="E1258" s="3">
        <f>1/CAD!C1258</f>
        <v>0.91558322651529023</v>
      </c>
      <c r="F1258" s="3">
        <f>EUR!B1258/1</f>
        <v>1.3419000000000001</v>
      </c>
      <c r="G1258" s="3">
        <f>EUR!C1258/1</f>
        <v>1.3421000000000001</v>
      </c>
      <c r="H1258" s="3">
        <f>GBP!B1258/1</f>
        <v>1.6863999999999999</v>
      </c>
      <c r="I1258" s="3">
        <f>GBP!C1258/1</f>
        <v>1.6859</v>
      </c>
      <c r="J1258" s="4">
        <f>1/INR!B1258</f>
        <v>1.6436554898093359E-2</v>
      </c>
      <c r="K1258" s="4">
        <f>1/INR!C1258</f>
        <v>1.6315209854386753E-2</v>
      </c>
      <c r="L1258" s="4">
        <f>1/JPY!B1258</f>
        <v>9.7515309903654871E-3</v>
      </c>
      <c r="M1258" s="4">
        <f>1/JPY!C1258</f>
        <v>9.7533571055157184E-3</v>
      </c>
      <c r="N1258" s="5">
        <f>1/KRW!B1258</f>
        <v>9.7052044158680087E-4</v>
      </c>
      <c r="O1258" s="5">
        <f>1/KRW!C1258</f>
        <v>9.7049783627507411E-4</v>
      </c>
      <c r="P1258" s="3">
        <f>1/NOK!B1258</f>
        <v>0.15961946719021852</v>
      </c>
      <c r="Q1258" s="3">
        <f>1/NOK!C1258</f>
        <v>0.15942352453528044</v>
      </c>
      <c r="R1258" s="3">
        <f>NZD!B1258/1</f>
        <v>0.85199999999999998</v>
      </c>
      <c r="S1258" s="3">
        <f>NZD!C1258/1</f>
        <v>0.84930000000000005</v>
      </c>
      <c r="T1258" s="4">
        <f>1/PHP!B1258</f>
        <v>2.2964749110115971E-2</v>
      </c>
      <c r="U1258" s="4">
        <f>1/PHP!C1258</f>
        <v>2.2946252991617733E-2</v>
      </c>
      <c r="V1258" s="4">
        <f>1/TWD!B1258</f>
        <v>3.334444814938313E-2</v>
      </c>
      <c r="W1258" s="4">
        <f>1/TWD!C1258</f>
        <v>3.334444814938313E-2</v>
      </c>
      <c r="X1258" s="4">
        <f>1/TWD!B1258</f>
        <v>3.334444814938313E-2</v>
      </c>
      <c r="Y1258" s="4">
        <f>1/TWD!C1258</f>
        <v>3.334444814938313E-2</v>
      </c>
      <c r="Z1258" s="4">
        <f>1/ZAR!B1258</f>
        <v>9.3805110502420172E-2</v>
      </c>
      <c r="AA1258" s="4">
        <f>1/ZAR!C1258</f>
        <v>9.3275751102985749E-2</v>
      </c>
    </row>
    <row r="1259" spans="1:27" x14ac:dyDescent="0.25">
      <c r="A1259" t="str">
        <f>"06/08/2014"</f>
        <v>06/08/2014</v>
      </c>
      <c r="B1259" s="3">
        <f>AUD!B1259</f>
        <v>0.9304</v>
      </c>
      <c r="C1259" s="3">
        <f>AUD!C1259</f>
        <v>0.9284</v>
      </c>
      <c r="D1259" s="3">
        <f>1/CAD!B1259</f>
        <v>0.91190953857377344</v>
      </c>
      <c r="E1259" s="3">
        <f>1/CAD!C1259</f>
        <v>0.91124476034262814</v>
      </c>
      <c r="F1259" s="3">
        <f>EUR!B1259/1</f>
        <v>1.3368</v>
      </c>
      <c r="G1259" s="3">
        <f>EUR!C1259/1</f>
        <v>1.337</v>
      </c>
      <c r="H1259" s="3">
        <f>GBP!B1259/1</f>
        <v>1.6871</v>
      </c>
      <c r="I1259" s="3">
        <f>GBP!C1259/1</f>
        <v>1.6867000000000001</v>
      </c>
      <c r="J1259" s="4">
        <f>1/INR!B1259</f>
        <v>1.6340536786633442E-2</v>
      </c>
      <c r="K1259" s="4">
        <f>1/INR!C1259</f>
        <v>1.6222573711319303E-2</v>
      </c>
      <c r="L1259" s="4">
        <f>1/JPY!B1259</f>
        <v>9.7496295140784648E-3</v>
      </c>
      <c r="M1259" s="4">
        <f>1/JPY!C1259</f>
        <v>9.7513503182353189E-3</v>
      </c>
      <c r="N1259" s="5">
        <f>1/KRW!B1259</f>
        <v>9.6674400618716153E-4</v>
      </c>
      <c r="O1259" s="5">
        <f>1/KRW!C1259</f>
        <v>9.6672251100371899E-4</v>
      </c>
      <c r="P1259" s="3">
        <f>1/NOK!B1259</f>
        <v>0.15913684177023824</v>
      </c>
      <c r="Q1259" s="3">
        <f>1/NOK!C1259</f>
        <v>0.15895471380203779</v>
      </c>
      <c r="R1259" s="3">
        <f>NZD!B1259/1</f>
        <v>0.84340000000000004</v>
      </c>
      <c r="S1259" s="3">
        <f>NZD!C1259/1</f>
        <v>0.84089999999999998</v>
      </c>
      <c r="T1259" s="4">
        <f>1/PHP!B1259</f>
        <v>2.2871519240665564E-2</v>
      </c>
      <c r="U1259" s="4">
        <f>1/PHP!C1259</f>
        <v>2.2855001017047544E-2</v>
      </c>
      <c r="V1259" s="4">
        <f>1/TWD!B1259</f>
        <v>3.3335555703713576E-2</v>
      </c>
      <c r="W1259" s="4">
        <f>1/TWD!C1259</f>
        <v>3.3335555703713576E-2</v>
      </c>
      <c r="X1259" s="4">
        <f>1/TWD!B1259</f>
        <v>3.3335555703713576E-2</v>
      </c>
      <c r="Y1259" s="4">
        <f>1/TWD!C1259</f>
        <v>3.3335555703713576E-2</v>
      </c>
      <c r="Z1259" s="4">
        <f>1/ZAR!B1259</f>
        <v>9.2980009298000918E-2</v>
      </c>
      <c r="AA1259" s="4">
        <f>1/ZAR!C1259</f>
        <v>9.2468445143094907E-2</v>
      </c>
    </row>
    <row r="1260" spans="1:27" x14ac:dyDescent="0.25">
      <c r="A1260" t="str">
        <f>"07/08/2014"</f>
        <v>07/08/2014</v>
      </c>
      <c r="B1260" s="3">
        <f>AUD!B1260</f>
        <v>0.92900000000000005</v>
      </c>
      <c r="C1260" s="3">
        <f>AUD!C1260</f>
        <v>0.92700000000000005</v>
      </c>
      <c r="D1260" s="3">
        <f>1/CAD!B1260</f>
        <v>0.91625435220817308</v>
      </c>
      <c r="E1260" s="3">
        <f>1/CAD!C1260</f>
        <v>0.91558322651529023</v>
      </c>
      <c r="F1260" s="3">
        <f>EUR!B1260/1</f>
        <v>1.3388</v>
      </c>
      <c r="G1260" s="3">
        <f>EUR!C1260/1</f>
        <v>1.339</v>
      </c>
      <c r="H1260" s="3">
        <f>GBP!B1260/1</f>
        <v>1.6857</v>
      </c>
      <c r="I1260" s="3">
        <f>GBP!C1260/1</f>
        <v>1.6853</v>
      </c>
      <c r="J1260" s="4">
        <f>1/INR!B1260</f>
        <v>1.6314544416347172E-2</v>
      </c>
      <c r="K1260" s="4">
        <f>1/INR!C1260</f>
        <v>1.6194987651321914E-2</v>
      </c>
      <c r="L1260" s="4">
        <f>1/JPY!B1260</f>
        <v>9.7870341371750699E-3</v>
      </c>
      <c r="M1260" s="4">
        <f>1/JPY!C1260</f>
        <v>9.788758589635663E-3</v>
      </c>
      <c r="N1260" s="5">
        <f>1/KRW!B1260</f>
        <v>9.6619757774267273E-4</v>
      </c>
      <c r="O1260" s="5">
        <f>1/KRW!C1260</f>
        <v>9.6617797384749454E-4</v>
      </c>
      <c r="P1260" s="3">
        <f>1/NOK!B1260</f>
        <v>0.15967044021140367</v>
      </c>
      <c r="Q1260" s="3">
        <f>1/NOK!C1260</f>
        <v>0.15948708952010335</v>
      </c>
      <c r="R1260" s="3">
        <f>NZD!B1260/1</f>
        <v>0.84730000000000005</v>
      </c>
      <c r="S1260" s="3">
        <f>NZD!C1260/1</f>
        <v>0.84470000000000001</v>
      </c>
      <c r="T1260" s="4">
        <f>1/PHP!B1260</f>
        <v>2.2753128555176336E-2</v>
      </c>
      <c r="U1260" s="4">
        <f>1/PHP!C1260</f>
        <v>2.2737246110225623E-2</v>
      </c>
      <c r="V1260" s="4">
        <f>1/TWD!B1260</f>
        <v>3.3327778703549409E-2</v>
      </c>
      <c r="W1260" s="4">
        <f>1/TWD!C1260</f>
        <v>3.3327778703549409E-2</v>
      </c>
      <c r="X1260" s="4">
        <f>1/TWD!B1260</f>
        <v>3.3327778703549409E-2</v>
      </c>
      <c r="Y1260" s="4">
        <f>1/TWD!C1260</f>
        <v>3.3327778703549409E-2</v>
      </c>
      <c r="Z1260" s="4">
        <f>1/ZAR!B1260</f>
        <v>9.3163651269820569E-2</v>
      </c>
      <c r="AA1260" s="4">
        <f>1/ZAR!C1260</f>
        <v>9.2645778131890538E-2</v>
      </c>
    </row>
    <row r="1261" spans="1:27" x14ac:dyDescent="0.25">
      <c r="A1261" t="str">
        <f>"08/08/2014"</f>
        <v>08/08/2014</v>
      </c>
      <c r="B1261" s="3">
        <f>AUD!B1261</f>
        <v>0.92420000000000002</v>
      </c>
      <c r="C1261" s="3">
        <f>AUD!C1261</f>
        <v>0.92220000000000002</v>
      </c>
      <c r="D1261" s="3">
        <f>1/CAD!B1261</f>
        <v>0.91407678244972568</v>
      </c>
      <c r="E1261" s="3">
        <f>1/CAD!C1261</f>
        <v>0.91340884179758863</v>
      </c>
      <c r="F1261" s="3">
        <f>EUR!B1261/1</f>
        <v>1.3357000000000001</v>
      </c>
      <c r="G1261" s="3">
        <f>EUR!C1261/1</f>
        <v>1.3358000000000001</v>
      </c>
      <c r="H1261" s="3">
        <f>GBP!B1261/1</f>
        <v>1.6806000000000001</v>
      </c>
      <c r="I1261" s="3">
        <f>GBP!C1261/1</f>
        <v>1.6801999999999999</v>
      </c>
      <c r="J1261" s="4">
        <f>1/INR!B1261</f>
        <v>1.6220600162206E-2</v>
      </c>
      <c r="K1261" s="4">
        <f>1/INR!C1261</f>
        <v>1.6101115002213902E-2</v>
      </c>
      <c r="L1261" s="4">
        <f>1/JPY!B1261</f>
        <v>9.8286860029682642E-3</v>
      </c>
      <c r="M1261" s="4">
        <f>1/JPY!C1261</f>
        <v>9.8304541571516066E-3</v>
      </c>
      <c r="N1261" s="5">
        <f>1/KRW!B1261</f>
        <v>9.6256118279518146E-4</v>
      </c>
      <c r="O1261" s="5">
        <f>1/KRW!C1261</f>
        <v>9.6254311591569843E-4</v>
      </c>
      <c r="P1261" s="3">
        <f>1/NOK!B1261</f>
        <v>0.15972654814956794</v>
      </c>
      <c r="Q1261" s="3">
        <f>1/NOK!C1261</f>
        <v>0.15954306865138243</v>
      </c>
      <c r="R1261" s="3">
        <f>NZD!B1261/1</f>
        <v>0.84419999999999995</v>
      </c>
      <c r="S1261" s="3">
        <f>NZD!C1261/1</f>
        <v>0.84160000000000001</v>
      </c>
      <c r="T1261" s="4">
        <f>1/PHP!B1261</f>
        <v>2.2598870056497175E-2</v>
      </c>
      <c r="U1261" s="4">
        <f>1/PHP!C1261</f>
        <v>2.2580856401559886E-2</v>
      </c>
      <c r="V1261" s="4">
        <f>1/TWD!B1261</f>
        <v>3.330557868442964E-2</v>
      </c>
      <c r="W1261" s="4">
        <f>1/TWD!C1261</f>
        <v>3.330557868442964E-2</v>
      </c>
      <c r="X1261" s="4">
        <f>1/TWD!B1261</f>
        <v>3.330557868442964E-2</v>
      </c>
      <c r="Y1261" s="4">
        <f>1/TWD!C1261</f>
        <v>3.330557868442964E-2</v>
      </c>
      <c r="Z1261" s="4">
        <f>1/ZAR!B1261</f>
        <v>9.2666382489760363E-2</v>
      </c>
      <c r="AA1261" s="4">
        <f>1/ZAR!C1261</f>
        <v>9.2148063508445371E-2</v>
      </c>
    </row>
    <row r="1262" spans="1:27" x14ac:dyDescent="0.25">
      <c r="A1262" t="str">
        <f>"11/08/2014"</f>
        <v>11/08/2014</v>
      </c>
      <c r="B1262" s="3">
        <f>AUD!B1262</f>
        <v>0.92830000000000001</v>
      </c>
      <c r="C1262" s="3">
        <f>AUD!C1262</f>
        <v>0.92620000000000002</v>
      </c>
      <c r="D1262" s="3">
        <f>1/CAD!B1262</f>
        <v>0.91116173120728938</v>
      </c>
      <c r="E1262" s="3">
        <f>1/CAD!C1262</f>
        <v>0.91049804242920873</v>
      </c>
      <c r="F1262" s="3">
        <f>EUR!B1262/1</f>
        <v>1.34</v>
      </c>
      <c r="G1262" s="3">
        <f>EUR!C1262/1</f>
        <v>1.3402000000000001</v>
      </c>
      <c r="H1262" s="3">
        <f>GBP!B1262/1</f>
        <v>1.6781999999999999</v>
      </c>
      <c r="I1262" s="3">
        <f>GBP!C1262/1</f>
        <v>1.6777</v>
      </c>
      <c r="J1262" s="4">
        <f>1/INR!B1262</f>
        <v>1.6366612111292964E-2</v>
      </c>
      <c r="K1262" s="4">
        <f>1/INR!C1262</f>
        <v>1.6238379409734906E-2</v>
      </c>
      <c r="L1262" s="4">
        <f>1/JPY!B1262</f>
        <v>9.7901002506265659E-3</v>
      </c>
      <c r="M1262" s="4">
        <f>1/JPY!C1262</f>
        <v>9.7919791940026084E-3</v>
      </c>
      <c r="N1262" s="5">
        <f>1/KRW!B1262</f>
        <v>9.7021441738624227E-4</v>
      </c>
      <c r="O1262" s="5">
        <f>1/KRW!C1262</f>
        <v>9.7019512079171808E-4</v>
      </c>
      <c r="P1262" s="3">
        <f>1/NOK!B1262</f>
        <v>0.1604055051169356</v>
      </c>
      <c r="Q1262" s="3">
        <f>1/NOK!C1262</f>
        <v>0.16021019577685924</v>
      </c>
      <c r="R1262" s="3">
        <f>NZD!B1262/1</f>
        <v>0.84699999999999998</v>
      </c>
      <c r="S1262" s="3">
        <f>NZD!C1262/1</f>
        <v>0.84430000000000005</v>
      </c>
      <c r="T1262" s="4">
        <f>1/PHP!B1262</f>
        <v>2.2771262666514858E-2</v>
      </c>
      <c r="U1262" s="4">
        <f>1/PHP!C1262</f>
        <v>2.2754733553447457E-2</v>
      </c>
      <c r="V1262" s="4">
        <f>1/TWD!B1262</f>
        <v>3.3337778370449392E-2</v>
      </c>
      <c r="W1262" s="4">
        <f>1/TWD!C1262</f>
        <v>3.3337778370449392E-2</v>
      </c>
      <c r="X1262" s="4">
        <f>1/TWD!B1262</f>
        <v>3.3337778370449392E-2</v>
      </c>
      <c r="Y1262" s="4">
        <f>1/TWD!C1262</f>
        <v>3.3337778370449392E-2</v>
      </c>
      <c r="Z1262" s="4">
        <f>1/ZAR!B1262</f>
        <v>9.391170421569639E-2</v>
      </c>
      <c r="AA1262" s="4">
        <f>1/ZAR!C1262</f>
        <v>9.3347148711342615E-2</v>
      </c>
    </row>
    <row r="1263" spans="1:27" x14ac:dyDescent="0.25">
      <c r="A1263" t="str">
        <f>"12/08/2014"</f>
        <v>12/08/2014</v>
      </c>
      <c r="B1263" s="3">
        <f>AUD!B1263</f>
        <v>0.92630000000000001</v>
      </c>
      <c r="C1263" s="3">
        <f>AUD!C1263</f>
        <v>0.92420000000000002</v>
      </c>
      <c r="D1263" s="3">
        <f>1/CAD!B1263</f>
        <v>0.91407678244972568</v>
      </c>
      <c r="E1263" s="3">
        <f>1/CAD!C1263</f>
        <v>0.91332541784637866</v>
      </c>
      <c r="F1263" s="3">
        <f>EUR!B1263/1</f>
        <v>1.3373999999999999</v>
      </c>
      <c r="G1263" s="3">
        <f>EUR!C1263/1</f>
        <v>1.3374999999999999</v>
      </c>
      <c r="H1263" s="3">
        <f>GBP!B1263/1</f>
        <v>1.6767000000000001</v>
      </c>
      <c r="I1263" s="3">
        <f>GBP!C1263/1</f>
        <v>1.6761999999999999</v>
      </c>
      <c r="J1263" s="4">
        <f>1/INR!B1263</f>
        <v>1.6359918200408999E-2</v>
      </c>
      <c r="K1263" s="4">
        <f>1/INR!C1263</f>
        <v>1.6236402013313847E-2</v>
      </c>
      <c r="L1263" s="4">
        <f>1/JPY!B1263</f>
        <v>9.7770825185764573E-3</v>
      </c>
      <c r="M1263" s="4">
        <f>1/JPY!C1263</f>
        <v>9.7788990915402742E-3</v>
      </c>
      <c r="N1263" s="5">
        <f>1/KRW!B1263</f>
        <v>9.7342548427917848E-4</v>
      </c>
      <c r="O1263" s="5">
        <f>1/KRW!C1263</f>
        <v>9.7340549123346156E-4</v>
      </c>
      <c r="P1263" s="3">
        <f>1/NOK!B1263</f>
        <v>0.16154566896061517</v>
      </c>
      <c r="Q1263" s="3">
        <f>1/NOK!C1263</f>
        <v>0.16135017829194701</v>
      </c>
      <c r="R1263" s="3">
        <f>NZD!B1263/1</f>
        <v>0.84150000000000003</v>
      </c>
      <c r="S1263" s="3">
        <f>NZD!C1263/1</f>
        <v>0.83889999999999998</v>
      </c>
      <c r="T1263" s="4">
        <f>1/PHP!B1263</f>
        <v>2.2794620469569184E-2</v>
      </c>
      <c r="U1263" s="4">
        <f>1/PHP!C1263</f>
        <v>2.2779043280182234E-2</v>
      </c>
      <c r="V1263" s="4">
        <f>1/TWD!B1263</f>
        <v>3.3327778703549409E-2</v>
      </c>
      <c r="W1263" s="4">
        <f>1/TWD!C1263</f>
        <v>3.3327667629836265E-2</v>
      </c>
      <c r="X1263" s="4">
        <f>1/TWD!B1263</f>
        <v>3.3327778703549409E-2</v>
      </c>
      <c r="Y1263" s="4">
        <f>1/TWD!C1263</f>
        <v>3.3327667629836265E-2</v>
      </c>
      <c r="Z1263" s="4">
        <f>1/ZAR!B1263</f>
        <v>9.3861460484325143E-2</v>
      </c>
      <c r="AA1263" s="4">
        <f>1/ZAR!C1263</f>
        <v>9.331753156465504E-2</v>
      </c>
    </row>
    <row r="1264" spans="1:27" x14ac:dyDescent="0.25">
      <c r="A1264" t="str">
        <f>"13/08/2014"</f>
        <v>13/08/2014</v>
      </c>
      <c r="B1264" s="3">
        <f>AUD!B1264</f>
        <v>0.92800000000000005</v>
      </c>
      <c r="C1264" s="3">
        <f>AUD!C1264</f>
        <v>0.92589999999999995</v>
      </c>
      <c r="D1264" s="3">
        <f>1/CAD!B1264</f>
        <v>0.91524803221673068</v>
      </c>
      <c r="E1264" s="3">
        <f>1/CAD!C1264</f>
        <v>0.91457837936711184</v>
      </c>
      <c r="F1264" s="3">
        <f>EUR!B1264/1</f>
        <v>1.3366</v>
      </c>
      <c r="G1264" s="3">
        <f>EUR!C1264/1</f>
        <v>1.3367</v>
      </c>
      <c r="H1264" s="3">
        <f>GBP!B1264/1</f>
        <v>1.6803999999999999</v>
      </c>
      <c r="I1264" s="3">
        <f>GBP!C1264/1</f>
        <v>1.68</v>
      </c>
      <c r="J1264" s="4">
        <f>1/INR!B1264</f>
        <v>1.632719702845014E-2</v>
      </c>
      <c r="K1264" s="4">
        <f>1/INR!C1264</f>
        <v>1.6207455429497569E-2</v>
      </c>
      <c r="L1264" s="4">
        <f>1/JPY!B1264</f>
        <v>9.7753621771686644E-3</v>
      </c>
      <c r="M1264" s="4">
        <f>1/JPY!C1264</f>
        <v>9.7771972295333919E-3</v>
      </c>
      <c r="N1264" s="5">
        <f>1/KRW!B1264</f>
        <v>9.7304660893256787E-4</v>
      </c>
      <c r="O1264" s="5">
        <f>1/KRW!C1264</f>
        <v>9.7302956647640684E-4</v>
      </c>
      <c r="P1264" s="3">
        <f>1/NOK!B1264</f>
        <v>0.16172855479363435</v>
      </c>
      <c r="Q1264" s="3">
        <f>1/NOK!C1264</f>
        <v>0.16153523083384486</v>
      </c>
      <c r="R1264" s="3">
        <f>NZD!B1264/1</f>
        <v>0.84279999999999999</v>
      </c>
      <c r="S1264" s="3">
        <f>NZD!C1264/1</f>
        <v>0.84019999999999995</v>
      </c>
      <c r="T1264" s="4">
        <f>1/PHP!B1264</f>
        <v>2.2745365631752529E-2</v>
      </c>
      <c r="U1264" s="4">
        <f>1/PHP!C1264</f>
        <v>2.2727582648854303E-2</v>
      </c>
      <c r="V1264" s="4">
        <f>1/TWD!B1264</f>
        <v>3.3323336332433603E-2</v>
      </c>
      <c r="W1264" s="4">
        <f>1/TWD!C1264</f>
        <v>3.3323336332433603E-2</v>
      </c>
      <c r="X1264" s="4">
        <f>1/TWD!B1264</f>
        <v>3.3323336332433603E-2</v>
      </c>
      <c r="Y1264" s="4">
        <f>1/TWD!C1264</f>
        <v>3.3323336332433603E-2</v>
      </c>
      <c r="Z1264" s="4">
        <f>1/ZAR!B1264</f>
        <v>9.3984079097000961E-2</v>
      </c>
      <c r="AA1264" s="4">
        <f>1/ZAR!C1264</f>
        <v>9.3464931957529543E-2</v>
      </c>
    </row>
    <row r="1265" spans="1:27" x14ac:dyDescent="0.25">
      <c r="A1265" t="str">
        <f>"14/08/2014"</f>
        <v>14/08/2014</v>
      </c>
      <c r="B1265" s="3">
        <f>AUD!B1265</f>
        <v>0.92979999999999996</v>
      </c>
      <c r="C1265" s="3">
        <f>AUD!C1265</f>
        <v>0.92779999999999996</v>
      </c>
      <c r="D1265" s="3">
        <f>1/CAD!B1265</f>
        <v>0.91600256480718156</v>
      </c>
      <c r="E1265" s="3">
        <f>1/CAD!C1265</f>
        <v>0.91533180778032031</v>
      </c>
      <c r="F1265" s="3">
        <f>EUR!B1265/1</f>
        <v>1.3363</v>
      </c>
      <c r="G1265" s="3">
        <f>EUR!C1265/1</f>
        <v>1.3365</v>
      </c>
      <c r="H1265" s="3">
        <f>GBP!B1265/1</f>
        <v>1.6679999999999999</v>
      </c>
      <c r="I1265" s="3">
        <f>GBP!C1265/1</f>
        <v>1.6676</v>
      </c>
      <c r="J1265" s="4">
        <f>1/INR!B1265</f>
        <v>1.6378674965195315E-2</v>
      </c>
      <c r="K1265" s="4">
        <f>1/INR!C1265</f>
        <v>1.6250914113918907E-2</v>
      </c>
      <c r="L1265" s="4">
        <f>1/JPY!B1265</f>
        <v>9.7482038934326356E-3</v>
      </c>
      <c r="M1265" s="4">
        <f>1/JPY!C1265</f>
        <v>9.7500192562880311E-3</v>
      </c>
      <c r="N1265" s="5">
        <f>1/KRW!B1265</f>
        <v>9.7732603596559805E-4</v>
      </c>
      <c r="O1265" s="5">
        <f>1/KRW!C1265</f>
        <v>9.7730788814515764E-4</v>
      </c>
      <c r="P1265" s="3">
        <f>1/NOK!B1265</f>
        <v>0.16232975666769475</v>
      </c>
      <c r="Q1265" s="3">
        <f>1/NOK!C1265</f>
        <v>0.16214550938011771</v>
      </c>
      <c r="R1265" s="3">
        <f>NZD!B1265/1</f>
        <v>0.84699999999999998</v>
      </c>
      <c r="S1265" s="3">
        <f>NZD!C1265/1</f>
        <v>0.84440000000000004</v>
      </c>
      <c r="T1265" s="4">
        <f>1/PHP!B1265</f>
        <v>2.2862368541380886E-2</v>
      </c>
      <c r="U1265" s="4">
        <f>1/PHP!C1265</f>
        <v>2.2848316878737129E-2</v>
      </c>
      <c r="V1265" s="4">
        <f>1/TWD!B1265</f>
        <v>3.3337778370449392E-2</v>
      </c>
      <c r="W1265" s="4">
        <f>1/TWD!C1265</f>
        <v>3.3337778370449392E-2</v>
      </c>
      <c r="X1265" s="4">
        <f>1/TWD!B1265</f>
        <v>3.3337778370449392E-2</v>
      </c>
      <c r="Y1265" s="4">
        <f>1/TWD!C1265</f>
        <v>3.3337778370449392E-2</v>
      </c>
      <c r="Z1265" s="4">
        <f>1/ZAR!B1265</f>
        <v>9.4416224484015335E-2</v>
      </c>
      <c r="AA1265" s="4">
        <f>1/ZAR!C1265</f>
        <v>9.3899358667380306E-2</v>
      </c>
    </row>
    <row r="1266" spans="1:27" x14ac:dyDescent="0.25">
      <c r="A1266" t="str">
        <f>"19/08/2014"</f>
        <v>19/08/2014</v>
      </c>
      <c r="B1266" s="3">
        <f>AUD!B1266</f>
        <v>0.93379999999999996</v>
      </c>
      <c r="C1266" s="3">
        <f>AUD!C1266</f>
        <v>0.93169999999999997</v>
      </c>
      <c r="D1266" s="3">
        <f>1/CAD!B1266</f>
        <v>0.91768376617417646</v>
      </c>
      <c r="E1266" s="3">
        <f>1/CAD!C1266</f>
        <v>0.9170105456212746</v>
      </c>
      <c r="F1266" s="3">
        <f>EUR!B1266/1</f>
        <v>1.3357000000000001</v>
      </c>
      <c r="G1266" s="3">
        <f>EUR!C1266/1</f>
        <v>1.3359000000000001</v>
      </c>
      <c r="H1266" s="3">
        <f>GBP!B1266/1</f>
        <v>1.6720999999999999</v>
      </c>
      <c r="I1266" s="3">
        <f>GBP!C1266/1</f>
        <v>1.6716</v>
      </c>
      <c r="J1266" s="4">
        <f>1/INR!B1266</f>
        <v>1.6461582781184411E-2</v>
      </c>
      <c r="K1266" s="4">
        <f>1/INR!C1266</f>
        <v>1.6336532570961813E-2</v>
      </c>
      <c r="L1266" s="4">
        <f>1/JPY!B1266</f>
        <v>9.7471587032380066E-3</v>
      </c>
      <c r="M1266" s="4">
        <f>1/JPY!C1266</f>
        <v>9.749068720210502E-3</v>
      </c>
      <c r="N1266" s="5">
        <f>1/KRW!B1266</f>
        <v>9.8312949781745253E-4</v>
      </c>
      <c r="O1266" s="5">
        <f>1/KRW!C1266</f>
        <v>9.8311210034035339E-4</v>
      </c>
      <c r="P1266" s="3">
        <f>1/NOK!B1266</f>
        <v>0.16225864027259451</v>
      </c>
      <c r="Q1266" s="3">
        <f>1/NOK!C1266</f>
        <v>0.16206404771165564</v>
      </c>
      <c r="R1266" s="3">
        <f>NZD!B1266/1</f>
        <v>0.84460000000000002</v>
      </c>
      <c r="S1266" s="3">
        <f>NZD!C1266/1</f>
        <v>0.84189999999999998</v>
      </c>
      <c r="T1266" s="4">
        <f>1/PHP!B1266</f>
        <v>2.2888532845044635E-2</v>
      </c>
      <c r="U1266" s="4">
        <f>1/PHP!C1266</f>
        <v>2.2868642517380168E-2</v>
      </c>
      <c r="V1266" s="4">
        <f>1/TWD!B1266</f>
        <v>3.3356683011441346E-2</v>
      </c>
      <c r="W1266" s="4">
        <f>1/TWD!C1266</f>
        <v>3.3356794278642646E-2</v>
      </c>
      <c r="X1266" s="4">
        <f>1/TWD!B1266</f>
        <v>3.3356683011441346E-2</v>
      </c>
      <c r="Y1266" s="4">
        <f>1/TWD!C1266</f>
        <v>3.3356794278642646E-2</v>
      </c>
      <c r="Z1266" s="4">
        <f>1/ZAR!B1266</f>
        <v>9.4161071929642834E-2</v>
      </c>
      <c r="AA1266" s="4">
        <f>1/ZAR!C1266</f>
        <v>9.3621562918371357E-2</v>
      </c>
    </row>
    <row r="1267" spans="1:27" x14ac:dyDescent="0.25">
      <c r="A1267" t="str">
        <f>"20/08/2014"</f>
        <v>20/08/2014</v>
      </c>
      <c r="B1267" s="3">
        <f>AUD!B1267</f>
        <v>0.92900000000000005</v>
      </c>
      <c r="C1267" s="3">
        <f>AUD!C1267</f>
        <v>0.92700000000000005</v>
      </c>
      <c r="D1267" s="3">
        <f>1/CAD!B1267</f>
        <v>0.9129918743723181</v>
      </c>
      <c r="E1267" s="3">
        <f>1/CAD!C1267</f>
        <v>0.91232551774473125</v>
      </c>
      <c r="F1267" s="3">
        <f>EUR!B1267/1</f>
        <v>1.3305</v>
      </c>
      <c r="G1267" s="3">
        <f>EUR!C1267/1</f>
        <v>1.3307</v>
      </c>
      <c r="H1267" s="3">
        <f>GBP!B1267/1</f>
        <v>1.6605000000000001</v>
      </c>
      <c r="I1267" s="3">
        <f>GBP!C1267/1</f>
        <v>1.6600999999999999</v>
      </c>
      <c r="J1267" s="4">
        <f>1/INR!B1267</f>
        <v>1.6450074025333113E-2</v>
      </c>
      <c r="K1267" s="4">
        <f>1/INR!C1267</f>
        <v>1.6329863237395388E-2</v>
      </c>
      <c r="L1267" s="4">
        <f>1/JPY!B1267</f>
        <v>9.6947134727433121E-3</v>
      </c>
      <c r="M1267" s="4">
        <f>1/JPY!C1267</f>
        <v>9.6966970140960895E-3</v>
      </c>
      <c r="N1267" s="5">
        <f>1/KRW!B1267</f>
        <v>9.7837784952548674E-4</v>
      </c>
      <c r="O1267" s="5">
        <f>1/KRW!C1267</f>
        <v>9.7836109840600521E-4</v>
      </c>
      <c r="P1267" s="3">
        <f>1/NOK!B1267</f>
        <v>0.16191185518603673</v>
      </c>
      <c r="Q1267" s="3">
        <f>1/NOK!C1267</f>
        <v>0.16172593922339204</v>
      </c>
      <c r="R1267" s="3">
        <f>NZD!B1267/1</f>
        <v>0.83879999999999999</v>
      </c>
      <c r="S1267" s="3">
        <f>NZD!C1267/1</f>
        <v>0.83630000000000004</v>
      </c>
      <c r="T1267" s="4">
        <f>1/PHP!B1267</f>
        <v>2.2820629849383843E-2</v>
      </c>
      <c r="U1267" s="4">
        <f>1/PHP!C1267</f>
        <v>2.2802469051348879E-2</v>
      </c>
      <c r="V1267" s="4">
        <f>1/TWD!B1267</f>
        <v>3.33433363342336E-2</v>
      </c>
      <c r="W1267" s="4">
        <f>1/TWD!C1267</f>
        <v>3.3343447512412097E-2</v>
      </c>
      <c r="X1267" s="4">
        <f>1/TWD!B1267</f>
        <v>3.33433363342336E-2</v>
      </c>
      <c r="Y1267" s="4">
        <f>1/TWD!C1267</f>
        <v>3.3343447512412097E-2</v>
      </c>
      <c r="Z1267" s="4">
        <f>1/ZAR!B1267</f>
        <v>9.363383552280452E-2</v>
      </c>
      <c r="AA1267" s="4">
        <f>1/ZAR!C1267</f>
        <v>9.3127211771279569E-2</v>
      </c>
    </row>
    <row r="1268" spans="1:27" x14ac:dyDescent="0.25">
      <c r="A1268" t="str">
        <f>"21/08/2014"</f>
        <v>21/08/2014</v>
      </c>
      <c r="B1268" s="3">
        <f>AUD!B1268</f>
        <v>0.92520000000000002</v>
      </c>
      <c r="C1268" s="3">
        <f>AUD!C1268</f>
        <v>0.92320000000000002</v>
      </c>
      <c r="D1268" s="3">
        <f>1/CAD!B1268</f>
        <v>0.91041514930808443</v>
      </c>
      <c r="E1268" s="3">
        <f>1/CAD!C1268</f>
        <v>0.90975254730713251</v>
      </c>
      <c r="F1268" s="3">
        <f>EUR!B1268/1</f>
        <v>1.3246</v>
      </c>
      <c r="G1268" s="3">
        <f>EUR!C1268/1</f>
        <v>1.3248</v>
      </c>
      <c r="H1268" s="3">
        <f>GBP!B1268/1</f>
        <v>1.6567000000000001</v>
      </c>
      <c r="I1268" s="3">
        <f>GBP!C1268/1</f>
        <v>1.6563000000000001</v>
      </c>
      <c r="J1268" s="4">
        <f>1/INR!B1268</f>
        <v>1.6489405556929671E-2</v>
      </c>
      <c r="K1268" s="4">
        <f>1/INR!C1268</f>
        <v>1.6368621352866555E-2</v>
      </c>
      <c r="L1268" s="4">
        <f>1/JPY!B1268</f>
        <v>9.6276042669542119E-3</v>
      </c>
      <c r="M1268" s="4">
        <f>1/JPY!C1268</f>
        <v>9.629551166620124E-3</v>
      </c>
      <c r="N1268" s="5">
        <f>1/KRW!B1268</f>
        <v>9.7637180238234716E-4</v>
      </c>
      <c r="O1268" s="5">
        <f>1/KRW!C1268</f>
        <v>9.7635473857662501E-4</v>
      </c>
      <c r="P1268" s="3">
        <f>1/NOK!B1268</f>
        <v>0.16129552566211813</v>
      </c>
      <c r="Q1268" s="3">
        <f>1/NOK!C1268</f>
        <v>0.16111361732293614</v>
      </c>
      <c r="R1268" s="3">
        <f>NZD!B1268/1</f>
        <v>0.83560000000000001</v>
      </c>
      <c r="S1268" s="3">
        <f>NZD!C1268/1</f>
        <v>0.83299999999999996</v>
      </c>
      <c r="T1268" s="4">
        <f>1/PHP!B1268</f>
        <v>2.2820629849383843E-2</v>
      </c>
      <c r="U1268" s="4">
        <f>1/PHP!C1268</f>
        <v>2.2801897117840204E-2</v>
      </c>
      <c r="V1268" s="4">
        <f>1/TWD!B1268</f>
        <v>3.3333333333333333E-2</v>
      </c>
      <c r="W1268" s="4">
        <f>1/TWD!C1268</f>
        <v>3.3333444444814814E-2</v>
      </c>
      <c r="X1268" s="4">
        <f>1/TWD!B1268</f>
        <v>3.3333333333333333E-2</v>
      </c>
      <c r="Y1268" s="4">
        <f>1/TWD!C1268</f>
        <v>3.3333444444814814E-2</v>
      </c>
      <c r="Z1268" s="4">
        <f>1/ZAR!B1268</f>
        <v>9.3027582678264109E-2</v>
      </c>
      <c r="AA1268" s="4">
        <f>1/ZAR!C1268</f>
        <v>9.2530905322377677E-2</v>
      </c>
    </row>
    <row r="1269" spans="1:27" x14ac:dyDescent="0.25">
      <c r="A1269" t="str">
        <f>"22/08/2014"</f>
        <v>22/08/2014</v>
      </c>
      <c r="B1269" s="3">
        <f>AUD!B1269</f>
        <v>0.93149999999999999</v>
      </c>
      <c r="C1269" s="3">
        <f>AUD!C1269</f>
        <v>0.92949999999999999</v>
      </c>
      <c r="D1269" s="3">
        <f>1/CAD!B1269</f>
        <v>0.91432751211483965</v>
      </c>
      <c r="E1269" s="3">
        <f>1/CAD!C1269</f>
        <v>0.91365920511649157</v>
      </c>
      <c r="F1269" s="3">
        <f>EUR!B1269/1</f>
        <v>1.3284</v>
      </c>
      <c r="G1269" s="3">
        <f>EUR!C1269/1</f>
        <v>1.3286</v>
      </c>
      <c r="H1269" s="3">
        <f>GBP!B1269/1</f>
        <v>1.6581999999999999</v>
      </c>
      <c r="I1269" s="3">
        <f>GBP!C1269/1</f>
        <v>1.6577999999999999</v>
      </c>
      <c r="J1269" s="4">
        <f>1/INR!B1269</f>
        <v>1.6539177175935497E-2</v>
      </c>
      <c r="K1269" s="4">
        <f>1/INR!C1269</f>
        <v>1.6416317819912995E-2</v>
      </c>
      <c r="L1269" s="4">
        <f>1/JPY!B1269</f>
        <v>9.6335401333281952E-3</v>
      </c>
      <c r="M1269" s="4">
        <f>1/JPY!C1269</f>
        <v>9.635498718960446E-3</v>
      </c>
      <c r="N1269" s="5">
        <f>1/KRW!B1269</f>
        <v>9.8058442831927832E-4</v>
      </c>
      <c r="O1269" s="5">
        <f>1/KRW!C1269</f>
        <v>9.8056760155616068E-4</v>
      </c>
      <c r="P1269" s="3">
        <f>1/NOK!B1269</f>
        <v>0.16265716748808537</v>
      </c>
      <c r="Q1269" s="3">
        <f>1/NOK!C1269</f>
        <v>0.16247481640345746</v>
      </c>
      <c r="R1269" s="3">
        <f>NZD!B1269/1</f>
        <v>0.8407</v>
      </c>
      <c r="S1269" s="3">
        <f>NZD!C1269/1</f>
        <v>0.83809999999999996</v>
      </c>
      <c r="T1269" s="4">
        <f>1/PHP!B1269</f>
        <v>2.2836263987211693E-2</v>
      </c>
      <c r="U1269" s="4">
        <f>1/PHP!C1269</f>
        <v>2.2818651052624372E-2</v>
      </c>
      <c r="V1269" s="4">
        <f>1/TWD!B1269</f>
        <v>3.3362247280976844E-2</v>
      </c>
      <c r="W1269" s="4">
        <f>1/TWD!C1269</f>
        <v>3.3362247280976844E-2</v>
      </c>
      <c r="X1269" s="4">
        <f>1/TWD!B1269</f>
        <v>3.3362247280976844E-2</v>
      </c>
      <c r="Y1269" s="4">
        <f>1/TWD!C1269</f>
        <v>3.3362247280976844E-2</v>
      </c>
      <c r="Z1269" s="4">
        <f>1/ZAR!B1269</f>
        <v>9.3456197080428405E-2</v>
      </c>
      <c r="AA1269" s="4">
        <f>1/ZAR!C1269</f>
        <v>9.2954944738285361E-2</v>
      </c>
    </row>
    <row r="1270" spans="1:27" x14ac:dyDescent="0.25">
      <c r="A1270" t="str">
        <f>"25/08/2014"</f>
        <v>25/08/2014</v>
      </c>
      <c r="B1270" s="3">
        <f>AUD!B1270</f>
        <v>0.93130000000000002</v>
      </c>
      <c r="C1270" s="3">
        <f>AUD!C1270</f>
        <v>0.92920000000000003</v>
      </c>
      <c r="D1270" s="3">
        <f>1/CAD!B1270</f>
        <v>0.91282519397535378</v>
      </c>
      <c r="E1270" s="3">
        <f>1/CAD!C1270</f>
        <v>0.91215908054364681</v>
      </c>
      <c r="F1270" s="3">
        <f>EUR!B1270/1</f>
        <v>1.3205</v>
      </c>
      <c r="G1270" s="3">
        <f>EUR!C1270/1</f>
        <v>1.3207</v>
      </c>
      <c r="H1270" s="3">
        <f>GBP!B1270/1</f>
        <v>1.6563000000000001</v>
      </c>
      <c r="I1270" s="3">
        <f>GBP!C1270/1</f>
        <v>1.6558999999999999</v>
      </c>
      <c r="J1270" s="4">
        <f>1/INR!B1270</f>
        <v>1.6537125847527701E-2</v>
      </c>
      <c r="K1270" s="4">
        <f>1/INR!C1270</f>
        <v>1.6407563886951887E-2</v>
      </c>
      <c r="L1270" s="4">
        <f>1/JPY!B1270</f>
        <v>9.593982654079361E-3</v>
      </c>
      <c r="M1270" s="4">
        <f>1/JPY!C1270</f>
        <v>9.5959620191823289E-3</v>
      </c>
      <c r="N1270" s="5">
        <f>1/KRW!B1270</f>
        <v>9.8041618667124185E-4</v>
      </c>
      <c r="O1270" s="5">
        <f>1/KRW!C1270</f>
        <v>9.8039167627859015E-4</v>
      </c>
      <c r="P1270" s="3">
        <f>1/NOK!B1270</f>
        <v>0.16181229773462785</v>
      </c>
      <c r="Q1270" s="3">
        <f>1/NOK!C1270</f>
        <v>0.16162399793121282</v>
      </c>
      <c r="R1270" s="3">
        <f>NZD!B1270/1</f>
        <v>0.83489999999999998</v>
      </c>
      <c r="S1270" s="3">
        <f>NZD!C1270/1</f>
        <v>0.83230000000000004</v>
      </c>
      <c r="T1270" s="4">
        <f>1/PHP!B1270</f>
        <v>2.2812820805292573E-2</v>
      </c>
      <c r="U1270" s="4">
        <f>1/PHP!C1270</f>
        <v>2.2794620469569184E-2</v>
      </c>
      <c r="V1270" s="4">
        <f>1/TWD!B1270</f>
        <v>3.3356683011441346E-2</v>
      </c>
      <c r="W1270" s="4">
        <f>1/TWD!C1270</f>
        <v>3.3356683011441346E-2</v>
      </c>
      <c r="X1270" s="4">
        <f>1/TWD!B1270</f>
        <v>3.3356683011441346E-2</v>
      </c>
      <c r="Y1270" s="4">
        <f>1/TWD!C1270</f>
        <v>3.3356683011441346E-2</v>
      </c>
      <c r="Z1270" s="4">
        <f>1/ZAR!B1270</f>
        <v>9.3273141066298554E-2</v>
      </c>
      <c r="AA1270" s="4">
        <f>1/ZAR!C1270</f>
        <v>9.2729110449643451E-2</v>
      </c>
    </row>
    <row r="1271" spans="1:27" x14ac:dyDescent="0.25">
      <c r="A1271" t="str">
        <f>"26/08/2014"</f>
        <v>26/08/2014</v>
      </c>
      <c r="B1271" s="3">
        <f>AUD!B1271</f>
        <v>0.9294</v>
      </c>
      <c r="C1271" s="3">
        <f>AUD!C1271</f>
        <v>0.92730000000000001</v>
      </c>
      <c r="D1271" s="3">
        <f>1/CAD!B1271</f>
        <v>0.91124476034262814</v>
      </c>
      <c r="E1271" s="3">
        <f>1/CAD!C1271</f>
        <v>0.91049804242920873</v>
      </c>
      <c r="F1271" s="3">
        <f>EUR!B1271/1</f>
        <v>1.3203</v>
      </c>
      <c r="G1271" s="3">
        <f>EUR!C1271/1</f>
        <v>1.3205</v>
      </c>
      <c r="H1271" s="3">
        <f>GBP!B1271/1</f>
        <v>1.6591</v>
      </c>
      <c r="I1271" s="3">
        <f>GBP!C1271/1</f>
        <v>1.6587000000000001</v>
      </c>
      <c r="J1271" s="4">
        <f>1/INR!B1271</f>
        <v>1.6524828554903743E-2</v>
      </c>
      <c r="K1271" s="4">
        <f>1/INR!C1271</f>
        <v>1.6394114512889871E-2</v>
      </c>
      <c r="L1271" s="4">
        <f>1/JPY!B1271</f>
        <v>9.6294584392573757E-3</v>
      </c>
      <c r="M1271" s="4">
        <f>1/JPY!C1271</f>
        <v>9.6312762211495113E-3</v>
      </c>
      <c r="N1271" s="5">
        <f>1/KRW!B1271</f>
        <v>9.8260784121057291E-4</v>
      </c>
      <c r="O1271" s="5">
        <f>1/KRW!C1271</f>
        <v>9.825899794491306E-4</v>
      </c>
      <c r="P1271" s="3">
        <f>1/NOK!B1271</f>
        <v>0.16200628584389073</v>
      </c>
      <c r="Q1271" s="3">
        <f>1/NOK!C1271</f>
        <v>0.16181229773462785</v>
      </c>
      <c r="R1271" s="3">
        <f>NZD!B1271/1</f>
        <v>0.83450000000000002</v>
      </c>
      <c r="S1271" s="3">
        <f>NZD!C1271/1</f>
        <v>0.83189999999999997</v>
      </c>
      <c r="T1271" s="4">
        <f>1/PHP!B1271</f>
        <v>2.2821931876533346E-2</v>
      </c>
      <c r="U1271" s="4">
        <f>1/PHP!C1271</f>
        <v>2.279347741850192E-2</v>
      </c>
      <c r="V1271" s="4">
        <f>1/TWD!B1271</f>
        <v>3.3368926855312335E-2</v>
      </c>
      <c r="W1271" s="4">
        <f>1/TWD!C1271</f>
        <v>3.3368926855312335E-2</v>
      </c>
      <c r="X1271" s="4">
        <f>1/TWD!B1271</f>
        <v>3.3368926855312335E-2</v>
      </c>
      <c r="Y1271" s="4">
        <f>1/TWD!C1271</f>
        <v>3.3368926855312335E-2</v>
      </c>
      <c r="Z1271" s="4">
        <f>1/ZAR!B1271</f>
        <v>9.337329710449406E-2</v>
      </c>
      <c r="AA1271" s="4">
        <f>1/ZAR!C1271</f>
        <v>9.285482148660569E-2</v>
      </c>
    </row>
    <row r="1272" spans="1:27" x14ac:dyDescent="0.25">
      <c r="A1272" t="str">
        <f>"27/08/2014"</f>
        <v>27/08/2014</v>
      </c>
      <c r="B1272" s="3">
        <f>AUD!B1272</f>
        <v>0.93159999999999998</v>
      </c>
      <c r="C1272" s="3">
        <f>AUD!C1272</f>
        <v>0.92949999999999999</v>
      </c>
      <c r="D1272" s="3">
        <f>1/CAD!B1272</f>
        <v>0.91541559868180156</v>
      </c>
      <c r="E1272" s="3">
        <f>1/CAD!C1272</f>
        <v>0.91466203237903598</v>
      </c>
      <c r="F1272" s="3">
        <f>EUR!B1272/1</f>
        <v>1.3160000000000001</v>
      </c>
      <c r="G1272" s="3">
        <f>EUR!C1272/1</f>
        <v>1.3162</v>
      </c>
      <c r="H1272" s="3">
        <f>GBP!B1272/1</f>
        <v>1.6554</v>
      </c>
      <c r="I1272" s="3">
        <f>GBP!C1272/1</f>
        <v>1.6549</v>
      </c>
      <c r="J1272" s="4">
        <f>1/INR!B1272</f>
        <v>1.6537125847527701E-2</v>
      </c>
      <c r="K1272" s="4">
        <f>1/INR!C1272</f>
        <v>1.6400836442658575E-2</v>
      </c>
      <c r="L1272" s="4">
        <f>1/JPY!B1272</f>
        <v>9.6138131267004441E-3</v>
      </c>
      <c r="M1272" s="4">
        <f>1/JPY!C1272</f>
        <v>9.6156250060097665E-3</v>
      </c>
      <c r="N1272" s="5">
        <f>1/KRW!B1272</f>
        <v>9.8590160701961943E-4</v>
      </c>
      <c r="O1272" s="5">
        <f>1/KRW!C1272</f>
        <v>9.8587711317829835E-4</v>
      </c>
      <c r="P1272" s="3">
        <f>1/NOK!B1272</f>
        <v>0.16168933012110531</v>
      </c>
      <c r="Q1272" s="3">
        <f>1/NOK!C1272</f>
        <v>0.1615013162357273</v>
      </c>
      <c r="R1272" s="3">
        <f>NZD!B1272/1</f>
        <v>0.83599999999999997</v>
      </c>
      <c r="S1272" s="3">
        <f>NZD!C1272/1</f>
        <v>0.83340000000000003</v>
      </c>
      <c r="T1272" s="4">
        <f>1/PHP!B1272</f>
        <v>2.2891152569531874E-2</v>
      </c>
      <c r="U1272" s="4">
        <f>1/PHP!C1272</f>
        <v>2.2871153072053282E-2</v>
      </c>
      <c r="V1272" s="4">
        <f>1/TWD!B1272</f>
        <v>3.3399575825387016E-2</v>
      </c>
      <c r="W1272" s="4">
        <f>1/TWD!C1272</f>
        <v>3.3399575825387016E-2</v>
      </c>
      <c r="X1272" s="4">
        <f>1/TWD!B1272</f>
        <v>3.3399575825387016E-2</v>
      </c>
      <c r="Y1272" s="4">
        <f>1/TWD!C1272</f>
        <v>3.3399575825387016E-2</v>
      </c>
      <c r="Z1272" s="4">
        <f>1/ZAR!B1272</f>
        <v>9.3612798741843986E-2</v>
      </c>
      <c r="AA1272" s="4">
        <f>1/ZAR!C1272</f>
        <v>9.308646802014392E-2</v>
      </c>
    </row>
    <row r="1273" spans="1:27" x14ac:dyDescent="0.25">
      <c r="A1273" t="str">
        <f>"28/08/2014"</f>
        <v>28/08/2014</v>
      </c>
      <c r="B1273" s="3">
        <f>AUD!B1273</f>
        <v>0.93579999999999997</v>
      </c>
      <c r="C1273" s="3">
        <f>AUD!C1273</f>
        <v>0.93379999999999996</v>
      </c>
      <c r="D1273" s="3">
        <f>1/CAD!B1273</f>
        <v>0.9219988936013277</v>
      </c>
      <c r="E1273" s="3">
        <f>1/CAD!C1273</f>
        <v>0.92131932927952831</v>
      </c>
      <c r="F1273" s="3">
        <f>EUR!B1273/1</f>
        <v>1.3212999999999999</v>
      </c>
      <c r="G1273" s="3">
        <f>EUR!C1273/1</f>
        <v>1.3214999999999999</v>
      </c>
      <c r="H1273" s="3">
        <f>GBP!B1273/1</f>
        <v>1.6597</v>
      </c>
      <c r="I1273" s="3">
        <f>GBP!C1273/1</f>
        <v>1.6593</v>
      </c>
      <c r="J1273" s="4">
        <f>1/INR!B1273</f>
        <v>1.6554920950252461E-2</v>
      </c>
      <c r="K1273" s="4">
        <f>1/INR!C1273</f>
        <v>1.6419013217305638E-2</v>
      </c>
      <c r="L1273" s="4">
        <f>1/JPY!B1273</f>
        <v>9.6383684169943709E-3</v>
      </c>
      <c r="M1273" s="4">
        <f>1/JPY!C1273</f>
        <v>9.640514842054625E-3</v>
      </c>
      <c r="N1273" s="5">
        <f>1/KRW!B1273</f>
        <v>9.8658247829518553E-4</v>
      </c>
      <c r="O1273" s="5">
        <f>1/KRW!C1273</f>
        <v>9.8656544505200438E-4</v>
      </c>
      <c r="P1273" s="3">
        <f>1/NOK!B1273</f>
        <v>0.16191185518603673</v>
      </c>
      <c r="Q1273" s="3">
        <f>1/NOK!C1273</f>
        <v>0.16172593922339204</v>
      </c>
      <c r="R1273" s="3">
        <f>NZD!B1273/1</f>
        <v>0.83919999999999995</v>
      </c>
      <c r="S1273" s="3">
        <f>NZD!C1273/1</f>
        <v>0.83679999999999999</v>
      </c>
      <c r="T1273" s="4">
        <f>1/PHP!B1273</f>
        <v>2.2892462656670293E-2</v>
      </c>
      <c r="U1273" s="4">
        <f>1/PHP!C1273</f>
        <v>2.2872670132638613E-2</v>
      </c>
      <c r="V1273" s="4">
        <f>1/TWD!B1273</f>
        <v>3.3452647777071555E-2</v>
      </c>
      <c r="W1273" s="4">
        <f>1/TWD!C1273</f>
        <v>3.3452647777071555E-2</v>
      </c>
      <c r="X1273" s="4">
        <f>1/TWD!B1273</f>
        <v>3.3452647777071555E-2</v>
      </c>
      <c r="Y1273" s="4">
        <f>1/TWD!C1273</f>
        <v>3.3452647777071555E-2</v>
      </c>
      <c r="Z1273" s="4">
        <f>1/ZAR!B1273</f>
        <v>9.4170825878142947E-2</v>
      </c>
      <c r="AA1273" s="4">
        <f>1/ZAR!C1273</f>
        <v>9.3676814988290391E-2</v>
      </c>
    </row>
    <row r="1274" spans="1:27" x14ac:dyDescent="0.25">
      <c r="A1274" t="str">
        <f>"01/09/2014"</f>
        <v>01/09/2014</v>
      </c>
      <c r="B1274" s="3">
        <f>AUD!B1274</f>
        <v>0.93410000000000004</v>
      </c>
      <c r="C1274" s="3">
        <f>AUD!C1274</f>
        <v>0.93210000000000004</v>
      </c>
      <c r="D1274" s="3">
        <f>1/CAD!B1274</f>
        <v>0.9197093718384991</v>
      </c>
      <c r="E1274" s="3">
        <f>1/CAD!C1274</f>
        <v>0.91911764705882348</v>
      </c>
      <c r="F1274" s="3">
        <f>EUR!B1274/1</f>
        <v>1.3124</v>
      </c>
      <c r="G1274" s="3">
        <f>EUR!C1274/1</f>
        <v>1.3126</v>
      </c>
      <c r="H1274" s="3">
        <f>GBP!B1274/1</f>
        <v>1.6597</v>
      </c>
      <c r="I1274" s="3">
        <f>GBP!C1274/1</f>
        <v>1.6593</v>
      </c>
      <c r="J1274" s="4">
        <f>1/INR!B1274</f>
        <v>1.6527559705809436E-2</v>
      </c>
      <c r="K1274" s="4">
        <f>1/INR!C1274</f>
        <v>1.6396130513198885E-2</v>
      </c>
      <c r="L1274" s="4">
        <f>1/JPY!B1274</f>
        <v>9.5975737333602075E-3</v>
      </c>
      <c r="M1274" s="4">
        <f>1/JPY!C1274</f>
        <v>9.5996928098300849E-3</v>
      </c>
      <c r="N1274" s="5">
        <f>1/KRW!B1274</f>
        <v>9.8595020951441946E-4</v>
      </c>
      <c r="O1274" s="5">
        <f>1/KRW!C1274</f>
        <v>9.8593115676542009E-4</v>
      </c>
      <c r="P1274" s="3">
        <f>1/NOK!B1274</f>
        <v>0.16130333091378338</v>
      </c>
      <c r="Q1274" s="3">
        <f>1/NOK!C1274</f>
        <v>0.1611291933872579</v>
      </c>
      <c r="R1274" s="3">
        <f>NZD!B1274/1</f>
        <v>0.83750000000000002</v>
      </c>
      <c r="S1274" s="3">
        <f>NZD!C1274/1</f>
        <v>0.83509999999999995</v>
      </c>
      <c r="T1274" s="4">
        <f>1/PHP!B1274</f>
        <v>2.2943673282092462E-2</v>
      </c>
      <c r="U1274" s="4">
        <f>1/PHP!C1274</f>
        <v>2.292368704582445E-2</v>
      </c>
      <c r="V1274" s="4">
        <f>1/TWD!B1274</f>
        <v>3.3475044354433769E-2</v>
      </c>
      <c r="W1274" s="4">
        <f>1/TWD!C1274</f>
        <v>3.3475044354433769E-2</v>
      </c>
      <c r="X1274" s="4">
        <f>1/TWD!B1274</f>
        <v>3.3475044354433769E-2</v>
      </c>
      <c r="Y1274" s="4">
        <f>1/TWD!C1274</f>
        <v>3.3475044354433769E-2</v>
      </c>
      <c r="Z1274" s="4">
        <f>1/ZAR!B1274</f>
        <v>9.3841201918114167E-2</v>
      </c>
      <c r="AA1274" s="4">
        <f>1/ZAR!C1274</f>
        <v>9.3350634317560174E-2</v>
      </c>
    </row>
    <row r="1275" spans="1:27" x14ac:dyDescent="0.25">
      <c r="A1275" t="str">
        <f>"02/09/2014"</f>
        <v>02/09/2014</v>
      </c>
      <c r="B1275" s="3">
        <f>AUD!B1275</f>
        <v>0.92910000000000004</v>
      </c>
      <c r="C1275" s="3">
        <f>AUD!C1275</f>
        <v>0.92689999999999995</v>
      </c>
      <c r="D1275" s="3">
        <f>1/CAD!B1275</f>
        <v>0.91759955955221129</v>
      </c>
      <c r="E1275" s="3">
        <f>1/CAD!C1275</f>
        <v>0.91692646249770771</v>
      </c>
      <c r="F1275" s="3">
        <f>EUR!B1275/1</f>
        <v>1.3121</v>
      </c>
      <c r="G1275" s="3">
        <f>EUR!C1275/1</f>
        <v>1.3123</v>
      </c>
      <c r="H1275" s="3">
        <f>GBP!B1275/1</f>
        <v>1.6584000000000001</v>
      </c>
      <c r="I1275" s="3">
        <f>GBP!C1275/1</f>
        <v>1.6578999999999999</v>
      </c>
      <c r="J1275" s="4">
        <f>1/INR!B1275</f>
        <v>1.6496886212727348E-2</v>
      </c>
      <c r="K1275" s="4">
        <f>1/INR!C1275</f>
        <v>1.6369961121342338E-2</v>
      </c>
      <c r="L1275" s="4">
        <f>1/JPY!B1275</f>
        <v>9.5401640908223621E-3</v>
      </c>
      <c r="M1275" s="4">
        <f>1/JPY!C1275</f>
        <v>9.542330733366286E-3</v>
      </c>
      <c r="N1275" s="5">
        <f>1/KRW!B1275</f>
        <v>9.8311499987711057E-4</v>
      </c>
      <c r="O1275" s="5">
        <f>1/KRW!C1275</f>
        <v>9.8309615319390736E-4</v>
      </c>
      <c r="P1275" s="3">
        <f>1/NOK!B1275</f>
        <v>0.16139965783272539</v>
      </c>
      <c r="Q1275" s="3">
        <f>1/NOK!C1275</f>
        <v>0.16120452017474571</v>
      </c>
      <c r="R1275" s="3">
        <f>NZD!B1275/1</f>
        <v>0.8347</v>
      </c>
      <c r="S1275" s="3">
        <f>NZD!C1275/1</f>
        <v>0.83209999999999995</v>
      </c>
      <c r="T1275" s="4">
        <f>1/PHP!B1275</f>
        <v>2.2925263640531868E-2</v>
      </c>
      <c r="U1275" s="4">
        <f>1/PHP!C1275</f>
        <v>2.2905309450730677E-2</v>
      </c>
      <c r="V1275" s="4">
        <f>1/TWD!B1275</f>
        <v>3.3417992247025796E-2</v>
      </c>
      <c r="W1275" s="4">
        <f>1/TWD!C1275</f>
        <v>3.3417992247025796E-2</v>
      </c>
      <c r="X1275" s="4">
        <f>1/TWD!B1275</f>
        <v>3.3417992247025796E-2</v>
      </c>
      <c r="Y1275" s="4">
        <f>1/TWD!C1275</f>
        <v>3.3417992247025796E-2</v>
      </c>
      <c r="Z1275" s="4">
        <f>1/ZAR!B1275</f>
        <v>9.336109269822894E-2</v>
      </c>
      <c r="AA1275" s="4">
        <f>1/ZAR!C1275</f>
        <v>9.2837580652648188E-2</v>
      </c>
    </row>
    <row r="1276" spans="1:27" x14ac:dyDescent="0.25">
      <c r="A1276" t="str">
        <f>"03/09/2014"</f>
        <v>03/09/2014</v>
      </c>
      <c r="B1276" s="3">
        <f>AUD!B1276</f>
        <v>0.92779999999999996</v>
      </c>
      <c r="C1276" s="3">
        <f>AUD!C1276</f>
        <v>0.92569999999999997</v>
      </c>
      <c r="D1276" s="3">
        <f>1/CAD!B1276</f>
        <v>0.91407678244972568</v>
      </c>
      <c r="E1276" s="3">
        <f>1/CAD!C1276</f>
        <v>0.91340884179758863</v>
      </c>
      <c r="F1276" s="3">
        <f>EUR!B1276/1</f>
        <v>1.3126</v>
      </c>
      <c r="G1276" s="3">
        <f>EUR!C1276/1</f>
        <v>1.3129</v>
      </c>
      <c r="H1276" s="3">
        <f>GBP!B1276/1</f>
        <v>1.6456</v>
      </c>
      <c r="I1276" s="3">
        <f>GBP!C1276/1</f>
        <v>1.6451</v>
      </c>
      <c r="J1276" s="4">
        <f>1/INR!B1276</f>
        <v>1.6492125010307578E-2</v>
      </c>
      <c r="K1276" s="4">
        <f>1/INR!C1276</f>
        <v>1.6371971185330715E-2</v>
      </c>
      <c r="L1276" s="4">
        <f>1/JPY!B1276</f>
        <v>9.5041675774827257E-3</v>
      </c>
      <c r="M1276" s="4">
        <f>1/JPY!C1276</f>
        <v>9.5062456033614077E-3</v>
      </c>
      <c r="N1276" s="5">
        <f>1/KRW!B1276</f>
        <v>9.7962382445141078E-4</v>
      </c>
      <c r="O1276" s="5">
        <f>1/KRW!C1276</f>
        <v>9.7960559119687242E-4</v>
      </c>
      <c r="P1276" s="3">
        <f>1/NOK!B1276</f>
        <v>0.16130593283220956</v>
      </c>
      <c r="Q1276" s="3">
        <f>1/NOK!C1276</f>
        <v>0.16112140497865141</v>
      </c>
      <c r="R1276" s="3">
        <f>NZD!B1276/1</f>
        <v>0.8296</v>
      </c>
      <c r="S1276" s="3">
        <f>NZD!C1276/1</f>
        <v>0.82709999999999995</v>
      </c>
      <c r="T1276" s="4">
        <f>1/PHP!B1276</f>
        <v>2.2862368541380886E-2</v>
      </c>
      <c r="U1276" s="4">
        <f>1/PHP!C1276</f>
        <v>2.2840019368336423E-2</v>
      </c>
      <c r="V1276" s="4">
        <f>1/TWD!B1276</f>
        <v>3.3397344911079568E-2</v>
      </c>
      <c r="W1276" s="4">
        <f>1/TWD!C1276</f>
        <v>3.3397344911079568E-2</v>
      </c>
      <c r="X1276" s="4">
        <f>1/TWD!B1276</f>
        <v>3.3397344911079568E-2</v>
      </c>
      <c r="Y1276" s="4">
        <f>1/TWD!C1276</f>
        <v>3.3397344911079568E-2</v>
      </c>
      <c r="Z1276" s="4">
        <f>1/ZAR!B1276</f>
        <v>9.3098600728031056E-2</v>
      </c>
      <c r="AA1276" s="4">
        <f>1/ZAR!C1276</f>
        <v>9.2602881801681663E-2</v>
      </c>
    </row>
    <row r="1277" spans="1:27" x14ac:dyDescent="0.25">
      <c r="A1277" t="str">
        <f>"04/09/2014"</f>
        <v>04/09/2014</v>
      </c>
      <c r="B1277" s="3">
        <f>AUD!B1277</f>
        <v>0.93489999999999995</v>
      </c>
      <c r="C1277" s="3">
        <f>AUD!C1277</f>
        <v>0.93289999999999995</v>
      </c>
      <c r="D1277" s="3">
        <f>1/CAD!B1277</f>
        <v>0.9178522257916476</v>
      </c>
      <c r="E1277" s="3">
        <f>1/CAD!C1277</f>
        <v>0.91717875813996141</v>
      </c>
      <c r="F1277" s="3">
        <f>EUR!B1277/1</f>
        <v>1.3145</v>
      </c>
      <c r="G1277" s="3">
        <f>EUR!C1277/1</f>
        <v>1.3148</v>
      </c>
      <c r="H1277" s="3">
        <f>GBP!B1277/1</f>
        <v>1.6457999999999999</v>
      </c>
      <c r="I1277" s="3">
        <f>GBP!C1277/1</f>
        <v>1.6454</v>
      </c>
      <c r="J1277" s="4">
        <f>1/INR!B1277</f>
        <v>1.653507502790294E-2</v>
      </c>
      <c r="K1277" s="4">
        <f>1/INR!C1277</f>
        <v>1.6419687204958743E-2</v>
      </c>
      <c r="L1277" s="4">
        <f>1/JPY!B1277</f>
        <v>9.5391630338354117E-3</v>
      </c>
      <c r="M1277" s="4">
        <f>1/JPY!C1277</f>
        <v>9.5413656365808328E-3</v>
      </c>
      <c r="N1277" s="5">
        <f>1/KRW!B1277</f>
        <v>9.825837038492716E-4</v>
      </c>
      <c r="O1277" s="5">
        <f>1/KRW!C1277</f>
        <v>9.8256352592528259E-4</v>
      </c>
      <c r="P1277" s="3">
        <f>1/NOK!B1277</f>
        <v>0.16075619715140019</v>
      </c>
      <c r="Q1277" s="3">
        <f>1/NOK!C1277</f>
        <v>0.160583238321584</v>
      </c>
      <c r="R1277" s="3">
        <f>NZD!B1277/1</f>
        <v>0.83230000000000004</v>
      </c>
      <c r="S1277" s="3">
        <f>NZD!C1277/1</f>
        <v>0.82989999999999997</v>
      </c>
      <c r="T1277" s="4">
        <f>1/PHP!B1277</f>
        <v>2.2946305644791189E-2</v>
      </c>
      <c r="U1277" s="4">
        <f>1/PHP!C1277</f>
        <v>2.2924422763034826E-2</v>
      </c>
      <c r="V1277" s="4">
        <f>1/TWD!B1277</f>
        <v>3.3442579091699551E-2</v>
      </c>
      <c r="W1277" s="4">
        <f>1/TWD!C1277</f>
        <v>3.3442579091699551E-2</v>
      </c>
      <c r="X1277" s="4">
        <f>1/TWD!B1277</f>
        <v>3.3442579091699551E-2</v>
      </c>
      <c r="Y1277" s="4">
        <f>1/TWD!C1277</f>
        <v>3.3442579091699551E-2</v>
      </c>
      <c r="Z1277" s="4">
        <f>1/ZAR!B1277</f>
        <v>9.3569877984879105E-2</v>
      </c>
      <c r="AA1277" s="4">
        <f>1/ZAR!C1277</f>
        <v>9.3077803736143036E-2</v>
      </c>
    </row>
    <row r="1278" spans="1:27" x14ac:dyDescent="0.25">
      <c r="A1278" t="str">
        <f>"05/09/2014"</f>
        <v>05/09/2014</v>
      </c>
      <c r="B1278" s="3">
        <f>AUD!B1278</f>
        <v>0.93420000000000003</v>
      </c>
      <c r="C1278" s="3">
        <f>AUD!C1278</f>
        <v>0.93220000000000003</v>
      </c>
      <c r="D1278" s="3">
        <f>1/CAD!B1278</f>
        <v>0.91928663357234774</v>
      </c>
      <c r="E1278" s="3">
        <f>1/CAD!C1278</f>
        <v>0.91869545245751028</v>
      </c>
      <c r="F1278" s="3">
        <f>EUR!B1278/1</f>
        <v>1.2936000000000001</v>
      </c>
      <c r="G1278" s="3">
        <f>EUR!C1278/1</f>
        <v>1.2939000000000001</v>
      </c>
      <c r="H1278" s="3">
        <f>GBP!B1278/1</f>
        <v>1.6314</v>
      </c>
      <c r="I1278" s="3">
        <f>GBP!C1278/1</f>
        <v>1.631</v>
      </c>
      <c r="J1278" s="4">
        <f>1/INR!B1278</f>
        <v>1.6546703069413419E-2</v>
      </c>
      <c r="K1278" s="4">
        <f>1/INR!C1278</f>
        <v>1.6429803663846217E-2</v>
      </c>
      <c r="L1278" s="4">
        <f>1/JPY!B1278</f>
        <v>9.4964056104764345E-3</v>
      </c>
      <c r="M1278" s="4">
        <f>1/JPY!C1278</f>
        <v>9.4987238464512291E-3</v>
      </c>
      <c r="N1278" s="5">
        <f>1/KRW!B1278</f>
        <v>9.7437396472766251E-4</v>
      </c>
      <c r="O1278" s="5">
        <f>1/KRW!C1278</f>
        <v>9.7434928083279583E-4</v>
      </c>
      <c r="P1278" s="3">
        <f>1/NOK!B1278</f>
        <v>0.15954561409106863</v>
      </c>
      <c r="Q1278" s="3">
        <f>1/NOK!C1278</f>
        <v>0.15937270901730788</v>
      </c>
      <c r="R1278" s="3">
        <f>NZD!B1278/1</f>
        <v>0.8286</v>
      </c>
      <c r="S1278" s="3">
        <f>NZD!C1278/1</f>
        <v>0.82620000000000005</v>
      </c>
      <c r="T1278" s="4">
        <f>1/PHP!B1278</f>
        <v>2.2885913720105275E-2</v>
      </c>
      <c r="U1278" s="4">
        <f>1/PHP!C1278</f>
        <v>2.2863361691522949E-2</v>
      </c>
      <c r="V1278" s="4">
        <f>1/TWD!B1278</f>
        <v>3.3392326443383309E-2</v>
      </c>
      <c r="W1278" s="4">
        <f>1/TWD!C1278</f>
        <v>3.3392326443383309E-2</v>
      </c>
      <c r="X1278" s="4">
        <f>1/TWD!B1278</f>
        <v>3.3392326443383309E-2</v>
      </c>
      <c r="Y1278" s="4">
        <f>1/TWD!C1278</f>
        <v>3.3392326443383309E-2</v>
      </c>
      <c r="Z1278" s="4">
        <f>1/ZAR!B1278</f>
        <v>9.3211412805383878E-2</v>
      </c>
      <c r="AA1278" s="4">
        <f>1/ZAR!C1278</f>
        <v>9.2725671102044604E-2</v>
      </c>
    </row>
    <row r="1279" spans="1:27" x14ac:dyDescent="0.25">
      <c r="A1279" t="str">
        <f>"08/09/2014"</f>
        <v>08/09/2014</v>
      </c>
      <c r="B1279" s="3">
        <f>AUD!B1279</f>
        <v>0.93659999999999999</v>
      </c>
      <c r="C1279" s="3">
        <f>AUD!C1279</f>
        <v>0.93469999999999998</v>
      </c>
      <c r="D1279" s="3">
        <f>1/CAD!B1279</f>
        <v>0.91759955955221129</v>
      </c>
      <c r="E1279" s="3">
        <f>1/CAD!C1279</f>
        <v>0.91692646249770771</v>
      </c>
      <c r="F1279" s="3">
        <f>EUR!B1279/1</f>
        <v>1.2936000000000001</v>
      </c>
      <c r="G1279" s="3">
        <f>EUR!C1279/1</f>
        <v>1.2939000000000001</v>
      </c>
      <c r="H1279" s="3">
        <f>GBP!B1279/1</f>
        <v>1.6203000000000001</v>
      </c>
      <c r="I1279" s="3">
        <f>GBP!C1279/1</f>
        <v>1.6198999999999999</v>
      </c>
      <c r="J1279" s="4">
        <f>1/INR!B1279</f>
        <v>1.6609916119923594E-2</v>
      </c>
      <c r="K1279" s="4">
        <f>1/INR!C1279</f>
        <v>1.6490085336191614E-2</v>
      </c>
      <c r="L1279" s="4">
        <f>1/JPY!B1279</f>
        <v>9.5166493780869631E-3</v>
      </c>
      <c r="M1279" s="4">
        <f>1/JPY!C1279</f>
        <v>9.5191315505903772E-3</v>
      </c>
      <c r="N1279" s="5">
        <f>1/KRW!B1279</f>
        <v>9.7602397114873133E-4</v>
      </c>
      <c r="O1279" s="5">
        <f>1/KRW!C1279</f>
        <v>9.76001870800386E-4</v>
      </c>
      <c r="P1279" s="3">
        <f>1/NOK!B1279</f>
        <v>0.15887390178415392</v>
      </c>
      <c r="Q1279" s="3">
        <f>1/NOK!C1279</f>
        <v>0.15869993017203074</v>
      </c>
      <c r="R1279" s="3">
        <f>NZD!B1279/1</f>
        <v>0.83189999999999997</v>
      </c>
      <c r="S1279" s="3">
        <f>NZD!C1279/1</f>
        <v>0.82940000000000003</v>
      </c>
      <c r="T1279" s="4">
        <f>1/PHP!B1279</f>
        <v>2.2959476523935256E-2</v>
      </c>
      <c r="U1279" s="4">
        <f>1/PHP!C1279</f>
        <v>2.2936937184903826E-2</v>
      </c>
      <c r="V1279" s="4">
        <f>1/TWD!B1279</f>
        <v>3.3430281148664462E-2</v>
      </c>
      <c r="W1279" s="4">
        <f>1/TWD!C1279</f>
        <v>3.3430281148664462E-2</v>
      </c>
      <c r="X1279" s="4">
        <f>1/TWD!B1279</f>
        <v>3.3430281148664462E-2</v>
      </c>
      <c r="Y1279" s="4">
        <f>1/TWD!C1279</f>
        <v>3.3430281148664462E-2</v>
      </c>
      <c r="Z1279" s="4">
        <f>1/ZAR!B1279</f>
        <v>9.3375040851580368E-2</v>
      </c>
      <c r="AA1279" s="4">
        <f>1/ZAR!C1279</f>
        <v>9.2891048089695602E-2</v>
      </c>
    </row>
    <row r="1280" spans="1:27" x14ac:dyDescent="0.25">
      <c r="A1280" t="str">
        <f>"09/09/2014"</f>
        <v>09/09/2014</v>
      </c>
      <c r="B1280" s="3">
        <f>AUD!B1280</f>
        <v>0.92579999999999996</v>
      </c>
      <c r="C1280" s="3">
        <f>AUD!C1280</f>
        <v>0.92369999999999997</v>
      </c>
      <c r="D1280" s="3">
        <f>1/CAD!B1280</f>
        <v>0.90925622840516451</v>
      </c>
      <c r="E1280" s="3">
        <f>1/CAD!C1280</f>
        <v>0.90859531164819185</v>
      </c>
      <c r="F1280" s="3">
        <f>EUR!B1280/1</f>
        <v>1.2874000000000001</v>
      </c>
      <c r="G1280" s="3">
        <f>EUR!C1280/1</f>
        <v>1.2878000000000001</v>
      </c>
      <c r="H1280" s="3">
        <f>GBP!B1280/1</f>
        <v>1.6073</v>
      </c>
      <c r="I1280" s="3">
        <f>GBP!C1280/1</f>
        <v>1.6069</v>
      </c>
      <c r="J1280" s="4">
        <f>1/INR!B1280</f>
        <v>1.654054501095811E-2</v>
      </c>
      <c r="K1280" s="4">
        <f>1/INR!C1280</f>
        <v>1.6412276382734285E-2</v>
      </c>
      <c r="L1280" s="4">
        <f>1/JPY!B1280</f>
        <v>9.4133594397168459E-3</v>
      </c>
      <c r="M1280" s="4">
        <f>1/JPY!C1280</f>
        <v>9.4170293792482564E-3</v>
      </c>
      <c r="N1280" s="5">
        <f>1/KRW!B1280</f>
        <v>9.6820417489640223E-4</v>
      </c>
      <c r="O1280" s="5">
        <f>1/KRW!C1280</f>
        <v>9.6818242725658151E-4</v>
      </c>
      <c r="P1280" s="3">
        <f>1/NOK!B1280</f>
        <v>0.15756964578343627</v>
      </c>
      <c r="Q1280" s="3">
        <f>1/NOK!C1280</f>
        <v>0.15738860821253758</v>
      </c>
      <c r="R1280" s="3">
        <f>NZD!B1280/1</f>
        <v>0.8256</v>
      </c>
      <c r="S1280" s="3">
        <f>NZD!C1280/1</f>
        <v>0.82299999999999995</v>
      </c>
      <c r="T1280" s="4">
        <f>1/PHP!B1280</f>
        <v>2.2835221044939714E-2</v>
      </c>
      <c r="U1280" s="4">
        <f>1/PHP!C1280</f>
        <v>2.2811780003193647E-2</v>
      </c>
      <c r="V1280" s="4">
        <f>1/TWD!B1280</f>
        <v>3.3386752136752136E-2</v>
      </c>
      <c r="W1280" s="4">
        <f>1/TWD!C1280</f>
        <v>3.3386752136752136E-2</v>
      </c>
      <c r="X1280" s="4">
        <f>1/TWD!B1280</f>
        <v>3.3386752136752136E-2</v>
      </c>
      <c r="Y1280" s="4">
        <f>1/TWD!C1280</f>
        <v>3.3386752136752136E-2</v>
      </c>
      <c r="Z1280" s="4">
        <f>1/ZAR!B1280</f>
        <v>9.2323316253519819E-2</v>
      </c>
      <c r="AA1280" s="4">
        <f>1/ZAR!C1280</f>
        <v>9.1798703802302317E-2</v>
      </c>
    </row>
    <row r="1281" spans="1:27" x14ac:dyDescent="0.25">
      <c r="A1281" t="str">
        <f>"10/09/2014"</f>
        <v>10/09/2014</v>
      </c>
      <c r="B1281" s="3">
        <f>AUD!B1281</f>
        <v>0.91679999999999995</v>
      </c>
      <c r="C1281" s="3">
        <f>AUD!C1281</f>
        <v>0.91469999999999996</v>
      </c>
      <c r="D1281" s="3">
        <f>1/CAD!B1281</f>
        <v>0.91091273456002908</v>
      </c>
      <c r="E1281" s="3">
        <f>1/CAD!C1281</f>
        <v>0.91016656048056799</v>
      </c>
      <c r="F1281" s="3">
        <f>EUR!B1281/1</f>
        <v>1.2926</v>
      </c>
      <c r="G1281" s="3">
        <f>EUR!C1281/1</f>
        <v>1.2928999999999999</v>
      </c>
      <c r="H1281" s="3">
        <f>GBP!B1281/1</f>
        <v>1.6112</v>
      </c>
      <c r="I1281" s="3">
        <f>GBP!C1281/1</f>
        <v>1.6107</v>
      </c>
      <c r="J1281" s="4">
        <f>1/INR!B1281</f>
        <v>1.6446692159039513E-2</v>
      </c>
      <c r="K1281" s="4">
        <f>1/INR!C1281</f>
        <v>1.6321867221610154E-2</v>
      </c>
      <c r="L1281" s="4">
        <f>1/JPY!B1281</f>
        <v>9.3977013222565752E-3</v>
      </c>
      <c r="M1281" s="4">
        <f>1/JPY!C1281</f>
        <v>9.4018982432553123E-3</v>
      </c>
      <c r="N1281" s="5">
        <f>1/KRW!B1281</f>
        <v>9.6630027781132984E-4</v>
      </c>
      <c r="O1281" s="5">
        <f>1/KRW!C1281</f>
        <v>9.6627861561649246E-4</v>
      </c>
      <c r="P1281" s="3">
        <f>1/NOK!B1281</f>
        <v>0.15740594994490792</v>
      </c>
      <c r="Q1281" s="3">
        <f>1/NOK!C1281</f>
        <v>0.1572104576396422</v>
      </c>
      <c r="R1281" s="3">
        <f>NZD!B1281/1</f>
        <v>0.82420000000000004</v>
      </c>
      <c r="S1281" s="3">
        <f>NZD!C1281/1</f>
        <v>0.8216</v>
      </c>
      <c r="T1281" s="4">
        <f>1/PHP!B1281</f>
        <v>2.277385561375541E-2</v>
      </c>
      <c r="U1281" s="4">
        <f>1/PHP!C1281</f>
        <v>2.2747952684258416E-2</v>
      </c>
      <c r="V1281" s="4">
        <f>1/TWD!B1281</f>
        <v>3.3360021350413667E-2</v>
      </c>
      <c r="W1281" s="4">
        <f>1/TWD!C1281</f>
        <v>3.336013263988738E-2</v>
      </c>
      <c r="X1281" s="4">
        <f>1/TWD!B1281</f>
        <v>3.3360021350413667E-2</v>
      </c>
      <c r="Y1281" s="4">
        <f>1/TWD!C1281</f>
        <v>3.336013263988738E-2</v>
      </c>
      <c r="Z1281" s="4">
        <f>1/ZAR!B1281</f>
        <v>9.1417705781255715E-2</v>
      </c>
      <c r="AA1281" s="4">
        <f>1/ZAR!C1281</f>
        <v>9.0874393413423959E-2</v>
      </c>
    </row>
    <row r="1282" spans="1:27" x14ac:dyDescent="0.25">
      <c r="A1282" t="str">
        <f>"11/09/2014"</f>
        <v>11/09/2014</v>
      </c>
      <c r="B1282" s="3">
        <f>AUD!B1282</f>
        <v>0.91879999999999995</v>
      </c>
      <c r="C1282" s="3">
        <f>AUD!C1282</f>
        <v>0.91669999999999996</v>
      </c>
      <c r="D1282" s="3">
        <f>1/CAD!B1282</f>
        <v>0.9124920156948626</v>
      </c>
      <c r="E1282" s="3">
        <f>1/CAD!C1282</f>
        <v>0.9117432530999271</v>
      </c>
      <c r="F1282" s="3">
        <f>EUR!B1282/1</f>
        <v>1.2909999999999999</v>
      </c>
      <c r="G1282" s="3">
        <f>EUR!C1282/1</f>
        <v>1.2911999999999999</v>
      </c>
      <c r="H1282" s="3">
        <f>GBP!B1282/1</f>
        <v>1.6201000000000001</v>
      </c>
      <c r="I1282" s="3">
        <f>GBP!C1282/1</f>
        <v>1.6195999999999999</v>
      </c>
      <c r="J1282" s="4">
        <f>1/INR!B1282</f>
        <v>1.6429803663846217E-2</v>
      </c>
      <c r="K1282" s="4">
        <f>1/INR!C1282</f>
        <v>1.6312548427878146E-2</v>
      </c>
      <c r="L1282" s="4">
        <f>1/JPY!B1282</f>
        <v>9.3639096195443517E-3</v>
      </c>
      <c r="M1282" s="4">
        <f>1/JPY!C1282</f>
        <v>9.3673655970384125E-3</v>
      </c>
      <c r="N1282" s="5">
        <f>1/KRW!B1282</f>
        <v>9.6591759756975122E-4</v>
      </c>
      <c r="O1282" s="5">
        <f>1/KRW!C1282</f>
        <v>9.6590099051214779E-4</v>
      </c>
      <c r="P1282" s="3">
        <f>1/NOK!B1282</f>
        <v>0.15758454410791389</v>
      </c>
      <c r="Q1282" s="3">
        <f>1/NOK!C1282</f>
        <v>0.15739108536892471</v>
      </c>
      <c r="R1282" s="3">
        <f>NZD!B1282/1</f>
        <v>0.81899999999999995</v>
      </c>
      <c r="S1282" s="3">
        <f>NZD!C1282/1</f>
        <v>0.8165</v>
      </c>
      <c r="T1282" s="4">
        <f>1/PHP!B1282</f>
        <v>2.2784233310549101E-2</v>
      </c>
      <c r="U1282" s="4">
        <f>1/PHP!C1282</f>
        <v>2.2758669346120669E-2</v>
      </c>
      <c r="V1282" s="4">
        <f>1/TWD!B1282</f>
        <v>3.3354457823288081E-2</v>
      </c>
      <c r="W1282" s="4">
        <f>1/TWD!C1282</f>
        <v>3.3354569075644831E-2</v>
      </c>
      <c r="X1282" s="4">
        <f>1/TWD!B1282</f>
        <v>3.3354457823288081E-2</v>
      </c>
      <c r="Y1282" s="4">
        <f>1/TWD!C1282</f>
        <v>3.3354569075644831E-2</v>
      </c>
      <c r="Z1282" s="4">
        <f>1/ZAR!B1282</f>
        <v>9.1272521494678807E-2</v>
      </c>
      <c r="AA1282" s="4">
        <f>1/ZAR!C1282</f>
        <v>9.0759749866129363E-2</v>
      </c>
    </row>
    <row r="1283" spans="1:27" x14ac:dyDescent="0.25">
      <c r="A1283" t="str">
        <f>"12/09/2014"</f>
        <v>12/09/2014</v>
      </c>
      <c r="B1283" s="3">
        <f>AUD!B1283</f>
        <v>0.90569999999999995</v>
      </c>
      <c r="C1283" s="3">
        <f>AUD!C1283</f>
        <v>0.90369999999999995</v>
      </c>
      <c r="D1283" s="3">
        <f>1/CAD!B1283</f>
        <v>0.90424088977303541</v>
      </c>
      <c r="E1283" s="3">
        <f>1/CAD!C1283</f>
        <v>0.90358724134815216</v>
      </c>
      <c r="F1283" s="3">
        <f>EUR!B1283/1</f>
        <v>1.2917000000000001</v>
      </c>
      <c r="G1283" s="3">
        <f>EUR!C1283/1</f>
        <v>1.292</v>
      </c>
      <c r="H1283" s="3">
        <f>GBP!B1283/1</f>
        <v>1.6234</v>
      </c>
      <c r="I1283" s="3">
        <f>GBP!C1283/1</f>
        <v>1.623</v>
      </c>
      <c r="J1283" s="4">
        <f>1/INR!B1283</f>
        <v>1.6401508938822373E-2</v>
      </c>
      <c r="K1283" s="4">
        <f>1/INR!C1283</f>
        <v>1.6285981841130247E-2</v>
      </c>
      <c r="L1283" s="4">
        <f>1/JPY!B1283</f>
        <v>9.3128946339101123E-3</v>
      </c>
      <c r="M1283" s="4">
        <f>1/JPY!C1283</f>
        <v>9.316000603676839E-3</v>
      </c>
      <c r="N1283" s="5">
        <f>1/KRW!B1283</f>
        <v>9.6147374695933934E-4</v>
      </c>
      <c r="O1283" s="5">
        <f>1/KRW!C1283</f>
        <v>9.6145359476923107E-4</v>
      </c>
      <c r="P1283" s="3">
        <f>1/NOK!B1283</f>
        <v>0.1565999029080602</v>
      </c>
      <c r="Q1283" s="3">
        <f>1/NOK!C1283</f>
        <v>0.15641619220421699</v>
      </c>
      <c r="R1283" s="3">
        <f>NZD!B1283/1</f>
        <v>0.81610000000000005</v>
      </c>
      <c r="S1283" s="3">
        <f>NZD!C1283/1</f>
        <v>0.81369999999999998</v>
      </c>
      <c r="T1283" s="4">
        <f>1/PHP!B1283</f>
        <v>2.273631558006025E-2</v>
      </c>
      <c r="U1283" s="4">
        <f>1/PHP!C1283</f>
        <v>2.2714676406719911E-2</v>
      </c>
      <c r="V1283" s="4">
        <f>1/TWD!B1283</f>
        <v>3.3295598321901848E-2</v>
      </c>
      <c r="W1283" s="4">
        <f>1/TWD!C1283</f>
        <v>3.3295598321901848E-2</v>
      </c>
      <c r="X1283" s="4">
        <f>1/TWD!B1283</f>
        <v>3.3295598321901848E-2</v>
      </c>
      <c r="Y1283" s="4">
        <f>1/TWD!C1283</f>
        <v>3.3295598321901848E-2</v>
      </c>
      <c r="Z1283" s="4">
        <f>1/ZAR!B1283</f>
        <v>9.0905785244172935E-2</v>
      </c>
      <c r="AA1283" s="4">
        <f>1/ZAR!C1283</f>
        <v>9.0422453703703692E-2</v>
      </c>
    </row>
    <row r="1284" spans="1:27" x14ac:dyDescent="0.25">
      <c r="A1284" t="str">
        <f>"15/09/2014"</f>
        <v>15/09/2014</v>
      </c>
      <c r="B1284" s="3">
        <f>AUD!B1284</f>
        <v>0.90069999999999995</v>
      </c>
      <c r="C1284" s="3">
        <f>AUD!C1284</f>
        <v>0.89880000000000004</v>
      </c>
      <c r="D1284" s="3">
        <f>1/CAD!B1284</f>
        <v>0.90138813773210746</v>
      </c>
      <c r="E1284" s="3">
        <f>1/CAD!C1284</f>
        <v>0.90073860565663844</v>
      </c>
      <c r="F1284" s="3">
        <f>EUR!B1284/1</f>
        <v>1.2962</v>
      </c>
      <c r="G1284" s="3">
        <f>EUR!C1284/1</f>
        <v>1.2964</v>
      </c>
      <c r="H1284" s="3">
        <f>GBP!B1284/1</f>
        <v>1.6237999999999999</v>
      </c>
      <c r="I1284" s="3">
        <f>GBP!C1284/1</f>
        <v>1.6234</v>
      </c>
      <c r="J1284" s="4">
        <f>1/INR!B1284</f>
        <v>1.6382028914281036E-2</v>
      </c>
      <c r="K1284" s="4">
        <f>1/INR!C1284</f>
        <v>1.626479079412841E-2</v>
      </c>
      <c r="L1284" s="4">
        <f>1/JPY!B1284</f>
        <v>9.3243570855789503E-3</v>
      </c>
      <c r="M1284" s="4">
        <f>1/JPY!C1284</f>
        <v>9.3268269388607841E-3</v>
      </c>
      <c r="N1284" s="5">
        <f>1/KRW!B1284</f>
        <v>9.6311278050659741E-4</v>
      </c>
      <c r="O1284" s="5">
        <f>1/KRW!C1284</f>
        <v>9.6309654802119763E-4</v>
      </c>
      <c r="P1284" s="3">
        <f>1/NOK!B1284</f>
        <v>0.1570154503203115</v>
      </c>
      <c r="Q1284" s="3">
        <f>1/NOK!C1284</f>
        <v>0.15683076392265108</v>
      </c>
      <c r="R1284" s="3">
        <f>NZD!B1284/1</f>
        <v>0.81330000000000002</v>
      </c>
      <c r="S1284" s="3">
        <f>NZD!C1284/1</f>
        <v>0.81089999999999995</v>
      </c>
      <c r="T1284" s="4">
        <f>1/PHP!B1284</f>
        <v>2.2668540599356215E-2</v>
      </c>
      <c r="U1284" s="4">
        <f>1/PHP!C1284</f>
        <v>2.2648671542170692E-2</v>
      </c>
      <c r="V1284" s="4">
        <f>1/TWD!B1284</f>
        <v>3.3282300472608668E-2</v>
      </c>
      <c r="W1284" s="4">
        <f>1/TWD!C1284</f>
        <v>3.3282300472608668E-2</v>
      </c>
      <c r="X1284" s="4">
        <f>1/TWD!B1284</f>
        <v>3.3282300472608668E-2</v>
      </c>
      <c r="Y1284" s="4">
        <f>1/TWD!C1284</f>
        <v>3.3282300472608668E-2</v>
      </c>
      <c r="Z1284" s="4">
        <f>1/ZAR!B1284</f>
        <v>9.0424088977303557E-2</v>
      </c>
      <c r="AA1284" s="4">
        <f>1/ZAR!C1284</f>
        <v>8.9915120126600481E-2</v>
      </c>
    </row>
    <row r="1285" spans="1:27" x14ac:dyDescent="0.25">
      <c r="A1285" t="str">
        <f>"16/09/2014"</f>
        <v>16/09/2014</v>
      </c>
      <c r="B1285" s="3">
        <f>AUD!B1285</f>
        <v>0.90129999999999999</v>
      </c>
      <c r="C1285" s="3">
        <f>AUD!C1285</f>
        <v>0.8992</v>
      </c>
      <c r="D1285" s="3">
        <f>1/CAD!B1285</f>
        <v>0.90399566082082805</v>
      </c>
      <c r="E1285" s="3">
        <f>1/CAD!C1285</f>
        <v>0.90334236675700097</v>
      </c>
      <c r="F1285" s="3">
        <f>EUR!B1285/1</f>
        <v>1.2941</v>
      </c>
      <c r="G1285" s="3">
        <f>EUR!C1285/1</f>
        <v>1.2944</v>
      </c>
      <c r="H1285" s="3">
        <f>GBP!B1285/1</f>
        <v>1.6222000000000001</v>
      </c>
      <c r="I1285" s="3">
        <f>GBP!C1285/1</f>
        <v>1.6217999999999999</v>
      </c>
      <c r="J1285" s="4">
        <f>1/INR!B1285</f>
        <v>1.636929120969062E-2</v>
      </c>
      <c r="K1285" s="4">
        <f>1/INR!C1285</f>
        <v>1.6245633985866297E-2</v>
      </c>
      <c r="L1285" s="4">
        <f>1/JPY!B1285</f>
        <v>9.3307953569962306E-3</v>
      </c>
      <c r="M1285" s="4">
        <f>1/JPY!C1285</f>
        <v>9.3335909404432902E-3</v>
      </c>
      <c r="N1285" s="5">
        <f>1/KRW!B1285</f>
        <v>9.6599690880989182E-4</v>
      </c>
      <c r="O1285" s="5">
        <f>1/KRW!C1285</f>
        <v>9.6597964584288249E-4</v>
      </c>
      <c r="P1285" s="3">
        <f>1/NOK!B1285</f>
        <v>0.15627930236919424</v>
      </c>
      <c r="Q1285" s="3">
        <f>1/NOK!C1285</f>
        <v>0.15609390609390611</v>
      </c>
      <c r="R1285" s="3">
        <f>NZD!B1285/1</f>
        <v>0.81669999999999998</v>
      </c>
      <c r="S1285" s="3">
        <f>NZD!C1285/1</f>
        <v>0.81410000000000005</v>
      </c>
      <c r="T1285" s="4">
        <f>1/PHP!B1285</f>
        <v>2.2549948135119291E-2</v>
      </c>
      <c r="U1285" s="4">
        <f>1/PHP!C1285</f>
        <v>2.2531301610762753E-2</v>
      </c>
      <c r="V1285" s="4">
        <f>1/TWD!B1285</f>
        <v>3.3174097664543524E-2</v>
      </c>
      <c r="W1285" s="4">
        <f>1/TWD!C1285</f>
        <v>3.3174207716984198E-2</v>
      </c>
      <c r="X1285" s="4">
        <f>1/TWD!B1285</f>
        <v>3.3174097664543524E-2</v>
      </c>
      <c r="Y1285" s="4">
        <f>1/TWD!C1285</f>
        <v>3.3174207716984198E-2</v>
      </c>
      <c r="Z1285" s="4">
        <f>1/ZAR!B1285</f>
        <v>9.1206756596528674E-2</v>
      </c>
      <c r="AA1285" s="4">
        <f>1/ZAR!C1285</f>
        <v>9.0713644239230021E-2</v>
      </c>
    </row>
    <row r="1286" spans="1:27" x14ac:dyDescent="0.25">
      <c r="A1286" t="str">
        <f>"17/09/2014"</f>
        <v>17/09/2014</v>
      </c>
      <c r="B1286" s="3">
        <f>AUD!B1286</f>
        <v>0.90710000000000002</v>
      </c>
      <c r="C1286" s="3">
        <f>AUD!C1286</f>
        <v>0.90510000000000002</v>
      </c>
      <c r="D1286" s="3">
        <f>1/CAD!B1286</f>
        <v>0.91132780461131879</v>
      </c>
      <c r="E1286" s="3">
        <f>1/CAD!C1286</f>
        <v>0.91058095064651245</v>
      </c>
      <c r="F1286" s="3">
        <f>EUR!B1286/1</f>
        <v>1.2951999999999999</v>
      </c>
      <c r="G1286" s="3">
        <f>EUR!C1286/1</f>
        <v>1.2955000000000001</v>
      </c>
      <c r="H1286" s="3">
        <f>GBP!B1286/1</f>
        <v>1.6286</v>
      </c>
      <c r="I1286" s="3">
        <f>GBP!C1286/1</f>
        <v>1.6281000000000001</v>
      </c>
      <c r="J1286" s="4">
        <f>1/INR!B1286</f>
        <v>1.639949161575991E-2</v>
      </c>
      <c r="K1286" s="4">
        <f>1/INR!C1286</f>
        <v>1.6280016280016282E-2</v>
      </c>
      <c r="L1286" s="4">
        <f>1/JPY!B1286</f>
        <v>9.3254005259525898E-3</v>
      </c>
      <c r="M1286" s="4">
        <f>1/JPY!C1286</f>
        <v>9.3289238619879006E-3</v>
      </c>
      <c r="N1286" s="5">
        <f>1/KRW!B1286</f>
        <v>9.6739866498984223E-4</v>
      </c>
      <c r="O1286" s="5">
        <f>1/KRW!C1286</f>
        <v>9.673818197999841E-4</v>
      </c>
      <c r="P1286" s="3">
        <f>1/NOK!B1286</f>
        <v>0.15611827520529553</v>
      </c>
      <c r="Q1286" s="3">
        <f>1/NOK!C1286</f>
        <v>0.15592839767978545</v>
      </c>
      <c r="R1286" s="3">
        <f>NZD!B1286/1</f>
        <v>0.81840000000000002</v>
      </c>
      <c r="S1286" s="3">
        <f>NZD!C1286/1</f>
        <v>0.81589999999999996</v>
      </c>
      <c r="T1286" s="4">
        <f>1/PHP!B1286</f>
        <v>2.2650056625141565E-2</v>
      </c>
      <c r="U1286" s="4">
        <f>1/PHP!C1286</f>
        <v>2.2631295460614757E-2</v>
      </c>
      <c r="V1286" s="4">
        <f>1/TWD!B1286</f>
        <v>3.317739955542285E-2</v>
      </c>
      <c r="W1286" s="4">
        <f>1/TWD!C1286</f>
        <v>3.317739955542285E-2</v>
      </c>
      <c r="X1286" s="4">
        <f>1/TWD!B1286</f>
        <v>3.317739955542285E-2</v>
      </c>
      <c r="Y1286" s="4">
        <f>1/TWD!C1286</f>
        <v>3.317739955542285E-2</v>
      </c>
      <c r="Z1286" s="4">
        <f>1/ZAR!B1286</f>
        <v>9.1572575844985946E-2</v>
      </c>
      <c r="AA1286" s="4">
        <f>1/ZAR!C1286</f>
        <v>9.1039857249503836E-2</v>
      </c>
    </row>
    <row r="1287" spans="1:27" x14ac:dyDescent="0.25">
      <c r="A1287" t="str">
        <f>"18/09/2014"</f>
        <v>18/09/2014</v>
      </c>
      <c r="B1287" s="3">
        <f>AUD!B1287</f>
        <v>0.8962</v>
      </c>
      <c r="C1287" s="3">
        <f>AUD!C1287</f>
        <v>0.89429999999999998</v>
      </c>
      <c r="D1287" s="3">
        <f>1/CAD!B1287</f>
        <v>0.90834771550549553</v>
      </c>
      <c r="E1287" s="3">
        <f>1/CAD!C1287</f>
        <v>0.90760573606825201</v>
      </c>
      <c r="F1287" s="3">
        <f>EUR!B1287/1</f>
        <v>1.2861</v>
      </c>
      <c r="G1287" s="3">
        <f>EUR!C1287/1</f>
        <v>1.2864</v>
      </c>
      <c r="H1287" s="3">
        <f>GBP!B1287/1</f>
        <v>1.6264000000000001</v>
      </c>
      <c r="I1287" s="3">
        <f>GBP!C1287/1</f>
        <v>1.6258999999999999</v>
      </c>
      <c r="J1287" s="4">
        <f>1/INR!B1287</f>
        <v>1.6362595107584064E-2</v>
      </c>
      <c r="K1287" s="4">
        <f>1/INR!C1287</f>
        <v>1.6247613631747836E-2</v>
      </c>
      <c r="L1287" s="4">
        <f>1/JPY!B1287</f>
        <v>9.2021717125241563E-3</v>
      </c>
      <c r="M1287" s="4">
        <f>1/JPY!C1287</f>
        <v>9.2051788336117903E-3</v>
      </c>
      <c r="N1287" s="5">
        <f>1/KRW!B1287</f>
        <v>9.6006144393241178E-4</v>
      </c>
      <c r="O1287" s="5">
        <f>1/KRW!C1287</f>
        <v>9.6004439245270701E-4</v>
      </c>
      <c r="P1287" s="3">
        <f>1/NOK!B1287</f>
        <v>0.15529155990371923</v>
      </c>
      <c r="Q1287" s="3">
        <f>1/NOK!C1287</f>
        <v>0.15510849839462704</v>
      </c>
      <c r="R1287" s="3">
        <f>NZD!B1287/1</f>
        <v>0.81110000000000004</v>
      </c>
      <c r="S1287" s="3">
        <f>NZD!C1287/1</f>
        <v>0.80869999999999997</v>
      </c>
      <c r="T1287" s="4">
        <f>1/PHP!B1287</f>
        <v>2.2407457201756745E-2</v>
      </c>
      <c r="U1287" s="4">
        <f>1/PHP!C1287</f>
        <v>2.2385136269517041E-2</v>
      </c>
      <c r="V1287" s="4">
        <f>1/TWD!B1287</f>
        <v>3.3034372264341048E-2</v>
      </c>
      <c r="W1287" s="4">
        <f>1/TWD!C1287</f>
        <v>3.3034481391676633E-2</v>
      </c>
      <c r="X1287" s="4">
        <f>1/TWD!B1287</f>
        <v>3.3034372264341048E-2</v>
      </c>
      <c r="Y1287" s="4">
        <f>1/TWD!C1287</f>
        <v>3.3034481391676633E-2</v>
      </c>
      <c r="Z1287" s="4">
        <f>1/ZAR!B1287</f>
        <v>9.0473993250640108E-2</v>
      </c>
      <c r="AA1287" s="4">
        <f>1/ZAR!C1287</f>
        <v>8.9960417416336813E-2</v>
      </c>
    </row>
    <row r="1288" spans="1:27" x14ac:dyDescent="0.25">
      <c r="A1288" t="str">
        <f>"19/09/2014"</f>
        <v>19/09/2014</v>
      </c>
      <c r="B1288" s="3">
        <f>AUD!B1288</f>
        <v>0.89580000000000004</v>
      </c>
      <c r="C1288" s="3">
        <f>AUD!C1288</f>
        <v>0.89390000000000003</v>
      </c>
      <c r="D1288" s="3">
        <f>1/CAD!B1288</f>
        <v>0.91282519397535378</v>
      </c>
      <c r="E1288" s="3">
        <f>1/CAD!C1288</f>
        <v>0.91215908054364681</v>
      </c>
      <c r="F1288" s="3">
        <f>EUR!B1288/1</f>
        <v>1.2924</v>
      </c>
      <c r="G1288" s="3">
        <f>EUR!C1288/1</f>
        <v>1.2926</v>
      </c>
      <c r="H1288" s="3">
        <f>GBP!B1288/1</f>
        <v>1.6491</v>
      </c>
      <c r="I1288" s="3">
        <f>GBP!C1288/1</f>
        <v>1.6487000000000001</v>
      </c>
      <c r="J1288" s="4">
        <f>1/INR!B1288</f>
        <v>1.6450074025333113E-2</v>
      </c>
      <c r="K1288" s="4">
        <f>1/INR!C1288</f>
        <v>1.6319203622863203E-2</v>
      </c>
      <c r="L1288" s="4">
        <f>1/JPY!B1288</f>
        <v>9.1539045980062808E-3</v>
      </c>
      <c r="M1288" s="4">
        <f>1/JPY!C1288</f>
        <v>9.1573498263308618E-3</v>
      </c>
      <c r="N1288" s="5">
        <f>1/KRW!B1288</f>
        <v>9.5542922658004101E-4</v>
      </c>
      <c r="O1288" s="5">
        <f>1/KRW!C1288</f>
        <v>9.5541188283975158E-4</v>
      </c>
      <c r="P1288" s="3">
        <f>1/NOK!B1288</f>
        <v>0.15808027316271203</v>
      </c>
      <c r="Q1288" s="3">
        <f>1/NOK!C1288</f>
        <v>0.15789058182679402</v>
      </c>
      <c r="R1288" s="3">
        <f>NZD!B1288/1</f>
        <v>0.81340000000000001</v>
      </c>
      <c r="S1288" s="3">
        <f>NZD!C1288/1</f>
        <v>0.81100000000000005</v>
      </c>
      <c r="T1288" s="4">
        <f>1/PHP!B1288</f>
        <v>2.2507314877335136E-2</v>
      </c>
      <c r="U1288" s="4">
        <f>1/PHP!C1288</f>
        <v>2.2484642988838621E-2</v>
      </c>
      <c r="V1288" s="4">
        <f>1/TWD!B1288</f>
        <v>3.3056758454265971E-2</v>
      </c>
      <c r="W1288" s="4">
        <f>1/TWD!C1288</f>
        <v>3.3056758454265971E-2</v>
      </c>
      <c r="X1288" s="4">
        <f>1/TWD!B1288</f>
        <v>3.3056758454265971E-2</v>
      </c>
      <c r="Y1288" s="4">
        <f>1/TWD!C1288</f>
        <v>3.3056758454265971E-2</v>
      </c>
      <c r="Z1288" s="4">
        <f>1/ZAR!B1288</f>
        <v>9.0127440200443429E-2</v>
      </c>
      <c r="AA1288" s="4">
        <f>1/ZAR!C1288</f>
        <v>8.965875876414367E-2</v>
      </c>
    </row>
    <row r="1289" spans="1:27" x14ac:dyDescent="0.25">
      <c r="A1289" t="str">
        <f>"22/09/2014"</f>
        <v>22/09/2014</v>
      </c>
      <c r="B1289" s="3">
        <f>AUD!B1289</f>
        <v>0.89400000000000002</v>
      </c>
      <c r="C1289" s="3">
        <f>AUD!C1289</f>
        <v>0.8921</v>
      </c>
      <c r="D1289" s="3">
        <f>1/CAD!B1289</f>
        <v>0.91474570069520678</v>
      </c>
      <c r="E1289" s="3">
        <f>1/CAD!C1289</f>
        <v>0.91407678244972568</v>
      </c>
      <c r="F1289" s="3">
        <f>EUR!B1289/1</f>
        <v>1.2864</v>
      </c>
      <c r="G1289" s="3">
        <f>EUR!C1289/1</f>
        <v>1.2867</v>
      </c>
      <c r="H1289" s="3">
        <f>GBP!B1289/1</f>
        <v>1.6357999999999999</v>
      </c>
      <c r="I1289" s="3">
        <f>GBP!C1289/1</f>
        <v>1.6354</v>
      </c>
      <c r="J1289" s="4">
        <f>1/INR!B1289</f>
        <v>1.6454134101192924E-2</v>
      </c>
      <c r="K1289" s="4">
        <f>1/INR!C1289</f>
        <v>1.6325864250438759E-2</v>
      </c>
      <c r="L1289" s="4">
        <f>1/JPY!B1289</f>
        <v>9.1955714128075915E-3</v>
      </c>
      <c r="M1289" s="4">
        <f>1/JPY!C1289</f>
        <v>9.200122913642127E-3</v>
      </c>
      <c r="N1289" s="5">
        <f>1/KRW!B1289</f>
        <v>9.616309260505817E-4</v>
      </c>
      <c r="O1289" s="5">
        <f>1/KRW!C1289</f>
        <v>9.6161335642487534E-4</v>
      </c>
      <c r="P1289" s="3">
        <f>1/NOK!B1289</f>
        <v>0.1576342255430499</v>
      </c>
      <c r="Q1289" s="3">
        <f>1/NOK!C1289</f>
        <v>0.15744560254432094</v>
      </c>
      <c r="R1289" s="3">
        <f>NZD!B1289/1</f>
        <v>0.81620000000000004</v>
      </c>
      <c r="S1289" s="3">
        <f>NZD!C1289/1</f>
        <v>0.81379999999999997</v>
      </c>
      <c r="T1289" s="4">
        <f>1/PHP!B1289</f>
        <v>2.2508328081390114E-2</v>
      </c>
      <c r="U1289" s="4">
        <f>1/PHP!C1289</f>
        <v>2.2485098001299639E-2</v>
      </c>
      <c r="V1289" s="4">
        <f>1/TWD!B1289</f>
        <v>3.3121356650768416E-2</v>
      </c>
      <c r="W1289" s="4">
        <f>1/TWD!C1289</f>
        <v>3.3121356650768416E-2</v>
      </c>
      <c r="X1289" s="4">
        <f>1/TWD!B1289</f>
        <v>3.3121356650768416E-2</v>
      </c>
      <c r="Y1289" s="4">
        <f>1/TWD!C1289</f>
        <v>3.3121356650768416E-2</v>
      </c>
      <c r="Z1289" s="4">
        <f>1/ZAR!B1289</f>
        <v>9.0462534941154124E-2</v>
      </c>
      <c r="AA1289" s="4">
        <f>1/ZAR!C1289</f>
        <v>8.9917545610675012E-2</v>
      </c>
    </row>
    <row r="1290" spans="1:27" x14ac:dyDescent="0.25">
      <c r="A1290" t="str">
        <f>"23/09/2014"</f>
        <v>23/09/2014</v>
      </c>
      <c r="B1290" s="3">
        <f>AUD!B1290</f>
        <v>0.89080000000000004</v>
      </c>
      <c r="C1290" s="3">
        <f>AUD!C1290</f>
        <v>0.88870000000000005</v>
      </c>
      <c r="D1290" s="3">
        <f>1/CAD!B1290</f>
        <v>0.90678273485672833</v>
      </c>
      <c r="E1290" s="3">
        <f>1/CAD!C1290</f>
        <v>0.90612540775643358</v>
      </c>
      <c r="F1290" s="3">
        <f>EUR!B1290/1</f>
        <v>1.2851999999999999</v>
      </c>
      <c r="G1290" s="3">
        <f>EUR!C1290/1</f>
        <v>1.2855000000000001</v>
      </c>
      <c r="H1290" s="3">
        <f>GBP!B1290/1</f>
        <v>1.6387</v>
      </c>
      <c r="I1290" s="3">
        <f>GBP!C1290/1</f>
        <v>1.6383000000000001</v>
      </c>
      <c r="J1290" s="4">
        <f>1/INR!B1290</f>
        <v>1.6417665407978985E-2</v>
      </c>
      <c r="K1290" s="4">
        <f>1/INR!C1290</f>
        <v>1.6295270297796066E-2</v>
      </c>
      <c r="L1290" s="4">
        <f>1/JPY!B1290</f>
        <v>9.1959096593835065E-3</v>
      </c>
      <c r="M1290" s="4">
        <f>1/JPY!C1290</f>
        <v>9.1992934942596409E-3</v>
      </c>
      <c r="N1290" s="5">
        <f>1/KRW!B1290</f>
        <v>9.6098404766480885E-4</v>
      </c>
      <c r="O1290" s="5">
        <f>1/KRW!C1290</f>
        <v>9.6096603994063148E-4</v>
      </c>
      <c r="P1290" s="3">
        <f>1/NOK!B1290</f>
        <v>0.1575175238245255</v>
      </c>
      <c r="Q1290" s="3">
        <f>1/NOK!C1290</f>
        <v>0.15733165512901195</v>
      </c>
      <c r="R1290" s="3">
        <f>NZD!B1290/1</f>
        <v>0.81269999999999998</v>
      </c>
      <c r="S1290" s="3">
        <f>NZD!C1290/1</f>
        <v>0.81</v>
      </c>
      <c r="T1290" s="4">
        <f>1/PHP!B1290</f>
        <v>2.244467387888854E-2</v>
      </c>
      <c r="U1290" s="4">
        <f>1/PHP!C1290</f>
        <v>2.2423032939435386E-2</v>
      </c>
      <c r="V1290" s="4">
        <f>1/TWD!B1290</f>
        <v>3.3068783068783074E-2</v>
      </c>
      <c r="W1290" s="4">
        <f>1/TWD!C1290</f>
        <v>3.3068892423586058E-2</v>
      </c>
      <c r="X1290" s="4">
        <f>1/TWD!B1290</f>
        <v>3.3068783068783074E-2</v>
      </c>
      <c r="Y1290" s="4">
        <f>1/TWD!C1290</f>
        <v>3.3068892423586058E-2</v>
      </c>
      <c r="Z1290" s="4">
        <f>1/ZAR!B1290</f>
        <v>8.9705407441960594E-2</v>
      </c>
      <c r="AA1290" s="4">
        <f>1/ZAR!C1290</f>
        <v>8.9172656096734498E-2</v>
      </c>
    </row>
    <row r="1291" spans="1:27" x14ac:dyDescent="0.25">
      <c r="A1291" t="str">
        <f>"24/09/2014"</f>
        <v>24/09/2014</v>
      </c>
      <c r="B1291" s="3">
        <f>AUD!B1291</f>
        <v>0.88629999999999998</v>
      </c>
      <c r="C1291" s="3">
        <f>AUD!C1291</f>
        <v>0.88429999999999997</v>
      </c>
      <c r="D1291" s="3">
        <f>1/CAD!B1291</f>
        <v>0.90269001624842038</v>
      </c>
      <c r="E1291" s="3">
        <f>1/CAD!C1291</f>
        <v>0.90195724722648141</v>
      </c>
      <c r="F1291" s="3">
        <f>EUR!B1291/1</f>
        <v>1.2856000000000001</v>
      </c>
      <c r="G1291" s="3">
        <f>EUR!C1291/1</f>
        <v>1.2858000000000001</v>
      </c>
      <c r="H1291" s="3">
        <f>GBP!B1291/1</f>
        <v>1.6405000000000001</v>
      </c>
      <c r="I1291" s="3">
        <f>GBP!C1291/1</f>
        <v>1.6400999999999999</v>
      </c>
      <c r="J1291" s="4">
        <f>1/INR!B1291</f>
        <v>1.6398819285011482E-2</v>
      </c>
      <c r="K1291" s="4">
        <f>1/INR!C1291</f>
        <v>1.6280016280016282E-2</v>
      </c>
      <c r="L1291" s="4">
        <f>1/JPY!B1291</f>
        <v>9.2097992263768646E-3</v>
      </c>
      <c r="M1291" s="4">
        <f>1/JPY!C1291</f>
        <v>9.2127179729072396E-3</v>
      </c>
      <c r="N1291" s="5">
        <f>1/KRW!B1291</f>
        <v>9.6200096200096204E-4</v>
      </c>
      <c r="O1291" s="5">
        <f>1/KRW!C1291</f>
        <v>9.6198421172272034E-4</v>
      </c>
      <c r="P1291" s="3">
        <f>1/NOK!B1291</f>
        <v>0.15752744915801578</v>
      </c>
      <c r="Q1291" s="3">
        <f>1/NOK!C1291</f>
        <v>0.1573291798429855</v>
      </c>
      <c r="R1291" s="3">
        <f>NZD!B1291/1</f>
        <v>0.80800000000000005</v>
      </c>
      <c r="S1291" s="3">
        <f>NZD!C1291/1</f>
        <v>0.8054</v>
      </c>
      <c r="T1291" s="4">
        <f>1/PHP!B1291</f>
        <v>2.2477971587843912E-2</v>
      </c>
      <c r="U1291" s="4">
        <f>1/PHP!C1291</f>
        <v>2.2454703249869201E-2</v>
      </c>
      <c r="V1291" s="4">
        <f>1/TWD!B1291</f>
        <v>3.3070970302268667E-2</v>
      </c>
      <c r="W1291" s="4">
        <f>1/TWD!C1291</f>
        <v>3.3070970302268667E-2</v>
      </c>
      <c r="X1291" s="4">
        <f>1/TWD!B1291</f>
        <v>3.3070970302268667E-2</v>
      </c>
      <c r="Y1291" s="4">
        <f>1/TWD!C1291</f>
        <v>3.3070970302268667E-2</v>
      </c>
      <c r="Z1291" s="4">
        <f>1/ZAR!B1291</f>
        <v>8.9680468490767398E-2</v>
      </c>
      <c r="AA1291" s="4">
        <f>1/ZAR!C1291</f>
        <v>8.9147217715335111E-2</v>
      </c>
    </row>
    <row r="1292" spans="1:27" x14ac:dyDescent="0.25">
      <c r="A1292" t="str">
        <f>"25/09/2014"</f>
        <v>25/09/2014</v>
      </c>
      <c r="B1292" s="3">
        <f>AUD!B1292</f>
        <v>0.88239999999999996</v>
      </c>
      <c r="C1292" s="3">
        <f>AUD!C1292</f>
        <v>0.88049999999999995</v>
      </c>
      <c r="D1292" s="3">
        <f>1/CAD!B1292</f>
        <v>0.90179457119668138</v>
      </c>
      <c r="E1292" s="3">
        <f>1/CAD!C1292</f>
        <v>0.90114445345588901</v>
      </c>
      <c r="F1292" s="3">
        <f>EUR!B1292/1</f>
        <v>1.2766999999999999</v>
      </c>
      <c r="G1292" s="3">
        <f>EUR!C1292/1</f>
        <v>1.2768999999999999</v>
      </c>
      <c r="H1292" s="3">
        <f>GBP!B1292/1</f>
        <v>1.6322000000000001</v>
      </c>
      <c r="I1292" s="3">
        <f>GBP!C1292/1</f>
        <v>1.6317999999999999</v>
      </c>
      <c r="J1292" s="4">
        <f>1/INR!B1292</f>
        <v>1.6385384237260363E-2</v>
      </c>
      <c r="K1292" s="4">
        <f>1/INR!C1292</f>
        <v>1.6270083384177344E-2</v>
      </c>
      <c r="L1292" s="4">
        <f>1/JPY!B1292</f>
        <v>9.162291672393099E-3</v>
      </c>
      <c r="M1292" s="4">
        <f>1/JPY!C1292</f>
        <v>9.1648695884881896E-3</v>
      </c>
      <c r="N1292" s="5">
        <f>1/KRW!B1292</f>
        <v>9.5822154082023775E-4</v>
      </c>
      <c r="O1292" s="5">
        <f>1/KRW!C1292</f>
        <v>9.5820639094916559E-4</v>
      </c>
      <c r="P1292" s="3">
        <f>1/NOK!B1292</f>
        <v>0.15618654921438166</v>
      </c>
      <c r="Q1292" s="3">
        <f>1/NOK!C1292</f>
        <v>0.15599893920721339</v>
      </c>
      <c r="R1292" s="3">
        <f>NZD!B1292/1</f>
        <v>0.79910000000000003</v>
      </c>
      <c r="S1292" s="3">
        <f>NZD!C1292/1</f>
        <v>0.79679999999999995</v>
      </c>
      <c r="T1292" s="4">
        <f>1/PHP!B1292</f>
        <v>2.2392404496394822E-2</v>
      </c>
      <c r="U1292" s="4">
        <f>1/PHP!C1292</f>
        <v>2.237226554984317E-2</v>
      </c>
      <c r="V1292" s="4">
        <f>1/TWD!B1292</f>
        <v>3.3018556428712938E-2</v>
      </c>
      <c r="W1292" s="4">
        <f>1/TWD!C1292</f>
        <v>3.3018556428712938E-2</v>
      </c>
      <c r="X1292" s="4">
        <f>1/TWD!B1292</f>
        <v>3.3018556428712938E-2</v>
      </c>
      <c r="Y1292" s="4">
        <f>1/TWD!C1292</f>
        <v>3.3018556428712938E-2</v>
      </c>
      <c r="Z1292" s="4">
        <f>1/ZAR!B1292</f>
        <v>8.9532728688972246E-2</v>
      </c>
      <c r="AA1292" s="4">
        <f>1/ZAR!C1292</f>
        <v>8.9021828152262936E-2</v>
      </c>
    </row>
    <row r="1293" spans="1:27" x14ac:dyDescent="0.25">
      <c r="A1293" t="str">
        <f>"26/09/2014"</f>
        <v>26/09/2014</v>
      </c>
      <c r="B1293" s="3">
        <f>AUD!B1293</f>
        <v>0.87639999999999996</v>
      </c>
      <c r="C1293" s="3">
        <f>AUD!C1293</f>
        <v>0.87439999999999996</v>
      </c>
      <c r="D1293" s="3">
        <f>1/CAD!B1293</f>
        <v>0.89936145336810858</v>
      </c>
      <c r="E1293" s="3">
        <f>1/CAD!C1293</f>
        <v>0.89863407620416969</v>
      </c>
      <c r="F1293" s="3">
        <f>EUR!B1293/1</f>
        <v>1.2747999999999999</v>
      </c>
      <c r="G1293" s="3">
        <f>EUR!C1293/1</f>
        <v>1.2749999999999999</v>
      </c>
      <c r="H1293" s="3">
        <f>GBP!B1293/1</f>
        <v>1.6308</v>
      </c>
      <c r="I1293" s="3">
        <f>GBP!C1293/1</f>
        <v>1.6304000000000001</v>
      </c>
      <c r="J1293" s="4">
        <f>1/INR!B1293</f>
        <v>1.6277366322129078E-2</v>
      </c>
      <c r="K1293" s="4">
        <f>1/INR!C1293</f>
        <v>1.6162269182593236E-2</v>
      </c>
      <c r="L1293" s="4">
        <f>1/JPY!B1293</f>
        <v>9.1781852892046187E-3</v>
      </c>
      <c r="M1293" s="4">
        <f>1/JPY!C1293</f>
        <v>9.1810081665067642E-3</v>
      </c>
      <c r="N1293" s="5">
        <f>1/KRW!B1293</f>
        <v>9.5877277085330771E-4</v>
      </c>
      <c r="O1293" s="5">
        <f>1/KRW!C1293</f>
        <v>9.5875760354701962E-4</v>
      </c>
      <c r="P1293" s="3">
        <f>1/NOK!B1293</f>
        <v>0.15619874728604677</v>
      </c>
      <c r="Q1293" s="3">
        <f>1/NOK!C1293</f>
        <v>0.15601110799088896</v>
      </c>
      <c r="R1293" s="3">
        <f>NZD!B1293/1</f>
        <v>0.79149999999999998</v>
      </c>
      <c r="S1293" s="3">
        <f>NZD!C1293/1</f>
        <v>0.78910000000000002</v>
      </c>
      <c r="T1293" s="4">
        <f>1/PHP!B1293</f>
        <v>2.2269235051775971E-2</v>
      </c>
      <c r="U1293" s="4">
        <f>1/PHP!C1293</f>
        <v>2.2248425923865885E-2</v>
      </c>
      <c r="V1293" s="4">
        <f>1/TWD!B1293</f>
        <v>3.2989690721649485E-2</v>
      </c>
      <c r="W1293" s="4">
        <f>1/TWD!C1293</f>
        <v>3.2989799553977912E-2</v>
      </c>
      <c r="X1293" s="4">
        <f>1/TWD!B1293</f>
        <v>3.2989690721649485E-2</v>
      </c>
      <c r="Y1293" s="4">
        <f>1/TWD!C1293</f>
        <v>3.2989799553977912E-2</v>
      </c>
      <c r="Z1293" s="4">
        <f>1/ZAR!B1293</f>
        <v>8.9222780360281584E-2</v>
      </c>
      <c r="AA1293" s="4">
        <f>1/ZAR!C1293</f>
        <v>8.8690222789839651E-2</v>
      </c>
    </row>
    <row r="1294" spans="1:27" x14ac:dyDescent="0.25">
      <c r="A1294" t="str">
        <f>"29/09/2014"</f>
        <v>29/09/2014</v>
      </c>
      <c r="B1294" s="3">
        <f>AUD!B1294</f>
        <v>0.87080000000000002</v>
      </c>
      <c r="C1294" s="3">
        <f>AUD!C1294</f>
        <v>0.86880000000000002</v>
      </c>
      <c r="D1294" s="3">
        <f>1/CAD!B1294</f>
        <v>0.89517500671381256</v>
      </c>
      <c r="E1294" s="3">
        <f>1/CAD!C1294</f>
        <v>0.89445438282647571</v>
      </c>
      <c r="F1294" s="3">
        <f>EUR!B1294/1</f>
        <v>1.2676000000000001</v>
      </c>
      <c r="G1294" s="3">
        <f>EUR!C1294/1</f>
        <v>1.2678</v>
      </c>
      <c r="H1294" s="3">
        <f>GBP!B1294/1</f>
        <v>1.6229</v>
      </c>
      <c r="I1294" s="3">
        <f>GBP!C1294/1</f>
        <v>1.6225000000000001</v>
      </c>
      <c r="J1294" s="4">
        <f>1/INR!B1294</f>
        <v>1.6282667100871125E-2</v>
      </c>
      <c r="K1294" s="4">
        <f>1/INR!C1294</f>
        <v>1.6160963193406326E-2</v>
      </c>
      <c r="L1294" s="4">
        <f>1/JPY!B1294</f>
        <v>9.1394311618044899E-3</v>
      </c>
      <c r="M1294" s="4">
        <f>1/JPY!C1294</f>
        <v>9.1415700097997633E-3</v>
      </c>
      <c r="N1294" s="5">
        <f>1/KRW!B1294</f>
        <v>9.5247166396799688E-4</v>
      </c>
      <c r="O1294" s="5">
        <f>1/KRW!C1294</f>
        <v>9.5245297596789711E-4</v>
      </c>
      <c r="P1294" s="3">
        <f>1/NOK!B1294</f>
        <v>0.15474127259222581</v>
      </c>
      <c r="Q1294" s="3">
        <f>1/NOK!C1294</f>
        <v>0.15446400988569664</v>
      </c>
      <c r="R1294" s="3">
        <f>NZD!B1294/1</f>
        <v>0.77649999999999997</v>
      </c>
      <c r="S1294" s="3">
        <f>NZD!C1294/1</f>
        <v>0.77390000000000003</v>
      </c>
      <c r="T1294" s="4">
        <f>1/PHP!B1294</f>
        <v>2.2203472623118257E-2</v>
      </c>
      <c r="U1294" s="4">
        <f>1/PHP!C1294</f>
        <v>2.2182736950450421E-2</v>
      </c>
      <c r="V1294" s="4">
        <f>1/TWD!B1294</f>
        <v>3.2817012339196636E-2</v>
      </c>
      <c r="W1294" s="4">
        <f>1/TWD!C1294</f>
        <v>3.2817012339196636E-2</v>
      </c>
      <c r="X1294" s="4">
        <f>1/TWD!B1294</f>
        <v>3.2817012339196636E-2</v>
      </c>
      <c r="Y1294" s="4">
        <f>1/TWD!C1294</f>
        <v>3.2817012339196636E-2</v>
      </c>
      <c r="Z1294" s="4">
        <f>1/ZAR!B1294</f>
        <v>8.8901532662423094E-2</v>
      </c>
      <c r="AA1294" s="4">
        <f>1/ZAR!C1294</f>
        <v>8.7961578382562494E-2</v>
      </c>
    </row>
    <row r="1295" spans="1:27" x14ac:dyDescent="0.25">
      <c r="A1295" t="str">
        <f>"30/09/2014"</f>
        <v>30/09/2014</v>
      </c>
      <c r="B1295" s="3">
        <f>AUD!B1295</f>
        <v>0.87590000000000001</v>
      </c>
      <c r="C1295" s="3">
        <f>AUD!C1295</f>
        <v>0.87390000000000001</v>
      </c>
      <c r="D1295" s="3">
        <f>1/CAD!B1295</f>
        <v>0.89742439199497437</v>
      </c>
      <c r="E1295" s="3">
        <f>1/CAD!C1295</f>
        <v>0.89678055779750698</v>
      </c>
      <c r="F1295" s="3">
        <f>EUR!B1295/1</f>
        <v>1.2695000000000001</v>
      </c>
      <c r="G1295" s="3">
        <f>EUR!C1295/1</f>
        <v>1.2698</v>
      </c>
      <c r="H1295" s="3">
        <f>GBP!B1295/1</f>
        <v>1.6264000000000001</v>
      </c>
      <c r="I1295" s="3">
        <f>GBP!C1295/1</f>
        <v>1.6258999999999999</v>
      </c>
      <c r="J1295" s="4">
        <f>1/INR!B1295</f>
        <v>1.6225864027259451E-2</v>
      </c>
      <c r="K1295" s="4">
        <f>1/INR!C1295</f>
        <v>1.6113438607798902E-2</v>
      </c>
      <c r="L1295" s="4">
        <f>1/JPY!B1295</f>
        <v>9.1492145399317461E-3</v>
      </c>
      <c r="M1295" s="4">
        <f>1/JPY!C1295</f>
        <v>9.1511904783693303E-3</v>
      </c>
      <c r="N1295" s="5">
        <f>1/KRW!B1295</f>
        <v>9.4966761633428305E-4</v>
      </c>
      <c r="O1295" s="5">
        <f>1/KRW!C1295</f>
        <v>9.4965048114041626E-4</v>
      </c>
      <c r="P1295" s="3">
        <f>1/NOK!B1295</f>
        <v>0.15529155990371923</v>
      </c>
      <c r="Q1295" s="3">
        <f>1/NOK!C1295</f>
        <v>0.15499310280692508</v>
      </c>
      <c r="R1295" s="3">
        <f>NZD!B1295/1</f>
        <v>0.78100000000000003</v>
      </c>
      <c r="S1295" s="3">
        <f>NZD!C1295/1</f>
        <v>0.77859999999999996</v>
      </c>
      <c r="T1295" s="4">
        <f>1/PHP!B1295</f>
        <v>2.2301516503122211E-2</v>
      </c>
      <c r="U1295" s="4">
        <f>1/PHP!C1295</f>
        <v>2.2284122562674095E-2</v>
      </c>
      <c r="V1295" s="4">
        <f>1/TWD!B1295</f>
        <v>3.2853669754911628E-2</v>
      </c>
      <c r="W1295" s="4">
        <f>1/TWD!C1295</f>
        <v>3.2853669754911628E-2</v>
      </c>
      <c r="X1295" s="4">
        <f>1/TWD!B1295</f>
        <v>3.2853669754911628E-2</v>
      </c>
      <c r="Y1295" s="4">
        <f>1/TWD!C1295</f>
        <v>3.2853669754911628E-2</v>
      </c>
      <c r="Z1295" s="4">
        <f>1/ZAR!B1295</f>
        <v>8.8883358368812601E-2</v>
      </c>
      <c r="AA1295" s="4">
        <f>1/ZAR!C1295</f>
        <v>8.7967768609581443E-2</v>
      </c>
    </row>
    <row r="1296" spans="1:27" x14ac:dyDescent="0.25">
      <c r="A1296" t="str">
        <f>"01/10/2014"</f>
        <v>01/10/2014</v>
      </c>
      <c r="B1296" s="3">
        <f>AUD!B1296</f>
        <v>0.86680000000000001</v>
      </c>
      <c r="C1296" s="3">
        <f>AUD!C1296</f>
        <v>0.86480000000000001</v>
      </c>
      <c r="D1296" s="3">
        <f>1/CAD!B1296</f>
        <v>0.891583452211127</v>
      </c>
      <c r="E1296" s="3">
        <f>1/CAD!C1296</f>
        <v>0.89094796863863146</v>
      </c>
      <c r="F1296" s="3">
        <f>EUR!B1296/1</f>
        <v>1.2613000000000001</v>
      </c>
      <c r="G1296" s="3">
        <f>EUR!C1296/1</f>
        <v>1.2615000000000001</v>
      </c>
      <c r="H1296" s="3">
        <f>GBP!B1296/1</f>
        <v>1.6182000000000001</v>
      </c>
      <c r="I1296" s="3">
        <f>GBP!C1296/1</f>
        <v>1.6176999999999999</v>
      </c>
      <c r="J1296" s="4">
        <f>1/INR!B1296</f>
        <v>1.6181229773462785E-2</v>
      </c>
      <c r="K1296" s="4">
        <f>1/INR!C1296</f>
        <v>1.6061031921300942E-2</v>
      </c>
      <c r="L1296" s="4">
        <f>1/JPY!B1296</f>
        <v>9.097277184938548E-3</v>
      </c>
      <c r="M1296" s="4">
        <f>1/JPY!C1296</f>
        <v>9.0991231175051659E-3</v>
      </c>
      <c r="N1296" s="5">
        <f>1/KRW!B1296</f>
        <v>9.4024728503596452E-4</v>
      </c>
      <c r="O1296" s="5">
        <f>1/KRW!C1296</f>
        <v>9.4023093011874636E-4</v>
      </c>
      <c r="P1296" s="3">
        <f>1/NOK!B1296</f>
        <v>0.15536876777030281</v>
      </c>
      <c r="Q1296" s="3">
        <f>1/NOK!C1296</f>
        <v>0.1550916591705698</v>
      </c>
      <c r="R1296" s="3">
        <f>NZD!B1296/1</f>
        <v>0.77700000000000002</v>
      </c>
      <c r="S1296" s="3">
        <f>NZD!C1296/1</f>
        <v>0.77459999999999996</v>
      </c>
      <c r="T1296" s="4">
        <f>1/PHP!B1296</f>
        <v>2.2232103156958651E-2</v>
      </c>
      <c r="U1296" s="4">
        <f>1/PHP!C1296</f>
        <v>2.2214323795983652E-2</v>
      </c>
      <c r="V1296" s="4">
        <f>1/TWD!B1296</f>
        <v>3.2801941874958995E-2</v>
      </c>
      <c r="W1296" s="4">
        <f>1/TWD!C1296</f>
        <v>3.2801941874958995E-2</v>
      </c>
      <c r="X1296" s="4">
        <f>1/TWD!B1296</f>
        <v>3.2801941874958995E-2</v>
      </c>
      <c r="Y1296" s="4">
        <f>1/TWD!C1296</f>
        <v>3.2801941874958995E-2</v>
      </c>
      <c r="Z1296" s="4">
        <f>1/ZAR!B1296</f>
        <v>8.8264369439344736E-2</v>
      </c>
      <c r="AA1296" s="4">
        <f>1/ZAR!C1296</f>
        <v>8.738737951465049E-2</v>
      </c>
    </row>
    <row r="1297" spans="1:27" x14ac:dyDescent="0.25">
      <c r="A1297" t="str">
        <f>"07/10/2014"</f>
        <v>07/10/2014</v>
      </c>
      <c r="B1297" s="3">
        <f>AUD!B1297</f>
        <v>0.87480000000000002</v>
      </c>
      <c r="C1297" s="3">
        <f>AUD!C1297</f>
        <v>0.87270000000000003</v>
      </c>
      <c r="D1297" s="3">
        <f>1/CAD!B1297</f>
        <v>0.89453439484748198</v>
      </c>
      <c r="E1297" s="3">
        <f>1/CAD!C1297</f>
        <v>0.89373491822325501</v>
      </c>
      <c r="F1297" s="3">
        <f>EUR!B1297/1</f>
        <v>1.2615000000000001</v>
      </c>
      <c r="G1297" s="3">
        <f>EUR!C1297/1</f>
        <v>1.2617</v>
      </c>
      <c r="H1297" s="3">
        <f>GBP!B1297/1</f>
        <v>1.6043000000000001</v>
      </c>
      <c r="I1297" s="3">
        <f>GBP!C1297/1</f>
        <v>1.6037999999999999</v>
      </c>
      <c r="J1297" s="4">
        <f>1/INR!B1297</f>
        <v>1.6276041666666668E-2</v>
      </c>
      <c r="K1297" s="4">
        <f>1/INR!C1297</f>
        <v>1.6157699143641947E-2</v>
      </c>
      <c r="L1297" s="4">
        <f>1/JPY!B1297</f>
        <v>9.1638029782359683E-3</v>
      </c>
      <c r="M1297" s="4">
        <f>1/JPY!C1297</f>
        <v>9.1659952575140532E-3</v>
      </c>
      <c r="N1297" s="5">
        <f>1/KRW!B1297</f>
        <v>9.3431748108007101E-4</v>
      </c>
      <c r="O1297" s="5">
        <f>1/KRW!C1297</f>
        <v>9.3430080804873989E-4</v>
      </c>
      <c r="P1297" s="3">
        <f>1/NOK!B1297</f>
        <v>0.15397881251539788</v>
      </c>
      <c r="Q1297" s="3">
        <f>1/NOK!C1297</f>
        <v>0.15369482355834255</v>
      </c>
      <c r="R1297" s="3">
        <f>NZD!B1297/1</f>
        <v>0.78</v>
      </c>
      <c r="S1297" s="3">
        <f>NZD!C1297/1</f>
        <v>0.77749999999999997</v>
      </c>
      <c r="T1297" s="4">
        <f>1/PHP!B1297</f>
        <v>2.2341376228775692E-2</v>
      </c>
      <c r="U1297" s="4">
        <f>1/PHP!C1297</f>
        <v>2.2323322067496796E-2</v>
      </c>
      <c r="V1297" s="4">
        <f>1/TWD!B1297</f>
        <v>3.2848273823210587E-2</v>
      </c>
      <c r="W1297" s="4">
        <f>1/TWD!C1297</f>
        <v>3.2848273823210587E-2</v>
      </c>
      <c r="X1297" s="4">
        <f>1/TWD!B1297</f>
        <v>3.2848273823210587E-2</v>
      </c>
      <c r="Y1297" s="4">
        <f>1/TWD!C1297</f>
        <v>3.2848273823210587E-2</v>
      </c>
      <c r="Z1297" s="4">
        <f>1/ZAR!B1297</f>
        <v>8.8967971530249115E-2</v>
      </c>
      <c r="AA1297" s="4">
        <f>1/ZAR!C1297</f>
        <v>8.7751627792695561E-2</v>
      </c>
    </row>
    <row r="1298" spans="1:27" x14ac:dyDescent="0.25">
      <c r="A1298" t="str">
        <f>"08/10/2014"</f>
        <v>08/10/2014</v>
      </c>
      <c r="B1298" s="3">
        <f>AUD!B1298</f>
        <v>0.87770000000000004</v>
      </c>
      <c r="C1298" s="3">
        <f>AUD!C1298</f>
        <v>0.87570000000000003</v>
      </c>
      <c r="D1298" s="3">
        <f>1/CAD!B1298</f>
        <v>0.89445438282647571</v>
      </c>
      <c r="E1298" s="3">
        <f>1/CAD!C1298</f>
        <v>0.89373491822325501</v>
      </c>
      <c r="F1298" s="3">
        <f>EUR!B1298/1</f>
        <v>1.2635000000000001</v>
      </c>
      <c r="G1298" s="3">
        <f>EUR!C1298/1</f>
        <v>1.2638</v>
      </c>
      <c r="H1298" s="3">
        <f>GBP!B1298/1</f>
        <v>1.6063000000000001</v>
      </c>
      <c r="I1298" s="3">
        <f>GBP!C1298/1</f>
        <v>1.6059000000000001</v>
      </c>
      <c r="J1298" s="4">
        <f>1/INR!B1298</f>
        <v>1.6279353709657725E-2</v>
      </c>
      <c r="K1298" s="4">
        <f>1/INR!C1298</f>
        <v>1.6163575382874693E-2</v>
      </c>
      <c r="L1298" s="4">
        <f>1/JPY!B1298</f>
        <v>9.2302012183865609E-3</v>
      </c>
      <c r="M1298" s="4">
        <f>1/JPY!C1298</f>
        <v>9.2323827672036209E-3</v>
      </c>
      <c r="N1298" s="5">
        <f>1/KRW!B1298</f>
        <v>9.322270905192504E-4</v>
      </c>
      <c r="O1298" s="5">
        <f>1/KRW!C1298</f>
        <v>9.3221144792946507E-4</v>
      </c>
      <c r="P1298" s="3">
        <f>1/NOK!B1298</f>
        <v>0.15440676919276142</v>
      </c>
      <c r="Q1298" s="3">
        <f>1/NOK!C1298</f>
        <v>0.15419962683690305</v>
      </c>
      <c r="R1298" s="3">
        <f>NZD!B1298/1</f>
        <v>0.77980000000000005</v>
      </c>
      <c r="S1298" s="3">
        <f>NZD!C1298/1</f>
        <v>0.77739999999999998</v>
      </c>
      <c r="T1298" s="4">
        <f>1/PHP!B1298</f>
        <v>2.2299527250022298E-2</v>
      </c>
      <c r="U1298" s="4">
        <f>1/PHP!C1298</f>
        <v>2.228213641123911E-2</v>
      </c>
      <c r="V1298" s="4">
        <f>1/TWD!B1298</f>
        <v>3.2861227038217609E-2</v>
      </c>
      <c r="W1298" s="4">
        <f>1/TWD!C1298</f>
        <v>3.2861227038217609E-2</v>
      </c>
      <c r="X1298" s="4">
        <f>1/TWD!B1298</f>
        <v>3.2861227038217609E-2</v>
      </c>
      <c r="Y1298" s="4">
        <f>1/TWD!C1298</f>
        <v>3.2861227038217609E-2</v>
      </c>
      <c r="Z1298" s="4">
        <f>1/ZAR!B1298</f>
        <v>8.9094796863863152E-2</v>
      </c>
      <c r="AA1298" s="4">
        <f>1/ZAR!C1298</f>
        <v>8.8184199155195375E-2</v>
      </c>
    </row>
    <row r="1299" spans="1:27" x14ac:dyDescent="0.25">
      <c r="A1299" t="str">
        <f>"09/10/2014"</f>
        <v>09/10/2014</v>
      </c>
      <c r="B1299" s="3">
        <f>AUD!B1299</f>
        <v>0.88770000000000004</v>
      </c>
      <c r="C1299" s="3">
        <f>AUD!C1299</f>
        <v>0.88570000000000004</v>
      </c>
      <c r="D1299" s="3">
        <f>1/CAD!B1299</f>
        <v>0.90130689499774674</v>
      </c>
      <c r="E1299" s="3">
        <f>1/CAD!C1299</f>
        <v>0.90065747996037104</v>
      </c>
      <c r="F1299" s="3">
        <f>EUR!B1299/1</f>
        <v>1.2749999999999999</v>
      </c>
      <c r="G1299" s="3">
        <f>EUR!C1299/1</f>
        <v>1.2753000000000001</v>
      </c>
      <c r="H1299" s="3">
        <f>GBP!B1299/1</f>
        <v>1.6191</v>
      </c>
      <c r="I1299" s="3">
        <f>GBP!C1299/1</f>
        <v>1.6187</v>
      </c>
      <c r="J1299" s="4">
        <f>1/INR!B1299</f>
        <v>1.6371301109155648E-2</v>
      </c>
      <c r="K1299" s="4">
        <f>1/INR!C1299</f>
        <v>1.6255537042305035E-2</v>
      </c>
      <c r="L1299" s="4">
        <f>1/JPY!B1299</f>
        <v>9.266466510990029E-3</v>
      </c>
      <c r="M1299" s="4">
        <f>1/JPY!C1299</f>
        <v>9.2685191964935344E-3</v>
      </c>
      <c r="N1299" s="5">
        <f>1/KRW!B1299</f>
        <v>9.3920524452208545E-4</v>
      </c>
      <c r="O1299" s="5">
        <f>1/KRW!C1299</f>
        <v>9.3918971970446334E-4</v>
      </c>
      <c r="P1299" s="3">
        <f>1/NOK!B1299</f>
        <v>0.15555002488800398</v>
      </c>
      <c r="Q1299" s="3">
        <f>1/NOK!C1299</f>
        <v>0.15534463206623897</v>
      </c>
      <c r="R1299" s="3">
        <f>NZD!B1299/1</f>
        <v>0.79430000000000001</v>
      </c>
      <c r="S1299" s="3">
        <f>NZD!C1299/1</f>
        <v>0.79179999999999995</v>
      </c>
      <c r="T1299" s="4">
        <f>1/PHP!B1299</f>
        <v>2.2357609971494049E-2</v>
      </c>
      <c r="U1299" s="4">
        <f>1/PHP!C1299</f>
        <v>2.2340877102835055E-2</v>
      </c>
      <c r="V1299" s="4">
        <f>1/TWD!B1299</f>
        <v>3.2927230819888048E-2</v>
      </c>
      <c r="W1299" s="4">
        <f>1/TWD!C1299</f>
        <v>3.2927339240497989E-2</v>
      </c>
      <c r="X1299" s="4">
        <f>1/TWD!B1299</f>
        <v>3.2927230819888048E-2</v>
      </c>
      <c r="Y1299" s="4">
        <f>1/TWD!C1299</f>
        <v>3.2927339240497989E-2</v>
      </c>
      <c r="Z1299" s="4">
        <f>1/ZAR!B1299</f>
        <v>9.0624858398658761E-2</v>
      </c>
      <c r="AA1299" s="4">
        <f>1/ZAR!C1299</f>
        <v>8.9924014207994243E-2</v>
      </c>
    </row>
    <row r="1300" spans="1:27" x14ac:dyDescent="0.25">
      <c r="A1300" t="str">
        <f>"10/10/2014"</f>
        <v>10/10/2014</v>
      </c>
      <c r="B1300" s="3">
        <f>AUD!B1300</f>
        <v>0.87760000000000005</v>
      </c>
      <c r="C1300" s="3">
        <f>AUD!C1300</f>
        <v>0.87570000000000003</v>
      </c>
      <c r="D1300" s="3">
        <f>1/CAD!B1300</f>
        <v>0.89365504915102767</v>
      </c>
      <c r="E1300" s="3">
        <f>1/CAD!C1300</f>
        <v>0.89285714285714279</v>
      </c>
      <c r="F1300" s="3">
        <f>EUR!B1300/1</f>
        <v>1.2701</v>
      </c>
      <c r="G1300" s="3">
        <f>EUR!C1300/1</f>
        <v>1.2704</v>
      </c>
      <c r="H1300" s="3">
        <f>GBP!B1300/1</f>
        <v>1.6124000000000001</v>
      </c>
      <c r="I1300" s="3">
        <f>GBP!C1300/1</f>
        <v>1.6120000000000001</v>
      </c>
      <c r="J1300" s="4">
        <f>1/INR!B1300</f>
        <v>1.6347882949158083E-2</v>
      </c>
      <c r="K1300" s="4">
        <f>1/INR!C1300</f>
        <v>1.6223231667748216E-2</v>
      </c>
      <c r="L1300" s="4">
        <f>1/JPY!B1300</f>
        <v>9.2779009676850713E-3</v>
      </c>
      <c r="M1300" s="4">
        <f>1/JPY!C1300</f>
        <v>9.2798381596224961E-3</v>
      </c>
      <c r="N1300" s="5">
        <f>1/KRW!B1300</f>
        <v>9.3501636278634881E-4</v>
      </c>
      <c r="O1300" s="5">
        <f>1/KRW!C1300</f>
        <v>9.3499835346789952E-4</v>
      </c>
      <c r="P1300" s="3">
        <f>1/NOK!B1300</f>
        <v>0.15455711658243304</v>
      </c>
      <c r="Q1300" s="3">
        <f>1/NOK!C1300</f>
        <v>0.154354335813293</v>
      </c>
      <c r="R1300" s="3">
        <f>NZD!B1300/1</f>
        <v>0.78710000000000002</v>
      </c>
      <c r="S1300" s="3">
        <f>NZD!C1300/1</f>
        <v>0.78469999999999995</v>
      </c>
      <c r="T1300" s="4">
        <f>1/PHP!B1300</f>
        <v>2.2353361945636627E-2</v>
      </c>
      <c r="U1300" s="4">
        <f>1/PHP!C1300</f>
        <v>2.2335887069754975E-2</v>
      </c>
      <c r="V1300" s="4">
        <f>1/TWD!B1300</f>
        <v>3.291747588794891E-2</v>
      </c>
      <c r="W1300" s="4">
        <f>1/TWD!C1300</f>
        <v>3.291747588794891E-2</v>
      </c>
      <c r="X1300" s="4">
        <f>1/TWD!B1300</f>
        <v>3.291747588794891E-2</v>
      </c>
      <c r="Y1300" s="4">
        <f>1/TWD!C1300</f>
        <v>3.291747588794891E-2</v>
      </c>
      <c r="Z1300" s="4">
        <f>1/ZAR!B1300</f>
        <v>9.0287747049847863E-2</v>
      </c>
      <c r="AA1300" s="4">
        <f>1/ZAR!C1300</f>
        <v>8.9367102182344629E-2</v>
      </c>
    </row>
    <row r="1301" spans="1:27" x14ac:dyDescent="0.25">
      <c r="A1301" t="str">
        <f>"13/10/2014"</f>
        <v>13/10/2014</v>
      </c>
      <c r="B1301" s="3">
        <f>AUD!B1301</f>
        <v>0.87309999999999999</v>
      </c>
      <c r="C1301" s="3">
        <f>AUD!C1301</f>
        <v>0.87109999999999999</v>
      </c>
      <c r="D1301" s="3">
        <f>1/CAD!B1301</f>
        <v>0.89261804873694539</v>
      </c>
      <c r="E1301" s="3">
        <f>1/CAD!C1301</f>
        <v>0.89190153407063866</v>
      </c>
      <c r="F1301" s="3">
        <f>EUR!B1301/1</f>
        <v>1.2682</v>
      </c>
      <c r="G1301" s="3">
        <f>EUR!C1301/1</f>
        <v>1.2685</v>
      </c>
      <c r="H1301" s="3">
        <f>GBP!B1301/1</f>
        <v>1.6114999999999999</v>
      </c>
      <c r="I1301" s="3">
        <f>GBP!C1301/1</f>
        <v>1.611</v>
      </c>
      <c r="J1301" s="4">
        <f>1/INR!B1301</f>
        <v>1.6330529925696089E-2</v>
      </c>
      <c r="K1301" s="4">
        <f>1/INR!C1301</f>
        <v>1.6213367921851567E-2</v>
      </c>
      <c r="L1301" s="4">
        <f>1/JPY!B1301</f>
        <v>9.3295766238128113E-3</v>
      </c>
      <c r="M1301" s="4">
        <f>1/JPY!C1301</f>
        <v>9.331526749754581E-3</v>
      </c>
      <c r="N1301" s="5">
        <f>1/KRW!B1301</f>
        <v>9.3711929528629003E-4</v>
      </c>
      <c r="O1301" s="5">
        <f>1/KRW!C1301</f>
        <v>9.3710173176400039E-4</v>
      </c>
      <c r="P1301" s="3">
        <f>1/NOK!B1301</f>
        <v>0.15393614728610572</v>
      </c>
      <c r="Q1301" s="3">
        <f>1/NOK!C1301</f>
        <v>0.15371608638844056</v>
      </c>
      <c r="R1301" s="3">
        <f>NZD!B1301/1</f>
        <v>0.78700000000000003</v>
      </c>
      <c r="S1301" s="3">
        <f>NZD!C1301/1</f>
        <v>0.78439999999999999</v>
      </c>
      <c r="T1301" s="4">
        <f>1/PHP!B1301</f>
        <v>2.2334390494483405E-2</v>
      </c>
      <c r="U1301" s="4">
        <f>1/PHP!C1301</f>
        <v>2.2317692350610947E-2</v>
      </c>
      <c r="V1301" s="4">
        <f>1/TWD!B1301</f>
        <v>3.2891490971285728E-2</v>
      </c>
      <c r="W1301" s="4">
        <f>1/TWD!C1301</f>
        <v>3.2891490971285728E-2</v>
      </c>
      <c r="X1301" s="4">
        <f>1/TWD!B1301</f>
        <v>3.2891490971285728E-2</v>
      </c>
      <c r="Y1301" s="4">
        <f>1/TWD!C1301</f>
        <v>3.2891490971285728E-2</v>
      </c>
      <c r="Z1301" s="4">
        <f>1/ZAR!B1301</f>
        <v>9.0132314237300365E-2</v>
      </c>
      <c r="AA1301" s="4">
        <f>1/ZAR!C1301</f>
        <v>8.9148807188959817E-2</v>
      </c>
    </row>
    <row r="1302" spans="1:27" x14ac:dyDescent="0.25">
      <c r="A1302" t="str">
        <f>"14/10/2014"</f>
        <v>14/10/2014</v>
      </c>
      <c r="B1302" s="3">
        <f>AUD!B1302</f>
        <v>0.87939999999999996</v>
      </c>
      <c r="C1302" s="3">
        <f>AUD!C1302</f>
        <v>0.87739999999999996</v>
      </c>
      <c r="D1302" s="3">
        <f>1/CAD!B1302</f>
        <v>0.89221984296930767</v>
      </c>
      <c r="E1302" s="3">
        <f>1/CAD!C1302</f>
        <v>0.89150396719265412</v>
      </c>
      <c r="F1302" s="3">
        <f>EUR!B1302/1</f>
        <v>1.2721</v>
      </c>
      <c r="G1302" s="3">
        <f>EUR!C1302/1</f>
        <v>1.2724</v>
      </c>
      <c r="H1302" s="3">
        <f>GBP!B1302/1</f>
        <v>1.6069</v>
      </c>
      <c r="I1302" s="3">
        <f>GBP!C1302/1</f>
        <v>1.6065</v>
      </c>
      <c r="J1302" s="4">
        <f>1/INR!B1302</f>
        <v>1.638941243956404E-2</v>
      </c>
      <c r="K1302" s="4">
        <f>1/INR!C1302</f>
        <v>1.6276703967446592E-2</v>
      </c>
      <c r="L1302" s="4">
        <f>1/JPY!B1302</f>
        <v>9.3291414391133577E-3</v>
      </c>
      <c r="M1302" s="4">
        <f>1/JPY!C1302</f>
        <v>9.3311000900451156E-3</v>
      </c>
      <c r="N1302" s="5">
        <f>1/KRW!B1302</f>
        <v>9.4055680963130172E-4</v>
      </c>
      <c r="O1302" s="5">
        <f>1/KRW!C1302</f>
        <v>9.4053690549250027E-4</v>
      </c>
      <c r="P1302" s="3">
        <f>1/NOK!B1302</f>
        <v>0.15410932515526515</v>
      </c>
      <c r="Q1302" s="3">
        <f>1/NOK!C1302</f>
        <v>0.15391008572791776</v>
      </c>
      <c r="R1302" s="3">
        <f>NZD!B1302/1</f>
        <v>0.78939999999999999</v>
      </c>
      <c r="S1302" s="3">
        <f>NZD!C1302/1</f>
        <v>0.78690000000000004</v>
      </c>
      <c r="T1302" s="4">
        <f>1/PHP!B1302</f>
        <v>2.2344371452831031E-2</v>
      </c>
      <c r="U1302" s="4">
        <f>1/PHP!C1302</f>
        <v>2.2329652662252841E-2</v>
      </c>
      <c r="V1302" s="4">
        <f>1/TWD!B1302</f>
        <v>3.2890409156689907E-2</v>
      </c>
      <c r="W1302" s="4">
        <f>1/TWD!C1302</f>
        <v>3.2890409156689907E-2</v>
      </c>
      <c r="X1302" s="4">
        <f>1/TWD!B1302</f>
        <v>3.2890409156689907E-2</v>
      </c>
      <c r="Y1302" s="4">
        <f>1/TWD!C1302</f>
        <v>3.2890409156689907E-2</v>
      </c>
      <c r="Z1302" s="4">
        <f>1/ZAR!B1302</f>
        <v>9.0693899021412838E-2</v>
      </c>
      <c r="AA1302" s="4">
        <f>1/ZAR!C1302</f>
        <v>8.9963654683507852E-2</v>
      </c>
    </row>
    <row r="1303" spans="1:27" x14ac:dyDescent="0.25">
      <c r="A1303" t="str">
        <f>"16/10/2014"</f>
        <v>16/10/2014</v>
      </c>
      <c r="B1303" s="3">
        <f>AUD!B1303</f>
        <v>0.87849999999999995</v>
      </c>
      <c r="C1303" s="3">
        <f>AUD!C1303</f>
        <v>0.87649999999999995</v>
      </c>
      <c r="D1303" s="3">
        <f>1/CAD!B1303</f>
        <v>0.88754770568918073</v>
      </c>
      <c r="E1303" s="3">
        <f>1/CAD!C1303</f>
        <v>0.88676066329697623</v>
      </c>
      <c r="F1303" s="3">
        <f>EUR!B1303/1</f>
        <v>1.2817000000000001</v>
      </c>
      <c r="G1303" s="3">
        <f>EUR!C1303/1</f>
        <v>1.2819</v>
      </c>
      <c r="H1303" s="3">
        <f>GBP!B1303/1</f>
        <v>1.5976999999999999</v>
      </c>
      <c r="I1303" s="3">
        <f>GBP!C1303/1</f>
        <v>1.5972</v>
      </c>
      <c r="J1303" s="4">
        <f>1/INR!B1303</f>
        <v>1.6231131309852296E-2</v>
      </c>
      <c r="K1303" s="4">
        <f>1/INR!C1303</f>
        <v>1.6121231662098983E-2</v>
      </c>
      <c r="L1303" s="4">
        <f>1/JPY!B1303</f>
        <v>9.4153092929102726E-3</v>
      </c>
      <c r="M1303" s="4">
        <f>1/JPY!C1303</f>
        <v>9.4173663769884768E-3</v>
      </c>
      <c r="N1303" s="5">
        <f>1/KRW!B1303</f>
        <v>9.4215187488223091E-4</v>
      </c>
      <c r="O1303" s="5">
        <f>1/KRW!C1303</f>
        <v>9.4213714012009989E-4</v>
      </c>
      <c r="P1303" s="3">
        <f>1/NOK!B1303</f>
        <v>0.15249248974488008</v>
      </c>
      <c r="Q1303" s="3">
        <f>1/NOK!C1303</f>
        <v>0.15230900450834653</v>
      </c>
      <c r="R1303" s="3">
        <f>NZD!B1303/1</f>
        <v>0.79730000000000001</v>
      </c>
      <c r="S1303" s="3">
        <f>NZD!C1303/1</f>
        <v>0.79479999999999995</v>
      </c>
      <c r="T1303" s="4">
        <f>1/PHP!B1303</f>
        <v>2.2308979364194088E-2</v>
      </c>
      <c r="U1303" s="4">
        <f>1/PHP!C1303</f>
        <v>2.2293959228807361E-2</v>
      </c>
      <c r="V1303" s="4">
        <f>1/TWD!B1303</f>
        <v>3.2903936956056791E-2</v>
      </c>
      <c r="W1303" s="4">
        <f>1/TWD!C1303</f>
        <v>3.2903936956056791E-2</v>
      </c>
      <c r="X1303" s="4">
        <f>1/TWD!B1303</f>
        <v>3.2903936956056791E-2</v>
      </c>
      <c r="Y1303" s="4">
        <f>1/TWD!C1303</f>
        <v>3.2903936956056791E-2</v>
      </c>
      <c r="Z1303" s="4">
        <f>1/ZAR!B1303</f>
        <v>9.0278780875343051E-2</v>
      </c>
      <c r="AA1303" s="4">
        <f>1/ZAR!C1303</f>
        <v>8.9357519435260477E-2</v>
      </c>
    </row>
    <row r="1304" spans="1:27" x14ac:dyDescent="0.25">
      <c r="A1304" t="str">
        <f>"17/10/2014"</f>
        <v>17/10/2014</v>
      </c>
      <c r="B1304" s="3">
        <f>AUD!B1304</f>
        <v>0.87539999999999996</v>
      </c>
      <c r="C1304" s="3">
        <f>AUD!C1304</f>
        <v>0.87350000000000005</v>
      </c>
      <c r="D1304" s="3">
        <f>1/CAD!B1304</f>
        <v>0.88802060207796818</v>
      </c>
      <c r="E1304" s="3">
        <f>1/CAD!C1304</f>
        <v>0.88723272114275575</v>
      </c>
      <c r="F1304" s="3">
        <f>EUR!B1304/1</f>
        <v>1.2795000000000001</v>
      </c>
      <c r="G1304" s="3">
        <f>EUR!C1304/1</f>
        <v>1.2798</v>
      </c>
      <c r="H1304" s="3">
        <f>GBP!B1304/1</f>
        <v>1.6073999999999999</v>
      </c>
      <c r="I1304" s="3">
        <f>GBP!C1304/1</f>
        <v>1.6069</v>
      </c>
      <c r="J1304" s="4">
        <f>1/INR!B1304</f>
        <v>1.6237720224080539E-2</v>
      </c>
      <c r="K1304" s="4">
        <f>1/INR!C1304</f>
        <v>1.612578109252167E-2</v>
      </c>
      <c r="L1304" s="4">
        <f>1/JPY!B1304</f>
        <v>9.4107018501439835E-3</v>
      </c>
      <c r="M1304" s="4">
        <f>1/JPY!C1304</f>
        <v>9.4127392012349504E-3</v>
      </c>
      <c r="N1304" s="5">
        <f>1/KRW!B1304</f>
        <v>9.3993796409436972E-4</v>
      </c>
      <c r="O1304" s="5">
        <f>1/KRW!C1304</f>
        <v>9.3991790944962441E-4</v>
      </c>
      <c r="P1304" s="3">
        <f>1/NOK!B1304</f>
        <v>0.15270439483248327</v>
      </c>
      <c r="Q1304" s="3">
        <f>1/NOK!C1304</f>
        <v>0.15252039960344696</v>
      </c>
      <c r="R1304" s="3">
        <f>NZD!B1304/1</f>
        <v>0.79339999999999999</v>
      </c>
      <c r="S1304" s="3">
        <f>NZD!C1304/1</f>
        <v>0.79100000000000004</v>
      </c>
      <c r="T1304" s="4">
        <f>1/PHP!B1304</f>
        <v>2.2246941045606226E-2</v>
      </c>
      <c r="U1304" s="4">
        <f>1/PHP!C1304</f>
        <v>2.2229632099588753E-2</v>
      </c>
      <c r="V1304" s="4">
        <f>1/TWD!B1304</f>
        <v>3.2881757201104825E-2</v>
      </c>
      <c r="W1304" s="4">
        <f>1/TWD!C1304</f>
        <v>3.2881757201104825E-2</v>
      </c>
      <c r="X1304" s="4">
        <f>1/TWD!B1304</f>
        <v>3.2881757201104825E-2</v>
      </c>
      <c r="Y1304" s="4">
        <f>1/TWD!C1304</f>
        <v>3.2881757201104825E-2</v>
      </c>
      <c r="Z1304" s="4">
        <f>1/ZAR!B1304</f>
        <v>9.0003330123214556E-2</v>
      </c>
      <c r="AA1304" s="4">
        <f>1/ZAR!C1304</f>
        <v>8.9086066048409379E-2</v>
      </c>
    </row>
    <row r="1305" spans="1:27" x14ac:dyDescent="0.25">
      <c r="A1305" t="str">
        <f>"20/10/2014"</f>
        <v>20/10/2014</v>
      </c>
      <c r="B1305" s="3">
        <f>AUD!B1305</f>
        <v>0.87729999999999997</v>
      </c>
      <c r="C1305" s="3">
        <f>AUD!C1305</f>
        <v>0.87519999999999998</v>
      </c>
      <c r="D1305" s="3">
        <f>1/CAD!B1305</f>
        <v>0.88699662941280821</v>
      </c>
      <c r="E1305" s="3">
        <f>1/CAD!C1305</f>
        <v>0.88621056362991846</v>
      </c>
      <c r="F1305" s="3">
        <f>EUR!B1305/1</f>
        <v>1.2751999999999999</v>
      </c>
      <c r="G1305" s="3">
        <f>EUR!C1305/1</f>
        <v>1.2755000000000001</v>
      </c>
      <c r="H1305" s="3">
        <f>GBP!B1305/1</f>
        <v>1.6104000000000001</v>
      </c>
      <c r="I1305" s="3">
        <f>GBP!C1305/1</f>
        <v>1.6099000000000001</v>
      </c>
      <c r="J1305" s="4">
        <f>1/INR!B1305</f>
        <v>1.6321201240411292E-2</v>
      </c>
      <c r="K1305" s="4">
        <f>1/INR!C1305</f>
        <v>1.6200891049007696E-2</v>
      </c>
      <c r="L1305" s="4">
        <f>1/JPY!B1305</f>
        <v>9.3149766194086849E-3</v>
      </c>
      <c r="M1305" s="4">
        <f>1/JPY!C1305</f>
        <v>9.3172939224223476E-3</v>
      </c>
      <c r="N1305" s="5">
        <f>1/KRW!B1305</f>
        <v>9.4348523445608073E-4</v>
      </c>
      <c r="O1305" s="5">
        <f>1/KRW!C1305</f>
        <v>9.4346654137430997E-4</v>
      </c>
      <c r="P1305" s="3">
        <f>1/NOK!B1305</f>
        <v>0.15274404680077594</v>
      </c>
      <c r="Q1305" s="3">
        <f>1/NOK!C1305</f>
        <v>0.15256461111280628</v>
      </c>
      <c r="R1305" s="3">
        <f>NZD!B1305/1</f>
        <v>0.79459999999999997</v>
      </c>
      <c r="S1305" s="3">
        <f>NZD!C1305/1</f>
        <v>0.79200000000000004</v>
      </c>
      <c r="T1305" s="4">
        <f>1/PHP!B1305</f>
        <v>2.2311468094600623E-2</v>
      </c>
      <c r="U1305" s="4">
        <f>1/PHP!C1305</f>
        <v>2.2295102434848137E-2</v>
      </c>
      <c r="V1305" s="4">
        <f>1/TWD!B1305</f>
        <v>3.2902313032606191E-2</v>
      </c>
      <c r="W1305" s="4">
        <f>1/TWD!C1305</f>
        <v>3.2902313032606191E-2</v>
      </c>
      <c r="X1305" s="4">
        <f>1/TWD!B1305</f>
        <v>3.2902313032606191E-2</v>
      </c>
      <c r="Y1305" s="4">
        <f>1/TWD!C1305</f>
        <v>3.2902313032606191E-2</v>
      </c>
      <c r="Z1305" s="4">
        <f>1/ZAR!B1305</f>
        <v>9.0098207045679793E-2</v>
      </c>
      <c r="AA1305" s="4">
        <f>1/ZAR!C1305</f>
        <v>8.9120999581131302E-2</v>
      </c>
    </row>
    <row r="1306" spans="1:27" x14ac:dyDescent="0.25">
      <c r="A1306" t="str">
        <f>"21/10/2014"</f>
        <v>21/10/2014</v>
      </c>
      <c r="B1306" s="3">
        <f>AUD!B1306</f>
        <v>0.88170000000000004</v>
      </c>
      <c r="C1306" s="3">
        <f>AUD!C1306</f>
        <v>0.87970000000000004</v>
      </c>
      <c r="D1306" s="3">
        <f>1/CAD!B1306</f>
        <v>0.88762648677436529</v>
      </c>
      <c r="E1306" s="3">
        <f>1/CAD!C1306</f>
        <v>0.88683930471798511</v>
      </c>
      <c r="F1306" s="3">
        <f>EUR!B1306/1</f>
        <v>1.282</v>
      </c>
      <c r="G1306" s="3">
        <f>EUR!C1306/1</f>
        <v>1.2822</v>
      </c>
      <c r="H1306" s="3">
        <f>GBP!B1306/1</f>
        <v>1.6180000000000001</v>
      </c>
      <c r="I1306" s="3">
        <f>GBP!C1306/1</f>
        <v>1.6175999999999999</v>
      </c>
      <c r="J1306" s="4">
        <f>1/INR!B1306</f>
        <v>1.6318537859007831E-2</v>
      </c>
      <c r="K1306" s="4">
        <f>1/INR!C1306</f>
        <v>1.620285980475554E-2</v>
      </c>
      <c r="L1306" s="4">
        <f>1/JPY!B1306</f>
        <v>9.4000864807956223E-3</v>
      </c>
      <c r="M1306" s="4">
        <f>1/JPY!C1306</f>
        <v>9.4024551690937534E-3</v>
      </c>
      <c r="N1306" s="5">
        <f>1/KRW!B1306</f>
        <v>9.4912680334092645E-4</v>
      </c>
      <c r="O1306" s="5">
        <f>1/KRW!C1306</f>
        <v>9.4911193968583434E-4</v>
      </c>
      <c r="P1306" s="3">
        <f>1/NOK!B1306</f>
        <v>0.15270905870136217</v>
      </c>
      <c r="Q1306" s="3">
        <f>1/NOK!C1306</f>
        <v>0.15251109518217451</v>
      </c>
      <c r="R1306" s="3">
        <f>NZD!B1306/1</f>
        <v>0.8004</v>
      </c>
      <c r="S1306" s="3">
        <f>NZD!C1306/1</f>
        <v>0.79779999999999995</v>
      </c>
      <c r="T1306" s="4">
        <f>1/PHP!B1306</f>
        <v>2.2338880822070813E-2</v>
      </c>
      <c r="U1306" s="4">
        <f>1/PHP!C1306</f>
        <v>2.2320083387831535E-2</v>
      </c>
      <c r="V1306" s="4">
        <f>1/TWD!B1306</f>
        <v>3.2934821987287158E-2</v>
      </c>
      <c r="W1306" s="4">
        <f>1/TWD!C1306</f>
        <v>3.2934821987287158E-2</v>
      </c>
      <c r="X1306" s="4">
        <f>1/TWD!B1306</f>
        <v>3.2934821987287158E-2</v>
      </c>
      <c r="Y1306" s="4">
        <f>1/TWD!C1306</f>
        <v>3.2934821987287158E-2</v>
      </c>
      <c r="Z1306" s="4">
        <f>1/ZAR!B1306</f>
        <v>9.0752336872674477E-2</v>
      </c>
      <c r="AA1306" s="4">
        <f>1/ZAR!C1306</f>
        <v>9.0030070043394486E-2</v>
      </c>
    </row>
    <row r="1307" spans="1:27" x14ac:dyDescent="0.25">
      <c r="A1307" t="str">
        <f>"22/10/2014"</f>
        <v>22/10/2014</v>
      </c>
      <c r="B1307" s="3">
        <f>AUD!B1307</f>
        <v>0.87919999999999998</v>
      </c>
      <c r="C1307" s="3">
        <f>AUD!C1307</f>
        <v>0.87729999999999997</v>
      </c>
      <c r="D1307" s="3">
        <f>1/CAD!B1307</f>
        <v>0.89134503966485434</v>
      </c>
      <c r="E1307" s="3">
        <f>1/CAD!C1307</f>
        <v>0.89063056644104022</v>
      </c>
      <c r="F1307" s="3">
        <f>EUR!B1307/1</f>
        <v>1.2724</v>
      </c>
      <c r="G1307" s="3">
        <f>EUR!C1307/1</f>
        <v>1.2726</v>
      </c>
      <c r="H1307" s="3">
        <f>GBP!B1307/1</f>
        <v>1.6123000000000001</v>
      </c>
      <c r="I1307" s="3">
        <f>GBP!C1307/1</f>
        <v>1.6119000000000001</v>
      </c>
      <c r="J1307" s="4">
        <f>1/INR!B1307</f>
        <v>1.6336532570961813E-2</v>
      </c>
      <c r="K1307" s="4">
        <f>1/INR!C1307</f>
        <v>1.6225864027259451E-2</v>
      </c>
      <c r="L1307" s="4">
        <f>1/JPY!B1307</f>
        <v>9.3515626461181667E-3</v>
      </c>
      <c r="M1307" s="4">
        <f>1/JPY!C1307</f>
        <v>9.3540031859734862E-3</v>
      </c>
      <c r="N1307" s="5">
        <f>1/KRW!B1307</f>
        <v>9.4957743804007227E-4</v>
      </c>
      <c r="O1307" s="5">
        <f>1/KRW!C1307</f>
        <v>9.4956228976690908E-4</v>
      </c>
      <c r="P1307" s="3">
        <f>1/NOK!B1307</f>
        <v>0.15226494099733537</v>
      </c>
      <c r="Q1307" s="3">
        <f>1/NOK!C1307</f>
        <v>0.15208662854361846</v>
      </c>
      <c r="R1307" s="3">
        <f>NZD!B1307/1</f>
        <v>0.79759999999999998</v>
      </c>
      <c r="S1307" s="3">
        <f>NZD!C1307/1</f>
        <v>0.79520000000000002</v>
      </c>
      <c r="T1307" s="4">
        <f>1/PHP!B1307</f>
        <v>2.2331397945511387E-2</v>
      </c>
      <c r="U1307" s="4">
        <f>1/PHP!C1307</f>
        <v>2.231181656116896E-2</v>
      </c>
      <c r="V1307" s="4">
        <f>1/TWD!B1307</f>
        <v>3.292181069958848E-2</v>
      </c>
      <c r="W1307" s="4">
        <f>1/TWD!C1307</f>
        <v>3.292181069958848E-2</v>
      </c>
      <c r="X1307" s="4">
        <f>1/TWD!B1307</f>
        <v>3.292181069958848E-2</v>
      </c>
      <c r="Y1307" s="4">
        <f>1/TWD!C1307</f>
        <v>3.292181069958848E-2</v>
      </c>
      <c r="Z1307" s="4">
        <f>1/ZAR!B1307</f>
        <v>9.0539525029651693E-2</v>
      </c>
      <c r="AA1307" s="4">
        <f>1/ZAR!C1307</f>
        <v>8.964589870013448E-2</v>
      </c>
    </row>
    <row r="1308" spans="1:27" x14ac:dyDescent="0.25">
      <c r="A1308" t="str">
        <f>"27/10/2014"</f>
        <v>27/10/2014</v>
      </c>
      <c r="B1308" s="3">
        <f>AUD!B1308</f>
        <v>0.88129999999999997</v>
      </c>
      <c r="C1308" s="3">
        <f>AUD!C1308</f>
        <v>0.87939999999999996</v>
      </c>
      <c r="D1308" s="3">
        <f>1/CAD!B1308</f>
        <v>0.89102735453978432</v>
      </c>
      <c r="E1308" s="3">
        <f>1/CAD!C1308</f>
        <v>0.8903133903133903</v>
      </c>
      <c r="F1308" s="3">
        <f>EUR!B1308/1</f>
        <v>1.2703</v>
      </c>
      <c r="G1308" s="3">
        <f>EUR!C1308/1</f>
        <v>1.2705</v>
      </c>
      <c r="H1308" s="3">
        <f>GBP!B1308/1</f>
        <v>1.6102000000000001</v>
      </c>
      <c r="I1308" s="3">
        <f>GBP!C1308/1</f>
        <v>1.6097999999999999</v>
      </c>
      <c r="J1308" s="4">
        <f>1/INR!B1308</f>
        <v>1.633386418391931E-2</v>
      </c>
      <c r="K1308" s="4">
        <f>1/INR!C1308</f>
        <v>1.6226522250618637E-2</v>
      </c>
      <c r="L1308" s="4">
        <f>1/JPY!B1308</f>
        <v>9.2601166774701361E-3</v>
      </c>
      <c r="M1308" s="4">
        <f>1/JPY!C1308</f>
        <v>9.2621837080041E-3</v>
      </c>
      <c r="N1308" s="5">
        <f>1/KRW!B1308</f>
        <v>9.5010973767470147E-4</v>
      </c>
      <c r="O1308" s="5">
        <f>1/KRW!C1308</f>
        <v>9.5009177411492062E-4</v>
      </c>
      <c r="P1308" s="3">
        <f>1/NOK!B1308</f>
        <v>0.15204038192543939</v>
      </c>
      <c r="Q1308" s="3">
        <f>1/NOK!C1308</f>
        <v>0.15186259472429345</v>
      </c>
      <c r="R1308" s="3">
        <f>NZD!B1308/1</f>
        <v>0.78720000000000001</v>
      </c>
      <c r="S1308" s="3">
        <f>NZD!C1308/1</f>
        <v>0.78490000000000004</v>
      </c>
      <c r="T1308" s="4">
        <f>1/PHP!B1308</f>
        <v>2.23463687150838E-2</v>
      </c>
      <c r="U1308" s="4">
        <f>1/PHP!C1308</f>
        <v>2.2324518125276267E-2</v>
      </c>
      <c r="V1308" s="4">
        <f>1/TWD!B1308</f>
        <v>3.2906643851393594E-2</v>
      </c>
      <c r="W1308" s="4">
        <f>1/TWD!C1308</f>
        <v>3.2906752136470881E-2</v>
      </c>
      <c r="X1308" s="4">
        <f>1/TWD!B1308</f>
        <v>3.2906643851393594E-2</v>
      </c>
      <c r="Y1308" s="4">
        <f>1/TWD!C1308</f>
        <v>3.2906752136470881E-2</v>
      </c>
      <c r="Z1308" s="4">
        <f>1/ZAR!B1308</f>
        <v>9.1335044343164029E-2</v>
      </c>
      <c r="AA1308" s="4">
        <f>1/ZAR!C1308</f>
        <v>9.0438809101761747E-2</v>
      </c>
    </row>
    <row r="1309" spans="1:27" x14ac:dyDescent="0.25">
      <c r="A1309" t="str">
        <f>"28/10/2014"</f>
        <v>28/10/2014</v>
      </c>
      <c r="B1309" s="3">
        <f>AUD!B1309</f>
        <v>0.88170000000000004</v>
      </c>
      <c r="C1309" s="3">
        <f>AUD!C1309</f>
        <v>0.87990000000000002</v>
      </c>
      <c r="D1309" s="3">
        <f>1/CAD!B1309</f>
        <v>0.88944231966556964</v>
      </c>
      <c r="E1309" s="3">
        <f>1/CAD!C1309</f>
        <v>0.88873089228581592</v>
      </c>
      <c r="F1309" s="3">
        <f>EUR!B1309/1</f>
        <v>1.2705</v>
      </c>
      <c r="G1309" s="3">
        <f>EUR!C1309/1</f>
        <v>1.2706999999999999</v>
      </c>
      <c r="H1309" s="3">
        <f>GBP!B1309/1</f>
        <v>1.6129</v>
      </c>
      <c r="I1309" s="3">
        <f>GBP!C1309/1</f>
        <v>1.6125</v>
      </c>
      <c r="J1309" s="4">
        <f>1/INR!B1309</f>
        <v>1.629062474545899E-2</v>
      </c>
      <c r="K1309" s="4">
        <f>1/INR!C1309</f>
        <v>1.6185813134787359E-2</v>
      </c>
      <c r="L1309" s="4">
        <f>1/JPY!B1309</f>
        <v>9.2705899803463502E-3</v>
      </c>
      <c r="M1309" s="4">
        <f>1/JPY!C1309</f>
        <v>9.2723349686641438E-3</v>
      </c>
      <c r="N1309" s="5">
        <f>1/KRW!B1309</f>
        <v>9.5210892126059224E-4</v>
      </c>
      <c r="O1309" s="5">
        <f>1/KRW!C1309</f>
        <v>9.5209332951988219E-4</v>
      </c>
      <c r="P1309" s="3">
        <f>1/NOK!B1309</f>
        <v>0.15171283794034651</v>
      </c>
      <c r="Q1309" s="3">
        <f>1/NOK!C1309</f>
        <v>0.15153811183512653</v>
      </c>
      <c r="R1309" s="3">
        <f>NZD!B1309/1</f>
        <v>0.78959999999999997</v>
      </c>
      <c r="S1309" s="3">
        <f>NZD!C1309/1</f>
        <v>0.7873</v>
      </c>
      <c r="T1309" s="4">
        <f>1/PHP!B1309</f>
        <v>2.2302610743613647E-2</v>
      </c>
      <c r="U1309" s="4">
        <f>1/PHP!C1309</f>
        <v>2.2280249895282826E-2</v>
      </c>
      <c r="V1309" s="4">
        <f>1/TWD!B1309</f>
        <v>3.2897983353620423E-2</v>
      </c>
      <c r="W1309" s="4">
        <f>1/TWD!C1309</f>
        <v>3.2898091581707346E-2</v>
      </c>
      <c r="X1309" s="4">
        <f>1/TWD!B1309</f>
        <v>3.2897983353620423E-2</v>
      </c>
      <c r="Y1309" s="4">
        <f>1/TWD!C1309</f>
        <v>3.2898091581707346E-2</v>
      </c>
      <c r="Z1309" s="4">
        <f>1/ZAR!B1309</f>
        <v>9.1255030433552653E-2</v>
      </c>
      <c r="AA1309" s="4">
        <f>1/ZAR!C1309</f>
        <v>9.0387309621729112E-2</v>
      </c>
    </row>
    <row r="1310" spans="1:27" x14ac:dyDescent="0.25">
      <c r="A1310" t="str">
        <f>"29/10/2014"</f>
        <v>29/10/2014</v>
      </c>
      <c r="B1310" s="3">
        <f>AUD!B1310</f>
        <v>0.88639999999999997</v>
      </c>
      <c r="C1310" s="3">
        <f>AUD!C1310</f>
        <v>0.88470000000000004</v>
      </c>
      <c r="D1310" s="3">
        <f>1/CAD!B1310</f>
        <v>0.89565606806986109</v>
      </c>
      <c r="E1310" s="3">
        <f>1/CAD!C1310</f>
        <v>0.89501476774366784</v>
      </c>
      <c r="F1310" s="3">
        <f>EUR!B1310/1</f>
        <v>1.2736000000000001</v>
      </c>
      <c r="G1310" s="3">
        <f>EUR!C1310/1</f>
        <v>1.2738</v>
      </c>
      <c r="H1310" s="3">
        <f>GBP!B1310/1</f>
        <v>1.6137999999999999</v>
      </c>
      <c r="I1310" s="3">
        <f>GBP!C1310/1</f>
        <v>1.6133999999999999</v>
      </c>
      <c r="J1310" s="4">
        <f>1/INR!B1310</f>
        <v>1.6313213703099513E-2</v>
      </c>
      <c r="K1310" s="4">
        <f>1/INR!C1310</f>
        <v>1.6212053661897621E-2</v>
      </c>
      <c r="L1310" s="4">
        <f>1/JPY!B1310</f>
        <v>9.2468445143094914E-3</v>
      </c>
      <c r="M1310" s="4">
        <f>1/JPY!C1310</f>
        <v>9.248631896126765E-3</v>
      </c>
      <c r="N1310" s="5">
        <f>1/KRW!B1310</f>
        <v>9.5465393794749406E-4</v>
      </c>
      <c r="O1310" s="5">
        <f>1/KRW!C1310</f>
        <v>9.5463434402062383E-4</v>
      </c>
      <c r="P1310" s="3">
        <f>1/NOK!B1310</f>
        <v>0.15115101497906558</v>
      </c>
      <c r="Q1310" s="3">
        <f>1/NOK!C1310</f>
        <v>0.15098669807189988</v>
      </c>
      <c r="R1310" s="3">
        <f>NZD!B1310/1</f>
        <v>0.79279999999999995</v>
      </c>
      <c r="S1310" s="3">
        <f>NZD!C1310/1</f>
        <v>0.79059999999999997</v>
      </c>
      <c r="T1310" s="4">
        <f>1/PHP!B1310</f>
        <v>2.2365110427732739E-2</v>
      </c>
      <c r="U1310" s="4">
        <f>1/PHP!C1310</f>
        <v>2.2342624141205386E-2</v>
      </c>
      <c r="V1310" s="4">
        <f>1/TWD!B1310</f>
        <v>3.2927230819888048E-2</v>
      </c>
      <c r="W1310" s="4">
        <f>1/TWD!C1310</f>
        <v>3.2927339240497989E-2</v>
      </c>
      <c r="X1310" s="4">
        <f>1/TWD!B1310</f>
        <v>3.2927230819888048E-2</v>
      </c>
      <c r="Y1310" s="4">
        <f>1/TWD!C1310</f>
        <v>3.2927339240497989E-2</v>
      </c>
      <c r="Z1310" s="4">
        <f>1/ZAR!B1310</f>
        <v>9.2086118938431216E-2</v>
      </c>
      <c r="AA1310" s="4">
        <f>1/ZAR!C1310</f>
        <v>9.1235881247376971E-2</v>
      </c>
    </row>
    <row r="1311" spans="1:27" x14ac:dyDescent="0.25">
      <c r="A1311" t="str">
        <f>"30/10/2014"</f>
        <v>30/10/2014</v>
      </c>
      <c r="B1311" s="3">
        <f>AUD!B1311</f>
        <v>0.87719999999999998</v>
      </c>
      <c r="C1311" s="3">
        <f>AUD!C1311</f>
        <v>0.87529999999999997</v>
      </c>
      <c r="D1311" s="3">
        <f>1/CAD!B1311</f>
        <v>0.89301661010894806</v>
      </c>
      <c r="E1311" s="3">
        <f>1/CAD!C1311</f>
        <v>0.89237908263430299</v>
      </c>
      <c r="F1311" s="3">
        <f>EUR!B1311/1</f>
        <v>1.262</v>
      </c>
      <c r="G1311" s="3">
        <f>EUR!C1311/1</f>
        <v>1.2622</v>
      </c>
      <c r="H1311" s="3">
        <f>GBP!B1311/1</f>
        <v>1.5985</v>
      </c>
      <c r="I1311" s="3">
        <f>GBP!C1311/1</f>
        <v>1.5981000000000001</v>
      </c>
      <c r="J1311" s="4">
        <f>1/INR!B1311</f>
        <v>1.6283329940972927E-2</v>
      </c>
      <c r="K1311" s="4">
        <f>1/INR!C1311</f>
        <v>1.6177303243549299E-2</v>
      </c>
      <c r="L1311" s="4">
        <f>1/JPY!B1311</f>
        <v>9.1720399534060363E-3</v>
      </c>
      <c r="M1311" s="4">
        <f>1/JPY!C1311</f>
        <v>9.1737564514442239E-3</v>
      </c>
      <c r="N1311" s="5">
        <f>1/KRW!B1311</f>
        <v>9.4948727687048991E-4</v>
      </c>
      <c r="O1311" s="5">
        <f>1/KRW!C1311</f>
        <v>9.4947330342175934E-4</v>
      </c>
      <c r="P1311" s="3">
        <f>1/NOK!B1311</f>
        <v>0.14907795286155129</v>
      </c>
      <c r="Q1311" s="3">
        <f>1/NOK!C1311</f>
        <v>0.14888706915804362</v>
      </c>
      <c r="R1311" s="3">
        <f>NZD!B1311/1</f>
        <v>0.77959999999999996</v>
      </c>
      <c r="S1311" s="3">
        <f>NZD!C1311/1</f>
        <v>0.77729999999999999</v>
      </c>
      <c r="T1311" s="4">
        <f>1/PHP!B1311</f>
        <v>2.2276676319893073E-2</v>
      </c>
      <c r="U1311" s="4">
        <f>1/PHP!C1311</f>
        <v>2.225288174818639E-2</v>
      </c>
      <c r="V1311" s="4">
        <f>1/TWD!B1311</f>
        <v>3.2908809688353573E-2</v>
      </c>
      <c r="W1311" s="4">
        <f>1/TWD!C1311</f>
        <v>3.2908809688353573E-2</v>
      </c>
      <c r="X1311" s="4">
        <f>1/TWD!B1311</f>
        <v>3.2908809688353573E-2</v>
      </c>
      <c r="Y1311" s="4">
        <f>1/TWD!C1311</f>
        <v>3.2908809688353573E-2</v>
      </c>
      <c r="Z1311" s="4">
        <f>1/ZAR!B1311</f>
        <v>9.1390970572107474E-2</v>
      </c>
      <c r="AA1311" s="4">
        <f>1/ZAR!C1311</f>
        <v>9.0483816969335037E-2</v>
      </c>
    </row>
    <row r="1312" spans="1:27" x14ac:dyDescent="0.25">
      <c r="A1312" t="str">
        <f>"31/10/2014"</f>
        <v>31/10/2014</v>
      </c>
      <c r="B1312" s="3">
        <f>AUD!B1312</f>
        <v>0.88249999999999995</v>
      </c>
      <c r="C1312" s="3">
        <f>AUD!C1312</f>
        <v>0.88060000000000005</v>
      </c>
      <c r="D1312" s="3">
        <f>1/CAD!B1312</f>
        <v>0.89325591782045566</v>
      </c>
      <c r="E1312" s="3">
        <f>1/CAD!C1312</f>
        <v>0.89253837915030343</v>
      </c>
      <c r="F1312" s="3">
        <f>EUR!B1312/1</f>
        <v>1.2599</v>
      </c>
      <c r="G1312" s="3">
        <f>EUR!C1312/1</f>
        <v>1.2601</v>
      </c>
      <c r="H1312" s="3">
        <f>GBP!B1312/1</f>
        <v>1.599</v>
      </c>
      <c r="I1312" s="3">
        <f>GBP!C1312/1</f>
        <v>1.5986</v>
      </c>
      <c r="J1312" s="4">
        <f>1/INR!B1312</f>
        <v>1.6296598085149726E-2</v>
      </c>
      <c r="K1312" s="4">
        <f>1/INR!C1312</f>
        <v>1.618908855431439E-2</v>
      </c>
      <c r="L1312" s="4">
        <f>1/JPY!B1312</f>
        <v>9.1424392027793025E-3</v>
      </c>
      <c r="M1312" s="4">
        <f>1/JPY!C1312</f>
        <v>9.1442366162666818E-3</v>
      </c>
      <c r="N1312" s="5">
        <f>1/KRW!B1312</f>
        <v>9.457159069415547E-4</v>
      </c>
      <c r="O1312" s="5">
        <f>1/KRW!C1312</f>
        <v>9.4570204427682394E-4</v>
      </c>
      <c r="P1312" s="3">
        <f>1/NOK!B1312</f>
        <v>0.14901353042856291</v>
      </c>
      <c r="Q1312" s="3">
        <f>1/NOK!C1312</f>
        <v>0.14884496308644915</v>
      </c>
      <c r="R1312" s="3">
        <f>NZD!B1312/1</f>
        <v>0.7843</v>
      </c>
      <c r="S1312" s="3">
        <f>NZD!C1312/1</f>
        <v>0.78200000000000003</v>
      </c>
      <c r="T1312" s="4">
        <f>1/PHP!B1312</f>
        <v>2.2311468094600623E-2</v>
      </c>
      <c r="U1312" s="4">
        <f>1/PHP!C1312</f>
        <v>2.2289039810454006E-2</v>
      </c>
      <c r="V1312" s="4">
        <f>1/TWD!B1312</f>
        <v>3.2903395630429058E-2</v>
      </c>
      <c r="W1312" s="4">
        <f>1/TWD!C1312</f>
        <v>3.2903503894129688E-2</v>
      </c>
      <c r="X1312" s="4">
        <f>1/TWD!B1312</f>
        <v>3.2903395630429058E-2</v>
      </c>
      <c r="Y1312" s="4">
        <f>1/TWD!C1312</f>
        <v>3.2903503894129688E-2</v>
      </c>
      <c r="Z1312" s="4">
        <f>1/ZAR!B1312</f>
        <v>9.1920213254894759E-2</v>
      </c>
      <c r="AA1312" s="4">
        <f>1/ZAR!C1312</f>
        <v>9.1466203237903596E-2</v>
      </c>
    </row>
    <row r="1313" spans="1:27" x14ac:dyDescent="0.25">
      <c r="A1313" t="str">
        <f>"03/11/2014"</f>
        <v>03/11/2014</v>
      </c>
      <c r="B1313" s="3">
        <f>AUD!B1313</f>
        <v>0.873</v>
      </c>
      <c r="C1313" s="3">
        <f>AUD!C1313</f>
        <v>0.87109999999999999</v>
      </c>
      <c r="D1313" s="3">
        <f>1/CAD!B1313</f>
        <v>0.8859750155045627</v>
      </c>
      <c r="E1313" s="3">
        <f>1/CAD!C1313</f>
        <v>0.88526912181303119</v>
      </c>
      <c r="F1313" s="3">
        <f>EUR!B1313/1</f>
        <v>1.248</v>
      </c>
      <c r="G1313" s="3">
        <f>EUR!C1313/1</f>
        <v>1.2482</v>
      </c>
      <c r="H1313" s="3">
        <f>GBP!B1313/1</f>
        <v>1.5966</v>
      </c>
      <c r="I1313" s="3">
        <f>GBP!C1313/1</f>
        <v>1.5962000000000001</v>
      </c>
      <c r="J1313" s="4">
        <f>1/INR!B1313</f>
        <v>1.6266113618803629E-2</v>
      </c>
      <c r="K1313" s="4">
        <f>1/INR!C1313</f>
        <v>1.6157699143641947E-2</v>
      </c>
      <c r="L1313" s="4">
        <f>1/JPY!B1313</f>
        <v>8.8730357317148914E-3</v>
      </c>
      <c r="M1313" s="4">
        <f>1/JPY!C1313</f>
        <v>8.8749335489350517E-3</v>
      </c>
      <c r="N1313" s="5">
        <f>1/KRW!B1313</f>
        <v>9.315063389006362E-4</v>
      </c>
      <c r="O1313" s="5">
        <f>1/KRW!C1313</f>
        <v>9.3148959251335736E-4</v>
      </c>
      <c r="P1313" s="3">
        <f>1/NOK!B1313</f>
        <v>0.14761890702961233</v>
      </c>
      <c r="Q1313" s="3">
        <f>1/NOK!C1313</f>
        <v>0.14745782706146043</v>
      </c>
      <c r="R1313" s="3">
        <f>NZD!B1313/1</f>
        <v>0.77659999999999996</v>
      </c>
      <c r="S1313" s="3">
        <f>NZD!C1313/1</f>
        <v>0.77429999999999999</v>
      </c>
      <c r="T1313" s="4">
        <f>1/PHP!B1313</f>
        <v>2.2232103156958651E-2</v>
      </c>
      <c r="U1313" s="4">
        <f>1/PHP!C1313</f>
        <v>2.2202733156451562E-2</v>
      </c>
      <c r="V1313" s="4">
        <f>1/TWD!B1313</f>
        <v>3.2800865942860892E-2</v>
      </c>
      <c r="W1313" s="4">
        <f>1/TWD!C1313</f>
        <v>3.2800973532894455E-2</v>
      </c>
      <c r="X1313" s="4">
        <f>1/TWD!B1313</f>
        <v>3.2800865942860892E-2</v>
      </c>
      <c r="Y1313" s="4">
        <f>1/TWD!C1313</f>
        <v>3.2800973532894455E-2</v>
      </c>
      <c r="Z1313" s="4">
        <f>1/ZAR!B1313</f>
        <v>9.0220137134608441E-2</v>
      </c>
      <c r="AA1313" s="4">
        <f>1/ZAR!C1313</f>
        <v>8.9776277516429054E-2</v>
      </c>
    </row>
    <row r="1314" spans="1:27" x14ac:dyDescent="0.25">
      <c r="A1314" t="str">
        <f>"05/11/2014"</f>
        <v>05/11/2014</v>
      </c>
      <c r="B1314" s="3">
        <f>AUD!B1314</f>
        <v>0.87380000000000002</v>
      </c>
      <c r="C1314" s="3">
        <f>AUD!C1314</f>
        <v>0.87190000000000001</v>
      </c>
      <c r="D1314" s="3">
        <f>1/CAD!B1314</f>
        <v>0.87719298245614041</v>
      </c>
      <c r="E1314" s="3">
        <f>1/CAD!C1314</f>
        <v>0.87650100797615915</v>
      </c>
      <c r="F1314" s="3">
        <f>EUR!B1314/1</f>
        <v>1.2557</v>
      </c>
      <c r="G1314" s="3">
        <f>EUR!C1314/1</f>
        <v>1.2559</v>
      </c>
      <c r="H1314" s="3">
        <f>GBP!B1314/1</f>
        <v>1.6012999999999999</v>
      </c>
      <c r="I1314" s="3">
        <f>GBP!C1314/1</f>
        <v>1.6009</v>
      </c>
      <c r="J1314" s="4">
        <f>1/INR!B1314</f>
        <v>1.6295934164425974E-2</v>
      </c>
      <c r="K1314" s="4">
        <f>1/INR!C1314</f>
        <v>1.6191709844559588E-2</v>
      </c>
      <c r="L1314" s="4">
        <f>1/JPY!B1314</f>
        <v>8.7795541742390331E-3</v>
      </c>
      <c r="M1314" s="4">
        <f>1/JPY!C1314</f>
        <v>8.7812888297615441E-3</v>
      </c>
      <c r="N1314" s="5">
        <f>1/KRW!B1314</f>
        <v>9.2614459895623514E-4</v>
      </c>
      <c r="O1314" s="5">
        <f>1/KRW!C1314</f>
        <v>9.2612958868269638E-4</v>
      </c>
      <c r="P1314" s="3">
        <f>1/NOK!B1314</f>
        <v>0.14496955639315745</v>
      </c>
      <c r="Q1314" s="3">
        <f>1/NOK!C1314</f>
        <v>0.14479533179850282</v>
      </c>
      <c r="R1314" s="3">
        <f>NZD!B1314/1</f>
        <v>0.78200000000000003</v>
      </c>
      <c r="S1314" s="3">
        <f>NZD!C1314/1</f>
        <v>0.77959999999999996</v>
      </c>
      <c r="T1314" s="4">
        <f>1/PHP!B1314</f>
        <v>2.2279157847833353E-2</v>
      </c>
      <c r="U1314" s="4">
        <f>1/PHP!C1314</f>
        <v>2.2251891410769917E-2</v>
      </c>
      <c r="V1314" s="4">
        <f>1/TWD!B1314</f>
        <v>3.2776138970829233E-2</v>
      </c>
      <c r="W1314" s="4">
        <f>1/TWD!C1314</f>
        <v>3.2776138970829233E-2</v>
      </c>
      <c r="X1314" s="4">
        <f>1/TWD!B1314</f>
        <v>3.2776138970829233E-2</v>
      </c>
      <c r="Y1314" s="4">
        <f>1/TWD!C1314</f>
        <v>3.2776138970829233E-2</v>
      </c>
      <c r="Z1314" s="4">
        <f>1/ZAR!B1314</f>
        <v>9.04437168749887E-2</v>
      </c>
      <c r="AA1314" s="4">
        <f>1/ZAR!C1314</f>
        <v>8.9966892183676414E-2</v>
      </c>
    </row>
    <row r="1315" spans="1:27" x14ac:dyDescent="0.25">
      <c r="A1315" t="str">
        <f>"07/11/2014"</f>
        <v>07/11/2014</v>
      </c>
      <c r="B1315" s="3">
        <f>AUD!B1315</f>
        <v>0.85470000000000002</v>
      </c>
      <c r="C1315" s="3">
        <f>AUD!C1315</f>
        <v>0.8528</v>
      </c>
      <c r="D1315" s="3">
        <f>1/CAD!B1315</f>
        <v>0.87397308162908571</v>
      </c>
      <c r="E1315" s="3">
        <f>1/CAD!C1315</f>
        <v>0.87328617587983581</v>
      </c>
      <c r="F1315" s="3">
        <f>EUR!B1315/1</f>
        <v>1.2374000000000001</v>
      </c>
      <c r="G1315" s="3">
        <f>EUR!C1315/1</f>
        <v>1.2377</v>
      </c>
      <c r="H1315" s="3">
        <f>GBP!B1315/1</f>
        <v>1.5822000000000001</v>
      </c>
      <c r="I1315" s="3">
        <f>GBP!C1315/1</f>
        <v>1.5818000000000001</v>
      </c>
      <c r="J1315" s="4">
        <f>1/INR!B1315</f>
        <v>1.6248933663728319E-2</v>
      </c>
      <c r="K1315" s="4">
        <f>1/INR!C1315</f>
        <v>1.6147914900488475E-2</v>
      </c>
      <c r="L1315" s="4">
        <f>1/JPY!B1315</f>
        <v>8.6686662390124646E-3</v>
      </c>
      <c r="M1315" s="4">
        <f>1/JPY!C1315</f>
        <v>8.6701618979331211E-3</v>
      </c>
      <c r="N1315" s="5">
        <f>1/KRW!B1315</f>
        <v>9.1388882542438722E-4</v>
      </c>
      <c r="O1315" s="5">
        <f>1/KRW!C1315</f>
        <v>9.1387070210035822E-4</v>
      </c>
      <c r="P1315" s="3">
        <f>1/NOK!B1315</f>
        <v>0.14555193292966931</v>
      </c>
      <c r="Q1315" s="3">
        <f>1/NOK!C1315</f>
        <v>0.1453657402023491</v>
      </c>
      <c r="R1315" s="3">
        <f>NZD!B1315/1</f>
        <v>0.76629999999999998</v>
      </c>
      <c r="S1315" s="3">
        <f>NZD!C1315/1</f>
        <v>0.76400000000000001</v>
      </c>
      <c r="T1315" s="4">
        <f>1/PHP!B1315</f>
        <v>2.2190169754798626E-2</v>
      </c>
      <c r="U1315" s="4">
        <f>1/PHP!C1315</f>
        <v>2.2161794396168669E-2</v>
      </c>
      <c r="V1315" s="4">
        <f>1/TWD!B1315</f>
        <v>3.264027156705944E-2</v>
      </c>
      <c r="W1315" s="4">
        <f>1/TWD!C1315</f>
        <v>3.2640378106139983E-2</v>
      </c>
      <c r="X1315" s="4">
        <f>1/TWD!B1315</f>
        <v>3.264027156705944E-2</v>
      </c>
      <c r="Y1315" s="4">
        <f>1/TWD!C1315</f>
        <v>3.2640378106139983E-2</v>
      </c>
      <c r="Z1315" s="4">
        <f>1/ZAR!B1315</f>
        <v>8.8709892040061383E-2</v>
      </c>
      <c r="AA1315" s="4">
        <f>1/ZAR!C1315</f>
        <v>8.8272939930264374E-2</v>
      </c>
    </row>
    <row r="1316" spans="1:27" x14ac:dyDescent="0.25">
      <c r="A1316" t="str">
        <f>"10/11/2014"</f>
        <v>10/11/2014</v>
      </c>
      <c r="B1316" s="3">
        <f>AUD!B1316</f>
        <v>0.86739999999999995</v>
      </c>
      <c r="C1316" s="3">
        <f>AUD!C1316</f>
        <v>0.86550000000000005</v>
      </c>
      <c r="D1316" s="3">
        <f>1/CAD!B1316</f>
        <v>0.88347027122537336</v>
      </c>
      <c r="E1316" s="3">
        <f>1/CAD!C1316</f>
        <v>0.88284629645978629</v>
      </c>
      <c r="F1316" s="3">
        <f>EUR!B1316/1</f>
        <v>1.2484999999999999</v>
      </c>
      <c r="G1316" s="3">
        <f>EUR!C1316/1</f>
        <v>1.2486999999999999</v>
      </c>
      <c r="H1316" s="3">
        <f>GBP!B1316/1</f>
        <v>1.5902000000000001</v>
      </c>
      <c r="I1316" s="3">
        <f>GBP!C1316/1</f>
        <v>1.5898000000000001</v>
      </c>
      <c r="J1316" s="4">
        <f>1/INR!B1316</f>
        <v>1.6267436658668512E-2</v>
      </c>
      <c r="K1316" s="4">
        <f>1/INR!C1316</f>
        <v>1.6163575382874693E-2</v>
      </c>
      <c r="L1316" s="4">
        <f>1/JPY!B1316</f>
        <v>8.7599425347769707E-3</v>
      </c>
      <c r="M1316" s="4">
        <f>1/JPY!C1316</f>
        <v>8.7614007727555478E-3</v>
      </c>
      <c r="N1316" s="5">
        <f>1/KRW!B1316</f>
        <v>9.2174393953359745E-4</v>
      </c>
      <c r="O1316" s="5">
        <f>1/KRW!C1316</f>
        <v>9.2172592811348882E-4</v>
      </c>
      <c r="P1316" s="3">
        <f>1/NOK!B1316</f>
        <v>0.14725588655406502</v>
      </c>
      <c r="Q1316" s="3">
        <f>1/NOK!C1316</f>
        <v>0.14708045300779526</v>
      </c>
      <c r="R1316" s="3">
        <f>NZD!B1316/1</f>
        <v>0.77910000000000001</v>
      </c>
      <c r="S1316" s="3">
        <f>NZD!C1316/1</f>
        <v>0.77680000000000005</v>
      </c>
      <c r="T1316" s="4">
        <f>1/PHP!B1316</f>
        <v>2.2271714922048998E-2</v>
      </c>
      <c r="U1316" s="4">
        <f>1/PHP!C1316</f>
        <v>2.2243031814208402E-2</v>
      </c>
      <c r="V1316" s="4">
        <f>1/TWD!B1316</f>
        <v>3.2703785463167358E-2</v>
      </c>
      <c r="W1316" s="4">
        <f>1/TWD!C1316</f>
        <v>3.2703785463167358E-2</v>
      </c>
      <c r="X1316" s="4">
        <f>1/TWD!B1316</f>
        <v>3.2703785463167358E-2</v>
      </c>
      <c r="Y1316" s="4">
        <f>1/TWD!C1316</f>
        <v>3.2703785463167358E-2</v>
      </c>
      <c r="Z1316" s="4">
        <f>1/ZAR!B1316</f>
        <v>8.9167090210345162E-2</v>
      </c>
      <c r="AA1316" s="4">
        <f>1/ZAR!C1316</f>
        <v>8.8721697778408687E-2</v>
      </c>
    </row>
    <row r="1317" spans="1:27" x14ac:dyDescent="0.25">
      <c r="A1317" t="str">
        <f>"11/11/2014"</f>
        <v>11/11/2014</v>
      </c>
      <c r="B1317" s="3">
        <f>AUD!B1317</f>
        <v>0.86380000000000001</v>
      </c>
      <c r="C1317" s="3">
        <f>AUD!C1317</f>
        <v>0.86180000000000001</v>
      </c>
      <c r="D1317" s="3">
        <f>1/CAD!B1317</f>
        <v>0.87850303083545633</v>
      </c>
      <c r="E1317" s="3">
        <f>1/CAD!C1317</f>
        <v>0.87788605039065926</v>
      </c>
      <c r="F1317" s="3">
        <f>EUR!B1317/1</f>
        <v>1.2425999999999999</v>
      </c>
      <c r="G1317" s="3">
        <f>EUR!C1317/1</f>
        <v>1.2428999999999999</v>
      </c>
      <c r="H1317" s="3">
        <f>GBP!B1317/1</f>
        <v>1.5842000000000001</v>
      </c>
      <c r="I1317" s="3">
        <f>GBP!C1317/1</f>
        <v>1.5838000000000001</v>
      </c>
      <c r="J1317" s="4">
        <f>1/INR!B1317</f>
        <v>1.6248273620927775E-2</v>
      </c>
      <c r="K1317" s="4">
        <f>1/INR!C1317</f>
        <v>1.6136840406648378E-2</v>
      </c>
      <c r="L1317" s="4">
        <f>1/JPY!B1317</f>
        <v>8.6901358268229745E-3</v>
      </c>
      <c r="M1317" s="4">
        <f>1/JPY!C1317</f>
        <v>8.691706894783411E-3</v>
      </c>
      <c r="N1317" s="5">
        <f>1/KRW!B1317</f>
        <v>9.174943230038765E-4</v>
      </c>
      <c r="O1317" s="5">
        <f>1/KRW!C1317</f>
        <v>9.174784133385214E-4</v>
      </c>
      <c r="P1317" s="3">
        <f>1/NOK!B1317</f>
        <v>0.14673298997813677</v>
      </c>
      <c r="Q1317" s="3">
        <f>1/NOK!C1317</f>
        <v>0.14652658724925638</v>
      </c>
      <c r="R1317" s="3">
        <f>NZD!B1317/1</f>
        <v>0.77470000000000006</v>
      </c>
      <c r="S1317" s="3">
        <f>NZD!C1317/1</f>
        <v>0.77229999999999999</v>
      </c>
      <c r="T1317" s="4">
        <f>1/PHP!B1317</f>
        <v>2.2261798753339269E-2</v>
      </c>
      <c r="U1317" s="4">
        <f>1/PHP!C1317</f>
        <v>2.2230966402340475E-2</v>
      </c>
      <c r="V1317" s="4">
        <f>1/TWD!B1317</f>
        <v>3.2724119312139012E-2</v>
      </c>
      <c r="W1317" s="4">
        <f>1/TWD!C1317</f>
        <v>3.2724119312139012E-2</v>
      </c>
      <c r="X1317" s="4">
        <f>1/TWD!B1317</f>
        <v>3.2724119312139012E-2</v>
      </c>
      <c r="Y1317" s="4">
        <f>1/TWD!C1317</f>
        <v>3.2724119312139012E-2</v>
      </c>
      <c r="Z1317" s="4">
        <f>1/ZAR!B1317</f>
        <v>8.8665058873599101E-2</v>
      </c>
      <c r="AA1317" s="4">
        <f>1/ZAR!C1317</f>
        <v>8.8228547228741336E-2</v>
      </c>
    </row>
    <row r="1318" spans="1:27" x14ac:dyDescent="0.25">
      <c r="A1318" t="str">
        <f>"12/11/2014"</f>
        <v>12/11/2014</v>
      </c>
      <c r="B1318" s="3">
        <f>AUD!B1318</f>
        <v>0.86760000000000004</v>
      </c>
      <c r="C1318" s="3">
        <f>AUD!C1318</f>
        <v>0.86560000000000004</v>
      </c>
      <c r="D1318" s="3">
        <f>1/CAD!B1318</f>
        <v>0.88059175766114839</v>
      </c>
      <c r="E1318" s="3">
        <f>1/CAD!C1318</f>
        <v>0.87997184090109115</v>
      </c>
      <c r="F1318" s="3">
        <f>EUR!B1318/1</f>
        <v>1.2468999999999999</v>
      </c>
      <c r="G1318" s="3">
        <f>EUR!C1318/1</f>
        <v>1.2472000000000001</v>
      </c>
      <c r="H1318" s="3">
        <f>GBP!B1318/1</f>
        <v>1.5911</v>
      </c>
      <c r="I1318" s="3">
        <f>GBP!C1318/1</f>
        <v>1.5907</v>
      </c>
      <c r="J1318" s="4">
        <f>1/INR!B1318</f>
        <v>1.6257519102584946E-2</v>
      </c>
      <c r="K1318" s="4">
        <f>1/INR!C1318</f>
        <v>1.6146611229968112E-2</v>
      </c>
      <c r="L1318" s="4">
        <f>1/JPY!B1318</f>
        <v>8.6503693707721315E-3</v>
      </c>
      <c r="M1318" s="4">
        <f>1/JPY!C1318</f>
        <v>8.6519485485923708E-3</v>
      </c>
      <c r="N1318" s="5">
        <f>1/KRW!B1318</f>
        <v>9.1124476034262791E-4</v>
      </c>
      <c r="O1318" s="5">
        <f>1/KRW!C1318</f>
        <v>9.1122416770606971E-4</v>
      </c>
      <c r="P1318" s="3">
        <f>1/NOK!B1318</f>
        <v>0.14689248938701766</v>
      </c>
      <c r="Q1318" s="3">
        <f>1/NOK!C1318</f>
        <v>0.14670931017282357</v>
      </c>
      <c r="R1318" s="3">
        <f>NZD!B1318/1</f>
        <v>0.7823</v>
      </c>
      <c r="S1318" s="3">
        <f>NZD!C1318/1</f>
        <v>0.77990000000000004</v>
      </c>
      <c r="T1318" s="4">
        <f>1/PHP!B1318</f>
        <v>2.2249415952831239E-2</v>
      </c>
      <c r="U1318" s="4">
        <f>1/PHP!C1318</f>
        <v>2.2219407763905463E-2</v>
      </c>
      <c r="V1318" s="4">
        <f>1/TWD!B1318</f>
        <v>3.2636010574067426E-2</v>
      </c>
      <c r="W1318" s="4">
        <f>1/TWD!C1318</f>
        <v>3.2636010574067426E-2</v>
      </c>
      <c r="X1318" s="4">
        <f>1/TWD!B1318</f>
        <v>3.2636010574067426E-2</v>
      </c>
      <c r="Y1318" s="4">
        <f>1/TWD!C1318</f>
        <v>3.2636010574067426E-2</v>
      </c>
      <c r="Z1318" s="4">
        <f>1/ZAR!B1318</f>
        <v>8.901707347469244E-2</v>
      </c>
      <c r="AA1318" s="4">
        <f>1/ZAR!C1318</f>
        <v>8.8562192799893732E-2</v>
      </c>
    </row>
    <row r="1319" spans="1:27" x14ac:dyDescent="0.25">
      <c r="A1319" t="str">
        <f>"13/11/2014"</f>
        <v>13/11/2014</v>
      </c>
      <c r="B1319" s="3">
        <f>AUD!B1319</f>
        <v>0.86980000000000002</v>
      </c>
      <c r="C1319" s="3">
        <f>AUD!C1319</f>
        <v>0.86780000000000002</v>
      </c>
      <c r="D1319" s="3">
        <f>1/CAD!B1319</f>
        <v>0.88347027122537336</v>
      </c>
      <c r="E1319" s="3">
        <f>1/CAD!C1319</f>
        <v>0.88284629645978629</v>
      </c>
      <c r="F1319" s="3">
        <f>EUR!B1319/1</f>
        <v>1.2445999999999999</v>
      </c>
      <c r="G1319" s="3">
        <f>EUR!C1319/1</f>
        <v>1.2447999999999999</v>
      </c>
      <c r="H1319" s="3">
        <f>GBP!B1319/1</f>
        <v>1.5769</v>
      </c>
      <c r="I1319" s="3">
        <f>GBP!C1319/1</f>
        <v>1.5765</v>
      </c>
      <c r="J1319" s="4">
        <f>1/INR!B1319</f>
        <v>1.6246293814223631E-2</v>
      </c>
      <c r="K1319" s="4">
        <f>1/INR!C1319</f>
        <v>1.6138793625176517E-2</v>
      </c>
      <c r="L1319" s="4">
        <f>1/JPY!B1319</f>
        <v>8.6408018664132034E-3</v>
      </c>
      <c r="M1319" s="4">
        <f>1/JPY!C1319</f>
        <v>8.6423103315363091E-3</v>
      </c>
      <c r="N1319" s="5">
        <f>1/KRW!B1319</f>
        <v>9.108297659167501E-4</v>
      </c>
      <c r="O1319" s="5">
        <f>1/KRW!C1319</f>
        <v>9.1081483316604714E-4</v>
      </c>
      <c r="P1319" s="3">
        <f>1/NOK!B1319</f>
        <v>0.14693997502020423</v>
      </c>
      <c r="Q1319" s="3">
        <f>1/NOK!C1319</f>
        <v>0.14675237005077632</v>
      </c>
      <c r="R1319" s="3">
        <f>NZD!B1319/1</f>
        <v>0.78680000000000005</v>
      </c>
      <c r="S1319" s="3">
        <f>NZD!C1319/1</f>
        <v>0.78449999999999998</v>
      </c>
      <c r="T1319" s="4">
        <f>1/PHP!B1319</f>
        <v>2.2284122562674095E-2</v>
      </c>
      <c r="U1319" s="4">
        <f>1/PHP!C1319</f>
        <v>2.2253129346314324E-2</v>
      </c>
      <c r="V1319" s="4">
        <f>1/TWD!B1319</f>
        <v>3.2659459812534701E-2</v>
      </c>
      <c r="W1319" s="4">
        <f>1/TWD!C1319</f>
        <v>3.2659459812534701E-2</v>
      </c>
      <c r="X1319" s="4">
        <f>1/TWD!B1319</f>
        <v>3.2659459812534701E-2</v>
      </c>
      <c r="Y1319" s="4">
        <f>1/TWD!C1319</f>
        <v>3.2659459812534701E-2</v>
      </c>
      <c r="Z1319" s="4">
        <f>1/ZAR!B1319</f>
        <v>8.9126559714795009E-2</v>
      </c>
      <c r="AA1319" s="4">
        <f>1/ZAR!C1319</f>
        <v>8.8691009392377895E-2</v>
      </c>
    </row>
    <row r="1320" spans="1:27" x14ac:dyDescent="0.25">
      <c r="A1320" t="str">
        <f>"14/11/2014"</f>
        <v>14/11/2014</v>
      </c>
      <c r="B1320" s="3">
        <f>AUD!B1320</f>
        <v>0.86929999999999996</v>
      </c>
      <c r="C1320" s="3">
        <f>AUD!C1320</f>
        <v>0.86750000000000005</v>
      </c>
      <c r="D1320" s="3">
        <f>1/CAD!B1320</f>
        <v>0.87858021437357225</v>
      </c>
      <c r="E1320" s="3">
        <f>1/CAD!C1320</f>
        <v>0.87796312554872691</v>
      </c>
      <c r="F1320" s="3">
        <f>EUR!B1320/1</f>
        <v>1.2456</v>
      </c>
      <c r="G1320" s="3">
        <f>EUR!C1320/1</f>
        <v>1.2458</v>
      </c>
      <c r="H1320" s="3">
        <f>GBP!B1320/1</f>
        <v>1.5680000000000001</v>
      </c>
      <c r="I1320" s="3">
        <f>GBP!C1320/1</f>
        <v>1.5676000000000001</v>
      </c>
      <c r="J1320" s="4">
        <f>1/INR!B1320</f>
        <v>1.6231789960637909E-2</v>
      </c>
      <c r="K1320" s="4">
        <f>1/INR!C1320</f>
        <v>1.612448099326803E-2</v>
      </c>
      <c r="L1320" s="4">
        <f>1/JPY!B1320</f>
        <v>8.6204667120677921E-3</v>
      </c>
      <c r="M1320" s="4">
        <f>1/JPY!C1320</f>
        <v>8.6219978203589519E-3</v>
      </c>
      <c r="N1320" s="5">
        <f>1/KRW!B1320</f>
        <v>9.0958704748044384E-4</v>
      </c>
      <c r="O1320" s="5">
        <f>1/KRW!C1320</f>
        <v>9.0957215544951978E-4</v>
      </c>
      <c r="P1320" s="3">
        <f>1/NOK!B1320</f>
        <v>0.14701990649533947</v>
      </c>
      <c r="Q1320" s="3">
        <f>1/NOK!C1320</f>
        <v>0.14683640955611355</v>
      </c>
      <c r="R1320" s="3">
        <f>NZD!B1320/1</f>
        <v>0.78500000000000003</v>
      </c>
      <c r="S1320" s="3">
        <f>NZD!C1320/1</f>
        <v>0.78269999999999995</v>
      </c>
      <c r="T1320" s="4">
        <f>1/PHP!B1320</f>
        <v>2.2231361782065962E-2</v>
      </c>
      <c r="U1320" s="4">
        <f>1/PHP!C1320</f>
        <v>2.2199282963160288E-2</v>
      </c>
      <c r="V1320" s="4">
        <f>1/TWD!B1320</f>
        <v>3.2633880494729629E-2</v>
      </c>
      <c r="W1320" s="4">
        <f>1/TWD!C1320</f>
        <v>3.2633880494729629E-2</v>
      </c>
      <c r="X1320" s="4">
        <f>1/TWD!B1320</f>
        <v>3.2633880494729629E-2</v>
      </c>
      <c r="Y1320" s="4">
        <f>1/TWD!C1320</f>
        <v>3.2633880494729629E-2</v>
      </c>
      <c r="Z1320" s="4">
        <f>1/ZAR!B1320</f>
        <v>8.9031339031339043E-2</v>
      </c>
      <c r="AA1320" s="4">
        <f>1/ZAR!C1320</f>
        <v>8.8598286509138924E-2</v>
      </c>
    </row>
    <row r="1321" spans="1:27" x14ac:dyDescent="0.25">
      <c r="A1321" t="str">
        <f>"17/11/2014"</f>
        <v>17/11/2014</v>
      </c>
      <c r="B1321" s="3">
        <f>AUD!B1321</f>
        <v>0.87860000000000005</v>
      </c>
      <c r="C1321" s="3">
        <f>AUD!C1321</f>
        <v>0.87670000000000003</v>
      </c>
      <c r="D1321" s="3">
        <f>1/CAD!B1321</f>
        <v>0.88676066329697623</v>
      </c>
      <c r="E1321" s="3">
        <f>1/CAD!C1321</f>
        <v>0.88613203367301718</v>
      </c>
      <c r="F1321" s="3">
        <f>EUR!B1321/1</f>
        <v>1.2555000000000001</v>
      </c>
      <c r="G1321" s="3">
        <f>EUR!C1321/1</f>
        <v>1.2558</v>
      </c>
      <c r="H1321" s="3">
        <f>GBP!B1321/1</f>
        <v>1.5724</v>
      </c>
      <c r="I1321" s="3">
        <f>GBP!C1321/1</f>
        <v>1.5720000000000001</v>
      </c>
      <c r="J1321" s="4">
        <f>1/INR!B1321</f>
        <v>1.620285980475554E-2</v>
      </c>
      <c r="K1321" s="4">
        <f>1/INR!C1321</f>
        <v>1.6096579476861168E-2</v>
      </c>
      <c r="L1321" s="4">
        <f>1/JPY!B1321</f>
        <v>8.6395327740675792E-3</v>
      </c>
      <c r="M1321" s="4">
        <f>1/JPY!C1321</f>
        <v>8.64113039811416E-3</v>
      </c>
      <c r="N1321" s="5">
        <f>1/KRW!B1321</f>
        <v>9.1374269005847948E-4</v>
      </c>
      <c r="O1321" s="5">
        <f>1/KRW!C1321</f>
        <v>9.1372807909230252E-4</v>
      </c>
      <c r="P1321" s="3">
        <f>1/NOK!B1321</f>
        <v>0.14840538414733687</v>
      </c>
      <c r="Q1321" s="3">
        <f>1/NOK!C1321</f>
        <v>0.14822720265623146</v>
      </c>
      <c r="R1321" s="3">
        <f>NZD!B1321/1</f>
        <v>0.79690000000000005</v>
      </c>
      <c r="S1321" s="3">
        <f>NZD!C1321/1</f>
        <v>0.79449999999999998</v>
      </c>
      <c r="T1321" s="4">
        <f>1/PHP!B1321</f>
        <v>2.2280398819138861E-2</v>
      </c>
      <c r="U1321" s="4">
        <f>1/PHP!C1321</f>
        <v>2.2248326925815177E-2</v>
      </c>
      <c r="V1321" s="4">
        <f>1/TWD!B1321</f>
        <v>3.2600899784834061E-2</v>
      </c>
      <c r="W1321" s="4">
        <f>1/TWD!C1321</f>
        <v>3.2600899784834061E-2</v>
      </c>
      <c r="X1321" s="4">
        <f>1/TWD!B1321</f>
        <v>3.2600899784834061E-2</v>
      </c>
      <c r="Y1321" s="4">
        <f>1/TWD!C1321</f>
        <v>3.2600899784834061E-2</v>
      </c>
      <c r="Z1321" s="4">
        <f>1/ZAR!B1321</f>
        <v>9.0262483301440599E-2</v>
      </c>
      <c r="AA1321" s="4">
        <f>1/ZAR!C1321</f>
        <v>8.9827082865483937E-2</v>
      </c>
    </row>
    <row r="1322" spans="1:27" x14ac:dyDescent="0.25">
      <c r="A1322" t="str">
        <f>"18/11/2014"</f>
        <v>18/11/2014</v>
      </c>
      <c r="B1322" s="3">
        <f>AUD!B1322</f>
        <v>0.87229999999999996</v>
      </c>
      <c r="C1322" s="3">
        <f>AUD!C1322</f>
        <v>0.87019999999999997</v>
      </c>
      <c r="D1322" s="3">
        <f>1/CAD!B1322</f>
        <v>0.88644623703572367</v>
      </c>
      <c r="E1322" s="3">
        <f>1/CAD!C1322</f>
        <v>0.88581805297191951</v>
      </c>
      <c r="F1322" s="3">
        <f>EUR!B1322/1</f>
        <v>1.2474000000000001</v>
      </c>
      <c r="G1322" s="3">
        <f>EUR!C1322/1</f>
        <v>1.2476</v>
      </c>
      <c r="H1322" s="3">
        <f>GBP!B1322/1</f>
        <v>1.5650999999999999</v>
      </c>
      <c r="I1322" s="3">
        <f>GBP!C1322/1</f>
        <v>1.5646</v>
      </c>
      <c r="J1322" s="4">
        <f>1/INR!B1322</f>
        <v>1.6172070833670251E-2</v>
      </c>
      <c r="K1322" s="4">
        <f>1/INR!C1322</f>
        <v>1.6055874443061856E-2</v>
      </c>
      <c r="L1322" s="4">
        <f>1/JPY!B1322</f>
        <v>8.5739027547949553E-3</v>
      </c>
      <c r="M1322" s="4">
        <f>1/JPY!C1322</f>
        <v>8.5755791517380126E-3</v>
      </c>
      <c r="N1322" s="5">
        <f>1/KRW!B1322</f>
        <v>9.1006302186426411E-4</v>
      </c>
      <c r="O1322" s="5">
        <f>1/KRW!C1322</f>
        <v>9.100476173315293E-4</v>
      </c>
      <c r="P1322" s="3">
        <f>1/NOK!B1322</f>
        <v>0.14750567896864031</v>
      </c>
      <c r="Q1322" s="3">
        <f>1/NOK!C1322</f>
        <v>0.14732965009208104</v>
      </c>
      <c r="R1322" s="3">
        <f>NZD!B1322/1</f>
        <v>0.79359999999999997</v>
      </c>
      <c r="S1322" s="3">
        <f>NZD!C1322/1</f>
        <v>0.79110000000000003</v>
      </c>
      <c r="T1322" s="4">
        <f>1/PHP!B1322</f>
        <v>2.2246941045606226E-2</v>
      </c>
      <c r="U1322" s="4">
        <f>1/PHP!C1322</f>
        <v>2.2213978368027864E-2</v>
      </c>
      <c r="V1322" s="4">
        <f>1/TWD!B1322</f>
        <v>3.2558972438829832E-2</v>
      </c>
      <c r="W1322" s="4">
        <f>1/TWD!C1322</f>
        <v>3.2558972438829832E-2</v>
      </c>
      <c r="X1322" s="4">
        <f>1/TWD!B1322</f>
        <v>3.2558972438829832E-2</v>
      </c>
      <c r="Y1322" s="4">
        <f>1/TWD!C1322</f>
        <v>3.2558972438829832E-2</v>
      </c>
      <c r="Z1322" s="4">
        <f>1/ZAR!B1322</f>
        <v>8.9938571955354485E-2</v>
      </c>
      <c r="AA1322" s="4">
        <f>1/ZAR!C1322</f>
        <v>8.9510289207744426E-2</v>
      </c>
    </row>
    <row r="1323" spans="1:27" x14ac:dyDescent="0.25">
      <c r="A1323" t="str">
        <f>"19/11/2014"</f>
        <v>19/11/2014</v>
      </c>
      <c r="B1323" s="3">
        <f>AUD!B1323</f>
        <v>0.86670000000000003</v>
      </c>
      <c r="C1323" s="3">
        <f>AUD!C1323</f>
        <v>0.86470000000000002</v>
      </c>
      <c r="D1323" s="3">
        <f>1/CAD!B1323</f>
        <v>0.88230104111522856</v>
      </c>
      <c r="E1323" s="3">
        <f>1/CAD!C1323</f>
        <v>0.88167871627578898</v>
      </c>
      <c r="F1323" s="3">
        <f>EUR!B1323/1</f>
        <v>1.2518</v>
      </c>
      <c r="G1323" s="3">
        <f>EUR!C1323/1</f>
        <v>1.2521</v>
      </c>
      <c r="H1323" s="3">
        <f>GBP!B1323/1</f>
        <v>1.5605</v>
      </c>
      <c r="I1323" s="3">
        <f>GBP!C1323/1</f>
        <v>1.5601</v>
      </c>
      <c r="J1323" s="4">
        <f>1/INR!B1323</f>
        <v>1.616488179430188E-2</v>
      </c>
      <c r="K1323" s="4">
        <f>1/INR!C1323</f>
        <v>1.6056518946692355E-2</v>
      </c>
      <c r="L1323" s="4">
        <f>1/JPY!B1323</f>
        <v>8.5210085465715728E-3</v>
      </c>
      <c r="M1323" s="4">
        <f>1/JPY!C1323</f>
        <v>8.5226715848163489E-3</v>
      </c>
      <c r="N1323" s="5">
        <f>1/KRW!B1323</f>
        <v>9.042613315248107E-4</v>
      </c>
      <c r="O1323" s="5">
        <f>1/KRW!C1323</f>
        <v>9.0424620453958735E-4</v>
      </c>
      <c r="P1323" s="3">
        <f>1/NOK!B1323</f>
        <v>0.14800562421372013</v>
      </c>
      <c r="Q1323" s="3">
        <f>1/NOK!C1323</f>
        <v>0.14781747498189235</v>
      </c>
      <c r="R1323" s="3">
        <f>NZD!B1323/1</f>
        <v>0.78690000000000004</v>
      </c>
      <c r="S1323" s="3">
        <f>NZD!C1323/1</f>
        <v>0.78449999999999998</v>
      </c>
      <c r="T1323" s="4">
        <f>1/PHP!B1323</f>
        <v>2.2197558268590458E-2</v>
      </c>
      <c r="U1323" s="4">
        <f>1/PHP!C1323</f>
        <v>2.2160271950857381E-2</v>
      </c>
      <c r="V1323" s="4">
        <f>1/TWD!B1323</f>
        <v>3.2469640885771804E-2</v>
      </c>
      <c r="W1323" s="4">
        <f>1/TWD!C1323</f>
        <v>3.2469640885771804E-2</v>
      </c>
      <c r="X1323" s="4">
        <f>1/TWD!B1323</f>
        <v>3.2469640885771804E-2</v>
      </c>
      <c r="Y1323" s="4">
        <f>1/TWD!C1323</f>
        <v>3.2469640885771804E-2</v>
      </c>
      <c r="Z1323" s="4">
        <f>1/ZAR!B1323</f>
        <v>9.0368522836125731E-2</v>
      </c>
      <c r="AA1323" s="4">
        <f>1/ZAR!C1323</f>
        <v>8.9909461172599195E-2</v>
      </c>
    </row>
    <row r="1324" spans="1:27" x14ac:dyDescent="0.25">
      <c r="A1324" t="str">
        <f>"20/11/2014"</f>
        <v>20/11/2014</v>
      </c>
      <c r="B1324" s="3">
        <f>AUD!B1324</f>
        <v>0.85919999999999996</v>
      </c>
      <c r="C1324" s="3">
        <f>AUD!C1324</f>
        <v>0.85740000000000005</v>
      </c>
      <c r="D1324" s="3">
        <f>1/CAD!B1324</f>
        <v>0.88121254846669017</v>
      </c>
      <c r="E1324" s="3">
        <f>1/CAD!C1324</f>
        <v>0.88059175766114839</v>
      </c>
      <c r="F1324" s="3">
        <f>EUR!B1324/1</f>
        <v>1.2543</v>
      </c>
      <c r="G1324" s="3">
        <f>EUR!C1324/1</f>
        <v>1.2545999999999999</v>
      </c>
      <c r="H1324" s="3">
        <f>GBP!B1324/1</f>
        <v>1.5671999999999999</v>
      </c>
      <c r="I1324" s="3">
        <f>GBP!C1324/1</f>
        <v>1.5668</v>
      </c>
      <c r="J1324" s="4">
        <f>1/INR!B1324</f>
        <v>1.6079755587715069E-2</v>
      </c>
      <c r="K1324" s="4">
        <f>1/INR!C1324</f>
        <v>1.5973165082661129E-2</v>
      </c>
      <c r="L1324" s="4">
        <f>1/JPY!B1324</f>
        <v>8.4366826963637905E-3</v>
      </c>
      <c r="M1324" s="4">
        <f>1/JPY!C1324</f>
        <v>8.438142089874652E-3</v>
      </c>
      <c r="N1324" s="5">
        <f>1/KRW!B1324</f>
        <v>8.969213175774156E-4</v>
      </c>
      <c r="O1324" s="5">
        <f>1/KRW!C1324</f>
        <v>8.9690619383685525E-4</v>
      </c>
      <c r="P1324" s="3">
        <f>1/NOK!B1324</f>
        <v>0.14724287712581904</v>
      </c>
      <c r="Q1324" s="3">
        <f>1/NOK!C1324</f>
        <v>0.14706314891614458</v>
      </c>
      <c r="R1324" s="3">
        <f>NZD!B1324/1</f>
        <v>0.78420000000000001</v>
      </c>
      <c r="S1324" s="3">
        <f>NZD!C1324/1</f>
        <v>0.78190000000000004</v>
      </c>
      <c r="T1324" s="4">
        <f>1/PHP!B1324</f>
        <v>2.2160664819944598E-2</v>
      </c>
      <c r="U1324" s="4">
        <f>1/PHP!C1324</f>
        <v>2.2119489482182751E-2</v>
      </c>
      <c r="V1324" s="4">
        <f>1/TWD!B1324</f>
        <v>3.2319053698107718E-2</v>
      </c>
      <c r="W1324" s="4">
        <f>1/TWD!C1324</f>
        <v>3.2319053698107718E-2</v>
      </c>
      <c r="X1324" s="4">
        <f>1/TWD!B1324</f>
        <v>3.2319053698107718E-2</v>
      </c>
      <c r="Y1324" s="4">
        <f>1/TWD!C1324</f>
        <v>3.2319053698107718E-2</v>
      </c>
      <c r="Z1324" s="4">
        <f>1/ZAR!B1324</f>
        <v>9.0256780540638126E-2</v>
      </c>
      <c r="AA1324" s="4">
        <f>1/ZAR!C1324</f>
        <v>8.9823048594269303E-2</v>
      </c>
    </row>
    <row r="1325" spans="1:27" x14ac:dyDescent="0.25">
      <c r="A1325" t="str">
        <f>"21/11/2014"</f>
        <v>21/11/2014</v>
      </c>
      <c r="B1325" s="3">
        <f>AUD!B1325</f>
        <v>0.86419999999999997</v>
      </c>
      <c r="C1325" s="3">
        <f>AUD!C1325</f>
        <v>0.86209999999999998</v>
      </c>
      <c r="D1325" s="3">
        <f>1/CAD!B1325</f>
        <v>0.88479915059281533</v>
      </c>
      <c r="E1325" s="3">
        <f>1/CAD!C1325</f>
        <v>0.88417329796640143</v>
      </c>
      <c r="F1325" s="3">
        <f>EUR!B1325/1</f>
        <v>1.2563</v>
      </c>
      <c r="G1325" s="3">
        <f>EUR!C1325/1</f>
        <v>1.2565999999999999</v>
      </c>
      <c r="H1325" s="3">
        <f>GBP!B1325/1</f>
        <v>1.5705</v>
      </c>
      <c r="I1325" s="3">
        <f>GBP!C1325/1</f>
        <v>1.5701000000000001</v>
      </c>
      <c r="J1325" s="4">
        <f>1/INR!B1325</f>
        <v>1.6169455897809038E-2</v>
      </c>
      <c r="K1325" s="4">
        <f>1/INR!C1325</f>
        <v>1.6058452768075795E-2</v>
      </c>
      <c r="L1325" s="4">
        <f>1/JPY!B1325</f>
        <v>8.4960323528911995E-3</v>
      </c>
      <c r="M1325" s="4">
        <f>1/JPY!C1325</f>
        <v>8.4975773407001669E-3</v>
      </c>
      <c r="N1325" s="5">
        <f>1/KRW!B1325</f>
        <v>8.9884408650475495E-4</v>
      </c>
      <c r="O1325" s="5">
        <f>1/KRW!C1325</f>
        <v>8.9882873627376164E-4</v>
      </c>
      <c r="P1325" s="3">
        <f>1/NOK!B1325</f>
        <v>0.14788305408083288</v>
      </c>
      <c r="Q1325" s="3">
        <f>1/NOK!C1325</f>
        <v>0.1476755862720775</v>
      </c>
      <c r="R1325" s="3">
        <f>NZD!B1325/1</f>
        <v>0.78890000000000005</v>
      </c>
      <c r="S1325" s="3">
        <f>NZD!C1325/1</f>
        <v>0.7863</v>
      </c>
      <c r="T1325" s="4">
        <f>1/PHP!B1325</f>
        <v>2.2219753360737695E-2</v>
      </c>
      <c r="U1325" s="4">
        <f>1/PHP!C1325</f>
        <v>2.2179981679335131E-2</v>
      </c>
      <c r="V1325" s="4">
        <f>1/TWD!B1325</f>
        <v>3.2326367001244569E-2</v>
      </c>
      <c r="W1325" s="4">
        <f>1/TWD!C1325</f>
        <v>3.2326367001244569E-2</v>
      </c>
      <c r="X1325" s="4">
        <f>1/TWD!B1325</f>
        <v>3.2326367001244569E-2</v>
      </c>
      <c r="Y1325" s="4">
        <f>1/TWD!C1325</f>
        <v>3.2326367001244569E-2</v>
      </c>
      <c r="Z1325" s="4">
        <f>1/ZAR!B1325</f>
        <v>9.136759008844382E-2</v>
      </c>
      <c r="AA1325" s="4">
        <f>1/ZAR!C1325</f>
        <v>9.0933891061198507E-2</v>
      </c>
    </row>
    <row r="1326" spans="1:27" x14ac:dyDescent="0.25">
      <c r="A1326" t="str">
        <f>"24/11/2014"</f>
        <v>24/11/2014</v>
      </c>
      <c r="B1326" s="3">
        <f>AUD!B1326</f>
        <v>0.86850000000000005</v>
      </c>
      <c r="C1326" s="3">
        <f>AUD!C1326</f>
        <v>0.86639999999999995</v>
      </c>
      <c r="D1326" s="3">
        <f>1/CAD!B1326</f>
        <v>0.89055125122450796</v>
      </c>
      <c r="E1326" s="3">
        <f>1/CAD!C1326</f>
        <v>0.8897588753447816</v>
      </c>
      <c r="F1326" s="3">
        <f>EUR!B1326/1</f>
        <v>1.2393000000000001</v>
      </c>
      <c r="G1326" s="3">
        <f>EUR!C1326/1</f>
        <v>1.2396</v>
      </c>
      <c r="H1326" s="3">
        <f>GBP!B1326/1</f>
        <v>1.5656000000000001</v>
      </c>
      <c r="I1326" s="3">
        <f>GBP!C1326/1</f>
        <v>1.5651999999999999</v>
      </c>
      <c r="J1326" s="4">
        <f>1/INR!B1326</f>
        <v>1.6210082671421624E-2</v>
      </c>
      <c r="K1326" s="4">
        <f>1/INR!C1326</f>
        <v>1.610305958132045E-2</v>
      </c>
      <c r="L1326" s="4">
        <f>1/JPY!B1326</f>
        <v>8.4811887234114737E-3</v>
      </c>
      <c r="M1326" s="4">
        <f>1/JPY!C1326</f>
        <v>8.482814665768619E-3</v>
      </c>
      <c r="N1326" s="5">
        <f>1/KRW!B1326</f>
        <v>8.9758549501840063E-4</v>
      </c>
      <c r="O1326" s="5">
        <f>1/KRW!C1326</f>
        <v>8.9757059056105783E-4</v>
      </c>
      <c r="P1326" s="3">
        <f>1/NOK!B1326</f>
        <v>0.14717136633896508</v>
      </c>
      <c r="Q1326" s="3">
        <f>1/NOK!C1326</f>
        <v>0.14698101005350109</v>
      </c>
      <c r="R1326" s="3">
        <f>NZD!B1326/1</f>
        <v>0.78959999999999997</v>
      </c>
      <c r="S1326" s="3">
        <f>NZD!C1326/1</f>
        <v>0.78700000000000003</v>
      </c>
      <c r="T1326" s="4">
        <f>1/PHP!B1326</f>
        <v>2.2251891410769917E-2</v>
      </c>
      <c r="U1326" s="4">
        <f>1/PHP!C1326</f>
        <v>2.2213731640350797E-2</v>
      </c>
      <c r="V1326" s="4">
        <f>1/TWD!B1326</f>
        <v>3.2339434706681325E-2</v>
      </c>
      <c r="W1326" s="4">
        <f>1/TWD!C1326</f>
        <v>3.2339434706681325E-2</v>
      </c>
      <c r="X1326" s="4">
        <f>1/TWD!B1326</f>
        <v>3.2339434706681325E-2</v>
      </c>
      <c r="Y1326" s="4">
        <f>1/TWD!C1326</f>
        <v>3.2339434706681325E-2</v>
      </c>
      <c r="Z1326" s="4">
        <f>1/ZAR!B1326</f>
        <v>9.1370094568047885E-2</v>
      </c>
      <c r="AA1326" s="4">
        <f>1/ZAR!C1326</f>
        <v>9.0873567605390615E-2</v>
      </c>
    </row>
    <row r="1327" spans="1:27" x14ac:dyDescent="0.25">
      <c r="A1327" t="str">
        <f>"25/11/2014"</f>
        <v>25/11/2014</v>
      </c>
      <c r="B1327" s="3">
        <f>AUD!B1327</f>
        <v>0.85909999999999997</v>
      </c>
      <c r="C1327" s="3">
        <f>AUD!C1327</f>
        <v>0.85709999999999997</v>
      </c>
      <c r="D1327" s="3">
        <f>1/CAD!B1327</f>
        <v>0.88581805297191951</v>
      </c>
      <c r="E1327" s="3">
        <f>1/CAD!C1327</f>
        <v>0.88511240927597812</v>
      </c>
      <c r="F1327" s="3">
        <f>EUR!B1327/1</f>
        <v>1.2422</v>
      </c>
      <c r="G1327" s="3">
        <f>EUR!C1327/1</f>
        <v>1.2424999999999999</v>
      </c>
      <c r="H1327" s="3">
        <f>GBP!B1327/1</f>
        <v>1.5678000000000001</v>
      </c>
      <c r="I1327" s="3">
        <f>GBP!C1327/1</f>
        <v>1.5673999999999999</v>
      </c>
      <c r="J1327" s="4">
        <f>1/INR!B1327</f>
        <v>1.6131634134537828E-2</v>
      </c>
      <c r="K1327" s="4">
        <f>1/INR!C1327</f>
        <v>1.6017298682577185E-2</v>
      </c>
      <c r="L1327" s="4">
        <f>1/JPY!B1327</f>
        <v>8.4760128835395833E-3</v>
      </c>
      <c r="M1327" s="4">
        <f>1/JPY!C1327</f>
        <v>8.4776727770906144E-3</v>
      </c>
      <c r="N1327" s="5">
        <f>1/KRW!B1327</f>
        <v>8.9827082865483947E-4</v>
      </c>
      <c r="O1327" s="5">
        <f>1/KRW!C1327</f>
        <v>8.9825469113512441E-4</v>
      </c>
      <c r="P1327" s="3">
        <f>1/NOK!B1327</f>
        <v>0.14697020913860762</v>
      </c>
      <c r="Q1327" s="3">
        <f>1/NOK!C1327</f>
        <v>0.14678468155063337</v>
      </c>
      <c r="R1327" s="3">
        <f>NZD!B1327/1</f>
        <v>0.78239999999999998</v>
      </c>
      <c r="S1327" s="3">
        <f>NZD!C1327/1</f>
        <v>0.77990000000000004</v>
      </c>
      <c r="T1327" s="4">
        <f>1/PHP!B1327</f>
        <v>2.2237046920169003E-2</v>
      </c>
      <c r="U1327" s="4">
        <f>1/PHP!C1327</f>
        <v>2.2197508995540519E-2</v>
      </c>
      <c r="V1327" s="4">
        <f>1/TWD!B1327</f>
        <v>3.2336297493936947E-2</v>
      </c>
      <c r="W1327" s="4">
        <f>1/TWD!C1327</f>
        <v>3.2336297493936947E-2</v>
      </c>
      <c r="X1327" s="4">
        <f>1/TWD!B1327</f>
        <v>3.2336297493936947E-2</v>
      </c>
      <c r="Y1327" s="4">
        <f>1/TWD!C1327</f>
        <v>3.2336297493936947E-2</v>
      </c>
      <c r="Z1327" s="4">
        <f>1/ZAR!B1327</f>
        <v>9.0555922810131403E-2</v>
      </c>
      <c r="AA1327" s="4">
        <f>1/ZAR!C1327</f>
        <v>9.0065747996037115E-2</v>
      </c>
    </row>
    <row r="1328" spans="1:27" x14ac:dyDescent="0.25">
      <c r="A1328" t="str">
        <f>"26/11/2014"</f>
        <v>26/11/2014</v>
      </c>
      <c r="B1328" s="3">
        <f>AUD!B1328</f>
        <v>0.85350000000000004</v>
      </c>
      <c r="C1328" s="3">
        <f>AUD!C1328</f>
        <v>0.85150000000000003</v>
      </c>
      <c r="D1328" s="3">
        <f>1/CAD!B1328</f>
        <v>0.88746893858714948</v>
      </c>
      <c r="E1328" s="3">
        <f>1/CAD!C1328</f>
        <v>0.88676066329697623</v>
      </c>
      <c r="F1328" s="3">
        <f>EUR!B1328/1</f>
        <v>1.2471000000000001</v>
      </c>
      <c r="G1328" s="3">
        <f>EUR!C1328/1</f>
        <v>1.2473000000000001</v>
      </c>
      <c r="H1328" s="3">
        <f>GBP!B1328/1</f>
        <v>1.5696000000000001</v>
      </c>
      <c r="I1328" s="3">
        <f>GBP!C1328/1</f>
        <v>1.5691999999999999</v>
      </c>
      <c r="J1328" s="4">
        <f>1/INR!B1328</f>
        <v>1.6169455897809038E-2</v>
      </c>
      <c r="K1328" s="4">
        <f>1/INR!C1328</f>
        <v>1.60481444332999E-2</v>
      </c>
      <c r="L1328" s="4">
        <f>1/JPY!B1328</f>
        <v>8.4852187489393473E-3</v>
      </c>
      <c r="M1328" s="4">
        <f>1/JPY!C1328</f>
        <v>8.4868606423535078E-3</v>
      </c>
      <c r="N1328" s="5">
        <f>1/KRW!B1328</f>
        <v>9.0323629564730424E-4</v>
      </c>
      <c r="O1328" s="5">
        <f>1/KRW!C1328</f>
        <v>9.0321859235730753E-4</v>
      </c>
      <c r="P1328" s="3">
        <f>1/NOK!B1328</f>
        <v>0.14675452370819331</v>
      </c>
      <c r="Q1328" s="3">
        <f>1/NOK!C1328</f>
        <v>0.1465695399182142</v>
      </c>
      <c r="R1328" s="3">
        <f>NZD!B1328/1</f>
        <v>0.78139999999999998</v>
      </c>
      <c r="S1328" s="3">
        <f>NZD!C1328/1</f>
        <v>0.77890000000000004</v>
      </c>
      <c r="T1328" s="4">
        <f>1/PHP!B1328</f>
        <v>2.2256843979523704E-2</v>
      </c>
      <c r="U1328" s="4">
        <f>1/PHP!C1328</f>
        <v>2.2219111546605694E-2</v>
      </c>
      <c r="V1328" s="4">
        <f>1/TWD!B1328</f>
        <v>3.2371888252241757E-2</v>
      </c>
      <c r="W1328" s="4">
        <f>1/TWD!C1328</f>
        <v>3.2371888252241757E-2</v>
      </c>
      <c r="X1328" s="4">
        <f>1/TWD!B1328</f>
        <v>3.2371888252241757E-2</v>
      </c>
      <c r="Y1328" s="4">
        <f>1/TWD!C1328</f>
        <v>3.2371888252241757E-2</v>
      </c>
      <c r="Z1328" s="4">
        <f>1/ZAR!B1328</f>
        <v>9.1126136798556551E-2</v>
      </c>
      <c r="AA1328" s="4">
        <f>1/ZAR!C1328</f>
        <v>9.0624037119605608E-2</v>
      </c>
    </row>
    <row r="1329" spans="1:27" x14ac:dyDescent="0.25">
      <c r="A1329" t="str">
        <f>"27/11/2014"</f>
        <v>27/11/2014</v>
      </c>
      <c r="B1329" s="3">
        <f>AUD!B1329</f>
        <v>0.85840000000000005</v>
      </c>
      <c r="C1329" s="3">
        <f>AUD!C1329</f>
        <v>0.85640000000000005</v>
      </c>
      <c r="D1329" s="3">
        <f>1/CAD!B1329</f>
        <v>0.88778409090909083</v>
      </c>
      <c r="E1329" s="3">
        <f>1/CAD!C1329</f>
        <v>0.88707531269404771</v>
      </c>
      <c r="F1329" s="3">
        <f>EUR!B1329/1</f>
        <v>1.2506999999999999</v>
      </c>
      <c r="G1329" s="3">
        <f>EUR!C1329/1</f>
        <v>1.2508999999999999</v>
      </c>
      <c r="H1329" s="3">
        <f>GBP!B1329/1</f>
        <v>1.579</v>
      </c>
      <c r="I1329" s="3">
        <f>GBP!C1329/1</f>
        <v>1.5787</v>
      </c>
      <c r="J1329" s="4">
        <f>1/INR!B1329</f>
        <v>1.6169455897809038E-2</v>
      </c>
      <c r="K1329" s="4">
        <f>1/INR!C1329</f>
        <v>1.6057163502067359E-2</v>
      </c>
      <c r="L1329" s="4">
        <f>1/JPY!B1329</f>
        <v>8.5147688665991161E-3</v>
      </c>
      <c r="M1329" s="4">
        <f>1/JPY!C1329</f>
        <v>8.5195639005630572E-3</v>
      </c>
      <c r="N1329" s="5">
        <f>1/KRW!B1329</f>
        <v>9.08521018633766E-4</v>
      </c>
      <c r="O1329" s="5">
        <f>1/KRW!C1329</f>
        <v>9.0850492341530632E-4</v>
      </c>
      <c r="P1329" s="3">
        <f>1/NOK!B1329</f>
        <v>0.14637216586893836</v>
      </c>
      <c r="Q1329" s="3">
        <f>1/NOK!C1329</f>
        <v>0.1461667762917489</v>
      </c>
      <c r="R1329" s="3">
        <f>NZD!B1329/1</f>
        <v>0.79079999999999995</v>
      </c>
      <c r="S1329" s="3">
        <f>NZD!C1329/1</f>
        <v>0.78810000000000002</v>
      </c>
      <c r="T1329" s="4">
        <f>1/PHP!B1329</f>
        <v>2.2256843979523704E-2</v>
      </c>
      <c r="U1329" s="4">
        <f>1/PHP!C1329</f>
        <v>2.2222123457229081E-2</v>
      </c>
      <c r="V1329" s="4">
        <f>1/TWD!B1329</f>
        <v>3.2388663967611336E-2</v>
      </c>
      <c r="W1329" s="4">
        <f>1/TWD!C1329</f>
        <v>3.2388663967611336E-2</v>
      </c>
      <c r="X1329" s="4">
        <f>1/TWD!B1329</f>
        <v>3.2388663967611336E-2</v>
      </c>
      <c r="Y1329" s="4">
        <f>1/TWD!C1329</f>
        <v>3.2388663967611336E-2</v>
      </c>
      <c r="Z1329" s="4">
        <f>1/ZAR!B1329</f>
        <v>9.1166013310237951E-2</v>
      </c>
      <c r="AA1329" s="4">
        <f>1/ZAR!C1329</f>
        <v>9.0656078036751978E-2</v>
      </c>
    </row>
    <row r="1330" spans="1:27" x14ac:dyDescent="0.25">
      <c r="A1330" t="str">
        <f>"28/11/2014"</f>
        <v>28/11/2014</v>
      </c>
      <c r="B1330" s="3">
        <f>AUD!B1330</f>
        <v>0.8498</v>
      </c>
      <c r="C1330" s="3">
        <f>AUD!C1330</f>
        <v>0.84799999999999998</v>
      </c>
      <c r="D1330" s="3">
        <f>1/CAD!B1330</f>
        <v>0.88129020886577947</v>
      </c>
      <c r="E1330" s="3">
        <f>1/CAD!C1330</f>
        <v>0.8806693086745927</v>
      </c>
      <c r="F1330" s="3">
        <f>EUR!B1330/1</f>
        <v>1.2446999999999999</v>
      </c>
      <c r="G1330" s="3">
        <f>EUR!C1330/1</f>
        <v>1.2448999999999999</v>
      </c>
      <c r="H1330" s="3">
        <f>GBP!B1330/1</f>
        <v>1.571</v>
      </c>
      <c r="I1330" s="3">
        <f>GBP!C1330/1</f>
        <v>1.5707</v>
      </c>
      <c r="J1330" s="4">
        <f>1/INR!B1330</f>
        <v>1.6156393892883109E-2</v>
      </c>
      <c r="K1330" s="4">
        <f>1/INR!C1330</f>
        <v>1.6049432251334109E-2</v>
      </c>
      <c r="L1330" s="4">
        <f>1/JPY!B1330</f>
        <v>8.4530139221139292E-3</v>
      </c>
      <c r="M1330" s="4">
        <f>1/JPY!C1330</f>
        <v>8.4580329321970252E-3</v>
      </c>
      <c r="N1330" s="5">
        <f>1/KRW!B1330</f>
        <v>9.0317919075144507E-4</v>
      </c>
      <c r="O1330" s="5">
        <f>1/KRW!C1330</f>
        <v>9.0316409994955832E-4</v>
      </c>
      <c r="P1330" s="3">
        <f>1/NOK!B1330</f>
        <v>0.14386212254175598</v>
      </c>
      <c r="Q1330" s="3">
        <f>1/NOK!C1330</f>
        <v>0.14367403235539208</v>
      </c>
      <c r="R1330" s="3">
        <f>NZD!B1330/1</f>
        <v>0.78369999999999995</v>
      </c>
      <c r="S1330" s="3">
        <f>NZD!C1330/1</f>
        <v>0.78110000000000002</v>
      </c>
      <c r="T1330" s="4">
        <f>1/PHP!B1330</f>
        <v>2.2269235051775971E-2</v>
      </c>
      <c r="U1330" s="4">
        <f>1/PHP!C1330</f>
        <v>2.2226124141793781E-2</v>
      </c>
      <c r="V1330" s="4">
        <f>1/TWD!B1330</f>
        <v>3.2288790946223014E-2</v>
      </c>
      <c r="W1330" s="4">
        <f>1/TWD!C1330</f>
        <v>3.2288895203161729E-2</v>
      </c>
      <c r="X1330" s="4">
        <f>1/TWD!B1330</f>
        <v>3.2288790946223014E-2</v>
      </c>
      <c r="Y1330" s="4">
        <f>1/TWD!C1330</f>
        <v>3.2288895203161729E-2</v>
      </c>
      <c r="Z1330" s="4">
        <f>1/ZAR!B1330</f>
        <v>9.0839722393808359E-2</v>
      </c>
      <c r="AA1330" s="4">
        <f>1/ZAR!C1330</f>
        <v>9.0337500903375015E-2</v>
      </c>
    </row>
    <row r="1331" spans="1:27" x14ac:dyDescent="0.25">
      <c r="A1331" t="str">
        <f>"01/12/2014"</f>
        <v>01/12/2014</v>
      </c>
      <c r="B1331" s="3">
        <f>AUD!B1331</f>
        <v>0.84509999999999996</v>
      </c>
      <c r="C1331" s="3">
        <f>AUD!C1331</f>
        <v>0.84309999999999996</v>
      </c>
      <c r="D1331" s="3">
        <f>1/CAD!B1331</f>
        <v>0.87489063867016625</v>
      </c>
      <c r="E1331" s="3">
        <f>1/CAD!C1331</f>
        <v>0.87427872005595386</v>
      </c>
      <c r="F1331" s="3">
        <f>EUR!B1331/1</f>
        <v>1.2453000000000001</v>
      </c>
      <c r="G1331" s="3">
        <f>EUR!C1331/1</f>
        <v>1.2455000000000001</v>
      </c>
      <c r="H1331" s="3">
        <f>GBP!B1331/1</f>
        <v>1.5613999999999999</v>
      </c>
      <c r="I1331" s="3">
        <f>GBP!C1331/1</f>
        <v>1.5610999999999999</v>
      </c>
      <c r="J1331" s="4">
        <f>1/INR!B1331</f>
        <v>1.6086869093102755E-2</v>
      </c>
      <c r="K1331" s="4">
        <f>1/INR!C1331</f>
        <v>1.5974440894568689E-2</v>
      </c>
      <c r="L1331" s="4">
        <f>1/JPY!B1331</f>
        <v>8.4126222984966647E-3</v>
      </c>
      <c r="M1331" s="4">
        <f>1/JPY!C1331</f>
        <v>8.4176501287900468E-3</v>
      </c>
      <c r="N1331" s="5">
        <f>1/KRW!B1331</f>
        <v>8.9670014347202295E-4</v>
      </c>
      <c r="O1331" s="5">
        <f>1/KRW!C1331</f>
        <v>8.9667851447987855E-4</v>
      </c>
      <c r="P1331" s="3">
        <f>1/NOK!B1331</f>
        <v>0.14192449616803859</v>
      </c>
      <c r="Q1331" s="3">
        <f>1/NOK!C1331</f>
        <v>0.1417555001134044</v>
      </c>
      <c r="R1331" s="3">
        <f>NZD!B1331/1</f>
        <v>0.78169999999999995</v>
      </c>
      <c r="S1331" s="3">
        <f>NZD!C1331/1</f>
        <v>0.7792</v>
      </c>
      <c r="T1331" s="4">
        <f>1/PHP!B1331</f>
        <v>2.2232103156958651E-2</v>
      </c>
      <c r="U1331" s="4">
        <f>1/PHP!C1331</f>
        <v>2.2187806469076855E-2</v>
      </c>
      <c r="V1331" s="4">
        <f>1/TWD!B1331</f>
        <v>3.2200933827080988E-2</v>
      </c>
      <c r="W1331" s="4">
        <f>1/TWD!C1331</f>
        <v>3.2200933827080988E-2</v>
      </c>
      <c r="X1331" s="4">
        <f>1/TWD!B1331</f>
        <v>3.2200933827080988E-2</v>
      </c>
      <c r="Y1331" s="4">
        <f>1/TWD!C1331</f>
        <v>3.2200933827080988E-2</v>
      </c>
      <c r="Z1331" s="4">
        <f>1/ZAR!B1331</f>
        <v>8.9944234574563769E-2</v>
      </c>
      <c r="AA1331" s="4">
        <f>1/ZAR!C1331</f>
        <v>8.9456640366414403E-2</v>
      </c>
    </row>
    <row r="1332" spans="1:27" x14ac:dyDescent="0.25">
      <c r="A1332" t="str">
        <f>"02/12/2014"</f>
        <v>02/12/2014</v>
      </c>
      <c r="B1332" s="3">
        <f>AUD!B1332</f>
        <v>0.85129999999999995</v>
      </c>
      <c r="C1332" s="3">
        <f>AUD!C1332</f>
        <v>0.84940000000000004</v>
      </c>
      <c r="D1332" s="3">
        <f>1/CAD!B1332</f>
        <v>0.88315817362889681</v>
      </c>
      <c r="E1332" s="3">
        <f>1/CAD!C1332</f>
        <v>0.88245675961877867</v>
      </c>
      <c r="F1332" s="3">
        <f>EUR!B1332/1</f>
        <v>1.2466999999999999</v>
      </c>
      <c r="G1332" s="3">
        <f>EUR!C1332/1</f>
        <v>1.2468999999999999</v>
      </c>
      <c r="H1332" s="3">
        <f>GBP!B1332/1</f>
        <v>1.5731999999999999</v>
      </c>
      <c r="I1332" s="3">
        <f>GBP!C1332/1</f>
        <v>1.5729</v>
      </c>
      <c r="J1332" s="4">
        <f>1/INR!B1332</f>
        <v>1.6133586092848786E-2</v>
      </c>
      <c r="K1332" s="4">
        <f>1/INR!C1332</f>
        <v>1.6023715098345551E-2</v>
      </c>
      <c r="L1332" s="4">
        <f>1/JPY!B1332</f>
        <v>8.4434499936674127E-3</v>
      </c>
      <c r="M1332" s="4">
        <f>1/JPY!C1332</f>
        <v>8.4489073450575991E-3</v>
      </c>
      <c r="N1332" s="5">
        <f>1/KRW!B1332</f>
        <v>9.0387309621729121E-4</v>
      </c>
      <c r="O1332" s="5">
        <f>1/KRW!C1332</f>
        <v>9.0385675678118543E-4</v>
      </c>
      <c r="P1332" s="3">
        <f>1/NOK!B1332</f>
        <v>0.14369261276277787</v>
      </c>
      <c r="Q1332" s="3">
        <f>1/NOK!C1332</f>
        <v>0.14349878743524616</v>
      </c>
      <c r="R1332" s="3">
        <f>NZD!B1332/1</f>
        <v>0.78769999999999996</v>
      </c>
      <c r="S1332" s="3">
        <f>NZD!C1332/1</f>
        <v>0.78520000000000001</v>
      </c>
      <c r="T1332" s="4">
        <f>1/PHP!B1332</f>
        <v>2.2343872193051055E-2</v>
      </c>
      <c r="U1332" s="4">
        <f>1/PHP!C1332</f>
        <v>2.2302660484369182E-2</v>
      </c>
      <c r="V1332" s="4">
        <f>1/TWD!B1332</f>
        <v>3.2216494845360828E-2</v>
      </c>
      <c r="W1332" s="4">
        <f>1/TWD!C1332</f>
        <v>3.2216494845360828E-2</v>
      </c>
      <c r="X1332" s="4">
        <f>1/TWD!B1332</f>
        <v>3.2216494845360828E-2</v>
      </c>
      <c r="Y1332" s="4">
        <f>1/TWD!C1332</f>
        <v>3.2216494845360828E-2</v>
      </c>
      <c r="Z1332" s="4">
        <f>1/ZAR!B1332</f>
        <v>9.0860356717760465E-2</v>
      </c>
      <c r="AA1332" s="4">
        <f>1/ZAR!C1332</f>
        <v>9.0337500903375015E-2</v>
      </c>
    </row>
    <row r="1333" spans="1:27" x14ac:dyDescent="0.25">
      <c r="A1333" t="str">
        <f>"04/12/2014"</f>
        <v>04/12/2014</v>
      </c>
      <c r="B1333" s="3">
        <f>AUD!B1333</f>
        <v>0.83860000000000001</v>
      </c>
      <c r="C1333" s="3">
        <f>AUD!C1333</f>
        <v>0.8367</v>
      </c>
      <c r="D1333" s="3">
        <f>1/CAD!B1333</f>
        <v>0.87989441267047952</v>
      </c>
      <c r="E1333" s="3">
        <f>1/CAD!C1333</f>
        <v>0.8792754770069463</v>
      </c>
      <c r="F1333" s="3">
        <f>EUR!B1333/1</f>
        <v>1.2303999999999999</v>
      </c>
      <c r="G1333" s="3">
        <f>EUR!C1333/1</f>
        <v>1.2306999999999999</v>
      </c>
      <c r="H1333" s="3">
        <f>GBP!B1333/1</f>
        <v>1.5680000000000001</v>
      </c>
      <c r="I1333" s="3">
        <f>GBP!C1333/1</f>
        <v>1.5678000000000001</v>
      </c>
      <c r="J1333" s="4">
        <f>1/INR!B1333</f>
        <v>1.6151174997981105E-2</v>
      </c>
      <c r="K1333" s="4">
        <f>1/INR!C1333</f>
        <v>1.6041708441949069E-2</v>
      </c>
      <c r="L1333" s="4">
        <f>1/JPY!B1333</f>
        <v>8.3369460099376406E-3</v>
      </c>
      <c r="M1333" s="4">
        <f>1/JPY!C1333</f>
        <v>8.3423152260600573E-3</v>
      </c>
      <c r="N1333" s="5">
        <f>1/KRW!B1333</f>
        <v>8.9525514771709937E-4</v>
      </c>
      <c r="O1333" s="5">
        <f>1/KRW!C1333</f>
        <v>8.9523871764215601E-4</v>
      </c>
      <c r="P1333" s="3">
        <f>1/NOK!B1333</f>
        <v>0.14188623561628286</v>
      </c>
      <c r="Q1333" s="3">
        <f>1/NOK!C1333</f>
        <v>0.14170929754701206</v>
      </c>
      <c r="R1333" s="3">
        <f>NZD!B1333/1</f>
        <v>0.77439999999999998</v>
      </c>
      <c r="S1333" s="3">
        <f>NZD!C1333/1</f>
        <v>0.77200000000000002</v>
      </c>
      <c r="T1333" s="4">
        <f>1/PHP!B1333</f>
        <v>2.2386389075442131E-2</v>
      </c>
      <c r="U1333" s="4">
        <f>1/PHP!C1333</f>
        <v>2.2346218908029666E-2</v>
      </c>
      <c r="V1333" s="4">
        <f>1/TWD!B1333</f>
        <v>3.2094486167276462E-2</v>
      </c>
      <c r="W1333" s="4">
        <f>1/TWD!C1333</f>
        <v>3.2094486167276462E-2</v>
      </c>
      <c r="X1333" s="4">
        <f>1/TWD!B1333</f>
        <v>3.2094486167276462E-2</v>
      </c>
      <c r="Y1333" s="4">
        <f>1/TWD!C1333</f>
        <v>3.2094486167276462E-2</v>
      </c>
      <c r="Z1333" s="4">
        <f>1/ZAR!B1333</f>
        <v>8.911861687906604E-2</v>
      </c>
      <c r="AA1333" s="4">
        <f>1/ZAR!C1333</f>
        <v>8.8635195263335173E-2</v>
      </c>
    </row>
    <row r="1334" spans="1:27" x14ac:dyDescent="0.25">
      <c r="A1334" t="str">
        <f>"05/12/2014"</f>
        <v>05/12/2014</v>
      </c>
      <c r="B1334" s="3">
        <f>AUD!B1334</f>
        <v>0.83709999999999996</v>
      </c>
      <c r="C1334" s="3">
        <f>AUD!C1334</f>
        <v>0.83530000000000004</v>
      </c>
      <c r="D1334" s="3">
        <f>1/CAD!B1334</f>
        <v>0.8772699359592947</v>
      </c>
      <c r="E1334" s="3">
        <f>1/CAD!C1334</f>
        <v>0.87665468571929517</v>
      </c>
      <c r="F1334" s="3">
        <f>EUR!B1334/1</f>
        <v>1.2376</v>
      </c>
      <c r="G1334" s="3">
        <f>EUR!C1334/1</f>
        <v>1.2378</v>
      </c>
      <c r="H1334" s="3">
        <f>GBP!B1334/1</f>
        <v>1.5639000000000001</v>
      </c>
      <c r="I1334" s="3">
        <f>GBP!C1334/1</f>
        <v>1.5637000000000001</v>
      </c>
      <c r="J1334" s="4">
        <f>1/INR!B1334</f>
        <v>1.6166188416925999E-2</v>
      </c>
      <c r="K1334" s="4">
        <f>1/INR!C1334</f>
        <v>1.6056518946692355E-2</v>
      </c>
      <c r="L1334" s="4">
        <f>1/JPY!B1334</f>
        <v>8.3276427774354195E-3</v>
      </c>
      <c r="M1334" s="4">
        <f>1/JPY!C1334</f>
        <v>8.3331319493112257E-3</v>
      </c>
      <c r="N1334" s="5">
        <f>1/KRW!B1334</f>
        <v>8.9670014347202295E-4</v>
      </c>
      <c r="O1334" s="5">
        <f>1/KRW!C1334</f>
        <v>8.9667875568965087E-4</v>
      </c>
      <c r="P1334" s="3">
        <f>1/NOK!B1334</f>
        <v>0.14153880994168602</v>
      </c>
      <c r="Q1334" s="3">
        <f>1/NOK!C1334</f>
        <v>0.14136873206384212</v>
      </c>
      <c r="R1334" s="3">
        <f>NZD!B1334/1</f>
        <v>0.7762</v>
      </c>
      <c r="S1334" s="3">
        <f>NZD!C1334/1</f>
        <v>0.77380000000000004</v>
      </c>
      <c r="T1334" s="4">
        <f>1/PHP!B1334</f>
        <v>2.2474435329812338E-2</v>
      </c>
      <c r="U1334" s="4">
        <f>1/PHP!C1334</f>
        <v>2.2428363806003625E-2</v>
      </c>
      <c r="V1334" s="4">
        <f>1/TWD!B1334</f>
        <v>3.2135741371553443E-2</v>
      </c>
      <c r="W1334" s="4">
        <f>1/TWD!C1334</f>
        <v>3.2135741371553443E-2</v>
      </c>
      <c r="X1334" s="4">
        <f>1/TWD!B1334</f>
        <v>3.2135741371553443E-2</v>
      </c>
      <c r="Y1334" s="4">
        <f>1/TWD!C1334</f>
        <v>3.2135741371553443E-2</v>
      </c>
      <c r="Z1334" s="4">
        <f>1/ZAR!B1334</f>
        <v>8.9121793843466482E-2</v>
      </c>
      <c r="AA1334" s="4">
        <f>1/ZAR!C1334</f>
        <v>8.8634409650514528E-2</v>
      </c>
    </row>
    <row r="1335" spans="1:27" x14ac:dyDescent="0.25">
      <c r="A1335" t="str">
        <f>"08/12/2014"</f>
        <v>08/12/2014</v>
      </c>
      <c r="B1335" s="3">
        <f>AUD!B1335</f>
        <v>0.82850000000000001</v>
      </c>
      <c r="C1335" s="3">
        <f>AUD!C1335</f>
        <v>0.8266</v>
      </c>
      <c r="D1335" s="3">
        <f>1/CAD!B1335</f>
        <v>0.87397308162908571</v>
      </c>
      <c r="E1335" s="3">
        <f>1/CAD!C1335</f>
        <v>0.8733624454148472</v>
      </c>
      <c r="F1335" s="3">
        <f>EUR!B1335/1</f>
        <v>1.2285999999999999</v>
      </c>
      <c r="G1335" s="3">
        <f>EUR!C1335/1</f>
        <v>1.2287999999999999</v>
      </c>
      <c r="H1335" s="3">
        <f>GBP!B1335/1</f>
        <v>1.5563</v>
      </c>
      <c r="I1335" s="3">
        <f>GBP!C1335/1</f>
        <v>1.556</v>
      </c>
      <c r="J1335" s="4">
        <f>1/INR!B1335</f>
        <v>1.6149218781541443E-2</v>
      </c>
      <c r="K1335" s="4">
        <f>1/INR!C1335</f>
        <v>1.6031421586309165E-2</v>
      </c>
      <c r="L1335" s="4">
        <f>1/JPY!B1335</f>
        <v>8.2298430568929059E-3</v>
      </c>
      <c r="M1335" s="4">
        <f>1/JPY!C1335</f>
        <v>8.235644859228123E-3</v>
      </c>
      <c r="N1335" s="5">
        <f>1/KRW!B1335</f>
        <v>8.9473448754082217E-4</v>
      </c>
      <c r="O1335" s="5">
        <f>1/KRW!C1335</f>
        <v>8.9471743615497689E-4</v>
      </c>
      <c r="P1335" s="3">
        <f>1/NOK!B1335</f>
        <v>0.13983667076854234</v>
      </c>
      <c r="Q1335" s="3">
        <f>1/NOK!C1335</f>
        <v>0.139662853870756</v>
      </c>
      <c r="R1335" s="3">
        <f>NZD!B1335/1</f>
        <v>0.76459999999999995</v>
      </c>
      <c r="S1335" s="3">
        <f>NZD!C1335/1</f>
        <v>0.7621</v>
      </c>
      <c r="T1335" s="4">
        <f>1/PHP!B1335</f>
        <v>2.2451728783116302E-2</v>
      </c>
      <c r="U1335" s="4">
        <f>1/PHP!C1335</f>
        <v>2.2414488725512171E-2</v>
      </c>
      <c r="V1335" s="4">
        <f>1/TWD!B1335</f>
        <v>3.2058474657775782E-2</v>
      </c>
      <c r="W1335" s="4">
        <f>1/TWD!C1335</f>
        <v>3.2058474657775782E-2</v>
      </c>
      <c r="X1335" s="4">
        <f>1/TWD!B1335</f>
        <v>3.2058474657775782E-2</v>
      </c>
      <c r="Y1335" s="4">
        <f>1/TWD!C1335</f>
        <v>3.2058474657775782E-2</v>
      </c>
      <c r="Z1335" s="4">
        <f>1/ZAR!B1335</f>
        <v>8.7940692796777853E-2</v>
      </c>
      <c r="AA1335" s="4">
        <f>1/ZAR!C1335</f>
        <v>8.7458457232814424E-2</v>
      </c>
    </row>
    <row r="1336" spans="1:27" x14ac:dyDescent="0.25">
      <c r="A1336" t="str">
        <f>"09/12/2014"</f>
        <v>09/12/2014</v>
      </c>
      <c r="B1336" s="3">
        <f>AUD!B1336</f>
        <v>0.82369999999999999</v>
      </c>
      <c r="C1336" s="3">
        <f>AUD!C1336</f>
        <v>0.82179999999999997</v>
      </c>
      <c r="D1336" s="3">
        <f>1/CAD!B1336</f>
        <v>0.8703220191470844</v>
      </c>
      <c r="E1336" s="3">
        <f>1/CAD!C1336</f>
        <v>0.86964083833376826</v>
      </c>
      <c r="F1336" s="3">
        <f>EUR!B1336/1</f>
        <v>1.2309000000000001</v>
      </c>
      <c r="G1336" s="3">
        <f>EUR!C1336/1</f>
        <v>1.2312000000000001</v>
      </c>
      <c r="H1336" s="3">
        <f>GBP!B1336/1</f>
        <v>1.5638000000000001</v>
      </c>
      <c r="I1336" s="3">
        <f>GBP!C1336/1</f>
        <v>1.5634999999999999</v>
      </c>
      <c r="J1336" s="4">
        <f>1/INR!B1336</f>
        <v>1.6160310277957335E-2</v>
      </c>
      <c r="K1336" s="4">
        <f>1/INR!C1336</f>
        <v>1.6046213093709884E-2</v>
      </c>
      <c r="L1336" s="4">
        <f>1/JPY!B1336</f>
        <v>8.3126901527872457E-3</v>
      </c>
      <c r="M1336" s="4">
        <f>1/JPY!C1336</f>
        <v>8.3186924346483511E-3</v>
      </c>
      <c r="N1336" s="5">
        <f>1/KRW!B1336</f>
        <v>9.0009000900090005E-4</v>
      </c>
      <c r="O1336" s="5">
        <f>1/KRW!C1336</f>
        <v>9.0006837819469156E-4</v>
      </c>
      <c r="P1336" s="3">
        <f>1/NOK!B1336</f>
        <v>0.13932039511264055</v>
      </c>
      <c r="Q1336" s="3">
        <f>1/NOK!C1336</f>
        <v>0.13913237053732921</v>
      </c>
      <c r="R1336" s="3">
        <f>NZD!B1336/1</f>
        <v>0.76300000000000001</v>
      </c>
      <c r="S1336" s="3">
        <f>NZD!C1336/1</f>
        <v>0.76060000000000005</v>
      </c>
      <c r="T1336" s="4">
        <f>1/PHP!B1336</f>
        <v>2.2419011321600717E-2</v>
      </c>
      <c r="U1336" s="4">
        <f>1/PHP!C1336</f>
        <v>2.2376520764292442E-2</v>
      </c>
      <c r="V1336" s="4">
        <f>1/TWD!B1336</f>
        <v>3.2044092671516006E-2</v>
      </c>
      <c r="W1336" s="4">
        <f>1/TWD!C1336</f>
        <v>3.2044092671516006E-2</v>
      </c>
      <c r="X1336" s="4">
        <f>1/TWD!B1336</f>
        <v>3.2044092671516006E-2</v>
      </c>
      <c r="Y1336" s="4">
        <f>1/TWD!C1336</f>
        <v>3.2044092671516006E-2</v>
      </c>
      <c r="Z1336" s="4">
        <f>1/ZAR!B1336</f>
        <v>8.6503693707721319E-2</v>
      </c>
      <c r="AA1336" s="4">
        <f>1/ZAR!C1336</f>
        <v>8.6000051600030963E-2</v>
      </c>
    </row>
    <row r="1337" spans="1:27" x14ac:dyDescent="0.25">
      <c r="A1337" t="str">
        <f>"10/12/2014"</f>
        <v>10/12/2014</v>
      </c>
      <c r="B1337" s="3">
        <f>AUD!B1337</f>
        <v>0.83150000000000002</v>
      </c>
      <c r="C1337" s="3">
        <f>AUD!C1337</f>
        <v>0.8296</v>
      </c>
      <c r="D1337" s="3">
        <f>1/CAD!B1337</f>
        <v>0.87412587412587417</v>
      </c>
      <c r="E1337" s="3">
        <f>1/CAD!C1337</f>
        <v>0.87351502445842066</v>
      </c>
      <c r="F1337" s="3">
        <f>EUR!B1337/1</f>
        <v>1.2388999999999999</v>
      </c>
      <c r="G1337" s="3">
        <f>EUR!C1337/1</f>
        <v>1.2391000000000001</v>
      </c>
      <c r="H1337" s="3">
        <f>GBP!B1337/1</f>
        <v>1.5678000000000001</v>
      </c>
      <c r="I1337" s="3">
        <f>GBP!C1337/1</f>
        <v>1.5674999999999999</v>
      </c>
      <c r="J1337" s="4">
        <f>1/INR!B1337</f>
        <v>1.6147263038914905E-2</v>
      </c>
      <c r="K1337" s="4">
        <f>1/INR!C1337</f>
        <v>1.603592046183451E-2</v>
      </c>
      <c r="L1337" s="4">
        <f>1/JPY!B1337</f>
        <v>8.4088730428347989E-3</v>
      </c>
      <c r="M1337" s="4">
        <f>1/JPY!C1337</f>
        <v>8.4148238903582109E-3</v>
      </c>
      <c r="N1337" s="5">
        <f>1/KRW!B1337</f>
        <v>9.0699657155295956E-4</v>
      </c>
      <c r="O1337" s="5">
        <f>1/KRW!C1337</f>
        <v>9.0698053030244621E-4</v>
      </c>
      <c r="P1337" s="3">
        <f>1/NOK!B1337</f>
        <v>0.14058172718710021</v>
      </c>
      <c r="Q1337" s="3">
        <f>1/NOK!C1337</f>
        <v>0.14038240166212762</v>
      </c>
      <c r="R1337" s="3">
        <f>NZD!B1337/1</f>
        <v>0.76970000000000005</v>
      </c>
      <c r="S1337" s="3">
        <f>NZD!C1337/1</f>
        <v>0.76729999999999998</v>
      </c>
      <c r="T1337" s="4">
        <f>1/PHP!B1337</f>
        <v>2.2446689113355782E-2</v>
      </c>
      <c r="U1337" s="4">
        <f>1/PHP!C1337</f>
        <v>2.240404348176759E-2</v>
      </c>
      <c r="V1337" s="4">
        <f>1/TWD!B1337</f>
        <v>3.205641929796442E-2</v>
      </c>
      <c r="W1337" s="4">
        <f>1/TWD!C1337</f>
        <v>3.205641929796442E-2</v>
      </c>
      <c r="X1337" s="4">
        <f>1/TWD!B1337</f>
        <v>3.205641929796442E-2</v>
      </c>
      <c r="Y1337" s="4">
        <f>1/TWD!C1337</f>
        <v>3.205641929796442E-2</v>
      </c>
      <c r="Z1337" s="4">
        <f>1/ZAR!B1337</f>
        <v>8.7437045327364293E-2</v>
      </c>
      <c r="AA1337" s="4">
        <f>1/ZAR!C1337</f>
        <v>8.69421573826933E-2</v>
      </c>
    </row>
    <row r="1338" spans="1:27" x14ac:dyDescent="0.25">
      <c r="A1338" t="str">
        <f>"11/12/2014"</f>
        <v>11/12/2014</v>
      </c>
      <c r="B1338" s="3">
        <f>AUD!B1338</f>
        <v>0.83320000000000005</v>
      </c>
      <c r="C1338" s="3">
        <f>AUD!C1338</f>
        <v>0.83130000000000004</v>
      </c>
      <c r="D1338" s="3">
        <f>1/CAD!B1338</f>
        <v>0.87237197941202116</v>
      </c>
      <c r="E1338" s="3">
        <f>1/CAD!C1338</f>
        <v>0.87183958151700081</v>
      </c>
      <c r="F1338" s="3">
        <f>EUR!B1338/1</f>
        <v>1.2453000000000001</v>
      </c>
      <c r="G1338" s="3">
        <f>EUR!C1338/1</f>
        <v>1.2454000000000001</v>
      </c>
      <c r="H1338" s="3">
        <f>GBP!B1338/1</f>
        <v>1.5712999999999999</v>
      </c>
      <c r="I1338" s="3">
        <f>GBP!C1338/1</f>
        <v>1.571</v>
      </c>
      <c r="J1338" s="4">
        <f>1/INR!B1338</f>
        <v>1.6091399147155846E-2</v>
      </c>
      <c r="K1338" s="4">
        <f>1/INR!C1338</f>
        <v>1.5978907841649022E-2</v>
      </c>
      <c r="L1338" s="4">
        <f>1/JPY!B1338</f>
        <v>8.4716327377775524E-3</v>
      </c>
      <c r="M1338" s="4">
        <f>1/JPY!C1338</f>
        <v>8.4769613145393441E-3</v>
      </c>
      <c r="N1338" s="5">
        <f>1/KRW!B1338</f>
        <v>9.1109946928455909E-4</v>
      </c>
      <c r="O1338" s="5">
        <f>1/KRW!C1338</f>
        <v>9.1108145642201726E-4</v>
      </c>
      <c r="P1338" s="3">
        <f>1/NOK!B1338</f>
        <v>0.13960631020522127</v>
      </c>
      <c r="Q1338" s="3">
        <f>1/NOK!C1338</f>
        <v>0.13942140118508189</v>
      </c>
      <c r="R1338" s="3">
        <f>NZD!B1338/1</f>
        <v>0.78080000000000005</v>
      </c>
      <c r="S1338" s="3">
        <f>NZD!C1338/1</f>
        <v>0.77829999999999999</v>
      </c>
      <c r="T1338" s="4">
        <f>1/PHP!B1338</f>
        <v>2.2373867322966774E-2</v>
      </c>
      <c r="U1338" s="4">
        <f>1/PHP!C1338</f>
        <v>2.2331447814756177E-2</v>
      </c>
      <c r="V1338" s="4">
        <f>1/TWD!B1338</f>
        <v>3.2060530281170854E-2</v>
      </c>
      <c r="W1338" s="4">
        <f>1/TWD!C1338</f>
        <v>3.2060530281170854E-2</v>
      </c>
      <c r="X1338" s="4">
        <f>1/TWD!B1338</f>
        <v>3.2060530281170854E-2</v>
      </c>
      <c r="Y1338" s="4">
        <f>1/TWD!C1338</f>
        <v>3.2060530281170854E-2</v>
      </c>
      <c r="Z1338" s="4">
        <f>1/ZAR!B1338</f>
        <v>8.6782202705869088E-2</v>
      </c>
      <c r="AA1338" s="4">
        <f>1/ZAR!C1338</f>
        <v>8.6307340439304367E-2</v>
      </c>
    </row>
    <row r="1339" spans="1:27" x14ac:dyDescent="0.25">
      <c r="A1339" t="str">
        <f>"12/12/2014"</f>
        <v>12/12/2014</v>
      </c>
      <c r="B1339" s="3">
        <f>AUD!B1339</f>
        <v>0.82730000000000004</v>
      </c>
      <c r="C1339" s="3">
        <f>AUD!C1339</f>
        <v>0.82540000000000002</v>
      </c>
      <c r="D1339" s="3">
        <f>1/CAD!B1339</f>
        <v>0.86692674469007369</v>
      </c>
      <c r="E1339" s="3">
        <f>1/CAD!C1339</f>
        <v>0.86625086625086622</v>
      </c>
      <c r="F1339" s="3">
        <f>EUR!B1339/1</f>
        <v>1.2397</v>
      </c>
      <c r="G1339" s="3">
        <f>EUR!C1339/1</f>
        <v>1.2399</v>
      </c>
      <c r="H1339" s="3">
        <f>GBP!B1339/1</f>
        <v>1.5723</v>
      </c>
      <c r="I1339" s="3">
        <f>GBP!C1339/1</f>
        <v>1.5720000000000001</v>
      </c>
      <c r="J1339" s="4">
        <f>1/INR!B1339</f>
        <v>1.6009605763458074E-2</v>
      </c>
      <c r="K1339" s="4">
        <f>1/INR!C1339</f>
        <v>1.5900779138177772E-2</v>
      </c>
      <c r="L1339" s="4">
        <f>1/JPY!B1339</f>
        <v>8.4288604180714766E-3</v>
      </c>
      <c r="M1339" s="4">
        <f>1/JPY!C1339</f>
        <v>8.4340001534988027E-3</v>
      </c>
      <c r="N1339" s="5">
        <f>1/KRW!B1339</f>
        <v>9.0674162397424865E-4</v>
      </c>
      <c r="O1339" s="5">
        <f>1/KRW!C1339</f>
        <v>9.0672641389249943E-4</v>
      </c>
      <c r="P1339" s="3">
        <f>1/NOK!B1339</f>
        <v>0.13636611574755905</v>
      </c>
      <c r="Q1339" s="3">
        <f>1/NOK!C1339</f>
        <v>0.13619895943994989</v>
      </c>
      <c r="R1339" s="3">
        <f>NZD!B1339/1</f>
        <v>0.77969999999999995</v>
      </c>
      <c r="S1339" s="3">
        <f>NZD!C1339/1</f>
        <v>0.7772</v>
      </c>
      <c r="T1339" s="4">
        <f>1/PHP!B1339</f>
        <v>2.2426553038797935E-2</v>
      </c>
      <c r="U1339" s="4">
        <f>1/PHP!C1339</f>
        <v>2.2391050744838305E-2</v>
      </c>
      <c r="V1339" s="4">
        <f>1/TWD!B1339</f>
        <v>3.195704972516937E-2</v>
      </c>
      <c r="W1339" s="4">
        <f>1/TWD!C1339</f>
        <v>3.195704972516937E-2</v>
      </c>
      <c r="X1339" s="4">
        <f>1/TWD!B1339</f>
        <v>3.195704972516937E-2</v>
      </c>
      <c r="Y1339" s="4">
        <f>1/TWD!C1339</f>
        <v>3.195704972516937E-2</v>
      </c>
      <c r="Z1339" s="4">
        <f>1/ZAR!B1339</f>
        <v>8.6057038605187514E-2</v>
      </c>
      <c r="AA1339" s="4">
        <f>1/ZAR!C1339</f>
        <v>8.5584930205489421E-2</v>
      </c>
    </row>
    <row r="1340" spans="1:27" x14ac:dyDescent="0.25">
      <c r="A1340" t="str">
        <f>"15/12/2014"</f>
        <v>15/12/2014</v>
      </c>
      <c r="B1340" s="3">
        <f>AUD!B1340</f>
        <v>0.8226</v>
      </c>
      <c r="C1340" s="3">
        <f>AUD!C1340</f>
        <v>0.8206</v>
      </c>
      <c r="D1340" s="3">
        <f>1/CAD!B1340</f>
        <v>0.86527645582763701</v>
      </c>
      <c r="E1340" s="3">
        <f>1/CAD!C1340</f>
        <v>0.86467790747946383</v>
      </c>
      <c r="F1340" s="3">
        <f>EUR!B1340/1</f>
        <v>1.2442</v>
      </c>
      <c r="G1340" s="3">
        <f>EUR!C1340/1</f>
        <v>1.2444</v>
      </c>
      <c r="H1340" s="3">
        <f>GBP!B1340/1</f>
        <v>1.5712999999999999</v>
      </c>
      <c r="I1340" s="3">
        <f>GBP!C1340/1</f>
        <v>1.571</v>
      </c>
      <c r="J1340" s="4">
        <f>1/INR!B1340</f>
        <v>1.6E-2</v>
      </c>
      <c r="K1340" s="4">
        <f>1/INR!C1340</f>
        <v>1.588246972404209E-2</v>
      </c>
      <c r="L1340" s="4">
        <f>1/JPY!B1340</f>
        <v>8.4239611149954929E-3</v>
      </c>
      <c r="M1340" s="4">
        <f>1/JPY!C1340</f>
        <v>8.4290167214833723E-3</v>
      </c>
      <c r="N1340" s="5">
        <f>1/KRW!B1340</f>
        <v>9.0628965017219495E-4</v>
      </c>
      <c r="O1340" s="5">
        <f>1/KRW!C1340</f>
        <v>9.0627363391710953E-4</v>
      </c>
      <c r="P1340" s="3">
        <f>1/NOK!B1340</f>
        <v>0.1355729992814631</v>
      </c>
      <c r="Q1340" s="3">
        <f>1/NOK!C1340</f>
        <v>0.13533447916525693</v>
      </c>
      <c r="R1340" s="3">
        <f>NZD!B1340/1</f>
        <v>0.77449999999999997</v>
      </c>
      <c r="S1340" s="3">
        <f>NZD!C1340/1</f>
        <v>0.77190000000000003</v>
      </c>
      <c r="T1340" s="4">
        <f>1/PHP!B1340</f>
        <v>2.2398924851607122E-2</v>
      </c>
      <c r="U1340" s="4">
        <f>1/PHP!C1340</f>
        <v>2.2368562327762073E-2</v>
      </c>
      <c r="V1340" s="4">
        <f>1/TWD!B1340</f>
        <v>3.1918289179699973E-2</v>
      </c>
      <c r="W1340" s="4">
        <f>1/TWD!C1340</f>
        <v>3.1918391057743564E-2</v>
      </c>
      <c r="X1340" s="4">
        <f>1/TWD!B1340</f>
        <v>3.1918289179699973E-2</v>
      </c>
      <c r="Y1340" s="4">
        <f>1/TWD!C1340</f>
        <v>3.1918391057743564E-2</v>
      </c>
      <c r="Z1340" s="4">
        <f>1/ZAR!B1340</f>
        <v>8.6348329159830761E-2</v>
      </c>
      <c r="AA1340" s="4">
        <f>1/ZAR!C1340</f>
        <v>8.5824386141078124E-2</v>
      </c>
    </row>
    <row r="1341" spans="1:27" x14ac:dyDescent="0.25">
      <c r="A1341" t="str">
        <f>"16/12/2014"</f>
        <v>16/12/2014</v>
      </c>
      <c r="B1341" s="3">
        <f>AUD!B1341</f>
        <v>0.82320000000000004</v>
      </c>
      <c r="C1341" s="3">
        <f>AUD!C1341</f>
        <v>0.82120000000000004</v>
      </c>
      <c r="D1341" s="3">
        <f>1/CAD!B1341</f>
        <v>0.85910652920962205</v>
      </c>
      <c r="E1341" s="3">
        <f>1/CAD!C1341</f>
        <v>0.85851648351648346</v>
      </c>
      <c r="F1341" s="3">
        <f>EUR!B1341/1</f>
        <v>1.2458</v>
      </c>
      <c r="G1341" s="3">
        <f>EUR!C1341/1</f>
        <v>1.2461</v>
      </c>
      <c r="H1341" s="3">
        <f>GBP!B1341/1</f>
        <v>1.5656000000000001</v>
      </c>
      <c r="I1341" s="3">
        <f>GBP!C1341/1</f>
        <v>1.5651999999999999</v>
      </c>
      <c r="J1341" s="4">
        <f>1/INR!B1341</f>
        <v>1.578843497138346E-2</v>
      </c>
      <c r="K1341" s="4">
        <f>1/INR!C1341</f>
        <v>1.567275291905023E-2</v>
      </c>
      <c r="L1341" s="4">
        <f>1/JPY!B1341</f>
        <v>8.5210085465715728E-3</v>
      </c>
      <c r="M1341" s="4">
        <f>1/JPY!C1341</f>
        <v>8.526043225333943E-3</v>
      </c>
      <c r="N1341" s="5">
        <f>1/KRW!B1341</f>
        <v>9.1840014694402356E-4</v>
      </c>
      <c r="O1341" s="5">
        <f>1/KRW!C1341</f>
        <v>9.1838369979138916E-4</v>
      </c>
      <c r="P1341" s="3">
        <f>1/NOK!B1341</f>
        <v>0.1341417610130386</v>
      </c>
      <c r="Q1341" s="3">
        <f>1/NOK!C1341</f>
        <v>0.13392438629149983</v>
      </c>
      <c r="R1341" s="3">
        <f>NZD!B1341/1</f>
        <v>0.77510000000000001</v>
      </c>
      <c r="S1341" s="3">
        <f>NZD!C1341/1</f>
        <v>0.77259999999999995</v>
      </c>
      <c r="T1341" s="4">
        <f>1/PHP!B1341</f>
        <v>2.231644722160232E-2</v>
      </c>
      <c r="U1341" s="4">
        <f>1/PHP!C1341</f>
        <v>2.2278165170316572E-2</v>
      </c>
      <c r="V1341" s="4">
        <f>1/TWD!B1341</f>
        <v>3.1965732734508603E-2</v>
      </c>
      <c r="W1341" s="4">
        <f>1/TWD!C1341</f>
        <v>3.1965630554028311E-2</v>
      </c>
      <c r="X1341" s="4">
        <f>1/TWD!B1341</f>
        <v>3.1965732734508603E-2</v>
      </c>
      <c r="Y1341" s="4">
        <f>1/TWD!C1341</f>
        <v>3.1965630554028311E-2</v>
      </c>
      <c r="Z1341" s="4">
        <f>1/ZAR!B1341</f>
        <v>8.5338795016214372E-2</v>
      </c>
      <c r="AA1341" s="4">
        <f>1/ZAR!C1341</f>
        <v>8.4848587695257813E-2</v>
      </c>
    </row>
    <row r="1342" spans="1:27" x14ac:dyDescent="0.25">
      <c r="A1342" t="str">
        <f>"17/12/2014"</f>
        <v>17/12/2014</v>
      </c>
      <c r="B1342" s="3">
        <f>AUD!B1342</f>
        <v>0.81520000000000004</v>
      </c>
      <c r="C1342" s="3">
        <f>AUD!C1342</f>
        <v>0.81330000000000002</v>
      </c>
      <c r="D1342" s="3">
        <f>1/CAD!B1342</f>
        <v>0.85895894176258381</v>
      </c>
      <c r="E1342" s="3">
        <f>1/CAD!C1342</f>
        <v>0.85836909871244638</v>
      </c>
      <c r="F1342" s="3">
        <f>EUR!B1342/1</f>
        <v>1.2486999999999999</v>
      </c>
      <c r="G1342" s="3">
        <f>EUR!C1342/1</f>
        <v>1.2490000000000001</v>
      </c>
      <c r="H1342" s="3">
        <f>GBP!B1342/1</f>
        <v>1.5717000000000001</v>
      </c>
      <c r="I1342" s="3">
        <f>GBP!C1342/1</f>
        <v>1.5713999999999999</v>
      </c>
      <c r="J1342" s="4">
        <f>1/INR!B1342</f>
        <v>1.5678896205707119E-2</v>
      </c>
      <c r="K1342" s="4">
        <f>1/INR!C1342</f>
        <v>1.5567230978789648E-2</v>
      </c>
      <c r="L1342" s="4">
        <f>1/JPY!B1342</f>
        <v>8.54416049351071E-3</v>
      </c>
      <c r="M1342" s="4">
        <f>1/JPY!C1342</f>
        <v>8.5490837092080472E-3</v>
      </c>
      <c r="N1342" s="5">
        <f>1/KRW!B1342</f>
        <v>9.1482938431982448E-4</v>
      </c>
      <c r="O1342" s="5">
        <f>1/KRW!C1342</f>
        <v>9.1481348325296705E-4</v>
      </c>
      <c r="P1342" s="3">
        <f>1/NOK!B1342</f>
        <v>0.13199751844665319</v>
      </c>
      <c r="Q1342" s="3">
        <f>1/NOK!C1342</f>
        <v>0.13178876896110914</v>
      </c>
      <c r="R1342" s="3">
        <f>NZD!B1342/1</f>
        <v>0.77329999999999999</v>
      </c>
      <c r="S1342" s="3">
        <f>NZD!C1342/1</f>
        <v>0.77080000000000004</v>
      </c>
      <c r="T1342" s="4">
        <f>1/PHP!B1342</f>
        <v>2.2353861629596513E-2</v>
      </c>
      <c r="U1342" s="4">
        <f>1/PHP!C1342</f>
        <v>2.2318788179077027E-2</v>
      </c>
      <c r="V1342" s="4">
        <f>1/TWD!B1342</f>
        <v>3.1921345803939093E-2</v>
      </c>
      <c r="W1342" s="4">
        <f>1/TWD!C1342</f>
        <v>3.1921243907032569E-2</v>
      </c>
      <c r="X1342" s="4">
        <f>1/TWD!B1342</f>
        <v>3.1921345803939093E-2</v>
      </c>
      <c r="Y1342" s="4">
        <f>1/TWD!C1342</f>
        <v>3.1921243907032569E-2</v>
      </c>
      <c r="Z1342" s="4">
        <f>1/ZAR!B1342</f>
        <v>8.5442334968130015E-2</v>
      </c>
      <c r="AA1342" s="4">
        <f>1/ZAR!C1342</f>
        <v>8.4955271049792294E-2</v>
      </c>
    </row>
    <row r="1343" spans="1:27" x14ac:dyDescent="0.25">
      <c r="A1343" t="str">
        <f>"18/12/2014"</f>
        <v>18/12/2014</v>
      </c>
      <c r="B1343" s="3">
        <f>AUD!B1343</f>
        <v>0.81420000000000003</v>
      </c>
      <c r="C1343" s="3">
        <f>AUD!C1343</f>
        <v>0.81230000000000002</v>
      </c>
      <c r="D1343" s="3">
        <f>1/CAD!B1343</f>
        <v>0.85991916759824572</v>
      </c>
      <c r="E1343" s="3">
        <f>1/CAD!C1343</f>
        <v>0.85932800549969923</v>
      </c>
      <c r="F1343" s="3">
        <f>EUR!B1343/1</f>
        <v>1.2344999999999999</v>
      </c>
      <c r="G1343" s="3">
        <f>EUR!C1343/1</f>
        <v>1.2347999999999999</v>
      </c>
      <c r="H1343" s="3">
        <f>GBP!B1343/1</f>
        <v>1.5591999999999999</v>
      </c>
      <c r="I1343" s="3">
        <f>GBP!C1343/1</f>
        <v>1.5589</v>
      </c>
      <c r="J1343" s="4">
        <f>1/INR!B1343</f>
        <v>1.5811526602893509E-2</v>
      </c>
      <c r="K1343" s="4">
        <f>1/INR!C1343</f>
        <v>1.5703517587939697E-2</v>
      </c>
      <c r="L1343" s="4">
        <f>1/JPY!B1343</f>
        <v>8.4347613384279287E-3</v>
      </c>
      <c r="M1343" s="4">
        <f>1/JPY!C1343</f>
        <v>8.4388470509605094E-3</v>
      </c>
      <c r="N1343" s="5">
        <f>1/KRW!B1343</f>
        <v>9.0481360839667025E-4</v>
      </c>
      <c r="O1343" s="5">
        <f>1/KRW!C1343</f>
        <v>9.0479846292837126E-4</v>
      </c>
      <c r="P1343" s="3">
        <f>1/NOK!B1343</f>
        <v>0.13448632946460992</v>
      </c>
      <c r="Q1343" s="3">
        <f>1/NOK!C1343</f>
        <v>0.13422998966429078</v>
      </c>
      <c r="R1343" s="3">
        <f>NZD!B1343/1</f>
        <v>0.77110000000000001</v>
      </c>
      <c r="S1343" s="3">
        <f>NZD!C1343/1</f>
        <v>0.76870000000000005</v>
      </c>
      <c r="T1343" s="4">
        <f>1/PHP!B1343</f>
        <v>2.2366360993066426E-2</v>
      </c>
      <c r="U1343" s="4">
        <f>1/PHP!C1343</f>
        <v>2.2321827175485278E-2</v>
      </c>
      <c r="V1343" s="4">
        <f>1/TWD!B1343</f>
        <v>3.1830407588369171E-2</v>
      </c>
      <c r="W1343" s="4">
        <f>1/TWD!C1343</f>
        <v>3.1830407588369171E-2</v>
      </c>
      <c r="X1343" s="4">
        <f>1/TWD!B1343</f>
        <v>3.1830407588369171E-2</v>
      </c>
      <c r="Y1343" s="4">
        <f>1/TWD!C1343</f>
        <v>3.1830407588369171E-2</v>
      </c>
      <c r="Z1343" s="4">
        <f>1/ZAR!B1343</f>
        <v>8.6167526905810282E-2</v>
      </c>
      <c r="AA1343" s="4">
        <f>1/ZAR!C1343</f>
        <v>8.5688334390156135E-2</v>
      </c>
    </row>
    <row r="1344" spans="1:27" x14ac:dyDescent="0.25">
      <c r="A1344" t="str">
        <f>"19/12/2014"</f>
        <v>19/12/2014</v>
      </c>
      <c r="B1344" s="3">
        <f>AUD!B1344</f>
        <v>0.81810000000000005</v>
      </c>
      <c r="C1344" s="3">
        <f>AUD!C1344</f>
        <v>0.81630000000000003</v>
      </c>
      <c r="D1344" s="3">
        <f>1/CAD!B1344</f>
        <v>0.86378163600241864</v>
      </c>
      <c r="E1344" s="3">
        <f>1/CAD!C1344</f>
        <v>0.8631851532153646</v>
      </c>
      <c r="F1344" s="3">
        <f>EUR!B1344/1</f>
        <v>1.2277</v>
      </c>
      <c r="G1344" s="3">
        <f>EUR!C1344/1</f>
        <v>1.2281</v>
      </c>
      <c r="H1344" s="3">
        <f>GBP!B1344/1</f>
        <v>1.5653999999999999</v>
      </c>
      <c r="I1344" s="3">
        <f>GBP!C1344/1</f>
        <v>1.5649999999999999</v>
      </c>
      <c r="J1344" s="4">
        <f>1/INR!B1344</f>
        <v>1.5860428231562251E-2</v>
      </c>
      <c r="K1344" s="4">
        <f>1/INR!C1344</f>
        <v>1.5750511891636478E-2</v>
      </c>
      <c r="L1344" s="4">
        <f>1/JPY!B1344</f>
        <v>8.3833540122732302E-3</v>
      </c>
      <c r="M1344" s="4">
        <f>1/JPY!C1344</f>
        <v>8.3862576073839325E-3</v>
      </c>
      <c r="N1344" s="5">
        <f>1/KRW!B1344</f>
        <v>9.0647449407392305E-4</v>
      </c>
      <c r="O1344" s="5">
        <f>1/KRW!C1344</f>
        <v>9.0645929295268682E-4</v>
      </c>
      <c r="P1344" s="3">
        <f>1/NOK!B1344</f>
        <v>0.13492545368683803</v>
      </c>
      <c r="Q1344" s="3">
        <f>1/NOK!C1344</f>
        <v>0.13472186670618508</v>
      </c>
      <c r="R1344" s="3">
        <f>NZD!B1344/1</f>
        <v>0.7782</v>
      </c>
      <c r="S1344" s="3">
        <f>NZD!C1344/1</f>
        <v>0.77580000000000005</v>
      </c>
      <c r="T1344" s="4">
        <f>1/PHP!B1344</f>
        <v>2.2296544035674468E-2</v>
      </c>
      <c r="U1344" s="4">
        <f>1/PHP!C1344</f>
        <v>2.2257438435925286E-2</v>
      </c>
      <c r="V1344" s="4">
        <f>1/TWD!B1344</f>
        <v>3.1771247021445591E-2</v>
      </c>
      <c r="W1344" s="4">
        <f>1/TWD!C1344</f>
        <v>3.1771247021445591E-2</v>
      </c>
      <c r="X1344" s="4">
        <f>1/TWD!B1344</f>
        <v>3.1771247021445591E-2</v>
      </c>
      <c r="Y1344" s="4">
        <f>1/TWD!C1344</f>
        <v>3.1771247021445591E-2</v>
      </c>
      <c r="Z1344" s="4">
        <f>1/ZAR!B1344</f>
        <v>8.6559102555224712E-2</v>
      </c>
      <c r="AA1344" s="4">
        <f>1/ZAR!C1344</f>
        <v>8.6093342401832071E-2</v>
      </c>
    </row>
    <row r="1345" spans="1:27" x14ac:dyDescent="0.25">
      <c r="A1345" t="str">
        <f>"22/12/2014"</f>
        <v>22/12/2014</v>
      </c>
      <c r="B1345" s="3">
        <f>AUD!B1345</f>
        <v>0.81559999999999999</v>
      </c>
      <c r="C1345" s="3">
        <f>AUD!C1345</f>
        <v>0.8135</v>
      </c>
      <c r="D1345" s="3">
        <f>1/CAD!B1345</f>
        <v>0.86199465563313515</v>
      </c>
      <c r="E1345" s="3">
        <f>1/CAD!C1345</f>
        <v>0.86140063743647166</v>
      </c>
      <c r="F1345" s="3">
        <f>EUR!B1345/1</f>
        <v>1.2241</v>
      </c>
      <c r="G1345" s="3">
        <f>EUR!C1345/1</f>
        <v>1.2244999999999999</v>
      </c>
      <c r="H1345" s="3">
        <f>GBP!B1345/1</f>
        <v>1.5640000000000001</v>
      </c>
      <c r="I1345" s="3">
        <f>GBP!C1345/1</f>
        <v>1.5636000000000001</v>
      </c>
      <c r="J1345" s="4">
        <f>1/INR!B1345</f>
        <v>1.5815277558121146E-2</v>
      </c>
      <c r="K1345" s="4">
        <f>1/INR!C1345</f>
        <v>1.5696123057604771E-2</v>
      </c>
      <c r="L1345" s="4">
        <f>1/JPY!B1345</f>
        <v>8.36547068320799E-3</v>
      </c>
      <c r="M1345" s="4">
        <f>1/JPY!C1345</f>
        <v>8.3684669470660989E-3</v>
      </c>
      <c r="N1345" s="5">
        <f>1/KRW!B1345</f>
        <v>9.1116173120728934E-4</v>
      </c>
      <c r="O1345" s="5">
        <f>1/KRW!C1345</f>
        <v>9.1114595738205897E-4</v>
      </c>
      <c r="P1345" s="3">
        <f>1/NOK!B1345</f>
        <v>0.13534363749560133</v>
      </c>
      <c r="Q1345" s="3">
        <f>1/NOK!C1345</f>
        <v>0.13518080432578575</v>
      </c>
      <c r="R1345" s="3">
        <f>NZD!B1345/1</f>
        <v>0.77480000000000004</v>
      </c>
      <c r="S1345" s="3">
        <f>NZD!C1345/1</f>
        <v>0.7722</v>
      </c>
      <c r="T1345" s="4">
        <f>1/PHP!B1345</f>
        <v>2.241147467503362E-2</v>
      </c>
      <c r="U1345" s="4">
        <f>1/PHP!C1345</f>
        <v>2.2373216574973768E-2</v>
      </c>
      <c r="V1345" s="4">
        <f>1/TWD!B1345</f>
        <v>3.1699740062131491E-2</v>
      </c>
      <c r="W1345" s="4">
        <f>1/TWD!C1345</f>
        <v>3.1699740062131491E-2</v>
      </c>
      <c r="X1345" s="4">
        <f>1/TWD!B1345</f>
        <v>3.1699740062131491E-2</v>
      </c>
      <c r="Y1345" s="4">
        <f>1/TWD!C1345</f>
        <v>3.1699740062131491E-2</v>
      </c>
      <c r="Z1345" s="4">
        <f>1/ZAR!B1345</f>
        <v>8.6261181605665635E-2</v>
      </c>
      <c r="AA1345" s="4">
        <f>1/ZAR!C1345</f>
        <v>8.5800821971874497E-2</v>
      </c>
    </row>
    <row r="1346" spans="1:27" x14ac:dyDescent="0.25">
      <c r="A1346" t="str">
        <f>"23/12/2014"</f>
        <v>23/12/2014</v>
      </c>
      <c r="B1346" s="3">
        <f>AUD!B1346</f>
        <v>0.81200000000000006</v>
      </c>
      <c r="C1346" s="3">
        <f>AUD!C1346</f>
        <v>0.81010000000000004</v>
      </c>
      <c r="D1346" s="3">
        <f>1/CAD!B1346</f>
        <v>0.86080743737625898</v>
      </c>
      <c r="E1346" s="3">
        <f>1/CAD!C1346</f>
        <v>0.86021505376344076</v>
      </c>
      <c r="F1346" s="3">
        <f>EUR!B1346/1</f>
        <v>1.2230000000000001</v>
      </c>
      <c r="G1346" s="3">
        <f>EUR!C1346/1</f>
        <v>1.2233000000000001</v>
      </c>
      <c r="H1346" s="3">
        <f>GBP!B1346/1</f>
        <v>1.5589</v>
      </c>
      <c r="I1346" s="3">
        <f>GBP!C1346/1</f>
        <v>1.5586</v>
      </c>
      <c r="J1346" s="4">
        <f>1/INR!B1346</f>
        <v>1.5802781289506952E-2</v>
      </c>
      <c r="K1346" s="4">
        <f>1/INR!C1346</f>
        <v>1.5691812796673334E-2</v>
      </c>
      <c r="L1346" s="4">
        <f>1/JPY!B1346</f>
        <v>8.3232760414499157E-3</v>
      </c>
      <c r="M1346" s="4">
        <f>1/JPY!C1346</f>
        <v>8.326775997235511E-3</v>
      </c>
      <c r="N1346" s="5">
        <f>1/KRW!B1346</f>
        <v>9.0752336872674459E-4</v>
      </c>
      <c r="O1346" s="5">
        <f>1/KRW!C1346</f>
        <v>9.0750772062193311E-4</v>
      </c>
      <c r="P1346" s="3">
        <f>1/NOK!B1346</f>
        <v>0.13463117788817536</v>
      </c>
      <c r="Q1346" s="3">
        <f>1/NOK!C1346</f>
        <v>0.13446643717728055</v>
      </c>
      <c r="R1346" s="3">
        <f>NZD!B1346/1</f>
        <v>0.77380000000000004</v>
      </c>
      <c r="S1346" s="3">
        <f>NZD!C1346/1</f>
        <v>0.77139999999999997</v>
      </c>
      <c r="T1346" s="4">
        <f>1/PHP!B1346</f>
        <v>2.2351363433169423E-2</v>
      </c>
      <c r="U1346" s="4">
        <f>1/PHP!C1346</f>
        <v>2.2310970304098527E-2</v>
      </c>
      <c r="V1346" s="4">
        <f>1/TWD!B1346</f>
        <v>3.1563663910106683E-2</v>
      </c>
      <c r="W1346" s="4">
        <f>1/TWD!C1346</f>
        <v>3.1563663910106683E-2</v>
      </c>
      <c r="X1346" s="4">
        <f>1/TWD!B1346</f>
        <v>3.1563663910106683E-2</v>
      </c>
      <c r="Y1346" s="4">
        <f>1/TWD!C1346</f>
        <v>3.1563663910106683E-2</v>
      </c>
      <c r="Z1346" s="4">
        <f>1/ZAR!B1346</f>
        <v>8.630808534143479E-2</v>
      </c>
      <c r="AA1346" s="4">
        <f>1/ZAR!C1346</f>
        <v>8.5823649564874094E-2</v>
      </c>
    </row>
    <row r="1347" spans="1:27" x14ac:dyDescent="0.25">
      <c r="A1347" t="str">
        <f>"24/12/2014"</f>
        <v>24/12/2014</v>
      </c>
      <c r="B1347" s="3">
        <f>AUD!B1347</f>
        <v>0.81120000000000003</v>
      </c>
      <c r="C1347" s="3">
        <f>AUD!C1347</f>
        <v>0.80940000000000001</v>
      </c>
      <c r="D1347" s="3">
        <f>1/CAD!B1347</f>
        <v>0.86058519793459554</v>
      </c>
      <c r="E1347" s="3">
        <f>1/CAD!C1347</f>
        <v>0.86006708523264808</v>
      </c>
      <c r="F1347" s="3">
        <f>EUR!B1347/1</f>
        <v>1.2177</v>
      </c>
      <c r="G1347" s="3">
        <f>EUR!C1347/1</f>
        <v>1.2181</v>
      </c>
      <c r="H1347" s="3">
        <f>GBP!B1347/1</f>
        <v>1.5513999999999999</v>
      </c>
      <c r="I1347" s="3">
        <f>GBP!C1347/1</f>
        <v>1.5510999999999999</v>
      </c>
      <c r="J1347" s="4">
        <f>1/INR!B1347</f>
        <v>1.5772870662460567E-2</v>
      </c>
      <c r="K1347" s="4">
        <f>1/INR!C1347</f>
        <v>1.5665387326701651E-2</v>
      </c>
      <c r="L1347" s="4">
        <f>1/JPY!B1347</f>
        <v>8.3073727933541015E-3</v>
      </c>
      <c r="M1347" s="4">
        <f>1/JPY!C1347</f>
        <v>8.3102999519664659E-3</v>
      </c>
      <c r="N1347" s="5">
        <f>1/KRW!B1347</f>
        <v>9.0620752152242867E-4</v>
      </c>
      <c r="O1347" s="5">
        <f>1/KRW!C1347</f>
        <v>9.0619150816999598E-4</v>
      </c>
      <c r="P1347" s="3">
        <f>1/NOK!B1347</f>
        <v>0.1343435971841582</v>
      </c>
      <c r="Q1347" s="3">
        <f>1/NOK!C1347</f>
        <v>0.13417595835178253</v>
      </c>
      <c r="R1347" s="3">
        <f>NZD!B1347/1</f>
        <v>0.77249999999999996</v>
      </c>
      <c r="S1347" s="3">
        <f>NZD!C1347/1</f>
        <v>0.77010000000000001</v>
      </c>
      <c r="T1347" s="4">
        <f>1/PHP!B1347</f>
        <v>2.2336385972749607E-2</v>
      </c>
      <c r="U1347" s="4">
        <f>1/PHP!C1347</f>
        <v>2.2297737225626342E-2</v>
      </c>
      <c r="V1347" s="4">
        <f>1/TWD!B1347</f>
        <v>3.1406048804999843E-2</v>
      </c>
      <c r="W1347" s="4">
        <f>1/TWD!C1347</f>
        <v>3.1405950171319461E-2</v>
      </c>
      <c r="X1347" s="4">
        <f>1/TWD!B1347</f>
        <v>3.1406048804999843E-2</v>
      </c>
      <c r="Y1347" s="4">
        <f>1/TWD!C1347</f>
        <v>3.1405950171319461E-2</v>
      </c>
      <c r="Z1347" s="4">
        <f>1/ZAR!B1347</f>
        <v>8.5772856321888372E-2</v>
      </c>
      <c r="AA1347" s="4">
        <f>1/ZAR!C1347</f>
        <v>8.5325688151674947E-2</v>
      </c>
    </row>
    <row r="1348" spans="1:27" x14ac:dyDescent="0.25">
      <c r="A1348" t="str">
        <f>"26/12/2014"</f>
        <v>26/12/2014</v>
      </c>
      <c r="B1348" s="3">
        <f>AUD!B1348</f>
        <v>0.81210000000000004</v>
      </c>
      <c r="C1348" s="3">
        <f>AUD!C1348</f>
        <v>0.81020000000000003</v>
      </c>
      <c r="D1348" s="3">
        <f>1/CAD!B1348</f>
        <v>0.8608815426997245</v>
      </c>
      <c r="E1348" s="3">
        <f>1/CAD!C1348</f>
        <v>0.86028905712319337</v>
      </c>
      <c r="F1348" s="3">
        <f>EUR!B1348/1</f>
        <v>1.2218</v>
      </c>
      <c r="G1348" s="3">
        <f>EUR!C1348/1</f>
        <v>1.2222</v>
      </c>
      <c r="H1348" s="3">
        <f>GBP!B1348/1</f>
        <v>1.5557000000000001</v>
      </c>
      <c r="I1348" s="3">
        <f>GBP!C1348/1</f>
        <v>1.5555000000000001</v>
      </c>
      <c r="J1348" s="4">
        <f>1/INR!B1348</f>
        <v>1.5727598002595052E-2</v>
      </c>
      <c r="K1348" s="4">
        <f>1/INR!C1348</f>
        <v>1.5621338748730767E-2</v>
      </c>
      <c r="L1348" s="4">
        <f>1/JPY!B1348</f>
        <v>8.3197444174514957E-3</v>
      </c>
      <c r="M1348" s="4">
        <f>1/JPY!C1348</f>
        <v>8.322008466811413E-3</v>
      </c>
      <c r="N1348" s="5">
        <f>1/KRW!B1348</f>
        <v>9.1058095064651249E-4</v>
      </c>
      <c r="O1348" s="5">
        <f>1/KRW!C1348</f>
        <v>9.1055814938161722E-4</v>
      </c>
      <c r="P1348" s="3">
        <f>1/NOK!B1348</f>
        <v>0.13424440536440643</v>
      </c>
      <c r="Q1348" s="3">
        <f>1/NOK!C1348</f>
        <v>0.13405903960104029</v>
      </c>
      <c r="R1348" s="3">
        <f>NZD!B1348/1</f>
        <v>0.77400000000000002</v>
      </c>
      <c r="S1348" s="3">
        <f>NZD!C1348/1</f>
        <v>0.77159999999999995</v>
      </c>
      <c r="T1348" s="4">
        <f>1/PHP!B1348</f>
        <v>2.2371364653243846E-2</v>
      </c>
      <c r="U1348" s="4">
        <f>1/PHP!C1348</f>
        <v>2.2332744493303528E-2</v>
      </c>
      <c r="V1348" s="4">
        <f>1/TWD!B1348</f>
        <v>3.1528833117886311E-2</v>
      </c>
      <c r="W1348" s="4">
        <f>1/TWD!C1348</f>
        <v>3.152873371146795E-2</v>
      </c>
      <c r="X1348" s="4">
        <f>1/TWD!B1348</f>
        <v>3.1528833117886311E-2</v>
      </c>
      <c r="Y1348" s="4">
        <f>1/TWD!C1348</f>
        <v>3.152873371146795E-2</v>
      </c>
      <c r="Z1348" s="4">
        <f>1/ZAR!B1348</f>
        <v>8.6017805685776952E-2</v>
      </c>
      <c r="AA1348" s="4">
        <f>1/ZAR!C1348</f>
        <v>8.5582732827824665E-2</v>
      </c>
    </row>
    <row r="1349" spans="1:27" x14ac:dyDescent="0.25">
      <c r="A1349" t="str">
        <f>"29/12/2014"</f>
        <v>29/12/2014</v>
      </c>
      <c r="B1349" s="3">
        <f>AUD!B1349</f>
        <v>0.81330000000000002</v>
      </c>
      <c r="C1349" s="3">
        <f>AUD!C1349</f>
        <v>0.81140000000000001</v>
      </c>
      <c r="D1349" s="3">
        <f>1/CAD!B1349</f>
        <v>0.86021505376344076</v>
      </c>
      <c r="E1349" s="3">
        <f>1/CAD!C1349</f>
        <v>0.85969738651994498</v>
      </c>
      <c r="F1349" s="3">
        <f>EUR!B1349/1</f>
        <v>1.2190000000000001</v>
      </c>
      <c r="G1349" s="3">
        <f>EUR!C1349/1</f>
        <v>1.2193000000000001</v>
      </c>
      <c r="H1349" s="3">
        <f>GBP!B1349/1</f>
        <v>1.5576000000000001</v>
      </c>
      <c r="I1349" s="3">
        <f>GBP!C1349/1</f>
        <v>1.5572999999999999</v>
      </c>
      <c r="J1349" s="4">
        <f>1/INR!B1349</f>
        <v>1.5702284682421293E-2</v>
      </c>
      <c r="K1349" s="4">
        <f>1/INR!C1349</f>
        <v>1.5602449584584779E-2</v>
      </c>
      <c r="L1349" s="4">
        <f>1/JPY!B1349</f>
        <v>8.3096508284721884E-3</v>
      </c>
      <c r="M1349" s="4">
        <f>1/JPY!C1349</f>
        <v>8.3114465241530631E-3</v>
      </c>
      <c r="N1349" s="5">
        <f>1/KRW!B1349</f>
        <v>9.1058095064651249E-4</v>
      </c>
      <c r="O1349" s="5">
        <f>1/KRW!C1349</f>
        <v>9.1055856393987755E-4</v>
      </c>
      <c r="P1349" s="3">
        <f>1/NOK!B1349</f>
        <v>0.13385089010841922</v>
      </c>
      <c r="Q1349" s="3">
        <f>1/NOK!C1349</f>
        <v>0.13369162689340766</v>
      </c>
      <c r="R1349" s="3">
        <f>NZD!B1349/1</f>
        <v>0.77659999999999996</v>
      </c>
      <c r="S1349" s="3">
        <f>NZD!C1349/1</f>
        <v>0.77429999999999999</v>
      </c>
      <c r="T1349" s="4">
        <f>1/PHP!B1349</f>
        <v>2.23463687150838E-2</v>
      </c>
      <c r="U1349" s="4">
        <f>1/PHP!C1349</f>
        <v>2.230176518471437E-2</v>
      </c>
      <c r="V1349" s="4">
        <f>1/TWD!B1349</f>
        <v>3.1492095484033505E-2</v>
      </c>
      <c r="W1349" s="4">
        <f>1/TWD!C1349</f>
        <v>3.1492095484033505E-2</v>
      </c>
      <c r="X1349" s="4">
        <f>1/TWD!B1349</f>
        <v>3.1492095484033505E-2</v>
      </c>
      <c r="Y1349" s="4">
        <f>1/TWD!C1349</f>
        <v>3.1492095484033505E-2</v>
      </c>
      <c r="Z1349" s="4">
        <f>1/ZAR!B1349</f>
        <v>8.6223992688205423E-2</v>
      </c>
      <c r="AA1349" s="4">
        <f>1/ZAR!C1349</f>
        <v>8.5781685610122241E-2</v>
      </c>
    </row>
    <row r="1350" spans="1:27" x14ac:dyDescent="0.25">
      <c r="A1350" t="str">
        <f>"30/12/2014"</f>
        <v>30/12/2014</v>
      </c>
      <c r="B1350" s="3">
        <f>AUD!B1350</f>
        <v>0.81299999999999994</v>
      </c>
      <c r="C1350" s="3">
        <f>AUD!C1350</f>
        <v>0.81110000000000004</v>
      </c>
      <c r="D1350" s="3">
        <f>1/CAD!B1350</f>
        <v>0.85866391894212601</v>
      </c>
      <c r="E1350" s="3">
        <f>1/CAD!C1350</f>
        <v>0.85814811636488453</v>
      </c>
      <c r="F1350" s="3">
        <f>EUR!B1350/1</f>
        <v>1.2136</v>
      </c>
      <c r="G1350" s="3">
        <f>EUR!C1350/1</f>
        <v>1.214</v>
      </c>
      <c r="H1350" s="3">
        <f>GBP!B1350/1</f>
        <v>1.5518000000000001</v>
      </c>
      <c r="I1350" s="3">
        <f>GBP!C1350/1</f>
        <v>1.5513999999999999</v>
      </c>
      <c r="J1350" s="4">
        <f>1/INR!B1350</f>
        <v>1.5686274509803921E-2</v>
      </c>
      <c r="K1350" s="4">
        <f>1/INR!C1350</f>
        <v>1.558117793705204E-2</v>
      </c>
      <c r="L1350" s="4">
        <f>1/JPY!B1350</f>
        <v>8.3044063179923255E-3</v>
      </c>
      <c r="M1350" s="4">
        <f>1/JPY!C1350</f>
        <v>8.3063584343178853E-3</v>
      </c>
      <c r="N1350" s="5">
        <f>1/KRW!B1350</f>
        <v>9.0953327300095964E-4</v>
      </c>
      <c r="O1350" s="5">
        <f>1/KRW!C1350</f>
        <v>9.0951052417365282E-4</v>
      </c>
      <c r="P1350" s="3">
        <f>1/NOK!B1350</f>
        <v>0.13387239283514954</v>
      </c>
      <c r="Q1350" s="3">
        <f>1/NOK!C1350</f>
        <v>0.13371129058137671</v>
      </c>
      <c r="R1350" s="3">
        <f>NZD!B1350/1</f>
        <v>0.77780000000000005</v>
      </c>
      <c r="S1350" s="3">
        <f>NZD!C1350/1</f>
        <v>0.77539999999999998</v>
      </c>
      <c r="T1350" s="4">
        <f>1/PHP!B1350</f>
        <v>2.2361359570661897E-2</v>
      </c>
      <c r="U1350" s="4">
        <f>1/PHP!C1350</f>
        <v>2.2322973241451976E-2</v>
      </c>
      <c r="V1350" s="4">
        <f>1/TWD!B1350</f>
        <v>3.149507102138515E-2</v>
      </c>
      <c r="W1350" s="4">
        <f>1/TWD!C1350</f>
        <v>3.14949718277477E-2</v>
      </c>
      <c r="X1350" s="4">
        <f>1/TWD!B1350</f>
        <v>3.149507102138515E-2</v>
      </c>
      <c r="Y1350" s="4">
        <f>1/TWD!C1350</f>
        <v>3.14949718277477E-2</v>
      </c>
      <c r="Z1350" s="4">
        <f>1/ZAR!B1350</f>
        <v>8.5981565552345582E-2</v>
      </c>
      <c r="AA1350" s="4">
        <f>1/ZAR!C1350</f>
        <v>8.556296150522362E-2</v>
      </c>
    </row>
    <row r="1351" spans="1:27" x14ac:dyDescent="0.25">
      <c r="A1351" t="str">
        <f>"31/12/2014"</f>
        <v>31/12/2014</v>
      </c>
      <c r="B1351" s="3">
        <f>AUD!B1351</f>
        <v>0.82</v>
      </c>
      <c r="C1351" s="3">
        <f>AUD!C1351</f>
        <v>0.81810000000000005</v>
      </c>
      <c r="D1351" s="3">
        <f>1/CAD!B1351</f>
        <v>0.86325966850828717</v>
      </c>
      <c r="E1351" s="3">
        <f>1/CAD!C1351</f>
        <v>0.86266390614216704</v>
      </c>
      <c r="F1351" s="3">
        <f>EUR!B1351/1</f>
        <v>1.2152000000000001</v>
      </c>
      <c r="G1351" s="3">
        <f>EUR!C1351/1</f>
        <v>1.2156</v>
      </c>
      <c r="H1351" s="3">
        <f>GBP!B1351/1</f>
        <v>1.5601</v>
      </c>
      <c r="I1351" s="3">
        <f>GBP!C1351/1</f>
        <v>1.5597000000000001</v>
      </c>
      <c r="J1351" s="4">
        <f>1/INR!B1351</f>
        <v>1.5860428231562251E-2</v>
      </c>
      <c r="K1351" s="4">
        <f>1/INR!C1351</f>
        <v>1.5745551881593451E-2</v>
      </c>
      <c r="L1351" s="4">
        <f>1/JPY!B1351</f>
        <v>8.3750690943200281E-3</v>
      </c>
      <c r="M1351" s="4">
        <f>1/JPY!C1351</f>
        <v>8.3771458058981806E-3</v>
      </c>
      <c r="N1351" s="5">
        <f>1/KRW!B1351</f>
        <v>9.1534856473345051E-4</v>
      </c>
      <c r="O1351" s="5">
        <f>1/KRW!C1351</f>
        <v>9.1532510517085459E-4</v>
      </c>
      <c r="P1351" s="3">
        <f>1/NOK!B1351</f>
        <v>0.13488723427214849</v>
      </c>
      <c r="Q1351" s="3">
        <f>1/NOK!C1351</f>
        <v>0.13475454459701655</v>
      </c>
      <c r="R1351" s="3">
        <f>NZD!B1351/1</f>
        <v>0.78300000000000003</v>
      </c>
      <c r="S1351" s="3">
        <f>NZD!C1351/1</f>
        <v>0.78039999999999998</v>
      </c>
      <c r="T1351" s="4">
        <f>1/PHP!B1351</f>
        <v>2.2361359570661897E-2</v>
      </c>
      <c r="U1351" s="4">
        <f>1/PHP!C1351</f>
        <v>2.2323371900678853E-2</v>
      </c>
      <c r="V1351" s="4">
        <f>1/TWD!B1351</f>
        <v>3.1558185404339252E-2</v>
      </c>
      <c r="W1351" s="4">
        <f>1/TWD!C1351</f>
        <v>3.1558085812746939E-2</v>
      </c>
      <c r="X1351" s="4">
        <f>1/TWD!B1351</f>
        <v>3.1558185404339252E-2</v>
      </c>
      <c r="Y1351" s="4">
        <f>1/TWD!C1351</f>
        <v>3.1558085812746939E-2</v>
      </c>
      <c r="Z1351" s="4">
        <f>1/ZAR!B1351</f>
        <v>8.6399806464433529E-2</v>
      </c>
      <c r="AA1351" s="4">
        <f>1/ZAR!C1351</f>
        <v>8.5971216836603109E-2</v>
      </c>
    </row>
    <row r="1352" spans="1:27" x14ac:dyDescent="0.25">
      <c r="A1352" t="str">
        <f>"01/01/2015"</f>
        <v>01/01/2015</v>
      </c>
      <c r="B1352" s="3">
        <f>AUD!B1352</f>
        <v>0.81589999999999996</v>
      </c>
      <c r="C1352" s="3">
        <f>AUD!C1352</f>
        <v>0.81410000000000005</v>
      </c>
      <c r="D1352" s="3">
        <f>1/CAD!B1352</f>
        <v>0.86036307321689742</v>
      </c>
      <c r="E1352" s="3">
        <f>1/CAD!C1352</f>
        <v>0.85977130083397812</v>
      </c>
      <c r="F1352" s="3">
        <f>EUR!B1352/1</f>
        <v>1.2102999999999999</v>
      </c>
      <c r="G1352" s="3">
        <f>EUR!C1352/1</f>
        <v>1.2107000000000001</v>
      </c>
      <c r="H1352" s="3">
        <f>GBP!B1352/1</f>
        <v>1.5582</v>
      </c>
      <c r="I1352" s="3">
        <f>GBP!C1352/1</f>
        <v>1.5578000000000001</v>
      </c>
      <c r="J1352" s="4">
        <f>1/INR!B1352</f>
        <v>1.58052789631737E-2</v>
      </c>
      <c r="K1352" s="4">
        <f>1/INR!C1352</f>
        <v>1.56998194520763E-2</v>
      </c>
      <c r="L1352" s="4">
        <f>1/JPY!B1352</f>
        <v>8.3480816108458273E-3</v>
      </c>
      <c r="M1352" s="4">
        <f>1/JPY!C1352</f>
        <v>8.3497057146220879E-3</v>
      </c>
      <c r="N1352" s="5">
        <f>1/KRW!B1352</f>
        <v>9.132837115850039E-4</v>
      </c>
      <c r="O1352" s="5">
        <f>1/KRW!C1352</f>
        <v>9.132603577423473E-4</v>
      </c>
      <c r="P1352" s="3">
        <f>1/NOK!B1352</f>
        <v>0.13343830479977581</v>
      </c>
      <c r="Q1352" s="3">
        <f>1/NOK!C1352</f>
        <v>0.13332089005026199</v>
      </c>
      <c r="R1352" s="3">
        <f>NZD!B1352/1</f>
        <v>0.77839999999999998</v>
      </c>
      <c r="S1352" s="3">
        <f>NZD!C1352/1</f>
        <v>0.77580000000000005</v>
      </c>
      <c r="T1352" s="4">
        <f>1/PHP!B1352</f>
        <v>2.2361359570661897E-2</v>
      </c>
      <c r="U1352" s="4">
        <f>1/PHP!C1352</f>
        <v>2.2323371900678853E-2</v>
      </c>
      <c r="V1352" s="4">
        <f>1/TWD!B1352</f>
        <v>3.1569642631645412E-2</v>
      </c>
      <c r="W1352" s="4">
        <f>1/TWD!C1352</f>
        <v>3.1569542967726454E-2</v>
      </c>
      <c r="X1352" s="4">
        <f>1/TWD!B1352</f>
        <v>3.1569642631645412E-2</v>
      </c>
      <c r="Y1352" s="4">
        <f>1/TWD!C1352</f>
        <v>3.1569542967726454E-2</v>
      </c>
      <c r="Z1352" s="4">
        <f>1/ZAR!B1352</f>
        <v>8.6542622241453912E-2</v>
      </c>
      <c r="AA1352" s="4">
        <f>1/ZAR!C1352</f>
        <v>8.6111876550013775E-2</v>
      </c>
    </row>
    <row r="1353" spans="1:27" x14ac:dyDescent="0.25">
      <c r="A1353" t="str">
        <f>"02/01/2015"</f>
        <v>02/01/2015</v>
      </c>
      <c r="B1353" s="3">
        <f>AUD!B1353</f>
        <v>0.81330000000000002</v>
      </c>
      <c r="C1353" s="3">
        <f>AUD!C1353</f>
        <v>0.8115</v>
      </c>
      <c r="D1353" s="3">
        <f>1/CAD!B1353</f>
        <v>0.85859019489997424</v>
      </c>
      <c r="E1353" s="3">
        <f>1/CAD!C1353</f>
        <v>0.85800085800085801</v>
      </c>
      <c r="F1353" s="3">
        <f>EUR!B1353/1</f>
        <v>1.2057</v>
      </c>
      <c r="G1353" s="3">
        <f>EUR!C1353/1</f>
        <v>1.206</v>
      </c>
      <c r="H1353" s="3">
        <f>GBP!B1353/1</f>
        <v>1.5551999999999999</v>
      </c>
      <c r="I1353" s="3">
        <f>GBP!C1353/1</f>
        <v>1.5548</v>
      </c>
      <c r="J1353" s="4">
        <f>1/INR!B1353</f>
        <v>1.5786565632646618E-2</v>
      </c>
      <c r="K1353" s="4">
        <f>1/INR!C1353</f>
        <v>1.5680740130934179E-2</v>
      </c>
      <c r="L1353" s="4">
        <f>1/JPY!B1353</f>
        <v>8.3053719145543339E-3</v>
      </c>
      <c r="M1353" s="4">
        <f>1/JPY!C1353</f>
        <v>8.3073589908884884E-3</v>
      </c>
      <c r="N1353" s="5">
        <f>1/KRW!B1353</f>
        <v>9.0718170395939453E-4</v>
      </c>
      <c r="O1353" s="5">
        <f>1/KRW!C1353</f>
        <v>9.0715940178643262E-4</v>
      </c>
      <c r="P1353" s="3">
        <f>1/NOK!B1353</f>
        <v>0.13352739314470363</v>
      </c>
      <c r="Q1353" s="3">
        <f>1/NOK!C1353</f>
        <v>0.13336711967031648</v>
      </c>
      <c r="R1353" s="3">
        <f>NZD!B1353/1</f>
        <v>0.7752</v>
      </c>
      <c r="S1353" s="3">
        <f>NZD!C1353/1</f>
        <v>0.77259999999999995</v>
      </c>
      <c r="T1353" s="4">
        <f>1/PHP!B1353</f>
        <v>2.2361359570661897E-2</v>
      </c>
      <c r="U1353" s="4">
        <f>1/PHP!C1353</f>
        <v>2.2323371900678853E-2</v>
      </c>
      <c r="V1353" s="4">
        <f>1/TWD!B1353</f>
        <v>3.1507971516793749E-2</v>
      </c>
      <c r="W1353" s="4">
        <f>1/TWD!C1353</f>
        <v>3.1507872241879634E-2</v>
      </c>
      <c r="X1353" s="4">
        <f>1/TWD!B1353</f>
        <v>3.1507971516793749E-2</v>
      </c>
      <c r="Y1353" s="4">
        <f>1/TWD!C1353</f>
        <v>3.1507872241879634E-2</v>
      </c>
      <c r="Z1353" s="4">
        <f>1/ZAR!B1353</f>
        <v>8.5994135199979366E-2</v>
      </c>
      <c r="AA1353" s="4">
        <f>1/ZAR!C1353</f>
        <v>8.556296150522362E-2</v>
      </c>
    </row>
    <row r="1354" spans="1:27" x14ac:dyDescent="0.25">
      <c r="A1354" t="str">
        <f>"05/01/2015"</f>
        <v>05/01/2015</v>
      </c>
      <c r="B1354" s="3">
        <f>AUD!B1354</f>
        <v>0.80579999999999996</v>
      </c>
      <c r="C1354" s="3">
        <f>AUD!C1354</f>
        <v>0.80379999999999996</v>
      </c>
      <c r="D1354" s="3">
        <f>1/CAD!B1354</f>
        <v>0.84666836000338663</v>
      </c>
      <c r="E1354" s="3">
        <f>1/CAD!C1354</f>
        <v>0.8461668641056016</v>
      </c>
      <c r="F1354" s="3">
        <f>EUR!B1354/1</f>
        <v>1.1942999999999999</v>
      </c>
      <c r="G1354" s="3">
        <f>EUR!C1354/1</f>
        <v>1.1947000000000001</v>
      </c>
      <c r="H1354" s="3">
        <f>GBP!B1354/1</f>
        <v>1.5285</v>
      </c>
      <c r="I1354" s="3">
        <f>GBP!C1354/1</f>
        <v>1.5281</v>
      </c>
      <c r="J1354" s="4">
        <f>1/INR!B1354</f>
        <v>1.5767896562598548E-2</v>
      </c>
      <c r="K1354" s="4">
        <f>1/INR!C1354</f>
        <v>1.565251418509098E-2</v>
      </c>
      <c r="L1354" s="4">
        <f>1/JPY!B1354</f>
        <v>8.2933868533231602E-3</v>
      </c>
      <c r="M1354" s="4">
        <f>1/JPY!C1354</f>
        <v>8.2954094862984721E-3</v>
      </c>
      <c r="N1354" s="5">
        <f>1/KRW!B1354</f>
        <v>9.0000900009000093E-4</v>
      </c>
      <c r="O1354" s="5">
        <f>1/KRW!C1354</f>
        <v>8.9998672519580334E-4</v>
      </c>
      <c r="P1354" s="3">
        <f>1/NOK!B1354</f>
        <v>0.13080444735120994</v>
      </c>
      <c r="Q1354" s="3">
        <f>1/NOK!C1354</f>
        <v>0.13067454198573034</v>
      </c>
      <c r="R1354" s="3">
        <f>NZD!B1354/1</f>
        <v>0.76290000000000002</v>
      </c>
      <c r="S1354" s="3">
        <f>NZD!C1354/1</f>
        <v>0.76039999999999996</v>
      </c>
      <c r="T1354" s="4">
        <f>1/PHP!B1354</f>
        <v>2.2223456858714373E-2</v>
      </c>
      <c r="U1354" s="4">
        <f>1/PHP!C1354</f>
        <v>2.2185000721012524E-2</v>
      </c>
      <c r="V1354" s="4">
        <f>1/TWD!B1354</f>
        <v>3.1234870609548496E-2</v>
      </c>
      <c r="W1354" s="4">
        <f>1/TWD!C1354</f>
        <v>3.1234870609548496E-2</v>
      </c>
      <c r="X1354" s="4">
        <f>1/TWD!B1354</f>
        <v>3.1234870609548496E-2</v>
      </c>
      <c r="Y1354" s="4">
        <f>1/TWD!C1354</f>
        <v>3.1234870609548496E-2</v>
      </c>
      <c r="Z1354" s="4">
        <f>1/ZAR!B1354</f>
        <v>8.5160015669442882E-2</v>
      </c>
      <c r="AA1354" s="4">
        <f>1/ZAR!C1354</f>
        <v>8.4733555335248303E-2</v>
      </c>
    </row>
    <row r="1355" spans="1:27" x14ac:dyDescent="0.25">
      <c r="A1355" t="str">
        <f>"06/01/2015"</f>
        <v>06/01/2015</v>
      </c>
      <c r="B1355" s="3">
        <f>AUD!B1355</f>
        <v>0.81269999999999998</v>
      </c>
      <c r="C1355" s="3">
        <f>AUD!C1355</f>
        <v>0.81079999999999997</v>
      </c>
      <c r="D1355" s="3">
        <f>1/CAD!B1355</f>
        <v>0.85149863760217981</v>
      </c>
      <c r="E1355" s="3">
        <f>1/CAD!C1355</f>
        <v>0.85091899251191283</v>
      </c>
      <c r="F1355" s="3">
        <f>EUR!B1355/1</f>
        <v>1.1947000000000001</v>
      </c>
      <c r="G1355" s="3">
        <f>EUR!C1355/1</f>
        <v>1.1950000000000001</v>
      </c>
      <c r="H1355" s="3">
        <f>GBP!B1355/1</f>
        <v>1.526</v>
      </c>
      <c r="I1355" s="3">
        <f>GBP!C1355/1</f>
        <v>1.5257000000000001</v>
      </c>
      <c r="J1355" s="4">
        <f>1/INR!B1355</f>
        <v>1.575795776867318E-2</v>
      </c>
      <c r="K1355" s="4">
        <f>1/INR!C1355</f>
        <v>1.5649452269170579E-2</v>
      </c>
      <c r="L1355" s="4">
        <f>1/JPY!B1355</f>
        <v>8.391092016715054E-3</v>
      </c>
      <c r="M1355" s="4">
        <f>1/JPY!C1355</f>
        <v>8.3931766830837203E-3</v>
      </c>
      <c r="N1355" s="5">
        <f>1/KRW!B1355</f>
        <v>9.0682384946724098E-4</v>
      </c>
      <c r="O1355" s="5">
        <f>1/KRW!C1355</f>
        <v>9.0680205825931194E-4</v>
      </c>
      <c r="P1355" s="3">
        <f>1/NOK!B1355</f>
        <v>0.13105816361301145</v>
      </c>
      <c r="Q1355" s="3">
        <f>1/NOK!C1355</f>
        <v>0.13086435909180136</v>
      </c>
      <c r="R1355" s="3">
        <f>NZD!B1355/1</f>
        <v>0.77249999999999996</v>
      </c>
      <c r="S1355" s="3">
        <f>NZD!C1355/1</f>
        <v>0.77</v>
      </c>
      <c r="T1355" s="4">
        <f>1/PHP!B1355</f>
        <v>2.2214817283127845E-2</v>
      </c>
      <c r="U1355" s="4">
        <f>1/PHP!C1355</f>
        <v>2.2174571531841578E-2</v>
      </c>
      <c r="V1355" s="4">
        <f>1/TWD!B1355</f>
        <v>3.125195324707794E-2</v>
      </c>
      <c r="W1355" s="4">
        <f>1/TWD!C1355</f>
        <v>3.125195324707794E-2</v>
      </c>
      <c r="X1355" s="4">
        <f>1/TWD!B1355</f>
        <v>3.125195324707794E-2</v>
      </c>
      <c r="Y1355" s="4">
        <f>1/TWD!C1355</f>
        <v>3.125195324707794E-2</v>
      </c>
      <c r="Z1355" s="4">
        <f>1/ZAR!B1355</f>
        <v>8.5515401323778412E-2</v>
      </c>
      <c r="AA1355" s="4">
        <f>1/ZAR!C1355</f>
        <v>8.5056434944585729E-2</v>
      </c>
    </row>
    <row r="1356" spans="1:27" x14ac:dyDescent="0.25">
      <c r="A1356" t="str">
        <f>"07/01/2015"</f>
        <v>07/01/2015</v>
      </c>
      <c r="B1356" s="3">
        <f>AUD!B1356</f>
        <v>0.80740000000000001</v>
      </c>
      <c r="C1356" s="3">
        <f>AUD!C1356</f>
        <v>0.80549999999999999</v>
      </c>
      <c r="D1356" s="3">
        <f>1/CAD!B1356</f>
        <v>0.84530853761622993</v>
      </c>
      <c r="E1356" s="3">
        <f>1/CAD!C1356</f>
        <v>0.84473728670383519</v>
      </c>
      <c r="F1356" s="3">
        <f>EUR!B1356/1</f>
        <v>1.1875</v>
      </c>
      <c r="G1356" s="3">
        <f>EUR!C1356/1</f>
        <v>1.1878</v>
      </c>
      <c r="H1356" s="3">
        <f>GBP!B1356/1</f>
        <v>1.5141</v>
      </c>
      <c r="I1356" s="3">
        <f>GBP!C1356/1</f>
        <v>1.5137</v>
      </c>
      <c r="J1356" s="4">
        <f>1/INR!B1356</f>
        <v>1.5754233950374164E-2</v>
      </c>
      <c r="K1356" s="4">
        <f>1/INR!C1356</f>
        <v>1.5648227838197325E-2</v>
      </c>
      <c r="L1356" s="4">
        <f>1/JPY!B1356</f>
        <v>8.4015963032976256E-3</v>
      </c>
      <c r="M1356" s="4">
        <f>1/JPY!C1356</f>
        <v>8.4034460851706069E-3</v>
      </c>
      <c r="N1356" s="5">
        <f>1/KRW!B1356</f>
        <v>9.0822809240312602E-4</v>
      </c>
      <c r="O1356" s="5">
        <f>1/KRW!C1356</f>
        <v>9.0820705849443788E-4</v>
      </c>
      <c r="P1356" s="3">
        <f>1/NOK!B1356</f>
        <v>0.12886764004690782</v>
      </c>
      <c r="Q1356" s="3">
        <f>1/NOK!C1356</f>
        <v>0.12873823654363584</v>
      </c>
      <c r="R1356" s="3">
        <f>NZD!B1356/1</f>
        <v>0.77539999999999998</v>
      </c>
      <c r="S1356" s="3">
        <f>NZD!C1356/1</f>
        <v>0.77300000000000002</v>
      </c>
      <c r="T1356" s="4">
        <f>1/PHP!B1356</f>
        <v>2.220741727737064E-2</v>
      </c>
      <c r="U1356" s="4">
        <f>1/PHP!C1356</f>
        <v>2.2169508058616179E-2</v>
      </c>
      <c r="V1356" s="4">
        <f>1/TWD!B1356</f>
        <v>3.1274433150899138E-2</v>
      </c>
      <c r="W1356" s="4">
        <f>1/TWD!C1356</f>
        <v>3.1274433150899138E-2</v>
      </c>
      <c r="X1356" s="4">
        <f>1/TWD!B1356</f>
        <v>3.1274433150899138E-2</v>
      </c>
      <c r="Y1356" s="4">
        <f>1/TWD!C1356</f>
        <v>3.1274433150899138E-2</v>
      </c>
      <c r="Z1356" s="4">
        <f>1/ZAR!B1356</f>
        <v>8.5248584873491101E-2</v>
      </c>
      <c r="AA1356" s="4">
        <f>1/ZAR!C1356</f>
        <v>8.4805413977628322E-2</v>
      </c>
    </row>
    <row r="1357" spans="1:27" x14ac:dyDescent="0.25">
      <c r="A1357" t="str">
        <f>"08/01/2015"</f>
        <v>08/01/2015</v>
      </c>
      <c r="B1357" s="3">
        <f>AUD!B1357</f>
        <v>0.8105</v>
      </c>
      <c r="C1357" s="3">
        <f>AUD!C1357</f>
        <v>0.80869999999999997</v>
      </c>
      <c r="D1357" s="3">
        <f>1/CAD!B1357</f>
        <v>0.84537999830923993</v>
      </c>
      <c r="E1357" s="3">
        <f>1/CAD!C1357</f>
        <v>0.84480865084058465</v>
      </c>
      <c r="F1357" s="3">
        <f>EUR!B1357/1</f>
        <v>1.1826000000000001</v>
      </c>
      <c r="G1357" s="3">
        <f>EUR!C1357/1</f>
        <v>1.1829000000000001</v>
      </c>
      <c r="H1357" s="3">
        <f>GBP!B1357/1</f>
        <v>1.5086999999999999</v>
      </c>
      <c r="I1357" s="3">
        <f>GBP!C1357/1</f>
        <v>1.5083</v>
      </c>
      <c r="J1357" s="4">
        <f>1/INR!B1357</f>
        <v>1.5844094113919037E-2</v>
      </c>
      <c r="K1357" s="4">
        <f>1/INR!C1357</f>
        <v>1.5738117721120555E-2</v>
      </c>
      <c r="L1357" s="4">
        <f>1/JPY!B1357</f>
        <v>8.3494059397673844E-3</v>
      </c>
      <c r="M1357" s="4">
        <f>1/JPY!C1357</f>
        <v>8.3515954888021809E-3</v>
      </c>
      <c r="N1357" s="5">
        <f>1/KRW!B1357</f>
        <v>9.104275823140338E-4</v>
      </c>
      <c r="O1357" s="5">
        <f>1/KRW!C1357</f>
        <v>9.1041224832222409E-4</v>
      </c>
      <c r="P1357" s="3">
        <f>1/NOK!B1357</f>
        <v>0.12982629242074104</v>
      </c>
      <c r="Q1357" s="3">
        <f>1/NOK!C1357</f>
        <v>0.1296915933909164</v>
      </c>
      <c r="R1357" s="3">
        <f>NZD!B1357/1</f>
        <v>0.77890000000000004</v>
      </c>
      <c r="S1357" s="3">
        <f>NZD!C1357/1</f>
        <v>0.77639999999999998</v>
      </c>
      <c r="T1357" s="4">
        <f>1/PHP!B1357</f>
        <v>2.2197558268590458E-2</v>
      </c>
      <c r="U1357" s="4">
        <f>1/PHP!C1357</f>
        <v>2.2159437150296384E-2</v>
      </c>
      <c r="V1357" s="4">
        <f>1/TWD!B1357</f>
        <v>3.1255860473838847E-2</v>
      </c>
      <c r="W1357" s="4">
        <f>1/TWD!C1357</f>
        <v>3.1255860473838847E-2</v>
      </c>
      <c r="X1357" s="4">
        <f>1/TWD!B1357</f>
        <v>3.1255860473838847E-2</v>
      </c>
      <c r="Y1357" s="4">
        <f>1/TWD!C1357</f>
        <v>3.1255860473838847E-2</v>
      </c>
      <c r="Z1357" s="4">
        <f>1/ZAR!B1357</f>
        <v>8.5499316005471962E-2</v>
      </c>
      <c r="AA1357" s="4">
        <f>1/ZAR!C1357</f>
        <v>8.5073077773807695E-2</v>
      </c>
    </row>
    <row r="1358" spans="1:27" x14ac:dyDescent="0.25">
      <c r="A1358" t="str">
        <f>"09/01/2015"</f>
        <v>09/01/2015</v>
      </c>
      <c r="B1358" s="3">
        <f>AUD!B1358</f>
        <v>0.8145</v>
      </c>
      <c r="C1358" s="3">
        <f>AUD!C1358</f>
        <v>0.81259999999999999</v>
      </c>
      <c r="D1358" s="3">
        <f>1/CAD!B1358</f>
        <v>0.84638171815488783</v>
      </c>
      <c r="E1358" s="3">
        <f>1/CAD!C1358</f>
        <v>0.84580901632411409</v>
      </c>
      <c r="F1358" s="3">
        <f>EUR!B1358/1</f>
        <v>0</v>
      </c>
      <c r="G1358" s="3">
        <f>EUR!C1358/1</f>
        <v>0</v>
      </c>
      <c r="H1358" s="3">
        <f>GBP!B1358/1</f>
        <v>1.5095000000000001</v>
      </c>
      <c r="I1358" s="3">
        <f>GBP!C1358/1</f>
        <v>1.5092000000000001</v>
      </c>
      <c r="J1358" s="4">
        <f>1/INR!B1358</f>
        <v>1.6044925792218209E-2</v>
      </c>
      <c r="K1358" s="4">
        <f>1/INR!C1358</f>
        <v>1.5936889915932905E-2</v>
      </c>
      <c r="L1358" s="4">
        <f>1/JPY!B1358</f>
        <v>8.3818081236484328E-3</v>
      </c>
      <c r="M1358" s="4">
        <f>1/JPY!C1358</f>
        <v>8.3840076730438227E-3</v>
      </c>
      <c r="N1358" s="5">
        <f>1/KRW!B1358</f>
        <v>9.1671632213411564E-4</v>
      </c>
      <c r="O1358" s="5">
        <f>1/KRW!C1358</f>
        <v>9.167000192690344E-4</v>
      </c>
      <c r="P1358" s="3">
        <f>1/NOK!B1358</f>
        <v>0.1312542657636373</v>
      </c>
      <c r="Q1358" s="3">
        <f>1/NOK!C1358</f>
        <v>0.13113378268509535</v>
      </c>
      <c r="R1358" s="3">
        <f>NZD!B1358/1</f>
        <v>0.7843</v>
      </c>
      <c r="S1358" s="3">
        <f>NZD!C1358/1</f>
        <v>0.78190000000000004</v>
      </c>
      <c r="T1358" s="4">
        <f>1/PHP!B1358</f>
        <v>2.2241992882562279E-2</v>
      </c>
      <c r="U1358" s="4">
        <f>1/PHP!C1358</f>
        <v>2.2205592700577564E-2</v>
      </c>
      <c r="V1358" s="4">
        <f>1/TWD!B1358</f>
        <v>3.12930279133809E-2</v>
      </c>
      <c r="W1358" s="4">
        <f>1/TWD!C1358</f>
        <v>3.12930279133809E-2</v>
      </c>
      <c r="X1358" s="4">
        <f>1/TWD!B1358</f>
        <v>3.12930279133809E-2</v>
      </c>
      <c r="Y1358" s="4">
        <f>1/TWD!C1358</f>
        <v>3.12930279133809E-2</v>
      </c>
      <c r="Z1358" s="4">
        <f>1/ZAR!B1358</f>
        <v>8.6236633321835121E-2</v>
      </c>
      <c r="AA1358" s="4">
        <f>1/ZAR!C1358</f>
        <v>8.5815548060997685E-2</v>
      </c>
    </row>
    <row r="1359" spans="1:27" x14ac:dyDescent="0.25">
      <c r="A1359" t="str">
        <f>"12/01/2015"</f>
        <v>12/01/2015</v>
      </c>
      <c r="B1359" s="3">
        <f>AUD!B1359</f>
        <v>0.82440000000000002</v>
      </c>
      <c r="C1359" s="3">
        <f>AUD!C1359</f>
        <v>0.82240000000000002</v>
      </c>
      <c r="D1359" s="3">
        <f>1/CAD!B1359</f>
        <v>0.84416680736113447</v>
      </c>
      <c r="E1359" s="3">
        <f>1/CAD!C1359</f>
        <v>0.84359709802598282</v>
      </c>
      <c r="F1359" s="3">
        <f>EUR!B1359/1</f>
        <v>1.1853</v>
      </c>
      <c r="G1359" s="3">
        <f>EUR!C1359/1</f>
        <v>1.1856</v>
      </c>
      <c r="H1359" s="3">
        <f>GBP!B1359/1</f>
        <v>1.5163</v>
      </c>
      <c r="I1359" s="3">
        <f>GBP!C1359/1</f>
        <v>1.5158</v>
      </c>
      <c r="J1359" s="4">
        <f>1/INR!B1359</f>
        <v>1.6090751840379742E-2</v>
      </c>
      <c r="K1359" s="4">
        <f>1/INR!C1359</f>
        <v>1.5968701345363087E-2</v>
      </c>
      <c r="L1359" s="4">
        <f>1/JPY!B1359</f>
        <v>8.4537999830923988E-3</v>
      </c>
      <c r="M1359" s="4">
        <f>1/JPY!C1359</f>
        <v>8.4559659799576699E-3</v>
      </c>
      <c r="N1359" s="5">
        <f>1/KRW!B1359</f>
        <v>9.2343947962338449E-4</v>
      </c>
      <c r="O1359" s="5">
        <f>1/KRW!C1359</f>
        <v>9.2342191350380809E-4</v>
      </c>
      <c r="P1359" s="3">
        <f>1/NOK!B1359</f>
        <v>0.13059433481775559</v>
      </c>
      <c r="Q1359" s="3">
        <f>1/NOK!C1359</f>
        <v>0.13046484624717869</v>
      </c>
      <c r="R1359" s="3">
        <f>NZD!B1359/1</f>
        <v>0.78500000000000003</v>
      </c>
      <c r="S1359" s="3">
        <f>NZD!C1359/1</f>
        <v>0.78239999999999998</v>
      </c>
      <c r="T1359" s="4">
        <f>1/PHP!B1359</f>
        <v>2.2294058633374206E-2</v>
      </c>
      <c r="U1359" s="4">
        <f>1/PHP!C1359</f>
        <v>2.225288174818639E-2</v>
      </c>
      <c r="V1359" s="4">
        <f>1/TWD!B1359</f>
        <v>3.1400131880553898E-2</v>
      </c>
      <c r="W1359" s="4">
        <f>1/TWD!C1359</f>
        <v>3.1400131880553898E-2</v>
      </c>
      <c r="X1359" s="4">
        <f>1/TWD!B1359</f>
        <v>3.1400131880553898E-2</v>
      </c>
      <c r="Y1359" s="4">
        <f>1/TWD!C1359</f>
        <v>3.1400131880553898E-2</v>
      </c>
      <c r="Z1359" s="4">
        <f>1/ZAR!B1359</f>
        <v>8.7035989381609294E-2</v>
      </c>
      <c r="AA1359" s="4">
        <f>1/ZAR!C1359</f>
        <v>8.6610081413476536E-2</v>
      </c>
    </row>
    <row r="1360" spans="1:27" x14ac:dyDescent="0.25">
      <c r="A1360" t="str">
        <f>"13/01/2015"</f>
        <v>13/01/2015</v>
      </c>
      <c r="B1360" s="3">
        <f>AUD!B1360</f>
        <v>0.81799999999999995</v>
      </c>
      <c r="C1360" s="3">
        <f>AUD!C1360</f>
        <v>0.81599999999999995</v>
      </c>
      <c r="D1360" s="3">
        <f>1/CAD!B1360</f>
        <v>0.83612040133779264</v>
      </c>
      <c r="E1360" s="3">
        <f>1/CAD!C1360</f>
        <v>0.83549168685771569</v>
      </c>
      <c r="F1360" s="3">
        <f>EUR!B1360/1</f>
        <v>1.1841999999999999</v>
      </c>
      <c r="G1360" s="3">
        <f>EUR!C1360/1</f>
        <v>1.1845000000000001</v>
      </c>
      <c r="H1360" s="3">
        <f>GBP!B1360/1</f>
        <v>1.5170999999999999</v>
      </c>
      <c r="I1360" s="3">
        <f>GBP!C1360/1</f>
        <v>1.5166999999999999</v>
      </c>
      <c r="J1360" s="4">
        <f>1/INR!B1360</f>
        <v>1.6105653084232566E-2</v>
      </c>
      <c r="K1360" s="4">
        <f>1/INR!C1360</f>
        <v>1.5987210231814548E-2</v>
      </c>
      <c r="L1360" s="4">
        <f>1/JPY!B1360</f>
        <v>8.4566596194503175E-3</v>
      </c>
      <c r="M1360" s="4">
        <f>1/JPY!C1360</f>
        <v>8.4587769961867836E-3</v>
      </c>
      <c r="N1360" s="5">
        <f>1/KRW!B1360</f>
        <v>9.2626898851426464E-4</v>
      </c>
      <c r="O1360" s="5">
        <f>1/KRW!C1360</f>
        <v>9.2624856917752267E-4</v>
      </c>
      <c r="P1360" s="3">
        <f>1/NOK!B1360</f>
        <v>0.12929752653831733</v>
      </c>
      <c r="Q1360" s="3">
        <f>1/NOK!C1360</f>
        <v>0.1291722641314457</v>
      </c>
      <c r="R1360" s="3">
        <f>NZD!B1360/1</f>
        <v>0.77810000000000001</v>
      </c>
      <c r="S1360" s="3">
        <f>NZD!C1360/1</f>
        <v>0.77549999999999997</v>
      </c>
      <c r="T1360" s="4">
        <f>1/PHP!B1360</f>
        <v>2.231644722160232E-2</v>
      </c>
      <c r="U1360" s="4">
        <f>1/PHP!C1360</f>
        <v>2.2275138050168067E-2</v>
      </c>
      <c r="V1360" s="4">
        <f>1/TWD!B1360</f>
        <v>3.1432702583768152E-2</v>
      </c>
      <c r="W1360" s="4">
        <f>1/TWD!C1360</f>
        <v>3.1432702583768152E-2</v>
      </c>
      <c r="X1360" s="4">
        <f>1/TWD!B1360</f>
        <v>3.1432702583768152E-2</v>
      </c>
      <c r="Y1360" s="4">
        <f>1/TWD!C1360</f>
        <v>3.1432702583768152E-2</v>
      </c>
      <c r="Z1360" s="4">
        <f>1/ZAR!B1360</f>
        <v>8.6875689575786008E-2</v>
      </c>
      <c r="AA1360" s="4">
        <f>1/ZAR!C1360</f>
        <v>8.6419219634446695E-2</v>
      </c>
    </row>
    <row r="1361" spans="1:27" x14ac:dyDescent="0.25">
      <c r="A1361" t="str">
        <f>"14/01/2015"</f>
        <v>14/01/2015</v>
      </c>
      <c r="B1361" s="3">
        <f>AUD!B1361</f>
        <v>0.8095</v>
      </c>
      <c r="C1361" s="3">
        <f>AUD!C1361</f>
        <v>0.80759999999999998</v>
      </c>
      <c r="D1361" s="3">
        <f>1/CAD!B1361</f>
        <v>0.83416750083416746</v>
      </c>
      <c r="E1361" s="3">
        <f>1/CAD!C1361</f>
        <v>0.83354171876302408</v>
      </c>
      <c r="F1361" s="3">
        <f>EUR!B1361/1</f>
        <v>1.1780999999999999</v>
      </c>
      <c r="G1361" s="3">
        <f>EUR!C1361/1</f>
        <v>1.1785000000000001</v>
      </c>
      <c r="H1361" s="3">
        <f>GBP!B1361/1</f>
        <v>1.5156000000000001</v>
      </c>
      <c r="I1361" s="3">
        <f>GBP!C1361/1</f>
        <v>1.5152000000000001</v>
      </c>
      <c r="J1361" s="4">
        <f>1/INR!B1361</f>
        <v>1.6105004630188831E-2</v>
      </c>
      <c r="K1361" s="4">
        <f>1/INR!C1361</f>
        <v>1.5989766549408379E-2</v>
      </c>
      <c r="L1361" s="4">
        <f>1/JPY!B1361</f>
        <v>8.5214442143654503E-3</v>
      </c>
      <c r="M1361" s="4">
        <f>1/JPY!C1361</f>
        <v>8.5236450174606872E-3</v>
      </c>
      <c r="N1361" s="5">
        <f>1/KRW!B1361</f>
        <v>9.2408630966132226E-4</v>
      </c>
      <c r="O1361" s="5">
        <f>1/KRW!C1361</f>
        <v>9.2407136603159864E-4</v>
      </c>
      <c r="P1361" s="3">
        <f>1/NOK!B1361</f>
        <v>0.12877139214752051</v>
      </c>
      <c r="Q1361" s="3">
        <f>1/NOK!C1361</f>
        <v>0.12864880163641276</v>
      </c>
      <c r="R1361" s="3">
        <f>NZD!B1361/1</f>
        <v>0.77139999999999997</v>
      </c>
      <c r="S1361" s="3">
        <f>NZD!C1361/1</f>
        <v>0.76890000000000003</v>
      </c>
      <c r="T1361" s="4">
        <f>1/PHP!B1361</f>
        <v>2.2383883603805263E-2</v>
      </c>
      <c r="U1361" s="4">
        <f>1/PHP!C1361</f>
        <v>2.2342274711672945E-2</v>
      </c>
      <c r="V1361" s="4">
        <f>1/TWD!B1361</f>
        <v>3.1452475309806882E-2</v>
      </c>
      <c r="W1361" s="4">
        <f>1/TWD!C1361</f>
        <v>3.1452475309806882E-2</v>
      </c>
      <c r="X1361" s="4">
        <f>1/TWD!B1361</f>
        <v>3.1452475309806882E-2</v>
      </c>
      <c r="Y1361" s="4">
        <f>1/TWD!C1361</f>
        <v>3.1452475309806882E-2</v>
      </c>
      <c r="Z1361" s="4">
        <f>1/ZAR!B1361</f>
        <v>8.6470033809783214E-2</v>
      </c>
      <c r="AA1361" s="4">
        <f>1/ZAR!C1361</f>
        <v>8.6029645815948172E-2</v>
      </c>
    </row>
    <row r="1362" spans="1:27" x14ac:dyDescent="0.25">
      <c r="A1362" t="str">
        <f>"15/01/2015"</f>
        <v>15/01/2015</v>
      </c>
      <c r="B1362" s="3">
        <f>AUD!B1362</f>
        <v>0.82099999999999995</v>
      </c>
      <c r="C1362" s="3">
        <f>AUD!C1362</f>
        <v>0.81910000000000005</v>
      </c>
      <c r="D1362" s="3">
        <f>1/CAD!B1362</f>
        <v>0.83591072473459838</v>
      </c>
      <c r="E1362" s="3">
        <f>1/CAD!C1362</f>
        <v>0.83528232542599401</v>
      </c>
      <c r="F1362" s="3">
        <f>EUR!B1362/1</f>
        <v>1.1780999999999999</v>
      </c>
      <c r="G1362" s="3">
        <f>EUR!C1362/1</f>
        <v>1.1783999999999999</v>
      </c>
      <c r="H1362" s="3">
        <f>GBP!B1362/1</f>
        <v>1.5238</v>
      </c>
      <c r="I1362" s="3">
        <f>GBP!C1362/1</f>
        <v>1.5234000000000001</v>
      </c>
      <c r="J1362" s="4">
        <f>1/INR!B1362</f>
        <v>1.6181229773462785E-2</v>
      </c>
      <c r="K1362" s="4">
        <f>1/INR!C1362</f>
        <v>1.6072648370635271E-2</v>
      </c>
      <c r="L1362" s="4">
        <f>1/JPY!B1362</f>
        <v>8.5006545504003796E-3</v>
      </c>
      <c r="M1362" s="4">
        <f>1/JPY!C1362</f>
        <v>8.5028084776401641E-3</v>
      </c>
      <c r="N1362" s="5">
        <f>1/KRW!B1362</f>
        <v>9.2370219841123231E-4</v>
      </c>
      <c r="O1362" s="5">
        <f>1/KRW!C1362</f>
        <v>9.2368598740646534E-4</v>
      </c>
      <c r="P1362" s="3">
        <f>1/NOK!B1362</f>
        <v>0.13093804011941548</v>
      </c>
      <c r="Q1362" s="3">
        <f>1/NOK!C1362</f>
        <v>0.13081471403903511</v>
      </c>
      <c r="R1362" s="3">
        <f>NZD!B1362/1</f>
        <v>0.77310000000000001</v>
      </c>
      <c r="S1362" s="3">
        <f>NZD!C1362/1</f>
        <v>0.77080000000000004</v>
      </c>
      <c r="T1362" s="4">
        <f>1/PHP!B1362</f>
        <v>2.2383883603805263E-2</v>
      </c>
      <c r="U1362" s="4">
        <f>1/PHP!C1362</f>
        <v>2.2341376228775692E-2</v>
      </c>
      <c r="V1362" s="4">
        <f>1/TWD!B1362</f>
        <v>3.15000315000315E-2</v>
      </c>
      <c r="W1362" s="4">
        <f>1/TWD!C1362</f>
        <v>3.15000315000315E-2</v>
      </c>
      <c r="X1362" s="4">
        <f>1/TWD!B1362</f>
        <v>3.15000315000315E-2</v>
      </c>
      <c r="Y1362" s="4">
        <f>1/TWD!C1362</f>
        <v>3.15000315000315E-2</v>
      </c>
      <c r="Z1362" s="4">
        <f>1/ZAR!B1362</f>
        <v>8.7319467001973419E-2</v>
      </c>
      <c r="AA1362" s="4">
        <f>1/ZAR!C1362</f>
        <v>8.6890031975531759E-2</v>
      </c>
    </row>
    <row r="1363" spans="1:27" x14ac:dyDescent="0.25">
      <c r="A1363" t="str">
        <f>"16/01/2015"</f>
        <v>16/01/2015</v>
      </c>
      <c r="B1363" s="3">
        <f>AUD!B1363</f>
        <v>0.82450000000000001</v>
      </c>
      <c r="C1363" s="3">
        <f>AUD!C1363</f>
        <v>0.8226</v>
      </c>
      <c r="D1363" s="3">
        <f>1/CAD!B1363</f>
        <v>0.83570115326759142</v>
      </c>
      <c r="E1363" s="3">
        <f>1/CAD!C1363</f>
        <v>0.83514280942041086</v>
      </c>
      <c r="F1363" s="3">
        <f>EUR!B1363/1</f>
        <v>1.1633</v>
      </c>
      <c r="G1363" s="3">
        <f>EUR!C1363/1</f>
        <v>1.1637</v>
      </c>
      <c r="H1363" s="3">
        <f>GBP!B1363/1</f>
        <v>1.518</v>
      </c>
      <c r="I1363" s="3">
        <f>GBP!C1363/1</f>
        <v>1.5176000000000001</v>
      </c>
      <c r="J1363" s="4">
        <f>1/INR!B1363</f>
        <v>1.6100466913540494E-2</v>
      </c>
      <c r="K1363" s="4">
        <f>1/INR!C1363</f>
        <v>1.5984654731457801E-2</v>
      </c>
      <c r="L1363" s="4">
        <f>1/JPY!B1363</f>
        <v>8.5906962759331636E-3</v>
      </c>
      <c r="M1363" s="4">
        <f>1/JPY!C1363</f>
        <v>8.5934351311658976E-3</v>
      </c>
      <c r="N1363" s="5">
        <f>1/KRW!B1363</f>
        <v>9.2668099933278974E-4</v>
      </c>
      <c r="O1363" s="5">
        <f>1/KRW!C1363</f>
        <v>9.2666511295816064E-4</v>
      </c>
      <c r="P1363" s="3">
        <f>1/NOK!B1363</f>
        <v>0.13066941943576946</v>
      </c>
      <c r="Q1363" s="3">
        <f>1/NOK!C1363</f>
        <v>0.13054659860837325</v>
      </c>
      <c r="R1363" s="3">
        <f>NZD!B1363/1</f>
        <v>0.78449999999999998</v>
      </c>
      <c r="S1363" s="3">
        <f>NZD!C1363/1</f>
        <v>0.78190000000000004</v>
      </c>
      <c r="T1363" s="4">
        <f>1/PHP!B1363</f>
        <v>2.2383883603805263E-2</v>
      </c>
      <c r="U1363" s="4">
        <f>1/PHP!C1363</f>
        <v>2.2341376228775692E-2</v>
      </c>
      <c r="V1363" s="4">
        <f>1/TWD!B1363</f>
        <v>3.1654084168209806E-2</v>
      </c>
      <c r="W1363" s="4">
        <f>1/TWD!C1363</f>
        <v>3.1654084168209806E-2</v>
      </c>
      <c r="X1363" s="4">
        <f>1/TWD!B1363</f>
        <v>3.1654084168209806E-2</v>
      </c>
      <c r="Y1363" s="4">
        <f>1/TWD!C1363</f>
        <v>3.1654084168209806E-2</v>
      </c>
      <c r="Z1363" s="4">
        <f>1/ZAR!B1363</f>
        <v>8.6455082262010763E-2</v>
      </c>
      <c r="AA1363" s="4">
        <f>1/ZAR!C1363</f>
        <v>8.6032606357809613E-2</v>
      </c>
    </row>
    <row r="1364" spans="1:27" x14ac:dyDescent="0.25">
      <c r="A1364" t="str">
        <f>"19/01/2015"</f>
        <v>19/01/2015</v>
      </c>
      <c r="B1364" s="3">
        <f>AUD!B1364</f>
        <v>0.82069999999999999</v>
      </c>
      <c r="C1364" s="3">
        <f>AUD!C1364</f>
        <v>0.81869999999999998</v>
      </c>
      <c r="D1364" s="3">
        <f>1/CAD!B1364</f>
        <v>0.83542188805346695</v>
      </c>
      <c r="E1364" s="3">
        <f>1/CAD!C1364</f>
        <v>0.83486391718149944</v>
      </c>
      <c r="F1364" s="3">
        <f>EUR!B1364/1</f>
        <v>1.1557999999999999</v>
      </c>
      <c r="G1364" s="3">
        <f>EUR!C1364/1</f>
        <v>1.1561999999999999</v>
      </c>
      <c r="H1364" s="3">
        <f>GBP!B1364/1</f>
        <v>1.5137</v>
      </c>
      <c r="I1364" s="3">
        <f>GBP!C1364/1</f>
        <v>1.5133000000000001</v>
      </c>
      <c r="J1364" s="4">
        <f>1/INR!B1364</f>
        <v>1.6230472712517752E-2</v>
      </c>
      <c r="K1364" s="4">
        <f>1/INR!C1364</f>
        <v>1.6115386164940976E-2</v>
      </c>
      <c r="L1364" s="4">
        <f>1/JPY!B1364</f>
        <v>8.5439414910886691E-3</v>
      </c>
      <c r="M1364" s="4">
        <f>1/JPY!C1364</f>
        <v>8.5467967033295757E-3</v>
      </c>
      <c r="N1364" s="5">
        <f>1/KRW!B1364</f>
        <v>9.2721372276309685E-4</v>
      </c>
      <c r="O1364" s="5">
        <f>1/KRW!C1364</f>
        <v>9.2719824796619061E-4</v>
      </c>
      <c r="P1364" s="3">
        <f>1/NOK!B1364</f>
        <v>0.13203586093983127</v>
      </c>
      <c r="Q1364" s="3">
        <f>1/NOK!C1364</f>
        <v>0.13190697919826938</v>
      </c>
      <c r="R1364" s="3">
        <f>NZD!B1364/1</f>
        <v>0.77880000000000005</v>
      </c>
      <c r="S1364" s="3">
        <f>NZD!C1364/1</f>
        <v>0.77629999999999999</v>
      </c>
      <c r="T1364" s="4">
        <f>1/PHP!B1364</f>
        <v>2.2383883603805263E-2</v>
      </c>
      <c r="U1364" s="4">
        <f>1/PHP!C1364</f>
        <v>2.2341376228775692E-2</v>
      </c>
      <c r="V1364" s="4">
        <f>1/TWD!B1364</f>
        <v>3.1726391598851503E-2</v>
      </c>
      <c r="W1364" s="4">
        <f>1/TWD!C1364</f>
        <v>3.1726391598851503E-2</v>
      </c>
      <c r="X1364" s="4">
        <f>1/TWD!B1364</f>
        <v>3.1726391598851503E-2</v>
      </c>
      <c r="Y1364" s="4">
        <f>1/TWD!C1364</f>
        <v>3.1726391598851503E-2</v>
      </c>
      <c r="Z1364" s="4">
        <f>1/ZAR!B1364</f>
        <v>8.6445366528354078E-2</v>
      </c>
      <c r="AA1364" s="4">
        <f>1/ZAR!C1364</f>
        <v>8.6018545598431015E-2</v>
      </c>
    </row>
    <row r="1365" spans="1:27" x14ac:dyDescent="0.25">
      <c r="A1365" t="str">
        <f>"20/01/2015"</f>
        <v>20/01/2015</v>
      </c>
      <c r="B1365" s="3">
        <f>AUD!B1365</f>
        <v>0.81740000000000002</v>
      </c>
      <c r="C1365" s="3">
        <f>AUD!C1365</f>
        <v>0.81540000000000001</v>
      </c>
      <c r="D1365" s="3">
        <f>1/CAD!B1365</f>
        <v>0.83486391718149944</v>
      </c>
      <c r="E1365" s="3">
        <f>1/CAD!C1365</f>
        <v>0.83423709018102943</v>
      </c>
      <c r="F1365" s="3">
        <f>EUR!B1365/1</f>
        <v>1.1578999999999999</v>
      </c>
      <c r="G1365" s="3">
        <f>EUR!C1365/1</f>
        <v>1.1583000000000001</v>
      </c>
      <c r="H1365" s="3">
        <f>GBP!B1365/1</f>
        <v>1.5071000000000001</v>
      </c>
      <c r="I1365" s="3">
        <f>GBP!C1365/1</f>
        <v>1.5066999999999999</v>
      </c>
      <c r="J1365" s="4">
        <f>1/INR!B1365</f>
        <v>1.6185158209921502E-2</v>
      </c>
      <c r="K1365" s="4">
        <f>1/INR!C1365</f>
        <v>1.6073940124573038E-2</v>
      </c>
      <c r="L1365" s="4">
        <f>1/JPY!B1365</f>
        <v>8.4617402414980669E-3</v>
      </c>
      <c r="M1365" s="4">
        <f>1/JPY!C1365</f>
        <v>8.464619583066697E-3</v>
      </c>
      <c r="N1365" s="5">
        <f>1/KRW!B1365</f>
        <v>9.2101385204833481E-4</v>
      </c>
      <c r="O1365" s="5">
        <f>1/KRW!C1365</f>
        <v>9.2099858350417859E-4</v>
      </c>
      <c r="P1365" s="3">
        <f>1/NOK!B1365</f>
        <v>0.13069162005332219</v>
      </c>
      <c r="Q1365" s="3">
        <f>1/NOK!C1365</f>
        <v>0.13056534795665231</v>
      </c>
      <c r="R1365" s="3">
        <f>NZD!B1365/1</f>
        <v>0.77229999999999999</v>
      </c>
      <c r="S1365" s="3">
        <f>NZD!C1365/1</f>
        <v>0.76980000000000004</v>
      </c>
      <c r="T1365" s="4">
        <f>1/PHP!B1365</f>
        <v>2.2383883603805263E-2</v>
      </c>
      <c r="U1365" s="4">
        <f>1/PHP!C1365</f>
        <v>2.2341725630204225E-2</v>
      </c>
      <c r="V1365" s="4">
        <f>1/TWD!B1365</f>
        <v>3.1643566862856784E-2</v>
      </c>
      <c r="W1365" s="4">
        <f>1/TWD!C1365</f>
        <v>3.1643566862856784E-2</v>
      </c>
      <c r="X1365" s="4">
        <f>1/TWD!B1365</f>
        <v>3.1643566862856784E-2</v>
      </c>
      <c r="Y1365" s="4">
        <f>1/TWD!C1365</f>
        <v>3.1643566862856784E-2</v>
      </c>
      <c r="Z1365" s="4">
        <f>1/ZAR!B1365</f>
        <v>8.5765499969982062E-2</v>
      </c>
      <c r="AA1365" s="4">
        <f>1/ZAR!C1365</f>
        <v>8.5311857495073237E-2</v>
      </c>
    </row>
    <row r="1366" spans="1:27" x14ac:dyDescent="0.25">
      <c r="A1366" t="str">
        <f>"21/01/2015"</f>
        <v>21/01/2015</v>
      </c>
      <c r="B1366" s="3">
        <f>AUD!B1366</f>
        <v>0.82140000000000002</v>
      </c>
      <c r="C1366" s="3">
        <f>AUD!C1366</f>
        <v>0.81950000000000001</v>
      </c>
      <c r="D1366" s="3">
        <f>1/CAD!B1366</f>
        <v>0.82747207281754243</v>
      </c>
      <c r="E1366" s="3">
        <f>1/CAD!C1366</f>
        <v>0.82685629237638492</v>
      </c>
      <c r="F1366" s="3">
        <f>EUR!B1366/1</f>
        <v>1.1565000000000001</v>
      </c>
      <c r="G1366" s="3">
        <f>EUR!C1366/1</f>
        <v>1.1569</v>
      </c>
      <c r="H1366" s="3">
        <f>GBP!B1366/1</f>
        <v>1.516</v>
      </c>
      <c r="I1366" s="3">
        <f>GBP!C1366/1</f>
        <v>1.5156000000000001</v>
      </c>
      <c r="J1366" s="4">
        <f>1/INR!B1366</f>
        <v>1.622981416862777E-2</v>
      </c>
      <c r="K1366" s="4">
        <f>1/INR!C1366</f>
        <v>1.6122531237404272E-2</v>
      </c>
      <c r="L1366" s="4">
        <f>1/JPY!B1366</f>
        <v>8.4788156790259542E-3</v>
      </c>
      <c r="M1366" s="4">
        <f>1/JPY!C1366</f>
        <v>8.481490842534337E-3</v>
      </c>
      <c r="N1366" s="5">
        <f>1/KRW!B1366</f>
        <v>9.2174393953359745E-4</v>
      </c>
      <c r="O1366" s="5">
        <f>1/KRW!C1366</f>
        <v>9.2172720248328058E-4</v>
      </c>
      <c r="P1366" s="3">
        <f>1/NOK!B1366</f>
        <v>0.13015918468286714</v>
      </c>
      <c r="Q1366" s="3">
        <f>1/NOK!C1366</f>
        <v>0.13003732071104407</v>
      </c>
      <c r="R1366" s="3">
        <f>NZD!B1366/1</f>
        <v>0.76580000000000004</v>
      </c>
      <c r="S1366" s="3">
        <f>NZD!C1366/1</f>
        <v>0.76339999999999997</v>
      </c>
      <c r="T1366" s="4">
        <f>1/PHP!B1366</f>
        <v>2.244165170556553E-2</v>
      </c>
      <c r="U1366" s="4">
        <f>1/PHP!C1366</f>
        <v>2.2368662398725883E-2</v>
      </c>
      <c r="V1366" s="4">
        <f>1/TWD!B1366</f>
        <v>3.1681662653656066E-2</v>
      </c>
      <c r="W1366" s="4">
        <f>1/TWD!C1366</f>
        <v>3.1681662653656066E-2</v>
      </c>
      <c r="X1366" s="4">
        <f>1/TWD!B1366</f>
        <v>3.1681662653656066E-2</v>
      </c>
      <c r="Y1366" s="4">
        <f>1/TWD!C1366</f>
        <v>3.1681662653656066E-2</v>
      </c>
      <c r="Z1366" s="4">
        <f>1/ZAR!B1366</f>
        <v>8.6314045021405883E-2</v>
      </c>
      <c r="AA1366" s="4">
        <f>1/ZAR!C1366</f>
        <v>8.5875977912698478E-2</v>
      </c>
    </row>
    <row r="1367" spans="1:27" x14ac:dyDescent="0.25">
      <c r="A1367" t="str">
        <f>"22/01/2015"</f>
        <v>22/01/2015</v>
      </c>
      <c r="B1367" s="3">
        <f>AUD!B1367</f>
        <v>0.80579999999999996</v>
      </c>
      <c r="C1367" s="3">
        <f>AUD!C1367</f>
        <v>0.80400000000000005</v>
      </c>
      <c r="D1367" s="3">
        <f>1/CAD!B1367</f>
        <v>0.80919242595889307</v>
      </c>
      <c r="E1367" s="3">
        <f>1/CAD!C1367</f>
        <v>0.80873433077234136</v>
      </c>
      <c r="F1367" s="3">
        <f>EUR!B1367/1</f>
        <v>1.1603000000000001</v>
      </c>
      <c r="G1367" s="3">
        <f>EUR!C1367/1</f>
        <v>1.1606000000000001</v>
      </c>
      <c r="H1367" s="3">
        <f>GBP!B1367/1</f>
        <v>1.5143</v>
      </c>
      <c r="I1367" s="3">
        <f>GBP!C1367/1</f>
        <v>1.5139</v>
      </c>
      <c r="J1367" s="4">
        <f>1/INR!B1367</f>
        <v>1.6243654822335026E-2</v>
      </c>
      <c r="K1367" s="4">
        <f>1/INR!C1367</f>
        <v>1.6134236850596968E-2</v>
      </c>
      <c r="L1367" s="4">
        <f>1/JPY!B1367</f>
        <v>8.4554440376436377E-3</v>
      </c>
      <c r="M1367" s="4">
        <f>1/JPY!C1367</f>
        <v>8.4579399334021813E-3</v>
      </c>
      <c r="N1367" s="5">
        <f>1/KRW!B1367</f>
        <v>9.1928663357234786E-4</v>
      </c>
      <c r="O1367" s="5">
        <f>1/KRW!C1367</f>
        <v>9.1927268983325785E-4</v>
      </c>
      <c r="P1367" s="3">
        <f>1/NOK!B1367</f>
        <v>0.13174189128659131</v>
      </c>
      <c r="Q1367" s="3">
        <f>1/NOK!C1367</f>
        <v>0.13162051174054964</v>
      </c>
      <c r="R1367" s="3">
        <f>NZD!B1367/1</f>
        <v>0.75180000000000002</v>
      </c>
      <c r="S1367" s="3">
        <f>NZD!C1367/1</f>
        <v>0.74950000000000006</v>
      </c>
      <c r="T1367" s="4">
        <f>1/PHP!B1367</f>
        <v>2.2514916131937408E-2</v>
      </c>
      <c r="U1367" s="4">
        <f>1/PHP!C1367</f>
        <v>2.2482418748538645E-2</v>
      </c>
      <c r="V1367" s="4">
        <f>1/TWD!B1367</f>
        <v>3.1799535726778391E-2</v>
      </c>
      <c r="W1367" s="4">
        <f>1/TWD!C1367</f>
        <v>3.1799535726778391E-2</v>
      </c>
      <c r="X1367" s="4">
        <f>1/TWD!B1367</f>
        <v>3.1799535726778391E-2</v>
      </c>
      <c r="Y1367" s="4">
        <f>1/TWD!C1367</f>
        <v>3.1799535726778391E-2</v>
      </c>
      <c r="Z1367" s="4">
        <f>1/ZAR!B1367</f>
        <v>8.6796514251987644E-2</v>
      </c>
      <c r="AA1367" s="4">
        <f>1/ZAR!C1367</f>
        <v>8.6372941085016891E-2</v>
      </c>
    </row>
    <row r="1368" spans="1:27" x14ac:dyDescent="0.25">
      <c r="A1368" t="str">
        <f>"23/01/2015"</f>
        <v>23/01/2015</v>
      </c>
      <c r="B1368" s="3">
        <f>AUD!B1368</f>
        <v>0.80149999999999999</v>
      </c>
      <c r="C1368" s="3">
        <f>AUD!C1368</f>
        <v>0.79979999999999996</v>
      </c>
      <c r="D1368" s="3">
        <f>1/CAD!B1368</f>
        <v>0.80781969464415537</v>
      </c>
      <c r="E1368" s="3">
        <f>1/CAD!C1368</f>
        <v>0.80736315194574526</v>
      </c>
      <c r="F1368" s="3">
        <f>EUR!B1368/1</f>
        <v>1.1362000000000001</v>
      </c>
      <c r="G1368" s="3">
        <f>EUR!C1368/1</f>
        <v>1.1365000000000001</v>
      </c>
      <c r="H1368" s="3">
        <f>GBP!B1368/1</f>
        <v>1.5008999999999999</v>
      </c>
      <c r="I1368" s="3">
        <f>GBP!C1368/1</f>
        <v>1.5005999999999999</v>
      </c>
      <c r="J1368" s="4">
        <f>1/INR!B1368</f>
        <v>1.6278691193228063E-2</v>
      </c>
      <c r="K1368" s="4">
        <f>1/INR!C1368</f>
        <v>1.6173378618793467E-2</v>
      </c>
      <c r="L1368" s="4">
        <f>1/JPY!B1368</f>
        <v>8.4436638746284778E-3</v>
      </c>
      <c r="M1368" s="4">
        <f>1/JPY!C1368</f>
        <v>8.4460458147309174E-3</v>
      </c>
      <c r="N1368" s="5">
        <f>1/KRW!B1368</f>
        <v>9.2334824540749657E-4</v>
      </c>
      <c r="O1368" s="5">
        <f>1/KRW!C1368</f>
        <v>9.2332880717552049E-4</v>
      </c>
      <c r="P1368" s="3">
        <f>1/NOK!B1368</f>
        <v>0.1307531380753138</v>
      </c>
      <c r="Q1368" s="3">
        <f>1/NOK!C1368</f>
        <v>0.13063527936354494</v>
      </c>
      <c r="R1368" s="3">
        <f>NZD!B1368/1</f>
        <v>0.75119999999999998</v>
      </c>
      <c r="S1368" s="3">
        <f>NZD!C1368/1</f>
        <v>0.74890000000000001</v>
      </c>
      <c r="T1368" s="4">
        <f>1/PHP!B1368</f>
        <v>2.2655188038060714E-2</v>
      </c>
      <c r="U1368" s="4">
        <f>1/PHP!C1368</f>
        <v>2.2617168240067671E-2</v>
      </c>
      <c r="V1368" s="4">
        <f>1/TWD!B1368</f>
        <v>3.1932558436581937E-2</v>
      </c>
      <c r="W1368" s="4">
        <f>1/TWD!C1368</f>
        <v>3.1932558436581937E-2</v>
      </c>
      <c r="X1368" s="4">
        <f>1/TWD!B1368</f>
        <v>3.1932558436581937E-2</v>
      </c>
      <c r="Y1368" s="4">
        <f>1/TWD!C1368</f>
        <v>3.1932558436581937E-2</v>
      </c>
      <c r="Z1368" s="4">
        <f>1/ZAR!B1368</f>
        <v>8.7564140733086993E-2</v>
      </c>
      <c r="AA1368" s="4">
        <f>1/ZAR!C1368</f>
        <v>8.7139135056945427E-2</v>
      </c>
    </row>
    <row r="1369" spans="1:27" x14ac:dyDescent="0.25">
      <c r="A1369" t="str">
        <f>"27/01/2015"</f>
        <v>27/01/2015</v>
      </c>
      <c r="B1369" s="3">
        <f>AUD!B1369</f>
        <v>0.79430000000000001</v>
      </c>
      <c r="C1369" s="3">
        <f>AUD!C1369</f>
        <v>0.79269999999999996</v>
      </c>
      <c r="D1369" s="3">
        <f>1/CAD!B1369</f>
        <v>0.80096115338406093</v>
      </c>
      <c r="E1369" s="3">
        <f>1/CAD!C1369</f>
        <v>0.80057641501881349</v>
      </c>
      <c r="F1369" s="3">
        <f>EUR!B1369/1</f>
        <v>1.1243000000000001</v>
      </c>
      <c r="G1369" s="3">
        <f>EUR!C1369/1</f>
        <v>1.1246</v>
      </c>
      <c r="H1369" s="3">
        <f>GBP!B1369/1</f>
        <v>1.5099</v>
      </c>
      <c r="I1369" s="3">
        <f>GBP!C1369/1</f>
        <v>1.5096000000000001</v>
      </c>
      <c r="J1369" s="4">
        <f>1/INR!B1369</f>
        <v>1.6281341582546401E-2</v>
      </c>
      <c r="K1369" s="4">
        <f>1/INR!C1369</f>
        <v>1.6181229773462785E-2</v>
      </c>
      <c r="L1369" s="4">
        <f>1/JPY!B1369</f>
        <v>8.45508658008658E-3</v>
      </c>
      <c r="M1369" s="4">
        <f>1/JPY!C1369</f>
        <v>8.4574535114924111E-3</v>
      </c>
      <c r="N1369" s="5">
        <f>1/KRW!B1369</f>
        <v>9.2501375957967371E-4</v>
      </c>
      <c r="O1369" s="5">
        <f>1/KRW!C1369</f>
        <v>9.2499673244904258E-4</v>
      </c>
      <c r="P1369" s="3">
        <f>1/NOK!B1369</f>
        <v>0.12851653365205434</v>
      </c>
      <c r="Q1369" s="3">
        <f>1/NOK!C1369</f>
        <v>0.12840431952130871</v>
      </c>
      <c r="R1369" s="3">
        <f>NZD!B1369/1</f>
        <v>0.74360000000000004</v>
      </c>
      <c r="S1369" s="3">
        <f>NZD!C1369/1</f>
        <v>0.74139999999999995</v>
      </c>
      <c r="T1369" s="4">
        <f>1/PHP!B1369</f>
        <v>2.2639800769753225E-2</v>
      </c>
      <c r="U1369" s="4">
        <f>1/PHP!C1369</f>
        <v>2.2605613425925923E-2</v>
      </c>
      <c r="V1369" s="4">
        <f>1/TWD!B1369</f>
        <v>3.1977487848554621E-2</v>
      </c>
      <c r="W1369" s="4">
        <f>1/TWD!C1369</f>
        <v>3.1977385592908698E-2</v>
      </c>
      <c r="X1369" s="4">
        <f>1/TWD!B1369</f>
        <v>3.1977487848554621E-2</v>
      </c>
      <c r="Y1369" s="4">
        <f>1/TWD!C1369</f>
        <v>3.1977385592908698E-2</v>
      </c>
      <c r="Z1369" s="4">
        <f>1/ZAR!B1369</f>
        <v>8.7263080735802301E-2</v>
      </c>
      <c r="AA1369" s="4">
        <f>1/ZAR!C1369</f>
        <v>8.685380767092829E-2</v>
      </c>
    </row>
    <row r="1370" spans="1:27" x14ac:dyDescent="0.25">
      <c r="A1370" t="str">
        <f>"28/01/2015"</f>
        <v>28/01/2015</v>
      </c>
      <c r="B1370" s="3">
        <f>AUD!B1370</f>
        <v>0.79910000000000003</v>
      </c>
      <c r="C1370" s="3">
        <f>AUD!C1370</f>
        <v>0.79749999999999999</v>
      </c>
      <c r="D1370" s="3">
        <f>1/CAD!B1370</f>
        <v>0.80424642110342603</v>
      </c>
      <c r="E1370" s="3">
        <f>1/CAD!C1370</f>
        <v>0.80379390724218314</v>
      </c>
      <c r="F1370" s="3">
        <f>EUR!B1370/1</f>
        <v>1.1334</v>
      </c>
      <c r="G1370" s="3">
        <f>EUR!C1370/1</f>
        <v>1.1335999999999999</v>
      </c>
      <c r="H1370" s="3">
        <f>GBP!B1370/1</f>
        <v>1.5164</v>
      </c>
      <c r="I1370" s="3">
        <f>GBP!C1370/1</f>
        <v>1.5161</v>
      </c>
      <c r="J1370" s="4">
        <f>1/INR!B1370</f>
        <v>1.6261484673550698E-2</v>
      </c>
      <c r="K1370" s="4">
        <f>1/INR!C1370</f>
        <v>1.6172724699793795E-2</v>
      </c>
      <c r="L1370" s="4">
        <f>1/JPY!B1370</f>
        <v>8.463745545953907E-3</v>
      </c>
      <c r="M1370" s="4">
        <f>1/JPY!C1370</f>
        <v>8.4662463457564202E-3</v>
      </c>
      <c r="N1370" s="5">
        <f>1/KRW!B1370</f>
        <v>9.2110717081932472E-4</v>
      </c>
      <c r="O1370" s="5">
        <f>1/KRW!C1370</f>
        <v>9.2109266275085624E-4</v>
      </c>
      <c r="P1370" s="3">
        <f>1/NOK!B1370</f>
        <v>0.12864218177140282</v>
      </c>
      <c r="Q1370" s="3">
        <f>1/NOK!C1370</f>
        <v>0.12853305227439235</v>
      </c>
      <c r="R1370" s="3">
        <f>NZD!B1370/1</f>
        <v>0.74460000000000004</v>
      </c>
      <c r="S1370" s="3">
        <f>NZD!C1370/1</f>
        <v>0.74250000000000005</v>
      </c>
      <c r="T1370" s="4">
        <f>1/PHP!B1370</f>
        <v>2.2634676324128564E-2</v>
      </c>
      <c r="U1370" s="4">
        <f>1/PHP!C1370</f>
        <v>2.2603978300180832E-2</v>
      </c>
      <c r="V1370" s="4">
        <f>1/TWD!B1370</f>
        <v>3.2014342425406579E-2</v>
      </c>
      <c r="W1370" s="4">
        <f>1/TWD!C1370</f>
        <v>3.2014239933922606E-2</v>
      </c>
      <c r="X1370" s="4">
        <f>1/TWD!B1370</f>
        <v>3.2014342425406579E-2</v>
      </c>
      <c r="Y1370" s="4">
        <f>1/TWD!C1370</f>
        <v>3.2014239933922606E-2</v>
      </c>
      <c r="Z1370" s="4">
        <f>1/ZAR!B1370</f>
        <v>8.6290211238437109E-2</v>
      </c>
      <c r="AA1370" s="4">
        <f>1/ZAR!C1370</f>
        <v>8.5898107664688139E-2</v>
      </c>
    </row>
    <row r="1371" spans="1:27" x14ac:dyDescent="0.25">
      <c r="A1371" t="str">
        <f>"29/01/2015"</f>
        <v>29/01/2015</v>
      </c>
      <c r="B1371" s="3">
        <f>AUD!B1371</f>
        <v>0.78759999999999997</v>
      </c>
      <c r="C1371" s="3">
        <f>AUD!C1371</f>
        <v>0.78610000000000002</v>
      </c>
      <c r="D1371" s="3">
        <f>1/CAD!B1371</f>
        <v>0.79827572443521999</v>
      </c>
      <c r="E1371" s="3">
        <f>1/CAD!C1371</f>
        <v>0.79789356099896269</v>
      </c>
      <c r="F1371" s="3">
        <f>EUR!B1371/1</f>
        <v>1.1269</v>
      </c>
      <c r="G1371" s="3">
        <f>EUR!C1371/1</f>
        <v>1.1271</v>
      </c>
      <c r="H1371" s="3">
        <f>GBP!B1371/1</f>
        <v>1.5138</v>
      </c>
      <c r="I1371" s="3">
        <f>GBP!C1371/1</f>
        <v>1.5136000000000001</v>
      </c>
      <c r="J1371" s="4">
        <f>1/INR!B1371</f>
        <v>1.6257519102584946E-2</v>
      </c>
      <c r="K1371" s="4">
        <f>1/INR!C1371</f>
        <v>1.6161616161616162E-2</v>
      </c>
      <c r="L1371" s="4">
        <f>1/JPY!B1371</f>
        <v>8.4799660801356796E-3</v>
      </c>
      <c r="M1371" s="4">
        <f>1/JPY!C1371</f>
        <v>8.4823973290627293E-3</v>
      </c>
      <c r="N1371" s="5">
        <f>1/KRW!B1371</f>
        <v>9.1413945197339861E-4</v>
      </c>
      <c r="O1371" s="5">
        <f>1/KRW!C1371</f>
        <v>9.1412507900326E-4</v>
      </c>
      <c r="P1371" s="3">
        <f>1/NOK!B1371</f>
        <v>0.12759170653907495</v>
      </c>
      <c r="Q1371" s="3">
        <f>1/NOK!C1371</f>
        <v>0.1274811009267876</v>
      </c>
      <c r="R1371" s="3">
        <f>NZD!B1371/1</f>
        <v>0.73240000000000005</v>
      </c>
      <c r="S1371" s="3">
        <f>NZD!C1371/1</f>
        <v>0.73029999999999995</v>
      </c>
      <c r="T1371" s="4">
        <f>1/PHP!B1371</f>
        <v>2.2642363862787274E-2</v>
      </c>
      <c r="U1371" s="4">
        <f>1/PHP!C1371</f>
        <v>2.2613894881571034E-2</v>
      </c>
      <c r="V1371" s="4">
        <f>1/TWD!B1371</f>
        <v>3.1785385079940248E-2</v>
      </c>
      <c r="W1371" s="4">
        <f>1/TWD!C1371</f>
        <v>3.1785385079940248E-2</v>
      </c>
      <c r="X1371" s="4">
        <f>1/TWD!B1371</f>
        <v>3.1785385079940248E-2</v>
      </c>
      <c r="Y1371" s="4">
        <f>1/TWD!C1371</f>
        <v>3.1785385079940248E-2</v>
      </c>
      <c r="Z1371" s="4">
        <f>1/ZAR!B1371</f>
        <v>8.6274577470256839E-2</v>
      </c>
      <c r="AA1371" s="4">
        <f>1/ZAR!C1371</f>
        <v>8.5895156372132186E-2</v>
      </c>
    </row>
    <row r="1372" spans="1:27" x14ac:dyDescent="0.25">
      <c r="A1372" t="str">
        <f>"30/01/2015"</f>
        <v>30/01/2015</v>
      </c>
      <c r="B1372" s="3">
        <f>AUD!B1372</f>
        <v>0.77849999999999997</v>
      </c>
      <c r="C1372" s="3">
        <f>AUD!C1372</f>
        <v>0.77710000000000001</v>
      </c>
      <c r="D1372" s="3">
        <f>1/CAD!B1372</f>
        <v>0.79189103579347486</v>
      </c>
      <c r="E1372" s="3">
        <f>1/CAD!C1372</f>
        <v>0.79157761418507078</v>
      </c>
      <c r="F1372" s="3">
        <f>EUR!B1372/1</f>
        <v>1.1324000000000001</v>
      </c>
      <c r="G1372" s="3">
        <f>EUR!C1372/1</f>
        <v>1.1326000000000001</v>
      </c>
      <c r="H1372" s="3">
        <f>GBP!B1372/1</f>
        <v>1.5074000000000001</v>
      </c>
      <c r="I1372" s="3">
        <f>GBP!C1372/1</f>
        <v>1.5071000000000001</v>
      </c>
      <c r="J1372" s="4">
        <f>1/INR!B1372</f>
        <v>1.6184503338053813E-2</v>
      </c>
      <c r="K1372" s="4">
        <f>1/INR!C1372</f>
        <v>1.6088810232483309E-2</v>
      </c>
      <c r="L1372" s="4">
        <f>1/JPY!B1372</f>
        <v>8.474289007152299E-3</v>
      </c>
      <c r="M1372" s="4">
        <f>1/JPY!C1372</f>
        <v>8.4765229980783719E-3</v>
      </c>
      <c r="N1372" s="5">
        <f>1/KRW!B1372</f>
        <v>9.1201349779976748E-4</v>
      </c>
      <c r="O1372" s="5">
        <f>1/KRW!C1372</f>
        <v>9.1200018969603942E-4</v>
      </c>
      <c r="P1372" s="3">
        <f>1/NOK!B1372</f>
        <v>0.12754776663860615</v>
      </c>
      <c r="Q1372" s="3">
        <f>1/NOK!C1372</f>
        <v>0.12743886120633627</v>
      </c>
      <c r="R1372" s="3">
        <f>NZD!B1372/1</f>
        <v>0.72850000000000004</v>
      </c>
      <c r="S1372" s="3">
        <f>NZD!C1372/1</f>
        <v>0.72640000000000005</v>
      </c>
      <c r="T1372" s="4">
        <f>1/PHP!B1372</f>
        <v>2.2683452421458545E-2</v>
      </c>
      <c r="U1372" s="4">
        <f>1/PHP!C1372</f>
        <v>2.26552393639315E-2</v>
      </c>
      <c r="V1372" s="4">
        <f>1/TWD!B1372</f>
        <v>3.1707278405758044E-2</v>
      </c>
      <c r="W1372" s="4">
        <f>1/TWD!C1372</f>
        <v>3.1707177870926424E-2</v>
      </c>
      <c r="X1372" s="4">
        <f>1/TWD!B1372</f>
        <v>3.1707278405758044E-2</v>
      </c>
      <c r="Y1372" s="4">
        <f>1/TWD!C1372</f>
        <v>3.1707177870926424E-2</v>
      </c>
      <c r="Z1372" s="4">
        <f>1/ZAR!B1372</f>
        <v>8.6530640499800984E-2</v>
      </c>
      <c r="AA1372" s="4">
        <f>1/ZAR!C1372</f>
        <v>8.6142289834348365E-2</v>
      </c>
    </row>
    <row r="1373" spans="1:27" x14ac:dyDescent="0.25">
      <c r="A1373" t="str">
        <f>"02/02/2015"</f>
        <v>02/02/2015</v>
      </c>
      <c r="B1373" s="3">
        <f>AUD!B1373</f>
        <v>0.77700000000000002</v>
      </c>
      <c r="C1373" s="3">
        <f>AUD!C1373</f>
        <v>0.77549999999999997</v>
      </c>
      <c r="D1373" s="3">
        <f>1/CAD!B1373</f>
        <v>0.78499097260381501</v>
      </c>
      <c r="E1373" s="3">
        <f>1/CAD!C1373</f>
        <v>0.78468298807281855</v>
      </c>
      <c r="F1373" s="3">
        <f>EUR!B1373/1</f>
        <v>1.1311</v>
      </c>
      <c r="G1373" s="3">
        <f>EUR!C1373/1</f>
        <v>1.1314</v>
      </c>
      <c r="H1373" s="3">
        <f>GBP!B1373/1</f>
        <v>1.5081</v>
      </c>
      <c r="I1373" s="3">
        <f>GBP!C1373/1</f>
        <v>1.5078</v>
      </c>
      <c r="J1373" s="4">
        <f>1/INR!B1373</f>
        <v>1.6154436412099672E-2</v>
      </c>
      <c r="K1373" s="4">
        <f>1/INR!C1373</f>
        <v>1.6058452768075795E-2</v>
      </c>
      <c r="L1373" s="4">
        <f>1/JPY!B1373</f>
        <v>8.4896850326852871E-3</v>
      </c>
      <c r="M1373" s="4">
        <f>1/JPY!C1373</f>
        <v>8.4919920514954401E-3</v>
      </c>
      <c r="N1373" s="5">
        <f>1/KRW!B1373</f>
        <v>9.0801779714882417E-4</v>
      </c>
      <c r="O1373" s="5">
        <f>1/KRW!C1373</f>
        <v>9.0800460539935859E-4</v>
      </c>
      <c r="P1373" s="3">
        <f>1/NOK!B1373</f>
        <v>0.12918561389003722</v>
      </c>
      <c r="Q1373" s="3">
        <f>1/NOK!C1373</f>
        <v>0.12907889301941347</v>
      </c>
      <c r="R1373" s="3">
        <f>NZD!B1373/1</f>
        <v>0.72689999999999999</v>
      </c>
      <c r="S1373" s="3">
        <f>NZD!C1373/1</f>
        <v>0.7248</v>
      </c>
      <c r="T1373" s="4">
        <f>1/PHP!B1373</f>
        <v>2.2619316896629722E-2</v>
      </c>
      <c r="U1373" s="4">
        <f>1/PHP!C1373</f>
        <v>2.2588252301742908E-2</v>
      </c>
      <c r="V1373" s="4">
        <f>1/TWD!B1373</f>
        <v>3.153280988868918E-2</v>
      </c>
      <c r="W1373" s="4">
        <f>1/TWD!C1373</f>
        <v>3.153280988868918E-2</v>
      </c>
      <c r="X1373" s="4">
        <f>1/TWD!B1373</f>
        <v>3.153280988868918E-2</v>
      </c>
      <c r="Y1373" s="4">
        <f>1/TWD!C1373</f>
        <v>3.153280988868918E-2</v>
      </c>
      <c r="Z1373" s="4">
        <f>1/ZAR!B1373</f>
        <v>8.6014106313435409E-2</v>
      </c>
      <c r="AA1373" s="4">
        <f>1/ZAR!C1373</f>
        <v>8.5629634703978344E-2</v>
      </c>
    </row>
    <row r="1374" spans="1:27" x14ac:dyDescent="0.25">
      <c r="A1374" t="str">
        <f>"03/02/2015"</f>
        <v>03/02/2015</v>
      </c>
      <c r="B1374" s="3">
        <f>AUD!B1374</f>
        <v>0.76590000000000003</v>
      </c>
      <c r="C1374" s="3">
        <f>AUD!C1374</f>
        <v>0.76459999999999995</v>
      </c>
      <c r="D1374" s="3">
        <f>1/CAD!B1374</f>
        <v>0.79151495963273699</v>
      </c>
      <c r="E1374" s="3">
        <f>1/CAD!C1374</f>
        <v>0.79113924050632911</v>
      </c>
      <c r="F1374" s="3">
        <f>EUR!B1374/1</f>
        <v>1.1325000000000001</v>
      </c>
      <c r="G1374" s="3">
        <f>EUR!C1374/1</f>
        <v>1.1328</v>
      </c>
      <c r="H1374" s="3">
        <f>GBP!B1374/1</f>
        <v>1.5021</v>
      </c>
      <c r="I1374" s="3">
        <f>GBP!C1374/1</f>
        <v>1.5018</v>
      </c>
      <c r="J1374" s="4">
        <f>1/INR!B1374</f>
        <v>1.6220600162206E-2</v>
      </c>
      <c r="K1374" s="4">
        <f>1/INR!C1374</f>
        <v>1.6125131016689512E-2</v>
      </c>
      <c r="L1374" s="4">
        <f>1/JPY!B1374</f>
        <v>8.5432845511785455E-3</v>
      </c>
      <c r="M1374" s="4">
        <f>1/JPY!C1374</f>
        <v>8.5455696775842017E-3</v>
      </c>
      <c r="N1374" s="5">
        <f>1/KRW!B1374</f>
        <v>9.0925622840516457E-4</v>
      </c>
      <c r="O1374" s="5">
        <f>1/KRW!C1374</f>
        <v>9.0924217392529853E-4</v>
      </c>
      <c r="P1374" s="3">
        <f>1/NOK!B1374</f>
        <v>0.13050741282104825</v>
      </c>
      <c r="Q1374" s="3">
        <f>1/NOK!C1374</f>
        <v>0.13039679745465452</v>
      </c>
      <c r="R1374" s="3">
        <f>NZD!B1374/1</f>
        <v>0.72030000000000005</v>
      </c>
      <c r="S1374" s="3">
        <f>NZD!C1374/1</f>
        <v>0.71830000000000005</v>
      </c>
      <c r="T1374" s="4">
        <f>1/PHP!B1374</f>
        <v>2.2675736961451247E-2</v>
      </c>
      <c r="U1374" s="4">
        <f>1/PHP!C1374</f>
        <v>2.2648107297673137E-2</v>
      </c>
      <c r="V1374" s="4">
        <f>1/TWD!B1374</f>
        <v>3.1653583185616611E-2</v>
      </c>
      <c r="W1374" s="4">
        <f>1/TWD!C1374</f>
        <v>3.1653583185616611E-2</v>
      </c>
      <c r="X1374" s="4">
        <f>1/TWD!B1374</f>
        <v>3.1653583185616611E-2</v>
      </c>
      <c r="Y1374" s="4">
        <f>1/TWD!C1374</f>
        <v>3.1653583185616611E-2</v>
      </c>
      <c r="Z1374" s="4">
        <f>1/ZAR!B1374</f>
        <v>8.6640847694053835E-2</v>
      </c>
      <c r="AA1374" s="4">
        <f>1/ZAR!C1374</f>
        <v>8.6249277662299575E-2</v>
      </c>
    </row>
    <row r="1375" spans="1:27" x14ac:dyDescent="0.25">
      <c r="A1375" t="str">
        <f>"04/02/2015"</f>
        <v>04/02/2015</v>
      </c>
      <c r="B1375" s="3">
        <f>AUD!B1375</f>
        <v>0.78149999999999997</v>
      </c>
      <c r="C1375" s="3">
        <f>AUD!C1375</f>
        <v>0.7802</v>
      </c>
      <c r="D1375" s="3">
        <f>1/CAD!B1375</f>
        <v>0.80580177276389997</v>
      </c>
      <c r="E1375" s="3">
        <f>1/CAD!C1375</f>
        <v>0.80547724526782116</v>
      </c>
      <c r="F1375" s="3">
        <f>EUR!B1375/1</f>
        <v>1.147</v>
      </c>
      <c r="G1375" s="3">
        <f>EUR!C1375/1</f>
        <v>1.1472</v>
      </c>
      <c r="H1375" s="3">
        <f>GBP!B1375/1</f>
        <v>1.5161</v>
      </c>
      <c r="I1375" s="3">
        <f>GBP!C1375/1</f>
        <v>1.5158</v>
      </c>
      <c r="J1375" s="4">
        <f>1/INR!B1375</f>
        <v>1.6226522250618637E-2</v>
      </c>
      <c r="K1375" s="4">
        <f>1/INR!C1375</f>
        <v>1.6117334192924489E-2</v>
      </c>
      <c r="L1375" s="4">
        <f>1/JPY!B1375</f>
        <v>8.4875233406891872E-3</v>
      </c>
      <c r="M1375" s="4">
        <f>1/JPY!C1375</f>
        <v>8.4896994476601536E-3</v>
      </c>
      <c r="N1375" s="5">
        <f>1/KRW!B1375</f>
        <v>9.1920213254894744E-4</v>
      </c>
      <c r="O1375" s="5">
        <f>1/KRW!C1375</f>
        <v>9.1918734646698847E-4</v>
      </c>
      <c r="P1375" s="3">
        <f>1/NOK!B1375</f>
        <v>0.1326488651889583</v>
      </c>
      <c r="Q1375" s="3">
        <f>1/NOK!C1375</f>
        <v>0.13253634809346465</v>
      </c>
      <c r="R1375" s="3">
        <f>NZD!B1375/1</f>
        <v>0.74099999999999999</v>
      </c>
      <c r="S1375" s="3">
        <f>NZD!C1375/1</f>
        <v>0.73899999999999999</v>
      </c>
      <c r="T1375" s="4">
        <f>1/PHP!B1375</f>
        <v>2.2704052673402201E-2</v>
      </c>
      <c r="U1375" s="4">
        <f>1/PHP!C1375</f>
        <v>2.2674708629994107E-2</v>
      </c>
      <c r="V1375" s="4">
        <f>1/TWD!B1375</f>
        <v>3.1819266565905654E-2</v>
      </c>
      <c r="W1375" s="4">
        <f>1/TWD!C1375</f>
        <v>3.1819266565905654E-2</v>
      </c>
      <c r="X1375" s="4">
        <f>1/TWD!B1375</f>
        <v>3.1819266565905654E-2</v>
      </c>
      <c r="Y1375" s="4">
        <f>1/TWD!C1375</f>
        <v>3.1819266565905654E-2</v>
      </c>
      <c r="Z1375" s="4">
        <f>1/ZAR!B1375</f>
        <v>8.7902814648125022E-2</v>
      </c>
      <c r="AA1375" s="4">
        <f>1/ZAR!C1375</f>
        <v>8.7502843842424877E-2</v>
      </c>
    </row>
    <row r="1376" spans="1:27" x14ac:dyDescent="0.25">
      <c r="A1376" t="str">
        <f>"05/02/2015"</f>
        <v>05/02/2015</v>
      </c>
      <c r="B1376" s="3">
        <f>AUD!B1376</f>
        <v>0.77780000000000005</v>
      </c>
      <c r="C1376" s="3">
        <f>AUD!C1376</f>
        <v>0.77639999999999998</v>
      </c>
      <c r="D1376" s="3">
        <f>1/CAD!B1376</f>
        <v>0.79681274900398413</v>
      </c>
      <c r="E1376" s="3">
        <f>1/CAD!C1376</f>
        <v>0.79643198470850585</v>
      </c>
      <c r="F1376" s="3">
        <f>EUR!B1376/1</f>
        <v>1.1355</v>
      </c>
      <c r="G1376" s="3">
        <f>EUR!C1376/1</f>
        <v>1.1357999999999999</v>
      </c>
      <c r="H1376" s="3">
        <f>GBP!B1376/1</f>
        <v>1.5207999999999999</v>
      </c>
      <c r="I1376" s="3">
        <f>GBP!C1376/1</f>
        <v>1.5204</v>
      </c>
      <c r="J1376" s="4">
        <f>1/INR!B1376</f>
        <v>1.6175340693113348E-2</v>
      </c>
      <c r="K1376" s="4">
        <f>1/INR!C1376</f>
        <v>1.607717041800643E-2</v>
      </c>
      <c r="L1376" s="4">
        <f>1/JPY!B1376</f>
        <v>8.523695874531197E-3</v>
      </c>
      <c r="M1376" s="4">
        <f>1/JPY!C1376</f>
        <v>8.5258978409868905E-3</v>
      </c>
      <c r="N1376" s="5">
        <f>1/KRW!B1376</f>
        <v>9.1826099732326906E-4</v>
      </c>
      <c r="O1376" s="5">
        <f>1/KRW!C1376</f>
        <v>9.1824666309162637E-4</v>
      </c>
      <c r="P1376" s="3">
        <f>1/NOK!B1376</f>
        <v>0.13159626266614027</v>
      </c>
      <c r="Q1376" s="3">
        <f>1/NOK!C1376</f>
        <v>0.13148552344386882</v>
      </c>
      <c r="R1376" s="3">
        <f>NZD!B1376/1</f>
        <v>0.73770000000000002</v>
      </c>
      <c r="S1376" s="3">
        <f>NZD!C1376/1</f>
        <v>0.73560000000000003</v>
      </c>
      <c r="T1376" s="4">
        <f>1/PHP!B1376</f>
        <v>2.2659038123831642E-2</v>
      </c>
      <c r="U1376" s="4">
        <f>1/PHP!C1376</f>
        <v>2.262192652850702E-2</v>
      </c>
      <c r="V1376" s="4">
        <f>1/TWD!B1376</f>
        <v>3.1811674884682679E-2</v>
      </c>
      <c r="W1376" s="4">
        <f>1/TWD!C1376</f>
        <v>3.1811674884682679E-2</v>
      </c>
      <c r="X1376" s="4">
        <f>1/TWD!B1376</f>
        <v>3.1811674884682679E-2</v>
      </c>
      <c r="Y1376" s="4">
        <f>1/TWD!C1376</f>
        <v>3.1811674884682679E-2</v>
      </c>
      <c r="Z1376" s="4">
        <f>1/ZAR!B1376</f>
        <v>8.7112566858895069E-2</v>
      </c>
      <c r="AA1376" s="4">
        <f>1/ZAR!C1376</f>
        <v>8.6710715710247466E-2</v>
      </c>
    </row>
    <row r="1377" spans="1:27" x14ac:dyDescent="0.25">
      <c r="A1377" t="str">
        <f>"06/02/2015"</f>
        <v>06/02/2015</v>
      </c>
      <c r="B1377" s="3">
        <f>AUD!B1377</f>
        <v>0.78269999999999995</v>
      </c>
      <c r="C1377" s="3">
        <f>AUD!C1377</f>
        <v>0.78129999999999999</v>
      </c>
      <c r="D1377" s="3">
        <f>1/CAD!B1377</f>
        <v>0.80398777938575328</v>
      </c>
      <c r="E1377" s="3">
        <f>1/CAD!C1377</f>
        <v>0.80366471108253634</v>
      </c>
      <c r="F1377" s="3">
        <f>EUR!B1377/1</f>
        <v>1.1469</v>
      </c>
      <c r="G1377" s="3">
        <f>EUR!C1377/1</f>
        <v>1.1471</v>
      </c>
      <c r="H1377" s="3">
        <f>GBP!B1377/1</f>
        <v>1.5335000000000001</v>
      </c>
      <c r="I1377" s="3">
        <f>GBP!C1377/1</f>
        <v>1.5331999999999999</v>
      </c>
      <c r="J1377" s="4">
        <f>1/INR!B1377</f>
        <v>1.6200234903406101E-2</v>
      </c>
      <c r="K1377" s="4">
        <f>1/INR!C1377</f>
        <v>1.6101763143064166E-2</v>
      </c>
      <c r="L1377" s="4">
        <f>1/JPY!B1377</f>
        <v>8.5240591569705499E-3</v>
      </c>
      <c r="M1377" s="4">
        <f>1/JPY!C1377</f>
        <v>8.5263121994474944E-3</v>
      </c>
      <c r="N1377" s="5">
        <f>1/KRW!B1377</f>
        <v>9.1933734164414288E-4</v>
      </c>
      <c r="O1377" s="5">
        <f>1/KRW!C1377</f>
        <v>9.1931807191788508E-4</v>
      </c>
      <c r="P1377" s="3">
        <f>1/NOK!B1377</f>
        <v>0.13296811424620375</v>
      </c>
      <c r="Q1377" s="3">
        <f>1/NOK!C1377</f>
        <v>0.13285152513550857</v>
      </c>
      <c r="R1377" s="3">
        <f>NZD!B1377/1</f>
        <v>0.74250000000000005</v>
      </c>
      <c r="S1377" s="3">
        <f>NZD!C1377/1</f>
        <v>0.74050000000000005</v>
      </c>
      <c r="T1377" s="4">
        <f>1/PHP!B1377</f>
        <v>2.2634676324128564E-2</v>
      </c>
      <c r="U1377" s="4">
        <f>1/PHP!C1377</f>
        <v>2.2594887228917841E-2</v>
      </c>
      <c r="V1377" s="4">
        <f>1/TWD!B1377</f>
        <v>3.182078533698212E-2</v>
      </c>
      <c r="W1377" s="4">
        <f>1/TWD!C1377</f>
        <v>3.182078533698212E-2</v>
      </c>
      <c r="X1377" s="4">
        <f>1/TWD!B1377</f>
        <v>3.182078533698212E-2</v>
      </c>
      <c r="Y1377" s="4">
        <f>1/TWD!C1377</f>
        <v>3.182078533698212E-2</v>
      </c>
      <c r="Z1377" s="4">
        <f>1/ZAR!B1377</f>
        <v>8.8404823367162905E-2</v>
      </c>
      <c r="AA1377" s="4">
        <f>1/ZAR!C1377</f>
        <v>8.8001056012672149E-2</v>
      </c>
    </row>
    <row r="1378" spans="1:27" x14ac:dyDescent="0.25">
      <c r="A1378" t="str">
        <f>"09/02/2015"</f>
        <v>09/02/2015</v>
      </c>
      <c r="B1378" s="3">
        <f>AUD!B1378</f>
        <v>0.77669999999999995</v>
      </c>
      <c r="C1378" s="3">
        <f>AUD!C1378</f>
        <v>0.77529999999999999</v>
      </c>
      <c r="D1378" s="3">
        <f>1/CAD!B1378</f>
        <v>0.79936051159072752</v>
      </c>
      <c r="E1378" s="3">
        <f>1/CAD!C1378</f>
        <v>0.7989773090444231</v>
      </c>
      <c r="F1378" s="3">
        <f>EUR!B1378/1</f>
        <v>1.1334</v>
      </c>
      <c r="G1378" s="3">
        <f>EUR!C1378/1</f>
        <v>1.1336999999999999</v>
      </c>
      <c r="H1378" s="3">
        <f>GBP!B1378/1</f>
        <v>1.5258</v>
      </c>
      <c r="I1378" s="3">
        <f>GBP!C1378/1</f>
        <v>1.5255000000000001</v>
      </c>
      <c r="J1378" s="4">
        <f>1/INR!B1378</f>
        <v>1.6101763143064166E-2</v>
      </c>
      <c r="K1378" s="4">
        <f>1/INR!C1378</f>
        <v>1.6004481254751329E-2</v>
      </c>
      <c r="L1378" s="4">
        <f>1/JPY!B1378</f>
        <v>8.4125515268781027E-3</v>
      </c>
      <c r="M1378" s="4">
        <f>1/JPY!C1378</f>
        <v>8.4147955667491035E-3</v>
      </c>
      <c r="N1378" s="5">
        <f>1/KRW!B1378</f>
        <v>9.1186796151917192E-4</v>
      </c>
      <c r="O1378" s="5">
        <f>1/KRW!C1378</f>
        <v>9.1184883734713991E-4</v>
      </c>
      <c r="P1378" s="3">
        <f>1/NOK!B1378</f>
        <v>0.13133011136793443</v>
      </c>
      <c r="Q1378" s="3">
        <f>1/NOK!C1378</f>
        <v>0.13122154132822444</v>
      </c>
      <c r="R1378" s="3">
        <f>NZD!B1378/1</f>
        <v>0.73699999999999999</v>
      </c>
      <c r="S1378" s="3">
        <f>NZD!C1378/1</f>
        <v>0.73499999999999999</v>
      </c>
      <c r="T1378" s="4">
        <f>1/PHP!B1378</f>
        <v>2.2577185753795789E-2</v>
      </c>
      <c r="U1378" s="4">
        <f>1/PHP!C1378</f>
        <v>2.253658250755539E-2</v>
      </c>
      <c r="V1378" s="4">
        <f>1/TWD!B1378</f>
        <v>3.17148203355428E-2</v>
      </c>
      <c r="W1378" s="4">
        <f>1/TWD!C1378</f>
        <v>3.17148203355428E-2</v>
      </c>
      <c r="X1378" s="4">
        <f>1/TWD!B1378</f>
        <v>3.17148203355428E-2</v>
      </c>
      <c r="Y1378" s="4">
        <f>1/TWD!C1378</f>
        <v>3.17148203355428E-2</v>
      </c>
      <c r="Z1378" s="4">
        <f>1/ZAR!B1378</f>
        <v>8.6831936786350011E-2</v>
      </c>
      <c r="AA1378" s="4">
        <f>1/ZAR!C1378</f>
        <v>8.6438641530309709E-2</v>
      </c>
    </row>
    <row r="1379" spans="1:27" x14ac:dyDescent="0.25">
      <c r="A1379" t="str">
        <f>"10/02/2015"</f>
        <v>10/02/2015</v>
      </c>
      <c r="B1379" s="3">
        <f>AUD!B1379</f>
        <v>0.78290000000000004</v>
      </c>
      <c r="C1379" s="3">
        <f>AUD!C1379</f>
        <v>0.78149999999999997</v>
      </c>
      <c r="D1379" s="3">
        <f>1/CAD!B1379</f>
        <v>0.8026326350429408</v>
      </c>
      <c r="E1379" s="3">
        <f>1/CAD!C1379</f>
        <v>0.80231065468549423</v>
      </c>
      <c r="F1379" s="3">
        <f>EUR!B1379/1</f>
        <v>1.1335</v>
      </c>
      <c r="G1379" s="3">
        <f>EUR!C1379/1</f>
        <v>1.1337999999999999</v>
      </c>
      <c r="H1379" s="3">
        <f>GBP!B1379/1</f>
        <v>1.5242</v>
      </c>
      <c r="I1379" s="3">
        <f>GBP!C1379/1</f>
        <v>1.5238</v>
      </c>
      <c r="J1379" s="4">
        <f>1/INR!B1379</f>
        <v>1.6135538523598225E-2</v>
      </c>
      <c r="K1379" s="4">
        <f>1/INR!C1379</f>
        <v>1.6039135490597059E-2</v>
      </c>
      <c r="L1379" s="4">
        <f>1/JPY!B1379</f>
        <v>8.4408842670358145E-3</v>
      </c>
      <c r="M1379" s="4">
        <f>1/JPY!C1379</f>
        <v>8.4431648359070913E-3</v>
      </c>
      <c r="N1379" s="5">
        <f>1/KRW!B1379</f>
        <v>9.1717875813996156E-4</v>
      </c>
      <c r="O1379" s="5">
        <f>1/KRW!C1379</f>
        <v>9.1715898996949077E-4</v>
      </c>
      <c r="P1379" s="3">
        <f>1/NOK!B1379</f>
        <v>0.13163090693694879</v>
      </c>
      <c r="Q1379" s="3">
        <f>1/NOK!C1379</f>
        <v>0.13151837969356217</v>
      </c>
      <c r="R1379" s="3">
        <f>NZD!B1379/1</f>
        <v>0.74319999999999997</v>
      </c>
      <c r="S1379" s="3">
        <f>NZD!C1379/1</f>
        <v>0.74109999999999998</v>
      </c>
      <c r="T1379" s="4">
        <f>1/PHP!B1379</f>
        <v>2.2545372562281594E-2</v>
      </c>
      <c r="U1379" s="4">
        <f>1/PHP!C1379</f>
        <v>2.2504275812404356E-2</v>
      </c>
      <c r="V1379" s="4">
        <f>1/TWD!B1379</f>
        <v>3.1768219073638727E-2</v>
      </c>
      <c r="W1379" s="4">
        <f>1/TWD!C1379</f>
        <v>3.1768219073638727E-2</v>
      </c>
      <c r="X1379" s="4">
        <f>1/TWD!B1379</f>
        <v>3.1768219073638727E-2</v>
      </c>
      <c r="Y1379" s="4">
        <f>1/TWD!C1379</f>
        <v>3.1768219073638727E-2</v>
      </c>
      <c r="Z1379" s="4">
        <f>1/ZAR!B1379</f>
        <v>8.6242583137850146E-2</v>
      </c>
      <c r="AA1379" s="4">
        <f>1/ZAR!C1379</f>
        <v>8.5847963257071724E-2</v>
      </c>
    </row>
    <row r="1380" spans="1:27" x14ac:dyDescent="0.25">
      <c r="A1380" t="str">
        <f>"11/02/2015"</f>
        <v>11/02/2015</v>
      </c>
      <c r="B1380" s="3">
        <f>AUD!B1380</f>
        <v>0.77659999999999996</v>
      </c>
      <c r="C1380" s="3">
        <f>AUD!C1380</f>
        <v>0.7752</v>
      </c>
      <c r="D1380" s="3">
        <f>1/CAD!B1380</f>
        <v>0.79434426880610065</v>
      </c>
      <c r="E1380" s="3">
        <f>1/CAD!C1380</f>
        <v>0.7940289026520565</v>
      </c>
      <c r="F1380" s="3">
        <f>EUR!B1380/1</f>
        <v>1.1316999999999999</v>
      </c>
      <c r="G1380" s="3">
        <f>EUR!C1380/1</f>
        <v>1.1319999999999999</v>
      </c>
      <c r="H1380" s="3">
        <f>GBP!B1380/1</f>
        <v>1.5242</v>
      </c>
      <c r="I1380" s="3">
        <f>GBP!C1380/1</f>
        <v>1.5239</v>
      </c>
      <c r="J1380" s="4">
        <f>1/INR!B1380</f>
        <v>1.6064257028112448E-2</v>
      </c>
      <c r="K1380" s="4">
        <f>1/INR!C1380</f>
        <v>1.5966789078716268E-2</v>
      </c>
      <c r="L1380" s="4">
        <f>1/JPY!B1380</f>
        <v>8.357779839363472E-3</v>
      </c>
      <c r="M1380" s="4">
        <f>1/JPY!C1380</f>
        <v>8.360001738880362E-3</v>
      </c>
      <c r="N1380" s="5">
        <f>1/KRW!B1380</f>
        <v>9.1182638825567611E-4</v>
      </c>
      <c r="O1380" s="5">
        <f>1/KRW!C1380</f>
        <v>9.1181266991059219E-4</v>
      </c>
      <c r="P1380" s="3">
        <f>1/NOK!B1380</f>
        <v>0.1318061395299793</v>
      </c>
      <c r="Q1380" s="3">
        <f>1/NOK!C1380</f>
        <v>0.13169851575772742</v>
      </c>
      <c r="R1380" s="3">
        <f>NZD!B1380/1</f>
        <v>0.74170000000000003</v>
      </c>
      <c r="S1380" s="3">
        <f>NZD!C1380/1</f>
        <v>0.73970000000000002</v>
      </c>
      <c r="T1380" s="4">
        <f>1/PHP!B1380</f>
        <v>2.2544101899340585E-2</v>
      </c>
      <c r="U1380" s="4">
        <f>1/PHP!C1380</f>
        <v>2.2501743885151099E-2</v>
      </c>
      <c r="V1380" s="4">
        <f>1/TWD!B1380</f>
        <v>3.1736964042019741E-2</v>
      </c>
      <c r="W1380" s="4">
        <f>1/TWD!C1380</f>
        <v>3.1736964042019741E-2</v>
      </c>
      <c r="X1380" s="4">
        <f>1/TWD!B1380</f>
        <v>3.1736964042019741E-2</v>
      </c>
      <c r="Y1380" s="4">
        <f>1/TWD!C1380</f>
        <v>3.1736964042019741E-2</v>
      </c>
      <c r="Z1380" s="4">
        <f>1/ZAR!B1380</f>
        <v>8.562083668681611E-2</v>
      </c>
      <c r="AA1380" s="4">
        <f>1/ZAR!C1380</f>
        <v>8.5233326230556142E-2</v>
      </c>
    </row>
    <row r="1381" spans="1:27" x14ac:dyDescent="0.25">
      <c r="A1381" t="str">
        <f>"12/02/2015"</f>
        <v>12/02/2015</v>
      </c>
      <c r="B1381" s="3">
        <f>AUD!B1381</f>
        <v>0.76570000000000005</v>
      </c>
      <c r="C1381" s="3">
        <f>AUD!C1381</f>
        <v>0.76439999999999997</v>
      </c>
      <c r="D1381" s="3">
        <f>1/CAD!B1381</f>
        <v>0.79126444057604051</v>
      </c>
      <c r="E1381" s="3">
        <f>1/CAD!C1381</f>
        <v>0.79095151467215064</v>
      </c>
      <c r="F1381" s="3">
        <f>EUR!B1381/1</f>
        <v>1.1312</v>
      </c>
      <c r="G1381" s="3">
        <f>EUR!C1381/1</f>
        <v>1.1315</v>
      </c>
      <c r="H1381" s="3">
        <f>GBP!B1381/1</f>
        <v>1.522</v>
      </c>
      <c r="I1381" s="3">
        <f>GBP!C1381/1</f>
        <v>1.5217000000000001</v>
      </c>
      <c r="J1381" s="4">
        <f>1/INR!B1381</f>
        <v>1.6030779095864058E-2</v>
      </c>
      <c r="K1381" s="4">
        <f>1/INR!C1381</f>
        <v>1.5934350476038719E-2</v>
      </c>
      <c r="L1381" s="4">
        <f>1/JPY!B1381</f>
        <v>8.3164232726788863E-3</v>
      </c>
      <c r="M1381" s="4">
        <f>1/JPY!C1381</f>
        <v>8.3184502394465908E-3</v>
      </c>
      <c r="N1381" s="5">
        <f>1/KRW!B1381</f>
        <v>9.015506671474937E-4</v>
      </c>
      <c r="O1381" s="5">
        <f>1/KRW!C1381</f>
        <v>9.0153766263739439E-4</v>
      </c>
      <c r="P1381" s="3">
        <f>1/NOK!B1381</f>
        <v>0.13055682485801945</v>
      </c>
      <c r="Q1381" s="3">
        <f>1/NOK!C1381</f>
        <v>0.13044952907720003</v>
      </c>
      <c r="R1381" s="3">
        <f>NZD!B1381/1</f>
        <v>0.73360000000000003</v>
      </c>
      <c r="S1381" s="3">
        <f>NZD!C1381/1</f>
        <v>0.73160000000000003</v>
      </c>
      <c r="T1381" s="4">
        <f>1/PHP!B1381</f>
        <v>2.2507314877335136E-2</v>
      </c>
      <c r="U1381" s="4">
        <f>1/PHP!C1381</f>
        <v>2.2466558527631623E-2</v>
      </c>
      <c r="V1381" s="4">
        <f>1/TWD!B1381</f>
        <v>3.1648574231730862E-2</v>
      </c>
      <c r="W1381" s="4">
        <f>1/TWD!C1381</f>
        <v>3.1648574231730862E-2</v>
      </c>
      <c r="X1381" s="4">
        <f>1/TWD!B1381</f>
        <v>3.1648574231730862E-2</v>
      </c>
      <c r="Y1381" s="4">
        <f>1/TWD!C1381</f>
        <v>3.1648574231730862E-2</v>
      </c>
      <c r="Z1381" s="4">
        <f>1/ZAR!B1381</f>
        <v>8.4427371353792899E-2</v>
      </c>
      <c r="AA1381" s="4">
        <f>1/ZAR!C1381</f>
        <v>8.4036438199603353E-2</v>
      </c>
    </row>
    <row r="1382" spans="1:27" x14ac:dyDescent="0.25">
      <c r="A1382" t="str">
        <f>"13/02/2015"</f>
        <v>13/02/2015</v>
      </c>
      <c r="B1382" s="3">
        <f>AUD!B1382</f>
        <v>0.77690000000000003</v>
      </c>
      <c r="C1382" s="3">
        <f>AUD!C1382</f>
        <v>0.77559999999999996</v>
      </c>
      <c r="D1382" s="3">
        <f>1/CAD!B1382</f>
        <v>0.80044825102057149</v>
      </c>
      <c r="E1382" s="3">
        <f>1/CAD!C1382</f>
        <v>0.80012802048327736</v>
      </c>
      <c r="F1382" s="3">
        <f>EUR!B1382/1</f>
        <v>1.1422000000000001</v>
      </c>
      <c r="G1382" s="3">
        <f>EUR!C1382/1</f>
        <v>1.1426000000000001</v>
      </c>
      <c r="H1382" s="3">
        <f>GBP!B1382/1</f>
        <v>1.5409999999999999</v>
      </c>
      <c r="I1382" s="3">
        <f>GBP!C1382/1</f>
        <v>1.5407</v>
      </c>
      <c r="J1382" s="4">
        <f>1/INR!B1382</f>
        <v>1.6098522960518374E-2</v>
      </c>
      <c r="K1382" s="4">
        <f>1/INR!C1382</f>
        <v>1.5998720102391808E-2</v>
      </c>
      <c r="L1382" s="4">
        <f>1/JPY!B1382</f>
        <v>8.4344056274354342E-3</v>
      </c>
      <c r="M1382" s="4">
        <f>1/JPY!C1382</f>
        <v>8.4363624092563764E-3</v>
      </c>
      <c r="N1382" s="5">
        <f>1/KRW!B1382</f>
        <v>9.1166013310237939E-4</v>
      </c>
      <c r="O1382" s="5">
        <f>1/KRW!C1382</f>
        <v>9.1164716774927803E-4</v>
      </c>
      <c r="P1382" s="3">
        <f>1/NOK!B1382</f>
        <v>0.13087463518695441</v>
      </c>
      <c r="Q1382" s="3">
        <f>1/NOK!C1382</f>
        <v>0.13076510663894444</v>
      </c>
      <c r="R1382" s="3">
        <f>NZD!B1382/1</f>
        <v>0.74480000000000002</v>
      </c>
      <c r="S1382" s="3">
        <f>NZD!C1382/1</f>
        <v>0.74270000000000003</v>
      </c>
      <c r="T1382" s="4">
        <f>1/PHP!B1382</f>
        <v>2.2586109542631284E-2</v>
      </c>
      <c r="U1382" s="4">
        <f>1/PHP!C1382</f>
        <v>2.2540493997466448E-2</v>
      </c>
      <c r="V1382" s="4">
        <f>1/TWD!B1382</f>
        <v>3.1881655295542946E-2</v>
      </c>
      <c r="W1382" s="4">
        <f>1/TWD!C1382</f>
        <v>3.1881655295542946E-2</v>
      </c>
      <c r="X1382" s="4">
        <f>1/TWD!B1382</f>
        <v>3.1881655295542946E-2</v>
      </c>
      <c r="Y1382" s="4">
        <f>1/TWD!C1382</f>
        <v>3.1881655295542946E-2</v>
      </c>
      <c r="Z1382" s="4">
        <f>1/ZAR!B1382</f>
        <v>8.5311857495073237E-2</v>
      </c>
      <c r="AA1382" s="4">
        <f>1/ZAR!C1382</f>
        <v>8.4921362818030505E-2</v>
      </c>
    </row>
    <row r="1383" spans="1:27" x14ac:dyDescent="0.25">
      <c r="A1383" t="str">
        <f>"16/02/2015"</f>
        <v>16/02/2015</v>
      </c>
      <c r="B1383" s="3">
        <f>AUD!B1383</f>
        <v>0.7792</v>
      </c>
      <c r="C1383" s="3">
        <f>AUD!C1383</f>
        <v>0.77790000000000004</v>
      </c>
      <c r="D1383" s="3">
        <f>1/CAD!B1383</f>
        <v>0.8044405116241653</v>
      </c>
      <c r="E1383" s="3">
        <f>1/CAD!C1383</f>
        <v>0.804052424218059</v>
      </c>
      <c r="F1383" s="3">
        <f>EUR!B1383/1</f>
        <v>1.1415</v>
      </c>
      <c r="G1383" s="3">
        <f>EUR!C1383/1</f>
        <v>1.1417999999999999</v>
      </c>
      <c r="H1383" s="3">
        <f>GBP!B1383/1</f>
        <v>1.5431999999999999</v>
      </c>
      <c r="I1383" s="3">
        <f>GBP!C1383/1</f>
        <v>1.5427999999999999</v>
      </c>
      <c r="J1383" s="4">
        <f>1/INR!B1383</f>
        <v>1.6095284081764041E-2</v>
      </c>
      <c r="K1383" s="4">
        <f>1/INR!C1383</f>
        <v>1.5998080230372354E-2</v>
      </c>
      <c r="L1383" s="4">
        <f>1/JPY!B1383</f>
        <v>8.4416680736113456E-3</v>
      </c>
      <c r="M1383" s="4">
        <f>1/JPY!C1383</f>
        <v>8.4436353565409458E-3</v>
      </c>
      <c r="N1383" s="5">
        <f>1/KRW!B1383</f>
        <v>9.0834771550549545E-4</v>
      </c>
      <c r="O1383" s="5">
        <f>1/KRW!C1383</f>
        <v>9.0833418413968571E-4</v>
      </c>
      <c r="P1383" s="3">
        <f>1/NOK!B1383</f>
        <v>0.1321178491214163</v>
      </c>
      <c r="Q1383" s="3">
        <f>1/NOK!C1383</f>
        <v>0.1320079732815862</v>
      </c>
      <c r="R1383" s="3">
        <f>NZD!B1383/1</f>
        <v>0.75080000000000002</v>
      </c>
      <c r="S1383" s="3">
        <f>NZD!C1383/1</f>
        <v>0.74870000000000003</v>
      </c>
      <c r="T1383" s="4">
        <f>1/PHP!B1383</f>
        <v>2.2593764121102578E-2</v>
      </c>
      <c r="U1383" s="4">
        <f>1/PHP!C1383</f>
        <v>2.2552084038085961E-2</v>
      </c>
      <c r="V1383" s="4">
        <f>1/TWD!B1383</f>
        <v>3.1850176768481064E-2</v>
      </c>
      <c r="W1383" s="4">
        <f>1/TWD!C1383</f>
        <v>3.1850176768481064E-2</v>
      </c>
      <c r="X1383" s="4">
        <f>1/TWD!B1383</f>
        <v>3.1850176768481064E-2</v>
      </c>
      <c r="Y1383" s="4">
        <f>1/TWD!C1383</f>
        <v>3.1850176768481064E-2</v>
      </c>
      <c r="Z1383" s="4">
        <f>1/ZAR!B1383</f>
        <v>8.5739762672336919E-2</v>
      </c>
      <c r="AA1383" s="4">
        <f>1/ZAR!C1383</f>
        <v>8.5351177419492497E-2</v>
      </c>
    </row>
    <row r="1384" spans="1:27" x14ac:dyDescent="0.25">
      <c r="A1384" t="str">
        <f>"18/02/2015"</f>
        <v>18/02/2015</v>
      </c>
      <c r="B1384" s="3">
        <f>AUD!B1384</f>
        <v>0.78100000000000003</v>
      </c>
      <c r="C1384" s="3">
        <f>AUD!C1384</f>
        <v>0.77969999999999995</v>
      </c>
      <c r="D1384" s="3">
        <f>1/CAD!B1384</f>
        <v>0.80289040545965473</v>
      </c>
      <c r="E1384" s="3">
        <f>1/CAD!C1384</f>
        <v>0.8025682182985554</v>
      </c>
      <c r="F1384" s="3">
        <f>EUR!B1384/1</f>
        <v>1.1396999999999999</v>
      </c>
      <c r="G1384" s="3">
        <f>EUR!C1384/1</f>
        <v>1.1399999999999999</v>
      </c>
      <c r="H1384" s="3">
        <f>GBP!B1384/1</f>
        <v>1.5435000000000001</v>
      </c>
      <c r="I1384" s="3">
        <f>GBP!C1384/1</f>
        <v>1.5431999999999999</v>
      </c>
      <c r="J1384" s="4">
        <f>1/INR!B1384</f>
        <v>1.6039778651054614E-2</v>
      </c>
      <c r="K1384" s="4">
        <f>1/INR!C1384</f>
        <v>1.594451309443138E-2</v>
      </c>
      <c r="L1384" s="4">
        <f>1/JPY!B1384</f>
        <v>8.4182170216348176E-3</v>
      </c>
      <c r="M1384" s="4">
        <f>1/JPY!C1384</f>
        <v>8.4202230180268553E-3</v>
      </c>
      <c r="N1384" s="5">
        <f>1/KRW!B1384</f>
        <v>8.99911808642753E-4</v>
      </c>
      <c r="O1384" s="5">
        <f>1/KRW!C1384</f>
        <v>8.9989366856412238E-4</v>
      </c>
      <c r="P1384" s="3">
        <f>1/NOK!B1384</f>
        <v>0.13275276125743415</v>
      </c>
      <c r="Q1384" s="3">
        <f>1/NOK!C1384</f>
        <v>0.13264006791171476</v>
      </c>
      <c r="R1384" s="3">
        <f>NZD!B1384/1</f>
        <v>0.75349999999999995</v>
      </c>
      <c r="S1384" s="3">
        <f>NZD!C1384/1</f>
        <v>0.75139999999999996</v>
      </c>
      <c r="T1384" s="4">
        <f>1/PHP!B1384</f>
        <v>2.2559613779412097E-2</v>
      </c>
      <c r="U1384" s="4">
        <f>1/PHP!C1384</f>
        <v>2.2518363725618242E-2</v>
      </c>
      <c r="V1384" s="4">
        <f>1/TWD!B1384</f>
        <v>3.1582604301550708E-2</v>
      </c>
      <c r="W1384" s="4">
        <f>1/TWD!C1384</f>
        <v>3.1582604301550708E-2</v>
      </c>
      <c r="X1384" s="4">
        <f>1/TWD!B1384</f>
        <v>3.1582604301550708E-2</v>
      </c>
      <c r="Y1384" s="4">
        <f>1/TWD!C1384</f>
        <v>3.1582604301550708E-2</v>
      </c>
      <c r="Z1384" s="4">
        <f>1/ZAR!B1384</f>
        <v>8.609260120185272E-2</v>
      </c>
      <c r="AA1384" s="4">
        <f>1/ZAR!C1384</f>
        <v>8.5703021888551792E-2</v>
      </c>
    </row>
    <row r="1385" spans="1:27" x14ac:dyDescent="0.25">
      <c r="A1385" t="str">
        <f>"20/02/2015"</f>
        <v>20/02/2015</v>
      </c>
      <c r="B1385" s="3">
        <f>AUD!B1385</f>
        <v>0.78359999999999996</v>
      </c>
      <c r="C1385" s="3">
        <f>AUD!C1385</f>
        <v>0.7823</v>
      </c>
      <c r="D1385" s="3">
        <f>1/CAD!B1385</f>
        <v>0.79802090814779336</v>
      </c>
      <c r="E1385" s="3">
        <f>1/CAD!C1385</f>
        <v>0.79770261646458196</v>
      </c>
      <c r="F1385" s="3">
        <f>EUR!B1385/1</f>
        <v>1.1379999999999999</v>
      </c>
      <c r="G1385" s="3">
        <f>EUR!C1385/1</f>
        <v>1.1383000000000001</v>
      </c>
      <c r="H1385" s="3">
        <f>GBP!B1385/1</f>
        <v>1.5398000000000001</v>
      </c>
      <c r="I1385" s="3">
        <f>GBP!C1385/1</f>
        <v>1.5395000000000001</v>
      </c>
      <c r="J1385" s="4">
        <f>1/INR!B1385</f>
        <v>1.6070711128967456E-2</v>
      </c>
      <c r="K1385" s="4">
        <f>1/INR!C1385</f>
        <v>1.5973802963140452E-2</v>
      </c>
      <c r="L1385" s="4">
        <f>1/JPY!B1385</f>
        <v>8.4005376344086016E-3</v>
      </c>
      <c r="M1385" s="4">
        <f>1/JPY!C1385</f>
        <v>8.4026340577244146E-3</v>
      </c>
      <c r="N1385" s="5">
        <f>1/KRW!B1385</f>
        <v>8.9823048594269296E-4</v>
      </c>
      <c r="O1385" s="5">
        <f>1/KRW!C1385</f>
        <v>8.9821241358298363E-4</v>
      </c>
      <c r="P1385" s="3">
        <f>1/NOK!B1385</f>
        <v>0.13242928276300456</v>
      </c>
      <c r="Q1385" s="3">
        <f>1/NOK!C1385</f>
        <v>0.13231713771567694</v>
      </c>
      <c r="R1385" s="3">
        <f>NZD!B1385/1</f>
        <v>0.75170000000000003</v>
      </c>
      <c r="S1385" s="3">
        <f>NZD!C1385/1</f>
        <v>0.74960000000000004</v>
      </c>
      <c r="T1385" s="4">
        <f>1/PHP!B1385</f>
        <v>2.2598870056497175E-2</v>
      </c>
      <c r="U1385" s="4">
        <f>1/PHP!C1385</f>
        <v>2.2559970040359784E-2</v>
      </c>
      <c r="V1385" s="4">
        <f>1/TWD!B1385</f>
        <v>3.1499039279301984E-2</v>
      </c>
      <c r="W1385" s="4">
        <f>1/TWD!C1385</f>
        <v>3.1499039279301984E-2</v>
      </c>
      <c r="X1385" s="4">
        <f>1/TWD!B1385</f>
        <v>3.1499039279301984E-2</v>
      </c>
      <c r="Y1385" s="4">
        <f>1/TWD!C1385</f>
        <v>3.1499039279301984E-2</v>
      </c>
      <c r="Z1385" s="4">
        <f>1/ZAR!B1385</f>
        <v>8.5649436854952687E-2</v>
      </c>
      <c r="AA1385" s="4">
        <f>1/ZAR!C1385</f>
        <v>8.5263848980670673E-2</v>
      </c>
    </row>
    <row r="1386" spans="1:27" x14ac:dyDescent="0.25">
      <c r="A1386" t="str">
        <f>"23/02/2015"</f>
        <v>23/02/2015</v>
      </c>
      <c r="B1386" s="3">
        <f>AUD!B1386</f>
        <v>0.78010000000000002</v>
      </c>
      <c r="C1386" s="3">
        <f>AUD!C1386</f>
        <v>0.77880000000000005</v>
      </c>
      <c r="D1386" s="3">
        <f>1/CAD!B1386</f>
        <v>0.79548166414764132</v>
      </c>
      <c r="E1386" s="3">
        <f>1/CAD!C1386</f>
        <v>0.7951653944020356</v>
      </c>
      <c r="F1386" s="3">
        <f>EUR!B1386/1</f>
        <v>1.1334</v>
      </c>
      <c r="G1386" s="3">
        <f>EUR!C1386/1</f>
        <v>1.1337999999999999</v>
      </c>
      <c r="H1386" s="3">
        <f>GBP!B1386/1</f>
        <v>1.5456000000000001</v>
      </c>
      <c r="I1386" s="3">
        <f>GBP!C1386/1</f>
        <v>1.5452999999999999</v>
      </c>
      <c r="J1386" s="4">
        <f>1/INR!B1386</f>
        <v>1.6046213093709884E-2</v>
      </c>
      <c r="K1386" s="4">
        <f>1/INR!C1386</f>
        <v>1.5948327419161915E-2</v>
      </c>
      <c r="L1386" s="4">
        <f>1/JPY!B1386</f>
        <v>8.4160915670762511E-3</v>
      </c>
      <c r="M1386" s="4">
        <f>1/JPY!C1386</f>
        <v>8.4186705908896511E-3</v>
      </c>
      <c r="N1386" s="5">
        <f>1/KRW!B1386</f>
        <v>9.017295172140165E-4</v>
      </c>
      <c r="O1386" s="5">
        <f>1/KRW!C1386</f>
        <v>9.0171691409027363E-4</v>
      </c>
      <c r="P1386" s="3">
        <f>1/NOK!B1386</f>
        <v>0.13119743902599021</v>
      </c>
      <c r="Q1386" s="3">
        <f>1/NOK!C1386</f>
        <v>0.13109080660173303</v>
      </c>
      <c r="R1386" s="3">
        <f>NZD!B1386/1</f>
        <v>0.752</v>
      </c>
      <c r="S1386" s="3">
        <f>NZD!C1386/1</f>
        <v>0.74990000000000001</v>
      </c>
      <c r="T1386" s="4">
        <f>1/PHP!B1386</f>
        <v>2.2583559168925023E-2</v>
      </c>
      <c r="U1386" s="4">
        <f>1/PHP!C1386</f>
        <v>2.2545677542701516E-2</v>
      </c>
      <c r="V1386" s="4">
        <f>1/TWD!B1386</f>
        <v>3.1527839081909328E-2</v>
      </c>
      <c r="W1386" s="4">
        <f>1/TWD!C1386</f>
        <v>3.1527839081909328E-2</v>
      </c>
      <c r="X1386" s="4">
        <f>1/TWD!B1386</f>
        <v>3.1527839081909328E-2</v>
      </c>
      <c r="Y1386" s="4">
        <f>1/TWD!C1386</f>
        <v>3.1527839081909328E-2</v>
      </c>
      <c r="Z1386" s="4">
        <f>1/ZAR!B1386</f>
        <v>8.5850174275853786E-2</v>
      </c>
      <c r="AA1386" s="4">
        <f>1/ZAR!C1386</f>
        <v>8.5467893985624294E-2</v>
      </c>
    </row>
    <row r="1387" spans="1:27" x14ac:dyDescent="0.25">
      <c r="A1387" t="str">
        <f>"24/02/2015"</f>
        <v>24/02/2015</v>
      </c>
      <c r="B1387" s="3">
        <f>AUD!B1387</f>
        <v>0.78300000000000003</v>
      </c>
      <c r="C1387" s="3">
        <f>AUD!C1387</f>
        <v>0.78169999999999995</v>
      </c>
      <c r="D1387" s="3">
        <f>1/CAD!B1387</f>
        <v>0.80083286618082816</v>
      </c>
      <c r="E1387" s="3">
        <f>1/CAD!C1387</f>
        <v>0.8005123278898495</v>
      </c>
      <c r="F1387" s="3">
        <f>EUR!B1387/1</f>
        <v>1.1339999999999999</v>
      </c>
      <c r="G1387" s="3">
        <f>EUR!C1387/1</f>
        <v>1.1343000000000001</v>
      </c>
      <c r="H1387" s="3">
        <f>GBP!B1387/1</f>
        <v>1.5454000000000001</v>
      </c>
      <c r="I1387" s="3">
        <f>GBP!C1387/1</f>
        <v>1.5450999999999999</v>
      </c>
      <c r="J1387" s="4">
        <f>1/INR!B1387</f>
        <v>1.6075878144843663E-2</v>
      </c>
      <c r="K1387" s="4">
        <f>1/INR!C1387</f>
        <v>1.5976993129892952E-2</v>
      </c>
      <c r="L1387" s="4">
        <f>1/JPY!B1387</f>
        <v>8.4047739115817779E-3</v>
      </c>
      <c r="M1387" s="4">
        <f>1/JPY!C1387</f>
        <v>8.4073389343025315E-3</v>
      </c>
      <c r="N1387" s="5">
        <f>1/KRW!B1387</f>
        <v>9.0076294621544437E-4</v>
      </c>
      <c r="O1387" s="5">
        <f>1/KRW!C1387</f>
        <v>9.0075045123093843E-4</v>
      </c>
      <c r="P1387" s="3">
        <f>1/NOK!B1387</f>
        <v>0.13164130377547259</v>
      </c>
      <c r="Q1387" s="3">
        <f>1/NOK!C1387</f>
        <v>0.13153740923918761</v>
      </c>
      <c r="R1387" s="3">
        <f>NZD!B1387/1</f>
        <v>0.74890000000000001</v>
      </c>
      <c r="S1387" s="3">
        <f>NZD!C1387/1</f>
        <v>0.74690000000000001</v>
      </c>
      <c r="T1387" s="4">
        <f>1/PHP!B1387</f>
        <v>2.2527596305474205E-2</v>
      </c>
      <c r="U1387" s="4">
        <f>1/PHP!C1387</f>
        <v>2.2488738764063893E-2</v>
      </c>
      <c r="V1387" s="4">
        <f>1/TWD!B1387</f>
        <v>3.155768745266347E-2</v>
      </c>
      <c r="W1387" s="4">
        <f>1/TWD!C1387</f>
        <v>3.155768745266347E-2</v>
      </c>
      <c r="X1387" s="4">
        <f>1/TWD!B1387</f>
        <v>3.155768745266347E-2</v>
      </c>
      <c r="Y1387" s="4">
        <f>1/TWD!C1387</f>
        <v>3.155768745266347E-2</v>
      </c>
      <c r="Z1387" s="4">
        <f>1/ZAR!B1387</f>
        <v>8.7015540975618241E-2</v>
      </c>
      <c r="AA1387" s="4">
        <f>1/ZAR!C1387</f>
        <v>8.6615332646185039E-2</v>
      </c>
    </row>
    <row r="1388" spans="1:27" x14ac:dyDescent="0.25">
      <c r="A1388" t="str">
        <f>"25/02/2015"</f>
        <v>25/02/2015</v>
      </c>
      <c r="B1388" s="3">
        <f>AUD!B1388</f>
        <v>0.78859999999999997</v>
      </c>
      <c r="C1388" s="3">
        <f>AUD!C1388</f>
        <v>0.78710000000000002</v>
      </c>
      <c r="D1388" s="3">
        <f>1/CAD!B1388</f>
        <v>0.80411707944676747</v>
      </c>
      <c r="E1388" s="3">
        <f>1/CAD!C1388</f>
        <v>0.80379390724218314</v>
      </c>
      <c r="F1388" s="3">
        <f>EUR!B1388/1</f>
        <v>1.1359999999999999</v>
      </c>
      <c r="G1388" s="3">
        <f>EUR!C1388/1</f>
        <v>1.1364000000000001</v>
      </c>
      <c r="H1388" s="3">
        <f>GBP!B1388/1</f>
        <v>1.5527</v>
      </c>
      <c r="I1388" s="3">
        <f>GBP!C1388/1</f>
        <v>1.5523</v>
      </c>
      <c r="J1388" s="4">
        <f>1/INR!B1388</f>
        <v>1.6135538523598225E-2</v>
      </c>
      <c r="K1388" s="4">
        <f>1/INR!C1388</f>
        <v>1.6022431403965552E-2</v>
      </c>
      <c r="L1388" s="4">
        <f>1/JPY!B1388</f>
        <v>8.4125515268781027E-3</v>
      </c>
      <c r="M1388" s="4">
        <f>1/JPY!C1388</f>
        <v>8.4152770940365135E-3</v>
      </c>
      <c r="N1388" s="5">
        <f>1/KRW!B1388</f>
        <v>9.0962841679174066E-4</v>
      </c>
      <c r="O1388" s="5">
        <f>1/KRW!C1388</f>
        <v>9.0961559190278385E-4</v>
      </c>
      <c r="P1388" s="3">
        <f>1/NOK!B1388</f>
        <v>0.13246436708525408</v>
      </c>
      <c r="Q1388" s="3">
        <f>1/NOK!C1388</f>
        <v>0.13235391436701741</v>
      </c>
      <c r="R1388" s="3">
        <f>NZD!B1388/1</f>
        <v>0.75519999999999998</v>
      </c>
      <c r="S1388" s="3">
        <f>NZD!C1388/1</f>
        <v>0.75280000000000002</v>
      </c>
      <c r="T1388" s="4">
        <f>1/PHP!B1388</f>
        <v>2.2644927536231887E-2</v>
      </c>
      <c r="U1388" s="4">
        <f>1/PHP!C1388</f>
        <v>2.261481541787656E-2</v>
      </c>
      <c r="V1388" s="4">
        <f>1/TWD!B1388</f>
        <v>3.1797513434449427E-2</v>
      </c>
      <c r="W1388" s="4">
        <f>1/TWD!C1388</f>
        <v>3.1797513434449427E-2</v>
      </c>
      <c r="X1388" s="4">
        <f>1/TWD!B1388</f>
        <v>3.1797513434449427E-2</v>
      </c>
      <c r="Y1388" s="4">
        <f>1/TWD!C1388</f>
        <v>3.1797513434449427E-2</v>
      </c>
      <c r="Z1388" s="4">
        <f>1/ZAR!B1388</f>
        <v>8.727526618956187E-2</v>
      </c>
      <c r="AA1388" s="4">
        <f>1/ZAR!C1388</f>
        <v>8.6874180124925079E-2</v>
      </c>
    </row>
    <row r="1389" spans="1:27" x14ac:dyDescent="0.25">
      <c r="A1389" t="str">
        <f>"26/02/2015"</f>
        <v>26/02/2015</v>
      </c>
      <c r="B1389" s="3">
        <f>AUD!B1389</f>
        <v>0.77990000000000004</v>
      </c>
      <c r="C1389" s="3">
        <f>AUD!C1389</f>
        <v>0.77849999999999997</v>
      </c>
      <c r="D1389" s="3">
        <f>1/CAD!B1389</f>
        <v>0.7989773090444231</v>
      </c>
      <c r="E1389" s="3">
        <f>1/CAD!C1389</f>
        <v>0.79853070350554978</v>
      </c>
      <c r="F1389" s="3">
        <f>EUR!B1389/1</f>
        <v>1.1196999999999999</v>
      </c>
      <c r="G1389" s="3">
        <f>EUR!C1389/1</f>
        <v>1.1201000000000001</v>
      </c>
      <c r="H1389" s="3">
        <f>GBP!B1389/1</f>
        <v>1.5406</v>
      </c>
      <c r="I1389" s="3">
        <f>GBP!C1389/1</f>
        <v>1.5403</v>
      </c>
      <c r="J1389" s="4">
        <f>1/INR!B1389</f>
        <v>1.6192365299761164E-2</v>
      </c>
      <c r="K1389" s="4">
        <f>1/INR!C1389</f>
        <v>1.6065547433528799E-2</v>
      </c>
      <c r="L1389" s="4">
        <f>1/JPY!B1389</f>
        <v>8.3738067325406125E-3</v>
      </c>
      <c r="M1389" s="4">
        <f>1/JPY!C1389</f>
        <v>8.3770545773482769E-3</v>
      </c>
      <c r="N1389" s="5">
        <f>1/KRW!B1389</f>
        <v>9.1107871720116625E-4</v>
      </c>
      <c r="O1389" s="5">
        <f>1/KRW!C1389</f>
        <v>9.1106460632442833E-4</v>
      </c>
      <c r="P1389" s="3">
        <f>1/NOK!B1389</f>
        <v>0.13040019820830126</v>
      </c>
      <c r="Q1389" s="3">
        <f>1/NOK!C1389</f>
        <v>0.13028297462087654</v>
      </c>
      <c r="R1389" s="3">
        <f>NZD!B1389/1</f>
        <v>0.75309999999999999</v>
      </c>
      <c r="S1389" s="3">
        <f>NZD!C1389/1</f>
        <v>0.75080000000000002</v>
      </c>
      <c r="T1389" s="4">
        <f>1/PHP!B1389</f>
        <v>2.2662889518413599E-2</v>
      </c>
      <c r="U1389" s="4">
        <f>1/PHP!C1389</f>
        <v>2.2631449114318237E-2</v>
      </c>
      <c r="V1389" s="4">
        <f>1/TWD!B1389</f>
        <v>3.1880638888003313E-2</v>
      </c>
      <c r="W1389" s="4">
        <f>1/TWD!C1389</f>
        <v>3.1880638888003313E-2</v>
      </c>
      <c r="X1389" s="4">
        <f>1/TWD!B1389</f>
        <v>3.1880638888003313E-2</v>
      </c>
      <c r="Y1389" s="4">
        <f>1/TWD!C1389</f>
        <v>3.1880638888003313E-2</v>
      </c>
      <c r="Z1389" s="4">
        <f>1/ZAR!B1389</f>
        <v>8.6573340605493945E-2</v>
      </c>
      <c r="AA1389" s="4">
        <f>1/ZAR!C1389</f>
        <v>8.6129676841452493E-2</v>
      </c>
    </row>
    <row r="1390" spans="1:27" x14ac:dyDescent="0.25">
      <c r="A1390" t="str">
        <f>"27/02/2015"</f>
        <v>27/02/2015</v>
      </c>
      <c r="B1390" s="3">
        <f>AUD!B1390</f>
        <v>0.78049999999999997</v>
      </c>
      <c r="C1390" s="3">
        <f>AUD!C1390</f>
        <v>0.77890000000000004</v>
      </c>
      <c r="D1390" s="3">
        <f>1/CAD!B1390</f>
        <v>0.79891347767036824</v>
      </c>
      <c r="E1390" s="3">
        <f>1/CAD!C1390</f>
        <v>0.79853070350554978</v>
      </c>
      <c r="F1390" s="3">
        <f>EUR!B1390/1</f>
        <v>1.1194999999999999</v>
      </c>
      <c r="G1390" s="3">
        <f>EUR!C1390/1</f>
        <v>1.1198999999999999</v>
      </c>
      <c r="H1390" s="3">
        <f>GBP!B1390/1</f>
        <v>1.5437000000000001</v>
      </c>
      <c r="I1390" s="3">
        <f>GBP!C1390/1</f>
        <v>1.5432999999999999</v>
      </c>
      <c r="J1390" s="4">
        <f>1/INR!B1390</f>
        <v>1.6168802295969929E-2</v>
      </c>
      <c r="K1390" s="4">
        <f>1/INR!C1390</f>
        <v>1.6044282218924229E-2</v>
      </c>
      <c r="L1390" s="4">
        <f>1/JPY!B1390</f>
        <v>8.3591072473459833E-3</v>
      </c>
      <c r="M1390" s="4">
        <f>1/JPY!C1390</f>
        <v>8.3626304152213254E-3</v>
      </c>
      <c r="N1390" s="5">
        <f>1/KRW!B1390</f>
        <v>9.1048146259742162E-4</v>
      </c>
      <c r="O1390" s="5">
        <f>1/KRW!C1390</f>
        <v>9.1046745311024332E-4</v>
      </c>
      <c r="P1390" s="3">
        <f>1/NOK!B1390</f>
        <v>0.13010160935690773</v>
      </c>
      <c r="Q1390" s="3">
        <f>1/NOK!C1390</f>
        <v>0.12997647425815928</v>
      </c>
      <c r="R1390" s="3">
        <f>NZD!B1390/1</f>
        <v>0.75539999999999996</v>
      </c>
      <c r="S1390" s="3">
        <f>NZD!C1390/1</f>
        <v>0.75280000000000002</v>
      </c>
      <c r="T1390" s="4">
        <f>1/PHP!B1390</f>
        <v>2.2675736961451247E-2</v>
      </c>
      <c r="U1390" s="4">
        <f>1/PHP!C1390</f>
        <v>2.2637289501504246E-2</v>
      </c>
      <c r="V1390" s="4">
        <f>1/TWD!B1390</f>
        <v>3.1783364586975178E-2</v>
      </c>
      <c r="W1390" s="4">
        <f>1/TWD!C1390</f>
        <v>3.1783364586975178E-2</v>
      </c>
      <c r="X1390" s="4">
        <f>1/TWD!B1390</f>
        <v>3.1783364586975178E-2</v>
      </c>
      <c r="Y1390" s="4">
        <f>1/TWD!C1390</f>
        <v>3.1783364586975178E-2</v>
      </c>
      <c r="Z1390" s="4">
        <f>1/ZAR!B1390</f>
        <v>8.5606177341756975E-2</v>
      </c>
      <c r="AA1390" s="4">
        <f>1/ZAR!C1390</f>
        <v>8.5187583057893479E-2</v>
      </c>
    </row>
    <row r="1391" spans="1:27" x14ac:dyDescent="0.25">
      <c r="A1391" t="str">
        <f>"02/03/2015"</f>
        <v>02/03/2015</v>
      </c>
      <c r="B1391" s="3">
        <f>AUD!B1391</f>
        <v>0.77639999999999998</v>
      </c>
      <c r="C1391" s="3">
        <f>AUD!C1391</f>
        <v>0.77490000000000003</v>
      </c>
      <c r="D1391" s="3">
        <f>1/CAD!B1391</f>
        <v>0.7977662544874351</v>
      </c>
      <c r="E1391" s="3">
        <f>1/CAD!C1391</f>
        <v>0.7973845785822502</v>
      </c>
      <c r="F1391" s="3">
        <f>EUR!B1391/1</f>
        <v>1.1183000000000001</v>
      </c>
      <c r="G1391" s="3">
        <f>EUR!C1391/1</f>
        <v>1.1187</v>
      </c>
      <c r="H1391" s="3">
        <f>GBP!B1391/1</f>
        <v>1.5365</v>
      </c>
      <c r="I1391" s="3">
        <f>GBP!C1391/1</f>
        <v>1.5361</v>
      </c>
      <c r="J1391" s="4">
        <f>1/INR!B1391</f>
        <v>1.6162922256343949E-2</v>
      </c>
      <c r="K1391" s="4">
        <f>1/INR!C1391</f>
        <v>1.6039778651054614E-2</v>
      </c>
      <c r="L1391" s="4">
        <f>1/JPY!B1391</f>
        <v>8.3236224404861E-3</v>
      </c>
      <c r="M1391" s="4">
        <f>1/JPY!C1391</f>
        <v>8.3274486029872221E-3</v>
      </c>
      <c r="N1391" s="5">
        <f>1/KRW!B1391</f>
        <v>9.0828171265599741E-4</v>
      </c>
      <c r="O1391" s="5">
        <f>1/KRW!C1391</f>
        <v>9.0826678084185615E-4</v>
      </c>
      <c r="P1391" s="3">
        <f>1/NOK!B1391</f>
        <v>0.12970000389100012</v>
      </c>
      <c r="Q1391" s="3">
        <f>1/NOK!C1391</f>
        <v>0.12957899783603075</v>
      </c>
      <c r="R1391" s="3">
        <f>NZD!B1391/1</f>
        <v>0.75060000000000004</v>
      </c>
      <c r="S1391" s="3">
        <f>NZD!C1391/1</f>
        <v>0.74809999999999999</v>
      </c>
      <c r="T1391" s="4">
        <f>1/PHP!B1391</f>
        <v>2.2675736961451247E-2</v>
      </c>
      <c r="U1391" s="4">
        <f>1/PHP!C1391</f>
        <v>2.2630988159466996E-2</v>
      </c>
      <c r="V1391" s="4">
        <f>1/TWD!B1391</f>
        <v>3.1811674884682679E-2</v>
      </c>
      <c r="W1391" s="4">
        <f>1/TWD!C1391</f>
        <v>3.1811674884682679E-2</v>
      </c>
      <c r="X1391" s="4">
        <f>1/TWD!B1391</f>
        <v>3.1811674884682679E-2</v>
      </c>
      <c r="Y1391" s="4">
        <f>1/TWD!C1391</f>
        <v>3.1811674884682679E-2</v>
      </c>
      <c r="Z1391" s="4">
        <f>1/ZAR!B1391</f>
        <v>8.488099684242692E-2</v>
      </c>
      <c r="AA1391" s="4">
        <f>1/ZAR!C1391</f>
        <v>8.4401718418987012E-2</v>
      </c>
    </row>
    <row r="1392" spans="1:27" x14ac:dyDescent="0.25">
      <c r="A1392" t="str">
        <f>"03/03/2015"</f>
        <v>03/03/2015</v>
      </c>
      <c r="B1392" s="3">
        <f>AUD!B1392</f>
        <v>0.78159999999999996</v>
      </c>
      <c r="C1392" s="3">
        <f>AUD!C1392</f>
        <v>0.78</v>
      </c>
      <c r="D1392" s="3">
        <f>1/CAD!B1392</f>
        <v>0.80019204609106187</v>
      </c>
      <c r="E1392" s="3">
        <f>1/CAD!C1392</f>
        <v>0.79980804606894351</v>
      </c>
      <c r="F1392" s="3">
        <f>EUR!B1392/1</f>
        <v>1.1175999999999999</v>
      </c>
      <c r="G1392" s="3">
        <f>EUR!C1392/1</f>
        <v>1.1180000000000001</v>
      </c>
      <c r="H1392" s="3">
        <f>GBP!B1392/1</f>
        <v>1.536</v>
      </c>
      <c r="I1392" s="3">
        <f>GBP!C1392/1</f>
        <v>1.5356000000000001</v>
      </c>
      <c r="J1392" s="4">
        <f>1/INR!B1392</f>
        <v>1.6148566814695196E-2</v>
      </c>
      <c r="K1392" s="4">
        <f>1/INR!C1392</f>
        <v>1.6030136656914998E-2</v>
      </c>
      <c r="L1392" s="4">
        <f>1/JPY!B1392</f>
        <v>8.3514280942041091E-3</v>
      </c>
      <c r="M1392" s="4">
        <f>1/JPY!C1392</f>
        <v>8.355196096452383E-3</v>
      </c>
      <c r="N1392" s="5">
        <f>1/KRW!B1392</f>
        <v>9.119095385737736E-4</v>
      </c>
      <c r="O1392" s="5">
        <f>1/KRW!C1392</f>
        <v>9.1189540194981482E-4</v>
      </c>
      <c r="P1392" s="3">
        <f>1/NOK!B1392</f>
        <v>0.12953871264427375</v>
      </c>
      <c r="Q1392" s="3">
        <f>1/NOK!C1392</f>
        <v>0.12942135711235067</v>
      </c>
      <c r="R1392" s="3">
        <f>NZD!B1392/1</f>
        <v>0.75449999999999995</v>
      </c>
      <c r="S1392" s="3">
        <f>NZD!C1392/1</f>
        <v>0.75209999999999999</v>
      </c>
      <c r="T1392" s="4">
        <f>1/PHP!B1392</f>
        <v>2.2629554197782304E-2</v>
      </c>
      <c r="U1392" s="4">
        <f>1/PHP!C1392</f>
        <v>2.2590446500175075E-2</v>
      </c>
      <c r="V1392" s="4">
        <f>1/TWD!B1392</f>
        <v>3.1865400548084885E-2</v>
      </c>
      <c r="W1392" s="4">
        <f>1/TWD!C1392</f>
        <v>3.1865400548084885E-2</v>
      </c>
      <c r="X1392" s="4">
        <f>1/TWD!B1392</f>
        <v>3.1865400548084885E-2</v>
      </c>
      <c r="Y1392" s="4">
        <f>1/TWD!C1392</f>
        <v>3.1865400548084885E-2</v>
      </c>
      <c r="Z1392" s="4">
        <f>1/ZAR!B1392</f>
        <v>8.4964654703643283E-2</v>
      </c>
      <c r="AA1392" s="4">
        <f>1/ZAR!C1392</f>
        <v>8.4497283412338295E-2</v>
      </c>
    </row>
    <row r="1393" spans="1:27" x14ac:dyDescent="0.25">
      <c r="A1393" t="str">
        <f>"04/03/2015"</f>
        <v>04/03/2015</v>
      </c>
      <c r="B1393" s="3">
        <f>AUD!B1393</f>
        <v>0.78159999999999996</v>
      </c>
      <c r="C1393" s="3">
        <f>AUD!C1393</f>
        <v>0.78010000000000002</v>
      </c>
      <c r="D1393" s="3">
        <f>1/CAD!B1393</f>
        <v>0.804634695848085</v>
      </c>
      <c r="E1393" s="3">
        <f>1/CAD!C1393</f>
        <v>0.80424642110342603</v>
      </c>
      <c r="F1393" s="3">
        <f>EUR!B1393/1</f>
        <v>1.1077999999999999</v>
      </c>
      <c r="G1393" s="3">
        <f>EUR!C1393/1</f>
        <v>1.1082000000000001</v>
      </c>
      <c r="H1393" s="3">
        <f>GBP!B1393/1</f>
        <v>1.5264</v>
      </c>
      <c r="I1393" s="3">
        <f>GBP!C1393/1</f>
        <v>1.5261</v>
      </c>
      <c r="J1393" s="4">
        <f>1/INR!B1393</f>
        <v>1.6059097478721696E-2</v>
      </c>
      <c r="K1393" s="4">
        <f>1/INR!C1393</f>
        <v>1.5943877551020409E-2</v>
      </c>
      <c r="L1393" s="4">
        <f>1/JPY!B1393</f>
        <v>8.3556149732620308E-3</v>
      </c>
      <c r="M1393" s="4">
        <f>1/JPY!C1393</f>
        <v>8.3594845876182652E-3</v>
      </c>
      <c r="N1393" s="5">
        <f>1/KRW!B1393</f>
        <v>9.108297659167501E-4</v>
      </c>
      <c r="O1393" s="5">
        <f>1/KRW!C1393</f>
        <v>9.1081607754323751E-4</v>
      </c>
      <c r="P1393" s="3">
        <f>1/NOK!B1393</f>
        <v>0.12843895296565541</v>
      </c>
      <c r="Q1393" s="3">
        <f>1/NOK!C1393</f>
        <v>0.12832358074119701</v>
      </c>
      <c r="R1393" s="3">
        <f>NZD!B1393/1</f>
        <v>0.75849999999999995</v>
      </c>
      <c r="S1393" s="3">
        <f>NZD!C1393/1</f>
        <v>0.75619999999999998</v>
      </c>
      <c r="T1393" s="4">
        <f>1/PHP!B1393</f>
        <v>2.2622898898264823E-2</v>
      </c>
      <c r="U1393" s="4">
        <f>1/PHP!C1393</f>
        <v>2.2580397505317682E-2</v>
      </c>
      <c r="V1393" s="4">
        <f>1/TWD!B1393</f>
        <v>3.176620076238882E-2</v>
      </c>
      <c r="W1393" s="4">
        <f>1/TWD!C1393</f>
        <v>3.176620076238882E-2</v>
      </c>
      <c r="X1393" s="4">
        <f>1/TWD!B1393</f>
        <v>3.176620076238882E-2</v>
      </c>
      <c r="Y1393" s="4">
        <f>1/TWD!C1393</f>
        <v>3.176620076238882E-2</v>
      </c>
      <c r="Z1393" s="4">
        <f>1/ZAR!B1393</f>
        <v>8.4388185654008435E-2</v>
      </c>
      <c r="AA1393" s="4">
        <f>1/ZAR!C1393</f>
        <v>8.3939798376604299E-2</v>
      </c>
    </row>
    <row r="1394" spans="1:27" x14ac:dyDescent="0.25">
      <c r="A1394" t="str">
        <f>"05/03/2015"</f>
        <v>05/03/2015</v>
      </c>
      <c r="B1394" s="3">
        <f>AUD!B1394</f>
        <v>0.77810000000000001</v>
      </c>
      <c r="C1394" s="3">
        <f>AUD!C1394</f>
        <v>0.77659999999999996</v>
      </c>
      <c r="D1394" s="3">
        <f>1/CAD!B1394</f>
        <v>0.80083286618082816</v>
      </c>
      <c r="E1394" s="3">
        <f>1/CAD!C1394</f>
        <v>0.80044825102057149</v>
      </c>
      <c r="F1394" s="3">
        <f>EUR!B1394/1</f>
        <v>1.103</v>
      </c>
      <c r="G1394" s="3">
        <f>EUR!C1394/1</f>
        <v>1.1033999999999999</v>
      </c>
      <c r="H1394" s="3">
        <f>GBP!B1394/1</f>
        <v>1.524</v>
      </c>
      <c r="I1394" s="3">
        <f>GBP!C1394/1</f>
        <v>1.5237000000000001</v>
      </c>
      <c r="J1394" s="4">
        <f>1/INR!B1394</f>
        <v>1.6082988219211128E-2</v>
      </c>
      <c r="K1394" s="4">
        <f>1/INR!C1394</f>
        <v>1.5969338869370808E-2</v>
      </c>
      <c r="L1394" s="4">
        <f>1/JPY!B1394</f>
        <v>8.3236224404861E-3</v>
      </c>
      <c r="M1394" s="4">
        <f>1/JPY!C1394</f>
        <v>8.327289109321484E-3</v>
      </c>
      <c r="N1394" s="5">
        <f>1/KRW!B1394</f>
        <v>9.0801779714882417E-4</v>
      </c>
      <c r="O1394" s="5">
        <f>1/KRW!C1394</f>
        <v>9.0800526497772848E-4</v>
      </c>
      <c r="P1394" s="3">
        <f>1/NOK!B1394</f>
        <v>0.12938451784859423</v>
      </c>
      <c r="Q1394" s="3">
        <f>1/NOK!C1394</f>
        <v>0.12927078351021887</v>
      </c>
      <c r="R1394" s="3">
        <f>NZD!B1394/1</f>
        <v>0.74750000000000005</v>
      </c>
      <c r="S1394" s="3">
        <f>NZD!C1394/1</f>
        <v>0.74519999999999997</v>
      </c>
      <c r="T1394" s="4">
        <f>1/PHP!B1394</f>
        <v>2.2660321776569226E-2</v>
      </c>
      <c r="U1394" s="4">
        <f>1/PHP!C1394</f>
        <v>2.2618191358946171E-2</v>
      </c>
      <c r="V1394" s="4">
        <f>1/TWD!B1394</f>
        <v>3.1738978639667376E-2</v>
      </c>
      <c r="W1394" s="4">
        <f>1/TWD!C1394</f>
        <v>3.1738978639667376E-2</v>
      </c>
      <c r="X1394" s="4">
        <f>1/TWD!B1394</f>
        <v>3.1738978639667376E-2</v>
      </c>
      <c r="Y1394" s="4">
        <f>1/TWD!C1394</f>
        <v>3.1738978639667376E-2</v>
      </c>
      <c r="Z1394" s="4">
        <f>1/ZAR!B1394</f>
        <v>8.4377504957178412E-2</v>
      </c>
      <c r="AA1394" s="4">
        <f>1/ZAR!C1394</f>
        <v>8.3941912196759838E-2</v>
      </c>
    </row>
    <row r="1395" spans="1:27" x14ac:dyDescent="0.25">
      <c r="A1395" t="str">
        <f>"09/03/2015"</f>
        <v>09/03/2015</v>
      </c>
      <c r="B1395" s="3">
        <f>AUD!B1395</f>
        <v>0.7702</v>
      </c>
      <c r="C1395" s="3">
        <f>AUD!C1395</f>
        <v>0.76859999999999995</v>
      </c>
      <c r="D1395" s="3">
        <f>1/CAD!B1395</f>
        <v>0.79333597778659271</v>
      </c>
      <c r="E1395" s="3">
        <f>1/CAD!C1395</f>
        <v>0.79295852826897151</v>
      </c>
      <c r="F1395" s="3">
        <f>EUR!B1395/1</f>
        <v>1.0851</v>
      </c>
      <c r="G1395" s="3">
        <f>EUR!C1395/1</f>
        <v>1.0854999999999999</v>
      </c>
      <c r="H1395" s="3">
        <f>GBP!B1395/1</f>
        <v>1.5127999999999999</v>
      </c>
      <c r="I1395" s="3">
        <f>GBP!C1395/1</f>
        <v>1.5125</v>
      </c>
      <c r="J1395" s="4">
        <f>1/INR!B1395</f>
        <v>1.5988488288432329E-2</v>
      </c>
      <c r="K1395" s="4">
        <f>1/INR!C1395</f>
        <v>1.5867978419549348E-2</v>
      </c>
      <c r="L1395" s="4">
        <f>1/JPY!B1395</f>
        <v>8.253549026081216E-3</v>
      </c>
      <c r="M1395" s="4">
        <f>1/JPY!C1395</f>
        <v>8.256976939089106E-3</v>
      </c>
      <c r="N1395" s="5">
        <f>1/KRW!B1395</f>
        <v>8.9897337240870919E-4</v>
      </c>
      <c r="O1395" s="5">
        <f>1/KRW!C1395</f>
        <v>8.9895963401555388E-4</v>
      </c>
      <c r="P1395" s="3">
        <f>1/NOK!B1395</f>
        <v>0.1260128281059012</v>
      </c>
      <c r="Q1395" s="3">
        <f>1/NOK!C1395</f>
        <v>0.12590652699435939</v>
      </c>
      <c r="R1395" s="3">
        <f>NZD!B1395/1</f>
        <v>0.73519999999999996</v>
      </c>
      <c r="S1395" s="3">
        <f>NZD!C1395/1</f>
        <v>0.73280000000000001</v>
      </c>
      <c r="T1395" s="4">
        <f>1/PHP!B1395</f>
        <v>2.2614201718679332E-2</v>
      </c>
      <c r="U1395" s="4">
        <f>1/PHP!C1395</f>
        <v>2.2569848037213167E-2</v>
      </c>
      <c r="V1395" s="4">
        <f>1/TWD!B1395</f>
        <v>3.1743008602355328E-2</v>
      </c>
      <c r="W1395" s="4">
        <f>1/TWD!C1395</f>
        <v>3.1743008602355328E-2</v>
      </c>
      <c r="X1395" s="4">
        <f>1/TWD!B1395</f>
        <v>3.1743008602355328E-2</v>
      </c>
      <c r="Y1395" s="4">
        <f>1/TWD!C1395</f>
        <v>3.1743008602355328E-2</v>
      </c>
      <c r="Z1395" s="4">
        <f>1/ZAR!B1395</f>
        <v>8.2684261877594215E-2</v>
      </c>
      <c r="AA1395" s="4">
        <f>1/ZAR!C1395</f>
        <v>8.2273377980353113E-2</v>
      </c>
    </row>
    <row r="1396" spans="1:27" x14ac:dyDescent="0.25">
      <c r="A1396" t="str">
        <f>"10/03/2015"</f>
        <v>10/03/2015</v>
      </c>
      <c r="B1396" s="3">
        <f>AUD!B1396</f>
        <v>0.76229999999999998</v>
      </c>
      <c r="C1396" s="3">
        <f>AUD!C1396</f>
        <v>0.76070000000000004</v>
      </c>
      <c r="D1396" s="3">
        <f>1/CAD!B1396</f>
        <v>0.78808416738907716</v>
      </c>
      <c r="E1396" s="3">
        <f>1/CAD!C1396</f>
        <v>0.7876496534341525</v>
      </c>
      <c r="F1396" s="3">
        <f>EUR!B1396/1</f>
        <v>1.0697000000000001</v>
      </c>
      <c r="G1396" s="3">
        <f>EUR!C1396/1</f>
        <v>1.0701000000000001</v>
      </c>
      <c r="H1396" s="3">
        <f>GBP!B1396/1</f>
        <v>1.5068999999999999</v>
      </c>
      <c r="I1396" s="3">
        <f>GBP!C1396/1</f>
        <v>1.5065999999999999</v>
      </c>
      <c r="J1396" s="4">
        <f>1/INR!B1396</f>
        <v>1.5926102882624624E-2</v>
      </c>
      <c r="K1396" s="4">
        <f>1/INR!C1396</f>
        <v>1.58052789631737E-2</v>
      </c>
      <c r="L1396" s="4">
        <f>1/JPY!B1396</f>
        <v>8.254911672445105E-3</v>
      </c>
      <c r="M1396" s="4">
        <f>1/JPY!C1396</f>
        <v>8.2583611777744381E-3</v>
      </c>
      <c r="N1396" s="5">
        <f>1/KRW!B1396</f>
        <v>8.9055125122450794E-4</v>
      </c>
      <c r="O1396" s="5">
        <f>1/KRW!C1396</f>
        <v>8.9053784834835072E-4</v>
      </c>
      <c r="P1396" s="3">
        <f>1/NOK!B1396</f>
        <v>0.12356204668174124</v>
      </c>
      <c r="Q1396" s="3">
        <f>1/NOK!C1396</f>
        <v>0.12345526598437057</v>
      </c>
      <c r="R1396" s="3">
        <f>NZD!B1396/1</f>
        <v>0.72719999999999996</v>
      </c>
      <c r="S1396" s="3">
        <f>NZD!C1396/1</f>
        <v>0.72489999999999999</v>
      </c>
      <c r="T1396" s="4">
        <f>1/PHP!B1396</f>
        <v>2.2519986488008105E-2</v>
      </c>
      <c r="U1396" s="4">
        <f>1/PHP!C1396</f>
        <v>2.2478022113878154E-2</v>
      </c>
      <c r="V1396" s="4">
        <f>1/TWD!B1396</f>
        <v>3.1699740062131491E-2</v>
      </c>
      <c r="W1396" s="4">
        <f>1/TWD!C1396</f>
        <v>3.1699740062131491E-2</v>
      </c>
      <c r="X1396" s="4">
        <f>1/TWD!B1396</f>
        <v>3.1699740062131491E-2</v>
      </c>
      <c r="Y1396" s="4">
        <f>1/TWD!C1396</f>
        <v>3.1699740062131491E-2</v>
      </c>
      <c r="Z1396" s="4">
        <f>1/ZAR!B1396</f>
        <v>8.079110651499484E-2</v>
      </c>
      <c r="AA1396" s="4">
        <f>1/ZAR!C1396</f>
        <v>8.0372284421440107E-2</v>
      </c>
    </row>
    <row r="1397" spans="1:27" x14ac:dyDescent="0.25">
      <c r="A1397" t="str">
        <f>"11/03/2015"</f>
        <v>11/03/2015</v>
      </c>
      <c r="B1397" s="3">
        <f>AUD!B1397</f>
        <v>0.75949999999999995</v>
      </c>
      <c r="C1397" s="3">
        <f>AUD!C1397</f>
        <v>0.75800000000000001</v>
      </c>
      <c r="D1397" s="3">
        <f>1/CAD!B1397</f>
        <v>0.78431372549019618</v>
      </c>
      <c r="E1397" s="3">
        <f>1/CAD!C1397</f>
        <v>0.7839448102853559</v>
      </c>
      <c r="F1397" s="3">
        <f>EUR!B1397/1</f>
        <v>1.0546</v>
      </c>
      <c r="G1397" s="3">
        <f>EUR!C1397/1</f>
        <v>1.0549999999999999</v>
      </c>
      <c r="H1397" s="3">
        <f>GBP!B1397/1</f>
        <v>1.4928999999999999</v>
      </c>
      <c r="I1397" s="3">
        <f>GBP!C1397/1</f>
        <v>1.4925999999999999</v>
      </c>
      <c r="J1397" s="4">
        <f>1/INR!B1397</f>
        <v>1.5928005415521841E-2</v>
      </c>
      <c r="K1397" s="4">
        <f>1/INR!C1397</f>
        <v>1.5809651792419274E-2</v>
      </c>
      <c r="L1397" s="4">
        <f>1/JPY!B1397</f>
        <v>8.2331631812942539E-3</v>
      </c>
      <c r="M1397" s="4">
        <f>1/JPY!C1397</f>
        <v>8.2366352356666069E-3</v>
      </c>
      <c r="N1397" s="5">
        <f>1/KRW!B1397</f>
        <v>8.8762648677436537E-4</v>
      </c>
      <c r="O1397" s="5">
        <f>1/KRW!C1397</f>
        <v>8.8761317178891956E-4</v>
      </c>
      <c r="P1397" s="3">
        <f>1/NOK!B1397</f>
        <v>0.12175967076185026</v>
      </c>
      <c r="Q1397" s="3">
        <f>1/NOK!C1397</f>
        <v>0.12166042143169985</v>
      </c>
      <c r="R1397" s="3">
        <f>NZD!B1397/1</f>
        <v>0.72899999999999998</v>
      </c>
      <c r="S1397" s="3">
        <f>NZD!C1397/1</f>
        <v>0.7268</v>
      </c>
      <c r="T1397" s="4">
        <f>1/PHP!B1397</f>
        <v>2.2494657518839275E-2</v>
      </c>
      <c r="U1397" s="4">
        <f>1/PHP!C1397</f>
        <v>2.2452132054459891E-2</v>
      </c>
      <c r="V1397" s="4">
        <f>1/TWD!B1397</f>
        <v>3.1589588071771542E-2</v>
      </c>
      <c r="W1397" s="4">
        <f>1/TWD!C1397</f>
        <v>3.1589588071771542E-2</v>
      </c>
      <c r="X1397" s="4">
        <f>1/TWD!B1397</f>
        <v>3.1589588071771542E-2</v>
      </c>
      <c r="Y1397" s="4">
        <f>1/TWD!C1397</f>
        <v>3.1589588071771542E-2</v>
      </c>
      <c r="Z1397" s="4">
        <f>1/ZAR!B1397</f>
        <v>8.1321969943399908E-2</v>
      </c>
      <c r="AA1397" s="4">
        <f>1/ZAR!C1397</f>
        <v>8.0898949122650887E-2</v>
      </c>
    </row>
    <row r="1398" spans="1:27" x14ac:dyDescent="0.25">
      <c r="A1398" t="str">
        <f>"12/03/2015"</f>
        <v>12/03/2015</v>
      </c>
      <c r="B1398" s="3">
        <f>AUD!B1398</f>
        <v>0.77070000000000005</v>
      </c>
      <c r="C1398" s="3">
        <f>AUD!C1398</f>
        <v>0.76919999999999999</v>
      </c>
      <c r="D1398" s="3">
        <f>1/CAD!B1398</f>
        <v>0.78827053444742234</v>
      </c>
      <c r="E1398" s="3">
        <f>1/CAD!C1398</f>
        <v>0.78789788843365893</v>
      </c>
      <c r="F1398" s="3">
        <f>EUR!B1398/1</f>
        <v>1.0633999999999999</v>
      </c>
      <c r="G1398" s="3">
        <f>EUR!C1398/1</f>
        <v>1.0637000000000001</v>
      </c>
      <c r="H1398" s="3">
        <f>GBP!B1398/1</f>
        <v>1.4882</v>
      </c>
      <c r="I1398" s="3">
        <f>GBP!C1398/1</f>
        <v>1.4879</v>
      </c>
      <c r="J1398" s="4">
        <f>1/INR!B1398</f>
        <v>1.5996160921378868E-2</v>
      </c>
      <c r="K1398" s="4">
        <f>1/INR!C1398</f>
        <v>1.5876796062554578E-2</v>
      </c>
      <c r="L1398" s="4">
        <f>1/JPY!B1398</f>
        <v>8.2447027784648356E-3</v>
      </c>
      <c r="M1398" s="4">
        <f>1/JPY!C1398</f>
        <v>8.248041708697312E-3</v>
      </c>
      <c r="N1398" s="5">
        <f>1/KRW!B1398</f>
        <v>8.8762648677436537E-4</v>
      </c>
      <c r="O1398" s="5">
        <f>1/KRW!C1398</f>
        <v>8.8761293543183971E-4</v>
      </c>
      <c r="P1398" s="3">
        <f>1/NOK!B1398</f>
        <v>0.12332128895411215</v>
      </c>
      <c r="Q1398" s="3">
        <f>1/NOK!C1398</f>
        <v>0.12321947853516683</v>
      </c>
      <c r="R1398" s="3">
        <f>NZD!B1398/1</f>
        <v>0.73839999999999995</v>
      </c>
      <c r="S1398" s="3">
        <f>NZD!C1398/1</f>
        <v>0.73619999999999997</v>
      </c>
      <c r="T1398" s="4">
        <f>1/PHP!B1398</f>
        <v>2.2598870056497175E-2</v>
      </c>
      <c r="U1398" s="4">
        <f>1/PHP!C1398</f>
        <v>2.2555543024698321E-2</v>
      </c>
      <c r="V1398" s="4">
        <f>1/TWD!B1398</f>
        <v>3.1607560528478414E-2</v>
      </c>
      <c r="W1398" s="4">
        <f>1/TWD!C1398</f>
        <v>3.1607560528478414E-2</v>
      </c>
      <c r="X1398" s="4">
        <f>1/TWD!B1398</f>
        <v>3.1607560528478414E-2</v>
      </c>
      <c r="Y1398" s="4">
        <f>1/TWD!C1398</f>
        <v>3.1607560528478414E-2</v>
      </c>
      <c r="Z1398" s="4">
        <f>1/ZAR!B1398</f>
        <v>8.1265135631511359E-2</v>
      </c>
      <c r="AA1398" s="4">
        <f>1/ZAR!C1398</f>
        <v>8.0855123789194516E-2</v>
      </c>
    </row>
    <row r="1399" spans="1:27" x14ac:dyDescent="0.25">
      <c r="A1399" t="str">
        <f>"13/03/2015"</f>
        <v>13/03/2015</v>
      </c>
      <c r="B1399" s="3">
        <f>AUD!B1399</f>
        <v>0.76349999999999996</v>
      </c>
      <c r="C1399" s="3">
        <f>AUD!C1399</f>
        <v>0.76200000000000001</v>
      </c>
      <c r="D1399" s="3">
        <f>1/CAD!B1399</f>
        <v>0.7822277847309137</v>
      </c>
      <c r="E1399" s="3">
        <f>1/CAD!C1399</f>
        <v>0.78186082877247853</v>
      </c>
      <c r="F1399" s="3">
        <f>EUR!B1399/1</f>
        <v>1.0495000000000001</v>
      </c>
      <c r="G1399" s="3">
        <f>EUR!C1399/1</f>
        <v>1.0498000000000001</v>
      </c>
      <c r="H1399" s="3">
        <f>GBP!B1399/1</f>
        <v>1.4743999999999999</v>
      </c>
      <c r="I1399" s="3">
        <f>GBP!C1399/1</f>
        <v>1.4741</v>
      </c>
      <c r="J1399" s="4">
        <f>1/INR!B1399</f>
        <v>1.5881208559971414E-2</v>
      </c>
      <c r="K1399" s="4">
        <f>1/INR!C1399</f>
        <v>1.5762304448910431E-2</v>
      </c>
      <c r="L1399" s="4">
        <f>1/JPY!B1399</f>
        <v>8.2372322899505763E-3</v>
      </c>
      <c r="M1399" s="4">
        <f>1/JPY!C1399</f>
        <v>8.2405787523269335E-3</v>
      </c>
      <c r="N1399" s="5">
        <f>1/KRW!B1399</f>
        <v>8.8570036756565262E-4</v>
      </c>
      <c r="O1399" s="5">
        <f>1/KRW!C1399</f>
        <v>8.8568742407998122E-4</v>
      </c>
      <c r="P1399" s="3">
        <f>1/NOK!B1399</f>
        <v>0.12166338175535926</v>
      </c>
      <c r="Q1399" s="3">
        <f>1/NOK!C1399</f>
        <v>0.12156872279899827</v>
      </c>
      <c r="R1399" s="3">
        <f>NZD!B1399/1</f>
        <v>0.73129999999999995</v>
      </c>
      <c r="S1399" s="3">
        <f>NZD!C1399/1</f>
        <v>0.72909999999999997</v>
      </c>
      <c r="T1399" s="4">
        <f>1/PHP!B1399</f>
        <v>2.2527596305474205E-2</v>
      </c>
      <c r="U1399" s="4">
        <f>1/PHP!C1399</f>
        <v>2.2487069934787499E-2</v>
      </c>
      <c r="V1399" s="4">
        <f>1/TWD!B1399</f>
        <v>3.1621553250695676E-2</v>
      </c>
      <c r="W1399" s="4">
        <f>1/TWD!C1399</f>
        <v>3.1621553250695676E-2</v>
      </c>
      <c r="X1399" s="4">
        <f>1/TWD!B1399</f>
        <v>3.1621553250695676E-2</v>
      </c>
      <c r="Y1399" s="4">
        <f>1/TWD!C1399</f>
        <v>3.1621553250695676E-2</v>
      </c>
      <c r="Z1399" s="4">
        <f>1/ZAR!B1399</f>
        <v>8.0067256495456179E-2</v>
      </c>
      <c r="AA1399" s="4">
        <f>1/ZAR!C1399</f>
        <v>7.9670482882796753E-2</v>
      </c>
    </row>
    <row r="1400" spans="1:27" x14ac:dyDescent="0.25">
      <c r="A1400" t="str">
        <f>"16/03/2015"</f>
        <v>16/03/2015</v>
      </c>
      <c r="B1400" s="3">
        <f>AUD!B1400</f>
        <v>0.76390000000000002</v>
      </c>
      <c r="C1400" s="3">
        <f>AUD!C1400</f>
        <v>0.76229999999999998</v>
      </c>
      <c r="D1400" s="3">
        <f>1/CAD!B1400</f>
        <v>0.78284014404258639</v>
      </c>
      <c r="E1400" s="3">
        <f>1/CAD!C1400</f>
        <v>0.78247261345852892</v>
      </c>
      <c r="F1400" s="3">
        <f>EUR!B1400/1</f>
        <v>1.0567</v>
      </c>
      <c r="G1400" s="3">
        <f>EUR!C1400/1</f>
        <v>1.0570999999999999</v>
      </c>
      <c r="H1400" s="3">
        <f>GBP!B1400/1</f>
        <v>1.4827999999999999</v>
      </c>
      <c r="I1400" s="3">
        <f>GBP!C1400/1</f>
        <v>1.4823999999999999</v>
      </c>
      <c r="J1400" s="4">
        <f>1/INR!B1400</f>
        <v>1.5918497293855461E-2</v>
      </c>
      <c r="K1400" s="4">
        <f>1/INR!C1400</f>
        <v>1.5791551519936834E-2</v>
      </c>
      <c r="L1400" s="4">
        <f>1/JPY!B1400</f>
        <v>8.2413054227789672E-3</v>
      </c>
      <c r="M1400" s="4">
        <f>1/JPY!C1400</f>
        <v>8.245348592725129E-3</v>
      </c>
      <c r="N1400" s="5">
        <f>1/KRW!B1400</f>
        <v>8.8350149311752346E-4</v>
      </c>
      <c r="O1400" s="5">
        <f>1/KRW!C1400</f>
        <v>8.834878332681761E-4</v>
      </c>
      <c r="P1400" s="3">
        <f>1/NOK!B1400</f>
        <v>0.12083277951642722</v>
      </c>
      <c r="Q1400" s="3">
        <f>1/NOK!C1400</f>
        <v>0.12073503489242508</v>
      </c>
      <c r="R1400" s="3">
        <f>NZD!B1400/1</f>
        <v>0.73650000000000004</v>
      </c>
      <c r="S1400" s="3">
        <f>NZD!C1400/1</f>
        <v>0.73409999999999997</v>
      </c>
      <c r="T1400" s="4">
        <f>1/PHP!B1400</f>
        <v>2.2507314877335136E-2</v>
      </c>
      <c r="U1400" s="4">
        <f>1/PHP!C1400</f>
        <v>2.2463580919434366E-2</v>
      </c>
      <c r="V1400" s="4">
        <f>1/TWD!B1400</f>
        <v>3.1601567437744914E-2</v>
      </c>
      <c r="W1400" s="4">
        <f>1/TWD!C1400</f>
        <v>3.1601567437744914E-2</v>
      </c>
      <c r="X1400" s="4">
        <f>1/TWD!B1400</f>
        <v>3.1601567437744914E-2</v>
      </c>
      <c r="Y1400" s="4">
        <f>1/TWD!C1400</f>
        <v>3.1601567437744914E-2</v>
      </c>
      <c r="Z1400" s="4">
        <f>1/ZAR!B1400</f>
        <v>8.0611356527907643E-2</v>
      </c>
      <c r="AA1400" s="4">
        <f>1/ZAR!C1400</f>
        <v>8.0204039075407838E-2</v>
      </c>
    </row>
    <row r="1401" spans="1:27" x14ac:dyDescent="0.25">
      <c r="A1401" t="str">
        <f>"17/03/2015"</f>
        <v>17/03/2015</v>
      </c>
      <c r="B1401" s="3">
        <f>AUD!B1401</f>
        <v>0.76170000000000004</v>
      </c>
      <c r="C1401" s="3">
        <f>AUD!C1401</f>
        <v>0.76019999999999999</v>
      </c>
      <c r="D1401" s="3">
        <f>1/CAD!B1401</f>
        <v>0.78192196418797411</v>
      </c>
      <c r="E1401" s="3">
        <f>1/CAD!C1401</f>
        <v>0.78155529503712384</v>
      </c>
      <c r="F1401" s="3">
        <f>EUR!B1401/1</f>
        <v>1.0597000000000001</v>
      </c>
      <c r="G1401" s="3">
        <f>EUR!C1401/1</f>
        <v>1.0601</v>
      </c>
      <c r="H1401" s="3">
        <f>GBP!B1401/1</f>
        <v>1.4748000000000001</v>
      </c>
      <c r="I1401" s="3">
        <f>GBP!C1401/1</f>
        <v>1.4744999999999999</v>
      </c>
      <c r="J1401" s="4">
        <f>1/INR!B1401</f>
        <v>1.5941335883947076E-2</v>
      </c>
      <c r="K1401" s="4">
        <f>1/INR!C1401</f>
        <v>1.5819655922483685E-2</v>
      </c>
      <c r="L1401" s="4">
        <f>1/JPY!B1401</f>
        <v>8.2392683529702564E-3</v>
      </c>
      <c r="M1401" s="4">
        <f>1/JPY!C1401</f>
        <v>8.2431736218444105E-3</v>
      </c>
      <c r="N1401" s="5">
        <f>1/KRW!B1401</f>
        <v>8.8566114604552305E-4</v>
      </c>
      <c r="O1401" s="5">
        <f>1/KRW!C1401</f>
        <v>8.8564781151997539E-4</v>
      </c>
      <c r="P1401" s="3">
        <f>1/NOK!B1401</f>
        <v>0.1202212070209185</v>
      </c>
      <c r="Q1401" s="3">
        <f>1/NOK!C1401</f>
        <v>0.12012589193474761</v>
      </c>
      <c r="R1401" s="3">
        <f>NZD!B1401/1</f>
        <v>0.73040000000000005</v>
      </c>
      <c r="S1401" s="3">
        <f>NZD!C1401/1</f>
        <v>0.72809999999999997</v>
      </c>
      <c r="T1401" s="4">
        <f>1/PHP!B1401</f>
        <v>2.2378874342620564E-2</v>
      </c>
      <c r="U1401" s="4">
        <f>1/PHP!C1401</f>
        <v>2.2334041322443255E-2</v>
      </c>
      <c r="V1401" s="4">
        <f>1/TWD!B1401</f>
        <v>3.1673634866337265E-2</v>
      </c>
      <c r="W1401" s="4">
        <f>1/TWD!C1401</f>
        <v>3.1673634866337265E-2</v>
      </c>
      <c r="X1401" s="4">
        <f>1/TWD!B1401</f>
        <v>3.1673634866337265E-2</v>
      </c>
      <c r="Y1401" s="4">
        <f>1/TWD!C1401</f>
        <v>3.1673634866337265E-2</v>
      </c>
      <c r="Z1401" s="4">
        <f>1/ZAR!B1401</f>
        <v>8.0904185173499024E-2</v>
      </c>
      <c r="AA1401" s="4">
        <f>1/ZAR!C1401</f>
        <v>8.0468001899044836E-2</v>
      </c>
    </row>
    <row r="1402" spans="1:27" x14ac:dyDescent="0.25">
      <c r="A1402" t="str">
        <f>"18/03/2015"</f>
        <v>18/03/2015</v>
      </c>
      <c r="B1402" s="3">
        <f>AUD!B1402</f>
        <v>0.77729999999999999</v>
      </c>
      <c r="C1402" s="3">
        <f>AUD!C1402</f>
        <v>0.77580000000000005</v>
      </c>
      <c r="D1402" s="3">
        <f>1/CAD!B1402</f>
        <v>0.79579818558013693</v>
      </c>
      <c r="E1402" s="3">
        <f>1/CAD!C1402</f>
        <v>0.79541839007317838</v>
      </c>
      <c r="F1402" s="3">
        <f>EUR!B1402/1</f>
        <v>1.0863</v>
      </c>
      <c r="G1402" s="3">
        <f>EUR!C1402/1</f>
        <v>1.0867</v>
      </c>
      <c r="H1402" s="3">
        <f>GBP!B1402/1</f>
        <v>1.4977</v>
      </c>
      <c r="I1402" s="3">
        <f>GBP!C1402/1</f>
        <v>1.4974000000000001</v>
      </c>
      <c r="J1402" s="4">
        <f>1/INR!B1402</f>
        <v>1.5950235265970173E-2</v>
      </c>
      <c r="K1402" s="4">
        <f>1/INR!C1402</f>
        <v>1.5833432292285159E-2</v>
      </c>
      <c r="L1402" s="4">
        <f>1/JPY!B1402</f>
        <v>8.3250083250083241E-3</v>
      </c>
      <c r="M1402" s="4">
        <f>1/JPY!C1402</f>
        <v>8.3288704469188599E-3</v>
      </c>
      <c r="N1402" s="5">
        <f>1/KRW!B1402</f>
        <v>8.8490093534028872E-4</v>
      </c>
      <c r="O1402" s="5">
        <f>1/KRW!C1402</f>
        <v>8.8488848502578431E-4</v>
      </c>
      <c r="P1402" s="3">
        <f>1/NOK!B1402</f>
        <v>0.12233014459423092</v>
      </c>
      <c r="Q1402" s="3">
        <f>1/NOK!C1402</f>
        <v>0.12223444566678891</v>
      </c>
      <c r="R1402" s="3">
        <f>NZD!B1402/1</f>
        <v>0.74809999999999999</v>
      </c>
      <c r="S1402" s="3">
        <f>NZD!C1402/1</f>
        <v>0.74590000000000001</v>
      </c>
      <c r="T1402" s="4">
        <f>1/PHP!B1402</f>
        <v>2.2259321090706736E-2</v>
      </c>
      <c r="U1402" s="4">
        <f>1/PHP!C1402</f>
        <v>2.2215656261593796E-2</v>
      </c>
      <c r="V1402" s="4">
        <f>1/TWD!B1402</f>
        <v>3.1603564882118705E-2</v>
      </c>
      <c r="W1402" s="4">
        <f>1/TWD!C1402</f>
        <v>3.1603564882118705E-2</v>
      </c>
      <c r="X1402" s="4">
        <f>1/TWD!B1402</f>
        <v>3.1603564882118705E-2</v>
      </c>
      <c r="Y1402" s="4">
        <f>1/TWD!C1402</f>
        <v>3.1603564882118705E-2</v>
      </c>
      <c r="Z1402" s="4">
        <f>1/ZAR!B1402</f>
        <v>8.2748576724480341E-2</v>
      </c>
      <c r="AA1402" s="4">
        <f>1/ZAR!C1402</f>
        <v>8.230317196424751E-2</v>
      </c>
    </row>
    <row r="1403" spans="1:27" x14ac:dyDescent="0.25">
      <c r="A1403" t="str">
        <f>"19/03/2015"</f>
        <v>19/03/2015</v>
      </c>
      <c r="B1403" s="3">
        <f>AUD!B1403</f>
        <v>0.76470000000000005</v>
      </c>
      <c r="C1403" s="3">
        <f>AUD!C1403</f>
        <v>0.76319999999999999</v>
      </c>
      <c r="D1403" s="3">
        <f>1/CAD!B1403</f>
        <v>0.7862871520679352</v>
      </c>
      <c r="E1403" s="3">
        <f>1/CAD!C1403</f>
        <v>0.78597814980743541</v>
      </c>
      <c r="F1403" s="3">
        <f>EUR!B1403/1</f>
        <v>1.0659000000000001</v>
      </c>
      <c r="G1403" s="3">
        <f>EUR!C1403/1</f>
        <v>1.0663</v>
      </c>
      <c r="H1403" s="3">
        <f>GBP!B1403/1</f>
        <v>1.4752000000000001</v>
      </c>
      <c r="I1403" s="3">
        <f>GBP!C1403/1</f>
        <v>1.4749000000000001</v>
      </c>
      <c r="J1403" s="4">
        <f>1/INR!B1403</f>
        <v>1.5994242072853774E-2</v>
      </c>
      <c r="K1403" s="4">
        <f>1/INR!C1403</f>
        <v>1.5874905742747154E-2</v>
      </c>
      <c r="L1403" s="4">
        <f>1/JPY!B1403</f>
        <v>8.2795164762377877E-3</v>
      </c>
      <c r="M1403" s="4">
        <f>1/JPY!C1403</f>
        <v>8.2827944823336275E-3</v>
      </c>
      <c r="N1403" s="5">
        <f>1/KRW!B1403</f>
        <v>8.9487860971659188E-4</v>
      </c>
      <c r="O1403" s="5">
        <f>1/KRW!C1403</f>
        <v>8.9486579697642735E-4</v>
      </c>
      <c r="P1403" s="3">
        <f>1/NOK!B1403</f>
        <v>0.12354372830263272</v>
      </c>
      <c r="Q1403" s="3">
        <f>1/NOK!C1403</f>
        <v>0.12345374188291648</v>
      </c>
      <c r="R1403" s="3">
        <f>NZD!B1403/1</f>
        <v>0.74099999999999999</v>
      </c>
      <c r="S1403" s="3">
        <f>NZD!C1403/1</f>
        <v>0.73880000000000001</v>
      </c>
      <c r="T1403" s="4">
        <f>1/PHP!B1403</f>
        <v>2.2251891410769917E-2</v>
      </c>
      <c r="U1403" s="4">
        <f>1/PHP!C1403</f>
        <v>2.220894620771139E-2</v>
      </c>
      <c r="V1403" s="4">
        <f>1/TWD!B1403</f>
        <v>3.1796502384737677E-2</v>
      </c>
      <c r="W1403" s="4">
        <f>1/TWD!C1403</f>
        <v>3.1796502384737677E-2</v>
      </c>
      <c r="X1403" s="4">
        <f>1/TWD!B1403</f>
        <v>3.1796502384737677E-2</v>
      </c>
      <c r="Y1403" s="4">
        <f>1/TWD!C1403</f>
        <v>3.1796502384737677E-2</v>
      </c>
      <c r="Z1403" s="4">
        <f>1/ZAR!B1403</f>
        <v>8.1154339322523569E-2</v>
      </c>
      <c r="AA1403" s="4">
        <f>1/ZAR!C1403</f>
        <v>8.0744137975582969E-2</v>
      </c>
    </row>
    <row r="1404" spans="1:27" x14ac:dyDescent="0.25">
      <c r="A1404" t="str">
        <f>"20/03/2015"</f>
        <v>20/03/2015</v>
      </c>
      <c r="B1404" s="3">
        <f>AUD!B1404</f>
        <v>0.77659999999999996</v>
      </c>
      <c r="C1404" s="3">
        <f>AUD!C1404</f>
        <v>0.77510000000000001</v>
      </c>
      <c r="D1404" s="3">
        <f>1/CAD!B1404</f>
        <v>0.7966857871255576</v>
      </c>
      <c r="E1404" s="3">
        <f>1/CAD!C1404</f>
        <v>0.79636855936927609</v>
      </c>
      <c r="F1404" s="3">
        <f>EUR!B1404/1</f>
        <v>1.0820000000000001</v>
      </c>
      <c r="G1404" s="3">
        <f>EUR!C1404/1</f>
        <v>1.0824</v>
      </c>
      <c r="H1404" s="3">
        <f>GBP!B1404/1</f>
        <v>1.4947999999999999</v>
      </c>
      <c r="I1404" s="3">
        <f>GBP!C1404/1</f>
        <v>1.4944999999999999</v>
      </c>
      <c r="J1404" s="4">
        <f>1/INR!B1404</f>
        <v>1.6007043098963544E-2</v>
      </c>
      <c r="K1404" s="4">
        <f>1/INR!C1404</f>
        <v>1.5884992653190898E-2</v>
      </c>
      <c r="L1404" s="4">
        <f>1/JPY!B1404</f>
        <v>8.3305564811729411E-3</v>
      </c>
      <c r="M1404" s="4">
        <f>1/JPY!C1404</f>
        <v>8.333986162249377E-3</v>
      </c>
      <c r="N1404" s="5">
        <f>1/KRW!B1404</f>
        <v>8.903530249744023E-4</v>
      </c>
      <c r="O1404" s="5">
        <f>1/KRW!C1404</f>
        <v>8.9034137201783495E-4</v>
      </c>
      <c r="P1404" s="3">
        <f>1/NOK!B1404</f>
        <v>0.12433635470675271</v>
      </c>
      <c r="Q1404" s="3">
        <f>1/NOK!C1404</f>
        <v>0.12421897320596748</v>
      </c>
      <c r="R1404" s="3">
        <f>NZD!B1404/1</f>
        <v>0.75590000000000002</v>
      </c>
      <c r="S1404" s="3">
        <f>NZD!C1404/1</f>
        <v>0.75370000000000004</v>
      </c>
      <c r="T1404" s="4">
        <f>1/PHP!B1404</f>
        <v>2.2197558268590458E-2</v>
      </c>
      <c r="U1404" s="4">
        <f>1/PHP!C1404</f>
        <v>2.2155264090747959E-2</v>
      </c>
      <c r="V1404" s="4">
        <f>1/TWD!B1404</f>
        <v>3.1764182707578935E-2</v>
      </c>
      <c r="W1404" s="4">
        <f>1/TWD!C1404</f>
        <v>3.1764182707578935E-2</v>
      </c>
      <c r="X1404" s="4">
        <f>1/TWD!B1404</f>
        <v>3.1764182707578935E-2</v>
      </c>
      <c r="Y1404" s="4">
        <f>1/TWD!C1404</f>
        <v>3.1764182707578935E-2</v>
      </c>
      <c r="Z1404" s="4">
        <f>1/ZAR!B1404</f>
        <v>8.3054408943298755E-2</v>
      </c>
      <c r="AA1404" s="4">
        <f>1/ZAR!C1404</f>
        <v>8.2623460105262295E-2</v>
      </c>
    </row>
    <row r="1405" spans="1:27" x14ac:dyDescent="0.25">
      <c r="A1405" t="str">
        <f>"23/03/2015"</f>
        <v>23/03/2015</v>
      </c>
      <c r="B1405" s="3">
        <f>AUD!B1405</f>
        <v>0.78800000000000003</v>
      </c>
      <c r="C1405" s="3">
        <f>AUD!C1405</f>
        <v>0.78639999999999999</v>
      </c>
      <c r="D1405" s="3">
        <f>1/CAD!B1405</f>
        <v>0.79853070350554978</v>
      </c>
      <c r="E1405" s="3">
        <f>1/CAD!C1405</f>
        <v>0.79814829595338821</v>
      </c>
      <c r="F1405" s="3">
        <f>EUR!B1405/1</f>
        <v>1.0945</v>
      </c>
      <c r="G1405" s="3">
        <f>EUR!C1405/1</f>
        <v>1.0949</v>
      </c>
      <c r="H1405" s="3">
        <f>GBP!B1405/1</f>
        <v>1.4952000000000001</v>
      </c>
      <c r="I1405" s="3">
        <f>GBP!C1405/1</f>
        <v>1.4948999999999999</v>
      </c>
      <c r="J1405" s="4">
        <f>1/INR!B1405</f>
        <v>1.6056518946692355E-2</v>
      </c>
      <c r="K1405" s="4">
        <f>1/INR!C1405</f>
        <v>1.5925468805987976E-2</v>
      </c>
      <c r="L1405" s="4">
        <f>1/JPY!B1405</f>
        <v>8.3521256159692636E-3</v>
      </c>
      <c r="M1405" s="4">
        <f>1/JPY!C1405</f>
        <v>8.3559361405936387E-3</v>
      </c>
      <c r="N1405" s="5">
        <f>1/KRW!B1405</f>
        <v>8.9702993388889388E-4</v>
      </c>
      <c r="O1405" s="5">
        <f>1/KRW!C1405</f>
        <v>8.9701746179041998E-4</v>
      </c>
      <c r="P1405" s="3">
        <f>1/NOK!B1405</f>
        <v>0.12668651422056121</v>
      </c>
      <c r="Q1405" s="3">
        <f>1/NOK!C1405</f>
        <v>0.12655664675508757</v>
      </c>
      <c r="R1405" s="3">
        <f>NZD!B1405/1</f>
        <v>0.76519999999999999</v>
      </c>
      <c r="S1405" s="3">
        <f>NZD!C1405/1</f>
        <v>0.76270000000000004</v>
      </c>
      <c r="T1405" s="4">
        <f>1/PHP!B1405</f>
        <v>2.2234574763757644E-2</v>
      </c>
      <c r="U1405" s="4">
        <f>1/PHP!C1405</f>
        <v>2.2189431173931858E-2</v>
      </c>
      <c r="V1405" s="4">
        <f>1/TWD!B1405</f>
        <v>3.1800546969407872E-2</v>
      </c>
      <c r="W1405" s="4">
        <f>1/TWD!C1405</f>
        <v>3.1800546969407872E-2</v>
      </c>
      <c r="X1405" s="4">
        <f>1/TWD!B1405</f>
        <v>3.1800546969407872E-2</v>
      </c>
      <c r="Y1405" s="4">
        <f>1/TWD!C1405</f>
        <v>3.1800546969407872E-2</v>
      </c>
      <c r="Z1405" s="4">
        <f>1/ZAR!B1405</f>
        <v>8.3978568669275597E-2</v>
      </c>
      <c r="AA1405" s="4">
        <f>1/ZAR!C1405</f>
        <v>8.3553357173891243E-2</v>
      </c>
    </row>
    <row r="1406" spans="1:27" x14ac:dyDescent="0.25">
      <c r="A1406" t="str">
        <f>"24/03/2015"</f>
        <v>24/03/2015</v>
      </c>
      <c r="B1406" s="3">
        <f>AUD!B1406</f>
        <v>0.78759999999999997</v>
      </c>
      <c r="C1406" s="3">
        <f>AUD!C1406</f>
        <v>0.78610000000000002</v>
      </c>
      <c r="D1406" s="3">
        <f>1/CAD!B1406</f>
        <v>0.80044825102057149</v>
      </c>
      <c r="E1406" s="3">
        <f>1/CAD!C1406</f>
        <v>0.80006400512040965</v>
      </c>
      <c r="F1406" s="3">
        <f>EUR!B1406/1</f>
        <v>1.0924</v>
      </c>
      <c r="G1406" s="3">
        <f>EUR!C1406/1</f>
        <v>1.0928</v>
      </c>
      <c r="H1406" s="3">
        <f>GBP!B1406/1</f>
        <v>1.4850000000000001</v>
      </c>
      <c r="I1406" s="3">
        <f>GBP!C1406/1</f>
        <v>1.4846999999999999</v>
      </c>
      <c r="J1406" s="4">
        <f>1/INR!B1406</f>
        <v>1.6060387055328033E-2</v>
      </c>
      <c r="K1406" s="4">
        <f>1/INR!C1406</f>
        <v>1.5931811845302107E-2</v>
      </c>
      <c r="L1406" s="4">
        <f>1/JPY!B1406</f>
        <v>8.3500334001335996E-3</v>
      </c>
      <c r="M1406" s="4">
        <f>1/JPY!C1406</f>
        <v>8.3534302943832368E-3</v>
      </c>
      <c r="N1406" s="5">
        <f>1/KRW!B1406</f>
        <v>9.0495280671113007E-4</v>
      </c>
      <c r="O1406" s="5">
        <f>1/KRW!C1406</f>
        <v>9.0493577308844086E-4</v>
      </c>
      <c r="P1406" s="3">
        <f>1/NOK!B1406</f>
        <v>0.12721189685659404</v>
      </c>
      <c r="Q1406" s="3">
        <f>1/NOK!C1406</f>
        <v>0.12708902586261675</v>
      </c>
      <c r="R1406" s="3">
        <f>NZD!B1406/1</f>
        <v>0.7651</v>
      </c>
      <c r="S1406" s="3">
        <f>NZD!C1406/1</f>
        <v>0.76259999999999994</v>
      </c>
      <c r="T1406" s="4">
        <f>1/PHP!B1406</f>
        <v>2.2381378692927483E-2</v>
      </c>
      <c r="U1406" s="4">
        <f>1/PHP!C1406</f>
        <v>2.2335438076114704E-2</v>
      </c>
      <c r="V1406" s="4">
        <f>1/TWD!B1406</f>
        <v>3.1929499664740256E-2</v>
      </c>
      <c r="W1406" s="4">
        <f>1/TWD!C1406</f>
        <v>3.1929499664740256E-2</v>
      </c>
      <c r="X1406" s="4">
        <f>1/TWD!B1406</f>
        <v>3.1929499664740256E-2</v>
      </c>
      <c r="Y1406" s="4">
        <f>1/TWD!C1406</f>
        <v>3.1929499664740256E-2</v>
      </c>
      <c r="Z1406" s="4">
        <f>1/ZAR!B1406</f>
        <v>8.4691933093372862E-2</v>
      </c>
      <c r="AA1406" s="4">
        <f>1/ZAR!C1406</f>
        <v>8.4219746161685066E-2</v>
      </c>
    </row>
    <row r="1407" spans="1:27" x14ac:dyDescent="0.25">
      <c r="A1407" t="str">
        <f>"25/03/2015"</f>
        <v>25/03/2015</v>
      </c>
      <c r="B1407" s="3">
        <f>AUD!B1407</f>
        <v>0.7843</v>
      </c>
      <c r="C1407" s="3">
        <f>AUD!C1407</f>
        <v>0.78290000000000004</v>
      </c>
      <c r="D1407" s="3">
        <f>1/CAD!B1407</f>
        <v>0.79872204472843455</v>
      </c>
      <c r="E1407" s="3">
        <f>1/CAD!C1407</f>
        <v>0.79840319361277445</v>
      </c>
      <c r="F1407" s="3">
        <f>EUR!B1407/1</f>
        <v>1.0969</v>
      </c>
      <c r="G1407" s="3">
        <f>EUR!C1407/1</f>
        <v>1.0972999999999999</v>
      </c>
      <c r="H1407" s="3">
        <f>GBP!B1407/1</f>
        <v>1.488</v>
      </c>
      <c r="I1407" s="3">
        <f>GBP!C1407/1</f>
        <v>1.4877</v>
      </c>
      <c r="J1407" s="4">
        <f>1/INR!B1407</f>
        <v>1.6041065126724412E-2</v>
      </c>
      <c r="K1407" s="4">
        <f>1/INR!C1407</f>
        <v>1.5912797867685086E-2</v>
      </c>
      <c r="L1407" s="4">
        <f>1/JPY!B1407</f>
        <v>8.368200836820083E-3</v>
      </c>
      <c r="M1407" s="4">
        <f>1/JPY!C1407</f>
        <v>8.3714443336623309E-3</v>
      </c>
      <c r="N1407" s="5">
        <f>1/KRW!B1407</f>
        <v>9.0789413954332917E-4</v>
      </c>
      <c r="O1407" s="5">
        <f>1/KRW!C1407</f>
        <v>9.0787897319614431E-4</v>
      </c>
      <c r="P1407" s="3">
        <f>1/NOK!B1407</f>
        <v>0.12744373359161931</v>
      </c>
      <c r="Q1407" s="3">
        <f>1/NOK!C1407</f>
        <v>0.1273204145552698</v>
      </c>
      <c r="R1407" s="3">
        <f>NZD!B1407/1</f>
        <v>0.76039999999999996</v>
      </c>
      <c r="S1407" s="3">
        <f>NZD!C1407/1</f>
        <v>0.75800000000000001</v>
      </c>
      <c r="T1407" s="4">
        <f>1/PHP!B1407</f>
        <v>2.2308979364194088E-2</v>
      </c>
      <c r="U1407" s="4">
        <f>1/PHP!C1407</f>
        <v>2.2263186485355274E-2</v>
      </c>
      <c r="V1407" s="4">
        <f>1/TWD!B1407</f>
        <v>3.1982601464803147E-2</v>
      </c>
      <c r="W1407" s="4">
        <f>1/TWD!C1407</f>
        <v>3.1982601464803147E-2</v>
      </c>
      <c r="X1407" s="4">
        <f>1/TWD!B1407</f>
        <v>3.1982601464803147E-2</v>
      </c>
      <c r="Y1407" s="4">
        <f>1/TWD!C1407</f>
        <v>3.1982601464803147E-2</v>
      </c>
      <c r="Z1407" s="4">
        <f>1/ZAR!B1407</f>
        <v>8.4318453936828616E-2</v>
      </c>
      <c r="AA1407" s="4">
        <f>1/ZAR!C1407</f>
        <v>8.3870101986044013E-2</v>
      </c>
    </row>
    <row r="1408" spans="1:27" x14ac:dyDescent="0.25">
      <c r="A1408" t="str">
        <f>"26/03/2015"</f>
        <v>26/03/2015</v>
      </c>
      <c r="B1408" s="3">
        <f>AUD!B1408</f>
        <v>0.78269999999999995</v>
      </c>
      <c r="C1408" s="3">
        <f>AUD!C1408</f>
        <v>0.78129999999999999</v>
      </c>
      <c r="D1408" s="3">
        <f>1/CAD!B1408</f>
        <v>0.80108948169510541</v>
      </c>
      <c r="E1408" s="3">
        <f>1/CAD!C1408</f>
        <v>0.80076873798846904</v>
      </c>
      <c r="F1408" s="3">
        <f>EUR!B1408/1</f>
        <v>1.0884</v>
      </c>
      <c r="G1408" s="3">
        <f>EUR!C1408/1</f>
        <v>1.0888</v>
      </c>
      <c r="H1408" s="3">
        <f>GBP!B1408/1</f>
        <v>1.4849000000000001</v>
      </c>
      <c r="I1408" s="3">
        <f>GBP!C1408/1</f>
        <v>1.4845999999999999</v>
      </c>
      <c r="J1408" s="4">
        <f>1/INR!B1408</f>
        <v>1.5955325089748704E-2</v>
      </c>
      <c r="K1408" s="4">
        <f>1/INR!C1408</f>
        <v>1.5826541109440533E-2</v>
      </c>
      <c r="L1408" s="4">
        <f>1/JPY!B1408</f>
        <v>8.3899656011410355E-3</v>
      </c>
      <c r="M1408" s="4">
        <f>1/JPY!C1408</f>
        <v>8.3934232492787943E-3</v>
      </c>
      <c r="N1408" s="5">
        <f>1/KRW!B1408</f>
        <v>9.025270758122744E-4</v>
      </c>
      <c r="O1408" s="5">
        <f>1/KRW!C1408</f>
        <v>9.0251567218464757E-4</v>
      </c>
      <c r="P1408" s="3">
        <f>1/NOK!B1408</f>
        <v>0.12622278321236982</v>
      </c>
      <c r="Q1408" s="3">
        <f>1/NOK!C1408</f>
        <v>0.12610181460511216</v>
      </c>
      <c r="R1408" s="3">
        <f>NZD!B1408/1</f>
        <v>0.75939999999999996</v>
      </c>
      <c r="S1408" s="3">
        <f>NZD!C1408/1</f>
        <v>0.7571</v>
      </c>
      <c r="T1408" s="4">
        <f>1/PHP!B1408</f>
        <v>2.2301516503122211E-2</v>
      </c>
      <c r="U1408" s="4">
        <f>1/PHP!C1408</f>
        <v>2.2257091665832028E-2</v>
      </c>
      <c r="V1408" s="4">
        <f>1/TWD!B1408</f>
        <v>3.1992833605272421E-2</v>
      </c>
      <c r="W1408" s="4">
        <f>1/TWD!C1408</f>
        <v>3.1992833605272421E-2</v>
      </c>
      <c r="X1408" s="4">
        <f>1/TWD!B1408</f>
        <v>3.1992833605272421E-2</v>
      </c>
      <c r="Y1408" s="4">
        <f>1/TWD!C1408</f>
        <v>3.1992833605272421E-2</v>
      </c>
      <c r="Z1408" s="4">
        <f>1/ZAR!B1408</f>
        <v>8.3318752551636788E-2</v>
      </c>
      <c r="AA1408" s="4">
        <f>1/ZAR!C1408</f>
        <v>8.2893308023243281E-2</v>
      </c>
    </row>
    <row r="1409" spans="1:27" x14ac:dyDescent="0.25">
      <c r="A1409" t="str">
        <f>"27/03/2015"</f>
        <v>27/03/2015</v>
      </c>
      <c r="B1409" s="3">
        <f>AUD!B1409</f>
        <v>0.77480000000000004</v>
      </c>
      <c r="C1409" s="3">
        <f>AUD!C1409</f>
        <v>0.77339999999999998</v>
      </c>
      <c r="D1409" s="3">
        <f>1/CAD!B1409</f>
        <v>0.79302141157811268</v>
      </c>
      <c r="E1409" s="3">
        <f>1/CAD!C1409</f>
        <v>0.79264426125554843</v>
      </c>
      <c r="F1409" s="3">
        <f>EUR!B1409/1</f>
        <v>1.0888</v>
      </c>
      <c r="G1409" s="3">
        <f>EUR!C1409/1</f>
        <v>1.0891999999999999</v>
      </c>
      <c r="H1409" s="3">
        <f>GBP!B1409/1</f>
        <v>1.4878</v>
      </c>
      <c r="I1409" s="3">
        <f>GBP!C1409/1</f>
        <v>1.4875</v>
      </c>
      <c r="J1409" s="4">
        <f>1/INR!B1409</f>
        <v>1.601986463214386E-2</v>
      </c>
      <c r="K1409" s="4">
        <f>1/INR!C1409</f>
        <v>1.589004091685536E-2</v>
      </c>
      <c r="L1409" s="4">
        <f>1/JPY!B1409</f>
        <v>8.3934866543562189E-3</v>
      </c>
      <c r="M1409" s="4">
        <f>1/JPY!C1409</f>
        <v>8.3974831063633616E-3</v>
      </c>
      <c r="N1409" s="5">
        <f>1/KRW!B1409</f>
        <v>9.0620752152242867E-4</v>
      </c>
      <c r="O1409" s="5">
        <f>1/KRW!C1409</f>
        <v>9.0619717436846668E-4</v>
      </c>
      <c r="P1409" s="3">
        <f>1/NOK!B1409</f>
        <v>0.1252944419385556</v>
      </c>
      <c r="Q1409" s="3">
        <f>1/NOK!C1409</f>
        <v>0.1251705448673818</v>
      </c>
      <c r="R1409" s="3">
        <f>NZD!B1409/1</f>
        <v>0.75609999999999999</v>
      </c>
      <c r="S1409" s="3">
        <f>NZD!C1409/1</f>
        <v>0.75390000000000001</v>
      </c>
      <c r="T1409" s="4">
        <f>1/PHP!B1409</f>
        <v>2.230549607423269E-2</v>
      </c>
      <c r="U1409" s="4">
        <f>1/PHP!C1409</f>
        <v>2.2263731713127365E-2</v>
      </c>
      <c r="V1409" s="4">
        <f>1/TWD!B1409</f>
        <v>3.1979533098816758E-2</v>
      </c>
      <c r="W1409" s="4">
        <f>1/TWD!C1409</f>
        <v>3.1979533098816758E-2</v>
      </c>
      <c r="X1409" s="4">
        <f>1/TWD!B1409</f>
        <v>3.1979533098816758E-2</v>
      </c>
      <c r="Y1409" s="4">
        <f>1/TWD!C1409</f>
        <v>3.1979533098816758E-2</v>
      </c>
      <c r="Z1409" s="4">
        <f>1/ZAR!B1409</f>
        <v>8.2896056634585893E-2</v>
      </c>
      <c r="AA1409" s="4">
        <f>1/ZAR!C1409</f>
        <v>8.2481709680878257E-2</v>
      </c>
    </row>
    <row r="1410" spans="1:27" x14ac:dyDescent="0.25">
      <c r="A1410" t="str">
        <f>"30/03/2015"</f>
        <v>30/03/2015</v>
      </c>
      <c r="B1410" s="3">
        <f>AUD!B1410</f>
        <v>0.76529999999999998</v>
      </c>
      <c r="C1410" s="3">
        <f>AUD!C1410</f>
        <v>0.76390000000000002</v>
      </c>
      <c r="D1410" s="3">
        <f>1/CAD!B1410</f>
        <v>0.78889239507731146</v>
      </c>
      <c r="E1410" s="3">
        <f>1/CAD!C1410</f>
        <v>0.7885813421654444</v>
      </c>
      <c r="F1410" s="3">
        <f>EUR!B1410/1</f>
        <v>1.0832999999999999</v>
      </c>
      <c r="G1410" s="3">
        <f>EUR!C1410/1</f>
        <v>1.0838000000000001</v>
      </c>
      <c r="H1410" s="3">
        <f>GBP!B1410/1</f>
        <v>1.4809000000000001</v>
      </c>
      <c r="I1410" s="3">
        <f>GBP!C1410/1</f>
        <v>1.4805999999999999</v>
      </c>
      <c r="J1410" s="4">
        <f>1/INR!B1410</f>
        <v>1.5954052329291639E-2</v>
      </c>
      <c r="K1410" s="4">
        <f>1/INR!C1410</f>
        <v>1.5843466550481244E-2</v>
      </c>
      <c r="L1410" s="4">
        <f>1/JPY!B1410</f>
        <v>8.327781479013991E-3</v>
      </c>
      <c r="M1410" s="4">
        <f>1/JPY!C1410</f>
        <v>8.3307855014341445E-3</v>
      </c>
      <c r="N1410" s="5">
        <f>1/KRW!B1410</f>
        <v>9.0479723493965003E-4</v>
      </c>
      <c r="O1410" s="5">
        <f>1/KRW!C1410</f>
        <v>9.0478495523576446E-4</v>
      </c>
      <c r="P1410" s="3">
        <f>1/NOK!B1410</f>
        <v>0.12465874668096086</v>
      </c>
      <c r="Q1410" s="3">
        <f>1/NOK!C1410</f>
        <v>0.12454230702169526</v>
      </c>
      <c r="R1410" s="3">
        <f>NZD!B1410/1</f>
        <v>0.74960000000000004</v>
      </c>
      <c r="S1410" s="3">
        <f>NZD!C1410/1</f>
        <v>0.74739999999999995</v>
      </c>
      <c r="T1410" s="4">
        <f>1/PHP!B1410</f>
        <v>2.231644722160232E-2</v>
      </c>
      <c r="U1410" s="4">
        <f>1/PHP!C1410</f>
        <v>2.2276180080639772E-2</v>
      </c>
      <c r="V1410" s="4">
        <f>1/TWD!B1410</f>
        <v>3.1930519190242035E-2</v>
      </c>
      <c r="W1410" s="4">
        <f>1/TWD!C1410</f>
        <v>3.1930519190242035E-2</v>
      </c>
      <c r="X1410" s="4">
        <f>1/TWD!B1410</f>
        <v>3.1930519190242035E-2</v>
      </c>
      <c r="Y1410" s="4">
        <f>1/TWD!C1410</f>
        <v>3.1930519190242035E-2</v>
      </c>
      <c r="Z1410" s="4">
        <f>1/ZAR!B1410</f>
        <v>8.2263902599539321E-2</v>
      </c>
      <c r="AA1410" s="4">
        <f>1/ZAR!C1410</f>
        <v>8.1860526035740303E-2</v>
      </c>
    </row>
    <row r="1411" spans="1:27" x14ac:dyDescent="0.25">
      <c r="A1411" t="str">
        <f>"31/03/2015"</f>
        <v>31/03/2015</v>
      </c>
      <c r="B1411" s="3">
        <f>AUD!B1411</f>
        <v>0.76060000000000005</v>
      </c>
      <c r="C1411" s="3">
        <f>AUD!C1411</f>
        <v>0.75919999999999999</v>
      </c>
      <c r="D1411" s="3">
        <f>1/CAD!B1411</f>
        <v>0.78827053444742234</v>
      </c>
      <c r="E1411" s="3">
        <f>1/CAD!C1411</f>
        <v>0.78795997163344111</v>
      </c>
      <c r="F1411" s="3">
        <f>EUR!B1411/1</f>
        <v>1.0730999999999999</v>
      </c>
      <c r="G1411" s="3">
        <f>EUR!C1411/1</f>
        <v>1.0734999999999999</v>
      </c>
      <c r="H1411" s="3">
        <f>GBP!B1411/1</f>
        <v>1.4817</v>
      </c>
      <c r="I1411" s="3">
        <f>GBP!C1411/1</f>
        <v>1.4814000000000001</v>
      </c>
      <c r="J1411" s="4">
        <f>1/INR!B1411</f>
        <v>1.5954052329291639E-2</v>
      </c>
      <c r="K1411" s="4">
        <f>1/INR!C1411</f>
        <v>1.5845977102563087E-2</v>
      </c>
      <c r="L1411" s="4">
        <f>1/JPY!B1411</f>
        <v>8.324315325064514E-3</v>
      </c>
      <c r="M1411" s="4">
        <f>1/JPY!C1411</f>
        <v>8.328051960381791E-3</v>
      </c>
      <c r="N1411" s="5">
        <f>1/KRW!B1411</f>
        <v>9.0094148385062389E-4</v>
      </c>
      <c r="O1411" s="5">
        <f>1/KRW!C1411</f>
        <v>9.0092930858180222E-4</v>
      </c>
      <c r="P1411" s="3">
        <f>1/NOK!B1411</f>
        <v>0.12390806021931729</v>
      </c>
      <c r="Q1411" s="3">
        <f>1/NOK!C1411</f>
        <v>0.12378229170534864</v>
      </c>
      <c r="R1411" s="3">
        <f>NZD!B1411/1</f>
        <v>0.74650000000000005</v>
      </c>
      <c r="S1411" s="3">
        <f>NZD!C1411/1</f>
        <v>0.74419999999999997</v>
      </c>
      <c r="T1411" s="4">
        <f>1/PHP!B1411</f>
        <v>2.23463687150838E-2</v>
      </c>
      <c r="U1411" s="4">
        <f>1/PHP!C1411</f>
        <v>2.2303655346074668E-2</v>
      </c>
      <c r="V1411" s="4">
        <f>1/TWD!B1411</f>
        <v>3.1932558436581937E-2</v>
      </c>
      <c r="W1411" s="4">
        <f>1/TWD!C1411</f>
        <v>3.1932558436581937E-2</v>
      </c>
      <c r="X1411" s="4">
        <f>1/TWD!B1411</f>
        <v>3.1932558436581937E-2</v>
      </c>
      <c r="Y1411" s="4">
        <f>1/TWD!C1411</f>
        <v>3.1932558436581937E-2</v>
      </c>
      <c r="Z1411" s="4">
        <f>1/ZAR!B1411</f>
        <v>8.2358754735628398E-2</v>
      </c>
      <c r="AA1411" s="4">
        <f>1/ZAR!C1411</f>
        <v>8.1910815504079165E-2</v>
      </c>
    </row>
    <row r="1412" spans="1:27" x14ac:dyDescent="0.25">
      <c r="A1412" t="str">
        <f>"06/04/2015"</f>
        <v>06/04/2015</v>
      </c>
      <c r="B1412" s="3">
        <f>AUD!B1412</f>
        <v>0.75900000000000001</v>
      </c>
      <c r="C1412" s="3">
        <f>AUD!C1412</f>
        <v>0.75770000000000004</v>
      </c>
      <c r="D1412" s="3">
        <f>1/CAD!B1412</f>
        <v>0.80108948169510541</v>
      </c>
      <c r="E1412" s="3">
        <f>1/CAD!C1412</f>
        <v>0.80076873798846904</v>
      </c>
      <c r="F1412" s="3">
        <f>EUR!B1412/1</f>
        <v>1.0921000000000001</v>
      </c>
      <c r="G1412" s="3">
        <f>EUR!C1412/1</f>
        <v>1.0925</v>
      </c>
      <c r="H1412" s="3">
        <f>GBP!B1412/1</f>
        <v>1.4879</v>
      </c>
      <c r="I1412" s="3">
        <f>GBP!C1412/1</f>
        <v>1.4876</v>
      </c>
      <c r="J1412" s="4">
        <f>1/INR!B1412</f>
        <v>1.6079755587715069E-2</v>
      </c>
      <c r="K1412" s="4">
        <f>1/INR!C1412</f>
        <v>1.5971251746855659E-2</v>
      </c>
      <c r="L1412" s="4">
        <f>1/JPY!B1412</f>
        <v>8.3654007026936587E-3</v>
      </c>
      <c r="M1412" s="4">
        <f>1/JPY!C1412</f>
        <v>8.3681728261997441E-3</v>
      </c>
      <c r="N1412" s="5">
        <f>1/KRW!B1412</f>
        <v>9.2140422003132781E-4</v>
      </c>
      <c r="O1412" s="5">
        <f>1/KRW!C1412</f>
        <v>9.2139157031751796E-4</v>
      </c>
      <c r="P1412" s="3">
        <f>1/NOK!B1412</f>
        <v>0.12554297335978107</v>
      </c>
      <c r="Q1412" s="3">
        <f>1/NOK!C1412</f>
        <v>0.12542173056903841</v>
      </c>
      <c r="R1412" s="3">
        <f>NZD!B1412/1</f>
        <v>0.75390000000000001</v>
      </c>
      <c r="S1412" s="3">
        <f>NZD!C1412/1</f>
        <v>0.75170000000000003</v>
      </c>
      <c r="T1412" s="4">
        <f>1/PHP!B1412</f>
        <v>2.2502250225022502E-2</v>
      </c>
      <c r="U1412" s="4">
        <f>1/PHP!C1412</f>
        <v>2.2460856342608918E-2</v>
      </c>
      <c r="V1412" s="4">
        <f>1/TWD!B1412</f>
        <v>3.2331070158422244E-2</v>
      </c>
      <c r="W1412" s="4">
        <f>1/TWD!C1412</f>
        <v>3.2331070158422244E-2</v>
      </c>
      <c r="X1412" s="4">
        <f>1/TWD!B1412</f>
        <v>3.2331070158422244E-2</v>
      </c>
      <c r="Y1412" s="4">
        <f>1/TWD!C1412</f>
        <v>3.2331070158422244E-2</v>
      </c>
      <c r="Z1412" s="4">
        <f>1/ZAR!B1412</f>
        <v>8.4603084628465552E-2</v>
      </c>
      <c r="AA1412" s="4">
        <f>1/ZAR!C1412</f>
        <v>8.417720986220191E-2</v>
      </c>
    </row>
    <row r="1413" spans="1:27" x14ac:dyDescent="0.25">
      <c r="A1413" t="str">
        <f>"07/04/2015"</f>
        <v>07/04/2015</v>
      </c>
      <c r="B1413" s="3">
        <f>AUD!B1413</f>
        <v>0.76319999999999999</v>
      </c>
      <c r="C1413" s="3">
        <f>AUD!C1413</f>
        <v>0.76170000000000004</v>
      </c>
      <c r="D1413" s="3">
        <f>1/CAD!B1413</f>
        <v>0.79961618423156888</v>
      </c>
      <c r="E1413" s="3">
        <f>1/CAD!C1413</f>
        <v>0.79929661897530169</v>
      </c>
      <c r="F1413" s="3">
        <f>EUR!B1413/1</f>
        <v>1.0813999999999999</v>
      </c>
      <c r="G1413" s="3">
        <f>EUR!C1413/1</f>
        <v>1.0818000000000001</v>
      </c>
      <c r="H1413" s="3">
        <f>GBP!B1413/1</f>
        <v>1.4806999999999999</v>
      </c>
      <c r="I1413" s="3">
        <f>GBP!C1413/1</f>
        <v>1.4803999999999999</v>
      </c>
      <c r="J1413" s="4">
        <f>1/INR!B1413</f>
        <v>1.6061676839061997E-2</v>
      </c>
      <c r="K1413" s="4">
        <f>1/INR!C1413</f>
        <v>1.5945784333266894E-2</v>
      </c>
      <c r="L1413" s="4">
        <f>1/JPY!B1413</f>
        <v>8.3139341536415026E-3</v>
      </c>
      <c r="M1413" s="4">
        <f>1/JPY!C1413</f>
        <v>8.3168936069702229E-3</v>
      </c>
      <c r="N1413" s="5">
        <f>1/KRW!B1413</f>
        <v>9.1852668320014698E-4</v>
      </c>
      <c r="O1413" s="5">
        <f>1/KRW!C1413</f>
        <v>9.1851478730733819E-4</v>
      </c>
      <c r="P1413" s="3">
        <f>1/NOK!B1413</f>
        <v>0.12357578903141296</v>
      </c>
      <c r="Q1413" s="3">
        <f>1/NOK!C1413</f>
        <v>0.12345983851453123</v>
      </c>
      <c r="R1413" s="3">
        <f>NZD!B1413/1</f>
        <v>0.74909999999999999</v>
      </c>
      <c r="S1413" s="3">
        <f>NZD!C1413/1</f>
        <v>0.74670000000000003</v>
      </c>
      <c r="T1413" s="4">
        <f>1/PHP!B1413</f>
        <v>2.2402939265631652E-2</v>
      </c>
      <c r="U1413" s="4">
        <f>1/PHP!C1413</f>
        <v>2.2359859580081836E-2</v>
      </c>
      <c r="V1413" s="4">
        <f>1/TWD!B1413</f>
        <v>3.2231032037645845E-2</v>
      </c>
      <c r="W1413" s="4">
        <f>1/TWD!C1413</f>
        <v>3.2231032037645845E-2</v>
      </c>
      <c r="X1413" s="4">
        <f>1/TWD!B1413</f>
        <v>3.2231032037645845E-2</v>
      </c>
      <c r="Y1413" s="4">
        <f>1/TWD!C1413</f>
        <v>3.2231032037645845E-2</v>
      </c>
      <c r="Z1413" s="4">
        <f>1/ZAR!B1413</f>
        <v>8.4068936527952928E-2</v>
      </c>
      <c r="AA1413" s="4">
        <f>1/ZAR!C1413</f>
        <v>8.36547068320799E-2</v>
      </c>
    </row>
    <row r="1414" spans="1:27" x14ac:dyDescent="0.25">
      <c r="A1414" t="str">
        <f>"08/04/2015"</f>
        <v>08/04/2015</v>
      </c>
      <c r="B1414" s="3">
        <f>AUD!B1414</f>
        <v>0.76829999999999998</v>
      </c>
      <c r="C1414" s="3">
        <f>AUD!C1414</f>
        <v>0.76680000000000004</v>
      </c>
      <c r="D1414" s="3">
        <f>1/CAD!B1414</f>
        <v>0.79700326771339769</v>
      </c>
      <c r="E1414" s="3">
        <f>1/CAD!C1414</f>
        <v>0.79662232135744437</v>
      </c>
      <c r="F1414" s="3">
        <f>EUR!B1414/1</f>
        <v>1.0780000000000001</v>
      </c>
      <c r="G1414" s="3">
        <f>EUR!C1414/1</f>
        <v>1.0784</v>
      </c>
      <c r="H1414" s="3">
        <f>GBP!B1414/1</f>
        <v>1.4865999999999999</v>
      </c>
      <c r="I1414" s="3">
        <f>GBP!C1414/1</f>
        <v>1.4863</v>
      </c>
      <c r="J1414" s="4">
        <f>1/INR!B1414</f>
        <v>1.6064257028112448E-2</v>
      </c>
      <c r="K1414" s="4">
        <f>1/INR!C1414</f>
        <v>1.5952143569292122E-2</v>
      </c>
      <c r="L1414" s="4">
        <f>1/JPY!B1414</f>
        <v>8.3236224404861E-3</v>
      </c>
      <c r="M1414" s="4">
        <f>1/JPY!C1414</f>
        <v>8.3265679968359037E-3</v>
      </c>
      <c r="N1414" s="5">
        <f>1/KRW!B1414</f>
        <v>9.1640549110170262E-4</v>
      </c>
      <c r="O1414" s="5">
        <f>1/KRW!C1414</f>
        <v>9.1639415395513419E-4</v>
      </c>
      <c r="P1414" s="3">
        <f>1/NOK!B1414</f>
        <v>0.12396796667741057</v>
      </c>
      <c r="Q1414" s="3">
        <f>1/NOK!C1414</f>
        <v>0.12384361028892714</v>
      </c>
      <c r="R1414" s="3">
        <f>NZD!B1414/1</f>
        <v>0.75490000000000002</v>
      </c>
      <c r="S1414" s="3">
        <f>NZD!C1414/1</f>
        <v>0.75260000000000005</v>
      </c>
      <c r="T1414" s="4">
        <f>1/PHP!B1414</f>
        <v>2.2487069934787499E-2</v>
      </c>
      <c r="U1414" s="4">
        <f>1/PHP!C1414</f>
        <v>2.2440997008615099E-2</v>
      </c>
      <c r="V1414" s="4">
        <f>1/TWD!B1414</f>
        <v>3.2185387833923398E-2</v>
      </c>
      <c r="W1414" s="4">
        <f>1/TWD!C1414</f>
        <v>3.2185387833923398E-2</v>
      </c>
      <c r="X1414" s="4">
        <f>1/TWD!B1414</f>
        <v>3.2185387833923398E-2</v>
      </c>
      <c r="Y1414" s="4">
        <f>1/TWD!C1414</f>
        <v>3.2185387833923398E-2</v>
      </c>
      <c r="Z1414" s="4">
        <f>1/ZAR!B1414</f>
        <v>8.4426658561707446E-2</v>
      </c>
      <c r="AA1414" s="4">
        <f>1/ZAR!C1414</f>
        <v>8.3988443190217033E-2</v>
      </c>
    </row>
    <row r="1415" spans="1:27" x14ac:dyDescent="0.25">
      <c r="A1415" t="str">
        <f>"09/04/2015"</f>
        <v>09/04/2015</v>
      </c>
      <c r="B1415" s="3">
        <f>AUD!B1415</f>
        <v>0.76910000000000001</v>
      </c>
      <c r="C1415" s="3">
        <f>AUD!C1415</f>
        <v>0.76770000000000005</v>
      </c>
      <c r="D1415" s="3">
        <f>1/CAD!B1415</f>
        <v>0.79497575323952618</v>
      </c>
      <c r="E1415" s="3">
        <f>1/CAD!C1415</f>
        <v>0.79465988556897649</v>
      </c>
      <c r="F1415" s="3">
        <f>EUR!B1415/1</f>
        <v>1.0659000000000001</v>
      </c>
      <c r="G1415" s="3">
        <f>EUR!C1415/1</f>
        <v>1.0663</v>
      </c>
      <c r="H1415" s="3">
        <f>GBP!B1415/1</f>
        <v>1.4712000000000001</v>
      </c>
      <c r="I1415" s="3">
        <f>GBP!C1415/1</f>
        <v>1.4709000000000001</v>
      </c>
      <c r="J1415" s="4">
        <f>1/INR!B1415</f>
        <v>1.6064257028112448E-2</v>
      </c>
      <c r="K1415" s="4">
        <f>1/INR!C1415</f>
        <v>1.5955961546132675E-2</v>
      </c>
      <c r="L1415" s="4">
        <f>1/JPY!B1415</f>
        <v>8.2932492950738099E-3</v>
      </c>
      <c r="M1415" s="4">
        <f>1/JPY!C1415</f>
        <v>8.2958086256499763E-3</v>
      </c>
      <c r="N1415" s="5">
        <f>1/KRW!B1415</f>
        <v>9.1499679751120861E-4</v>
      </c>
      <c r="O1415" s="5">
        <f>1/KRW!C1415</f>
        <v>9.1498507659340078E-4</v>
      </c>
      <c r="P1415" s="3">
        <f>1/NOK!B1415</f>
        <v>0.1231860848998497</v>
      </c>
      <c r="Q1415" s="3">
        <f>1/NOK!C1415</f>
        <v>0.12306783499064684</v>
      </c>
      <c r="R1415" s="3">
        <f>NZD!B1415/1</f>
        <v>0.75639999999999996</v>
      </c>
      <c r="S1415" s="3">
        <f>NZD!C1415/1</f>
        <v>0.75419999999999998</v>
      </c>
      <c r="T1415" s="4">
        <f>1/PHP!B1415</f>
        <v>2.2436616558223019E-2</v>
      </c>
      <c r="U1415" s="4">
        <f>1/PHP!C1415</f>
        <v>2.2393006216298528E-2</v>
      </c>
      <c r="V1415" s="4">
        <f>1/TWD!B1415</f>
        <v>3.2109944449796105E-2</v>
      </c>
      <c r="W1415" s="4">
        <f>1/TWD!C1415</f>
        <v>3.2109944449796105E-2</v>
      </c>
      <c r="X1415" s="4">
        <f>1/TWD!B1415</f>
        <v>3.2109944449796105E-2</v>
      </c>
      <c r="Y1415" s="4">
        <f>1/TWD!C1415</f>
        <v>3.2109944449796105E-2</v>
      </c>
      <c r="Z1415" s="4">
        <f>1/ZAR!B1415</f>
        <v>8.3696716577808652E-2</v>
      </c>
      <c r="AA1415" s="4">
        <f>1/ZAR!C1415</f>
        <v>8.3284056932981326E-2</v>
      </c>
    </row>
    <row r="1416" spans="1:27" x14ac:dyDescent="0.25">
      <c r="A1416" t="str">
        <f>"10/04/2015"</f>
        <v>10/04/2015</v>
      </c>
      <c r="B1416" s="3">
        <f>AUD!B1416</f>
        <v>0.76739999999999997</v>
      </c>
      <c r="C1416" s="3">
        <f>AUD!C1416</f>
        <v>0.76600000000000001</v>
      </c>
      <c r="D1416" s="3">
        <f>1/CAD!B1416</f>
        <v>0.79573486114426673</v>
      </c>
      <c r="E1416" s="3">
        <f>1/CAD!C1416</f>
        <v>0.79541839007317838</v>
      </c>
      <c r="F1416" s="3">
        <f>EUR!B1416/1</f>
        <v>1.0604</v>
      </c>
      <c r="G1416" s="3">
        <f>EUR!C1416/1</f>
        <v>1.0608</v>
      </c>
      <c r="H1416" s="3">
        <f>GBP!B1416/1</f>
        <v>1.4631000000000001</v>
      </c>
      <c r="I1416" s="3">
        <f>GBP!C1416/1</f>
        <v>1.4628000000000001</v>
      </c>
      <c r="J1416" s="4">
        <f>1/INR!B1416</f>
        <v>1.6044925792218209E-2</v>
      </c>
      <c r="K1416" s="4">
        <f>1/INR!C1416</f>
        <v>1.5938795027095953E-2</v>
      </c>
      <c r="L1416" s="4">
        <f>1/JPY!B1416</f>
        <v>8.317391665973551E-3</v>
      </c>
      <c r="M1416" s="4">
        <f>1/JPY!C1416</f>
        <v>8.3200836002000136E-3</v>
      </c>
      <c r="N1416" s="5">
        <f>1/KRW!B1416</f>
        <v>9.1497168162645362E-4</v>
      </c>
      <c r="O1416" s="5">
        <f>1/KRW!C1416</f>
        <v>9.1496063107396623E-4</v>
      </c>
      <c r="P1416" s="3">
        <f>1/NOK!B1416</f>
        <v>0.12328936012822092</v>
      </c>
      <c r="Q1416" s="3">
        <f>1/NOK!C1416</f>
        <v>0.12317394624688985</v>
      </c>
      <c r="R1416" s="3">
        <f>NZD!B1416/1</f>
        <v>0.75229999999999997</v>
      </c>
      <c r="S1416" s="3">
        <f>NZD!C1416/1</f>
        <v>0.75009999999999999</v>
      </c>
      <c r="T1416" s="4">
        <f>1/PHP!B1416</f>
        <v>2.2527596305474205E-2</v>
      </c>
      <c r="U1416" s="4">
        <f>1/PHP!C1416</f>
        <v>2.2484946328433113E-2</v>
      </c>
      <c r="V1416" s="4">
        <f>1/TWD!B1416</f>
        <v>3.2012292720404636E-2</v>
      </c>
      <c r="W1416" s="4">
        <f>1/TWD!C1416</f>
        <v>3.2012292720404636E-2</v>
      </c>
      <c r="X1416" s="4">
        <f>1/TWD!B1416</f>
        <v>3.2012292720404636E-2</v>
      </c>
      <c r="Y1416" s="4">
        <f>1/TWD!C1416</f>
        <v>3.2012292720404636E-2</v>
      </c>
      <c r="Z1416" s="4">
        <f>1/ZAR!B1416</f>
        <v>8.316699933466401E-2</v>
      </c>
      <c r="AA1416" s="4">
        <f>1/ZAR!C1416</f>
        <v>8.2767068638730013E-2</v>
      </c>
    </row>
    <row r="1417" spans="1:27" x14ac:dyDescent="0.25">
      <c r="A1417" t="str">
        <f>"13/04/2015"</f>
        <v>13/04/2015</v>
      </c>
      <c r="B1417" s="3">
        <f>AUD!B1417</f>
        <v>0.75890000000000002</v>
      </c>
      <c r="C1417" s="3">
        <f>AUD!C1417</f>
        <v>0.75749999999999995</v>
      </c>
      <c r="D1417" s="3">
        <f>1/CAD!B1417</f>
        <v>0.79383980312772884</v>
      </c>
      <c r="E1417" s="3">
        <f>1/CAD!C1417</f>
        <v>0.7934618741569468</v>
      </c>
      <c r="F1417" s="3">
        <f>EUR!B1417/1</f>
        <v>1.0566</v>
      </c>
      <c r="G1417" s="3">
        <f>EUR!C1417/1</f>
        <v>1.0569999999999999</v>
      </c>
      <c r="H1417" s="3">
        <f>GBP!B1417/1</f>
        <v>1.4675</v>
      </c>
      <c r="I1417" s="3">
        <f>GBP!C1417/1</f>
        <v>1.4672000000000001</v>
      </c>
      <c r="J1417" s="4">
        <f>1/INR!B1417</f>
        <v>1.599488163787588E-2</v>
      </c>
      <c r="K1417" s="4">
        <f>1/INR!C1417</f>
        <v>1.5884361845762848E-2</v>
      </c>
      <c r="L1417" s="4">
        <f>1/JPY!B1417</f>
        <v>8.3236224404861E-3</v>
      </c>
      <c r="M1417" s="4">
        <f>1/JPY!C1417</f>
        <v>8.3261658921944693E-3</v>
      </c>
      <c r="N1417" s="5">
        <f>1/KRW!B1417</f>
        <v>9.1024940833788468E-4</v>
      </c>
      <c r="O1417" s="5">
        <f>1/KRW!C1417</f>
        <v>9.1023822299653157E-4</v>
      </c>
      <c r="P1417" s="3">
        <f>1/NOK!B1417</f>
        <v>0.12323618214307722</v>
      </c>
      <c r="Q1417" s="3">
        <f>1/NOK!C1417</f>
        <v>0.12311935189973161</v>
      </c>
      <c r="R1417" s="3">
        <f>NZD!B1417/1</f>
        <v>0.74519999999999997</v>
      </c>
      <c r="S1417" s="3">
        <f>NZD!C1417/1</f>
        <v>0.74299999999999999</v>
      </c>
      <c r="T1417" s="4">
        <f>1/PHP!B1417</f>
        <v>2.2326412145568207E-2</v>
      </c>
      <c r="U1417" s="4">
        <f>1/PHP!C1417</f>
        <v>2.2277569606266236E-2</v>
      </c>
      <c r="V1417" s="4">
        <f>1/TWD!B1417</f>
        <v>3.1906068534235214E-2</v>
      </c>
      <c r="W1417" s="4">
        <f>1/TWD!C1417</f>
        <v>3.1906068534235214E-2</v>
      </c>
      <c r="X1417" s="4">
        <f>1/TWD!B1417</f>
        <v>3.1906068534235214E-2</v>
      </c>
      <c r="Y1417" s="4">
        <f>1/TWD!C1417</f>
        <v>3.1906068534235214E-2</v>
      </c>
      <c r="Z1417" s="4">
        <f>1/ZAR!B1417</f>
        <v>8.2262549151873116E-2</v>
      </c>
      <c r="AA1417" s="4">
        <f>1/ZAR!C1417</f>
        <v>8.1860526035740303E-2</v>
      </c>
    </row>
    <row r="1418" spans="1:27" x14ac:dyDescent="0.25">
      <c r="A1418" t="str">
        <f>"15/04/2015"</f>
        <v>15/04/2015</v>
      </c>
      <c r="B1418" s="3">
        <f>AUD!B1418</f>
        <v>0.7681</v>
      </c>
      <c r="C1418" s="3">
        <f>AUD!C1418</f>
        <v>0.76670000000000005</v>
      </c>
      <c r="D1418" s="3">
        <f>1/CAD!B1418</f>
        <v>0.81360344967862663</v>
      </c>
      <c r="E1418" s="3">
        <f>1/CAD!C1418</f>
        <v>0.81320647312352601</v>
      </c>
      <c r="F1418" s="3">
        <f>EUR!B1418/1</f>
        <v>1.0683</v>
      </c>
      <c r="G1418" s="3">
        <f>EUR!C1418/1</f>
        <v>1.0687</v>
      </c>
      <c r="H1418" s="3">
        <f>GBP!B1418/1</f>
        <v>1.4841</v>
      </c>
      <c r="I1418" s="3">
        <f>GBP!C1418/1</f>
        <v>1.4838</v>
      </c>
      <c r="J1418" s="4">
        <f>1/INR!B1418</f>
        <v>1.6032706721712291E-2</v>
      </c>
      <c r="K1418" s="4">
        <f>1/INR!C1418</f>
        <v>1.5924200804172142E-2</v>
      </c>
      <c r="L1418" s="4">
        <f>1/JPY!B1418</f>
        <v>8.3934866543562189E-3</v>
      </c>
      <c r="M1418" s="4">
        <f>1/JPY!C1418</f>
        <v>8.3962492275450711E-3</v>
      </c>
      <c r="N1418" s="5">
        <f>1/KRW!B1418</f>
        <v>9.1145239939844139E-4</v>
      </c>
      <c r="O1418" s="5">
        <f>1/KRW!C1418</f>
        <v>9.1144060296535388E-4</v>
      </c>
      <c r="P1418" s="3">
        <f>1/NOK!B1418</f>
        <v>0.12756403714664763</v>
      </c>
      <c r="Q1418" s="3">
        <f>1/NOK!C1418</f>
        <v>0.12743561315645269</v>
      </c>
      <c r="R1418" s="3">
        <f>NZD!B1418/1</f>
        <v>0.75849999999999995</v>
      </c>
      <c r="S1418" s="3">
        <f>NZD!C1418/1</f>
        <v>0.75619999999999998</v>
      </c>
      <c r="T1418" s="4">
        <f>1/PHP!B1418</f>
        <v>2.2446689113355782E-2</v>
      </c>
      <c r="U1418" s="4">
        <f>1/PHP!C1418</f>
        <v>2.2399075366168884E-2</v>
      </c>
      <c r="V1418" s="4">
        <f>1/TWD!B1418</f>
        <v>3.1926441478832772E-2</v>
      </c>
      <c r="W1418" s="4">
        <f>1/TWD!C1418</f>
        <v>3.1926441478832772E-2</v>
      </c>
      <c r="X1418" s="4">
        <f>1/TWD!B1418</f>
        <v>3.1926441478832772E-2</v>
      </c>
      <c r="Y1418" s="4">
        <f>1/TWD!C1418</f>
        <v>3.1926441478832772E-2</v>
      </c>
      <c r="Z1418" s="4">
        <f>1/ZAR!B1418</f>
        <v>8.2799277990295919E-2</v>
      </c>
      <c r="AA1418" s="4">
        <f>1/ZAR!C1418</f>
        <v>8.2368930439438243E-2</v>
      </c>
    </row>
    <row r="1419" spans="1:27" x14ac:dyDescent="0.25">
      <c r="A1419" t="str">
        <f>"16/04/2015"</f>
        <v>16/04/2015</v>
      </c>
      <c r="B1419" s="3">
        <f>AUD!B1419</f>
        <v>0.78029999999999999</v>
      </c>
      <c r="C1419" s="3">
        <f>AUD!C1419</f>
        <v>0.77890000000000004</v>
      </c>
      <c r="D1419" s="3">
        <f>1/CAD!B1419</f>
        <v>0.82041184674706702</v>
      </c>
      <c r="E1419" s="3">
        <f>1/CAD!C1419</f>
        <v>0.82000820008200082</v>
      </c>
      <c r="F1419" s="3">
        <f>EUR!B1419/1</f>
        <v>1.0761000000000001</v>
      </c>
      <c r="G1419" s="3">
        <f>EUR!C1419/1</f>
        <v>1.0765</v>
      </c>
      <c r="H1419" s="3">
        <f>GBP!B1419/1</f>
        <v>1.4934000000000001</v>
      </c>
      <c r="I1419" s="3">
        <f>GBP!C1419/1</f>
        <v>1.4931000000000001</v>
      </c>
      <c r="J1419" s="4">
        <f>1/INR!B1419</f>
        <v>1.6049432251334109E-2</v>
      </c>
      <c r="K1419" s="4">
        <f>1/INR!C1419</f>
        <v>1.594324205827255E-2</v>
      </c>
      <c r="L1419" s="4">
        <f>1/JPY!B1419</f>
        <v>8.4019492522265163E-3</v>
      </c>
      <c r="M1419" s="4">
        <f>1/JPY!C1419</f>
        <v>8.4045973147311576E-3</v>
      </c>
      <c r="N1419" s="5">
        <f>1/KRW!B1419</f>
        <v>9.1823991772570343E-4</v>
      </c>
      <c r="O1419" s="5">
        <f>1/KRW!C1419</f>
        <v>9.1822828220240369E-4</v>
      </c>
      <c r="P1419" s="3">
        <f>1/NOK!B1419</f>
        <v>0.12894241431776568</v>
      </c>
      <c r="Q1419" s="3">
        <f>1/NOK!C1419</f>
        <v>0.12881617931212161</v>
      </c>
      <c r="R1419" s="3">
        <f>NZD!B1419/1</f>
        <v>0.76649999999999996</v>
      </c>
      <c r="S1419" s="3">
        <f>NZD!C1419/1</f>
        <v>0.76419999999999999</v>
      </c>
      <c r="T1419" s="4">
        <f>1/PHP!B1419</f>
        <v>2.2502250225022502E-2</v>
      </c>
      <c r="U1419" s="4">
        <f>1/PHP!C1419</f>
        <v>2.2456619425424935E-2</v>
      </c>
      <c r="V1419" s="4">
        <f>1/TWD!B1419</f>
        <v>3.2080071859360966E-2</v>
      </c>
      <c r="W1419" s="4">
        <f>1/TWD!C1419</f>
        <v>3.2080071859360966E-2</v>
      </c>
      <c r="X1419" s="4">
        <f>1/TWD!B1419</f>
        <v>3.2080071859360966E-2</v>
      </c>
      <c r="Y1419" s="4">
        <f>1/TWD!C1419</f>
        <v>3.2080071859360966E-2</v>
      </c>
      <c r="Z1419" s="4">
        <f>1/ZAR!B1419</f>
        <v>8.3397271241284987E-2</v>
      </c>
      <c r="AA1419" s="4">
        <f>1/ZAR!C1419</f>
        <v>8.2968272932430642E-2</v>
      </c>
    </row>
    <row r="1420" spans="1:27" x14ac:dyDescent="0.25">
      <c r="A1420" t="str">
        <f>"17/04/2015"</f>
        <v>17/04/2015</v>
      </c>
      <c r="B1420" s="3">
        <f>AUD!B1420</f>
        <v>0.77749999999999997</v>
      </c>
      <c r="C1420" s="3">
        <f>AUD!C1420</f>
        <v>0.77610000000000001</v>
      </c>
      <c r="D1420" s="3">
        <f>1/CAD!B1420</f>
        <v>0.81652649628480456</v>
      </c>
      <c r="E1420" s="3">
        <f>1/CAD!C1420</f>
        <v>0.81619327456741753</v>
      </c>
      <c r="F1420" s="3">
        <f>EUR!B1420/1</f>
        <v>1.0805</v>
      </c>
      <c r="G1420" s="3">
        <f>EUR!C1420/1</f>
        <v>1.0809</v>
      </c>
      <c r="H1420" s="3">
        <f>GBP!B1420/1</f>
        <v>1.4961</v>
      </c>
      <c r="I1420" s="3">
        <f>GBP!C1420/1</f>
        <v>1.4958</v>
      </c>
      <c r="J1420" s="4">
        <f>1/INR!B1420</f>
        <v>1.60333493666827E-2</v>
      </c>
      <c r="K1420" s="4">
        <f>1/INR!C1420</f>
        <v>1.5927371187385523E-2</v>
      </c>
      <c r="L1420" s="4">
        <f>1/JPY!B1420</f>
        <v>8.4097216382137754E-3</v>
      </c>
      <c r="M1420" s="4">
        <f>1/JPY!C1420</f>
        <v>8.41225429908256E-3</v>
      </c>
      <c r="N1420" s="5">
        <f>1/KRW!B1420</f>
        <v>9.225943352707814E-4</v>
      </c>
      <c r="O1420" s="5">
        <f>1/KRW!C1420</f>
        <v>9.2258088681796129E-4</v>
      </c>
      <c r="P1420" s="3">
        <f>1/NOK!B1420</f>
        <v>0.12736744233439048</v>
      </c>
      <c r="Q1420" s="3">
        <f>1/NOK!C1420</f>
        <v>0.12725236689402422</v>
      </c>
      <c r="R1420" s="3">
        <f>NZD!B1420/1</f>
        <v>0.76570000000000005</v>
      </c>
      <c r="S1420" s="3">
        <f>NZD!C1420/1</f>
        <v>0.76339999999999997</v>
      </c>
      <c r="T1420" s="4">
        <f>1/PHP!B1420</f>
        <v>2.257081593499605E-2</v>
      </c>
      <c r="U1420" s="4">
        <f>1/PHP!C1420</f>
        <v>2.2526733601101107E-2</v>
      </c>
      <c r="V1420" s="4">
        <f>1/TWD!B1420</f>
        <v>3.2210268633640404E-2</v>
      </c>
      <c r="W1420" s="4">
        <f>1/TWD!C1420</f>
        <v>3.2210268633640404E-2</v>
      </c>
      <c r="X1420" s="4">
        <f>1/TWD!B1420</f>
        <v>3.2210268633640404E-2</v>
      </c>
      <c r="Y1420" s="4">
        <f>1/TWD!C1420</f>
        <v>3.2210268633640404E-2</v>
      </c>
      <c r="Z1420" s="4">
        <f>1/ZAR!B1420</f>
        <v>8.2654874571227846E-2</v>
      </c>
      <c r="AA1420" s="4">
        <f>1/ZAR!C1420</f>
        <v>8.2255105985704069E-2</v>
      </c>
    </row>
    <row r="1421" spans="1:27" x14ac:dyDescent="0.25">
      <c r="A1421" t="str">
        <f>"20/04/2015"</f>
        <v>20/04/2015</v>
      </c>
      <c r="B1421" s="3">
        <f>AUD!B1421</f>
        <v>0.77239999999999998</v>
      </c>
      <c r="C1421" s="3">
        <f>AUD!C1421</f>
        <v>0.77100000000000002</v>
      </c>
      <c r="D1421" s="3">
        <f>1/CAD!B1421</f>
        <v>0.81792900376247346</v>
      </c>
      <c r="E1421" s="3">
        <f>1/CAD!C1421</f>
        <v>0.81759463657918396</v>
      </c>
      <c r="F1421" s="3">
        <f>EUR!B1421/1</f>
        <v>1.0737000000000001</v>
      </c>
      <c r="G1421" s="3">
        <f>EUR!C1421/1</f>
        <v>1.0741000000000001</v>
      </c>
      <c r="H1421" s="3">
        <f>GBP!B1421/1</f>
        <v>1.4905999999999999</v>
      </c>
      <c r="I1421" s="3">
        <f>GBP!C1421/1</f>
        <v>1.4903</v>
      </c>
      <c r="J1421" s="4">
        <f>1/INR!B1421</f>
        <v>1.5893197711379529E-2</v>
      </c>
      <c r="K1421" s="4">
        <f>1/INR!C1421</f>
        <v>1.5785942618098583E-2</v>
      </c>
      <c r="L1421" s="4">
        <f>1/JPY!B1421</f>
        <v>8.3906695754321185E-3</v>
      </c>
      <c r="M1421" s="4">
        <f>1/JPY!C1421</f>
        <v>8.3930851050436558E-3</v>
      </c>
      <c r="N1421" s="5">
        <f>1/KRW!B1421</f>
        <v>9.2644061515656843E-4</v>
      </c>
      <c r="O1421" s="5">
        <f>1/KRW!C1421</f>
        <v>9.2642988662814275E-4</v>
      </c>
      <c r="P1421" s="3">
        <f>1/NOK!B1421</f>
        <v>0.12681343207872578</v>
      </c>
      <c r="Q1421" s="3">
        <f>1/NOK!C1421</f>
        <v>0.12670256572695596</v>
      </c>
      <c r="R1421" s="3">
        <f>NZD!B1421/1</f>
        <v>0.76570000000000005</v>
      </c>
      <c r="S1421" s="3">
        <f>NZD!C1421/1</f>
        <v>0.76339999999999997</v>
      </c>
      <c r="T1421" s="4">
        <f>1/PHP!B1421</f>
        <v>2.2609088853719195E-2</v>
      </c>
      <c r="U1421" s="4">
        <f>1/PHP!C1421</f>
        <v>2.2564704289550284E-2</v>
      </c>
      <c r="V1421" s="4">
        <f>1/TWD!B1421</f>
        <v>3.225494307002548E-2</v>
      </c>
      <c r="W1421" s="4">
        <f>1/TWD!C1421</f>
        <v>3.225494307002548E-2</v>
      </c>
      <c r="X1421" s="4">
        <f>1/TWD!B1421</f>
        <v>3.225494307002548E-2</v>
      </c>
      <c r="Y1421" s="4">
        <f>1/TWD!C1421</f>
        <v>3.225494307002548E-2</v>
      </c>
      <c r="Z1421" s="4">
        <f>1/ZAR!B1421</f>
        <v>8.2280824453861034E-2</v>
      </c>
      <c r="AA1421" s="4">
        <f>1/ZAR!C1421</f>
        <v>8.188197532077264E-2</v>
      </c>
    </row>
    <row r="1422" spans="1:27" x14ac:dyDescent="0.25">
      <c r="A1422" t="str">
        <f>"21/04/2015"</f>
        <v>21/04/2015</v>
      </c>
      <c r="B1422" s="3">
        <f>AUD!B1422</f>
        <v>0.77090000000000003</v>
      </c>
      <c r="C1422" s="3">
        <f>AUD!C1422</f>
        <v>0.76939999999999997</v>
      </c>
      <c r="D1422" s="3">
        <f>1/CAD!B1422</f>
        <v>0.81426593925576096</v>
      </c>
      <c r="E1422" s="3">
        <f>1/CAD!C1422</f>
        <v>0.81386831610645405</v>
      </c>
      <c r="F1422" s="3">
        <f>EUR!B1422/1</f>
        <v>1.0734999999999999</v>
      </c>
      <c r="G1422" s="3">
        <f>EUR!C1422/1</f>
        <v>1.0739000000000001</v>
      </c>
      <c r="H1422" s="3">
        <f>GBP!B1422/1</f>
        <v>1.4924999999999999</v>
      </c>
      <c r="I1422" s="3">
        <f>GBP!C1422/1</f>
        <v>1.4921</v>
      </c>
      <c r="J1422" s="4">
        <f>1/INR!B1422</f>
        <v>1.5909633282952827E-2</v>
      </c>
      <c r="K1422" s="4">
        <f>1/INR!C1422</f>
        <v>1.57959167555187E-2</v>
      </c>
      <c r="L1422" s="4">
        <f>1/JPY!B1422</f>
        <v>8.3556149732620308E-3</v>
      </c>
      <c r="M1422" s="4">
        <f>1/JPY!C1422</f>
        <v>8.3580313158717352E-3</v>
      </c>
      <c r="N1422" s="5">
        <f>1/KRW!B1422</f>
        <v>9.2284976005906245E-4</v>
      </c>
      <c r="O1422" s="5">
        <f>1/KRW!C1422</f>
        <v>9.2283868872005033E-4</v>
      </c>
      <c r="P1422" s="3">
        <f>1/NOK!B1422</f>
        <v>0.12680699974638601</v>
      </c>
      <c r="Q1422" s="3">
        <f>1/NOK!C1422</f>
        <v>0.12669935510028255</v>
      </c>
      <c r="R1422" s="3">
        <f>NZD!B1422/1</f>
        <v>0.76670000000000005</v>
      </c>
      <c r="S1422" s="3">
        <f>NZD!C1422/1</f>
        <v>0.76419999999999999</v>
      </c>
      <c r="T1422" s="4">
        <f>1/PHP!B1422</f>
        <v>2.2563176895306861E-2</v>
      </c>
      <c r="U1422" s="4">
        <f>1/PHP!C1422</f>
        <v>2.251902294463248E-2</v>
      </c>
      <c r="V1422" s="4">
        <f>1/TWD!B1422</f>
        <v>3.2123353678123995E-2</v>
      </c>
      <c r="W1422" s="4">
        <f>1/TWD!C1422</f>
        <v>3.2123353678123995E-2</v>
      </c>
      <c r="X1422" s="4">
        <f>1/TWD!B1422</f>
        <v>3.2123353678123995E-2</v>
      </c>
      <c r="Y1422" s="4">
        <f>1/TWD!C1422</f>
        <v>3.2123353678123995E-2</v>
      </c>
      <c r="Z1422" s="4">
        <f>1/ZAR!B1422</f>
        <v>8.2442269800572149E-2</v>
      </c>
      <c r="AA1422" s="4">
        <f>1/ZAR!C1422</f>
        <v>8.2036473416080793E-2</v>
      </c>
    </row>
    <row r="1423" spans="1:27" x14ac:dyDescent="0.25">
      <c r="A1423" t="str">
        <f>"22/04/2015"</f>
        <v>22/04/2015</v>
      </c>
      <c r="B1423" s="3">
        <f>AUD!B1423</f>
        <v>0.77529999999999999</v>
      </c>
      <c r="C1423" s="3">
        <f>AUD!C1423</f>
        <v>0.77380000000000004</v>
      </c>
      <c r="D1423" s="3">
        <f>1/CAD!B1423</f>
        <v>0.81712698153293017</v>
      </c>
      <c r="E1423" s="3">
        <f>1/CAD!C1423</f>
        <v>0.81679326962345833</v>
      </c>
      <c r="F1423" s="3">
        <f>EUR!B1423/1</f>
        <v>1.0725</v>
      </c>
      <c r="G1423" s="3">
        <f>EUR!C1423/1</f>
        <v>1.0729</v>
      </c>
      <c r="H1423" s="3">
        <f>GBP!B1423/1</f>
        <v>1.5036</v>
      </c>
      <c r="I1423" s="3">
        <f>GBP!C1423/1</f>
        <v>1.5033000000000001</v>
      </c>
      <c r="J1423" s="4">
        <f>1/INR!B1423</f>
        <v>1.5913430935709738E-2</v>
      </c>
      <c r="K1423" s="4">
        <f>1/INR!C1423</f>
        <v>1.5802781289506952E-2</v>
      </c>
      <c r="L1423" s="4">
        <f>1/JPY!B1423</f>
        <v>8.3388925950633758E-3</v>
      </c>
      <c r="M1423" s="4">
        <f>1/JPY!C1423</f>
        <v>8.3411740369280455E-3</v>
      </c>
      <c r="N1423" s="5">
        <f>1/KRW!B1423</f>
        <v>9.2612315585726595E-4</v>
      </c>
      <c r="O1423" s="5">
        <f>1/KRW!C1423</f>
        <v>9.2611243468013237E-4</v>
      </c>
      <c r="P1423" s="3">
        <f>1/NOK!B1423</f>
        <v>0.12626262626262627</v>
      </c>
      <c r="Q1423" s="3">
        <f>1/NOK!C1423</f>
        <v>0.12614476373085753</v>
      </c>
      <c r="R1423" s="3">
        <f>NZD!B1423/1</f>
        <v>0.76629999999999998</v>
      </c>
      <c r="S1423" s="3">
        <f>NZD!C1423/1</f>
        <v>0.76390000000000002</v>
      </c>
      <c r="T1423" s="4">
        <f>1/PHP!B1423</f>
        <v>2.2609088853719195E-2</v>
      </c>
      <c r="U1423" s="4">
        <f>1/PHP!C1423</f>
        <v>2.2561089790881259E-2</v>
      </c>
      <c r="V1423" s="4">
        <f>1/TWD!B1423</f>
        <v>3.2162614177280328E-2</v>
      </c>
      <c r="W1423" s="4">
        <f>1/TWD!C1423</f>
        <v>3.2162614177280328E-2</v>
      </c>
      <c r="X1423" s="4">
        <f>1/TWD!B1423</f>
        <v>3.2162614177280328E-2</v>
      </c>
      <c r="Y1423" s="4">
        <f>1/TWD!C1423</f>
        <v>3.2162614177280328E-2</v>
      </c>
      <c r="Z1423" s="4">
        <f>1/ZAR!B1423</f>
        <v>8.1779522407589136E-2</v>
      </c>
      <c r="AA1423" s="4">
        <f>1/ZAR!C1423</f>
        <v>8.13418145731995E-2</v>
      </c>
    </row>
    <row r="1424" spans="1:27" x14ac:dyDescent="0.25">
      <c r="A1424" t="str">
        <f>"23/04/2015"</f>
        <v>23/04/2015</v>
      </c>
      <c r="B1424" s="3">
        <f>AUD!B1424</f>
        <v>0.77769999999999995</v>
      </c>
      <c r="C1424" s="3">
        <f>AUD!C1424</f>
        <v>0.77629999999999999</v>
      </c>
      <c r="D1424" s="3">
        <f>1/CAD!B1424</f>
        <v>0.82338410868670242</v>
      </c>
      <c r="E1424" s="3">
        <f>1/CAD!C1424</f>
        <v>0.82297753271335683</v>
      </c>
      <c r="F1424" s="3">
        <f>EUR!B1424/1</f>
        <v>1.0824</v>
      </c>
      <c r="G1424" s="3">
        <f>EUR!C1424/1</f>
        <v>1.0828</v>
      </c>
      <c r="H1424" s="3">
        <f>GBP!B1424/1</f>
        <v>1.5056</v>
      </c>
      <c r="I1424" s="3">
        <f>GBP!C1424/1</f>
        <v>1.5053000000000001</v>
      </c>
      <c r="J1424" s="4">
        <f>1/INR!B1424</f>
        <v>1.5791551519936834E-2</v>
      </c>
      <c r="K1424" s="4">
        <f>1/INR!C1424</f>
        <v>1.5689966266572528E-2</v>
      </c>
      <c r="L1424" s="4">
        <f>1/JPY!B1424</f>
        <v>8.3619031691613017E-3</v>
      </c>
      <c r="M1424" s="4">
        <f>1/JPY!C1424</f>
        <v>8.3639873469599415E-3</v>
      </c>
      <c r="N1424" s="5">
        <f>1/KRW!B1424</f>
        <v>9.2395823708768369E-4</v>
      </c>
      <c r="O1424" s="5">
        <f>1/KRW!C1424</f>
        <v>9.2394671229731502E-4</v>
      </c>
      <c r="P1424" s="3">
        <f>1/NOK!B1424</f>
        <v>0.12749898000815993</v>
      </c>
      <c r="Q1424" s="3">
        <f>1/NOK!C1424</f>
        <v>0.12738042162919558</v>
      </c>
      <c r="R1424" s="3">
        <f>NZD!B1424/1</f>
        <v>0.7591</v>
      </c>
      <c r="S1424" s="3">
        <f>NZD!C1424/1</f>
        <v>0.75690000000000002</v>
      </c>
      <c r="T1424" s="4">
        <f>1/PHP!B1424</f>
        <v>2.2527596305474205E-2</v>
      </c>
      <c r="U1424" s="4">
        <f>1/PHP!C1424</f>
        <v>2.2479790668189299E-2</v>
      </c>
      <c r="V1424" s="4">
        <f>1/TWD!B1424</f>
        <v>3.2122321801419808E-2</v>
      </c>
      <c r="W1424" s="4">
        <f>1/TWD!C1424</f>
        <v>3.2122321801419808E-2</v>
      </c>
      <c r="X1424" s="4">
        <f>1/TWD!B1424</f>
        <v>3.2122321801419808E-2</v>
      </c>
      <c r="Y1424" s="4">
        <f>1/TWD!C1424</f>
        <v>3.2122321801419808E-2</v>
      </c>
      <c r="Z1424" s="4">
        <f>1/ZAR!B1424</f>
        <v>8.2259165727541189E-2</v>
      </c>
      <c r="AA1424" s="4">
        <f>1/ZAR!C1424</f>
        <v>8.1826364454627279E-2</v>
      </c>
    </row>
    <row r="1425" spans="1:27" x14ac:dyDescent="0.25">
      <c r="A1425" t="str">
        <f>"24/04/2015"</f>
        <v>24/04/2015</v>
      </c>
      <c r="B1425" s="3">
        <f>AUD!B1425</f>
        <v>0.78149999999999997</v>
      </c>
      <c r="C1425" s="3">
        <f>AUD!C1425</f>
        <v>0.7802</v>
      </c>
      <c r="D1425" s="3">
        <f>1/CAD!B1425</f>
        <v>0.82135523613963035</v>
      </c>
      <c r="E1425" s="3">
        <f>1/CAD!C1425</f>
        <v>0.82101806239737274</v>
      </c>
      <c r="F1425" s="3">
        <f>EUR!B1425/1</f>
        <v>1.0871999999999999</v>
      </c>
      <c r="G1425" s="3">
        <f>EUR!C1425/1</f>
        <v>1.0875999999999999</v>
      </c>
      <c r="H1425" s="3">
        <f>GBP!B1425/1</f>
        <v>1.5187999999999999</v>
      </c>
      <c r="I1425" s="3">
        <f>GBP!C1425/1</f>
        <v>1.5185</v>
      </c>
      <c r="J1425" s="4">
        <f>1/INR!B1425</f>
        <v>1.5731927947770001E-2</v>
      </c>
      <c r="K1425" s="4">
        <f>1/INR!C1425</f>
        <v>1.5631716753292432E-2</v>
      </c>
      <c r="L1425" s="4">
        <f>1/JPY!B1425</f>
        <v>8.4040675687032523E-3</v>
      </c>
      <c r="M1425" s="4">
        <f>1/JPY!C1425</f>
        <v>8.4061374891035434E-3</v>
      </c>
      <c r="N1425" s="5">
        <f>1/KRW!B1425</f>
        <v>9.2614031025700389E-4</v>
      </c>
      <c r="O1425" s="5">
        <f>1/KRW!C1425</f>
        <v>9.261287309674757E-4</v>
      </c>
      <c r="P1425" s="3">
        <f>1/NOK!B1425</f>
        <v>0.12834499133671309</v>
      </c>
      <c r="Q1425" s="3">
        <f>1/NOK!C1425</f>
        <v>0.12822978777970123</v>
      </c>
      <c r="R1425" s="3">
        <f>NZD!B1425/1</f>
        <v>0.75829999999999997</v>
      </c>
      <c r="S1425" s="3">
        <f>NZD!C1425/1</f>
        <v>0.75609999999999999</v>
      </c>
      <c r="T1425" s="4">
        <f>1/PHP!B1425</f>
        <v>2.2598870056497175E-2</v>
      </c>
      <c r="U1425" s="4">
        <f>1/PHP!C1425</f>
        <v>2.2554881665813341E-2</v>
      </c>
      <c r="V1425" s="4">
        <f>1/TWD!B1425</f>
        <v>3.242226761339688E-2</v>
      </c>
      <c r="W1425" s="4">
        <f>1/TWD!C1425</f>
        <v>3.242226761339688E-2</v>
      </c>
      <c r="X1425" s="4">
        <f>1/TWD!B1425</f>
        <v>3.242226761339688E-2</v>
      </c>
      <c r="Y1425" s="4">
        <f>1/TWD!C1425</f>
        <v>3.242226761339688E-2</v>
      </c>
      <c r="Z1425" s="4">
        <f>1/ZAR!B1425</f>
        <v>8.2320109979666933E-2</v>
      </c>
      <c r="AA1425" s="4">
        <f>1/ZAR!C1425</f>
        <v>8.1912157402401667E-2</v>
      </c>
    </row>
    <row r="1426" spans="1:27" x14ac:dyDescent="0.25">
      <c r="A1426" t="str">
        <f>"27/04/2015"</f>
        <v>27/04/2015</v>
      </c>
      <c r="B1426" s="3">
        <f>AUD!B1426</f>
        <v>0.78569999999999995</v>
      </c>
      <c r="C1426" s="3">
        <f>AUD!C1426</f>
        <v>0.78439999999999999</v>
      </c>
      <c r="D1426" s="3">
        <f>1/CAD!B1426</f>
        <v>0.82740360747972863</v>
      </c>
      <c r="E1426" s="3">
        <f>1/CAD!C1426</f>
        <v>0.8270614506657844</v>
      </c>
      <c r="F1426" s="3">
        <f>EUR!B1426/1</f>
        <v>1.0891</v>
      </c>
      <c r="G1426" s="3">
        <f>EUR!C1426/1</f>
        <v>1.0894999999999999</v>
      </c>
      <c r="H1426" s="3">
        <f>GBP!B1426/1</f>
        <v>1.5237000000000001</v>
      </c>
      <c r="I1426" s="3">
        <f>GBP!C1426/1</f>
        <v>1.5234000000000001</v>
      </c>
      <c r="J1426" s="4">
        <f>1/INR!B1426</f>
        <v>1.5750511891636478E-2</v>
      </c>
      <c r="K1426" s="4">
        <f>1/INR!C1426</f>
        <v>1.5648227838197325E-2</v>
      </c>
      <c r="L1426" s="4">
        <f>1/JPY!B1426</f>
        <v>8.4005376344086016E-3</v>
      </c>
      <c r="M1426" s="4">
        <f>1/JPY!C1426</f>
        <v>8.40279645065878E-3</v>
      </c>
      <c r="N1426" s="5">
        <f>1/KRW!B1426</f>
        <v>9.3174935942231542E-4</v>
      </c>
      <c r="O1426" s="5">
        <f>1/KRW!C1426</f>
        <v>9.3173763945200781E-4</v>
      </c>
      <c r="P1426" s="3">
        <f>1/NOK!B1426</f>
        <v>0.12934937265554261</v>
      </c>
      <c r="Q1426" s="3">
        <f>1/NOK!C1426</f>
        <v>0.12923068970419094</v>
      </c>
      <c r="R1426" s="3">
        <f>NZD!B1426/1</f>
        <v>0.76400000000000001</v>
      </c>
      <c r="S1426" s="3">
        <f>NZD!C1426/1</f>
        <v>0.76180000000000003</v>
      </c>
      <c r="T1426" s="4">
        <f>1/PHP!B1426</f>
        <v>2.2517451024544024E-2</v>
      </c>
      <c r="U1426" s="4">
        <f>1/PHP!C1426</f>
        <v>2.2471405136963215E-2</v>
      </c>
      <c r="V1426" s="4">
        <f>1/TWD!B1426</f>
        <v>3.2675467259181808E-2</v>
      </c>
      <c r="W1426" s="4">
        <f>1/TWD!C1426</f>
        <v>3.2675467259181808E-2</v>
      </c>
      <c r="X1426" s="4">
        <f>1/TWD!B1426</f>
        <v>3.2675467259181808E-2</v>
      </c>
      <c r="Y1426" s="4">
        <f>1/TWD!C1426</f>
        <v>3.2675467259181808E-2</v>
      </c>
      <c r="Z1426" s="4">
        <f>1/ZAR!B1426</f>
        <v>8.3218907335746675E-2</v>
      </c>
      <c r="AA1426" s="4">
        <f>1/ZAR!C1426</f>
        <v>8.2804762929963735E-2</v>
      </c>
    </row>
    <row r="1427" spans="1:27" x14ac:dyDescent="0.25">
      <c r="A1427" t="str">
        <f>"28/04/2015"</f>
        <v>28/04/2015</v>
      </c>
      <c r="B1427" s="3">
        <f>AUD!B1427</f>
        <v>0.80210000000000004</v>
      </c>
      <c r="C1427" s="3">
        <f>AUD!C1427</f>
        <v>0.80079999999999996</v>
      </c>
      <c r="D1427" s="3">
        <f>1/CAD!B1427</f>
        <v>0.83097889313611428</v>
      </c>
      <c r="E1427" s="3">
        <f>1/CAD!C1427</f>
        <v>0.83063377356923329</v>
      </c>
      <c r="F1427" s="3">
        <f>EUR!B1427/1</f>
        <v>1.0981000000000001</v>
      </c>
      <c r="G1427" s="3">
        <f>EUR!C1427/1</f>
        <v>1.0985</v>
      </c>
      <c r="H1427" s="3">
        <f>GBP!B1427/1</f>
        <v>1.5339</v>
      </c>
      <c r="I1427" s="3">
        <f>GBP!C1427/1</f>
        <v>1.5336000000000001</v>
      </c>
      <c r="J1427" s="4">
        <f>1/INR!B1427</f>
        <v>1.5835312747426764E-2</v>
      </c>
      <c r="K1427" s="4">
        <f>1/INR!C1427</f>
        <v>1.5733784368485229E-2</v>
      </c>
      <c r="L1427" s="4">
        <f>1/JPY!B1427</f>
        <v>8.4132592966515221E-3</v>
      </c>
      <c r="M1427" s="4">
        <f>1/JPY!C1427</f>
        <v>8.4155674532978078E-3</v>
      </c>
      <c r="N1427" s="5">
        <f>1/KRW!B1427</f>
        <v>9.3440478415249479E-4</v>
      </c>
      <c r="O1427" s="5">
        <f>1/KRW!C1427</f>
        <v>9.3439343383046184E-4</v>
      </c>
      <c r="P1427" s="3">
        <f>1/NOK!B1427</f>
        <v>0.13069332810560019</v>
      </c>
      <c r="Q1427" s="3">
        <f>1/NOK!C1427</f>
        <v>0.13057387216817914</v>
      </c>
      <c r="R1427" s="3">
        <f>NZD!B1427/1</f>
        <v>0.77110000000000001</v>
      </c>
      <c r="S1427" s="3">
        <f>NZD!C1427/1</f>
        <v>0.76890000000000003</v>
      </c>
      <c r="T1427" s="4">
        <f>1/PHP!B1427</f>
        <v>2.2578460149017838E-2</v>
      </c>
      <c r="U1427" s="4">
        <f>1/PHP!C1427</f>
        <v>2.2534500319989905E-2</v>
      </c>
      <c r="V1427" s="4">
        <f>1/TWD!B1427</f>
        <v>3.2723583886907291E-2</v>
      </c>
      <c r="W1427" s="4">
        <f>1/TWD!C1427</f>
        <v>3.2723583886907291E-2</v>
      </c>
      <c r="X1427" s="4">
        <f>1/TWD!B1427</f>
        <v>3.2723583886907291E-2</v>
      </c>
      <c r="Y1427" s="4">
        <f>1/TWD!C1427</f>
        <v>3.2723583886907291E-2</v>
      </c>
      <c r="Z1427" s="4">
        <f>1/ZAR!B1427</f>
        <v>8.4227549146774924E-2</v>
      </c>
      <c r="AA1427" s="4">
        <f>1/ZAR!C1427</f>
        <v>8.3806139637789864E-2</v>
      </c>
    </row>
    <row r="1428" spans="1:27" x14ac:dyDescent="0.25">
      <c r="A1428" t="str">
        <f>"29/04/2015"</f>
        <v>29/04/2015</v>
      </c>
      <c r="B1428" s="3">
        <f>AUD!B1428</f>
        <v>0.80059999999999998</v>
      </c>
      <c r="C1428" s="3">
        <f>AUD!C1428</f>
        <v>0.79920000000000002</v>
      </c>
      <c r="D1428" s="3">
        <f>1/CAD!B1428</f>
        <v>0.83194675540765395</v>
      </c>
      <c r="E1428" s="3">
        <f>1/CAD!C1428</f>
        <v>0.83160083160083165</v>
      </c>
      <c r="F1428" s="3">
        <f>EUR!B1428/1</f>
        <v>1.1128</v>
      </c>
      <c r="G1428" s="3">
        <f>EUR!C1428/1</f>
        <v>1.1132</v>
      </c>
      <c r="H1428" s="3">
        <f>GBP!B1428/1</f>
        <v>1.5437000000000001</v>
      </c>
      <c r="I1428" s="3">
        <f>GBP!C1428/1</f>
        <v>1.5432999999999999</v>
      </c>
      <c r="J1428" s="4">
        <f>1/INR!B1428</f>
        <v>1.5795293002685198E-2</v>
      </c>
      <c r="K1428" s="4">
        <f>1/INR!C1428</f>
        <v>1.5688735487919672E-2</v>
      </c>
      <c r="L1428" s="4">
        <f>1/JPY!B1428</f>
        <v>8.4019492522265163E-3</v>
      </c>
      <c r="M1428" s="4">
        <f>1/JPY!C1428</f>
        <v>8.4041664495590335E-3</v>
      </c>
      <c r="N1428" s="5">
        <f>1/KRW!B1428</f>
        <v>9.3562874251497006E-4</v>
      </c>
      <c r="O1428" s="5">
        <f>1/KRW!C1428</f>
        <v>9.3561342324578322E-4</v>
      </c>
      <c r="P1428" s="3">
        <f>1/NOK!B1428</f>
        <v>0.13273866411808433</v>
      </c>
      <c r="Q1428" s="3">
        <f>1/NOK!C1428</f>
        <v>0.1326224768573778</v>
      </c>
      <c r="R1428" s="3">
        <f>NZD!B1428/1</f>
        <v>0.76649999999999996</v>
      </c>
      <c r="S1428" s="3">
        <f>NZD!C1428/1</f>
        <v>0.7641</v>
      </c>
      <c r="T1428" s="4">
        <f>1/PHP!B1428</f>
        <v>2.2563176895306861E-2</v>
      </c>
      <c r="U1428" s="4">
        <f>1/PHP!C1428</f>
        <v>2.2522370344344518E-2</v>
      </c>
      <c r="V1428" s="4">
        <f>1/TWD!B1428</f>
        <v>3.2815935418239101E-2</v>
      </c>
      <c r="W1428" s="4">
        <f>1/TWD!C1428</f>
        <v>3.2815935418239101E-2</v>
      </c>
      <c r="X1428" s="4">
        <f>1/TWD!B1428</f>
        <v>3.2815935418239101E-2</v>
      </c>
      <c r="Y1428" s="4">
        <f>1/TWD!C1428</f>
        <v>3.2815935418239101E-2</v>
      </c>
      <c r="Z1428" s="4">
        <f>1/ZAR!B1428</f>
        <v>8.477809334068076E-2</v>
      </c>
      <c r="AA1428" s="4">
        <f>1/ZAR!C1428</f>
        <v>8.4371097836725056E-2</v>
      </c>
    </row>
    <row r="1429" spans="1:27" x14ac:dyDescent="0.25">
      <c r="A1429" t="str">
        <f>"30/04/2015"</f>
        <v>30/04/2015</v>
      </c>
      <c r="B1429" s="3">
        <f>AUD!B1429</f>
        <v>0.79039999999999999</v>
      </c>
      <c r="C1429" s="3">
        <f>AUD!C1429</f>
        <v>0.78900000000000003</v>
      </c>
      <c r="D1429" s="3">
        <f>1/CAD!B1429</f>
        <v>0.82802020369297014</v>
      </c>
      <c r="E1429" s="3">
        <f>1/CAD!C1429</f>
        <v>0.82767753683165046</v>
      </c>
      <c r="F1429" s="3">
        <f>EUR!B1429/1</f>
        <v>1.1223000000000001</v>
      </c>
      <c r="G1429" s="3">
        <f>EUR!C1429/1</f>
        <v>1.1227</v>
      </c>
      <c r="H1429" s="3">
        <f>GBP!B1429/1</f>
        <v>1.5350999999999999</v>
      </c>
      <c r="I1429" s="3">
        <f>GBP!C1429/1</f>
        <v>1.5347999999999999</v>
      </c>
      <c r="J1429" s="4">
        <f>1/INR!B1429</f>
        <v>1.5766653527788728E-2</v>
      </c>
      <c r="K1429" s="4">
        <f>1/INR!C1429</f>
        <v>1.5651289274954024E-2</v>
      </c>
      <c r="L1429" s="4">
        <f>1/JPY!B1429</f>
        <v>8.3766124979058471E-3</v>
      </c>
      <c r="M1429" s="4">
        <f>1/JPY!C1429</f>
        <v>8.378858464322821E-3</v>
      </c>
      <c r="N1429" s="5">
        <f>1/KRW!B1429</f>
        <v>9.3237485198549228E-4</v>
      </c>
      <c r="O1429" s="5">
        <f>1/KRW!C1429</f>
        <v>9.3236511567108111E-4</v>
      </c>
      <c r="P1429" s="3">
        <f>1/NOK!B1429</f>
        <v>0.1325240531156405</v>
      </c>
      <c r="Q1429" s="3">
        <f>1/NOK!C1429</f>
        <v>0.13239947569807622</v>
      </c>
      <c r="R1429" s="3">
        <f>NZD!B1429/1</f>
        <v>0.76139999999999997</v>
      </c>
      <c r="S1429" s="3">
        <f>NZD!C1429/1</f>
        <v>0.7591</v>
      </c>
      <c r="T1429" s="4">
        <f>1/PHP!B1429</f>
        <v>2.2376370552696354E-2</v>
      </c>
      <c r="U1429" s="4">
        <f>1/PHP!C1429</f>
        <v>2.233284424404439E-2</v>
      </c>
      <c r="V1429" s="4">
        <f>1/TWD!B1429</f>
        <v>3.2645599373204492E-2</v>
      </c>
      <c r="W1429" s="4">
        <f>1/TWD!C1429</f>
        <v>3.2645599373204492E-2</v>
      </c>
      <c r="X1429" s="4">
        <f>1/TWD!B1429</f>
        <v>3.2645599373204492E-2</v>
      </c>
      <c r="Y1429" s="4">
        <f>1/TWD!C1429</f>
        <v>3.2645599373204492E-2</v>
      </c>
      <c r="Z1429" s="4">
        <f>1/ZAR!B1429</f>
        <v>8.3849004712314074E-2</v>
      </c>
      <c r="AA1429" s="4">
        <f>1/ZAR!C1429</f>
        <v>8.3423709018102948E-2</v>
      </c>
    </row>
    <row r="1430" spans="1:27" x14ac:dyDescent="0.25">
      <c r="A1430" t="str">
        <f>"05/05/2015"</f>
        <v>05/05/2015</v>
      </c>
      <c r="B1430" s="3">
        <f>AUD!B1430</f>
        <v>0.79400000000000004</v>
      </c>
      <c r="C1430" s="3">
        <f>AUD!C1430</f>
        <v>0.79259999999999997</v>
      </c>
      <c r="D1430" s="3">
        <f>1/CAD!B1430</f>
        <v>0.82856906123125351</v>
      </c>
      <c r="E1430" s="3">
        <f>1/CAD!C1430</f>
        <v>0.82815734989648027</v>
      </c>
      <c r="F1430" s="3">
        <f>EUR!B1430/1</f>
        <v>1.1185</v>
      </c>
      <c r="G1430" s="3">
        <f>EUR!C1430/1</f>
        <v>1.1189</v>
      </c>
      <c r="H1430" s="3">
        <f>GBP!B1430/1</f>
        <v>1.5181</v>
      </c>
      <c r="I1430" s="3">
        <f>GBP!C1430/1</f>
        <v>1.5177</v>
      </c>
      <c r="J1430" s="4">
        <f>1/INR!B1430</f>
        <v>1.5761683347781542E-2</v>
      </c>
      <c r="K1430" s="4">
        <f>1/INR!C1430</f>
        <v>1.5650676891775569E-2</v>
      </c>
      <c r="L1430" s="4">
        <f>1/JPY!B1430</f>
        <v>8.3430669113966297E-3</v>
      </c>
      <c r="M1430" s="4">
        <f>1/JPY!C1430</f>
        <v>8.3454551068760704E-3</v>
      </c>
      <c r="N1430" s="5">
        <f>1/KRW!B1430</f>
        <v>9.2310532631773295E-4</v>
      </c>
      <c r="O1430" s="5">
        <f>1/KRW!C1430</f>
        <v>9.2309203338343884E-4</v>
      </c>
      <c r="P1430" s="3">
        <f>1/NOK!B1430</f>
        <v>0.13173668471459246</v>
      </c>
      <c r="Q1430" s="3">
        <f>1/NOK!C1430</f>
        <v>0.13160665403242788</v>
      </c>
      <c r="R1430" s="3">
        <f>NZD!B1430/1</f>
        <v>0.75560000000000005</v>
      </c>
      <c r="S1430" s="3">
        <f>NZD!C1430/1</f>
        <v>0.75319999999999998</v>
      </c>
      <c r="T1430" s="4">
        <f>1/PHP!B1430</f>
        <v>2.2376370552696354E-2</v>
      </c>
      <c r="U1430" s="4">
        <f>1/PHP!C1430</f>
        <v>2.2334689793493456E-2</v>
      </c>
      <c r="V1430" s="4">
        <f>1/TWD!B1430</f>
        <v>3.2571168002084552E-2</v>
      </c>
      <c r="W1430" s="4">
        <f>1/TWD!C1430</f>
        <v>3.2571168002084552E-2</v>
      </c>
      <c r="X1430" s="4">
        <f>1/TWD!B1430</f>
        <v>3.2571168002084552E-2</v>
      </c>
      <c r="Y1430" s="4">
        <f>1/TWD!C1430</f>
        <v>3.2571168002084552E-2</v>
      </c>
      <c r="Z1430" s="4">
        <f>1/ZAR!B1430</f>
        <v>8.3391707528603351E-2</v>
      </c>
      <c r="AA1430" s="4">
        <f>1/ZAR!C1430</f>
        <v>8.2934556341590845E-2</v>
      </c>
    </row>
    <row r="1431" spans="1:27" x14ac:dyDescent="0.25">
      <c r="A1431" t="str">
        <f>"06/05/2015"</f>
        <v>06/05/2015</v>
      </c>
      <c r="B1431" s="3">
        <f>AUD!B1431</f>
        <v>0.79649999999999999</v>
      </c>
      <c r="C1431" s="3">
        <f>AUD!C1431</f>
        <v>0.79520000000000002</v>
      </c>
      <c r="D1431" s="3">
        <f>1/CAD!B1431</f>
        <v>0.83063377356923329</v>
      </c>
      <c r="E1431" s="3">
        <f>1/CAD!C1431</f>
        <v>0.83022000830220011</v>
      </c>
      <c r="F1431" s="3">
        <f>EUR!B1431/1</f>
        <v>1.1224000000000001</v>
      </c>
      <c r="G1431" s="3">
        <f>EUR!C1431/1</f>
        <v>1.1228</v>
      </c>
      <c r="H1431" s="3">
        <f>GBP!B1431/1</f>
        <v>1.5204</v>
      </c>
      <c r="I1431" s="3">
        <f>GBP!C1431/1</f>
        <v>1.5201</v>
      </c>
      <c r="J1431" s="4">
        <f>1/INR!B1431</f>
        <v>1.5739356260328952E-2</v>
      </c>
      <c r="K1431" s="4">
        <f>1/INR!C1431</f>
        <v>1.5632327653587619E-2</v>
      </c>
      <c r="L1431" s="4">
        <f>1/JPY!B1431</f>
        <v>8.3377106314148266E-3</v>
      </c>
      <c r="M1431" s="4">
        <f>1/JPY!C1431</f>
        <v>8.3398870946085127E-3</v>
      </c>
      <c r="N1431" s="5">
        <f>1/KRW!B1431</f>
        <v>9.2470155257390677E-4</v>
      </c>
      <c r="O1431" s="5">
        <f>1/KRW!C1431</f>
        <v>9.2469086428543352E-4</v>
      </c>
      <c r="P1431" s="3">
        <f>1/NOK!B1431</f>
        <v>0.1322751322751323</v>
      </c>
      <c r="Q1431" s="3">
        <f>1/NOK!C1431</f>
        <v>0.13214752950193595</v>
      </c>
      <c r="R1431" s="3">
        <f>NZD!B1431/1</f>
        <v>0.74819999999999998</v>
      </c>
      <c r="S1431" s="3">
        <f>NZD!C1431/1</f>
        <v>0.74590000000000001</v>
      </c>
      <c r="T1431" s="4">
        <f>1/PHP!B1431</f>
        <v>2.2459292532285232E-2</v>
      </c>
      <c r="U1431" s="4">
        <f>1/PHP!C1431</f>
        <v>2.2415996054784695E-2</v>
      </c>
      <c r="V1431" s="4">
        <f>1/TWD!B1431</f>
        <v>3.2626427406199025E-2</v>
      </c>
      <c r="W1431" s="4">
        <f>1/TWD!C1431</f>
        <v>3.2626427406199025E-2</v>
      </c>
      <c r="X1431" s="4">
        <f>1/TWD!B1431</f>
        <v>3.2626427406199025E-2</v>
      </c>
      <c r="Y1431" s="4">
        <f>1/TWD!C1431</f>
        <v>3.2626427406199025E-2</v>
      </c>
      <c r="Z1431" s="4">
        <f>1/ZAR!B1431</f>
        <v>8.3521953745542027E-2</v>
      </c>
      <c r="AA1431" s="4">
        <f>1/ZAR!C1431</f>
        <v>8.3079939517804027E-2</v>
      </c>
    </row>
    <row r="1432" spans="1:27" x14ac:dyDescent="0.25">
      <c r="A1432" t="str">
        <f>"07/05/2015"</f>
        <v>07/05/2015</v>
      </c>
      <c r="B1432" s="3">
        <f>AUD!B1432</f>
        <v>0.79059999999999997</v>
      </c>
      <c r="C1432" s="3">
        <f>AUD!C1432</f>
        <v>0.7893</v>
      </c>
      <c r="D1432" s="3">
        <f>1/CAD!B1432</f>
        <v>0.82440230832646322</v>
      </c>
      <c r="E1432" s="3">
        <f>1/CAD!C1432</f>
        <v>0.82406262875978575</v>
      </c>
      <c r="F1432" s="3">
        <f>EUR!B1432/1</f>
        <v>1.1266</v>
      </c>
      <c r="G1432" s="3">
        <f>EUR!C1432/1</f>
        <v>1.127</v>
      </c>
      <c r="H1432" s="3">
        <f>GBP!B1432/1</f>
        <v>1.5245</v>
      </c>
      <c r="I1432" s="3">
        <f>GBP!C1432/1</f>
        <v>1.5241</v>
      </c>
      <c r="J1432" s="4">
        <f>1/INR!B1432</f>
        <v>1.556420233463035E-2</v>
      </c>
      <c r="K1432" s="4">
        <f>1/INR!C1432</f>
        <v>1.5460132184130173E-2</v>
      </c>
      <c r="L1432" s="4">
        <f>1/JPY!B1432</f>
        <v>8.3514280942041091E-3</v>
      </c>
      <c r="M1432" s="4">
        <f>1/JPY!C1432</f>
        <v>8.3537373367784142E-3</v>
      </c>
      <c r="N1432" s="5">
        <f>1/KRW!B1432</f>
        <v>9.1755746203606007E-4</v>
      </c>
      <c r="O1432" s="5">
        <f>1/KRW!C1432</f>
        <v>9.1754676988211453E-4</v>
      </c>
      <c r="P1432" s="3">
        <f>1/NOK!B1432</f>
        <v>0.13412736734803371</v>
      </c>
      <c r="Q1432" s="3">
        <f>1/NOK!C1432</f>
        <v>0.1340069415595728</v>
      </c>
      <c r="R1432" s="3">
        <f>NZD!B1432/1</f>
        <v>0.74460000000000004</v>
      </c>
      <c r="S1432" s="3">
        <f>NZD!C1432/1</f>
        <v>0.74229999999999996</v>
      </c>
      <c r="T1432" s="4">
        <f>1/PHP!B1432</f>
        <v>2.2341376228775692E-2</v>
      </c>
      <c r="U1432" s="4">
        <f>1/PHP!C1432</f>
        <v>2.2300770491620485E-2</v>
      </c>
      <c r="V1432" s="4">
        <f>1/TWD!B1432</f>
        <v>3.2525613920962759E-2</v>
      </c>
      <c r="W1432" s="4">
        <f>1/TWD!C1432</f>
        <v>3.2525613920962759E-2</v>
      </c>
      <c r="X1432" s="4">
        <f>1/TWD!B1432</f>
        <v>3.2525613920962759E-2</v>
      </c>
      <c r="Y1432" s="4">
        <f>1/TWD!C1432</f>
        <v>3.2525613920962759E-2</v>
      </c>
      <c r="Z1432" s="4">
        <f>1/ZAR!B1432</f>
        <v>8.2915302018987613E-2</v>
      </c>
      <c r="AA1432" s="4">
        <f>1/ZAR!C1432</f>
        <v>8.2492596289483022E-2</v>
      </c>
    </row>
    <row r="1433" spans="1:27" x14ac:dyDescent="0.25">
      <c r="A1433" t="str">
        <f>"08/05/2015"</f>
        <v>08/05/2015</v>
      </c>
      <c r="B1433" s="3">
        <f>AUD!B1433</f>
        <v>0.79279999999999995</v>
      </c>
      <c r="C1433" s="3">
        <f>AUD!C1433</f>
        <v>0.79149999999999998</v>
      </c>
      <c r="D1433" s="3">
        <f>1/CAD!B1433</f>
        <v>0.8283631544068919</v>
      </c>
      <c r="E1433" s="3">
        <f>1/CAD!C1433</f>
        <v>0.82802020369297014</v>
      </c>
      <c r="F1433" s="3">
        <f>EUR!B1433/1</f>
        <v>1.1197999999999999</v>
      </c>
      <c r="G1433" s="3">
        <f>EUR!C1433/1</f>
        <v>1.1202000000000001</v>
      </c>
      <c r="H1433" s="3">
        <f>GBP!B1433/1</f>
        <v>1.5454000000000001</v>
      </c>
      <c r="I1433" s="3">
        <f>GBP!C1433/1</f>
        <v>1.5449999999999999</v>
      </c>
      <c r="J1433" s="4">
        <f>1/INR!B1433</f>
        <v>1.5638439283759482E-2</v>
      </c>
      <c r="K1433" s="4">
        <f>1/INR!C1433</f>
        <v>1.5533377344569143E-2</v>
      </c>
      <c r="L1433" s="4">
        <f>1/JPY!B1433</f>
        <v>8.3493362277698921E-3</v>
      </c>
      <c r="M1433" s="4">
        <f>1/JPY!C1433</f>
        <v>8.3513583484353723E-3</v>
      </c>
      <c r="N1433" s="5">
        <f>1/KRW!B1433</f>
        <v>9.1858574538640297E-4</v>
      </c>
      <c r="O1433" s="5">
        <f>1/KRW!C1433</f>
        <v>9.1857477612036266E-4</v>
      </c>
      <c r="P1433" s="3">
        <f>1/NOK!B1433</f>
        <v>0.13309907895437362</v>
      </c>
      <c r="Q1433" s="3">
        <f>1/NOK!C1433</f>
        <v>0.13296811424620375</v>
      </c>
      <c r="R1433" s="3">
        <f>NZD!B1433/1</f>
        <v>0.74790000000000001</v>
      </c>
      <c r="S1433" s="3">
        <f>NZD!C1433/1</f>
        <v>0.74570000000000003</v>
      </c>
      <c r="T1433" s="4">
        <f>1/PHP!B1433</f>
        <v>2.2387892627666956E-2</v>
      </c>
      <c r="U1433" s="4">
        <f>1/PHP!C1433</f>
        <v>2.2346468587569106E-2</v>
      </c>
      <c r="V1433" s="4">
        <f>1/TWD!B1433</f>
        <v>3.2561622871283905E-2</v>
      </c>
      <c r="W1433" s="4">
        <f>1/TWD!C1433</f>
        <v>3.2561622871283905E-2</v>
      </c>
      <c r="X1433" s="4">
        <f>1/TWD!B1433</f>
        <v>3.2561622871283905E-2</v>
      </c>
      <c r="Y1433" s="4">
        <f>1/TWD!C1433</f>
        <v>3.2561622871283905E-2</v>
      </c>
      <c r="Z1433" s="4">
        <f>1/ZAR!B1433</f>
        <v>8.3718438148817895E-2</v>
      </c>
      <c r="AA1433" s="4">
        <f>1/ZAR!C1433</f>
        <v>8.3284750562172064E-2</v>
      </c>
    </row>
    <row r="1434" spans="1:27" x14ac:dyDescent="0.25">
      <c r="A1434" t="str">
        <f>"11/05/2015"</f>
        <v>11/05/2015</v>
      </c>
      <c r="B1434" s="3">
        <f>AUD!B1434</f>
        <v>0.78900000000000003</v>
      </c>
      <c r="C1434" s="3">
        <f>AUD!C1434</f>
        <v>0.78759999999999997</v>
      </c>
      <c r="D1434" s="3">
        <f>1/CAD!B1434</f>
        <v>0.82624142774518716</v>
      </c>
      <c r="E1434" s="3">
        <f>1/CAD!C1434</f>
        <v>0.82590023125206469</v>
      </c>
      <c r="F1434" s="3">
        <f>EUR!B1434/1</f>
        <v>1.1154999999999999</v>
      </c>
      <c r="G1434" s="3">
        <f>EUR!C1434/1</f>
        <v>1.1160000000000001</v>
      </c>
      <c r="H1434" s="3">
        <f>GBP!B1434/1</f>
        <v>1.5585</v>
      </c>
      <c r="I1434" s="3">
        <f>GBP!C1434/1</f>
        <v>1.5581</v>
      </c>
      <c r="J1434" s="4">
        <f>1/INR!B1434</f>
        <v>1.5659254619480114E-2</v>
      </c>
      <c r="K1434" s="4">
        <f>1/INR!C1434</f>
        <v>1.5550890288469014E-2</v>
      </c>
      <c r="L1434" s="4">
        <f>1/JPY!B1434</f>
        <v>8.3270880173203429E-3</v>
      </c>
      <c r="M1434" s="4">
        <f>1/JPY!C1434</f>
        <v>8.3294185066352146E-3</v>
      </c>
      <c r="N1434" s="5">
        <f>1/KRW!B1434</f>
        <v>9.1602773731988595E-4</v>
      </c>
      <c r="O1434" s="5">
        <f>1/KRW!C1434</f>
        <v>9.1601598997512104E-4</v>
      </c>
      <c r="P1434" s="3">
        <f>1/NOK!B1434</f>
        <v>0.13205504054089745</v>
      </c>
      <c r="Q1434" s="3">
        <f>1/NOK!C1434</f>
        <v>0.13192438094484241</v>
      </c>
      <c r="R1434" s="3">
        <f>NZD!B1434/1</f>
        <v>0.73319999999999996</v>
      </c>
      <c r="S1434" s="3">
        <f>NZD!C1434/1</f>
        <v>0.73080000000000001</v>
      </c>
      <c r="T1434" s="4">
        <f>1/PHP!B1434</f>
        <v>2.2376370552696354E-2</v>
      </c>
      <c r="U1434" s="4">
        <f>1/PHP!C1434</f>
        <v>2.2330699799470315E-2</v>
      </c>
      <c r="V1434" s="4">
        <f>1/TWD!B1434</f>
        <v>3.2488628979857048E-2</v>
      </c>
      <c r="W1434" s="4">
        <f>1/TWD!C1434</f>
        <v>3.2488628979857048E-2</v>
      </c>
      <c r="X1434" s="4">
        <f>1/TWD!B1434</f>
        <v>3.2488628979857048E-2</v>
      </c>
      <c r="Y1434" s="4">
        <f>1/TWD!C1434</f>
        <v>3.2488628979857048E-2</v>
      </c>
      <c r="Z1434" s="4">
        <f>1/ZAR!B1434</f>
        <v>8.2915302018987613E-2</v>
      </c>
      <c r="AA1434" s="4">
        <f>1/ZAR!C1434</f>
        <v>8.2490554831471788E-2</v>
      </c>
    </row>
    <row r="1435" spans="1:27" x14ac:dyDescent="0.25">
      <c r="A1435" t="str">
        <f>"12/05/2015"</f>
        <v>12/05/2015</v>
      </c>
      <c r="B1435" s="3">
        <f>AUD!B1435</f>
        <v>0.79759999999999998</v>
      </c>
      <c r="C1435" s="3">
        <f>AUD!C1435</f>
        <v>0.79620000000000002</v>
      </c>
      <c r="D1435" s="3">
        <f>1/CAD!B1435</f>
        <v>0.8320159747067144</v>
      </c>
      <c r="E1435" s="3">
        <f>1/CAD!C1435</f>
        <v>0.83160083160083165</v>
      </c>
      <c r="F1435" s="3">
        <f>EUR!B1435/1</f>
        <v>1.1213</v>
      </c>
      <c r="G1435" s="3">
        <f>EUR!C1435/1</f>
        <v>1.1216999999999999</v>
      </c>
      <c r="H1435" s="3">
        <f>GBP!B1435/1</f>
        <v>1.5669999999999999</v>
      </c>
      <c r="I1435" s="3">
        <f>GBP!C1435/1</f>
        <v>1.5666</v>
      </c>
      <c r="J1435" s="4">
        <f>1/INR!B1435</f>
        <v>1.5583606046439146E-2</v>
      </c>
      <c r="K1435" s="4">
        <f>1/INR!C1435</f>
        <v>1.5478678120888476E-2</v>
      </c>
      <c r="L1435" s="4">
        <f>1/JPY!B1435</f>
        <v>8.3416750083416761E-3</v>
      </c>
      <c r="M1435" s="4">
        <f>1/JPY!C1435</f>
        <v>8.3443617981765906E-3</v>
      </c>
      <c r="N1435" s="5">
        <f>1/KRW!B1435</f>
        <v>9.1235881247376974E-4</v>
      </c>
      <c r="O1435" s="5">
        <f>1/KRW!C1435</f>
        <v>9.1234715904218143E-4</v>
      </c>
      <c r="P1435" s="3">
        <f>1/NOK!B1435</f>
        <v>0.13348105236461685</v>
      </c>
      <c r="Q1435" s="3">
        <f>1/NOK!C1435</f>
        <v>0.13333688898370624</v>
      </c>
      <c r="R1435" s="3">
        <f>NZD!B1435/1</f>
        <v>0.7359</v>
      </c>
      <c r="S1435" s="3">
        <f>NZD!C1435/1</f>
        <v>0.73360000000000003</v>
      </c>
      <c r="T1435" s="4">
        <f>1/PHP!B1435</f>
        <v>2.2331397945511387E-2</v>
      </c>
      <c r="U1435" s="4">
        <f>1/PHP!C1435</f>
        <v>2.2284966784257006E-2</v>
      </c>
      <c r="V1435" s="4">
        <f>1/TWD!B1435</f>
        <v>3.2519267666092158E-2</v>
      </c>
      <c r="W1435" s="4">
        <f>1/TWD!C1435</f>
        <v>3.2519267666092158E-2</v>
      </c>
      <c r="X1435" s="4">
        <f>1/TWD!B1435</f>
        <v>3.2519267666092158E-2</v>
      </c>
      <c r="Y1435" s="4">
        <f>1/TWD!C1435</f>
        <v>3.2519267666092158E-2</v>
      </c>
      <c r="Z1435" s="4">
        <f>1/ZAR!B1435</f>
        <v>8.3718438148817895E-2</v>
      </c>
      <c r="AA1435" s="4">
        <f>1/ZAR!C1435</f>
        <v>8.3255628080458235E-2</v>
      </c>
    </row>
    <row r="1436" spans="1:27" x14ac:dyDescent="0.25">
      <c r="A1436" t="str">
        <f>"13/05/2015"</f>
        <v>13/05/2015</v>
      </c>
      <c r="B1436" s="3">
        <f>AUD!B1436</f>
        <v>0.81120000000000003</v>
      </c>
      <c r="C1436" s="3">
        <f>AUD!C1436</f>
        <v>0.80989999999999995</v>
      </c>
      <c r="D1436" s="3">
        <f>1/CAD!B1436</f>
        <v>0.83626024418799128</v>
      </c>
      <c r="E1436" s="3">
        <f>1/CAD!C1436</f>
        <v>0.83584085590103652</v>
      </c>
      <c r="F1436" s="3">
        <f>EUR!B1436/1</f>
        <v>1.1354</v>
      </c>
      <c r="G1436" s="3">
        <f>EUR!C1436/1</f>
        <v>1.1357999999999999</v>
      </c>
      <c r="H1436" s="3">
        <f>GBP!B1436/1</f>
        <v>1.5744</v>
      </c>
      <c r="I1436" s="3">
        <f>GBP!C1436/1</f>
        <v>1.5740000000000001</v>
      </c>
      <c r="J1436" s="4">
        <f>1/INR!B1436</f>
        <v>1.5620118712902219E-2</v>
      </c>
      <c r="K1436" s="4">
        <f>1/INR!C1436</f>
        <v>1.5517107611141286E-2</v>
      </c>
      <c r="L1436" s="4">
        <f>1/JPY!B1436</f>
        <v>8.3920778784827132E-3</v>
      </c>
      <c r="M1436" s="4">
        <f>1/JPY!C1436</f>
        <v>8.3942475900115176E-3</v>
      </c>
      <c r="N1436" s="5">
        <f>1/KRW!B1436</f>
        <v>9.0913223328333102E-4</v>
      </c>
      <c r="O1436" s="5">
        <f>1/KRW!C1436</f>
        <v>9.0912107538113757E-4</v>
      </c>
      <c r="P1436" s="3">
        <f>1/NOK!B1436</f>
        <v>0.13527406525620908</v>
      </c>
      <c r="Q1436" s="3">
        <f>1/NOK!C1436</f>
        <v>0.13513513513513511</v>
      </c>
      <c r="R1436" s="3">
        <f>NZD!B1436/1</f>
        <v>0.74809999999999999</v>
      </c>
      <c r="S1436" s="3">
        <f>NZD!C1436/1</f>
        <v>0.74590000000000001</v>
      </c>
      <c r="T1436" s="4">
        <f>1/PHP!B1436</f>
        <v>2.2368862543339672E-2</v>
      </c>
      <c r="U1436" s="4">
        <f>1/PHP!C1436</f>
        <v>2.2323471567710435E-2</v>
      </c>
      <c r="V1436" s="4">
        <f>1/TWD!B1436</f>
        <v>3.2562683165092803E-2</v>
      </c>
      <c r="W1436" s="4">
        <f>1/TWD!C1436</f>
        <v>3.2562683165092803E-2</v>
      </c>
      <c r="X1436" s="4">
        <f>1/TWD!B1436</f>
        <v>3.2562683165092803E-2</v>
      </c>
      <c r="Y1436" s="4">
        <f>1/TWD!C1436</f>
        <v>3.2562683165092803E-2</v>
      </c>
      <c r="Z1436" s="4">
        <f>1/ZAR!B1436</f>
        <v>8.4035731993243531E-2</v>
      </c>
      <c r="AA1436" s="4">
        <f>1/ZAR!C1436</f>
        <v>8.3581291163785904E-2</v>
      </c>
    </row>
    <row r="1437" spans="1:27" x14ac:dyDescent="0.25">
      <c r="A1437" t="str">
        <f>"14/05/2015"</f>
        <v>14/05/2015</v>
      </c>
      <c r="B1437" s="3">
        <f>AUD!B1437</f>
        <v>0.80779999999999996</v>
      </c>
      <c r="C1437" s="3">
        <f>AUD!C1437</f>
        <v>0.80640000000000001</v>
      </c>
      <c r="D1437" s="3">
        <f>1/CAD!B1437</f>
        <v>0.83451556371526336</v>
      </c>
      <c r="E1437" s="3">
        <f>1/CAD!C1437</f>
        <v>0.83416750083416746</v>
      </c>
      <c r="F1437" s="3">
        <f>EUR!B1437/1</f>
        <v>1.1409</v>
      </c>
      <c r="G1437" s="3">
        <f>EUR!C1437/1</f>
        <v>1.1413</v>
      </c>
      <c r="H1437" s="3">
        <f>GBP!B1437/1</f>
        <v>1.5774999999999999</v>
      </c>
      <c r="I1437" s="3">
        <f>GBP!C1437/1</f>
        <v>1.5770999999999999</v>
      </c>
      <c r="J1437" s="4">
        <f>1/INR!B1437</f>
        <v>1.5708451146716935E-2</v>
      </c>
      <c r="K1437" s="4">
        <f>1/INR!C1437</f>
        <v>1.5606101985876478E-2</v>
      </c>
      <c r="L1437" s="4">
        <f>1/JPY!B1437</f>
        <v>8.3906695754321185E-3</v>
      </c>
      <c r="M1437" s="4">
        <f>1/JPY!C1437</f>
        <v>8.392951263810601E-3</v>
      </c>
      <c r="N1437" s="5">
        <f>1/KRW!B1437</f>
        <v>9.1685080086917456E-4</v>
      </c>
      <c r="O1437" s="5">
        <f>1/KRW!C1437</f>
        <v>9.1683777151577574E-4</v>
      </c>
      <c r="P1437" s="3">
        <f>1/NOK!B1437</f>
        <v>0.1355601344756534</v>
      </c>
      <c r="Q1437" s="3">
        <f>1/NOK!C1437</f>
        <v>0.13542061643464601</v>
      </c>
      <c r="R1437" s="3">
        <f>NZD!B1437/1</f>
        <v>0.74950000000000006</v>
      </c>
      <c r="S1437" s="3">
        <f>NZD!C1437/1</f>
        <v>0.74729999999999996</v>
      </c>
      <c r="T1437" s="4">
        <f>1/PHP!B1437</f>
        <v>2.2416498542927595E-2</v>
      </c>
      <c r="U1437" s="4">
        <f>1/PHP!C1437</f>
        <v>2.2372716025352762E-2</v>
      </c>
      <c r="V1437" s="4">
        <f>1/TWD!B1437</f>
        <v>3.2726796701138892E-2</v>
      </c>
      <c r="W1437" s="4">
        <f>1/TWD!C1437</f>
        <v>3.2726796701138892E-2</v>
      </c>
      <c r="X1437" s="4">
        <f>1/TWD!B1437</f>
        <v>3.2726796701138892E-2</v>
      </c>
      <c r="Y1437" s="4">
        <f>1/TWD!C1437</f>
        <v>3.2726796701138892E-2</v>
      </c>
      <c r="Z1437" s="4">
        <f>1/ZAR!B1437</f>
        <v>8.4753663477103794E-2</v>
      </c>
      <c r="AA1437" s="4">
        <f>1/ZAR!C1437</f>
        <v>8.4310634100279058E-2</v>
      </c>
    </row>
    <row r="1438" spans="1:27" x14ac:dyDescent="0.25">
      <c r="A1438" t="str">
        <f>"15/05/2015"</f>
        <v>15/05/2015</v>
      </c>
      <c r="B1438" s="3">
        <f>AUD!B1438</f>
        <v>0.80249999999999999</v>
      </c>
      <c r="C1438" s="3">
        <f>AUD!C1438</f>
        <v>0.80110000000000003</v>
      </c>
      <c r="D1438" s="3">
        <f>1/CAD!B1438</f>
        <v>0.8322929671244278</v>
      </c>
      <c r="E1438" s="3">
        <f>1/CAD!C1438</f>
        <v>0.83187754762498967</v>
      </c>
      <c r="F1438" s="3">
        <f>EUR!B1438/1</f>
        <v>1.145</v>
      </c>
      <c r="G1438" s="3">
        <f>EUR!C1438/1</f>
        <v>1.1454</v>
      </c>
      <c r="H1438" s="3">
        <f>GBP!B1438/1</f>
        <v>1.5727</v>
      </c>
      <c r="I1438" s="3">
        <f>GBP!C1438/1</f>
        <v>1.5723</v>
      </c>
      <c r="J1438" s="4">
        <f>1/INR!B1438</f>
        <v>1.5743073047858942E-2</v>
      </c>
      <c r="K1438" s="4">
        <f>1/INR!C1438</f>
        <v>1.5639662183296842E-2</v>
      </c>
      <c r="L1438" s="4">
        <f>1/JPY!B1438</f>
        <v>8.385744234800839E-3</v>
      </c>
      <c r="M1438" s="4">
        <f>1/JPY!C1438</f>
        <v>8.3880162090025235E-3</v>
      </c>
      <c r="N1438" s="5">
        <f>1/KRW!B1438</f>
        <v>9.2088662964702407E-4</v>
      </c>
      <c r="O1438" s="5">
        <f>1/KRW!C1438</f>
        <v>9.2087518135485597E-4</v>
      </c>
      <c r="P1438" s="3">
        <f>1/NOK!B1438</f>
        <v>0.13647778141718528</v>
      </c>
      <c r="Q1438" s="3">
        <f>1/NOK!C1438</f>
        <v>0.13633636908981839</v>
      </c>
      <c r="R1438" s="3">
        <f>NZD!B1438/1</f>
        <v>0.74690000000000001</v>
      </c>
      <c r="S1438" s="3">
        <f>NZD!C1438/1</f>
        <v>0.74470000000000003</v>
      </c>
      <c r="T1438" s="4">
        <f>1/PHP!B1438</f>
        <v>2.2483025315886505E-2</v>
      </c>
      <c r="U1438" s="4">
        <f>1/PHP!C1438</f>
        <v>2.2439234552830936E-2</v>
      </c>
      <c r="V1438" s="4">
        <f>1/TWD!B1438</f>
        <v>3.2834252692408722E-2</v>
      </c>
      <c r="W1438" s="4">
        <f>1/TWD!C1438</f>
        <v>3.2834252692408722E-2</v>
      </c>
      <c r="X1438" s="4">
        <f>1/TWD!B1438</f>
        <v>3.2834252692408722E-2</v>
      </c>
      <c r="Y1438" s="4">
        <f>1/TWD!C1438</f>
        <v>3.2834252692408722E-2</v>
      </c>
      <c r="Z1438" s="4">
        <f>1/ZAR!B1438</f>
        <v>8.4425233013643117E-2</v>
      </c>
      <c r="AA1438" s="4">
        <f>1/ZAR!C1438</f>
        <v>8.3989854025633706E-2</v>
      </c>
    </row>
    <row r="1439" spans="1:27" x14ac:dyDescent="0.25">
      <c r="A1439" t="str">
        <f>"18/05/2015"</f>
        <v>18/05/2015</v>
      </c>
      <c r="B1439" s="3">
        <f>AUD!B1439</f>
        <v>0.79879999999999995</v>
      </c>
      <c r="C1439" s="3">
        <f>AUD!C1439</f>
        <v>0.7974</v>
      </c>
      <c r="D1439" s="3">
        <f>1/CAD!B1439</f>
        <v>0.82230079763177377</v>
      </c>
      <c r="E1439" s="3">
        <f>1/CAD!C1439</f>
        <v>0.82189529053998522</v>
      </c>
      <c r="F1439" s="3">
        <f>EUR!B1439/1</f>
        <v>1.1315</v>
      </c>
      <c r="G1439" s="3">
        <f>EUR!C1439/1</f>
        <v>1.1319999999999999</v>
      </c>
      <c r="H1439" s="3">
        <f>GBP!B1439/1</f>
        <v>1.5651999999999999</v>
      </c>
      <c r="I1439" s="3">
        <f>GBP!C1439/1</f>
        <v>1.5648</v>
      </c>
      <c r="J1439" s="4">
        <f>1/INR!B1439</f>
        <v>1.5692428403295409E-2</v>
      </c>
      <c r="K1439" s="4">
        <f>1/INR!C1439</f>
        <v>1.5582998948147572E-2</v>
      </c>
      <c r="L1439" s="4">
        <f>1/JPY!B1439</f>
        <v>8.3340278356529712E-3</v>
      </c>
      <c r="M1439" s="4">
        <f>1/JPY!C1439</f>
        <v>8.3365290027844017E-3</v>
      </c>
      <c r="N1439" s="5">
        <f>1/KRW!B1439</f>
        <v>9.2106475085198484E-4</v>
      </c>
      <c r="O1439" s="5">
        <f>1/KRW!C1439</f>
        <v>9.2105168628905877E-4</v>
      </c>
      <c r="P1439" s="3">
        <f>1/NOK!B1439</f>
        <v>0.13491089135625919</v>
      </c>
      <c r="Q1439" s="3">
        <f>1/NOK!C1439</f>
        <v>0.13476907319308365</v>
      </c>
      <c r="R1439" s="3">
        <f>NZD!B1439/1</f>
        <v>0.73860000000000003</v>
      </c>
      <c r="S1439" s="3">
        <f>NZD!C1439/1</f>
        <v>0.73619999999999997</v>
      </c>
      <c r="T1439" s="4">
        <f>1/PHP!B1439</f>
        <v>2.2469385462307603E-2</v>
      </c>
      <c r="U1439" s="4">
        <f>1/PHP!C1439</f>
        <v>2.2425848930511263E-2</v>
      </c>
      <c r="V1439" s="4">
        <f>1/TWD!B1439</f>
        <v>3.268828451882845E-2</v>
      </c>
      <c r="W1439" s="4">
        <f>1/TWD!C1439</f>
        <v>3.268828451882845E-2</v>
      </c>
      <c r="X1439" s="4">
        <f>1/TWD!B1439</f>
        <v>3.268828451882845E-2</v>
      </c>
      <c r="Y1439" s="4">
        <f>1/TWD!C1439</f>
        <v>3.268828451882845E-2</v>
      </c>
      <c r="Z1439" s="4">
        <f>1/ZAR!B1439</f>
        <v>8.4036438199603353E-2</v>
      </c>
      <c r="AA1439" s="4">
        <f>1/ZAR!C1439</f>
        <v>8.3607845760246144E-2</v>
      </c>
    </row>
    <row r="1440" spans="1:27" x14ac:dyDescent="0.25">
      <c r="A1440" t="str">
        <f>"19/05/2015"</f>
        <v>19/05/2015</v>
      </c>
      <c r="B1440" s="3">
        <f>AUD!B1440</f>
        <v>0.79139999999999999</v>
      </c>
      <c r="C1440" s="3">
        <f>AUD!C1440</f>
        <v>0.79</v>
      </c>
      <c r="D1440" s="3">
        <f>1/CAD!B1440</f>
        <v>0.81746096623886211</v>
      </c>
      <c r="E1440" s="3">
        <f>1/CAD!C1440</f>
        <v>0.81706021733801781</v>
      </c>
      <c r="F1440" s="3">
        <f>EUR!B1440/1</f>
        <v>1.1149</v>
      </c>
      <c r="G1440" s="3">
        <f>EUR!C1440/1</f>
        <v>1.1153</v>
      </c>
      <c r="H1440" s="3">
        <f>GBP!B1440/1</f>
        <v>1.5511999999999999</v>
      </c>
      <c r="I1440" s="3">
        <f>GBP!C1440/1</f>
        <v>1.5508</v>
      </c>
      <c r="J1440" s="4">
        <f>1/INR!B1440</f>
        <v>1.5703517587939697E-2</v>
      </c>
      <c r="K1440" s="4">
        <f>1/INR!C1440</f>
        <v>1.5598190609889253E-2</v>
      </c>
      <c r="L1440" s="4">
        <f>1/JPY!B1440</f>
        <v>8.2850041425020712E-3</v>
      </c>
      <c r="M1440" s="4">
        <f>1/JPY!C1440</f>
        <v>8.2873660761642095E-3</v>
      </c>
      <c r="N1440" s="5">
        <f>1/KRW!B1440</f>
        <v>9.1886428374529086E-4</v>
      </c>
      <c r="O1440" s="5">
        <f>1/KRW!C1440</f>
        <v>9.1885246353533994E-4</v>
      </c>
      <c r="P1440" s="3">
        <f>1/NOK!B1440</f>
        <v>0.13250298131707963</v>
      </c>
      <c r="Q1440" s="3">
        <f>1/NOK!C1440</f>
        <v>0.13236442573693893</v>
      </c>
      <c r="R1440" s="3">
        <f>NZD!B1440/1</f>
        <v>0.73419999999999996</v>
      </c>
      <c r="S1440" s="3">
        <f>NZD!C1440/1</f>
        <v>0.7319</v>
      </c>
      <c r="T1440" s="4">
        <f>1/PHP!B1440</f>
        <v>2.2458283737956743E-2</v>
      </c>
      <c r="U1440" s="4">
        <f>1/PHP!C1440</f>
        <v>2.2415041389373922E-2</v>
      </c>
      <c r="V1440" s="4">
        <f>1/TWD!B1440</f>
        <v>3.2817012339196636E-2</v>
      </c>
      <c r="W1440" s="4">
        <f>1/TWD!C1440</f>
        <v>3.2817012339196636E-2</v>
      </c>
      <c r="X1440" s="4">
        <f>1/TWD!B1440</f>
        <v>3.2817012339196636E-2</v>
      </c>
      <c r="Y1440" s="4">
        <f>1/TWD!C1440</f>
        <v>3.2817012339196636E-2</v>
      </c>
      <c r="Z1440" s="4">
        <f>1/ZAR!B1440</f>
        <v>8.3866585036523902E-2</v>
      </c>
      <c r="AA1440" s="4">
        <f>1/ZAR!C1440</f>
        <v>8.3408400894138049E-2</v>
      </c>
    </row>
    <row r="1441" spans="1:27" x14ac:dyDescent="0.25">
      <c r="A1441" t="str">
        <f>"20/05/2015"</f>
        <v>20/05/2015</v>
      </c>
      <c r="B1441" s="3">
        <f>AUD!B1441</f>
        <v>0.78739999999999999</v>
      </c>
      <c r="C1441" s="3">
        <f>AUD!C1441</f>
        <v>0.78610000000000002</v>
      </c>
      <c r="D1441" s="3">
        <f>1/CAD!B1441</f>
        <v>0.8190679007289704</v>
      </c>
      <c r="E1441" s="3">
        <f>1/CAD!C1441</f>
        <v>0.81866557511256655</v>
      </c>
      <c r="F1441" s="3">
        <f>EUR!B1441/1</f>
        <v>1.1093</v>
      </c>
      <c r="G1441" s="3">
        <f>EUR!C1441/1</f>
        <v>1.1096999999999999</v>
      </c>
      <c r="H1441" s="3">
        <f>GBP!B1441/1</f>
        <v>1.5536000000000001</v>
      </c>
      <c r="I1441" s="3">
        <f>GBP!C1441/1</f>
        <v>1.5531999999999999</v>
      </c>
      <c r="J1441" s="4">
        <f>1/INR!B1441</f>
        <v>1.5666614444618518E-2</v>
      </c>
      <c r="K1441" s="4">
        <f>1/INR!C1441</f>
        <v>1.556420233463035E-2</v>
      </c>
      <c r="L1441" s="4">
        <f>1/JPY!B1441</f>
        <v>8.2406262875978579E-3</v>
      </c>
      <c r="M1441" s="4">
        <f>1/JPY!C1441</f>
        <v>8.2428814475818679E-3</v>
      </c>
      <c r="N1441" s="5">
        <f>1/KRW!B1441</f>
        <v>9.1224229155263637E-4</v>
      </c>
      <c r="O1441" s="5">
        <f>1/KRW!C1441</f>
        <v>9.1223064109744996E-4</v>
      </c>
      <c r="P1441" s="3">
        <f>1/NOK!B1441</f>
        <v>0.13195397445371054</v>
      </c>
      <c r="Q1441" s="3">
        <f>1/NOK!C1441</f>
        <v>0.13182177695755337</v>
      </c>
      <c r="R1441" s="3">
        <f>NZD!B1441/1</f>
        <v>0.73040000000000005</v>
      </c>
      <c r="S1441" s="3">
        <f>NZD!C1441/1</f>
        <v>0.72819999999999996</v>
      </c>
      <c r="T1441" s="4">
        <f>1/PHP!B1441</f>
        <v>2.2425044289462469E-2</v>
      </c>
      <c r="U1441" s="4">
        <f>1/PHP!C1441</f>
        <v>2.2379775844165145E-2</v>
      </c>
      <c r="V1441" s="4">
        <f>1/TWD!B1441</f>
        <v>3.2751449251629386E-2</v>
      </c>
      <c r="W1441" s="4">
        <f>1/TWD!C1441</f>
        <v>3.2751449251629386E-2</v>
      </c>
      <c r="X1441" s="4">
        <f>1/TWD!B1441</f>
        <v>3.2751449251629386E-2</v>
      </c>
      <c r="Y1441" s="4">
        <f>1/TWD!C1441</f>
        <v>3.2751449251629386E-2</v>
      </c>
      <c r="Z1441" s="4">
        <f>1/ZAR!B1441</f>
        <v>8.4435212861171616E-2</v>
      </c>
      <c r="AA1441" s="4">
        <f>1/ZAR!C1441</f>
        <v>8.3988443190217033E-2</v>
      </c>
    </row>
    <row r="1442" spans="1:27" x14ac:dyDescent="0.25">
      <c r="A1442" t="str">
        <f>"21/05/2015"</f>
        <v>21/05/2015</v>
      </c>
      <c r="B1442" s="3">
        <f>AUD!B1442</f>
        <v>0.78949999999999998</v>
      </c>
      <c r="C1442" s="3">
        <f>AUD!C1442</f>
        <v>0.78820000000000001</v>
      </c>
      <c r="D1442" s="3">
        <f>1/CAD!B1442</f>
        <v>0.81973932289531926</v>
      </c>
      <c r="E1442" s="3">
        <f>1/CAD!C1442</f>
        <v>0.81933633756657109</v>
      </c>
      <c r="F1442" s="3">
        <f>EUR!B1442/1</f>
        <v>1.1112</v>
      </c>
      <c r="G1442" s="3">
        <f>EUR!C1442/1</f>
        <v>1.1115999999999999</v>
      </c>
      <c r="H1442" s="3">
        <f>GBP!B1442/1</f>
        <v>1.5662</v>
      </c>
      <c r="I1442" s="3">
        <f>GBP!C1442/1</f>
        <v>1.5658000000000001</v>
      </c>
      <c r="J1442" s="4">
        <f>1/INR!B1442</f>
        <v>1.5712153350616702E-2</v>
      </c>
      <c r="K1442" s="4">
        <f>1/INR!C1442</f>
        <v>1.5608537870215008E-2</v>
      </c>
      <c r="L1442" s="4">
        <f>1/JPY!B1442</f>
        <v>8.261731658955716E-3</v>
      </c>
      <c r="M1442" s="4">
        <f>1/JPY!C1442</f>
        <v>8.263841314413543E-3</v>
      </c>
      <c r="N1442" s="5">
        <f>1/KRW!B1442</f>
        <v>9.137844382510167E-4</v>
      </c>
      <c r="O1442" s="5">
        <f>1/KRW!C1442</f>
        <v>9.1377066092575017E-4</v>
      </c>
      <c r="P1442" s="3">
        <f>1/NOK!B1442</f>
        <v>0.13184610922131687</v>
      </c>
      <c r="Q1442" s="3">
        <f>1/NOK!C1442</f>
        <v>0.13171933244642317</v>
      </c>
      <c r="R1442" s="3">
        <f>NZD!B1442/1</f>
        <v>0.73450000000000004</v>
      </c>
      <c r="S1442" s="3">
        <f>NZD!C1442/1</f>
        <v>0.73229999999999995</v>
      </c>
      <c r="T1442" s="4">
        <f>1/PHP!B1442</f>
        <v>2.2485047443450108E-2</v>
      </c>
      <c r="U1442" s="4">
        <f>1/PHP!C1442</f>
        <v>2.2444170126809562E-2</v>
      </c>
      <c r="V1442" s="4">
        <f>1/TWD!B1442</f>
        <v>3.2626427406199025E-2</v>
      </c>
      <c r="W1442" s="4">
        <f>1/TWD!C1442</f>
        <v>3.2626427406199025E-2</v>
      </c>
      <c r="X1442" s="4">
        <f>1/TWD!B1442</f>
        <v>3.2626427406199025E-2</v>
      </c>
      <c r="Y1442" s="4">
        <f>1/TWD!C1442</f>
        <v>3.2626427406199025E-2</v>
      </c>
      <c r="Z1442" s="4">
        <f>1/ZAR!B1442</f>
        <v>8.4407417723869574E-2</v>
      </c>
      <c r="AA1442" s="4">
        <f>1/ZAR!C1442</f>
        <v>8.3972927128293837E-2</v>
      </c>
    </row>
    <row r="1443" spans="1:27" x14ac:dyDescent="0.25">
      <c r="A1443" t="str">
        <f>"22/05/2015"</f>
        <v>22/05/2015</v>
      </c>
      <c r="B1443" s="3">
        <f>AUD!B1443</f>
        <v>0.78159999999999996</v>
      </c>
      <c r="C1443" s="3">
        <f>AUD!C1443</f>
        <v>0.78029999999999999</v>
      </c>
      <c r="D1443" s="3">
        <f>1/CAD!B1443</f>
        <v>0.81433224755700329</v>
      </c>
      <c r="E1443" s="3">
        <f>1/CAD!C1443</f>
        <v>0.81386831610645405</v>
      </c>
      <c r="F1443" s="3">
        <f>EUR!B1443/1</f>
        <v>1.1012</v>
      </c>
      <c r="G1443" s="3">
        <f>EUR!C1443/1</f>
        <v>1.1015999999999999</v>
      </c>
      <c r="H1443" s="3">
        <f>GBP!B1443/1</f>
        <v>1.5488999999999999</v>
      </c>
      <c r="I1443" s="3">
        <f>GBP!C1443/1</f>
        <v>1.5485</v>
      </c>
      <c r="J1443" s="4">
        <f>1/INR!B1443</f>
        <v>1.5741214434693635E-2</v>
      </c>
      <c r="K1443" s="4">
        <f>1/INR!C1443</f>
        <v>1.5628662967883098E-2</v>
      </c>
      <c r="L1443" s="4">
        <f>1/JPY!B1443</f>
        <v>8.2270670505964621E-3</v>
      </c>
      <c r="M1443" s="4">
        <f>1/JPY!C1443</f>
        <v>8.2289694285556762E-3</v>
      </c>
      <c r="N1443" s="5">
        <f>1/KRW!B1443</f>
        <v>9.1712828790491228E-4</v>
      </c>
      <c r="O1443" s="5">
        <f>1/KRW!C1443</f>
        <v>9.1711625998521797E-4</v>
      </c>
      <c r="P1443" s="3">
        <f>1/NOK!B1443</f>
        <v>0.13063527936354494</v>
      </c>
      <c r="Q1443" s="3">
        <f>1/NOK!C1443</f>
        <v>0.13051081934692385</v>
      </c>
      <c r="R1443" s="3">
        <f>NZD!B1443/1</f>
        <v>0.7288</v>
      </c>
      <c r="S1443" s="3">
        <f>NZD!C1443/1</f>
        <v>0.72660000000000002</v>
      </c>
      <c r="T1443" s="4">
        <f>1/PHP!B1443</f>
        <v>2.244467387888854E-2</v>
      </c>
      <c r="U1443" s="4">
        <f>1/PHP!C1443</f>
        <v>2.2400279555488851E-2</v>
      </c>
      <c r="V1443" s="4">
        <f>1/TWD!B1443</f>
        <v>3.2742870240005238E-2</v>
      </c>
      <c r="W1443" s="4">
        <f>1/TWD!C1443</f>
        <v>3.2742870240005238E-2</v>
      </c>
      <c r="X1443" s="4">
        <f>1/TWD!B1443</f>
        <v>3.2742870240005238E-2</v>
      </c>
      <c r="Y1443" s="4">
        <f>1/TWD!C1443</f>
        <v>3.2742870240005238E-2</v>
      </c>
      <c r="Z1443" s="4">
        <f>1/ZAR!B1443</f>
        <v>8.3935571055657673E-2</v>
      </c>
      <c r="AA1443" s="4">
        <f>1/ZAR!C1443</f>
        <v>8.3506609548145747E-2</v>
      </c>
    </row>
    <row r="1444" spans="1:27" x14ac:dyDescent="0.25">
      <c r="A1444" t="str">
        <f>"25/05/2015"</f>
        <v>25/05/2015</v>
      </c>
      <c r="B1444" s="3">
        <f>AUD!B1444</f>
        <v>0.78220000000000001</v>
      </c>
      <c r="C1444" s="3">
        <f>AUD!C1444</f>
        <v>0.78080000000000005</v>
      </c>
      <c r="D1444" s="3">
        <f>1/CAD!B1444</f>
        <v>0.81208380704888738</v>
      </c>
      <c r="E1444" s="3">
        <f>1/CAD!C1444</f>
        <v>0.81168831168831168</v>
      </c>
      <c r="F1444" s="3">
        <f>EUR!B1444/1</f>
        <v>1.0976999999999999</v>
      </c>
      <c r="G1444" s="3">
        <f>EUR!C1444/1</f>
        <v>1.0982000000000001</v>
      </c>
      <c r="H1444" s="3">
        <f>GBP!B1444/1</f>
        <v>1.5469999999999999</v>
      </c>
      <c r="I1444" s="3">
        <f>GBP!C1444/1</f>
        <v>1.5466</v>
      </c>
      <c r="J1444" s="4">
        <f>1/INR!B1444</f>
        <v>1.573007196507924E-2</v>
      </c>
      <c r="K1444" s="4">
        <f>1/INR!C1444</f>
        <v>1.5620728706994182E-2</v>
      </c>
      <c r="L1444" s="4">
        <f>1/JPY!B1444</f>
        <v>8.2263902599539317E-3</v>
      </c>
      <c r="M1444" s="4">
        <f>1/JPY!C1444</f>
        <v>8.228393883341123E-3</v>
      </c>
      <c r="N1444" s="5">
        <f>1/KRW!B1444</f>
        <v>9.0959532104166853E-4</v>
      </c>
      <c r="O1444" s="5">
        <f>1/KRW!C1444</f>
        <v>9.0958332442699649E-4</v>
      </c>
      <c r="P1444" s="3">
        <f>1/NOK!B1444</f>
        <v>0.13066771200836275</v>
      </c>
      <c r="Q1444" s="3">
        <f>1/NOK!C1444</f>
        <v>0.13053807795734015</v>
      </c>
      <c r="R1444" s="3">
        <f>NZD!B1444/1</f>
        <v>0.73070000000000002</v>
      </c>
      <c r="S1444" s="3">
        <f>NZD!C1444/1</f>
        <v>0.72840000000000005</v>
      </c>
      <c r="T1444" s="4">
        <f>1/PHP!B1444</f>
        <v>2.2397419817237054E-2</v>
      </c>
      <c r="U1444" s="4">
        <f>1/PHP!C1444</f>
        <v>2.2355360815523563E-2</v>
      </c>
      <c r="V1444" s="4">
        <f>1/TWD!B1444</f>
        <v>3.2710738935592551E-2</v>
      </c>
      <c r="W1444" s="4">
        <f>1/TWD!C1444</f>
        <v>3.2710738935592551E-2</v>
      </c>
      <c r="X1444" s="4">
        <f>1/TWD!B1444</f>
        <v>3.2710738935592551E-2</v>
      </c>
      <c r="Y1444" s="4">
        <f>1/TWD!C1444</f>
        <v>3.2710738935592551E-2</v>
      </c>
      <c r="Z1444" s="4">
        <f>1/ZAR!B1444</f>
        <v>8.3607845760246144E-2</v>
      </c>
      <c r="AA1444" s="4">
        <f>1/ZAR!C1444</f>
        <v>8.3178067607133352E-2</v>
      </c>
    </row>
    <row r="1445" spans="1:27" x14ac:dyDescent="0.25">
      <c r="A1445" t="str">
        <f>"26/05/2015"</f>
        <v>26/05/2015</v>
      </c>
      <c r="B1445" s="3">
        <f>AUD!B1445</f>
        <v>0.77339999999999998</v>
      </c>
      <c r="C1445" s="3">
        <f>AUD!C1445</f>
        <v>0.77200000000000002</v>
      </c>
      <c r="D1445" s="3">
        <f>1/CAD!B1445</f>
        <v>0.80418174507438678</v>
      </c>
      <c r="E1445" s="3">
        <f>1/CAD!C1445</f>
        <v>0.80372930397042275</v>
      </c>
      <c r="F1445" s="3">
        <f>EUR!B1445/1</f>
        <v>1.0872999999999999</v>
      </c>
      <c r="G1445" s="3">
        <f>EUR!C1445/1</f>
        <v>1.0878000000000001</v>
      </c>
      <c r="H1445" s="3">
        <f>GBP!B1445/1</f>
        <v>1.5384</v>
      </c>
      <c r="I1445" s="3">
        <f>GBP!C1445/1</f>
        <v>1.538</v>
      </c>
      <c r="J1445" s="4">
        <f>1/INR!B1445</f>
        <v>1.562927362950807E-2</v>
      </c>
      <c r="K1445" s="4">
        <f>1/INR!C1445</f>
        <v>1.5526744817948917E-2</v>
      </c>
      <c r="L1445" s="4">
        <f>1/JPY!B1445</f>
        <v>8.1234768480909839E-3</v>
      </c>
      <c r="M1445" s="4">
        <f>1/JPY!C1445</f>
        <v>8.1254504546595802E-3</v>
      </c>
      <c r="N1445" s="5">
        <f>1/KRW!B1445</f>
        <v>9.0806726962333367E-4</v>
      </c>
      <c r="O1445" s="5">
        <f>1/KRW!C1445</f>
        <v>9.0805580802029396E-4</v>
      </c>
      <c r="P1445" s="3">
        <f>1/NOK!B1445</f>
        <v>0.12885103531806877</v>
      </c>
      <c r="Q1445" s="3">
        <f>1/NOK!C1445</f>
        <v>0.12872497908219088</v>
      </c>
      <c r="R1445" s="3">
        <f>NZD!B1445/1</f>
        <v>0.72240000000000004</v>
      </c>
      <c r="S1445" s="3">
        <f>NZD!C1445/1</f>
        <v>0.72019999999999995</v>
      </c>
      <c r="T1445" s="4">
        <f>1/PHP!B1445</f>
        <v>2.2357360042926131E-2</v>
      </c>
      <c r="U1445" s="4">
        <f>1/PHP!C1445</f>
        <v>2.2314853659189702E-2</v>
      </c>
      <c r="V1445" s="4">
        <f>1/TWD!B1445</f>
        <v>3.2573289902280131E-2</v>
      </c>
      <c r="W1445" s="4">
        <f>1/TWD!C1445</f>
        <v>3.2573289902280131E-2</v>
      </c>
      <c r="X1445" s="4">
        <f>1/TWD!B1445</f>
        <v>3.2573289902280131E-2</v>
      </c>
      <c r="Y1445" s="4">
        <f>1/TWD!C1445</f>
        <v>3.2573289902280131E-2</v>
      </c>
      <c r="Z1445" s="4">
        <f>1/ZAR!B1445</f>
        <v>8.2685629237638503E-2</v>
      </c>
      <c r="AA1445" s="4">
        <f>1/ZAR!C1445</f>
        <v>8.2236165821004764E-2</v>
      </c>
    </row>
    <row r="1446" spans="1:27" x14ac:dyDescent="0.25">
      <c r="A1446" t="str">
        <f>"27/05/2015"</f>
        <v>27/05/2015</v>
      </c>
      <c r="B1446" s="3">
        <f>AUD!B1446</f>
        <v>0.77270000000000005</v>
      </c>
      <c r="C1446" s="3">
        <f>AUD!C1446</f>
        <v>0.77139999999999997</v>
      </c>
      <c r="D1446" s="3">
        <f>1/CAD!B1446</f>
        <v>0.8030838419530999</v>
      </c>
      <c r="E1446" s="3">
        <f>1/CAD!C1446</f>
        <v>0.80269706212875258</v>
      </c>
      <c r="F1446" s="3">
        <f>EUR!B1446/1</f>
        <v>1.0904</v>
      </c>
      <c r="G1446" s="3">
        <f>EUR!C1446/1</f>
        <v>1.0909</v>
      </c>
      <c r="H1446" s="3">
        <f>GBP!B1446/1</f>
        <v>1.5354000000000001</v>
      </c>
      <c r="I1446" s="3">
        <f>GBP!C1446/1</f>
        <v>1.5349999999999999</v>
      </c>
      <c r="J1446" s="4">
        <f>1/INR!B1446</f>
        <v>1.5616459748574998E-2</v>
      </c>
      <c r="K1446" s="4">
        <f>1/INR!C1446</f>
        <v>1.5513496742165686E-2</v>
      </c>
      <c r="L1446" s="4">
        <f>1/JPY!B1446</f>
        <v>8.0866893093967333E-3</v>
      </c>
      <c r="M1446" s="4">
        <f>1/JPY!C1446</f>
        <v>8.0888740772616895E-3</v>
      </c>
      <c r="N1446" s="5">
        <f>1/KRW!B1446</f>
        <v>9.043226623259179E-4</v>
      </c>
      <c r="O1446" s="5">
        <f>1/KRW!C1446</f>
        <v>9.0431121327818231E-4</v>
      </c>
      <c r="P1446" s="3">
        <f>1/NOK!B1446</f>
        <v>0.12862232626339279</v>
      </c>
      <c r="Q1446" s="3">
        <f>1/NOK!C1446</f>
        <v>0.12850167052171679</v>
      </c>
      <c r="R1446" s="3">
        <f>NZD!B1446/1</f>
        <v>0.72629999999999995</v>
      </c>
      <c r="S1446" s="3">
        <f>NZD!C1446/1</f>
        <v>0.72409999999999997</v>
      </c>
      <c r="T1446" s="4">
        <f>1/PHP!B1446</f>
        <v>2.2360359554581637E-2</v>
      </c>
      <c r="U1446" s="4">
        <f>1/PHP!C1446</f>
        <v>2.231799120224787E-2</v>
      </c>
      <c r="V1446" s="4">
        <f>1/TWD!B1446</f>
        <v>3.254678600488202E-2</v>
      </c>
      <c r="W1446" s="4">
        <f>1/TWD!C1446</f>
        <v>3.254678600488202E-2</v>
      </c>
      <c r="X1446" s="4">
        <f>1/TWD!B1446</f>
        <v>3.254678600488202E-2</v>
      </c>
      <c r="Y1446" s="4">
        <f>1/TWD!C1446</f>
        <v>3.254678600488202E-2</v>
      </c>
      <c r="Z1446" s="4">
        <f>1/ZAR!B1446</f>
        <v>8.3098579845270457E-2</v>
      </c>
      <c r="AA1446" s="4">
        <f>1/ZAR!C1446</f>
        <v>8.2650775677529736E-2</v>
      </c>
    </row>
    <row r="1447" spans="1:27" x14ac:dyDescent="0.25">
      <c r="A1447" t="str">
        <f>"28/05/2015"</f>
        <v>28/05/2015</v>
      </c>
      <c r="B1447" s="3">
        <f>AUD!B1447</f>
        <v>0.76480000000000004</v>
      </c>
      <c r="C1447" s="3">
        <f>AUD!C1447</f>
        <v>0.76359999999999995</v>
      </c>
      <c r="D1447" s="3">
        <f>1/CAD!B1447</f>
        <v>0.80411707944676747</v>
      </c>
      <c r="E1447" s="3">
        <f>1/CAD!C1447</f>
        <v>0.80366471108253634</v>
      </c>
      <c r="F1447" s="3">
        <f>EUR!B1447/1</f>
        <v>1.0948</v>
      </c>
      <c r="G1447" s="3">
        <f>EUR!C1447/1</f>
        <v>1.0952</v>
      </c>
      <c r="H1447" s="3">
        <f>GBP!B1447/1</f>
        <v>1.5315000000000001</v>
      </c>
      <c r="I1447" s="3">
        <f>GBP!C1447/1</f>
        <v>1.5311999999999999</v>
      </c>
      <c r="J1447" s="4">
        <f>1/INR!B1447</f>
        <v>1.567152483936687E-2</v>
      </c>
      <c r="K1447" s="4">
        <f>1/INR!C1447</f>
        <v>1.5573898146706122E-2</v>
      </c>
      <c r="L1447" s="4">
        <f>1/JPY!B1447</f>
        <v>8.0671184252984838E-3</v>
      </c>
      <c r="M1447" s="4">
        <f>1/JPY!C1447</f>
        <v>8.0704843824021474E-3</v>
      </c>
      <c r="N1447" s="5">
        <f>1/KRW!B1447</f>
        <v>9.0379957340660133E-4</v>
      </c>
      <c r="O1447" s="5">
        <f>1/KRW!C1447</f>
        <v>9.0378813759993642E-4</v>
      </c>
      <c r="P1447" s="3">
        <f>1/NOK!B1447</f>
        <v>0.12804425209352352</v>
      </c>
      <c r="Q1447" s="3">
        <f>1/NOK!C1447</f>
        <v>0.12792467794962326</v>
      </c>
      <c r="R1447" s="3">
        <f>NZD!B1447/1</f>
        <v>0.71740000000000004</v>
      </c>
      <c r="S1447" s="3">
        <f>NZD!C1447/1</f>
        <v>0.71530000000000005</v>
      </c>
      <c r="T1447" s="4">
        <f>1/PHP!B1447</f>
        <v>2.2418006142533684E-2</v>
      </c>
      <c r="U1447" s="4">
        <f>1/PHP!C1447</f>
        <v>2.2376971411181324E-2</v>
      </c>
      <c r="V1447" s="4">
        <f>1/TWD!B1447</f>
        <v>3.2671197072660745E-2</v>
      </c>
      <c r="W1447" s="4">
        <f>1/TWD!C1447</f>
        <v>3.2671197072660745E-2</v>
      </c>
      <c r="X1447" s="4">
        <f>1/TWD!B1447</f>
        <v>3.2671197072660745E-2</v>
      </c>
      <c r="Y1447" s="4">
        <f>1/TWD!C1447</f>
        <v>3.2671197072660745E-2</v>
      </c>
      <c r="Z1447" s="4">
        <f>1/ZAR!B1447</f>
        <v>8.2316044220178949E-2</v>
      </c>
      <c r="AA1447" s="4">
        <f>1/ZAR!C1447</f>
        <v>8.1875271211835896E-2</v>
      </c>
    </row>
    <row r="1448" spans="1:27" x14ac:dyDescent="0.25">
      <c r="A1448" t="str">
        <f>"29/05/2015"</f>
        <v>29/05/2015</v>
      </c>
      <c r="B1448" s="3">
        <f>AUD!B1448</f>
        <v>0.76390000000000002</v>
      </c>
      <c r="C1448" s="3">
        <f>AUD!C1448</f>
        <v>0.76270000000000004</v>
      </c>
      <c r="D1448" s="3">
        <f>1/CAD!B1448</f>
        <v>0.80295487393608478</v>
      </c>
      <c r="E1448" s="3">
        <f>1/CAD!C1448</f>
        <v>0.8025682182985554</v>
      </c>
      <c r="F1448" s="3">
        <f>EUR!B1448/1</f>
        <v>1.0986</v>
      </c>
      <c r="G1448" s="3">
        <f>EUR!C1448/1</f>
        <v>1.099</v>
      </c>
      <c r="H1448" s="3">
        <f>GBP!B1448/1</f>
        <v>1.5289999999999999</v>
      </c>
      <c r="I1448" s="3">
        <f>GBP!C1448/1</f>
        <v>1.5286999999999999</v>
      </c>
      <c r="J1448" s="4">
        <f>1/INR!B1448</f>
        <v>1.5666614444618518E-2</v>
      </c>
      <c r="K1448" s="4">
        <f>1/INR!C1448</f>
        <v>1.5569654742906074E-2</v>
      </c>
      <c r="L1448" s="4">
        <f>1/JPY!B1448</f>
        <v>8.0547724526782109E-3</v>
      </c>
      <c r="M1448" s="4">
        <f>1/JPY!C1448</f>
        <v>8.0581800600334416E-3</v>
      </c>
      <c r="N1448" s="5">
        <f>1/KRW!B1448</f>
        <v>9.0220137134608435E-4</v>
      </c>
      <c r="O1448" s="5">
        <f>1/KRW!C1448</f>
        <v>9.0219038292117511E-4</v>
      </c>
      <c r="P1448" s="3">
        <f>1/NOK!B1448</f>
        <v>0.12839277919009837</v>
      </c>
      <c r="Q1448" s="3">
        <f>1/NOK!C1448</f>
        <v>0.12828078097339457</v>
      </c>
      <c r="R1448" s="3">
        <f>NZD!B1448/1</f>
        <v>0.70960000000000001</v>
      </c>
      <c r="S1448" s="3">
        <f>NZD!C1448/1</f>
        <v>0.70760000000000001</v>
      </c>
      <c r="T1448" s="4">
        <f>1/PHP!B1448</f>
        <v>2.2424038569346341E-2</v>
      </c>
      <c r="U1448" s="4">
        <f>1/PHP!C1448</f>
        <v>2.238578771109798E-2</v>
      </c>
      <c r="V1448" s="4">
        <f>1/TWD!B1448</f>
        <v>3.2565864460872111E-2</v>
      </c>
      <c r="W1448" s="4">
        <f>1/TWD!C1448</f>
        <v>3.2565864460872111E-2</v>
      </c>
      <c r="X1448" s="4">
        <f>1/TWD!B1448</f>
        <v>3.2565864460872111E-2</v>
      </c>
      <c r="Y1448" s="4">
        <f>1/TWD!C1448</f>
        <v>3.2565864460872111E-2</v>
      </c>
      <c r="Z1448" s="4">
        <f>1/ZAR!B1448</f>
        <v>8.2135523613963035E-2</v>
      </c>
      <c r="AA1448" s="4">
        <f>1/ZAR!C1448</f>
        <v>8.1716036772216546E-2</v>
      </c>
    </row>
    <row r="1449" spans="1:27" x14ac:dyDescent="0.25">
      <c r="A1449" t="str">
        <f>"01/06/2015"</f>
        <v>01/06/2015</v>
      </c>
      <c r="B1449" s="3">
        <f>AUD!B1449</f>
        <v>0.76049999999999995</v>
      </c>
      <c r="C1449" s="3">
        <f>AUD!C1449</f>
        <v>0.75929999999999997</v>
      </c>
      <c r="D1449" s="3">
        <f>1/CAD!B1449</f>
        <v>0.79859447372624182</v>
      </c>
      <c r="E1449" s="3">
        <f>1/CAD!C1449</f>
        <v>0.79821200510855683</v>
      </c>
      <c r="F1449" s="3">
        <f>EUR!B1449/1</f>
        <v>1.0927</v>
      </c>
      <c r="G1449" s="3">
        <f>EUR!C1449/1</f>
        <v>1.0931</v>
      </c>
      <c r="H1449" s="3">
        <f>GBP!B1449/1</f>
        <v>1.52</v>
      </c>
      <c r="I1449" s="3">
        <f>GBP!C1449/1</f>
        <v>1.5197000000000001</v>
      </c>
      <c r="J1449" s="4">
        <f>1/INR!B1449</f>
        <v>1.5696739002472235E-2</v>
      </c>
      <c r="K1449" s="4">
        <f>1/INR!C1449</f>
        <v>1.5599407222525542E-2</v>
      </c>
      <c r="L1449" s="4">
        <f>1/JPY!B1449</f>
        <v>8.0141048244911049E-3</v>
      </c>
      <c r="M1449" s="4">
        <f>1/JPY!C1449</f>
        <v>8.0172916947271865E-3</v>
      </c>
      <c r="N1449" s="5">
        <f>1/KRW!B1449</f>
        <v>9.005114905266191E-4</v>
      </c>
      <c r="O1449" s="5">
        <f>1/KRW!C1449</f>
        <v>9.0050054322695272E-4</v>
      </c>
      <c r="P1449" s="3">
        <f>1/NOK!B1449</f>
        <v>0.12556188945531252</v>
      </c>
      <c r="Q1449" s="3">
        <f>1/NOK!C1449</f>
        <v>0.12545792141315804</v>
      </c>
      <c r="R1449" s="3">
        <f>NZD!B1449/1</f>
        <v>0.70850000000000002</v>
      </c>
      <c r="S1449" s="3">
        <f>NZD!C1449/1</f>
        <v>0.70650000000000002</v>
      </c>
      <c r="T1449" s="4">
        <f>1/PHP!B1449</f>
        <v>2.244366639734267E-2</v>
      </c>
      <c r="U1449" s="4">
        <f>1/PHP!C1449</f>
        <v>2.2405499205725054E-2</v>
      </c>
      <c r="V1449" s="4">
        <f>1/TWD!B1449</f>
        <v>3.2403356987783932E-2</v>
      </c>
      <c r="W1449" s="4">
        <f>1/TWD!C1449</f>
        <v>3.2403356987783932E-2</v>
      </c>
      <c r="X1449" s="4">
        <f>1/TWD!B1449</f>
        <v>3.2403356987783932E-2</v>
      </c>
      <c r="Y1449" s="4">
        <f>1/TWD!C1449</f>
        <v>3.2403356987783932E-2</v>
      </c>
      <c r="Z1449" s="4">
        <f>1/ZAR!B1449</f>
        <v>8.1386831610645388E-2</v>
      </c>
      <c r="AA1449" s="4">
        <f>1/ZAR!C1449</f>
        <v>8.0980839933271792E-2</v>
      </c>
    </row>
    <row r="1450" spans="1:27" x14ac:dyDescent="0.25">
      <c r="A1450" t="str">
        <f>"02/06/2015"</f>
        <v>02/06/2015</v>
      </c>
      <c r="B1450" s="3">
        <f>AUD!B1450</f>
        <v>0.7772</v>
      </c>
      <c r="C1450" s="3">
        <f>AUD!C1450</f>
        <v>0.77590000000000003</v>
      </c>
      <c r="D1450" s="3">
        <f>1/CAD!B1450</f>
        <v>0.80632156103854224</v>
      </c>
      <c r="E1450" s="3">
        <f>1/CAD!C1450</f>
        <v>0.80593165699548686</v>
      </c>
      <c r="F1450" s="3">
        <f>EUR!B1450/1</f>
        <v>1.1151</v>
      </c>
      <c r="G1450" s="3">
        <f>EUR!C1450/1</f>
        <v>1.1154999999999999</v>
      </c>
      <c r="H1450" s="3">
        <f>GBP!B1450/1</f>
        <v>1.5343</v>
      </c>
      <c r="I1450" s="3">
        <f>GBP!C1450/1</f>
        <v>1.5339</v>
      </c>
      <c r="J1450" s="4">
        <f>1/INR!B1450</f>
        <v>1.5666614444618518E-2</v>
      </c>
      <c r="K1450" s="4">
        <f>1/INR!C1450</f>
        <v>1.556420233463035E-2</v>
      </c>
      <c r="L1450" s="4">
        <f>1/JPY!B1450</f>
        <v>8.0567193038994511E-3</v>
      </c>
      <c r="M1450" s="4">
        <f>1/JPY!C1450</f>
        <v>8.0601090693959276E-3</v>
      </c>
      <c r="N1450" s="5">
        <f>1/KRW!B1450</f>
        <v>8.9875522401473948E-4</v>
      </c>
      <c r="O1450" s="5">
        <f>1/KRW!C1450</f>
        <v>8.9874246157291792E-4</v>
      </c>
      <c r="P1450" s="3">
        <f>1/NOK!B1450</f>
        <v>0.12756240990904802</v>
      </c>
      <c r="Q1450" s="3">
        <f>1/NOK!C1450</f>
        <v>0.12745185506175041</v>
      </c>
      <c r="R1450" s="3">
        <f>NZD!B1450/1</f>
        <v>0.71799999999999997</v>
      </c>
      <c r="S1450" s="3">
        <f>NZD!C1450/1</f>
        <v>0.71589999999999998</v>
      </c>
      <c r="T1450" s="4">
        <f>1/PHP!B1450</f>
        <v>2.2366861258359613E-2</v>
      </c>
      <c r="U1450" s="4">
        <f>1/PHP!C1450</f>
        <v>2.2328805051668853E-2</v>
      </c>
      <c r="V1450" s="4">
        <f>1/TWD!B1450</f>
        <v>3.2372936225315632E-2</v>
      </c>
      <c r="W1450" s="4">
        <f>1/TWD!C1450</f>
        <v>3.2372936225315632E-2</v>
      </c>
      <c r="X1450" s="4">
        <f>1/TWD!B1450</f>
        <v>3.2372936225315632E-2</v>
      </c>
      <c r="Y1450" s="4">
        <f>1/TWD!C1450</f>
        <v>3.2372936225315632E-2</v>
      </c>
      <c r="Z1450" s="4">
        <f>1/ZAR!B1450</f>
        <v>8.188868052769066E-2</v>
      </c>
      <c r="AA1450" s="4">
        <f>1/ZAR!C1450</f>
        <v>8.1478343056415603E-2</v>
      </c>
    </row>
    <row r="1451" spans="1:27" x14ac:dyDescent="0.25">
      <c r="A1451" t="str">
        <f>"03/06/2015"</f>
        <v>03/06/2015</v>
      </c>
      <c r="B1451" s="3">
        <f>AUD!B1451</f>
        <v>0.77859999999999996</v>
      </c>
      <c r="C1451" s="3">
        <f>AUD!C1451</f>
        <v>0.77729999999999999</v>
      </c>
      <c r="D1451" s="3">
        <f>1/CAD!B1451</f>
        <v>0.8030838419530999</v>
      </c>
      <c r="E1451" s="3">
        <f>1/CAD!C1451</f>
        <v>0.8026326350429408</v>
      </c>
      <c r="F1451" s="3">
        <f>EUR!B1451/1</f>
        <v>1.1274</v>
      </c>
      <c r="G1451" s="3">
        <f>EUR!C1451/1</f>
        <v>1.1277999999999999</v>
      </c>
      <c r="H1451" s="3">
        <f>GBP!B1451/1</f>
        <v>1.534</v>
      </c>
      <c r="I1451" s="3">
        <f>GBP!C1451/1</f>
        <v>1.5336000000000001</v>
      </c>
      <c r="J1451" s="4">
        <f>1/INR!B1451</f>
        <v>1.5647003598810827E-2</v>
      </c>
      <c r="K1451" s="4">
        <f>1/INR!C1451</f>
        <v>1.5549076773566569E-2</v>
      </c>
      <c r="L1451" s="4">
        <f>1/JPY!B1451</f>
        <v>8.0482897384305842E-3</v>
      </c>
      <c r="M1451" s="4">
        <f>1/JPY!C1451</f>
        <v>8.0519641558763639E-3</v>
      </c>
      <c r="N1451" s="5">
        <f>1/KRW!B1451</f>
        <v>9.0510843199015248E-4</v>
      </c>
      <c r="O1451" s="5">
        <f>1/KRW!C1451</f>
        <v>9.0509655343757938E-4</v>
      </c>
      <c r="P1451" s="3">
        <f>1/NOK!B1451</f>
        <v>0.12868025530162652</v>
      </c>
      <c r="Q1451" s="3">
        <f>1/NOK!C1451</f>
        <v>0.12856279649794944</v>
      </c>
      <c r="R1451" s="3">
        <f>NZD!B1451/1</f>
        <v>0.71479999999999999</v>
      </c>
      <c r="S1451" s="3">
        <f>NZD!C1451/1</f>
        <v>0.7127</v>
      </c>
      <c r="T1451" s="4">
        <f>1/PHP!B1451</f>
        <v>2.2318937618569356E-2</v>
      </c>
      <c r="U1451" s="4">
        <f>1/PHP!C1451</f>
        <v>2.2278214802091481E-2</v>
      </c>
      <c r="V1451" s="4">
        <f>1/TWD!B1451</f>
        <v>3.2448569018106298E-2</v>
      </c>
      <c r="W1451" s="4">
        <f>1/TWD!C1451</f>
        <v>3.2448569018106298E-2</v>
      </c>
      <c r="X1451" s="4">
        <f>1/TWD!B1451</f>
        <v>3.2448569018106298E-2</v>
      </c>
      <c r="Y1451" s="4">
        <f>1/TWD!C1451</f>
        <v>3.2448569018106298E-2</v>
      </c>
      <c r="Z1451" s="4">
        <f>1/ZAR!B1451</f>
        <v>8.1156315178665631E-2</v>
      </c>
      <c r="AA1451" s="4">
        <f>1/ZAR!C1451</f>
        <v>8.0727190532315099E-2</v>
      </c>
    </row>
    <row r="1452" spans="1:27" x14ac:dyDescent="0.25">
      <c r="A1452" t="str">
        <f>"04/06/2015"</f>
        <v>04/06/2015</v>
      </c>
      <c r="B1452" s="3">
        <f>AUD!B1452</f>
        <v>0.76859999999999995</v>
      </c>
      <c r="C1452" s="3">
        <f>AUD!C1452</f>
        <v>0.76729999999999998</v>
      </c>
      <c r="D1452" s="3">
        <f>1/CAD!B1452</f>
        <v>0.79980804606894351</v>
      </c>
      <c r="E1452" s="3">
        <f>1/CAD!C1452</f>
        <v>0.79936051159072752</v>
      </c>
      <c r="F1452" s="3">
        <f>EUR!B1452/1</f>
        <v>1.1236999999999999</v>
      </c>
      <c r="G1452" s="3">
        <f>EUR!C1452/1</f>
        <v>1.1241000000000001</v>
      </c>
      <c r="H1452" s="3">
        <f>GBP!B1452/1</f>
        <v>1.5364</v>
      </c>
      <c r="I1452" s="3">
        <f>GBP!C1452/1</f>
        <v>1.5361</v>
      </c>
      <c r="J1452" s="4">
        <f>1/INR!B1452</f>
        <v>1.562255897516013E-2</v>
      </c>
      <c r="K1452" s="4">
        <f>1/INR!C1452</f>
        <v>1.5526142141831309E-2</v>
      </c>
      <c r="L1452" s="4">
        <f>1/JPY!B1452</f>
        <v>8.0405242421805901E-3</v>
      </c>
      <c r="M1452" s="4">
        <f>1/JPY!C1452</f>
        <v>8.04419157081342E-3</v>
      </c>
      <c r="N1452" s="5">
        <f>1/KRW!B1452</f>
        <v>8.9766606822262122E-4</v>
      </c>
      <c r="O1452" s="5">
        <f>1/KRW!C1452</f>
        <v>8.9765390074156076E-4</v>
      </c>
      <c r="P1452" s="3">
        <f>1/NOK!B1452</f>
        <v>0.12879627006001906</v>
      </c>
      <c r="Q1452" s="3">
        <f>1/NOK!C1452</f>
        <v>0.12868356710848025</v>
      </c>
      <c r="R1452" s="3">
        <f>NZD!B1452/1</f>
        <v>0.71279999999999999</v>
      </c>
      <c r="S1452" s="3">
        <f>NZD!C1452/1</f>
        <v>0.71079999999999999</v>
      </c>
      <c r="T1452" s="4">
        <f>1/PHP!B1452</f>
        <v>2.2273699215965788E-2</v>
      </c>
      <c r="U1452" s="4">
        <f>1/PHP!C1452</f>
        <v>2.2236601891445357E-2</v>
      </c>
      <c r="V1452" s="4">
        <f>1/TWD!B1452</f>
        <v>3.219367716180542E-2</v>
      </c>
      <c r="W1452" s="4">
        <f>1/TWD!C1452</f>
        <v>3.219367716180542E-2</v>
      </c>
      <c r="X1452" s="4">
        <f>1/TWD!B1452</f>
        <v>3.219367716180542E-2</v>
      </c>
      <c r="Y1452" s="4">
        <f>1/TWD!C1452</f>
        <v>3.219367716180542E-2</v>
      </c>
      <c r="Z1452" s="4">
        <f>1/ZAR!B1452</f>
        <v>8.0682249098375874E-2</v>
      </c>
      <c r="AA1452" s="4">
        <f>1/ZAR!C1452</f>
        <v>8.0257465950770074E-2</v>
      </c>
    </row>
    <row r="1453" spans="1:27" x14ac:dyDescent="0.25">
      <c r="A1453" t="str">
        <f>"05/06/2015"</f>
        <v>05/06/2015</v>
      </c>
      <c r="B1453" s="3">
        <f>AUD!B1453</f>
        <v>0.76139999999999997</v>
      </c>
      <c r="C1453" s="3">
        <f>AUD!C1453</f>
        <v>0.7601</v>
      </c>
      <c r="D1453" s="3">
        <f>1/CAD!B1453</f>
        <v>0.80347099469709149</v>
      </c>
      <c r="E1453" s="3">
        <f>1/CAD!C1453</f>
        <v>0.8030838419530999</v>
      </c>
      <c r="F1453" s="3">
        <f>EUR!B1453/1</f>
        <v>1.1112</v>
      </c>
      <c r="G1453" s="3">
        <f>EUR!C1453/1</f>
        <v>1.1115999999999999</v>
      </c>
      <c r="H1453" s="3">
        <f>GBP!B1453/1</f>
        <v>1.5268999999999999</v>
      </c>
      <c r="I1453" s="3">
        <f>GBP!C1453/1</f>
        <v>1.5266</v>
      </c>
      <c r="J1453" s="4">
        <f>1/INR!B1453</f>
        <v>1.5683814303638646E-2</v>
      </c>
      <c r="K1453" s="4">
        <f>1/INR!C1453</f>
        <v>1.5588464536243178E-2</v>
      </c>
      <c r="L1453" s="4">
        <f>1/JPY!B1453</f>
        <v>7.9598821937435331E-3</v>
      </c>
      <c r="M1453" s="4">
        <f>1/JPY!C1453</f>
        <v>7.9634953373734808E-3</v>
      </c>
      <c r="N1453" s="5">
        <f>1/KRW!B1453</f>
        <v>8.9976606082418562E-4</v>
      </c>
      <c r="O1453" s="5">
        <f>1/KRW!C1453</f>
        <v>8.9975432208235537E-4</v>
      </c>
      <c r="P1453" s="3">
        <f>1/NOK!B1453</f>
        <v>0.12569130216189039</v>
      </c>
      <c r="Q1453" s="3">
        <f>1/NOK!C1453</f>
        <v>0.12558396543929271</v>
      </c>
      <c r="R1453" s="3">
        <f>NZD!B1453/1</f>
        <v>0.70409999999999995</v>
      </c>
      <c r="S1453" s="3">
        <f>NZD!C1453/1</f>
        <v>0.70209999999999995</v>
      </c>
      <c r="T1453" s="4">
        <f>1/PHP!B1453</f>
        <v>2.2237046920169003E-2</v>
      </c>
      <c r="U1453" s="4">
        <f>1/PHP!C1453</f>
        <v>2.2200613624960595E-2</v>
      </c>
      <c r="V1453" s="4">
        <f>1/TWD!B1453</f>
        <v>3.2224800206238718E-2</v>
      </c>
      <c r="W1453" s="4">
        <f>1/TWD!C1453</f>
        <v>3.2224800206238718E-2</v>
      </c>
      <c r="X1453" s="4">
        <f>1/TWD!B1453</f>
        <v>3.2224800206238718E-2</v>
      </c>
      <c r="Y1453" s="4">
        <f>1/TWD!C1453</f>
        <v>3.2224800206238718E-2</v>
      </c>
      <c r="Z1453" s="4">
        <f>1/ZAR!B1453</f>
        <v>7.9260656595279241E-2</v>
      </c>
      <c r="AA1453" s="4">
        <f>1/ZAR!C1453</f>
        <v>7.8858134216544445E-2</v>
      </c>
    </row>
    <row r="1454" spans="1:27" x14ac:dyDescent="0.25">
      <c r="A1454" t="str">
        <f>"08/06/2015"</f>
        <v>08/06/2015</v>
      </c>
      <c r="B1454" s="3">
        <f>AUD!B1454</f>
        <v>0.77010000000000001</v>
      </c>
      <c r="C1454" s="3">
        <f>AUD!C1454</f>
        <v>0.76890000000000003</v>
      </c>
      <c r="D1454" s="3">
        <f>1/CAD!B1454</f>
        <v>0.8057368463459833</v>
      </c>
      <c r="E1454" s="3">
        <f>1/CAD!C1454</f>
        <v>0.80534750744946437</v>
      </c>
      <c r="F1454" s="3">
        <f>EUR!B1454/1</f>
        <v>1.1291</v>
      </c>
      <c r="G1454" s="3">
        <f>EUR!C1454/1</f>
        <v>1.1294999999999999</v>
      </c>
      <c r="H1454" s="3">
        <f>GBP!B1454/1</f>
        <v>1.5347999999999999</v>
      </c>
      <c r="I1454" s="3">
        <f>GBP!C1454/1</f>
        <v>1.5345</v>
      </c>
      <c r="J1454" s="4">
        <f>1/INR!B1454</f>
        <v>1.5603058199407082E-2</v>
      </c>
      <c r="K1454" s="4">
        <f>1/INR!C1454</f>
        <v>1.5509286185103329E-2</v>
      </c>
      <c r="L1454" s="4">
        <f>1/JPY!B1454</f>
        <v>8.0327737167643996E-3</v>
      </c>
      <c r="M1454" s="4">
        <f>1/JPY!C1454</f>
        <v>8.0366406520608769E-3</v>
      </c>
      <c r="N1454" s="5">
        <f>1/KRW!B1454</f>
        <v>8.9007565643079659E-4</v>
      </c>
      <c r="O1454" s="5">
        <f>1/KRW!C1454</f>
        <v>8.9006456528356571E-4</v>
      </c>
      <c r="P1454" s="3">
        <f>1/NOK!B1454</f>
        <v>0.12788377922144353</v>
      </c>
      <c r="Q1454" s="3">
        <f>1/NOK!C1454</f>
        <v>0.12777429947740312</v>
      </c>
      <c r="R1454" s="3">
        <f>NZD!B1454/1</f>
        <v>0.7137</v>
      </c>
      <c r="S1454" s="3">
        <f>NZD!C1454/1</f>
        <v>0.7117</v>
      </c>
      <c r="T1454" s="4">
        <f>1/PHP!B1454</f>
        <v>2.21077531890434E-2</v>
      </c>
      <c r="U1454" s="4">
        <f>1/PHP!C1454</f>
        <v>2.2068234982566094E-2</v>
      </c>
      <c r="V1454" s="4">
        <f>1/TWD!B1454</f>
        <v>3.1974420463629097E-2</v>
      </c>
      <c r="W1454" s="4">
        <f>1/TWD!C1454</f>
        <v>3.1974420463629097E-2</v>
      </c>
      <c r="X1454" s="4">
        <f>1/TWD!B1454</f>
        <v>3.1974420463629097E-2</v>
      </c>
      <c r="Y1454" s="4">
        <f>1/TWD!C1454</f>
        <v>3.1974420463629097E-2</v>
      </c>
      <c r="Z1454" s="4">
        <f>1/ZAR!B1454</f>
        <v>8.0128205128205121E-2</v>
      </c>
      <c r="AA1454" s="4">
        <f>1/ZAR!C1454</f>
        <v>7.9707314740273719E-2</v>
      </c>
    </row>
    <row r="1455" spans="1:27" x14ac:dyDescent="0.25">
      <c r="A1455" t="str">
        <f>"09/06/2015"</f>
        <v>09/06/2015</v>
      </c>
      <c r="B1455" s="3">
        <f>AUD!B1455</f>
        <v>0.76900000000000002</v>
      </c>
      <c r="C1455" s="3">
        <f>AUD!C1455</f>
        <v>0.76770000000000005</v>
      </c>
      <c r="D1455" s="3">
        <f>1/CAD!B1455</f>
        <v>0.81056983059090537</v>
      </c>
      <c r="E1455" s="3">
        <f>1/CAD!C1455</f>
        <v>0.81017580815036871</v>
      </c>
      <c r="F1455" s="3">
        <f>EUR!B1455/1</f>
        <v>1.1282000000000001</v>
      </c>
      <c r="G1455" s="3">
        <f>EUR!C1455/1</f>
        <v>1.1286</v>
      </c>
      <c r="H1455" s="3">
        <f>GBP!B1455/1</f>
        <v>1.5385</v>
      </c>
      <c r="I1455" s="3">
        <f>GBP!C1455/1</f>
        <v>1.5381</v>
      </c>
      <c r="J1455" s="4">
        <f>1/INR!B1455</f>
        <v>1.5642720269054788E-2</v>
      </c>
      <c r="K1455" s="4">
        <f>1/INR!C1455</f>
        <v>1.5543034777540314E-2</v>
      </c>
      <c r="L1455" s="4">
        <f>1/JPY!B1455</f>
        <v>8.041817450743869E-3</v>
      </c>
      <c r="M1455" s="4">
        <f>1/JPY!C1455</f>
        <v>8.0458355157662174E-3</v>
      </c>
      <c r="N1455" s="5">
        <f>1/KRW!B1455</f>
        <v>8.9359914929360994E-4</v>
      </c>
      <c r="O1455" s="5">
        <f>1/KRW!C1455</f>
        <v>8.9358717166256355E-4</v>
      </c>
      <c r="P1455" s="3">
        <f>1/NOK!B1455</f>
        <v>0.12842575706983791</v>
      </c>
      <c r="Q1455" s="3">
        <f>1/NOK!C1455</f>
        <v>0.12832028743744386</v>
      </c>
      <c r="R1455" s="3">
        <f>NZD!B1455/1</f>
        <v>0.71299999999999997</v>
      </c>
      <c r="S1455" s="3">
        <f>NZD!C1455/1</f>
        <v>0.71079999999999999</v>
      </c>
      <c r="T1455" s="4">
        <f>1/PHP!B1455</f>
        <v>2.2192632046160673E-2</v>
      </c>
      <c r="U1455" s="4">
        <f>1/PHP!C1455</f>
        <v>2.2154233341678094E-2</v>
      </c>
      <c r="V1455" s="4">
        <f>1/TWD!B1455</f>
        <v>3.2098606920459655E-2</v>
      </c>
      <c r="W1455" s="4">
        <f>1/TWD!C1455</f>
        <v>3.2098606920459655E-2</v>
      </c>
      <c r="X1455" s="4">
        <f>1/TWD!B1455</f>
        <v>3.2098606920459655E-2</v>
      </c>
      <c r="Y1455" s="4">
        <f>1/TWD!C1455</f>
        <v>3.2098606920459655E-2</v>
      </c>
      <c r="Z1455" s="4">
        <f>1/ZAR!B1455</f>
        <v>8.0393607100363376E-2</v>
      </c>
      <c r="AA1455" s="4">
        <f>1/ZAR!C1455</f>
        <v>7.9959700311043241E-2</v>
      </c>
    </row>
    <row r="1456" spans="1:27" x14ac:dyDescent="0.25">
      <c r="A1456" t="str">
        <f>"10/06/2015"</f>
        <v>10/06/2015</v>
      </c>
      <c r="B1456" s="3">
        <f>AUD!B1456</f>
        <v>0.77569999999999995</v>
      </c>
      <c r="C1456" s="3">
        <f>AUD!C1456</f>
        <v>0.77439999999999998</v>
      </c>
      <c r="D1456" s="3">
        <f>1/CAD!B1456</f>
        <v>0.81599347205222361</v>
      </c>
      <c r="E1456" s="3">
        <f>1/CAD!C1456</f>
        <v>0.81552764638721253</v>
      </c>
      <c r="F1456" s="3">
        <f>EUR!B1456/1</f>
        <v>1.1324000000000001</v>
      </c>
      <c r="G1456" s="3">
        <f>EUR!C1456/1</f>
        <v>1.1328</v>
      </c>
      <c r="H1456" s="3">
        <f>GBP!B1456/1</f>
        <v>1.5528999999999999</v>
      </c>
      <c r="I1456" s="3">
        <f>GBP!C1456/1</f>
        <v>1.5526</v>
      </c>
      <c r="J1456" s="4">
        <f>1/INR!B1456</f>
        <v>1.5661707126076743E-2</v>
      </c>
      <c r="K1456" s="4">
        <f>1/INR!C1456</f>
        <v>1.5562385713729917E-2</v>
      </c>
      <c r="L1456" s="4">
        <f>1/JPY!B1456</f>
        <v>8.1512879034887509E-3</v>
      </c>
      <c r="M1456" s="4">
        <f>1/JPY!C1456</f>
        <v>8.1548774321921931E-3</v>
      </c>
      <c r="N1456" s="5">
        <f>1/KRW!B1456</f>
        <v>9.0232348296864426E-4</v>
      </c>
      <c r="O1456" s="5">
        <f>1/KRW!C1456</f>
        <v>9.0231298006998161E-4</v>
      </c>
      <c r="P1456" s="3">
        <f>1/NOK!B1456</f>
        <v>0.12872497908219088</v>
      </c>
      <c r="Q1456" s="3">
        <f>1/NOK!C1456</f>
        <v>0.12861405494392428</v>
      </c>
      <c r="R1456" s="3">
        <f>NZD!B1456/1</f>
        <v>0.71789999999999998</v>
      </c>
      <c r="S1456" s="3">
        <f>NZD!C1456/1</f>
        <v>0.71579999999999999</v>
      </c>
      <c r="T1456" s="4">
        <f>1/PHP!B1456</f>
        <v>2.2216297876121924E-2</v>
      </c>
      <c r="U1456" s="4">
        <f>1/PHP!C1456</f>
        <v>2.2177669747884248E-2</v>
      </c>
      <c r="V1456" s="4">
        <f>1/TWD!B1456</f>
        <v>3.236455434008674E-2</v>
      </c>
      <c r="W1456" s="4">
        <f>1/TWD!C1456</f>
        <v>3.236455434008674E-2</v>
      </c>
      <c r="X1456" s="4">
        <f>1/TWD!B1456</f>
        <v>3.236455434008674E-2</v>
      </c>
      <c r="Y1456" s="4">
        <f>1/TWD!C1456</f>
        <v>3.236455434008674E-2</v>
      </c>
      <c r="Z1456" s="4">
        <f>1/ZAR!B1456</f>
        <v>8.1193215494913248E-2</v>
      </c>
      <c r="AA1456" s="4">
        <f>1/ZAR!C1456</f>
        <v>8.0727190532315099E-2</v>
      </c>
    </row>
    <row r="1457" spans="1:27" x14ac:dyDescent="0.25">
      <c r="A1457" t="str">
        <f>"11/06/2015"</f>
        <v>11/06/2015</v>
      </c>
      <c r="B1457" s="3">
        <f>AUD!B1457</f>
        <v>0.77539999999999998</v>
      </c>
      <c r="C1457" s="3">
        <f>AUD!C1457</f>
        <v>0.77410000000000001</v>
      </c>
      <c r="D1457" s="3">
        <f>1/CAD!B1457</f>
        <v>0.81353726000650828</v>
      </c>
      <c r="E1457" s="3">
        <f>1/CAD!C1457</f>
        <v>0.81307423367753473</v>
      </c>
      <c r="F1457" s="3">
        <f>EUR!B1457/1</f>
        <v>1.1256999999999999</v>
      </c>
      <c r="G1457" s="3">
        <f>EUR!C1457/1</f>
        <v>1.1261000000000001</v>
      </c>
      <c r="H1457" s="3">
        <f>GBP!B1457/1</f>
        <v>1.5517000000000001</v>
      </c>
      <c r="I1457" s="3">
        <f>GBP!C1457/1</f>
        <v>1.5513999999999999</v>
      </c>
      <c r="J1457" s="4">
        <f>1/INR!B1457</f>
        <v>1.5629884338855895E-2</v>
      </c>
      <c r="K1457" s="4">
        <f>1/INR!C1457</f>
        <v>1.5534583867334653E-2</v>
      </c>
      <c r="L1457" s="4">
        <f>1/JPY!B1457</f>
        <v>8.1017580815036863E-3</v>
      </c>
      <c r="M1457" s="4">
        <f>1/JPY!C1457</f>
        <v>8.1052187071689839E-3</v>
      </c>
      <c r="N1457" s="5">
        <f>1/KRW!B1457</f>
        <v>9.0179457119668135E-4</v>
      </c>
      <c r="O1457" s="5">
        <f>1/KRW!C1457</f>
        <v>9.0178237285995771E-4</v>
      </c>
      <c r="P1457" s="3">
        <f>1/NOK!B1457</f>
        <v>0.1273528437890018</v>
      </c>
      <c r="Q1457" s="3">
        <f>1/NOK!C1457</f>
        <v>0.12724588995775438</v>
      </c>
      <c r="R1457" s="3">
        <f>NZD!B1457/1</f>
        <v>0.70099999999999996</v>
      </c>
      <c r="S1457" s="3">
        <f>NZD!C1457/1</f>
        <v>0.69910000000000005</v>
      </c>
      <c r="T1457" s="4">
        <f>1/PHP!B1457</f>
        <v>2.2084805653710248E-2</v>
      </c>
      <c r="U1457" s="4">
        <f>1/PHP!C1457</f>
        <v>2.2047994073499191E-2</v>
      </c>
      <c r="V1457" s="4">
        <f>1/TWD!B1457</f>
        <v>3.2319575967163311E-2</v>
      </c>
      <c r="W1457" s="4">
        <f>1/TWD!C1457</f>
        <v>3.2319575967163311E-2</v>
      </c>
      <c r="X1457" s="4">
        <f>1/TWD!B1457</f>
        <v>3.2319575967163311E-2</v>
      </c>
      <c r="Y1457" s="4">
        <f>1/TWD!C1457</f>
        <v>3.2319575967163311E-2</v>
      </c>
      <c r="Z1457" s="4">
        <f>1/ZAR!B1457</f>
        <v>8.0800245632746723E-2</v>
      </c>
      <c r="AA1457" s="4">
        <f>1/ZAR!C1457</f>
        <v>8.0358075584805899E-2</v>
      </c>
    </row>
    <row r="1458" spans="1:27" x14ac:dyDescent="0.25">
      <c r="A1458" t="str">
        <f>"12/06/2015"</f>
        <v>12/06/2015</v>
      </c>
      <c r="B1458" s="3">
        <f>AUD!B1458</f>
        <v>0.77239999999999998</v>
      </c>
      <c r="C1458" s="3">
        <f>AUD!C1458</f>
        <v>0.77110000000000001</v>
      </c>
      <c r="D1458" s="3">
        <f>1/CAD!B1458</f>
        <v>0.8115565654926149</v>
      </c>
      <c r="E1458" s="3">
        <f>1/CAD!C1458</f>
        <v>0.81116158338741084</v>
      </c>
      <c r="F1458" s="3">
        <f>EUR!B1458/1</f>
        <v>1.1265000000000001</v>
      </c>
      <c r="G1458" s="3">
        <f>EUR!C1458/1</f>
        <v>1.1269</v>
      </c>
      <c r="H1458" s="3">
        <f>GBP!B1458/1</f>
        <v>1.556</v>
      </c>
      <c r="I1458" s="3">
        <f>GBP!C1458/1</f>
        <v>1.5556000000000001</v>
      </c>
      <c r="J1458" s="4">
        <f>1/INR!B1458</f>
        <v>1.560914696011863E-2</v>
      </c>
      <c r="K1458" s="4">
        <f>1/INR!C1458</f>
        <v>1.5514098436954584E-2</v>
      </c>
      <c r="L1458" s="4">
        <f>1/JPY!B1458</f>
        <v>8.1037277147487843E-3</v>
      </c>
      <c r="M1458" s="4">
        <f>1/JPY!C1458</f>
        <v>8.1072360324484019E-3</v>
      </c>
      <c r="N1458" s="5">
        <f>1/KRW!B1458</f>
        <v>8.9699774853565129E-4</v>
      </c>
      <c r="O1458" s="5">
        <f>1/KRW!C1458</f>
        <v>8.9698769108640904E-4</v>
      </c>
      <c r="P1458" s="3">
        <f>1/NOK!B1458</f>
        <v>0.12791813239526703</v>
      </c>
      <c r="Q1458" s="3">
        <f>1/NOK!C1458</f>
        <v>0.1278118609406953</v>
      </c>
      <c r="R1458" s="3">
        <f>NZD!B1458/1</f>
        <v>0.69689999999999996</v>
      </c>
      <c r="S1458" s="3">
        <f>NZD!C1458/1</f>
        <v>0.69499999999999995</v>
      </c>
      <c r="T1458" s="4">
        <f>1/PHP!B1458</f>
        <v>2.2009464069549907E-2</v>
      </c>
      <c r="U1458" s="4">
        <f>1/PHP!C1458</f>
        <v>2.197435153688615E-2</v>
      </c>
      <c r="V1458" s="4">
        <f>1/TWD!B1458</f>
        <v>3.2024594888874658E-2</v>
      </c>
      <c r="W1458" s="4">
        <f>1/TWD!C1458</f>
        <v>3.2024594888874658E-2</v>
      </c>
      <c r="X1458" s="4">
        <f>1/TWD!B1458</f>
        <v>3.2024594888874658E-2</v>
      </c>
      <c r="Y1458" s="4">
        <f>1/TWD!C1458</f>
        <v>3.2024594888874658E-2</v>
      </c>
      <c r="Z1458" s="4">
        <f>1/ZAR!B1458</f>
        <v>8.0651665456891689E-2</v>
      </c>
      <c r="AA1458" s="4">
        <f>1/ZAR!C1458</f>
        <v>8.0216263045169781E-2</v>
      </c>
    </row>
    <row r="1459" spans="1:27" x14ac:dyDescent="0.25">
      <c r="A1459" t="str">
        <f>"15/06/2015"</f>
        <v>15/06/2015</v>
      </c>
      <c r="B1459" s="3">
        <f>AUD!B1459</f>
        <v>0.77649999999999997</v>
      </c>
      <c r="C1459" s="3">
        <f>AUD!C1459</f>
        <v>0.77529999999999999</v>
      </c>
      <c r="D1459" s="3">
        <f>1/CAD!B1459</f>
        <v>0.81135902636916846</v>
      </c>
      <c r="E1459" s="3">
        <f>1/CAD!C1459</f>
        <v>0.81096423647717131</v>
      </c>
      <c r="F1459" s="3">
        <f>EUR!B1459/1</f>
        <v>1.1283000000000001</v>
      </c>
      <c r="G1459" s="3">
        <f>EUR!C1459/1</f>
        <v>1.1287</v>
      </c>
      <c r="H1459" s="3">
        <f>GBP!B1459/1</f>
        <v>1.56</v>
      </c>
      <c r="I1459" s="3">
        <f>GBP!C1459/1</f>
        <v>1.5597000000000001</v>
      </c>
      <c r="J1459" s="4">
        <f>1/INR!B1459</f>
        <v>1.5582391897156215E-2</v>
      </c>
      <c r="K1459" s="4">
        <f>1/INR!C1459</f>
        <v>1.5489467162329615E-2</v>
      </c>
      <c r="L1459" s="4">
        <f>1/JPY!B1459</f>
        <v>8.1024145195268196E-3</v>
      </c>
      <c r="M1459" s="4">
        <f>1/JPY!C1459</f>
        <v>8.1063356687686404E-3</v>
      </c>
      <c r="N1459" s="5">
        <f>1/KRW!B1459</f>
        <v>8.9489462615776987E-4</v>
      </c>
      <c r="O1459" s="5">
        <f>1/KRW!C1459</f>
        <v>8.9488269385463472E-4</v>
      </c>
      <c r="P1459" s="3">
        <f>1/NOK!B1459</f>
        <v>0.12888923259350912</v>
      </c>
      <c r="Q1459" s="3">
        <f>1/NOK!C1459</f>
        <v>0.12878134215914797</v>
      </c>
      <c r="R1459" s="3">
        <f>NZD!B1459/1</f>
        <v>0.69969999999999999</v>
      </c>
      <c r="S1459" s="3">
        <f>NZD!C1459/1</f>
        <v>0.69779999999999998</v>
      </c>
      <c r="T1459" s="4">
        <f>1/PHP!B1459</f>
        <v>2.2131238242779683E-2</v>
      </c>
      <c r="U1459" s="4">
        <f>1/PHP!C1459</f>
        <v>2.2092953894214517E-2</v>
      </c>
      <c r="V1459" s="4">
        <f>1/TWD!B1459</f>
        <v>3.2297655190233192E-2</v>
      </c>
      <c r="W1459" s="4">
        <f>1/TWD!C1459</f>
        <v>3.2297655190233192E-2</v>
      </c>
      <c r="X1459" s="4">
        <f>1/TWD!B1459</f>
        <v>3.2297655190233192E-2</v>
      </c>
      <c r="Y1459" s="4">
        <f>1/TWD!C1459</f>
        <v>3.2297655190233192E-2</v>
      </c>
      <c r="Z1459" s="4">
        <f>1/ZAR!B1459</f>
        <v>8.058667096462245E-2</v>
      </c>
      <c r="AA1459" s="4">
        <f>1/ZAR!C1459</f>
        <v>8.0150683284575003E-2</v>
      </c>
    </row>
    <row r="1460" spans="1:27" x14ac:dyDescent="0.25">
      <c r="A1460" t="str">
        <f>"16/06/2015"</f>
        <v>16/06/2015</v>
      </c>
      <c r="B1460" s="3">
        <f>AUD!B1460</f>
        <v>0.77500000000000002</v>
      </c>
      <c r="C1460" s="3">
        <f>AUD!C1460</f>
        <v>0.77370000000000005</v>
      </c>
      <c r="D1460" s="3">
        <f>1/CAD!B1460</f>
        <v>0.81333875559170388</v>
      </c>
      <c r="E1460" s="3">
        <f>1/CAD!C1460</f>
        <v>0.81294203723274527</v>
      </c>
      <c r="F1460" s="3">
        <f>EUR!B1460/1</f>
        <v>1.1247</v>
      </c>
      <c r="G1460" s="3">
        <f>EUR!C1460/1</f>
        <v>1.1251</v>
      </c>
      <c r="H1460" s="3">
        <f>GBP!B1460/1</f>
        <v>1.5648</v>
      </c>
      <c r="I1460" s="3">
        <f>GBP!C1460/1</f>
        <v>1.5644</v>
      </c>
      <c r="J1460" s="4">
        <f>1/INR!B1460</f>
        <v>1.556299120690997E-2</v>
      </c>
      <c r="K1460" s="4">
        <f>1/INR!C1460</f>
        <v>1.5461925009663703E-2</v>
      </c>
      <c r="L1460" s="4">
        <f>1/JPY!B1460</f>
        <v>8.1063553826199748E-3</v>
      </c>
      <c r="M1460" s="4">
        <f>1/JPY!C1460</f>
        <v>8.110411903489342E-3</v>
      </c>
      <c r="N1460" s="5">
        <f>1/KRW!B1460</f>
        <v>8.938307799567386E-4</v>
      </c>
      <c r="O1460" s="5">
        <f>1/KRW!C1460</f>
        <v>8.9381759774900978E-4</v>
      </c>
      <c r="P1460" s="3">
        <f>1/NOK!B1460</f>
        <v>0.12879129370854531</v>
      </c>
      <c r="Q1460" s="3">
        <f>1/NOK!C1460</f>
        <v>0.12868687908580839</v>
      </c>
      <c r="R1460" s="3">
        <f>NZD!B1460/1</f>
        <v>0.69850000000000001</v>
      </c>
      <c r="S1460" s="3">
        <f>NZD!C1460/1</f>
        <v>0.69640000000000002</v>
      </c>
      <c r="T1460" s="4">
        <f>1/PHP!B1460</f>
        <v>2.2114108801415303E-2</v>
      </c>
      <c r="U1460" s="4">
        <f>1/PHP!C1460</f>
        <v>2.2076029846792352E-2</v>
      </c>
      <c r="V1460" s="4">
        <f>1/TWD!B1460</f>
        <v>3.1983624384315235E-2</v>
      </c>
      <c r="W1460" s="4">
        <f>1/TWD!C1460</f>
        <v>3.1984033570441633E-2</v>
      </c>
      <c r="X1460" s="4">
        <f>1/TWD!B1460</f>
        <v>3.1983624384315235E-2</v>
      </c>
      <c r="Y1460" s="4">
        <f>1/TWD!C1460</f>
        <v>3.1984033570441633E-2</v>
      </c>
      <c r="Z1460" s="4">
        <f>1/ZAR!B1460</f>
        <v>8.0772834480307587E-2</v>
      </c>
      <c r="AA1460" s="4">
        <f>1/ZAR!C1460</f>
        <v>8.0304514719817546E-2</v>
      </c>
    </row>
    <row r="1461" spans="1:27" x14ac:dyDescent="0.25">
      <c r="A1461" t="str">
        <f>"17/06/2015"</f>
        <v>17/06/2015</v>
      </c>
      <c r="B1461" s="3">
        <f>AUD!B1461</f>
        <v>0.77210000000000001</v>
      </c>
      <c r="C1461" s="3">
        <f>AUD!C1461</f>
        <v>0.77080000000000004</v>
      </c>
      <c r="D1461" s="3">
        <f>1/CAD!B1461</f>
        <v>0.8132726089785296</v>
      </c>
      <c r="E1461" s="3">
        <f>1/CAD!C1461</f>
        <v>0.81280988376818664</v>
      </c>
      <c r="F1461" s="3">
        <f>EUR!B1461/1</f>
        <v>1.1258999999999999</v>
      </c>
      <c r="G1461" s="3">
        <f>EUR!C1461/1</f>
        <v>1.1263000000000001</v>
      </c>
      <c r="H1461" s="3">
        <f>GBP!B1461/1</f>
        <v>1.5639000000000001</v>
      </c>
      <c r="I1461" s="3">
        <f>GBP!C1461/1</f>
        <v>1.5634999999999999</v>
      </c>
      <c r="J1461" s="4">
        <f>1/INR!B1461</f>
        <v>1.5586034912718205E-2</v>
      </c>
      <c r="K1461" s="4">
        <f>1/INR!C1461</f>
        <v>1.5488867376573089E-2</v>
      </c>
      <c r="L1461" s="4">
        <f>1/JPY!B1461</f>
        <v>8.0986086590323792E-3</v>
      </c>
      <c r="M1461" s="4">
        <f>1/JPY!C1461</f>
        <v>8.1026180369139066E-3</v>
      </c>
      <c r="N1461" s="5">
        <f>1/KRW!B1461</f>
        <v>8.9469446184128117E-4</v>
      </c>
      <c r="O1461" s="5">
        <f>1/KRW!C1461</f>
        <v>8.9468485620624997E-4</v>
      </c>
      <c r="P1461" s="3">
        <f>1/NOK!B1461</f>
        <v>0.12882281709736429</v>
      </c>
      <c r="Q1461" s="3">
        <f>1/NOK!C1461</f>
        <v>0.12871669455528381</v>
      </c>
      <c r="R1461" s="3">
        <f>NZD!B1461/1</f>
        <v>0.69689999999999996</v>
      </c>
      <c r="S1461" s="3">
        <f>NZD!C1461/1</f>
        <v>0.69489999999999996</v>
      </c>
      <c r="T1461" s="4">
        <f>1/PHP!B1461</f>
        <v>2.2172949002217293E-2</v>
      </c>
      <c r="U1461" s="4">
        <f>1/PHP!C1461</f>
        <v>2.2134324360816048E-2</v>
      </c>
      <c r="V1461" s="4">
        <f>1/TWD!B1461</f>
        <v>3.2334206356904968E-2</v>
      </c>
      <c r="W1461" s="4">
        <f>1/TWD!C1461</f>
        <v>3.2334310907333096E-2</v>
      </c>
      <c r="X1461" s="4">
        <f>1/TWD!B1461</f>
        <v>3.2334206356904968E-2</v>
      </c>
      <c r="Y1461" s="4">
        <f>1/TWD!C1461</f>
        <v>3.2334310907333096E-2</v>
      </c>
      <c r="Z1461" s="4">
        <f>1/ZAR!B1461</f>
        <v>8.0649714096763525E-2</v>
      </c>
      <c r="AA1461" s="4">
        <f>1/ZAR!C1461</f>
        <v>8.0182816822354966E-2</v>
      </c>
    </row>
    <row r="1462" spans="1:27" x14ac:dyDescent="0.25">
      <c r="A1462" t="str">
        <f>"18/06/2015"</f>
        <v>18/06/2015</v>
      </c>
      <c r="B1462" s="3">
        <f>AUD!B1462</f>
        <v>0.77990000000000004</v>
      </c>
      <c r="C1462" s="3">
        <f>AUD!C1462</f>
        <v>0.77859999999999996</v>
      </c>
      <c r="D1462" s="3">
        <f>1/CAD!B1462</f>
        <v>0.81812975537920318</v>
      </c>
      <c r="E1462" s="3">
        <f>1/CAD!C1462</f>
        <v>0.81772835064191673</v>
      </c>
      <c r="F1462" s="3">
        <f>EUR!B1462/1</f>
        <v>1.1358999999999999</v>
      </c>
      <c r="G1462" s="3">
        <f>EUR!C1462/1</f>
        <v>1.1363000000000001</v>
      </c>
      <c r="H1462" s="3">
        <f>GBP!B1462/1</f>
        <v>1.5880000000000001</v>
      </c>
      <c r="I1462" s="3">
        <f>GBP!C1462/1</f>
        <v>1.5876999999999999</v>
      </c>
      <c r="J1462" s="4">
        <f>1/INR!B1462</f>
        <v>1.5689966266572528E-2</v>
      </c>
      <c r="K1462" s="4">
        <f>1/INR!C1462</f>
        <v>1.5593933959689681E-2</v>
      </c>
      <c r="L1462" s="4">
        <f>1/JPY!B1462</f>
        <v>8.1320647312352612E-3</v>
      </c>
      <c r="M1462" s="4">
        <f>1/JPY!C1462</f>
        <v>8.1356174892996281E-3</v>
      </c>
      <c r="N1462" s="5">
        <f>1/KRW!B1462</f>
        <v>9.0309762485324668E-4</v>
      </c>
      <c r="O1462" s="5">
        <f>1/KRW!C1462</f>
        <v>9.0308865350384861E-4</v>
      </c>
      <c r="P1462" s="3">
        <f>1/NOK!B1462</f>
        <v>0.12818869375721062</v>
      </c>
      <c r="Q1462" s="3">
        <f>1/NOK!C1462</f>
        <v>0.12808853479525048</v>
      </c>
      <c r="R1462" s="3">
        <f>NZD!B1462/1</f>
        <v>0.69240000000000002</v>
      </c>
      <c r="S1462" s="3">
        <f>NZD!C1462/1</f>
        <v>0.6905</v>
      </c>
      <c r="T1462" s="4">
        <f>1/PHP!B1462</f>
        <v>2.2254862687497219E-2</v>
      </c>
      <c r="U1462" s="4">
        <f>1/PHP!C1462</f>
        <v>2.2217038246631342E-2</v>
      </c>
      <c r="V1462" s="4">
        <f>1/TWD!B1462</f>
        <v>3.2521382809197051E-2</v>
      </c>
      <c r="W1462" s="4">
        <f>1/TWD!C1462</f>
        <v>3.2521488573574987E-2</v>
      </c>
      <c r="X1462" s="4">
        <f>1/TWD!B1462</f>
        <v>3.2521382809197051E-2</v>
      </c>
      <c r="Y1462" s="4">
        <f>1/TWD!C1462</f>
        <v>3.2521488573574987E-2</v>
      </c>
      <c r="Z1462" s="4">
        <f>1/ZAR!B1462</f>
        <v>8.1593355037165777E-2</v>
      </c>
      <c r="AA1462" s="4">
        <f>1/ZAR!C1462</f>
        <v>8.1133269508494657E-2</v>
      </c>
    </row>
    <row r="1463" spans="1:27" x14ac:dyDescent="0.25">
      <c r="A1463" t="str">
        <f>"19/06/2015"</f>
        <v>19/06/2015</v>
      </c>
      <c r="B1463" s="3">
        <f>AUD!B1463</f>
        <v>0.77639999999999998</v>
      </c>
      <c r="C1463" s="3">
        <f>AUD!C1463</f>
        <v>0.77510000000000001</v>
      </c>
      <c r="D1463" s="3">
        <f>1/CAD!B1463</f>
        <v>0.81506235226994861</v>
      </c>
      <c r="E1463" s="3">
        <f>1/CAD!C1463</f>
        <v>0.81466395112016288</v>
      </c>
      <c r="F1463" s="3">
        <f>EUR!B1463/1</f>
        <v>1.1351</v>
      </c>
      <c r="G1463" s="3">
        <f>EUR!C1463/1</f>
        <v>1.1355</v>
      </c>
      <c r="H1463" s="3">
        <f>GBP!B1463/1</f>
        <v>1.5882000000000001</v>
      </c>
      <c r="I1463" s="3">
        <f>GBP!C1463/1</f>
        <v>1.5879000000000001</v>
      </c>
      <c r="J1463" s="4">
        <f>1/INR!B1463</f>
        <v>1.5730690577316343E-2</v>
      </c>
      <c r="K1463" s="4">
        <f>1/INR!C1463</f>
        <v>1.5634160641000587E-2</v>
      </c>
      <c r="L1463" s="4">
        <f>1/JPY!B1463</f>
        <v>8.149295085975063E-3</v>
      </c>
      <c r="M1463" s="4">
        <f>1/JPY!C1463</f>
        <v>8.1530290948996272E-3</v>
      </c>
      <c r="N1463" s="5">
        <f>1/KRW!B1463</f>
        <v>9.0317919075144507E-4</v>
      </c>
      <c r="O1463" s="5">
        <f>1/KRW!C1463</f>
        <v>9.0316899420842878E-4</v>
      </c>
      <c r="P1463" s="3">
        <f>1/NOK!B1463</f>
        <v>0.12916225362300121</v>
      </c>
      <c r="Q1463" s="3">
        <f>1/NOK!C1463</f>
        <v>0.12906556530717606</v>
      </c>
      <c r="R1463" s="3">
        <f>NZD!B1463/1</f>
        <v>0.69010000000000005</v>
      </c>
      <c r="S1463" s="3">
        <f>NZD!C1463/1</f>
        <v>0.68820000000000003</v>
      </c>
      <c r="T1463" s="4">
        <f>1/PHP!B1463</f>
        <v>2.2150847269908073E-2</v>
      </c>
      <c r="U1463" s="4">
        <f>1/PHP!C1463</f>
        <v>2.2114255512531041E-2</v>
      </c>
      <c r="V1463" s="4">
        <f>1/TWD!B1463</f>
        <v>3.2481242082697245E-2</v>
      </c>
      <c r="W1463" s="4">
        <f>1/TWD!C1463</f>
        <v>3.2481347586148658E-2</v>
      </c>
      <c r="X1463" s="4">
        <f>1/TWD!B1463</f>
        <v>3.2481242082697245E-2</v>
      </c>
      <c r="Y1463" s="4">
        <f>1/TWD!C1463</f>
        <v>3.2481347586148658E-2</v>
      </c>
      <c r="Z1463" s="4">
        <f>1/ZAR!B1463</f>
        <v>8.206811653672548E-2</v>
      </c>
      <c r="AA1463" s="4">
        <f>1/ZAR!C1463</f>
        <v>8.1632653061224483E-2</v>
      </c>
    </row>
    <row r="1464" spans="1:27" x14ac:dyDescent="0.25">
      <c r="A1464" t="str">
        <f>"22/06/2015"</f>
        <v>22/06/2015</v>
      </c>
      <c r="B1464" s="3">
        <f>AUD!B1464</f>
        <v>0.77270000000000005</v>
      </c>
      <c r="C1464" s="3">
        <f>AUD!C1464</f>
        <v>0.77139999999999997</v>
      </c>
      <c r="D1464" s="3">
        <f>1/CAD!B1464</f>
        <v>0.81241368104638878</v>
      </c>
      <c r="E1464" s="3">
        <f>1/CAD!C1464</f>
        <v>0.8120178643930166</v>
      </c>
      <c r="F1464" s="3">
        <f>EUR!B1464/1</f>
        <v>1.1339999999999999</v>
      </c>
      <c r="G1464" s="3">
        <f>EUR!C1464/1</f>
        <v>1.1344000000000001</v>
      </c>
      <c r="H1464" s="3">
        <f>GBP!B1464/1</f>
        <v>1.5824</v>
      </c>
      <c r="I1464" s="3">
        <f>GBP!C1464/1</f>
        <v>1.5821000000000001</v>
      </c>
      <c r="J1464" s="4">
        <f>1/INR!B1464</f>
        <v>1.5743073047858942E-2</v>
      </c>
      <c r="K1464" s="4">
        <f>1/INR!C1464</f>
        <v>1.5647003598810827E-2</v>
      </c>
      <c r="L1464" s="4">
        <f>1/JPY!B1464</f>
        <v>8.1050413357108119E-3</v>
      </c>
      <c r="M1464" s="4">
        <f>1/JPY!C1464</f>
        <v>8.1090439356109479E-3</v>
      </c>
      <c r="N1464" s="5">
        <f>1/KRW!B1464</f>
        <v>9.0975254730713245E-4</v>
      </c>
      <c r="O1464" s="5">
        <f>1/KRW!C1464</f>
        <v>9.0974385706832318E-4</v>
      </c>
      <c r="P1464" s="3">
        <f>1/NOK!B1464</f>
        <v>0.12886431875877888</v>
      </c>
      <c r="Q1464" s="3">
        <f>1/NOK!C1464</f>
        <v>0.12877139214752051</v>
      </c>
      <c r="R1464" s="3">
        <f>NZD!B1464/1</f>
        <v>0.68620000000000003</v>
      </c>
      <c r="S1464" s="3">
        <f>NZD!C1464/1</f>
        <v>0.68430000000000002</v>
      </c>
      <c r="T1464" s="4">
        <f>1/PHP!B1464</f>
        <v>2.218770800976259E-2</v>
      </c>
      <c r="U1464" s="4">
        <f>1/PHP!C1464</f>
        <v>2.215055287779983E-2</v>
      </c>
      <c r="V1464" s="4">
        <f>1/TWD!B1464</f>
        <v>3.2494963280691493E-2</v>
      </c>
      <c r="W1464" s="4">
        <f>1/TWD!C1464</f>
        <v>3.2495068873298477E-2</v>
      </c>
      <c r="X1464" s="4">
        <f>1/TWD!B1464</f>
        <v>3.2494963280691493E-2</v>
      </c>
      <c r="Y1464" s="4">
        <f>1/TWD!C1464</f>
        <v>3.2495068873298477E-2</v>
      </c>
      <c r="Z1464" s="4">
        <f>1/ZAR!B1464</f>
        <v>8.2607761825301107E-2</v>
      </c>
      <c r="AA1464" s="4">
        <f>1/ZAR!C1464</f>
        <v>8.2165217819992434E-2</v>
      </c>
    </row>
    <row r="1465" spans="1:27" x14ac:dyDescent="0.25">
      <c r="A1465" t="str">
        <f>"23/06/2015"</f>
        <v>23/06/2015</v>
      </c>
      <c r="B1465" s="3">
        <f>AUD!B1465</f>
        <v>0.77349999999999997</v>
      </c>
      <c r="C1465" s="3">
        <f>AUD!C1465</f>
        <v>0.77210000000000001</v>
      </c>
      <c r="D1465" s="3">
        <f>1/CAD!B1465</f>
        <v>0.81122738703658637</v>
      </c>
      <c r="E1465" s="3">
        <f>1/CAD!C1465</f>
        <v>0.81083272520878935</v>
      </c>
      <c r="F1465" s="3">
        <f>EUR!B1465/1</f>
        <v>1.1167</v>
      </c>
      <c r="G1465" s="3">
        <f>EUR!C1465/1</f>
        <v>1.1171</v>
      </c>
      <c r="H1465" s="3">
        <f>GBP!B1465/1</f>
        <v>1.5729</v>
      </c>
      <c r="I1465" s="3">
        <f>GBP!C1465/1</f>
        <v>1.5725</v>
      </c>
      <c r="J1465" s="4">
        <f>1/INR!B1465</f>
        <v>1.5720798616569723E-2</v>
      </c>
      <c r="K1465" s="4">
        <f>1/INR!C1465</f>
        <v>1.5619508766449297E-2</v>
      </c>
      <c r="L1465" s="4">
        <f>1/JPY!B1465</f>
        <v>8.0677692617991126E-3</v>
      </c>
      <c r="M1465" s="4">
        <f>1/JPY!C1465</f>
        <v>8.0717481550001656E-3</v>
      </c>
      <c r="N1465" s="5">
        <f>1/KRW!B1465</f>
        <v>9.05018326621114E-4</v>
      </c>
      <c r="O1465" s="5">
        <f>1/KRW!C1465</f>
        <v>9.0500825231774884E-4</v>
      </c>
      <c r="P1465" s="3">
        <f>1/NOK!B1465</f>
        <v>0.12767478678310606</v>
      </c>
      <c r="Q1465" s="3">
        <f>1/NOK!C1465</f>
        <v>0.12758193950064428</v>
      </c>
      <c r="R1465" s="3">
        <f>NZD!B1465/1</f>
        <v>0.68520000000000003</v>
      </c>
      <c r="S1465" s="3">
        <f>NZD!C1465/1</f>
        <v>0.68330000000000002</v>
      </c>
      <c r="T1465" s="4">
        <f>1/PHP!B1465</f>
        <v>2.2168525128023232E-2</v>
      </c>
      <c r="U1465" s="4">
        <f>1/PHP!C1465</f>
        <v>2.2132364821048765E-2</v>
      </c>
      <c r="V1465" s="4">
        <f>1/TWD!B1465</f>
        <v>3.241175898616018E-2</v>
      </c>
      <c r="W1465" s="4">
        <f>1/TWD!C1465</f>
        <v>3.2411864038712726E-2</v>
      </c>
      <c r="X1465" s="4">
        <f>1/TWD!B1465</f>
        <v>3.241175898616018E-2</v>
      </c>
      <c r="Y1465" s="4">
        <f>1/TWD!C1465</f>
        <v>3.2411864038712726E-2</v>
      </c>
      <c r="Z1465" s="4">
        <f>1/ZAR!B1465</f>
        <v>8.2096414028635226E-2</v>
      </c>
      <c r="AA1465" s="4">
        <f>1/ZAR!C1465</f>
        <v>8.1662651586297014E-2</v>
      </c>
    </row>
    <row r="1466" spans="1:27" x14ac:dyDescent="0.25">
      <c r="A1466" t="str">
        <f>"24/06/2015"</f>
        <v>24/06/2015</v>
      </c>
      <c r="B1466" s="3">
        <f>AUD!B1466</f>
        <v>0.7702</v>
      </c>
      <c r="C1466" s="3">
        <f>AUD!C1466</f>
        <v>0.76890000000000003</v>
      </c>
      <c r="D1466" s="3">
        <f>1/CAD!B1466</f>
        <v>0.80755874989905518</v>
      </c>
      <c r="E1466" s="3">
        <f>1/CAD!C1466</f>
        <v>0.8071676487206394</v>
      </c>
      <c r="F1466" s="3">
        <f>EUR!B1466/1</f>
        <v>1.1204000000000001</v>
      </c>
      <c r="G1466" s="3">
        <f>EUR!C1466/1</f>
        <v>1.1208</v>
      </c>
      <c r="H1466" s="3">
        <f>GBP!B1466/1</f>
        <v>1.5705</v>
      </c>
      <c r="I1466" s="3">
        <f>GBP!C1466/1</f>
        <v>1.5702</v>
      </c>
      <c r="J1466" s="4">
        <f>1/INR!B1466</f>
        <v>1.5723270440251572E-2</v>
      </c>
      <c r="K1466" s="4">
        <f>1/INR!C1466</f>
        <v>1.5625E-2</v>
      </c>
      <c r="L1466" s="4">
        <f>1/JPY!B1466</f>
        <v>8.0736315194574523E-3</v>
      </c>
      <c r="M1466" s="4">
        <f>1/JPY!C1466</f>
        <v>8.0773813129783323E-3</v>
      </c>
      <c r="N1466" s="5">
        <f>1/KRW!B1466</f>
        <v>9.0194097698246623E-4</v>
      </c>
      <c r="O1466" s="5">
        <f>1/KRW!C1466</f>
        <v>9.0193202859846077E-4</v>
      </c>
      <c r="P1466" s="3">
        <f>1/NOK!B1466</f>
        <v>0.12718600953895071</v>
      </c>
      <c r="Q1466" s="3">
        <f>1/NOK!C1466</f>
        <v>0.12709064104519344</v>
      </c>
      <c r="R1466" s="3">
        <f>NZD!B1466/1</f>
        <v>0.68859999999999999</v>
      </c>
      <c r="S1466" s="3">
        <f>NZD!C1466/1</f>
        <v>0.68669999999999998</v>
      </c>
      <c r="T1466" s="4">
        <f>1/PHP!B1466</f>
        <v>2.2153300841825433E-2</v>
      </c>
      <c r="U1466" s="4">
        <f>1/PHP!C1466</f>
        <v>2.2115429271539873E-2</v>
      </c>
      <c r="V1466" s="4">
        <f>1/TWD!B1466</f>
        <v>3.2344664747549892E-2</v>
      </c>
      <c r="W1466" s="4">
        <f>1/TWD!C1466</f>
        <v>3.2344664747549892E-2</v>
      </c>
      <c r="X1466" s="4">
        <f>1/TWD!B1466</f>
        <v>3.2344664747549892E-2</v>
      </c>
      <c r="Y1466" s="4">
        <f>1/TWD!C1466</f>
        <v>3.2344664747549892E-2</v>
      </c>
      <c r="Z1466" s="4">
        <f>1/ZAR!B1466</f>
        <v>8.2201014360517202E-2</v>
      </c>
      <c r="AA1466" s="4">
        <f>1/ZAR!C1466</f>
        <v>8.1741419194520049E-2</v>
      </c>
    </row>
    <row r="1467" spans="1:27" x14ac:dyDescent="0.25">
      <c r="A1467" t="str">
        <f>"25/06/2015"</f>
        <v>25/06/2015</v>
      </c>
      <c r="B1467" s="3">
        <f>AUD!B1467</f>
        <v>0.77359999999999995</v>
      </c>
      <c r="C1467" s="3">
        <f>AUD!C1467</f>
        <v>0.77229999999999999</v>
      </c>
      <c r="D1467" s="3">
        <f>1/CAD!B1467</f>
        <v>0.81116158338741084</v>
      </c>
      <c r="E1467" s="3">
        <f>1/CAD!C1467</f>
        <v>0.81076698556834759</v>
      </c>
      <c r="F1467" s="3">
        <f>EUR!B1467/1</f>
        <v>1.1204000000000001</v>
      </c>
      <c r="G1467" s="3">
        <f>EUR!C1467/1</f>
        <v>1.1208</v>
      </c>
      <c r="H1467" s="3">
        <f>GBP!B1467/1</f>
        <v>1.5746</v>
      </c>
      <c r="I1467" s="3">
        <f>GBP!C1467/1</f>
        <v>1.5743</v>
      </c>
      <c r="J1467" s="4">
        <f>1/INR!B1467</f>
        <v>1.5715857300015717E-2</v>
      </c>
      <c r="K1467" s="4">
        <f>1/INR!C1467</f>
        <v>1.5620118712902219E-2</v>
      </c>
      <c r="L1467" s="4">
        <f>1/JPY!B1467</f>
        <v>8.0886516217746496E-3</v>
      </c>
      <c r="M1467" s="4">
        <f>1/JPY!C1467</f>
        <v>8.0920945091901911E-3</v>
      </c>
      <c r="N1467" s="5">
        <f>1/KRW!B1467</f>
        <v>9.0052770923761323E-4</v>
      </c>
      <c r="O1467" s="5">
        <f>1/KRW!C1467</f>
        <v>9.0051878887427049E-4</v>
      </c>
      <c r="P1467" s="3">
        <f>1/NOK!B1467</f>
        <v>0.12790504329585717</v>
      </c>
      <c r="Q1467" s="3">
        <f>1/NOK!C1467</f>
        <v>0.12781022737439451</v>
      </c>
      <c r="R1467" s="3">
        <f>NZD!B1467/1</f>
        <v>0.69</v>
      </c>
      <c r="S1467" s="3">
        <f>NZD!C1467/1</f>
        <v>0.68810000000000004</v>
      </c>
      <c r="T1467" s="4">
        <f>1/PHP!B1467</f>
        <v>2.2166068182825731E-2</v>
      </c>
      <c r="U1467" s="4">
        <f>1/PHP!C1467</f>
        <v>2.2128006089627276E-2</v>
      </c>
      <c r="V1467" s="4">
        <f>1/TWD!B1467</f>
        <v>3.231226573607341E-2</v>
      </c>
      <c r="W1467" s="4">
        <f>1/TWD!C1467</f>
        <v>3.231226573607341E-2</v>
      </c>
      <c r="X1467" s="4">
        <f>1/TWD!B1467</f>
        <v>3.231226573607341E-2</v>
      </c>
      <c r="Y1467" s="4">
        <f>1/TWD!C1467</f>
        <v>3.231226573607341E-2</v>
      </c>
      <c r="Z1467" s="4">
        <f>1/ZAR!B1467</f>
        <v>8.244023083264633E-2</v>
      </c>
      <c r="AA1467" s="4">
        <f>1/ZAR!C1467</f>
        <v>8.1992079565114007E-2</v>
      </c>
    </row>
    <row r="1468" spans="1:27" x14ac:dyDescent="0.25">
      <c r="A1468" t="str">
        <f>"26/06/2015"</f>
        <v>26/06/2015</v>
      </c>
      <c r="B1468" s="3">
        <f>AUD!B1468</f>
        <v>0.76529999999999998</v>
      </c>
      <c r="C1468" s="3">
        <f>AUD!C1468</f>
        <v>0.76400000000000001</v>
      </c>
      <c r="D1468" s="3">
        <f>1/CAD!B1468</f>
        <v>0.81149070843138849</v>
      </c>
      <c r="E1468" s="3">
        <f>1/CAD!C1468</f>
        <v>0.81109579041284774</v>
      </c>
      <c r="F1468" s="3">
        <f>EUR!B1468/1</f>
        <v>1.1166</v>
      </c>
      <c r="G1468" s="3">
        <f>EUR!C1468/1</f>
        <v>1.117</v>
      </c>
      <c r="H1468" s="3">
        <f>GBP!B1468/1</f>
        <v>1.5745</v>
      </c>
      <c r="I1468" s="3">
        <f>GBP!C1468/1</f>
        <v>1.5742</v>
      </c>
      <c r="J1468" s="4">
        <f>1/INR!B1468</f>
        <v>1.5712153350616702E-2</v>
      </c>
      <c r="K1468" s="4">
        <f>1/INR!C1468</f>
        <v>1.5614630909161884E-2</v>
      </c>
      <c r="L1468" s="4">
        <f>1/JPY!B1468</f>
        <v>8.0736315194574523E-3</v>
      </c>
      <c r="M1468" s="4">
        <f>1/JPY!C1468</f>
        <v>8.0776227233220355E-3</v>
      </c>
      <c r="N1468" s="5">
        <f>1/KRW!B1468</f>
        <v>8.9542349053985083E-4</v>
      </c>
      <c r="O1468" s="5">
        <f>1/KRW!C1468</f>
        <v>8.9541467101121868E-4</v>
      </c>
      <c r="P1468" s="3">
        <f>1/NOK!B1468</f>
        <v>0.12715043167571555</v>
      </c>
      <c r="Q1468" s="3">
        <f>1/NOK!C1468</f>
        <v>0.12705995959493285</v>
      </c>
      <c r="R1468" s="3">
        <f>NZD!B1468/1</f>
        <v>0.68230000000000002</v>
      </c>
      <c r="S1468" s="3">
        <f>NZD!C1468/1</f>
        <v>0.6804</v>
      </c>
      <c r="T1468" s="4">
        <f>1/PHP!B1468</f>
        <v>2.2176882817351192E-2</v>
      </c>
      <c r="U1468" s="4">
        <f>1/PHP!C1468</f>
        <v>2.2141087437368399E-2</v>
      </c>
      <c r="V1468" s="4">
        <f>1/TWD!B1468</f>
        <v>3.2319575967163311E-2</v>
      </c>
      <c r="W1468" s="4">
        <f>1/TWD!C1468</f>
        <v>3.2319575967163311E-2</v>
      </c>
      <c r="X1468" s="4">
        <f>1/TWD!B1468</f>
        <v>3.2319575967163311E-2</v>
      </c>
      <c r="Y1468" s="4">
        <f>1/TWD!C1468</f>
        <v>3.2319575967163311E-2</v>
      </c>
      <c r="Z1468" s="4">
        <f>1/ZAR!B1468</f>
        <v>8.1646649629732448E-2</v>
      </c>
      <c r="AA1468" s="4">
        <f>1/ZAR!C1468</f>
        <v>8.1224871055517192E-2</v>
      </c>
    </row>
    <row r="1469" spans="1:27" x14ac:dyDescent="0.25">
      <c r="A1469" t="str">
        <f>"29/06/2015"</f>
        <v>29/06/2015</v>
      </c>
      <c r="B1469" s="3">
        <f>AUD!B1469</f>
        <v>0.76780000000000004</v>
      </c>
      <c r="C1469" s="3">
        <f>AUD!C1469</f>
        <v>0.76639999999999997</v>
      </c>
      <c r="D1469" s="3">
        <f>1/CAD!B1469</f>
        <v>0.80619155111254437</v>
      </c>
      <c r="E1469" s="3">
        <f>1/CAD!C1469</f>
        <v>0.80580177276389997</v>
      </c>
      <c r="F1469" s="3">
        <f>EUR!B1469/1</f>
        <v>1.1234999999999999</v>
      </c>
      <c r="G1469" s="3">
        <f>EUR!C1469/1</f>
        <v>1.1240000000000001</v>
      </c>
      <c r="H1469" s="3">
        <f>GBP!B1469/1</f>
        <v>1.5737000000000001</v>
      </c>
      <c r="I1469" s="3">
        <f>GBP!C1469/1</f>
        <v>1.5732999999999999</v>
      </c>
      <c r="J1469" s="4">
        <f>1/INR!B1469</f>
        <v>1.5660480776759848E-2</v>
      </c>
      <c r="K1469" s="4">
        <f>1/INR!C1469</f>
        <v>1.5556938394523958E-2</v>
      </c>
      <c r="L1469" s="4">
        <f>1/JPY!B1469</f>
        <v>8.1599347205222363E-3</v>
      </c>
      <c r="M1469" s="4">
        <f>1/JPY!C1469</f>
        <v>8.1629454519333115E-3</v>
      </c>
      <c r="N1469" s="5">
        <f>1/KRW!B1469</f>
        <v>8.8853347549868941E-4</v>
      </c>
      <c r="O1469" s="5">
        <f>1/KRW!C1469</f>
        <v>8.8852518591278867E-4</v>
      </c>
      <c r="P1469" s="3">
        <f>1/NOK!B1469</f>
        <v>0.12712456936552127</v>
      </c>
      <c r="Q1469" s="3">
        <f>1/NOK!C1469</f>
        <v>0.12689872212986816</v>
      </c>
      <c r="R1469" s="3">
        <f>NZD!B1469/1</f>
        <v>0.68489999999999995</v>
      </c>
      <c r="S1469" s="3">
        <f>NZD!C1469/1</f>
        <v>0.68289999999999995</v>
      </c>
      <c r="T1469" s="4">
        <f>1/PHP!B1469</f>
        <v>2.2129279249374849E-2</v>
      </c>
      <c r="U1469" s="4">
        <f>1/PHP!C1469</f>
        <v>2.2093002704183531E-2</v>
      </c>
      <c r="V1469" s="4">
        <f>1/TWD!B1469</f>
        <v>3.2073898261594715E-2</v>
      </c>
      <c r="W1469" s="4">
        <f>1/TWD!C1469</f>
        <v>3.2073898261594715E-2</v>
      </c>
      <c r="X1469" s="4">
        <f>1/TWD!B1469</f>
        <v>3.2073898261594715E-2</v>
      </c>
      <c r="Y1469" s="4">
        <f>1/TWD!C1469</f>
        <v>3.2073898261594715E-2</v>
      </c>
      <c r="Z1469" s="4">
        <f>1/ZAR!B1469</f>
        <v>8.1556755346045312E-2</v>
      </c>
      <c r="AA1469" s="4">
        <f>1/ZAR!C1469</f>
        <v>8.1116816327192795E-2</v>
      </c>
    </row>
    <row r="1470" spans="1:27" x14ac:dyDescent="0.25">
      <c r="A1470" t="str">
        <f>"30/06/2015"</f>
        <v>30/06/2015</v>
      </c>
      <c r="B1470" s="3">
        <f>AUD!B1470</f>
        <v>0.77059999999999995</v>
      </c>
      <c r="C1470" s="3">
        <f>AUD!C1470</f>
        <v>0.76919999999999999</v>
      </c>
      <c r="D1470" s="3">
        <f>1/CAD!B1470</f>
        <v>0.80032012805122044</v>
      </c>
      <c r="E1470" s="3">
        <f>1/CAD!C1470</f>
        <v>0.7999360051195904</v>
      </c>
      <c r="F1470" s="3">
        <f>EUR!B1470/1</f>
        <v>1.1146</v>
      </c>
      <c r="G1470" s="3">
        <f>EUR!C1470/1</f>
        <v>1.1151</v>
      </c>
      <c r="H1470" s="3">
        <f>GBP!B1470/1</f>
        <v>1.5710999999999999</v>
      </c>
      <c r="I1470" s="3">
        <f>GBP!C1470/1</f>
        <v>1.5708</v>
      </c>
      <c r="J1470" s="4">
        <f>1/INR!B1470</f>
        <v>1.5710302030556535E-2</v>
      </c>
      <c r="K1470" s="4">
        <f>1/INR!C1470</f>
        <v>1.5609756097560976E-2</v>
      </c>
      <c r="L1470" s="4">
        <f>1/JPY!B1470</f>
        <v>8.1632653061224497E-3</v>
      </c>
      <c r="M1470" s="4">
        <f>1/JPY!C1470</f>
        <v>8.1660584314145E-3</v>
      </c>
      <c r="N1470" s="5">
        <f>1/KRW!B1470</f>
        <v>8.9624205705476933E-4</v>
      </c>
      <c r="O1470" s="5">
        <f>1/KRW!C1470</f>
        <v>8.9623298042367254E-4</v>
      </c>
      <c r="P1470" s="3">
        <f>1/NOK!B1470</f>
        <v>0.12712941774726672</v>
      </c>
      <c r="Q1470" s="3">
        <f>1/NOK!C1470</f>
        <v>0.12703090661958055</v>
      </c>
      <c r="R1470" s="3">
        <f>NZD!B1470/1</f>
        <v>0.67620000000000002</v>
      </c>
      <c r="S1470" s="3">
        <f>NZD!C1470/1</f>
        <v>0.67430000000000001</v>
      </c>
      <c r="T1470" s="4">
        <f>1/PHP!B1470</f>
        <v>2.2161647053609027E-2</v>
      </c>
      <c r="U1470" s="4">
        <f>1/PHP!C1470</f>
        <v>2.2121593551113046E-2</v>
      </c>
      <c r="V1470" s="4">
        <f>1/TWD!B1470</f>
        <v>3.2378177108628781E-2</v>
      </c>
      <c r="W1470" s="4">
        <f>1/TWD!C1470</f>
        <v>3.2378177108628781E-2</v>
      </c>
      <c r="X1470" s="4">
        <f>1/TWD!B1470</f>
        <v>3.2378177108628781E-2</v>
      </c>
      <c r="Y1470" s="4">
        <f>1/TWD!C1470</f>
        <v>3.2378177108628781E-2</v>
      </c>
      <c r="Z1470" s="4">
        <f>1/ZAR!B1470</f>
        <v>8.2137547537105643E-2</v>
      </c>
      <c r="AA1470" s="4">
        <f>1/ZAR!C1470</f>
        <v>8.1661984712876459E-2</v>
      </c>
    </row>
    <row r="1471" spans="1:27" x14ac:dyDescent="0.25">
      <c r="A1471" t="str">
        <f>"01/07/2015"</f>
        <v>01/07/2015</v>
      </c>
      <c r="B1471" s="3">
        <f>AUD!B1471</f>
        <v>0.76429999999999998</v>
      </c>
      <c r="C1471" s="3">
        <f>AUD!C1471</f>
        <v>0.76300000000000001</v>
      </c>
      <c r="D1471" s="3">
        <f>1/CAD!B1471</f>
        <v>0.79428117553613986</v>
      </c>
      <c r="E1471" s="3">
        <f>1/CAD!C1471</f>
        <v>0.79390282629406161</v>
      </c>
      <c r="F1471" s="3">
        <f>EUR!B1471/1</f>
        <v>1.1052999999999999</v>
      </c>
      <c r="G1471" s="3">
        <f>EUR!C1471/1</f>
        <v>1.1056999999999999</v>
      </c>
      <c r="H1471" s="3">
        <f>GBP!B1471/1</f>
        <v>1.5617000000000001</v>
      </c>
      <c r="I1471" s="3">
        <f>GBP!C1471/1</f>
        <v>1.5613999999999999</v>
      </c>
      <c r="J1471" s="4">
        <f>1/INR!B1471</f>
        <v>1.5720798616569723E-2</v>
      </c>
      <c r="K1471" s="4">
        <f>1/INR!C1471</f>
        <v>1.562316915986408E-2</v>
      </c>
      <c r="L1471" s="4">
        <f>1/JPY!B1471</f>
        <v>8.1182010066569235E-3</v>
      </c>
      <c r="M1471" s="4">
        <f>1/JPY!C1471</f>
        <v>8.1213195195102526E-3</v>
      </c>
      <c r="N1471" s="5">
        <f>1/KRW!B1471</f>
        <v>8.9461442118446953E-4</v>
      </c>
      <c r="O1471" s="5">
        <f>1/KRW!C1471</f>
        <v>8.9460481726802009E-4</v>
      </c>
      <c r="P1471" s="3">
        <f>1/NOK!B1471</f>
        <v>0.12590177143792414</v>
      </c>
      <c r="Q1471" s="3">
        <f>1/NOK!C1471</f>
        <v>0.12580831844601564</v>
      </c>
      <c r="R1471" s="3">
        <f>NZD!B1471/1</f>
        <v>0.67310000000000003</v>
      </c>
      <c r="S1471" s="3">
        <f>NZD!C1471/1</f>
        <v>0.67120000000000002</v>
      </c>
      <c r="T1471" s="4">
        <f>1/PHP!B1471</f>
        <v>2.2176882817351192E-2</v>
      </c>
      <c r="U1471" s="4">
        <f>1/PHP!C1471</f>
        <v>2.2136921285535294E-2</v>
      </c>
      <c r="V1471" s="4">
        <f>1/TWD!B1471</f>
        <v>3.2350943029989324E-2</v>
      </c>
      <c r="W1471" s="4">
        <f>1/TWD!C1471</f>
        <v>3.2350943029989324E-2</v>
      </c>
      <c r="X1471" s="4">
        <f>1/TWD!B1471</f>
        <v>3.2350943029989324E-2</v>
      </c>
      <c r="Y1471" s="4">
        <f>1/TWD!C1471</f>
        <v>3.2350943029989324E-2</v>
      </c>
      <c r="Z1471" s="4">
        <f>1/ZAR!B1471</f>
        <v>8.1553429729487273E-2</v>
      </c>
      <c r="AA1471" s="4">
        <f>1/ZAR!C1471</f>
        <v>8.1106289792773428E-2</v>
      </c>
    </row>
    <row r="1472" spans="1:27" x14ac:dyDescent="0.25">
      <c r="A1472" t="str">
        <f>"02/07/2015"</f>
        <v>02/07/2015</v>
      </c>
      <c r="B1472" s="3">
        <f>AUD!B1472</f>
        <v>0.7631</v>
      </c>
      <c r="C1472" s="3">
        <f>AUD!C1472</f>
        <v>0.76180000000000003</v>
      </c>
      <c r="D1472" s="3">
        <f>1/CAD!B1472</f>
        <v>0.79744816586921852</v>
      </c>
      <c r="E1472" s="3">
        <f>1/CAD!C1472</f>
        <v>0.79713033080908735</v>
      </c>
      <c r="F1472" s="3">
        <f>EUR!B1472/1</f>
        <v>1.1084000000000001</v>
      </c>
      <c r="G1472" s="3">
        <f>EUR!C1472/1</f>
        <v>1.1088</v>
      </c>
      <c r="H1472" s="3">
        <f>GBP!B1472/1</f>
        <v>1.5609</v>
      </c>
      <c r="I1472" s="3">
        <f>GBP!C1472/1</f>
        <v>1.5606</v>
      </c>
      <c r="J1472" s="4">
        <f>1/INR!B1472</f>
        <v>1.5744312367157363E-2</v>
      </c>
      <c r="K1472" s="4">
        <f>1/INR!C1472</f>
        <v>1.5645779550966125E-2</v>
      </c>
      <c r="L1472" s="4">
        <f>1/JPY!B1472</f>
        <v>8.1254570569594536E-3</v>
      </c>
      <c r="M1472" s="4">
        <f>1/JPY!C1472</f>
        <v>8.1282838266659736E-3</v>
      </c>
      <c r="N1472" s="5">
        <f>1/KRW!B1472</f>
        <v>8.8873089228581577E-4</v>
      </c>
      <c r="O1472" s="5">
        <f>1/KRW!C1472</f>
        <v>8.8872109834552137E-4</v>
      </c>
      <c r="P1472" s="3">
        <f>1/NOK!B1472</f>
        <v>0.12547208873386115</v>
      </c>
      <c r="Q1472" s="3">
        <f>1/NOK!C1472</f>
        <v>0.12538241636992828</v>
      </c>
      <c r="R1472" s="3">
        <f>NZD!B1472/1</f>
        <v>0.67179999999999995</v>
      </c>
      <c r="S1472" s="3">
        <f>NZD!C1472/1</f>
        <v>0.67</v>
      </c>
      <c r="T1472" s="4">
        <f>1/PHP!B1472</f>
        <v>2.2134667315950242E-2</v>
      </c>
      <c r="U1472" s="4">
        <f>1/PHP!C1472</f>
        <v>2.2095297016030139E-2</v>
      </c>
      <c r="V1472" s="4">
        <f>1/TWD!B1472</f>
        <v>3.2332115490316532E-2</v>
      </c>
      <c r="W1472" s="4">
        <f>1/TWD!C1472</f>
        <v>3.2332115490316532E-2</v>
      </c>
      <c r="X1472" s="4">
        <f>1/TWD!B1472</f>
        <v>3.2332115490316532E-2</v>
      </c>
      <c r="Y1472" s="4">
        <f>1/TWD!C1472</f>
        <v>3.2332115490316532E-2</v>
      </c>
      <c r="Z1472" s="4">
        <f>1/ZAR!B1472</f>
        <v>8.1572056676264978E-2</v>
      </c>
      <c r="AA1472" s="4">
        <f>1/ZAR!C1472</f>
        <v>8.1134586051341967E-2</v>
      </c>
    </row>
    <row r="1473" spans="1:27" x14ac:dyDescent="0.25">
      <c r="A1473" t="str">
        <f>"03/07/2015"</f>
        <v>03/07/2015</v>
      </c>
      <c r="B1473" s="3">
        <f>AUD!B1473</f>
        <v>0.75119999999999998</v>
      </c>
      <c r="C1473" s="3">
        <f>AUD!C1473</f>
        <v>0.74990000000000001</v>
      </c>
      <c r="D1473" s="3">
        <f>1/CAD!B1473</f>
        <v>0.7951653944020356</v>
      </c>
      <c r="E1473" s="3">
        <f>1/CAD!C1473</f>
        <v>0.7948493760432398</v>
      </c>
      <c r="F1473" s="3">
        <f>EUR!B1473/1</f>
        <v>1.1113</v>
      </c>
      <c r="G1473" s="3">
        <f>EUR!C1473/1</f>
        <v>1.1116999999999999</v>
      </c>
      <c r="H1473" s="3">
        <f>GBP!B1473/1</f>
        <v>1.5569</v>
      </c>
      <c r="I1473" s="3">
        <f>GBP!C1473/1</f>
        <v>1.5566</v>
      </c>
      <c r="J1473" s="4">
        <f>1/INR!B1473</f>
        <v>1.5762304448910431E-2</v>
      </c>
      <c r="K1473" s="4">
        <f>1/INR!C1473</f>
        <v>1.5664773839827686E-2</v>
      </c>
      <c r="L1473" s="4">
        <f>1/JPY!B1473</f>
        <v>8.1439856665852257E-3</v>
      </c>
      <c r="M1473" s="4">
        <f>1/JPY!C1473</f>
        <v>8.1467788858302255E-3</v>
      </c>
      <c r="N1473" s="5">
        <f>1/KRW!B1473</f>
        <v>8.9031339031339033E-4</v>
      </c>
      <c r="O1473" s="5">
        <f>1/KRW!C1473</f>
        <v>8.903025310321624E-4</v>
      </c>
      <c r="P1473" s="3">
        <f>1/NOK!B1473</f>
        <v>0.1248626510838078</v>
      </c>
      <c r="Q1473" s="3">
        <f>1/NOK!C1473</f>
        <v>0.12477384740158463</v>
      </c>
      <c r="R1473" s="3">
        <f>NZD!B1473/1</f>
        <v>0.66769999999999996</v>
      </c>
      <c r="S1473" s="3">
        <f>NZD!C1473/1</f>
        <v>0.66590000000000005</v>
      </c>
      <c r="T1473" s="4">
        <f>1/PHP!B1473</f>
        <v>2.2191154605774137E-2</v>
      </c>
      <c r="U1473" s="4">
        <f>1/PHP!C1473</f>
        <v>2.2151190737258082E-2</v>
      </c>
      <c r="V1473" s="4">
        <f>1/TWD!B1473</f>
        <v>3.2376080551688412E-2</v>
      </c>
      <c r="W1473" s="4">
        <f>1/TWD!C1473</f>
        <v>3.2376080551688412E-2</v>
      </c>
      <c r="X1473" s="4">
        <f>1/TWD!B1473</f>
        <v>3.2376080551688412E-2</v>
      </c>
      <c r="Y1473" s="4">
        <f>1/TWD!C1473</f>
        <v>3.2376080551688412E-2</v>
      </c>
      <c r="Z1473" s="4">
        <f>1/ZAR!B1473</f>
        <v>8.0801551389786688E-2</v>
      </c>
      <c r="AA1473" s="4">
        <f>1/ZAR!C1473</f>
        <v>8.0369700622865178E-2</v>
      </c>
    </row>
    <row r="1474" spans="1:27" x14ac:dyDescent="0.25">
      <c r="A1474" t="str">
        <f>"06/07/2015"</f>
        <v>06/07/2015</v>
      </c>
      <c r="B1474" s="3">
        <f>AUD!B1474</f>
        <v>0.74980000000000002</v>
      </c>
      <c r="C1474" s="3">
        <f>AUD!C1474</f>
        <v>0.74839999999999995</v>
      </c>
      <c r="D1474" s="3">
        <f>1/CAD!B1474</f>
        <v>0.79038887132469171</v>
      </c>
      <c r="E1474" s="3">
        <f>1/CAD!C1474</f>
        <v>0.79007663743383105</v>
      </c>
      <c r="F1474" s="3">
        <f>EUR!B1474/1</f>
        <v>1.1055999999999999</v>
      </c>
      <c r="G1474" s="3">
        <f>EUR!C1474/1</f>
        <v>1.1061000000000001</v>
      </c>
      <c r="H1474" s="3">
        <f>GBP!B1474/1</f>
        <v>1.5604</v>
      </c>
      <c r="I1474" s="3">
        <f>GBP!C1474/1</f>
        <v>1.56</v>
      </c>
      <c r="J1474" s="4">
        <f>1/INR!B1474</f>
        <v>1.5770383220312253E-2</v>
      </c>
      <c r="K1474" s="4">
        <f>1/INR!C1474</f>
        <v>1.5667841754798274E-2</v>
      </c>
      <c r="L1474" s="4">
        <f>1/JPY!B1474</f>
        <v>8.1579376733561752E-3</v>
      </c>
      <c r="M1474" s="4">
        <f>1/JPY!C1474</f>
        <v>8.1612599679588924E-3</v>
      </c>
      <c r="N1474" s="5">
        <f>1/KRW!B1474</f>
        <v>8.875792164450677E-4</v>
      </c>
      <c r="O1474" s="5">
        <f>1/KRW!C1474</f>
        <v>8.8756858131481739E-4</v>
      </c>
      <c r="P1474" s="3">
        <f>1/NOK!B1474</f>
        <v>0.12373328054046698</v>
      </c>
      <c r="Q1474" s="3">
        <f>1/NOK!C1474</f>
        <v>0.12364607547356447</v>
      </c>
      <c r="R1474" s="3">
        <f>NZD!B1474/1</f>
        <v>0.66859999999999997</v>
      </c>
      <c r="S1474" s="3">
        <f>NZD!C1474/1</f>
        <v>0.66669999999999996</v>
      </c>
      <c r="T1474" s="4">
        <f>1/PHP!B1474</f>
        <v>2.2165576859137757E-2</v>
      </c>
      <c r="U1474" s="4">
        <f>1/PHP!C1474</f>
        <v>2.2122768089234395E-2</v>
      </c>
      <c r="V1474" s="4">
        <f>1/TWD!B1474</f>
        <v>3.2328979697400749E-2</v>
      </c>
      <c r="W1474" s="4">
        <f>1/TWD!C1474</f>
        <v>3.2329084214031467E-2</v>
      </c>
      <c r="X1474" s="4">
        <f>1/TWD!B1474</f>
        <v>3.2328979697400749E-2</v>
      </c>
      <c r="Y1474" s="4">
        <f>1/TWD!C1474</f>
        <v>3.2329084214031467E-2</v>
      </c>
      <c r="Z1474" s="4">
        <f>1/ZAR!B1474</f>
        <v>8.0645161290322578E-2</v>
      </c>
      <c r="AA1474" s="4">
        <f>1/ZAR!C1474</f>
        <v>8.021433269696629E-2</v>
      </c>
    </row>
    <row r="1475" spans="1:27" x14ac:dyDescent="0.25">
      <c r="A1475" t="str">
        <f>"07/07/2015"</f>
        <v>07/07/2015</v>
      </c>
      <c r="B1475" s="3">
        <f>AUD!B1475</f>
        <v>0.74509999999999998</v>
      </c>
      <c r="C1475" s="3">
        <f>AUD!C1475</f>
        <v>0.74380000000000002</v>
      </c>
      <c r="D1475" s="3">
        <f>1/CAD!B1475</f>
        <v>0.78702974972453965</v>
      </c>
      <c r="E1475" s="3">
        <f>1/CAD!C1475</f>
        <v>0.78665827564505975</v>
      </c>
      <c r="F1475" s="3">
        <f>EUR!B1475/1</f>
        <v>1.1011</v>
      </c>
      <c r="G1475" s="3">
        <f>EUR!C1475/1</f>
        <v>1.1015999999999999</v>
      </c>
      <c r="H1475" s="3">
        <f>GBP!B1475/1</f>
        <v>1.5461</v>
      </c>
      <c r="I1475" s="3">
        <f>GBP!C1475/1</f>
        <v>1.5458000000000001</v>
      </c>
      <c r="J1475" s="4">
        <f>1/INR!B1475</f>
        <v>1.5756716300323013E-2</v>
      </c>
      <c r="K1475" s="4">
        <f>1/INR!C1475</f>
        <v>1.5657415743531529E-2</v>
      </c>
      <c r="L1475" s="4">
        <f>1/JPY!B1475</f>
        <v>8.160600620205646E-3</v>
      </c>
      <c r="M1475" s="4">
        <f>1/JPY!C1475</f>
        <v>8.163645165530151E-3</v>
      </c>
      <c r="N1475" s="5">
        <f>1/KRW!B1475</f>
        <v>8.847208705653367E-4</v>
      </c>
      <c r="O1475" s="5">
        <f>1/KRW!C1475</f>
        <v>8.8471077345043134E-4</v>
      </c>
      <c r="P1475" s="3">
        <f>1/NOK!B1475</f>
        <v>0.1224799745241653</v>
      </c>
      <c r="Q1475" s="3">
        <f>1/NOK!C1475</f>
        <v>0.12239003255574865</v>
      </c>
      <c r="R1475" s="3">
        <f>NZD!B1475/1</f>
        <v>0.66469999999999996</v>
      </c>
      <c r="S1475" s="3">
        <f>NZD!C1475/1</f>
        <v>0.66279999999999994</v>
      </c>
      <c r="T1475" s="4">
        <f>1/PHP!B1475</f>
        <v>2.2086756780634331E-2</v>
      </c>
      <c r="U1475" s="4">
        <f>1/PHP!C1475</f>
        <v>2.204230800598669E-2</v>
      </c>
      <c r="V1475" s="4">
        <f>1/TWD!B1475</f>
        <v>3.2247662044501774E-2</v>
      </c>
      <c r="W1475" s="4">
        <f>1/TWD!C1475</f>
        <v>3.2247766036007861E-2</v>
      </c>
      <c r="X1475" s="4">
        <f>1/TWD!B1475</f>
        <v>3.2247662044501774E-2</v>
      </c>
      <c r="Y1475" s="4">
        <f>1/TWD!C1475</f>
        <v>3.2247766036007861E-2</v>
      </c>
      <c r="Z1475" s="4">
        <f>1/ZAR!B1475</f>
        <v>8.0198893255273088E-2</v>
      </c>
      <c r="AA1475" s="4">
        <f>1/ZAR!C1475</f>
        <v>7.9734007351475469E-2</v>
      </c>
    </row>
    <row r="1476" spans="1:27" x14ac:dyDescent="0.25">
      <c r="A1476" t="str">
        <f>"08/07/2015"</f>
        <v>08/07/2015</v>
      </c>
      <c r="B1476" s="3">
        <f>AUD!B1476</f>
        <v>0.74280000000000002</v>
      </c>
      <c r="C1476" s="3">
        <f>AUD!C1476</f>
        <v>0.74150000000000005</v>
      </c>
      <c r="D1476" s="3">
        <f>1/CAD!B1476</f>
        <v>0.78449831332862641</v>
      </c>
      <c r="E1476" s="3">
        <f>1/CAD!C1476</f>
        <v>0.78419071518193229</v>
      </c>
      <c r="F1476" s="3">
        <f>EUR!B1476/1</f>
        <v>1.1075999999999999</v>
      </c>
      <c r="G1476" s="3">
        <f>EUR!C1476/1</f>
        <v>1.1081000000000001</v>
      </c>
      <c r="H1476" s="3">
        <f>GBP!B1476/1</f>
        <v>1.536</v>
      </c>
      <c r="I1476" s="3">
        <f>GBP!C1476/1</f>
        <v>1.5357000000000001</v>
      </c>
      <c r="J1476" s="4">
        <f>1/INR!B1476</f>
        <v>1.5722652411461813E-2</v>
      </c>
      <c r="K1476" s="4">
        <f>1/INR!C1476</f>
        <v>1.5626220798499884E-2</v>
      </c>
      <c r="L1476" s="4">
        <f>1/JPY!B1476</f>
        <v>8.2843177864302883E-3</v>
      </c>
      <c r="M1476" s="4">
        <f>1/JPY!C1476</f>
        <v>8.2874072846310029E-3</v>
      </c>
      <c r="N1476" s="5">
        <f>1/KRW!B1476</f>
        <v>8.7958483595742805E-4</v>
      </c>
      <c r="O1476" s="5">
        <f>1/KRW!C1476</f>
        <v>8.7957477836914523E-4</v>
      </c>
      <c r="P1476" s="3">
        <f>1/NOK!B1476</f>
        <v>0.12140047588986549</v>
      </c>
      <c r="Q1476" s="3">
        <f>1/NOK!C1476</f>
        <v>0.12131211180124224</v>
      </c>
      <c r="R1476" s="3">
        <f>NZD!B1476/1</f>
        <v>0.67269999999999996</v>
      </c>
      <c r="S1476" s="3">
        <f>NZD!C1476/1</f>
        <v>0.67090000000000005</v>
      </c>
      <c r="T1476" s="4">
        <f>1/PHP!B1476</f>
        <v>2.2080904433845611E-2</v>
      </c>
      <c r="U1476" s="4">
        <f>1/PHP!C1476</f>
        <v>2.2038324646560366E-2</v>
      </c>
      <c r="V1476" s="4">
        <f>1/TWD!B1476</f>
        <v>3.2173996975644284E-2</v>
      </c>
      <c r="W1476" s="4">
        <f>1/TWD!C1476</f>
        <v>3.2174100492585476E-2</v>
      </c>
      <c r="X1476" s="4">
        <f>1/TWD!B1476</f>
        <v>3.2173996975644284E-2</v>
      </c>
      <c r="Y1476" s="4">
        <f>1/TWD!C1476</f>
        <v>3.2174100492585476E-2</v>
      </c>
      <c r="Z1476" s="4">
        <f>1/ZAR!B1476</f>
        <v>7.9484305823815091E-2</v>
      </c>
      <c r="AA1476" s="4">
        <f>1/ZAR!C1476</f>
        <v>7.9037013033203443E-2</v>
      </c>
    </row>
    <row r="1477" spans="1:27" x14ac:dyDescent="0.25">
      <c r="A1477" t="str">
        <f>"09/07/2015"</f>
        <v>09/07/2015</v>
      </c>
      <c r="B1477" s="3">
        <f>AUD!B1477</f>
        <v>0.74450000000000005</v>
      </c>
      <c r="C1477" s="3">
        <f>AUD!C1477</f>
        <v>0.74319999999999997</v>
      </c>
      <c r="D1477" s="3">
        <f>1/CAD!B1477</f>
        <v>0.78696781301644769</v>
      </c>
      <c r="E1477" s="3">
        <f>1/CAD!C1477</f>
        <v>0.78665827564505975</v>
      </c>
      <c r="F1477" s="3">
        <f>EUR!B1477/1</f>
        <v>1.1034999999999999</v>
      </c>
      <c r="G1477" s="3">
        <f>EUR!C1477/1</f>
        <v>1.1039000000000001</v>
      </c>
      <c r="H1477" s="3">
        <f>GBP!B1477/1</f>
        <v>1.5379</v>
      </c>
      <c r="I1477" s="3">
        <f>GBP!C1477/1</f>
        <v>1.5376000000000001</v>
      </c>
      <c r="J1477" s="4">
        <f>1/INR!B1477</f>
        <v>1.5774114677813707E-2</v>
      </c>
      <c r="K1477" s="4">
        <f>1/INR!C1477</f>
        <v>1.5675209655929147E-2</v>
      </c>
      <c r="L1477" s="4">
        <f>1/JPY!B1477</f>
        <v>8.2406262875978579E-3</v>
      </c>
      <c r="M1477" s="4">
        <f>1/JPY!C1477</f>
        <v>8.2435405676996639E-3</v>
      </c>
      <c r="N1477" s="5">
        <f>1/KRW!B1477</f>
        <v>8.8174090925122574E-4</v>
      </c>
      <c r="O1477" s="5">
        <f>1/KRW!C1477</f>
        <v>8.8173041357124187E-4</v>
      </c>
      <c r="P1477" s="3">
        <f>1/NOK!B1477</f>
        <v>0.12276415777649557</v>
      </c>
      <c r="Q1477" s="3">
        <f>1/NOK!C1477</f>
        <v>0.12267981794315017</v>
      </c>
      <c r="R1477" s="3">
        <f>NZD!B1477/1</f>
        <v>0.67379999999999995</v>
      </c>
      <c r="S1477" s="3">
        <f>NZD!C1477/1</f>
        <v>0.67200000000000004</v>
      </c>
      <c r="T1477" s="4">
        <f>1/PHP!B1477</f>
        <v>2.2121446742616967E-2</v>
      </c>
      <c r="U1477" s="4">
        <f>1/PHP!C1477</f>
        <v>2.2081294493808405E-2</v>
      </c>
      <c r="V1477" s="4">
        <f>1/TWD!B1477</f>
        <v>3.2129546330805808E-2</v>
      </c>
      <c r="W1477" s="4">
        <f>1/TWD!C1477</f>
        <v>3.2129649561912228E-2</v>
      </c>
      <c r="X1477" s="4">
        <f>1/TWD!B1477</f>
        <v>3.2129546330805808E-2</v>
      </c>
      <c r="Y1477" s="4">
        <f>1/TWD!C1477</f>
        <v>3.2129649561912228E-2</v>
      </c>
      <c r="Z1477" s="4">
        <f>1/ZAR!B1477</f>
        <v>7.9840319361277445E-2</v>
      </c>
      <c r="AA1477" s="4">
        <f>1/ZAR!C1477</f>
        <v>7.9401629321433673E-2</v>
      </c>
    </row>
    <row r="1478" spans="1:27" x14ac:dyDescent="0.25">
      <c r="A1478" t="str">
        <f>"10/07/2015"</f>
        <v>10/07/2015</v>
      </c>
      <c r="B1478" s="3">
        <f>AUD!B1478</f>
        <v>0.74319999999999997</v>
      </c>
      <c r="C1478" s="3">
        <f>AUD!C1478</f>
        <v>0.7419</v>
      </c>
      <c r="D1478" s="3">
        <f>1/CAD!B1478</f>
        <v>0.79001422025596457</v>
      </c>
      <c r="E1478" s="3">
        <f>1/CAD!C1478</f>
        <v>0.78970228223959571</v>
      </c>
      <c r="F1478" s="3">
        <f>EUR!B1478/1</f>
        <v>1.1161000000000001</v>
      </c>
      <c r="G1478" s="3">
        <f>EUR!C1478/1</f>
        <v>1.1165</v>
      </c>
      <c r="H1478" s="3">
        <f>GBP!B1478/1</f>
        <v>1.5516000000000001</v>
      </c>
      <c r="I1478" s="3">
        <f>GBP!C1478/1</f>
        <v>1.5511999999999999</v>
      </c>
      <c r="J1478" s="4">
        <f>1/INR!B1478</f>
        <v>1.5770383220312253E-2</v>
      </c>
      <c r="K1478" s="4">
        <f>1/INR!C1478</f>
        <v>1.567275291905023E-2</v>
      </c>
      <c r="L1478" s="4">
        <f>1/JPY!B1478</f>
        <v>8.1446489656295806E-3</v>
      </c>
      <c r="M1478" s="4">
        <f>1/JPY!C1478</f>
        <v>8.1473364320369564E-3</v>
      </c>
      <c r="N1478" s="5">
        <f>1/KRW!B1478</f>
        <v>8.8516725235233192E-4</v>
      </c>
      <c r="O1478" s="5">
        <f>1/KRW!C1478</f>
        <v>8.8515667494435681E-4</v>
      </c>
      <c r="P1478" s="3">
        <f>1/NOK!B1478</f>
        <v>0.12388196526349693</v>
      </c>
      <c r="Q1478" s="3">
        <f>1/NOK!C1478</f>
        <v>0.12379455056388418</v>
      </c>
      <c r="R1478" s="3">
        <f>NZD!B1478/1</f>
        <v>0.67120000000000002</v>
      </c>
      <c r="S1478" s="3">
        <f>NZD!C1478/1</f>
        <v>0.6694</v>
      </c>
      <c r="T1478" s="4">
        <f>1/PHP!B1478</f>
        <v>2.214986599331074E-2</v>
      </c>
      <c r="U1478" s="4">
        <f>1/PHP!C1478</f>
        <v>2.211044165607208E-2</v>
      </c>
      <c r="V1478" s="4">
        <f>1/TWD!B1478</f>
        <v>3.2249742002063986E-2</v>
      </c>
      <c r="W1478" s="4">
        <f>1/TWD!C1478</f>
        <v>3.2249846006985321E-2</v>
      </c>
      <c r="X1478" s="4">
        <f>1/TWD!B1478</f>
        <v>3.2249742002063986E-2</v>
      </c>
      <c r="Y1478" s="4">
        <f>1/TWD!C1478</f>
        <v>3.2249846006985321E-2</v>
      </c>
      <c r="Z1478" s="4">
        <f>1/ZAR!B1478</f>
        <v>8.0166746833413502E-2</v>
      </c>
      <c r="AA1478" s="4">
        <f>1/ZAR!C1478</f>
        <v>7.9739729522837449E-2</v>
      </c>
    </row>
    <row r="1479" spans="1:27" x14ac:dyDescent="0.25">
      <c r="A1479" t="str">
        <f>"13/07/2015"</f>
        <v>13/07/2015</v>
      </c>
      <c r="B1479" s="3">
        <f>AUD!B1479</f>
        <v>0.74060000000000004</v>
      </c>
      <c r="C1479" s="3">
        <f>AUD!C1479</f>
        <v>0.73919999999999997</v>
      </c>
      <c r="D1479" s="3">
        <f>1/CAD!B1479</f>
        <v>0.78480615288023858</v>
      </c>
      <c r="E1479" s="3">
        <f>1/CAD!C1479</f>
        <v>0.78449831332862641</v>
      </c>
      <c r="F1479" s="3">
        <f>EUR!B1479/1</f>
        <v>1.1001000000000001</v>
      </c>
      <c r="G1479" s="3">
        <f>EUR!C1479/1</f>
        <v>1.1005</v>
      </c>
      <c r="H1479" s="3">
        <f>GBP!B1479/1</f>
        <v>1.5486</v>
      </c>
      <c r="I1479" s="3">
        <f>GBP!C1479/1</f>
        <v>1.5482</v>
      </c>
      <c r="J1479" s="4">
        <f>1/INR!B1479</f>
        <v>1.5743073047858942E-2</v>
      </c>
      <c r="K1479" s="4">
        <f>1/INR!C1479</f>
        <v>1.5639050709621925E-2</v>
      </c>
      <c r="L1479" s="4">
        <f>1/JPY!B1479</f>
        <v>8.1017580815036863E-3</v>
      </c>
      <c r="M1479" s="4">
        <f>1/JPY!C1479</f>
        <v>8.1047260278413556E-3</v>
      </c>
      <c r="N1479" s="5">
        <f>1/KRW!B1479</f>
        <v>8.8440006721440508E-4</v>
      </c>
      <c r="O1479" s="5">
        <f>1/KRW!C1479</f>
        <v>8.8438833491786249E-4</v>
      </c>
      <c r="P1479" s="3">
        <f>1/NOK!B1479</f>
        <v>0.12346746015087724</v>
      </c>
      <c r="Q1479" s="3">
        <f>1/NOK!C1479</f>
        <v>0.12337910698202366</v>
      </c>
      <c r="R1479" s="3">
        <f>NZD!B1479/1</f>
        <v>0.66900000000000004</v>
      </c>
      <c r="S1479" s="3">
        <f>NZD!C1479/1</f>
        <v>0.66710000000000003</v>
      </c>
      <c r="T1479" s="4">
        <f>1/PHP!B1479</f>
        <v>2.2118021764133414E-2</v>
      </c>
      <c r="U1479" s="4">
        <f>1/PHP!C1479</f>
        <v>2.207749199690915E-2</v>
      </c>
      <c r="V1479" s="4">
        <f>1/TWD!B1479</f>
        <v>3.2246622166328079E-2</v>
      </c>
      <c r="W1479" s="4">
        <f>1/TWD!C1479</f>
        <v>3.224672615112751E-2</v>
      </c>
      <c r="X1479" s="4">
        <f>1/TWD!B1479</f>
        <v>3.2246622166328079E-2</v>
      </c>
      <c r="Y1479" s="4">
        <f>1/TWD!C1479</f>
        <v>3.224672615112751E-2</v>
      </c>
      <c r="Z1479" s="4">
        <f>1/ZAR!B1479</f>
        <v>8.0237503008906363E-2</v>
      </c>
      <c r="AA1479" s="4">
        <f>1/ZAR!C1479</f>
        <v>7.9811007534159109E-2</v>
      </c>
    </row>
    <row r="1480" spans="1:27" x14ac:dyDescent="0.25">
      <c r="A1480" t="str">
        <f>"14/07/2015"</f>
        <v>14/07/2015</v>
      </c>
      <c r="B1480" s="3">
        <f>AUD!B1480</f>
        <v>0.745</v>
      </c>
      <c r="C1480" s="3">
        <f>AUD!C1480</f>
        <v>0.74370000000000003</v>
      </c>
      <c r="D1480" s="3">
        <f>1/CAD!B1480</f>
        <v>0.78566939032055316</v>
      </c>
      <c r="E1480" s="3">
        <f>1/CAD!C1480</f>
        <v>0.78529919899481693</v>
      </c>
      <c r="F1480" s="3">
        <f>EUR!B1480/1</f>
        <v>1.1008</v>
      </c>
      <c r="G1480" s="3">
        <f>EUR!C1480/1</f>
        <v>1.1012</v>
      </c>
      <c r="H1480" s="3">
        <f>GBP!B1480/1</f>
        <v>1.5636000000000001</v>
      </c>
      <c r="I1480" s="3">
        <f>GBP!C1480/1</f>
        <v>1.5631999999999999</v>
      </c>
      <c r="J1480" s="4">
        <f>1/INR!B1480</f>
        <v>1.5774114677813707E-2</v>
      </c>
      <c r="K1480" s="4">
        <f>1/INR!C1480</f>
        <v>1.5673367031072451E-2</v>
      </c>
      <c r="L1480" s="4">
        <f>1/JPY!B1480</f>
        <v>8.1037277147487843E-3</v>
      </c>
      <c r="M1480" s="4">
        <f>1/JPY!C1480</f>
        <v>8.1065788129698769E-3</v>
      </c>
      <c r="N1480" s="5">
        <f>1/KRW!B1480</f>
        <v>8.7527352297593001E-4</v>
      </c>
      <c r="O1480" s="5">
        <f>1/KRW!C1480</f>
        <v>8.7526241461268102E-4</v>
      </c>
      <c r="P1480" s="3">
        <f>1/NOK!B1480</f>
        <v>0.12336084280127803</v>
      </c>
      <c r="Q1480" s="3">
        <f>1/NOK!C1480</f>
        <v>0.12326808342783888</v>
      </c>
      <c r="R1480" s="3">
        <f>NZD!B1480/1</f>
        <v>0.67069999999999996</v>
      </c>
      <c r="S1480" s="3">
        <f>NZD!C1480/1</f>
        <v>0.66879999999999995</v>
      </c>
      <c r="T1480" s="4">
        <f>1/PHP!B1480</f>
        <v>2.2111174987838853E-2</v>
      </c>
      <c r="U1480" s="4">
        <f>1/PHP!C1480</f>
        <v>2.2065410703489424E-2</v>
      </c>
      <c r="V1480" s="4">
        <f>1/TWD!B1480</f>
        <v>3.2165717777992216E-2</v>
      </c>
      <c r="W1480" s="4">
        <f>1/TWD!C1480</f>
        <v>3.2165821241665032E-2</v>
      </c>
      <c r="X1480" s="4">
        <f>1/TWD!B1480</f>
        <v>3.2165717777992216E-2</v>
      </c>
      <c r="Y1480" s="4">
        <f>1/TWD!C1480</f>
        <v>3.2165821241665032E-2</v>
      </c>
      <c r="Z1480" s="4">
        <f>1/ZAR!B1480</f>
        <v>8.1098396684697538E-2</v>
      </c>
      <c r="AA1480" s="4">
        <f>1/ZAR!C1480</f>
        <v>8.0636057219346205E-2</v>
      </c>
    </row>
    <row r="1481" spans="1:27" x14ac:dyDescent="0.25">
      <c r="A1481" t="str">
        <f>"15/07/2015"</f>
        <v>15/07/2015</v>
      </c>
      <c r="B1481" s="3">
        <f>AUD!B1481</f>
        <v>0.73770000000000002</v>
      </c>
      <c r="C1481" s="3">
        <f>AUD!C1481</f>
        <v>0.73640000000000005</v>
      </c>
      <c r="D1481" s="3">
        <f>1/CAD!B1481</f>
        <v>0.77435341489855969</v>
      </c>
      <c r="E1481" s="3">
        <f>1/CAD!C1481</f>
        <v>0.77405371932812139</v>
      </c>
      <c r="F1481" s="3">
        <f>EUR!B1481/1</f>
        <v>1.0949</v>
      </c>
      <c r="G1481" s="3">
        <f>EUR!C1481/1</f>
        <v>1.0952999999999999</v>
      </c>
      <c r="H1481" s="3">
        <f>GBP!B1481/1</f>
        <v>1.5639000000000001</v>
      </c>
      <c r="I1481" s="3">
        <f>GBP!C1481/1</f>
        <v>1.5634999999999999</v>
      </c>
      <c r="J1481" s="4">
        <f>1/INR!B1481</f>
        <v>1.5766032083875291E-2</v>
      </c>
      <c r="K1481" s="4">
        <f>1/INR!C1481</f>
        <v>1.5667841754798274E-2</v>
      </c>
      <c r="L1481" s="4">
        <f>1/JPY!B1481</f>
        <v>8.079502302658156E-3</v>
      </c>
      <c r="M1481" s="4">
        <f>1/JPY!C1481</f>
        <v>8.0820750889432358E-3</v>
      </c>
      <c r="N1481" s="5">
        <f>1/KRW!B1481</f>
        <v>8.7434751816456966E-4</v>
      </c>
      <c r="O1481" s="5">
        <f>1/KRW!C1481</f>
        <v>8.743372742045847E-4</v>
      </c>
      <c r="P1481" s="3">
        <f>1/NOK!B1481</f>
        <v>0.12246647480252282</v>
      </c>
      <c r="Q1481" s="3">
        <f>1/NOK!C1481</f>
        <v>0.12237655265251178</v>
      </c>
      <c r="R1481" s="3">
        <f>NZD!B1481/1</f>
        <v>0.65890000000000004</v>
      </c>
      <c r="S1481" s="3">
        <f>NZD!C1481/1</f>
        <v>0.65710000000000002</v>
      </c>
      <c r="T1481" s="4">
        <f>1/PHP!B1481</f>
        <v>2.2067747986317998E-2</v>
      </c>
      <c r="U1481" s="4">
        <f>1/PHP!C1481</f>
        <v>2.2023569624211831E-2</v>
      </c>
      <c r="V1481" s="4">
        <f>1/TWD!B1481</f>
        <v>3.1978510440983661E-2</v>
      </c>
      <c r="W1481" s="4">
        <f>1/TWD!C1481</f>
        <v>3.1978612703823683E-2</v>
      </c>
      <c r="X1481" s="4">
        <f>1/TWD!B1481</f>
        <v>3.1978510440983661E-2</v>
      </c>
      <c r="Y1481" s="4">
        <f>1/TWD!C1481</f>
        <v>3.1978612703823683E-2</v>
      </c>
      <c r="Z1481" s="4">
        <f>1/ZAR!B1481</f>
        <v>8.0474477519454704E-2</v>
      </c>
      <c r="AA1481" s="4">
        <f>1/ZAR!C1481</f>
        <v>8.0040340331527085E-2</v>
      </c>
    </row>
    <row r="1482" spans="1:27" x14ac:dyDescent="0.25">
      <c r="A1482" t="str">
        <f>"16/07/2015"</f>
        <v>16/07/2015</v>
      </c>
      <c r="B1482" s="3">
        <f>AUD!B1482</f>
        <v>0.74039999999999995</v>
      </c>
      <c r="C1482" s="3">
        <f>AUD!C1482</f>
        <v>0.73909999999999998</v>
      </c>
      <c r="D1482" s="3">
        <f>1/CAD!B1482</f>
        <v>0.7717240314863405</v>
      </c>
      <c r="E1482" s="3">
        <f>1/CAD!C1482</f>
        <v>0.77148588180836286</v>
      </c>
      <c r="F1482" s="3">
        <f>EUR!B1482/1</f>
        <v>1.0873999999999999</v>
      </c>
      <c r="G1482" s="3">
        <f>EUR!C1482/1</f>
        <v>1.0878000000000001</v>
      </c>
      <c r="H1482" s="3">
        <f>GBP!B1482/1</f>
        <v>1.5608</v>
      </c>
      <c r="I1482" s="3">
        <f>GBP!C1482/1</f>
        <v>1.5604</v>
      </c>
      <c r="J1482" s="4">
        <f>1/INR!B1482</f>
        <v>1.5743073047858942E-2</v>
      </c>
      <c r="K1482" s="4">
        <f>1/INR!C1482</f>
        <v>1.5647003598810827E-2</v>
      </c>
      <c r="L1482" s="4">
        <f>1/JPY!B1482</f>
        <v>8.0547724526782109E-3</v>
      </c>
      <c r="M1482" s="4">
        <f>1/JPY!C1482</f>
        <v>8.0572386231790652E-3</v>
      </c>
      <c r="N1482" s="5">
        <f>1/KRW!B1482</f>
        <v>8.6999643301462464E-4</v>
      </c>
      <c r="O1482" s="5">
        <f>1/KRW!C1482</f>
        <v>8.6998583663057969E-4</v>
      </c>
      <c r="P1482" s="3">
        <f>1/NOK!B1482</f>
        <v>0.12238254335401599</v>
      </c>
      <c r="Q1482" s="3">
        <f>1/NOK!C1482</f>
        <v>0.12229423994129877</v>
      </c>
      <c r="R1482" s="3">
        <f>NZD!B1482/1</f>
        <v>0.65100000000000002</v>
      </c>
      <c r="S1482" s="3">
        <f>NZD!C1482/1</f>
        <v>0.64929999999999999</v>
      </c>
      <c r="T1482" s="4">
        <f>1/PHP!B1482</f>
        <v>2.2092124157737765E-2</v>
      </c>
      <c r="U1482" s="4">
        <f>1/PHP!C1482</f>
        <v>2.2045903981269797E-2</v>
      </c>
      <c r="V1482" s="4">
        <f>1/TWD!B1482</f>
        <v>3.2108913434369384E-2</v>
      </c>
      <c r="W1482" s="4">
        <f>1/TWD!C1482</f>
        <v>3.2109016532932612E-2</v>
      </c>
      <c r="X1482" s="4">
        <f>1/TWD!B1482</f>
        <v>3.2108913434369384E-2</v>
      </c>
      <c r="Y1482" s="4">
        <f>1/TWD!C1482</f>
        <v>3.2109016532932612E-2</v>
      </c>
      <c r="Z1482" s="4">
        <f>1/ZAR!B1482</f>
        <v>8.0661423674127847E-2</v>
      </c>
      <c r="AA1482" s="4">
        <f>1/ZAR!C1482</f>
        <v>8.0233640360730454E-2</v>
      </c>
    </row>
    <row r="1483" spans="1:27" x14ac:dyDescent="0.25">
      <c r="A1483" t="str">
        <f>"17/07/2015"</f>
        <v>17/07/2015</v>
      </c>
      <c r="B1483" s="3">
        <f>AUD!B1483</f>
        <v>0.7369</v>
      </c>
      <c r="C1483" s="3">
        <f>AUD!C1483</f>
        <v>0.73560000000000003</v>
      </c>
      <c r="D1483" s="3">
        <f>1/CAD!B1483</f>
        <v>0.77089115016959608</v>
      </c>
      <c r="E1483" s="3">
        <f>1/CAD!C1483</f>
        <v>0.77065351418002459</v>
      </c>
      <c r="F1483" s="3">
        <f>EUR!B1483/1</f>
        <v>1.0829</v>
      </c>
      <c r="G1483" s="3">
        <f>EUR!C1483/1</f>
        <v>1.0832999999999999</v>
      </c>
      <c r="H1483" s="3">
        <f>GBP!B1483/1</f>
        <v>1.5599000000000001</v>
      </c>
      <c r="I1483" s="3">
        <f>GBP!C1483/1</f>
        <v>1.5595000000000001</v>
      </c>
      <c r="J1483" s="4">
        <f>1/INR!B1483</f>
        <v>1.5754233950374164E-2</v>
      </c>
      <c r="K1483" s="4">
        <f>1/INR!C1483</f>
        <v>1.5656190066147404E-2</v>
      </c>
      <c r="L1483" s="4">
        <f>1/JPY!B1483</f>
        <v>8.0586670964622447E-3</v>
      </c>
      <c r="M1483" s="4">
        <f>1/JPY!C1483</f>
        <v>8.061285113950295E-3</v>
      </c>
      <c r="N1483" s="5">
        <f>1/KRW!B1483</f>
        <v>8.7133820120941733E-4</v>
      </c>
      <c r="O1483" s="5">
        <f>1/KRW!C1483</f>
        <v>8.7132764803660688E-4</v>
      </c>
      <c r="P1483" s="3">
        <f>1/NOK!B1483</f>
        <v>0.12218366648746395</v>
      </c>
      <c r="Q1483" s="3">
        <f>1/NOK!C1483</f>
        <v>0.12209863127434342</v>
      </c>
      <c r="R1483" s="3">
        <f>NZD!B1483/1</f>
        <v>0.65069999999999995</v>
      </c>
      <c r="S1483" s="3">
        <f>NZD!C1483/1</f>
        <v>0.64900000000000002</v>
      </c>
      <c r="T1483" s="4">
        <f>1/PHP!B1483</f>
        <v>2.2055580061755623E-2</v>
      </c>
      <c r="U1483" s="4">
        <f>1/PHP!C1483</f>
        <v>2.2010336053810871E-2</v>
      </c>
      <c r="V1483" s="4">
        <f>1/TWD!B1483</f>
        <v>3.2171926776694657E-2</v>
      </c>
      <c r="W1483" s="4">
        <f>1/TWD!C1483</f>
        <v>3.2172030280314901E-2</v>
      </c>
      <c r="X1483" s="4">
        <f>1/TWD!B1483</f>
        <v>3.2171926776694657E-2</v>
      </c>
      <c r="Y1483" s="4">
        <f>1/TWD!C1483</f>
        <v>3.2172030280314901E-2</v>
      </c>
      <c r="Z1483" s="4">
        <f>1/ZAR!B1483</f>
        <v>8.0767615416922428E-2</v>
      </c>
      <c r="AA1483" s="4">
        <f>1/ZAR!C1483</f>
        <v>8.0341289799066434E-2</v>
      </c>
    </row>
    <row r="1484" spans="1:27" x14ac:dyDescent="0.25">
      <c r="A1484" t="str">
        <f>"20/07/2015"</f>
        <v>20/07/2015</v>
      </c>
      <c r="B1484" s="3">
        <f>AUD!B1484</f>
        <v>0.7369</v>
      </c>
      <c r="C1484" s="3">
        <f>AUD!C1484</f>
        <v>0.73560000000000003</v>
      </c>
      <c r="D1484" s="3">
        <f>1/CAD!B1484</f>
        <v>0.76958596275203939</v>
      </c>
      <c r="E1484" s="3">
        <f>1/CAD!C1484</f>
        <v>0.76934913063548238</v>
      </c>
      <c r="F1484" s="3">
        <f>EUR!B1484/1</f>
        <v>1.0825</v>
      </c>
      <c r="G1484" s="3">
        <f>EUR!C1484/1</f>
        <v>1.0829</v>
      </c>
      <c r="H1484" s="3">
        <f>GBP!B1484/1</f>
        <v>1.5563</v>
      </c>
      <c r="I1484" s="3">
        <f>GBP!C1484/1</f>
        <v>1.5559000000000001</v>
      </c>
      <c r="J1484" s="4">
        <f>1/INR!B1484</f>
        <v>1.5705983979896341E-2</v>
      </c>
      <c r="K1484" s="4">
        <f>1/INR!C1484</f>
        <v>1.5604275571506595E-2</v>
      </c>
      <c r="L1484" s="4">
        <f>1/JPY!B1484</f>
        <v>8.0469944475738322E-3</v>
      </c>
      <c r="M1484" s="4">
        <f>1/JPY!C1484</f>
        <v>8.0495206510452309E-3</v>
      </c>
      <c r="N1484" s="5">
        <f>1/KRW!B1484</f>
        <v>8.6771660375721288E-4</v>
      </c>
      <c r="O1484" s="5">
        <f>1/KRW!C1484</f>
        <v>8.6770530992264416E-4</v>
      </c>
      <c r="P1484" s="3">
        <f>1/NOK!B1484</f>
        <v>0.1212768021732803</v>
      </c>
      <c r="Q1484" s="3">
        <f>1/NOK!C1484</f>
        <v>0.12118861796500073</v>
      </c>
      <c r="R1484" s="3">
        <f>NZD!B1484/1</f>
        <v>0.65600000000000003</v>
      </c>
      <c r="S1484" s="3">
        <f>NZD!C1484/1</f>
        <v>0.6542</v>
      </c>
      <c r="T1484" s="4">
        <f>1/PHP!B1484</f>
        <v>2.2052175447107858E-2</v>
      </c>
      <c r="U1484" s="4">
        <f>1/PHP!C1484</f>
        <v>2.2003362113730978E-2</v>
      </c>
      <c r="V1484" s="4">
        <f>1/TWD!B1484</f>
        <v>3.2057446944925308E-2</v>
      </c>
      <c r="W1484" s="4">
        <f>1/TWD!C1484</f>
        <v>3.2057549713245218E-2</v>
      </c>
      <c r="X1484" s="4">
        <f>1/TWD!B1484</f>
        <v>3.2057446944925308E-2</v>
      </c>
      <c r="Y1484" s="4">
        <f>1/TWD!C1484</f>
        <v>3.2057549713245218E-2</v>
      </c>
      <c r="Z1484" s="4">
        <f>1/ZAR!B1484</f>
        <v>8.0360012857602053E-2</v>
      </c>
      <c r="AA1484" s="4">
        <f>1/ZAR!C1484</f>
        <v>7.9940524249958039E-2</v>
      </c>
    </row>
    <row r="1485" spans="1:27" x14ac:dyDescent="0.25">
      <c r="A1485" t="str">
        <f>"21/07/2015"</f>
        <v>21/07/2015</v>
      </c>
      <c r="B1485" s="3">
        <f>AUD!B1485</f>
        <v>0.74180000000000001</v>
      </c>
      <c r="C1485" s="3">
        <f>AUD!C1485</f>
        <v>0.74050000000000005</v>
      </c>
      <c r="D1485" s="3">
        <f>1/CAD!B1485</f>
        <v>0.77226040620897374</v>
      </c>
      <c r="E1485" s="3">
        <f>1/CAD!C1485</f>
        <v>0.77202192542268211</v>
      </c>
      <c r="F1485" s="3">
        <f>EUR!B1485/1</f>
        <v>1.0934999999999999</v>
      </c>
      <c r="G1485" s="3">
        <f>EUR!C1485/1</f>
        <v>1.0939000000000001</v>
      </c>
      <c r="H1485" s="3">
        <f>GBP!B1485/1</f>
        <v>1.5556000000000001</v>
      </c>
      <c r="I1485" s="3">
        <f>GBP!C1485/1</f>
        <v>1.5551999999999999</v>
      </c>
      <c r="J1485" s="4">
        <f>1/INR!B1485</f>
        <v>1.5734403272755881E-2</v>
      </c>
      <c r="K1485" s="4">
        <f>1/INR!C1485</f>
        <v>1.5634771732332707E-2</v>
      </c>
      <c r="L1485" s="4">
        <f>1/JPY!B1485</f>
        <v>8.0716764872063931E-3</v>
      </c>
      <c r="M1485" s="4">
        <f>1/JPY!C1485</f>
        <v>8.0740682727065E-3</v>
      </c>
      <c r="N1485" s="5">
        <f>1/KRW!B1485</f>
        <v>8.6321495778878855E-4</v>
      </c>
      <c r="O1485" s="5">
        <f>1/KRW!C1485</f>
        <v>8.6320370632048972E-4</v>
      </c>
      <c r="P1485" s="3">
        <f>1/NOK!B1485</f>
        <v>0.12302998240671252</v>
      </c>
      <c r="Q1485" s="3">
        <f>1/NOK!C1485</f>
        <v>0.12293620840146048</v>
      </c>
      <c r="R1485" s="3">
        <f>NZD!B1485/1</f>
        <v>0.66190000000000004</v>
      </c>
      <c r="S1485" s="3">
        <f>NZD!C1485/1</f>
        <v>0.66020000000000001</v>
      </c>
      <c r="T1485" s="4">
        <f>1/PHP!B1485</f>
        <v>2.2079441831710497E-2</v>
      </c>
      <c r="U1485" s="4">
        <f>1/PHP!C1485</f>
        <v>2.203230376377845E-2</v>
      </c>
      <c r="V1485" s="4">
        <f>1/TWD!B1485</f>
        <v>3.2044092671516006E-2</v>
      </c>
      <c r="W1485" s="4">
        <f>1/TWD!C1485</f>
        <v>3.2044092671516006E-2</v>
      </c>
      <c r="X1485" s="4">
        <f>1/TWD!B1485</f>
        <v>3.2044092671516006E-2</v>
      </c>
      <c r="Y1485" s="4">
        <f>1/TWD!C1485</f>
        <v>3.2044092671516006E-2</v>
      </c>
      <c r="Z1485" s="4">
        <f>1/ZAR!B1485</f>
        <v>8.1068153997065337E-2</v>
      </c>
      <c r="AA1485" s="4">
        <f>1/ZAR!C1485</f>
        <v>8.0607457801995852E-2</v>
      </c>
    </row>
    <row r="1486" spans="1:27" x14ac:dyDescent="0.25">
      <c r="A1486" t="str">
        <f>"22/07/2015"</f>
        <v>22/07/2015</v>
      </c>
      <c r="B1486" s="3">
        <f>AUD!B1486</f>
        <v>0.73740000000000006</v>
      </c>
      <c r="C1486" s="3">
        <f>AUD!C1486</f>
        <v>0.73609999999999998</v>
      </c>
      <c r="D1486" s="3">
        <f>1/CAD!B1486</f>
        <v>0.76722418290624528</v>
      </c>
      <c r="E1486" s="3">
        <f>1/CAD!C1486</f>
        <v>0.76704763365805007</v>
      </c>
      <c r="F1486" s="3">
        <f>EUR!B1486/1</f>
        <v>1.0928</v>
      </c>
      <c r="G1486" s="3">
        <f>EUR!C1486/1</f>
        <v>1.0931999999999999</v>
      </c>
      <c r="H1486" s="3">
        <f>GBP!B1486/1</f>
        <v>1.5611999999999999</v>
      </c>
      <c r="I1486" s="3">
        <f>GBP!C1486/1</f>
        <v>1.5608</v>
      </c>
      <c r="J1486" s="4">
        <f>1/INR!B1486</f>
        <v>1.5726979633561376E-2</v>
      </c>
      <c r="K1486" s="4">
        <f>1/INR!C1486</f>
        <v>1.5629884338855895E-2</v>
      </c>
      <c r="L1486" s="4">
        <f>1/JPY!B1486</f>
        <v>8.066467693796887E-3</v>
      </c>
      <c r="M1486" s="4">
        <f>1/JPY!C1486</f>
        <v>8.0686545679880973E-3</v>
      </c>
      <c r="N1486" s="5">
        <f>1/KRW!B1486</f>
        <v>8.6673889490790899E-4</v>
      </c>
      <c r="O1486" s="5">
        <f>1/KRW!C1486</f>
        <v>8.6672762650973111E-4</v>
      </c>
      <c r="P1486" s="3">
        <f>1/NOK!B1486</f>
        <v>0.12242449469289815</v>
      </c>
      <c r="Q1486" s="3">
        <f>1/NOK!C1486</f>
        <v>0.12233613075285654</v>
      </c>
      <c r="R1486" s="3">
        <f>NZD!B1486/1</f>
        <v>0.65580000000000005</v>
      </c>
      <c r="S1486" s="3">
        <f>NZD!C1486/1</f>
        <v>0.65410000000000001</v>
      </c>
      <c r="T1486" s="4">
        <f>1/PHP!B1486</f>
        <v>2.2118510981840703E-2</v>
      </c>
      <c r="U1486" s="4">
        <f>1/PHP!C1486</f>
        <v>2.2071595842594209E-2</v>
      </c>
      <c r="V1486" s="4">
        <f>1/TWD!B1486</f>
        <v>3.2052309368890024E-2</v>
      </c>
      <c r="W1486" s="4">
        <f>1/TWD!C1486</f>
        <v>3.2052309368890024E-2</v>
      </c>
      <c r="X1486" s="4">
        <f>1/TWD!B1486</f>
        <v>3.2052309368890024E-2</v>
      </c>
      <c r="Y1486" s="4">
        <f>1/TWD!C1486</f>
        <v>3.2052309368890024E-2</v>
      </c>
      <c r="Z1486" s="4">
        <f>1/ZAR!B1486</f>
        <v>8.0504926901526372E-2</v>
      </c>
      <c r="AA1486" s="4">
        <f>1/ZAR!C1486</f>
        <v>8.0067897577145414E-2</v>
      </c>
    </row>
    <row r="1487" spans="1:27" x14ac:dyDescent="0.25">
      <c r="A1487" t="str">
        <f>"23/07/2015"</f>
        <v>23/07/2015</v>
      </c>
      <c r="B1487" s="3">
        <f>AUD!B1487</f>
        <v>0.73729999999999996</v>
      </c>
      <c r="C1487" s="3">
        <f>AUD!C1487</f>
        <v>0.73599999999999999</v>
      </c>
      <c r="D1487" s="3">
        <f>1/CAD!B1487</f>
        <v>0.76716532412734939</v>
      </c>
      <c r="E1487" s="3">
        <f>1/CAD!C1487</f>
        <v>0.76698880196349128</v>
      </c>
      <c r="F1487" s="3">
        <f>EUR!B1487/1</f>
        <v>1.0941000000000001</v>
      </c>
      <c r="G1487" s="3">
        <f>EUR!C1487/1</f>
        <v>1.0945</v>
      </c>
      <c r="H1487" s="3">
        <f>GBP!B1487/1</f>
        <v>1.5624</v>
      </c>
      <c r="I1487" s="3">
        <f>GBP!C1487/1</f>
        <v>1.5620000000000001</v>
      </c>
      <c r="J1487" s="4">
        <f>1/INR!B1487</f>
        <v>1.5690581728317578E-2</v>
      </c>
      <c r="K1487" s="4">
        <f>1/INR!C1487</f>
        <v>1.5594541910331383E-2</v>
      </c>
      <c r="L1487" s="4">
        <f>1/JPY!B1487</f>
        <v>8.0625655083447559E-3</v>
      </c>
      <c r="M1487" s="4">
        <f>1/JPY!C1487</f>
        <v>8.0646592116956923E-3</v>
      </c>
      <c r="N1487" s="5">
        <f>1/KRW!B1487</f>
        <v>8.5969738651994494E-4</v>
      </c>
      <c r="O1487" s="5">
        <f>1/KRW!C1487</f>
        <v>8.5968600484484644E-4</v>
      </c>
      <c r="P1487" s="3">
        <f>1/NOK!B1487</f>
        <v>0.12255803122778636</v>
      </c>
      <c r="Q1487" s="3">
        <f>1/NOK!C1487</f>
        <v>0.12247397428046541</v>
      </c>
      <c r="R1487" s="3">
        <f>NZD!B1487/1</f>
        <v>0.66300000000000003</v>
      </c>
      <c r="S1487" s="3">
        <f>NZD!C1487/1</f>
        <v>0.66120000000000001</v>
      </c>
      <c r="T1487" s="4">
        <f>1/PHP!B1487</f>
        <v>2.2065313327449251E-2</v>
      </c>
      <c r="U1487" s="4">
        <f>1/PHP!C1487</f>
        <v>2.2020368841178087E-2</v>
      </c>
      <c r="V1487" s="4">
        <f>1/TWD!B1487</f>
        <v>3.1976976576864657E-2</v>
      </c>
      <c r="W1487" s="4">
        <f>1/TWD!C1487</f>
        <v>3.1976976576864657E-2</v>
      </c>
      <c r="X1487" s="4">
        <f>1/TWD!B1487</f>
        <v>3.1976976576864657E-2</v>
      </c>
      <c r="Y1487" s="4">
        <f>1/TWD!C1487</f>
        <v>3.1976976576864657E-2</v>
      </c>
      <c r="Z1487" s="4">
        <f>1/ZAR!B1487</f>
        <v>8.053475074494644E-2</v>
      </c>
      <c r="AA1487" s="4">
        <f>1/ZAR!C1487</f>
        <v>8.010894816951053E-2</v>
      </c>
    </row>
    <row r="1488" spans="1:27" x14ac:dyDescent="0.25">
      <c r="A1488" t="str">
        <f>"24/07/2015"</f>
        <v>24/07/2015</v>
      </c>
      <c r="B1488" s="3">
        <f>AUD!B1488</f>
        <v>0.72989999999999999</v>
      </c>
      <c r="C1488" s="3">
        <f>AUD!C1488</f>
        <v>0.72860000000000003</v>
      </c>
      <c r="D1488" s="3">
        <f>1/CAD!B1488</f>
        <v>0.76751861232634899</v>
      </c>
      <c r="E1488" s="3">
        <f>1/CAD!C1488</f>
        <v>0.76734192756292208</v>
      </c>
      <c r="F1488" s="3">
        <f>EUR!B1488/1</f>
        <v>1.0975999999999999</v>
      </c>
      <c r="G1488" s="3">
        <f>EUR!C1488/1</f>
        <v>1.0980000000000001</v>
      </c>
      <c r="H1488" s="3">
        <f>GBP!B1488/1</f>
        <v>1.5512999999999999</v>
      </c>
      <c r="I1488" s="3">
        <f>GBP!C1488/1</f>
        <v>1.5509999999999999</v>
      </c>
      <c r="J1488" s="4">
        <f>1/INR!B1488</f>
        <v>1.5639050709621925E-2</v>
      </c>
      <c r="K1488" s="4">
        <f>1/INR!C1488</f>
        <v>1.5542430836182779E-2</v>
      </c>
      <c r="L1488" s="4">
        <f>1/JPY!B1488</f>
        <v>8.0689410321789362E-3</v>
      </c>
      <c r="M1488" s="4">
        <f>1/JPY!C1488</f>
        <v>8.0710706194465996E-3</v>
      </c>
      <c r="N1488" s="5">
        <f>1/KRW!B1488</f>
        <v>8.5632567778177397E-4</v>
      </c>
      <c r="O1488" s="5">
        <f>1/KRW!C1488</f>
        <v>8.5631438520823082E-4</v>
      </c>
      <c r="P1488" s="3">
        <f>1/NOK!B1488</f>
        <v>0.12190216132532029</v>
      </c>
      <c r="Q1488" s="3">
        <f>1/NOK!C1488</f>
        <v>0.12181900132782712</v>
      </c>
      <c r="R1488" s="3">
        <f>NZD!B1488/1</f>
        <v>0.65869999999999995</v>
      </c>
      <c r="S1488" s="3">
        <f>NZD!C1488/1</f>
        <v>0.65700000000000003</v>
      </c>
      <c r="T1488" s="4">
        <f>1/PHP!B1488</f>
        <v>2.1970778864110731E-2</v>
      </c>
      <c r="U1488" s="4">
        <f>1/PHP!C1488</f>
        <v>2.1929487924527473E-2</v>
      </c>
      <c r="V1488" s="4">
        <f>1/TWD!B1488</f>
        <v>3.1822810590631363E-2</v>
      </c>
      <c r="W1488" s="4">
        <f>1/TWD!C1488</f>
        <v>3.1822810590631363E-2</v>
      </c>
      <c r="X1488" s="4">
        <f>1/TWD!B1488</f>
        <v>3.1822810590631363E-2</v>
      </c>
      <c r="Y1488" s="4">
        <f>1/TWD!C1488</f>
        <v>3.1822810590631363E-2</v>
      </c>
      <c r="Z1488" s="4">
        <f>1/ZAR!B1488</f>
        <v>7.996097904222739E-2</v>
      </c>
      <c r="AA1488" s="4">
        <f>1/ZAR!C1488</f>
        <v>7.9534880021633489E-2</v>
      </c>
    </row>
    <row r="1489" spans="1:27" x14ac:dyDescent="0.25">
      <c r="A1489" t="str">
        <f>"27/07/2015"</f>
        <v>27/07/2015</v>
      </c>
      <c r="B1489" s="3">
        <f>AUD!B1489</f>
        <v>0.7268</v>
      </c>
      <c r="C1489" s="3">
        <f>AUD!C1489</f>
        <v>0.72550000000000003</v>
      </c>
      <c r="D1489" s="3">
        <f>1/CAD!B1489</f>
        <v>0.76692997929289053</v>
      </c>
      <c r="E1489" s="3">
        <f>1/CAD!C1489</f>
        <v>0.76675356540407913</v>
      </c>
      <c r="F1489" s="3">
        <f>EUR!B1489/1</f>
        <v>1.1087</v>
      </c>
      <c r="G1489" s="3">
        <f>EUR!C1489/1</f>
        <v>1.1091</v>
      </c>
      <c r="H1489" s="3">
        <f>GBP!B1489/1</f>
        <v>1.5558000000000001</v>
      </c>
      <c r="I1489" s="3">
        <f>GBP!C1489/1</f>
        <v>1.5553999999999999</v>
      </c>
      <c r="J1489" s="4">
        <f>1/INR!B1489</f>
        <v>1.5582391897156215E-2</v>
      </c>
      <c r="K1489" s="4">
        <f>1/INR!C1489</f>
        <v>1.5479277117758599E-2</v>
      </c>
      <c r="L1489" s="4">
        <f>1/JPY!B1489</f>
        <v>8.1135902636916835E-3</v>
      </c>
      <c r="M1489" s="4">
        <f>1/JPY!C1489</f>
        <v>8.1161782215343307E-3</v>
      </c>
      <c r="N1489" s="5">
        <f>1/KRW!B1489</f>
        <v>8.5675119945167924E-4</v>
      </c>
      <c r="O1489" s="5">
        <f>1/KRW!C1489</f>
        <v>8.5674040945508999E-4</v>
      </c>
      <c r="P1489" s="3">
        <f>1/NOK!B1489</f>
        <v>0.12225237780874838</v>
      </c>
      <c r="Q1489" s="3">
        <f>1/NOK!C1489</f>
        <v>0.12216575449569975</v>
      </c>
      <c r="R1489" s="3">
        <f>NZD!B1489/1</f>
        <v>0.66020000000000001</v>
      </c>
      <c r="S1489" s="3">
        <f>NZD!C1489/1</f>
        <v>0.65839999999999999</v>
      </c>
      <c r="T1489" s="4">
        <f>1/PHP!B1489</f>
        <v>2.1957271150341438E-2</v>
      </c>
      <c r="U1489" s="4">
        <f>1/PHP!C1489</f>
        <v>2.1912909333146345E-2</v>
      </c>
      <c r="V1489" s="4">
        <f>1/TWD!B1489</f>
        <v>3.1721862707778201E-2</v>
      </c>
      <c r="W1489" s="4">
        <f>1/TWD!C1489</f>
        <v>3.1721963335754777E-2</v>
      </c>
      <c r="X1489" s="4">
        <f>1/TWD!B1489</f>
        <v>3.1721862707778201E-2</v>
      </c>
      <c r="Y1489" s="4">
        <f>1/TWD!C1489</f>
        <v>3.1721963335754777E-2</v>
      </c>
      <c r="Z1489" s="4">
        <f>1/ZAR!B1489</f>
        <v>7.9196629391453111E-2</v>
      </c>
      <c r="AA1489" s="4">
        <f>1/ZAR!C1489</f>
        <v>7.876992879198437E-2</v>
      </c>
    </row>
    <row r="1490" spans="1:27" x14ac:dyDescent="0.25">
      <c r="A1490" t="str">
        <f>"28/07/2015"</f>
        <v>28/07/2015</v>
      </c>
      <c r="B1490" s="3">
        <f>AUD!B1490</f>
        <v>0.73370000000000002</v>
      </c>
      <c r="C1490" s="3">
        <f>AUD!C1490</f>
        <v>0.73240000000000005</v>
      </c>
      <c r="D1490" s="3">
        <f>1/CAD!B1490</f>
        <v>0.77387401331063299</v>
      </c>
      <c r="E1490" s="3">
        <f>1/CAD!C1490</f>
        <v>0.77369439071566737</v>
      </c>
      <c r="F1490" s="3">
        <f>EUR!B1490/1</f>
        <v>1.1059000000000001</v>
      </c>
      <c r="G1490" s="3">
        <f>EUR!C1490/1</f>
        <v>1.1063000000000001</v>
      </c>
      <c r="H1490" s="3">
        <f>GBP!B1490/1</f>
        <v>1.5611999999999999</v>
      </c>
      <c r="I1490" s="3">
        <f>GBP!C1490/1</f>
        <v>1.5609</v>
      </c>
      <c r="J1490" s="4">
        <f>1/INR!B1490</f>
        <v>1.5644555694618274E-2</v>
      </c>
      <c r="K1490" s="4">
        <f>1/INR!C1490</f>
        <v>1.5544242801072554E-2</v>
      </c>
      <c r="L1490" s="4">
        <f>1/JPY!B1490</f>
        <v>8.0925791049607509E-3</v>
      </c>
      <c r="M1490" s="4">
        <f>1/JPY!C1490</f>
        <v>8.0952388662132255E-3</v>
      </c>
      <c r="N1490" s="5">
        <f>1/KRW!B1490</f>
        <v>8.583838349156209E-4</v>
      </c>
      <c r="O1490" s="5">
        <f>1/KRW!C1490</f>
        <v>8.5837381424241303E-4</v>
      </c>
      <c r="P1490" s="3">
        <f>1/NOK!B1490</f>
        <v>0.1223256553596986</v>
      </c>
      <c r="Q1490" s="3">
        <f>1/NOK!C1490</f>
        <v>0.12223593981102325</v>
      </c>
      <c r="R1490" s="3">
        <f>NZD!B1490/1</f>
        <v>0.66759999999999997</v>
      </c>
      <c r="S1490" s="3">
        <f>NZD!C1490/1</f>
        <v>0.66579999999999995</v>
      </c>
      <c r="T1490" s="4">
        <f>1/PHP!B1490</f>
        <v>2.1953896816684963E-2</v>
      </c>
      <c r="U1490" s="4">
        <f>1/PHP!C1490</f>
        <v>2.1914157860827569E-2</v>
      </c>
      <c r="V1490" s="4">
        <f>1/TWD!B1490</f>
        <v>3.1670625494853527E-2</v>
      </c>
      <c r="W1490" s="4">
        <f>1/TWD!C1490</f>
        <v>3.1670625494853527E-2</v>
      </c>
      <c r="X1490" s="4">
        <f>1/TWD!B1490</f>
        <v>3.1670625494853527E-2</v>
      </c>
      <c r="Y1490" s="4">
        <f>1/TWD!C1490</f>
        <v>3.1670625494853527E-2</v>
      </c>
      <c r="Z1490" s="4">
        <f>1/ZAR!B1490</f>
        <v>7.9452098329916898E-2</v>
      </c>
      <c r="AA1490" s="4">
        <f>1/ZAR!C1490</f>
        <v>7.8992061297839575E-2</v>
      </c>
    </row>
    <row r="1491" spans="1:27" x14ac:dyDescent="0.25">
      <c r="A1491" t="str">
        <f>"29/07/2015"</f>
        <v>29/07/2015</v>
      </c>
      <c r="B1491" s="3">
        <f>AUD!B1491</f>
        <v>0.73280000000000001</v>
      </c>
      <c r="C1491" s="3">
        <f>AUD!C1491</f>
        <v>0.73150000000000004</v>
      </c>
      <c r="D1491" s="3">
        <f>1/CAD!B1491</f>
        <v>0.77297673340032458</v>
      </c>
      <c r="E1491" s="3">
        <f>1/CAD!C1491</f>
        <v>0.77279752704791338</v>
      </c>
      <c r="F1491" s="3">
        <f>EUR!B1491/1</f>
        <v>1.1064000000000001</v>
      </c>
      <c r="G1491" s="3">
        <f>EUR!C1491/1</f>
        <v>1.1068</v>
      </c>
      <c r="H1491" s="3">
        <f>GBP!B1491/1</f>
        <v>1.5609999999999999</v>
      </c>
      <c r="I1491" s="3">
        <f>GBP!C1491/1</f>
        <v>1.5607</v>
      </c>
      <c r="J1491" s="4">
        <f>1/INR!B1491</f>
        <v>1.5651901706057285E-2</v>
      </c>
      <c r="K1491" s="4">
        <f>1/INR!C1491</f>
        <v>1.5556333372224167E-2</v>
      </c>
      <c r="L1491" s="4">
        <f>1/JPY!B1491</f>
        <v>8.0984774862325887E-3</v>
      </c>
      <c r="M1491" s="4">
        <f>1/JPY!C1491</f>
        <v>8.1009376835368702E-3</v>
      </c>
      <c r="N1491" s="5">
        <f>1/KRW!B1491</f>
        <v>8.6344601303803476E-4</v>
      </c>
      <c r="O1491" s="5">
        <f>1/KRW!C1491</f>
        <v>8.6343565017006662E-4</v>
      </c>
      <c r="P1491" s="3">
        <f>1/NOK!B1491</f>
        <v>0.12236457300882249</v>
      </c>
      <c r="Q1491" s="3">
        <f>1/NOK!C1491</f>
        <v>0.122276295517351</v>
      </c>
      <c r="R1491" s="3">
        <f>NZD!B1491/1</f>
        <v>0.67100000000000004</v>
      </c>
      <c r="S1491" s="3">
        <f>NZD!C1491/1</f>
        <v>0.66930000000000001</v>
      </c>
      <c r="T1491" s="4">
        <f>1/PHP!B1491</f>
        <v>2.196522904242584E-2</v>
      </c>
      <c r="U1491" s="4">
        <f>1/PHP!C1491</f>
        <v>2.1927949144700341E-2</v>
      </c>
      <c r="V1491" s="4">
        <f>1/TWD!B1491</f>
        <v>3.1780334329117144E-2</v>
      </c>
      <c r="W1491" s="4">
        <f>1/TWD!C1491</f>
        <v>3.1780334329117144E-2</v>
      </c>
      <c r="X1491" s="4">
        <f>1/TWD!B1491</f>
        <v>3.1780334329117144E-2</v>
      </c>
      <c r="Y1491" s="4">
        <f>1/TWD!C1491</f>
        <v>3.1780334329117144E-2</v>
      </c>
      <c r="Z1491" s="4">
        <f>1/ZAR!B1491</f>
        <v>7.9627978086380433E-2</v>
      </c>
      <c r="AA1491" s="4">
        <f>1/ZAR!C1491</f>
        <v>7.9177190634921901E-2</v>
      </c>
    </row>
    <row r="1492" spans="1:27" x14ac:dyDescent="0.25">
      <c r="A1492" t="str">
        <f>"30/07/2015"</f>
        <v>30/07/2015</v>
      </c>
      <c r="B1492" s="3">
        <f>AUD!B1492</f>
        <v>0.72919999999999996</v>
      </c>
      <c r="C1492" s="3">
        <f>AUD!C1492</f>
        <v>0.72799999999999998</v>
      </c>
      <c r="D1492" s="3">
        <f>1/CAD!B1492</f>
        <v>0.76917160218444736</v>
      </c>
      <c r="E1492" s="3">
        <f>1/CAD!C1492</f>
        <v>0.76899415564441709</v>
      </c>
      <c r="F1492" s="3">
        <f>EUR!B1492/1</f>
        <v>1.0931999999999999</v>
      </c>
      <c r="G1492" s="3">
        <f>EUR!C1492/1</f>
        <v>1.0935999999999999</v>
      </c>
      <c r="H1492" s="3">
        <f>GBP!B1492/1</f>
        <v>1.5601</v>
      </c>
      <c r="I1492" s="3">
        <f>GBP!C1492/1</f>
        <v>1.5597000000000001</v>
      </c>
      <c r="J1492" s="4">
        <f>1/INR!B1492</f>
        <v>1.5614021391209305E-2</v>
      </c>
      <c r="K1492" s="4">
        <f>1/INR!C1492</f>
        <v>1.5518311607697084E-2</v>
      </c>
      <c r="L1492" s="4">
        <f>1/JPY!B1492</f>
        <v>8.0547724526782109E-3</v>
      </c>
      <c r="M1492" s="4">
        <f>1/JPY!C1492</f>
        <v>8.0570308874336107E-3</v>
      </c>
      <c r="N1492" s="5">
        <f>1/KRW!B1492</f>
        <v>8.55820003936772E-4</v>
      </c>
      <c r="O1492" s="5">
        <f>1/KRW!C1492</f>
        <v>8.5580945710528951E-4</v>
      </c>
      <c r="P1492" s="3">
        <f>1/NOK!B1492</f>
        <v>0.12228078112962987</v>
      </c>
      <c r="Q1492" s="3">
        <f>1/NOK!C1492</f>
        <v>0.12219262445318801</v>
      </c>
      <c r="R1492" s="3">
        <f>NZD!B1492/1</f>
        <v>0.65990000000000004</v>
      </c>
      <c r="S1492" s="3">
        <f>NZD!C1492/1</f>
        <v>0.65820000000000001</v>
      </c>
      <c r="T1492" s="4">
        <f>1/PHP!B1492</f>
        <v>2.1905325184552363E-2</v>
      </c>
      <c r="U1492" s="4">
        <f>1/PHP!C1492</f>
        <v>2.1869348140339979E-2</v>
      </c>
      <c r="V1492" s="4">
        <f>1/TWD!B1492</f>
        <v>3.164556962025316E-2</v>
      </c>
      <c r="W1492" s="4">
        <f>1/TWD!C1492</f>
        <v>3.1645669764777735E-2</v>
      </c>
      <c r="X1492" s="4">
        <f>1/TWD!B1492</f>
        <v>3.164556962025316E-2</v>
      </c>
      <c r="Y1492" s="4">
        <f>1/TWD!C1492</f>
        <v>3.1645669764777735E-2</v>
      </c>
      <c r="Z1492" s="4">
        <f>1/ZAR!B1492</f>
        <v>7.8702355561501958E-2</v>
      </c>
      <c r="AA1492" s="4">
        <f>1/ZAR!C1492</f>
        <v>7.827727375910952E-2</v>
      </c>
    </row>
    <row r="1493" spans="1:27" x14ac:dyDescent="0.25">
      <c r="A1493" t="str">
        <f>"31/07/2015"</f>
        <v>31/07/2015</v>
      </c>
      <c r="B1493" s="3">
        <f>AUD!B1493</f>
        <v>0.72960000000000003</v>
      </c>
      <c r="C1493" s="3">
        <f>AUD!C1493</f>
        <v>0.72819999999999996</v>
      </c>
      <c r="D1493" s="3">
        <f>1/CAD!B1493</f>
        <v>0.76382523678582348</v>
      </c>
      <c r="E1493" s="3">
        <f>1/CAD!C1493</f>
        <v>0.76365024818633065</v>
      </c>
      <c r="F1493" s="3">
        <f>EUR!B1493/1</f>
        <v>1.0984</v>
      </c>
      <c r="G1493" s="3">
        <f>EUR!C1493/1</f>
        <v>1.0988</v>
      </c>
      <c r="H1493" s="3">
        <f>GBP!B1493/1</f>
        <v>1.5621</v>
      </c>
      <c r="I1493" s="3">
        <f>GBP!C1493/1</f>
        <v>1.5617000000000001</v>
      </c>
      <c r="J1493" s="4">
        <f>1/INR!B1493</f>
        <v>1.5590894917368257E-2</v>
      </c>
      <c r="K1493" s="4">
        <f>1/INR!C1493</f>
        <v>1.549726860640812E-2</v>
      </c>
      <c r="L1493" s="4">
        <f>1/JPY!B1493</f>
        <v>8.0710250201775618E-3</v>
      </c>
      <c r="M1493" s="4">
        <f>1/JPY!C1493</f>
        <v>8.0732925793523935E-3</v>
      </c>
      <c r="N1493" s="5">
        <f>1/KRW!B1493</f>
        <v>8.5422628454277533E-4</v>
      </c>
      <c r="O1493" s="5">
        <f>1/KRW!C1493</f>
        <v>8.5421570398692363E-4</v>
      </c>
      <c r="P1493" s="3">
        <f>1/NOK!B1493</f>
        <v>0.12179377877378024</v>
      </c>
      <c r="Q1493" s="3">
        <f>1/NOK!C1493</f>
        <v>0.12170632264346133</v>
      </c>
      <c r="R1493" s="3">
        <f>NZD!B1493/1</f>
        <v>0.65780000000000005</v>
      </c>
      <c r="S1493" s="3">
        <f>NZD!C1493/1</f>
        <v>0.65610000000000002</v>
      </c>
      <c r="T1493" s="4">
        <f>1/PHP!B1493</f>
        <v>2.1860312602470216E-2</v>
      </c>
      <c r="U1493" s="4">
        <f>1/PHP!C1493</f>
        <v>2.1819102187583185E-2</v>
      </c>
      <c r="V1493" s="4">
        <f>1/TWD!B1493</f>
        <v>3.1563663910106683E-2</v>
      </c>
      <c r="W1493" s="4">
        <f>1/TWD!C1493</f>
        <v>3.1563763536909088E-2</v>
      </c>
      <c r="X1493" s="4">
        <f>1/TWD!B1493</f>
        <v>3.1563663910106683E-2</v>
      </c>
      <c r="Y1493" s="4">
        <f>1/TWD!C1493</f>
        <v>3.1563763536909088E-2</v>
      </c>
      <c r="Z1493" s="4">
        <f>1/ZAR!B1493</f>
        <v>7.8598432747251021E-2</v>
      </c>
      <c r="AA1493" s="4">
        <f>1/ZAR!C1493</f>
        <v>7.8169581089214943E-2</v>
      </c>
    </row>
    <row r="1494" spans="1:27" x14ac:dyDescent="0.25">
      <c r="A1494" t="str">
        <f>"03/08/2015"</f>
        <v>03/08/2015</v>
      </c>
      <c r="B1494" s="3">
        <f>AUD!B1494</f>
        <v>0.72850000000000004</v>
      </c>
      <c r="C1494" s="3">
        <f>AUD!C1494</f>
        <v>0.72709999999999997</v>
      </c>
      <c r="D1494" s="3">
        <f>1/CAD!B1494</f>
        <v>0.76010945576162958</v>
      </c>
      <c r="E1494" s="3">
        <f>1/CAD!C1494</f>
        <v>0.75993616536210951</v>
      </c>
      <c r="F1494" s="3">
        <f>EUR!B1494/1</f>
        <v>1.095</v>
      </c>
      <c r="G1494" s="3">
        <f>EUR!C1494/1</f>
        <v>1.0954999999999999</v>
      </c>
      <c r="H1494" s="3">
        <f>GBP!B1494/1</f>
        <v>1.5586</v>
      </c>
      <c r="I1494" s="3">
        <f>GBP!C1494/1</f>
        <v>1.5582</v>
      </c>
      <c r="J1494" s="4">
        <f>1/INR!B1494</f>
        <v>1.5614021391209305E-2</v>
      </c>
      <c r="K1494" s="4">
        <f>1/INR!C1494</f>
        <v>1.5509887553315239E-2</v>
      </c>
      <c r="L1494" s="4">
        <f>1/JPY!B1494</f>
        <v>8.0619155111254434E-3</v>
      </c>
      <c r="M1494" s="4">
        <f>1/JPY!C1494</f>
        <v>8.0644510931363461E-3</v>
      </c>
      <c r="N1494" s="5">
        <f>1/KRW!B1494</f>
        <v>8.5755203196953979E-4</v>
      </c>
      <c r="O1494" s="5">
        <f>1/KRW!C1494</f>
        <v>8.5753828029444784E-4</v>
      </c>
      <c r="P1494" s="3">
        <f>1/NOK!B1494</f>
        <v>0.12109616246261157</v>
      </c>
      <c r="Q1494" s="3">
        <f>1/NOK!C1494</f>
        <v>0.12101116933092924</v>
      </c>
      <c r="R1494" s="3">
        <f>NZD!B1494/1</f>
        <v>0.65600000000000003</v>
      </c>
      <c r="S1494" s="3">
        <f>NZD!C1494/1</f>
        <v>0.6542</v>
      </c>
      <c r="T1494" s="4">
        <f>1/PHP!B1494</f>
        <v>2.1877050973528767E-2</v>
      </c>
      <c r="U1494" s="4">
        <f>1/PHP!C1494</f>
        <v>2.1834156481032669E-2</v>
      </c>
      <c r="V1494" s="4">
        <f>1/TWD!B1494</f>
        <v>3.155967935365777E-2</v>
      </c>
      <c r="W1494" s="4">
        <f>1/TWD!C1494</f>
        <v>3.155967935365777E-2</v>
      </c>
      <c r="X1494" s="4">
        <f>1/TWD!B1494</f>
        <v>3.155967935365777E-2</v>
      </c>
      <c r="Y1494" s="4">
        <f>1/TWD!C1494</f>
        <v>3.155967935365777E-2</v>
      </c>
      <c r="Z1494" s="4">
        <f>1/ZAR!B1494</f>
        <v>7.8781719489809582E-2</v>
      </c>
      <c r="AA1494" s="4">
        <f>1/ZAR!C1494</f>
        <v>7.835148476063622E-2</v>
      </c>
    </row>
    <row r="1495" spans="1:27" x14ac:dyDescent="0.25">
      <c r="A1495" t="str">
        <f>"04/08/2015"</f>
        <v>04/08/2015</v>
      </c>
      <c r="B1495" s="3">
        <f>AUD!B1495</f>
        <v>0.73229999999999995</v>
      </c>
      <c r="C1495" s="3">
        <f>AUD!C1495</f>
        <v>0.73099999999999998</v>
      </c>
      <c r="D1495" s="3">
        <f>1/CAD!B1495</f>
        <v>0.75930144267274113</v>
      </c>
      <c r="E1495" s="3">
        <f>1/CAD!C1495</f>
        <v>0.75912852045851364</v>
      </c>
      <c r="F1495" s="3">
        <f>EUR!B1495/1</f>
        <v>1.0939000000000001</v>
      </c>
      <c r="G1495" s="3">
        <f>EUR!C1495/1</f>
        <v>1.0943000000000001</v>
      </c>
      <c r="H1495" s="3">
        <f>GBP!B1495/1</f>
        <v>1.5592999999999999</v>
      </c>
      <c r="I1495" s="3">
        <f>GBP!C1495/1</f>
        <v>1.5589</v>
      </c>
      <c r="J1495" s="4">
        <f>1/INR!B1495</f>
        <v>1.5628662967883098E-2</v>
      </c>
      <c r="K1495" s="4">
        <f>1/INR!C1495</f>
        <v>1.552975890049307E-2</v>
      </c>
      <c r="L1495" s="4">
        <f>1/JPY!B1495</f>
        <v>8.0616555415820197E-3</v>
      </c>
      <c r="M1495" s="4">
        <f>1/JPY!C1495</f>
        <v>8.0641584445851188E-3</v>
      </c>
      <c r="N1495" s="5">
        <f>1/KRW!B1495</f>
        <v>8.5526372056823723E-4</v>
      </c>
      <c r="O1495" s="5">
        <f>1/KRW!C1495</f>
        <v>8.5525238284004518E-4</v>
      </c>
      <c r="P1495" s="3">
        <f>1/NOK!B1495</f>
        <v>0.12112989970444306</v>
      </c>
      <c r="Q1495" s="3">
        <f>1/NOK!C1495</f>
        <v>0.12103753373921251</v>
      </c>
      <c r="R1495" s="3">
        <f>NZD!B1495/1</f>
        <v>0.65610000000000002</v>
      </c>
      <c r="S1495" s="3">
        <f>NZD!C1495/1</f>
        <v>0.65429999999999999</v>
      </c>
      <c r="T1495" s="4">
        <f>1/PHP!B1495</f>
        <v>2.1859117984589321E-2</v>
      </c>
      <c r="U1495" s="4">
        <f>1/PHP!C1495</f>
        <v>2.181634131229656E-2</v>
      </c>
      <c r="V1495" s="4">
        <f>1/TWD!B1495</f>
        <v>3.1580609505763461E-2</v>
      </c>
      <c r="W1495" s="4">
        <f>1/TWD!C1495</f>
        <v>3.15807092395681E-2</v>
      </c>
      <c r="X1495" s="4">
        <f>1/TWD!B1495</f>
        <v>3.1580609505763461E-2</v>
      </c>
      <c r="Y1495" s="4">
        <f>1/TWD!C1495</f>
        <v>3.15807092395681E-2</v>
      </c>
      <c r="Z1495" s="4">
        <f>1/ZAR!B1495</f>
        <v>7.873271816836204E-2</v>
      </c>
      <c r="AA1495" s="4">
        <f>1/ZAR!C1495</f>
        <v>7.826012099014705E-2</v>
      </c>
    </row>
    <row r="1496" spans="1:27" x14ac:dyDescent="0.25">
      <c r="A1496" t="str">
        <f>"05/08/2015"</f>
        <v>05/08/2015</v>
      </c>
      <c r="B1496" s="3">
        <f>AUD!B1496</f>
        <v>0.73540000000000005</v>
      </c>
      <c r="C1496" s="3">
        <f>AUD!C1496</f>
        <v>0.73409999999999997</v>
      </c>
      <c r="D1496" s="3">
        <f>1/CAD!B1496</f>
        <v>0.75884049172863854</v>
      </c>
      <c r="E1496" s="3">
        <f>1/CAD!C1496</f>
        <v>0.75866777937940977</v>
      </c>
      <c r="F1496" s="3">
        <f>EUR!B1496/1</f>
        <v>1.0905</v>
      </c>
      <c r="G1496" s="3">
        <f>EUR!C1496/1</f>
        <v>1.0909</v>
      </c>
      <c r="H1496" s="3">
        <f>GBP!B1496/1</f>
        <v>1.5602</v>
      </c>
      <c r="I1496" s="3">
        <f>GBP!C1496/1</f>
        <v>1.5598000000000001</v>
      </c>
      <c r="J1496" s="4">
        <f>1/INR!B1496</f>
        <v>1.5683814303638646E-2</v>
      </c>
      <c r="K1496" s="4">
        <f>1/INR!C1496</f>
        <v>1.5584820384945061E-2</v>
      </c>
      <c r="L1496" s="4">
        <f>1/JPY!B1496</f>
        <v>8.0083286618082804E-3</v>
      </c>
      <c r="M1496" s="4">
        <f>1/JPY!C1496</f>
        <v>8.0106252933891519E-3</v>
      </c>
      <c r="N1496" s="5">
        <f>1/KRW!B1496</f>
        <v>8.5193388993014144E-4</v>
      </c>
      <c r="O1496" s="5">
        <f>1/KRW!C1496</f>
        <v>8.5192264031272382E-4</v>
      </c>
      <c r="P1496" s="3">
        <f>1/NOK!B1496</f>
        <v>0.12104192892417934</v>
      </c>
      <c r="Q1496" s="3">
        <f>1/NOK!C1496</f>
        <v>0.12095262285762667</v>
      </c>
      <c r="R1496" s="3">
        <f>NZD!B1496/1</f>
        <v>0.65080000000000005</v>
      </c>
      <c r="S1496" s="3">
        <f>NZD!C1496/1</f>
        <v>0.64910000000000001</v>
      </c>
      <c r="T1496" s="4">
        <f>1/PHP!B1496</f>
        <v>2.1853146853146856E-2</v>
      </c>
      <c r="U1496" s="4">
        <f>1/PHP!C1496</f>
        <v>2.1810916800076775E-2</v>
      </c>
      <c r="V1496" s="4">
        <f>1/TWD!B1496</f>
        <v>3.1497055025355131E-2</v>
      </c>
      <c r="W1496" s="4">
        <f>1/TWD!C1496</f>
        <v>3.1497055025355131E-2</v>
      </c>
      <c r="X1496" s="4">
        <f>1/TWD!B1496</f>
        <v>3.1497055025355131E-2</v>
      </c>
      <c r="Y1496" s="4">
        <f>1/TWD!C1496</f>
        <v>3.1497055025355131E-2</v>
      </c>
      <c r="Z1496" s="4">
        <f>1/ZAR!B1496</f>
        <v>7.8144536134033507E-2</v>
      </c>
      <c r="AA1496" s="4">
        <f>1/ZAR!C1496</f>
        <v>7.7695248158622623E-2</v>
      </c>
    </row>
    <row r="1497" spans="1:27" x14ac:dyDescent="0.25">
      <c r="A1497" t="str">
        <f>"06/08/2015"</f>
        <v>06/08/2015</v>
      </c>
      <c r="B1497" s="3">
        <f>AUD!B1497</f>
        <v>0.73440000000000005</v>
      </c>
      <c r="C1497" s="3">
        <f>AUD!C1497</f>
        <v>0.73309999999999997</v>
      </c>
      <c r="D1497" s="3">
        <f>1/CAD!B1497</f>
        <v>0.76271832812142482</v>
      </c>
      <c r="E1497" s="3">
        <f>1/CAD!C1497</f>
        <v>0.76260199801723483</v>
      </c>
      <c r="F1497" s="3">
        <f>EUR!B1497/1</f>
        <v>1.0924</v>
      </c>
      <c r="G1497" s="3">
        <f>EUR!C1497/1</f>
        <v>1.0928</v>
      </c>
      <c r="H1497" s="3">
        <f>GBP!B1497/1</f>
        <v>1.5511999999999999</v>
      </c>
      <c r="I1497" s="3">
        <f>GBP!C1497/1</f>
        <v>1.5508</v>
      </c>
      <c r="J1497" s="4">
        <f>1/INR!B1497</f>
        <v>1.5681354869060686E-2</v>
      </c>
      <c r="K1497" s="4">
        <f>1/INR!C1497</f>
        <v>1.5586642247593813E-2</v>
      </c>
      <c r="L1497" s="4">
        <f>1/JPY!B1497</f>
        <v>8.0166746833413502E-3</v>
      </c>
      <c r="M1497" s="4">
        <f>1/JPY!C1497</f>
        <v>8.0188089181985264E-3</v>
      </c>
      <c r="N1497" s="5">
        <f>1/KRW!B1497</f>
        <v>8.5741232958929953E-4</v>
      </c>
      <c r="O1497" s="5">
        <f>1/KRW!C1497</f>
        <v>8.5740093482423931E-4</v>
      </c>
      <c r="P1497" s="3">
        <f>1/NOK!B1497</f>
        <v>0.12068403712240983</v>
      </c>
      <c r="Q1497" s="3">
        <f>1/NOK!C1497</f>
        <v>0.120598166907863</v>
      </c>
      <c r="R1497" s="3">
        <f>NZD!B1497/1</f>
        <v>0.65500000000000003</v>
      </c>
      <c r="S1497" s="3">
        <f>NZD!C1497/1</f>
        <v>0.65329999999999999</v>
      </c>
      <c r="T1497" s="4">
        <f>1/PHP!B1497</f>
        <v>2.1834061135371181E-2</v>
      </c>
      <c r="U1497" s="4">
        <f>1/PHP!C1497</f>
        <v>2.1792094699726729E-2</v>
      </c>
      <c r="V1497" s="4">
        <f>1/TWD!B1497</f>
        <v>3.1565656565656568E-2</v>
      </c>
      <c r="W1497" s="4">
        <f>1/TWD!C1497</f>
        <v>3.1565656565656568E-2</v>
      </c>
      <c r="X1497" s="4">
        <f>1/TWD!B1497</f>
        <v>3.1565656565656568E-2</v>
      </c>
      <c r="Y1497" s="4">
        <f>1/TWD!C1497</f>
        <v>3.1565656565656568E-2</v>
      </c>
      <c r="Z1497" s="4">
        <f>1/ZAR!B1497</f>
        <v>7.8594108585620423E-2</v>
      </c>
      <c r="AA1497" s="4">
        <f>1/ZAR!C1497</f>
        <v>7.8150032432263455E-2</v>
      </c>
    </row>
    <row r="1498" spans="1:27" x14ac:dyDescent="0.25">
      <c r="A1498" t="str">
        <f>"07/08/2015"</f>
        <v>07/08/2015</v>
      </c>
      <c r="B1498" s="3">
        <f>AUD!B1498</f>
        <v>0.74160000000000004</v>
      </c>
      <c r="C1498" s="3">
        <f>AUD!C1498</f>
        <v>0.74029999999999996</v>
      </c>
      <c r="D1498" s="3">
        <f>1/CAD!B1498</f>
        <v>0.76144064570166758</v>
      </c>
      <c r="E1498" s="3">
        <f>1/CAD!C1498</f>
        <v>0.76132470498667693</v>
      </c>
      <c r="F1498" s="3">
        <f>EUR!B1498/1</f>
        <v>1.0966</v>
      </c>
      <c r="G1498" s="3">
        <f>EUR!C1498/1</f>
        <v>1.097</v>
      </c>
      <c r="H1498" s="3">
        <f>GBP!B1498/1</f>
        <v>1.5489999999999999</v>
      </c>
      <c r="I1498" s="3">
        <f>GBP!C1498/1</f>
        <v>1.5486</v>
      </c>
      <c r="J1498" s="4">
        <f>1/INR!B1498</f>
        <v>1.5669069257286117E-2</v>
      </c>
      <c r="K1498" s="4">
        <f>1/INR!C1498</f>
        <v>1.5574504536074446E-2</v>
      </c>
      <c r="L1498" s="4">
        <f>1/JPY!B1498</f>
        <v>8.0482897384305842E-3</v>
      </c>
      <c r="M1498" s="4">
        <f>1/JPY!C1498</f>
        <v>8.0503630713745188E-3</v>
      </c>
      <c r="N1498" s="5">
        <f>1/KRW!B1498</f>
        <v>8.5636967766245333E-4</v>
      </c>
      <c r="O1498" s="5">
        <f>1/KRW!C1498</f>
        <v>8.5635897060856118E-4</v>
      </c>
      <c r="P1498" s="3">
        <f>1/NOK!B1498</f>
        <v>0.12064763651280071</v>
      </c>
      <c r="Q1498" s="3">
        <f>1/NOK!C1498</f>
        <v>0.12056472517270897</v>
      </c>
      <c r="R1498" s="3">
        <f>NZD!B1498/1</f>
        <v>0.66059999999999997</v>
      </c>
      <c r="S1498" s="3">
        <f>NZD!C1498/1</f>
        <v>0.65890000000000004</v>
      </c>
      <c r="T1498" s="4">
        <f>1/PHP!B1498</f>
        <v>2.1853146853146856E-2</v>
      </c>
      <c r="U1498" s="4">
        <f>1/PHP!C1498</f>
        <v>2.1814056978316829E-2</v>
      </c>
      <c r="V1498" s="4">
        <f>1/TWD!B1498</f>
        <v>3.159457837035165E-2</v>
      </c>
      <c r="W1498" s="4">
        <f>1/TWD!C1498</f>
        <v>3.1594678192405273E-2</v>
      </c>
      <c r="X1498" s="4">
        <f>1/TWD!B1498</f>
        <v>3.159457837035165E-2</v>
      </c>
      <c r="Y1498" s="4">
        <f>1/TWD!C1498</f>
        <v>3.1594678192405273E-2</v>
      </c>
      <c r="Z1498" s="4">
        <f>1/ZAR!B1498</f>
        <v>7.9118931577947971E-2</v>
      </c>
      <c r="AA1498" s="4">
        <f>1/ZAR!C1498</f>
        <v>7.8685635150446936E-2</v>
      </c>
    </row>
    <row r="1499" spans="1:27" x14ac:dyDescent="0.25">
      <c r="A1499" t="str">
        <f>"10/08/2015"</f>
        <v>10/08/2015</v>
      </c>
      <c r="B1499" s="3">
        <f>AUD!B1499</f>
        <v>0.74119999999999997</v>
      </c>
      <c r="C1499" s="3">
        <f>AUD!C1499</f>
        <v>0.7399</v>
      </c>
      <c r="D1499" s="3">
        <f>1/CAD!B1499</f>
        <v>0.76911244423934777</v>
      </c>
      <c r="E1499" s="3">
        <f>1/CAD!C1499</f>
        <v>0.76899415564441709</v>
      </c>
      <c r="F1499" s="3">
        <f>EUR!B1499/1</f>
        <v>1.1019000000000001</v>
      </c>
      <c r="G1499" s="3">
        <f>EUR!C1499/1</f>
        <v>1.1023000000000001</v>
      </c>
      <c r="H1499" s="3">
        <f>GBP!B1499/1</f>
        <v>1.5590999999999999</v>
      </c>
      <c r="I1499" s="3">
        <f>GBP!C1499/1</f>
        <v>1.5587</v>
      </c>
      <c r="J1499" s="4">
        <f>1/INR!B1499</f>
        <v>1.5655577299412915E-2</v>
      </c>
      <c r="K1499" s="4">
        <f>1/INR!C1499</f>
        <v>1.5555123468792535E-2</v>
      </c>
      <c r="L1499" s="4">
        <f>1/JPY!B1499</f>
        <v>8.0237503008906367E-3</v>
      </c>
      <c r="M1499" s="4">
        <f>1/JPY!C1499</f>
        <v>8.026390772861167E-3</v>
      </c>
      <c r="N1499" s="5">
        <f>1/KRW!B1499</f>
        <v>8.595865388748013E-4</v>
      </c>
      <c r="O1499" s="5">
        <f>1/KRW!C1499</f>
        <v>8.5957250021274423E-4</v>
      </c>
      <c r="P1499" s="3">
        <f>1/NOK!B1499</f>
        <v>0.12182939012207306</v>
      </c>
      <c r="Q1499" s="3">
        <f>1/NOK!C1499</f>
        <v>0.12174040076939933</v>
      </c>
      <c r="R1499" s="3">
        <f>NZD!B1499/1</f>
        <v>0.6613</v>
      </c>
      <c r="S1499" s="3">
        <f>NZD!C1499/1</f>
        <v>0.65949999999999998</v>
      </c>
      <c r="T1499" s="4">
        <f>1/PHP!B1499</f>
        <v>2.1829294913774284E-2</v>
      </c>
      <c r="U1499" s="4">
        <f>1/PHP!C1499</f>
        <v>2.1789388132191858E-2</v>
      </c>
      <c r="V1499" s="4">
        <f>1/TWD!B1499</f>
        <v>3.1600568810238587E-2</v>
      </c>
      <c r="W1499" s="4">
        <f>1/TWD!C1499</f>
        <v>3.1600568810238587E-2</v>
      </c>
      <c r="X1499" s="4">
        <f>1/TWD!B1499</f>
        <v>3.1600568810238587E-2</v>
      </c>
      <c r="Y1499" s="4">
        <f>1/TWD!C1499</f>
        <v>3.1600568810238587E-2</v>
      </c>
      <c r="Z1499" s="4">
        <f>1/ZAR!B1499</f>
        <v>7.8933451207287134E-2</v>
      </c>
      <c r="AA1499" s="4">
        <f>1/ZAR!C1499</f>
        <v>7.8476304079983059E-2</v>
      </c>
    </row>
    <row r="1500" spans="1:27" x14ac:dyDescent="0.25">
      <c r="A1500" t="str">
        <f>"11/08/2015"</f>
        <v>11/08/2015</v>
      </c>
      <c r="B1500" s="3">
        <f>AUD!B1500</f>
        <v>0.73019999999999996</v>
      </c>
      <c r="C1500" s="3">
        <f>AUD!C1500</f>
        <v>0.72889999999999999</v>
      </c>
      <c r="D1500" s="3">
        <f>1/CAD!B1500</f>
        <v>0.76248570339306132</v>
      </c>
      <c r="E1500" s="3">
        <f>1/CAD!C1500</f>
        <v>0.76236944423267505</v>
      </c>
      <c r="F1500" s="3">
        <f>EUR!B1500/1</f>
        <v>1.1041000000000001</v>
      </c>
      <c r="G1500" s="3">
        <f>EUR!C1500/1</f>
        <v>1.1045</v>
      </c>
      <c r="H1500" s="3">
        <f>GBP!B1500/1</f>
        <v>1.5571999999999999</v>
      </c>
      <c r="I1500" s="3">
        <f>GBP!C1500/1</f>
        <v>1.5568</v>
      </c>
      <c r="J1500" s="4">
        <f>1/INR!B1500</f>
        <v>1.5573898146706122E-2</v>
      </c>
      <c r="K1500" s="4">
        <f>1/INR!C1500</f>
        <v>1.5476881408396209E-2</v>
      </c>
      <c r="L1500" s="4">
        <f>1/JPY!B1500</f>
        <v>7.9916886438104375E-3</v>
      </c>
      <c r="M1500" s="4">
        <f>1/JPY!C1500</f>
        <v>7.9941291115804541E-3</v>
      </c>
      <c r="N1500" s="5">
        <f>1/KRW!B1500</f>
        <v>8.4804694787903457E-4</v>
      </c>
      <c r="O1500" s="5">
        <f>1/KRW!C1500</f>
        <v>8.4803278019829895E-4</v>
      </c>
      <c r="P1500" s="3">
        <f>1/NOK!B1500</f>
        <v>0.12063744827669404</v>
      </c>
      <c r="Q1500" s="3">
        <f>1/NOK!C1500</f>
        <v>0.12055019107205286</v>
      </c>
      <c r="R1500" s="3">
        <f>NZD!B1500/1</f>
        <v>0.65329999999999999</v>
      </c>
      <c r="S1500" s="3">
        <f>NZD!C1500/1</f>
        <v>0.65159999999999996</v>
      </c>
      <c r="T1500" s="4">
        <f>1/PHP!B1500</f>
        <v>2.1750005437501361E-2</v>
      </c>
      <c r="U1500" s="4">
        <f>1/PHP!C1500</f>
        <v>2.1709115223299959E-2</v>
      </c>
      <c r="V1500" s="4">
        <f>1/TWD!B1500</f>
        <v>3.1201248049921998E-2</v>
      </c>
      <c r="W1500" s="4">
        <f>1/TWD!C1500</f>
        <v>3.1201248049921998E-2</v>
      </c>
      <c r="X1500" s="4">
        <f>1/TWD!B1500</f>
        <v>3.1201248049921998E-2</v>
      </c>
      <c r="Y1500" s="4">
        <f>1/TWD!C1500</f>
        <v>3.1201248049921998E-2</v>
      </c>
      <c r="Z1500" s="4">
        <f>1/ZAR!B1500</f>
        <v>7.812316898822684E-2</v>
      </c>
      <c r="AA1500" s="4">
        <f>1/ZAR!C1500</f>
        <v>7.7674729303568377E-2</v>
      </c>
    </row>
    <row r="1501" spans="1:27" x14ac:dyDescent="0.25">
      <c r="A1501" t="str">
        <f>"12/08/2015"</f>
        <v>12/08/2015</v>
      </c>
      <c r="B1501" s="3">
        <f>AUD!B1501</f>
        <v>0.73770000000000002</v>
      </c>
      <c r="C1501" s="3">
        <f>AUD!C1501</f>
        <v>0.73650000000000004</v>
      </c>
      <c r="D1501" s="3">
        <f>1/CAD!B1501</f>
        <v>0.77059412807274408</v>
      </c>
      <c r="E1501" s="3">
        <f>1/CAD!C1501</f>
        <v>0.77041602465331271</v>
      </c>
      <c r="F1501" s="3">
        <f>EUR!B1501/1</f>
        <v>1.1157999999999999</v>
      </c>
      <c r="G1501" s="3">
        <f>EUR!C1501/1</f>
        <v>1.1162000000000001</v>
      </c>
      <c r="H1501" s="3">
        <f>GBP!B1501/1</f>
        <v>1.5611999999999999</v>
      </c>
      <c r="I1501" s="3">
        <f>GBP!C1501/1</f>
        <v>1.5608</v>
      </c>
      <c r="J1501" s="4">
        <f>1/INR!B1501</f>
        <v>1.5420200462606014E-2</v>
      </c>
      <c r="K1501" s="4">
        <f>1/INR!C1501</f>
        <v>1.5326844968963138E-2</v>
      </c>
      <c r="L1501" s="4">
        <f>1/JPY!B1501</f>
        <v>8.050233456770247E-3</v>
      </c>
      <c r="M1501" s="4">
        <f>1/JPY!C1501</f>
        <v>8.05243098865332E-3</v>
      </c>
      <c r="N1501" s="5">
        <f>1/KRW!B1501</f>
        <v>8.3965876267884734E-4</v>
      </c>
      <c r="O1501" s="5">
        <f>1/KRW!C1501</f>
        <v>8.396445213782732E-4</v>
      </c>
      <c r="P1501" s="3">
        <f>1/NOK!B1501</f>
        <v>0.12238254335401599</v>
      </c>
      <c r="Q1501" s="3">
        <f>1/NOK!C1501</f>
        <v>0.12229274437147646</v>
      </c>
      <c r="R1501" s="3">
        <f>NZD!B1501/1</f>
        <v>0.66159999999999997</v>
      </c>
      <c r="S1501" s="3">
        <f>NZD!C1501/1</f>
        <v>0.65990000000000004</v>
      </c>
      <c r="T1501" s="4">
        <f>1/PHP!B1501</f>
        <v>2.1634251346732147E-2</v>
      </c>
      <c r="U1501" s="4">
        <f>1/PHP!C1501</f>
        <v>2.1594494267741494E-2</v>
      </c>
      <c r="V1501" s="4">
        <f>1/TWD!B1501</f>
        <v>3.0911901081916538E-2</v>
      </c>
      <c r="W1501" s="4">
        <f>1/TWD!C1501</f>
        <v>3.0911901081916538E-2</v>
      </c>
      <c r="X1501" s="4">
        <f>1/TWD!B1501</f>
        <v>3.0911901081916538E-2</v>
      </c>
      <c r="Y1501" s="4">
        <f>1/TWD!C1501</f>
        <v>3.0911901081916538E-2</v>
      </c>
      <c r="Z1501" s="4">
        <f>1/ZAR!B1501</f>
        <v>7.8330004308150236E-2</v>
      </c>
      <c r="AA1501" s="4">
        <f>1/ZAR!C1501</f>
        <v>7.7892539452571227E-2</v>
      </c>
    </row>
    <row r="1502" spans="1:27" x14ac:dyDescent="0.25">
      <c r="A1502" t="str">
        <f>"13/08/2015"</f>
        <v>13/08/2015</v>
      </c>
      <c r="B1502" s="3">
        <f>AUD!B1502</f>
        <v>0.73560000000000003</v>
      </c>
      <c r="C1502" s="3">
        <f>AUD!C1502</f>
        <v>0.73440000000000005</v>
      </c>
      <c r="D1502" s="3">
        <f>1/CAD!B1502</f>
        <v>0.76563815940586477</v>
      </c>
      <c r="E1502" s="3">
        <f>1/CAD!C1502</f>
        <v>0.76546233925290874</v>
      </c>
      <c r="F1502" s="3">
        <f>EUR!B1502/1</f>
        <v>1.1149</v>
      </c>
      <c r="G1502" s="3">
        <f>EUR!C1502/1</f>
        <v>1.1153</v>
      </c>
      <c r="H1502" s="3">
        <f>GBP!B1502/1</f>
        <v>1.5609999999999999</v>
      </c>
      <c r="I1502" s="3">
        <f>GBP!C1502/1</f>
        <v>1.5606</v>
      </c>
      <c r="J1502" s="4">
        <f>1/INR!B1502</f>
        <v>1.5358623867301489E-2</v>
      </c>
      <c r="K1502" s="4">
        <f>1/INR!C1502</f>
        <v>1.5264262545315779E-2</v>
      </c>
      <c r="L1502" s="4">
        <f>1/JPY!B1502</f>
        <v>8.0360012857602064E-3</v>
      </c>
      <c r="M1502" s="4">
        <f>1/JPY!C1502</f>
        <v>8.0382298210288135E-3</v>
      </c>
      <c r="N1502" s="5">
        <f>1/KRW!B1502</f>
        <v>8.5178875638841568E-4</v>
      </c>
      <c r="O1502" s="5">
        <f>1/KRW!C1502</f>
        <v>8.5177613210843384E-4</v>
      </c>
      <c r="P1502" s="3">
        <f>1/NOK!B1502</f>
        <v>0.12151406525305304</v>
      </c>
      <c r="Q1502" s="3">
        <f>1/NOK!C1502</f>
        <v>0.12143143374093819</v>
      </c>
      <c r="R1502" s="3">
        <f>NZD!B1502/1</f>
        <v>0.65669999999999995</v>
      </c>
      <c r="S1502" s="3">
        <f>NZD!C1502/1</f>
        <v>0.65500000000000003</v>
      </c>
      <c r="T1502" s="4">
        <f>1/PHP!B1502</f>
        <v>2.1668002860176377E-2</v>
      </c>
      <c r="U1502" s="4">
        <f>1/PHP!C1502</f>
        <v>2.1629759087743283E-2</v>
      </c>
      <c r="V1502" s="4">
        <f>1/TWD!B1502</f>
        <v>3.0897574540398577E-2</v>
      </c>
      <c r="W1502" s="4">
        <f>1/TWD!C1502</f>
        <v>3.0897574540398577E-2</v>
      </c>
      <c r="X1502" s="4">
        <f>1/TWD!B1502</f>
        <v>3.0897574540398577E-2</v>
      </c>
      <c r="Y1502" s="4">
        <f>1/TWD!C1502</f>
        <v>3.0897574540398577E-2</v>
      </c>
      <c r="Z1502" s="4">
        <f>1/ZAR!B1502</f>
        <v>7.7878587282426692E-2</v>
      </c>
      <c r="AA1502" s="4">
        <f>1/ZAR!C1502</f>
        <v>7.745933384972889E-2</v>
      </c>
    </row>
    <row r="1503" spans="1:27" x14ac:dyDescent="0.25">
      <c r="A1503" t="str">
        <f>"14/08/2015"</f>
        <v>14/08/2015</v>
      </c>
      <c r="B1503" s="3">
        <f>AUD!B1503</f>
        <v>0.73670000000000002</v>
      </c>
      <c r="C1503" s="3">
        <f>AUD!C1503</f>
        <v>0.73550000000000004</v>
      </c>
      <c r="D1503" s="3">
        <f>1/CAD!B1503</f>
        <v>0.76400030560012222</v>
      </c>
      <c r="E1503" s="3">
        <f>1/CAD!C1503</f>
        <v>0.76382523678582348</v>
      </c>
      <c r="F1503" s="3">
        <f>EUR!B1503/1</f>
        <v>1.1109</v>
      </c>
      <c r="G1503" s="3">
        <f>EUR!C1503/1</f>
        <v>1.1113</v>
      </c>
      <c r="H1503" s="3">
        <f>GBP!B1503/1</f>
        <v>1.5641</v>
      </c>
      <c r="I1503" s="3">
        <f>GBP!C1503/1</f>
        <v>1.5638000000000001</v>
      </c>
      <c r="J1503" s="4">
        <f>1/INR!B1503</f>
        <v>1.5382248884786955E-2</v>
      </c>
      <c r="K1503" s="4">
        <f>1/INR!C1503</f>
        <v>1.5284093080126859E-2</v>
      </c>
      <c r="L1503" s="4">
        <f>1/JPY!B1503</f>
        <v>8.0437580437580439E-3</v>
      </c>
      <c r="M1503" s="4">
        <f>1/JPY!C1503</f>
        <v>8.0460297268614301E-3</v>
      </c>
      <c r="N1503" s="5">
        <f>1/KRW!B1503</f>
        <v>8.4638888183564823E-4</v>
      </c>
      <c r="O1503" s="5">
        <f>1/KRW!C1503</f>
        <v>8.4637419642059886E-4</v>
      </c>
      <c r="P1503" s="3">
        <f>1/NOK!B1503</f>
        <v>0.12045580476523164</v>
      </c>
      <c r="Q1503" s="3">
        <f>1/NOK!C1503</f>
        <v>0.1203746057731661</v>
      </c>
      <c r="R1503" s="3">
        <f>NZD!B1503/1</f>
        <v>0.65169999999999995</v>
      </c>
      <c r="S1503" s="3">
        <f>NZD!C1503/1</f>
        <v>0.65</v>
      </c>
      <c r="T1503" s="4">
        <f>1/PHP!B1503</f>
        <v>2.1649707728945661E-2</v>
      </c>
      <c r="U1503" s="4">
        <f>1/PHP!C1503</f>
        <v>2.1611668572095448E-2</v>
      </c>
      <c r="V1503" s="4">
        <f>1/TWD!B1503</f>
        <v>3.1093560523615556E-2</v>
      </c>
      <c r="W1503" s="4">
        <f>1/TWD!C1503</f>
        <v>3.1093560523615556E-2</v>
      </c>
      <c r="X1503" s="4">
        <f>1/TWD!B1503</f>
        <v>3.1093560523615556E-2</v>
      </c>
      <c r="Y1503" s="4">
        <f>1/TWD!C1503</f>
        <v>3.1093560523615556E-2</v>
      </c>
      <c r="Z1503" s="4">
        <f>1/ZAR!B1503</f>
        <v>7.7755056022517866E-2</v>
      </c>
      <c r="AA1503" s="4">
        <f>1/ZAR!C1503</f>
        <v>7.7336529909902946E-2</v>
      </c>
    </row>
    <row r="1504" spans="1:27" x14ac:dyDescent="0.25">
      <c r="A1504" t="str">
        <f>"17/08/2015"</f>
        <v>17/08/2015</v>
      </c>
      <c r="B1504" s="3">
        <f>AUD!B1504</f>
        <v>0.73699999999999999</v>
      </c>
      <c r="C1504" s="3">
        <f>AUD!C1504</f>
        <v>0.73570000000000002</v>
      </c>
      <c r="D1504" s="3">
        <f>1/CAD!B1504</f>
        <v>0.76458444835232042</v>
      </c>
      <c r="E1504" s="3">
        <f>1/CAD!C1504</f>
        <v>0.76440911175661208</v>
      </c>
      <c r="F1504" s="3">
        <f>EUR!B1504/1</f>
        <v>1.1076999999999999</v>
      </c>
      <c r="G1504" s="3">
        <f>EUR!C1504/1</f>
        <v>1.1082000000000001</v>
      </c>
      <c r="H1504" s="3">
        <f>GBP!B1504/1</f>
        <v>1.5586</v>
      </c>
      <c r="I1504" s="3">
        <f>GBP!C1504/1</f>
        <v>1.5582</v>
      </c>
      <c r="J1504" s="4">
        <f>1/INR!B1504</f>
        <v>1.5309246785058177E-2</v>
      </c>
      <c r="K1504" s="4">
        <f>1/INR!C1504</f>
        <v>1.5215489368176805E-2</v>
      </c>
      <c r="L1504" s="4">
        <f>1/JPY!B1504</f>
        <v>8.0392314494734298E-3</v>
      </c>
      <c r="M1504" s="4">
        <f>1/JPY!C1504</f>
        <v>8.0421602207412131E-3</v>
      </c>
      <c r="N1504" s="5">
        <f>1/KRW!B1504</f>
        <v>8.4522280073027253E-4</v>
      </c>
      <c r="O1504" s="5">
        <f>1/KRW!C1504</f>
        <v>8.4520915588031861E-4</v>
      </c>
      <c r="P1504" s="3">
        <f>1/NOK!B1504</f>
        <v>0.12164562197406517</v>
      </c>
      <c r="Q1504" s="3">
        <f>1/NOK!C1504</f>
        <v>0.12156133377095413</v>
      </c>
      <c r="R1504" s="3">
        <f>NZD!B1504/1</f>
        <v>0.65700000000000003</v>
      </c>
      <c r="S1504" s="3">
        <f>NZD!C1504/1</f>
        <v>0.65529999999999999</v>
      </c>
      <c r="T1504" s="4">
        <f>1/PHP!B1504</f>
        <v>2.158708228995769E-2</v>
      </c>
      <c r="U1504" s="4">
        <f>1/PHP!C1504</f>
        <v>2.1549216255004805E-2</v>
      </c>
      <c r="V1504" s="4">
        <f>1/TWD!B1504</f>
        <v>3.0819490245631336E-2</v>
      </c>
      <c r="W1504" s="4">
        <f>1/TWD!C1504</f>
        <v>3.0819490245631336E-2</v>
      </c>
      <c r="X1504" s="4">
        <f>1/TWD!B1504</f>
        <v>3.0819490245631336E-2</v>
      </c>
      <c r="Y1504" s="4">
        <f>1/TWD!C1504</f>
        <v>3.0819490245631336E-2</v>
      </c>
      <c r="Z1504" s="4">
        <f>1/ZAR!B1504</f>
        <v>7.7405371932812134E-2</v>
      </c>
      <c r="AA1504" s="4">
        <f>1/ZAR!C1504</f>
        <v>12.515644555694619</v>
      </c>
    </row>
    <row r="1505" spans="1:27" x14ac:dyDescent="0.25">
      <c r="A1505" t="str">
        <f>"19/08/2015"</f>
        <v>19/08/2015</v>
      </c>
      <c r="B1505" s="3">
        <f>AUD!B1505</f>
        <v>0.73460000000000003</v>
      </c>
      <c r="C1505" s="3">
        <f>AUD!C1505</f>
        <v>0.73340000000000005</v>
      </c>
      <c r="D1505" s="3">
        <f>1/CAD!B1505</f>
        <v>0.76167263310229261</v>
      </c>
      <c r="E1505" s="3">
        <f>1/CAD!C1505</f>
        <v>0.76155662173482608</v>
      </c>
      <c r="F1505" s="3">
        <f>EUR!B1505/1</f>
        <v>1.1120000000000001</v>
      </c>
      <c r="G1505" s="3">
        <f>EUR!C1505/1</f>
        <v>1.1124000000000001</v>
      </c>
      <c r="H1505" s="3">
        <f>GBP!B1505/1</f>
        <v>1.5679000000000001</v>
      </c>
      <c r="I1505" s="3">
        <f>GBP!C1505/1</f>
        <v>1.5676000000000001</v>
      </c>
      <c r="J1505" s="4">
        <f>1/INR!B1505</f>
        <v>1.5319214124315422E-2</v>
      </c>
      <c r="K1505" s="4">
        <f>1/INR!C1505</f>
        <v>1.5226494099733538E-2</v>
      </c>
      <c r="L1505" s="4">
        <f>1/JPY!B1505</f>
        <v>8.0775444264943458E-3</v>
      </c>
      <c r="M1505" s="4">
        <f>1/JPY!C1505</f>
        <v>8.0801224946570188E-3</v>
      </c>
      <c r="N1505" s="5">
        <f>1/KRW!B1505</f>
        <v>8.4317032040472171E-4</v>
      </c>
      <c r="O1505" s="5">
        <f>1/KRW!C1505</f>
        <v>8.4315752374753165E-4</v>
      </c>
      <c r="P1505" s="3">
        <f>1/NOK!B1505</f>
        <v>0.12027760070242119</v>
      </c>
      <c r="Q1505" s="3">
        <f>1/NOK!C1505</f>
        <v>0.12019230769230768</v>
      </c>
      <c r="R1505" s="3">
        <f>NZD!B1505/1</f>
        <v>0.65980000000000005</v>
      </c>
      <c r="S1505" s="3">
        <f>NZD!C1505/1</f>
        <v>0.65810000000000002</v>
      </c>
      <c r="T1505" s="4">
        <f>1/PHP!B1505</f>
        <v>2.1575904030378873E-2</v>
      </c>
      <c r="U1505" s="4">
        <f>1/PHP!C1505</f>
        <v>2.1539051377099248E-2</v>
      </c>
      <c r="V1505" s="4">
        <f>1/TWD!B1505</f>
        <v>3.0612869650401033E-2</v>
      </c>
      <c r="W1505" s="4">
        <f>1/TWD!C1505</f>
        <v>3.0612869650401033E-2</v>
      </c>
      <c r="X1505" s="4">
        <f>1/TWD!B1505</f>
        <v>3.0612869650401033E-2</v>
      </c>
      <c r="Y1505" s="4">
        <f>1/TWD!C1505</f>
        <v>3.0612869650401033E-2</v>
      </c>
      <c r="Z1505" s="4">
        <f>1/ZAR!B1505</f>
        <v>7.7530799109946424E-2</v>
      </c>
      <c r="AA1505" s="4">
        <f>1/ZAR!C1505</f>
        <v>7.7095652576151225E-2</v>
      </c>
    </row>
    <row r="1506" spans="1:27" x14ac:dyDescent="0.25">
      <c r="A1506" t="str">
        <f>"20/08/2015"</f>
        <v>20/08/2015</v>
      </c>
      <c r="B1506" s="3">
        <f>AUD!B1506</f>
        <v>0.73360000000000003</v>
      </c>
      <c r="C1506" s="3">
        <f>AUD!C1506</f>
        <v>0.73240000000000005</v>
      </c>
      <c r="D1506" s="3">
        <f>1/CAD!B1506</f>
        <v>0.76411706273401081</v>
      </c>
      <c r="E1506" s="3">
        <f>1/CAD!C1506</f>
        <v>0.76400030560012222</v>
      </c>
      <c r="F1506" s="3">
        <f>EUR!B1506/1</f>
        <v>1.1241000000000001</v>
      </c>
      <c r="G1506" s="3">
        <f>EUR!C1506/1</f>
        <v>1.1245000000000001</v>
      </c>
      <c r="H1506" s="3">
        <f>GBP!B1506/1</f>
        <v>1.5689</v>
      </c>
      <c r="I1506" s="3">
        <f>GBP!C1506/1</f>
        <v>1.5686</v>
      </c>
      <c r="J1506" s="4">
        <f>1/INR!B1506</f>
        <v>1.5255530129672007E-2</v>
      </c>
      <c r="K1506" s="4">
        <f>1/INR!C1506</f>
        <v>1.516357708783502E-2</v>
      </c>
      <c r="L1506" s="4">
        <f>1/JPY!B1506</f>
        <v>8.1030710639332301E-3</v>
      </c>
      <c r="M1506" s="4">
        <f>1/JPY!C1506</f>
        <v>8.105153013131158E-3</v>
      </c>
      <c r="N1506" s="5">
        <f>1/KRW!B1506</f>
        <v>8.4360421464665632E-4</v>
      </c>
      <c r="O1506" s="5">
        <f>1/KRW!C1506</f>
        <v>8.4359140481589465E-4</v>
      </c>
      <c r="P1506" s="3">
        <f>1/NOK!B1506</f>
        <v>0.12136806078112485</v>
      </c>
      <c r="Q1506" s="3">
        <f>1/NOK!C1506</f>
        <v>0.12128415665061672</v>
      </c>
      <c r="R1506" s="3">
        <f>NZD!B1506/1</f>
        <v>0.66259999999999997</v>
      </c>
      <c r="S1506" s="3">
        <f>NZD!C1506/1</f>
        <v>0.66100000000000003</v>
      </c>
      <c r="T1506" s="4">
        <f>1/PHP!B1506</f>
        <v>2.1461530207103768E-2</v>
      </c>
      <c r="U1506" s="4">
        <f>1/PHP!C1506</f>
        <v>2.1422955553794112E-2</v>
      </c>
      <c r="V1506" s="4">
        <f>1/TWD!B1506</f>
        <v>3.0693677102516883E-2</v>
      </c>
      <c r="W1506" s="4">
        <f>1/TWD!C1506</f>
        <v>3.0693677102516883E-2</v>
      </c>
      <c r="X1506" s="4">
        <f>1/TWD!B1506</f>
        <v>3.0693677102516883E-2</v>
      </c>
      <c r="Y1506" s="4">
        <f>1/TWD!C1506</f>
        <v>3.0693677102516883E-2</v>
      </c>
      <c r="Z1506" s="4">
        <f>1/ZAR!B1506</f>
        <v>7.7251693743385322E-2</v>
      </c>
      <c r="AA1506" s="4">
        <f>1/ZAR!C1506</f>
        <v>7.6832650803285371E-2</v>
      </c>
    </row>
    <row r="1507" spans="1:27" x14ac:dyDescent="0.25">
      <c r="A1507" t="str">
        <f>"21/08/2015"</f>
        <v>21/08/2015</v>
      </c>
      <c r="B1507" s="3">
        <f>AUD!B1507</f>
        <v>0.73109999999999997</v>
      </c>
      <c r="C1507" s="3">
        <f>AUD!C1507</f>
        <v>0.72989999999999999</v>
      </c>
      <c r="D1507" s="3">
        <f>1/CAD!B1507</f>
        <v>0.7635919364691508</v>
      </c>
      <c r="E1507" s="3">
        <f>1/CAD!C1507</f>
        <v>0.76347533974652615</v>
      </c>
      <c r="F1507" s="3">
        <f>EUR!B1507/1</f>
        <v>1.1281000000000001</v>
      </c>
      <c r="G1507" s="3">
        <f>EUR!C1507/1</f>
        <v>1.1285000000000001</v>
      </c>
      <c r="H1507" s="3">
        <f>GBP!B1507/1</f>
        <v>1.5691999999999999</v>
      </c>
      <c r="I1507" s="3">
        <f>GBP!C1507/1</f>
        <v>1.5689</v>
      </c>
      <c r="J1507" s="4">
        <f>1/INR!B1507</f>
        <v>1.5211439002129602E-2</v>
      </c>
      <c r="K1507" s="4">
        <f>1/INR!C1507</f>
        <v>1.5112017832181041E-2</v>
      </c>
      <c r="L1507" s="4">
        <f>1/JPY!B1507</f>
        <v>8.1278345823105804E-3</v>
      </c>
      <c r="M1507" s="4">
        <f>1/JPY!C1507</f>
        <v>8.1299358873255928E-3</v>
      </c>
      <c r="N1507" s="5">
        <f>1/KRW!B1507</f>
        <v>8.3808246731478374E-4</v>
      </c>
      <c r="O1507" s="5">
        <f>1/KRW!C1507</f>
        <v>8.3806989486161741E-4</v>
      </c>
      <c r="P1507" s="3">
        <f>1/NOK!B1507</f>
        <v>0.12163230554035151</v>
      </c>
      <c r="Q1507" s="3">
        <f>1/NOK!C1507</f>
        <v>0.12154655840919865</v>
      </c>
      <c r="R1507" s="3">
        <f>NZD!B1507/1</f>
        <v>0.66169999999999995</v>
      </c>
      <c r="S1507" s="3">
        <f>NZD!C1507/1</f>
        <v>0.66</v>
      </c>
      <c r="T1507" s="4">
        <f>1/PHP!B1507</f>
        <v>2.1342439440828087E-2</v>
      </c>
      <c r="U1507" s="4">
        <f>1/PHP!C1507</f>
        <v>2.13036559203925E-2</v>
      </c>
      <c r="V1507" s="4">
        <f>1/TWD!B1507</f>
        <v>3.055300947143294E-2</v>
      </c>
      <c r="W1507" s="4">
        <f>1/TWD!C1507</f>
        <v>3.055300947143294E-2</v>
      </c>
      <c r="X1507" s="4">
        <f>1/TWD!B1507</f>
        <v>3.055300947143294E-2</v>
      </c>
      <c r="Y1507" s="4">
        <f>1/TWD!C1507</f>
        <v>3.055300947143294E-2</v>
      </c>
      <c r="Z1507" s="4">
        <f>1/ZAR!B1507</f>
        <v>7.7074261050522175E-2</v>
      </c>
      <c r="AA1507" s="4">
        <f>1/ZAR!C1507</f>
        <v>7.6648909669259954E-2</v>
      </c>
    </row>
    <row r="1508" spans="1:27" x14ac:dyDescent="0.25">
      <c r="A1508" t="str">
        <f>"25/08/2015"</f>
        <v>25/08/2015</v>
      </c>
      <c r="B1508" s="3">
        <f>AUD!B1508</f>
        <v>0.71289999999999998</v>
      </c>
      <c r="C1508" s="3">
        <f>AUD!C1508</f>
        <v>0.7117</v>
      </c>
      <c r="D1508" s="3">
        <f>1/CAD!B1508</f>
        <v>0.74979380670315654</v>
      </c>
      <c r="E1508" s="3">
        <f>1/CAD!C1508</f>
        <v>0.74968138541120022</v>
      </c>
      <c r="F1508" s="3">
        <f>EUR!B1508/1</f>
        <v>1.1516</v>
      </c>
      <c r="G1508" s="3">
        <f>EUR!C1508/1</f>
        <v>1.1520999999999999</v>
      </c>
      <c r="H1508" s="3">
        <f>GBP!B1508/1</f>
        <v>1.5687</v>
      </c>
      <c r="I1508" s="3">
        <f>GBP!C1508/1</f>
        <v>1.5684</v>
      </c>
      <c r="J1508" s="4">
        <f>1/INR!B1508</f>
        <v>1.5128020876668808E-2</v>
      </c>
      <c r="K1508" s="4">
        <f>1/INR!C1508</f>
        <v>1.5033637764498065E-2</v>
      </c>
      <c r="L1508" s="4">
        <f>1/JPY!B1508</f>
        <v>8.4146751935375297E-3</v>
      </c>
      <c r="M1508" s="4">
        <f>1/JPY!C1508</f>
        <v>8.4174800758246605E-3</v>
      </c>
      <c r="N1508" s="5">
        <f>1/KRW!B1508</f>
        <v>8.3626024418799135E-4</v>
      </c>
      <c r="O1508" s="5">
        <f>1/KRW!C1508</f>
        <v>8.3624702703728802E-4</v>
      </c>
      <c r="P1508" s="3">
        <f>1/NOK!B1508</f>
        <v>0.12122828498345233</v>
      </c>
      <c r="Q1508" s="3">
        <f>1/NOK!C1508</f>
        <v>0.12114017129220221</v>
      </c>
      <c r="R1508" s="3">
        <f>NZD!B1508/1</f>
        <v>0.64700000000000002</v>
      </c>
      <c r="S1508" s="3">
        <f>NZD!C1508/1</f>
        <v>0.64529999999999998</v>
      </c>
      <c r="T1508" s="4">
        <f>1/PHP!B1508</f>
        <v>2.1459227467811159E-2</v>
      </c>
      <c r="U1508" s="4">
        <f>1/PHP!C1508</f>
        <v>2.1420706969012805E-2</v>
      </c>
      <c r="V1508" s="4">
        <f>1/TWD!B1508</f>
        <v>3.0731407498463429E-2</v>
      </c>
      <c r="W1508" s="4">
        <f>1/TWD!C1508</f>
        <v>3.0731407498463429E-2</v>
      </c>
      <c r="X1508" s="4">
        <f>1/TWD!B1508</f>
        <v>3.0731407498463429E-2</v>
      </c>
      <c r="Y1508" s="4">
        <f>1/TWD!C1508</f>
        <v>3.0731407498463429E-2</v>
      </c>
      <c r="Z1508" s="4">
        <f>1/ZAR!B1508</f>
        <v>7.5720289251504938E-2</v>
      </c>
      <c r="AA1508" s="4">
        <f>1/ZAR!C1508</f>
        <v>7.5280797374205788E-2</v>
      </c>
    </row>
    <row r="1509" spans="1:27" x14ac:dyDescent="0.25">
      <c r="A1509" t="str">
        <f>"26/08/2015"</f>
        <v>26/08/2015</v>
      </c>
      <c r="B1509" s="3">
        <f>AUD!B1509</f>
        <v>0.71199999999999997</v>
      </c>
      <c r="C1509" s="3">
        <f>AUD!C1509</f>
        <v>0.71089999999999998</v>
      </c>
      <c r="D1509" s="3">
        <f>1/CAD!B1509</f>
        <v>0.75227563379222151</v>
      </c>
      <c r="E1509" s="3">
        <f>1/CAD!C1509</f>
        <v>0.75216246709289214</v>
      </c>
      <c r="F1509" s="3">
        <f>EUR!B1509/1</f>
        <v>1.1314</v>
      </c>
      <c r="G1509" s="3">
        <f>EUR!C1509/1</f>
        <v>1.1318999999999999</v>
      </c>
      <c r="H1509" s="3">
        <f>GBP!B1509/1</f>
        <v>1.5463</v>
      </c>
      <c r="I1509" s="3">
        <f>GBP!C1509/1</f>
        <v>1.546</v>
      </c>
      <c r="J1509" s="4">
        <f>1/INR!B1509</f>
        <v>1.511715797430083E-2</v>
      </c>
      <c r="K1509" s="4">
        <f>1/INR!C1509</f>
        <v>1.5026296018031555E-2</v>
      </c>
      <c r="L1509" s="4">
        <f>1/JPY!B1509</f>
        <v>8.3381972817476863E-3</v>
      </c>
      <c r="M1509" s="4">
        <f>1/JPY!C1509</f>
        <v>8.3406174725927304E-3</v>
      </c>
      <c r="N1509" s="5">
        <f>1/KRW!B1509</f>
        <v>8.4309212467646342E-4</v>
      </c>
      <c r="O1509" s="5">
        <f>1/KRW!C1509</f>
        <v>8.4308039656815685E-4</v>
      </c>
      <c r="P1509" s="3">
        <f>1/NOK!B1509</f>
        <v>0.11898387768457373</v>
      </c>
      <c r="Q1509" s="3">
        <f>1/NOK!C1509</f>
        <v>0.11890040901740703</v>
      </c>
      <c r="R1509" s="3">
        <f>NZD!B1509/1</f>
        <v>0.64329999999999998</v>
      </c>
      <c r="S1509" s="3">
        <f>NZD!C1509/1</f>
        <v>0.64170000000000005</v>
      </c>
      <c r="T1509" s="4">
        <f>1/PHP!B1509</f>
        <v>2.1415569118749332E-2</v>
      </c>
      <c r="U1509" s="4">
        <f>1/PHP!C1509</f>
        <v>2.1378987448396468E-2</v>
      </c>
      <c r="V1509" s="4">
        <f>1/TWD!B1509</f>
        <v>3.052037234854265E-2</v>
      </c>
      <c r="W1509" s="4">
        <f>1/TWD!C1509</f>
        <v>3.052037234854265E-2</v>
      </c>
      <c r="X1509" s="4">
        <f>1/TWD!B1509</f>
        <v>3.052037234854265E-2</v>
      </c>
      <c r="Y1509" s="4">
        <f>1/TWD!C1509</f>
        <v>3.052037234854265E-2</v>
      </c>
      <c r="Z1509" s="4">
        <f>1/ZAR!B1509</f>
        <v>7.6085550593086859E-2</v>
      </c>
      <c r="AA1509" s="4">
        <f>1/ZAR!C1509</f>
        <v>7.5661279583560323E-2</v>
      </c>
    </row>
    <row r="1510" spans="1:27" x14ac:dyDescent="0.25">
      <c r="A1510" t="str">
        <f>"27/08/2015"</f>
        <v>27/08/2015</v>
      </c>
      <c r="B1510" s="3">
        <f>AUD!B1510</f>
        <v>0.71640000000000004</v>
      </c>
      <c r="C1510" s="3">
        <f>AUD!C1510</f>
        <v>0.71530000000000005</v>
      </c>
      <c r="D1510" s="3">
        <f>1/CAD!B1510</f>
        <v>0.75763315402682019</v>
      </c>
      <c r="E1510" s="3">
        <f>1/CAD!C1510</f>
        <v>0.75757575757575757</v>
      </c>
      <c r="F1510" s="3">
        <f>EUR!B1510/1</f>
        <v>1.1245000000000001</v>
      </c>
      <c r="G1510" s="3">
        <f>EUR!C1510/1</f>
        <v>1.125</v>
      </c>
      <c r="H1510" s="3">
        <f>GBP!B1510/1</f>
        <v>1.5402</v>
      </c>
      <c r="I1510" s="3">
        <f>GBP!C1510/1</f>
        <v>1.5399</v>
      </c>
      <c r="J1510" s="4">
        <f>1/INR!B1510</f>
        <v>1.514004542013626E-2</v>
      </c>
      <c r="K1510" s="4">
        <f>1/INR!C1510</f>
        <v>1.5053439710973957E-2</v>
      </c>
      <c r="L1510" s="4">
        <f>1/JPY!B1510</f>
        <v>8.2624142774518714E-3</v>
      </c>
      <c r="M1510" s="4">
        <f>1/JPY!C1510</f>
        <v>8.2646540581104346E-3</v>
      </c>
      <c r="N1510" s="5">
        <f>1/KRW!B1510</f>
        <v>8.435970980259827E-4</v>
      </c>
      <c r="O1510" s="5">
        <f>1/KRW!C1510</f>
        <v>8.4358677913927991E-4</v>
      </c>
      <c r="P1510" s="3">
        <f>1/NOK!B1510</f>
        <v>0.12040359284321044</v>
      </c>
      <c r="Q1510" s="3">
        <f>1/NOK!C1510</f>
        <v>0.12031956877466551</v>
      </c>
      <c r="R1510" s="3">
        <f>NZD!B1510/1</f>
        <v>0.64649999999999996</v>
      </c>
      <c r="S1510" s="3">
        <f>NZD!C1510/1</f>
        <v>0.64500000000000002</v>
      </c>
      <c r="T1510" s="4">
        <f>1/PHP!B1510</f>
        <v>2.1421074052653002E-2</v>
      </c>
      <c r="U1510" s="4">
        <f>1/PHP!C1510</f>
        <v>2.1382278794980298E-2</v>
      </c>
      <c r="V1510" s="4">
        <f>1/TWD!B1510</f>
        <v>3.1088727227507308E-2</v>
      </c>
      <c r="W1510" s="4">
        <f>1/TWD!C1510</f>
        <v>3.1088727227507308E-2</v>
      </c>
      <c r="X1510" s="4">
        <f>1/TWD!B1510</f>
        <v>3.1088727227507308E-2</v>
      </c>
      <c r="Y1510" s="4">
        <f>1/TWD!C1510</f>
        <v>3.1088727227507308E-2</v>
      </c>
      <c r="Z1510" s="4">
        <f>1/ZAR!B1510</f>
        <v>7.598264556375324E-2</v>
      </c>
      <c r="AA1510" s="4">
        <f>1/ZAR!C1510</f>
        <v>7.5570938439913554E-2</v>
      </c>
    </row>
    <row r="1511" spans="1:27" x14ac:dyDescent="0.25">
      <c r="A1511" t="str">
        <f>"28/08/2015"</f>
        <v>28/08/2015</v>
      </c>
      <c r="B1511" s="3">
        <f>AUD!B1511</f>
        <v>0.71709999999999996</v>
      </c>
      <c r="C1511" s="3">
        <f>AUD!C1511</f>
        <v>0.71599999999999997</v>
      </c>
      <c r="D1511" s="3">
        <f>1/CAD!B1511</f>
        <v>0.75751836982046816</v>
      </c>
      <c r="E1511" s="3">
        <f>1/CAD!C1511</f>
        <v>0.75746099075897588</v>
      </c>
      <c r="F1511" s="3">
        <f>EUR!B1511/1</f>
        <v>1.1184000000000001</v>
      </c>
      <c r="G1511" s="3">
        <f>EUR!C1511/1</f>
        <v>1.1189</v>
      </c>
      <c r="H1511" s="3">
        <f>GBP!B1511/1</f>
        <v>1.5389999999999999</v>
      </c>
      <c r="I1511" s="3">
        <f>GBP!C1511/1</f>
        <v>1.5387</v>
      </c>
      <c r="J1511" s="4">
        <f>1/INR!B1511</f>
        <v>1.5113159783881815E-2</v>
      </c>
      <c r="K1511" s="4">
        <f>1/INR!C1511</f>
        <v>1.5026296018031555E-2</v>
      </c>
      <c r="L1511" s="4">
        <f>1/JPY!B1511</f>
        <v>8.2155767334866903E-3</v>
      </c>
      <c r="M1511" s="4">
        <f>1/JPY!C1511</f>
        <v>8.2198649476189108E-3</v>
      </c>
      <c r="N1511" s="5">
        <f>1/KRW!B1511</f>
        <v>8.5163641937983838E-4</v>
      </c>
      <c r="O1511" s="5">
        <f>1/KRW!C1511</f>
        <v>8.5162590288313691E-4</v>
      </c>
      <c r="P1511" s="3">
        <f>1/NOK!B1511</f>
        <v>0.12046596234234017</v>
      </c>
      <c r="Q1511" s="3">
        <f>1/NOK!C1511</f>
        <v>0.12038764822729188</v>
      </c>
      <c r="R1511" s="3">
        <f>NZD!B1511/1</f>
        <v>0.64290000000000003</v>
      </c>
      <c r="S1511" s="3">
        <f>NZD!C1511/1</f>
        <v>0.64139999999999997</v>
      </c>
      <c r="T1511" s="4">
        <f>1/PHP!B1511</f>
        <v>2.1403651462939578E-2</v>
      </c>
      <c r="U1511" s="4">
        <f>1/PHP!C1511</f>
        <v>2.1369393472505067E-2</v>
      </c>
      <c r="V1511" s="4">
        <f>1/TWD!B1511</f>
        <v>3.1008713448479022E-2</v>
      </c>
      <c r="W1511" s="4">
        <f>1/TWD!C1511</f>
        <v>3.1008713448479022E-2</v>
      </c>
      <c r="X1511" s="4">
        <f>1/TWD!B1511</f>
        <v>3.1008713448479022E-2</v>
      </c>
      <c r="Y1511" s="4">
        <f>1/TWD!C1511</f>
        <v>3.1008713448479022E-2</v>
      </c>
      <c r="Z1511" s="4">
        <f>1/ZAR!B1511</f>
        <v>7.4906928141783832E-2</v>
      </c>
      <c r="AA1511" s="4">
        <f>1/ZAR!C1511</f>
        <v>7.4517869385078539E-2</v>
      </c>
    </row>
    <row r="1512" spans="1:27" x14ac:dyDescent="0.25">
      <c r="A1512" t="str">
        <f>"31/08/2015"</f>
        <v>31/08/2015</v>
      </c>
      <c r="B1512" s="3">
        <f>AUD!B1512</f>
        <v>0.71120000000000005</v>
      </c>
      <c r="C1512" s="3">
        <f>AUD!C1512</f>
        <v>0.71009999999999995</v>
      </c>
      <c r="D1512" s="3">
        <f>1/CAD!B1512</f>
        <v>0.76103500761035003</v>
      </c>
      <c r="E1512" s="3">
        <f>1/CAD!C1512</f>
        <v>0.76097709458945284</v>
      </c>
      <c r="F1512" s="3">
        <f>EUR!B1512/1</f>
        <v>1.121</v>
      </c>
      <c r="G1512" s="3">
        <f>EUR!C1512/1</f>
        <v>1.1214999999999999</v>
      </c>
      <c r="H1512" s="3">
        <f>GBP!B1512/1</f>
        <v>1.5344</v>
      </c>
      <c r="I1512" s="3">
        <f>GBP!C1512/1</f>
        <v>1.5341</v>
      </c>
      <c r="J1512" s="4">
        <f>1/INR!B1512</f>
        <v>1.504042113179169E-2</v>
      </c>
      <c r="K1512" s="4">
        <f>1/INR!C1512</f>
        <v>1.4946566026455421E-2</v>
      </c>
      <c r="L1512" s="4">
        <f>1/JPY!B1512</f>
        <v>8.2487833044625914E-3</v>
      </c>
      <c r="M1512" s="4">
        <f>1/JPY!C1512</f>
        <v>8.253303797510143E-3</v>
      </c>
      <c r="N1512" s="5">
        <f>1/KRW!B1512</f>
        <v>8.4502281561602162E-4</v>
      </c>
      <c r="O1512" s="5">
        <f>1/KRW!C1512</f>
        <v>8.4501246182128067E-4</v>
      </c>
      <c r="P1512" s="3">
        <f>1/NOK!B1512</f>
        <v>0.12070588803321827</v>
      </c>
      <c r="Q1512" s="3">
        <f>1/NOK!C1512</f>
        <v>0.12062871687233864</v>
      </c>
      <c r="R1512" s="3">
        <f>NZD!B1512/1</f>
        <v>0.63370000000000004</v>
      </c>
      <c r="S1512" s="3">
        <f>NZD!C1512/1</f>
        <v>0.63219999999999998</v>
      </c>
      <c r="T1512" s="4">
        <f>1/PHP!B1512</f>
        <v>2.1362956633198035E-2</v>
      </c>
      <c r="U1512" s="4">
        <f>1/PHP!C1512</f>
        <v>2.1329101639568041E-2</v>
      </c>
      <c r="V1512" s="4">
        <f>1/TWD!B1512</f>
        <v>3.0480370641306997E-2</v>
      </c>
      <c r="W1512" s="4">
        <f>1/TWD!C1512</f>
        <v>3.0480370641306997E-2</v>
      </c>
      <c r="X1512" s="4">
        <f>1/TWD!B1512</f>
        <v>3.0480370641306997E-2</v>
      </c>
      <c r="Y1512" s="4">
        <f>1/TWD!C1512</f>
        <v>3.0480370641306997E-2</v>
      </c>
      <c r="Z1512" s="4">
        <f>1/ZAR!B1512</f>
        <v>7.5241714006245061E-2</v>
      </c>
      <c r="AA1512" s="4">
        <f>1/ZAR!C1512</f>
        <v>7.4845257430262921E-2</v>
      </c>
    </row>
    <row r="1513" spans="1:27" x14ac:dyDescent="0.25">
      <c r="A1513" t="str">
        <f>"01/09/2015"</f>
        <v>01/09/2015</v>
      </c>
      <c r="B1513" s="3">
        <f>AUD!B1513</f>
        <v>0.70179999999999998</v>
      </c>
      <c r="C1513" s="3">
        <f>AUD!C1513</f>
        <v>0.7006</v>
      </c>
      <c r="D1513" s="3">
        <f>1/CAD!B1513</f>
        <v>0.75414781297134237</v>
      </c>
      <c r="E1513" s="3">
        <f>1/CAD!C1513</f>
        <v>0.75409094336777016</v>
      </c>
      <c r="F1513" s="3">
        <f>EUR!B1513/1</f>
        <v>1.1314</v>
      </c>
      <c r="G1513" s="3">
        <f>EUR!C1513/1</f>
        <v>1.1318999999999999</v>
      </c>
      <c r="H1513" s="3">
        <f>GBP!B1513/1</f>
        <v>1.5303</v>
      </c>
      <c r="I1513" s="3">
        <f>GBP!C1513/1</f>
        <v>1.53</v>
      </c>
      <c r="J1513" s="4">
        <f>1/INR!B1513</f>
        <v>1.5101177891875567E-2</v>
      </c>
      <c r="K1513" s="4">
        <f>1/INR!C1513</f>
        <v>1.5009944087958272E-2</v>
      </c>
      <c r="L1513" s="4">
        <f>1/JPY!B1513</f>
        <v>8.3766124979058471E-3</v>
      </c>
      <c r="M1513" s="4">
        <f>1/JPY!C1513</f>
        <v>8.381253148208213E-3</v>
      </c>
      <c r="N1513" s="5">
        <f>1/KRW!B1513</f>
        <v>8.5323504065664974E-4</v>
      </c>
      <c r="O1513" s="5">
        <f>1/KRW!C1513</f>
        <v>8.532240478467568E-4</v>
      </c>
      <c r="P1513" s="3">
        <f>1/NOK!B1513</f>
        <v>0.12051387114656896</v>
      </c>
      <c r="Q1513" s="3">
        <f>1/NOK!C1513</f>
        <v>0.12043984631875611</v>
      </c>
      <c r="R1513" s="3">
        <f>NZD!B1513/1</f>
        <v>0.63280000000000003</v>
      </c>
      <c r="S1513" s="3">
        <f>NZD!C1513/1</f>
        <v>0.63119999999999998</v>
      </c>
      <c r="T1513" s="4">
        <f>1/PHP!B1513</f>
        <v>2.1385342486259916E-2</v>
      </c>
      <c r="U1513" s="4">
        <f>1/PHP!C1513</f>
        <v>2.1347496685801142E-2</v>
      </c>
      <c r="V1513" s="4">
        <f>1/TWD!B1513</f>
        <v>3.0848011845636548E-2</v>
      </c>
      <c r="W1513" s="4">
        <f>1/TWD!C1513</f>
        <v>3.0848011845636548E-2</v>
      </c>
      <c r="X1513" s="4">
        <f>1/TWD!B1513</f>
        <v>3.0848011845636548E-2</v>
      </c>
      <c r="Y1513" s="4">
        <f>1/TWD!C1513</f>
        <v>3.0848011845636548E-2</v>
      </c>
      <c r="Z1513" s="4">
        <f>1/ZAR!B1513</f>
        <v>7.4287030227392609E-2</v>
      </c>
      <c r="AA1513" s="4">
        <f>1/ZAR!C1513</f>
        <v>7.3903275393165421E-2</v>
      </c>
    </row>
    <row r="1514" spans="1:27" x14ac:dyDescent="0.25">
      <c r="A1514" t="str">
        <f>"02/09/2015"</f>
        <v>02/09/2015</v>
      </c>
      <c r="B1514" s="3">
        <f>AUD!B1514</f>
        <v>0.70379999999999998</v>
      </c>
      <c r="C1514" s="3">
        <f>AUD!C1514</f>
        <v>0.7026</v>
      </c>
      <c r="D1514" s="3">
        <f>1/CAD!B1514</f>
        <v>0.75357950263752826</v>
      </c>
      <c r="E1514" s="3">
        <f>1/CAD!C1514</f>
        <v>0.75352271870996912</v>
      </c>
      <c r="F1514" s="3">
        <f>EUR!B1514/1</f>
        <v>1.1227</v>
      </c>
      <c r="G1514" s="3">
        <f>EUR!C1514/1</f>
        <v>1.1232</v>
      </c>
      <c r="H1514" s="3">
        <f>GBP!B1514/1</f>
        <v>1.5298</v>
      </c>
      <c r="I1514" s="3">
        <f>GBP!C1514/1</f>
        <v>1.5295000000000001</v>
      </c>
      <c r="J1514" s="4">
        <f>1/INR!B1514</f>
        <v>1.5105740181268881E-2</v>
      </c>
      <c r="K1514" s="4">
        <f>1/INR!C1514</f>
        <v>1.5015578662862721E-2</v>
      </c>
      <c r="L1514" s="4">
        <f>1/JPY!B1514</f>
        <v>8.309788931361143E-3</v>
      </c>
      <c r="M1514" s="4">
        <f>1/JPY!C1514</f>
        <v>8.314293600987073E-3</v>
      </c>
      <c r="N1514" s="5">
        <f>1/KRW!B1514</f>
        <v>8.4667552853719878E-4</v>
      </c>
      <c r="O1514" s="5">
        <f>1/KRW!C1514</f>
        <v>8.4666470409788255E-4</v>
      </c>
      <c r="P1514" s="3">
        <f>1/NOK!B1514</f>
        <v>0.12101849162552039</v>
      </c>
      <c r="Q1514" s="3">
        <f>1/NOK!C1514</f>
        <v>0.12093945770747165</v>
      </c>
      <c r="R1514" s="3">
        <f>NZD!B1514/1</f>
        <v>0.63429999999999997</v>
      </c>
      <c r="S1514" s="3">
        <f>NZD!C1514/1</f>
        <v>0.63280000000000003</v>
      </c>
      <c r="T1514" s="4">
        <f>1/PHP!B1514</f>
        <v>2.1376656690893545E-2</v>
      </c>
      <c r="U1514" s="4">
        <f>1/PHP!C1514</f>
        <v>2.1339023739663912E-2</v>
      </c>
      <c r="V1514" s="4">
        <f>1/TWD!B1514</f>
        <v>3.0525030525030528E-2</v>
      </c>
      <c r="W1514" s="4">
        <f>1/TWD!C1514</f>
        <v>3.0525030525030528E-2</v>
      </c>
      <c r="X1514" s="4">
        <f>1/TWD!B1514</f>
        <v>3.0525030525030528E-2</v>
      </c>
      <c r="Y1514" s="4">
        <f>1/TWD!C1514</f>
        <v>3.0525030525030528E-2</v>
      </c>
      <c r="Z1514" s="4">
        <f>1/ZAR!B1514</f>
        <v>7.4338388343740708E-2</v>
      </c>
      <c r="AA1514" s="4">
        <f>1/ZAR!C1514</f>
        <v>7.392567512622808E-2</v>
      </c>
    </row>
    <row r="1515" spans="1:27" x14ac:dyDescent="0.25">
      <c r="A1515" t="str">
        <f>"03/09/2015"</f>
        <v>03/09/2015</v>
      </c>
      <c r="B1515" s="3">
        <f>AUD!B1515</f>
        <v>0.7016</v>
      </c>
      <c r="C1515" s="3">
        <f>AUD!C1515</f>
        <v>0.70050000000000001</v>
      </c>
      <c r="D1515" s="3">
        <f>1/CAD!B1515</f>
        <v>0.75872534142640358</v>
      </c>
      <c r="E1515" s="3">
        <f>1/CAD!C1515</f>
        <v>0.75866777937940977</v>
      </c>
      <c r="F1515" s="3">
        <f>EUR!B1515/1</f>
        <v>1.1123000000000001</v>
      </c>
      <c r="G1515" s="3">
        <f>EUR!C1515/1</f>
        <v>1.1128</v>
      </c>
      <c r="H1515" s="3">
        <f>GBP!B1515/1</f>
        <v>1.5257000000000001</v>
      </c>
      <c r="I1515" s="3">
        <f>GBP!C1515/1</f>
        <v>1.5255000000000001</v>
      </c>
      <c r="J1515" s="4">
        <f>1/INR!B1515</f>
        <v>1.509433962264151E-2</v>
      </c>
      <c r="K1515" s="4">
        <f>1/INR!C1515</f>
        <v>1.5007128385983341E-2</v>
      </c>
      <c r="L1515" s="4">
        <f>1/JPY!B1515</f>
        <v>8.327781479013991E-3</v>
      </c>
      <c r="M1515" s="4">
        <f>1/JPY!C1515</f>
        <v>8.3324167674889097E-3</v>
      </c>
      <c r="N1515" s="5">
        <f>1/KRW!B1515</f>
        <v>8.3998320033599333E-4</v>
      </c>
      <c r="O1515" s="5">
        <f>1/KRW!C1515</f>
        <v>8.399733224472791E-4</v>
      </c>
      <c r="P1515" s="3">
        <f>1/NOK!B1515</f>
        <v>0.12065054775348681</v>
      </c>
      <c r="Q1515" s="3">
        <f>1/NOK!C1515</f>
        <v>0.12057490112858107</v>
      </c>
      <c r="R1515" s="3">
        <f>NZD!B1515/1</f>
        <v>0.63959999999999995</v>
      </c>
      <c r="S1515" s="3">
        <f>NZD!C1515/1</f>
        <v>0.6381</v>
      </c>
      <c r="T1515" s="4">
        <f>1/PHP!B1515</f>
        <v>2.1345628415300546E-2</v>
      </c>
      <c r="U1515" s="4">
        <f>1/PHP!C1515</f>
        <v>2.1309058054397763E-2</v>
      </c>
      <c r="V1515" s="4">
        <f>1/TWD!B1515</f>
        <v>3.0755982038506487E-2</v>
      </c>
      <c r="W1515" s="4">
        <f>1/TWD!C1515</f>
        <v>3.0756076631840535E-2</v>
      </c>
      <c r="X1515" s="4">
        <f>1/TWD!B1515</f>
        <v>3.0755982038506487E-2</v>
      </c>
      <c r="Y1515" s="4">
        <f>1/TWD!C1515</f>
        <v>3.0756076631840535E-2</v>
      </c>
      <c r="Z1515" s="4">
        <f>1/ZAR!B1515</f>
        <v>7.3610599926389395E-2</v>
      </c>
      <c r="AA1515" s="4">
        <f>1/ZAR!C1515</f>
        <v>7.3219306466729139E-2</v>
      </c>
    </row>
    <row r="1516" spans="1:27" x14ac:dyDescent="0.25">
      <c r="A1516" t="str">
        <f>"04/09/2015"</f>
        <v>04/09/2015</v>
      </c>
      <c r="B1516" s="3">
        <f>AUD!B1516</f>
        <v>0.6905</v>
      </c>
      <c r="C1516" s="3">
        <f>AUD!C1516</f>
        <v>0.68940000000000001</v>
      </c>
      <c r="D1516" s="3">
        <f>1/CAD!B1516</f>
        <v>0.75284197846871936</v>
      </c>
      <c r="E1516" s="3">
        <f>1/CAD!C1516</f>
        <v>0.75278530563083412</v>
      </c>
      <c r="F1516" s="3">
        <f>EUR!B1516/1</f>
        <v>1.1148</v>
      </c>
      <c r="G1516" s="3">
        <f>EUR!C1516/1</f>
        <v>1.1153</v>
      </c>
      <c r="H1516" s="3">
        <f>GBP!B1516/1</f>
        <v>1.5168999999999999</v>
      </c>
      <c r="I1516" s="3">
        <f>GBP!C1516/1</f>
        <v>1.5166999999999999</v>
      </c>
      <c r="J1516" s="4">
        <f>1/INR!B1516</f>
        <v>1.5044380923724988E-2</v>
      </c>
      <c r="K1516" s="4">
        <f>1/INR!C1516</f>
        <v>1.4957744372148678E-2</v>
      </c>
      <c r="L1516" s="4">
        <f>1/JPY!B1516</f>
        <v>8.4040675687032523E-3</v>
      </c>
      <c r="M1516" s="4">
        <f>1/JPY!C1516</f>
        <v>8.4088164758986499E-3</v>
      </c>
      <c r="N1516" s="5">
        <f>1/KRW!B1516</f>
        <v>8.3791392948116361E-4</v>
      </c>
      <c r="O1516" s="5">
        <f>1/KRW!C1516</f>
        <v>8.3790276624381348E-4</v>
      </c>
      <c r="P1516" s="3">
        <f>1/NOK!B1516</f>
        <v>0.12001344150544861</v>
      </c>
      <c r="Q1516" s="3">
        <f>1/NOK!C1516</f>
        <v>0.1199400299850075</v>
      </c>
      <c r="R1516" s="3">
        <f>NZD!B1516/1</f>
        <v>0.62660000000000005</v>
      </c>
      <c r="S1516" s="3">
        <f>NZD!C1516/1</f>
        <v>0.62519999999999998</v>
      </c>
      <c r="T1516" s="4">
        <f>1/PHP!B1516</f>
        <v>2.137208805300278E-2</v>
      </c>
      <c r="U1516" s="4">
        <f>1/PHP!C1516</f>
        <v>2.1334198079495489E-2</v>
      </c>
      <c r="V1516" s="4">
        <f>1/TWD!B1516</f>
        <v>3.0457162001644687E-2</v>
      </c>
      <c r="W1516" s="4">
        <f>1/TWD!C1516</f>
        <v>3.0457162001644687E-2</v>
      </c>
      <c r="X1516" s="4">
        <f>1/TWD!B1516</f>
        <v>3.0457162001644687E-2</v>
      </c>
      <c r="Y1516" s="4">
        <f>1/TWD!C1516</f>
        <v>3.0457162001644687E-2</v>
      </c>
      <c r="Z1516" s="4">
        <f>1/ZAR!B1516</f>
        <v>7.1922266414459257E-2</v>
      </c>
      <c r="AA1516" s="4">
        <f>1/ZAR!C1516</f>
        <v>7.1556350626118065E-2</v>
      </c>
    </row>
    <row r="1517" spans="1:27" x14ac:dyDescent="0.25">
      <c r="A1517" t="str">
        <f>"07/09/2015"</f>
        <v>07/09/2015</v>
      </c>
      <c r="B1517" s="3">
        <f>AUD!B1517</f>
        <v>0.69220000000000004</v>
      </c>
      <c r="C1517" s="3">
        <f>AUD!C1517</f>
        <v>0.69110000000000005</v>
      </c>
      <c r="D1517" s="3">
        <f>1/CAD!B1517</f>
        <v>0.75142771265404273</v>
      </c>
      <c r="E1517" s="3">
        <f>1/CAD!C1517</f>
        <v>0.751371252535878</v>
      </c>
      <c r="F1517" s="3">
        <f>EUR!B1517/1</f>
        <v>1.1169</v>
      </c>
      <c r="G1517" s="3">
        <f>EUR!C1517/1</f>
        <v>1.1173999999999999</v>
      </c>
      <c r="H1517" s="3">
        <f>GBP!B1517/1</f>
        <v>1.5275000000000001</v>
      </c>
      <c r="I1517" s="3">
        <f>GBP!C1517/1</f>
        <v>1.5273000000000001</v>
      </c>
      <c r="J1517" s="4">
        <f>1/INR!B1517</f>
        <v>1.4963339817447255E-2</v>
      </c>
      <c r="K1517" s="4">
        <f>1/INR!C1517</f>
        <v>1.4879291745712906E-2</v>
      </c>
      <c r="L1517" s="4">
        <f>1/JPY!B1517</f>
        <v>8.383635144198525E-3</v>
      </c>
      <c r="M1517" s="4">
        <f>1/JPY!C1517</f>
        <v>8.388487639563463E-3</v>
      </c>
      <c r="N1517" s="5">
        <f>1/KRW!B1517</f>
        <v>8.3033030539548635E-4</v>
      </c>
      <c r="O1517" s="5">
        <f>1/KRW!C1517</f>
        <v>8.3031644771360317E-4</v>
      </c>
      <c r="P1517" s="3">
        <f>1/NOK!B1517</f>
        <v>0.11998608161453271</v>
      </c>
      <c r="Q1517" s="3">
        <f>1/NOK!C1517</f>
        <v>0.11991126566340909</v>
      </c>
      <c r="R1517" s="3">
        <f>NZD!B1517/1</f>
        <v>0.62570000000000003</v>
      </c>
      <c r="S1517" s="3">
        <f>NZD!C1517/1</f>
        <v>0.62429999999999997</v>
      </c>
      <c r="T1517" s="4">
        <f>1/PHP!B1517</f>
        <v>2.1292451825827743E-2</v>
      </c>
      <c r="U1517" s="4">
        <f>1/PHP!C1517</f>
        <v>2.1258096677572069E-2</v>
      </c>
      <c r="V1517" s="4">
        <f>1/TWD!B1517</f>
        <v>3.0451597186272421E-2</v>
      </c>
      <c r="W1517" s="4">
        <f>1/TWD!C1517</f>
        <v>3.0451597186272421E-2</v>
      </c>
      <c r="X1517" s="4">
        <f>1/TWD!B1517</f>
        <v>3.0451597186272421E-2</v>
      </c>
      <c r="Y1517" s="4">
        <f>1/TWD!C1517</f>
        <v>3.0451597186272421E-2</v>
      </c>
      <c r="Z1517" s="4">
        <f>1/ZAR!B1517</f>
        <v>7.1349068181169553E-2</v>
      </c>
      <c r="AA1517" s="4">
        <f>1/ZAR!C1517</f>
        <v>7.0977358222726952E-2</v>
      </c>
    </row>
    <row r="1518" spans="1:27" x14ac:dyDescent="0.25">
      <c r="A1518" t="str">
        <f>"08/09/2015"</f>
        <v>08/09/2015</v>
      </c>
      <c r="B1518" s="3">
        <f>AUD!B1518</f>
        <v>0.70169999999999999</v>
      </c>
      <c r="C1518" s="3">
        <f>AUD!C1518</f>
        <v>0.70050000000000001</v>
      </c>
      <c r="D1518" s="3">
        <f>1/CAD!B1518</f>
        <v>0.75705958058899236</v>
      </c>
      <c r="E1518" s="3">
        <f>1/CAD!C1518</f>
        <v>0.75700227100681305</v>
      </c>
      <c r="F1518" s="3">
        <f>EUR!B1518/1</f>
        <v>1.1202000000000001</v>
      </c>
      <c r="G1518" s="3">
        <f>EUR!C1518/1</f>
        <v>1.1208</v>
      </c>
      <c r="H1518" s="3">
        <f>GBP!B1518/1</f>
        <v>1.5395000000000001</v>
      </c>
      <c r="I1518" s="3">
        <f>GBP!C1518/1</f>
        <v>1.5391999999999999</v>
      </c>
      <c r="J1518" s="4">
        <f>1/INR!B1518</f>
        <v>1.5025731565305588E-2</v>
      </c>
      <c r="K1518" s="4">
        <f>1/INR!C1518</f>
        <v>1.4932059130954158E-2</v>
      </c>
      <c r="L1518" s="4">
        <f>1/JPY!B1518</f>
        <v>8.3458521115005839E-3</v>
      </c>
      <c r="M1518" s="4">
        <f>1/JPY!C1518</f>
        <v>8.3513374249319164E-3</v>
      </c>
      <c r="N1518" s="5">
        <f>1/KRW!B1518</f>
        <v>8.3261173649503762E-4</v>
      </c>
      <c r="O1518" s="5">
        <f>1/KRW!C1518</f>
        <v>8.3259773323601934E-4</v>
      </c>
      <c r="P1518" s="3">
        <f>1/NOK!B1518</f>
        <v>0.12129445441754402</v>
      </c>
      <c r="Q1518" s="3">
        <f>1/NOK!C1518</f>
        <v>0.12121505975902445</v>
      </c>
      <c r="R1518" s="3">
        <f>NZD!B1518/1</f>
        <v>0.63390000000000002</v>
      </c>
      <c r="S1518" s="3">
        <f>NZD!C1518/1</f>
        <v>0.63229999999999997</v>
      </c>
      <c r="T1518" s="4">
        <f>1/PHP!B1518</f>
        <v>2.1301976823449215E-2</v>
      </c>
      <c r="U1518" s="4">
        <f>1/PHP!C1518</f>
        <v>2.126704819751133E-2</v>
      </c>
      <c r="V1518" s="4">
        <f>1/TWD!B1518</f>
        <v>3.0341646944596155E-2</v>
      </c>
      <c r="W1518" s="4">
        <f>1/TWD!C1518</f>
        <v>3.0341646944596155E-2</v>
      </c>
      <c r="X1518" s="4">
        <f>1/TWD!B1518</f>
        <v>3.0341646944596155E-2</v>
      </c>
      <c r="Y1518" s="4">
        <f>1/TWD!C1518</f>
        <v>3.0341646944596155E-2</v>
      </c>
      <c r="Z1518" s="4">
        <f>1/ZAR!B1518</f>
        <v>7.2824725450785055E-2</v>
      </c>
      <c r="AA1518" s="4">
        <f>1/ZAR!C1518</f>
        <v>7.2434374456742195E-2</v>
      </c>
    </row>
    <row r="1519" spans="1:27" x14ac:dyDescent="0.25">
      <c r="A1519" t="str">
        <f>"09/09/2015"</f>
        <v>09/09/2015</v>
      </c>
      <c r="B1519" s="3">
        <f>AUD!B1519</f>
        <v>0.70150000000000001</v>
      </c>
      <c r="C1519" s="3">
        <f>AUD!C1519</f>
        <v>0.70030000000000003</v>
      </c>
      <c r="D1519" s="3">
        <f>1/CAD!B1519</f>
        <v>0.7542046911531789</v>
      </c>
      <c r="E1519" s="3">
        <f>1/CAD!C1519</f>
        <v>0.75414781297134237</v>
      </c>
      <c r="F1519" s="3">
        <f>EUR!B1519/1</f>
        <v>1.1207</v>
      </c>
      <c r="G1519" s="3">
        <f>EUR!C1519/1</f>
        <v>1.1212</v>
      </c>
      <c r="H1519" s="3">
        <f>GBP!B1519/1</f>
        <v>1.5367</v>
      </c>
      <c r="I1519" s="3">
        <f>GBP!C1519/1</f>
        <v>1.5364</v>
      </c>
      <c r="J1519" s="4">
        <f>1/INR!B1519</f>
        <v>1.5056839569374387E-2</v>
      </c>
      <c r="K1519" s="4">
        <f>1/INR!C1519</f>
        <v>1.4965579167913801E-2</v>
      </c>
      <c r="L1519" s="4">
        <f>1/JPY!B1519</f>
        <v>8.2980665504937354E-3</v>
      </c>
      <c r="M1519" s="4">
        <f>1/JPY!C1519</f>
        <v>8.3034202618400554E-3</v>
      </c>
      <c r="N1519" s="5">
        <f>1/KRW!B1519</f>
        <v>8.4059043071853658E-4</v>
      </c>
      <c r="O1519" s="5">
        <f>1/KRW!C1519</f>
        <v>8.4057651108127821E-4</v>
      </c>
      <c r="P1519" s="3">
        <f>1/NOK!B1519</f>
        <v>0.12157611272537171</v>
      </c>
      <c r="Q1519" s="3">
        <f>1/NOK!C1519</f>
        <v>0.12149192078726764</v>
      </c>
      <c r="R1519" s="3">
        <f>NZD!B1519/1</f>
        <v>0.6381</v>
      </c>
      <c r="S1519" s="3">
        <f>NZD!C1519/1</f>
        <v>0.63660000000000005</v>
      </c>
      <c r="T1519" s="4">
        <f>1/PHP!B1519</f>
        <v>2.1291545127429898E-2</v>
      </c>
      <c r="U1519" s="4">
        <f>1/PHP!C1519</f>
        <v>2.1253985122210415E-2</v>
      </c>
      <c r="V1519" s="4">
        <f>1/TWD!B1519</f>
        <v>3.0693677102516883E-2</v>
      </c>
      <c r="W1519" s="4">
        <f>1/TWD!C1519</f>
        <v>3.0693677102516883E-2</v>
      </c>
      <c r="X1519" s="4">
        <f>1/TWD!B1519</f>
        <v>3.0693677102516883E-2</v>
      </c>
      <c r="Y1519" s="4">
        <f>1/TWD!C1519</f>
        <v>3.0693677102516883E-2</v>
      </c>
      <c r="Z1519" s="4">
        <f>1/ZAR!B1519</f>
        <v>7.2421259985081227E-2</v>
      </c>
      <c r="AA1519" s="4">
        <f>1/ZAR!C1519</f>
        <v>7.200512676502567E-2</v>
      </c>
    </row>
    <row r="1520" spans="1:27" x14ac:dyDescent="0.25">
      <c r="A1520" t="str">
        <f>"10/09/2015"</f>
        <v>10/09/2015</v>
      </c>
      <c r="B1520" s="3">
        <f>AUD!B1520</f>
        <v>0.70699999999999996</v>
      </c>
      <c r="C1520" s="3">
        <f>AUD!C1520</f>
        <v>0.70589999999999997</v>
      </c>
      <c r="D1520" s="3">
        <f>1/CAD!B1520</f>
        <v>0.75460307878056143</v>
      </c>
      <c r="E1520" s="3">
        <f>1/CAD!C1520</f>
        <v>0.75448921080428555</v>
      </c>
      <c r="F1520" s="3">
        <f>EUR!B1520/1</f>
        <v>1.1278999999999999</v>
      </c>
      <c r="G1520" s="3">
        <f>EUR!C1520/1</f>
        <v>1.1284000000000001</v>
      </c>
      <c r="H1520" s="3">
        <f>GBP!B1520/1</f>
        <v>1.5444</v>
      </c>
      <c r="I1520" s="3">
        <f>GBP!C1520/1</f>
        <v>1.5442</v>
      </c>
      <c r="J1520" s="4">
        <f>1/INR!B1520</f>
        <v>1.5051173991571343E-2</v>
      </c>
      <c r="K1520" s="4">
        <f>1/INR!C1520</f>
        <v>1.4965579167913801E-2</v>
      </c>
      <c r="L1520" s="4">
        <f>1/JPY!B1520</f>
        <v>8.2898118212716577E-3</v>
      </c>
      <c r="M1520" s="4">
        <f>1/JPY!C1520</f>
        <v>8.2948246100810318E-3</v>
      </c>
      <c r="N1520" s="5">
        <f>1/KRW!B1520</f>
        <v>8.3714233093910633E-4</v>
      </c>
      <c r="O1520" s="5">
        <f>1/KRW!C1520</f>
        <v>8.3713041738485482E-4</v>
      </c>
      <c r="P1520" s="3">
        <f>1/NOK!B1520</f>
        <v>0.12211652358680652</v>
      </c>
      <c r="Q1520" s="3">
        <f>1/NOK!C1520</f>
        <v>0.12203158177336296</v>
      </c>
      <c r="R1520" s="3">
        <f>NZD!B1520/1</f>
        <v>0.62870000000000004</v>
      </c>
      <c r="S1520" s="3">
        <f>NZD!C1520/1</f>
        <v>0.62729999999999997</v>
      </c>
      <c r="T1520" s="4">
        <f>1/PHP!B1520</f>
        <v>2.1304699816779581E-2</v>
      </c>
      <c r="U1520" s="4">
        <f>1/PHP!C1520</f>
        <v>2.1266007987512599E-2</v>
      </c>
      <c r="V1520" s="4">
        <f>1/TWD!B1520</f>
        <v>3.0736130321192566E-2</v>
      </c>
      <c r="W1520" s="4">
        <f>1/TWD!C1520</f>
        <v>3.073622479245364E-2</v>
      </c>
      <c r="X1520" s="4">
        <f>1/TWD!B1520</f>
        <v>3.0736130321192566E-2</v>
      </c>
      <c r="Y1520" s="4">
        <f>1/TWD!C1520</f>
        <v>3.073622479245364E-2</v>
      </c>
      <c r="Z1520" s="4">
        <f>1/ZAR!B1520</f>
        <v>7.3302497416086965E-2</v>
      </c>
      <c r="AA1520" s="4">
        <f>1/ZAR!C1520</f>
        <v>7.289054755379322E-2</v>
      </c>
    </row>
    <row r="1521" spans="1:27" x14ac:dyDescent="0.25">
      <c r="A1521" t="str">
        <f>"11/09/2015"</f>
        <v>11/09/2015</v>
      </c>
      <c r="B1521" s="3">
        <f>AUD!B1521</f>
        <v>0.70879999999999999</v>
      </c>
      <c r="C1521" s="3">
        <f>AUD!C1521</f>
        <v>0.7077</v>
      </c>
      <c r="D1521" s="3">
        <f>1/CAD!B1521</f>
        <v>0.7538067239559777</v>
      </c>
      <c r="E1521" s="3">
        <f>1/CAD!C1521</f>
        <v>0.75374990578126178</v>
      </c>
      <c r="F1521" s="3">
        <f>EUR!B1521/1</f>
        <v>1.1336999999999999</v>
      </c>
      <c r="G1521" s="3">
        <f>EUR!C1521/1</f>
        <v>1.1342000000000001</v>
      </c>
      <c r="H1521" s="3">
        <f>GBP!B1521/1</f>
        <v>1.5427999999999999</v>
      </c>
      <c r="I1521" s="3">
        <f>GBP!C1521/1</f>
        <v>1.5426</v>
      </c>
      <c r="J1521" s="4">
        <f>1/INR!B1521</f>
        <v>1.5027425050717559E-2</v>
      </c>
      <c r="K1521" s="4">
        <f>1/INR!C1521</f>
        <v>1.4943215780035863E-2</v>
      </c>
      <c r="L1521" s="4">
        <f>1/JPY!B1521</f>
        <v>8.2925615722696747E-3</v>
      </c>
      <c r="M1521" s="4">
        <f>1/JPY!C1521</f>
        <v>8.2976947344488763E-3</v>
      </c>
      <c r="N1521" s="5">
        <f>1/KRW!B1521</f>
        <v>8.4405992825490608E-4</v>
      </c>
      <c r="O1521" s="5">
        <f>1/KRW!C1521</f>
        <v>8.4404817320543753E-4</v>
      </c>
      <c r="P1521" s="3">
        <f>1/NOK!B1521</f>
        <v>0.12208074420421666</v>
      </c>
      <c r="Q1521" s="3">
        <f>1/NOK!C1521</f>
        <v>0.12200627112233568</v>
      </c>
      <c r="R1521" s="3">
        <f>NZD!B1521/1</f>
        <v>0.63060000000000005</v>
      </c>
      <c r="S1521" s="3">
        <f>NZD!C1521/1</f>
        <v>0.62919999999999998</v>
      </c>
      <c r="T1521" s="4">
        <f>1/PHP!B1521</f>
        <v>2.1308331557639035E-2</v>
      </c>
      <c r="U1521" s="4">
        <f>1/PHP!C1521</f>
        <v>2.1271481537417602E-2</v>
      </c>
      <c r="V1521" s="4">
        <f>1/TWD!B1521</f>
        <v>3.0571690614490981E-2</v>
      </c>
      <c r="W1521" s="4">
        <f>1/TWD!C1521</f>
        <v>3.0571784077603418E-2</v>
      </c>
      <c r="X1521" s="4">
        <f>1/TWD!B1521</f>
        <v>3.0571690614490981E-2</v>
      </c>
      <c r="Y1521" s="4">
        <f>1/TWD!C1521</f>
        <v>3.0571784077603418E-2</v>
      </c>
      <c r="Z1521" s="4">
        <f>1/ZAR!B1521</f>
        <v>7.3437614746273042E-2</v>
      </c>
      <c r="AA1521" s="4">
        <f>1/ZAR!C1521</f>
        <v>7.3052422418327392E-2</v>
      </c>
    </row>
    <row r="1522" spans="1:27" x14ac:dyDescent="0.25">
      <c r="A1522" t="str">
        <f>"14/09/2015"</f>
        <v>14/09/2015</v>
      </c>
      <c r="B1522" s="3">
        <f>AUD!B1522</f>
        <v>0.71360000000000001</v>
      </c>
      <c r="C1522" s="3">
        <f>AUD!C1522</f>
        <v>0.71250000000000002</v>
      </c>
      <c r="D1522" s="3">
        <f>1/CAD!B1522</f>
        <v>0.7538067239559777</v>
      </c>
      <c r="E1522" s="3">
        <f>1/CAD!C1522</f>
        <v>0.75369309617123903</v>
      </c>
      <c r="F1522" s="3">
        <f>EUR!B1522/1</f>
        <v>1.1315999999999999</v>
      </c>
      <c r="G1522" s="3">
        <f>EUR!C1522/1</f>
        <v>1.1321000000000001</v>
      </c>
      <c r="H1522" s="3">
        <f>GBP!B1522/1</f>
        <v>1.5426</v>
      </c>
      <c r="I1522" s="3">
        <f>GBP!C1522/1</f>
        <v>1.5424</v>
      </c>
      <c r="J1522" s="4">
        <f>1/INR!B1522</f>
        <v>1.5074998115625238E-2</v>
      </c>
      <c r="K1522" s="4">
        <f>1/INR!C1522</f>
        <v>1.4990818123899113E-2</v>
      </c>
      <c r="L1522" s="4">
        <f>1/JPY!B1522</f>
        <v>8.3166999334664017E-3</v>
      </c>
      <c r="M1522" s="4">
        <f>1/JPY!C1522</f>
        <v>8.3224378750818718E-3</v>
      </c>
      <c r="N1522" s="5">
        <f>1/KRW!B1522</f>
        <v>8.4497283412338293E-4</v>
      </c>
      <c r="O1522" s="5">
        <f>1/KRW!C1522</f>
        <v>8.4496105363263542E-4</v>
      </c>
      <c r="P1522" s="3">
        <f>1/NOK!B1522</f>
        <v>0.1219571686423728</v>
      </c>
      <c r="Q1522" s="3">
        <f>1/NOK!C1522</f>
        <v>0.12187987519500779</v>
      </c>
      <c r="R1522" s="3">
        <f>NZD!B1522/1</f>
        <v>0.63270000000000004</v>
      </c>
      <c r="S1522" s="3">
        <f>NZD!C1522/1</f>
        <v>0.63129999999999997</v>
      </c>
      <c r="T1522" s="4">
        <f>1/PHP!B1522</f>
        <v>2.138122728244601E-2</v>
      </c>
      <c r="U1522" s="4">
        <f>1/PHP!C1522</f>
        <v>2.1345947365162987E-2</v>
      </c>
      <c r="V1522" s="4">
        <f>1/TWD!B1522</f>
        <v>3.0571690614490981E-2</v>
      </c>
      <c r="W1522" s="4">
        <f>1/TWD!C1522</f>
        <v>3.0571784077603418E-2</v>
      </c>
      <c r="X1522" s="4">
        <f>1/TWD!B1522</f>
        <v>3.0571690614490981E-2</v>
      </c>
      <c r="Y1522" s="4">
        <f>1/TWD!C1522</f>
        <v>3.0571784077603418E-2</v>
      </c>
      <c r="Z1522" s="4">
        <f>1/ZAR!B1522</f>
        <v>7.4070782039316774E-2</v>
      </c>
      <c r="AA1522" s="4">
        <f>1/ZAR!C1522</f>
        <v>7.3679479528156608E-2</v>
      </c>
    </row>
    <row r="1523" spans="1:27" x14ac:dyDescent="0.25">
      <c r="A1523" t="str">
        <f>"15/09/2015"</f>
        <v>15/09/2015</v>
      </c>
      <c r="B1523" s="3">
        <f>AUD!B1523</f>
        <v>0.71409999999999996</v>
      </c>
      <c r="C1523" s="3">
        <f>AUD!C1523</f>
        <v>0.71289999999999998</v>
      </c>
      <c r="D1523" s="3">
        <f>1/CAD!B1523</f>
        <v>0.75477394520341157</v>
      </c>
      <c r="E1523" s="3">
        <f>1/CAD!C1523</f>
        <v>0.75466002565844092</v>
      </c>
      <c r="F1523" s="3">
        <f>EUR!B1523/1</f>
        <v>1.1269</v>
      </c>
      <c r="G1523" s="3">
        <f>EUR!C1523/1</f>
        <v>1.1274999999999999</v>
      </c>
      <c r="H1523" s="3">
        <f>GBP!B1523/1</f>
        <v>1.5343</v>
      </c>
      <c r="I1523" s="3">
        <f>GBP!C1523/1</f>
        <v>1.5341</v>
      </c>
      <c r="J1523" s="4">
        <f>1/INR!B1523</f>
        <v>1.5067615926470032E-2</v>
      </c>
      <c r="K1523" s="4">
        <f>1/INR!C1523</f>
        <v>1.4980712332871429E-2</v>
      </c>
      <c r="L1523" s="4">
        <f>1/JPY!B1523</f>
        <v>8.3035788424811081E-3</v>
      </c>
      <c r="M1523" s="4">
        <f>1/JPY!C1523</f>
        <v>8.3092572604212631E-3</v>
      </c>
      <c r="N1523" s="5">
        <f>1/KRW!B1523</f>
        <v>8.4275107661450042E-4</v>
      </c>
      <c r="O1523" s="5">
        <f>1/KRW!C1523</f>
        <v>8.4273857676286576E-4</v>
      </c>
      <c r="P1523" s="3">
        <f>1/NOK!B1523</f>
        <v>0.12181603342631958</v>
      </c>
      <c r="Q1523" s="3">
        <f>1/NOK!C1523</f>
        <v>0.12173891871492398</v>
      </c>
      <c r="R1523" s="3">
        <f>NZD!B1523/1</f>
        <v>0.63529999999999998</v>
      </c>
      <c r="S1523" s="3">
        <f>NZD!C1523/1</f>
        <v>0.63380000000000003</v>
      </c>
      <c r="T1523" s="4">
        <f>1/PHP!B1523</f>
        <v>2.1378941742383754E-2</v>
      </c>
      <c r="U1523" s="4">
        <f>1/PHP!C1523</f>
        <v>2.1343031606895504E-2</v>
      </c>
      <c r="V1523" s="4">
        <f>1/TWD!B1523</f>
        <v>3.0736130321192566E-2</v>
      </c>
      <c r="W1523" s="4">
        <f>1/TWD!C1523</f>
        <v>3.073622479245364E-2</v>
      </c>
      <c r="X1523" s="4">
        <f>1/TWD!B1523</f>
        <v>3.0736130321192566E-2</v>
      </c>
      <c r="Y1523" s="4">
        <f>1/TWD!C1523</f>
        <v>3.073622479245364E-2</v>
      </c>
      <c r="Z1523" s="4">
        <f>1/ZAR!B1523</f>
        <v>7.4212604268709001E-2</v>
      </c>
      <c r="AA1523" s="4">
        <f>1/ZAR!C1523</f>
        <v>7.3824165602368277E-2</v>
      </c>
    </row>
    <row r="1524" spans="1:27" x14ac:dyDescent="0.25">
      <c r="A1524" t="str">
        <f>"16/09/2015"</f>
        <v>16/09/2015</v>
      </c>
      <c r="B1524" s="3">
        <f>AUD!B1524</f>
        <v>0.71960000000000002</v>
      </c>
      <c r="C1524" s="3">
        <f>AUD!C1524</f>
        <v>0.71840000000000004</v>
      </c>
      <c r="D1524" s="3">
        <f>1/CAD!B1524</f>
        <v>0.75912852045851364</v>
      </c>
      <c r="E1524" s="3">
        <f>1/CAD!C1524</f>
        <v>0.75907089722180054</v>
      </c>
      <c r="F1524" s="3">
        <f>EUR!B1524/1</f>
        <v>1.129</v>
      </c>
      <c r="G1524" s="3">
        <f>EUR!C1524/1</f>
        <v>1.1295999999999999</v>
      </c>
      <c r="H1524" s="3">
        <f>GBP!B1524/1</f>
        <v>1.5491999999999999</v>
      </c>
      <c r="I1524" s="3">
        <f>GBP!C1524/1</f>
        <v>1.5489999999999999</v>
      </c>
      <c r="J1524" s="4">
        <f>1/INR!B1524</f>
        <v>1.5045512675844428E-2</v>
      </c>
      <c r="K1524" s="4">
        <f>1/INR!C1524</f>
        <v>1.4960541571604893E-2</v>
      </c>
      <c r="L1524" s="4">
        <f>1/JPY!B1524</f>
        <v>8.2939371319565407E-3</v>
      </c>
      <c r="M1524" s="4">
        <f>1/JPY!C1524</f>
        <v>8.300091467007966E-3</v>
      </c>
      <c r="N1524" s="5">
        <f>1/KRW!B1524</f>
        <v>8.5015940488841659E-4</v>
      </c>
      <c r="O1524" s="5">
        <f>1/KRW!C1524</f>
        <v>8.5014791298464057E-4</v>
      </c>
      <c r="P1524" s="3">
        <f>1/NOK!B1524</f>
        <v>0.12256554192354363</v>
      </c>
      <c r="Q1524" s="3">
        <f>1/NOK!C1524</f>
        <v>0.1224799745241653</v>
      </c>
      <c r="R1524" s="3">
        <f>NZD!B1524/1</f>
        <v>0.63639999999999997</v>
      </c>
      <c r="S1524" s="3">
        <f>NZD!C1524/1</f>
        <v>0.63490000000000002</v>
      </c>
      <c r="T1524" s="4">
        <f>1/PHP!B1524</f>
        <v>2.1430714500021431E-2</v>
      </c>
      <c r="U1524" s="4">
        <f>1/PHP!C1524</f>
        <v>2.1391106433589172E-2</v>
      </c>
      <c r="V1524" s="4">
        <f>1/TWD!B1524</f>
        <v>3.079291762894534E-2</v>
      </c>
      <c r="W1524" s="4">
        <f>1/TWD!C1524</f>
        <v>3.0793012449614934E-2</v>
      </c>
      <c r="X1524" s="4">
        <f>1/TWD!B1524</f>
        <v>3.079291762894534E-2</v>
      </c>
      <c r="Y1524" s="4">
        <f>1/TWD!C1524</f>
        <v>3.0793012449614934E-2</v>
      </c>
      <c r="Z1524" s="4">
        <f>1/ZAR!B1524</f>
        <v>7.5333539245007269E-2</v>
      </c>
      <c r="AA1524" s="4">
        <f>1/ZAR!C1524</f>
        <v>7.4908050368173065E-2</v>
      </c>
    </row>
    <row r="1525" spans="1:27" x14ac:dyDescent="0.25">
      <c r="A1525" t="str">
        <f>"18/09/2015"</f>
        <v>18/09/2015</v>
      </c>
      <c r="B1525" s="3">
        <f>AUD!B1525</f>
        <v>0.71689999999999998</v>
      </c>
      <c r="C1525" s="3">
        <f>AUD!C1525</f>
        <v>0.7157</v>
      </c>
      <c r="D1525" s="3">
        <f>1/CAD!B1525</f>
        <v>0.75602933393815686</v>
      </c>
      <c r="E1525" s="3">
        <f>1/CAD!C1525</f>
        <v>0.75597218022376778</v>
      </c>
      <c r="F1525" s="3">
        <f>EUR!B1525/1</f>
        <v>1.1296999999999999</v>
      </c>
      <c r="G1525" s="3">
        <f>EUR!C1525/1</f>
        <v>1.1302000000000001</v>
      </c>
      <c r="H1525" s="3">
        <f>GBP!B1525/1</f>
        <v>1.5535000000000001</v>
      </c>
      <c r="I1525" s="3">
        <f>GBP!C1525/1</f>
        <v>1.5531999999999999</v>
      </c>
      <c r="J1525" s="4">
        <f>1/INR!B1525</f>
        <v>1.5225334957369061E-2</v>
      </c>
      <c r="K1525" s="4">
        <f>1/INR!C1525</f>
        <v>1.5134889704491278E-2</v>
      </c>
      <c r="L1525" s="4">
        <f>1/JPY!B1525</f>
        <v>8.3347224537422895E-3</v>
      </c>
      <c r="M1525" s="4">
        <f>1/JPY!C1525</f>
        <v>8.341445388974111E-3</v>
      </c>
      <c r="N1525" s="5">
        <f>1/KRW!B1525</f>
        <v>8.5980826275740513E-4</v>
      </c>
      <c r="O1525" s="5">
        <f>1/KRW!C1525</f>
        <v>8.5979709992157788E-4</v>
      </c>
      <c r="P1525" s="3">
        <f>1/NOK!B1525</f>
        <v>0.12213889635293255</v>
      </c>
      <c r="Q1525" s="3">
        <f>1/NOK!C1525</f>
        <v>0.12205094406405233</v>
      </c>
      <c r="R1525" s="3">
        <f>NZD!B1525/1</f>
        <v>0.63870000000000005</v>
      </c>
      <c r="S1525" s="3">
        <f>NZD!C1525/1</f>
        <v>0.63729999999999998</v>
      </c>
      <c r="T1525" s="4">
        <f>1/PHP!B1525</f>
        <v>2.1565667457407806E-2</v>
      </c>
      <c r="U1525" s="4">
        <f>1/PHP!C1525</f>
        <v>2.152755203747516E-2</v>
      </c>
      <c r="V1525" s="4">
        <f>1/TWD!B1525</f>
        <v>3.0765444253015015E-2</v>
      </c>
      <c r="W1525" s="4">
        <f>1/TWD!C1525</f>
        <v>3.0765538904562219E-2</v>
      </c>
      <c r="X1525" s="4">
        <f>1/TWD!B1525</f>
        <v>3.0765444253015015E-2</v>
      </c>
      <c r="Y1525" s="4">
        <f>1/TWD!C1525</f>
        <v>3.0765538904562219E-2</v>
      </c>
      <c r="Z1525" s="4">
        <f>1/ZAR!B1525</f>
        <v>7.4791518641786028E-2</v>
      </c>
      <c r="AA1525" s="4">
        <f>1/ZAR!C1525</f>
        <v>7.4405869134957364E-2</v>
      </c>
    </row>
    <row r="1526" spans="1:27" x14ac:dyDescent="0.25">
      <c r="A1526" t="str">
        <f>"21/09/2015"</f>
        <v>21/09/2015</v>
      </c>
      <c r="B1526" s="3">
        <f>AUD!B1526</f>
        <v>0.71289999999999998</v>
      </c>
      <c r="C1526" s="3">
        <f>AUD!C1526</f>
        <v>0.7117</v>
      </c>
      <c r="D1526" s="3">
        <f>1/CAD!B1526</f>
        <v>0.75437537718768866</v>
      </c>
      <c r="E1526" s="3">
        <f>1/CAD!C1526</f>
        <v>0.75431847325941004</v>
      </c>
      <c r="F1526" s="3">
        <f>EUR!B1526/1</f>
        <v>1.1189</v>
      </c>
      <c r="G1526" s="3">
        <f>EUR!C1526/1</f>
        <v>1.1194</v>
      </c>
      <c r="H1526" s="3">
        <f>GBP!B1526/1</f>
        <v>1.5507</v>
      </c>
      <c r="I1526" s="3">
        <f>GBP!C1526/1</f>
        <v>1.5505</v>
      </c>
      <c r="J1526" s="4">
        <f>1/INR!B1526</f>
        <v>1.5210282150733894E-2</v>
      </c>
      <c r="K1526" s="4">
        <f>1/INR!C1526</f>
        <v>1.5123445120798518E-2</v>
      </c>
      <c r="L1526" s="4">
        <f>1/JPY!B1526</f>
        <v>8.2946250829462505E-3</v>
      </c>
      <c r="M1526" s="4">
        <f>1/JPY!C1526</f>
        <v>8.3030410718229666E-3</v>
      </c>
      <c r="N1526" s="5">
        <f>1/KRW!B1526</f>
        <v>8.5115075582187108E-4</v>
      </c>
      <c r="O1526" s="5">
        <f>1/KRW!C1526</f>
        <v>8.5114010642826118E-4</v>
      </c>
      <c r="P1526" s="3">
        <f>1/NOK!B1526</f>
        <v>0.12135185971725015</v>
      </c>
      <c r="Q1526" s="3">
        <f>1/NOK!C1526</f>
        <v>0.12126650740332028</v>
      </c>
      <c r="R1526" s="3">
        <f>NZD!B1526/1</f>
        <v>0.63139999999999996</v>
      </c>
      <c r="S1526" s="3">
        <f>NZD!C1526/1</f>
        <v>0.62990000000000002</v>
      </c>
      <c r="T1526" s="4">
        <f>1/PHP!B1526</f>
        <v>2.1503064186646596E-2</v>
      </c>
      <c r="U1526" s="4">
        <f>1/PHP!C1526</f>
        <v>2.1464386290267191E-2</v>
      </c>
      <c r="V1526" s="4">
        <f>1/TWD!B1526</f>
        <v>3.070404372255826E-2</v>
      </c>
      <c r="W1526" s="4">
        <f>1/TWD!C1526</f>
        <v>3.0704137996677813E-2</v>
      </c>
      <c r="X1526" s="4">
        <f>1/TWD!B1526</f>
        <v>3.070404372255826E-2</v>
      </c>
      <c r="Y1526" s="4">
        <f>1/TWD!C1526</f>
        <v>3.0704137996677813E-2</v>
      </c>
      <c r="Z1526" s="4">
        <f>1/ZAR!B1526</f>
        <v>7.4172421210345563E-2</v>
      </c>
      <c r="AA1526" s="4">
        <f>1/ZAR!C1526</f>
        <v>7.3798559452119494E-2</v>
      </c>
    </row>
    <row r="1527" spans="1:27" x14ac:dyDescent="0.25">
      <c r="A1527" t="str">
        <f>"22/09/2015"</f>
        <v>22/09/2015</v>
      </c>
      <c r="B1527" s="3">
        <f>AUD!B1527</f>
        <v>0.70879999999999999</v>
      </c>
      <c r="C1527" s="3">
        <f>AUD!C1527</f>
        <v>0.70750000000000002</v>
      </c>
      <c r="D1527" s="3">
        <f>1/CAD!B1527</f>
        <v>0.75346594333936112</v>
      </c>
      <c r="E1527" s="3">
        <f>1/CAD!C1527</f>
        <v>0.75340917652377015</v>
      </c>
      <c r="F1527" s="3">
        <f>EUR!B1527/1</f>
        <v>1.1120000000000001</v>
      </c>
      <c r="G1527" s="3">
        <f>EUR!C1527/1</f>
        <v>1.1126</v>
      </c>
      <c r="H1527" s="3">
        <f>GBP!B1527/1</f>
        <v>1.5365</v>
      </c>
      <c r="I1527" s="3">
        <f>GBP!C1527/1</f>
        <v>1.5363</v>
      </c>
      <c r="J1527" s="4">
        <f>1/INR!B1527</f>
        <v>1.5177961599757152E-2</v>
      </c>
      <c r="K1527" s="4">
        <f>1/INR!C1527</f>
        <v>1.5086369465188203E-2</v>
      </c>
      <c r="L1527" s="4">
        <f>1/JPY!B1527</f>
        <v>8.3222370173102536E-3</v>
      </c>
      <c r="M1527" s="4">
        <f>1/JPY!C1527</f>
        <v>8.3308896057156558E-3</v>
      </c>
      <c r="N1527" s="5">
        <f>1/KRW!B1527</f>
        <v>8.4787437893201736E-4</v>
      </c>
      <c r="O1527" s="5">
        <f>1/KRW!C1527</f>
        <v>8.4786208607478934E-4</v>
      </c>
      <c r="P1527" s="3">
        <f>1/NOK!B1527</f>
        <v>0.12056181807221654</v>
      </c>
      <c r="Q1527" s="3">
        <f>1/NOK!C1527</f>
        <v>0.12048192771084336</v>
      </c>
      <c r="R1527" s="3">
        <f>NZD!B1527/1</f>
        <v>0.629</v>
      </c>
      <c r="S1527" s="3">
        <f>NZD!C1527/1</f>
        <v>0.62739999999999996</v>
      </c>
      <c r="T1527" s="4">
        <f>1/PHP!B1527</f>
        <v>2.1429336762027216E-2</v>
      </c>
      <c r="U1527" s="4">
        <f>1/PHP!C1527</f>
        <v>2.1389276272448045E-2</v>
      </c>
      <c r="V1527" s="4">
        <f>1/TWD!B1527</f>
        <v>3.0367446097783177E-2</v>
      </c>
      <c r="W1527" s="4">
        <f>1/TWD!C1527</f>
        <v>3.0367538316241467E-2</v>
      </c>
      <c r="X1527" s="4">
        <f>1/TWD!B1527</f>
        <v>3.0367446097783177E-2</v>
      </c>
      <c r="Y1527" s="4">
        <f>1/TWD!C1527</f>
        <v>3.0367538316241467E-2</v>
      </c>
      <c r="Z1527" s="4">
        <f>1/ZAR!B1527</f>
        <v>7.305028781813401E-2</v>
      </c>
      <c r="AA1527" s="4">
        <f>1/ZAR!C1527</f>
        <v>7.2679700559633686E-2</v>
      </c>
    </row>
    <row r="1528" spans="1:27" x14ac:dyDescent="0.25">
      <c r="A1528" t="str">
        <f>"23/09/2015"</f>
        <v>23/09/2015</v>
      </c>
      <c r="B1528" s="3">
        <f>AUD!B1528</f>
        <v>0.70020000000000004</v>
      </c>
      <c r="C1528" s="3">
        <f>AUD!C1528</f>
        <v>0.69899999999999995</v>
      </c>
      <c r="D1528" s="3">
        <f>1/CAD!B1528</f>
        <v>0.75069439231288937</v>
      </c>
      <c r="E1528" s="3">
        <f>1/CAD!C1528</f>
        <v>0.75058170081813402</v>
      </c>
      <c r="F1528" s="3">
        <f>EUR!B1528/1</f>
        <v>1.1185</v>
      </c>
      <c r="G1528" s="3">
        <f>EUR!C1528/1</f>
        <v>1.119</v>
      </c>
      <c r="H1528" s="3">
        <f>GBP!B1528/1</f>
        <v>1.5244</v>
      </c>
      <c r="I1528" s="3">
        <f>GBP!C1528/1</f>
        <v>1.5242</v>
      </c>
      <c r="J1528" s="4">
        <f>1/INR!B1528</f>
        <v>1.5153237110277681E-2</v>
      </c>
      <c r="K1528" s="4">
        <f>1/INR!C1528</f>
        <v>1.5067048365225251E-2</v>
      </c>
      <c r="L1528" s="4">
        <f>1/JPY!B1528</f>
        <v>8.3139341536415026E-3</v>
      </c>
      <c r="M1528" s="4">
        <f>1/JPY!C1528</f>
        <v>8.3217799288654252E-3</v>
      </c>
      <c r="N1528" s="5">
        <f>1/KRW!B1528</f>
        <v>8.3941912196759845E-4</v>
      </c>
      <c r="O1528" s="5">
        <f>1/KRW!C1528</f>
        <v>8.3940876411581265E-4</v>
      </c>
      <c r="P1528" s="3">
        <f>1/NOK!B1528</f>
        <v>0.12043984631875611</v>
      </c>
      <c r="Q1528" s="3">
        <f>1/NOK!C1528</f>
        <v>0.1203586688331227</v>
      </c>
      <c r="R1528" s="3">
        <f>NZD!B1528/1</f>
        <v>0.62719999999999998</v>
      </c>
      <c r="S1528" s="3">
        <f>NZD!C1528/1</f>
        <v>0.62570000000000003</v>
      </c>
      <c r="T1528" s="4">
        <f>1/PHP!B1528</f>
        <v>2.1364782292868437E-2</v>
      </c>
      <c r="U1528" s="4">
        <f>1/PHP!C1528</f>
        <v>2.1323189181466737E-2</v>
      </c>
      <c r="V1528" s="4">
        <f>1/TWD!B1528</f>
        <v>3.0111412225233364E-2</v>
      </c>
      <c r="W1528" s="4">
        <f>1/TWD!C1528</f>
        <v>3.0111502895221007E-2</v>
      </c>
      <c r="X1528" s="4">
        <f>1/TWD!B1528</f>
        <v>3.0111412225233364E-2</v>
      </c>
      <c r="Y1528" s="4">
        <f>1/TWD!C1528</f>
        <v>3.0111502895221007E-2</v>
      </c>
      <c r="Z1528" s="4">
        <f>1/ZAR!B1528</f>
        <v>7.2047147653424404E-2</v>
      </c>
      <c r="AA1528" s="4">
        <f>1/ZAR!C1528</f>
        <v>7.1667120558430206E-2</v>
      </c>
    </row>
    <row r="1529" spans="1:27" x14ac:dyDescent="0.25">
      <c r="A1529" t="str">
        <f>"24/09/2015"</f>
        <v>24/09/2015</v>
      </c>
      <c r="B1529" s="3">
        <f>AUD!B1529</f>
        <v>0.70209999999999995</v>
      </c>
      <c r="C1529" s="3">
        <f>AUD!C1529</f>
        <v>0.70089999999999997</v>
      </c>
      <c r="D1529" s="3">
        <f>1/CAD!B1529</f>
        <v>0.7515406583496167</v>
      </c>
      <c r="E1529" s="3">
        <f>1/CAD!C1529</f>
        <v>0.751371252535878</v>
      </c>
      <c r="F1529" s="3">
        <f>EUR!B1529/1</f>
        <v>1.1229</v>
      </c>
      <c r="G1529" s="3">
        <f>EUR!C1529/1</f>
        <v>1.1234</v>
      </c>
      <c r="H1529" s="3">
        <f>GBP!B1529/1</f>
        <v>1.5241</v>
      </c>
      <c r="I1529" s="3">
        <f>GBP!C1529/1</f>
        <v>1.5239</v>
      </c>
      <c r="J1529" s="4">
        <f>1/INR!B1529</f>
        <v>1.5114873035066506E-2</v>
      </c>
      <c r="K1529" s="4">
        <f>1/INR!C1529</f>
        <v>1.5029683625159692E-2</v>
      </c>
      <c r="L1529" s="4">
        <f>1/JPY!B1529</f>
        <v>8.3284750562172064E-3</v>
      </c>
      <c r="M1529" s="4">
        <f>1/JPY!C1529</f>
        <v>8.3358271349512052E-3</v>
      </c>
      <c r="N1529" s="5">
        <f>1/KRW!B1529</f>
        <v>8.3836351441985248E-4</v>
      </c>
      <c r="O1529" s="5">
        <f>1/KRW!C1529</f>
        <v>8.3835297175169658E-4</v>
      </c>
      <c r="P1529" s="3">
        <f>1/NOK!B1529</f>
        <v>0.1181544278371832</v>
      </c>
      <c r="Q1529" s="3">
        <f>1/NOK!C1529</f>
        <v>0.11807490672082369</v>
      </c>
      <c r="R1529" s="3">
        <f>NZD!B1529/1</f>
        <v>0.6351</v>
      </c>
      <c r="S1529" s="3">
        <f>NZD!C1529/1</f>
        <v>0.63370000000000004</v>
      </c>
      <c r="T1529" s="4">
        <f>1/PHP!B1529</f>
        <v>2.1344717182497332E-2</v>
      </c>
      <c r="U1529" s="4">
        <f>1/PHP!C1529</f>
        <v>2.130351976753599E-2</v>
      </c>
      <c r="V1529" s="4">
        <f>1/TWD!B1529</f>
        <v>3.0079711234772148E-2</v>
      </c>
      <c r="W1529" s="4">
        <f>1/TWD!C1529</f>
        <v>3.0079711234772148E-2</v>
      </c>
      <c r="X1529" s="4">
        <f>1/TWD!B1529</f>
        <v>3.0079711234772148E-2</v>
      </c>
      <c r="Y1529" s="4">
        <f>1/TWD!C1529</f>
        <v>3.0079711234772148E-2</v>
      </c>
      <c r="Z1529" s="4">
        <f>1/ZAR!B1529</f>
        <v>7.212145252605387E-2</v>
      </c>
      <c r="AA1529" s="4">
        <f>1/ZAR!C1529</f>
        <v>7.1750423327497634E-2</v>
      </c>
    </row>
    <row r="1530" spans="1:27" x14ac:dyDescent="0.25">
      <c r="A1530" t="str">
        <f>"28/09/2015"</f>
        <v>28/09/2015</v>
      </c>
      <c r="B1530" s="3">
        <f>AUD!B1530</f>
        <v>0.69889999999999997</v>
      </c>
      <c r="C1530" s="3">
        <f>AUD!C1530</f>
        <v>0.69769999999999999</v>
      </c>
      <c r="D1530" s="3">
        <f>1/CAD!B1530</f>
        <v>0.74643576920206023</v>
      </c>
      <c r="E1530" s="3">
        <f>1/CAD!C1530</f>
        <v>0.74626865671641784</v>
      </c>
      <c r="F1530" s="3">
        <f>EUR!B1530/1</f>
        <v>1.1244000000000001</v>
      </c>
      <c r="G1530" s="3">
        <f>EUR!C1530/1</f>
        <v>1.1249</v>
      </c>
      <c r="H1530" s="3">
        <f>GBP!B1530/1</f>
        <v>1.5173000000000001</v>
      </c>
      <c r="I1530" s="3">
        <f>GBP!C1530/1</f>
        <v>1.5170999999999999</v>
      </c>
      <c r="J1530" s="4">
        <f>1/INR!B1530</f>
        <v>1.514004542013626E-2</v>
      </c>
      <c r="K1530" s="4">
        <f>1/INR!C1530</f>
        <v>1.5055706112616682E-2</v>
      </c>
      <c r="L1530" s="4">
        <f>1/JPY!B1530</f>
        <v>8.3381972817476863E-3</v>
      </c>
      <c r="M1530" s="4">
        <f>1/JPY!C1530</f>
        <v>8.3425796924925123E-3</v>
      </c>
      <c r="N1530" s="5">
        <f>1/KRW!B1530</f>
        <v>8.3615535766545421E-4</v>
      </c>
      <c r="O1530" s="5">
        <f>1/KRW!C1530</f>
        <v>8.3614249339698278E-4</v>
      </c>
      <c r="P1530" s="3">
        <f>1/NOK!B1530</f>
        <v>0.11701106924715077</v>
      </c>
      <c r="Q1530" s="3">
        <f>1/NOK!C1530</f>
        <v>0.11695085724978364</v>
      </c>
      <c r="R1530" s="3">
        <f>NZD!B1530/1</f>
        <v>0.63270000000000004</v>
      </c>
      <c r="S1530" s="3">
        <f>NZD!C1530/1</f>
        <v>0.63129999999999997</v>
      </c>
      <c r="T1530" s="4">
        <f>1/PHP!B1530</f>
        <v>2.1362956633198035E-2</v>
      </c>
      <c r="U1530" s="4">
        <f>1/PHP!C1530</f>
        <v>2.1320506916372446E-2</v>
      </c>
      <c r="V1530" s="4">
        <f>1/TWD!B1530</f>
        <v>3.0215131737974382E-2</v>
      </c>
      <c r="W1530" s="4">
        <f>1/TWD!C1530</f>
        <v>3.0215131737974382E-2</v>
      </c>
      <c r="X1530" s="4">
        <f>1/TWD!B1530</f>
        <v>3.0215131737974382E-2</v>
      </c>
      <c r="Y1530" s="4">
        <f>1/TWD!C1530</f>
        <v>3.0215131737974382E-2</v>
      </c>
      <c r="Z1530" s="4">
        <f>1/ZAR!B1530</f>
        <v>7.1000035500017752E-2</v>
      </c>
      <c r="AA1530" s="4">
        <f>1/ZAR!C1530</f>
        <v>7.0640426103050255E-2</v>
      </c>
    </row>
    <row r="1531" spans="1:27" x14ac:dyDescent="0.25">
      <c r="A1531" t="str">
        <f>"29/09/2015"</f>
        <v>29/09/2015</v>
      </c>
      <c r="B1531" s="3">
        <f>AUD!B1531</f>
        <v>0.69830000000000003</v>
      </c>
      <c r="C1531" s="3">
        <f>AUD!C1531</f>
        <v>0.69710000000000005</v>
      </c>
      <c r="D1531" s="3">
        <f>1/CAD!B1531</f>
        <v>0.74498994263577434</v>
      </c>
      <c r="E1531" s="3">
        <f>1/CAD!C1531</f>
        <v>0.74482347683598982</v>
      </c>
      <c r="F1531" s="3">
        <f>EUR!B1531/1</f>
        <v>1.1248</v>
      </c>
      <c r="G1531" s="3">
        <f>EUR!C1531/1</f>
        <v>1.1253</v>
      </c>
      <c r="H1531" s="3">
        <f>GBP!B1531/1</f>
        <v>1.5149999999999999</v>
      </c>
      <c r="I1531" s="3">
        <f>GBP!C1531/1</f>
        <v>1.5147999999999999</v>
      </c>
      <c r="J1531" s="4">
        <f>1/INR!B1531</f>
        <v>1.516070345664039E-2</v>
      </c>
      <c r="K1531" s="4">
        <f>1/INR!C1531</f>
        <v>1.5069886599103341E-2</v>
      </c>
      <c r="L1531" s="4">
        <f>1/JPY!B1531</f>
        <v>8.3514280942041091E-3</v>
      </c>
      <c r="M1531" s="4">
        <f>1/JPY!C1531</f>
        <v>8.3544561833836552E-3</v>
      </c>
      <c r="N1531" s="5">
        <f>1/KRW!B1531</f>
        <v>8.3160083160083165E-4</v>
      </c>
      <c r="O1531" s="5">
        <f>1/KRW!C1531</f>
        <v>8.3158810709258173E-4</v>
      </c>
      <c r="P1531" s="3">
        <f>1/NOK!B1531</f>
        <v>0.11787448724598049</v>
      </c>
      <c r="Q1531" s="3">
        <f>1/NOK!C1531</f>
        <v>0.11781477161606523</v>
      </c>
      <c r="R1531" s="3">
        <f>NZD!B1531/1</f>
        <v>0.63439999999999996</v>
      </c>
      <c r="S1531" s="3">
        <f>NZD!C1531/1</f>
        <v>0.63290000000000002</v>
      </c>
      <c r="T1531" s="4">
        <f>1/PHP!B1531</f>
        <v>2.1301523058898712E-2</v>
      </c>
      <c r="U1531" s="4">
        <f>1/PHP!C1531</f>
        <v>2.125579220337542E-2</v>
      </c>
      <c r="V1531" s="4">
        <f>1/TWD!B1531</f>
        <v>3.0164092664092663E-2</v>
      </c>
      <c r="W1531" s="4">
        <f>1/TWD!C1531</f>
        <v>3.0164092664092663E-2</v>
      </c>
      <c r="X1531" s="4">
        <f>1/TWD!B1531</f>
        <v>3.0164092664092663E-2</v>
      </c>
      <c r="Y1531" s="4">
        <f>1/TWD!C1531</f>
        <v>3.0164092664092663E-2</v>
      </c>
      <c r="Z1531" s="4">
        <f>1/ZAR!B1531</f>
        <v>7.1440818426015892E-2</v>
      </c>
      <c r="AA1531" s="4">
        <f>1/ZAR!C1531</f>
        <v>7.1065629108481687E-2</v>
      </c>
    </row>
    <row r="1532" spans="1:27" x14ac:dyDescent="0.25">
      <c r="A1532" t="str">
        <f>"30/09/2015"</f>
        <v>30/09/2015</v>
      </c>
      <c r="B1532" s="3">
        <f>AUD!B1532</f>
        <v>0.7016</v>
      </c>
      <c r="C1532" s="3">
        <f>AUD!C1532</f>
        <v>0.70040000000000002</v>
      </c>
      <c r="D1532" s="3">
        <f>1/CAD!B1532</f>
        <v>0.75108907916478895</v>
      </c>
      <c r="E1532" s="3">
        <f>1/CAD!C1532</f>
        <v>0.75091987684914019</v>
      </c>
      <c r="F1532" s="3">
        <f>EUR!B1532/1</f>
        <v>1.1175999999999999</v>
      </c>
      <c r="G1532" s="3">
        <f>EUR!C1532/1</f>
        <v>1.1181000000000001</v>
      </c>
      <c r="H1532" s="3">
        <f>GBP!B1532/1</f>
        <v>1.5127999999999999</v>
      </c>
      <c r="I1532" s="3">
        <f>GBP!C1532/1</f>
        <v>1.5125999999999999</v>
      </c>
      <c r="J1532" s="4">
        <f>1/INR!B1532</f>
        <v>1.5245064410397134E-2</v>
      </c>
      <c r="K1532" s="4">
        <f>1/INR!C1532</f>
        <v>1.5156682202265922E-2</v>
      </c>
      <c r="L1532" s="4">
        <f>1/JPY!B1532</f>
        <v>8.3416750083416761E-3</v>
      </c>
      <c r="M1532" s="4">
        <f>1/JPY!C1532</f>
        <v>8.3446194311139147E-3</v>
      </c>
      <c r="N1532" s="5">
        <f>1/KRW!B1532</f>
        <v>8.4347613384279298E-4</v>
      </c>
      <c r="O1532" s="5">
        <f>1/KRW!C1532</f>
        <v>8.4346467962132822E-4</v>
      </c>
      <c r="P1532" s="3">
        <f>1/NOK!B1532</f>
        <v>0.11736538190695273</v>
      </c>
      <c r="Q1532" s="3">
        <f>1/NOK!C1532</f>
        <v>0.11730067682490528</v>
      </c>
      <c r="R1532" s="3">
        <f>NZD!B1532/1</f>
        <v>0.63959999999999995</v>
      </c>
      <c r="S1532" s="3">
        <f>NZD!C1532/1</f>
        <v>0.6381</v>
      </c>
      <c r="T1532" s="4">
        <f>1/PHP!B1532</f>
        <v>2.1371631296616872E-2</v>
      </c>
      <c r="U1532" s="4">
        <f>1/PHP!C1532</f>
        <v>2.1327282072499964E-2</v>
      </c>
      <c r="V1532" s="4">
        <f>1/TWD!B1532</f>
        <v>3.0211480362537763E-2</v>
      </c>
      <c r="W1532" s="4">
        <f>1/TWD!C1532</f>
        <v>3.0211480362537763E-2</v>
      </c>
      <c r="X1532" s="4">
        <f>1/TWD!B1532</f>
        <v>3.0211480362537763E-2</v>
      </c>
      <c r="Y1532" s="4">
        <f>1/TWD!C1532</f>
        <v>3.0211480362537763E-2</v>
      </c>
      <c r="Z1532" s="4">
        <f>1/ZAR!B1532</f>
        <v>7.2132897650631522E-2</v>
      </c>
      <c r="AA1532" s="4">
        <f>1/ZAR!C1532</f>
        <v>7.1730865791550094E-2</v>
      </c>
    </row>
    <row r="1533" spans="1:27" x14ac:dyDescent="0.25">
      <c r="A1533" t="str">
        <f>"01/10/2015"</f>
        <v>01/10/2015</v>
      </c>
      <c r="B1533" s="3">
        <f>AUD!B1533</f>
        <v>0.70269999999999999</v>
      </c>
      <c r="C1533" s="3">
        <f>AUD!C1533</f>
        <v>0.70150000000000001</v>
      </c>
      <c r="D1533" s="3">
        <f>1/CAD!B1533</f>
        <v>0.75369309617123903</v>
      </c>
      <c r="E1533" s="3">
        <f>1/CAD!C1533</f>
        <v>0.75357950263752826</v>
      </c>
      <c r="F1533" s="3">
        <f>EUR!B1533/1</f>
        <v>1.1194999999999999</v>
      </c>
      <c r="G1533" s="3">
        <f>EUR!C1533/1</f>
        <v>1.1200000000000001</v>
      </c>
      <c r="H1533" s="3">
        <f>GBP!B1533/1</f>
        <v>1.5129999999999999</v>
      </c>
      <c r="I1533" s="3">
        <f>GBP!C1533/1</f>
        <v>1.5127999999999999</v>
      </c>
      <c r="J1533" s="4">
        <f>1/INR!B1533</f>
        <v>1.5263097645667188E-2</v>
      </c>
      <c r="K1533" s="4">
        <f>1/INR!C1533</f>
        <v>1.5174506828528072E-2</v>
      </c>
      <c r="L1533" s="4">
        <f>1/JPY!B1533</f>
        <v>8.3381972817476863E-3</v>
      </c>
      <c r="M1533" s="4">
        <f>1/JPY!C1533</f>
        <v>8.341250570333008E-3</v>
      </c>
      <c r="N1533" s="5">
        <f>1/KRW!B1533</f>
        <v>8.499787505312367E-4</v>
      </c>
      <c r="O1533" s="5">
        <f>1/KRW!C1533</f>
        <v>8.499668300444575E-4</v>
      </c>
      <c r="P1533" s="3">
        <f>1/NOK!B1533</f>
        <v>0.11832079132945242</v>
      </c>
      <c r="Q1533" s="3">
        <f>1/NOK!C1533</f>
        <v>0.11825782571161647</v>
      </c>
      <c r="R1533" s="3">
        <f>NZD!B1533/1</f>
        <v>0.63939999999999997</v>
      </c>
      <c r="S1533" s="3">
        <f>NZD!C1533/1</f>
        <v>0.63790000000000002</v>
      </c>
      <c r="T1533" s="4">
        <f>1/PHP!B1533</f>
        <v>2.1378941742383754E-2</v>
      </c>
      <c r="U1533" s="4">
        <f>1/PHP!C1533</f>
        <v>2.1335563610916129E-2</v>
      </c>
      <c r="V1533" s="4">
        <f>1/TWD!B1533</f>
        <v>3.0284675953967291E-2</v>
      </c>
      <c r="W1533" s="4">
        <f>1/TWD!C1533</f>
        <v>3.0284675953967291E-2</v>
      </c>
      <c r="X1533" s="4">
        <f>1/TWD!B1533</f>
        <v>3.0284675953967291E-2</v>
      </c>
      <c r="Y1533" s="4">
        <f>1/TWD!C1533</f>
        <v>3.0284675953967291E-2</v>
      </c>
      <c r="Z1533" s="4">
        <f>1/ZAR!B1533</f>
        <v>7.1742187275805669E-2</v>
      </c>
      <c r="AA1533" s="4">
        <f>1/ZAR!C1533</f>
        <v>7.136281569125591E-2</v>
      </c>
    </row>
    <row r="1534" spans="1:27" x14ac:dyDescent="0.25">
      <c r="A1534" t="str">
        <f>"05/10/2015"</f>
        <v>05/10/2015</v>
      </c>
      <c r="B1534" s="3">
        <f>AUD!B1534</f>
        <v>0.70809999999999995</v>
      </c>
      <c r="C1534" s="3">
        <f>AUD!C1534</f>
        <v>0.70679999999999998</v>
      </c>
      <c r="D1534" s="3">
        <f>1/CAD!B1534</f>
        <v>0.76411706273401081</v>
      </c>
      <c r="E1534" s="3">
        <f>1/CAD!C1534</f>
        <v>0.76394194041252872</v>
      </c>
      <c r="F1534" s="3">
        <f>EUR!B1534/1</f>
        <v>1.1188</v>
      </c>
      <c r="G1534" s="3">
        <f>EUR!C1534/1</f>
        <v>1.1193</v>
      </c>
      <c r="H1534" s="3">
        <f>GBP!B1534/1</f>
        <v>1.5145</v>
      </c>
      <c r="I1534" s="3">
        <f>GBP!C1534/1</f>
        <v>1.5142</v>
      </c>
      <c r="J1534" s="4">
        <f>1/INR!B1534</f>
        <v>1.5312763188117294E-2</v>
      </c>
      <c r="K1534" s="4">
        <f>1/INR!C1534</f>
        <v>1.5217804831653033E-2</v>
      </c>
      <c r="L1534" s="4">
        <f>1/JPY!B1534</f>
        <v>8.3008217813563545E-3</v>
      </c>
      <c r="M1534" s="4">
        <f>1/JPY!C1534</f>
        <v>8.3041994336535974E-3</v>
      </c>
      <c r="N1534" s="5">
        <f>1/KRW!B1534</f>
        <v>8.5290028742739685E-4</v>
      </c>
      <c r="O1534" s="5">
        <f>1/KRW!C1534</f>
        <v>8.5288617534623348E-4</v>
      </c>
      <c r="P1534" s="3">
        <f>1/NOK!B1534</f>
        <v>0.11884529907419511</v>
      </c>
      <c r="Q1534" s="3">
        <f>1/NOK!C1534</f>
        <v>0.11877895236964009</v>
      </c>
      <c r="R1534" s="3">
        <f>NZD!B1534/1</f>
        <v>0.64849999999999997</v>
      </c>
      <c r="S1534" s="3">
        <f>NZD!C1534/1</f>
        <v>0.64690000000000003</v>
      </c>
      <c r="T1534" s="4">
        <f>1/PHP!B1534</f>
        <v>2.151555574680494E-2</v>
      </c>
      <c r="U1534" s="4">
        <f>1/PHP!C1534</f>
        <v>2.1473051320592657E-2</v>
      </c>
      <c r="V1534" s="4">
        <f>1/TWD!B1534</f>
        <v>3.0600691575629606E-2</v>
      </c>
      <c r="W1534" s="4">
        <f>1/TWD!C1534</f>
        <v>3.0600691575629606E-2</v>
      </c>
      <c r="X1534" s="4">
        <f>1/TWD!B1534</f>
        <v>3.0600691575629606E-2</v>
      </c>
      <c r="Y1534" s="4">
        <f>1/TWD!C1534</f>
        <v>3.0600691575629606E-2</v>
      </c>
      <c r="Z1534" s="4">
        <f>1/ZAR!B1534</f>
        <v>7.3289603869691078E-2</v>
      </c>
      <c r="AA1534" s="4">
        <f>1/ZAR!C1534</f>
        <v>7.2894266865910995E-2</v>
      </c>
    </row>
    <row r="1535" spans="1:27" x14ac:dyDescent="0.25">
      <c r="A1535" t="str">
        <f>"06/10/2015"</f>
        <v>06/10/2015</v>
      </c>
      <c r="B1535" s="3">
        <f>AUD!B1535</f>
        <v>0.71640000000000004</v>
      </c>
      <c r="C1535" s="3">
        <f>AUD!C1535</f>
        <v>0.71519999999999995</v>
      </c>
      <c r="D1535" s="3">
        <f>1/CAD!B1535</f>
        <v>0.76716532412734939</v>
      </c>
      <c r="E1535" s="3">
        <f>1/CAD!C1535</f>
        <v>0.76698880196349128</v>
      </c>
      <c r="F1535" s="3">
        <f>EUR!B1535/1</f>
        <v>1.1272</v>
      </c>
      <c r="G1535" s="3">
        <f>EUR!C1535/1</f>
        <v>1.1276999999999999</v>
      </c>
      <c r="H1535" s="3">
        <f>GBP!B1535/1</f>
        <v>1.5226</v>
      </c>
      <c r="I1535" s="3">
        <f>GBP!C1535/1</f>
        <v>1.5223</v>
      </c>
      <c r="J1535" s="4">
        <f>1/INR!B1535</f>
        <v>1.5287013681877244E-2</v>
      </c>
      <c r="K1535" s="4">
        <f>1/INR!C1535</f>
        <v>1.5196413646379452E-2</v>
      </c>
      <c r="L1535" s="4">
        <f>1/JPY!B1535</f>
        <v>8.317391665973551E-3</v>
      </c>
      <c r="M1535" s="4">
        <f>1/JPY!C1535</f>
        <v>8.3207758957107233E-3</v>
      </c>
      <c r="N1535" s="5">
        <f>1/KRW!B1535</f>
        <v>8.5728737129973334E-4</v>
      </c>
      <c r="O1535" s="5">
        <f>1/KRW!C1535</f>
        <v>8.5727744970246042E-4</v>
      </c>
      <c r="P1535" s="3">
        <f>1/NOK!B1535</f>
        <v>0.12074523961892802</v>
      </c>
      <c r="Q1535" s="3">
        <f>1/NOK!C1535</f>
        <v>0.12067821154890485</v>
      </c>
      <c r="R1535" s="3">
        <f>NZD!B1535/1</f>
        <v>0.65410000000000001</v>
      </c>
      <c r="S1535" s="3">
        <f>NZD!C1535/1</f>
        <v>0.65249999999999997</v>
      </c>
      <c r="T1535" s="4">
        <f>1/PHP!B1535</f>
        <v>2.1501677130816202E-2</v>
      </c>
      <c r="U1535" s="4">
        <f>1/PHP!C1535</f>
        <v>2.1456556909225891E-2</v>
      </c>
      <c r="V1535" s="4">
        <f>1/TWD!B1535</f>
        <v>3.0360992197225007E-2</v>
      </c>
      <c r="W1535" s="4">
        <f>1/TWD!C1535</f>
        <v>3.0360992197225007E-2</v>
      </c>
      <c r="X1535" s="4">
        <f>1/TWD!B1535</f>
        <v>3.0360992197225007E-2</v>
      </c>
      <c r="Y1535" s="4">
        <f>1/TWD!C1535</f>
        <v>3.0360992197225007E-2</v>
      </c>
      <c r="Z1535" s="4">
        <f>1/ZAR!B1535</f>
        <v>7.3911468842620315E-2</v>
      </c>
      <c r="AA1535" s="4">
        <f>1/ZAR!C1535</f>
        <v>7.3486724623196817E-2</v>
      </c>
    </row>
    <row r="1536" spans="1:27" x14ac:dyDescent="0.25">
      <c r="A1536" t="str">
        <f>"07/10/2015"</f>
        <v>07/10/2015</v>
      </c>
      <c r="B1536" s="3">
        <f>AUD!B1536</f>
        <v>0.72060000000000002</v>
      </c>
      <c r="C1536" s="3">
        <f>AUD!C1536</f>
        <v>0.71940000000000004</v>
      </c>
      <c r="D1536" s="3">
        <f>1/CAD!B1536</f>
        <v>0.76581406034614796</v>
      </c>
      <c r="E1536" s="3">
        <f>1/CAD!C1536</f>
        <v>0.76563815940586477</v>
      </c>
      <c r="F1536" s="3">
        <f>EUR!B1536/1</f>
        <v>1.1236999999999999</v>
      </c>
      <c r="G1536" s="3">
        <f>EUR!C1536/1</f>
        <v>1.1242000000000001</v>
      </c>
      <c r="H1536" s="3">
        <f>GBP!B1536/1</f>
        <v>1.5318000000000001</v>
      </c>
      <c r="I1536" s="3">
        <f>GBP!C1536/1</f>
        <v>1.5315000000000001</v>
      </c>
      <c r="J1536" s="4">
        <f>1/INR!B1536</f>
        <v>1.5392311540385577E-2</v>
      </c>
      <c r="K1536" s="4">
        <f>1/INR!C1536</f>
        <v>1.5302804238876776E-2</v>
      </c>
      <c r="L1536" s="4">
        <f>1/JPY!B1536</f>
        <v>8.3319446758873521E-3</v>
      </c>
      <c r="M1536" s="4">
        <f>1/JPY!C1536</f>
        <v>8.3350906482783458E-3</v>
      </c>
      <c r="N1536" s="5">
        <f>1/KRW!B1536</f>
        <v>8.6042969859147656E-4</v>
      </c>
      <c r="O1536" s="5">
        <f>1/KRW!C1536</f>
        <v>8.6041859364580878E-4</v>
      </c>
      <c r="P1536" s="3">
        <f>1/NOK!B1536</f>
        <v>0.1216234295374661</v>
      </c>
      <c r="Q1536" s="3">
        <f>1/NOK!C1536</f>
        <v>0.121558378411232</v>
      </c>
      <c r="R1536" s="3">
        <f>NZD!B1536/1</f>
        <v>0.66069999999999995</v>
      </c>
      <c r="S1536" s="3">
        <f>NZD!C1536/1</f>
        <v>0.65920000000000001</v>
      </c>
      <c r="T1536" s="4">
        <f>1/PHP!B1536</f>
        <v>2.1598738633663794E-2</v>
      </c>
      <c r="U1536" s="4">
        <f>1/PHP!C1536</f>
        <v>2.1557856976553675E-2</v>
      </c>
      <c r="V1536" s="4">
        <f>1/TWD!B1536</f>
        <v>3.0828991583685302E-2</v>
      </c>
      <c r="W1536" s="4">
        <f>1/TWD!C1536</f>
        <v>3.0828991583685302E-2</v>
      </c>
      <c r="X1536" s="4">
        <f>1/TWD!B1536</f>
        <v>3.0828991583685302E-2</v>
      </c>
      <c r="Y1536" s="4">
        <f>1/TWD!C1536</f>
        <v>3.0828991583685302E-2</v>
      </c>
      <c r="Z1536" s="4">
        <f>1/ZAR!B1536</f>
        <v>7.4176272493954629E-2</v>
      </c>
      <c r="AA1536" s="4">
        <f>1/ZAR!C1536</f>
        <v>7.3766440695470004E-2</v>
      </c>
    </row>
    <row r="1537" spans="1:27" x14ac:dyDescent="0.25">
      <c r="A1537" t="str">
        <f>"08/10/2015"</f>
        <v>08/10/2015</v>
      </c>
      <c r="B1537" s="3">
        <f>AUD!B1537</f>
        <v>0.72589999999999999</v>
      </c>
      <c r="C1537" s="3">
        <f>AUD!C1537</f>
        <v>0.72470000000000001</v>
      </c>
      <c r="D1537" s="3">
        <f>1/CAD!B1537</f>
        <v>0.76822616578320657</v>
      </c>
      <c r="E1537" s="3">
        <f>1/CAD!C1537</f>
        <v>0.76804915514592931</v>
      </c>
      <c r="F1537" s="3">
        <f>EUR!B1537/1</f>
        <v>1.1274999999999999</v>
      </c>
      <c r="G1537" s="3">
        <f>EUR!C1537/1</f>
        <v>1.1279999999999999</v>
      </c>
      <c r="H1537" s="3">
        <f>GBP!B1537/1</f>
        <v>1.5347</v>
      </c>
      <c r="I1537" s="3">
        <f>GBP!C1537/1</f>
        <v>1.5344</v>
      </c>
      <c r="J1537" s="4">
        <f>1/INR!B1537</f>
        <v>1.5363343063450606E-2</v>
      </c>
      <c r="K1537" s="4">
        <f>1/INR!C1537</f>
        <v>1.5273588147695598E-2</v>
      </c>
      <c r="L1537" s="4">
        <f>1/JPY!B1537</f>
        <v>8.3375020843755206E-3</v>
      </c>
      <c r="M1537" s="4">
        <f>1/JPY!C1537</f>
        <v>8.3402766136141671E-3</v>
      </c>
      <c r="N1537" s="5">
        <f>1/KRW!B1537</f>
        <v>8.6288722064026225E-4</v>
      </c>
      <c r="O1537" s="5">
        <f>1/KRW!C1537</f>
        <v>8.6287605216948612E-4</v>
      </c>
      <c r="P1537" s="3">
        <f>1/NOK!B1537</f>
        <v>0.12259859992398886</v>
      </c>
      <c r="Q1537" s="3">
        <f>1/NOK!C1537</f>
        <v>0.12253250174608817</v>
      </c>
      <c r="R1537" s="3">
        <f>NZD!B1537/1</f>
        <v>0.6663</v>
      </c>
      <c r="S1537" s="3">
        <f>NZD!C1537/1</f>
        <v>0.66479999999999995</v>
      </c>
      <c r="T1537" s="4">
        <f>1/PHP!B1537</f>
        <v>2.1659085986571364E-2</v>
      </c>
      <c r="U1537" s="4">
        <f>1/PHP!C1537</f>
        <v>2.1620686673008732E-2</v>
      </c>
      <c r="V1537" s="4">
        <f>1/TWD!B1537</f>
        <v>3.0668261416260313E-2</v>
      </c>
      <c r="W1537" s="4">
        <f>1/TWD!C1537</f>
        <v>3.0668261416260313E-2</v>
      </c>
      <c r="X1537" s="4">
        <f>1/TWD!B1537</f>
        <v>3.0668261416260313E-2</v>
      </c>
      <c r="Y1537" s="4">
        <f>1/TWD!C1537</f>
        <v>3.0668261416260313E-2</v>
      </c>
      <c r="Z1537" s="4">
        <f>1/ZAR!B1537</f>
        <v>7.5082402937223611E-2</v>
      </c>
      <c r="AA1537" s="4">
        <f>1/ZAR!C1537</f>
        <v>7.4677021880367414E-2</v>
      </c>
    </row>
    <row r="1538" spans="1:27" x14ac:dyDescent="0.25">
      <c r="A1538" t="str">
        <f>"09/10/2015"</f>
        <v>09/10/2015</v>
      </c>
      <c r="B1538" s="3">
        <f>AUD!B1538</f>
        <v>0.73299999999999998</v>
      </c>
      <c r="C1538" s="3">
        <f>AUD!C1538</f>
        <v>0.73180000000000001</v>
      </c>
      <c r="D1538" s="3">
        <f>1/CAD!B1538</f>
        <v>0.77237970186143512</v>
      </c>
      <c r="E1538" s="3">
        <f>1/CAD!C1538</f>
        <v>0.77220077220077221</v>
      </c>
      <c r="F1538" s="3">
        <f>EUR!B1538/1</f>
        <v>1.1356999999999999</v>
      </c>
      <c r="G1538" s="3">
        <f>EUR!C1538/1</f>
        <v>1.1362000000000001</v>
      </c>
      <c r="H1538" s="3">
        <f>GBP!B1538/1</f>
        <v>1.5321</v>
      </c>
      <c r="I1538" s="3">
        <f>GBP!C1538/1</f>
        <v>1.5318000000000001</v>
      </c>
      <c r="J1538" s="4">
        <f>1/INR!B1538</f>
        <v>1.5446400988569664E-2</v>
      </c>
      <c r="K1538" s="4">
        <f>1/INR!C1538</f>
        <v>1.5348016268897246E-2</v>
      </c>
      <c r="L1538" s="4">
        <f>1/JPY!B1538</f>
        <v>8.3146254261245531E-3</v>
      </c>
      <c r="M1538" s="4">
        <f>1/JPY!C1538</f>
        <v>8.3173363231384967E-3</v>
      </c>
      <c r="N1538" s="5">
        <f>1/KRW!B1538</f>
        <v>8.7355317754968329E-4</v>
      </c>
      <c r="O1538" s="5">
        <f>1/KRW!C1538</f>
        <v>8.7354134973494579E-4</v>
      </c>
      <c r="P1538" s="3">
        <f>1/NOK!B1538</f>
        <v>0.12338367387227324</v>
      </c>
      <c r="Q1538" s="3">
        <f>1/NOK!C1538</f>
        <v>0.123316726680807</v>
      </c>
      <c r="R1538" s="3">
        <f>NZD!B1538/1</f>
        <v>0.66590000000000005</v>
      </c>
      <c r="S1538" s="3">
        <f>NZD!C1538/1</f>
        <v>0.66439999999999999</v>
      </c>
      <c r="T1538" s="4">
        <f>1/PHP!B1538</f>
        <v>2.1784119376974186E-2</v>
      </c>
      <c r="U1538" s="4">
        <f>1/PHP!C1538</f>
        <v>2.1743951919773515E-2</v>
      </c>
      <c r="V1538" s="4">
        <f>1/TWD!B1538</f>
        <v>3.0937722364879496E-2</v>
      </c>
      <c r="W1538" s="4">
        <f>1/TWD!C1538</f>
        <v>3.0937722364879496E-2</v>
      </c>
      <c r="X1538" s="4">
        <f>1/TWD!B1538</f>
        <v>3.0937722364879496E-2</v>
      </c>
      <c r="Y1538" s="4">
        <f>1/TWD!C1538</f>
        <v>3.0937722364879496E-2</v>
      </c>
      <c r="Z1538" s="4">
        <f>1/ZAR!B1538</f>
        <v>7.4752382732199585E-2</v>
      </c>
      <c r="AA1538" s="4">
        <f>1/ZAR!C1538</f>
        <v>7.4348889599333834E-2</v>
      </c>
    </row>
    <row r="1539" spans="1:27" x14ac:dyDescent="0.25">
      <c r="A1539" t="str">
        <f>"12/10/2015"</f>
        <v>12/10/2015</v>
      </c>
      <c r="B1539" s="3">
        <f>AUD!B1539</f>
        <v>0.73609999999999998</v>
      </c>
      <c r="C1539" s="3">
        <f>AUD!C1539</f>
        <v>0.73480000000000001</v>
      </c>
      <c r="D1539" s="3">
        <f>1/CAD!B1539</f>
        <v>0.76934913063548238</v>
      </c>
      <c r="E1539" s="3">
        <f>1/CAD!C1539</f>
        <v>0.76917160218444736</v>
      </c>
      <c r="F1539" s="3">
        <f>EUR!B1539/1</f>
        <v>1.1357999999999999</v>
      </c>
      <c r="G1539" s="3">
        <f>EUR!C1539/1</f>
        <v>1.1363000000000001</v>
      </c>
      <c r="H1539" s="3">
        <f>GBP!B1539/1</f>
        <v>1.5347</v>
      </c>
      <c r="I1539" s="3">
        <f>GBP!C1539/1</f>
        <v>1.5344</v>
      </c>
      <c r="J1539" s="4">
        <f>1/INR!B1539</f>
        <v>1.5442226769100106E-2</v>
      </c>
      <c r="K1539" s="4">
        <f>1/INR!C1539</f>
        <v>1.5348605195502858E-2</v>
      </c>
      <c r="L1539" s="4">
        <f>1/JPY!B1539</f>
        <v>8.3305564811729411E-3</v>
      </c>
      <c r="M1539" s="4">
        <f>1/JPY!C1539</f>
        <v>8.3333333333333332E-3</v>
      </c>
      <c r="N1539" s="5">
        <f>1/KRW!B1539</f>
        <v>8.7377453121996397E-4</v>
      </c>
      <c r="O1539" s="5">
        <f>1/KRW!C1539</f>
        <v>8.7376307914109098E-4</v>
      </c>
      <c r="P1539" s="3">
        <f>1/NOK!B1539</f>
        <v>0.12344459806438871</v>
      </c>
      <c r="Q1539" s="3">
        <f>1/NOK!C1539</f>
        <v>0.12337910698202366</v>
      </c>
      <c r="R1539" s="3">
        <f>NZD!B1539/1</f>
        <v>0.67149999999999999</v>
      </c>
      <c r="S1539" s="3">
        <f>NZD!C1539/1</f>
        <v>0.66979999999999995</v>
      </c>
      <c r="T1539" s="4">
        <f>1/PHP!B1539</f>
        <v>2.1813581135615032E-2</v>
      </c>
      <c r="U1539" s="4">
        <f>1/PHP!C1539</f>
        <v>2.1774395488345255E-2</v>
      </c>
      <c r="V1539" s="4">
        <f>1/TWD!B1539</f>
        <v>3.0950170225936241E-2</v>
      </c>
      <c r="W1539" s="4">
        <f>1/TWD!C1539</f>
        <v>3.0950170225936241E-2</v>
      </c>
      <c r="X1539" s="4">
        <f>1/TWD!B1539</f>
        <v>3.0950170225936241E-2</v>
      </c>
      <c r="Y1539" s="4">
        <f>1/TWD!C1539</f>
        <v>3.0950170225936241E-2</v>
      </c>
      <c r="Z1539" s="4">
        <f>1/ZAR!B1539</f>
        <v>7.4933309354674335E-2</v>
      </c>
      <c r="AA1539" s="4">
        <f>1/ZAR!C1539</f>
        <v>7.4535087392389968E-2</v>
      </c>
    </row>
    <row r="1540" spans="1:27" x14ac:dyDescent="0.25">
      <c r="A1540" t="str">
        <f>"13/10/2015"</f>
        <v>13/10/2015</v>
      </c>
      <c r="B1540" s="3">
        <f>AUD!B1540</f>
        <v>0.72440000000000004</v>
      </c>
      <c r="C1540" s="3">
        <f>AUD!C1540</f>
        <v>0.72309999999999997</v>
      </c>
      <c r="D1540" s="3">
        <f>1/CAD!B1540</f>
        <v>0.76692997929289053</v>
      </c>
      <c r="E1540" s="3">
        <f>1/CAD!C1540</f>
        <v>0.76675356540407913</v>
      </c>
      <c r="F1540" s="3">
        <f>EUR!B1540/1</f>
        <v>1.1378999999999999</v>
      </c>
      <c r="G1540" s="3">
        <f>EUR!C1540/1</f>
        <v>1.1384000000000001</v>
      </c>
      <c r="H1540" s="3">
        <f>GBP!B1540/1</f>
        <v>1.5246999999999999</v>
      </c>
      <c r="I1540" s="3">
        <f>GBP!C1540/1</f>
        <v>1.5244</v>
      </c>
      <c r="J1540" s="4">
        <f>1/INR!B1540</f>
        <v>1.5339776039269826E-2</v>
      </c>
      <c r="K1540" s="4">
        <f>1/INR!C1540</f>
        <v>1.5247970113978578E-2</v>
      </c>
      <c r="L1540" s="4">
        <f>1/JPY!B1540</f>
        <v>8.350730688935281E-3</v>
      </c>
      <c r="M1540" s="4">
        <f>1/JPY!C1540</f>
        <v>8.3533116704117352E-3</v>
      </c>
      <c r="N1540" s="5">
        <f>1/KRW!B1540</f>
        <v>8.6964083833376805E-4</v>
      </c>
      <c r="O1540" s="5">
        <f>1/KRW!C1540</f>
        <v>8.6963040186142644E-4</v>
      </c>
      <c r="P1540" s="3">
        <f>1/NOK!B1540</f>
        <v>0.12252349387995148</v>
      </c>
      <c r="Q1540" s="3">
        <f>1/NOK!C1540</f>
        <v>0.12245447754797155</v>
      </c>
      <c r="R1540" s="3">
        <f>NZD!B1540/1</f>
        <v>0.66390000000000005</v>
      </c>
      <c r="S1540" s="3">
        <f>NZD!C1540/1</f>
        <v>0.6623</v>
      </c>
      <c r="T1540" s="4">
        <f>1/PHP!B1540</f>
        <v>2.1671289875173371E-2</v>
      </c>
      <c r="U1540" s="4">
        <f>1/PHP!C1540</f>
        <v>2.1630133371402366E-2</v>
      </c>
      <c r="V1540" s="4">
        <f>1/TWD!B1540</f>
        <v>3.0571690614490981E-2</v>
      </c>
      <c r="W1540" s="4">
        <f>1/TWD!C1540</f>
        <v>3.0571690614490981E-2</v>
      </c>
      <c r="X1540" s="4">
        <f>1/TWD!B1540</f>
        <v>3.0571690614490981E-2</v>
      </c>
      <c r="Y1540" s="4">
        <f>1/TWD!C1540</f>
        <v>3.0571690614490981E-2</v>
      </c>
      <c r="Z1540" s="4">
        <f>1/ZAR!B1540</f>
        <v>7.3702286981965057E-2</v>
      </c>
      <c r="AA1540" s="4">
        <f>1/ZAR!C1540</f>
        <v>7.3287992495309567E-2</v>
      </c>
    </row>
    <row r="1541" spans="1:27" x14ac:dyDescent="0.25">
      <c r="A1541" t="str">
        <f>"14/10/2015"</f>
        <v>14/10/2015</v>
      </c>
      <c r="B1541" s="3">
        <f>AUD!B1541</f>
        <v>0.72989999999999999</v>
      </c>
      <c r="C1541" s="3">
        <f>AUD!C1541</f>
        <v>0.72870000000000001</v>
      </c>
      <c r="D1541" s="3">
        <f>1/CAD!B1541</f>
        <v>0.77297673340032458</v>
      </c>
      <c r="E1541" s="3">
        <f>1/CAD!C1541</f>
        <v>0.77279752704791338</v>
      </c>
      <c r="F1541" s="3">
        <f>EUR!B1541/1</f>
        <v>1.1473</v>
      </c>
      <c r="G1541" s="3">
        <f>EUR!C1541/1</f>
        <v>1.1477999999999999</v>
      </c>
      <c r="H1541" s="3">
        <f>GBP!B1541/1</f>
        <v>1.5477000000000001</v>
      </c>
      <c r="I1541" s="3">
        <f>GBP!C1541/1</f>
        <v>1.5474000000000001</v>
      </c>
      <c r="J1541" s="4">
        <f>1/INR!B1541</f>
        <v>1.5375153751537514E-2</v>
      </c>
      <c r="K1541" s="4">
        <f>1/INR!C1541</f>
        <v>1.5286429472236022E-2</v>
      </c>
      <c r="L1541" s="4">
        <f>1/JPY!B1541</f>
        <v>8.4146751935375297E-3</v>
      </c>
      <c r="M1541" s="4">
        <f>1/JPY!C1541</f>
        <v>8.4170266348390834E-3</v>
      </c>
      <c r="N1541" s="5">
        <f>1/KRW!B1541</f>
        <v>8.7164199919808933E-4</v>
      </c>
      <c r="O1541" s="5">
        <f>1/KRW!C1541</f>
        <v>8.7163174256182159E-4</v>
      </c>
      <c r="P1541" s="3">
        <f>1/NOK!B1541</f>
        <v>0.12356662712534598</v>
      </c>
      <c r="Q1541" s="3">
        <f>1/NOK!C1541</f>
        <v>0.12349795610882638</v>
      </c>
      <c r="R1541" s="3">
        <f>NZD!B1541/1</f>
        <v>0.67849999999999999</v>
      </c>
      <c r="S1541" s="3">
        <f>NZD!C1541/1</f>
        <v>0.67700000000000005</v>
      </c>
      <c r="T1541" s="4">
        <f>1/PHP!B1541</f>
        <v>2.1723546151673798E-2</v>
      </c>
      <c r="U1541" s="4">
        <f>1/PHP!C1541</f>
        <v>2.1683742613975172E-2</v>
      </c>
      <c r="V1541" s="4">
        <f>1/TWD!B1541</f>
        <v>3.077870113881194E-2</v>
      </c>
      <c r="W1541" s="4">
        <f>1/TWD!C1541</f>
        <v>3.077870113881194E-2</v>
      </c>
      <c r="X1541" s="4">
        <f>1/TWD!B1541</f>
        <v>3.077870113881194E-2</v>
      </c>
      <c r="Y1541" s="4">
        <f>1/TWD!C1541</f>
        <v>3.077870113881194E-2</v>
      </c>
      <c r="Z1541" s="4">
        <f>1/ZAR!B1541</f>
        <v>7.5466572081896333E-2</v>
      </c>
      <c r="AA1541" s="4">
        <f>1/ZAR!C1541</f>
        <v>7.5041272699984993E-2</v>
      </c>
    </row>
    <row r="1542" spans="1:27" x14ac:dyDescent="0.25">
      <c r="A1542" t="str">
        <f>"15/10/2015"</f>
        <v>15/10/2015</v>
      </c>
      <c r="B1542" s="3">
        <f>AUD!B1542</f>
        <v>0.73270000000000002</v>
      </c>
      <c r="C1542" s="3">
        <f>AUD!C1542</f>
        <v>0.73150000000000004</v>
      </c>
      <c r="D1542" s="3">
        <f>1/CAD!B1542</f>
        <v>0.77736318407960203</v>
      </c>
      <c r="E1542" s="3">
        <f>1/CAD!C1542</f>
        <v>0.77724234416291005</v>
      </c>
      <c r="F1542" s="3">
        <f>EUR!B1542/1</f>
        <v>1.1386000000000001</v>
      </c>
      <c r="G1542" s="3">
        <f>EUR!C1542/1</f>
        <v>1.1391</v>
      </c>
      <c r="H1542" s="3">
        <f>GBP!B1542/1</f>
        <v>1.5459000000000001</v>
      </c>
      <c r="I1542" s="3">
        <f>GBP!C1542/1</f>
        <v>1.5456000000000001</v>
      </c>
      <c r="J1542" s="4">
        <f>1/INR!B1542</f>
        <v>1.5424957581366652E-2</v>
      </c>
      <c r="K1542" s="4">
        <f>1/INR!C1542</f>
        <v>1.5337423312883436E-2</v>
      </c>
      <c r="L1542" s="4">
        <f>1/JPY!B1542</f>
        <v>8.4104289318755257E-3</v>
      </c>
      <c r="M1542" s="4">
        <f>1/JPY!C1542</f>
        <v>8.4129761744514732E-3</v>
      </c>
      <c r="N1542" s="5">
        <f>1/KRW!B1542</f>
        <v>8.8448611356801705E-4</v>
      </c>
      <c r="O1542" s="5">
        <f>1/KRW!C1542</f>
        <v>8.8447555243237417E-4</v>
      </c>
      <c r="P1542" s="3">
        <f>1/NOK!B1542</f>
        <v>0.12329392037678623</v>
      </c>
      <c r="Q1542" s="3">
        <f>1/NOK!C1542</f>
        <v>0.12322403361551638</v>
      </c>
      <c r="R1542" s="3">
        <f>NZD!B1542/1</f>
        <v>0.68489999999999995</v>
      </c>
      <c r="S1542" s="3">
        <f>NZD!C1542/1</f>
        <v>0.68330000000000002</v>
      </c>
      <c r="T1542" s="4">
        <f>1/PHP!B1542</f>
        <v>2.183596820683029E-2</v>
      </c>
      <c r="U1542" s="4">
        <f>1/PHP!C1542</f>
        <v>2.1795942031512573E-2</v>
      </c>
      <c r="V1542" s="4">
        <f>1/TWD!B1542</f>
        <v>3.0845157310302282E-2</v>
      </c>
      <c r="W1542" s="4">
        <f>1/TWD!C1542</f>
        <v>3.0845157310302282E-2</v>
      </c>
      <c r="X1542" s="4">
        <f>1/TWD!B1542</f>
        <v>3.0845157310302282E-2</v>
      </c>
      <c r="Y1542" s="4">
        <f>1/TWD!C1542</f>
        <v>3.0845157310302282E-2</v>
      </c>
      <c r="Z1542" s="4">
        <f>1/ZAR!B1542</f>
        <v>7.6560298891406864E-2</v>
      </c>
      <c r="AA1542" s="4">
        <f>1/ZAR!C1542</f>
        <v>7.6142325234327998E-2</v>
      </c>
    </row>
    <row r="1543" spans="1:27" x14ac:dyDescent="0.25">
      <c r="A1543" t="str">
        <f>"16/10/2015"</f>
        <v>16/10/2015</v>
      </c>
      <c r="B1543" s="3">
        <f>AUD!B1543</f>
        <v>0.72540000000000004</v>
      </c>
      <c r="C1543" s="3">
        <f>AUD!C1543</f>
        <v>0.72419999999999995</v>
      </c>
      <c r="D1543" s="3">
        <f>1/CAD!B1543</f>
        <v>0.77423350882626196</v>
      </c>
      <c r="E1543" s="3">
        <f>1/CAD!C1543</f>
        <v>0.77405371932812139</v>
      </c>
      <c r="F1543" s="3">
        <f>EUR!B1543/1</f>
        <v>1.1347</v>
      </c>
      <c r="G1543" s="3">
        <f>EUR!C1543/1</f>
        <v>1.1352</v>
      </c>
      <c r="H1543" s="3">
        <f>GBP!B1543/1</f>
        <v>1.5437000000000001</v>
      </c>
      <c r="I1543" s="3">
        <f>GBP!C1543/1</f>
        <v>1.5434000000000001</v>
      </c>
      <c r="J1543" s="4">
        <f>1/INR!B1543</f>
        <v>1.5427337241592103E-2</v>
      </c>
      <c r="K1543" s="4">
        <f>1/INR!C1543</f>
        <v>1.5338599585857813E-2</v>
      </c>
      <c r="L1543" s="4">
        <f>1/JPY!B1543</f>
        <v>8.3717036416910834E-3</v>
      </c>
      <c r="M1543" s="4">
        <f>1/JPY!C1543</f>
        <v>8.3743186444992877E-3</v>
      </c>
      <c r="N1543" s="5">
        <f>1/KRW!B1543</f>
        <v>8.8519075860848007E-4</v>
      </c>
      <c r="O1543" s="5">
        <f>1/KRW!C1543</f>
        <v>8.8518057241086898E-4</v>
      </c>
      <c r="P1543" s="3">
        <f>1/NOK!B1543</f>
        <v>0.1231496761163518</v>
      </c>
      <c r="Q1543" s="3">
        <f>1/NOK!C1543</f>
        <v>0.12308146762341993</v>
      </c>
      <c r="R1543" s="3">
        <f>NZD!B1543/1</f>
        <v>0.67769999999999997</v>
      </c>
      <c r="S1543" s="3">
        <f>NZD!C1543/1</f>
        <v>0.67610000000000003</v>
      </c>
      <c r="T1543" s="4">
        <f>1/PHP!B1543</f>
        <v>2.1661431820643343E-2</v>
      </c>
      <c r="U1543" s="4">
        <f>1/PHP!C1543</f>
        <v>2.1618489862009177E-2</v>
      </c>
      <c r="V1543" s="4">
        <f>1/TWD!B1543</f>
        <v>3.0953044231900206E-2</v>
      </c>
      <c r="W1543" s="4">
        <f>1/TWD!C1543</f>
        <v>3.0953044231900206E-2</v>
      </c>
      <c r="X1543" s="4">
        <f>1/TWD!B1543</f>
        <v>3.0953044231900206E-2</v>
      </c>
      <c r="Y1543" s="4">
        <f>1/TWD!C1543</f>
        <v>3.0953044231900206E-2</v>
      </c>
      <c r="Z1543" s="4">
        <f>1/ZAR!B1543</f>
        <v>7.6221836031586332E-2</v>
      </c>
      <c r="AA1543" s="4">
        <f>1/ZAR!C1543</f>
        <v>7.5812712275594371E-2</v>
      </c>
    </row>
    <row r="1544" spans="1:27" x14ac:dyDescent="0.25">
      <c r="A1544" t="str">
        <f>"19/10/2015"</f>
        <v>19/10/2015</v>
      </c>
      <c r="B1544" s="3">
        <f>AUD!B1544</f>
        <v>0.72470000000000001</v>
      </c>
      <c r="C1544" s="3">
        <f>AUD!C1544</f>
        <v>0.72340000000000004</v>
      </c>
      <c r="D1544" s="3">
        <f>1/CAD!B1544</f>
        <v>0.76810814962746754</v>
      </c>
      <c r="E1544" s="3">
        <f>1/CAD!C1544</f>
        <v>0.76787222606158334</v>
      </c>
      <c r="F1544" s="3">
        <f>EUR!B1544/1</f>
        <v>1.1327</v>
      </c>
      <c r="G1544" s="3">
        <f>EUR!C1544/1</f>
        <v>1.1332</v>
      </c>
      <c r="H1544" s="3">
        <f>GBP!B1544/1</f>
        <v>1.5464</v>
      </c>
      <c r="I1544" s="3">
        <f>GBP!C1544/1</f>
        <v>1.5461</v>
      </c>
      <c r="J1544" s="4">
        <f>1/INR!B1544</f>
        <v>1.5429717636167257E-2</v>
      </c>
      <c r="K1544" s="4">
        <f>1/INR!C1544</f>
        <v>1.5334483419589802E-2</v>
      </c>
      <c r="L1544" s="4">
        <f>1/JPY!B1544</f>
        <v>8.367500627562547E-3</v>
      </c>
      <c r="M1544" s="4">
        <f>1/JPY!C1544</f>
        <v>8.370519365615078E-3</v>
      </c>
      <c r="N1544" s="5">
        <f>1/KRW!B1544</f>
        <v>8.9178222678022029E-4</v>
      </c>
      <c r="O1544" s="5">
        <f>1/KRW!C1544</f>
        <v>8.917718883180558E-4</v>
      </c>
      <c r="P1544" s="3">
        <f>1/NOK!B1544</f>
        <v>0.12287880463498851</v>
      </c>
      <c r="Q1544" s="3">
        <f>1/NOK!C1544</f>
        <v>0.12281089578267385</v>
      </c>
      <c r="R1544" s="3">
        <f>NZD!B1544/1</f>
        <v>0.67869999999999997</v>
      </c>
      <c r="S1544" s="3">
        <f>NZD!C1544/1</f>
        <v>0.67700000000000005</v>
      </c>
      <c r="T1544" s="4">
        <f>1/PHP!B1544</f>
        <v>2.1669411458784777E-2</v>
      </c>
      <c r="U1544" s="4">
        <f>1/PHP!C1544</f>
        <v>2.1624006106619326E-2</v>
      </c>
      <c r="V1544" s="4">
        <f>1/TWD!B1544</f>
        <v>3.0848963474827251E-2</v>
      </c>
      <c r="W1544" s="4">
        <f>1/TWD!C1544</f>
        <v>3.0848963474827251E-2</v>
      </c>
      <c r="X1544" s="4">
        <f>1/TWD!B1544</f>
        <v>3.0848963474827251E-2</v>
      </c>
      <c r="Y1544" s="4">
        <f>1/TWD!C1544</f>
        <v>3.0848963474827251E-2</v>
      </c>
      <c r="Z1544" s="4">
        <f>1/ZAR!B1544</f>
        <v>7.5196450727525663E-2</v>
      </c>
      <c r="AA1544" s="4">
        <f>1/ZAR!C1544</f>
        <v>7.4795434486678941E-2</v>
      </c>
    </row>
    <row r="1545" spans="1:27" x14ac:dyDescent="0.25">
      <c r="A1545" t="str">
        <f>"20/10/2015"</f>
        <v>20/10/2015</v>
      </c>
      <c r="B1545" s="3">
        <f>AUD!B1545</f>
        <v>0.72589999999999999</v>
      </c>
      <c r="C1545" s="3">
        <f>AUD!C1545</f>
        <v>0.72470000000000001</v>
      </c>
      <c r="D1545" s="3">
        <f>1/CAD!B1545</f>
        <v>0.77035667514059003</v>
      </c>
      <c r="E1545" s="3">
        <f>1/CAD!C1545</f>
        <v>0.77011936850211782</v>
      </c>
      <c r="F1545" s="3">
        <f>EUR!B1545/1</f>
        <v>1.1345000000000001</v>
      </c>
      <c r="G1545" s="3">
        <f>EUR!C1545/1</f>
        <v>1.135</v>
      </c>
      <c r="H1545" s="3">
        <f>GBP!B1545/1</f>
        <v>1.5443</v>
      </c>
      <c r="I1545" s="3">
        <f>GBP!C1545/1</f>
        <v>1.544</v>
      </c>
      <c r="J1545" s="4">
        <f>1/INR!B1545</f>
        <v>1.537042729787888E-2</v>
      </c>
      <c r="K1545" s="4">
        <f>1/INR!C1545</f>
        <v>1.5283509093687909E-2</v>
      </c>
      <c r="L1545" s="4">
        <f>1/JPY!B1545</f>
        <v>8.3444592790387177E-3</v>
      </c>
      <c r="M1545" s="4">
        <f>1/JPY!C1545</f>
        <v>8.3473847643533283E-3</v>
      </c>
      <c r="N1545" s="5">
        <f>1/KRW!B1545</f>
        <v>8.8413421157331688E-4</v>
      </c>
      <c r="O1545" s="5">
        <f>1/KRW!C1545</f>
        <v>8.8412404967716204E-4</v>
      </c>
      <c r="P1545" s="3">
        <f>1/NOK!B1545</f>
        <v>0.12303149606299213</v>
      </c>
      <c r="Q1545" s="3">
        <f>1/NOK!C1545</f>
        <v>0.12295888254967539</v>
      </c>
      <c r="R1545" s="3">
        <f>NZD!B1545/1</f>
        <v>0.67510000000000003</v>
      </c>
      <c r="S1545" s="3">
        <f>NZD!C1545/1</f>
        <v>0.67349999999999999</v>
      </c>
      <c r="T1545" s="4">
        <f>1/PHP!B1545</f>
        <v>2.1554975966201796E-2</v>
      </c>
      <c r="U1545" s="4">
        <f>1/PHP!C1545</f>
        <v>2.1513102555111189E-2</v>
      </c>
      <c r="V1545" s="4">
        <f>1/TWD!B1545</f>
        <v>3.0902348578491966E-2</v>
      </c>
      <c r="W1545" s="4">
        <f>1/TWD!C1545</f>
        <v>3.0902348578491966E-2</v>
      </c>
      <c r="X1545" s="4">
        <f>1/TWD!B1545</f>
        <v>3.0902348578491966E-2</v>
      </c>
      <c r="Y1545" s="4">
        <f>1/TWD!C1545</f>
        <v>3.0902348578491966E-2</v>
      </c>
      <c r="Z1545" s="4">
        <f>1/ZAR!B1545</f>
        <v>7.5161409126098297E-2</v>
      </c>
      <c r="AA1545" s="4">
        <f>1/ZAR!C1545</f>
        <v>7.4732271636860942E-2</v>
      </c>
    </row>
    <row r="1546" spans="1:27" x14ac:dyDescent="0.25">
      <c r="A1546" t="str">
        <f>"21/10/2015"</f>
        <v>21/10/2015</v>
      </c>
      <c r="B1546" s="3">
        <f>AUD!B1546</f>
        <v>0.72740000000000005</v>
      </c>
      <c r="C1546" s="3">
        <f>AUD!C1546</f>
        <v>0.72619999999999996</v>
      </c>
      <c r="D1546" s="3">
        <f>1/CAD!B1546</f>
        <v>0.77071290944123305</v>
      </c>
      <c r="E1546" s="3">
        <f>1/CAD!C1546</f>
        <v>0.77053475111727532</v>
      </c>
      <c r="F1546" s="3">
        <f>EUR!B1546/1</f>
        <v>1.1357999999999999</v>
      </c>
      <c r="G1546" s="3">
        <f>EUR!C1546/1</f>
        <v>1.1363000000000001</v>
      </c>
      <c r="H1546" s="3">
        <f>GBP!B1546/1</f>
        <v>1.5445</v>
      </c>
      <c r="I1546" s="3">
        <f>GBP!C1546/1</f>
        <v>1.5442</v>
      </c>
      <c r="J1546" s="4">
        <f>1/INR!B1546</f>
        <v>1.5355675841682981E-2</v>
      </c>
      <c r="K1546" s="4">
        <f>1/INR!C1546</f>
        <v>1.5265427622791285E-2</v>
      </c>
      <c r="L1546" s="4">
        <f>1/JPY!B1546</f>
        <v>8.3354171876302407E-3</v>
      </c>
      <c r="M1546" s="4">
        <f>1/JPY!C1546</f>
        <v>8.3381764241396879E-3</v>
      </c>
      <c r="N1546" s="5">
        <f>1/KRW!B1546</f>
        <v>8.824879099156341E-4</v>
      </c>
      <c r="O1546" s="5">
        <f>1/KRW!C1546</f>
        <v>8.8247763007455525E-4</v>
      </c>
      <c r="P1546" s="3">
        <f>1/NOK!B1546</f>
        <v>0.1229891277611059</v>
      </c>
      <c r="Q1546" s="3">
        <f>1/NOK!C1546</f>
        <v>0.12291958600683432</v>
      </c>
      <c r="R1546" s="3">
        <f>NZD!B1546/1</f>
        <v>0.67510000000000003</v>
      </c>
      <c r="S1546" s="3">
        <f>NZD!C1546/1</f>
        <v>0.67349999999999999</v>
      </c>
      <c r="T1546" s="4">
        <f>1/PHP!B1546</f>
        <v>2.1547080370609786E-2</v>
      </c>
      <c r="U1546" s="4">
        <f>1/PHP!C1546</f>
        <v>2.150597758647016E-2</v>
      </c>
      <c r="V1546" s="4">
        <f>1/TWD!B1546</f>
        <v>3.0823575103181917E-2</v>
      </c>
      <c r="W1546" s="4">
        <f>1/TWD!C1546</f>
        <v>3.0823575103181917E-2</v>
      </c>
      <c r="X1546" s="4">
        <f>1/TWD!B1546</f>
        <v>3.0823575103181917E-2</v>
      </c>
      <c r="Y1546" s="4">
        <f>1/TWD!C1546</f>
        <v>3.0823575103181917E-2</v>
      </c>
      <c r="Z1546" s="4">
        <f>1/ZAR!B1546</f>
        <v>7.5221904618624935E-2</v>
      </c>
      <c r="AA1546" s="4">
        <f>1/ZAR!C1546</f>
        <v>7.4806624874698899E-2</v>
      </c>
    </row>
    <row r="1547" spans="1:27" x14ac:dyDescent="0.25">
      <c r="A1547" t="str">
        <f>"23/10/2015"</f>
        <v>23/10/2015</v>
      </c>
      <c r="B1547" s="3">
        <f>AUD!B1547</f>
        <v>0.72109999999999996</v>
      </c>
      <c r="C1547" s="3">
        <f>AUD!C1547</f>
        <v>0.71989999999999998</v>
      </c>
      <c r="D1547" s="3">
        <f>1/CAD!B1547</f>
        <v>0.75947444368496997</v>
      </c>
      <c r="E1547" s="3">
        <f>1/CAD!C1547</f>
        <v>0.75930144267274113</v>
      </c>
      <c r="F1547" s="3">
        <f>EUR!B1547/1</f>
        <v>1.1016999999999999</v>
      </c>
      <c r="G1547" s="3">
        <f>EUR!C1547/1</f>
        <v>1.1022000000000001</v>
      </c>
      <c r="H1547" s="3">
        <f>GBP!B1547/1</f>
        <v>1.5313000000000001</v>
      </c>
      <c r="I1547" s="3">
        <f>GBP!C1547/1</f>
        <v>1.5309999999999999</v>
      </c>
      <c r="J1547" s="4">
        <f>1/INR!B1547</f>
        <v>1.537042729787888E-2</v>
      </c>
      <c r="K1547" s="4">
        <f>1/INR!C1547</f>
        <v>1.528117359413203E-2</v>
      </c>
      <c r="L1547" s="4">
        <f>1/JPY!B1547</f>
        <v>8.2324853873384368E-3</v>
      </c>
      <c r="M1547" s="4">
        <f>1/JPY!C1547</f>
        <v>8.235054816642386E-3</v>
      </c>
      <c r="N1547" s="5">
        <f>1/KRW!B1547</f>
        <v>8.8883358368812616E-4</v>
      </c>
      <c r="O1547" s="5">
        <f>1/KRW!C1547</f>
        <v>8.8882260247435767E-4</v>
      </c>
      <c r="P1547" s="3">
        <f>1/NOK!B1547</f>
        <v>0.11907738839471772</v>
      </c>
      <c r="Q1547" s="3">
        <f>1/NOK!C1547</f>
        <v>0.11901361515757403</v>
      </c>
      <c r="R1547" s="3">
        <f>NZD!B1547/1</f>
        <v>0.67290000000000005</v>
      </c>
      <c r="S1547" s="3">
        <f>NZD!C1547/1</f>
        <v>0.67120000000000002</v>
      </c>
      <c r="T1547" s="4">
        <f>1/PHP!B1547</f>
        <v>2.1499828001375988E-2</v>
      </c>
      <c r="U1547" s="4">
        <f>1/PHP!C1547</f>
        <v>2.1457892105426916E-2</v>
      </c>
      <c r="V1547" s="4">
        <f>1/TWD!B1547</f>
        <v>3.0880400209986718E-2</v>
      </c>
      <c r="W1547" s="4">
        <f>1/TWD!C1547</f>
        <v>3.0880400209986718E-2</v>
      </c>
      <c r="X1547" s="4">
        <f>1/TWD!B1547</f>
        <v>3.0880400209986718E-2</v>
      </c>
      <c r="Y1547" s="4">
        <f>1/TWD!C1547</f>
        <v>3.0880400209986718E-2</v>
      </c>
      <c r="Z1547" s="4">
        <f>1/ZAR!B1547</f>
        <v>7.3098346515401827E-2</v>
      </c>
      <c r="AA1547" s="4">
        <f>1/ZAR!C1547</f>
        <v>7.2703478861463514E-2</v>
      </c>
    </row>
    <row r="1548" spans="1:27" x14ac:dyDescent="0.25">
      <c r="A1548" t="str">
        <f>"26/10/2015"</f>
        <v>26/10/2015</v>
      </c>
      <c r="B1548" s="3">
        <f>AUD!B1548</f>
        <v>0.7248</v>
      </c>
      <c r="C1548" s="3">
        <f>AUD!C1548</f>
        <v>0.72350000000000003</v>
      </c>
      <c r="D1548" s="3">
        <f>1/CAD!B1548</f>
        <v>0.76028282521097856</v>
      </c>
      <c r="E1548" s="3">
        <f>1/CAD!C1548</f>
        <v>0.76010945576162958</v>
      </c>
      <c r="F1548" s="3">
        <f>EUR!B1548/1</f>
        <v>1.1056999999999999</v>
      </c>
      <c r="G1548" s="3">
        <f>EUR!C1548/1</f>
        <v>1.1062000000000001</v>
      </c>
      <c r="H1548" s="3">
        <f>GBP!B1548/1</f>
        <v>1.5351999999999999</v>
      </c>
      <c r="I1548" s="3">
        <f>GBP!C1548/1</f>
        <v>1.5348999999999999</v>
      </c>
      <c r="J1548" s="4">
        <f>1/INR!B1548</f>
        <v>1.5423768026528882E-2</v>
      </c>
      <c r="K1548" s="4">
        <f>1/INR!C1548</f>
        <v>1.5331544653123804E-2</v>
      </c>
      <c r="L1548" s="4">
        <f>1/JPY!B1548</f>
        <v>8.2576383154417832E-3</v>
      </c>
      <c r="M1548" s="4">
        <f>1/JPY!C1548</f>
        <v>8.2605714663340404E-3</v>
      </c>
      <c r="N1548" s="5">
        <f>1/KRW!B1548</f>
        <v>8.8173313464946692E-4</v>
      </c>
      <c r="O1548" s="5">
        <f>1/KRW!C1548</f>
        <v>8.8172302787214659E-4</v>
      </c>
      <c r="P1548" s="3">
        <f>1/NOK!B1548</f>
        <v>0.11992420790060682</v>
      </c>
      <c r="Q1548" s="3">
        <f>1/NOK!C1548</f>
        <v>0.11985808802377985</v>
      </c>
      <c r="R1548" s="3">
        <f>NZD!B1548/1</f>
        <v>0.67859999999999998</v>
      </c>
      <c r="S1548" s="3">
        <f>NZD!C1548/1</f>
        <v>0.67700000000000005</v>
      </c>
      <c r="T1548" s="4">
        <f>1/PHP!B1548</f>
        <v>2.1475357027810588E-2</v>
      </c>
      <c r="U1548" s="4">
        <f>1/PHP!C1548</f>
        <v>2.1437146287086262E-2</v>
      </c>
      <c r="V1548" s="4">
        <f>1/TWD!B1548</f>
        <v>3.0584781012967948E-2</v>
      </c>
      <c r="W1548" s="4">
        <f>1/TWD!C1548</f>
        <v>3.0584781012967948E-2</v>
      </c>
      <c r="X1548" s="4">
        <f>1/TWD!B1548</f>
        <v>3.0584781012967948E-2</v>
      </c>
      <c r="Y1548" s="4">
        <f>1/TWD!C1548</f>
        <v>3.0584781012967948E-2</v>
      </c>
      <c r="Z1548" s="4">
        <f>1/ZAR!B1548</f>
        <v>7.325041386483834E-2</v>
      </c>
      <c r="AA1548" s="4">
        <f>1/ZAR!C1548</f>
        <v>7.2857621635799313E-2</v>
      </c>
    </row>
    <row r="1549" spans="1:27" x14ac:dyDescent="0.25">
      <c r="A1549" t="str">
        <f>"27/10/2015"</f>
        <v>27/10/2015</v>
      </c>
      <c r="B1549" s="3">
        <f>AUD!B1549</f>
        <v>0.71909999999999996</v>
      </c>
      <c r="C1549" s="3">
        <f>AUD!C1549</f>
        <v>0.71789999999999998</v>
      </c>
      <c r="D1549" s="3">
        <f>1/CAD!B1549</f>
        <v>0.75357950263752826</v>
      </c>
      <c r="E1549" s="3">
        <f>1/CAD!C1549</f>
        <v>0.75340917652377015</v>
      </c>
      <c r="F1549" s="3">
        <f>EUR!B1549/1</f>
        <v>1.105</v>
      </c>
      <c r="G1549" s="3">
        <f>EUR!C1549/1</f>
        <v>1.1054999999999999</v>
      </c>
      <c r="H1549" s="3">
        <f>GBP!B1549/1</f>
        <v>1.5299</v>
      </c>
      <c r="I1549" s="3">
        <f>GBP!C1549/1</f>
        <v>1.5296000000000001</v>
      </c>
      <c r="J1549" s="4">
        <f>1/INR!B1549</f>
        <v>1.5392311540385577E-2</v>
      </c>
      <c r="K1549" s="4">
        <f>1/INR!C1549</f>
        <v>1.530163344937072E-2</v>
      </c>
      <c r="L1549" s="4">
        <f>1/JPY!B1549</f>
        <v>8.3015108749792468E-3</v>
      </c>
      <c r="M1549" s="4">
        <f>1/JPY!C1549</f>
        <v>8.304240809696696E-3</v>
      </c>
      <c r="N1549" s="5">
        <f>1/KRW!B1549</f>
        <v>8.8409512863584123E-4</v>
      </c>
      <c r="O1549" s="5">
        <f>1/KRW!C1549</f>
        <v>8.8408496763806976E-4</v>
      </c>
      <c r="P1549" s="3">
        <f>1/NOK!B1549</f>
        <v>0.11803031018365516</v>
      </c>
      <c r="Q1549" s="3">
        <f>1/NOK!C1549</f>
        <v>7.8247261345852896</v>
      </c>
      <c r="R1549" s="3">
        <f>NZD!B1549/1</f>
        <v>0.67610000000000003</v>
      </c>
      <c r="S1549" s="3">
        <f>NZD!C1549/1</f>
        <v>0.67449999999999999</v>
      </c>
      <c r="T1549" s="4">
        <f>1/PHP!B1549</f>
        <v>2.1394035342946389E-2</v>
      </c>
      <c r="U1549" s="4">
        <f>1/PHP!C1549</f>
        <v>2.135885003951387E-2</v>
      </c>
      <c r="V1549" s="4">
        <f>1/TWD!B1549</f>
        <v>3.0646644192460923E-2</v>
      </c>
      <c r="W1549" s="4">
        <f>1/TWD!C1549</f>
        <v>5.5555555555555554</v>
      </c>
      <c r="X1549" s="4">
        <f>1/TWD!B1549</f>
        <v>3.0646644192460923E-2</v>
      </c>
      <c r="Y1549" s="4">
        <f>1/TWD!C1549</f>
        <v>5.5555555555555554</v>
      </c>
      <c r="Z1549" s="4">
        <f>1/ZAR!B1549</f>
        <v>7.3015084916543752E-2</v>
      </c>
      <c r="AA1549" s="4">
        <f>1/ZAR!C1549</f>
        <v>7.2604241539790754E-2</v>
      </c>
    </row>
    <row r="1550" spans="1:27" x14ac:dyDescent="0.25">
      <c r="A1550" t="str">
        <f>"29/10/2015"</f>
        <v>29/10/2015</v>
      </c>
      <c r="B1550" s="3">
        <f>AUD!B1550</f>
        <v>0.70720000000000005</v>
      </c>
      <c r="C1550" s="3">
        <f>AUD!C1550</f>
        <v>0.70609999999999995</v>
      </c>
      <c r="D1550" s="3">
        <f>1/CAD!B1550</f>
        <v>0.75912852045851364</v>
      </c>
      <c r="E1550" s="3">
        <f>1/CAD!C1550</f>
        <v>0.75895567698846378</v>
      </c>
      <c r="F1550" s="3">
        <f>EUR!B1550/1</f>
        <v>1.0976999999999999</v>
      </c>
      <c r="G1550" s="3">
        <f>EUR!C1550/1</f>
        <v>1.0981000000000001</v>
      </c>
      <c r="H1550" s="3">
        <f>GBP!B1550/1</f>
        <v>1.5309999999999999</v>
      </c>
      <c r="I1550" s="3">
        <f>GBP!C1550/1</f>
        <v>1.5306999999999999</v>
      </c>
      <c r="J1550" s="4">
        <f>1/INR!B1550</f>
        <v>1.5311590874291839E-2</v>
      </c>
      <c r="K1550" s="4">
        <f>1/INR!C1550</f>
        <v>1.5227653418608192E-2</v>
      </c>
      <c r="L1550" s="4">
        <f>1/JPY!B1550</f>
        <v>8.2555931643688608E-3</v>
      </c>
      <c r="M1550" s="4">
        <f>1/JPY!C1550</f>
        <v>8.2579110788135023E-3</v>
      </c>
      <c r="N1550" s="5">
        <f>1/KRW!B1550</f>
        <v>8.7535014005602233E-4</v>
      </c>
      <c r="O1550" s="5">
        <f>1/KRW!C1550</f>
        <v>8.7533864663891844E-4</v>
      </c>
      <c r="P1550" s="3">
        <f>1/NOK!B1550</f>
        <v>0.11665616761158162</v>
      </c>
      <c r="Q1550" s="3">
        <f>1/NOK!C1550</f>
        <v>0.11659360134315828</v>
      </c>
      <c r="R1550" s="3">
        <f>NZD!B1550/1</f>
        <v>0.66910000000000003</v>
      </c>
      <c r="S1550" s="3">
        <f>NZD!C1550/1</f>
        <v>0.66759999999999997</v>
      </c>
      <c r="T1550" s="4">
        <f>1/PHP!B1550</f>
        <v>2.1285200400161765E-2</v>
      </c>
      <c r="U1550" s="4">
        <f>1/PHP!C1550</f>
        <v>2.1250371881507926E-2</v>
      </c>
      <c r="V1550" s="4">
        <f>1/TWD!B1550</f>
        <v>3.0650401520259919E-2</v>
      </c>
      <c r="W1550" s="4">
        <f>1/TWD!C1550</f>
        <v>3.0650401520259919E-2</v>
      </c>
      <c r="X1550" s="4">
        <f>1/TWD!B1550</f>
        <v>3.0650401520259919E-2</v>
      </c>
      <c r="Y1550" s="4">
        <f>1/TWD!C1550</f>
        <v>3.0650401520259919E-2</v>
      </c>
      <c r="Z1550" s="4">
        <f>1/ZAR!B1550</f>
        <v>7.1926922246997052E-2</v>
      </c>
      <c r="AA1550" s="4">
        <f>1/ZAR!C1550</f>
        <v>7.1559935023579005E-2</v>
      </c>
    </row>
    <row r="1551" spans="1:27" x14ac:dyDescent="0.25">
      <c r="A1551" t="str">
        <f>"30/10/2015"</f>
        <v>30/10/2015</v>
      </c>
      <c r="B1551" s="3">
        <f>AUD!B1551</f>
        <v>0.71350000000000002</v>
      </c>
      <c r="C1551" s="3">
        <f>AUD!C1551</f>
        <v>0.71240000000000003</v>
      </c>
      <c r="D1551" s="3">
        <f>1/CAD!B1551</f>
        <v>0.76452599388379205</v>
      </c>
      <c r="E1551" s="3">
        <f>1/CAD!C1551</f>
        <v>0.7643506840938622</v>
      </c>
      <c r="F1551" s="3">
        <f>EUR!B1551/1</f>
        <v>1.1005</v>
      </c>
      <c r="G1551" s="3">
        <f>EUR!C1551/1</f>
        <v>1.1009</v>
      </c>
      <c r="H1551" s="3">
        <f>GBP!B1551/1</f>
        <v>1.5427</v>
      </c>
      <c r="I1551" s="3">
        <f>GBP!C1551/1</f>
        <v>1.5424</v>
      </c>
      <c r="J1551" s="4">
        <f>1/INR!B1551</f>
        <v>1.532097441397273E-2</v>
      </c>
      <c r="K1551" s="4">
        <f>1/INR!C1551</f>
        <v>1.5236934328813043E-2</v>
      </c>
      <c r="L1551" s="4">
        <f>1/JPY!B1551</f>
        <v>8.2904990880451005E-3</v>
      </c>
      <c r="M1551" s="4">
        <f>1/JPY!C1551</f>
        <v>8.2925753256079711E-3</v>
      </c>
      <c r="N1551" s="5">
        <f>1/KRW!B1551</f>
        <v>8.7649332550332622E-4</v>
      </c>
      <c r="O1551" s="5">
        <f>1/KRW!C1551</f>
        <v>8.7648180204658499E-4</v>
      </c>
      <c r="P1551" s="3">
        <f>1/NOK!B1551</f>
        <v>0.11770106284059745</v>
      </c>
      <c r="Q1551" s="3">
        <f>1/NOK!C1551</f>
        <v>0.11763875491141801</v>
      </c>
      <c r="R1551" s="3">
        <f>NZD!B1551/1</f>
        <v>0.67700000000000005</v>
      </c>
      <c r="S1551" s="3">
        <f>NZD!C1551/1</f>
        <v>0.67549999999999999</v>
      </c>
      <c r="T1551" s="4">
        <f>1/PHP!B1551</f>
        <v>2.1331058020477814E-2</v>
      </c>
      <c r="U1551" s="4">
        <f>1/PHP!C1551</f>
        <v>2.1294718909710391E-2</v>
      </c>
      <c r="V1551" s="4">
        <f>1/TWD!B1551</f>
        <v>3.0515715593530664E-2</v>
      </c>
      <c r="W1551" s="4">
        <f>1/TWD!C1551</f>
        <v>3.0515715593530664E-2</v>
      </c>
      <c r="X1551" s="4">
        <f>1/TWD!B1551</f>
        <v>3.0515715593530664E-2</v>
      </c>
      <c r="Y1551" s="4">
        <f>1/TWD!C1551</f>
        <v>3.0515715593530664E-2</v>
      </c>
      <c r="Z1551" s="4">
        <f>1/ZAR!B1551</f>
        <v>7.2087138933542863E-2</v>
      </c>
      <c r="AA1551" s="4">
        <f>1/ZAR!C1551</f>
        <v>7.1714918854569307E-2</v>
      </c>
    </row>
    <row r="1552" spans="1:27" x14ac:dyDescent="0.25">
      <c r="A1552" t="str">
        <f>"02/11/2015"</f>
        <v>02/11/2015</v>
      </c>
      <c r="B1552" s="3">
        <f>AUD!B1552</f>
        <v>0.71460000000000001</v>
      </c>
      <c r="C1552" s="3">
        <f>AUD!C1552</f>
        <v>0.71350000000000002</v>
      </c>
      <c r="D1552" s="3">
        <f>1/CAD!B1552</f>
        <v>0.76365024818633065</v>
      </c>
      <c r="E1552" s="3">
        <f>1/CAD!C1552</f>
        <v>0.76353363365656257</v>
      </c>
      <c r="F1552" s="3">
        <f>EUR!B1552/1</f>
        <v>1.1014999999999999</v>
      </c>
      <c r="G1552" s="3">
        <f>EUR!C1552/1</f>
        <v>1.1019000000000001</v>
      </c>
      <c r="H1552" s="3">
        <f>GBP!B1552/1</f>
        <v>1.5416000000000001</v>
      </c>
      <c r="I1552" s="3">
        <f>GBP!C1552/1</f>
        <v>1.5412999999999999</v>
      </c>
      <c r="J1552" s="4">
        <f>1/INR!B1552</f>
        <v>1.5246226558926665E-2</v>
      </c>
      <c r="K1552" s="4">
        <f>1/INR!C1552</f>
        <v>1.516357708783502E-2</v>
      </c>
      <c r="L1552" s="4">
        <f>1/JPY!B1552</f>
        <v>8.2808877111626364E-3</v>
      </c>
      <c r="M1552" s="4">
        <f>1/JPY!C1552</f>
        <v>8.2831443810047617E-3</v>
      </c>
      <c r="N1552" s="5">
        <f>1/KRW!B1552</f>
        <v>8.793527963418923E-4</v>
      </c>
      <c r="O1552" s="5">
        <f>1/KRW!C1552</f>
        <v>8.7934119757477702E-4</v>
      </c>
      <c r="P1552" s="3">
        <f>1/NOK!B1552</f>
        <v>0.11768028619845602</v>
      </c>
      <c r="Q1552" s="3">
        <f>1/NOK!C1552</f>
        <v>0.1176180002587596</v>
      </c>
      <c r="R1552" s="3">
        <f>NZD!B1552/1</f>
        <v>0.67400000000000004</v>
      </c>
      <c r="S1552" s="3">
        <f>NZD!C1552/1</f>
        <v>0.67249999999999999</v>
      </c>
      <c r="T1552" s="4">
        <f>1/PHP!B1552</f>
        <v>2.1283388315419816E-2</v>
      </c>
      <c r="U1552" s="4">
        <f>1/PHP!C1552</f>
        <v>2.12481142298621E-2</v>
      </c>
      <c r="V1552" s="4">
        <f>1/TWD!B1552</f>
        <v>3.0562347188264061E-2</v>
      </c>
      <c r="W1552" s="4">
        <f>1/TWD!C1552</f>
        <v>3.0562347188264061E-2</v>
      </c>
      <c r="X1552" s="4">
        <f>1/TWD!B1552</f>
        <v>3.0562347188264061E-2</v>
      </c>
      <c r="Y1552" s="4">
        <f>1/TWD!C1552</f>
        <v>3.0562347188264061E-2</v>
      </c>
      <c r="Z1552" s="4">
        <f>1/ZAR!B1552</f>
        <v>7.2480049866274307E-2</v>
      </c>
      <c r="AA1552" s="4">
        <f>1/ZAR!C1552</f>
        <v>7.2102212095867105E-2</v>
      </c>
    </row>
    <row r="1553" spans="1:27" x14ac:dyDescent="0.25">
      <c r="A1553" t="str">
        <f>"03/11/2015"</f>
        <v>03/11/2015</v>
      </c>
      <c r="B1553" s="3">
        <f>AUD!B1553</f>
        <v>0.71850000000000003</v>
      </c>
      <c r="C1553" s="3">
        <f>AUD!C1553</f>
        <v>0.71719999999999995</v>
      </c>
      <c r="D1553" s="3">
        <f>1/CAD!B1553</f>
        <v>0.76563815940586477</v>
      </c>
      <c r="E1553" s="3">
        <f>1/CAD!C1553</f>
        <v>0.76546233925290874</v>
      </c>
      <c r="F1553" s="3">
        <f>EUR!B1553/1</f>
        <v>1.0964</v>
      </c>
      <c r="G1553" s="3">
        <f>EUR!C1553/1</f>
        <v>1.0968</v>
      </c>
      <c r="H1553" s="3">
        <f>GBP!B1553/1</f>
        <v>1.5421</v>
      </c>
      <c r="I1553" s="3">
        <f>GBP!C1553/1</f>
        <v>1.5418000000000001</v>
      </c>
      <c r="J1553" s="4">
        <f>1/INR!B1553</f>
        <v>1.5229972586049346E-2</v>
      </c>
      <c r="K1553" s="4">
        <f>1/INR!C1553</f>
        <v>1.5142337976983646E-2</v>
      </c>
      <c r="L1553" s="4">
        <f>1/JPY!B1553</f>
        <v>8.2596844800528618E-3</v>
      </c>
      <c r="M1553" s="4">
        <f>1/JPY!C1553</f>
        <v>8.2618749994836337E-3</v>
      </c>
      <c r="N1553" s="5">
        <f>1/KRW!B1553</f>
        <v>8.8241782484006174E-4</v>
      </c>
      <c r="O1553" s="5">
        <f>1/KRW!C1553</f>
        <v>8.8240497711703295E-4</v>
      </c>
      <c r="P1553" s="3">
        <f>1/NOK!B1553</f>
        <v>0.11740672036067344</v>
      </c>
      <c r="Q1553" s="3">
        <f>1/NOK!C1553</f>
        <v>0.11734472359450357</v>
      </c>
      <c r="R1553" s="3">
        <f>NZD!B1553/1</f>
        <v>0.66620000000000001</v>
      </c>
      <c r="S1553" s="3">
        <f>NZD!C1553/1</f>
        <v>0.66459999999999997</v>
      </c>
      <c r="T1553" s="4">
        <f>1/PHP!B1553</f>
        <v>2.1316961906589073E-2</v>
      </c>
      <c r="U1553" s="4">
        <f>1/PHP!C1553</f>
        <v>2.1280670766742567E-2</v>
      </c>
      <c r="V1553" s="4">
        <f>1/TWD!B1553</f>
        <v>3.0665440049064706E-2</v>
      </c>
      <c r="W1553" s="4">
        <f>1/TWD!C1553</f>
        <v>3.0665440049064706E-2</v>
      </c>
      <c r="X1553" s="4">
        <f>1/TWD!B1553</f>
        <v>3.0665440049064706E-2</v>
      </c>
      <c r="Y1553" s="4">
        <f>1/TWD!C1553</f>
        <v>3.0665440049064706E-2</v>
      </c>
      <c r="Z1553" s="4">
        <f>1/ZAR!B1553</f>
        <v>7.2716695753344968E-2</v>
      </c>
      <c r="AA1553" s="4">
        <f>1/ZAR!C1553</f>
        <v>7.231337725165779E-2</v>
      </c>
    </row>
    <row r="1554" spans="1:27" x14ac:dyDescent="0.25">
      <c r="A1554" t="str">
        <f>"04/11/2015"</f>
        <v>04/11/2015</v>
      </c>
      <c r="B1554" s="3">
        <f>AUD!B1554</f>
        <v>0.71489999999999998</v>
      </c>
      <c r="C1554" s="3">
        <f>AUD!C1554</f>
        <v>0.7137</v>
      </c>
      <c r="D1554" s="3">
        <f>1/CAD!B1554</f>
        <v>0.76039844878716456</v>
      </c>
      <c r="E1554" s="3">
        <f>1/CAD!C1554</f>
        <v>0.76022502660787594</v>
      </c>
      <c r="F1554" s="3">
        <f>EUR!B1554/1</f>
        <v>1.0865</v>
      </c>
      <c r="G1554" s="3">
        <f>EUR!C1554/1</f>
        <v>1.0869</v>
      </c>
      <c r="H1554" s="3">
        <f>GBP!B1554/1</f>
        <v>1.5385</v>
      </c>
      <c r="I1554" s="3">
        <f>GBP!C1554/1</f>
        <v>1.5382</v>
      </c>
      <c r="J1554" s="4">
        <f>1/INR!B1554</f>
        <v>1.5269506794930525E-2</v>
      </c>
      <c r="K1554" s="4">
        <f>1/INR!C1554</f>
        <v>1.5182570409170273E-2</v>
      </c>
      <c r="L1554" s="4">
        <f>1/JPY!B1554</f>
        <v>8.2250370126665563E-3</v>
      </c>
      <c r="M1554" s="4">
        <f>1/JPY!C1554</f>
        <v>8.2271618101730504E-3</v>
      </c>
      <c r="N1554" s="5">
        <f>1/KRW!B1554</f>
        <v>8.8326738270209156E-4</v>
      </c>
      <c r="O1554" s="5">
        <f>1/KRW!C1554</f>
        <v>8.832549002981869E-4</v>
      </c>
      <c r="P1554" s="3">
        <f>1/NOK!B1554</f>
        <v>0.11548277574399778</v>
      </c>
      <c r="Q1554" s="3">
        <f>1/NOK!C1554</f>
        <v>0.11542012927054479</v>
      </c>
      <c r="R1554" s="3">
        <f>NZD!B1554/1</f>
        <v>0.65900000000000003</v>
      </c>
      <c r="S1554" s="3">
        <f>NZD!C1554/1</f>
        <v>0.65739999999999998</v>
      </c>
      <c r="T1554" s="4">
        <f>1/PHP!B1554</f>
        <v>2.1364782292868437E-2</v>
      </c>
      <c r="U1554" s="4">
        <f>1/PHP!C1554</f>
        <v>2.1326508850501174E-2</v>
      </c>
      <c r="V1554" s="4">
        <f>1/TWD!B1554</f>
        <v>3.0933894267949395E-2</v>
      </c>
      <c r="W1554" s="4">
        <f>1/TWD!C1554</f>
        <v>3.0933894267949395E-2</v>
      </c>
      <c r="X1554" s="4">
        <f>1/TWD!B1554</f>
        <v>3.0933894267949395E-2</v>
      </c>
      <c r="Y1554" s="4">
        <f>1/TWD!C1554</f>
        <v>3.0933894267949395E-2</v>
      </c>
      <c r="Z1554" s="4">
        <f>1/ZAR!B1554</f>
        <v>7.1600412418375531E-2</v>
      </c>
      <c r="AA1554" s="4">
        <f>1/ZAR!C1554</f>
        <v>7.1208841289734537E-2</v>
      </c>
    </row>
    <row r="1555" spans="1:27" x14ac:dyDescent="0.25">
      <c r="A1555" t="str">
        <f>"05/11/2015"</f>
        <v>05/11/2015</v>
      </c>
      <c r="B1555" s="3">
        <f>AUD!B1555</f>
        <v>0.71419999999999995</v>
      </c>
      <c r="C1555" s="3">
        <f>AUD!C1555</f>
        <v>0.71299999999999997</v>
      </c>
      <c r="D1555" s="3">
        <f>1/CAD!B1555</f>
        <v>0.75924379318199076</v>
      </c>
      <c r="E1555" s="3">
        <f>1/CAD!C1555</f>
        <v>0.75907089722180054</v>
      </c>
      <c r="F1555" s="3">
        <f>EUR!B1555/1</f>
        <v>1.0883</v>
      </c>
      <c r="G1555" s="3">
        <f>EUR!C1555/1</f>
        <v>1.0887</v>
      </c>
      <c r="H1555" s="3">
        <f>GBP!B1555/1</f>
        <v>1.5206999999999999</v>
      </c>
      <c r="I1555" s="3">
        <f>GBP!C1555/1</f>
        <v>1.5204</v>
      </c>
      <c r="J1555" s="4">
        <f>1/INR!B1555</f>
        <v>1.5209703791018669E-2</v>
      </c>
      <c r="K1555" s="4">
        <f>1/INR!C1555</f>
        <v>1.5126304643775526E-2</v>
      </c>
      <c r="L1555" s="4">
        <f>1/JPY!B1555</f>
        <v>8.2128777923784497E-3</v>
      </c>
      <c r="M1555" s="4">
        <f>1/JPY!C1555</f>
        <v>8.2149220773566362E-3</v>
      </c>
      <c r="N1555" s="5">
        <f>1/KRW!B1555</f>
        <v>8.7805563360494508E-4</v>
      </c>
      <c r="O1555" s="5">
        <f>1/KRW!C1555</f>
        <v>8.7804406903182477E-4</v>
      </c>
      <c r="P1555" s="3">
        <f>1/NOK!B1555</f>
        <v>0.11678559332920692</v>
      </c>
      <c r="Q1555" s="3">
        <f>1/NOK!C1555</f>
        <v>0.11672152578378506</v>
      </c>
      <c r="R1555" s="3">
        <f>NZD!B1555/1</f>
        <v>0.66100000000000003</v>
      </c>
      <c r="S1555" s="3">
        <f>NZD!C1555/1</f>
        <v>0.65949999999999998</v>
      </c>
      <c r="T1555" s="4">
        <f>1/PHP!B1555</f>
        <v>2.12965329244399E-2</v>
      </c>
      <c r="U1555" s="4">
        <f>1/PHP!C1555</f>
        <v>2.125579220337542E-2</v>
      </c>
      <c r="V1555" s="4">
        <f>1/TWD!B1555</f>
        <v>3.0804300280319132E-2</v>
      </c>
      <c r="W1555" s="4">
        <f>1/TWD!C1555</f>
        <v>3.0804300280319132E-2</v>
      </c>
      <c r="X1555" s="4">
        <f>1/TWD!B1555</f>
        <v>3.0804300280319132E-2</v>
      </c>
      <c r="Y1555" s="4">
        <f>1/TWD!C1555</f>
        <v>3.0804300280319132E-2</v>
      </c>
      <c r="Z1555" s="4">
        <f>1/ZAR!B1555</f>
        <v>7.1905200184077311E-2</v>
      </c>
      <c r="AA1555" s="4">
        <f>1/ZAR!C1555</f>
        <v>7.151387726788383E-2</v>
      </c>
    </row>
    <row r="1556" spans="1:27" x14ac:dyDescent="0.25">
      <c r="A1556" t="str">
        <f>"06/11/2015"</f>
        <v>06/11/2015</v>
      </c>
      <c r="B1556" s="3">
        <f>AUD!B1556</f>
        <v>0.7036</v>
      </c>
      <c r="C1556" s="3">
        <f>AUD!C1556</f>
        <v>0.70240000000000002</v>
      </c>
      <c r="D1556" s="3">
        <f>1/CAD!B1556</f>
        <v>0.7515406583496167</v>
      </c>
      <c r="E1556" s="3">
        <f>1/CAD!C1556</f>
        <v>0.751371252535878</v>
      </c>
      <c r="F1556" s="3">
        <f>EUR!B1556/1</f>
        <v>1.0740000000000001</v>
      </c>
      <c r="G1556" s="3">
        <f>EUR!C1556/1</f>
        <v>1.0744</v>
      </c>
      <c r="H1556" s="3">
        <f>GBP!B1556/1</f>
        <v>1.5052000000000001</v>
      </c>
      <c r="I1556" s="3">
        <f>GBP!C1556/1</f>
        <v>1.5048999999999999</v>
      </c>
      <c r="J1556" s="4">
        <f>1/INR!B1556</f>
        <v>1.520565650421957E-2</v>
      </c>
      <c r="K1556" s="4">
        <f>1/INR!C1556</f>
        <v>1.5121729925903524E-2</v>
      </c>
      <c r="L1556" s="4">
        <f>1/JPY!B1556</f>
        <v>8.1208380704888752E-3</v>
      </c>
      <c r="M1556" s="4">
        <f>1/JPY!C1556</f>
        <v>8.1226652414096712E-3</v>
      </c>
      <c r="N1556" s="5">
        <f>1/KRW!B1556</f>
        <v>8.755417414525237E-4</v>
      </c>
      <c r="O1556" s="5">
        <f>1/KRW!C1556</f>
        <v>8.7552717680133146E-4</v>
      </c>
      <c r="P1556" s="3">
        <f>1/NOK!B1556</f>
        <v>0.11494781369258357</v>
      </c>
      <c r="Q1556" s="3">
        <f>1/NOK!C1556</f>
        <v>0.11488442626717522</v>
      </c>
      <c r="R1556" s="3">
        <f>NZD!B1556/1</f>
        <v>0.65100000000000002</v>
      </c>
      <c r="S1556" s="3">
        <f>NZD!C1556/1</f>
        <v>0.64949999999999997</v>
      </c>
      <c r="T1556" s="4">
        <f>1/PHP!B1556</f>
        <v>2.1294718909710391E-2</v>
      </c>
      <c r="U1556" s="4">
        <f>1/PHP!C1556</f>
        <v>2.1256695859195648E-2</v>
      </c>
      <c r="V1556" s="4">
        <f>1/TWD!B1556</f>
        <v>3.0585716470408319E-2</v>
      </c>
      <c r="W1556" s="4">
        <f>1/TWD!C1556</f>
        <v>3.0585716470408319E-2</v>
      </c>
      <c r="X1556" s="4">
        <f>1/TWD!B1556</f>
        <v>3.0585716470408319E-2</v>
      </c>
      <c r="Y1556" s="4">
        <f>1/TWD!C1556</f>
        <v>3.0585716470408319E-2</v>
      </c>
      <c r="Z1556" s="4">
        <f>1/ZAR!B1556</f>
        <v>7.0278019846512801E-2</v>
      </c>
      <c r="AA1556" s="4">
        <f>1/ZAR!C1556</f>
        <v>6.9915402363140602E-2</v>
      </c>
    </row>
    <row r="1557" spans="1:27" x14ac:dyDescent="0.25">
      <c r="A1557" t="str">
        <f>"09/11/2015"</f>
        <v>09/11/2015</v>
      </c>
      <c r="B1557" s="3">
        <f>AUD!B1557</f>
        <v>0.70450000000000002</v>
      </c>
      <c r="C1557" s="3">
        <f>AUD!C1557</f>
        <v>0.70330000000000004</v>
      </c>
      <c r="D1557" s="3">
        <f>1/CAD!B1557</f>
        <v>0.75255869957856714</v>
      </c>
      <c r="E1557" s="3">
        <f>1/CAD!C1557</f>
        <v>0.7523888345496953</v>
      </c>
      <c r="F1557" s="3">
        <f>EUR!B1557/1</f>
        <v>1.0750999999999999</v>
      </c>
      <c r="G1557" s="3">
        <f>EUR!C1557/1</f>
        <v>1.0754999999999999</v>
      </c>
      <c r="H1557" s="3">
        <f>GBP!B1557/1</f>
        <v>1.5115000000000001</v>
      </c>
      <c r="I1557" s="3">
        <f>GBP!C1557/1</f>
        <v>1.5112000000000001</v>
      </c>
      <c r="J1557" s="4">
        <f>1/INR!B1557</f>
        <v>1.5048908954100828E-2</v>
      </c>
      <c r="K1557" s="4">
        <f>1/INR!C1557</f>
        <v>1.4965019267462305E-2</v>
      </c>
      <c r="L1557" s="4">
        <f>1/JPY!B1557</f>
        <v>8.1182010066569235E-3</v>
      </c>
      <c r="M1557" s="4">
        <f>1/JPY!C1557</f>
        <v>8.1204358075489189E-3</v>
      </c>
      <c r="N1557" s="5">
        <f>1/KRW!B1557</f>
        <v>8.6372195062965336E-4</v>
      </c>
      <c r="O1557" s="5">
        <f>1/KRW!C1557</f>
        <v>8.6370703057522889E-4</v>
      </c>
      <c r="P1557" s="3">
        <f>1/NOK!B1557</f>
        <v>0.11525384659713017</v>
      </c>
      <c r="Q1557" s="3">
        <f>1/NOK!C1557</f>
        <v>0.11518614080353852</v>
      </c>
      <c r="R1557" s="3">
        <f>NZD!B1557/1</f>
        <v>0.65310000000000001</v>
      </c>
      <c r="S1557" s="3">
        <f>NZD!C1557/1</f>
        <v>0.65149999999999997</v>
      </c>
      <c r="T1557" s="4">
        <f>1/PHP!B1557</f>
        <v>2.1160438444284564E-2</v>
      </c>
      <c r="U1557" s="4">
        <f>1/PHP!C1557</f>
        <v>2.1122892991424107E-2</v>
      </c>
      <c r="V1557" s="4">
        <f>1/TWD!B1557</f>
        <v>3.0528758090120893E-2</v>
      </c>
      <c r="W1557" s="4">
        <f>1/TWD!C1557</f>
        <v>3.0528758090120893E-2</v>
      </c>
      <c r="X1557" s="4">
        <f>1/TWD!B1557</f>
        <v>3.0528758090120893E-2</v>
      </c>
      <c r="Y1557" s="4">
        <f>1/TWD!C1557</f>
        <v>3.0528758090120893E-2</v>
      </c>
      <c r="Z1557" s="4">
        <f>1/ZAR!B1557</f>
        <v>6.9889504693080251E-2</v>
      </c>
      <c r="AA1557" s="4">
        <f>1/ZAR!C1557</f>
        <v>6.9527007766166771E-2</v>
      </c>
    </row>
    <row r="1558" spans="1:27" x14ac:dyDescent="0.25">
      <c r="A1558" t="str">
        <f>"10/11/2015"</f>
        <v>10/11/2015</v>
      </c>
      <c r="B1558" s="3">
        <f>AUD!B1558</f>
        <v>0.70299999999999996</v>
      </c>
      <c r="C1558" s="3">
        <f>AUD!C1558</f>
        <v>0.70179999999999998</v>
      </c>
      <c r="D1558" s="3">
        <f>1/CAD!B1558</f>
        <v>0.75329566854990593</v>
      </c>
      <c r="E1558" s="3">
        <f>1/CAD!C1558</f>
        <v>0.75312547070341918</v>
      </c>
      <c r="F1558" s="3">
        <f>EUR!B1558/1</f>
        <v>1.0724</v>
      </c>
      <c r="G1558" s="3">
        <f>EUR!C1558/1</f>
        <v>1.0728</v>
      </c>
      <c r="H1558" s="3">
        <f>GBP!B1558/1</f>
        <v>1.5118</v>
      </c>
      <c r="I1558" s="3">
        <f>GBP!C1558/1</f>
        <v>1.5115000000000001</v>
      </c>
      <c r="J1558" s="4">
        <f>1/INR!B1558</f>
        <v>1.5078407720144755E-2</v>
      </c>
      <c r="K1558" s="4">
        <f>1/INR!C1558</f>
        <v>1.4995876134063132E-2</v>
      </c>
      <c r="L1558" s="4">
        <f>1/JPY!B1558</f>
        <v>8.119519324455992E-3</v>
      </c>
      <c r="M1558" s="4">
        <f>1/JPY!C1558</f>
        <v>8.1214844124349664E-3</v>
      </c>
      <c r="N1558" s="5">
        <f>1/KRW!B1558</f>
        <v>8.6420713316567703E-4</v>
      </c>
      <c r="O1558" s="5">
        <f>1/KRW!C1558</f>
        <v>8.6419555708422142E-4</v>
      </c>
      <c r="P1558" s="3">
        <f>1/NOK!B1558</f>
        <v>0.11572734637194769</v>
      </c>
      <c r="Q1558" s="3">
        <f>1/NOK!C1558</f>
        <v>0.11565373272422368</v>
      </c>
      <c r="R1558" s="3">
        <f>NZD!B1558/1</f>
        <v>0.65269999999999995</v>
      </c>
      <c r="S1558" s="3">
        <f>NZD!C1558/1</f>
        <v>0.65110000000000001</v>
      </c>
      <c r="T1558" s="4">
        <f>1/PHP!B1558</f>
        <v>2.1108179419525065E-2</v>
      </c>
      <c r="U1558" s="4">
        <f>1/PHP!C1558</f>
        <v>2.1068155482987464E-2</v>
      </c>
      <c r="V1558" s="4">
        <f>1/TWD!B1558</f>
        <v>3.0459945172098692E-2</v>
      </c>
      <c r="W1558" s="4">
        <f>1/TWD!C1558</f>
        <v>3.0459945172098692E-2</v>
      </c>
      <c r="X1558" s="4">
        <f>1/TWD!B1558</f>
        <v>3.0459945172098692E-2</v>
      </c>
      <c r="Y1558" s="4">
        <f>1/TWD!C1558</f>
        <v>3.0459945172098692E-2</v>
      </c>
      <c r="Z1558" s="4">
        <f>1/ZAR!B1558</f>
        <v>6.9979006298110574E-2</v>
      </c>
      <c r="AA1558" s="4">
        <f>1/ZAR!C1558</f>
        <v>6.9583127483247867E-2</v>
      </c>
    </row>
    <row r="1559" spans="1:27" x14ac:dyDescent="0.25">
      <c r="A1559" t="str">
        <f>"13/11/2015"</f>
        <v>13/11/2015</v>
      </c>
      <c r="B1559" s="3">
        <f>AUD!B1559</f>
        <v>0.7117</v>
      </c>
      <c r="C1559" s="3">
        <f>AUD!C1559</f>
        <v>0.71050000000000002</v>
      </c>
      <c r="D1559" s="3">
        <f>1/CAD!B1559</f>
        <v>0.75058170081813402</v>
      </c>
      <c r="E1559" s="3">
        <f>1/CAD!C1559</f>
        <v>0.75041272699984995</v>
      </c>
      <c r="F1559" s="3">
        <f>EUR!B1559/1</f>
        <v>1.0771999999999999</v>
      </c>
      <c r="G1559" s="3">
        <f>EUR!C1559/1</f>
        <v>1.0775999999999999</v>
      </c>
      <c r="H1559" s="3">
        <f>GBP!B1559/1</f>
        <v>1.5236000000000001</v>
      </c>
      <c r="I1559" s="3">
        <f>GBP!C1559/1</f>
        <v>1.5232000000000001</v>
      </c>
      <c r="J1559" s="4">
        <f>1/INR!B1559</f>
        <v>1.5128020876668808E-2</v>
      </c>
      <c r="K1559" s="4">
        <f>1/INR!C1559</f>
        <v>1.5044946778500771E-2</v>
      </c>
      <c r="L1559" s="4">
        <f>1/JPY!B1559</f>
        <v>8.1552764638721242E-3</v>
      </c>
      <c r="M1559" s="4">
        <f>1/JPY!C1559</f>
        <v>8.1572655540700263E-3</v>
      </c>
      <c r="N1559" s="5">
        <f>1/KRW!B1559</f>
        <v>8.5918034195377603E-4</v>
      </c>
      <c r="O1559" s="5">
        <f>1/KRW!C1559</f>
        <v>8.5916963831965312E-4</v>
      </c>
      <c r="P1559" s="3">
        <f>1/NOK!B1559</f>
        <v>0.11499275545640626</v>
      </c>
      <c r="Q1559" s="3">
        <f>1/NOK!C1559</f>
        <v>0.11492667678021422</v>
      </c>
      <c r="R1559" s="3">
        <f>NZD!B1559/1</f>
        <v>0.6522</v>
      </c>
      <c r="S1559" s="3">
        <f>NZD!C1559/1</f>
        <v>0.65069999999999995</v>
      </c>
      <c r="T1559" s="4">
        <f>1/PHP!B1559</f>
        <v>2.121790791427965E-2</v>
      </c>
      <c r="U1559" s="4">
        <f>1/PHP!C1559</f>
        <v>2.1174776606106806E-2</v>
      </c>
      <c r="V1559" s="4">
        <f>1/TWD!B1559</f>
        <v>3.0450669914738122E-2</v>
      </c>
      <c r="W1559" s="4">
        <f>1/TWD!C1559</f>
        <v>3.0450669914738122E-2</v>
      </c>
      <c r="X1559" s="4">
        <f>1/TWD!B1559</f>
        <v>3.0450669914738122E-2</v>
      </c>
      <c r="Y1559" s="4">
        <f>1/TWD!C1559</f>
        <v>3.0450669914738122E-2</v>
      </c>
      <c r="Z1559" s="4">
        <f>1/ZAR!B1559</f>
        <v>6.9302470633078067E-2</v>
      </c>
      <c r="AA1559" s="4">
        <f>1/ZAR!C1559</f>
        <v>6.8926063012206801E-2</v>
      </c>
    </row>
    <row r="1560" spans="1:27" x14ac:dyDescent="0.25">
      <c r="A1560" t="str">
        <f>"16/11/2015"</f>
        <v>16/11/2015</v>
      </c>
      <c r="B1560" s="3">
        <f>AUD!B1560</f>
        <v>0.70950000000000002</v>
      </c>
      <c r="C1560" s="3">
        <f>AUD!C1560</f>
        <v>0.70830000000000004</v>
      </c>
      <c r="D1560" s="3">
        <f>1/CAD!B1560</f>
        <v>0.75007500750075007</v>
      </c>
      <c r="E1560" s="3">
        <f>1/CAD!C1560</f>
        <v>0.74990626171728536</v>
      </c>
      <c r="F1560" s="3">
        <f>EUR!B1560/1</f>
        <v>1.0686</v>
      </c>
      <c r="G1560" s="3">
        <f>EUR!C1560/1</f>
        <v>1.069</v>
      </c>
      <c r="H1560" s="3">
        <f>GBP!B1560/1</f>
        <v>1.5202</v>
      </c>
      <c r="I1560" s="3">
        <f>GBP!C1560/1</f>
        <v>1.5199</v>
      </c>
      <c r="J1560" s="4">
        <f>1/INR!B1560</f>
        <v>1.5151515151515152E-2</v>
      </c>
      <c r="K1560" s="4">
        <f>1/INR!C1560</f>
        <v>1.5068183530475402E-2</v>
      </c>
      <c r="L1560" s="4">
        <f>1/JPY!B1560</f>
        <v>8.1182010066569235E-3</v>
      </c>
      <c r="M1560" s="4">
        <f>1/JPY!C1560</f>
        <v>8.120297332807138E-3</v>
      </c>
      <c r="N1560" s="5">
        <f>1/KRW!B1560</f>
        <v>8.5169444610051694E-4</v>
      </c>
      <c r="O1560" s="5">
        <f>1/KRW!C1560</f>
        <v>8.5167993867904437E-4</v>
      </c>
      <c r="P1560" s="3">
        <f>1/NOK!B1560</f>
        <v>0.11491875244202349</v>
      </c>
      <c r="Q1560" s="3">
        <f>1/NOK!C1560</f>
        <v>0.11485143966279618</v>
      </c>
      <c r="R1560" s="3">
        <f>NZD!B1560/1</f>
        <v>0.64900000000000002</v>
      </c>
      <c r="S1560" s="3">
        <f>NZD!C1560/1</f>
        <v>0.64749999999999996</v>
      </c>
      <c r="T1560" s="4">
        <f>1/PHP!B1560</f>
        <v>2.1195421788893599E-2</v>
      </c>
      <c r="U1560" s="4">
        <f>1/PHP!C1560</f>
        <v>2.1152829190904283E-2</v>
      </c>
      <c r="V1560" s="4">
        <f>1/TWD!B1560</f>
        <v>3.0315891590371676E-2</v>
      </c>
      <c r="W1560" s="4">
        <f>1/TWD!C1560</f>
        <v>3.0315891590371676E-2</v>
      </c>
      <c r="X1560" s="4">
        <f>1/TWD!B1560</f>
        <v>3.0315891590371676E-2</v>
      </c>
      <c r="Y1560" s="4">
        <f>1/TWD!C1560</f>
        <v>3.0315891590371676E-2</v>
      </c>
      <c r="Z1560" s="4">
        <f>1/ZAR!B1560</f>
        <v>6.9819725468839453E-2</v>
      </c>
      <c r="AA1560" s="4">
        <f>1/ZAR!C1560</f>
        <v>6.9444926700879858E-2</v>
      </c>
    </row>
    <row r="1561" spans="1:27" x14ac:dyDescent="0.25">
      <c r="A1561" t="str">
        <f>"17/11/2015"</f>
        <v>17/11/2015</v>
      </c>
      <c r="B1561" s="3">
        <f>AUD!B1561</f>
        <v>0.71099999999999997</v>
      </c>
      <c r="C1561" s="3">
        <f>AUD!C1561</f>
        <v>0.7097</v>
      </c>
      <c r="D1561" s="3">
        <f>1/CAD!B1561</f>
        <v>0.75063804233598552</v>
      </c>
      <c r="E1561" s="3">
        <f>1/CAD!C1561</f>
        <v>0.75046904315196994</v>
      </c>
      <c r="F1561" s="3">
        <f>EUR!B1561/1</f>
        <v>1.0642</v>
      </c>
      <c r="G1561" s="3">
        <f>EUR!C1561/1</f>
        <v>1.0647</v>
      </c>
      <c r="H1561" s="3">
        <f>GBP!B1561/1</f>
        <v>1.5212000000000001</v>
      </c>
      <c r="I1561" s="3">
        <f>GBP!C1561/1</f>
        <v>1.5208999999999999</v>
      </c>
      <c r="J1561" s="4">
        <f>1/INR!B1561</f>
        <v>1.5142911224682946E-2</v>
      </c>
      <c r="K1561" s="4">
        <f>1/INR!C1561</f>
        <v>1.5055706112616682E-2</v>
      </c>
      <c r="L1561" s="4">
        <f>1/JPY!B1561</f>
        <v>8.1004455245038479E-3</v>
      </c>
      <c r="M1561" s="4">
        <f>1/JPY!C1561</f>
        <v>8.1028806551016949E-3</v>
      </c>
      <c r="N1561" s="5">
        <f>1/KRW!B1561</f>
        <v>8.5428466473598335E-4</v>
      </c>
      <c r="O1561" s="5">
        <f>1/KRW!C1561</f>
        <v>8.5427006893959467E-4</v>
      </c>
      <c r="P1561" s="3">
        <f>1/NOK!B1561</f>
        <v>0.11502053116481291</v>
      </c>
      <c r="Q1561" s="3">
        <f>1/NOK!C1561</f>
        <v>0.11495574203931487</v>
      </c>
      <c r="R1561" s="3">
        <f>NZD!B1561/1</f>
        <v>0.64680000000000004</v>
      </c>
      <c r="S1561" s="3">
        <f>NZD!C1561/1</f>
        <v>0.64529999999999998</v>
      </c>
      <c r="T1561" s="4">
        <f>1/PHP!B1561</f>
        <v>2.118419658934435E-2</v>
      </c>
      <c r="U1561" s="4">
        <f>1/PHP!C1561</f>
        <v>2.1141649048625793E-2</v>
      </c>
      <c r="V1561" s="4">
        <f>1/TWD!B1561</f>
        <v>3.0404378230465188E-2</v>
      </c>
      <c r="W1561" s="4">
        <f>1/TWD!C1561</f>
        <v>3.0404378230465188E-2</v>
      </c>
      <c r="X1561" s="4">
        <f>1/TWD!B1561</f>
        <v>3.0404378230465188E-2</v>
      </c>
      <c r="Y1561" s="4">
        <f>1/TWD!C1561</f>
        <v>3.0404378230465188E-2</v>
      </c>
      <c r="Z1561" s="4">
        <f>1/ZAR!B1561</f>
        <v>7.0020656093547601E-2</v>
      </c>
      <c r="AA1561" s="4">
        <f>1/ZAR!C1561</f>
        <v>6.9641277778164673E-2</v>
      </c>
    </row>
    <row r="1562" spans="1:27" x14ac:dyDescent="0.25">
      <c r="A1562" t="str">
        <f>"18/11/2015"</f>
        <v>18/11/2015</v>
      </c>
      <c r="B1562" s="3">
        <f>AUD!B1562</f>
        <v>0.71099999999999997</v>
      </c>
      <c r="C1562" s="3">
        <f>AUD!C1562</f>
        <v>0.70979999999999999</v>
      </c>
      <c r="D1562" s="3">
        <f>1/CAD!B1562</f>
        <v>0.75171014056979624</v>
      </c>
      <c r="E1562" s="3">
        <f>1/CAD!C1562</f>
        <v>0.7515406583496167</v>
      </c>
      <c r="F1562" s="3">
        <f>EUR!B1562/1</f>
        <v>1.0659000000000001</v>
      </c>
      <c r="G1562" s="3">
        <f>EUR!C1562/1</f>
        <v>1.0664</v>
      </c>
      <c r="H1562" s="3">
        <f>GBP!B1562/1</f>
        <v>1.5236000000000001</v>
      </c>
      <c r="I1562" s="3">
        <f>GBP!C1562/1</f>
        <v>1.5233000000000001</v>
      </c>
      <c r="J1562" s="4">
        <f>1/INR!B1562</f>
        <v>1.5080681646810435E-2</v>
      </c>
      <c r="K1562" s="4">
        <f>1/INR!C1562</f>
        <v>1.4995876134063132E-2</v>
      </c>
      <c r="L1562" s="4">
        <f>1/JPY!B1562</f>
        <v>8.0879974118408283E-3</v>
      </c>
      <c r="M1562" s="4">
        <f>1/JPY!C1562</f>
        <v>8.0903988809360259E-3</v>
      </c>
      <c r="N1562" s="5">
        <f>1/KRW!B1562</f>
        <v>8.5294393599508699E-4</v>
      </c>
      <c r="O1562" s="5">
        <f>1/KRW!C1562</f>
        <v>8.5292974972055896E-4</v>
      </c>
      <c r="P1562" s="3">
        <f>1/NOK!B1562</f>
        <v>0.1152658029415833</v>
      </c>
      <c r="Q1562" s="3">
        <f>1/NOK!C1562</f>
        <v>0.11519808310389715</v>
      </c>
      <c r="R1562" s="3">
        <f>NZD!B1562/1</f>
        <v>0.64700000000000002</v>
      </c>
      <c r="S1562" s="3">
        <f>NZD!C1562/1</f>
        <v>0.64549999999999996</v>
      </c>
      <c r="T1562" s="4">
        <f>1/PHP!B1562</f>
        <v>2.1164021164021163E-2</v>
      </c>
      <c r="U1562" s="4">
        <f>1/PHP!C1562</f>
        <v>2.1121554546414616E-2</v>
      </c>
      <c r="V1562" s="4">
        <f>1/TWD!B1562</f>
        <v>3.0349013657056143E-2</v>
      </c>
      <c r="W1562" s="4">
        <f>1/TWD!C1562</f>
        <v>3.0349013657056143E-2</v>
      </c>
      <c r="X1562" s="4">
        <f>1/TWD!B1562</f>
        <v>3.0349013657056143E-2</v>
      </c>
      <c r="Y1562" s="4">
        <f>1/TWD!C1562</f>
        <v>3.0349013657056143E-2</v>
      </c>
      <c r="Z1562" s="4">
        <f>1/ZAR!B1562</f>
        <v>7.0541760722347635E-2</v>
      </c>
      <c r="AA1562" s="4">
        <f>1/ZAR!C1562</f>
        <v>7.0156730135121859E-2</v>
      </c>
    </row>
    <row r="1563" spans="1:27" x14ac:dyDescent="0.25">
      <c r="A1563" t="str">
        <f>"19/11/2015"</f>
        <v>19/11/2015</v>
      </c>
      <c r="B1563" s="3">
        <f>AUD!B1563</f>
        <v>0.71930000000000005</v>
      </c>
      <c r="C1563" s="3">
        <f>AUD!C1563</f>
        <v>0.71809999999999996</v>
      </c>
      <c r="D1563" s="3">
        <f>1/CAD!B1563</f>
        <v>0.75272864132480244</v>
      </c>
      <c r="E1563" s="3">
        <f>1/CAD!C1563</f>
        <v>0.75261533830059457</v>
      </c>
      <c r="F1563" s="3">
        <f>EUR!B1563/1</f>
        <v>1.0733999999999999</v>
      </c>
      <c r="G1563" s="3">
        <f>EUR!C1563/1</f>
        <v>1.0739000000000001</v>
      </c>
      <c r="H1563" s="3">
        <f>GBP!B1563/1</f>
        <v>1.5290999999999999</v>
      </c>
      <c r="I1563" s="3">
        <f>GBP!C1563/1</f>
        <v>1.5287999999999999</v>
      </c>
      <c r="J1563" s="4">
        <f>1/INR!B1563</f>
        <v>1.5108022359873094E-2</v>
      </c>
      <c r="K1563" s="4">
        <f>1/INR!C1563</f>
        <v>1.5025167154984597E-2</v>
      </c>
      <c r="L1563" s="4">
        <f>1/JPY!B1563</f>
        <v>8.1386831610645392E-3</v>
      </c>
      <c r="M1563" s="4">
        <f>1/JPY!C1563</f>
        <v>8.1411413391689041E-3</v>
      </c>
      <c r="N1563" s="5">
        <f>1/KRW!B1563</f>
        <v>8.6067407993940847E-4</v>
      </c>
      <c r="O1563" s="5">
        <f>1/KRW!C1563</f>
        <v>8.6066333905530999E-4</v>
      </c>
      <c r="P1563" s="3">
        <f>1/NOK!B1563</f>
        <v>0.11602408660037823</v>
      </c>
      <c r="Q1563" s="3">
        <f>1/NOK!C1563</f>
        <v>0.11595547309833024</v>
      </c>
      <c r="R1563" s="3">
        <f>NZD!B1563/1</f>
        <v>0.65639999999999998</v>
      </c>
      <c r="S1563" s="3">
        <f>NZD!C1563/1</f>
        <v>0.65500000000000003</v>
      </c>
      <c r="T1563" s="4">
        <f>1/PHP!B1563</f>
        <v>2.1196769612311085E-2</v>
      </c>
      <c r="U1563" s="4">
        <f>1/PHP!C1563</f>
        <v>2.1154171602640041E-2</v>
      </c>
      <c r="V1563" s="4">
        <f>1/TWD!B1563</f>
        <v>3.0604437643458306E-2</v>
      </c>
      <c r="W1563" s="4">
        <f>1/TWD!C1563</f>
        <v>3.0604437643458306E-2</v>
      </c>
      <c r="X1563" s="4">
        <f>1/TWD!B1563</f>
        <v>3.0604437643458306E-2</v>
      </c>
      <c r="Y1563" s="4">
        <f>1/TWD!C1563</f>
        <v>3.0604437643458306E-2</v>
      </c>
      <c r="Z1563" s="4">
        <f>1/ZAR!B1563</f>
        <v>7.120326395761982E-2</v>
      </c>
      <c r="AA1563" s="4">
        <f>1/ZAR!C1563</f>
        <v>7.0805483176617195E-2</v>
      </c>
    </row>
    <row r="1564" spans="1:27" x14ac:dyDescent="0.25">
      <c r="A1564" t="str">
        <f>"20/11/2015"</f>
        <v>20/11/2015</v>
      </c>
      <c r="B1564" s="3">
        <f>AUD!B1564</f>
        <v>0.72330000000000005</v>
      </c>
      <c r="C1564" s="3">
        <f>AUD!C1564</f>
        <v>0.72209999999999996</v>
      </c>
      <c r="D1564" s="3">
        <f>1/CAD!B1564</f>
        <v>0.749232037161909</v>
      </c>
      <c r="E1564" s="3">
        <f>1/CAD!C1564</f>
        <v>0.74911978425350212</v>
      </c>
      <c r="F1564" s="3">
        <f>EUR!B1564/1</f>
        <v>1.0645</v>
      </c>
      <c r="G1564" s="3">
        <f>EUR!C1564/1</f>
        <v>1.0649999999999999</v>
      </c>
      <c r="H1564" s="3">
        <f>GBP!B1564/1</f>
        <v>1.5189999999999999</v>
      </c>
      <c r="I1564" s="3">
        <f>GBP!C1564/1</f>
        <v>1.5186999999999999</v>
      </c>
      <c r="J1564" s="4">
        <f>1/INR!B1564</f>
        <v>1.5105740181268881E-2</v>
      </c>
      <c r="K1564" s="4">
        <f>1/INR!C1564</f>
        <v>1.5012760846719712E-2</v>
      </c>
      <c r="L1564" s="4">
        <f>1/JPY!B1564</f>
        <v>8.1419964175215766E-3</v>
      </c>
      <c r="M1564" s="4">
        <f>1/JPY!C1564</f>
        <v>8.1450337285846712E-3</v>
      </c>
      <c r="N1564" s="5">
        <f>1/KRW!B1564</f>
        <v>8.6610081413476532E-4</v>
      </c>
      <c r="O1564" s="5">
        <f>1/KRW!C1564</f>
        <v>8.6608956232163967E-4</v>
      </c>
      <c r="P1564" s="3">
        <f>1/NOK!B1564</f>
        <v>0.11538683436219928</v>
      </c>
      <c r="Q1564" s="3">
        <f>1/NOK!C1564</f>
        <v>0.11531897227731906</v>
      </c>
      <c r="R1564" s="3">
        <f>NZD!B1564/1</f>
        <v>0.65490000000000004</v>
      </c>
      <c r="S1564" s="3">
        <f>NZD!C1564/1</f>
        <v>0.65349999999999997</v>
      </c>
      <c r="T1564" s="4">
        <f>1/PHP!B1564</f>
        <v>2.1239088418325086E-2</v>
      </c>
      <c r="U1564" s="4">
        <f>1/PHP!C1564</f>
        <v>2.119632031879266E-2</v>
      </c>
      <c r="V1564" s="4">
        <f>1/TWD!B1564</f>
        <v>3.0647583438045911E-2</v>
      </c>
      <c r="W1564" s="4">
        <f>1/TWD!C1564</f>
        <v>3.0647583438045911E-2</v>
      </c>
      <c r="X1564" s="4">
        <f>1/TWD!B1564</f>
        <v>3.0647583438045911E-2</v>
      </c>
      <c r="Y1564" s="4">
        <f>1/TWD!C1564</f>
        <v>3.0647583438045911E-2</v>
      </c>
      <c r="Z1564" s="4">
        <f>1/ZAR!B1564</f>
        <v>7.1319554395424131E-2</v>
      </c>
      <c r="AA1564" s="4">
        <f>1/ZAR!C1564</f>
        <v>7.0939091695869927E-2</v>
      </c>
    </row>
    <row r="1565" spans="1:27" x14ac:dyDescent="0.25">
      <c r="A1565" t="str">
        <f>"23/11/2015"</f>
        <v>23/11/2015</v>
      </c>
      <c r="B1565" s="3">
        <f>AUD!B1565</f>
        <v>0.71899999999999997</v>
      </c>
      <c r="C1565" s="3">
        <f>AUD!C1565</f>
        <v>0.7177</v>
      </c>
      <c r="D1565" s="3">
        <f>1/CAD!B1565</f>
        <v>0.74816699087236271</v>
      </c>
      <c r="E1565" s="3">
        <f>1/CAD!C1565</f>
        <v>0.74805505685218432</v>
      </c>
      <c r="F1565" s="3">
        <f>EUR!B1565/1</f>
        <v>1.0636000000000001</v>
      </c>
      <c r="G1565" s="3">
        <f>EUR!C1565/1</f>
        <v>1.0642</v>
      </c>
      <c r="H1565" s="3">
        <f>GBP!B1565/1</f>
        <v>1.5124</v>
      </c>
      <c r="I1565" s="3">
        <f>GBP!C1565/1</f>
        <v>1.5121</v>
      </c>
      <c r="J1565" s="4">
        <f>1/INR!B1565</f>
        <v>1.5041552288196142E-2</v>
      </c>
      <c r="K1565" s="4">
        <f>1/INR!C1565</f>
        <v>1.4958863126402395E-2</v>
      </c>
      <c r="L1565" s="4">
        <f>1/JPY!B1565</f>
        <v>8.1406707912732006E-3</v>
      </c>
      <c r="M1565" s="4">
        <f>1/JPY!C1565</f>
        <v>8.1436407937769562E-3</v>
      </c>
      <c r="N1565" s="5">
        <f>1/KRW!B1565</f>
        <v>8.6303616121515491E-4</v>
      </c>
      <c r="O1565" s="5">
        <f>1/KRW!C1565</f>
        <v>8.6302052003890499E-4</v>
      </c>
      <c r="P1565" s="3">
        <f>1/NOK!B1565</f>
        <v>0.1154907780613718</v>
      </c>
      <c r="Q1565" s="3">
        <f>1/NOK!C1565</f>
        <v>0.11541346875180333</v>
      </c>
      <c r="R1565" s="3">
        <f>NZD!B1565/1</f>
        <v>0.65169999999999995</v>
      </c>
      <c r="S1565" s="3">
        <f>NZD!C1565/1</f>
        <v>0.65010000000000001</v>
      </c>
      <c r="T1565" s="4">
        <f>1/PHP!B1565</f>
        <v>2.1173431578055856E-2</v>
      </c>
      <c r="U1565" s="4">
        <f>1/PHP!C1565</f>
        <v>2.1125124110104147E-2</v>
      </c>
      <c r="V1565" s="4">
        <f>1/TWD!B1565</f>
        <v>3.0537148441078573E-2</v>
      </c>
      <c r="W1565" s="4">
        <f>1/TWD!C1565</f>
        <v>3.0537148441078573E-2</v>
      </c>
      <c r="X1565" s="4">
        <f>1/TWD!B1565</f>
        <v>3.0537148441078573E-2</v>
      </c>
      <c r="Y1565" s="4">
        <f>1/TWD!C1565</f>
        <v>3.0537148441078573E-2</v>
      </c>
      <c r="Z1565" s="4">
        <f>1/ZAR!B1565</f>
        <v>7.0895839832118654E-2</v>
      </c>
      <c r="AA1565" s="4">
        <f>1/ZAR!C1565</f>
        <v>7.052584066802077E-2</v>
      </c>
    </row>
    <row r="1566" spans="1:27" x14ac:dyDescent="0.25">
      <c r="A1566" t="str">
        <f>"24/11/2015"</f>
        <v>24/11/2015</v>
      </c>
      <c r="B1566" s="3">
        <f>AUD!B1566</f>
        <v>0.72570000000000001</v>
      </c>
      <c r="C1566" s="3">
        <f>AUD!C1566</f>
        <v>0.72450000000000003</v>
      </c>
      <c r="D1566" s="3">
        <f>1/CAD!B1566</f>
        <v>0.7515406583496167</v>
      </c>
      <c r="E1566" s="3">
        <f>1/CAD!C1566</f>
        <v>0.75142771265404273</v>
      </c>
      <c r="F1566" s="3">
        <f>EUR!B1566/1</f>
        <v>1.0643</v>
      </c>
      <c r="G1566" s="3">
        <f>EUR!C1566/1</f>
        <v>1.0649</v>
      </c>
      <c r="H1566" s="3">
        <f>GBP!B1566/1</f>
        <v>1.5083</v>
      </c>
      <c r="I1566" s="3">
        <f>GBP!C1566/1</f>
        <v>1.5081</v>
      </c>
      <c r="J1566" s="4">
        <f>1/INR!B1566</f>
        <v>1.5076134479119555E-2</v>
      </c>
      <c r="K1566" s="4">
        <f>1/INR!C1566</f>
        <v>1.498576352465158E-2</v>
      </c>
      <c r="L1566" s="4">
        <f>1/JPY!B1566</f>
        <v>8.160600620205646E-3</v>
      </c>
      <c r="M1566" s="4">
        <f>1/JPY!C1566</f>
        <v>8.1635385347591221E-3</v>
      </c>
      <c r="N1566" s="5">
        <f>1/KRW!B1566</f>
        <v>8.6656614499384737E-4</v>
      </c>
      <c r="O1566" s="5">
        <f>1/KRW!C1566</f>
        <v>8.665512766986614E-4</v>
      </c>
      <c r="P1566" s="3">
        <f>1/NOK!B1566</f>
        <v>0.11555750719345481</v>
      </c>
      <c r="Q1566" s="3">
        <f>1/NOK!C1566</f>
        <v>0.11548410938654841</v>
      </c>
      <c r="R1566" s="3">
        <f>NZD!B1566/1</f>
        <v>0.65529999999999999</v>
      </c>
      <c r="S1566" s="3">
        <f>NZD!C1566/1</f>
        <v>0.65380000000000005</v>
      </c>
      <c r="T1566" s="4">
        <f>1/PHP!B1566</f>
        <v>2.1196769612311085E-2</v>
      </c>
      <c r="U1566" s="4">
        <f>1/PHP!C1566</f>
        <v>2.1151934344395794E-2</v>
      </c>
      <c r="V1566" s="4">
        <f>1/TWD!B1566</f>
        <v>3.055300947143294E-2</v>
      </c>
      <c r="W1566" s="4">
        <f>1/TWD!C1566</f>
        <v>3.055300947143294E-2</v>
      </c>
      <c r="X1566" s="4">
        <f>1/TWD!B1566</f>
        <v>3.055300947143294E-2</v>
      </c>
      <c r="Y1566" s="4">
        <f>1/TWD!C1566</f>
        <v>3.055300947143294E-2</v>
      </c>
      <c r="Z1566" s="4">
        <f>1/ZAR!B1566</f>
        <v>7.1063104036384314E-2</v>
      </c>
      <c r="AA1566" s="4">
        <f>1/ZAR!C1566</f>
        <v>7.0648411117233967E-2</v>
      </c>
    </row>
    <row r="1567" spans="1:27" x14ac:dyDescent="0.25">
      <c r="A1567" t="str">
        <f>"26/11/2015"</f>
        <v>26/11/2015</v>
      </c>
      <c r="B1567" s="3">
        <f>AUD!B1567</f>
        <v>0.72250000000000003</v>
      </c>
      <c r="C1567" s="3">
        <f>AUD!C1567</f>
        <v>0.72130000000000005</v>
      </c>
      <c r="D1567" s="3">
        <f>1/CAD!B1567</f>
        <v>0.75216246709289214</v>
      </c>
      <c r="E1567" s="3">
        <f>1/CAD!C1567</f>
        <v>0.75204933443633892</v>
      </c>
      <c r="F1567" s="3">
        <f>EUR!B1567/1</f>
        <v>1.0609999999999999</v>
      </c>
      <c r="G1567" s="3">
        <f>EUR!C1567/1</f>
        <v>1.0616000000000001</v>
      </c>
      <c r="H1567" s="3">
        <f>GBP!B1567/1</f>
        <v>1.5101</v>
      </c>
      <c r="I1567" s="3">
        <f>GBP!C1567/1</f>
        <v>1.5099</v>
      </c>
      <c r="J1567" s="4">
        <f>1/INR!B1567</f>
        <v>1.5021781583295781E-2</v>
      </c>
      <c r="K1567" s="4">
        <f>1/INR!C1567</f>
        <v>1.4940425055092816E-2</v>
      </c>
      <c r="L1567" s="4">
        <f>1/JPY!B1567</f>
        <v>8.1579376733561752E-3</v>
      </c>
      <c r="M1567" s="4">
        <f>1/JPY!C1567</f>
        <v>8.1613332353973351E-3</v>
      </c>
      <c r="N1567" s="5">
        <f>1/KRW!B1567</f>
        <v>8.7143691232473232E-4</v>
      </c>
      <c r="O1567" s="5">
        <f>1/KRW!C1567</f>
        <v>8.7142552143924638E-4</v>
      </c>
      <c r="P1567" s="3">
        <f>1/NOK!B1567</f>
        <v>0.11533759313510647</v>
      </c>
      <c r="Q1567" s="3">
        <f>1/NOK!C1567</f>
        <v>0.11527643288606078</v>
      </c>
      <c r="R1567" s="3">
        <f>NZD!B1567/1</f>
        <v>0.65669999999999995</v>
      </c>
      <c r="S1567" s="3">
        <f>NZD!C1567/1</f>
        <v>0.65529999999999999</v>
      </c>
      <c r="T1567" s="4">
        <f>1/PHP!B1567</f>
        <v>2.1208907741251327E-2</v>
      </c>
      <c r="U1567" s="4">
        <f>1/PHP!C1567</f>
        <v>2.1164021164021163E-2</v>
      </c>
      <c r="V1567" s="4">
        <f>1/TWD!B1567</f>
        <v>3.071441734750292E-2</v>
      </c>
      <c r="W1567" s="4">
        <f>1/TWD!C1567</f>
        <v>3.071441734750292E-2</v>
      </c>
      <c r="X1567" s="4">
        <f>1/TWD!B1567</f>
        <v>3.071441734750292E-2</v>
      </c>
      <c r="Y1567" s="4">
        <f>1/TWD!C1567</f>
        <v>3.071441734750292E-2</v>
      </c>
      <c r="Z1567" s="4">
        <f>1/ZAR!B1567</f>
        <v>6.9951104178179457E-2</v>
      </c>
      <c r="AA1567" s="4">
        <f>1/ZAR!C1567</f>
        <v>6.9572961164373073E-2</v>
      </c>
    </row>
    <row r="1568" spans="1:27" x14ac:dyDescent="0.25">
      <c r="A1568" t="str">
        <f>"27/11/2015"</f>
        <v>27/11/2015</v>
      </c>
      <c r="B1568" s="3">
        <f>AUD!B1568</f>
        <v>0.71889999999999998</v>
      </c>
      <c r="C1568" s="3">
        <f>AUD!C1568</f>
        <v>0.71760000000000002</v>
      </c>
      <c r="D1568" s="3">
        <f>1/CAD!B1568</f>
        <v>0.74783128926114273</v>
      </c>
      <c r="E1568" s="3">
        <f>1/CAD!C1568</f>
        <v>0.74777536827936897</v>
      </c>
      <c r="F1568" s="3">
        <f>EUR!B1568/1</f>
        <v>1.0591999999999999</v>
      </c>
      <c r="G1568" s="3">
        <f>EUR!C1568/1</f>
        <v>1.0604</v>
      </c>
      <c r="H1568" s="3">
        <f>GBP!B1568/1</f>
        <v>1.5035000000000001</v>
      </c>
      <c r="I1568" s="3">
        <f>GBP!C1568/1</f>
        <v>1.5038</v>
      </c>
      <c r="J1568" s="4">
        <f>1/INR!B1568</f>
        <v>1.4977907586310192E-2</v>
      </c>
      <c r="K1568" s="4">
        <f>1/INR!C1568</f>
        <v>1.4889261120416901E-2</v>
      </c>
      <c r="L1568" s="4">
        <f>1/JPY!B1568</f>
        <v>8.1433224755700327E-3</v>
      </c>
      <c r="M1568" s="4">
        <f>1/JPY!C1568</f>
        <v>8.1530091533833764E-3</v>
      </c>
      <c r="N1568" s="5">
        <f>1/KRW!B1568</f>
        <v>8.6707708315269226E-4</v>
      </c>
      <c r="O1568" s="5">
        <f>1/KRW!C1568</f>
        <v>8.6706505415688328E-4</v>
      </c>
      <c r="P1568" s="3">
        <f>1/NOK!B1568</f>
        <v>0.11465128810722189</v>
      </c>
      <c r="Q1568" s="3">
        <f>1/NOK!C1568</f>
        <v>0.11459610602431729</v>
      </c>
      <c r="R1568" s="3">
        <f>NZD!B1568/1</f>
        <v>0.6522</v>
      </c>
      <c r="S1568" s="3">
        <f>NZD!C1568/1</f>
        <v>0.65059999999999996</v>
      </c>
      <c r="T1568" s="4">
        <f>1/PHP!B1568</f>
        <v>2.1182850364345026E-2</v>
      </c>
      <c r="U1568" s="4">
        <f>1/PHP!C1568</f>
        <v>2.1137627089982881E-2</v>
      </c>
      <c r="V1568" s="4">
        <f>1/TWD!B1568</f>
        <v>3.0610995469572671E-2</v>
      </c>
      <c r="W1568" s="4">
        <f>1/TWD!C1568</f>
        <v>3.0610995469572671E-2</v>
      </c>
      <c r="X1568" s="4">
        <f>1/TWD!B1568</f>
        <v>3.0610995469572671E-2</v>
      </c>
      <c r="Y1568" s="4">
        <f>1/TWD!C1568</f>
        <v>3.0610995469572671E-2</v>
      </c>
      <c r="Z1568" s="4">
        <f>1/ZAR!B1568</f>
        <v>6.9329857596472491E-2</v>
      </c>
      <c r="AA1568" s="4">
        <f>1/ZAR!C1568</f>
        <v>6.8949349807631316E-2</v>
      </c>
    </row>
    <row r="1569" spans="1:27" x14ac:dyDescent="0.25">
      <c r="A1569" t="str">
        <f>"30/11/2015"</f>
        <v>30/11/2015</v>
      </c>
      <c r="B1569" s="3">
        <f>AUD!B1569</f>
        <v>0.72260000000000002</v>
      </c>
      <c r="C1569" s="3">
        <f>AUD!C1569</f>
        <v>0.72130000000000005</v>
      </c>
      <c r="D1569" s="3">
        <f>1/CAD!B1569</f>
        <v>0.74833495472573519</v>
      </c>
      <c r="E1569" s="3">
        <f>1/CAD!C1569</f>
        <v>0.74827895839568992</v>
      </c>
      <c r="F1569" s="3">
        <f>EUR!B1569/1</f>
        <v>1.0564</v>
      </c>
      <c r="G1569" s="3">
        <f>EUR!C1569/1</f>
        <v>1.0575000000000001</v>
      </c>
      <c r="H1569" s="3">
        <f>GBP!B1569/1</f>
        <v>1.5055000000000001</v>
      </c>
      <c r="I1569" s="3">
        <f>GBP!C1569/1</f>
        <v>1.5057</v>
      </c>
      <c r="J1569" s="4">
        <f>1/INR!B1569</f>
        <v>1.4999250037498125E-2</v>
      </c>
      <c r="K1569" s="4">
        <f>1/INR!C1569</f>
        <v>1.4913687036277545E-2</v>
      </c>
      <c r="L1569" s="4">
        <f>1/JPY!B1569</f>
        <v>8.1228169929331486E-3</v>
      </c>
      <c r="M1569" s="4">
        <f>1/JPY!C1569</f>
        <v>8.1324681471553854E-3</v>
      </c>
      <c r="N1569" s="5">
        <f>1/KRW!B1569</f>
        <v>8.6348329159830763E-4</v>
      </c>
      <c r="O1569" s="5">
        <f>1/KRW!C1569</f>
        <v>8.634721076922413E-4</v>
      </c>
      <c r="P1569" s="3">
        <f>1/NOK!B1569</f>
        <v>0.1148171536827602</v>
      </c>
      <c r="Q1569" s="3">
        <f>1/NOK!C1569</f>
        <v>0.11476444597463706</v>
      </c>
      <c r="R1569" s="3">
        <f>NZD!B1569/1</f>
        <v>0.65800000000000003</v>
      </c>
      <c r="S1569" s="3">
        <f>NZD!C1569/1</f>
        <v>0.65649999999999997</v>
      </c>
      <c r="T1569" s="4">
        <f>1/PHP!B1569</f>
        <v>2.1168053174149572E-2</v>
      </c>
      <c r="U1569" s="4">
        <f>1/PHP!C1569</f>
        <v>2.1123339177457172E-2</v>
      </c>
      <c r="V1569" s="4">
        <f>1/TWD!B1569</f>
        <v>3.0504545177231411E-2</v>
      </c>
      <c r="W1569" s="4">
        <f>1/TWD!C1569</f>
        <v>3.0504545177231411E-2</v>
      </c>
      <c r="X1569" s="4">
        <f>1/TWD!B1569</f>
        <v>3.0504545177231411E-2</v>
      </c>
      <c r="Y1569" s="4">
        <f>1/TWD!C1569</f>
        <v>3.0504545177231411E-2</v>
      </c>
      <c r="Z1569" s="4">
        <f>1/ZAR!B1569</f>
        <v>6.9169208635084009E-2</v>
      </c>
      <c r="AA1569" s="4">
        <f>1/ZAR!C1569</f>
        <v>6.8743168647615635E-2</v>
      </c>
    </row>
    <row r="1570" spans="1:27" x14ac:dyDescent="0.25">
      <c r="A1570" t="str">
        <f>"01/12/2015"</f>
        <v>01/12/2015</v>
      </c>
      <c r="B1570" s="3">
        <f>AUD!B1570</f>
        <v>0.73219999999999996</v>
      </c>
      <c r="C1570" s="3">
        <f>AUD!C1570</f>
        <v>0.73099999999999998</v>
      </c>
      <c r="D1570" s="3">
        <f>1/CAD!B1570</f>
        <v>0.74855902387903284</v>
      </c>
      <c r="E1570" s="3">
        <f>1/CAD!C1570</f>
        <v>0.74855902387903284</v>
      </c>
      <c r="F1570" s="3">
        <f>EUR!B1570/1</f>
        <v>1.0631999999999999</v>
      </c>
      <c r="G1570" s="3">
        <f>EUR!C1570/1</f>
        <v>1.0643</v>
      </c>
      <c r="H1570" s="3">
        <f>GBP!B1570/1</f>
        <v>1.5081</v>
      </c>
      <c r="I1570" s="3">
        <f>GBP!C1570/1</f>
        <v>1.5084</v>
      </c>
      <c r="J1570" s="4">
        <f>1/INR!B1570</f>
        <v>1.5037028683132213E-2</v>
      </c>
      <c r="K1570" s="4">
        <f>1/INR!C1570</f>
        <v>1.4953271028037384E-2</v>
      </c>
      <c r="L1570" s="4">
        <f>1/JPY!B1570</f>
        <v>8.1380208333333339E-3</v>
      </c>
      <c r="M1570" s="4">
        <f>1/JPY!C1570</f>
        <v>8.1487505520778502E-3</v>
      </c>
      <c r="N1570" s="5">
        <f>1/KRW!B1570</f>
        <v>8.6337146557306278E-4</v>
      </c>
      <c r="O1570" s="5">
        <f>1/KRW!C1570</f>
        <v>8.6335655762473341E-4</v>
      </c>
      <c r="P1570" s="3">
        <f>1/NOK!B1570</f>
        <v>0.11589096977563508</v>
      </c>
      <c r="Q1570" s="3">
        <f>1/NOK!C1570</f>
        <v>0.11583861364347192</v>
      </c>
      <c r="R1570" s="3">
        <f>NZD!B1570/1</f>
        <v>0.6673</v>
      </c>
      <c r="S1570" s="3">
        <f>NZD!C1570/1</f>
        <v>0.66579999999999995</v>
      </c>
      <c r="T1570" s="4">
        <f>1/PHP!B1570</f>
        <v>2.1185991822207158E-2</v>
      </c>
      <c r="U1570" s="4">
        <f>1/PHP!C1570</f>
        <v>2.1138967572823745E-2</v>
      </c>
      <c r="V1570" s="4">
        <f>1/TWD!B1570</f>
        <v>3.0540878966496654E-2</v>
      </c>
      <c r="W1570" s="4">
        <f>1/TWD!C1570</f>
        <v>3.0540878966496654E-2</v>
      </c>
      <c r="X1570" s="4">
        <f>1/TWD!B1570</f>
        <v>3.0540878966496654E-2</v>
      </c>
      <c r="Y1570" s="4">
        <f>1/TWD!C1570</f>
        <v>3.0540878966496654E-2</v>
      </c>
      <c r="Z1570" s="4">
        <f>1/ZAR!B1570</f>
        <v>6.9187872749664439E-2</v>
      </c>
      <c r="AA1570" s="4">
        <f>1/ZAR!C1570</f>
        <v>6.8780048283593895E-2</v>
      </c>
    </row>
    <row r="1571" spans="1:27" x14ac:dyDescent="0.25">
      <c r="A1571" t="str">
        <f>"02/12/2015"</f>
        <v>02/12/2015</v>
      </c>
      <c r="B1571" s="3">
        <f>AUD!B1571</f>
        <v>0.73070000000000002</v>
      </c>
      <c r="C1571" s="3">
        <f>AUD!C1571</f>
        <v>0.72950000000000004</v>
      </c>
      <c r="D1571" s="3">
        <f>1/CAD!B1571</f>
        <v>0.74940047961630696</v>
      </c>
      <c r="E1571" s="3">
        <f>1/CAD!C1571</f>
        <v>0.74940047961630696</v>
      </c>
      <c r="F1571" s="3">
        <f>EUR!B1571/1</f>
        <v>1.0613999999999999</v>
      </c>
      <c r="G1571" s="3">
        <f>EUR!C1571/1</f>
        <v>1.0625</v>
      </c>
      <c r="H1571" s="3">
        <f>GBP!B1571/1</f>
        <v>1.4951000000000001</v>
      </c>
      <c r="I1571" s="3">
        <f>GBP!C1571/1</f>
        <v>1.4954000000000001</v>
      </c>
      <c r="J1571" s="4">
        <f>1/INR!B1571</f>
        <v>1.5012760846719712E-2</v>
      </c>
      <c r="K1571" s="4">
        <f>1/INR!C1571</f>
        <v>1.4931501735787077E-2</v>
      </c>
      <c r="L1571" s="4">
        <f>1/JPY!B1571</f>
        <v>8.1135902636916835E-3</v>
      </c>
      <c r="M1571" s="4">
        <f>1/JPY!C1571</f>
        <v>8.1242754161863183E-3</v>
      </c>
      <c r="N1571" s="5">
        <f>1/KRW!B1571</f>
        <v>8.5867129204269318E-4</v>
      </c>
      <c r="O1571" s="5">
        <f>1/KRW!C1571</f>
        <v>8.5865654596817829E-4</v>
      </c>
      <c r="P1571" s="3">
        <f>1/NOK!B1571</f>
        <v>0.11546810770865087</v>
      </c>
      <c r="Q1571" s="3">
        <f>1/NOK!C1571</f>
        <v>0.11542279369329855</v>
      </c>
      <c r="R1571" s="3">
        <f>NZD!B1571/1</f>
        <v>0.66349999999999998</v>
      </c>
      <c r="S1571" s="3">
        <f>NZD!C1571/1</f>
        <v>0.66200000000000003</v>
      </c>
      <c r="T1571" s="4">
        <f>1/PHP!B1571</f>
        <v>2.1177467174925878E-2</v>
      </c>
      <c r="U1571" s="4">
        <f>1/PHP!C1571</f>
        <v>2.1131820295000211E-2</v>
      </c>
      <c r="V1571" s="4">
        <f>1/TWD!B1571</f>
        <v>3.0408076385087877E-2</v>
      </c>
      <c r="W1571" s="4">
        <f>1/TWD!C1571</f>
        <v>3.0408076385087877E-2</v>
      </c>
      <c r="X1571" s="4">
        <f>1/TWD!B1571</f>
        <v>3.0408076385087877E-2</v>
      </c>
      <c r="Y1571" s="4">
        <f>1/TWD!C1571</f>
        <v>3.0408076385087877E-2</v>
      </c>
      <c r="Z1571" s="4">
        <f>1/ZAR!B1571</f>
        <v>6.9601531233687147E-2</v>
      </c>
      <c r="AA1571" s="4">
        <f>1/ZAR!C1571</f>
        <v>6.9199842224359723E-2</v>
      </c>
    </row>
    <row r="1572" spans="1:27" x14ac:dyDescent="0.25">
      <c r="A1572" t="str">
        <f>"03/12/2015"</f>
        <v>03/12/2015</v>
      </c>
      <c r="B1572" s="3">
        <f>AUD!B1572</f>
        <v>0.7339</v>
      </c>
      <c r="C1572" s="3">
        <f>AUD!C1572</f>
        <v>0.73270000000000002</v>
      </c>
      <c r="D1572" s="3">
        <f>1/CAD!B1572</f>
        <v>0.74872716382150351</v>
      </c>
      <c r="E1572" s="3">
        <f>1/CAD!C1572</f>
        <v>0.74872716382150351</v>
      </c>
      <c r="F1572" s="3">
        <f>EUR!B1572/1</f>
        <v>1.0939000000000001</v>
      </c>
      <c r="G1572" s="3">
        <f>EUR!C1572/1</f>
        <v>1.095</v>
      </c>
      <c r="H1572" s="3">
        <f>GBP!B1572/1</f>
        <v>1.5143</v>
      </c>
      <c r="I1572" s="3">
        <f>GBP!C1572/1</f>
        <v>1.5145999999999999</v>
      </c>
      <c r="J1572" s="4">
        <f>1/INR!B1572</f>
        <v>1.5000375009375233E-2</v>
      </c>
      <c r="K1572" s="4">
        <f>1/INR!C1572</f>
        <v>1.4919249561747044E-2</v>
      </c>
      <c r="L1572" s="4">
        <f>1/JPY!B1572</f>
        <v>8.1559416034581184E-3</v>
      </c>
      <c r="M1572" s="4">
        <f>1/JPY!C1572</f>
        <v>8.1655383253624071E-3</v>
      </c>
      <c r="N1572" s="5">
        <f>1/KRW!B1572</f>
        <v>8.585533376261E-4</v>
      </c>
      <c r="O1572" s="5">
        <f>1/KRW!C1572</f>
        <v>8.5854228106098645E-4</v>
      </c>
      <c r="P1572" s="3">
        <f>1/NOK!B1572</f>
        <v>0.11771630370806357</v>
      </c>
      <c r="Q1572" s="3">
        <f>1/NOK!C1572</f>
        <v>0.11767197759525545</v>
      </c>
      <c r="R1572" s="3">
        <f>NZD!B1572/1</f>
        <v>0.66849999999999998</v>
      </c>
      <c r="S1572" s="3">
        <f>NZD!C1572/1</f>
        <v>0.66710000000000003</v>
      </c>
      <c r="T1572" s="4">
        <f>1/PHP!B1572</f>
        <v>2.118419658934435E-2</v>
      </c>
      <c r="U1572" s="4">
        <f>1/PHP!C1572</f>
        <v>2.1139861322509723E-2</v>
      </c>
      <c r="V1572" s="4">
        <f>1/TWD!B1572</f>
        <v>3.0484087306426044E-2</v>
      </c>
      <c r="W1572" s="4">
        <f>1/TWD!C1572</f>
        <v>3.0484087306426044E-2</v>
      </c>
      <c r="X1572" s="4">
        <f>1/TWD!B1572</f>
        <v>3.0484087306426044E-2</v>
      </c>
      <c r="Y1572" s="4">
        <f>1/TWD!C1572</f>
        <v>3.0484087306426044E-2</v>
      </c>
      <c r="Z1572" s="4">
        <f>1/ZAR!B1572</f>
        <v>6.9518307646318653E-2</v>
      </c>
      <c r="AA1572" s="4">
        <f>1/ZAR!C1572</f>
        <v>6.912139791115135E-2</v>
      </c>
    </row>
    <row r="1573" spans="1:27" x14ac:dyDescent="0.25">
      <c r="A1573" t="str">
        <f>"04/12/2015"</f>
        <v>04/12/2015</v>
      </c>
      <c r="B1573" s="3">
        <f>AUD!B1573</f>
        <v>0.73299999999999998</v>
      </c>
      <c r="C1573" s="3">
        <f>AUD!C1573</f>
        <v>0.73180000000000001</v>
      </c>
      <c r="D1573" s="3">
        <f>1/CAD!B1573</f>
        <v>0.74833495472573519</v>
      </c>
      <c r="E1573" s="3">
        <f>1/CAD!C1573</f>
        <v>0.74827895839568992</v>
      </c>
      <c r="F1573" s="3">
        <f>EUR!B1573/1</f>
        <v>1.0880000000000001</v>
      </c>
      <c r="G1573" s="3">
        <f>EUR!C1573/1</f>
        <v>1.0889</v>
      </c>
      <c r="H1573" s="3">
        <f>GBP!B1573/1</f>
        <v>1.5111000000000001</v>
      </c>
      <c r="I1573" s="3">
        <f>GBP!C1573/1</f>
        <v>1.5114000000000001</v>
      </c>
      <c r="J1573" s="4">
        <f>1/INR!B1573</f>
        <v>1.4993627708224006E-2</v>
      </c>
      <c r="K1573" s="4">
        <f>1/INR!C1573</f>
        <v>1.4913687036277545E-2</v>
      </c>
      <c r="L1573" s="4">
        <f>1/JPY!B1573</f>
        <v>8.1221572449642621E-3</v>
      </c>
      <c r="M1573" s="4">
        <f>1/JPY!C1573</f>
        <v>8.1300152031284299E-3</v>
      </c>
      <c r="N1573" s="5">
        <f>1/KRW!B1573</f>
        <v>8.6445366528354088E-4</v>
      </c>
      <c r="O1573" s="5">
        <f>1/KRW!C1573</f>
        <v>8.6443984082204767E-4</v>
      </c>
      <c r="P1573" s="3">
        <f>1/NOK!B1573</f>
        <v>0.11646731344848069</v>
      </c>
      <c r="Q1573" s="3">
        <f>1/NOK!C1573</f>
        <v>0.11642121194481636</v>
      </c>
      <c r="R1573" s="3">
        <f>NZD!B1573/1</f>
        <v>0.67369999999999997</v>
      </c>
      <c r="S1573" s="3">
        <f>NZD!C1573/1</f>
        <v>0.67230000000000001</v>
      </c>
      <c r="T1573" s="4">
        <f>1/PHP!B1573</f>
        <v>2.1244954323348206E-2</v>
      </c>
      <c r="U1573" s="4">
        <f>1/PHP!C1573</f>
        <v>2.1199915200339196E-2</v>
      </c>
      <c r="V1573" s="4">
        <f>1/TWD!B1573</f>
        <v>3.0570756014796249E-2</v>
      </c>
      <c r="W1573" s="4">
        <f>1/TWD!C1573</f>
        <v>3.0570756014796249E-2</v>
      </c>
      <c r="X1573" s="4">
        <f>1/TWD!B1573</f>
        <v>3.0570756014796249E-2</v>
      </c>
      <c r="Y1573" s="4">
        <f>1/TWD!C1573</f>
        <v>3.0570756014796249E-2</v>
      </c>
      <c r="Z1573" s="4">
        <f>1/ZAR!B1573</f>
        <v>6.9445891233845147E-2</v>
      </c>
      <c r="AA1573" s="4">
        <f>1/ZAR!C1573</f>
        <v>6.90517128277367E-2</v>
      </c>
    </row>
    <row r="1574" spans="1:27" x14ac:dyDescent="0.25">
      <c r="A1574" t="str">
        <f>"07/12/2015"</f>
        <v>07/12/2015</v>
      </c>
      <c r="B1574" s="3">
        <f>AUD!B1574</f>
        <v>0.72660000000000002</v>
      </c>
      <c r="C1574" s="3">
        <f>AUD!C1574</f>
        <v>0.72540000000000004</v>
      </c>
      <c r="D1574" s="3">
        <f>1/CAD!B1574</f>
        <v>0.74079561448996212</v>
      </c>
      <c r="E1574" s="3">
        <f>1/CAD!C1574</f>
        <v>0.7407407407407407</v>
      </c>
      <c r="F1574" s="3">
        <f>EUR!B1574/1</f>
        <v>1.0837000000000001</v>
      </c>
      <c r="G1574" s="3">
        <f>EUR!C1574/1</f>
        <v>1.0847</v>
      </c>
      <c r="H1574" s="3">
        <f>GBP!B1574/1</f>
        <v>1.5055000000000001</v>
      </c>
      <c r="I1574" s="3">
        <f>GBP!C1574/1</f>
        <v>1.5057</v>
      </c>
      <c r="J1574" s="4">
        <f>1/INR!B1574</f>
        <v>1.4983518130056939E-2</v>
      </c>
      <c r="K1574" s="4">
        <f>1/INR!C1574</f>
        <v>1.4898134008715407E-2</v>
      </c>
      <c r="L1574" s="4">
        <f>1/JPY!B1574</f>
        <v>8.1050413357108119E-3</v>
      </c>
      <c r="M1574" s="4">
        <f>1/JPY!C1574</f>
        <v>8.1135244338788326E-3</v>
      </c>
      <c r="N1574" s="5">
        <f>1/KRW!B1574</f>
        <v>8.559811684142949E-4</v>
      </c>
      <c r="O1574" s="5">
        <f>1/KRW!C1574</f>
        <v>8.5596761360937155E-4</v>
      </c>
      <c r="P1574" s="3">
        <f>1/NOK!B1574</f>
        <v>0.11536021226279057</v>
      </c>
      <c r="Q1574" s="3">
        <f>1/NOK!C1574</f>
        <v>0.11531365313653136</v>
      </c>
      <c r="R1574" s="3">
        <f>NZD!B1574/1</f>
        <v>0.66420000000000001</v>
      </c>
      <c r="S1574" s="3">
        <f>NZD!C1574/1</f>
        <v>0.66269999999999996</v>
      </c>
      <c r="T1574" s="4">
        <f>1/PHP!B1574</f>
        <v>2.1213856891321409E-2</v>
      </c>
      <c r="U1574" s="4">
        <f>1/PHP!C1574</f>
        <v>2.116984567182505E-2</v>
      </c>
      <c r="V1574" s="4">
        <f>1/TWD!B1574</f>
        <v>3.0528758090120893E-2</v>
      </c>
      <c r="W1574" s="4">
        <f>1/TWD!C1574</f>
        <v>3.0528758090120893E-2</v>
      </c>
      <c r="X1574" s="4">
        <f>1/TWD!B1574</f>
        <v>3.0528758090120893E-2</v>
      </c>
      <c r="Y1574" s="4">
        <f>1/TWD!C1574</f>
        <v>3.0528758090120893E-2</v>
      </c>
      <c r="Z1574" s="4">
        <f>1/ZAR!B1574</f>
        <v>6.8594162636759617E-2</v>
      </c>
      <c r="AA1574" s="4">
        <f>1/ZAR!C1574</f>
        <v>6.8213289313023964E-2</v>
      </c>
    </row>
    <row r="1575" spans="1:27" x14ac:dyDescent="0.25">
      <c r="A1575" t="str">
        <f>"08/12/2015"</f>
        <v>08/12/2015</v>
      </c>
      <c r="B1575" s="3">
        <f>AUD!B1575</f>
        <v>0.72140000000000004</v>
      </c>
      <c r="C1575" s="3">
        <f>AUD!C1575</f>
        <v>0.72019999999999995</v>
      </c>
      <c r="D1575" s="3">
        <f>1/CAD!B1575</f>
        <v>0.73605181804799058</v>
      </c>
      <c r="E1575" s="3">
        <f>1/CAD!C1575</f>
        <v>0.73605181804799058</v>
      </c>
      <c r="F1575" s="3">
        <f>EUR!B1575/1</f>
        <v>1.0891999999999999</v>
      </c>
      <c r="G1575" s="3">
        <f>EUR!C1575/1</f>
        <v>1.0902000000000001</v>
      </c>
      <c r="H1575" s="3">
        <f>GBP!B1575/1</f>
        <v>1.5007999999999999</v>
      </c>
      <c r="I1575" s="3">
        <f>GBP!C1575/1</f>
        <v>1.5009999999999999</v>
      </c>
      <c r="J1575" s="4">
        <f>1/INR!B1575</f>
        <v>1.4959982048021543E-2</v>
      </c>
      <c r="K1575" s="4">
        <f>1/INR!C1575</f>
        <v>1.4878184861446903E-2</v>
      </c>
      <c r="L1575" s="4">
        <f>1/JPY!B1575</f>
        <v>8.1340491296567428E-3</v>
      </c>
      <c r="M1575" s="4">
        <f>1/JPY!C1575</f>
        <v>8.1426593925576097E-3</v>
      </c>
      <c r="N1575" s="5">
        <f>1/KRW!B1575</f>
        <v>8.4839229659794684E-4</v>
      </c>
      <c r="O1575" s="5">
        <f>1/KRW!C1575</f>
        <v>8.4838221994478727E-4</v>
      </c>
      <c r="P1575" s="3">
        <f>1/NOK!B1575</f>
        <v>0.11345844017336448</v>
      </c>
      <c r="Q1575" s="3">
        <f>1/NOK!C1575</f>
        <v>0.11341597577434757</v>
      </c>
      <c r="R1575" s="3">
        <f>NZD!B1575/1</f>
        <v>0.66410000000000002</v>
      </c>
      <c r="S1575" s="3">
        <f>NZD!C1575/1</f>
        <v>0.66269999999999996</v>
      </c>
      <c r="T1575" s="4">
        <f>1/PHP!B1575</f>
        <v>2.119946577346251E-2</v>
      </c>
      <c r="U1575" s="4">
        <f>1/PHP!C1575</f>
        <v>2.115238175818597E-2</v>
      </c>
      <c r="V1575" s="4">
        <f>1/TWD!B1575</f>
        <v>3.0467369447321917E-2</v>
      </c>
      <c r="W1575" s="4">
        <f>1/TWD!C1575</f>
        <v>3.0467369447321917E-2</v>
      </c>
      <c r="X1575" s="4">
        <f>1/TWD!B1575</f>
        <v>3.0467369447321917E-2</v>
      </c>
      <c r="Y1575" s="4">
        <f>1/TWD!C1575</f>
        <v>3.0467369447321917E-2</v>
      </c>
      <c r="Z1575" s="4">
        <f>1/ZAR!B1575</f>
        <v>6.8442053535374275E-2</v>
      </c>
      <c r="AA1575" s="4">
        <f>1/ZAR!C1575</f>
        <v>6.803230173686467E-2</v>
      </c>
    </row>
    <row r="1576" spans="1:27" x14ac:dyDescent="0.25">
      <c r="A1576" t="str">
        <f>"09/12/2015"</f>
        <v>09/12/2015</v>
      </c>
      <c r="B1576" s="3">
        <f>AUD!B1576</f>
        <v>0.7228</v>
      </c>
      <c r="C1576" s="3">
        <f>AUD!C1576</f>
        <v>0.72170000000000001</v>
      </c>
      <c r="D1576" s="3">
        <f>1/CAD!B1576</f>
        <v>0.73637702503681879</v>
      </c>
      <c r="E1576" s="3">
        <f>1/CAD!C1576</f>
        <v>0.73637702503681879</v>
      </c>
      <c r="F1576" s="3">
        <f>EUR!B1576/1</f>
        <v>1.1024</v>
      </c>
      <c r="G1576" s="3">
        <f>EUR!C1576/1</f>
        <v>1.1033999999999999</v>
      </c>
      <c r="H1576" s="3">
        <f>GBP!B1576/1</f>
        <v>1.518</v>
      </c>
      <c r="I1576" s="3">
        <f>GBP!C1576/1</f>
        <v>1.5182</v>
      </c>
      <c r="J1576" s="4">
        <f>1/INR!B1576</f>
        <v>1.4959982048021543E-2</v>
      </c>
      <c r="K1576" s="4">
        <f>1/INR!C1576</f>
        <v>1.4879845249609405E-2</v>
      </c>
      <c r="L1576" s="4">
        <f>1/JPY!B1576</f>
        <v>8.2338410868670227E-3</v>
      </c>
      <c r="M1576" s="4">
        <f>1/JPY!C1576</f>
        <v>8.2423922719330068E-3</v>
      </c>
      <c r="N1576" s="5">
        <f>1/KRW!B1576</f>
        <v>8.4786719008334531E-4</v>
      </c>
      <c r="O1576" s="5">
        <f>1/KRW!C1576</f>
        <v>8.4785820419393048E-4</v>
      </c>
      <c r="P1576" s="3">
        <f>1/NOK!B1576</f>
        <v>0.1152166649384167</v>
      </c>
      <c r="Q1576" s="3">
        <f>1/NOK!C1576</f>
        <v>0.11517685405940822</v>
      </c>
      <c r="R1576" s="3">
        <f>NZD!B1576/1</f>
        <v>0.67169999999999996</v>
      </c>
      <c r="S1576" s="3">
        <f>NZD!C1576/1</f>
        <v>0.67030000000000001</v>
      </c>
      <c r="T1576" s="4">
        <f>1/PHP!B1576</f>
        <v>2.1123785382340513E-2</v>
      </c>
      <c r="U1576" s="4">
        <f>1/PHP!C1576</f>
        <v>2.1081035500463783E-2</v>
      </c>
      <c r="V1576" s="4">
        <f>1/TWD!B1576</f>
        <v>3.0416400523162086E-2</v>
      </c>
      <c r="W1576" s="4">
        <f>1/TWD!C1576</f>
        <v>3.0416400523162086E-2</v>
      </c>
      <c r="X1576" s="4">
        <f>1/TWD!B1576</f>
        <v>3.0416400523162086E-2</v>
      </c>
      <c r="Y1576" s="4">
        <f>1/TWD!C1576</f>
        <v>3.0416400523162086E-2</v>
      </c>
      <c r="Z1576" s="4">
        <f>1/ZAR!B1576</f>
        <v>6.6666666666666666E-2</v>
      </c>
      <c r="AA1576" s="4">
        <f>1/ZAR!C1576</f>
        <v>6.6286183970674997E-2</v>
      </c>
    </row>
    <row r="1577" spans="1:27" x14ac:dyDescent="0.25">
      <c r="A1577" t="str">
        <f>"10/12/2015"</f>
        <v>10/12/2015</v>
      </c>
      <c r="B1577" s="3">
        <f>AUD!B1577</f>
        <v>0.72799999999999998</v>
      </c>
      <c r="C1577" s="3">
        <f>AUD!C1577</f>
        <v>0.72689999999999999</v>
      </c>
      <c r="D1577" s="3">
        <f>1/CAD!B1577</f>
        <v>0.7339449541284403</v>
      </c>
      <c r="E1577" s="3">
        <f>1/CAD!C1577</f>
        <v>0.7339449541284403</v>
      </c>
      <c r="F1577" s="3">
        <f>EUR!B1577/1</f>
        <v>1.0941000000000001</v>
      </c>
      <c r="G1577" s="3">
        <f>EUR!C1577/1</f>
        <v>1.0951</v>
      </c>
      <c r="H1577" s="3">
        <f>GBP!B1577/1</f>
        <v>1.516</v>
      </c>
      <c r="I1577" s="3">
        <f>GBP!C1577/1</f>
        <v>1.5162</v>
      </c>
      <c r="J1577" s="4">
        <f>1/INR!B1577</f>
        <v>1.4986886474334958E-2</v>
      </c>
      <c r="K1577" s="4">
        <f>1/INR!C1577</f>
        <v>1.4907017478477995E-2</v>
      </c>
      <c r="L1577" s="4">
        <f>1/JPY!B1577</f>
        <v>8.2263902599539317E-3</v>
      </c>
      <c r="M1577" s="4">
        <f>1/JPY!C1577</f>
        <v>8.23533965423103E-3</v>
      </c>
      <c r="N1577" s="5">
        <f>1/KRW!B1577</f>
        <v>8.4620266553839642E-4</v>
      </c>
      <c r="O1577" s="5">
        <f>1/KRW!C1577</f>
        <v>8.4619264083184132E-4</v>
      </c>
      <c r="P1577" s="3">
        <f>1/NOK!B1577</f>
        <v>0.11556685542586385</v>
      </c>
      <c r="Q1577" s="3">
        <f>1/NOK!C1577</f>
        <v>0.11553080628949711</v>
      </c>
      <c r="R1577" s="3">
        <f>NZD!B1577/1</f>
        <v>0.67520000000000002</v>
      </c>
      <c r="S1577" s="3">
        <f>NZD!C1577/1</f>
        <v>0.67390000000000005</v>
      </c>
      <c r="T1577" s="4">
        <f>1/PHP!B1577</f>
        <v>2.1148355715343133E-2</v>
      </c>
      <c r="U1577" s="4">
        <f>1/PHP!C1577</f>
        <v>2.1107733873691321E-2</v>
      </c>
      <c r="V1577" s="4">
        <f>1/TWD!B1577</f>
        <v>3.0433062479077268E-2</v>
      </c>
      <c r="W1577" s="4">
        <f>1/TWD!C1577</f>
        <v>3.0433062479077268E-2</v>
      </c>
      <c r="X1577" s="4">
        <f>1/TWD!B1577</f>
        <v>3.0433062479077268E-2</v>
      </c>
      <c r="Y1577" s="4">
        <f>1/TWD!C1577</f>
        <v>3.0433062479077268E-2</v>
      </c>
      <c r="Z1577" s="4">
        <f>1/ZAR!B1577</f>
        <v>6.4573620384600489E-2</v>
      </c>
      <c r="AA1577" s="4">
        <f>1/ZAR!C1577</f>
        <v>6.4214115546879516E-2</v>
      </c>
    </row>
    <row r="1578" spans="1:27" x14ac:dyDescent="0.25">
      <c r="A1578" t="str">
        <f>"11/12/2015"</f>
        <v>11/12/2015</v>
      </c>
      <c r="B1578" s="3">
        <f>AUD!B1578</f>
        <v>0.71830000000000005</v>
      </c>
      <c r="C1578" s="3">
        <f>AUD!C1578</f>
        <v>0.71719999999999995</v>
      </c>
      <c r="D1578" s="3">
        <f>1/CAD!B1578</f>
        <v>0.72695551032276828</v>
      </c>
      <c r="E1578" s="3">
        <f>1/CAD!C1578</f>
        <v>0.72695551032276828</v>
      </c>
      <c r="F1578" s="3">
        <f>EUR!B1578/1</f>
        <v>1.0986</v>
      </c>
      <c r="G1578" s="3">
        <f>EUR!C1578/1</f>
        <v>1.0996999999999999</v>
      </c>
      <c r="H1578" s="3">
        <f>GBP!B1578/1</f>
        <v>1.5212000000000001</v>
      </c>
      <c r="I1578" s="3">
        <f>GBP!C1578/1</f>
        <v>1.5214000000000001</v>
      </c>
      <c r="J1578" s="4">
        <f>1/INR!B1578</f>
        <v>1.4947683109118086E-2</v>
      </c>
      <c r="K1578" s="4">
        <f>1/INR!C1578</f>
        <v>1.4867677668748141E-2</v>
      </c>
      <c r="L1578" s="4">
        <f>1/JPY!B1578</f>
        <v>8.2637798529047179E-3</v>
      </c>
      <c r="M1578" s="4">
        <f>1/JPY!C1578</f>
        <v>8.272886112140625E-3</v>
      </c>
      <c r="N1578" s="5">
        <f>1/KRW!B1578</f>
        <v>8.4767313723828092E-4</v>
      </c>
      <c r="O1578" s="5">
        <f>1/KRW!C1578</f>
        <v>8.4766307766119585E-4</v>
      </c>
      <c r="P1578" s="3">
        <f>1/NOK!B1578</f>
        <v>0.11463945890175398</v>
      </c>
      <c r="Q1578" s="3">
        <f>1/NOK!C1578</f>
        <v>0.1146026725343235</v>
      </c>
      <c r="R1578" s="3">
        <f>NZD!B1578/1</f>
        <v>0.66949999999999998</v>
      </c>
      <c r="S1578" s="3">
        <f>NZD!C1578/1</f>
        <v>0.66820000000000002</v>
      </c>
      <c r="T1578" s="4">
        <f>1/PHP!B1578</f>
        <v>2.1123785382340513E-2</v>
      </c>
      <c r="U1578" s="4">
        <f>1/PHP!C1578</f>
        <v>2.1083480039215272E-2</v>
      </c>
      <c r="V1578" s="4">
        <f>1/TWD!B1578</f>
        <v>3.0448815541075452E-2</v>
      </c>
      <c r="W1578" s="4">
        <f>1/TWD!C1578</f>
        <v>3.0448908254394537E-2</v>
      </c>
      <c r="X1578" s="4">
        <f>1/TWD!B1578</f>
        <v>3.0448815541075452E-2</v>
      </c>
      <c r="Y1578" s="4">
        <f>1/TWD!C1578</f>
        <v>3.0448908254394537E-2</v>
      </c>
      <c r="Z1578" s="4">
        <f>1/ZAR!B1578</f>
        <v>6.2706146456475667E-2</v>
      </c>
      <c r="AA1578" s="4">
        <f>1/ZAR!C1578</f>
        <v>6.2331704398125069E-2</v>
      </c>
    </row>
    <row r="1579" spans="1:27" x14ac:dyDescent="0.25">
      <c r="A1579" t="str">
        <f>"14/12/2015"</f>
        <v>14/12/2015</v>
      </c>
      <c r="B1579" s="3">
        <f>AUD!B1579</f>
        <v>0.72409999999999997</v>
      </c>
      <c r="C1579" s="3">
        <f>AUD!C1579</f>
        <v>0.72289999999999999</v>
      </c>
      <c r="D1579" s="3">
        <f>1/CAD!B1579</f>
        <v>0.72811999417504003</v>
      </c>
      <c r="E1579" s="3">
        <f>1/CAD!C1579</f>
        <v>0.72811999417504003</v>
      </c>
      <c r="F1579" s="3">
        <f>EUR!B1579/1</f>
        <v>1.0992</v>
      </c>
      <c r="G1579" s="3">
        <f>EUR!C1579/1</f>
        <v>1.1004</v>
      </c>
      <c r="H1579" s="3">
        <f>GBP!B1579/1</f>
        <v>1.5142</v>
      </c>
      <c r="I1579" s="3">
        <f>GBP!C1579/1</f>
        <v>1.5143</v>
      </c>
      <c r="J1579" s="4">
        <f>1/INR!B1579</f>
        <v>1.4901464068844763E-2</v>
      </c>
      <c r="K1579" s="4">
        <f>1/INR!C1579</f>
        <v>1.4813168907158466E-2</v>
      </c>
      <c r="L1579" s="4">
        <f>1/JPY!B1579</f>
        <v>8.261731658955716E-3</v>
      </c>
      <c r="M1579" s="4">
        <f>1/JPY!C1579</f>
        <v>8.2728039841823992E-3</v>
      </c>
      <c r="N1579" s="5">
        <f>1/KRW!B1579</f>
        <v>8.4393170904610397E-4</v>
      </c>
      <c r="O1579" s="5">
        <f>1/KRW!C1579</f>
        <v>8.4392102587039911E-4</v>
      </c>
      <c r="P1579" s="3">
        <f>1/NOK!B1579</f>
        <v>0.11525384659713017</v>
      </c>
      <c r="Q1579" s="3">
        <f>1/NOK!C1579</f>
        <v>0.1152166649384167</v>
      </c>
      <c r="R1579" s="3">
        <f>NZD!B1579/1</f>
        <v>0.6754</v>
      </c>
      <c r="S1579" s="3">
        <f>NZD!C1579/1</f>
        <v>0.67390000000000005</v>
      </c>
      <c r="T1579" s="4">
        <f>1/PHP!B1579</f>
        <v>2.10690432547458E-2</v>
      </c>
      <c r="U1579" s="4">
        <f>1/PHP!C1579</f>
        <v>2.1027619778579164E-2</v>
      </c>
      <c r="V1579" s="4">
        <f>1/TWD!B1579</f>
        <v>3.0480370641306997E-2</v>
      </c>
      <c r="W1579" s="4">
        <f>1/TWD!C1579</f>
        <v>3.0480463546889623E-2</v>
      </c>
      <c r="X1579" s="4">
        <f>1/TWD!B1579</f>
        <v>3.0480370641306997E-2</v>
      </c>
      <c r="Y1579" s="4">
        <f>1/TWD!C1579</f>
        <v>3.0480463546889623E-2</v>
      </c>
      <c r="Z1579" s="4">
        <f>1/ZAR!B1579</f>
        <v>6.6091669145104268E-2</v>
      </c>
      <c r="AA1579" s="4">
        <f>1/ZAR!C1579</f>
        <v>6.6091669145104268E-2</v>
      </c>
    </row>
    <row r="1580" spans="1:27" x14ac:dyDescent="0.25">
      <c r="A1580" t="str">
        <f>"15/12/2015"</f>
        <v>15/12/2015</v>
      </c>
      <c r="B1580" s="3">
        <f>AUD!B1580</f>
        <v>0.71909999999999996</v>
      </c>
      <c r="C1580" s="3">
        <f>AUD!C1580</f>
        <v>0.71789999999999998</v>
      </c>
      <c r="D1580" s="3">
        <f>1/CAD!B1580</f>
        <v>0.72811999417504003</v>
      </c>
      <c r="E1580" s="3">
        <f>1/CAD!C1580</f>
        <v>0.72811999417504003</v>
      </c>
      <c r="F1580" s="3">
        <f>EUR!B1580/1</f>
        <v>1.0929</v>
      </c>
      <c r="G1580" s="3">
        <f>EUR!C1580/1</f>
        <v>1.0941000000000001</v>
      </c>
      <c r="H1580" s="3">
        <f>GBP!B1580/1</f>
        <v>1.5038</v>
      </c>
      <c r="I1580" s="3">
        <f>GBP!C1580/1</f>
        <v>1.504</v>
      </c>
      <c r="J1580" s="4">
        <f>1/INR!B1580</f>
        <v>1.4939309056956116E-2</v>
      </c>
      <c r="K1580" s="4">
        <f>1/INR!C1580</f>
        <v>1.4851668956298966E-2</v>
      </c>
      <c r="L1580" s="4">
        <f>1/JPY!B1580</f>
        <v>8.2182774490466796E-3</v>
      </c>
      <c r="M1580" s="4">
        <f>1/JPY!C1580</f>
        <v>8.2293012500308602E-3</v>
      </c>
      <c r="N1580" s="5">
        <f>1/KRW!B1580</f>
        <v>8.4479437704862632E-4</v>
      </c>
      <c r="O1580" s="5">
        <f>1/KRW!C1580</f>
        <v>8.4478438568124259E-4</v>
      </c>
      <c r="P1580" s="3">
        <f>1/NOK!B1580</f>
        <v>0.11479738261967627</v>
      </c>
      <c r="Q1580" s="3">
        <f>1/NOK!C1580</f>
        <v>0.11476444597463706</v>
      </c>
      <c r="R1580" s="3">
        <f>NZD!B1580/1</f>
        <v>0.67620000000000002</v>
      </c>
      <c r="S1580" s="3">
        <f>NZD!C1580/1</f>
        <v>0.67479999999999996</v>
      </c>
      <c r="T1580" s="4">
        <f>1/PHP!B1580</f>
        <v>2.1107288346666104E-2</v>
      </c>
      <c r="U1580" s="4">
        <f>1/PHP!C1580</f>
        <v>2.106061244260983E-2</v>
      </c>
      <c r="V1580" s="4">
        <f>1/TWD!B1580</f>
        <v>3.055300947143294E-2</v>
      </c>
      <c r="W1580" s="4">
        <f>1/TWD!C1580</f>
        <v>3.055310282035692E-2</v>
      </c>
      <c r="X1580" s="4">
        <f>1/TWD!B1580</f>
        <v>3.055300947143294E-2</v>
      </c>
      <c r="Y1580" s="4">
        <f>1/TWD!C1580</f>
        <v>3.055310282035692E-2</v>
      </c>
      <c r="Z1580" s="4">
        <f>1/ZAR!B1580</f>
        <v>6.6874423208099831E-2</v>
      </c>
      <c r="AA1580" s="4">
        <f>1/ZAR!C1580</f>
        <v>6.6450481101483175E-2</v>
      </c>
    </row>
    <row r="1581" spans="1:27" x14ac:dyDescent="0.25">
      <c r="A1581" t="str">
        <f>"16/12/2015"</f>
        <v>16/12/2015</v>
      </c>
      <c r="B1581" s="3">
        <f>AUD!B1581</f>
        <v>0.72319999999999995</v>
      </c>
      <c r="C1581" s="3">
        <f>AUD!C1581</f>
        <v>0.72199999999999998</v>
      </c>
      <c r="D1581" s="3">
        <f>1/CAD!B1581</f>
        <v>0.72568940493468803</v>
      </c>
      <c r="E1581" s="3">
        <f>1/CAD!C1581</f>
        <v>0.72568940493468803</v>
      </c>
      <c r="F1581" s="3">
        <f>EUR!B1581/1</f>
        <v>1.0911999999999999</v>
      </c>
      <c r="G1581" s="3">
        <f>EUR!C1581/1</f>
        <v>1.0925</v>
      </c>
      <c r="H1581" s="3">
        <f>GBP!B1581/1</f>
        <v>1.5003</v>
      </c>
      <c r="I1581" s="3">
        <f>GBP!C1581/1</f>
        <v>1.5004999999999999</v>
      </c>
      <c r="J1581" s="4">
        <f>1/INR!B1581</f>
        <v>1.4985202112913498E-2</v>
      </c>
      <c r="K1581" s="4">
        <f>1/INR!C1581</f>
        <v>1.4900353883404731E-2</v>
      </c>
      <c r="L1581" s="4">
        <f>1/JPY!B1581</f>
        <v>8.1819669448535432E-3</v>
      </c>
      <c r="M1581" s="4">
        <f>1/JPY!C1581</f>
        <v>8.1924639162926811E-3</v>
      </c>
      <c r="N1581" s="5">
        <f>1/KRW!B1581</f>
        <v>8.5005100306018351E-4</v>
      </c>
      <c r="O1581" s="5">
        <f>1/KRW!C1581</f>
        <v>8.5004016439776779E-4</v>
      </c>
      <c r="P1581" s="3">
        <f>1/NOK!B1581</f>
        <v>0.11391857100544531</v>
      </c>
      <c r="Q1581" s="3">
        <f>1/NOK!C1581</f>
        <v>0.11389002778916678</v>
      </c>
      <c r="R1581" s="3">
        <f>NZD!B1581/1</f>
        <v>0.67920000000000003</v>
      </c>
      <c r="S1581" s="3">
        <f>NZD!C1581/1</f>
        <v>0.67779999999999996</v>
      </c>
      <c r="T1581" s="4">
        <f>1/PHP!B1581</f>
        <v>2.1113527437028906E-2</v>
      </c>
      <c r="U1581" s="4">
        <f>1/PHP!C1581</f>
        <v>2.10690432547458E-2</v>
      </c>
      <c r="V1581" s="4">
        <f>1/TWD!B1581</f>
        <v>3.0372057706909646E-2</v>
      </c>
      <c r="W1581" s="4">
        <f>1/TWD!C1581</f>
        <v>3.0372149953378749E-2</v>
      </c>
      <c r="X1581" s="4">
        <f>1/TWD!B1581</f>
        <v>3.0372057706909646E-2</v>
      </c>
      <c r="Y1581" s="4">
        <f>1/TWD!C1581</f>
        <v>3.0372149953378749E-2</v>
      </c>
      <c r="Z1581" s="4">
        <f>1/ZAR!B1581</f>
        <v>6.6827944773386438E-2</v>
      </c>
      <c r="AA1581" s="4">
        <f>1/ZAR!C1581</f>
        <v>6.6424438879552558E-2</v>
      </c>
    </row>
    <row r="1582" spans="1:27" x14ac:dyDescent="0.25">
      <c r="A1582" t="str">
        <f>"17/12/2015"</f>
        <v>17/12/2015</v>
      </c>
      <c r="B1582" s="3">
        <f>AUD!B1582</f>
        <v>0.71279999999999999</v>
      </c>
      <c r="C1582" s="3">
        <f>AUD!C1582</f>
        <v>0.70640000000000003</v>
      </c>
      <c r="D1582" s="3">
        <f>1/CAD!B1582</f>
        <v>0.7175145296692258</v>
      </c>
      <c r="E1582" s="3">
        <f>1/CAD!C1582</f>
        <v>0.71027771858796795</v>
      </c>
      <c r="F1582" s="3">
        <f>EUR!B1582/1</f>
        <v>1.0826</v>
      </c>
      <c r="G1582" s="3">
        <f>EUR!C1582/1</f>
        <v>1.0813999999999999</v>
      </c>
      <c r="H1582" s="3">
        <f>GBP!B1582/1</f>
        <v>1.4901</v>
      </c>
      <c r="I1582" s="3">
        <f>GBP!C1582/1</f>
        <v>1.4851000000000001</v>
      </c>
      <c r="J1582" s="4">
        <f>1/INR!B1582</f>
        <v>1.5054572826496049E-2</v>
      </c>
      <c r="K1582" s="4">
        <f>1/INR!C1582</f>
        <v>1.5021781583295781E-2</v>
      </c>
      <c r="L1582" s="4">
        <f>1/JPY!B1582</f>
        <v>8.1592689295039156E-3</v>
      </c>
      <c r="M1582" s="4">
        <f>1/JPY!C1582</f>
        <v>8.1635918497964411E-3</v>
      </c>
      <c r="N1582" s="5">
        <f>1/KRW!B1582</f>
        <v>8.4724222655257141E-4</v>
      </c>
      <c r="O1582" s="5">
        <f>1/KRW!C1582</f>
        <v>8.4780177716208536E-4</v>
      </c>
      <c r="P1582" s="3">
        <f>1/NOK!B1582</f>
        <v>0.11398479442842326</v>
      </c>
      <c r="Q1582" s="3">
        <f>1/NOK!C1582</f>
        <v>0.11455541045203566</v>
      </c>
      <c r="R1582" s="3">
        <f>NZD!B1582/1</f>
        <v>0.66959999999999997</v>
      </c>
      <c r="S1582" s="3">
        <f>NZD!C1582/1</f>
        <v>0.66479999999999995</v>
      </c>
      <c r="T1582" s="4">
        <f>1/PHP!B1582</f>
        <v>2.1053518042864965E-2</v>
      </c>
      <c r="U1582" s="4">
        <f>1/PHP!C1582</f>
        <v>2.0990984372212137E-2</v>
      </c>
      <c r="V1582" s="4">
        <f>1/TWD!B1582</f>
        <v>3.0454379339749059E-2</v>
      </c>
      <c r="W1582" s="4">
        <f>1/TWD!C1582</f>
        <v>3.0478698437661916E-2</v>
      </c>
      <c r="X1582" s="4">
        <f>1/TWD!B1582</f>
        <v>3.0454379339749059E-2</v>
      </c>
      <c r="Y1582" s="4">
        <f>1/TWD!C1582</f>
        <v>3.0478698437661916E-2</v>
      </c>
      <c r="Z1582" s="4">
        <f>1/ZAR!B1582</f>
        <v>6.5563882168590965E-2</v>
      </c>
      <c r="AA1582" s="4">
        <f>1/ZAR!C1582</f>
        <v>6.4228138347410008E-2</v>
      </c>
    </row>
    <row r="1583" spans="1:27" x14ac:dyDescent="0.25">
      <c r="A1583" t="str">
        <f>"18/12/2015"</f>
        <v>18/12/2015</v>
      </c>
      <c r="B1583" s="3">
        <f>AUD!B1583</f>
        <v>0.71660000000000001</v>
      </c>
      <c r="C1583" s="3">
        <f>AUD!C1583</f>
        <v>0.72</v>
      </c>
      <c r="D1583" s="3">
        <f>1/CAD!B1583</f>
        <v>0.71643501934374554</v>
      </c>
      <c r="E1583" s="3">
        <f>1/CAD!C1583</f>
        <v>0.71638369510709943</v>
      </c>
      <c r="F1583" s="3">
        <f>EUR!B1583/1</f>
        <v>1.0867</v>
      </c>
      <c r="G1583" s="3">
        <f>EUR!C1583/1</f>
        <v>1.0907</v>
      </c>
      <c r="H1583" s="3">
        <f>GBP!B1583/1</f>
        <v>1.4894000000000001</v>
      </c>
      <c r="I1583" s="3">
        <f>GBP!C1583/1</f>
        <v>1.4869000000000001</v>
      </c>
      <c r="J1583" s="4">
        <f>1/INR!B1583</f>
        <v>1.5058540074539774E-2</v>
      </c>
      <c r="K1583" s="4">
        <f>1/INR!C1583</f>
        <v>1.4978468451600823E-2</v>
      </c>
      <c r="L1583" s="4">
        <f>1/JPY!B1583</f>
        <v>8.253549026081216E-3</v>
      </c>
      <c r="M1583" s="4">
        <f>1/JPY!C1583</f>
        <v>8.2619159548337571E-3</v>
      </c>
      <c r="N1583" s="5">
        <f>1/KRW!B1583</f>
        <v>8.4507994456275569E-4</v>
      </c>
      <c r="O1583" s="5">
        <f>1/KRW!C1583</f>
        <v>8.450695893680105E-4</v>
      </c>
      <c r="P1583" s="3">
        <f>1/NOK!B1583</f>
        <v>0.11401988506795585</v>
      </c>
      <c r="Q1583" s="3">
        <f>1/NOK!C1583</f>
        <v>0.11428832659032206</v>
      </c>
      <c r="R1583" s="3">
        <f>NZD!B1583/1</f>
        <v>0.67190000000000005</v>
      </c>
      <c r="S1583" s="3">
        <f>NZD!C1583/1</f>
        <v>0.67220000000000002</v>
      </c>
      <c r="T1583" s="4">
        <f>1/PHP!B1583</f>
        <v>2.1105060993626273E-2</v>
      </c>
      <c r="U1583" s="4">
        <f>1/PHP!C1583</f>
        <v>2.1065048870913379E-2</v>
      </c>
      <c r="V1583" s="4">
        <f>1/TWD!B1583</f>
        <v>3.030486696163404E-2</v>
      </c>
      <c r="W1583" s="4">
        <f>1/TWD!C1583</f>
        <v>3.0305050639739622E-2</v>
      </c>
      <c r="X1583" s="4">
        <f>1/TWD!B1583</f>
        <v>3.030486696163404E-2</v>
      </c>
      <c r="Y1583" s="4">
        <f>1/TWD!C1583</f>
        <v>3.0305050639739622E-2</v>
      </c>
      <c r="Z1583" s="4">
        <f>1/ZAR!B1583</f>
        <v>6.596654177001425E-2</v>
      </c>
      <c r="AA1583" s="4">
        <f>1/ZAR!C1583</f>
        <v>6.5390676597330749E-2</v>
      </c>
    </row>
    <row r="1584" spans="1:27" x14ac:dyDescent="0.25">
      <c r="A1584" t="str">
        <f>"21/12/2015"</f>
        <v>21/12/2015</v>
      </c>
      <c r="B1584" s="3">
        <f>AUD!B1584</f>
        <v>0.71640000000000004</v>
      </c>
      <c r="C1584" s="3">
        <f>AUD!C1584</f>
        <v>0.71519999999999995</v>
      </c>
      <c r="D1584" s="3">
        <f>1/CAD!B1584</f>
        <v>0.71638369510709943</v>
      </c>
      <c r="E1584" s="3">
        <f>1/CAD!C1584</f>
        <v>0.71643501934374554</v>
      </c>
      <c r="F1584" s="3">
        <f>EUR!B1584/1</f>
        <v>1.0864</v>
      </c>
      <c r="G1584" s="3">
        <f>EUR!C1584/1</f>
        <v>1.0875999999999999</v>
      </c>
      <c r="H1584" s="3">
        <f>GBP!B1584/1</f>
        <v>1.4905999999999999</v>
      </c>
      <c r="I1584" s="3">
        <f>GBP!C1584/1</f>
        <v>1.4910000000000001</v>
      </c>
      <c r="J1584" s="4">
        <f>1/INR!B1584</f>
        <v>1.5069886599103341E-2</v>
      </c>
      <c r="K1584" s="4">
        <f>1/INR!C1584</f>
        <v>1.4984079415620903E-2</v>
      </c>
      <c r="L1584" s="4">
        <f>1/JPY!B1584</f>
        <v>8.2365538258792528E-3</v>
      </c>
      <c r="M1584" s="4">
        <f>1/JPY!C1584</f>
        <v>8.245029071972507E-3</v>
      </c>
      <c r="N1584" s="5">
        <f>1/KRW!B1584</f>
        <v>8.4893246742221654E-4</v>
      </c>
      <c r="O1584" s="5">
        <f>1/KRW!C1584</f>
        <v>8.4892490028315893E-4</v>
      </c>
      <c r="P1584" s="3">
        <f>1/NOK!B1584</f>
        <v>0.11367511651699443</v>
      </c>
      <c r="Q1584" s="3">
        <f>1/NOK!C1584</f>
        <v>0.11363894633968954</v>
      </c>
      <c r="R1584" s="3">
        <f>NZD!B1584/1</f>
        <v>0.67459999999999998</v>
      </c>
      <c r="S1584" s="3">
        <f>NZD!C1584/1</f>
        <v>0.67320000000000002</v>
      </c>
      <c r="T1584" s="4">
        <f>1/PHP!B1584</f>
        <v>2.1147461247277264E-2</v>
      </c>
      <c r="U1584" s="4">
        <f>1/PHP!C1584</f>
        <v>2.1106397349036493E-2</v>
      </c>
      <c r="V1584" s="4">
        <f>1/TWD!B1584</f>
        <v>3.0395136778115502E-2</v>
      </c>
      <c r="W1584" s="4">
        <f>1/TWD!C1584</f>
        <v>3.03953215521067E-2</v>
      </c>
      <c r="X1584" s="4">
        <f>1/TWD!B1584</f>
        <v>3.0395136778115502E-2</v>
      </c>
      <c r="Y1584" s="4">
        <f>1/TWD!C1584</f>
        <v>3.03953215521067E-2</v>
      </c>
      <c r="Z1584" s="4">
        <f>1/ZAR!B1584</f>
        <v>6.6247101689301091E-2</v>
      </c>
      <c r="AA1584" s="4">
        <f>1/ZAR!C1584</f>
        <v>6.5838852823828398E-2</v>
      </c>
    </row>
    <row r="1585" spans="1:27" x14ac:dyDescent="0.25">
      <c r="A1585" t="str">
        <f>"22/12/2015"</f>
        <v>22/12/2015</v>
      </c>
      <c r="B1585" s="3">
        <f>AUD!B1585</f>
        <v>0.72360000000000002</v>
      </c>
      <c r="C1585" s="3">
        <f>AUD!C1585</f>
        <v>0.72250000000000003</v>
      </c>
      <c r="D1585" s="3">
        <f>1/CAD!B1585</f>
        <v>0.71797817346352666</v>
      </c>
      <c r="E1585" s="3">
        <f>1/CAD!C1585</f>
        <v>0.7180297264306742</v>
      </c>
      <c r="F1585" s="3">
        <f>EUR!B1585/1</f>
        <v>1.0943000000000001</v>
      </c>
      <c r="G1585" s="3">
        <f>EUR!C1585/1</f>
        <v>1.0954999999999999</v>
      </c>
      <c r="H1585" s="3">
        <f>GBP!B1585/1</f>
        <v>1.4872000000000001</v>
      </c>
      <c r="I1585" s="3">
        <f>GBP!C1585/1</f>
        <v>1.4876</v>
      </c>
      <c r="J1585" s="4">
        <f>1/INR!B1585</f>
        <v>1.5074998115625238E-2</v>
      </c>
      <c r="K1585" s="4">
        <f>1/INR!C1585</f>
        <v>1.49947518368571E-2</v>
      </c>
      <c r="L1585" s="4">
        <f>1/JPY!B1585</f>
        <v>8.2671957671957685E-3</v>
      </c>
      <c r="M1585" s="4">
        <f>1/JPY!C1585</f>
        <v>8.2744400065864546E-3</v>
      </c>
      <c r="N1585" s="5">
        <f>1/KRW!B1585</f>
        <v>8.5219525497682029E-4</v>
      </c>
      <c r="O1585" s="5">
        <f>1/KRW!C1585</f>
        <v>8.5218436156478102E-4</v>
      </c>
      <c r="P1585" s="3">
        <f>1/NOK!B1585</f>
        <v>0.11466311975416228</v>
      </c>
      <c r="Q1585" s="3">
        <f>1/NOK!C1585</f>
        <v>0.11463420226058647</v>
      </c>
      <c r="R1585" s="3">
        <f>NZD!B1585/1</f>
        <v>0.68179999999999996</v>
      </c>
      <c r="S1585" s="3">
        <f>NZD!C1585/1</f>
        <v>0.6804</v>
      </c>
      <c r="T1585" s="4">
        <f>1/PHP!B1585</f>
        <v>2.1124231606075329E-2</v>
      </c>
      <c r="U1585" s="4">
        <f>1/PHP!C1585</f>
        <v>2.1081035500463783E-2</v>
      </c>
      <c r="V1585" s="4">
        <f>1/TWD!B1585</f>
        <v>3.0421952480910223E-2</v>
      </c>
      <c r="W1585" s="4">
        <f>1/TWD!C1585</f>
        <v>3.0422045030711057E-2</v>
      </c>
      <c r="X1585" s="4">
        <f>1/TWD!B1585</f>
        <v>3.0421952480910223E-2</v>
      </c>
      <c r="Y1585" s="4">
        <f>1/TWD!C1585</f>
        <v>3.0422045030711057E-2</v>
      </c>
      <c r="Z1585" s="4">
        <f>1/ZAR!B1585</f>
        <v>6.6005293624548697E-2</v>
      </c>
      <c r="AA1585" s="4">
        <f>1/ZAR!C1585</f>
        <v>6.5608618348106204E-2</v>
      </c>
    </row>
    <row r="1586" spans="1:27" x14ac:dyDescent="0.25">
      <c r="A1586" t="str">
        <f>"23/12/2015"</f>
        <v>23/12/2015</v>
      </c>
      <c r="B1586" s="3">
        <f>AUD!B1586</f>
        <v>0.72219999999999995</v>
      </c>
      <c r="C1586" s="3">
        <f>AUD!C1586</f>
        <v>0.72109999999999996</v>
      </c>
      <c r="D1586" s="3">
        <f>1/CAD!B1586</f>
        <v>0.71849403649949706</v>
      </c>
      <c r="E1586" s="3">
        <f>1/CAD!C1586</f>
        <v>0.71854566357692029</v>
      </c>
      <c r="F1586" s="3">
        <f>EUR!B1586/1</f>
        <v>1.0928</v>
      </c>
      <c r="G1586" s="3">
        <f>EUR!C1586/1</f>
        <v>1.0940000000000001</v>
      </c>
      <c r="H1586" s="3">
        <f>GBP!B1586/1</f>
        <v>1.4883999999999999</v>
      </c>
      <c r="I1586" s="3">
        <f>GBP!C1586/1</f>
        <v>1.4887999999999999</v>
      </c>
      <c r="J1586" s="4">
        <f>1/INR!B1586</f>
        <v>1.5102318205844597E-2</v>
      </c>
      <c r="K1586" s="4">
        <f>1/INR!C1586</f>
        <v>1.5021217469675916E-2</v>
      </c>
      <c r="L1586" s="4">
        <f>1/JPY!B1586</f>
        <v>8.271298593879239E-3</v>
      </c>
      <c r="M1586" s="4">
        <f>1/JPY!C1586</f>
        <v>8.2782347823279565E-3</v>
      </c>
      <c r="N1586" s="5">
        <f>1/KRW!B1586</f>
        <v>8.5222430543719101E-4</v>
      </c>
      <c r="O1586" s="5">
        <f>1/KRW!C1586</f>
        <v>8.5221268501537394E-4</v>
      </c>
      <c r="P1586" s="3">
        <f>1/NOK!B1586</f>
        <v>0.11500598031097617</v>
      </c>
      <c r="Q1586" s="3">
        <f>1/NOK!C1586</f>
        <v>0.11497292387642712</v>
      </c>
      <c r="R1586" s="3">
        <f>NZD!B1586/1</f>
        <v>0.67879999999999996</v>
      </c>
      <c r="S1586" s="3">
        <f>NZD!C1586/1</f>
        <v>0.67749999999999999</v>
      </c>
      <c r="T1586" s="4">
        <f>1/PHP!B1586</f>
        <v>2.1099272075113407E-2</v>
      </c>
      <c r="U1586" s="4">
        <f>1/PHP!C1586</f>
        <v>2.1061056001347906E-2</v>
      </c>
      <c r="V1586" s="4">
        <f>1/TWD!B1586</f>
        <v>3.0443253774963468E-2</v>
      </c>
      <c r="W1586" s="4">
        <f>1/TWD!C1586</f>
        <v>3.0443346454415654E-2</v>
      </c>
      <c r="X1586" s="4">
        <f>1/TWD!B1586</f>
        <v>3.0443253774963468E-2</v>
      </c>
      <c r="Y1586" s="4">
        <f>1/TWD!C1586</f>
        <v>3.0443346454415654E-2</v>
      </c>
      <c r="Z1586" s="4">
        <f>1/ZAR!B1586</f>
        <v>6.5506760297662725E-2</v>
      </c>
      <c r="AA1586" s="4">
        <f>1/ZAR!C1586</f>
        <v>6.5123245742567809E-2</v>
      </c>
    </row>
    <row r="1587" spans="1:27" x14ac:dyDescent="0.25">
      <c r="A1587" t="str">
        <f>"28/12/2015"</f>
        <v>28/12/2015</v>
      </c>
      <c r="B1587" s="3">
        <f>AUD!B1587</f>
        <v>0.72619999999999996</v>
      </c>
      <c r="C1587" s="3">
        <f>AUD!C1587</f>
        <v>0.72509999999999997</v>
      </c>
      <c r="D1587" s="3">
        <f>1/CAD!B1587</f>
        <v>0.72009793331893135</v>
      </c>
      <c r="E1587" s="3">
        <f>1/CAD!C1587</f>
        <v>0.72014979115656053</v>
      </c>
      <c r="F1587" s="3">
        <f>EUR!B1587/1</f>
        <v>1.0991</v>
      </c>
      <c r="G1587" s="3">
        <f>EUR!C1587/1</f>
        <v>1.1001000000000001</v>
      </c>
      <c r="H1587" s="3">
        <f>GBP!B1587/1</f>
        <v>1.4902</v>
      </c>
      <c r="I1587" s="3">
        <f>GBP!C1587/1</f>
        <v>1.4904999999999999</v>
      </c>
      <c r="J1587" s="4">
        <f>1/INR!B1587</f>
        <v>1.5105169744345002E-2</v>
      </c>
      <c r="K1587" s="4">
        <f>1/INR!C1587</f>
        <v>1.5025731565305588E-2</v>
      </c>
      <c r="L1587" s="4">
        <f>1/JPY!B1587</f>
        <v>8.3008217813563545E-3</v>
      </c>
      <c r="M1587" s="4">
        <f>1/JPY!C1587</f>
        <v>8.3072968803608021E-3</v>
      </c>
      <c r="N1587" s="5">
        <f>1/KRW!B1587</f>
        <v>8.5798613494405933E-4</v>
      </c>
      <c r="O1587" s="5">
        <f>1/KRW!C1587</f>
        <v>8.5797472492257852E-4</v>
      </c>
      <c r="P1587" s="3">
        <f>1/NOK!B1587</f>
        <v>0.11497688964518132</v>
      </c>
      <c r="Q1587" s="3">
        <f>1/NOK!C1587</f>
        <v>0.1149425287356322</v>
      </c>
      <c r="R1587" s="3">
        <f>NZD!B1587/1</f>
        <v>0.6835</v>
      </c>
      <c r="S1587" s="3">
        <f>NZD!C1587/1</f>
        <v>0.68220000000000003</v>
      </c>
      <c r="T1587" s="4">
        <f>1/PHP!B1587</f>
        <v>2.1159542953872196E-2</v>
      </c>
      <c r="U1587" s="4">
        <f>1/PHP!C1587</f>
        <v>2.1120216271014614E-2</v>
      </c>
      <c r="V1587" s="4">
        <f>1/TWD!B1587</f>
        <v>3.038682427299523E-2</v>
      </c>
      <c r="W1587" s="4">
        <f>1/TWD!C1587</f>
        <v>3.038682427299523E-2</v>
      </c>
      <c r="X1587" s="4">
        <f>1/TWD!B1587</f>
        <v>3.038682427299523E-2</v>
      </c>
      <c r="Y1587" s="4">
        <f>1/TWD!C1587</f>
        <v>3.038682427299523E-2</v>
      </c>
      <c r="Z1587" s="4">
        <f>1/ZAR!B1587</f>
        <v>6.5614645188806137E-2</v>
      </c>
      <c r="AA1587" s="4">
        <f>1/ZAR!C1587</f>
        <v>6.5245191429391655E-2</v>
      </c>
    </row>
    <row r="1588" spans="1:27" x14ac:dyDescent="0.25">
      <c r="A1588" t="str">
        <f>"29/12/2015"</f>
        <v>29/12/2015</v>
      </c>
      <c r="B1588" s="3">
        <f>AUD!B1588</f>
        <v>0.72699999999999998</v>
      </c>
      <c r="C1588" s="3">
        <f>AUD!C1588</f>
        <v>0.72599999999999998</v>
      </c>
      <c r="D1588" s="3">
        <f>1/CAD!B1588</f>
        <v>0.71766901105210279</v>
      </c>
      <c r="E1588" s="3">
        <f>1/CAD!C1588</f>
        <v>0.71772051962965622</v>
      </c>
      <c r="F1588" s="3">
        <f>EUR!B1588/1</f>
        <v>1.0967</v>
      </c>
      <c r="G1588" s="3">
        <f>EUR!C1588/1</f>
        <v>1.0975999999999999</v>
      </c>
      <c r="H1588" s="3">
        <f>GBP!B1588/1</f>
        <v>1.4825999999999999</v>
      </c>
      <c r="I1588" s="3">
        <f>GBP!C1588/1</f>
        <v>1.4829000000000001</v>
      </c>
      <c r="J1588" s="4">
        <f>1/INR!B1588</f>
        <v>1.506024096385542E-2</v>
      </c>
      <c r="K1588" s="4">
        <f>1/INR!C1588</f>
        <v>1.4986886474334958E-2</v>
      </c>
      <c r="L1588" s="4">
        <f>1/JPY!B1588</f>
        <v>8.3028894055131187E-3</v>
      </c>
      <c r="M1588" s="4">
        <f>1/JPY!C1588</f>
        <v>8.3078283004509486E-3</v>
      </c>
      <c r="N1588" s="5">
        <f>1/KRW!B1588</f>
        <v>8.5483967481898772E-4</v>
      </c>
      <c r="O1588" s="5">
        <f>1/KRW!C1588</f>
        <v>8.5483090589850432E-4</v>
      </c>
      <c r="P1588" s="3">
        <f>1/NOK!B1588</f>
        <v>0.11503905575943033</v>
      </c>
      <c r="Q1588" s="3">
        <f>1/NOK!C1588</f>
        <v>0.11500333509671781</v>
      </c>
      <c r="R1588" s="3">
        <f>NZD!B1588/1</f>
        <v>0.6865</v>
      </c>
      <c r="S1588" s="3">
        <f>NZD!C1588/1</f>
        <v>0.68520000000000003</v>
      </c>
      <c r="T1588" s="4">
        <f>1/PHP!B1588</f>
        <v>2.1231422505307854E-2</v>
      </c>
      <c r="U1588" s="4">
        <f>1/PHP!C1588</f>
        <v>2.1191828430957023E-2</v>
      </c>
      <c r="V1588" s="4">
        <f>1/TWD!B1588</f>
        <v>3.0444180594879286E-2</v>
      </c>
      <c r="W1588" s="4">
        <f>1/TWD!C1588</f>
        <v>3.0444180594879286E-2</v>
      </c>
      <c r="X1588" s="4">
        <f>1/TWD!B1588</f>
        <v>3.0444180594879286E-2</v>
      </c>
      <c r="Y1588" s="4">
        <f>1/TWD!C1588</f>
        <v>3.0444180594879286E-2</v>
      </c>
      <c r="Z1588" s="4">
        <f>1/ZAR!B1588</f>
        <v>6.5365885544334409E-2</v>
      </c>
      <c r="AA1588" s="4">
        <f>1/ZAR!C1588</f>
        <v>6.5008516115611148E-2</v>
      </c>
    </row>
    <row r="1589" spans="1:27" x14ac:dyDescent="0.25">
      <c r="A1589" t="str">
        <f>"30/12/2015"</f>
        <v>30/12/2015</v>
      </c>
      <c r="B1589" s="3">
        <f>AUD!B1589</f>
        <v>0.72940000000000005</v>
      </c>
      <c r="C1589" s="3">
        <f>AUD!C1589</f>
        <v>0.72829999999999995</v>
      </c>
      <c r="D1589" s="3">
        <f>1/CAD!B1589</f>
        <v>0.72103251856658734</v>
      </c>
      <c r="E1589" s="3">
        <f>1/CAD!C1589</f>
        <v>0.72108451110470151</v>
      </c>
      <c r="F1589" s="3">
        <f>EUR!B1589/1</f>
        <v>1.0927</v>
      </c>
      <c r="G1589" s="3">
        <f>EUR!C1589/1</f>
        <v>1.0934999999999999</v>
      </c>
      <c r="H1589" s="3">
        <f>GBP!B1589/1</f>
        <v>1.482</v>
      </c>
      <c r="I1589" s="3">
        <f>GBP!C1589/1</f>
        <v>1.4821</v>
      </c>
      <c r="J1589" s="4">
        <f>1/INR!B1589</f>
        <v>1.5062509414068384E-2</v>
      </c>
      <c r="K1589" s="4">
        <f>1/INR!C1589</f>
        <v>1.4982395685070041E-2</v>
      </c>
      <c r="L1589" s="4">
        <f>1/JPY!B1589</f>
        <v>8.299443937256205E-3</v>
      </c>
      <c r="M1589" s="4">
        <f>1/JPY!C1589</f>
        <v>8.3047304575159051E-3</v>
      </c>
      <c r="N1589" s="5">
        <f>1/KRW!B1589</f>
        <v>8.5253672301934403E-4</v>
      </c>
      <c r="O1589" s="5">
        <f>1/KRW!C1589</f>
        <v>8.5252436727772767E-4</v>
      </c>
      <c r="P1589" s="3">
        <f>1/NOK!B1589</f>
        <v>0.11427265455376528</v>
      </c>
      <c r="Q1589" s="3">
        <f>1/NOK!C1589</f>
        <v>0.1142334932602239</v>
      </c>
      <c r="R1589" s="3">
        <f>NZD!B1589/1</f>
        <v>0.68579999999999997</v>
      </c>
      <c r="S1589" s="3">
        <f>NZD!C1589/1</f>
        <v>0.6845</v>
      </c>
      <c r="T1589" s="4">
        <f>1/PHP!B1589</f>
        <v>2.1272069772388855E-2</v>
      </c>
      <c r="U1589" s="4">
        <f>1/PHP!C1589</f>
        <v>2.1231422505307854E-2</v>
      </c>
      <c r="V1589" s="4">
        <f>1/TWD!B1589</f>
        <v>3.0349013657056143E-2</v>
      </c>
      <c r="W1589" s="4">
        <f>1/TWD!C1589</f>
        <v>3.0349013657056143E-2</v>
      </c>
      <c r="X1589" s="4">
        <f>1/TWD!B1589</f>
        <v>3.0349013657056143E-2</v>
      </c>
      <c r="Y1589" s="4">
        <f>1/TWD!C1589</f>
        <v>3.0349013657056143E-2</v>
      </c>
      <c r="Z1589" s="4">
        <f>1/ZAR!B1589</f>
        <v>6.4862620968788115E-2</v>
      </c>
      <c r="AA1589" s="4">
        <f>1/ZAR!C1589</f>
        <v>6.4492412467673177E-2</v>
      </c>
    </row>
    <row r="1590" spans="1:27" x14ac:dyDescent="0.25">
      <c r="A1590" t="str">
        <f>"31/12/2015"</f>
        <v>31/12/2015</v>
      </c>
      <c r="B1590" s="3">
        <f>AUD!B1590</f>
        <v>0.73150000000000004</v>
      </c>
      <c r="C1590" s="3">
        <f>AUD!C1590</f>
        <v>0.73040000000000005</v>
      </c>
      <c r="D1590" s="3">
        <f>1/CAD!B1590</f>
        <v>0.72051300525974493</v>
      </c>
      <c r="E1590" s="3">
        <f>1/CAD!C1590</f>
        <v>0.72056492289955332</v>
      </c>
      <c r="F1590" s="3">
        <f>EUR!B1590/1</f>
        <v>1.0902000000000001</v>
      </c>
      <c r="G1590" s="3">
        <f>EUR!C1590/1</f>
        <v>1.091</v>
      </c>
      <c r="H1590" s="3">
        <f>GBP!B1590/1</f>
        <v>1.4823999999999999</v>
      </c>
      <c r="I1590" s="3">
        <f>GBP!C1590/1</f>
        <v>1.4824999999999999</v>
      </c>
      <c r="J1590" s="4">
        <f>1/INR!B1590</f>
        <v>1.5115444205116579E-2</v>
      </c>
      <c r="K1590" s="4">
        <f>1/INR!C1590</f>
        <v>1.503589820696914E-2</v>
      </c>
      <c r="L1590" s="4">
        <f>1/JPY!B1590</f>
        <v>8.3084081090063142E-3</v>
      </c>
      <c r="M1590" s="4">
        <f>1/JPY!C1590</f>
        <v>8.3135470912561443E-3</v>
      </c>
      <c r="N1590" s="5">
        <f>1/KRW!B1590</f>
        <v>8.4989928693449829E-4</v>
      </c>
      <c r="O1590" s="5">
        <f>1/KRW!C1590</f>
        <v>8.4988700752234995E-4</v>
      </c>
      <c r="P1590" s="3">
        <f>1/NOK!B1590</f>
        <v>0.11361957892584051</v>
      </c>
      <c r="Q1590" s="3">
        <f>1/NOK!C1590</f>
        <v>0.11358086389605079</v>
      </c>
      <c r="R1590" s="3">
        <f>NZD!B1590/1</f>
        <v>0.68459999999999999</v>
      </c>
      <c r="S1590" s="3">
        <f>NZD!C1590/1</f>
        <v>0.68310000000000004</v>
      </c>
      <c r="T1590" s="4">
        <f>1/PHP!B1590</f>
        <v>2.1301523058898712E-2</v>
      </c>
      <c r="U1590" s="4">
        <f>1/PHP!C1590</f>
        <v>2.12616673399528E-2</v>
      </c>
      <c r="V1590" s="4">
        <f>1/TWD!B1590</f>
        <v>3.0391441769997564E-2</v>
      </c>
      <c r="W1590" s="4">
        <f>1/TWD!C1590</f>
        <v>3.0391441769997564E-2</v>
      </c>
      <c r="X1590" s="4">
        <f>1/TWD!B1590</f>
        <v>3.0391441769997564E-2</v>
      </c>
      <c r="Y1590" s="4">
        <f>1/TWD!C1590</f>
        <v>3.0391441769997564E-2</v>
      </c>
      <c r="Z1590" s="4">
        <f>1/ZAR!B1590</f>
        <v>6.4025815208692147E-2</v>
      </c>
      <c r="AA1590" s="4">
        <f>1/ZAR!C1590</f>
        <v>6.3662638943709493E-2</v>
      </c>
    </row>
    <row r="1591" spans="1:27" x14ac:dyDescent="0.25">
      <c r="A1591" t="str">
        <f>"01/01/2016"</f>
        <v>01/01/2016</v>
      </c>
      <c r="B1591" s="3">
        <f>AUD!B1591</f>
        <v>0.72860000000000003</v>
      </c>
      <c r="C1591" s="3">
        <f>AUD!C1591</f>
        <v>0.72750000000000004</v>
      </c>
      <c r="D1591" s="3">
        <f>1/CAD!B1591</f>
        <v>0.72170900692840645</v>
      </c>
      <c r="E1591" s="3">
        <f>1/CAD!C1591</f>
        <v>0.72176109707686753</v>
      </c>
      <c r="F1591" s="3">
        <f>EUR!B1591/1</f>
        <v>1.0854999999999999</v>
      </c>
      <c r="G1591" s="3">
        <f>EUR!C1591/1</f>
        <v>1.0863</v>
      </c>
      <c r="H1591" s="3">
        <f>GBP!B1591/1</f>
        <v>1.4744999999999999</v>
      </c>
      <c r="I1591" s="3">
        <f>GBP!C1591/1</f>
        <v>1.4745999999999999</v>
      </c>
      <c r="J1591" s="4">
        <f>1/INR!B1591</f>
        <v>1.5118300703000983E-2</v>
      </c>
      <c r="K1591" s="4">
        <f>1/INR!C1591</f>
        <v>1.5039855617386074E-2</v>
      </c>
      <c r="L1591" s="4">
        <f>1/JPY!B1591</f>
        <v>8.2953131480713403E-3</v>
      </c>
      <c r="M1591" s="4">
        <f>1/JPY!C1591</f>
        <v>8.3001603590981375E-3</v>
      </c>
      <c r="N1591" s="5">
        <f>1/KRW!B1591</f>
        <v>8.5266030013642568E-4</v>
      </c>
      <c r="O1591" s="5">
        <f>1/KRW!C1591</f>
        <v>8.5264794081259048E-4</v>
      </c>
      <c r="P1591" s="3">
        <f>1/NOK!B1591</f>
        <v>0.11268494416461017</v>
      </c>
      <c r="Q1591" s="3">
        <f>1/NOK!C1591</f>
        <v>0.11264559443080181</v>
      </c>
      <c r="R1591" s="3">
        <f>NZD!B1591/1</f>
        <v>0.68359999999999999</v>
      </c>
      <c r="S1591" s="3">
        <f>NZD!C1591/1</f>
        <v>0.68210000000000004</v>
      </c>
      <c r="T1591" s="4">
        <f>1/PHP!B1591</f>
        <v>2.1317416329140911E-2</v>
      </c>
      <c r="U1591" s="4">
        <f>1/PHP!C1591</f>
        <v>2.1277501170262565E-2</v>
      </c>
      <c r="V1591" s="4">
        <f>1/TWD!B1591</f>
        <v>3.0436767615279262E-2</v>
      </c>
      <c r="W1591" s="4">
        <f>1/TWD!C1591</f>
        <v>3.0436767615279262E-2</v>
      </c>
      <c r="X1591" s="4">
        <f>1/TWD!B1591</f>
        <v>3.0436767615279262E-2</v>
      </c>
      <c r="Y1591" s="4">
        <f>1/TWD!C1591</f>
        <v>3.0436767615279262E-2</v>
      </c>
      <c r="Z1591" s="4">
        <f>1/ZAR!B1591</f>
        <v>6.387735547748323E-2</v>
      </c>
      <c r="AA1591" s="4">
        <f>1/ZAR!C1591</f>
        <v>6.3520294734167565E-2</v>
      </c>
    </row>
    <row r="1592" spans="1:27" x14ac:dyDescent="0.25">
      <c r="A1592" t="str">
        <f>"04/01/2016"</f>
        <v>04/01/2016</v>
      </c>
      <c r="B1592" s="3">
        <f>AUD!B1592</f>
        <v>0.72040000000000004</v>
      </c>
      <c r="C1592" s="3">
        <f>AUD!C1592</f>
        <v>0.71919999999999995</v>
      </c>
      <c r="D1592" s="3">
        <f>1/CAD!B1592</f>
        <v>0.71849403649949706</v>
      </c>
      <c r="E1592" s="3">
        <f>1/CAD!C1592</f>
        <v>0.71854566357692029</v>
      </c>
      <c r="F1592" s="3">
        <f>EUR!B1592/1</f>
        <v>1.0909</v>
      </c>
      <c r="G1592" s="3">
        <f>EUR!C1592/1</f>
        <v>1.0918000000000001</v>
      </c>
      <c r="H1592" s="3">
        <f>GBP!B1592/1</f>
        <v>1.4769000000000001</v>
      </c>
      <c r="I1592" s="3">
        <f>GBP!C1592/1</f>
        <v>1.4770000000000001</v>
      </c>
      <c r="J1592" s="4">
        <f>1/INR!B1592</f>
        <v>1.5009944087958272E-2</v>
      </c>
      <c r="K1592" s="4">
        <f>1/INR!C1592</f>
        <v>1.4926487051272481E-2</v>
      </c>
      <c r="L1592" s="4">
        <f>1/JPY!B1592</f>
        <v>8.4125515268781027E-3</v>
      </c>
      <c r="M1592" s="4">
        <f>1/JPY!C1592</f>
        <v>8.4178981350146679E-3</v>
      </c>
      <c r="N1592" s="5">
        <f>1/KRW!B1592</f>
        <v>8.418571368438777E-4</v>
      </c>
      <c r="O1592" s="5">
        <f>1/KRW!C1592</f>
        <v>8.4184367131392437E-4</v>
      </c>
      <c r="P1592" s="3">
        <f>1/NOK!B1592</f>
        <v>0.11306845164062322</v>
      </c>
      <c r="Q1592" s="3">
        <f>1/NOK!C1592</f>
        <v>0.11303266644060134</v>
      </c>
      <c r="R1592" s="3">
        <f>NZD!B1592/1</f>
        <v>0.67600000000000005</v>
      </c>
      <c r="S1592" s="3">
        <f>NZD!C1592/1</f>
        <v>0.67459999999999998</v>
      </c>
      <c r="T1592" s="4">
        <f>1/PHP!B1592</f>
        <v>2.1215207060420908E-2</v>
      </c>
      <c r="U1592" s="4">
        <f>1/PHP!C1592</f>
        <v>2.1177467174925878E-2</v>
      </c>
      <c r="V1592" s="4">
        <f>1/TWD!B1592</f>
        <v>3.023888720895071E-2</v>
      </c>
      <c r="W1592" s="4">
        <f>1/TWD!C1592</f>
        <v>3.023888720895071E-2</v>
      </c>
      <c r="X1592" s="4">
        <f>1/TWD!B1592</f>
        <v>3.023888720895071E-2</v>
      </c>
      <c r="Y1592" s="4">
        <f>1/TWD!C1592</f>
        <v>3.023888720895071E-2</v>
      </c>
      <c r="Z1592" s="4">
        <f>1/ZAR!B1592</f>
        <v>6.4175790324857845E-2</v>
      </c>
      <c r="AA1592" s="4">
        <f>1/ZAR!C1592</f>
        <v>6.3791783618269968E-2</v>
      </c>
    </row>
    <row r="1593" spans="1:27" x14ac:dyDescent="0.25">
      <c r="A1593" t="str">
        <f>"05/01/2016"</f>
        <v>05/01/2016</v>
      </c>
      <c r="B1593" s="3">
        <f>AUD!B1593</f>
        <v>0.71719999999999995</v>
      </c>
      <c r="C1593" s="3">
        <f>AUD!C1593</f>
        <v>0.71609999999999996</v>
      </c>
      <c r="D1593" s="3">
        <f>1/CAD!B1593</f>
        <v>0.7180297264306742</v>
      </c>
      <c r="E1593" s="3">
        <f>1/CAD!C1593</f>
        <v>0.7180297264306742</v>
      </c>
      <c r="F1593" s="3">
        <f>EUR!B1593/1</f>
        <v>1.0760000000000001</v>
      </c>
      <c r="G1593" s="3">
        <f>EUR!C1593/1</f>
        <v>1.0769</v>
      </c>
      <c r="H1593" s="3">
        <f>GBP!B1593/1</f>
        <v>1.4677</v>
      </c>
      <c r="I1593" s="3">
        <f>GBP!C1593/1</f>
        <v>1.4678</v>
      </c>
      <c r="J1593" s="4">
        <f>1/INR!B1593</f>
        <v>1.5015015015015017E-2</v>
      </c>
      <c r="K1593" s="4">
        <f>1/INR!C1593</f>
        <v>1.4933731566175097E-2</v>
      </c>
      <c r="L1593" s="4">
        <f>1/JPY!B1593</f>
        <v>8.4047739115817779E-3</v>
      </c>
      <c r="M1593" s="4">
        <f>1/JPY!C1593</f>
        <v>8.4093751077451186E-3</v>
      </c>
      <c r="N1593" s="5">
        <f>1/KRW!B1593</f>
        <v>8.4140379809674462E-4</v>
      </c>
      <c r="O1593" s="5">
        <f>1/KRW!C1593</f>
        <v>8.4139070103411131E-4</v>
      </c>
      <c r="P1593" s="3">
        <f>1/NOK!B1593</f>
        <v>0.11183430629179807</v>
      </c>
      <c r="Q1593" s="3">
        <f>1/NOK!C1593</f>
        <v>0.1117992979004092</v>
      </c>
      <c r="R1593" s="3">
        <f>NZD!B1593/1</f>
        <v>0.67110000000000003</v>
      </c>
      <c r="S1593" s="3">
        <f>NZD!C1593/1</f>
        <v>0.66969999999999996</v>
      </c>
      <c r="T1593" s="4">
        <f>1/PHP!B1593</f>
        <v>2.1303338233101127E-2</v>
      </c>
      <c r="U1593" s="4">
        <f>1/PHP!C1593</f>
        <v>2.1263023601956199E-2</v>
      </c>
      <c r="V1593" s="4">
        <f>1/TWD!B1593</f>
        <v>3.0084235860409144E-2</v>
      </c>
      <c r="W1593" s="4">
        <f>1/TWD!C1593</f>
        <v>3.0084235860409144E-2</v>
      </c>
      <c r="X1593" s="4">
        <f>1/TWD!B1593</f>
        <v>3.0084235860409144E-2</v>
      </c>
      <c r="Y1593" s="4">
        <f>1/TWD!C1593</f>
        <v>3.0084235860409144E-2</v>
      </c>
      <c r="Z1593" s="4">
        <f>1/ZAR!B1593</f>
        <v>6.3964384630637666E-2</v>
      </c>
      <c r="AA1593" s="4">
        <f>1/ZAR!C1593</f>
        <v>6.3592195965711085E-2</v>
      </c>
    </row>
    <row r="1594" spans="1:27" x14ac:dyDescent="0.25">
      <c r="A1594" t="str">
        <f>"06/01/2016"</f>
        <v>06/01/2016</v>
      </c>
      <c r="B1594" s="3">
        <f>AUD!B1594</f>
        <v>0.70799999999999996</v>
      </c>
      <c r="C1594" s="3">
        <f>AUD!C1594</f>
        <v>0.70689999999999997</v>
      </c>
      <c r="D1594" s="3">
        <f>1/CAD!B1594</f>
        <v>0.71012640249964498</v>
      </c>
      <c r="E1594" s="3">
        <f>1/CAD!C1594</f>
        <v>0.71012640249964498</v>
      </c>
      <c r="F1594" s="3">
        <f>EUR!B1594/1</f>
        <v>1.0748</v>
      </c>
      <c r="G1594" s="3">
        <f>EUR!C1594/1</f>
        <v>1.0755999999999999</v>
      </c>
      <c r="H1594" s="3">
        <f>GBP!B1594/1</f>
        <v>1.4661999999999999</v>
      </c>
      <c r="I1594" s="3">
        <f>GBP!C1594/1</f>
        <v>1.4661999999999999</v>
      </c>
      <c r="J1594" s="4">
        <f>1/INR!B1594</f>
        <v>1.4962220393506398E-2</v>
      </c>
      <c r="K1594" s="4">
        <f>1/INR!C1594</f>
        <v>1.4883720930232559E-2</v>
      </c>
      <c r="L1594" s="4">
        <f>1/JPY!B1594</f>
        <v>8.4452326661599523E-3</v>
      </c>
      <c r="M1594" s="4">
        <f>1/JPY!C1594</f>
        <v>8.4495427107484939E-3</v>
      </c>
      <c r="N1594" s="5">
        <f>1/KRW!B1594</f>
        <v>8.3493362277698921E-4</v>
      </c>
      <c r="O1594" s="5">
        <f>1/KRW!C1594</f>
        <v>8.3492351474412309E-4</v>
      </c>
      <c r="P1594" s="3">
        <f>1/NOK!B1594</f>
        <v>0.11152374898234579</v>
      </c>
      <c r="Q1594" s="3">
        <f>1/NOK!C1594</f>
        <v>0.11148893472322872</v>
      </c>
      <c r="R1594" s="3">
        <f>NZD!B1594/1</f>
        <v>0.66510000000000002</v>
      </c>
      <c r="S1594" s="3">
        <f>NZD!C1594/1</f>
        <v>0.66379999999999995</v>
      </c>
      <c r="T1594" s="4">
        <f>1/PHP!B1594</f>
        <v>2.1236382169933531E-2</v>
      </c>
      <c r="U1594" s="4">
        <f>1/PHP!C1594</f>
        <v>2.1197218924877054E-2</v>
      </c>
      <c r="V1594" s="4">
        <f>1/TWD!B1594</f>
        <v>3.0091478093403949E-2</v>
      </c>
      <c r="W1594" s="4">
        <f>1/TWD!C1594</f>
        <v>3.0091478093403949E-2</v>
      </c>
      <c r="X1594" s="4">
        <f>1/TWD!B1594</f>
        <v>3.0091478093403949E-2</v>
      </c>
      <c r="Y1594" s="4">
        <f>1/TWD!C1594</f>
        <v>3.0091478093403949E-2</v>
      </c>
      <c r="Z1594" s="4">
        <f>1/ZAR!B1594</f>
        <v>6.3263511504469558E-2</v>
      </c>
      <c r="AA1594" s="4">
        <f>1/ZAR!C1594</f>
        <v>6.2904950619613764E-2</v>
      </c>
    </row>
    <row r="1595" spans="1:27" x14ac:dyDescent="0.25">
      <c r="A1595" t="str">
        <f>"07/01/2016"</f>
        <v>07/01/2016</v>
      </c>
      <c r="B1595" s="3">
        <f>AUD!B1595</f>
        <v>0.70040000000000002</v>
      </c>
      <c r="C1595" s="3">
        <f>AUD!C1595</f>
        <v>0.69930000000000003</v>
      </c>
      <c r="D1595" s="3">
        <f>1/CAD!B1595</f>
        <v>0.70761392584206062</v>
      </c>
      <c r="E1595" s="3">
        <f>1/CAD!C1595</f>
        <v>0.70761392584206062</v>
      </c>
      <c r="F1595" s="3">
        <f>EUR!B1595/1</f>
        <v>1.0868</v>
      </c>
      <c r="G1595" s="3">
        <f>EUR!C1595/1</f>
        <v>1.0875999999999999</v>
      </c>
      <c r="H1595" s="3">
        <f>GBP!B1595/1</f>
        <v>1.4575</v>
      </c>
      <c r="I1595" s="3">
        <f>GBP!C1595/1</f>
        <v>1.4575</v>
      </c>
      <c r="J1595" s="4">
        <f>1/INR!B1595</f>
        <v>1.4940425055092816E-2</v>
      </c>
      <c r="K1595" s="4">
        <f>1/INR!C1595</f>
        <v>1.4862153526045925E-2</v>
      </c>
      <c r="L1595" s="4">
        <f>1/JPY!B1595</f>
        <v>8.5106382978723406E-3</v>
      </c>
      <c r="M1595" s="4">
        <f>1/JPY!C1595</f>
        <v>8.5151168870095089E-3</v>
      </c>
      <c r="N1595" s="5">
        <f>1/KRW!B1595</f>
        <v>8.3288218881439214E-4</v>
      </c>
      <c r="O1595" s="5">
        <f>1/KRW!C1595</f>
        <v>8.3286970253225717E-4</v>
      </c>
      <c r="P1595" s="3">
        <f>1/NOK!B1595</f>
        <v>0.11192192326632942</v>
      </c>
      <c r="Q1595" s="3">
        <f>1/NOK!C1595</f>
        <v>0.11188560815422313</v>
      </c>
      <c r="R1595" s="3">
        <f>NZD!B1595/1</f>
        <v>0.66349999999999998</v>
      </c>
      <c r="S1595" s="3">
        <f>NZD!C1595/1</f>
        <v>0.66220000000000001</v>
      </c>
      <c r="T1595" s="4">
        <f>1/PHP!B1595</f>
        <v>2.1211606991345666E-2</v>
      </c>
      <c r="U1595" s="4">
        <f>1/PHP!C1595</f>
        <v>2.1172086720867209E-2</v>
      </c>
      <c r="V1595" s="4">
        <f>1/TWD!B1595</f>
        <v>3.0000300003000031E-2</v>
      </c>
      <c r="W1595" s="4">
        <f>1/TWD!C1595</f>
        <v>3.0000300003000031E-2</v>
      </c>
      <c r="X1595" s="4">
        <f>1/TWD!B1595</f>
        <v>3.0000300003000031E-2</v>
      </c>
      <c r="Y1595" s="4">
        <f>1/TWD!C1595</f>
        <v>3.0000300003000031E-2</v>
      </c>
      <c r="Z1595" s="4">
        <f>1/ZAR!B1595</f>
        <v>6.213650146642144E-2</v>
      </c>
      <c r="AA1595" s="4">
        <f>1/ZAR!C1595</f>
        <v>6.1781405032713253E-2</v>
      </c>
    </row>
    <row r="1596" spans="1:27" x14ac:dyDescent="0.25">
      <c r="A1596" t="str">
        <f>"08/01/2016"</f>
        <v>08/01/2016</v>
      </c>
      <c r="B1596" s="3">
        <f>AUD!B1596</f>
        <v>0.70609999999999995</v>
      </c>
      <c r="C1596" s="3">
        <f>AUD!C1596</f>
        <v>0.70499999999999996</v>
      </c>
      <c r="D1596" s="3">
        <f>1/CAD!B1596</f>
        <v>0.71012640249964498</v>
      </c>
      <c r="E1596" s="3">
        <f>1/CAD!C1596</f>
        <v>0.71012640249964498</v>
      </c>
      <c r="F1596" s="3">
        <f>EUR!B1596/1</f>
        <v>1.0875999999999999</v>
      </c>
      <c r="G1596" s="3">
        <f>EUR!C1596/1</f>
        <v>1.0884</v>
      </c>
      <c r="H1596" s="3">
        <f>GBP!B1596/1</f>
        <v>1.4633</v>
      </c>
      <c r="I1596" s="3">
        <f>GBP!C1596/1</f>
        <v>1.4633</v>
      </c>
      <c r="J1596" s="4">
        <f>1/INR!B1596</f>
        <v>1.5003750937734431E-2</v>
      </c>
      <c r="K1596" s="4">
        <f>1/INR!C1596</f>
        <v>1.492370257060777E-2</v>
      </c>
      <c r="L1596" s="4">
        <f>1/JPY!B1596</f>
        <v>8.4530853761623E-3</v>
      </c>
      <c r="M1596" s="4">
        <f>1/JPY!C1596</f>
        <v>8.45808300931827E-3</v>
      </c>
      <c r="N1596" s="5">
        <f>1/KRW!B1596</f>
        <v>8.3521256159692641E-4</v>
      </c>
      <c r="O1596" s="5">
        <f>1/KRW!C1596</f>
        <v>8.352007029049116E-4</v>
      </c>
      <c r="P1596" s="3">
        <f>1/NOK!B1596</f>
        <v>0.1123519762712626</v>
      </c>
      <c r="Q1596" s="3">
        <f>1/NOK!C1596</f>
        <v>0.11231285869919247</v>
      </c>
      <c r="R1596" s="3">
        <f>NZD!B1596/1</f>
        <v>0.66469999999999996</v>
      </c>
      <c r="S1596" s="3">
        <f>NZD!C1596/1</f>
        <v>0.66339999999999999</v>
      </c>
      <c r="T1596" s="4">
        <f>1/PHP!B1596</f>
        <v>2.1265284423179161E-2</v>
      </c>
      <c r="U1596" s="4">
        <f>1/PHP!C1596</f>
        <v>2.1227816931306785E-2</v>
      </c>
      <c r="V1596" s="4">
        <f>1/TWD!B1596</f>
        <v>3.0025521693439423E-2</v>
      </c>
      <c r="W1596" s="4">
        <f>1/TWD!C1596</f>
        <v>3.0025521693439423E-2</v>
      </c>
      <c r="X1596" s="4">
        <f>1/TWD!B1596</f>
        <v>3.0025521693439423E-2</v>
      </c>
      <c r="Y1596" s="4">
        <f>1/TWD!C1596</f>
        <v>3.0025521693439423E-2</v>
      </c>
      <c r="Z1596" s="4">
        <f>1/ZAR!B1596</f>
        <v>6.2680205591074331E-2</v>
      </c>
      <c r="AA1596" s="4">
        <f>1/ZAR!C1596</f>
        <v>6.2318109019299912E-2</v>
      </c>
    </row>
    <row r="1597" spans="1:27" x14ac:dyDescent="0.25">
      <c r="A1597" t="str">
        <f>"11/01/2016"</f>
        <v>11/01/2016</v>
      </c>
      <c r="B1597" s="3">
        <f>AUD!B1597</f>
        <v>0.69789999999999996</v>
      </c>
      <c r="C1597" s="3">
        <f>AUD!C1597</f>
        <v>0.69669999999999999</v>
      </c>
      <c r="D1597" s="3">
        <f>1/CAD!B1597</f>
        <v>0.70641424131110486</v>
      </c>
      <c r="E1597" s="3">
        <f>1/CAD!C1597</f>
        <v>0.70641424131110486</v>
      </c>
      <c r="F1597" s="3">
        <f>EUR!B1597/1</f>
        <v>1.0912999999999999</v>
      </c>
      <c r="G1597" s="3">
        <f>EUR!C1597/1</f>
        <v>1.0922000000000001</v>
      </c>
      <c r="H1597" s="3">
        <f>GBP!B1597/1</f>
        <v>1.4528000000000001</v>
      </c>
      <c r="I1597" s="3">
        <f>GBP!C1597/1</f>
        <v>1.4528000000000001</v>
      </c>
      <c r="J1597" s="4">
        <f>1/INR!B1597</f>
        <v>1.4967819188744199E-2</v>
      </c>
      <c r="K1597" s="4">
        <f>1/INR!C1597</f>
        <v>1.4879845249609405E-2</v>
      </c>
      <c r="L1597" s="4">
        <f>1/JPY!B1597</f>
        <v>8.5164367228751491E-3</v>
      </c>
      <c r="M1597" s="4">
        <f>1/JPY!C1597</f>
        <v>8.5215749233910412E-3</v>
      </c>
      <c r="N1597" s="5">
        <f>1/KRW!B1597</f>
        <v>8.2774604751262315E-4</v>
      </c>
      <c r="O1597" s="5">
        <f>1/KRW!C1597</f>
        <v>8.2773165932882543E-4</v>
      </c>
      <c r="P1597" s="3">
        <f>1/NOK!B1597</f>
        <v>0.11256824449822705</v>
      </c>
      <c r="Q1597" s="3">
        <f>1/NOK!C1597</f>
        <v>0.11252770994857485</v>
      </c>
      <c r="R1597" s="3">
        <f>NZD!B1597/1</f>
        <v>0.6532</v>
      </c>
      <c r="S1597" s="3">
        <f>NZD!C1597/1</f>
        <v>0.65180000000000005</v>
      </c>
      <c r="T1597" s="4">
        <f>1/PHP!B1597</f>
        <v>2.1148355715343133E-2</v>
      </c>
      <c r="U1597" s="4">
        <f>1/PHP!C1597</f>
        <v>2.1110630257866348E-2</v>
      </c>
      <c r="V1597" s="4">
        <f>1/TWD!B1597</f>
        <v>2.9931158335827601E-2</v>
      </c>
      <c r="W1597" s="4">
        <f>1/TWD!C1597</f>
        <v>2.9931158335827601E-2</v>
      </c>
      <c r="X1597" s="4">
        <f>1/TWD!B1597</f>
        <v>2.9931158335827601E-2</v>
      </c>
      <c r="Y1597" s="4">
        <f>1/TWD!C1597</f>
        <v>2.9931158335827601E-2</v>
      </c>
      <c r="Z1597" s="4">
        <f>1/ZAR!B1597</f>
        <v>5.9864108473764555E-2</v>
      </c>
      <c r="AA1597" s="4">
        <f>1/ZAR!C1597</f>
        <v>5.953514955229567E-2</v>
      </c>
    </row>
    <row r="1598" spans="1:27" x14ac:dyDescent="0.25">
      <c r="A1598" t="str">
        <f>"12/01/2016"</f>
        <v>12/01/2016</v>
      </c>
      <c r="B1598" s="3">
        <f>AUD!B1598</f>
        <v>0.69879999999999998</v>
      </c>
      <c r="C1598" s="3">
        <f>AUD!C1598</f>
        <v>0.69769999999999999</v>
      </c>
      <c r="D1598" s="3">
        <f>1/CAD!B1598</f>
        <v>0.70407660353446455</v>
      </c>
      <c r="E1598" s="3">
        <f>1/CAD!C1598</f>
        <v>0.70407660353446455</v>
      </c>
      <c r="F1598" s="3">
        <f>EUR!B1598/1</f>
        <v>1.0847</v>
      </c>
      <c r="G1598" s="3">
        <f>EUR!C1598/1</f>
        <v>1.0855999999999999</v>
      </c>
      <c r="H1598" s="3">
        <f>GBP!B1598/1</f>
        <v>1.4435</v>
      </c>
      <c r="I1598" s="3">
        <f>GBP!C1598/1</f>
        <v>1.4435</v>
      </c>
      <c r="J1598" s="4">
        <f>1/INR!B1598</f>
        <v>1.4953271028037384E-2</v>
      </c>
      <c r="K1598" s="4">
        <f>1/INR!C1598</f>
        <v>1.486878299011226E-2</v>
      </c>
      <c r="L1598" s="4">
        <f>1/JPY!B1598</f>
        <v>8.4918478260869561E-3</v>
      </c>
      <c r="M1598" s="4">
        <f>1/JPY!C1598</f>
        <v>8.4970141492279605E-3</v>
      </c>
      <c r="N1598" s="5">
        <f>1/KRW!B1598</f>
        <v>8.2603667602841569E-4</v>
      </c>
      <c r="O1598" s="5">
        <f>1/KRW!C1598</f>
        <v>8.260226883651813E-4</v>
      </c>
      <c r="P1598" s="3">
        <f>1/NOK!B1598</f>
        <v>0.1122132950311953</v>
      </c>
      <c r="Q1598" s="3">
        <f>1/NOK!C1598</f>
        <v>0.11216924095074647</v>
      </c>
      <c r="R1598" s="3">
        <f>NZD!B1598/1</f>
        <v>0.6542</v>
      </c>
      <c r="S1598" s="3">
        <f>NZD!C1598/1</f>
        <v>0.65290000000000004</v>
      </c>
      <c r="T1598" s="4">
        <f>1/PHP!B1598</f>
        <v>2.1050858875042103E-2</v>
      </c>
      <c r="U1598" s="4">
        <f>1/PHP!C1598</f>
        <v>2.1011051813253773E-2</v>
      </c>
      <c r="V1598" s="4">
        <f>1/TWD!B1598</f>
        <v>2.9855202268995375E-2</v>
      </c>
      <c r="W1598" s="4">
        <f>1/TWD!C1598</f>
        <v>2.9855202268995375E-2</v>
      </c>
      <c r="X1598" s="4">
        <f>1/TWD!B1598</f>
        <v>2.9855202268995375E-2</v>
      </c>
      <c r="Y1598" s="4">
        <f>1/TWD!C1598</f>
        <v>2.9855202268995375E-2</v>
      </c>
      <c r="Z1598" s="4">
        <f>1/ZAR!B1598</f>
        <v>6.0114578386404494E-2</v>
      </c>
      <c r="AA1598" s="4">
        <f>1/ZAR!C1598</f>
        <v>5.9750719996175955E-2</v>
      </c>
    </row>
    <row r="1599" spans="1:27" x14ac:dyDescent="0.25">
      <c r="A1599" t="str">
        <f>"13/01/2016"</f>
        <v>13/01/2016</v>
      </c>
      <c r="B1599" s="3">
        <f>AUD!B1599</f>
        <v>0.70230000000000004</v>
      </c>
      <c r="C1599" s="3">
        <f>AUD!C1599</f>
        <v>0.70120000000000005</v>
      </c>
      <c r="D1599" s="3">
        <f>1/CAD!B1599</f>
        <v>0.70328433785779598</v>
      </c>
      <c r="E1599" s="3">
        <f>1/CAD!C1599</f>
        <v>0.70328433785779598</v>
      </c>
      <c r="F1599" s="3">
        <f>EUR!B1599/1</f>
        <v>1.0827</v>
      </c>
      <c r="G1599" s="3">
        <f>EUR!C1599/1</f>
        <v>1.0835999999999999</v>
      </c>
      <c r="H1599" s="3">
        <f>GBP!B1599/1</f>
        <v>1.4427000000000001</v>
      </c>
      <c r="I1599" s="3">
        <f>GBP!C1599/1</f>
        <v>1.4427000000000001</v>
      </c>
      <c r="J1599" s="4">
        <f>1/INR!B1599</f>
        <v>1.4957185057772127E-2</v>
      </c>
      <c r="K1599" s="4">
        <f>1/INR!C1599</f>
        <v>1.4872652909462726E-2</v>
      </c>
      <c r="L1599" s="4">
        <f>1/JPY!B1599</f>
        <v>8.4573748308525033E-3</v>
      </c>
      <c r="M1599" s="4">
        <f>1/JPY!C1599</f>
        <v>8.4620194948005125E-3</v>
      </c>
      <c r="N1599" s="5">
        <f>1/KRW!B1599</f>
        <v>8.3042683939544919E-4</v>
      </c>
      <c r="O1599" s="5">
        <f>1/KRW!C1599</f>
        <v>8.3041649539326455E-4</v>
      </c>
      <c r="P1599" s="3">
        <f>1/NOK!B1599</f>
        <v>0.11281079373674473</v>
      </c>
      <c r="Q1599" s="3">
        <f>1/NOK!C1599</f>
        <v>0.11276372616456738</v>
      </c>
      <c r="R1599" s="3">
        <f>NZD!B1599/1</f>
        <v>0.65559999999999996</v>
      </c>
      <c r="S1599" s="3">
        <f>NZD!C1599/1</f>
        <v>0.65429999999999999</v>
      </c>
      <c r="T1599" s="4">
        <f>1/PHP!B1599</f>
        <v>2.1037573105566542E-2</v>
      </c>
      <c r="U1599" s="4">
        <f>1/PHP!C1599</f>
        <v>2.0999580008399833E-2</v>
      </c>
      <c r="V1599" s="4">
        <f>1/TWD!B1599</f>
        <v>2.9770765108663291E-2</v>
      </c>
      <c r="W1599" s="4">
        <f>1/TWD!C1599</f>
        <v>2.9770765108663291E-2</v>
      </c>
      <c r="X1599" s="4">
        <f>1/TWD!B1599</f>
        <v>2.9770765108663291E-2</v>
      </c>
      <c r="Y1599" s="4">
        <f>1/TWD!C1599</f>
        <v>2.9770765108663291E-2</v>
      </c>
      <c r="Z1599" s="4">
        <f>1/ZAR!B1599</f>
        <v>6.0469728853735825E-2</v>
      </c>
      <c r="AA1599" s="4">
        <f>1/ZAR!C1599</f>
        <v>6.0116746722134386E-2</v>
      </c>
    </row>
    <row r="1600" spans="1:27" x14ac:dyDescent="0.25">
      <c r="A1600" t="str">
        <f>"14/01/2016"</f>
        <v>14/01/2016</v>
      </c>
      <c r="B1600" s="3">
        <f>AUD!B1600</f>
        <v>0.69240000000000002</v>
      </c>
      <c r="C1600" s="3">
        <f>AUD!C1600</f>
        <v>0.69140000000000001</v>
      </c>
      <c r="D1600" s="3">
        <f>1/CAD!B1600</f>
        <v>0.69507193994578431</v>
      </c>
      <c r="E1600" s="3">
        <f>1/CAD!C1600</f>
        <v>0.69512025580425407</v>
      </c>
      <c r="F1600" s="3">
        <f>EUR!B1600/1</f>
        <v>1.0940000000000001</v>
      </c>
      <c r="G1600" s="3">
        <f>EUR!C1600/1</f>
        <v>1.0948</v>
      </c>
      <c r="H1600" s="3">
        <f>GBP!B1600/1</f>
        <v>1.4389000000000001</v>
      </c>
      <c r="I1600" s="3">
        <f>GBP!C1600/1</f>
        <v>1.4389000000000001</v>
      </c>
      <c r="J1600" s="4">
        <f>1/INR!B1600</f>
        <v>1.485884101040119E-2</v>
      </c>
      <c r="K1600" s="4">
        <f>1/INR!C1600</f>
        <v>1.4771594224306657E-2</v>
      </c>
      <c r="L1600" s="4">
        <f>1/JPY!B1600</f>
        <v>8.5026783436782591E-3</v>
      </c>
      <c r="M1600" s="4">
        <f>1/JPY!C1600</f>
        <v>8.5070978971304705E-3</v>
      </c>
      <c r="N1600" s="5">
        <f>1/KRW!B1600</f>
        <v>8.2404225688693315E-4</v>
      </c>
      <c r="O1600" s="5">
        <f>1/KRW!C1600</f>
        <v>8.2402901570970111E-4</v>
      </c>
      <c r="P1600" s="3">
        <f>1/NOK!B1600</f>
        <v>0.1134082583893759</v>
      </c>
      <c r="Q1600" s="3">
        <f>1/NOK!C1600</f>
        <v>0.11336069104677261</v>
      </c>
      <c r="R1600" s="3">
        <f>NZD!B1600/1</f>
        <v>0.64410000000000001</v>
      </c>
      <c r="S1600" s="3">
        <f>NZD!C1600/1</f>
        <v>0.64280000000000004</v>
      </c>
      <c r="T1600" s="4">
        <f>1/PHP!B1600</f>
        <v>2.0915688858212544E-2</v>
      </c>
      <c r="U1600" s="4">
        <f>1/PHP!C1600</f>
        <v>2.0877262573331383E-2</v>
      </c>
      <c r="V1600" s="4">
        <f>1/TWD!B1600</f>
        <v>2.9654231658857718E-2</v>
      </c>
      <c r="W1600" s="4">
        <f>1/TWD!C1600</f>
        <v>2.9654231658857718E-2</v>
      </c>
      <c r="X1600" s="4">
        <f>1/TWD!B1600</f>
        <v>2.9654231658857718E-2</v>
      </c>
      <c r="Y1600" s="4">
        <f>1/TWD!C1600</f>
        <v>2.9654231658857718E-2</v>
      </c>
      <c r="Z1600" s="4">
        <f>1/ZAR!B1600</f>
        <v>6.0004920403473092E-2</v>
      </c>
      <c r="AA1600" s="4">
        <f>1/ZAR!C1600</f>
        <v>5.9665871121718374E-2</v>
      </c>
    </row>
    <row r="1601" spans="1:27" x14ac:dyDescent="0.25">
      <c r="A1601" t="str">
        <f>"15/01/2016"</f>
        <v>15/01/2016</v>
      </c>
      <c r="B1601" s="3">
        <f>AUD!B1601</f>
        <v>0.68830000000000002</v>
      </c>
      <c r="C1601" s="3">
        <f>AUD!C1601</f>
        <v>0.68730000000000002</v>
      </c>
      <c r="D1601" s="3">
        <f>1/CAD!B1601</f>
        <v>0.68946497517926097</v>
      </c>
      <c r="E1601" s="3">
        <f>1/CAD!C1601</f>
        <v>0.68951251465214103</v>
      </c>
      <c r="F1601" s="3">
        <f>EUR!B1601/1</f>
        <v>1.0894999999999999</v>
      </c>
      <c r="G1601" s="3">
        <f>EUR!C1601/1</f>
        <v>1.0903</v>
      </c>
      <c r="H1601" s="3">
        <f>GBP!B1601/1</f>
        <v>1.4339</v>
      </c>
      <c r="I1601" s="3">
        <f>GBP!C1601/1</f>
        <v>1.4339</v>
      </c>
      <c r="J1601" s="4">
        <f>1/INR!B1601</f>
        <v>1.4790711433219937E-2</v>
      </c>
      <c r="K1601" s="4">
        <f>1/INR!C1601</f>
        <v>1.4702639123722707E-2</v>
      </c>
      <c r="L1601" s="4">
        <f>1/JPY!B1601</f>
        <v>8.5193388993014142E-3</v>
      </c>
      <c r="M1601" s="4">
        <f>1/JPY!C1601</f>
        <v>8.523768528541838E-3</v>
      </c>
      <c r="N1601" s="5">
        <f>1/KRW!B1601</f>
        <v>8.2413054227789681E-4</v>
      </c>
      <c r="O1601" s="5">
        <f>1/KRW!C1601</f>
        <v>8.2411933577629772E-4</v>
      </c>
      <c r="P1601" s="3">
        <f>1/NOK!B1601</f>
        <v>0.11352928487903456</v>
      </c>
      <c r="Q1601" s="3">
        <f>1/NOK!C1601</f>
        <v>0.11348032818510913</v>
      </c>
      <c r="R1601" s="3">
        <f>NZD!B1601/1</f>
        <v>0.63959999999999995</v>
      </c>
      <c r="S1601" s="3">
        <f>NZD!C1601/1</f>
        <v>0.63829999999999998</v>
      </c>
      <c r="T1601" s="4">
        <f>1/PHP!B1601</f>
        <v>2.0916126333403052E-2</v>
      </c>
      <c r="U1601" s="4">
        <f>1/PHP!C1601</f>
        <v>2.0879442101307055E-2</v>
      </c>
      <c r="V1601" s="4">
        <f>1/TWD!B1601</f>
        <v>2.9603315571343991E-2</v>
      </c>
      <c r="W1601" s="4">
        <f>1/TWD!C1601</f>
        <v>2.9603315571343991E-2</v>
      </c>
      <c r="X1601" s="4">
        <f>1/TWD!B1601</f>
        <v>2.9603315571343991E-2</v>
      </c>
      <c r="Y1601" s="4">
        <f>1/TWD!C1601</f>
        <v>2.9603315571343991E-2</v>
      </c>
      <c r="Z1601" s="4">
        <f>1/ZAR!B1601</f>
        <v>6.0015724119719373E-2</v>
      </c>
      <c r="AA1601" s="4">
        <f>1/ZAR!C1601</f>
        <v>5.9675840832597325E-2</v>
      </c>
    </row>
    <row r="1602" spans="1:27" x14ac:dyDescent="0.25">
      <c r="A1602" t="str">
        <f>"18/01/2016"</f>
        <v>18/01/2016</v>
      </c>
      <c r="B1602" s="3">
        <f>AUD!B1602</f>
        <v>0.68859999999999999</v>
      </c>
      <c r="C1602" s="3">
        <f>AUD!C1602</f>
        <v>0.6875</v>
      </c>
      <c r="D1602" s="3">
        <f>1/CAD!B1602</f>
        <v>0.68927488282326987</v>
      </c>
      <c r="E1602" s="3">
        <f>1/CAD!C1602</f>
        <v>0.68936991589687036</v>
      </c>
      <c r="F1602" s="3">
        <f>EUR!B1602/1</f>
        <v>1.0896999999999999</v>
      </c>
      <c r="G1602" s="3">
        <f>EUR!C1602/1</f>
        <v>1.0906</v>
      </c>
      <c r="H1602" s="3">
        <f>GBP!B1602/1</f>
        <v>1.4294</v>
      </c>
      <c r="I1602" s="3">
        <f>GBP!C1602/1</f>
        <v>1.4294</v>
      </c>
      <c r="J1602" s="4">
        <f>1/INR!B1602</f>
        <v>1.4770503304900115E-2</v>
      </c>
      <c r="K1602" s="4">
        <f>1/INR!C1602</f>
        <v>1.4686983660730676E-2</v>
      </c>
      <c r="L1602" s="4">
        <f>1/JPY!B1602</f>
        <v>8.5193388993014142E-3</v>
      </c>
      <c r="M1602" s="4">
        <f>1/JPY!C1602</f>
        <v>8.5237830594925967E-3</v>
      </c>
      <c r="N1602" s="5">
        <f>1/KRW!B1602</f>
        <v>8.2570246637326714E-4</v>
      </c>
      <c r="O1602" s="5">
        <f>1/KRW!C1602</f>
        <v>8.2568814914570163E-4</v>
      </c>
      <c r="P1602" s="3">
        <f>1/NOK!B1602</f>
        <v>0.11287955751213455</v>
      </c>
      <c r="Q1602" s="3">
        <f>1/NOK!C1602</f>
        <v>0.11282734032110663</v>
      </c>
      <c r="R1602" s="3">
        <f>NZD!B1602/1</f>
        <v>0.64649999999999996</v>
      </c>
      <c r="S1602" s="3">
        <f>NZD!C1602/1</f>
        <v>0.6452</v>
      </c>
      <c r="T1602" s="4">
        <f>1/PHP!B1602</f>
        <v>2.0930573288402369E-2</v>
      </c>
      <c r="U1602" s="4">
        <f>1/PHP!C1602</f>
        <v>2.0892747082850188E-2</v>
      </c>
      <c r="V1602" s="4">
        <f>1/TWD!B1602</f>
        <v>2.9776970491022244E-2</v>
      </c>
      <c r="W1602" s="4">
        <f>1/TWD!C1602</f>
        <v>2.9776970491022244E-2</v>
      </c>
      <c r="X1602" s="4">
        <f>1/TWD!B1602</f>
        <v>2.9776970491022244E-2</v>
      </c>
      <c r="Y1602" s="4">
        <f>1/TWD!C1602</f>
        <v>2.9776970491022244E-2</v>
      </c>
      <c r="Z1602" s="4">
        <f>1/ZAR!B1602</f>
        <v>5.9603991083242935E-2</v>
      </c>
      <c r="AA1602" s="4">
        <f>1/ZAR!C1602</f>
        <v>5.9239249557186603E-2</v>
      </c>
    </row>
    <row r="1603" spans="1:27" x14ac:dyDescent="0.25">
      <c r="A1603" t="str">
        <f>"19/01/2016"</f>
        <v>19/01/2016</v>
      </c>
      <c r="B1603" s="3">
        <f>AUD!B1603</f>
        <v>0.69420000000000004</v>
      </c>
      <c r="C1603" s="3">
        <f>AUD!C1603</f>
        <v>0.69310000000000005</v>
      </c>
      <c r="D1603" s="3">
        <f>1/CAD!B1603</f>
        <v>0.69256873744719161</v>
      </c>
      <c r="E1603" s="3">
        <f>1/CAD!C1603</f>
        <v>0.69261670591494673</v>
      </c>
      <c r="F1603" s="3">
        <f>EUR!B1603/1</f>
        <v>1.0868</v>
      </c>
      <c r="G1603" s="3">
        <f>EUR!C1603/1</f>
        <v>1.0876999999999999</v>
      </c>
      <c r="H1603" s="3">
        <f>GBP!B1603/1</f>
        <v>1.431</v>
      </c>
      <c r="I1603" s="3">
        <f>GBP!C1603/1</f>
        <v>1.431</v>
      </c>
      <c r="J1603" s="4">
        <f>1/INR!B1603</f>
        <v>1.4781966001478195E-2</v>
      </c>
      <c r="K1603" s="4">
        <f>1/INR!C1603</f>
        <v>1.469885716385551E-2</v>
      </c>
      <c r="L1603" s="4">
        <f>1/JPY!B1603</f>
        <v>8.4688346883468844E-3</v>
      </c>
      <c r="M1603" s="4">
        <f>1/JPY!C1603</f>
        <v>8.4732191199884087E-3</v>
      </c>
      <c r="N1603" s="5">
        <f>1/KRW!B1603</f>
        <v>8.2906365550746981E-4</v>
      </c>
      <c r="O1603" s="5">
        <f>1/KRW!C1603</f>
        <v>8.2904990880451005E-4</v>
      </c>
      <c r="P1603" s="3">
        <f>1/NOK!B1603</f>
        <v>0.11330802787377486</v>
      </c>
      <c r="Q1603" s="3">
        <f>1/NOK!C1603</f>
        <v>0.11325926177613174</v>
      </c>
      <c r="R1603" s="3">
        <f>NZD!B1603/1</f>
        <v>0.6492</v>
      </c>
      <c r="S1603" s="3">
        <f>NZD!C1603/1</f>
        <v>0.64790000000000003</v>
      </c>
      <c r="T1603" s="4">
        <f>1/PHP!B1603</f>
        <v>2.0996493585571208E-2</v>
      </c>
      <c r="U1603" s="4">
        <f>1/PHP!C1603</f>
        <v>2.0956013328024475E-2</v>
      </c>
      <c r="V1603" s="4">
        <f>1/TWD!B1603</f>
        <v>2.9689448370049283E-2</v>
      </c>
      <c r="W1603" s="4">
        <f>1/TWD!C1603</f>
        <v>2.9689448370049283E-2</v>
      </c>
      <c r="X1603" s="4">
        <f>1/TWD!B1603</f>
        <v>2.9689448370049283E-2</v>
      </c>
      <c r="Y1603" s="4">
        <f>1/TWD!C1603</f>
        <v>2.9689448370049283E-2</v>
      </c>
      <c r="Z1603" s="4">
        <f>1/ZAR!B1603</f>
        <v>6.0016444505794589E-2</v>
      </c>
      <c r="AA1603" s="4">
        <f>1/ZAR!C1603</f>
        <v>5.9660175639557077E-2</v>
      </c>
    </row>
    <row r="1604" spans="1:27" x14ac:dyDescent="0.25">
      <c r="A1604" t="str">
        <f>"20/01/2016"</f>
        <v>20/01/2016</v>
      </c>
      <c r="B1604" s="3">
        <f>AUD!B1604</f>
        <v>0.68579999999999997</v>
      </c>
      <c r="C1604" s="3">
        <f>AUD!C1604</f>
        <v>0.68479999999999996</v>
      </c>
      <c r="D1604" s="3">
        <f>1/CAD!B1604</f>
        <v>0.68273366559705062</v>
      </c>
      <c r="E1604" s="3">
        <f>1/CAD!C1604</f>
        <v>0.68282690337999319</v>
      </c>
      <c r="F1604" s="3">
        <f>EUR!B1604/1</f>
        <v>1.0907</v>
      </c>
      <c r="G1604" s="3">
        <f>EUR!C1604/1</f>
        <v>1.0914999999999999</v>
      </c>
      <c r="H1604" s="3">
        <f>GBP!B1604/1</f>
        <v>1.4152</v>
      </c>
      <c r="I1604" s="3">
        <f>GBP!C1604/1</f>
        <v>1.4152</v>
      </c>
      <c r="J1604" s="4">
        <f>1/INR!B1604</f>
        <v>1.4711831990878665E-2</v>
      </c>
      <c r="K1604" s="4">
        <f>1/INR!C1604</f>
        <v>1.4633254069873787E-2</v>
      </c>
      <c r="L1604" s="4">
        <f>1/JPY!B1604</f>
        <v>8.5770649283815076E-3</v>
      </c>
      <c r="M1604" s="4">
        <f>1/JPY!C1604</f>
        <v>8.581473799473268E-3</v>
      </c>
      <c r="N1604" s="5">
        <f>1/KRW!B1604</f>
        <v>8.2368930439438248E-4</v>
      </c>
      <c r="O1604" s="5">
        <f>1/KRW!C1604</f>
        <v>8.2367607455751085E-4</v>
      </c>
      <c r="P1604" s="3">
        <f>1/NOK!B1604</f>
        <v>0.11267986523488117</v>
      </c>
      <c r="Q1604" s="3">
        <f>1/NOK!C1604</f>
        <v>0.11263417546151853</v>
      </c>
      <c r="R1604" s="3">
        <f>NZD!B1604/1</f>
        <v>0.63670000000000004</v>
      </c>
      <c r="S1604" s="3">
        <f>NZD!C1604/1</f>
        <v>0.63549999999999995</v>
      </c>
      <c r="T1604" s="4">
        <f>1/PHP!B1604</f>
        <v>2.0848535390388823E-2</v>
      </c>
      <c r="U1604" s="4">
        <f>1/PHP!C1604</f>
        <v>2.0808623093409907E-2</v>
      </c>
      <c r="V1604" s="4">
        <f>1/TWD!B1604</f>
        <v>2.9669188547693223E-2</v>
      </c>
      <c r="W1604" s="4">
        <f>1/TWD!C1604</f>
        <v>2.9669188547693223E-2</v>
      </c>
      <c r="X1604" s="4">
        <f>1/TWD!B1604</f>
        <v>2.9669188547693223E-2</v>
      </c>
      <c r="Y1604" s="4">
        <f>1/TWD!C1604</f>
        <v>2.9669188547693223E-2</v>
      </c>
      <c r="Z1604" s="4">
        <f>1/ZAR!B1604</f>
        <v>5.9611807906910196E-2</v>
      </c>
      <c r="AA1604" s="4">
        <f>1/ZAR!C1604</f>
        <v>5.9266985918164143E-2</v>
      </c>
    </row>
    <row r="1605" spans="1:27" x14ac:dyDescent="0.25">
      <c r="A1605" t="str">
        <f>"21/01/2016"</f>
        <v>21/01/2016</v>
      </c>
      <c r="B1605" s="3">
        <f>AUD!B1605</f>
        <v>0.69099999999999995</v>
      </c>
      <c r="C1605" s="3">
        <f>AUD!C1605</f>
        <v>0.69</v>
      </c>
      <c r="D1605" s="3">
        <f>1/CAD!B1605</f>
        <v>0.69084628670120896</v>
      </c>
      <c r="E1605" s="3">
        <f>1/CAD!C1605</f>
        <v>0.69079856313898869</v>
      </c>
      <c r="F1605" s="3">
        <f>EUR!B1605/1</f>
        <v>1.0904</v>
      </c>
      <c r="G1605" s="3">
        <f>EUR!C1605/1</f>
        <v>1.0911999999999999</v>
      </c>
      <c r="H1605" s="3">
        <f>GBP!B1605/1</f>
        <v>1.4135</v>
      </c>
      <c r="I1605" s="3">
        <f>GBP!C1605/1</f>
        <v>1.4135</v>
      </c>
      <c r="J1605" s="4">
        <f>1/INR!B1605</f>
        <v>1.4699397324709687E-2</v>
      </c>
      <c r="K1605" s="4">
        <f>1/INR!C1605</f>
        <v>1.4619883040935672E-2</v>
      </c>
      <c r="L1605" s="4">
        <f>1/JPY!B1605</f>
        <v>8.5535882302625946E-3</v>
      </c>
      <c r="M1605" s="4">
        <f>1/JPY!C1605</f>
        <v>8.5578338410981416E-3</v>
      </c>
      <c r="N1605" s="5">
        <f>1/KRW!B1605</f>
        <v>8.2372322899505767E-4</v>
      </c>
      <c r="O1605" s="5">
        <f>1/KRW!C1605</f>
        <v>8.2371033731762019E-4</v>
      </c>
      <c r="P1605" s="3">
        <f>1/NOK!B1605</f>
        <v>0.11238480557428636</v>
      </c>
      <c r="Q1605" s="3">
        <f>1/NOK!C1605</f>
        <v>0.11233935472274648</v>
      </c>
      <c r="R1605" s="3">
        <f>NZD!B1605/1</f>
        <v>0.64249999999999996</v>
      </c>
      <c r="S1605" s="3">
        <f>NZD!C1605/1</f>
        <v>0.64129999999999998</v>
      </c>
      <c r="T1605" s="4">
        <f>1/PHP!B1605</f>
        <v>2.0866807169834942E-2</v>
      </c>
      <c r="U1605" s="4">
        <f>1/PHP!C1605</f>
        <v>2.082552376192261E-2</v>
      </c>
      <c r="V1605" s="4">
        <f>1/TWD!B1605</f>
        <v>2.9588425008136819E-2</v>
      </c>
      <c r="W1605" s="4">
        <f>1/TWD!C1605</f>
        <v>2.9588425008136819E-2</v>
      </c>
      <c r="X1605" s="4">
        <f>1/TWD!B1605</f>
        <v>2.9588425008136819E-2</v>
      </c>
      <c r="Y1605" s="4">
        <f>1/TWD!C1605</f>
        <v>2.9588425008136819E-2</v>
      </c>
      <c r="Z1605" s="4">
        <f>1/ZAR!B1605</f>
        <v>5.9875937058414964E-2</v>
      </c>
      <c r="AA1605" s="4">
        <f>1/ZAR!C1605</f>
        <v>5.9531605329269315E-2</v>
      </c>
    </row>
    <row r="1606" spans="1:27" x14ac:dyDescent="0.25">
      <c r="A1606" t="str">
        <f>"22/01/2016"</f>
        <v>22/01/2016</v>
      </c>
      <c r="B1606" s="3">
        <f>AUD!B1606</f>
        <v>0.70289999999999997</v>
      </c>
      <c r="C1606" s="3">
        <f>AUD!C1606</f>
        <v>0.70179999999999998</v>
      </c>
      <c r="D1606" s="3">
        <f>1/CAD!B1606</f>
        <v>0.70586574433542737</v>
      </c>
      <c r="E1606" s="3">
        <f>1/CAD!C1606</f>
        <v>0.70581592320722752</v>
      </c>
      <c r="F1606" s="3">
        <f>EUR!B1606/1</f>
        <v>1.0826</v>
      </c>
      <c r="G1606" s="3">
        <f>EUR!C1606/1</f>
        <v>1.0833999999999999</v>
      </c>
      <c r="H1606" s="3">
        <f>GBP!B1606/1</f>
        <v>1.4271</v>
      </c>
      <c r="I1606" s="3">
        <f>GBP!C1606/1</f>
        <v>1.4271</v>
      </c>
      <c r="J1606" s="4">
        <f>1/INR!B1606</f>
        <v>1.4785244326162489E-2</v>
      </c>
      <c r="K1606" s="4">
        <f>1/INR!C1606</f>
        <v>1.4701018045499652E-2</v>
      </c>
      <c r="L1606" s="4">
        <f>1/JPY!B1606</f>
        <v>8.4537999830923988E-3</v>
      </c>
      <c r="M1606" s="4">
        <f>1/JPY!C1606</f>
        <v>8.4580400860351842E-3</v>
      </c>
      <c r="N1606" s="5">
        <f>1/KRW!B1606</f>
        <v>8.330209504769045E-4</v>
      </c>
      <c r="O1606" s="5">
        <f>1/KRW!C1606</f>
        <v>8.3300846003392002E-4</v>
      </c>
      <c r="P1606" s="3">
        <f>1/NOK!B1606</f>
        <v>0.11444397395255153</v>
      </c>
      <c r="Q1606" s="3">
        <f>1/NOK!C1606</f>
        <v>0.11440076877316617</v>
      </c>
      <c r="R1606" s="3">
        <f>NZD!B1606/1</f>
        <v>0.64949999999999997</v>
      </c>
      <c r="S1606" s="3">
        <f>NZD!C1606/1</f>
        <v>0.6482</v>
      </c>
      <c r="T1606" s="4">
        <f>1/PHP!B1606</f>
        <v>2.0953378732320588E-2</v>
      </c>
      <c r="U1606" s="4">
        <f>1/PHP!C1606</f>
        <v>2.0911752404851526E-2</v>
      </c>
      <c r="V1606" s="4">
        <f>1/TWD!B1606</f>
        <v>2.9818702290076333E-2</v>
      </c>
      <c r="W1606" s="4">
        <f>1/TWD!C1606</f>
        <v>2.9818702290076333E-2</v>
      </c>
      <c r="X1606" s="4">
        <f>1/TWD!B1606</f>
        <v>2.9818702290076333E-2</v>
      </c>
      <c r="Y1606" s="4">
        <f>1/TWD!C1606</f>
        <v>2.9818702290076333E-2</v>
      </c>
      <c r="Z1606" s="4">
        <f>1/ZAR!B1606</f>
        <v>6.0563849438270291E-2</v>
      </c>
      <c r="AA1606" s="4">
        <f>1/ZAR!C1606</f>
        <v>6.0217747374506213E-2</v>
      </c>
    </row>
    <row r="1607" spans="1:27" x14ac:dyDescent="0.25">
      <c r="A1607" t="str">
        <f>"25/01/2016"</f>
        <v>25/01/2016</v>
      </c>
      <c r="B1607" s="3">
        <f>AUD!B1607</f>
        <v>0.69830000000000003</v>
      </c>
      <c r="C1607" s="3">
        <f>AUD!C1607</f>
        <v>0.69720000000000004</v>
      </c>
      <c r="D1607" s="3">
        <f>1/CAD!B1607</f>
        <v>0.70472163495419304</v>
      </c>
      <c r="E1607" s="3">
        <f>1/CAD!C1607</f>
        <v>0.70472163495419304</v>
      </c>
      <c r="F1607" s="3">
        <f>EUR!B1607/1</f>
        <v>1.0814999999999999</v>
      </c>
      <c r="G1607" s="3">
        <f>EUR!C1607/1</f>
        <v>1.0823</v>
      </c>
      <c r="H1607" s="3">
        <f>GBP!B1607/1</f>
        <v>1.4232</v>
      </c>
      <c r="I1607" s="3">
        <f>GBP!C1607/1</f>
        <v>1.4232</v>
      </c>
      <c r="J1607" s="4">
        <f>1/INR!B1607</f>
        <v>1.4740566037735848E-2</v>
      </c>
      <c r="K1607" s="4">
        <f>1/INR!C1607</f>
        <v>1.465899512588412E-2</v>
      </c>
      <c r="L1607" s="4">
        <f>1/JPY!B1607</f>
        <v>8.4416680736113456E-3</v>
      </c>
      <c r="M1607" s="4">
        <f>1/JPY!C1607</f>
        <v>8.4460957500090798E-3</v>
      </c>
      <c r="N1607" s="5">
        <f>1/KRW!B1607</f>
        <v>8.3712130724863346E-4</v>
      </c>
      <c r="O1607" s="5">
        <f>1/KRW!C1607</f>
        <v>8.3711079579937796E-4</v>
      </c>
      <c r="P1607" s="3">
        <f>1/NOK!B1607</f>
        <v>0.11414873580275098</v>
      </c>
      <c r="Q1607" s="3">
        <f>1/NOK!C1607</f>
        <v>0.11410184730890795</v>
      </c>
      <c r="R1607" s="3">
        <f>NZD!B1607/1</f>
        <v>0.64810000000000001</v>
      </c>
      <c r="S1607" s="3">
        <f>NZD!C1607/1</f>
        <v>0.64680000000000004</v>
      </c>
      <c r="T1607" s="4">
        <f>1/PHP!B1607</f>
        <v>2.0810355232763825E-2</v>
      </c>
      <c r="U1607" s="4">
        <f>1/PHP!C1607</f>
        <v>2.0770588846193788E-2</v>
      </c>
      <c r="V1607" s="4">
        <f>1/TWD!B1607</f>
        <v>2.9816035063657233E-2</v>
      </c>
      <c r="W1607" s="4">
        <f>1/TWD!C1607</f>
        <v>2.9816035063657233E-2</v>
      </c>
      <c r="X1607" s="4">
        <f>1/TWD!B1607</f>
        <v>2.9816035063657233E-2</v>
      </c>
      <c r="Y1607" s="4">
        <f>1/TWD!C1607</f>
        <v>2.9816035063657233E-2</v>
      </c>
      <c r="Z1607" s="4">
        <f>1/ZAR!B1607</f>
        <v>6.0732310196347568E-2</v>
      </c>
      <c r="AA1607" s="4">
        <f>1/ZAR!C1607</f>
        <v>6.0366788607579651E-2</v>
      </c>
    </row>
    <row r="1608" spans="1:27" x14ac:dyDescent="0.25">
      <c r="A1608" t="str">
        <f>"27/01/2016"</f>
        <v>27/01/2016</v>
      </c>
      <c r="B1608" s="3">
        <f>AUD!B1608</f>
        <v>0.70330000000000004</v>
      </c>
      <c r="C1608" s="3">
        <f>AUD!C1608</f>
        <v>0.70220000000000005</v>
      </c>
      <c r="D1608" s="3">
        <f>1/CAD!B1608</f>
        <v>0.70791448393034118</v>
      </c>
      <c r="E1608" s="3">
        <f>1/CAD!C1608</f>
        <v>0.70786437318609752</v>
      </c>
      <c r="F1608" s="3">
        <f>EUR!B1608/1</f>
        <v>1.0873999999999999</v>
      </c>
      <c r="G1608" s="3">
        <f>EUR!C1608/1</f>
        <v>1.0882000000000001</v>
      </c>
      <c r="H1608" s="3">
        <f>GBP!B1608/1</f>
        <v>1.4303999999999999</v>
      </c>
      <c r="I1608" s="3">
        <f>GBP!C1608/1</f>
        <v>1.4303999999999999</v>
      </c>
      <c r="J1608" s="4">
        <f>1/INR!B1608</f>
        <v>1.4693997502020424E-2</v>
      </c>
      <c r="K1608" s="4">
        <f>1/INR!C1608</f>
        <v>1.4616677629174887E-2</v>
      </c>
      <c r="L1608" s="4">
        <f>1/JPY!B1608</f>
        <v>8.4530853761623E-3</v>
      </c>
      <c r="M1608" s="4">
        <f>1/JPY!C1608</f>
        <v>8.4569957537424315E-3</v>
      </c>
      <c r="N1608" s="5">
        <f>1/KRW!B1608</f>
        <v>8.3160083160083165E-4</v>
      </c>
      <c r="O1608" s="5">
        <f>1/KRW!C1608</f>
        <v>8.3159114987434667E-4</v>
      </c>
      <c r="P1608" s="3">
        <f>1/NOK!B1608</f>
        <v>0.11457116014756766</v>
      </c>
      <c r="Q1608" s="3">
        <f>1/NOK!C1608</f>
        <v>0.11452785890167783</v>
      </c>
      <c r="R1608" s="3">
        <f>NZD!B1608/1</f>
        <v>0.64870000000000005</v>
      </c>
      <c r="S1608" s="3">
        <f>NZD!C1608/1</f>
        <v>0.64749999999999996</v>
      </c>
      <c r="T1608" s="4">
        <f>1/PHP!B1608</f>
        <v>2.0859407592824366E-2</v>
      </c>
      <c r="U1608" s="4">
        <f>1/PHP!C1608</f>
        <v>2.0819020256906708E-2</v>
      </c>
      <c r="V1608" s="4">
        <f>1/TWD!B1608</f>
        <v>2.9752164469965193E-2</v>
      </c>
      <c r="W1608" s="4">
        <f>1/TWD!C1608</f>
        <v>2.9752164469965193E-2</v>
      </c>
      <c r="X1608" s="4">
        <f>1/TWD!B1608</f>
        <v>2.9752164469965193E-2</v>
      </c>
      <c r="Y1608" s="4">
        <f>1/TWD!C1608</f>
        <v>2.9752164469965193E-2</v>
      </c>
      <c r="Z1608" s="4">
        <f>1/ZAR!B1608</f>
        <v>6.093622414780691E-2</v>
      </c>
      <c r="AA1608" s="4">
        <f>1/ZAR!C1608</f>
        <v>6.0586232384552928E-2</v>
      </c>
    </row>
    <row r="1609" spans="1:27" x14ac:dyDescent="0.25">
      <c r="A1609" t="str">
        <f>"28/01/2016"</f>
        <v>28/01/2016</v>
      </c>
      <c r="B1609" s="3">
        <f>AUD!B1609</f>
        <v>0.70730000000000004</v>
      </c>
      <c r="C1609" s="3">
        <f>AUD!C1609</f>
        <v>0.70630000000000004</v>
      </c>
      <c r="D1609" s="3">
        <f>1/CAD!B1609</f>
        <v>0.71007597812965983</v>
      </c>
      <c r="E1609" s="3">
        <f>1/CAD!C1609</f>
        <v>0.71007597812965983</v>
      </c>
      <c r="F1609" s="3">
        <f>EUR!B1609/1</f>
        <v>1.0907</v>
      </c>
      <c r="G1609" s="3">
        <f>EUR!C1609/1</f>
        <v>1.0913999999999999</v>
      </c>
      <c r="H1609" s="3">
        <f>GBP!B1609/1</f>
        <v>1.4296</v>
      </c>
      <c r="I1609" s="3">
        <f>GBP!C1609/1</f>
        <v>1.4296</v>
      </c>
      <c r="J1609" s="4">
        <f>1/INR!B1609</f>
        <v>1.465630954125751E-2</v>
      </c>
      <c r="K1609" s="4">
        <f>1/INR!C1609</f>
        <v>1.4584168884675685E-2</v>
      </c>
      <c r="L1609" s="4">
        <f>1/JPY!B1609</f>
        <v>8.4132592966515221E-3</v>
      </c>
      <c r="M1609" s="4">
        <f>1/JPY!C1609</f>
        <v>8.4169912118194756E-3</v>
      </c>
      <c r="N1609" s="5">
        <f>1/KRW!B1609</f>
        <v>8.2733515347067097E-4</v>
      </c>
      <c r="O1609" s="5">
        <f>1/KRW!C1609</f>
        <v>8.2732283295193748E-4</v>
      </c>
      <c r="P1609" s="3">
        <f>1/NOK!B1609</f>
        <v>0.11554015020219527</v>
      </c>
      <c r="Q1609" s="3">
        <f>1/NOK!C1609</f>
        <v>0.11550278361708517</v>
      </c>
      <c r="R1609" s="3">
        <f>NZD!B1609/1</f>
        <v>0.64549999999999996</v>
      </c>
      <c r="S1609" s="3">
        <f>NZD!C1609/1</f>
        <v>0.64429999999999998</v>
      </c>
      <c r="T1609" s="4">
        <f>1/PHP!B1609</f>
        <v>2.0908691743157633E-2</v>
      </c>
      <c r="U1609" s="4">
        <f>1/PHP!C1609</f>
        <v>2.0871597929537487E-2</v>
      </c>
      <c r="V1609" s="4">
        <f>1/TWD!B1609</f>
        <v>2.976633427593392E-2</v>
      </c>
      <c r="W1609" s="4">
        <f>1/TWD!C1609</f>
        <v>2.9766245672732033E-2</v>
      </c>
      <c r="X1609" s="4">
        <f>1/TWD!B1609</f>
        <v>2.976633427593392E-2</v>
      </c>
      <c r="Y1609" s="4">
        <f>1/TWD!C1609</f>
        <v>2.9766245672732033E-2</v>
      </c>
      <c r="Z1609" s="4">
        <f>1/ZAR!B1609</f>
        <v>6.1218992580258091E-2</v>
      </c>
      <c r="AA1609" s="4">
        <f>1/ZAR!C1609</f>
        <v>6.0888731931268793E-2</v>
      </c>
    </row>
    <row r="1610" spans="1:27" x14ac:dyDescent="0.25">
      <c r="A1610" t="str">
        <f>"29/01/2016"</f>
        <v>29/01/2016</v>
      </c>
      <c r="B1610" s="3">
        <f>AUD!B1610</f>
        <v>0.70709999999999995</v>
      </c>
      <c r="C1610" s="3">
        <f>AUD!C1610</f>
        <v>0.70609999999999995</v>
      </c>
      <c r="D1610" s="3">
        <f>1/CAD!B1610</f>
        <v>0.71012640249964498</v>
      </c>
      <c r="E1610" s="3">
        <f>1/CAD!C1610</f>
        <v>0.71012640249964498</v>
      </c>
      <c r="F1610" s="3">
        <f>EUR!B1610/1</f>
        <v>1.0916999999999999</v>
      </c>
      <c r="G1610" s="3">
        <f>EUR!C1610/1</f>
        <v>1.0924</v>
      </c>
      <c r="H1610" s="3">
        <f>GBP!B1610/1</f>
        <v>1.4307000000000001</v>
      </c>
      <c r="I1610" s="3">
        <f>GBP!C1610/1</f>
        <v>1.4307000000000001</v>
      </c>
      <c r="J1610" s="4">
        <f>1/INR!B1610</f>
        <v>1.4750350320820119E-2</v>
      </c>
      <c r="K1610" s="4">
        <f>1/INR!C1610</f>
        <v>1.4677283234873226E-2</v>
      </c>
      <c r="L1610" s="4">
        <f>1/JPY!B1610</f>
        <v>8.2665123584359755E-3</v>
      </c>
      <c r="M1610" s="4">
        <f>1/JPY!C1610</f>
        <v>8.2710317864022592E-3</v>
      </c>
      <c r="N1610" s="5">
        <f>1/KRW!B1610</f>
        <v>8.3378496685704761E-4</v>
      </c>
      <c r="O1610" s="5">
        <f>1/KRW!C1610</f>
        <v>8.3377384384749947E-4</v>
      </c>
      <c r="P1610" s="3">
        <f>1/NOK!B1610</f>
        <v>0.11501656238498344</v>
      </c>
      <c r="Q1610" s="3">
        <f>1/NOK!C1610</f>
        <v>0.11498085568752801</v>
      </c>
      <c r="R1610" s="3">
        <f>NZD!B1610/1</f>
        <v>0.64829999999999999</v>
      </c>
      <c r="S1610" s="3">
        <f>NZD!C1610/1</f>
        <v>0.64710000000000001</v>
      </c>
      <c r="T1610" s="4">
        <f>1/PHP!B1610</f>
        <v>2.0919626793857997E-2</v>
      </c>
      <c r="U1610" s="4">
        <f>1/PHP!C1610</f>
        <v>2.0884674825612966E-2</v>
      </c>
      <c r="V1610" s="4">
        <f>1/TWD!B1610</f>
        <v>2.999850007499625E-2</v>
      </c>
      <c r="W1610" s="4">
        <f>1/TWD!C1610</f>
        <v>2.999850007499625E-2</v>
      </c>
      <c r="X1610" s="4">
        <f>1/TWD!B1610</f>
        <v>2.999850007499625E-2</v>
      </c>
      <c r="Y1610" s="4">
        <f>1/TWD!C1610</f>
        <v>2.999850007499625E-2</v>
      </c>
      <c r="Z1610" s="4">
        <f>1/ZAR!B1610</f>
        <v>6.2007812984436042E-2</v>
      </c>
      <c r="AA1610" s="4">
        <f>1/ZAR!C1610</f>
        <v>6.1664826999327856E-2</v>
      </c>
    </row>
    <row r="1611" spans="1:27" x14ac:dyDescent="0.25">
      <c r="A1611" t="str">
        <f>"01/02/2016"</f>
        <v>01/02/2016</v>
      </c>
      <c r="B1611" s="3">
        <f>AUD!B1611</f>
        <v>0.70679999999999998</v>
      </c>
      <c r="C1611" s="3">
        <f>AUD!C1611</f>
        <v>0.70579999999999998</v>
      </c>
      <c r="D1611" s="3">
        <f>1/CAD!B1611</f>
        <v>0.7121999857560003</v>
      </c>
      <c r="E1611" s="3">
        <f>1/CAD!C1611</f>
        <v>0.7121999857560003</v>
      </c>
      <c r="F1611" s="3">
        <f>EUR!B1611/1</f>
        <v>1.0862000000000001</v>
      </c>
      <c r="G1611" s="3">
        <f>EUR!C1611/1</f>
        <v>1.0869</v>
      </c>
      <c r="H1611" s="3">
        <f>GBP!B1611/1</f>
        <v>1.4282999999999999</v>
      </c>
      <c r="I1611" s="3">
        <f>GBP!C1611/1</f>
        <v>1.4282999999999999</v>
      </c>
      <c r="J1611" s="4">
        <f>1/INR!B1611</f>
        <v>1.4739479696366719E-2</v>
      </c>
      <c r="K1611" s="4">
        <f>1/INR!C1611</f>
        <v>1.4665982254161472E-2</v>
      </c>
      <c r="L1611" s="4">
        <f>1/JPY!B1611</f>
        <v>8.2433435001236493E-3</v>
      </c>
      <c r="M1611" s="4">
        <f>1/JPY!C1611</f>
        <v>8.2476335477443142E-3</v>
      </c>
      <c r="N1611" s="5">
        <f>1/KRW!B1611</f>
        <v>8.3286831519068514E-4</v>
      </c>
      <c r="O1611" s="5">
        <f>1/KRW!C1611</f>
        <v>8.3285721662449633E-4</v>
      </c>
      <c r="P1611" s="3">
        <f>1/NOK!B1611</f>
        <v>0.11562698733884488</v>
      </c>
      <c r="Q1611" s="3">
        <f>1/NOK!C1611</f>
        <v>0.11559090068429814</v>
      </c>
      <c r="R1611" s="3">
        <f>NZD!B1611/1</f>
        <v>0.64649999999999996</v>
      </c>
      <c r="S1611" s="3">
        <f>NZD!C1611/1</f>
        <v>0.64539999999999997</v>
      </c>
      <c r="T1611" s="4">
        <f>1/PHP!B1611</f>
        <v>2.0981075070286601E-2</v>
      </c>
      <c r="U1611" s="4">
        <f>1/PHP!C1611</f>
        <v>2.0945478918375469E-2</v>
      </c>
      <c r="V1611" s="4">
        <f>1/TWD!B1611</f>
        <v>2.9888218064439E-2</v>
      </c>
      <c r="W1611" s="4">
        <f>1/TWD!C1611</f>
        <v>2.9888218064439E-2</v>
      </c>
      <c r="X1611" s="4">
        <f>1/TWD!B1611</f>
        <v>2.9888218064439E-2</v>
      </c>
      <c r="Y1611" s="4">
        <f>1/TWD!C1611</f>
        <v>2.9888218064439E-2</v>
      </c>
      <c r="Z1611" s="4">
        <f>1/ZAR!B1611</f>
        <v>6.2448480003996699E-2</v>
      </c>
      <c r="AA1611" s="4">
        <f>1/ZAR!C1611</f>
        <v>6.210755786871705E-2</v>
      </c>
    </row>
    <row r="1612" spans="1:27" x14ac:dyDescent="0.25">
      <c r="A1612" t="str">
        <f>"02/02/2016"</f>
        <v>02/02/2016</v>
      </c>
      <c r="B1612" s="3">
        <f>AUD!B1612</f>
        <v>0.70579999999999998</v>
      </c>
      <c r="C1612" s="3">
        <f>AUD!C1612</f>
        <v>0.70479999999999998</v>
      </c>
      <c r="D1612" s="3">
        <f>1/CAD!B1612</f>
        <v>0.71423469752160562</v>
      </c>
      <c r="E1612" s="3">
        <f>1/CAD!C1612</f>
        <v>0.71423469752160562</v>
      </c>
      <c r="F1612" s="3">
        <f>EUR!B1612/1</f>
        <v>1.0913999999999999</v>
      </c>
      <c r="G1612" s="3">
        <f>EUR!C1612/1</f>
        <v>1.0921000000000001</v>
      </c>
      <c r="H1612" s="3">
        <f>GBP!B1612/1</f>
        <v>1.4417</v>
      </c>
      <c r="I1612" s="3">
        <f>GBP!C1612/1</f>
        <v>1.4417</v>
      </c>
      <c r="J1612" s="4">
        <f>1/INR!B1612</f>
        <v>1.470912701331176E-2</v>
      </c>
      <c r="K1612" s="4">
        <f>1/INR!C1612</f>
        <v>1.4633789419770251E-2</v>
      </c>
      <c r="L1612" s="4">
        <f>1/JPY!B1612</f>
        <v>8.2747207281754238E-3</v>
      </c>
      <c r="M1612" s="4">
        <f>1/JPY!C1612</f>
        <v>8.2788036135322002E-3</v>
      </c>
      <c r="N1612" s="5">
        <f>1/KRW!B1612</f>
        <v>8.2810248596366291E-4</v>
      </c>
      <c r="O1612" s="5">
        <f>1/KRW!C1612</f>
        <v>8.2809357126117813E-4</v>
      </c>
      <c r="P1612" s="3">
        <f>1/NOK!B1612</f>
        <v>0.11479870047871057</v>
      </c>
      <c r="Q1612" s="3">
        <f>1/NOK!C1612</f>
        <v>0.1147657630775587</v>
      </c>
      <c r="R1612" s="3">
        <f>NZD!B1612/1</f>
        <v>0.64900000000000002</v>
      </c>
      <c r="S1612" s="3">
        <f>NZD!C1612/1</f>
        <v>0.64790000000000003</v>
      </c>
      <c r="T1612" s="4">
        <f>1/PHP!B1612</f>
        <v>2.0898641588296761E-2</v>
      </c>
      <c r="U1612" s="4">
        <f>1/PHP!C1612</f>
        <v>2.0865065620631378E-2</v>
      </c>
      <c r="V1612" s="4">
        <f>1/TWD!B1612</f>
        <v>2.9891791713995336E-2</v>
      </c>
      <c r="W1612" s="4">
        <f>1/TWD!C1612</f>
        <v>2.9891791713995336E-2</v>
      </c>
      <c r="X1612" s="4">
        <f>1/TWD!B1612</f>
        <v>2.9891791713995336E-2</v>
      </c>
      <c r="Y1612" s="4">
        <f>1/TWD!C1612</f>
        <v>2.9891791713995336E-2</v>
      </c>
      <c r="Z1612" s="4">
        <f>1/ZAR!B1612</f>
        <v>6.2354635755395238E-2</v>
      </c>
      <c r="AA1612" s="4">
        <f>1/ZAR!C1612</f>
        <v>6.201511928608195E-2</v>
      </c>
    </row>
    <row r="1613" spans="1:27" x14ac:dyDescent="0.25">
      <c r="A1613" t="str">
        <f>"03/02/2016"</f>
        <v>03/02/2016</v>
      </c>
      <c r="B1613" s="3">
        <f>AUD!B1613</f>
        <v>0.70640000000000003</v>
      </c>
      <c r="C1613" s="3">
        <f>AUD!C1613</f>
        <v>0.70540000000000003</v>
      </c>
      <c r="D1613" s="3">
        <f>1/CAD!B1613</f>
        <v>0.715922107674685</v>
      </c>
      <c r="E1613" s="3">
        <f>1/CAD!C1613</f>
        <v>0.7158708568974157</v>
      </c>
      <c r="F1613" s="3">
        <f>EUR!B1613/1</f>
        <v>1.0929</v>
      </c>
      <c r="G1613" s="3">
        <f>EUR!C1613/1</f>
        <v>1.0936999999999999</v>
      </c>
      <c r="H1613" s="3">
        <f>GBP!B1613/1</f>
        <v>1.4489000000000001</v>
      </c>
      <c r="I1613" s="3">
        <f>GBP!C1613/1</f>
        <v>1.4489000000000001</v>
      </c>
      <c r="J1613" s="4">
        <f>1/INR!B1613</f>
        <v>1.4689141052476956E-2</v>
      </c>
      <c r="K1613" s="4">
        <f>1/INR!C1613</f>
        <v>1.4606536425050208E-2</v>
      </c>
      <c r="L1613" s="4">
        <f>1/JPY!B1613</f>
        <v>8.3738067325406125E-3</v>
      </c>
      <c r="M1613" s="4">
        <f>1/JPY!C1613</f>
        <v>8.3784442737103691E-3</v>
      </c>
      <c r="N1613" s="5">
        <f>1/KRW!B1613</f>
        <v>8.1997458078799561E-4</v>
      </c>
      <c r="O1613" s="5">
        <f>1/KRW!C1613</f>
        <v>8.1996449553734321E-4</v>
      </c>
      <c r="P1613" s="3">
        <f>1/NOK!B1613</f>
        <v>0.11501788528116122</v>
      </c>
      <c r="Q1613" s="3">
        <f>1/NOK!C1613</f>
        <v>0.11497953364301154</v>
      </c>
      <c r="R1613" s="3">
        <f>NZD!B1613/1</f>
        <v>0.65920000000000001</v>
      </c>
      <c r="S1613" s="3">
        <f>NZD!C1613/1</f>
        <v>0.65800000000000003</v>
      </c>
      <c r="T1613" s="4">
        <f>1/PHP!B1613</f>
        <v>2.0884238665079463E-2</v>
      </c>
      <c r="U1613" s="4">
        <f>1/PHP!C1613</f>
        <v>2.0850708924103418E-2</v>
      </c>
      <c r="V1613" s="4">
        <f>1/TWD!B1613</f>
        <v>2.9769878836593135E-2</v>
      </c>
      <c r="W1613" s="4">
        <f>1/TWD!C1613</f>
        <v>2.9769878836593135E-2</v>
      </c>
      <c r="X1613" s="4">
        <f>1/TWD!B1613</f>
        <v>2.9769878836593135E-2</v>
      </c>
      <c r="Y1613" s="4">
        <f>1/TWD!C1613</f>
        <v>2.9769878836593135E-2</v>
      </c>
      <c r="Z1613" s="4">
        <f>1/ZAR!B1613</f>
        <v>6.175660486889073E-2</v>
      </c>
      <c r="AA1613" s="4">
        <f>1/ZAR!C1613</f>
        <v>6.1400169464467719E-2</v>
      </c>
    </row>
    <row r="1614" spans="1:27" x14ac:dyDescent="0.25">
      <c r="A1614" t="str">
        <f>"04/02/2016"</f>
        <v>04/02/2016</v>
      </c>
      <c r="B1614" s="3">
        <f>AUD!B1614</f>
        <v>0.72260000000000002</v>
      </c>
      <c r="C1614" s="3">
        <f>AUD!C1614</f>
        <v>0.72160000000000002</v>
      </c>
      <c r="D1614" s="3">
        <f>1/CAD!B1614</f>
        <v>0.73222523248151139</v>
      </c>
      <c r="E1614" s="3">
        <f>1/CAD!C1614</f>
        <v>0.73217162102796896</v>
      </c>
      <c r="F1614" s="3">
        <f>EUR!B1614/1</f>
        <v>1.1184000000000001</v>
      </c>
      <c r="G1614" s="3">
        <f>EUR!C1614/1</f>
        <v>1.1191</v>
      </c>
      <c r="H1614" s="3">
        <f>GBP!B1614/1</f>
        <v>1.4613</v>
      </c>
      <c r="I1614" s="3">
        <f>GBP!C1614/1</f>
        <v>1.4613</v>
      </c>
      <c r="J1614" s="4">
        <f>1/INR!B1614</f>
        <v>1.4798919678863442E-2</v>
      </c>
      <c r="K1614" s="4">
        <f>1/INR!C1614</f>
        <v>1.4723745720911398E-2</v>
      </c>
      <c r="L1614" s="4">
        <f>1/JPY!B1614</f>
        <v>8.5005100306018364E-3</v>
      </c>
      <c r="M1614" s="4">
        <f>1/JPY!C1614</f>
        <v>8.5053975252695358E-3</v>
      </c>
      <c r="N1614" s="5">
        <f>1/KRW!B1614</f>
        <v>8.3173916659735512E-4</v>
      </c>
      <c r="O1614" s="5">
        <f>1/KRW!C1614</f>
        <v>8.3172671456303577E-4</v>
      </c>
      <c r="P1614" s="3">
        <f>1/NOK!B1614</f>
        <v>0.11774402449075709</v>
      </c>
      <c r="Q1614" s="3">
        <f>1/NOK!C1614</f>
        <v>0.1177093755517627</v>
      </c>
      <c r="R1614" s="3">
        <f>NZD!B1614/1</f>
        <v>0.67230000000000001</v>
      </c>
      <c r="S1614" s="3">
        <f>NZD!C1614/1</f>
        <v>0.67110000000000003</v>
      </c>
      <c r="T1614" s="4">
        <f>1/PHP!B1614</f>
        <v>2.0959966464053657E-2</v>
      </c>
      <c r="U1614" s="4">
        <f>1/PHP!C1614</f>
        <v>2.0927069163963589E-2</v>
      </c>
      <c r="V1614" s="4">
        <f>1/TWD!B1614</f>
        <v>2.9941016198089761E-2</v>
      </c>
      <c r="W1614" s="4">
        <f>1/TWD!C1614</f>
        <v>2.9941016198089761E-2</v>
      </c>
      <c r="X1614" s="4">
        <f>1/TWD!B1614</f>
        <v>2.9941016198089761E-2</v>
      </c>
      <c r="Y1614" s="4">
        <f>1/TWD!C1614</f>
        <v>2.9941016198089761E-2</v>
      </c>
      <c r="Z1614" s="4">
        <f>1/ZAR!B1614</f>
        <v>6.333924499619964E-2</v>
      </c>
      <c r="AA1614" s="4">
        <f>1/ZAR!C1614</f>
        <v>6.2999269208477177E-2</v>
      </c>
    </row>
    <row r="1615" spans="1:27" x14ac:dyDescent="0.25">
      <c r="A1615" t="str">
        <f>"05/02/2016"</f>
        <v>05/02/2016</v>
      </c>
      <c r="B1615" s="3">
        <f>AUD!B1615</f>
        <v>0.71889999999999998</v>
      </c>
      <c r="C1615" s="3">
        <f>AUD!C1615</f>
        <v>0.71789999999999998</v>
      </c>
      <c r="D1615" s="3">
        <f>1/CAD!B1615</f>
        <v>0.72838517007793724</v>
      </c>
      <c r="E1615" s="3">
        <f>1/CAD!C1615</f>
        <v>0.72833211944646759</v>
      </c>
      <c r="F1615" s="3">
        <f>EUR!B1615/1</f>
        <v>1.1194</v>
      </c>
      <c r="G1615" s="3">
        <f>EUR!C1615/1</f>
        <v>1.1201000000000001</v>
      </c>
      <c r="H1615" s="3">
        <f>GBP!B1615/1</f>
        <v>1.4562999999999999</v>
      </c>
      <c r="I1615" s="3">
        <f>GBP!C1615/1</f>
        <v>1.4562999999999999</v>
      </c>
      <c r="J1615" s="4">
        <f>1/INR!B1615</f>
        <v>1.4787430683918669E-2</v>
      </c>
      <c r="K1615" s="4">
        <f>1/INR!C1615</f>
        <v>1.471129091577786E-2</v>
      </c>
      <c r="L1615" s="4">
        <f>1/JPY!B1615</f>
        <v>8.5711836804662715E-3</v>
      </c>
      <c r="M1615" s="4">
        <f>1/JPY!C1615</f>
        <v>8.576483796020341E-3</v>
      </c>
      <c r="N1615" s="5">
        <f>1/KRW!B1615</f>
        <v>8.3451556371526335E-4</v>
      </c>
      <c r="O1615" s="5">
        <f>1/KRW!C1615</f>
        <v>8.3450511760263361E-4</v>
      </c>
      <c r="P1615" s="3">
        <f>1/NOK!B1615</f>
        <v>0.11751986085648475</v>
      </c>
      <c r="Q1615" s="3">
        <f>1/NOK!C1615</f>
        <v>0.11748396343899059</v>
      </c>
      <c r="R1615" s="3">
        <f>NZD!B1615/1</f>
        <v>0.66910000000000003</v>
      </c>
      <c r="S1615" s="3">
        <f>NZD!C1615/1</f>
        <v>0.66790000000000005</v>
      </c>
      <c r="T1615" s="4">
        <f>1/PHP!B1615</f>
        <v>2.097095522701059E-2</v>
      </c>
      <c r="U1615" s="4">
        <f>1/PHP!C1615</f>
        <v>2.0938461860591721E-2</v>
      </c>
      <c r="V1615" s="4">
        <f>1/TWD!B1615</f>
        <v>3.0101441859065051E-2</v>
      </c>
      <c r="W1615" s="4">
        <f>1/TWD!C1615</f>
        <v>3.0101441859065051E-2</v>
      </c>
      <c r="X1615" s="4">
        <f>1/TWD!B1615</f>
        <v>3.0101441859065051E-2</v>
      </c>
      <c r="Y1615" s="4">
        <f>1/TWD!C1615</f>
        <v>3.0101441859065051E-2</v>
      </c>
      <c r="Z1615" s="4">
        <f>1/ZAR!B1615</f>
        <v>6.2894664016704821E-2</v>
      </c>
      <c r="AA1615" s="4">
        <f>1/ZAR!C1615</f>
        <v>6.2556692002126921E-2</v>
      </c>
    </row>
    <row r="1616" spans="1:27" x14ac:dyDescent="0.25">
      <c r="A1616" t="str">
        <f>"08/02/2016"</f>
        <v>08/02/2016</v>
      </c>
      <c r="B1616" s="3">
        <f>AUD!B1616</f>
        <v>0.70920000000000005</v>
      </c>
      <c r="C1616" s="3">
        <f>AUD!C1616</f>
        <v>0.70820000000000005</v>
      </c>
      <c r="D1616" s="3">
        <f>1/CAD!B1616</f>
        <v>0.71901064135749204</v>
      </c>
      <c r="E1616" s="3">
        <f>1/CAD!C1616</f>
        <v>0.71901064135749204</v>
      </c>
      <c r="F1616" s="3">
        <f>EUR!B1616/1</f>
        <v>1.1116999999999999</v>
      </c>
      <c r="G1616" s="3">
        <f>EUR!C1616/1</f>
        <v>1.1125</v>
      </c>
      <c r="H1616" s="3">
        <f>GBP!B1616/1</f>
        <v>1.4406000000000001</v>
      </c>
      <c r="I1616" s="3">
        <f>GBP!C1616/1</f>
        <v>1.4406000000000001</v>
      </c>
      <c r="J1616" s="4">
        <f>1/INR!B1616</f>
        <v>1.4717786444918685E-2</v>
      </c>
      <c r="K1616" s="4">
        <f>1/INR!C1616</f>
        <v>1.4640752534680284E-2</v>
      </c>
      <c r="L1616" s="4">
        <f>1/JPY!B1616</f>
        <v>8.5653104925053538E-3</v>
      </c>
      <c r="M1616" s="4">
        <f>1/JPY!C1616</f>
        <v>8.5714555102887457E-3</v>
      </c>
      <c r="N1616" s="5">
        <f>1/KRW!B1616</f>
        <v>8.2989617998788354E-4</v>
      </c>
      <c r="O1616" s="5">
        <f>1/KRW!C1616</f>
        <v>8.2988584920144239E-4</v>
      </c>
      <c r="P1616" s="3">
        <f>1/NOK!B1616</f>
        <v>0.11628177399474406</v>
      </c>
      <c r="Q1616" s="3">
        <f>1/NOK!C1616</f>
        <v>0.11624662884776342</v>
      </c>
      <c r="R1616" s="3">
        <f>NZD!B1616/1</f>
        <v>0.66310000000000002</v>
      </c>
      <c r="S1616" s="3">
        <f>NZD!C1616/1</f>
        <v>0.66190000000000004</v>
      </c>
      <c r="T1616" s="4">
        <f>1/PHP!B1616</f>
        <v>2.0899951930110561E-2</v>
      </c>
      <c r="U1616" s="4">
        <f>1/PHP!C1616</f>
        <v>2.0867242602562498E-2</v>
      </c>
      <c r="V1616" s="4">
        <f>1/TWD!B1616</f>
        <v>3.0000300003000031E-2</v>
      </c>
      <c r="W1616" s="4">
        <f>1/TWD!C1616</f>
        <v>3.0000300003000031E-2</v>
      </c>
      <c r="X1616" s="4">
        <f>1/TWD!B1616</f>
        <v>3.0000300003000031E-2</v>
      </c>
      <c r="Y1616" s="4">
        <f>1/TWD!C1616</f>
        <v>3.0000300003000031E-2</v>
      </c>
      <c r="Z1616" s="4">
        <f>1/ZAR!B1616</f>
        <v>6.2134184985895534E-2</v>
      </c>
      <c r="AA1616" s="4">
        <f>1/ZAR!C1616</f>
        <v>6.1803169266519992E-2</v>
      </c>
    </row>
    <row r="1617" spans="1:27" x14ac:dyDescent="0.25">
      <c r="A1617" t="str">
        <f>"09/02/2016"</f>
        <v>09/02/2016</v>
      </c>
      <c r="B1617" s="3">
        <f>AUD!B1617</f>
        <v>0.70389999999999997</v>
      </c>
      <c r="C1617" s="3">
        <f>AUD!C1617</f>
        <v>0.70289999999999997</v>
      </c>
      <c r="D1617" s="3">
        <f>1/CAD!B1617</f>
        <v>0.72061684802190684</v>
      </c>
      <c r="E1617" s="3">
        <f>1/CAD!C1617</f>
        <v>0.72061684802190684</v>
      </c>
      <c r="F1617" s="3">
        <f>EUR!B1617/1</f>
        <v>1.1213</v>
      </c>
      <c r="G1617" s="3">
        <f>EUR!C1617/1</f>
        <v>1.1221000000000001</v>
      </c>
      <c r="H1617" s="3">
        <f>GBP!B1617/1</f>
        <v>1.4432</v>
      </c>
      <c r="I1617" s="3">
        <f>GBP!C1617/1</f>
        <v>1.4432</v>
      </c>
      <c r="J1617" s="4">
        <f>1/INR!B1617</f>
        <v>1.4726998269577702E-2</v>
      </c>
      <c r="K1617" s="4">
        <f>1/INR!C1617</f>
        <v>1.4648795136600015E-2</v>
      </c>
      <c r="L1617" s="4">
        <f>1/JPY!B1617</f>
        <v>8.6798021005121094E-3</v>
      </c>
      <c r="M1617" s="4">
        <f>1/JPY!C1617</f>
        <v>8.686074832271894E-3</v>
      </c>
      <c r="N1617" s="5">
        <f>1/KRW!B1617</f>
        <v>8.276158869145652E-4</v>
      </c>
      <c r="O1617" s="5">
        <f>1/KRW!C1617</f>
        <v>8.2760561282126609E-4</v>
      </c>
      <c r="P1617" s="3">
        <f>1/NOK!B1617</f>
        <v>0.11644154634373545</v>
      </c>
      <c r="Q1617" s="3">
        <f>1/NOK!C1617</f>
        <v>0.11640630456545527</v>
      </c>
      <c r="R1617" s="3">
        <f>NZD!B1617/1</f>
        <v>0.66069999999999995</v>
      </c>
      <c r="S1617" s="3">
        <f>NZD!C1617/1</f>
        <v>0.65949999999999998</v>
      </c>
      <c r="T1617" s="4">
        <f>1/PHP!B1617</f>
        <v>2.092487968194183E-2</v>
      </c>
      <c r="U1617" s="4">
        <f>1/PHP!C1617</f>
        <v>2.0893401863691444E-2</v>
      </c>
      <c r="V1617" s="4">
        <f>1/TWD!B1617</f>
        <v>2.9939223376545608E-2</v>
      </c>
      <c r="W1617" s="4">
        <f>1/TWD!C1617</f>
        <v>2.9939223376545608E-2</v>
      </c>
      <c r="X1617" s="4">
        <f>1/TWD!B1617</f>
        <v>2.9939223376545608E-2</v>
      </c>
      <c r="Y1617" s="4">
        <f>1/TWD!C1617</f>
        <v>2.9939223376545608E-2</v>
      </c>
      <c r="Z1617" s="4">
        <f>1/ZAR!B1617</f>
        <v>6.1972459439025303E-2</v>
      </c>
      <c r="AA1617" s="4">
        <f>1/ZAR!C1617</f>
        <v>6.1637080867850101E-2</v>
      </c>
    </row>
    <row r="1618" spans="1:27" x14ac:dyDescent="0.25">
      <c r="A1618" t="str">
        <f>"10/02/2016"</f>
        <v>10/02/2016</v>
      </c>
      <c r="B1618" s="3">
        <f>AUD!B1618</f>
        <v>0.70979999999999999</v>
      </c>
      <c r="C1618" s="3">
        <f>AUD!C1618</f>
        <v>0.70879999999999999</v>
      </c>
      <c r="D1618" s="3">
        <f>1/CAD!B1618</f>
        <v>0.72186529993503212</v>
      </c>
      <c r="E1618" s="3">
        <f>1/CAD!C1618</f>
        <v>0.72186529993503212</v>
      </c>
      <c r="F1618" s="3">
        <f>EUR!B1618/1</f>
        <v>1.1263000000000001</v>
      </c>
      <c r="G1618" s="3">
        <f>EUR!C1618/1</f>
        <v>1.1271</v>
      </c>
      <c r="H1618" s="3">
        <f>GBP!B1618/1</f>
        <v>1.4511000000000001</v>
      </c>
      <c r="I1618" s="3">
        <f>GBP!C1618/1</f>
        <v>1.4511000000000001</v>
      </c>
      <c r="J1618" s="4">
        <f>1/INR!B1618</f>
        <v>1.4736221632773357E-2</v>
      </c>
      <c r="K1618" s="4">
        <f>1/INR!C1618</f>
        <v>1.4653624940469647E-2</v>
      </c>
      <c r="L1618" s="4">
        <f>1/JPY!B1618</f>
        <v>8.7032201914708437E-3</v>
      </c>
      <c r="M1618" s="4">
        <f>1/JPY!C1618</f>
        <v>8.7088062577998244E-3</v>
      </c>
      <c r="N1618" s="5">
        <f>1/KRW!B1618</f>
        <v>8.3384058635670036E-4</v>
      </c>
      <c r="O1618" s="5">
        <f>1/KRW!C1618</f>
        <v>8.3383015713529309E-4</v>
      </c>
      <c r="P1618" s="3">
        <f>1/NOK!B1618</f>
        <v>0.1171989452094931</v>
      </c>
      <c r="Q1618" s="3">
        <f>1/NOK!C1618</f>
        <v>0.11716049816643821</v>
      </c>
      <c r="R1618" s="3">
        <f>NZD!B1618/1</f>
        <v>0.6653</v>
      </c>
      <c r="S1618" s="3">
        <f>NZD!C1618/1</f>
        <v>0.66400000000000003</v>
      </c>
      <c r="T1618" s="4">
        <f>1/PHP!B1618</f>
        <v>2.1037573105566542E-2</v>
      </c>
      <c r="U1618" s="4">
        <f>1/PHP!C1618</f>
        <v>2.1004431935138314E-2</v>
      </c>
      <c r="V1618" s="4">
        <f>1/TWD!B1618</f>
        <v>3.0133188694027601E-2</v>
      </c>
      <c r="W1618" s="4">
        <f>1/TWD!C1618</f>
        <v>3.0133188694027601E-2</v>
      </c>
      <c r="X1618" s="4">
        <f>1/TWD!B1618</f>
        <v>3.0133188694027601E-2</v>
      </c>
      <c r="Y1618" s="4">
        <f>1/TWD!C1618</f>
        <v>3.0133188694027601E-2</v>
      </c>
      <c r="Z1618" s="4">
        <f>1/ZAR!B1618</f>
        <v>6.2897037549531423E-2</v>
      </c>
      <c r="AA1618" s="4">
        <f>1/ZAR!C1618</f>
        <v>6.2534002864057331E-2</v>
      </c>
    </row>
    <row r="1619" spans="1:27" x14ac:dyDescent="0.25">
      <c r="A1619" t="str">
        <f>"11/02/2016"</f>
        <v>11/02/2016</v>
      </c>
      <c r="B1619" s="3">
        <f>AUD!B1619</f>
        <v>0.70389999999999997</v>
      </c>
      <c r="C1619" s="3">
        <f>AUD!C1619</f>
        <v>0.70289999999999997</v>
      </c>
      <c r="D1619" s="3">
        <f>1/CAD!B1619</f>
        <v>0.71454090746695254</v>
      </c>
      <c r="E1619" s="3">
        <f>1/CAD!C1619</f>
        <v>0.71454090746695254</v>
      </c>
      <c r="F1619" s="3">
        <f>EUR!B1619/1</f>
        <v>1.1339999999999999</v>
      </c>
      <c r="G1619" s="3">
        <f>EUR!C1619/1</f>
        <v>1.1348</v>
      </c>
      <c r="H1619" s="3">
        <f>GBP!B1619/1</f>
        <v>1.4414</v>
      </c>
      <c r="I1619" s="3">
        <f>GBP!C1619/1</f>
        <v>1.4414</v>
      </c>
      <c r="J1619" s="4">
        <f>1/INR!B1619</f>
        <v>1.4640216675206791E-2</v>
      </c>
      <c r="K1619" s="4">
        <f>1/INR!C1619</f>
        <v>1.4562930061528378E-2</v>
      </c>
      <c r="L1619" s="4">
        <f>1/JPY!B1619</f>
        <v>8.9879561387740427E-3</v>
      </c>
      <c r="M1619" s="4">
        <f>1/JPY!C1619</f>
        <v>8.9943668280555878E-3</v>
      </c>
      <c r="N1619" s="5">
        <f>1/KRW!B1619</f>
        <v>8.3131047783726263E-4</v>
      </c>
      <c r="O1619" s="5">
        <f>1/KRW!C1619</f>
        <v>8.3129872969241127E-4</v>
      </c>
      <c r="P1619" s="3">
        <f>1/NOK!B1619</f>
        <v>0.11687431336340898</v>
      </c>
      <c r="Q1619" s="3">
        <f>1/NOK!C1619</f>
        <v>0.11683880917885685</v>
      </c>
      <c r="R1619" s="3">
        <f>NZD!B1619/1</f>
        <v>0.66469999999999996</v>
      </c>
      <c r="S1619" s="3">
        <f>NZD!C1619/1</f>
        <v>0.66349999999999998</v>
      </c>
      <c r="T1619" s="4">
        <f>1/PHP!B1619</f>
        <v>2.1017675865402805E-2</v>
      </c>
      <c r="U1619" s="4">
        <f>1/PHP!C1619</f>
        <v>2.0984597305577706E-2</v>
      </c>
      <c r="V1619" s="4">
        <f>1/TWD!B1619</f>
        <v>3.0231573855734929E-2</v>
      </c>
      <c r="W1619" s="4">
        <f>1/TWD!C1619</f>
        <v>3.0231573855734929E-2</v>
      </c>
      <c r="X1619" s="4">
        <f>1/TWD!B1619</f>
        <v>3.0231573855734929E-2</v>
      </c>
      <c r="Y1619" s="4">
        <f>1/TWD!C1619</f>
        <v>3.0231573855734929E-2</v>
      </c>
      <c r="Z1619" s="4">
        <f>1/ZAR!B1619</f>
        <v>6.2717158160129446E-2</v>
      </c>
      <c r="AA1619" s="4">
        <f>1/ZAR!C1619</f>
        <v>6.2379140415445081E-2</v>
      </c>
    </row>
    <row r="1620" spans="1:27" x14ac:dyDescent="0.25">
      <c r="A1620" t="str">
        <f>"12/02/2016"</f>
        <v>12/02/2016</v>
      </c>
      <c r="B1620" s="3">
        <f>AUD!B1620</f>
        <v>0.71</v>
      </c>
      <c r="C1620" s="3">
        <f>AUD!C1620</f>
        <v>0.70899999999999996</v>
      </c>
      <c r="D1620" s="3">
        <f>1/CAD!B1620</f>
        <v>0.71823601235365941</v>
      </c>
      <c r="E1620" s="3">
        <f>1/CAD!C1620</f>
        <v>0.71823601235365941</v>
      </c>
      <c r="F1620" s="3">
        <f>EUR!B1620/1</f>
        <v>1.127</v>
      </c>
      <c r="G1620" s="3">
        <f>EUR!C1620/1</f>
        <v>1.1277999999999999</v>
      </c>
      <c r="H1620" s="3">
        <f>GBP!B1620/1</f>
        <v>1.4500999999999999</v>
      </c>
      <c r="I1620" s="3">
        <f>GBP!C1620/1</f>
        <v>1.4500999999999999</v>
      </c>
      <c r="J1620" s="4">
        <f>1/INR!B1620</f>
        <v>1.464611328768628E-2</v>
      </c>
      <c r="K1620" s="4">
        <f>1/INR!C1620</f>
        <v>1.4566111940570262E-2</v>
      </c>
      <c r="L1620" s="4">
        <f>1/JPY!B1620</f>
        <v>8.8896790825851186E-3</v>
      </c>
      <c r="M1620" s="4">
        <f>1/JPY!C1620</f>
        <v>8.8959265552303601E-3</v>
      </c>
      <c r="N1620" s="5">
        <f>1/KRW!B1620</f>
        <v>8.2523911303300133E-4</v>
      </c>
      <c r="O1620" s="5">
        <f>1/KRW!C1620</f>
        <v>8.2523162188547275E-4</v>
      </c>
      <c r="P1620" s="3">
        <f>1/NOK!B1620</f>
        <v>0.11628583057154485</v>
      </c>
      <c r="Q1620" s="3">
        <f>1/NOK!C1620</f>
        <v>0.11625338587986374</v>
      </c>
      <c r="R1620" s="3">
        <f>NZD!B1620/1</f>
        <v>0.66700000000000004</v>
      </c>
      <c r="S1620" s="3">
        <f>NZD!C1620/1</f>
        <v>0.66579999999999995</v>
      </c>
      <c r="T1620" s="4">
        <f>1/PHP!B1620</f>
        <v>2.1041557075223566E-2</v>
      </c>
      <c r="U1620" s="4">
        <f>1/PHP!C1620</f>
        <v>2.1011051813253773E-2</v>
      </c>
      <c r="V1620" s="4">
        <f>1/TWD!B1620</f>
        <v>3.0268176039711849E-2</v>
      </c>
      <c r="W1620" s="4">
        <f>1/TWD!C1620</f>
        <v>3.0268176039711849E-2</v>
      </c>
      <c r="X1620" s="4">
        <f>1/TWD!B1620</f>
        <v>3.0268176039711849E-2</v>
      </c>
      <c r="Y1620" s="4">
        <f>1/TWD!C1620</f>
        <v>3.0268176039711849E-2</v>
      </c>
      <c r="Z1620" s="4">
        <f>1/ZAR!B1620</f>
        <v>6.3384611484023912E-2</v>
      </c>
      <c r="AA1620" s="4">
        <f>1/ZAR!C1620</f>
        <v>6.3043354915175168E-2</v>
      </c>
    </row>
    <row r="1621" spans="1:27" x14ac:dyDescent="0.25">
      <c r="A1621" t="str">
        <f>"15/02/2016"</f>
        <v>15/02/2016</v>
      </c>
      <c r="B1621" s="3">
        <f>AUD!B1621</f>
        <v>0.71550000000000002</v>
      </c>
      <c r="C1621" s="3">
        <f>AUD!C1621</f>
        <v>0.71450000000000002</v>
      </c>
      <c r="D1621" s="3">
        <f>1/CAD!B1621</f>
        <v>0.72406053146043015</v>
      </c>
      <c r="E1621" s="3">
        <f>1/CAD!C1621</f>
        <v>0.72400810889081957</v>
      </c>
      <c r="F1621" s="3">
        <f>EUR!B1621/1</f>
        <v>1.1216999999999999</v>
      </c>
      <c r="G1621" s="3">
        <f>EUR!C1621/1</f>
        <v>1.1225000000000001</v>
      </c>
      <c r="H1621" s="3">
        <f>GBP!B1621/1</f>
        <v>1.4523999999999999</v>
      </c>
      <c r="I1621" s="3">
        <f>GBP!C1621/1</f>
        <v>1.4523999999999999</v>
      </c>
      <c r="J1621" s="4">
        <f>1/INR!B1621</f>
        <v>1.4688601645123384E-2</v>
      </c>
      <c r="K1621" s="4">
        <f>1/INR!C1621</f>
        <v>1.4610271020527432E-2</v>
      </c>
      <c r="L1621" s="4">
        <f>1/JPY!B1621</f>
        <v>8.778860503906593E-3</v>
      </c>
      <c r="M1621" s="4">
        <f>1/JPY!C1621</f>
        <v>8.7844978210053163E-3</v>
      </c>
      <c r="N1621" s="5">
        <f>1/KRW!B1621</f>
        <v>8.2722565061297431E-4</v>
      </c>
      <c r="O1621" s="5">
        <f>1/KRW!C1621</f>
        <v>8.272177812116507E-4</v>
      </c>
      <c r="P1621" s="3">
        <f>1/NOK!B1621</f>
        <v>0.11633723838663516</v>
      </c>
      <c r="Q1621" s="3">
        <f>1/NOK!C1621</f>
        <v>0.11630476500622229</v>
      </c>
      <c r="R1621" s="3">
        <f>NZD!B1621/1</f>
        <v>0.66539999999999999</v>
      </c>
      <c r="S1621" s="3">
        <f>NZD!C1621/1</f>
        <v>0.66420000000000001</v>
      </c>
      <c r="T1621" s="4">
        <f>1/PHP!B1621</f>
        <v>2.1072595090085345E-2</v>
      </c>
      <c r="U1621" s="4">
        <f>1/PHP!C1621</f>
        <v>2.1040228917690626E-2</v>
      </c>
      <c r="V1621" s="4">
        <f>1/TWD!B1621</f>
        <v>3.0385900941962932E-2</v>
      </c>
      <c r="W1621" s="4">
        <f>1/TWD!C1621</f>
        <v>3.0385900941962932E-2</v>
      </c>
      <c r="X1621" s="4">
        <f>1/TWD!B1621</f>
        <v>3.0385900941962932E-2</v>
      </c>
      <c r="Y1621" s="4">
        <f>1/TWD!C1621</f>
        <v>3.0385900941962932E-2</v>
      </c>
      <c r="Z1621" s="4">
        <f>1/ZAR!B1621</f>
        <v>6.320712976423741E-2</v>
      </c>
      <c r="AA1621" s="4">
        <f>1/ZAR!C1621</f>
        <v>6.2863034021474015E-2</v>
      </c>
    </row>
    <row r="1622" spans="1:27" x14ac:dyDescent="0.25">
      <c r="A1622" t="str">
        <f>"16/02/2016"</f>
        <v>16/02/2016</v>
      </c>
      <c r="B1622" s="3">
        <f>AUD!B1622</f>
        <v>0.71499999999999997</v>
      </c>
      <c r="C1622" s="3">
        <f>AUD!C1622</f>
        <v>0.71399999999999997</v>
      </c>
      <c r="D1622" s="3">
        <f>1/CAD!B1622</f>
        <v>0.72427029767509232</v>
      </c>
      <c r="E1622" s="3">
        <f>1/CAD!C1622</f>
        <v>0.72421784472769413</v>
      </c>
      <c r="F1622" s="3">
        <f>EUR!B1622/1</f>
        <v>1.1165</v>
      </c>
      <c r="G1622" s="3">
        <f>EUR!C1622/1</f>
        <v>1.1173</v>
      </c>
      <c r="H1622" s="3">
        <f>GBP!B1622/1</f>
        <v>1.4426000000000001</v>
      </c>
      <c r="I1622" s="3">
        <f>GBP!C1622/1</f>
        <v>1.4426000000000001</v>
      </c>
      <c r="J1622" s="4">
        <f>1/INR!B1622</f>
        <v>1.4622555291537196E-2</v>
      </c>
      <c r="K1622" s="4">
        <f>1/INR!C1622</f>
        <v>1.4543339150668992E-2</v>
      </c>
      <c r="L1622" s="4">
        <f>1/JPY!B1622</f>
        <v>8.778860503906593E-3</v>
      </c>
      <c r="M1622" s="4">
        <f>1/JPY!C1622</f>
        <v>8.7849068272781907E-3</v>
      </c>
      <c r="N1622" s="5">
        <f>1/KRW!B1622</f>
        <v>8.2181423710984372E-4</v>
      </c>
      <c r="O1622" s="5">
        <f>1/KRW!C1622</f>
        <v>8.2180376887426446E-4</v>
      </c>
      <c r="P1622" s="3">
        <f>1/NOK!B1622</f>
        <v>0.1161399718941268</v>
      </c>
      <c r="Q1622" s="3">
        <f>1/NOK!C1622</f>
        <v>0.11610760853158707</v>
      </c>
      <c r="R1622" s="3">
        <f>NZD!B1622/1</f>
        <v>0.65859999999999996</v>
      </c>
      <c r="S1622" s="3">
        <f>NZD!C1622/1</f>
        <v>0.65739999999999998</v>
      </c>
      <c r="T1622" s="4">
        <f>1/PHP!B1622</f>
        <v>2.1030494216614092E-2</v>
      </c>
      <c r="U1622" s="4">
        <f>1/PHP!C1622</f>
        <v>2.1001785151737899E-2</v>
      </c>
      <c r="V1622" s="4">
        <f>1/TWD!B1622</f>
        <v>3.015408738654525E-2</v>
      </c>
      <c r="W1622" s="4">
        <f>1/TWD!C1622</f>
        <v>3.015408738654525E-2</v>
      </c>
      <c r="X1622" s="4">
        <f>1/TWD!B1622</f>
        <v>3.015408738654525E-2</v>
      </c>
      <c r="Y1622" s="4">
        <f>1/TWD!C1622</f>
        <v>3.015408738654525E-2</v>
      </c>
      <c r="Z1622" s="4">
        <f>1/ZAR!B1622</f>
        <v>6.3351282863477978E-2</v>
      </c>
      <c r="AA1622" s="4">
        <f>1/ZAR!C1622</f>
        <v>6.3006414052950599E-2</v>
      </c>
    </row>
    <row r="1623" spans="1:27" x14ac:dyDescent="0.25">
      <c r="A1623" t="str">
        <f>"17/02/2016"</f>
        <v>17/02/2016</v>
      </c>
      <c r="B1623" s="3">
        <f>AUD!B1623</f>
        <v>0.71289999999999998</v>
      </c>
      <c r="C1623" s="3">
        <f>AUD!C1623</f>
        <v>0.71189999999999998</v>
      </c>
      <c r="D1623" s="3">
        <f>1/CAD!B1623</f>
        <v>0.72317037894127856</v>
      </c>
      <c r="E1623" s="3">
        <f>1/CAD!C1623</f>
        <v>0.72317037894127856</v>
      </c>
      <c r="F1623" s="3">
        <f>EUR!B1623/1</f>
        <v>1.1148</v>
      </c>
      <c r="G1623" s="3">
        <f>EUR!C1623/1</f>
        <v>1.1156999999999999</v>
      </c>
      <c r="H1623" s="3">
        <f>GBP!B1623/1</f>
        <v>1.4305000000000001</v>
      </c>
      <c r="I1623" s="3">
        <f>GBP!C1623/1</f>
        <v>1.4305000000000001</v>
      </c>
      <c r="J1623" s="4">
        <f>1/INR!B1623</f>
        <v>1.4604403227573113E-2</v>
      </c>
      <c r="K1623" s="4">
        <f>1/INR!C1623</f>
        <v>1.4525383106979447E-2</v>
      </c>
      <c r="L1623" s="4">
        <f>1/JPY!B1623</f>
        <v>8.7650100797615916E-3</v>
      </c>
      <c r="M1623" s="4">
        <f>1/JPY!C1623</f>
        <v>8.7710911851410691E-3</v>
      </c>
      <c r="N1623" s="5">
        <f>1/KRW!B1623</f>
        <v>8.1473696217176277E-4</v>
      </c>
      <c r="O1623" s="5">
        <f>1/KRW!C1623</f>
        <v>8.1472899669382971E-4</v>
      </c>
      <c r="P1623" s="3">
        <f>1/NOK!B1623</f>
        <v>0.11591515011011938</v>
      </c>
      <c r="Q1623" s="3">
        <f>1/NOK!C1623</f>
        <v>0.11588022619820154</v>
      </c>
      <c r="R1623" s="3">
        <f>NZD!B1623/1</f>
        <v>0.6593</v>
      </c>
      <c r="S1623" s="3">
        <f>NZD!C1623/1</f>
        <v>0.65800000000000003</v>
      </c>
      <c r="T1623" s="4">
        <f>1/PHP!B1623</f>
        <v>2.097447406506282E-2</v>
      </c>
      <c r="U1623" s="4">
        <f>1/PHP!C1623</f>
        <v>2.0944601528955914E-2</v>
      </c>
      <c r="V1623" s="4">
        <f>1/TWD!B1623</f>
        <v>2.9855202268995375E-2</v>
      </c>
      <c r="W1623" s="4">
        <f>1/TWD!C1623</f>
        <v>2.9855202268995375E-2</v>
      </c>
      <c r="X1623" s="4">
        <f>1/TWD!B1623</f>
        <v>2.9855202268995375E-2</v>
      </c>
      <c r="Y1623" s="4">
        <f>1/TWD!C1623</f>
        <v>2.9855202268995375E-2</v>
      </c>
      <c r="Z1623" s="4">
        <f>1/ZAR!B1623</f>
        <v>6.3721054710897576E-2</v>
      </c>
      <c r="AA1623" s="4">
        <f>1/ZAR!C1623</f>
        <v>6.3335233390335047E-2</v>
      </c>
    </row>
    <row r="1624" spans="1:27" x14ac:dyDescent="0.25">
      <c r="A1624" t="str">
        <f>"18/02/2016"</f>
        <v>18/02/2016</v>
      </c>
      <c r="B1624" s="3">
        <f>AUD!B1624</f>
        <v>0.71560000000000001</v>
      </c>
      <c r="C1624" s="3">
        <f>AUD!C1624</f>
        <v>0.71460000000000001</v>
      </c>
      <c r="D1624" s="3">
        <f>1/CAD!B1624</f>
        <v>0.73067368113400555</v>
      </c>
      <c r="E1624" s="3">
        <f>1/CAD!C1624</f>
        <v>0.73067368113400555</v>
      </c>
      <c r="F1624" s="3">
        <f>EUR!B1624/1</f>
        <v>1.1096999999999999</v>
      </c>
      <c r="G1624" s="3">
        <f>EUR!C1624/1</f>
        <v>1.1105</v>
      </c>
      <c r="H1624" s="3">
        <f>GBP!B1624/1</f>
        <v>1.4368000000000001</v>
      </c>
      <c r="I1624" s="3">
        <f>GBP!C1624/1</f>
        <v>1.4368000000000001</v>
      </c>
      <c r="J1624" s="4">
        <f>1/INR!B1624</f>
        <v>1.4604403227573113E-2</v>
      </c>
      <c r="K1624" s="4">
        <f>1/INR!C1624</f>
        <v>1.4525910593020299E-2</v>
      </c>
      <c r="L1624" s="4">
        <f>1/JPY!B1624</f>
        <v>8.7827156156683652E-3</v>
      </c>
      <c r="M1624" s="4">
        <f>1/JPY!C1624</f>
        <v>8.788141633205817E-3</v>
      </c>
      <c r="N1624" s="5">
        <f>1/KRW!B1624</f>
        <v>8.1466395112016296E-4</v>
      </c>
      <c r="O1624" s="5">
        <f>1/KRW!C1624</f>
        <v>8.1465300059103073E-4</v>
      </c>
      <c r="P1624" s="3">
        <f>1/NOK!B1624</f>
        <v>0.11660855673589329</v>
      </c>
      <c r="Q1624" s="3">
        <f>1/NOK!C1624</f>
        <v>0.11658000886008067</v>
      </c>
      <c r="R1624" s="3">
        <f>NZD!B1624/1</f>
        <v>0.66269999999999996</v>
      </c>
      <c r="S1624" s="3">
        <f>NZD!C1624/1</f>
        <v>0.66149999999999998</v>
      </c>
      <c r="T1624" s="4">
        <f>1/PHP!B1624</f>
        <v>2.0977113968660192E-2</v>
      </c>
      <c r="U1624" s="4">
        <f>1/PHP!C1624</f>
        <v>2.0947672713561523E-2</v>
      </c>
      <c r="V1624" s="4">
        <f>1/TWD!B1624</f>
        <v>3.0089667208280674E-2</v>
      </c>
      <c r="W1624" s="4">
        <f>1/TWD!C1624</f>
        <v>3.0089667208280674E-2</v>
      </c>
      <c r="X1624" s="4">
        <f>1/TWD!B1624</f>
        <v>3.0089667208280674E-2</v>
      </c>
      <c r="Y1624" s="4">
        <f>1/TWD!C1624</f>
        <v>3.0089667208280674E-2</v>
      </c>
      <c r="Z1624" s="4">
        <f>1/ZAR!B1624</f>
        <v>6.4921574737716842E-2</v>
      </c>
      <c r="AA1624" s="4">
        <f>1/ZAR!C1624</f>
        <v>6.4564031378119252E-2</v>
      </c>
    </row>
    <row r="1625" spans="1:27" x14ac:dyDescent="0.25">
      <c r="A1625" t="str">
        <f>"22/02/2016"</f>
        <v>22/02/2016</v>
      </c>
      <c r="B1625" s="3">
        <f>AUD!B1625</f>
        <v>0.71870000000000001</v>
      </c>
      <c r="C1625" s="3">
        <f>AUD!C1625</f>
        <v>0.7177</v>
      </c>
      <c r="D1625" s="3">
        <f>1/CAD!B1625</f>
        <v>0.72684983282453852</v>
      </c>
      <c r="E1625" s="3">
        <f>1/CAD!C1625</f>
        <v>0.72684983282453852</v>
      </c>
      <c r="F1625" s="3">
        <f>EUR!B1625/1</f>
        <v>1.1036999999999999</v>
      </c>
      <c r="G1625" s="3">
        <f>EUR!C1625/1</f>
        <v>1.1045</v>
      </c>
      <c r="H1625" s="3">
        <f>GBP!B1625/1</f>
        <v>1.4109</v>
      </c>
      <c r="I1625" s="3">
        <f>GBP!C1625/1</f>
        <v>1.411</v>
      </c>
      <c r="J1625" s="4">
        <f>1/INR!B1625</f>
        <v>1.4575134819997086E-2</v>
      </c>
      <c r="K1625" s="4">
        <f>1/INR!C1625</f>
        <v>1.4483307987544354E-2</v>
      </c>
      <c r="L1625" s="4">
        <f>1/JPY!B1625</f>
        <v>8.82223202470225E-3</v>
      </c>
      <c r="M1625" s="4">
        <f>1/JPY!C1625</f>
        <v>8.8280966535334016E-3</v>
      </c>
      <c r="N1625" s="5">
        <f>1/KRW!B1625</f>
        <v>8.0995925904926973E-4</v>
      </c>
      <c r="O1625" s="5">
        <f>1/KRW!C1625</f>
        <v>8.099504026870915E-4</v>
      </c>
      <c r="P1625" s="3">
        <f>1/NOK!B1625</f>
        <v>0.11610626044956344</v>
      </c>
      <c r="Q1625" s="3">
        <f>1/NOK!C1625</f>
        <v>0.11607391586962579</v>
      </c>
      <c r="R1625" s="3">
        <f>NZD!B1625/1</f>
        <v>0.6663</v>
      </c>
      <c r="S1625" s="3">
        <f>NZD!C1625/1</f>
        <v>0.66510000000000002</v>
      </c>
      <c r="T1625" s="4">
        <f>1/PHP!B1625</f>
        <v>2.1014584121380239E-2</v>
      </c>
      <c r="U1625" s="4">
        <f>1/PHP!C1625</f>
        <v>2.0986358866736624E-2</v>
      </c>
      <c r="V1625" s="4">
        <f>1/TWD!B1625</f>
        <v>3.0084235860409144E-2</v>
      </c>
      <c r="W1625" s="4">
        <f>1/TWD!C1625</f>
        <v>3.0084235860409144E-2</v>
      </c>
      <c r="X1625" s="4">
        <f>1/TWD!B1625</f>
        <v>3.0084235860409144E-2</v>
      </c>
      <c r="Y1625" s="4">
        <f>1/TWD!C1625</f>
        <v>3.0084235860409144E-2</v>
      </c>
      <c r="Z1625" s="4">
        <f>1/ZAR!B1625</f>
        <v>6.5261797701479482E-2</v>
      </c>
      <c r="AA1625" s="4">
        <f>1/ZAR!C1625</f>
        <v>6.4905562406698258E-2</v>
      </c>
    </row>
    <row r="1626" spans="1:27" x14ac:dyDescent="0.25">
      <c r="A1626" t="str">
        <f>"23/02/2016"</f>
        <v>23/02/2016</v>
      </c>
      <c r="B1626" s="3">
        <f>AUD!B1626</f>
        <v>0.72240000000000004</v>
      </c>
      <c r="C1626" s="3">
        <f>AUD!C1626</f>
        <v>0.72130000000000005</v>
      </c>
      <c r="D1626" s="3">
        <f>1/CAD!B1626</f>
        <v>0.7288629737609329</v>
      </c>
      <c r="E1626" s="3">
        <f>1/CAD!C1626</f>
        <v>0.7288629737609329</v>
      </c>
      <c r="F1626" s="3">
        <f>EUR!B1626/1</f>
        <v>1.1040000000000001</v>
      </c>
      <c r="G1626" s="3">
        <f>EUR!C1626/1</f>
        <v>1.1049</v>
      </c>
      <c r="H1626" s="3">
        <f>GBP!B1626/1</f>
        <v>1.4115</v>
      </c>
      <c r="I1626" s="3">
        <f>GBP!C1626/1</f>
        <v>1.4116</v>
      </c>
      <c r="J1626" s="4">
        <f>1/INR!B1626</f>
        <v>1.457938474996355E-2</v>
      </c>
      <c r="K1626" s="4">
        <f>1/INR!C1626</f>
        <v>1.4489078856811678E-2</v>
      </c>
      <c r="L1626" s="4">
        <f>1/JPY!B1626</f>
        <v>8.9023413157660464E-3</v>
      </c>
      <c r="M1626" s="4">
        <f>1/JPY!C1626</f>
        <v>8.9084399450883762E-3</v>
      </c>
      <c r="N1626" s="5">
        <f>1/KRW!B1626</f>
        <v>8.1172125492106012E-4</v>
      </c>
      <c r="O1626" s="5">
        <f>1/KRW!C1626</f>
        <v>8.1171235998469106E-4</v>
      </c>
      <c r="P1626" s="3">
        <f>1/NOK!B1626</f>
        <v>0.11610626044956344</v>
      </c>
      <c r="Q1626" s="3">
        <f>1/NOK!C1626</f>
        <v>0.11607391586962579</v>
      </c>
      <c r="R1626" s="3">
        <f>NZD!B1626/1</f>
        <v>0.66959999999999997</v>
      </c>
      <c r="S1626" s="3">
        <f>NZD!C1626/1</f>
        <v>0.66830000000000001</v>
      </c>
      <c r="T1626" s="4">
        <f>1/PHP!B1626</f>
        <v>2.0995171110644549E-2</v>
      </c>
      <c r="U1626" s="4">
        <f>1/PHP!C1626</f>
        <v>2.0962602716753313E-2</v>
      </c>
      <c r="V1626" s="4">
        <f>1/TWD!B1626</f>
        <v>3.007337904486948E-2</v>
      </c>
      <c r="W1626" s="4">
        <f>1/TWD!C1626</f>
        <v>3.007337904486948E-2</v>
      </c>
      <c r="X1626" s="4">
        <f>1/TWD!B1626</f>
        <v>3.007337904486948E-2</v>
      </c>
      <c r="Y1626" s="4">
        <f>1/TWD!C1626</f>
        <v>3.007337904486948E-2</v>
      </c>
      <c r="Z1626" s="4">
        <f>1/ZAR!B1626</f>
        <v>6.5657726272939171E-2</v>
      </c>
      <c r="AA1626" s="4">
        <f>1/ZAR!C1626</f>
        <v>6.5298020164028636E-2</v>
      </c>
    </row>
    <row r="1627" spans="1:27" x14ac:dyDescent="0.25">
      <c r="A1627" t="str">
        <f>"24/02/2016"</f>
        <v>24/02/2016</v>
      </c>
      <c r="B1627" s="3">
        <f>AUD!B1627</f>
        <v>0.7177</v>
      </c>
      <c r="C1627" s="3">
        <f>AUD!C1627</f>
        <v>0.7167</v>
      </c>
      <c r="D1627" s="3">
        <f>1/CAD!B1627</f>
        <v>0.72421784472769413</v>
      </c>
      <c r="E1627" s="3">
        <f>1/CAD!C1627</f>
        <v>0.7241653993772178</v>
      </c>
      <c r="F1627" s="3">
        <f>EUR!B1627/1</f>
        <v>1.1021000000000001</v>
      </c>
      <c r="G1627" s="3">
        <f>EUR!C1627/1</f>
        <v>1.103</v>
      </c>
      <c r="H1627" s="3">
        <f>GBP!B1627/1</f>
        <v>1.3983000000000001</v>
      </c>
      <c r="I1627" s="3">
        <f>GBP!C1627/1</f>
        <v>1.3984000000000001</v>
      </c>
      <c r="J1627" s="4">
        <f>1/INR!B1627</f>
        <v>1.4585232452142206E-2</v>
      </c>
      <c r="K1627" s="4">
        <f>1/INR!C1627</f>
        <v>1.4498532023632608E-2</v>
      </c>
      <c r="L1627" s="4">
        <f>1/JPY!B1627</f>
        <v>8.9549565684606432E-3</v>
      </c>
      <c r="M1627" s="4">
        <f>1/JPY!C1627</f>
        <v>8.9608143588089297E-3</v>
      </c>
      <c r="N1627" s="5">
        <f>1/KRW!B1627</f>
        <v>8.0955272212102818E-4</v>
      </c>
      <c r="O1627" s="5">
        <f>1/KRW!C1627</f>
        <v>8.0954453000880381E-4</v>
      </c>
      <c r="P1627" s="3">
        <f>1/NOK!B1627</f>
        <v>0.11604024275618785</v>
      </c>
      <c r="Q1627" s="3">
        <f>1/NOK!C1627</f>
        <v>0.1160065891742651</v>
      </c>
      <c r="R1627" s="3">
        <f>NZD!B1627/1</f>
        <v>0.66190000000000004</v>
      </c>
      <c r="S1627" s="3">
        <f>NZD!C1627/1</f>
        <v>0.66059999999999997</v>
      </c>
      <c r="T1627" s="4">
        <f>1/PHP!B1627</f>
        <v>2.0940654186036772E-2</v>
      </c>
      <c r="U1627" s="4">
        <f>1/PHP!C1627</f>
        <v>2.0910440582983084E-2</v>
      </c>
      <c r="V1627" s="4">
        <f>1/TWD!B1627</f>
        <v>3.0032735681893265E-2</v>
      </c>
      <c r="W1627" s="4">
        <f>1/TWD!C1627</f>
        <v>3.0032735681893265E-2</v>
      </c>
      <c r="X1627" s="4">
        <f>1/TWD!B1627</f>
        <v>3.0032735681893265E-2</v>
      </c>
      <c r="Y1627" s="4">
        <f>1/TWD!C1627</f>
        <v>3.0032735681893265E-2</v>
      </c>
      <c r="Z1627" s="4">
        <f>1/ZAR!B1627</f>
        <v>6.5487027019947339E-2</v>
      </c>
      <c r="AA1627" s="4">
        <f>1/ZAR!C1627</f>
        <v>6.5082133652669669E-2</v>
      </c>
    </row>
    <row r="1628" spans="1:27" x14ac:dyDescent="0.25">
      <c r="A1628" t="str">
        <f>"25/02/2016"</f>
        <v>25/02/2016</v>
      </c>
      <c r="B1628" s="3">
        <f>AUD!B1628</f>
        <v>0.71689999999999998</v>
      </c>
      <c r="C1628" s="3">
        <f>AUD!C1628</f>
        <v>0.71589999999999998</v>
      </c>
      <c r="D1628" s="3">
        <f>1/CAD!B1628</f>
        <v>0.72875674099985421</v>
      </c>
      <c r="E1628" s="3">
        <f>1/CAD!C1628</f>
        <v>0.72870363623114476</v>
      </c>
      <c r="F1628" s="3">
        <f>EUR!B1628/1</f>
        <v>1.1026</v>
      </c>
      <c r="G1628" s="3">
        <f>EUR!C1628/1</f>
        <v>1.1034999999999999</v>
      </c>
      <c r="H1628" s="3">
        <f>GBP!B1628/1</f>
        <v>1.3940999999999999</v>
      </c>
      <c r="I1628" s="3">
        <f>GBP!C1628/1</f>
        <v>1.3942000000000001</v>
      </c>
      <c r="J1628" s="4">
        <f>1/INR!B1628</f>
        <v>1.4588956160186739E-2</v>
      </c>
      <c r="K1628" s="4">
        <f>1/INR!C1628</f>
        <v>1.450010875081563E-2</v>
      </c>
      <c r="L1628" s="4">
        <f>1/JPY!B1628</f>
        <v>8.8928412627834585E-3</v>
      </c>
      <c r="M1628" s="4">
        <f>1/JPY!C1628</f>
        <v>8.8990139892499917E-3</v>
      </c>
      <c r="N1628" s="5">
        <f>1/KRW!B1628</f>
        <v>8.0842050801144727E-4</v>
      </c>
      <c r="O1628" s="5">
        <f>1/KRW!C1628</f>
        <v>8.0841233879752703E-4</v>
      </c>
      <c r="P1628" s="3">
        <f>1/NOK!B1628</f>
        <v>0.11535888148028517</v>
      </c>
      <c r="Q1628" s="3">
        <f>1/NOK!C1628</f>
        <v>0.11532828195458372</v>
      </c>
      <c r="R1628" s="3">
        <f>NZD!B1628/1</f>
        <v>0.66490000000000005</v>
      </c>
      <c r="S1628" s="3">
        <f>NZD!C1628/1</f>
        <v>0.66369999999999996</v>
      </c>
      <c r="T1628" s="4">
        <f>1/PHP!B1628</f>
        <v>2.101281781886951E-2</v>
      </c>
      <c r="U1628" s="4">
        <f>1/PHP!C1628</f>
        <v>2.0981955518254304E-2</v>
      </c>
      <c r="V1628" s="4">
        <f>1/TWD!B1628</f>
        <v>3.004266057802079E-2</v>
      </c>
      <c r="W1628" s="4">
        <f>1/TWD!C1628</f>
        <v>3.004266057802079E-2</v>
      </c>
      <c r="X1628" s="4">
        <f>1/TWD!B1628</f>
        <v>3.004266057802079E-2</v>
      </c>
      <c r="Y1628" s="4">
        <f>1/TWD!C1628</f>
        <v>3.004266057802079E-2</v>
      </c>
      <c r="Z1628" s="4">
        <f>1/ZAR!B1628</f>
        <v>6.3893272677319812E-2</v>
      </c>
      <c r="AA1628" s="4">
        <f>1/ZAR!C1628</f>
        <v>6.3503352977037186E-2</v>
      </c>
    </row>
    <row r="1629" spans="1:27" x14ac:dyDescent="0.25">
      <c r="A1629" t="str">
        <f>"26/02/2016"</f>
        <v>26/02/2016</v>
      </c>
      <c r="B1629" s="3">
        <f>AUD!B1629</f>
        <v>0.72399999999999998</v>
      </c>
      <c r="C1629" s="3">
        <f>AUD!C1629</f>
        <v>0.72299999999999998</v>
      </c>
      <c r="D1629" s="3">
        <f>1/CAD!B1629</f>
        <v>0.73915293074137034</v>
      </c>
      <c r="E1629" s="3">
        <f>1/CAD!C1629</f>
        <v>0.73909830007390986</v>
      </c>
      <c r="F1629" s="3">
        <f>EUR!B1629/1</f>
        <v>1.1063000000000001</v>
      </c>
      <c r="G1629" s="3">
        <f>EUR!C1629/1</f>
        <v>1.1072</v>
      </c>
      <c r="H1629" s="3">
        <f>GBP!B1629/1</f>
        <v>1.4003000000000001</v>
      </c>
      <c r="I1629" s="3">
        <f>GBP!C1629/1</f>
        <v>1.4004000000000001</v>
      </c>
      <c r="J1629" s="4">
        <f>1/INR!B1629</f>
        <v>1.4545983490308738E-2</v>
      </c>
      <c r="K1629" s="4">
        <f>1/INR!C1629</f>
        <v>1.4443561782335523E-2</v>
      </c>
      <c r="L1629" s="4">
        <f>1/JPY!B1629</f>
        <v>8.8613203367301739E-3</v>
      </c>
      <c r="M1629" s="4">
        <f>1/JPY!C1629</f>
        <v>8.8705957492105168E-3</v>
      </c>
      <c r="N1629" s="5">
        <f>1/KRW!B1629</f>
        <v>8.0896331351373212E-4</v>
      </c>
      <c r="O1629" s="5">
        <f>1/KRW!C1629</f>
        <v>8.0895480612184643E-4</v>
      </c>
      <c r="P1629" s="3">
        <f>1/NOK!B1629</f>
        <v>0.11623176614168652</v>
      </c>
      <c r="Q1629" s="3">
        <f>1/NOK!C1629</f>
        <v>0.11620205212824057</v>
      </c>
      <c r="R1629" s="3">
        <f>NZD!B1629/1</f>
        <v>0.67669999999999997</v>
      </c>
      <c r="S1629" s="3">
        <f>NZD!C1629/1</f>
        <v>0.6754</v>
      </c>
      <c r="T1629" s="4">
        <f>1/PHP!B1629</f>
        <v>2.101281781886951E-2</v>
      </c>
      <c r="U1629" s="4">
        <f>1/PHP!C1629</f>
        <v>2.0979754536871918E-2</v>
      </c>
      <c r="V1629" s="4">
        <f>1/TWD!B1629</f>
        <v>3.0067953575079676E-2</v>
      </c>
      <c r="W1629" s="4">
        <f>1/TWD!C1629</f>
        <v>3.0067953575079676E-2</v>
      </c>
      <c r="X1629" s="4">
        <f>1/TWD!B1629</f>
        <v>3.0067953575079676E-2</v>
      </c>
      <c r="Y1629" s="4">
        <f>1/TWD!C1629</f>
        <v>3.0067953575079676E-2</v>
      </c>
      <c r="Z1629" s="4">
        <f>1/ZAR!B1629</f>
        <v>6.4174554789026159E-2</v>
      </c>
      <c r="AA1629" s="4">
        <f>1/ZAR!C1629</f>
        <v>6.3795039297744202E-2</v>
      </c>
    </row>
    <row r="1630" spans="1:27" x14ac:dyDescent="0.25">
      <c r="A1630" t="str">
        <f>"29/02/2016"</f>
        <v>29/02/2016</v>
      </c>
      <c r="B1630" s="3">
        <f>AUD!B1630</f>
        <v>0.7147</v>
      </c>
      <c r="C1630" s="3">
        <f>AUD!C1630</f>
        <v>0.71360000000000001</v>
      </c>
      <c r="D1630" s="3">
        <f>1/CAD!B1630</f>
        <v>0.73724565025066346</v>
      </c>
      <c r="E1630" s="3">
        <f>1/CAD!C1630</f>
        <v>0.73724565025066346</v>
      </c>
      <c r="F1630" s="3">
        <f>EUR!B1630/1</f>
        <v>1.0881000000000001</v>
      </c>
      <c r="G1630" s="3">
        <f>EUR!C1630/1</f>
        <v>1.0891</v>
      </c>
      <c r="H1630" s="3">
        <f>GBP!B1630/1</f>
        <v>1.3855999999999999</v>
      </c>
      <c r="I1630" s="3">
        <f>GBP!C1630/1</f>
        <v>1.3856999999999999</v>
      </c>
      <c r="J1630" s="4">
        <f>1/INR!B1630</f>
        <v>1.4614007526213876E-2</v>
      </c>
      <c r="K1630" s="4">
        <f>1/INR!C1630</f>
        <v>1.4516948537417433E-2</v>
      </c>
      <c r="L1630" s="4">
        <f>1/JPY!B1630</f>
        <v>8.8558271342543387E-3</v>
      </c>
      <c r="M1630" s="4">
        <f>1/JPY!C1630</f>
        <v>8.8656490674667021E-3</v>
      </c>
      <c r="N1630" s="5">
        <f>1/KRW!B1630</f>
        <v>8.0853162571453989E-4</v>
      </c>
      <c r="O1630" s="5">
        <f>1/KRW!C1630</f>
        <v>8.0852051256966419E-4</v>
      </c>
      <c r="P1630" s="3">
        <f>1/NOK!B1630</f>
        <v>0.11462106276649398</v>
      </c>
      <c r="Q1630" s="3">
        <f>1/NOK!C1630</f>
        <v>0.1145947928126146</v>
      </c>
      <c r="R1630" s="3">
        <f>NZD!B1630/1</f>
        <v>0.66020000000000001</v>
      </c>
      <c r="S1630" s="3">
        <f>NZD!C1630/1</f>
        <v>0.65890000000000004</v>
      </c>
      <c r="T1630" s="4">
        <f>1/PHP!B1630</f>
        <v>2.1023862083464732E-2</v>
      </c>
      <c r="U1630" s="4">
        <f>1/PHP!C1630</f>
        <v>2.0988561234127401E-2</v>
      </c>
      <c r="V1630" s="4">
        <f>1/TWD!B1630</f>
        <v>3.000570108320581E-2</v>
      </c>
      <c r="W1630" s="4">
        <f>1/TWD!C1630</f>
        <v>3.000570108320581E-2</v>
      </c>
      <c r="X1630" s="4">
        <f>1/TWD!B1630</f>
        <v>3.000570108320581E-2</v>
      </c>
      <c r="Y1630" s="4">
        <f>1/TWD!C1630</f>
        <v>3.000570108320581E-2</v>
      </c>
      <c r="Z1630" s="4">
        <f>1/ZAR!B1630</f>
        <v>6.2253321214686796E-2</v>
      </c>
      <c r="AA1630" s="4">
        <f>1/ZAR!C1630</f>
        <v>6.1855542565891625E-2</v>
      </c>
    </row>
    <row r="1631" spans="1:27" x14ac:dyDescent="0.25">
      <c r="A1631" t="str">
        <f>"01/03/2016"</f>
        <v>01/03/2016</v>
      </c>
      <c r="B1631" s="3">
        <f>AUD!B1631</f>
        <v>0.71489999999999998</v>
      </c>
      <c r="C1631" s="3">
        <f>AUD!C1631</f>
        <v>0.71379999999999999</v>
      </c>
      <c r="D1631" s="3">
        <f>1/CAD!B1631</f>
        <v>0.73986386504883106</v>
      </c>
      <c r="E1631" s="3">
        <f>1/CAD!C1631</f>
        <v>0.73986386504883106</v>
      </c>
      <c r="F1631" s="3">
        <f>EUR!B1631/1</f>
        <v>1.0862000000000001</v>
      </c>
      <c r="G1631" s="3">
        <f>EUR!C1631/1</f>
        <v>1.0871999999999999</v>
      </c>
      <c r="H1631" s="3">
        <f>GBP!B1631/1</f>
        <v>1.3976999999999999</v>
      </c>
      <c r="I1631" s="3">
        <f>GBP!C1631/1</f>
        <v>1.3978999999999999</v>
      </c>
      <c r="J1631" s="4">
        <f>1/INR!B1631</f>
        <v>1.4734050390452334E-2</v>
      </c>
      <c r="K1631" s="4">
        <f>1/INR!C1631</f>
        <v>1.4639145073927683E-2</v>
      </c>
      <c r="L1631" s="4">
        <f>1/JPY!B1631</f>
        <v>8.8370448921880531E-3</v>
      </c>
      <c r="M1631" s="4">
        <f>1/JPY!C1631</f>
        <v>8.8465747389596967E-3</v>
      </c>
      <c r="N1631" s="5">
        <f>1/KRW!B1631</f>
        <v>8.1073411974542941E-4</v>
      </c>
      <c r="O1631" s="5">
        <f>1/KRW!C1631</f>
        <v>8.1072294597261214E-4</v>
      </c>
      <c r="P1631" s="3">
        <f>1/NOK!B1631</f>
        <v>0.11539349180706207</v>
      </c>
      <c r="Q1631" s="3">
        <f>1/NOK!C1631</f>
        <v>0.11536686663590218</v>
      </c>
      <c r="R1631" s="3">
        <f>NZD!B1631/1</f>
        <v>0.66010000000000002</v>
      </c>
      <c r="S1631" s="3">
        <f>NZD!C1631/1</f>
        <v>0.65880000000000005</v>
      </c>
      <c r="T1631" s="4">
        <f>1/PHP!B1631</f>
        <v>2.1107288346666104E-2</v>
      </c>
      <c r="U1631" s="4">
        <f>1/PHP!C1631</f>
        <v>2.1069931101325299E-2</v>
      </c>
      <c r="V1631" s="4">
        <f>1/TWD!B1631</f>
        <v>3.0186856642617801E-2</v>
      </c>
      <c r="W1631" s="4">
        <f>1/TWD!C1631</f>
        <v>3.0186856642617801E-2</v>
      </c>
      <c r="X1631" s="4">
        <f>1/TWD!B1631</f>
        <v>3.0186856642617801E-2</v>
      </c>
      <c r="Y1631" s="4">
        <f>1/TWD!C1631</f>
        <v>3.0186856642617801E-2</v>
      </c>
      <c r="Z1631" s="4">
        <f>1/ZAR!B1631</f>
        <v>6.368858827875222E-2</v>
      </c>
      <c r="AA1631" s="4">
        <f>1/ZAR!C1631</f>
        <v>6.3294344017418597E-2</v>
      </c>
    </row>
    <row r="1632" spans="1:27" x14ac:dyDescent="0.25">
      <c r="A1632" t="str">
        <f>"02/03/2016"</f>
        <v>02/03/2016</v>
      </c>
      <c r="B1632" s="3">
        <f>AUD!B1632</f>
        <v>0.7208</v>
      </c>
      <c r="C1632" s="3">
        <f>AUD!C1632</f>
        <v>0.7198</v>
      </c>
      <c r="D1632" s="3">
        <f>1/CAD!B1632</f>
        <v>0.74294205052005935</v>
      </c>
      <c r="E1632" s="3">
        <f>1/CAD!C1632</f>
        <v>0.74294205052005935</v>
      </c>
      <c r="F1632" s="3">
        <f>EUR!B1632/1</f>
        <v>1.0851</v>
      </c>
      <c r="G1632" s="3">
        <f>EUR!C1632/1</f>
        <v>1.0861000000000001</v>
      </c>
      <c r="H1632" s="3">
        <f>GBP!B1632/1</f>
        <v>1.3987000000000001</v>
      </c>
      <c r="I1632" s="3">
        <f>GBP!C1632/1</f>
        <v>1.3989</v>
      </c>
      <c r="J1632" s="4">
        <f>1/INR!B1632</f>
        <v>1.4803849000740193E-2</v>
      </c>
      <c r="K1632" s="4">
        <f>1/INR!C1632</f>
        <v>1.4709667929246497E-2</v>
      </c>
      <c r="L1632" s="4">
        <f>1/JPY!B1632</f>
        <v>8.7404947120006994E-3</v>
      </c>
      <c r="M1632" s="4">
        <f>1/JPY!C1632</f>
        <v>8.7497484447322145E-3</v>
      </c>
      <c r="N1632" s="5">
        <f>1/KRW!B1632</f>
        <v>8.1441183177509196E-4</v>
      </c>
      <c r="O1632" s="5">
        <f>1/KRW!C1632</f>
        <v>8.1439989315073408E-4</v>
      </c>
      <c r="P1632" s="3">
        <f>1/NOK!B1632</f>
        <v>0.11520206442099441</v>
      </c>
      <c r="Q1632" s="3">
        <f>1/NOK!C1632</f>
        <v>0.11517287448460138</v>
      </c>
      <c r="R1632" s="3">
        <f>NZD!B1632/1</f>
        <v>0.66049999999999998</v>
      </c>
      <c r="S1632" s="3">
        <f>NZD!C1632/1</f>
        <v>0.6593</v>
      </c>
      <c r="T1632" s="4">
        <f>1/PHP!B1632</f>
        <v>2.1126909344432003E-2</v>
      </c>
      <c r="U1632" s="4">
        <f>1/PHP!C1632</f>
        <v>2.109126189019889E-2</v>
      </c>
      <c r="V1632" s="4">
        <f>1/TWD!B1632</f>
        <v>3.0191413561982971E-2</v>
      </c>
      <c r="W1632" s="4">
        <f>1/TWD!C1632</f>
        <v>3.0191413561982971E-2</v>
      </c>
      <c r="X1632" s="4">
        <f>1/TWD!B1632</f>
        <v>3.0191413561982971E-2</v>
      </c>
      <c r="Y1632" s="4">
        <f>1/TWD!C1632</f>
        <v>3.0191413561982971E-2</v>
      </c>
      <c r="Z1632" s="4">
        <f>1/ZAR!B1632</f>
        <v>6.3586534915366325E-2</v>
      </c>
      <c r="AA1632" s="4">
        <f>1/ZAR!C1632</f>
        <v>6.3207928802588992E-2</v>
      </c>
    </row>
    <row r="1633" spans="1:27" x14ac:dyDescent="0.25">
      <c r="A1633" t="str">
        <f>"03/03/2016"</f>
        <v>03/03/2016</v>
      </c>
      <c r="B1633" s="3">
        <f>AUD!B1633</f>
        <v>0.73309999999999997</v>
      </c>
      <c r="C1633" s="3">
        <f>AUD!C1633</f>
        <v>0.73199999999999998</v>
      </c>
      <c r="D1633" s="3">
        <f>1/CAD!B1633</f>
        <v>0.74432452549311501</v>
      </c>
      <c r="E1633" s="3">
        <f>1/CAD!C1633</f>
        <v>0.74432452549311501</v>
      </c>
      <c r="F1633" s="3">
        <f>EUR!B1633/1</f>
        <v>1.0881000000000001</v>
      </c>
      <c r="G1633" s="3">
        <f>EUR!C1633/1</f>
        <v>1.0891</v>
      </c>
      <c r="H1633" s="3">
        <f>GBP!B1633/1</f>
        <v>1.4065000000000001</v>
      </c>
      <c r="I1633" s="3">
        <f>GBP!C1633/1</f>
        <v>1.4067000000000001</v>
      </c>
      <c r="J1633" s="4">
        <f>1/INR!B1633</f>
        <v>1.4849463563128782E-2</v>
      </c>
      <c r="K1633" s="4">
        <f>1/INR!C1633</f>
        <v>1.474328259186908E-2</v>
      </c>
      <c r="L1633" s="4">
        <f>1/JPY!B1633</f>
        <v>8.7757788503729697E-3</v>
      </c>
      <c r="M1633" s="4">
        <f>1/JPY!C1633</f>
        <v>8.7851769466414705E-3</v>
      </c>
      <c r="N1633" s="5">
        <f>1/KRW!B1633</f>
        <v>8.2304526748971192E-4</v>
      </c>
      <c r="O1633" s="5">
        <f>1/KRW!C1633</f>
        <v>8.2303307440712806E-4</v>
      </c>
      <c r="P1633" s="3">
        <f>1/NOK!B1633</f>
        <v>0.11543345261456769</v>
      </c>
      <c r="Q1633" s="3">
        <f>1/NOK!C1633</f>
        <v>0.11540680900173111</v>
      </c>
      <c r="R1633" s="3">
        <f>NZD!B1633/1</f>
        <v>0.6694</v>
      </c>
      <c r="S1633" s="3">
        <f>NZD!C1633/1</f>
        <v>0.66820000000000002</v>
      </c>
      <c r="T1633" s="4">
        <f>1/PHP!B1633</f>
        <v>2.1242697822623471E-2</v>
      </c>
      <c r="U1633" s="4">
        <f>1/PHP!C1633</f>
        <v>2.1204410517387619E-2</v>
      </c>
      <c r="V1633" s="4">
        <f>1/TWD!B1633</f>
        <v>3.0159543987694909E-2</v>
      </c>
      <c r="W1633" s="4">
        <f>1/TWD!C1633</f>
        <v>3.0159543987694909E-2</v>
      </c>
      <c r="X1633" s="4">
        <f>1/TWD!B1633</f>
        <v>3.0159543987694909E-2</v>
      </c>
      <c r="Y1633" s="4">
        <f>1/TWD!C1633</f>
        <v>3.0159543987694909E-2</v>
      </c>
      <c r="Z1633" s="4">
        <f>1/ZAR!B1633</f>
        <v>6.3712935000063711E-2</v>
      </c>
      <c r="AA1633" s="4">
        <f>1/ZAR!C1633</f>
        <v>6.3335634528054519E-2</v>
      </c>
    </row>
    <row r="1634" spans="1:27" x14ac:dyDescent="0.25">
      <c r="A1634" t="str">
        <f>"04/03/2016"</f>
        <v>04/03/2016</v>
      </c>
      <c r="B1634" s="3">
        <f>AUD!B1634</f>
        <v>0.73829999999999996</v>
      </c>
      <c r="C1634" s="3">
        <f>AUD!C1634</f>
        <v>0.73719999999999997</v>
      </c>
      <c r="D1634" s="3">
        <f>1/CAD!B1634</f>
        <v>0.74437993151704629</v>
      </c>
      <c r="E1634" s="3">
        <f>1/CAD!C1634</f>
        <v>0.74437993151704629</v>
      </c>
      <c r="F1634" s="3">
        <f>EUR!B1634/1</f>
        <v>1.0985</v>
      </c>
      <c r="G1634" s="3">
        <f>EUR!C1634/1</f>
        <v>1.0995999999999999</v>
      </c>
      <c r="H1634" s="3">
        <f>GBP!B1634/1</f>
        <v>1.4146000000000001</v>
      </c>
      <c r="I1634" s="3">
        <f>GBP!C1634/1</f>
        <v>1.4148000000000001</v>
      </c>
      <c r="J1634" s="4">
        <f>1/INR!B1634</f>
        <v>1.490312965722802E-2</v>
      </c>
      <c r="K1634" s="4">
        <f>1/INR!C1634</f>
        <v>1.4796182584893099E-2</v>
      </c>
      <c r="L1634" s="4">
        <f>1/JPY!B1634</f>
        <v>8.7881184638368918E-3</v>
      </c>
      <c r="M1634" s="4">
        <f>1/JPY!C1634</f>
        <v>8.797643639127696E-3</v>
      </c>
      <c r="N1634" s="5">
        <f>1/KRW!B1634</f>
        <v>8.3090984628167843E-4</v>
      </c>
      <c r="O1634" s="5">
        <f>1/KRW!C1634</f>
        <v>8.3090018063769933E-4</v>
      </c>
      <c r="P1634" s="3">
        <f>1/NOK!B1634</f>
        <v>0.11693991627101996</v>
      </c>
      <c r="Q1634" s="3">
        <f>1/NOK!C1634</f>
        <v>0.11691257277807655</v>
      </c>
      <c r="R1634" s="3">
        <f>NZD!B1634/1</f>
        <v>0.67530000000000001</v>
      </c>
      <c r="S1634" s="3">
        <f>NZD!C1634/1</f>
        <v>0.67410000000000003</v>
      </c>
      <c r="T1634" s="4">
        <f>1/PHP!B1634</f>
        <v>2.1283388315419816E-2</v>
      </c>
      <c r="U1634" s="4">
        <f>1/PHP!C1634</f>
        <v>2.1245857057873716E-2</v>
      </c>
      <c r="V1634" s="4">
        <f>1/TWD!B1634</f>
        <v>3.022791850553171E-2</v>
      </c>
      <c r="W1634" s="4">
        <f>1/TWD!C1634</f>
        <v>3.022791850553171E-2</v>
      </c>
      <c r="X1634" s="4">
        <f>1/TWD!B1634</f>
        <v>3.022791850553171E-2</v>
      </c>
      <c r="Y1634" s="4">
        <f>1/TWD!C1634</f>
        <v>3.022791850553171E-2</v>
      </c>
      <c r="Z1634" s="4">
        <f>1/ZAR!B1634</f>
        <v>6.3956611834531454E-2</v>
      </c>
      <c r="AA1634" s="4">
        <f>1/ZAR!C1634</f>
        <v>6.357764101520777E-2</v>
      </c>
    </row>
    <row r="1635" spans="1:27" x14ac:dyDescent="0.25">
      <c r="A1635" t="str">
        <f>"08/03/2016"</f>
        <v>08/03/2016</v>
      </c>
      <c r="B1635" s="3">
        <f>AUD!B1635</f>
        <v>0.74299999999999999</v>
      </c>
      <c r="C1635" s="3">
        <f>AUD!C1635</f>
        <v>0.7419</v>
      </c>
      <c r="D1635" s="3">
        <f>1/CAD!B1635</f>
        <v>0.7502438292445045</v>
      </c>
      <c r="E1635" s="3">
        <f>1/CAD!C1635</f>
        <v>0.7502438292445045</v>
      </c>
      <c r="F1635" s="3">
        <f>EUR!B1635/1</f>
        <v>1.1016999999999999</v>
      </c>
      <c r="G1635" s="3">
        <f>EUR!C1635/1</f>
        <v>1.1028</v>
      </c>
      <c r="H1635" s="3">
        <f>GBP!B1635/1</f>
        <v>1.425</v>
      </c>
      <c r="I1635" s="3">
        <f>GBP!C1635/1</f>
        <v>1.4252</v>
      </c>
      <c r="J1635" s="4">
        <f>1/INR!B1635</f>
        <v>1.485773716662952E-2</v>
      </c>
      <c r="K1635" s="4">
        <f>1/INR!C1635</f>
        <v>1.4753614635585718E-2</v>
      </c>
      <c r="L1635" s="4">
        <f>1/JPY!B1635</f>
        <v>8.8354833009365603E-3</v>
      </c>
      <c r="M1635" s="4">
        <f>1/JPY!C1635</f>
        <v>8.8451036601923452E-3</v>
      </c>
      <c r="N1635" s="5">
        <f>1/KRW!B1635</f>
        <v>8.2915302018987604E-4</v>
      </c>
      <c r="O1635" s="5">
        <f>1/KRW!C1635</f>
        <v>8.2914339537536977E-4</v>
      </c>
      <c r="P1635" s="3">
        <f>1/NOK!B1635</f>
        <v>0.11758619067776679</v>
      </c>
      <c r="Q1635" s="3">
        <f>1/NOK!C1635</f>
        <v>0.1175571621701052</v>
      </c>
      <c r="R1635" s="3">
        <f>NZD!B1635/1</f>
        <v>0.67679999999999996</v>
      </c>
      <c r="S1635" s="3">
        <f>NZD!C1635/1</f>
        <v>0.67549999999999999</v>
      </c>
      <c r="T1635" s="4">
        <f>1/PHP!B1635</f>
        <v>2.1285653469561516E-2</v>
      </c>
      <c r="U1635" s="4">
        <f>1/PHP!C1635</f>
        <v>2.1244954323348206E-2</v>
      </c>
      <c r="V1635" s="4">
        <f>1/TWD!B1635</f>
        <v>3.0523167083816617E-2</v>
      </c>
      <c r="W1635" s="4">
        <f>1/TWD!C1635</f>
        <v>3.0523167083816617E-2</v>
      </c>
      <c r="X1635" s="4">
        <f>1/TWD!B1635</f>
        <v>3.0523167083816617E-2</v>
      </c>
      <c r="Y1635" s="4">
        <f>1/TWD!C1635</f>
        <v>3.0523167083816617E-2</v>
      </c>
      <c r="Z1635" s="4">
        <f>1/ZAR!B1635</f>
        <v>6.5225189968365779E-2</v>
      </c>
      <c r="AA1635" s="4">
        <f>1/ZAR!C1635</f>
        <v>6.4823938183892552E-2</v>
      </c>
    </row>
    <row r="1636" spans="1:27" x14ac:dyDescent="0.25">
      <c r="A1636" t="str">
        <f>"09/03/2016"</f>
        <v>09/03/2016</v>
      </c>
      <c r="B1636" s="3">
        <f>AUD!B1636</f>
        <v>0.74829999999999997</v>
      </c>
      <c r="C1636" s="3">
        <f>AUD!C1636</f>
        <v>0.74719999999999998</v>
      </c>
      <c r="D1636" s="3">
        <f>1/CAD!B1636</f>
        <v>0.74632435256362406</v>
      </c>
      <c r="E1636" s="3">
        <f>1/CAD!C1636</f>
        <v>0.74632435256362406</v>
      </c>
      <c r="F1636" s="3">
        <f>EUR!B1636/1</f>
        <v>1.0971</v>
      </c>
      <c r="G1636" s="3">
        <f>EUR!C1636/1</f>
        <v>1.0981000000000001</v>
      </c>
      <c r="H1636" s="3">
        <f>GBP!B1636/1</f>
        <v>1.4219999999999999</v>
      </c>
      <c r="I1636" s="3">
        <f>GBP!C1636/1</f>
        <v>1.4220999999999999</v>
      </c>
      <c r="J1636" s="4">
        <f>1/INR!B1636</f>
        <v>1.487652484379649E-2</v>
      </c>
      <c r="K1636" s="4">
        <f>1/INR!C1636</f>
        <v>1.476941254661596E-2</v>
      </c>
      <c r="L1636" s="4">
        <f>1/JPY!B1636</f>
        <v>8.8896790825851186E-3</v>
      </c>
      <c r="M1636" s="4">
        <f>1/JPY!C1636</f>
        <v>8.8985230231486169E-3</v>
      </c>
      <c r="N1636" s="5">
        <f>1/KRW!B1636</f>
        <v>8.2213178772557252E-4</v>
      </c>
      <c r="O1636" s="5">
        <f>1/KRW!C1636</f>
        <v>8.2212131139858854E-4</v>
      </c>
      <c r="P1636" s="3">
        <f>1/NOK!B1636</f>
        <v>0.11685246208137605</v>
      </c>
      <c r="Q1636" s="3">
        <f>1/NOK!C1636</f>
        <v>0.11682379467049847</v>
      </c>
      <c r="R1636" s="3">
        <f>NZD!B1636/1</f>
        <v>0.6774</v>
      </c>
      <c r="S1636" s="3">
        <f>NZD!C1636/1</f>
        <v>0.67610000000000003</v>
      </c>
      <c r="T1636" s="4">
        <f>1/PHP!B1636</f>
        <v>2.1327418529261219E-2</v>
      </c>
      <c r="U1636" s="4">
        <f>1/PHP!C1636</f>
        <v>2.1287919105907396E-2</v>
      </c>
      <c r="V1636" s="4">
        <f>1/TWD!B1636</f>
        <v>3.0411775439450155E-2</v>
      </c>
      <c r="W1636" s="4">
        <f>1/TWD!C1636</f>
        <v>3.0411775439450155E-2</v>
      </c>
      <c r="X1636" s="4">
        <f>1/TWD!B1636</f>
        <v>3.0411775439450155E-2</v>
      </c>
      <c r="Y1636" s="4">
        <f>1/TWD!C1636</f>
        <v>3.0411775439450155E-2</v>
      </c>
      <c r="Z1636" s="4">
        <f>1/ZAR!B1636</f>
        <v>6.4947717087744369E-2</v>
      </c>
      <c r="AA1636" s="4">
        <f>1/ZAR!C1636</f>
        <v>6.4563197686054993E-2</v>
      </c>
    </row>
    <row r="1637" spans="1:27" x14ac:dyDescent="0.25">
      <c r="A1637" t="str">
        <f>"10/03/2016"</f>
        <v>10/03/2016</v>
      </c>
      <c r="B1637" s="3">
        <f>AUD!B1637</f>
        <v>0.74819999999999998</v>
      </c>
      <c r="C1637" s="3">
        <f>AUD!C1637</f>
        <v>0.74709999999999999</v>
      </c>
      <c r="D1637" s="3">
        <f>1/CAD!B1637</f>
        <v>0.75318219477291548</v>
      </c>
      <c r="E1637" s="3">
        <f>1/CAD!C1637</f>
        <v>0.75318219477291548</v>
      </c>
      <c r="F1637" s="3">
        <f>EUR!B1637/1</f>
        <v>1.0972</v>
      </c>
      <c r="G1637" s="3">
        <f>EUR!C1637/1</f>
        <v>1.0983000000000001</v>
      </c>
      <c r="H1637" s="3">
        <f>GBP!B1637/1</f>
        <v>1.4201999999999999</v>
      </c>
      <c r="I1637" s="3">
        <f>GBP!C1637/1</f>
        <v>1.4202999999999999</v>
      </c>
      <c r="J1637" s="4">
        <f>1/INR!B1637</f>
        <v>1.490979573579842E-2</v>
      </c>
      <c r="K1637" s="4">
        <f>1/INR!C1637</f>
        <v>1.4789070876622176E-2</v>
      </c>
      <c r="L1637" s="4">
        <f>1/JPY!B1637</f>
        <v>8.8028169014084511E-3</v>
      </c>
      <c r="M1637" s="4">
        <f>1/JPY!C1637</f>
        <v>8.8111782131283026E-3</v>
      </c>
      <c r="N1637" s="5">
        <f>1/KRW!B1637</f>
        <v>8.308062975117351E-4</v>
      </c>
      <c r="O1637" s="5">
        <f>1/KRW!C1637</f>
        <v>8.3079628916529476E-4</v>
      </c>
      <c r="P1637" s="3">
        <f>1/NOK!B1637</f>
        <v>0.11744670855599272</v>
      </c>
      <c r="Q1637" s="3">
        <f>1/NOK!C1637</f>
        <v>0.11742188509094326</v>
      </c>
      <c r="R1637" s="3">
        <f>NZD!B1637/1</f>
        <v>0.6663</v>
      </c>
      <c r="S1637" s="3">
        <f>NZD!C1637/1</f>
        <v>0.66520000000000001</v>
      </c>
      <c r="T1637" s="4">
        <f>1/PHP!B1637</f>
        <v>2.14096086323542E-2</v>
      </c>
      <c r="U1637" s="4">
        <f>1/PHP!C1637</f>
        <v>2.1371174559753802E-2</v>
      </c>
      <c r="V1637" s="4">
        <f>1/TWD!B1637</f>
        <v>3.037851631326326E-2</v>
      </c>
      <c r="W1637" s="4">
        <f>1/TWD!C1637</f>
        <v>3.037851631326326E-2</v>
      </c>
      <c r="X1637" s="4">
        <f>1/TWD!B1637</f>
        <v>3.037851631326326E-2</v>
      </c>
      <c r="Y1637" s="4">
        <f>1/TWD!C1637</f>
        <v>3.037851631326326E-2</v>
      </c>
      <c r="Z1637" s="4">
        <f>1/ZAR!B1637</f>
        <v>6.5792936470340541E-2</v>
      </c>
      <c r="AA1637" s="4">
        <f>1/ZAR!C1637</f>
        <v>6.5404362470976807E-2</v>
      </c>
    </row>
    <row r="1638" spans="1:27" x14ac:dyDescent="0.25">
      <c r="A1638" t="str">
        <f>"11/03/2016"</f>
        <v>11/03/2016</v>
      </c>
      <c r="B1638" s="3">
        <f>AUD!B1638</f>
        <v>0.75009999999999999</v>
      </c>
      <c r="C1638" s="3">
        <f>AUD!C1638</f>
        <v>0.749</v>
      </c>
      <c r="D1638" s="3">
        <f>1/CAD!B1638</f>
        <v>0.75448921080428555</v>
      </c>
      <c r="E1638" s="3">
        <f>1/CAD!C1638</f>
        <v>0.75448921080428555</v>
      </c>
      <c r="F1638" s="3">
        <f>EUR!B1638/1</f>
        <v>1.1085</v>
      </c>
      <c r="G1638" s="3">
        <f>EUR!C1638/1</f>
        <v>1.1094999999999999</v>
      </c>
      <c r="H1638" s="3">
        <f>GBP!B1638/1</f>
        <v>1.4301999999999999</v>
      </c>
      <c r="I1638" s="3">
        <f>GBP!C1638/1</f>
        <v>1.4302999999999999</v>
      </c>
      <c r="J1638" s="4">
        <f>1/INR!B1638</f>
        <v>1.4912575028893113E-2</v>
      </c>
      <c r="K1638" s="4">
        <f>1/INR!C1638</f>
        <v>1.4794540814439471E-2</v>
      </c>
      <c r="L1638" s="4">
        <f>1/JPY!B1638</f>
        <v>8.7858021437357235E-3</v>
      </c>
      <c r="M1638" s="4">
        <f>1/JPY!C1638</f>
        <v>8.7944482407146009E-3</v>
      </c>
      <c r="N1638" s="5">
        <f>1/KRW!B1638</f>
        <v>8.380122349786307E-4</v>
      </c>
      <c r="O1638" s="5">
        <f>1/KRW!C1638</f>
        <v>8.3799959440819635E-4</v>
      </c>
      <c r="P1638" s="3">
        <f>1/NOK!B1638</f>
        <v>0.11714402858314298</v>
      </c>
      <c r="Q1638" s="3">
        <f>1/NOK!C1638</f>
        <v>0.11711796121053125</v>
      </c>
      <c r="R1638" s="3">
        <f>NZD!B1638/1</f>
        <v>0.66849999999999998</v>
      </c>
      <c r="S1638" s="3">
        <f>NZD!C1638/1</f>
        <v>0.6673</v>
      </c>
      <c r="T1638" s="4">
        <f>1/PHP!B1638</f>
        <v>2.1438525029477972E-2</v>
      </c>
      <c r="U1638" s="4">
        <f>1/PHP!C1638</f>
        <v>2.1401361126567649E-2</v>
      </c>
      <c r="V1638" s="4">
        <f>1/TWD!B1638</f>
        <v>3.0485945978903726E-2</v>
      </c>
      <c r="W1638" s="4">
        <f>1/TWD!C1638</f>
        <v>3.0485945978903726E-2</v>
      </c>
      <c r="X1638" s="4">
        <f>1/TWD!B1638</f>
        <v>3.0485945978903726E-2</v>
      </c>
      <c r="Y1638" s="4">
        <f>1/TWD!C1638</f>
        <v>3.0485945978903726E-2</v>
      </c>
      <c r="Z1638" s="4">
        <f>1/ZAR!B1638</f>
        <v>6.5870077858432033E-2</v>
      </c>
      <c r="AA1638" s="4">
        <f>1/ZAR!C1638</f>
        <v>6.5481881163482067E-2</v>
      </c>
    </row>
    <row r="1639" spans="1:27" x14ac:dyDescent="0.25">
      <c r="A1639" t="str">
        <f>"14/03/2016"</f>
        <v>14/03/2016</v>
      </c>
      <c r="B1639" s="3">
        <f>AUD!B1639</f>
        <v>0.75449999999999995</v>
      </c>
      <c r="C1639" s="3">
        <f>AUD!C1639</f>
        <v>0.75329999999999997</v>
      </c>
      <c r="D1639" s="3">
        <f>1/CAD!B1639</f>
        <v>0.75540111799365461</v>
      </c>
      <c r="E1639" s="3">
        <f>1/CAD!C1639</f>
        <v>0.75540111799365461</v>
      </c>
      <c r="F1639" s="3">
        <f>EUR!B1639/1</f>
        <v>1.111</v>
      </c>
      <c r="G1639" s="3">
        <f>EUR!C1639/1</f>
        <v>1.1121000000000001</v>
      </c>
      <c r="H1639" s="3">
        <f>GBP!B1639/1</f>
        <v>1.4355</v>
      </c>
      <c r="I1639" s="3">
        <f>GBP!C1639/1</f>
        <v>1.4357</v>
      </c>
      <c r="J1639" s="4">
        <f>1/INR!B1639</f>
        <v>1.4900908955446282E-2</v>
      </c>
      <c r="K1639" s="4">
        <f>1/INR!C1639</f>
        <v>1.4784697837737941E-2</v>
      </c>
      <c r="L1639" s="4">
        <f>1/JPY!B1639</f>
        <v>8.7966220971147074E-3</v>
      </c>
      <c r="M1639" s="4">
        <f>1/JPY!C1639</f>
        <v>8.806204499442128E-3</v>
      </c>
      <c r="N1639" s="5">
        <f>1/KRW!B1639</f>
        <v>8.4288604180714764E-4</v>
      </c>
      <c r="O1639" s="5">
        <f>1/KRW!C1639</f>
        <v>8.4287289855982522E-4</v>
      </c>
      <c r="P1639" s="3">
        <f>1/NOK!B1639</f>
        <v>0.11826901470083853</v>
      </c>
      <c r="Q1639" s="3">
        <f>1/NOK!C1639</f>
        <v>0.1182396481188072</v>
      </c>
      <c r="R1639" s="3">
        <f>NZD!B1639/1</f>
        <v>0.67069999999999996</v>
      </c>
      <c r="S1639" s="3">
        <f>NZD!C1639/1</f>
        <v>0.66949999999999998</v>
      </c>
      <c r="T1639" s="4">
        <f>1/PHP!B1639</f>
        <v>2.1426122728830991E-2</v>
      </c>
      <c r="U1639" s="4">
        <f>1/PHP!C1639</f>
        <v>2.1388315563207819E-2</v>
      </c>
      <c r="V1639" s="4">
        <f>1/TWD!B1639</f>
        <v>3.0431210249231615E-2</v>
      </c>
      <c r="W1639" s="4">
        <f>1/TWD!C1639</f>
        <v>3.0431210249231615E-2</v>
      </c>
      <c r="X1639" s="4">
        <f>1/TWD!B1639</f>
        <v>3.0431210249231615E-2</v>
      </c>
      <c r="Y1639" s="4">
        <f>1/TWD!C1639</f>
        <v>3.0431210249231615E-2</v>
      </c>
      <c r="Z1639" s="4">
        <f>1/ZAR!B1639</f>
        <v>6.4895453424533081E-2</v>
      </c>
      <c r="AA1639" s="4">
        <f>1/ZAR!C1639</f>
        <v>6.4489501109219416E-2</v>
      </c>
    </row>
    <row r="1640" spans="1:27" x14ac:dyDescent="0.25">
      <c r="A1640" t="str">
        <f>"15/03/2016"</f>
        <v>15/03/2016</v>
      </c>
      <c r="B1640" s="3">
        <f>AUD!B1640</f>
        <v>0.74639999999999995</v>
      </c>
      <c r="C1640" s="3">
        <f>AUD!C1640</f>
        <v>0.74529999999999996</v>
      </c>
      <c r="D1640" s="3">
        <f>1/CAD!B1640</f>
        <v>0.74799910240107714</v>
      </c>
      <c r="E1640" s="3">
        <f>1/CAD!C1640</f>
        <v>0.74799910240107714</v>
      </c>
      <c r="F1640" s="3">
        <f>EUR!B1640/1</f>
        <v>1.1097999999999999</v>
      </c>
      <c r="G1640" s="3">
        <f>EUR!C1640/1</f>
        <v>1.1109</v>
      </c>
      <c r="H1640" s="3">
        <f>GBP!B1640/1</f>
        <v>1.417</v>
      </c>
      <c r="I1640" s="3">
        <f>GBP!C1640/1</f>
        <v>1.4172</v>
      </c>
      <c r="J1640" s="4">
        <f>1/INR!B1640</f>
        <v>1.4838996883810655E-2</v>
      </c>
      <c r="K1640" s="4">
        <f>1/INR!C1640</f>
        <v>1.4726998269577702E-2</v>
      </c>
      <c r="L1640" s="4">
        <f>1/JPY!B1640</f>
        <v>8.8534749889331559E-3</v>
      </c>
      <c r="M1640" s="4">
        <f>1/JPY!C1640</f>
        <v>8.8628832199918288E-3</v>
      </c>
      <c r="N1640" s="5">
        <f>1/KRW!B1640</f>
        <v>8.418571368438777E-4</v>
      </c>
      <c r="O1640" s="5">
        <f>1/KRW!C1640</f>
        <v>8.418440256644569E-4</v>
      </c>
      <c r="P1640" s="3">
        <f>1/NOK!B1640</f>
        <v>0.11676650202589882</v>
      </c>
      <c r="Q1640" s="3">
        <f>1/NOK!C1640</f>
        <v>0.1167392395605935</v>
      </c>
      <c r="R1640" s="3">
        <f>NZD!B1640/1</f>
        <v>0.66500000000000004</v>
      </c>
      <c r="S1640" s="3">
        <f>NZD!C1640/1</f>
        <v>0.66379999999999995</v>
      </c>
      <c r="T1640" s="4">
        <f>1/PHP!B1640</f>
        <v>2.135064158677968E-2</v>
      </c>
      <c r="U1640" s="4">
        <f>1/PHP!C1640</f>
        <v>2.1310465782850615E-2</v>
      </c>
      <c r="V1640" s="4">
        <f>1/TWD!B1640</f>
        <v>3.0457162001644687E-2</v>
      </c>
      <c r="W1640" s="4">
        <f>1/TWD!C1640</f>
        <v>3.0457162001644687E-2</v>
      </c>
      <c r="X1640" s="4">
        <f>1/TWD!B1640</f>
        <v>3.0457162001644687E-2</v>
      </c>
      <c r="Y1640" s="4">
        <f>1/TWD!C1640</f>
        <v>3.0457162001644687E-2</v>
      </c>
      <c r="Z1640" s="4">
        <f>1/ZAR!B1640</f>
        <v>6.3785273256110636E-2</v>
      </c>
      <c r="AA1640" s="4">
        <f>1/ZAR!C1640</f>
        <v>6.339345145646455E-2</v>
      </c>
    </row>
    <row r="1641" spans="1:27" x14ac:dyDescent="0.25">
      <c r="A1641" t="str">
        <f>"16/03/2016"</f>
        <v>16/03/2016</v>
      </c>
      <c r="B1641" s="3">
        <f>AUD!B1641</f>
        <v>0.74529999999999996</v>
      </c>
      <c r="C1641" s="3">
        <f>AUD!C1641</f>
        <v>0.74419999999999997</v>
      </c>
      <c r="D1641" s="3">
        <f>1/CAD!B1641</f>
        <v>0.74805505685218432</v>
      </c>
      <c r="E1641" s="3">
        <f>1/CAD!C1641</f>
        <v>0.74805505685218432</v>
      </c>
      <c r="F1641" s="3">
        <f>EUR!B1641/1</f>
        <v>1.1084000000000001</v>
      </c>
      <c r="G1641" s="3">
        <f>EUR!C1641/1</f>
        <v>1.1093999999999999</v>
      </c>
      <c r="H1641" s="3">
        <f>GBP!B1641/1</f>
        <v>1.4095</v>
      </c>
      <c r="I1641" s="3">
        <f>GBP!C1641/1</f>
        <v>1.4097</v>
      </c>
      <c r="J1641" s="4">
        <f>1/INR!B1641</f>
        <v>1.4872099940511601E-2</v>
      </c>
      <c r="K1641" s="4">
        <f>1/INR!C1641</f>
        <v>1.476396117078212E-2</v>
      </c>
      <c r="L1641" s="4">
        <f>1/JPY!B1641</f>
        <v>8.8105726872246704E-3</v>
      </c>
      <c r="M1641" s="4">
        <f>1/JPY!C1641</f>
        <v>8.8196487663075307E-3</v>
      </c>
      <c r="N1641" s="5">
        <f>1/KRW!B1641</f>
        <v>8.3790690854246091E-4</v>
      </c>
      <c r="O1641" s="5">
        <f>1/KRW!C1641</f>
        <v>8.3789462218284122E-4</v>
      </c>
      <c r="P1641" s="3">
        <f>1/NOK!B1641</f>
        <v>0.11652295502213936</v>
      </c>
      <c r="Q1641" s="3">
        <f>1/NOK!C1641</f>
        <v>0.11649716329407379</v>
      </c>
      <c r="R1641" s="3">
        <f>NZD!B1641/1</f>
        <v>0.6613</v>
      </c>
      <c r="S1641" s="3">
        <f>NZD!C1641/1</f>
        <v>0.66020000000000001</v>
      </c>
      <c r="T1641" s="4">
        <f>1/PHP!B1641</f>
        <v>2.137208805300278E-2</v>
      </c>
      <c r="U1641" s="4">
        <f>1/PHP!C1641</f>
        <v>2.1332423149945601E-2</v>
      </c>
      <c r="V1641" s="4">
        <f>1/TWD!B1641</f>
        <v>3.0472011457476307E-2</v>
      </c>
      <c r="W1641" s="4">
        <f>1/TWD!C1641</f>
        <v>3.0472011457476307E-2</v>
      </c>
      <c r="X1641" s="4">
        <f>1/TWD!B1641</f>
        <v>3.0472011457476307E-2</v>
      </c>
      <c r="Y1641" s="4">
        <f>1/TWD!C1641</f>
        <v>3.0472011457476307E-2</v>
      </c>
      <c r="Z1641" s="4">
        <f>1/ZAR!B1641</f>
        <v>6.1953262458801076E-2</v>
      </c>
      <c r="AA1641" s="4">
        <f>1/ZAR!C1641</f>
        <v>6.1580146560748811E-2</v>
      </c>
    </row>
    <row r="1642" spans="1:27" x14ac:dyDescent="0.25">
      <c r="A1642" t="str">
        <f>"17/03/2016"</f>
        <v>17/03/2016</v>
      </c>
      <c r="B1642" s="3">
        <f>AUD!B1642</f>
        <v>0.76300000000000001</v>
      </c>
      <c r="C1642" s="3">
        <f>AUD!C1642</f>
        <v>0.76190000000000002</v>
      </c>
      <c r="D1642" s="3">
        <f>1/CAD!B1642</f>
        <v>0.76863950807071491</v>
      </c>
      <c r="E1642" s="3">
        <f>1/CAD!C1642</f>
        <v>0.76863950807071491</v>
      </c>
      <c r="F1642" s="3">
        <f>EUR!B1642/1</f>
        <v>1.1324000000000001</v>
      </c>
      <c r="G1642" s="3">
        <f>EUR!C1642/1</f>
        <v>1.1334</v>
      </c>
      <c r="H1642" s="3">
        <f>GBP!B1642/1</f>
        <v>1.4359</v>
      </c>
      <c r="I1642" s="3">
        <f>GBP!C1642/1</f>
        <v>1.4360999999999999</v>
      </c>
      <c r="J1642" s="4">
        <f>1/INR!B1642</f>
        <v>1.4981273408239701E-2</v>
      </c>
      <c r="K1642" s="4">
        <f>1/INR!C1642</f>
        <v>1.4872099940511601E-2</v>
      </c>
      <c r="L1642" s="4">
        <f>1/JPY!B1642</f>
        <v>9.0187590187590198E-3</v>
      </c>
      <c r="M1642" s="4">
        <f>1/JPY!C1642</f>
        <v>9.0272261139597021E-3</v>
      </c>
      <c r="N1642" s="5">
        <f>1/KRW!B1642</f>
        <v>8.5218799267118323E-4</v>
      </c>
      <c r="O1642" s="5">
        <f>1/KRW!C1642</f>
        <v>8.5217564703566435E-4</v>
      </c>
      <c r="P1642" s="3">
        <f>1/NOK!B1642</f>
        <v>0.11914406900824477</v>
      </c>
      <c r="Q1642" s="3">
        <f>1/NOK!C1642</f>
        <v>0.11911994186946837</v>
      </c>
      <c r="R1642" s="3">
        <f>NZD!B1642/1</f>
        <v>0.68240000000000001</v>
      </c>
      <c r="S1642" s="3">
        <f>NZD!C1642/1</f>
        <v>0.68120000000000003</v>
      </c>
      <c r="T1642" s="4">
        <f>1/PHP!B1642</f>
        <v>2.1570784529433333E-2</v>
      </c>
      <c r="U1642" s="4">
        <f>1/PHP!C1642</f>
        <v>2.1532001937880175E-2</v>
      </c>
      <c r="V1642" s="4">
        <f>1/TWD!B1642</f>
        <v>3.0670142616163167E-2</v>
      </c>
      <c r="W1642" s="4">
        <f>1/TWD!C1642</f>
        <v>3.0670142616163167E-2</v>
      </c>
      <c r="X1642" s="4">
        <f>1/TWD!B1642</f>
        <v>3.0670142616163167E-2</v>
      </c>
      <c r="Y1642" s="4">
        <f>1/TWD!C1642</f>
        <v>3.0670142616163167E-2</v>
      </c>
      <c r="Z1642" s="4">
        <f>1/ZAR!B1642</f>
        <v>6.5016969429020979E-2</v>
      </c>
      <c r="AA1642" s="4">
        <f>1/ZAR!C1642</f>
        <v>6.4628708072125632E-2</v>
      </c>
    </row>
    <row r="1643" spans="1:27" x14ac:dyDescent="0.25">
      <c r="A1643" t="str">
        <f>"18/03/2016"</f>
        <v>18/03/2016</v>
      </c>
      <c r="B1643" s="3">
        <f>AUD!B1643</f>
        <v>0.76339999999999997</v>
      </c>
      <c r="C1643" s="3">
        <f>AUD!C1643</f>
        <v>0.76229999999999998</v>
      </c>
      <c r="D1643" s="3">
        <f>1/CAD!B1643</f>
        <v>0.77000077000077005</v>
      </c>
      <c r="E1643" s="3">
        <f>1/CAD!C1643</f>
        <v>0.77000077000077005</v>
      </c>
      <c r="F1643" s="3">
        <f>EUR!B1643/1</f>
        <v>1.1273</v>
      </c>
      <c r="G1643" s="3">
        <f>EUR!C1643/1</f>
        <v>1.1283000000000001</v>
      </c>
      <c r="H1643" s="3">
        <f>GBP!B1643/1</f>
        <v>1.4448000000000001</v>
      </c>
      <c r="I1643" s="3">
        <f>GBP!C1643/1</f>
        <v>1.4449000000000001</v>
      </c>
      <c r="J1643" s="4">
        <f>1/INR!B1643</f>
        <v>1.5032507798113421E-2</v>
      </c>
      <c r="K1643" s="4">
        <f>1/INR!C1643</f>
        <v>1.4920362564810326E-2</v>
      </c>
      <c r="L1643" s="4">
        <f>1/JPY!B1643</f>
        <v>8.9742439199497429E-3</v>
      </c>
      <c r="M1643" s="4">
        <f>1/JPY!C1643</f>
        <v>8.983999496896029E-3</v>
      </c>
      <c r="N1643" s="5">
        <f>1/KRW!B1643</f>
        <v>8.6011147044656982E-4</v>
      </c>
      <c r="O1643" s="5">
        <f>1/KRW!C1643</f>
        <v>8.6009889417085184E-4</v>
      </c>
      <c r="P1643" s="3">
        <f>1/NOK!B1643</f>
        <v>0.12018941852359319</v>
      </c>
      <c r="Q1643" s="3">
        <f>1/NOK!C1643</f>
        <v>0.12017064231208316</v>
      </c>
      <c r="R1643" s="3">
        <f>NZD!B1643/1</f>
        <v>0.6804</v>
      </c>
      <c r="S1643" s="3">
        <f>NZD!C1643/1</f>
        <v>0.67920000000000003</v>
      </c>
      <c r="T1643" s="4">
        <f>1/PHP!B1643</f>
        <v>2.1577300679684972E-2</v>
      </c>
      <c r="U1643" s="4">
        <f>1/PHP!C1643</f>
        <v>2.1537798836958864E-2</v>
      </c>
      <c r="V1643" s="4">
        <f>1/TWD!B1643</f>
        <v>3.0893756371837253E-2</v>
      </c>
      <c r="W1643" s="4">
        <f>1/TWD!C1643</f>
        <v>3.0893756371837253E-2</v>
      </c>
      <c r="X1643" s="4">
        <f>1/TWD!B1643</f>
        <v>3.0893756371837253E-2</v>
      </c>
      <c r="Y1643" s="4">
        <f>1/TWD!C1643</f>
        <v>3.0893756371837253E-2</v>
      </c>
      <c r="Z1643" s="4">
        <f>1/ZAR!B1643</f>
        <v>6.5109677251329864E-2</v>
      </c>
      <c r="AA1643" s="4">
        <f>1/ZAR!C1643</f>
        <v>6.4688074106657695E-2</v>
      </c>
    </row>
    <row r="1644" spans="1:27" x14ac:dyDescent="0.25">
      <c r="A1644" t="str">
        <f>"21/03/2016"</f>
        <v>21/03/2016</v>
      </c>
      <c r="B1644" s="3">
        <f>AUD!B1644</f>
        <v>0.76139999999999997</v>
      </c>
      <c r="C1644" s="3">
        <f>AUD!C1644</f>
        <v>0.76019999999999999</v>
      </c>
      <c r="D1644" s="3">
        <f>1/CAD!B1644</f>
        <v>0.76657723265619016</v>
      </c>
      <c r="E1644" s="3">
        <f>1/CAD!C1644</f>
        <v>0.76657723265619016</v>
      </c>
      <c r="F1644" s="3">
        <f>EUR!B1644/1</f>
        <v>1.1274</v>
      </c>
      <c r="G1644" s="3">
        <f>EUR!C1644/1</f>
        <v>1.1285000000000001</v>
      </c>
      <c r="H1644" s="3">
        <f>GBP!B1644/1</f>
        <v>1.4391</v>
      </c>
      <c r="I1644" s="3">
        <f>GBP!C1644/1</f>
        <v>1.4393</v>
      </c>
      <c r="J1644" s="4">
        <f>1/INR!B1644</f>
        <v>1.5028554253080853E-2</v>
      </c>
      <c r="K1644" s="4">
        <f>1/INR!C1644</f>
        <v>1.4911463187325256E-2</v>
      </c>
      <c r="L1644" s="4">
        <f>1/JPY!B1644</f>
        <v>8.9670014347202291E-3</v>
      </c>
      <c r="M1644" s="4">
        <f>1/JPY!C1644</f>
        <v>8.9771603087424982E-3</v>
      </c>
      <c r="N1644" s="5">
        <f>1/KRW!B1644</f>
        <v>8.5932800549969924E-4</v>
      </c>
      <c r="O1644" s="5">
        <f>1/KRW!C1644</f>
        <v>8.5931840582686623E-4</v>
      </c>
      <c r="P1644" s="3">
        <f>1/NOK!B1644</f>
        <v>0.11938302850866721</v>
      </c>
      <c r="Q1644" s="3">
        <f>1/NOK!C1644</f>
        <v>0.11936592818945761</v>
      </c>
      <c r="R1644" s="3">
        <f>NZD!B1644/1</f>
        <v>0.67849999999999999</v>
      </c>
      <c r="S1644" s="3">
        <f>NZD!C1644/1</f>
        <v>0.67720000000000002</v>
      </c>
      <c r="T1644" s="4">
        <f>1/PHP!B1644</f>
        <v>2.1575904030378873E-2</v>
      </c>
      <c r="U1644" s="4">
        <f>1/PHP!C1644</f>
        <v>2.1536639207451677E-2</v>
      </c>
      <c r="V1644" s="4">
        <f>1/TWD!B1644</f>
        <v>3.0853722501619819E-2</v>
      </c>
      <c r="W1644" s="4">
        <f>1/TWD!C1644</f>
        <v>3.0853722501619819E-2</v>
      </c>
      <c r="X1644" s="4">
        <f>1/TWD!B1644</f>
        <v>3.0853722501619819E-2</v>
      </c>
      <c r="Y1644" s="4">
        <f>1/TWD!C1644</f>
        <v>3.0853722501619819E-2</v>
      </c>
      <c r="Z1644" s="4">
        <f>1/ZAR!B1644</f>
        <v>6.5134698556615078E-2</v>
      </c>
      <c r="AA1644" s="4">
        <f>1/ZAR!C1644</f>
        <v>6.4712353588300006E-2</v>
      </c>
    </row>
    <row r="1645" spans="1:27" x14ac:dyDescent="0.25">
      <c r="A1645" t="str">
        <f>"22/03/2016"</f>
        <v>22/03/2016</v>
      </c>
      <c r="B1645" s="3">
        <f>AUD!B1645</f>
        <v>0.76039999999999996</v>
      </c>
      <c r="C1645" s="3">
        <f>AUD!C1645</f>
        <v>0.75919999999999999</v>
      </c>
      <c r="D1645" s="3">
        <f>1/CAD!B1645</f>
        <v>0.76481835564053535</v>
      </c>
      <c r="E1645" s="3">
        <f>1/CAD!C1645</f>
        <v>0.76487685482637302</v>
      </c>
      <c r="F1645" s="3">
        <f>EUR!B1645/1</f>
        <v>1.1208</v>
      </c>
      <c r="G1645" s="3">
        <f>EUR!C1645/1</f>
        <v>1.1218999999999999</v>
      </c>
      <c r="H1645" s="3">
        <f>GBP!B1645/1</f>
        <v>1.4276</v>
      </c>
      <c r="I1645" s="3">
        <f>GBP!C1645/1</f>
        <v>1.4278</v>
      </c>
      <c r="J1645" s="4">
        <f>1/INR!B1645</f>
        <v>1.4987448012289708E-2</v>
      </c>
      <c r="K1645" s="4">
        <f>1/INR!C1645</f>
        <v>1.4870441280344994E-2</v>
      </c>
      <c r="L1645" s="4">
        <f>1/JPY!B1645</f>
        <v>8.9525514771709933E-3</v>
      </c>
      <c r="M1645" s="4">
        <f>1/JPY!C1645</f>
        <v>8.9624527006558728E-3</v>
      </c>
      <c r="N1645" s="5">
        <f>1/KRW!B1645</f>
        <v>8.6621334834769803E-4</v>
      </c>
      <c r="O1645" s="5">
        <f>1/KRW!C1645</f>
        <v>8.6620134330504328E-4</v>
      </c>
      <c r="P1645" s="3">
        <f>1/NOK!B1645</f>
        <v>0.11880153016370849</v>
      </c>
      <c r="Q1645" s="3">
        <f>1/NOK!C1645</f>
        <v>0.11878318505232401</v>
      </c>
      <c r="R1645" s="3">
        <f>NZD!B1645/1</f>
        <v>0.67459999999999998</v>
      </c>
      <c r="S1645" s="3">
        <f>NZD!C1645/1</f>
        <v>0.6734</v>
      </c>
      <c r="T1645" s="4">
        <f>1/PHP!B1645</f>
        <v>2.1593608291945583E-2</v>
      </c>
      <c r="U1645" s="4">
        <f>1/PHP!C1645</f>
        <v>2.1552653131600499E-2</v>
      </c>
      <c r="V1645" s="4">
        <f>1/TWD!B1645</f>
        <v>3.0807147258163893E-2</v>
      </c>
      <c r="W1645" s="4">
        <f>1/TWD!C1645</f>
        <v>3.0807147258163893E-2</v>
      </c>
      <c r="X1645" s="4">
        <f>1/TWD!B1645</f>
        <v>3.0807147258163893E-2</v>
      </c>
      <c r="Y1645" s="4">
        <f>1/TWD!C1645</f>
        <v>3.0807147258163893E-2</v>
      </c>
      <c r="Z1645" s="4">
        <f>1/ZAR!B1645</f>
        <v>6.5447596109794878E-2</v>
      </c>
      <c r="AA1645" s="4">
        <f>1/ZAR!C1645</f>
        <v>6.5035151499385421E-2</v>
      </c>
    </row>
    <row r="1646" spans="1:27" x14ac:dyDescent="0.25">
      <c r="A1646" t="str">
        <f>"23/03/2016"</f>
        <v>23/03/2016</v>
      </c>
      <c r="B1646" s="3">
        <f>AUD!B1646</f>
        <v>0.76029999999999998</v>
      </c>
      <c r="C1646" s="3">
        <f>AUD!C1646</f>
        <v>0.75919999999999999</v>
      </c>
      <c r="D1646" s="3">
        <f>1/CAD!B1646</f>
        <v>0.76593137254901955</v>
      </c>
      <c r="E1646" s="3">
        <f>1/CAD!C1646</f>
        <v>0.76599004212945221</v>
      </c>
      <c r="F1646" s="3">
        <f>EUR!B1646/1</f>
        <v>1.1195999999999999</v>
      </c>
      <c r="G1646" s="3">
        <f>EUR!C1646/1</f>
        <v>1.1206</v>
      </c>
      <c r="H1646" s="3">
        <f>GBP!B1646/1</f>
        <v>1.419</v>
      </c>
      <c r="I1646" s="3">
        <f>GBP!C1646/1</f>
        <v>1.4192</v>
      </c>
      <c r="J1646" s="4">
        <f>1/INR!B1646</f>
        <v>1.5006002400960384E-2</v>
      </c>
      <c r="K1646" s="4">
        <f>1/INR!C1646</f>
        <v>1.4884274763712138E-2</v>
      </c>
      <c r="L1646" s="4">
        <f>1/JPY!B1646</f>
        <v>8.8770528184642702E-3</v>
      </c>
      <c r="M1646" s="4">
        <f>1/JPY!C1646</f>
        <v>8.8857374140193825E-3</v>
      </c>
      <c r="N1646" s="5">
        <f>1/KRW!B1646</f>
        <v>8.6099272461147703E-4</v>
      </c>
      <c r="O1646" s="5">
        <f>1/KRW!C1646</f>
        <v>8.6098123448350382E-4</v>
      </c>
      <c r="P1646" s="3">
        <f>1/NOK!B1646</f>
        <v>0.11852694710142352</v>
      </c>
      <c r="Q1646" s="3">
        <f>1/NOK!C1646</f>
        <v>0.11850868668673413</v>
      </c>
      <c r="R1646" s="3">
        <f>NZD!B1646/1</f>
        <v>0.67200000000000004</v>
      </c>
      <c r="S1646" s="3">
        <f>NZD!C1646/1</f>
        <v>0.67090000000000005</v>
      </c>
      <c r="T1646" s="4">
        <f>1/PHP!B1646</f>
        <v>2.1565667457407806E-2</v>
      </c>
      <c r="U1646" s="4">
        <f>1/PHP!C1646</f>
        <v>2.1526439849745449E-2</v>
      </c>
      <c r="V1646" s="4">
        <f>1/TWD!B1646</f>
        <v>3.0667320902845931E-2</v>
      </c>
      <c r="W1646" s="4">
        <f>1/TWD!C1646</f>
        <v>3.0667320902845931E-2</v>
      </c>
      <c r="X1646" s="4">
        <f>1/TWD!B1646</f>
        <v>3.0667320902845931E-2</v>
      </c>
      <c r="Y1646" s="4">
        <f>1/TWD!C1646</f>
        <v>3.0667320902845931E-2</v>
      </c>
      <c r="Z1646" s="4">
        <f>1/ZAR!B1646</f>
        <v>6.5436461196178505E-2</v>
      </c>
      <c r="AA1646" s="4">
        <f>1/ZAR!C1646</f>
        <v>6.5035151499385421E-2</v>
      </c>
    </row>
    <row r="1647" spans="1:27" x14ac:dyDescent="0.25">
      <c r="A1647" t="str">
        <f>"28/03/2016"</f>
        <v>28/03/2016</v>
      </c>
      <c r="B1647" s="3">
        <f>AUD!B1647</f>
        <v>0.75270000000000004</v>
      </c>
      <c r="C1647" s="3">
        <f>AUD!C1647</f>
        <v>0.75160000000000005</v>
      </c>
      <c r="D1647" s="3">
        <f>1/CAD!B1647</f>
        <v>0.75471698113207553</v>
      </c>
      <c r="E1647" s="3">
        <f>1/CAD!C1647</f>
        <v>0.75471698113207553</v>
      </c>
      <c r="F1647" s="3">
        <f>EUR!B1647/1</f>
        <v>1.1164000000000001</v>
      </c>
      <c r="G1647" s="3">
        <f>EUR!C1647/1</f>
        <v>1.1173999999999999</v>
      </c>
      <c r="H1647" s="3">
        <f>GBP!B1647/1</f>
        <v>1.4160999999999999</v>
      </c>
      <c r="I1647" s="3">
        <f>GBP!C1647/1</f>
        <v>1.4161999999999999</v>
      </c>
      <c r="J1647" s="4">
        <f>1/INR!B1647</f>
        <v>1.5020653398422831E-2</v>
      </c>
      <c r="K1647" s="4">
        <f>1/INR!C1647</f>
        <v>1.4897579143389199E-2</v>
      </c>
      <c r="L1647" s="4">
        <f>1/JPY!B1647</f>
        <v>8.8074687334859965E-3</v>
      </c>
      <c r="M1647" s="4">
        <f>1/JPY!C1647</f>
        <v>8.8160642796878755E-3</v>
      </c>
      <c r="N1647" s="5">
        <f>1/KRW!B1647</f>
        <v>8.5748585148345054E-4</v>
      </c>
      <c r="O1647" s="5">
        <f>1/KRW!C1647</f>
        <v>8.5747408713308688E-4</v>
      </c>
      <c r="P1647" s="3">
        <f>1/NOK!B1647</f>
        <v>0.1182088987658991</v>
      </c>
      <c r="Q1647" s="3">
        <f>1/NOK!C1647</f>
        <v>0.11819073621009585</v>
      </c>
      <c r="R1647" s="3">
        <f>NZD!B1647/1</f>
        <v>0.67</v>
      </c>
      <c r="S1647" s="3">
        <f>NZD!C1647/1</f>
        <v>0.66890000000000005</v>
      </c>
      <c r="T1647" s="4">
        <f>1/PHP!B1647</f>
        <v>2.1568923495028362E-2</v>
      </c>
      <c r="U1647" s="4">
        <f>1/PHP!C1647</f>
        <v>2.1528988783396846E-2</v>
      </c>
      <c r="V1647" s="4">
        <f>1/TWD!B1647</f>
        <v>3.0618493570116354E-2</v>
      </c>
      <c r="W1647" s="4">
        <f>1/TWD!C1647</f>
        <v>3.0618493570116354E-2</v>
      </c>
      <c r="X1647" s="4">
        <f>1/TWD!B1647</f>
        <v>3.0618493570116354E-2</v>
      </c>
      <c r="Y1647" s="4">
        <f>1/TWD!C1647</f>
        <v>3.0618493570116354E-2</v>
      </c>
      <c r="Z1647" s="4">
        <f>1/ZAR!B1647</f>
        <v>6.4666321779617175E-2</v>
      </c>
      <c r="AA1647" s="4">
        <f>1/ZAR!C1647</f>
        <v>6.4280985041814787E-2</v>
      </c>
    </row>
    <row r="1648" spans="1:27" x14ac:dyDescent="0.25">
      <c r="A1648" t="str">
        <f>"29/03/2016"</f>
        <v>29/03/2016</v>
      </c>
      <c r="B1648" s="3">
        <f>AUD!B1648</f>
        <v>0.75170000000000003</v>
      </c>
      <c r="C1648" s="3">
        <f>AUD!C1648</f>
        <v>0.75070000000000003</v>
      </c>
      <c r="D1648" s="3">
        <f>1/CAD!B1648</f>
        <v>0.75976295395836502</v>
      </c>
      <c r="E1648" s="3">
        <f>1/CAD!C1648</f>
        <v>0.75976295395836502</v>
      </c>
      <c r="F1648" s="3">
        <f>EUR!B1648/1</f>
        <v>1.1196999999999999</v>
      </c>
      <c r="G1648" s="3">
        <f>EUR!C1648/1</f>
        <v>1.1207</v>
      </c>
      <c r="H1648" s="3">
        <f>GBP!B1648/1</f>
        <v>1.4275</v>
      </c>
      <c r="I1648" s="3">
        <f>GBP!C1648/1</f>
        <v>1.4276</v>
      </c>
      <c r="J1648" s="4">
        <f>1/INR!B1648</f>
        <v>1.5027989630687154E-2</v>
      </c>
      <c r="K1648" s="4">
        <f>1/INR!C1648</f>
        <v>1.4902574419731007E-2</v>
      </c>
      <c r="L1648" s="4">
        <f>1/JPY!B1648</f>
        <v>8.8059175766114824E-3</v>
      </c>
      <c r="M1648" s="4">
        <f>1/JPY!C1648</f>
        <v>8.8143935520948284E-3</v>
      </c>
      <c r="N1648" s="5">
        <f>1/KRW!B1648</f>
        <v>8.5910652920962198E-4</v>
      </c>
      <c r="O1648" s="5">
        <f>1/KRW!C1648</f>
        <v>8.590943513257759E-4</v>
      </c>
      <c r="P1648" s="3">
        <f>1/NOK!B1648</f>
        <v>0.1180205591814094</v>
      </c>
      <c r="Q1648" s="3">
        <f>1/NOK!C1648</f>
        <v>0.1180080245456691</v>
      </c>
      <c r="R1648" s="3">
        <f>NZD!B1648/1</f>
        <v>0.67469999999999997</v>
      </c>
      <c r="S1648" s="3">
        <f>NZD!C1648/1</f>
        <v>0.67359999999999998</v>
      </c>
      <c r="T1648" s="4">
        <f>1/PHP!B1648</f>
        <v>2.1559623137787549E-2</v>
      </c>
      <c r="U1648" s="4">
        <f>1/PHP!C1648</f>
        <v>2.1522965003658901E-2</v>
      </c>
      <c r="V1648" s="4">
        <f>1/TWD!B1648</f>
        <v>3.0585716470408319E-2</v>
      </c>
      <c r="W1648" s="4">
        <f>1/TWD!C1648</f>
        <v>3.0585716470408319E-2</v>
      </c>
      <c r="X1648" s="4">
        <f>1/TWD!B1648</f>
        <v>3.0585716470408319E-2</v>
      </c>
      <c r="Y1648" s="4">
        <f>1/TWD!C1648</f>
        <v>3.0585716470408319E-2</v>
      </c>
      <c r="Z1648" s="4">
        <f>1/ZAR!B1648</f>
        <v>6.4610335069197666E-2</v>
      </c>
      <c r="AA1648" s="4">
        <f>1/ZAR!C1648</f>
        <v>6.4237627832879382E-2</v>
      </c>
    </row>
    <row r="1649" spans="1:27" x14ac:dyDescent="0.25">
      <c r="A1649" t="str">
        <f>"30/03/2016"</f>
        <v>30/03/2016</v>
      </c>
      <c r="B1649" s="3">
        <f>AUD!B1649</f>
        <v>0.76670000000000005</v>
      </c>
      <c r="C1649" s="3">
        <f>AUD!C1649</f>
        <v>0.76559999999999995</v>
      </c>
      <c r="D1649" s="3">
        <f>1/CAD!B1649</f>
        <v>0.76740081344486233</v>
      </c>
      <c r="E1649" s="3">
        <f>1/CAD!C1649</f>
        <v>0.76740081344486233</v>
      </c>
      <c r="F1649" s="3">
        <f>EUR!B1649/1</f>
        <v>1.1328</v>
      </c>
      <c r="G1649" s="3">
        <f>EUR!C1649/1</f>
        <v>1.1337999999999999</v>
      </c>
      <c r="H1649" s="3">
        <f>GBP!B1649/1</f>
        <v>1.4407000000000001</v>
      </c>
      <c r="I1649" s="3">
        <f>GBP!C1649/1</f>
        <v>1.4408000000000001</v>
      </c>
      <c r="J1649" s="4">
        <f>1/INR!B1649</f>
        <v>1.5062509414068384E-2</v>
      </c>
      <c r="K1649" s="4">
        <f>1/INR!C1649</f>
        <v>1.4975103889783235E-2</v>
      </c>
      <c r="L1649" s="4">
        <f>1/JPY!B1649</f>
        <v>8.9023413157660464E-3</v>
      </c>
      <c r="M1649" s="4">
        <f>1/JPY!C1649</f>
        <v>8.9095431899015674E-3</v>
      </c>
      <c r="N1649" s="5">
        <f>1/KRW!B1649</f>
        <v>8.6847773223094557E-4</v>
      </c>
      <c r="O1649" s="5">
        <f>1/KRW!C1649</f>
        <v>8.6846491010953938E-4</v>
      </c>
      <c r="P1649" s="3">
        <f>1/NOK!B1649</f>
        <v>0.12022265235215619</v>
      </c>
      <c r="Q1649" s="3">
        <f>1/NOK!C1649</f>
        <v>0.12020531067062543</v>
      </c>
      <c r="R1649" s="3">
        <f>NZD!B1649/1</f>
        <v>0.69299999999999995</v>
      </c>
      <c r="S1649" s="3">
        <f>NZD!C1649/1</f>
        <v>0.69189999999999996</v>
      </c>
      <c r="T1649" s="4">
        <f>1/PHP!B1649</f>
        <v>2.172260236776366E-2</v>
      </c>
      <c r="U1649" s="4">
        <f>1/PHP!C1649</f>
        <v>2.1684918139434024E-2</v>
      </c>
      <c r="V1649" s="4">
        <f>1/TWD!B1649</f>
        <v>3.0985653642363581E-2</v>
      </c>
      <c r="W1649" s="4">
        <f>1/TWD!C1649</f>
        <v>3.0985749653734247E-2</v>
      </c>
      <c r="X1649" s="4">
        <f>1/TWD!B1649</f>
        <v>3.0985653642363581E-2</v>
      </c>
      <c r="Y1649" s="4">
        <f>1/TWD!C1649</f>
        <v>3.0985749653734247E-2</v>
      </c>
      <c r="Z1649" s="4">
        <f>1/ZAR!B1649</f>
        <v>6.680785393130817E-2</v>
      </c>
      <c r="AA1649" s="4">
        <f>1/ZAR!C1649</f>
        <v>6.6384752749988382E-2</v>
      </c>
    </row>
    <row r="1650" spans="1:27" x14ac:dyDescent="0.25">
      <c r="A1650" t="str">
        <f>"31/03/2016"</f>
        <v>31/03/2016</v>
      </c>
      <c r="B1650" s="3">
        <f>AUD!B1650</f>
        <v>0.76949999999999996</v>
      </c>
      <c r="C1650" s="3">
        <f>AUD!C1650</f>
        <v>0.76839999999999997</v>
      </c>
      <c r="D1650" s="3">
        <f>1/CAD!B1650</f>
        <v>0.77339520494972935</v>
      </c>
      <c r="E1650" s="3">
        <f>1/CAD!C1650</f>
        <v>0.77339520494972935</v>
      </c>
      <c r="F1650" s="3">
        <f>EUR!B1650/1</f>
        <v>1.1380999999999999</v>
      </c>
      <c r="G1650" s="3">
        <f>EUR!C1650/1</f>
        <v>1.1391</v>
      </c>
      <c r="H1650" s="3">
        <f>GBP!B1650/1</f>
        <v>1.4413</v>
      </c>
      <c r="I1650" s="3">
        <f>GBP!C1650/1</f>
        <v>1.4414</v>
      </c>
      <c r="J1650" s="4">
        <f>1/INR!B1650</f>
        <v>1.5093770046413343E-2</v>
      </c>
      <c r="K1650" s="4">
        <f>1/INR!C1650</f>
        <v>1.5006565372350403E-2</v>
      </c>
      <c r="L1650" s="4">
        <f>1/JPY!B1650</f>
        <v>8.9047195013357075E-3</v>
      </c>
      <c r="M1650" s="4">
        <f>1/JPY!C1650</f>
        <v>8.9122032124927704E-3</v>
      </c>
      <c r="N1650" s="5">
        <f>1/KRW!B1650</f>
        <v>8.743933895859747E-4</v>
      </c>
      <c r="O1650" s="5">
        <f>1/KRW!C1650</f>
        <v>8.7438115673631992E-4</v>
      </c>
      <c r="P1650" s="3">
        <f>1/NOK!B1650</f>
        <v>0.12074961360123648</v>
      </c>
      <c r="Q1650" s="3">
        <f>1/NOK!C1650</f>
        <v>0.12073211957309123</v>
      </c>
      <c r="R1650" s="3">
        <f>NZD!B1650/1</f>
        <v>0.69410000000000005</v>
      </c>
      <c r="S1650" s="3">
        <f>NZD!C1650/1</f>
        <v>0.69299999999999995</v>
      </c>
      <c r="T1650" s="4">
        <f>1/PHP!B1650</f>
        <v>2.1726377995524366E-2</v>
      </c>
      <c r="U1650" s="4">
        <f>1/PHP!C1650</f>
        <v>2.1688680677554386E-2</v>
      </c>
      <c r="V1650" s="4">
        <f>1/TWD!B1650</f>
        <v>3.1029881776150434E-2</v>
      </c>
      <c r="W1650" s="4">
        <f>1/TWD!C1650</f>
        <v>3.1014099009409678E-2</v>
      </c>
      <c r="X1650" s="4">
        <f>1/TWD!B1650</f>
        <v>3.1029881776150434E-2</v>
      </c>
      <c r="Y1650" s="4">
        <f>1/TWD!C1650</f>
        <v>3.1014099009409678E-2</v>
      </c>
      <c r="Z1650" s="4">
        <f>1/ZAR!B1650</f>
        <v>6.7911714770797965E-2</v>
      </c>
      <c r="AA1650" s="4">
        <f>1/ZAR!C1650</f>
        <v>6.7508725502771233E-2</v>
      </c>
    </row>
    <row r="1651" spans="1:27" x14ac:dyDescent="0.25">
      <c r="A1651" t="str">
        <f>"04/04/2016"</f>
        <v>04/04/2016</v>
      </c>
      <c r="B1651" s="3">
        <f>AUD!B1651</f>
        <v>0.76219999999999999</v>
      </c>
      <c r="C1651" s="3">
        <f>AUD!C1651</f>
        <v>0.7611</v>
      </c>
      <c r="D1651" s="3">
        <f>1/CAD!B1651</f>
        <v>0.7666947788085563</v>
      </c>
      <c r="E1651" s="3">
        <f>1/CAD!C1651</f>
        <v>0.7666947788085563</v>
      </c>
      <c r="F1651" s="3">
        <f>EUR!B1651/1</f>
        <v>1.137</v>
      </c>
      <c r="G1651" s="3">
        <f>EUR!C1651/1</f>
        <v>1.1379999999999999</v>
      </c>
      <c r="H1651" s="3">
        <f>GBP!B1651/1</f>
        <v>1.4260999999999999</v>
      </c>
      <c r="I1651" s="3">
        <f>GBP!C1651/1</f>
        <v>1.4261999999999999</v>
      </c>
      <c r="J1651" s="4">
        <f>1/INR!B1651</f>
        <v>1.5103458692040479E-2</v>
      </c>
      <c r="K1651" s="4">
        <f>1/INR!C1651</f>
        <v>1.5018397536982805E-2</v>
      </c>
      <c r="L1651" s="4">
        <f>1/JPY!B1651</f>
        <v>8.9581653677326886E-3</v>
      </c>
      <c r="M1651" s="4">
        <f>1/JPY!C1651</f>
        <v>8.9653373163338587E-3</v>
      </c>
      <c r="N1651" s="5">
        <f>1/KRW!B1651</f>
        <v>8.7226544782108089E-4</v>
      </c>
      <c r="O1651" s="5">
        <f>1/KRW!C1651</f>
        <v>8.7225289402607074E-4</v>
      </c>
      <c r="P1651" s="3">
        <f>1/NOK!B1651</f>
        <v>0.12016342225426581</v>
      </c>
      <c r="Q1651" s="3">
        <f>1/NOK!C1651</f>
        <v>0.12014176728539679</v>
      </c>
      <c r="R1651" s="3">
        <f>NZD!B1651/1</f>
        <v>0.68479999999999996</v>
      </c>
      <c r="S1651" s="3">
        <f>NZD!C1651/1</f>
        <v>0.68369999999999997</v>
      </c>
      <c r="T1651" s="4">
        <f>1/PHP!B1651</f>
        <v>2.1624894578638927E-2</v>
      </c>
      <c r="U1651" s="4">
        <f>1/PHP!C1651</f>
        <v>2.1588480386865571E-2</v>
      </c>
      <c r="V1651" s="4">
        <f>1/TWD!B1651</f>
        <v>3.095112816862175E-2</v>
      </c>
      <c r="W1651" s="4">
        <f>1/TWD!C1651</f>
        <v>3.095112816862175E-2</v>
      </c>
      <c r="X1651" s="4">
        <f>1/TWD!B1651</f>
        <v>3.095112816862175E-2</v>
      </c>
      <c r="Y1651" s="4">
        <f>1/TWD!C1651</f>
        <v>3.095112816862175E-2</v>
      </c>
      <c r="Z1651" s="4">
        <f>1/ZAR!B1651</f>
        <v>6.7761236507043784E-2</v>
      </c>
      <c r="AA1651" s="4">
        <f>1/ZAR!C1651</f>
        <v>6.7355488798782212E-2</v>
      </c>
    </row>
    <row r="1652" spans="1:27" x14ac:dyDescent="0.25">
      <c r="A1652" t="str">
        <f>"05/04/2016"</f>
        <v>05/04/2016</v>
      </c>
      <c r="B1652" s="3">
        <f>AUD!B1652</f>
        <v>0.75349999999999995</v>
      </c>
      <c r="C1652" s="3">
        <f>AUD!C1652</f>
        <v>0.75239999999999996</v>
      </c>
      <c r="D1652" s="3">
        <f>1/CAD!B1652</f>
        <v>0.75918615244457943</v>
      </c>
      <c r="E1652" s="3">
        <f>1/CAD!C1652</f>
        <v>0.75918615244457943</v>
      </c>
      <c r="F1652" s="3">
        <f>EUR!B1652/1</f>
        <v>1.1362000000000001</v>
      </c>
      <c r="G1652" s="3">
        <f>EUR!C1652/1</f>
        <v>1.1372</v>
      </c>
      <c r="H1652" s="3">
        <f>GBP!B1652/1</f>
        <v>1.4186000000000001</v>
      </c>
      <c r="I1652" s="3">
        <f>GBP!C1652/1</f>
        <v>1.4187000000000001</v>
      </c>
      <c r="J1652" s="4">
        <f>1/INR!B1652</f>
        <v>1.5044946778500771E-2</v>
      </c>
      <c r="K1652" s="4">
        <f>1/INR!C1652</f>
        <v>1.4948800358771209E-2</v>
      </c>
      <c r="L1652" s="4">
        <f>1/JPY!B1652</f>
        <v>9.0456806874717327E-3</v>
      </c>
      <c r="M1652" s="4">
        <f>1/JPY!C1652</f>
        <v>9.0528951611370083E-3</v>
      </c>
      <c r="N1652" s="5">
        <f>1/KRW!B1652</f>
        <v>8.6556105667693803E-4</v>
      </c>
      <c r="O1652" s="5">
        <f>1/KRW!C1652</f>
        <v>8.6554832053331631E-4</v>
      </c>
      <c r="P1652" s="3">
        <f>1/NOK!B1652</f>
        <v>0.11960864052819176</v>
      </c>
      <c r="Q1652" s="3">
        <f>1/NOK!C1652</f>
        <v>0.11958718503725141</v>
      </c>
      <c r="R1652" s="3">
        <f>NZD!B1652/1</f>
        <v>0.67659999999999998</v>
      </c>
      <c r="S1652" s="3">
        <f>NZD!C1652/1</f>
        <v>0.6754</v>
      </c>
      <c r="T1652" s="4">
        <f>1/PHP!B1652</f>
        <v>2.1599205149250508E-2</v>
      </c>
      <c r="U1652" s="4">
        <f>1/PHP!C1652</f>
        <v>2.1562877350353633E-2</v>
      </c>
      <c r="V1652" s="4">
        <f>1/TWD!B1652</f>
        <v>3.0879446640316204E-2</v>
      </c>
      <c r="W1652" s="4">
        <f>1/TWD!C1652</f>
        <v>3.0879446640316204E-2</v>
      </c>
      <c r="X1652" s="4">
        <f>1/TWD!B1652</f>
        <v>3.0879446640316204E-2</v>
      </c>
      <c r="Y1652" s="4">
        <f>1/TWD!C1652</f>
        <v>3.0879446640316204E-2</v>
      </c>
      <c r="Z1652" s="4">
        <f>1/ZAR!B1652</f>
        <v>6.6680002667200103E-2</v>
      </c>
      <c r="AA1652" s="4">
        <f>1/ZAR!C1652</f>
        <v>6.6255880209368581E-2</v>
      </c>
    </row>
    <row r="1653" spans="1:27" x14ac:dyDescent="0.25">
      <c r="A1653" t="str">
        <f>"06/04/2016"</f>
        <v>06/04/2016</v>
      </c>
      <c r="B1653" s="3">
        <f>AUD!B1653</f>
        <v>0.75360000000000005</v>
      </c>
      <c r="C1653" s="3">
        <f>AUD!C1653</f>
        <v>0.75249999999999995</v>
      </c>
      <c r="D1653" s="3">
        <f>1/CAD!B1653</f>
        <v>0.75861022606584738</v>
      </c>
      <c r="E1653" s="3">
        <f>1/CAD!C1653</f>
        <v>0.75861022606584738</v>
      </c>
      <c r="F1653" s="3">
        <f>EUR!B1653/1</f>
        <v>1.1333</v>
      </c>
      <c r="G1653" s="3">
        <f>EUR!C1653/1</f>
        <v>1.1343000000000001</v>
      </c>
      <c r="H1653" s="3">
        <f>GBP!B1653/1</f>
        <v>1.4036999999999999</v>
      </c>
      <c r="I1653" s="3">
        <f>GBP!C1653/1</f>
        <v>1.4037999999999999</v>
      </c>
      <c r="J1653" s="4">
        <f>1/INR!B1653</f>
        <v>1.5000375009375233E-2</v>
      </c>
      <c r="K1653" s="4">
        <f>1/INR!C1653</f>
        <v>1.4917024053701287E-2</v>
      </c>
      <c r="L1653" s="4">
        <f>1/JPY!B1653</f>
        <v>9.0571506204148184E-3</v>
      </c>
      <c r="M1653" s="4">
        <f>1/JPY!C1653</f>
        <v>9.064851762479129E-3</v>
      </c>
      <c r="N1653" s="5">
        <f>1/KRW!B1653</f>
        <v>8.6476763693595527E-4</v>
      </c>
      <c r="O1653" s="5">
        <f>1/KRW!C1653</f>
        <v>8.6475529803142781E-4</v>
      </c>
      <c r="P1653" s="3">
        <f>1/NOK!B1653</f>
        <v>0.11961579406944894</v>
      </c>
      <c r="Q1653" s="3">
        <f>1/NOK!C1653</f>
        <v>0.11959433601224648</v>
      </c>
      <c r="R1653" s="3">
        <f>NZD!B1653/1</f>
        <v>0.67789999999999995</v>
      </c>
      <c r="S1653" s="3">
        <f>NZD!C1653/1</f>
        <v>0.67679999999999996</v>
      </c>
      <c r="T1653" s="4">
        <f>1/PHP!B1653</f>
        <v>2.1558693543171286E-2</v>
      </c>
      <c r="U1653" s="4">
        <f>1/PHP!C1653</f>
        <v>2.1519722825970002E-2</v>
      </c>
      <c r="V1653" s="4">
        <f>1/TWD!B1653</f>
        <v>3.0835646006783842E-2</v>
      </c>
      <c r="W1653" s="4">
        <f>1/TWD!C1653</f>
        <v>3.0835646006783842E-2</v>
      </c>
      <c r="X1653" s="4">
        <f>1/TWD!B1653</f>
        <v>3.0835646006783842E-2</v>
      </c>
      <c r="Y1653" s="4">
        <f>1/TWD!C1653</f>
        <v>3.0835646006783842E-2</v>
      </c>
      <c r="Z1653" s="4">
        <f>1/ZAR!B1653</f>
        <v>6.5596567987562887E-2</v>
      </c>
      <c r="AA1653" s="4">
        <f>1/ZAR!C1653</f>
        <v>6.5193298128952346E-2</v>
      </c>
    </row>
    <row r="1654" spans="1:27" x14ac:dyDescent="0.25">
      <c r="A1654" t="str">
        <f>"07/04/2016"</f>
        <v>07/04/2016</v>
      </c>
      <c r="B1654" s="3">
        <f>AUD!B1654</f>
        <v>0.76259999999999994</v>
      </c>
      <c r="C1654" s="3">
        <f>AUD!C1654</f>
        <v>0.76149999999999995</v>
      </c>
      <c r="D1654" s="3">
        <f>1/CAD!B1654</f>
        <v>0.76704763365805007</v>
      </c>
      <c r="E1654" s="3">
        <f>1/CAD!C1654</f>
        <v>0.76704763365805007</v>
      </c>
      <c r="F1654" s="3">
        <f>EUR!B1654/1</f>
        <v>1.1417999999999999</v>
      </c>
      <c r="G1654" s="3">
        <f>EUR!C1654/1</f>
        <v>1.1428</v>
      </c>
      <c r="H1654" s="3">
        <f>GBP!B1654/1</f>
        <v>1.4152</v>
      </c>
      <c r="I1654" s="3">
        <f>GBP!C1654/1</f>
        <v>1.4153</v>
      </c>
      <c r="J1654" s="4">
        <f>1/INR!B1654</f>
        <v>1.5044380923724988E-2</v>
      </c>
      <c r="K1654" s="4">
        <f>1/INR!C1654</f>
        <v>1.4959422566288943E-2</v>
      </c>
      <c r="L1654" s="4">
        <f>1/JPY!B1654</f>
        <v>9.1852668320014687E-3</v>
      </c>
      <c r="M1654" s="4">
        <f>1/JPY!C1654</f>
        <v>9.1930945151240204E-3</v>
      </c>
      <c r="N1654" s="5">
        <f>1/KRW!B1654</f>
        <v>8.6890031975531763E-4</v>
      </c>
      <c r="O1654" s="5">
        <f>1/KRW!C1654</f>
        <v>8.6888884409284191E-4</v>
      </c>
      <c r="P1654" s="3">
        <f>1/NOK!B1654</f>
        <v>0.12042534230903551</v>
      </c>
      <c r="Q1654" s="3">
        <f>1/NOK!C1654</f>
        <v>0.12040214315814821</v>
      </c>
      <c r="R1654" s="3">
        <f>NZD!B1654/1</f>
        <v>0.68440000000000001</v>
      </c>
      <c r="S1654" s="3">
        <f>NZD!C1654/1</f>
        <v>0.68330000000000002</v>
      </c>
      <c r="T1654" s="4">
        <f>1/PHP!B1654</f>
        <v>2.1677866897897247E-2</v>
      </c>
      <c r="U1654" s="4">
        <f>1/PHP!C1654</f>
        <v>2.1640337589266392E-2</v>
      </c>
      <c r="V1654" s="4">
        <f>1/TWD!B1654</f>
        <v>3.0899483978617557E-2</v>
      </c>
      <c r="W1654" s="4">
        <f>1/TWD!C1654</f>
        <v>3.0899483978617557E-2</v>
      </c>
      <c r="X1654" s="4">
        <f>1/TWD!B1654</f>
        <v>3.0899483978617557E-2</v>
      </c>
      <c r="Y1654" s="4">
        <f>1/TWD!C1654</f>
        <v>3.0899483978617557E-2</v>
      </c>
      <c r="Z1654" s="4">
        <f>1/ZAR!B1654</f>
        <v>6.6305522586976265E-2</v>
      </c>
      <c r="AA1654" s="4">
        <f>1/ZAR!C1654</f>
        <v>6.5910454057117998E-2</v>
      </c>
    </row>
    <row r="1655" spans="1:27" x14ac:dyDescent="0.25">
      <c r="A1655" t="str">
        <f>"11/04/2016"</f>
        <v>11/04/2016</v>
      </c>
      <c r="B1655" s="3">
        <f>AUD!B1655</f>
        <v>0.75700000000000001</v>
      </c>
      <c r="C1655" s="3">
        <f>AUD!C1655</f>
        <v>0.75600000000000001</v>
      </c>
      <c r="D1655" s="3">
        <f>1/CAD!B1655</f>
        <v>0.77047538331150311</v>
      </c>
      <c r="E1655" s="3">
        <f>1/CAD!C1655</f>
        <v>0.77047538331150311</v>
      </c>
      <c r="F1655" s="3">
        <f>EUR!B1655/1</f>
        <v>1.1403000000000001</v>
      </c>
      <c r="G1655" s="3">
        <f>EUR!C1655/1</f>
        <v>1.1413</v>
      </c>
      <c r="H1655" s="3">
        <f>GBP!B1655/1</f>
        <v>1.4235</v>
      </c>
      <c r="I1655" s="3">
        <f>GBP!C1655/1</f>
        <v>1.4236</v>
      </c>
      <c r="J1655" s="4">
        <f>1/INR!B1655</f>
        <v>1.5052306766011891E-2</v>
      </c>
      <c r="K1655" s="4">
        <f>1/INR!C1655</f>
        <v>1.4965019267462305E-2</v>
      </c>
      <c r="L1655" s="4">
        <f>1/JPY!B1655</f>
        <v>9.2481272542310183E-3</v>
      </c>
      <c r="M1655" s="4">
        <f>1/JPY!C1655</f>
        <v>9.2556512692737371E-3</v>
      </c>
      <c r="N1655" s="5">
        <f>1/KRW!B1655</f>
        <v>8.7199162888036274E-4</v>
      </c>
      <c r="O1655" s="5">
        <f>1/KRW!C1655</f>
        <v>8.7197870279216304E-4</v>
      </c>
      <c r="P1655" s="3">
        <f>1/NOK!B1655</f>
        <v>0.12142406139200544</v>
      </c>
      <c r="Q1655" s="3">
        <f>1/NOK!C1655</f>
        <v>0.12140047588986549</v>
      </c>
      <c r="R1655" s="3">
        <f>NZD!B1655/1</f>
        <v>0.6835</v>
      </c>
      <c r="S1655" s="3">
        <f>NZD!C1655/1</f>
        <v>0.68240000000000001</v>
      </c>
      <c r="T1655" s="4">
        <f>1/PHP!B1655</f>
        <v>2.1673168617251843E-2</v>
      </c>
      <c r="U1655" s="4">
        <f>1/PHP!C1655</f>
        <v>2.1637528128786568E-2</v>
      </c>
      <c r="V1655" s="4">
        <f>1/TWD!B1655</f>
        <v>3.0872773301225651E-2</v>
      </c>
      <c r="W1655" s="4">
        <f>1/TWD!C1655</f>
        <v>3.0872773301225651E-2</v>
      </c>
      <c r="X1655" s="4">
        <f>1/TWD!B1655</f>
        <v>3.0872773301225651E-2</v>
      </c>
      <c r="Y1655" s="4">
        <f>1/TWD!C1655</f>
        <v>3.0872773301225651E-2</v>
      </c>
      <c r="Z1655" s="4">
        <f>1/ZAR!B1655</f>
        <v>6.7713059140585855E-2</v>
      </c>
      <c r="AA1655" s="4">
        <f>1/ZAR!C1655</f>
        <v>6.7311964028486423E-2</v>
      </c>
    </row>
    <row r="1656" spans="1:27" x14ac:dyDescent="0.25">
      <c r="A1656" t="str">
        <f>"12/04/2016"</f>
        <v>12/04/2016</v>
      </c>
      <c r="B1656" s="3">
        <f>AUD!B1656</f>
        <v>0.76559999999999995</v>
      </c>
      <c r="C1656" s="3">
        <f>AUD!C1656</f>
        <v>0.76449999999999996</v>
      </c>
      <c r="D1656" s="3">
        <f>1/CAD!B1656</f>
        <v>0.77700077700077708</v>
      </c>
      <c r="E1656" s="3">
        <f>1/CAD!C1656</f>
        <v>0.77700077700077708</v>
      </c>
      <c r="F1656" s="3">
        <f>EUR!B1656/1</f>
        <v>1.1404000000000001</v>
      </c>
      <c r="G1656" s="3">
        <f>EUR!C1656/1</f>
        <v>1.1415</v>
      </c>
      <c r="H1656" s="3">
        <f>GBP!B1656/1</f>
        <v>1.431</v>
      </c>
      <c r="I1656" s="3">
        <f>GBP!C1656/1</f>
        <v>1.4311</v>
      </c>
      <c r="J1656" s="4">
        <f>1/INR!B1656</f>
        <v>1.5053439710973957E-2</v>
      </c>
      <c r="K1656" s="4">
        <f>1/INR!C1656</f>
        <v>1.4965579167913801E-2</v>
      </c>
      <c r="L1656" s="4">
        <f>1/JPY!B1656</f>
        <v>9.2387287509238733E-3</v>
      </c>
      <c r="M1656" s="4">
        <f>1/JPY!C1656</f>
        <v>9.2463315179702448E-3</v>
      </c>
      <c r="N1656" s="5">
        <f>1/KRW!B1656</f>
        <v>8.7252421254689822E-4</v>
      </c>
      <c r="O1656" s="5">
        <f>1/KRW!C1656</f>
        <v>8.7251165130246354E-4</v>
      </c>
      <c r="P1656" s="3">
        <f>1/NOK!B1656</f>
        <v>0.12239003255574865</v>
      </c>
      <c r="Q1656" s="3">
        <f>1/NOK!C1656</f>
        <v>0.12236457300882249</v>
      </c>
      <c r="R1656" s="3">
        <f>NZD!B1656/1</f>
        <v>0.68830000000000002</v>
      </c>
      <c r="S1656" s="3">
        <f>NZD!C1656/1</f>
        <v>0.68710000000000004</v>
      </c>
      <c r="T1656" s="4">
        <f>1/PHP!B1656</f>
        <v>2.1684918139434024E-2</v>
      </c>
      <c r="U1656" s="4">
        <f>1/PHP!C1656</f>
        <v>2.1648770349844127E-2</v>
      </c>
      <c r="V1656" s="4">
        <f>1/TWD!B1656</f>
        <v>3.0897574540398577E-2</v>
      </c>
      <c r="W1656" s="4">
        <f>1/TWD!C1656</f>
        <v>3.0897574540398577E-2</v>
      </c>
      <c r="X1656" s="4">
        <f>1/TWD!B1656</f>
        <v>3.0897574540398577E-2</v>
      </c>
      <c r="Y1656" s="4">
        <f>1/TWD!C1656</f>
        <v>3.0897574540398577E-2</v>
      </c>
      <c r="Z1656" s="4">
        <f>1/ZAR!B1656</f>
        <v>6.8142636166022716E-2</v>
      </c>
      <c r="AA1656" s="4">
        <f>1/ZAR!C1656</f>
        <v>6.7711225166908168E-2</v>
      </c>
    </row>
    <row r="1657" spans="1:27" x14ac:dyDescent="0.25">
      <c r="A1657" t="str">
        <f>"13/04/2016"</f>
        <v>13/04/2016</v>
      </c>
      <c r="B1657" s="3">
        <f>AUD!B1657</f>
        <v>0.76959999999999995</v>
      </c>
      <c r="C1657" s="3">
        <f>AUD!C1657</f>
        <v>0.76849999999999996</v>
      </c>
      <c r="D1657" s="3">
        <f>1/CAD!B1657</f>
        <v>0.78326936633508271</v>
      </c>
      <c r="E1657" s="3">
        <f>1/CAD!C1657</f>
        <v>0.78326936633508271</v>
      </c>
      <c r="F1657" s="3">
        <f>EUR!B1657/1</f>
        <v>1.1363000000000001</v>
      </c>
      <c r="G1657" s="3">
        <f>EUR!C1657/1</f>
        <v>1.1373</v>
      </c>
      <c r="H1657" s="3">
        <f>GBP!B1657/1</f>
        <v>1.4258</v>
      </c>
      <c r="I1657" s="3">
        <f>GBP!C1657/1</f>
        <v>1.4258999999999999</v>
      </c>
      <c r="J1657" s="4">
        <f>1/INR!B1657</f>
        <v>1.506364389545831E-2</v>
      </c>
      <c r="K1657" s="4">
        <f>1/INR!C1657</f>
        <v>1.4976225242427647E-2</v>
      </c>
      <c r="L1657" s="4">
        <f>1/JPY!B1657</f>
        <v>9.1802074726888821E-3</v>
      </c>
      <c r="M1657" s="4">
        <f>1/JPY!C1657</f>
        <v>9.1876973057996424E-3</v>
      </c>
      <c r="N1657" s="5">
        <f>1/KRW!B1657</f>
        <v>8.7452338475530833E-4</v>
      </c>
      <c r="O1657" s="5">
        <f>1/KRW!C1657</f>
        <v>8.7451076588341116E-4</v>
      </c>
      <c r="P1657" s="3">
        <f>1/NOK!B1657</f>
        <v>0.12224789428002103</v>
      </c>
      <c r="Q1657" s="3">
        <f>1/NOK!C1657</f>
        <v>0.12222249382776405</v>
      </c>
      <c r="R1657" s="3">
        <f>NZD!B1657/1</f>
        <v>0.69389999999999996</v>
      </c>
      <c r="S1657" s="3">
        <f>NZD!C1657/1</f>
        <v>0.69279999999999997</v>
      </c>
      <c r="T1657" s="4">
        <f>1/PHP!B1657</f>
        <v>2.1753317380900587E-2</v>
      </c>
      <c r="U1657" s="4">
        <f>1/PHP!C1657</f>
        <v>2.1714819278416557E-2</v>
      </c>
      <c r="V1657" s="4">
        <f>1/TWD!B1657</f>
        <v>3.0924328168970526E-2</v>
      </c>
      <c r="W1657" s="4">
        <f>1/TWD!C1657</f>
        <v>3.0924328168970526E-2</v>
      </c>
      <c r="X1657" s="4">
        <f>1/TWD!B1657</f>
        <v>3.0924328168970526E-2</v>
      </c>
      <c r="Y1657" s="4">
        <f>1/TWD!C1657</f>
        <v>3.0924328168970526E-2</v>
      </c>
      <c r="Z1657" s="4">
        <f>1/ZAR!B1657</f>
        <v>6.806888571234089E-2</v>
      </c>
      <c r="AA1657" s="4">
        <f>1/ZAR!C1657</f>
        <v>6.7637947594118203E-2</v>
      </c>
    </row>
    <row r="1658" spans="1:27" x14ac:dyDescent="0.25">
      <c r="A1658" t="str">
        <f>"18/04/2016"</f>
        <v>18/04/2016</v>
      </c>
      <c r="B1658" s="3">
        <f>AUD!B1658</f>
        <v>0.77059999999999995</v>
      </c>
      <c r="C1658" s="3">
        <f>AUD!C1658</f>
        <v>0.76959999999999995</v>
      </c>
      <c r="D1658" s="3">
        <f>1/CAD!B1658</f>
        <v>0.77375425564840605</v>
      </c>
      <c r="E1658" s="3">
        <f>1/CAD!C1658</f>
        <v>0.77375425564840605</v>
      </c>
      <c r="F1658" s="3">
        <f>EUR!B1658/1</f>
        <v>1.1307</v>
      </c>
      <c r="G1658" s="3">
        <f>EUR!C1658/1</f>
        <v>1.1316999999999999</v>
      </c>
      <c r="H1658" s="3">
        <f>GBP!B1658/1</f>
        <v>1.4175</v>
      </c>
      <c r="I1658" s="3">
        <f>GBP!C1658/1</f>
        <v>1.4176</v>
      </c>
      <c r="J1658" s="4">
        <f>1/INR!B1658</f>
        <v>1.5024602787063817E-2</v>
      </c>
      <c r="K1658" s="4">
        <f>1/INR!C1658</f>
        <v>1.4930944382232178E-2</v>
      </c>
      <c r="L1658" s="4">
        <f>1/JPY!B1658</f>
        <v>9.2429984286902678E-3</v>
      </c>
      <c r="M1658" s="4">
        <f>1/JPY!C1658</f>
        <v>9.2495729009712969E-3</v>
      </c>
      <c r="N1658" s="5">
        <f>1/KRW!B1658</f>
        <v>8.6907400165124051E-4</v>
      </c>
      <c r="O1658" s="5">
        <f>1/KRW!C1658</f>
        <v>8.6906493827031736E-4</v>
      </c>
      <c r="P1658" s="3">
        <f>1/NOK!B1658</f>
        <v>0.12124151309408343</v>
      </c>
      <c r="Q1658" s="3">
        <f>1/NOK!C1658</f>
        <v>0.12122534579529888</v>
      </c>
      <c r="R1658" s="3">
        <f>NZD!B1658/1</f>
        <v>0.69399999999999995</v>
      </c>
      <c r="S1658" s="3">
        <f>NZD!C1658/1</f>
        <v>0.69289999999999996</v>
      </c>
      <c r="T1658" s="4">
        <f>1/PHP!B1658</f>
        <v>2.1649707728945661E-2</v>
      </c>
      <c r="U1658" s="4">
        <f>1/PHP!C1658</f>
        <v>2.1612275772638856E-2</v>
      </c>
      <c r="V1658" s="4">
        <f>1/TWD!B1658</f>
        <v>3.0860387606468333E-2</v>
      </c>
      <c r="W1658" s="4">
        <f>1/TWD!C1658</f>
        <v>3.0860387606468333E-2</v>
      </c>
      <c r="X1658" s="4">
        <f>1/TWD!B1658</f>
        <v>3.0860387606468333E-2</v>
      </c>
      <c r="Y1658" s="4">
        <f>1/TWD!C1658</f>
        <v>3.0860387606468333E-2</v>
      </c>
      <c r="Z1658" s="4">
        <f>1/ZAR!B1658</f>
        <v>6.848095544629039E-2</v>
      </c>
      <c r="AA1658" s="4">
        <f>1/ZAR!C1658</f>
        <v>6.8077690260124848E-2</v>
      </c>
    </row>
    <row r="1659" spans="1:27" x14ac:dyDescent="0.25">
      <c r="A1659" t="str">
        <f>"20/04/2016"</f>
        <v>20/04/2016</v>
      </c>
      <c r="B1659" s="3">
        <f>AUD!B1659</f>
        <v>0.78169999999999995</v>
      </c>
      <c r="C1659" s="3">
        <f>AUD!C1659</f>
        <v>0.78059999999999996</v>
      </c>
      <c r="D1659" s="3">
        <f>1/CAD!B1659</f>
        <v>0.78957757599684175</v>
      </c>
      <c r="E1659" s="3">
        <f>1/CAD!C1659</f>
        <v>0.78957757599684175</v>
      </c>
      <c r="F1659" s="3">
        <f>EUR!B1659/1</f>
        <v>1.1376999999999999</v>
      </c>
      <c r="G1659" s="3">
        <f>EUR!C1659/1</f>
        <v>1.1387</v>
      </c>
      <c r="H1659" s="3">
        <f>GBP!B1659/1</f>
        <v>1.4378</v>
      </c>
      <c r="I1659" s="3">
        <f>GBP!C1659/1</f>
        <v>1.4379</v>
      </c>
      <c r="J1659" s="4">
        <f>1/INR!B1659</f>
        <v>1.5100037750094376E-2</v>
      </c>
      <c r="K1659" s="4">
        <f>1/INR!C1659</f>
        <v>1.500487658489009E-2</v>
      </c>
      <c r="L1659" s="4">
        <f>1/JPY!B1659</f>
        <v>9.1566706345572752E-3</v>
      </c>
      <c r="M1659" s="4">
        <f>1/JPY!C1659</f>
        <v>9.1634838832645466E-3</v>
      </c>
      <c r="N1659" s="5">
        <f>1/KRW!B1659</f>
        <v>8.8066155295858249E-4</v>
      </c>
      <c r="O1659" s="5">
        <f>1/KRW!C1659</f>
        <v>8.8064991964069471E-4</v>
      </c>
      <c r="P1659" s="3">
        <f>1/NOK!B1659</f>
        <v>0.12323162616453885</v>
      </c>
      <c r="Q1659" s="3">
        <f>1/NOK!C1659</f>
        <v>0.12321492379156963</v>
      </c>
      <c r="R1659" s="3">
        <f>NZD!B1659/1</f>
        <v>0.70109999999999995</v>
      </c>
      <c r="S1659" s="3">
        <f>NZD!C1659/1</f>
        <v>0.69989999999999997</v>
      </c>
      <c r="T1659" s="4">
        <f>1/PHP!B1659</f>
        <v>2.1616947686986597E-2</v>
      </c>
      <c r="U1659" s="4">
        <f>1/PHP!C1659</f>
        <v>2.1577766269635767E-2</v>
      </c>
      <c r="V1659" s="4">
        <f>1/TWD!B1659</f>
        <v>3.1009675018605808E-2</v>
      </c>
      <c r="W1659" s="4">
        <f>1/TWD!C1659</f>
        <v>3.1009675018605808E-2</v>
      </c>
      <c r="X1659" s="4">
        <f>1/TWD!B1659</f>
        <v>3.1009675018605808E-2</v>
      </c>
      <c r="Y1659" s="4">
        <f>1/TWD!C1659</f>
        <v>3.1009675018605808E-2</v>
      </c>
      <c r="Z1659" s="4">
        <f>1/ZAR!B1659</f>
        <v>7.0521861777150918E-2</v>
      </c>
      <c r="AA1659" s="4">
        <f>1/ZAR!C1659</f>
        <v>7.0088872690571652E-2</v>
      </c>
    </row>
    <row r="1660" spans="1:27" x14ac:dyDescent="0.25">
      <c r="A1660" t="str">
        <f>"21/04/2016"</f>
        <v>21/04/2016</v>
      </c>
      <c r="B1660" s="3">
        <f>AUD!B1660</f>
        <v>0.78200000000000003</v>
      </c>
      <c r="C1660" s="3">
        <f>AUD!C1660</f>
        <v>0.78090000000000004</v>
      </c>
      <c r="D1660" s="3">
        <f>1/CAD!B1660</f>
        <v>0.79070135209931214</v>
      </c>
      <c r="E1660" s="3">
        <f>1/CAD!C1660</f>
        <v>0.79070135209931214</v>
      </c>
      <c r="F1660" s="3">
        <f>EUR!B1660/1</f>
        <v>1.135</v>
      </c>
      <c r="G1660" s="3">
        <f>EUR!C1660/1</f>
        <v>1.1359999999999999</v>
      </c>
      <c r="H1660" s="3">
        <f>GBP!B1660/1</f>
        <v>1.4403999999999999</v>
      </c>
      <c r="I1660" s="3">
        <f>GBP!C1660/1</f>
        <v>1.4404999999999999</v>
      </c>
      <c r="J1660" s="4">
        <f>1/INR!B1660</f>
        <v>1.506024096385542E-2</v>
      </c>
      <c r="K1660" s="4">
        <f>1/INR!C1660</f>
        <v>1.4966699094514705E-2</v>
      </c>
      <c r="L1660" s="4">
        <f>1/JPY!B1660</f>
        <v>9.1199270405836752E-3</v>
      </c>
      <c r="M1660" s="4">
        <f>1/JPY!C1660</f>
        <v>9.1262858936824193E-3</v>
      </c>
      <c r="N1660" s="5">
        <f>1/KRW!B1660</f>
        <v>8.8230882573518373E-4</v>
      </c>
      <c r="O1660" s="5">
        <f>1/KRW!C1660</f>
        <v>8.822979273057092E-4</v>
      </c>
      <c r="P1660" s="3">
        <f>1/NOK!B1660</f>
        <v>0.12325592861016614</v>
      </c>
      <c r="Q1660" s="3">
        <f>1/NOK!C1660</f>
        <v>0.12323618214307722</v>
      </c>
      <c r="R1660" s="3">
        <f>NZD!B1660/1</f>
        <v>0.69730000000000003</v>
      </c>
      <c r="S1660" s="3">
        <f>NZD!C1660/1</f>
        <v>0.69620000000000004</v>
      </c>
      <c r="T1660" s="4">
        <f>1/PHP!B1660</f>
        <v>2.1510002151000213E-2</v>
      </c>
      <c r="U1660" s="4">
        <f>1/PHP!C1660</f>
        <v>2.1471207111263796E-2</v>
      </c>
      <c r="V1660" s="4">
        <f>1/TWD!B1660</f>
        <v>3.0964545595293387E-2</v>
      </c>
      <c r="W1660" s="4">
        <f>1/TWD!C1660</f>
        <v>3.0964545595293387E-2</v>
      </c>
      <c r="X1660" s="4">
        <f>1/TWD!B1660</f>
        <v>3.0964545595293387E-2</v>
      </c>
      <c r="Y1660" s="4">
        <f>1/TWD!C1660</f>
        <v>3.0964545595293387E-2</v>
      </c>
      <c r="Z1660" s="4">
        <f>1/ZAR!B1660</f>
        <v>7.0266661982222534E-2</v>
      </c>
      <c r="AA1660" s="4">
        <f>1/ZAR!C1660</f>
        <v>6.9848010728654444E-2</v>
      </c>
    </row>
    <row r="1661" spans="1:27" x14ac:dyDescent="0.25">
      <c r="A1661" t="str">
        <f>"22/04/2016"</f>
        <v>22/04/2016</v>
      </c>
      <c r="B1661" s="3">
        <f>AUD!B1661</f>
        <v>0.77429999999999999</v>
      </c>
      <c r="C1661" s="3">
        <f>AUD!C1661</f>
        <v>0.77329999999999999</v>
      </c>
      <c r="D1661" s="3">
        <f>1/CAD!B1661</f>
        <v>0.78616352201257855</v>
      </c>
      <c r="E1661" s="3">
        <f>1/CAD!C1661</f>
        <v>0.78616352201257855</v>
      </c>
      <c r="F1661" s="3">
        <f>EUR!B1661/1</f>
        <v>1.1267</v>
      </c>
      <c r="G1661" s="3">
        <f>EUR!C1661/1</f>
        <v>1.1276999999999999</v>
      </c>
      <c r="H1661" s="3">
        <f>GBP!B1661/1</f>
        <v>1.4383999999999999</v>
      </c>
      <c r="I1661" s="3">
        <f>GBP!C1661/1</f>
        <v>1.4384999999999999</v>
      </c>
      <c r="J1661" s="4">
        <f>1/INR!B1661</f>
        <v>1.504042113179169E-2</v>
      </c>
      <c r="K1661" s="4">
        <f>1/INR!C1661</f>
        <v>1.4948800358771209E-2</v>
      </c>
      <c r="L1661" s="4">
        <f>1/JPY!B1661</f>
        <v>9.0358724134815219E-3</v>
      </c>
      <c r="M1661" s="4">
        <f>1/JPY!C1661</f>
        <v>9.0422698990973091E-3</v>
      </c>
      <c r="N1661" s="5">
        <f>1/KRW!B1661</f>
        <v>8.7454632909178358E-4</v>
      </c>
      <c r="O1661" s="5">
        <f>1/KRW!C1661</f>
        <v>8.7453868084585377E-4</v>
      </c>
      <c r="P1661" s="3">
        <f>1/NOK!B1661</f>
        <v>0.12203009262084032</v>
      </c>
      <c r="Q1661" s="3">
        <f>1/NOK!C1661</f>
        <v>0.12201073694485115</v>
      </c>
      <c r="R1661" s="3">
        <f>NZD!B1661/1</f>
        <v>0.68879999999999997</v>
      </c>
      <c r="S1661" s="3">
        <f>NZD!C1661/1</f>
        <v>0.68769999999999998</v>
      </c>
      <c r="T1661" s="4">
        <f>1/PHP!B1661</f>
        <v>2.1417862497322769E-2</v>
      </c>
      <c r="U1661" s="4">
        <f>1/PHP!C1661</f>
        <v>2.1379398811305426E-2</v>
      </c>
      <c r="V1661" s="4">
        <f>1/TWD!B1661</f>
        <v>3.0912856657083685E-2</v>
      </c>
      <c r="W1661" s="4">
        <f>1/TWD!C1661</f>
        <v>3.0912952217849756E-2</v>
      </c>
      <c r="X1661" s="4">
        <f>1/TWD!B1661</f>
        <v>3.0912856657083685E-2</v>
      </c>
      <c r="Y1661" s="4">
        <f>1/TWD!C1661</f>
        <v>3.0912952217849756E-2</v>
      </c>
      <c r="Z1661" s="4">
        <f>1/ZAR!B1661</f>
        <v>6.9553604963345256E-2</v>
      </c>
      <c r="AA1661" s="4">
        <f>1/ZAR!C1661</f>
        <v>6.9137646139699527E-2</v>
      </c>
    </row>
    <row r="1662" spans="1:27" x14ac:dyDescent="0.25">
      <c r="A1662" t="str">
        <f>"25/04/2016"</f>
        <v>25/04/2016</v>
      </c>
      <c r="B1662" s="3">
        <f>AUD!B1662</f>
        <v>0.77180000000000004</v>
      </c>
      <c r="C1662" s="3">
        <f>AUD!C1662</f>
        <v>0.77080000000000004</v>
      </c>
      <c r="D1662" s="3">
        <f>1/CAD!B1662</f>
        <v>0.78895463510848118</v>
      </c>
      <c r="E1662" s="3">
        <f>1/CAD!C1662</f>
        <v>0.78895463510848118</v>
      </c>
      <c r="F1662" s="3">
        <f>EUR!B1662/1</f>
        <v>1.1257999999999999</v>
      </c>
      <c r="G1662" s="3">
        <f>EUR!C1662/1</f>
        <v>1.1268</v>
      </c>
      <c r="H1662" s="3">
        <f>GBP!B1662/1</f>
        <v>1.4481999999999999</v>
      </c>
      <c r="I1662" s="3">
        <f>GBP!C1662/1</f>
        <v>1.4482999999999999</v>
      </c>
      <c r="J1662" s="4">
        <f>1/INR!B1662</f>
        <v>1.5009944087958272E-2</v>
      </c>
      <c r="K1662" s="4">
        <f>1/INR!C1662</f>
        <v>1.4920919128618324E-2</v>
      </c>
      <c r="L1662" s="4">
        <f>1/JPY!B1662</f>
        <v>8.9968511021142599E-3</v>
      </c>
      <c r="M1662" s="4">
        <f>1/JPY!C1662</f>
        <v>9.0035014617184626E-3</v>
      </c>
      <c r="N1662" s="5">
        <f>1/KRW!B1662</f>
        <v>8.7066300988202525E-4</v>
      </c>
      <c r="O1662" s="5">
        <f>1/KRW!C1662</f>
        <v>8.7065277627227408E-4</v>
      </c>
      <c r="P1662" s="3">
        <f>1/NOK!B1662</f>
        <v>0.12164414222633108</v>
      </c>
      <c r="Q1662" s="3">
        <f>1/NOK!C1662</f>
        <v>0.1216234295374661</v>
      </c>
      <c r="R1662" s="3">
        <f>NZD!B1662/1</f>
        <v>0.68740000000000001</v>
      </c>
      <c r="S1662" s="3">
        <f>NZD!C1662/1</f>
        <v>0.68630000000000002</v>
      </c>
      <c r="T1662" s="4">
        <f>1/PHP!B1662</f>
        <v>2.129698647641359E-2</v>
      </c>
      <c r="U1662" s="4">
        <f>1/PHP!C1662</f>
        <v>2.1260763261401087E-2</v>
      </c>
      <c r="V1662" s="4">
        <f>1/TWD!B1662</f>
        <v>3.0901393652853746E-2</v>
      </c>
      <c r="W1662" s="4">
        <f>1/TWD!C1662</f>
        <v>3.0901393652853746E-2</v>
      </c>
      <c r="X1662" s="4">
        <f>1/TWD!B1662</f>
        <v>3.0901393652853746E-2</v>
      </c>
      <c r="Y1662" s="4">
        <f>1/TWD!C1662</f>
        <v>3.0901393652853746E-2</v>
      </c>
      <c r="Z1662" s="4">
        <f>1/ZAR!B1662</f>
        <v>6.9000731407752924E-2</v>
      </c>
      <c r="AA1662" s="4">
        <f>1/ZAR!C1662</f>
        <v>6.8540095956134334E-2</v>
      </c>
    </row>
    <row r="1663" spans="1:27" x14ac:dyDescent="0.25">
      <c r="A1663" t="str">
        <f>"26/04/2016"</f>
        <v>26/04/2016</v>
      </c>
      <c r="B1663" s="3">
        <f>AUD!B1663</f>
        <v>0.77310000000000001</v>
      </c>
      <c r="C1663" s="3">
        <f>AUD!C1663</f>
        <v>0.77200000000000002</v>
      </c>
      <c r="D1663" s="3">
        <f>1/CAD!B1663</f>
        <v>0.79020150138285261</v>
      </c>
      <c r="E1663" s="3">
        <f>1/CAD!C1663</f>
        <v>0.79020150138285261</v>
      </c>
      <c r="F1663" s="3">
        <f>EUR!B1663/1</f>
        <v>1.1279999999999999</v>
      </c>
      <c r="G1663" s="3">
        <f>EUR!C1663/1</f>
        <v>1.1291</v>
      </c>
      <c r="H1663" s="3">
        <f>GBP!B1663/1</f>
        <v>1.4554</v>
      </c>
      <c r="I1663" s="3">
        <f>GBP!C1663/1</f>
        <v>1.4555</v>
      </c>
      <c r="J1663" s="4">
        <f>1/INR!B1663</f>
        <v>1.5031378001578295E-2</v>
      </c>
      <c r="K1663" s="4">
        <f>1/INR!C1663</f>
        <v>1.4932616567738081E-2</v>
      </c>
      <c r="L1663" s="4">
        <f>1/JPY!B1663</f>
        <v>9.0122566690699363E-3</v>
      </c>
      <c r="M1663" s="4">
        <f>1/JPY!C1663</f>
        <v>9.0197026384434154E-3</v>
      </c>
      <c r="N1663" s="5">
        <f>1/KRW!B1663</f>
        <v>8.685682520932495E-4</v>
      </c>
      <c r="O1663" s="5">
        <f>1/KRW!C1663</f>
        <v>8.6855769047035868E-4</v>
      </c>
      <c r="P1663" s="3">
        <f>1/NOK!B1663</f>
        <v>0.12218814530614239</v>
      </c>
      <c r="Q1663" s="3">
        <f>1/NOK!C1663</f>
        <v>0.12216873946294622</v>
      </c>
      <c r="R1663" s="3">
        <f>NZD!B1663/1</f>
        <v>0.68789999999999996</v>
      </c>
      <c r="S1663" s="3">
        <f>NZD!C1663/1</f>
        <v>0.68669999999999998</v>
      </c>
      <c r="T1663" s="4">
        <f>1/PHP!B1663</f>
        <v>2.1331513044220228E-2</v>
      </c>
      <c r="U1663" s="4">
        <f>1/PHP!C1663</f>
        <v>2.1294492179597745E-2</v>
      </c>
      <c r="V1663" s="4">
        <f>1/TWD!B1663</f>
        <v>3.0900438786230763E-2</v>
      </c>
      <c r="W1663" s="4">
        <f>1/TWD!C1663</f>
        <v>3.0900534270237534E-2</v>
      </c>
      <c r="X1663" s="4">
        <f>1/TWD!B1663</f>
        <v>3.0900438786230763E-2</v>
      </c>
      <c r="Y1663" s="4">
        <f>1/TWD!C1663</f>
        <v>3.0900534270237534E-2</v>
      </c>
      <c r="Z1663" s="4">
        <f>1/ZAR!B1663</f>
        <v>6.8961236888744837E-2</v>
      </c>
      <c r="AA1663" s="4">
        <f>1/ZAR!C1663</f>
        <v>6.8513329268209133E-2</v>
      </c>
    </row>
    <row r="1664" spans="1:27" x14ac:dyDescent="0.25">
      <c r="A1664" t="str">
        <f>"27/04/2016"</f>
        <v>27/04/2016</v>
      </c>
      <c r="B1664" s="3">
        <f>AUD!B1664</f>
        <v>0.76039999999999996</v>
      </c>
      <c r="C1664" s="3">
        <f>AUD!C1664</f>
        <v>0.75939999999999996</v>
      </c>
      <c r="D1664" s="3">
        <f>1/CAD!B1664</f>
        <v>0.7940289026520565</v>
      </c>
      <c r="E1664" s="3">
        <f>1/CAD!C1664</f>
        <v>0.7940289026520565</v>
      </c>
      <c r="F1664" s="3">
        <f>EUR!B1664/1</f>
        <v>1.1307</v>
      </c>
      <c r="G1664" s="3">
        <f>EUR!C1664/1</f>
        <v>1.1316999999999999</v>
      </c>
      <c r="H1664" s="3">
        <f>GBP!B1664/1</f>
        <v>1.4597</v>
      </c>
      <c r="I1664" s="3">
        <f>GBP!C1664/1</f>
        <v>1.4598</v>
      </c>
      <c r="J1664" s="4">
        <f>1/INR!B1664</f>
        <v>1.5047210623330701E-2</v>
      </c>
      <c r="K1664" s="4">
        <f>1/INR!C1664</f>
        <v>1.4952712048147734E-2</v>
      </c>
      <c r="L1664" s="4">
        <f>1/JPY!B1664</f>
        <v>8.9831117499101689E-3</v>
      </c>
      <c r="M1664" s="4">
        <f>1/JPY!C1664</f>
        <v>8.989636746758338E-3</v>
      </c>
      <c r="N1664" s="5">
        <f>1/KRW!B1664</f>
        <v>8.7070091423595991E-4</v>
      </c>
      <c r="O1664" s="5">
        <f>1/KRW!C1664</f>
        <v>8.7069371215475375E-4</v>
      </c>
      <c r="P1664" s="3">
        <f>1/NOK!B1664</f>
        <v>0.1228410682259293</v>
      </c>
      <c r="Q1664" s="3">
        <f>1/NOK!C1664</f>
        <v>0.12282447154771116</v>
      </c>
      <c r="R1664" s="3">
        <f>NZD!B1664/1</f>
        <v>0.68500000000000005</v>
      </c>
      <c r="S1664" s="3">
        <f>NZD!C1664/1</f>
        <v>0.68389999999999995</v>
      </c>
      <c r="T1664" s="4">
        <f>1/PHP!B1664</f>
        <v>2.1371631296616872E-2</v>
      </c>
      <c r="U1664" s="4">
        <f>1/PHP!C1664</f>
        <v>2.1331513044220228E-2</v>
      </c>
      <c r="V1664" s="4">
        <f>1/TWD!B1664</f>
        <v>3.0915723737092688E-2</v>
      </c>
      <c r="W1664" s="4">
        <f>1/TWD!C1664</f>
        <v>3.0915723737092688E-2</v>
      </c>
      <c r="X1664" s="4">
        <f>1/TWD!B1664</f>
        <v>3.0915723737092688E-2</v>
      </c>
      <c r="Y1664" s="4">
        <f>1/TWD!C1664</f>
        <v>3.0915723737092688E-2</v>
      </c>
      <c r="Z1664" s="4">
        <f>1/ZAR!B1664</f>
        <v>6.9195053937544548E-2</v>
      </c>
      <c r="AA1664" s="4">
        <f>1/ZAR!C1664</f>
        <v>6.8745531540449864E-2</v>
      </c>
    </row>
    <row r="1665" spans="1:27" x14ac:dyDescent="0.25">
      <c r="A1665" t="str">
        <f>"28/04/2016"</f>
        <v>28/04/2016</v>
      </c>
      <c r="B1665" s="3">
        <f>AUD!B1665</f>
        <v>0.76090000000000002</v>
      </c>
      <c r="C1665" s="3">
        <f>AUD!C1665</f>
        <v>0.75990000000000002</v>
      </c>
      <c r="D1665" s="3">
        <f>1/CAD!B1665</f>
        <v>0.79390282629406161</v>
      </c>
      <c r="E1665" s="3">
        <f>1/CAD!C1665</f>
        <v>0.79390282629406161</v>
      </c>
      <c r="F1665" s="3">
        <f>EUR!B1665/1</f>
        <v>1.1349</v>
      </c>
      <c r="G1665" s="3">
        <f>EUR!C1665/1</f>
        <v>1.1358999999999999</v>
      </c>
      <c r="H1665" s="3">
        <f>GBP!B1665/1</f>
        <v>1.456</v>
      </c>
      <c r="I1665" s="3">
        <f>GBP!C1665/1</f>
        <v>1.4560999999999999</v>
      </c>
      <c r="J1665" s="4">
        <f>1/INR!B1665</f>
        <v>1.5031942878617061E-2</v>
      </c>
      <c r="K1665" s="4">
        <f>1/INR!C1665</f>
        <v>1.4940983116689076E-2</v>
      </c>
      <c r="L1665" s="4">
        <f>1/JPY!B1665</f>
        <v>9.2472720547438509E-3</v>
      </c>
      <c r="M1665" s="4">
        <f>1/JPY!C1665</f>
        <v>9.253544338820377E-3</v>
      </c>
      <c r="N1665" s="5">
        <f>1/KRW!B1665</f>
        <v>8.7846444415162306E-4</v>
      </c>
      <c r="O1665" s="5">
        <f>1/KRW!C1665</f>
        <v>8.7845518385188531E-4</v>
      </c>
      <c r="P1665" s="3">
        <f>1/NOK!B1665</f>
        <v>0.12301938785552603</v>
      </c>
      <c r="Q1665" s="3">
        <f>1/NOK!C1665</f>
        <v>0.12299971710065066</v>
      </c>
      <c r="R1665" s="3">
        <f>NZD!B1665/1</f>
        <v>0.6956</v>
      </c>
      <c r="S1665" s="3">
        <f>NZD!C1665/1</f>
        <v>0.69440000000000002</v>
      </c>
      <c r="T1665" s="4">
        <f>1/PHP!B1665</f>
        <v>2.1330148031227337E-2</v>
      </c>
      <c r="U1665" s="4">
        <f>1/PHP!C1665</f>
        <v>2.1292089137201962E-2</v>
      </c>
      <c r="V1665" s="4">
        <f>1/TWD!B1665</f>
        <v>3.0946339048090611E-2</v>
      </c>
      <c r="W1665" s="4">
        <f>1/TWD!C1665</f>
        <v>3.0946339048090611E-2</v>
      </c>
      <c r="X1665" s="4">
        <f>1/TWD!B1665</f>
        <v>3.0946339048090611E-2</v>
      </c>
      <c r="Y1665" s="4">
        <f>1/TWD!C1665</f>
        <v>3.0946339048090611E-2</v>
      </c>
      <c r="Z1665" s="4">
        <f>1/ZAR!B1665</f>
        <v>6.9327934998128143E-2</v>
      </c>
      <c r="AA1665" s="4">
        <f>1/ZAR!C1665</f>
        <v>6.8891399597674235E-2</v>
      </c>
    </row>
    <row r="1666" spans="1:27" x14ac:dyDescent="0.25">
      <c r="A1666" t="str">
        <f>"29/04/2016"</f>
        <v>29/04/2016</v>
      </c>
      <c r="B1666" s="3">
        <f>AUD!B1666</f>
        <v>0.75960000000000005</v>
      </c>
      <c r="C1666" s="3">
        <f>AUD!C1666</f>
        <v>0.75860000000000005</v>
      </c>
      <c r="D1666" s="3">
        <f>1/CAD!B1666</f>
        <v>0.79636855936927609</v>
      </c>
      <c r="E1666" s="3">
        <f>1/CAD!C1666</f>
        <v>0.79636855936927609</v>
      </c>
      <c r="F1666" s="3">
        <f>EUR!B1666/1</f>
        <v>1.145</v>
      </c>
      <c r="G1666" s="3">
        <f>EUR!C1666/1</f>
        <v>1.1459999999999999</v>
      </c>
      <c r="H1666" s="3">
        <f>GBP!B1666/1</f>
        <v>1.4611000000000001</v>
      </c>
      <c r="I1666" s="3">
        <f>GBP!C1666/1</f>
        <v>1.4612000000000001</v>
      </c>
      <c r="J1666" s="4">
        <f>1/INR!B1666</f>
        <v>1.5074998115625238E-2</v>
      </c>
      <c r="K1666" s="4">
        <f>1/INR!C1666</f>
        <v>1.4983518130056939E-2</v>
      </c>
      <c r="L1666" s="4">
        <f>1/JPY!B1666</f>
        <v>9.3896713615023476E-3</v>
      </c>
      <c r="M1666" s="4">
        <f>1/JPY!C1666</f>
        <v>9.3960236028112903E-3</v>
      </c>
      <c r="N1666" s="5">
        <f>1/KRW!B1666</f>
        <v>8.7696220292905378E-4</v>
      </c>
      <c r="O1666" s="5">
        <f>1/KRW!C1666</f>
        <v>8.7695566594478587E-4</v>
      </c>
      <c r="P1666" s="3">
        <f>1/NOK!B1666</f>
        <v>0.12332737251032867</v>
      </c>
      <c r="Q1666" s="3">
        <f>1/NOK!C1666</f>
        <v>0.12330456226880396</v>
      </c>
      <c r="R1666" s="3">
        <f>NZD!B1666/1</f>
        <v>0.69679999999999997</v>
      </c>
      <c r="S1666" s="3">
        <f>NZD!C1666/1</f>
        <v>0.6956</v>
      </c>
      <c r="T1666" s="4">
        <f>1/PHP!B1666</f>
        <v>2.1260763261401087E-2</v>
      </c>
      <c r="U1666" s="4">
        <f>1/PHP!C1666</f>
        <v>2.1222861266155902E-2</v>
      </c>
      <c r="V1666" s="4">
        <f>1/TWD!B1666</f>
        <v>3.0983733539891558E-2</v>
      </c>
      <c r="W1666" s="4">
        <f>1/TWD!C1666</f>
        <v>3.0983733539891558E-2</v>
      </c>
      <c r="X1666" s="4">
        <f>1/TWD!B1666</f>
        <v>3.0983733539891558E-2</v>
      </c>
      <c r="Y1666" s="4">
        <f>1/TWD!C1666</f>
        <v>3.0983733539891558E-2</v>
      </c>
      <c r="Z1666" s="4">
        <f>1/ZAR!B1666</f>
        <v>6.9967744869615114E-2</v>
      </c>
      <c r="AA1666" s="4">
        <f>1/ZAR!C1666</f>
        <v>6.9512508775954232E-2</v>
      </c>
    </row>
    <row r="1667" spans="1:27" x14ac:dyDescent="0.25">
      <c r="A1667" t="str">
        <f>"02/05/2016"</f>
        <v>02/05/2016</v>
      </c>
      <c r="B1667" s="3">
        <f>AUD!B1667</f>
        <v>0.76439999999999997</v>
      </c>
      <c r="C1667" s="3">
        <f>AUD!C1667</f>
        <v>0.76339999999999997</v>
      </c>
      <c r="D1667" s="3">
        <f>1/CAD!B1667</f>
        <v>0.79859447372624182</v>
      </c>
      <c r="E1667" s="3">
        <f>1/CAD!C1667</f>
        <v>0.79859447372624182</v>
      </c>
      <c r="F1667" s="3">
        <f>EUR!B1667/1</f>
        <v>1.1478999999999999</v>
      </c>
      <c r="G1667" s="3">
        <f>EUR!C1667/1</f>
        <v>1.149</v>
      </c>
      <c r="H1667" s="3">
        <f>GBP!B1667/1</f>
        <v>1.4642999999999999</v>
      </c>
      <c r="I1667" s="3">
        <f>GBP!C1667/1</f>
        <v>1.4643999999999999</v>
      </c>
      <c r="J1667" s="4">
        <f>1/INR!B1667</f>
        <v>1.5047210623330701E-2</v>
      </c>
      <c r="K1667" s="4">
        <f>1/INR!C1667</f>
        <v>1.4951035359198624E-2</v>
      </c>
      <c r="L1667" s="4">
        <f>1/JPY!B1667</f>
        <v>9.3799831160303916E-3</v>
      </c>
      <c r="M1667" s="4">
        <f>1/JPY!C1667</f>
        <v>9.3867451648875656E-3</v>
      </c>
      <c r="N1667" s="5">
        <f>1/KRW!B1667</f>
        <v>8.7881184638368922E-4</v>
      </c>
      <c r="O1667" s="5">
        <f>1/KRW!C1667</f>
        <v>8.788025787582871E-4</v>
      </c>
      <c r="P1667" s="3">
        <f>1/NOK!B1667</f>
        <v>0.12445240939864596</v>
      </c>
      <c r="Q1667" s="3">
        <f>1/NOK!C1667</f>
        <v>0.12443227773284389</v>
      </c>
      <c r="R1667" s="3">
        <f>NZD!B1667/1</f>
        <v>0.7016</v>
      </c>
      <c r="S1667" s="3">
        <f>NZD!C1667/1</f>
        <v>0.70030000000000003</v>
      </c>
      <c r="T1667" s="4">
        <f>1/PHP!B1667</f>
        <v>2.1262119408062597E-2</v>
      </c>
      <c r="U1667" s="4">
        <f>1/PHP!C1667</f>
        <v>2.1225564069365144E-2</v>
      </c>
      <c r="V1667" s="4">
        <f>1/TWD!B1667</f>
        <v>3.1021218513463213E-2</v>
      </c>
      <c r="W1667" s="4">
        <f>1/TWD!C1667</f>
        <v>3.1021218513463213E-2</v>
      </c>
      <c r="X1667" s="4">
        <f>1/TWD!B1667</f>
        <v>3.1021218513463213E-2</v>
      </c>
      <c r="Y1667" s="4">
        <f>1/TWD!C1667</f>
        <v>3.1021218513463213E-2</v>
      </c>
      <c r="Z1667" s="4">
        <f>1/ZAR!B1667</f>
        <v>7.042451900053523E-2</v>
      </c>
      <c r="AA1667" s="4">
        <f>1/ZAR!C1667</f>
        <v>6.9956487065045536E-2</v>
      </c>
    </row>
    <row r="1668" spans="1:27" x14ac:dyDescent="0.25">
      <c r="A1668" t="str">
        <f>"03/05/2016"</f>
        <v>03/05/2016</v>
      </c>
      <c r="B1668" s="3">
        <f>AUD!B1668</f>
        <v>0.75880000000000003</v>
      </c>
      <c r="C1668" s="3">
        <f>AUD!C1668</f>
        <v>0.75790000000000002</v>
      </c>
      <c r="D1668" s="3">
        <f>1/CAD!B1668</f>
        <v>0.7989773090444231</v>
      </c>
      <c r="E1668" s="3">
        <f>1/CAD!C1668</f>
        <v>0.7989773090444231</v>
      </c>
      <c r="F1668" s="3">
        <f>EUR!B1668/1</f>
        <v>1.1537999999999999</v>
      </c>
      <c r="G1668" s="3">
        <f>EUR!C1668/1</f>
        <v>1.1548</v>
      </c>
      <c r="H1668" s="3">
        <f>GBP!B1668/1</f>
        <v>1.4681</v>
      </c>
      <c r="I1668" s="3">
        <f>GBP!C1668/1</f>
        <v>1.4681999999999999</v>
      </c>
      <c r="J1668" s="4">
        <f>1/INR!B1668</f>
        <v>1.5074998115625238E-2</v>
      </c>
      <c r="K1668" s="4">
        <f>1/INR!C1668</f>
        <v>1.4980712332871429E-2</v>
      </c>
      <c r="L1668" s="4">
        <f>1/JPY!B1668</f>
        <v>9.4375235938089844E-3</v>
      </c>
      <c r="M1668" s="4">
        <f>1/JPY!C1668</f>
        <v>9.4443153721343598E-3</v>
      </c>
      <c r="N1668" s="5">
        <f>1/KRW!B1668</f>
        <v>8.7796312554872696E-4</v>
      </c>
      <c r="O1668" s="5">
        <f>1/KRW!C1668</f>
        <v>8.7795503202121481E-4</v>
      </c>
      <c r="P1668" s="3">
        <f>1/NOK!B1668</f>
        <v>0.12472560367192177</v>
      </c>
      <c r="Q1668" s="3">
        <f>1/NOK!C1668</f>
        <v>0.12470382840753211</v>
      </c>
      <c r="R1668" s="3">
        <f>NZD!B1668/1</f>
        <v>0.7016</v>
      </c>
      <c r="S1668" s="3">
        <f>NZD!C1668/1</f>
        <v>0.70040000000000002</v>
      </c>
      <c r="T1668" s="4">
        <f>1/PHP!B1668</f>
        <v>2.1293358601452206E-2</v>
      </c>
      <c r="U1668" s="4">
        <f>1/PHP!C1668</f>
        <v>2.1253533399927738E-2</v>
      </c>
      <c r="V1668" s="4">
        <f>1/TWD!B1668</f>
        <v>3.1024105730152331E-2</v>
      </c>
      <c r="W1668" s="4">
        <f>1/TWD!C1668</f>
        <v>3.1024201979964569E-2</v>
      </c>
      <c r="X1668" s="4">
        <f>1/TWD!B1668</f>
        <v>3.1024105730152331E-2</v>
      </c>
      <c r="Y1668" s="4">
        <f>1/TWD!C1668</f>
        <v>3.1024201979964569E-2</v>
      </c>
      <c r="Z1668" s="4">
        <f>1/ZAR!B1668</f>
        <v>6.9932515122906394E-2</v>
      </c>
      <c r="AA1668" s="4">
        <f>1/ZAR!C1668</f>
        <v>6.9468565474122959E-2</v>
      </c>
    </row>
    <row r="1669" spans="1:27" x14ac:dyDescent="0.25">
      <c r="A1669" t="str">
        <f>"04/05/2016"</f>
        <v>04/05/2016</v>
      </c>
      <c r="B1669" s="3">
        <f>AUD!B1669</f>
        <v>0.74890000000000001</v>
      </c>
      <c r="C1669" s="3">
        <f>AUD!C1669</f>
        <v>0.748</v>
      </c>
      <c r="D1669" s="3">
        <f>1/CAD!B1669</f>
        <v>0.78449831332862641</v>
      </c>
      <c r="E1669" s="3">
        <f>1/CAD!C1669</f>
        <v>0.78449831332862641</v>
      </c>
      <c r="F1669" s="3">
        <f>EUR!B1669/1</f>
        <v>1.1497999999999999</v>
      </c>
      <c r="G1669" s="3">
        <f>EUR!C1669/1</f>
        <v>1.1508</v>
      </c>
      <c r="H1669" s="3">
        <f>GBP!B1669/1</f>
        <v>1.4509000000000001</v>
      </c>
      <c r="I1669" s="3">
        <f>GBP!C1669/1</f>
        <v>1.4510000000000001</v>
      </c>
      <c r="J1669" s="4">
        <f>1/INR!B1669</f>
        <v>1.502403846153846E-2</v>
      </c>
      <c r="K1669" s="4">
        <f>1/INR!C1669</f>
        <v>1.4934289127837517E-2</v>
      </c>
      <c r="L1669" s="4">
        <f>1/JPY!B1669</f>
        <v>9.3711929528629001E-3</v>
      </c>
      <c r="M1669" s="4">
        <f>1/JPY!C1669</f>
        <v>9.3778807677483422E-3</v>
      </c>
      <c r="N1669" s="5">
        <f>1/KRW!B1669</f>
        <v>8.6610081413476532E-4</v>
      </c>
      <c r="O1669" s="5">
        <f>1/KRW!C1669</f>
        <v>8.6609293783488023E-4</v>
      </c>
      <c r="P1669" s="3">
        <f>1/NOK!B1669</f>
        <v>0.12313602837054094</v>
      </c>
      <c r="Q1669" s="3">
        <f>1/NOK!C1669</f>
        <v>0.12311632029941888</v>
      </c>
      <c r="R1669" s="3">
        <f>NZD!B1669/1</f>
        <v>0.69069999999999998</v>
      </c>
      <c r="S1669" s="3">
        <f>NZD!C1669/1</f>
        <v>0.6895</v>
      </c>
      <c r="T1669" s="4">
        <f>1/PHP!B1669</f>
        <v>2.1222410865874366E-2</v>
      </c>
      <c r="U1669" s="4">
        <f>1/PHP!C1669</f>
        <v>2.1180607036197657E-2</v>
      </c>
      <c r="V1669" s="4">
        <f>1/TWD!B1669</f>
        <v>3.0905213709552803E-2</v>
      </c>
      <c r="W1669" s="4">
        <f>1/TWD!C1669</f>
        <v>3.0905213709552803E-2</v>
      </c>
      <c r="X1669" s="4">
        <f>1/TWD!B1669</f>
        <v>3.0905213709552803E-2</v>
      </c>
      <c r="Y1669" s="4">
        <f>1/TWD!C1669</f>
        <v>3.0905213709552803E-2</v>
      </c>
      <c r="Z1669" s="4">
        <f>1/ZAR!B1669</f>
        <v>6.7826959860005157E-2</v>
      </c>
      <c r="AA1669" s="4">
        <f>1/ZAR!C1669</f>
        <v>6.7394981769657428E-2</v>
      </c>
    </row>
    <row r="1670" spans="1:27" x14ac:dyDescent="0.25">
      <c r="A1670" t="str">
        <f>"05/05/2016"</f>
        <v>05/05/2016</v>
      </c>
      <c r="B1670" s="3">
        <f>AUD!B1670</f>
        <v>0.74809999999999999</v>
      </c>
      <c r="C1670" s="3">
        <f>AUD!C1670</f>
        <v>0.74719999999999998</v>
      </c>
      <c r="D1670" s="3">
        <f>1/CAD!B1670</f>
        <v>0.778694907335306</v>
      </c>
      <c r="E1670" s="3">
        <f>1/CAD!C1670</f>
        <v>0.778694907335306</v>
      </c>
      <c r="F1670" s="3">
        <f>EUR!B1670/1</f>
        <v>1.143</v>
      </c>
      <c r="G1670" s="3">
        <f>EUR!C1670/1</f>
        <v>1.1439999999999999</v>
      </c>
      <c r="H1670" s="3">
        <f>GBP!B1670/1</f>
        <v>1.4479</v>
      </c>
      <c r="I1670" s="3">
        <f>GBP!C1670/1</f>
        <v>1.448</v>
      </c>
      <c r="J1670" s="4">
        <f>1/INR!B1670</f>
        <v>1.502403846153846E-2</v>
      </c>
      <c r="K1670" s="4">
        <f>1/INR!C1670</f>
        <v>1.4934846731135423E-2</v>
      </c>
      <c r="L1670" s="4">
        <f>1/JPY!B1670</f>
        <v>9.3292284728052986E-3</v>
      </c>
      <c r="M1670" s="4">
        <f>1/JPY!C1670</f>
        <v>9.3358303567594222E-3</v>
      </c>
      <c r="N1670" s="5">
        <f>1/KRW!B1670</f>
        <v>8.6610081413476532E-4</v>
      </c>
      <c r="O1670" s="5">
        <f>1/KRW!C1670</f>
        <v>8.6609293783488023E-4</v>
      </c>
      <c r="P1670" s="3">
        <f>1/NOK!B1670</f>
        <v>0.12290447863920161</v>
      </c>
      <c r="Q1670" s="3">
        <f>1/NOK!C1670</f>
        <v>0.12288484461211398</v>
      </c>
      <c r="R1670" s="3">
        <f>NZD!B1670/1</f>
        <v>0.68920000000000003</v>
      </c>
      <c r="S1670" s="3">
        <f>NZD!C1670/1</f>
        <v>0.68810000000000004</v>
      </c>
      <c r="T1670" s="4">
        <f>1/PHP!B1670</f>
        <v>2.115506663845991E-2</v>
      </c>
      <c r="U1670" s="4">
        <f>1/PHP!C1670</f>
        <v>2.1117094287825995E-2</v>
      </c>
      <c r="V1670" s="4">
        <f>1/TWD!B1670</f>
        <v>3.0886122864996753E-2</v>
      </c>
      <c r="W1670" s="4">
        <f>1/TWD!C1670</f>
        <v>3.0886122864996753E-2</v>
      </c>
      <c r="X1670" s="4">
        <f>1/TWD!B1670</f>
        <v>3.0886122864996753E-2</v>
      </c>
      <c r="Y1670" s="4">
        <f>1/TWD!C1670</f>
        <v>3.0886122864996753E-2</v>
      </c>
      <c r="Z1670" s="4">
        <f>1/ZAR!B1670</f>
        <v>6.6684893870991399E-2</v>
      </c>
      <c r="AA1670" s="4">
        <f>1/ZAR!C1670</f>
        <v>6.625851421907715E-2</v>
      </c>
    </row>
    <row r="1671" spans="1:27" x14ac:dyDescent="0.25">
      <c r="A1671" t="str">
        <f>"06/05/2016"</f>
        <v>06/05/2016</v>
      </c>
      <c r="B1671" s="3">
        <f>AUD!B1671</f>
        <v>0.73629999999999995</v>
      </c>
      <c r="C1671" s="3">
        <f>AUD!C1671</f>
        <v>0.73540000000000005</v>
      </c>
      <c r="D1671" s="3">
        <f>1/CAD!B1671</f>
        <v>0.7759155803848542</v>
      </c>
      <c r="E1671" s="3">
        <f>1/CAD!C1671</f>
        <v>0.7759155803848542</v>
      </c>
      <c r="F1671" s="3">
        <f>EUR!B1671/1</f>
        <v>1.1420999999999999</v>
      </c>
      <c r="G1671" s="3">
        <f>EUR!C1671/1</f>
        <v>1.1431</v>
      </c>
      <c r="H1671" s="3">
        <f>GBP!B1671/1</f>
        <v>1.4492</v>
      </c>
      <c r="I1671" s="3">
        <f>GBP!C1671/1</f>
        <v>1.4493</v>
      </c>
      <c r="J1671" s="4">
        <f>1/INR!B1671</f>
        <v>1.5024602787063817E-2</v>
      </c>
      <c r="K1671" s="4">
        <f>1/INR!C1671</f>
        <v>1.4937635372320563E-2</v>
      </c>
      <c r="L1671" s="4">
        <f>1/JPY!B1671</f>
        <v>9.3510379652141391E-3</v>
      </c>
      <c r="M1671" s="4">
        <f>1/JPY!C1671</f>
        <v>9.3574518535708504E-3</v>
      </c>
      <c r="N1671" s="5">
        <f>1/KRW!B1671</f>
        <v>8.6610081413476532E-4</v>
      </c>
      <c r="O1671" s="5">
        <f>1/KRW!C1671</f>
        <v>8.6609293783488023E-4</v>
      </c>
      <c r="P1671" s="3">
        <f>1/NOK!B1671</f>
        <v>0.12188284620822466</v>
      </c>
      <c r="Q1671" s="3">
        <f>1/NOK!C1671</f>
        <v>0.12186353721103109</v>
      </c>
      <c r="R1671" s="3">
        <f>NZD!B1671/1</f>
        <v>0.68379999999999996</v>
      </c>
      <c r="S1671" s="3">
        <f>NZD!C1671/1</f>
        <v>0.68269999999999997</v>
      </c>
      <c r="T1671" s="4">
        <f>1/PHP!B1671</f>
        <v>2.1222410865874366E-2</v>
      </c>
      <c r="U1671" s="4">
        <f>1/PHP!C1671</f>
        <v>2.1182850364345026E-2</v>
      </c>
      <c r="V1671" s="4">
        <f>1/TWD!B1671</f>
        <v>3.0854674483184207E-2</v>
      </c>
      <c r="W1671" s="4">
        <f>1/TWD!C1671</f>
        <v>3.0854674483184207E-2</v>
      </c>
      <c r="X1671" s="4">
        <f>1/TWD!B1671</f>
        <v>3.0854674483184207E-2</v>
      </c>
      <c r="Y1671" s="4">
        <f>1/TWD!C1671</f>
        <v>3.0854674483184207E-2</v>
      </c>
      <c r="Z1671" s="4">
        <f>1/ZAR!B1671</f>
        <v>6.680785393130817E-2</v>
      </c>
      <c r="AA1671" s="4">
        <f>1/ZAR!C1671</f>
        <v>6.6385634148770203E-2</v>
      </c>
    </row>
    <row r="1672" spans="1:27" x14ac:dyDescent="0.25">
      <c r="A1672" t="str">
        <f>"09/05/2016"</f>
        <v>09/05/2016</v>
      </c>
      <c r="B1672" s="3">
        <f>AUD!B1672</f>
        <v>0.73409999999999997</v>
      </c>
      <c r="C1672" s="3">
        <f>AUD!C1672</f>
        <v>0.73309999999999997</v>
      </c>
      <c r="D1672" s="3">
        <f>1/CAD!B1672</f>
        <v>0.77333539556105491</v>
      </c>
      <c r="E1672" s="3">
        <f>1/CAD!C1672</f>
        <v>0.77327559542220858</v>
      </c>
      <c r="F1672" s="3">
        <f>EUR!B1672/1</f>
        <v>1.1385000000000001</v>
      </c>
      <c r="G1672" s="3">
        <f>EUR!C1672/1</f>
        <v>1.1395999999999999</v>
      </c>
      <c r="H1672" s="3">
        <f>GBP!B1672/1</f>
        <v>1.4438</v>
      </c>
      <c r="I1672" s="3">
        <f>GBP!C1672/1</f>
        <v>1.4439</v>
      </c>
      <c r="J1672" s="4">
        <f>1/INR!B1672</f>
        <v>1.5018397536982805E-2</v>
      </c>
      <c r="K1672" s="4">
        <f>1/INR!C1672</f>
        <v>1.4926487051272481E-2</v>
      </c>
      <c r="L1672" s="4">
        <f>1/JPY!B1672</f>
        <v>9.2336103416435829E-3</v>
      </c>
      <c r="M1672" s="4">
        <f>1/JPY!C1672</f>
        <v>9.2399921644866437E-3</v>
      </c>
      <c r="N1672" s="5">
        <f>1/KRW!B1672</f>
        <v>8.576329331046312E-4</v>
      </c>
      <c r="O1672" s="5">
        <f>1/KRW!C1672</f>
        <v>8.5762300350724924E-4</v>
      </c>
      <c r="P1672" s="3">
        <f>1/NOK!B1672</f>
        <v>0.1221135411705804</v>
      </c>
      <c r="Q1672" s="3">
        <f>1/NOK!C1672</f>
        <v>0.12209117769150002</v>
      </c>
      <c r="R1672" s="3">
        <f>NZD!B1672/1</f>
        <v>0.68179999999999996</v>
      </c>
      <c r="S1672" s="3">
        <f>NZD!C1672/1</f>
        <v>0.68059999999999998</v>
      </c>
      <c r="T1672" s="4">
        <f>1/PHP!B1672</f>
        <v>2.1226915729144556E-2</v>
      </c>
      <c r="U1672" s="4">
        <f>1/PHP!C1672</f>
        <v>2.118890972465012E-2</v>
      </c>
      <c r="V1672" s="4">
        <f>1/TWD!B1672</f>
        <v>3.0849915162733305E-2</v>
      </c>
      <c r="W1672" s="4">
        <f>1/TWD!C1672</f>
        <v>3.0850010334753458E-2</v>
      </c>
      <c r="X1672" s="4">
        <f>1/TWD!B1672</f>
        <v>3.0849915162733305E-2</v>
      </c>
      <c r="Y1672" s="4">
        <f>1/TWD!C1672</f>
        <v>3.0850010334753458E-2</v>
      </c>
      <c r="Z1672" s="4">
        <f>1/ZAR!B1672</f>
        <v>6.6698237165591714E-2</v>
      </c>
      <c r="AA1672" s="4">
        <f>1/ZAR!C1672</f>
        <v>6.6249296101228927E-2</v>
      </c>
    </row>
    <row r="1673" spans="1:27" x14ac:dyDescent="0.25">
      <c r="A1673" t="str">
        <f>"10/05/2016"</f>
        <v>10/05/2016</v>
      </c>
      <c r="B1673" s="3">
        <f>AUD!B1673</f>
        <v>0.73270000000000002</v>
      </c>
      <c r="C1673" s="3">
        <f>AUD!C1673</f>
        <v>0.73180000000000001</v>
      </c>
      <c r="D1673" s="3">
        <f>1/CAD!B1673</f>
        <v>0.77059412807274408</v>
      </c>
      <c r="E1673" s="3">
        <f>1/CAD!C1673</f>
        <v>0.77053475111727532</v>
      </c>
      <c r="F1673" s="3">
        <f>EUR!B1673/1</f>
        <v>1.1369</v>
      </c>
      <c r="G1673" s="3">
        <f>EUR!C1673/1</f>
        <v>1.1379999999999999</v>
      </c>
      <c r="H1673" s="3">
        <f>GBP!B1673/1</f>
        <v>1.4429000000000001</v>
      </c>
      <c r="I1673" s="3">
        <f>GBP!C1673/1</f>
        <v>1.4430000000000001</v>
      </c>
      <c r="J1673" s="4">
        <f>1/INR!B1673</f>
        <v>1.4997000599880022E-2</v>
      </c>
      <c r="K1673" s="4">
        <f>1/INR!C1673</f>
        <v>1.4908684308609765E-2</v>
      </c>
      <c r="L1673" s="4">
        <f>1/JPY!B1673</f>
        <v>9.1524803221673078E-3</v>
      </c>
      <c r="M1673" s="4">
        <f>1/JPY!C1673</f>
        <v>9.1587001240088003E-3</v>
      </c>
      <c r="N1673" s="5">
        <f>1/KRW!B1673</f>
        <v>8.5258760337624689E-4</v>
      </c>
      <c r="O1673" s="5">
        <f>1/KRW!C1673</f>
        <v>8.5257888059803286E-4</v>
      </c>
      <c r="P1673" s="3">
        <f>1/NOK!B1673</f>
        <v>0.12137984609035515</v>
      </c>
      <c r="Q1673" s="3">
        <f>1/NOK!C1673</f>
        <v>0.12135627776024854</v>
      </c>
      <c r="R1673" s="3">
        <f>NZD!B1673/1</f>
        <v>0.67159999999999997</v>
      </c>
      <c r="S1673" s="3">
        <f>NZD!C1673/1</f>
        <v>0.6704</v>
      </c>
      <c r="T1673" s="4">
        <f>1/PHP!B1673</f>
        <v>2.1378941742383754E-2</v>
      </c>
      <c r="U1673" s="4">
        <f>1/PHP!C1673</f>
        <v>2.1336519586924979E-2</v>
      </c>
      <c r="V1673" s="4">
        <f>1/TWD!B1673</f>
        <v>3.0737075059937297E-2</v>
      </c>
      <c r="W1673" s="4">
        <f>1/TWD!C1673</f>
        <v>3.0737169537006014E-2</v>
      </c>
      <c r="X1673" s="4">
        <f>1/TWD!B1673</f>
        <v>3.0737075059937297E-2</v>
      </c>
      <c r="Y1673" s="4">
        <f>1/TWD!C1673</f>
        <v>3.0737169537006014E-2</v>
      </c>
      <c r="Z1673" s="4">
        <f>1/ZAR!B1673</f>
        <v>6.542019390545474E-2</v>
      </c>
      <c r="AA1673" s="4">
        <f>1/ZAR!C1673</f>
        <v>6.4992883279280919E-2</v>
      </c>
    </row>
    <row r="1674" spans="1:27" x14ac:dyDescent="0.25">
      <c r="A1674" t="str">
        <f>"11/05/2016"</f>
        <v>11/05/2016</v>
      </c>
      <c r="B1674" s="3">
        <f>AUD!B1674</f>
        <v>0.73660000000000003</v>
      </c>
      <c r="C1674" s="3">
        <f>AUD!C1674</f>
        <v>0.73570000000000002</v>
      </c>
      <c r="D1674" s="3">
        <f>1/CAD!B1674</f>
        <v>0.77633724089744582</v>
      </c>
      <c r="E1674" s="3">
        <f>1/CAD!C1674</f>
        <v>0.77627697562490294</v>
      </c>
      <c r="F1674" s="3">
        <f>EUR!B1674/1</f>
        <v>1.1397999999999999</v>
      </c>
      <c r="G1674" s="3">
        <f>EUR!C1674/1</f>
        <v>1.1408</v>
      </c>
      <c r="H1674" s="3">
        <f>GBP!B1674/1</f>
        <v>1.4435</v>
      </c>
      <c r="I1674" s="3">
        <f>GBP!C1674/1</f>
        <v>1.4436</v>
      </c>
      <c r="J1674" s="4">
        <f>1/INR!B1674</f>
        <v>1.5021781583295781E-2</v>
      </c>
      <c r="K1674" s="4">
        <f>1/INR!C1674</f>
        <v>1.4935404376073482E-2</v>
      </c>
      <c r="L1674" s="4">
        <f>1/JPY!B1674</f>
        <v>9.1954022988505746E-3</v>
      </c>
      <c r="M1674" s="4">
        <f>1/JPY!C1674</f>
        <v>9.201477389209612E-3</v>
      </c>
      <c r="N1674" s="5">
        <f>1/KRW!B1674</f>
        <v>8.5594453479414536E-4</v>
      </c>
      <c r="O1674" s="5">
        <f>1/KRW!C1674</f>
        <v>8.5593647581851074E-4</v>
      </c>
      <c r="P1674" s="3">
        <f>1/NOK!B1674</f>
        <v>0.12196014342512866</v>
      </c>
      <c r="Q1674" s="3">
        <f>1/NOK!C1674</f>
        <v>0.12193783609116071</v>
      </c>
      <c r="R1674" s="3">
        <f>NZD!B1674/1</f>
        <v>0.6804</v>
      </c>
      <c r="S1674" s="3">
        <f>NZD!C1674/1</f>
        <v>0.67930000000000001</v>
      </c>
      <c r="T1674" s="4">
        <f>1/PHP!B1674</f>
        <v>2.1463833440652499E-2</v>
      </c>
      <c r="U1674" s="4">
        <f>1/PHP!C1674</f>
        <v>2.1423827581035629E-2</v>
      </c>
      <c r="V1674" s="4">
        <f>1/TWD!B1674</f>
        <v>3.0742744712247912E-2</v>
      </c>
      <c r="W1674" s="4">
        <f>1/TWD!C1674</f>
        <v>3.0742839224173708E-2</v>
      </c>
      <c r="X1674" s="4">
        <f>1/TWD!B1674</f>
        <v>3.0742744712247912E-2</v>
      </c>
      <c r="Y1674" s="4">
        <f>1/TWD!C1674</f>
        <v>3.0742839224173708E-2</v>
      </c>
      <c r="Z1674" s="4">
        <f>1/ZAR!B1674</f>
        <v>6.5876586802284601E-2</v>
      </c>
      <c r="AA1674" s="4">
        <f>1/ZAR!C1674</f>
        <v>6.5462162869861215E-2</v>
      </c>
    </row>
    <row r="1675" spans="1:27" x14ac:dyDescent="0.25">
      <c r="A1675" t="str">
        <f>"12/05/2016"</f>
        <v>12/05/2016</v>
      </c>
      <c r="B1675" s="3">
        <f>AUD!B1675</f>
        <v>0.7329</v>
      </c>
      <c r="C1675" s="3">
        <f>AUD!C1675</f>
        <v>0.73199999999999998</v>
      </c>
      <c r="D1675" s="3">
        <f>1/CAD!B1675</f>
        <v>0.77893752921015735</v>
      </c>
      <c r="E1675" s="3">
        <f>1/CAD!C1675</f>
        <v>0.77887685956850217</v>
      </c>
      <c r="F1675" s="3">
        <f>EUR!B1675/1</f>
        <v>1.1386000000000001</v>
      </c>
      <c r="G1675" s="3">
        <f>EUR!C1675/1</f>
        <v>1.1395999999999999</v>
      </c>
      <c r="H1675" s="3">
        <f>GBP!B1675/1</f>
        <v>1.4457</v>
      </c>
      <c r="I1675" s="3">
        <f>GBP!C1675/1</f>
        <v>1.4458</v>
      </c>
      <c r="J1675" s="4">
        <f>1/INR!B1675</f>
        <v>1.5008254539996999E-2</v>
      </c>
      <c r="K1675" s="4">
        <f>1/INR!C1675</f>
        <v>1.4922032380810267E-2</v>
      </c>
      <c r="L1675" s="4">
        <f>1/JPY!B1675</f>
        <v>9.1508052708638363E-3</v>
      </c>
      <c r="M1675" s="4">
        <f>1/JPY!C1675</f>
        <v>9.1573414406329549E-3</v>
      </c>
      <c r="N1675" s="5">
        <f>1/KRW!B1675</f>
        <v>8.6014106313435411E-4</v>
      </c>
      <c r="O1675" s="5">
        <f>1/KRW!C1675</f>
        <v>8.6013329485670395E-4</v>
      </c>
      <c r="P1675" s="3">
        <f>1/NOK!B1675</f>
        <v>0.12328480021698125</v>
      </c>
      <c r="Q1675" s="3">
        <f>1/NOK!C1675</f>
        <v>0.12326048638587928</v>
      </c>
      <c r="R1675" s="3">
        <f>NZD!B1675/1</f>
        <v>0.68120000000000003</v>
      </c>
      <c r="S1675" s="3">
        <f>NZD!C1675/1</f>
        <v>0.68010000000000004</v>
      </c>
      <c r="T1675" s="4">
        <f>1/PHP!B1675</f>
        <v>2.1433929911049192E-2</v>
      </c>
      <c r="U1675" s="4">
        <f>1/PHP!C1675</f>
        <v>2.1395408545326174E-2</v>
      </c>
      <c r="V1675" s="4">
        <f>1/TWD!B1675</f>
        <v>3.0729518775735969E-2</v>
      </c>
      <c r="W1675" s="4">
        <f>1/TWD!C1675</f>
        <v>3.0729613206358572E-2</v>
      </c>
      <c r="X1675" s="4">
        <f>1/TWD!B1675</f>
        <v>3.0729518775735969E-2</v>
      </c>
      <c r="Y1675" s="4">
        <f>1/TWD!C1675</f>
        <v>3.0729613206358572E-2</v>
      </c>
      <c r="Z1675" s="4">
        <f>1/ZAR!B1675</f>
        <v>6.6800267201068797E-2</v>
      </c>
      <c r="AA1675" s="4">
        <f>1/ZAR!C1675</f>
        <v>6.6370653551825518E-2</v>
      </c>
    </row>
    <row r="1676" spans="1:27" x14ac:dyDescent="0.25">
      <c r="A1676" t="str">
        <f>"13/05/2016"</f>
        <v>13/05/2016</v>
      </c>
      <c r="B1676" s="3">
        <f>AUD!B1676</f>
        <v>0.72860000000000003</v>
      </c>
      <c r="C1676" s="3">
        <f>AUD!C1676</f>
        <v>0.72770000000000001</v>
      </c>
      <c r="D1676" s="3">
        <f>1/CAD!B1676</f>
        <v>0.77609623593325572</v>
      </c>
      <c r="E1676" s="3">
        <f>1/CAD!C1676</f>
        <v>0.77609623593325572</v>
      </c>
      <c r="F1676" s="3">
        <f>EUR!B1676/1</f>
        <v>1.1316999999999999</v>
      </c>
      <c r="G1676" s="3">
        <f>EUR!C1676/1</f>
        <v>1.1327</v>
      </c>
      <c r="H1676" s="3">
        <f>GBP!B1676/1</f>
        <v>1.4381999999999999</v>
      </c>
      <c r="I1676" s="3">
        <f>GBP!C1676/1</f>
        <v>1.4382999999999999</v>
      </c>
      <c r="J1676" s="4">
        <f>1/INR!B1676</f>
        <v>1.4974543276430068E-2</v>
      </c>
      <c r="K1676" s="4">
        <f>1/INR!C1676</f>
        <v>1.4889261120416901E-2</v>
      </c>
      <c r="L1676" s="4">
        <f>1/JPY!B1676</f>
        <v>9.1508052708638363E-3</v>
      </c>
      <c r="M1676" s="4">
        <f>1/JPY!C1676</f>
        <v>9.1573414406329549E-3</v>
      </c>
      <c r="N1676" s="5">
        <f>1/KRW!B1676</f>
        <v>8.5353362922499152E-4</v>
      </c>
      <c r="O1676" s="5">
        <f>1/KRW!C1676</f>
        <v>8.5352415857454633E-4</v>
      </c>
      <c r="P1676" s="3">
        <f>1/NOK!B1676</f>
        <v>0.12202860350466148</v>
      </c>
      <c r="Q1676" s="3">
        <f>1/NOK!C1676</f>
        <v>0.12200031720082473</v>
      </c>
      <c r="R1676" s="3">
        <f>NZD!B1676/1</f>
        <v>0.6784</v>
      </c>
      <c r="S1676" s="3">
        <f>NZD!C1676/1</f>
        <v>0.67730000000000001</v>
      </c>
      <c r="T1676" s="4">
        <f>1/PHP!B1676</f>
        <v>2.1464754872499357E-2</v>
      </c>
      <c r="U1676" s="4">
        <f>1/PHP!C1676</f>
        <v>2.1426122728830991E-2</v>
      </c>
      <c r="V1676" s="4">
        <f>1/TWD!B1676</f>
        <v>3.0650401520259919E-2</v>
      </c>
      <c r="W1676" s="4">
        <f>1/TWD!C1676</f>
        <v>3.0650495465259196E-2</v>
      </c>
      <c r="X1676" s="4">
        <f>1/TWD!B1676</f>
        <v>3.0650401520259919E-2</v>
      </c>
      <c r="Y1676" s="4">
        <f>1/TWD!C1676</f>
        <v>3.0650495465259196E-2</v>
      </c>
      <c r="Z1676" s="4">
        <f>1/ZAR!B1676</f>
        <v>6.6040165628735395E-2</v>
      </c>
      <c r="AA1676" s="4">
        <f>1/ZAR!C1676</f>
        <v>6.5632732356280726E-2</v>
      </c>
    </row>
    <row r="1677" spans="1:27" x14ac:dyDescent="0.25">
      <c r="A1677" t="str">
        <f>"16/05/2016"</f>
        <v>16/05/2016</v>
      </c>
      <c r="B1677" s="3">
        <f>AUD!B1677</f>
        <v>0.72929999999999995</v>
      </c>
      <c r="C1677" s="3">
        <f>AUD!C1677</f>
        <v>0.72840000000000005</v>
      </c>
      <c r="D1677" s="3">
        <f>1/CAD!B1677</f>
        <v>0.77483341081667445</v>
      </c>
      <c r="E1677" s="3">
        <f>1/CAD!C1677</f>
        <v>0.77483341081667445</v>
      </c>
      <c r="F1677" s="3">
        <f>EUR!B1677/1</f>
        <v>1.1318999999999999</v>
      </c>
      <c r="G1677" s="3">
        <f>EUR!C1677/1</f>
        <v>1.133</v>
      </c>
      <c r="H1677" s="3">
        <f>GBP!B1677/1</f>
        <v>1.4369000000000001</v>
      </c>
      <c r="I1677" s="3">
        <f>GBP!C1677/1</f>
        <v>1.4370000000000001</v>
      </c>
      <c r="J1677" s="4">
        <f>1/INR!B1677</f>
        <v>1.4967819188744199E-2</v>
      </c>
      <c r="K1677" s="4">
        <f>1/INR!C1677</f>
        <v>1.4878184861446903E-2</v>
      </c>
      <c r="L1677" s="4">
        <f>1/JPY!B1677</f>
        <v>9.1776798825256977E-3</v>
      </c>
      <c r="M1677" s="4">
        <f>1/JPY!C1677</f>
        <v>9.1847437732029587E-3</v>
      </c>
      <c r="N1677" s="5">
        <f>1/KRW!B1677</f>
        <v>8.4760128835395835E-4</v>
      </c>
      <c r="O1677" s="5">
        <f>1/KRW!C1677</f>
        <v>8.4759015286712202E-4</v>
      </c>
      <c r="P1677" s="3">
        <f>1/NOK!B1677</f>
        <v>0.12252949897687868</v>
      </c>
      <c r="Q1677" s="3">
        <f>1/NOK!C1677</f>
        <v>0.12250248067523367</v>
      </c>
      <c r="R1677" s="3">
        <f>NZD!B1677/1</f>
        <v>0.68010000000000004</v>
      </c>
      <c r="S1677" s="3">
        <f>NZD!C1677/1</f>
        <v>0.67889999999999995</v>
      </c>
      <c r="T1677" s="4">
        <f>1/PHP!B1677</f>
        <v>2.1510002151000213E-2</v>
      </c>
      <c r="U1677" s="4">
        <f>1/PHP!C1677</f>
        <v>2.1471668133897323E-2</v>
      </c>
      <c r="V1677" s="4">
        <f>1/TWD!B1677</f>
        <v>3.0576364470264489E-2</v>
      </c>
      <c r="W1677" s="4">
        <f>1/TWD!C1677</f>
        <v>3.0576457961956769E-2</v>
      </c>
      <c r="X1677" s="4">
        <f>1/TWD!B1677</f>
        <v>3.0576364470264489E-2</v>
      </c>
      <c r="Y1677" s="4">
        <f>1/TWD!C1677</f>
        <v>3.0576457961956769E-2</v>
      </c>
      <c r="Z1677" s="4">
        <f>1/ZAR!B1677</f>
        <v>6.4182380652863177E-2</v>
      </c>
      <c r="AA1677" s="4">
        <f>1/ZAR!C1677</f>
        <v>6.376046468626663E-2</v>
      </c>
    </row>
    <row r="1678" spans="1:27" x14ac:dyDescent="0.25">
      <c r="A1678" t="str">
        <f>"17/05/2016"</f>
        <v>17/05/2016</v>
      </c>
      <c r="B1678" s="3">
        <f>AUD!B1678</f>
        <v>0.7319</v>
      </c>
      <c r="C1678" s="3">
        <f>AUD!C1678</f>
        <v>0.73099999999999998</v>
      </c>
      <c r="D1678" s="3">
        <f>1/CAD!B1678</f>
        <v>0.77297673340032458</v>
      </c>
      <c r="E1678" s="3">
        <f>1/CAD!C1678</f>
        <v>0.77291698871541192</v>
      </c>
      <c r="F1678" s="3">
        <f>EUR!B1678/1</f>
        <v>1.1319999999999999</v>
      </c>
      <c r="G1678" s="3">
        <f>EUR!C1678/1</f>
        <v>1.133</v>
      </c>
      <c r="H1678" s="3">
        <f>GBP!B1678/1</f>
        <v>1.4475</v>
      </c>
      <c r="I1678" s="3">
        <f>GBP!C1678/1</f>
        <v>1.4476</v>
      </c>
      <c r="J1678" s="4">
        <f>1/INR!B1678</f>
        <v>1.4952153110047849E-2</v>
      </c>
      <c r="K1678" s="4">
        <f>1/INR!C1678</f>
        <v>1.4865467518953472E-2</v>
      </c>
      <c r="L1678" s="4">
        <f>1/JPY!B1678</f>
        <v>9.1357573542846706E-3</v>
      </c>
      <c r="M1678" s="4">
        <f>1/JPY!C1678</f>
        <v>9.1423556193488808E-3</v>
      </c>
      <c r="N1678" s="5">
        <f>1/KRW!B1678</f>
        <v>8.5186131697759595E-4</v>
      </c>
      <c r="O1678" s="5">
        <f>1/KRW!C1678</f>
        <v>8.518504321011317E-4</v>
      </c>
      <c r="P1678" s="3">
        <f>1/NOK!B1678</f>
        <v>0.1222792858889704</v>
      </c>
      <c r="Q1678" s="3">
        <f>1/NOK!C1678</f>
        <v>0.12225237780874838</v>
      </c>
      <c r="R1678" s="3">
        <f>NZD!B1678/1</f>
        <v>0.67969999999999997</v>
      </c>
      <c r="S1678" s="3">
        <f>NZD!C1678/1</f>
        <v>0.67849999999999999</v>
      </c>
      <c r="T1678" s="4">
        <f>1/PHP!B1678</f>
        <v>2.1523891519586742E-2</v>
      </c>
      <c r="U1678" s="4">
        <f>1/PHP!C1678</f>
        <v>2.1483430903915357E-2</v>
      </c>
      <c r="V1678" s="4">
        <f>1/TWD!B1678</f>
        <v>3.0648522741203874E-2</v>
      </c>
      <c r="W1678" s="4">
        <f>1/TWD!C1678</f>
        <v>3.064861667468639E-2</v>
      </c>
      <c r="X1678" s="4">
        <f>1/TWD!B1678</f>
        <v>3.0648522741203874E-2</v>
      </c>
      <c r="Y1678" s="4">
        <f>1/TWD!C1678</f>
        <v>3.064861667468639E-2</v>
      </c>
      <c r="Z1678" s="4">
        <f>1/ZAR!B1678</f>
        <v>6.3883476538793241E-2</v>
      </c>
      <c r="AA1678" s="4">
        <f>1/ZAR!C1678</f>
        <v>6.3474330980551469E-2</v>
      </c>
    </row>
    <row r="1679" spans="1:27" x14ac:dyDescent="0.25">
      <c r="A1679" t="str">
        <f>"18/05/2016"</f>
        <v>18/05/2016</v>
      </c>
      <c r="B1679" s="3">
        <f>AUD!B1679</f>
        <v>0.72870000000000001</v>
      </c>
      <c r="C1679" s="3">
        <f>AUD!C1679</f>
        <v>0.7278</v>
      </c>
      <c r="D1679" s="3">
        <f>1/CAD!B1679</f>
        <v>0.77178359188083656</v>
      </c>
      <c r="E1679" s="3">
        <f>1/CAD!C1679</f>
        <v>0.7717240314863405</v>
      </c>
      <c r="F1679" s="3">
        <f>EUR!B1679/1</f>
        <v>1.1283000000000001</v>
      </c>
      <c r="G1679" s="3">
        <f>EUR!C1679/1</f>
        <v>1.1293</v>
      </c>
      <c r="H1679" s="3">
        <f>GBP!B1679/1</f>
        <v>1.4523999999999999</v>
      </c>
      <c r="I1679" s="3">
        <f>GBP!C1679/1</f>
        <v>1.4524999999999999</v>
      </c>
      <c r="J1679" s="4">
        <f>1/INR!B1679</f>
        <v>1.4927601134497688E-2</v>
      </c>
      <c r="K1679" s="4">
        <f>1/INR!C1679</f>
        <v>1.4843952944669165E-2</v>
      </c>
      <c r="L1679" s="4">
        <f>1/JPY!B1679</f>
        <v>9.1466203237903602E-3</v>
      </c>
      <c r="M1679" s="4">
        <f>1/JPY!C1679</f>
        <v>9.1528572932255137E-3</v>
      </c>
      <c r="N1679" s="5">
        <f>1/KRW!B1679</f>
        <v>8.4530853761622987E-4</v>
      </c>
      <c r="O1679" s="5">
        <f>1/KRW!C1679</f>
        <v>8.4529853408328224E-4</v>
      </c>
      <c r="P1679" s="3">
        <f>1/NOK!B1679</f>
        <v>0.1216574612520986</v>
      </c>
      <c r="Q1679" s="3">
        <f>1/NOK!C1679</f>
        <v>0.12163822359538262</v>
      </c>
      <c r="R1679" s="3">
        <f>NZD!B1679/1</f>
        <v>0.6784</v>
      </c>
      <c r="S1679" s="3">
        <f>NZD!C1679/1</f>
        <v>0.67730000000000001</v>
      </c>
      <c r="T1679" s="4">
        <f>1/PHP!B1679</f>
        <v>2.1413276231263382E-2</v>
      </c>
      <c r="U1679" s="4">
        <f>1/PHP!C1679</f>
        <v>2.1373458439310065E-2</v>
      </c>
      <c r="V1679" s="4">
        <f>1/TWD!B1679</f>
        <v>3.057729941291585E-2</v>
      </c>
      <c r="W1679" s="4">
        <f>1/TWD!C1679</f>
        <v>3.0577392910325681E-2</v>
      </c>
      <c r="X1679" s="4">
        <f>1/TWD!B1679</f>
        <v>3.057729941291585E-2</v>
      </c>
      <c r="Y1679" s="4">
        <f>1/TWD!C1679</f>
        <v>3.0577392910325681E-2</v>
      </c>
      <c r="Z1679" s="4">
        <f>1/ZAR!B1679</f>
        <v>6.3330019062335735E-2</v>
      </c>
      <c r="AA1679" s="4">
        <f>1/ZAR!C1679</f>
        <v>6.2935830627092612E-2</v>
      </c>
    </row>
    <row r="1680" spans="1:27" x14ac:dyDescent="0.25">
      <c r="A1680" t="str">
        <f>"19/05/2016"</f>
        <v>19/05/2016</v>
      </c>
      <c r="B1680" s="3">
        <f>AUD!B1680</f>
        <v>0.72040000000000004</v>
      </c>
      <c r="C1680" s="3">
        <f>AUD!C1680</f>
        <v>0.71950000000000003</v>
      </c>
      <c r="D1680" s="3">
        <f>1/CAD!B1680</f>
        <v>0.76423385555980128</v>
      </c>
      <c r="E1680" s="3">
        <f>1/CAD!C1680</f>
        <v>0.76417545468439552</v>
      </c>
      <c r="F1680" s="3">
        <f>EUR!B1680/1</f>
        <v>1.1217999999999999</v>
      </c>
      <c r="G1680" s="3">
        <f>EUR!C1680/1</f>
        <v>1.1228</v>
      </c>
      <c r="H1680" s="3">
        <f>GBP!B1680/1</f>
        <v>1.4642999999999999</v>
      </c>
      <c r="I1680" s="3">
        <f>GBP!C1680/1</f>
        <v>1.4643999999999999</v>
      </c>
      <c r="J1680" s="4">
        <f>1/INR!B1680</f>
        <v>1.485001485001485E-2</v>
      </c>
      <c r="K1680" s="4">
        <f>1/INR!C1680</f>
        <v>1.4767231513272049E-2</v>
      </c>
      <c r="L1680" s="4">
        <f>1/JPY!B1680</f>
        <v>9.0942160785740279E-3</v>
      </c>
      <c r="M1680" s="4">
        <f>1/JPY!C1680</f>
        <v>9.1000919109283009E-3</v>
      </c>
      <c r="N1680" s="5">
        <f>1/KRW!B1680</f>
        <v>8.3892617449664428E-4</v>
      </c>
      <c r="O1680" s="5">
        <f>1/KRW!C1680</f>
        <v>8.3891667334304516E-4</v>
      </c>
      <c r="P1680" s="3">
        <f>1/NOK!B1680</f>
        <v>0.11982792709668916</v>
      </c>
      <c r="Q1680" s="3">
        <f>1/NOK!C1680</f>
        <v>0.11980926365226559</v>
      </c>
      <c r="R1680" s="3">
        <f>NZD!B1680/1</f>
        <v>0.67610000000000003</v>
      </c>
      <c r="S1680" s="3">
        <f>NZD!C1680/1</f>
        <v>0.67500000000000004</v>
      </c>
      <c r="T1680" s="4">
        <f>1/PHP!B1680</f>
        <v>2.1344717182497332E-2</v>
      </c>
      <c r="U1680" s="4">
        <f>1/PHP!C1680</f>
        <v>2.1305607635929778E-2</v>
      </c>
      <c r="V1680" s="4">
        <f>1/TWD!B1680</f>
        <v>3.0486875400140237E-2</v>
      </c>
      <c r="W1680" s="4">
        <f>1/TWD!C1680</f>
        <v>3.0486968345380769E-2</v>
      </c>
      <c r="X1680" s="4">
        <f>1/TWD!B1680</f>
        <v>3.0486875400140237E-2</v>
      </c>
      <c r="Y1680" s="4">
        <f>1/TWD!C1680</f>
        <v>3.0486968345380769E-2</v>
      </c>
      <c r="Z1680" s="4">
        <f>1/ZAR!B1680</f>
        <v>6.3278323377543785E-2</v>
      </c>
      <c r="AA1680" s="4">
        <f>1/ZAR!C1680</f>
        <v>6.2882403616995861E-2</v>
      </c>
    </row>
    <row r="1681" spans="1:27" x14ac:dyDescent="0.25">
      <c r="A1681" t="str">
        <f>"20/05/2016"</f>
        <v>20/05/2016</v>
      </c>
      <c r="B1681" s="3">
        <f>AUD!B1681</f>
        <v>0.72250000000000003</v>
      </c>
      <c r="C1681" s="3">
        <f>AUD!C1681</f>
        <v>0.72160000000000002</v>
      </c>
      <c r="D1681" s="3">
        <f>1/CAD!B1681</f>
        <v>0.76196281621456874</v>
      </c>
      <c r="E1681" s="3">
        <f>1/CAD!C1681</f>
        <v>0.76190476190476186</v>
      </c>
      <c r="F1681" s="3">
        <f>EUR!B1681/1</f>
        <v>1.1214</v>
      </c>
      <c r="G1681" s="3">
        <f>EUR!C1681/1</f>
        <v>1.1224000000000001</v>
      </c>
      <c r="H1681" s="3">
        <f>GBP!B1681/1</f>
        <v>1.4569000000000001</v>
      </c>
      <c r="I1681" s="3">
        <f>GBP!C1681/1</f>
        <v>1.4570000000000001</v>
      </c>
      <c r="J1681" s="4">
        <f>1/INR!B1681</f>
        <v>1.4824697946779335E-2</v>
      </c>
      <c r="K1681" s="4">
        <f>1/INR!C1681</f>
        <v>1.4741652539249651E-2</v>
      </c>
      <c r="L1681" s="4">
        <f>1/JPY!B1681</f>
        <v>9.057971014492754E-3</v>
      </c>
      <c r="M1681" s="4">
        <f>1/JPY!C1681</f>
        <v>9.0640958473751278E-3</v>
      </c>
      <c r="N1681" s="5">
        <f>1/KRW!B1681</f>
        <v>8.4015963032976261E-4</v>
      </c>
      <c r="O1681" s="5">
        <f>1/KRW!C1681</f>
        <v>8.4015045414332799E-4</v>
      </c>
      <c r="P1681" s="3">
        <f>1/NOK!B1681</f>
        <v>0.12007973294267393</v>
      </c>
      <c r="Q1681" s="3">
        <f>1/NOK!C1681</f>
        <v>0.12005954953657014</v>
      </c>
      <c r="R1681" s="3">
        <f>NZD!B1681/1</f>
        <v>0.67579999999999996</v>
      </c>
      <c r="S1681" s="3">
        <f>NZD!C1681/1</f>
        <v>0.67469999999999997</v>
      </c>
      <c r="T1681" s="4">
        <f>1/PHP!B1681</f>
        <v>2.137208805300278E-2</v>
      </c>
      <c r="U1681" s="4">
        <f>1/PHP!C1681</f>
        <v>2.1333333333333333E-2</v>
      </c>
      <c r="V1681" s="4">
        <f>1/TWD!B1681</f>
        <v>3.053248656570591E-2</v>
      </c>
      <c r="W1681" s="4">
        <f>1/TWD!C1681</f>
        <v>3.0532579789264134E-2</v>
      </c>
      <c r="X1681" s="4">
        <f>1/TWD!B1681</f>
        <v>3.053248656570591E-2</v>
      </c>
      <c r="Y1681" s="4">
        <f>1/TWD!C1681</f>
        <v>3.0532579789264134E-2</v>
      </c>
      <c r="Z1681" s="4">
        <f>1/ZAR!B1681</f>
        <v>6.325030676398781E-2</v>
      </c>
      <c r="AA1681" s="4">
        <f>1/ZAR!C1681</f>
        <v>6.2858687384890033E-2</v>
      </c>
    </row>
    <row r="1682" spans="1:27" x14ac:dyDescent="0.25">
      <c r="A1682" t="str">
        <f>"23/05/2016"</f>
        <v>23/05/2016</v>
      </c>
      <c r="B1682" s="3">
        <f>AUD!B1682</f>
        <v>0.72170000000000001</v>
      </c>
      <c r="C1682" s="3">
        <f>AUD!C1682</f>
        <v>0.7208</v>
      </c>
      <c r="D1682" s="3">
        <f>1/CAD!B1682</f>
        <v>0.76097709458945284</v>
      </c>
      <c r="E1682" s="3">
        <f>1/CAD!C1682</f>
        <v>0.76091919038198141</v>
      </c>
      <c r="F1682" s="3">
        <f>EUR!B1682/1</f>
        <v>1.1215999999999999</v>
      </c>
      <c r="G1682" s="3">
        <f>EUR!C1682/1</f>
        <v>1.1227</v>
      </c>
      <c r="H1682" s="3">
        <f>GBP!B1682/1</f>
        <v>1.4484999999999999</v>
      </c>
      <c r="I1682" s="3">
        <f>GBP!C1682/1</f>
        <v>1.4486000000000001</v>
      </c>
      <c r="J1682" s="4">
        <f>1/INR!B1682</f>
        <v>1.4814814814814815E-2</v>
      </c>
      <c r="K1682" s="4">
        <f>1/INR!C1682</f>
        <v>1.4727540500736375E-2</v>
      </c>
      <c r="L1682" s="4">
        <f>1/JPY!B1682</f>
        <v>9.1357573542846706E-3</v>
      </c>
      <c r="M1682" s="4">
        <f>1/JPY!C1682</f>
        <v>9.1424475612064005E-3</v>
      </c>
      <c r="N1682" s="5">
        <f>1/KRW!B1682</f>
        <v>8.452370890034655E-4</v>
      </c>
      <c r="O1682" s="5">
        <f>1/KRW!C1682</f>
        <v>8.4522708716150766E-4</v>
      </c>
      <c r="P1682" s="3">
        <f>1/NOK!B1682</f>
        <v>0.11970600205894324</v>
      </c>
      <c r="Q1682" s="3">
        <f>1/NOK!C1682</f>
        <v>0.11968594408272692</v>
      </c>
      <c r="R1682" s="3">
        <f>NZD!B1682/1</f>
        <v>0.67800000000000005</v>
      </c>
      <c r="S1682" s="3">
        <f>NZD!C1682/1</f>
        <v>0.67679999999999996</v>
      </c>
      <c r="T1682" s="4">
        <f>1/PHP!B1682</f>
        <v>2.1360674997329916E-2</v>
      </c>
      <c r="U1682" s="4">
        <f>1/PHP!C1682</f>
        <v>2.1322416256210154E-2</v>
      </c>
      <c r="V1682" s="4">
        <f>1/TWD!B1682</f>
        <v>3.0619431090970331E-2</v>
      </c>
      <c r="W1682" s="4">
        <f>1/TWD!C1682</f>
        <v>3.0619524846213435E-2</v>
      </c>
      <c r="X1682" s="4">
        <f>1/TWD!B1682</f>
        <v>3.0619431090970331E-2</v>
      </c>
      <c r="Y1682" s="4">
        <f>1/TWD!C1682</f>
        <v>3.0619524846213435E-2</v>
      </c>
      <c r="Z1682" s="4">
        <f>1/ZAR!B1682</f>
        <v>6.402540528081542E-2</v>
      </c>
      <c r="AA1682" s="4">
        <f>1/ZAR!C1682</f>
        <v>6.3601093938815745E-2</v>
      </c>
    </row>
    <row r="1683" spans="1:27" x14ac:dyDescent="0.25">
      <c r="A1683" t="str">
        <f>"24/05/2016"</f>
        <v>24/05/2016</v>
      </c>
      <c r="B1683" s="3">
        <f>AUD!B1683</f>
        <v>0.71940000000000004</v>
      </c>
      <c r="C1683" s="3">
        <f>AUD!C1683</f>
        <v>0.71850000000000003</v>
      </c>
      <c r="D1683" s="3">
        <f>1/CAD!B1683</f>
        <v>0.75976295395836502</v>
      </c>
      <c r="E1683" s="3">
        <f>1/CAD!C1683</f>
        <v>0.75970523436906479</v>
      </c>
      <c r="F1683" s="3">
        <f>EUR!B1683/1</f>
        <v>1.1212</v>
      </c>
      <c r="G1683" s="3">
        <f>EUR!C1683/1</f>
        <v>1.1222000000000001</v>
      </c>
      <c r="H1683" s="3">
        <f>GBP!B1683/1</f>
        <v>1.4487000000000001</v>
      </c>
      <c r="I1683" s="3">
        <f>GBP!C1683/1</f>
        <v>1.4488000000000001</v>
      </c>
      <c r="J1683" s="4">
        <f>1/INR!B1683</f>
        <v>1.4771048744460856E-2</v>
      </c>
      <c r="K1683" s="4">
        <f>1/INR!C1683</f>
        <v>1.468752294925461E-2</v>
      </c>
      <c r="L1683" s="4">
        <f>1/JPY!B1683</f>
        <v>9.1491308325709064E-3</v>
      </c>
      <c r="M1683" s="4">
        <f>1/JPY!C1683</f>
        <v>9.1556562270822487E-3</v>
      </c>
      <c r="N1683" s="5">
        <f>1/KRW!B1683</f>
        <v>8.3917257584022143E-4</v>
      </c>
      <c r="O1683" s="5">
        <f>1/KRW!C1683</f>
        <v>8.3916342120213521E-4</v>
      </c>
      <c r="P1683" s="3">
        <f>1/NOK!B1683</f>
        <v>0.11956001912960305</v>
      </c>
      <c r="Q1683" s="3">
        <f>1/NOK!C1683</f>
        <v>0.1195385810770426</v>
      </c>
      <c r="R1683" s="3">
        <f>NZD!B1683/1</f>
        <v>0.67179999999999995</v>
      </c>
      <c r="S1683" s="3">
        <f>NZD!C1683/1</f>
        <v>0.67069999999999996</v>
      </c>
      <c r="T1683" s="4">
        <f>1/PHP!B1683</f>
        <v>2.1331058020477814E-2</v>
      </c>
      <c r="U1683" s="4">
        <f>1/PHP!C1683</f>
        <v>2.1291545127429898E-2</v>
      </c>
      <c r="V1683" s="4">
        <f>1/TWD!B1683</f>
        <v>3.0615681351988493E-2</v>
      </c>
      <c r="W1683" s="4">
        <f>1/TWD!C1683</f>
        <v>3.0615775084269919E-2</v>
      </c>
      <c r="X1683" s="4">
        <f>1/TWD!B1683</f>
        <v>3.0615681351988493E-2</v>
      </c>
      <c r="Y1683" s="4">
        <f>1/TWD!C1683</f>
        <v>3.0615775084269919E-2</v>
      </c>
      <c r="Z1683" s="4">
        <f>1/ZAR!B1683</f>
        <v>6.3387022141086838E-2</v>
      </c>
      <c r="AA1683" s="4">
        <f>1/ZAR!C1683</f>
        <v>6.2973481866785891E-2</v>
      </c>
    </row>
    <row r="1684" spans="1:27" x14ac:dyDescent="0.25">
      <c r="A1684" t="str">
        <f>"25/05/2016"</f>
        <v>25/05/2016</v>
      </c>
      <c r="B1684" s="3">
        <f>AUD!B1684</f>
        <v>0.72050000000000003</v>
      </c>
      <c r="C1684" s="3">
        <f>AUD!C1684</f>
        <v>0.71970000000000001</v>
      </c>
      <c r="D1684" s="3">
        <f>1/CAD!B1684</f>
        <v>0.76260199801723483</v>
      </c>
      <c r="E1684" s="3">
        <f>1/CAD!C1684</f>
        <v>0.76260199801723483</v>
      </c>
      <c r="F1684" s="3">
        <f>EUR!B1684/1</f>
        <v>1.1148</v>
      </c>
      <c r="G1684" s="3">
        <f>EUR!C1684/1</f>
        <v>1.1157999999999999</v>
      </c>
      <c r="H1684" s="3">
        <f>GBP!B1684/1</f>
        <v>1.4693000000000001</v>
      </c>
      <c r="I1684" s="3">
        <f>GBP!C1684/1</f>
        <v>1.4695</v>
      </c>
      <c r="J1684" s="4">
        <f>1/INR!B1684</f>
        <v>1.485001485001485E-2</v>
      </c>
      <c r="K1684" s="4">
        <f>1/INR!C1684</f>
        <v>1.4766686355581808E-2</v>
      </c>
      <c r="L1684" s="4">
        <f>1/JPY!B1684</f>
        <v>9.0793535500272374E-3</v>
      </c>
      <c r="M1684" s="4">
        <f>1/JPY!C1684</f>
        <v>9.0855816362223965E-3</v>
      </c>
      <c r="N1684" s="5">
        <f>1/KRW!B1684</f>
        <v>8.4541573318679467E-4</v>
      </c>
      <c r="O1684" s="5">
        <f>1/KRW!C1684</f>
        <v>8.4540679918418242E-4</v>
      </c>
      <c r="P1684" s="3">
        <f>1/NOK!B1684</f>
        <v>0.11991126566340909</v>
      </c>
      <c r="Q1684" s="3">
        <f>1/NOK!C1684</f>
        <v>0.11989545116658273</v>
      </c>
      <c r="R1684" s="3">
        <f>NZD!B1684/1</f>
        <v>0.67589999999999995</v>
      </c>
      <c r="S1684" s="3">
        <f>NZD!C1684/1</f>
        <v>0.67479999999999996</v>
      </c>
      <c r="T1684" s="4">
        <f>1/PHP!B1684</f>
        <v>2.1362956633198035E-2</v>
      </c>
      <c r="U1684" s="4">
        <f>1/PHP!C1684</f>
        <v>2.1323780279767997E-2</v>
      </c>
      <c r="V1684" s="4">
        <f>1/TWD!B1684</f>
        <v>3.0625995344848708E-2</v>
      </c>
      <c r="W1684" s="4">
        <f>1/TWD!C1684</f>
        <v>3.0626089140295056E-2</v>
      </c>
      <c r="X1684" s="4">
        <f>1/TWD!B1684</f>
        <v>3.0625995344848708E-2</v>
      </c>
      <c r="Y1684" s="4">
        <f>1/TWD!C1684</f>
        <v>3.0626089140295056E-2</v>
      </c>
      <c r="Z1684" s="4">
        <f>1/ZAR!B1684</f>
        <v>6.3682910054257844E-2</v>
      </c>
      <c r="AA1684" s="4">
        <f>1/ZAR!C1684</f>
        <v>6.3274719851177857E-2</v>
      </c>
    </row>
    <row r="1685" spans="1:27" x14ac:dyDescent="0.25">
      <c r="A1685" t="str">
        <f>"26/05/2016"</f>
        <v>26/05/2016</v>
      </c>
      <c r="B1685" s="3">
        <f>AUD!B1685</f>
        <v>0.72150000000000003</v>
      </c>
      <c r="C1685" s="3">
        <f>AUD!C1685</f>
        <v>0.72070000000000001</v>
      </c>
      <c r="D1685" s="3">
        <f>1/CAD!B1685</f>
        <v>0.77237970186143512</v>
      </c>
      <c r="E1685" s="3">
        <f>1/CAD!C1685</f>
        <v>0.7723200494284832</v>
      </c>
      <c r="F1685" s="3">
        <f>EUR!B1685/1</f>
        <v>1.1172</v>
      </c>
      <c r="G1685" s="3">
        <f>EUR!C1685/1</f>
        <v>1.1182000000000001</v>
      </c>
      <c r="H1685" s="3">
        <f>GBP!B1685/1</f>
        <v>1.4699</v>
      </c>
      <c r="I1685" s="3">
        <f>GBP!C1685/1</f>
        <v>1.4701</v>
      </c>
      <c r="J1685" s="4">
        <f>1/INR!B1685</f>
        <v>1.48848286384103E-2</v>
      </c>
      <c r="K1685" s="4">
        <f>1/INR!C1685</f>
        <v>1.4805492837842838E-2</v>
      </c>
      <c r="L1685" s="4">
        <f>1/JPY!B1685</f>
        <v>9.0826521344232521E-3</v>
      </c>
      <c r="M1685" s="4">
        <f>1/JPY!C1685</f>
        <v>9.0887277962379935E-3</v>
      </c>
      <c r="N1685" s="5">
        <f>1/KRW!B1685</f>
        <v>8.4702693545654758E-4</v>
      </c>
      <c r="O1685" s="5">
        <f>1/KRW!C1685</f>
        <v>8.4701796736863283E-4</v>
      </c>
      <c r="P1685" s="3">
        <f>1/NOK!B1685</f>
        <v>0.12072191706404298</v>
      </c>
      <c r="Q1685" s="3">
        <f>1/NOK!C1685</f>
        <v>0.12070734504194582</v>
      </c>
      <c r="R1685" s="3">
        <f>NZD!B1685/1</f>
        <v>0.67369999999999997</v>
      </c>
      <c r="S1685" s="3">
        <f>NZD!C1685/1</f>
        <v>0.67269999999999996</v>
      </c>
      <c r="T1685" s="4">
        <f>1/PHP!B1685</f>
        <v>2.1394950791613177E-2</v>
      </c>
      <c r="U1685" s="4">
        <f>1/PHP!C1685</f>
        <v>2.1356569280710749E-2</v>
      </c>
      <c r="V1685" s="4">
        <f>1/TWD!B1685</f>
        <v>3.0697445972495088E-2</v>
      </c>
      <c r="W1685" s="4">
        <f>1/TWD!C1685</f>
        <v>3.0697540206103286E-2</v>
      </c>
      <c r="X1685" s="4">
        <f>1/TWD!B1685</f>
        <v>3.0697445972495088E-2</v>
      </c>
      <c r="Y1685" s="4">
        <f>1/TWD!C1685</f>
        <v>3.0697540206103286E-2</v>
      </c>
      <c r="Z1685" s="4">
        <f>1/ZAR!B1685</f>
        <v>6.4215352606501158E-2</v>
      </c>
      <c r="AA1685" s="4">
        <f>1/ZAR!C1685</f>
        <v>6.3821096701725727E-2</v>
      </c>
    </row>
    <row r="1686" spans="1:27" x14ac:dyDescent="0.25">
      <c r="A1686" t="str">
        <f>"27/05/2016"</f>
        <v>27/05/2016</v>
      </c>
      <c r="B1686" s="3">
        <f>AUD!B1686</f>
        <v>0.72109999999999996</v>
      </c>
      <c r="C1686" s="3">
        <f>AUD!C1686</f>
        <v>0.72030000000000005</v>
      </c>
      <c r="D1686" s="3">
        <f>1/CAD!B1686</f>
        <v>0.76687116564417179</v>
      </c>
      <c r="E1686" s="3">
        <f>1/CAD!C1686</f>
        <v>0.76681236101525951</v>
      </c>
      <c r="F1686" s="3">
        <f>EUR!B1686/1</f>
        <v>1.117</v>
      </c>
      <c r="G1686" s="3">
        <f>EUR!C1686/1</f>
        <v>1.1180000000000001</v>
      </c>
      <c r="H1686" s="3">
        <f>GBP!B1686/1</f>
        <v>1.466</v>
      </c>
      <c r="I1686" s="3">
        <f>GBP!C1686/1</f>
        <v>1.4662999999999999</v>
      </c>
      <c r="J1686" s="4">
        <f>1/INR!B1686</f>
        <v>1.4916467780429593E-2</v>
      </c>
      <c r="K1686" s="4">
        <f>1/INR!C1686</f>
        <v>1.4823599169878448E-2</v>
      </c>
      <c r="L1686" s="4">
        <f>1/JPY!B1686</f>
        <v>9.1174325309992706E-3</v>
      </c>
      <c r="M1686" s="4">
        <f>1/JPY!C1686</f>
        <v>9.1239793688578513E-3</v>
      </c>
      <c r="N1686" s="5">
        <f>1/KRW!B1686</f>
        <v>8.4781687155574396E-4</v>
      </c>
      <c r="O1686" s="5">
        <f>1/KRW!C1686</f>
        <v>8.4780788673286629E-4</v>
      </c>
      <c r="P1686" s="3">
        <f>1/NOK!B1686</f>
        <v>0.12039489525644113</v>
      </c>
      <c r="Q1686" s="3">
        <f>1/NOK!C1686</f>
        <v>0.12038040207054292</v>
      </c>
      <c r="R1686" s="3">
        <f>NZD!B1686/1</f>
        <v>0.67330000000000001</v>
      </c>
      <c r="S1686" s="3">
        <f>NZD!C1686/1</f>
        <v>0.67230000000000001</v>
      </c>
      <c r="T1686" s="4">
        <f>1/PHP!B1686</f>
        <v>2.142015636714148E-2</v>
      </c>
      <c r="U1686" s="4">
        <f>1/PHP!C1686</f>
        <v>2.1383056066373005E-2</v>
      </c>
      <c r="V1686" s="4">
        <f>1/TWD!B1686</f>
        <v>3.0742744712247912E-2</v>
      </c>
      <c r="W1686" s="4">
        <f>1/TWD!C1686</f>
        <v>3.0742933736680626E-2</v>
      </c>
      <c r="X1686" s="4">
        <f>1/TWD!B1686</f>
        <v>3.0742744712247912E-2</v>
      </c>
      <c r="Y1686" s="4">
        <f>1/TWD!C1686</f>
        <v>3.0742933736680626E-2</v>
      </c>
      <c r="Z1686" s="4">
        <f>1/ZAR!B1686</f>
        <v>6.4167554317834732E-2</v>
      </c>
      <c r="AA1686" s="4">
        <f>1/ZAR!C1686</f>
        <v>6.3773476611077448E-2</v>
      </c>
    </row>
    <row r="1687" spans="1:27" x14ac:dyDescent="0.25">
      <c r="A1687" t="str">
        <f>"30/05/2016"</f>
        <v>30/05/2016</v>
      </c>
      <c r="B1687" s="3">
        <f>AUD!B1687</f>
        <v>0.71850000000000003</v>
      </c>
      <c r="C1687" s="3">
        <f>AUD!C1687</f>
        <v>0.7177</v>
      </c>
      <c r="D1687" s="3">
        <f>1/CAD!B1687</f>
        <v>0.76687116564417179</v>
      </c>
      <c r="E1687" s="3">
        <f>1/CAD!C1687</f>
        <v>0.76681236101525951</v>
      </c>
      <c r="F1687" s="3">
        <f>EUR!B1687/1</f>
        <v>1.1138999999999999</v>
      </c>
      <c r="G1687" s="3">
        <f>EUR!C1687/1</f>
        <v>1.115</v>
      </c>
      <c r="H1687" s="3">
        <f>GBP!B1687/1</f>
        <v>1.4608000000000001</v>
      </c>
      <c r="I1687" s="3">
        <f>GBP!C1687/1</f>
        <v>1.4611000000000001</v>
      </c>
      <c r="J1687" s="4">
        <f>1/INR!B1687</f>
        <v>1.4887044549480814E-2</v>
      </c>
      <c r="K1687" s="4">
        <f>1/INR!C1687</f>
        <v>1.4760692276467766E-2</v>
      </c>
      <c r="L1687" s="4">
        <f>1/JPY!B1687</f>
        <v>9.0009000900090012E-3</v>
      </c>
      <c r="M1687" s="4">
        <f>1/JPY!C1687</f>
        <v>9.0098125868883806E-3</v>
      </c>
      <c r="N1687" s="5">
        <f>1/KRW!B1687</f>
        <v>8.3899656011410348E-4</v>
      </c>
      <c r="O1687" s="5">
        <f>1/KRW!C1687</f>
        <v>8.3898776126603255E-4</v>
      </c>
      <c r="P1687" s="3">
        <f>1/NOK!B1687</f>
        <v>0.11967018895922837</v>
      </c>
      <c r="Q1687" s="3">
        <f>1/NOK!C1687</f>
        <v>0.11966159700367361</v>
      </c>
      <c r="R1687" s="3">
        <f>NZD!B1687/1</f>
        <v>0.67010000000000003</v>
      </c>
      <c r="S1687" s="3">
        <f>NZD!C1687/1</f>
        <v>0.66910000000000003</v>
      </c>
      <c r="T1687" s="4">
        <f>1/PHP!B1687</f>
        <v>2.1376656690893545E-2</v>
      </c>
      <c r="U1687" s="4">
        <f>1/PHP!C1687</f>
        <v>2.1339251419060217E-2</v>
      </c>
      <c r="V1687" s="4">
        <f>1/TWD!B1687</f>
        <v>3.0600691575629606E-2</v>
      </c>
      <c r="W1687" s="4">
        <f>1/TWD!C1687</f>
        <v>3.0600878857240776E-2</v>
      </c>
      <c r="X1687" s="4">
        <f>1/TWD!B1687</f>
        <v>3.0600691575629606E-2</v>
      </c>
      <c r="Y1687" s="4">
        <f>1/TWD!C1687</f>
        <v>3.0600878857240776E-2</v>
      </c>
      <c r="Z1687" s="4">
        <f>1/ZAR!B1687</f>
        <v>6.3376978946167589E-2</v>
      </c>
      <c r="AA1687" s="4">
        <f>1/ZAR!C1687</f>
        <v>6.2989348501168455E-2</v>
      </c>
    </row>
    <row r="1688" spans="1:27" x14ac:dyDescent="0.25">
      <c r="A1688" t="str">
        <f>"31/05/2016"</f>
        <v>31/05/2016</v>
      </c>
      <c r="B1688" s="3">
        <f>AUD!B1688</f>
        <v>0.72609999999999997</v>
      </c>
      <c r="C1688" s="3">
        <f>AUD!C1688</f>
        <v>0.72519999999999996</v>
      </c>
      <c r="D1688" s="3">
        <f>1/CAD!B1688</f>
        <v>0.76781326781326786</v>
      </c>
      <c r="E1688" s="3">
        <f>1/CAD!C1688</f>
        <v>0.76775431861804222</v>
      </c>
      <c r="F1688" s="3">
        <f>EUR!B1688/1</f>
        <v>1.1161000000000001</v>
      </c>
      <c r="G1688" s="3">
        <f>EUR!C1688/1</f>
        <v>1.1173999999999999</v>
      </c>
      <c r="H1688" s="3">
        <f>GBP!B1688/1</f>
        <v>1.4641999999999999</v>
      </c>
      <c r="I1688" s="3">
        <f>GBP!C1688/1</f>
        <v>1.4644999999999999</v>
      </c>
      <c r="J1688" s="4">
        <f>1/INR!B1688</f>
        <v>1.4866572511707426E-2</v>
      </c>
      <c r="K1688" s="4">
        <f>1/INR!C1688</f>
        <v>1.4780873549626783E-2</v>
      </c>
      <c r="L1688" s="4">
        <f>1/JPY!B1688</f>
        <v>9.0073860565663844E-3</v>
      </c>
      <c r="M1688" s="4">
        <f>1/JPY!C1688</f>
        <v>9.0177017485323693E-3</v>
      </c>
      <c r="N1688" s="5">
        <f>1/KRW!B1688</f>
        <v>8.3882061821079559E-4</v>
      </c>
      <c r="O1688" s="5">
        <f>1/KRW!C1688</f>
        <v>8.3881182305264596E-4</v>
      </c>
      <c r="P1688" s="3">
        <f>1/NOK!B1688</f>
        <v>0.11967305321860677</v>
      </c>
      <c r="Q1688" s="3">
        <f>1/NOK!C1688</f>
        <v>0.11966159700367361</v>
      </c>
      <c r="R1688" s="3">
        <f>NZD!B1688/1</f>
        <v>0.6754</v>
      </c>
      <c r="S1688" s="3">
        <f>NZD!C1688/1</f>
        <v>0.67420000000000002</v>
      </c>
      <c r="T1688" s="4">
        <f>1/PHP!B1688</f>
        <v>2.137208805300278E-2</v>
      </c>
      <c r="U1688" s="4">
        <f>1/PHP!C1688</f>
        <v>2.1335609131640711E-2</v>
      </c>
      <c r="V1688" s="4">
        <f>1/TWD!B1688</f>
        <v>3.0648522741203874E-2</v>
      </c>
      <c r="W1688" s="4">
        <f>1/TWD!C1688</f>
        <v>3.0648710608744689E-2</v>
      </c>
      <c r="X1688" s="4">
        <f>1/TWD!B1688</f>
        <v>3.0648522741203874E-2</v>
      </c>
      <c r="Y1688" s="4">
        <f>1/TWD!C1688</f>
        <v>3.0648710608744689E-2</v>
      </c>
      <c r="Z1688" s="4">
        <f>1/ZAR!B1688</f>
        <v>6.3412747230448263E-2</v>
      </c>
      <c r="AA1688" s="4">
        <f>1/ZAR!C1688</f>
        <v>6.2990935604366541E-2</v>
      </c>
    </row>
    <row r="1689" spans="1:27" x14ac:dyDescent="0.25">
      <c r="A1689" t="str">
        <f>"01/06/2016"</f>
        <v>01/06/2016</v>
      </c>
      <c r="B1689" s="3">
        <f>AUD!B1689</f>
        <v>0.72740000000000005</v>
      </c>
      <c r="C1689" s="3">
        <f>AUD!C1689</f>
        <v>0.72650000000000003</v>
      </c>
      <c r="D1689" s="3">
        <f>1/CAD!B1689</f>
        <v>0.76628352490421459</v>
      </c>
      <c r="E1689" s="3">
        <f>1/CAD!C1689</f>
        <v>0.76628352490421459</v>
      </c>
      <c r="F1689" s="3">
        <f>EUR!B1689/1</f>
        <v>1.1183000000000001</v>
      </c>
      <c r="G1689" s="3">
        <f>EUR!C1689/1</f>
        <v>1.1195999999999999</v>
      </c>
      <c r="H1689" s="3">
        <f>GBP!B1689/1</f>
        <v>1.444</v>
      </c>
      <c r="I1689" s="3">
        <f>GBP!C1689/1</f>
        <v>1.4443999999999999</v>
      </c>
      <c r="J1689" s="4">
        <f>1/INR!B1689</f>
        <v>1.4824148537968351E-2</v>
      </c>
      <c r="K1689" s="4">
        <f>1/INR!C1689</f>
        <v>1.4741109268472451E-2</v>
      </c>
      <c r="L1689" s="4">
        <f>1/JPY!B1689</f>
        <v>9.1617040769583144E-3</v>
      </c>
      <c r="M1689" s="4">
        <f>1/JPY!C1689</f>
        <v>9.172637289155466E-3</v>
      </c>
      <c r="N1689" s="5">
        <f>1/KRW!B1689</f>
        <v>8.3780160857908849E-4</v>
      </c>
      <c r="O1689" s="5">
        <f>1/KRW!C1689</f>
        <v>8.3779283477678065E-4</v>
      </c>
      <c r="P1689" s="3">
        <f>1/NOK!B1689</f>
        <v>0.12016053447405733</v>
      </c>
      <c r="Q1689" s="3">
        <f>1/NOK!C1689</f>
        <v>0.12015042833627701</v>
      </c>
      <c r="R1689" s="3">
        <f>NZD!B1689/1</f>
        <v>0.68279999999999996</v>
      </c>
      <c r="S1689" s="3">
        <f>NZD!C1689/1</f>
        <v>0.68169999999999997</v>
      </c>
      <c r="T1689" s="4">
        <f>1/PHP!B1689</f>
        <v>2.1417862497322769E-2</v>
      </c>
      <c r="U1689" s="4">
        <f>1/PHP!C1689</f>
        <v>2.1378027663167796E-2</v>
      </c>
      <c r="V1689" s="4">
        <f>1/TWD!B1689</f>
        <v>3.0655099475797795E-2</v>
      </c>
      <c r="W1689" s="4">
        <f>1/TWD!C1689</f>
        <v>3.0655287423974886E-2</v>
      </c>
      <c r="X1689" s="4">
        <f>1/TWD!B1689</f>
        <v>3.0655099475797795E-2</v>
      </c>
      <c r="Y1689" s="4">
        <f>1/TWD!C1689</f>
        <v>3.0655287423974886E-2</v>
      </c>
      <c r="Z1689" s="4">
        <f>1/ZAR!B1689</f>
        <v>6.3822725996272756E-2</v>
      </c>
      <c r="AA1689" s="4">
        <f>1/ZAR!C1689</f>
        <v>6.340671603936289E-2</v>
      </c>
    </row>
    <row r="1690" spans="1:27" x14ac:dyDescent="0.25">
      <c r="A1690" t="str">
        <f>"02/06/2016"</f>
        <v>02/06/2016</v>
      </c>
      <c r="B1690" s="3">
        <f>AUD!B1690</f>
        <v>0.72150000000000003</v>
      </c>
      <c r="C1690" s="3">
        <f>AUD!C1690</f>
        <v>0.72070000000000001</v>
      </c>
      <c r="D1690" s="3">
        <f>1/CAD!B1690</f>
        <v>0.76335877862595414</v>
      </c>
      <c r="E1690" s="3">
        <f>1/CAD!C1690</f>
        <v>0.76335877862595414</v>
      </c>
      <c r="F1690" s="3">
        <f>EUR!B1690/1</f>
        <v>1.1193</v>
      </c>
      <c r="G1690" s="3">
        <f>EUR!C1690/1</f>
        <v>1.1205000000000001</v>
      </c>
      <c r="H1690" s="3">
        <f>GBP!B1690/1</f>
        <v>1.4448000000000001</v>
      </c>
      <c r="I1690" s="3">
        <f>GBP!C1690/1</f>
        <v>1.4452</v>
      </c>
      <c r="J1690" s="4">
        <f>1/INR!B1690</f>
        <v>1.4859945018203433E-2</v>
      </c>
      <c r="K1690" s="4">
        <f>1/INR!C1690</f>
        <v>1.4778689130274143E-2</v>
      </c>
      <c r="L1690" s="4">
        <f>1/JPY!B1690</f>
        <v>9.176837661741764E-3</v>
      </c>
      <c r="M1690" s="4">
        <f>1/JPY!C1690</f>
        <v>9.1875284813382925E-3</v>
      </c>
      <c r="N1690" s="5">
        <f>1/KRW!B1690</f>
        <v>8.4270846500653096E-4</v>
      </c>
      <c r="O1690" s="5">
        <f>1/KRW!C1690</f>
        <v>8.4269923305942802E-4</v>
      </c>
      <c r="P1690" s="3">
        <f>1/NOK!B1690</f>
        <v>0.1199184554502938</v>
      </c>
      <c r="Q1690" s="3">
        <f>1/NOK!C1690</f>
        <v>0.11990838999004759</v>
      </c>
      <c r="R1690" s="3">
        <f>NZD!B1690/1</f>
        <v>0.67989999999999995</v>
      </c>
      <c r="S1690" s="3">
        <f>NZD!C1690/1</f>
        <v>0.67879999999999996</v>
      </c>
      <c r="T1690" s="4">
        <f>1/PHP!B1690</f>
        <v>2.147766323024055E-2</v>
      </c>
      <c r="U1690" s="4">
        <f>1/PHP!C1690</f>
        <v>2.1438525029477972E-2</v>
      </c>
      <c r="V1690" s="4">
        <f>1/TWD!B1690</f>
        <v>3.0664499708687256E-2</v>
      </c>
      <c r="W1690" s="4">
        <f>1/TWD!C1690</f>
        <v>3.0664593740129833E-2</v>
      </c>
      <c r="X1690" s="4">
        <f>1/TWD!B1690</f>
        <v>3.0664499708687256E-2</v>
      </c>
      <c r="Y1690" s="4">
        <f>1/TWD!C1690</f>
        <v>3.0664593740129833E-2</v>
      </c>
      <c r="Z1690" s="4">
        <f>1/ZAR!B1690</f>
        <v>6.4175790324857845E-2</v>
      </c>
      <c r="AA1690" s="4">
        <f>1/ZAR!C1690</f>
        <v>6.3782018573323815E-2</v>
      </c>
    </row>
    <row r="1691" spans="1:27" x14ac:dyDescent="0.25">
      <c r="A1691" t="str">
        <f>"03/06/2016"</f>
        <v>03/06/2016</v>
      </c>
      <c r="B1691" s="3">
        <f>AUD!B1691</f>
        <v>0.72360000000000002</v>
      </c>
      <c r="C1691" s="3">
        <f>AUD!C1691</f>
        <v>0.7228</v>
      </c>
      <c r="D1691" s="3">
        <f>1/CAD!B1691</f>
        <v>0.7637668983426259</v>
      </c>
      <c r="E1691" s="3">
        <f>1/CAD!C1691</f>
        <v>0.7637668983426259</v>
      </c>
      <c r="F1691" s="3">
        <f>EUR!B1691/1</f>
        <v>1.1143000000000001</v>
      </c>
      <c r="G1691" s="3">
        <f>EUR!C1691/1</f>
        <v>1.1154999999999999</v>
      </c>
      <c r="H1691" s="3">
        <f>GBP!B1691/1</f>
        <v>1.4419999999999999</v>
      </c>
      <c r="I1691" s="3">
        <f>GBP!C1691/1</f>
        <v>1.4423999999999999</v>
      </c>
      <c r="J1691" s="4">
        <f>1/INR!B1691</f>
        <v>1.4866572511707426E-2</v>
      </c>
      <c r="K1691" s="4">
        <f>1/INR!C1691</f>
        <v>1.4789070876622176E-2</v>
      </c>
      <c r="L1691" s="4">
        <f>1/JPY!B1691</f>
        <v>9.1818933063997805E-3</v>
      </c>
      <c r="M1691" s="4">
        <f>1/JPY!C1691</f>
        <v>9.1925452135336334E-3</v>
      </c>
      <c r="N1691" s="5">
        <f>1/KRW!B1691</f>
        <v>8.4473728670383518E-4</v>
      </c>
      <c r="O1691" s="5">
        <f>1/KRW!C1691</f>
        <v>8.4472836703447551E-4</v>
      </c>
      <c r="P1691" s="3">
        <f>1/NOK!B1691</f>
        <v>0.12006819873688256</v>
      </c>
      <c r="Q1691" s="3">
        <f>1/NOK!C1691</f>
        <v>0.12005810812433218</v>
      </c>
      <c r="R1691" s="3">
        <f>NZD!B1691/1</f>
        <v>0.68469999999999998</v>
      </c>
      <c r="S1691" s="3">
        <f>NZD!C1691/1</f>
        <v>0.68359999999999999</v>
      </c>
      <c r="T1691" s="4">
        <f>1/PHP!B1691</f>
        <v>2.1498441363001181E-2</v>
      </c>
      <c r="U1691" s="4">
        <f>1/PHP!C1691</f>
        <v>2.1461530207103768E-2</v>
      </c>
      <c r="V1691" s="4">
        <f>1/TWD!B1691</f>
        <v>3.0667320902845931E-2</v>
      </c>
      <c r="W1691" s="4">
        <f>1/TWD!C1691</f>
        <v>3.0667414951591483E-2</v>
      </c>
      <c r="X1691" s="4">
        <f>1/TWD!B1691</f>
        <v>3.0667320902845931E-2</v>
      </c>
      <c r="Y1691" s="4">
        <f>1/TWD!C1691</f>
        <v>3.0667414951591483E-2</v>
      </c>
      <c r="Z1691" s="4">
        <f>1/ZAR!B1691</f>
        <v>6.4138744933039143E-2</v>
      </c>
      <c r="AA1691" s="4">
        <f>1/ZAR!C1691</f>
        <v>6.3749490004079964E-2</v>
      </c>
    </row>
    <row r="1692" spans="1:27" x14ac:dyDescent="0.25">
      <c r="A1692" t="str">
        <f>"06/06/2016"</f>
        <v>06/06/2016</v>
      </c>
      <c r="B1692" s="3">
        <f>AUD!B1692</f>
        <v>0.73560000000000003</v>
      </c>
      <c r="C1692" s="3">
        <f>AUD!C1692</f>
        <v>0.73480000000000001</v>
      </c>
      <c r="D1692" s="3">
        <f>1/CAD!B1692</f>
        <v>0.77255871446229918</v>
      </c>
      <c r="E1692" s="3">
        <f>1/CAD!C1692</f>
        <v>0.77255871446229918</v>
      </c>
      <c r="F1692" s="3">
        <f>EUR!B1692/1</f>
        <v>1.1344000000000001</v>
      </c>
      <c r="G1692" s="3">
        <f>EUR!C1692/1</f>
        <v>1.1355999999999999</v>
      </c>
      <c r="H1692" s="3">
        <f>GBP!B1692/1</f>
        <v>1.4411</v>
      </c>
      <c r="I1692" s="3">
        <f>GBP!C1692/1</f>
        <v>1.4415</v>
      </c>
      <c r="J1692" s="4">
        <f>1/INR!B1692</f>
        <v>1.4929272571193968E-2</v>
      </c>
      <c r="K1692" s="4">
        <f>1/INR!C1692</f>
        <v>1.4850566177835528E-2</v>
      </c>
      <c r="L1692" s="4">
        <f>1/JPY!B1692</f>
        <v>9.3396843186700287E-3</v>
      </c>
      <c r="M1692" s="4">
        <f>1/JPY!C1692</f>
        <v>9.3500587183687513E-3</v>
      </c>
      <c r="N1692" s="5">
        <f>1/KRW!B1692</f>
        <v>8.4473728670383518E-4</v>
      </c>
      <c r="O1692" s="5">
        <f>1/KRW!C1692</f>
        <v>8.4472836703447551E-4</v>
      </c>
      <c r="P1692" s="3">
        <f>1/NOK!B1692</f>
        <v>0.12177153225119032</v>
      </c>
      <c r="Q1692" s="3">
        <f>1/NOK!C1692</f>
        <v>0.12175967076185026</v>
      </c>
      <c r="R1692" s="3">
        <f>NZD!B1692/1</f>
        <v>0.69259999999999999</v>
      </c>
      <c r="S1692" s="3">
        <f>NZD!C1692/1</f>
        <v>0.6915</v>
      </c>
      <c r="T1692" s="4">
        <f>1/PHP!B1692</f>
        <v>2.1609940572663425E-2</v>
      </c>
      <c r="U1692" s="4">
        <f>1/PHP!C1692</f>
        <v>2.1573809395393991E-2</v>
      </c>
      <c r="V1692" s="4">
        <f>1/TWD!B1692</f>
        <v>3.0862292451083264E-2</v>
      </c>
      <c r="W1692" s="4">
        <f>1/TWD!C1692</f>
        <v>3.0862387699486762E-2</v>
      </c>
      <c r="X1692" s="4">
        <f>1/TWD!B1692</f>
        <v>3.0862292451083264E-2</v>
      </c>
      <c r="Y1692" s="4">
        <f>1/TWD!C1692</f>
        <v>3.0862387699486762E-2</v>
      </c>
      <c r="Z1692" s="4">
        <f>1/ZAR!B1692</f>
        <v>6.6511915609681477E-2</v>
      </c>
      <c r="AA1692" s="4">
        <f>1/ZAR!C1692</f>
        <v>6.6117451040027503E-2</v>
      </c>
    </row>
    <row r="1693" spans="1:27" x14ac:dyDescent="0.25">
      <c r="A1693" t="str">
        <f>"07/06/2016"</f>
        <v>07/06/2016</v>
      </c>
      <c r="B1693" s="3">
        <f>AUD!B1693</f>
        <v>0.74439999999999995</v>
      </c>
      <c r="C1693" s="3">
        <f>AUD!C1693</f>
        <v>0.74350000000000005</v>
      </c>
      <c r="D1693" s="3">
        <f>1/CAD!B1693</f>
        <v>0.78284014404258639</v>
      </c>
      <c r="E1693" s="3">
        <f>1/CAD!C1693</f>
        <v>0.78277886497064575</v>
      </c>
      <c r="F1693" s="3">
        <f>EUR!B1693/1</f>
        <v>1.1348</v>
      </c>
      <c r="G1693" s="3">
        <f>EUR!C1693/1</f>
        <v>1.1361000000000001</v>
      </c>
      <c r="H1693" s="3">
        <f>GBP!B1693/1</f>
        <v>1.4583999999999999</v>
      </c>
      <c r="I1693" s="3">
        <f>GBP!C1693/1</f>
        <v>1.4588000000000001</v>
      </c>
      <c r="J1693" s="4">
        <f>1/INR!B1693</f>
        <v>1.4974543276430068E-2</v>
      </c>
      <c r="K1693" s="4">
        <f>1/INR!C1693</f>
        <v>1.4888706915804361E-2</v>
      </c>
      <c r="L1693" s="4">
        <f>1/JPY!B1693</f>
        <v>9.2798812175204151E-3</v>
      </c>
      <c r="M1693" s="4">
        <f>1/JPY!C1693</f>
        <v>9.2905546646945922E-3</v>
      </c>
      <c r="N1693" s="5">
        <f>1/KRW!B1693</f>
        <v>8.5999312005503956E-4</v>
      </c>
      <c r="O1693" s="5">
        <f>1/KRW!C1693</f>
        <v>8.5998276594537041E-4</v>
      </c>
      <c r="P1693" s="3">
        <f>1/NOK!B1693</f>
        <v>0.12298761514715467</v>
      </c>
      <c r="Q1693" s="3">
        <f>1/NOK!C1693</f>
        <v>0.12297249105375127</v>
      </c>
      <c r="R1693" s="3">
        <f>NZD!B1693/1</f>
        <v>0.69569999999999999</v>
      </c>
      <c r="S1693" s="3">
        <f>NZD!C1693/1</f>
        <v>0.69450000000000001</v>
      </c>
      <c r="T1693" s="4">
        <f>1/PHP!B1693</f>
        <v>2.1668472372697724E-2</v>
      </c>
      <c r="U1693" s="4">
        <f>1/PHP!C1693</f>
        <v>2.1631443466222502E-2</v>
      </c>
      <c r="V1693" s="4">
        <f>1/TWD!B1693</f>
        <v>3.0923371884470283E-2</v>
      </c>
      <c r="W1693" s="4">
        <f>1/TWD!C1693</f>
        <v>3.0923467510258863E-2</v>
      </c>
      <c r="X1693" s="4">
        <f>1/TWD!B1693</f>
        <v>3.0923371884470283E-2</v>
      </c>
      <c r="Y1693" s="4">
        <f>1/TWD!C1693</f>
        <v>3.0923467510258863E-2</v>
      </c>
      <c r="Z1693" s="4">
        <f>1/ZAR!B1693</f>
        <v>6.7369555697780165E-2</v>
      </c>
      <c r="AA1693" s="4">
        <f>1/ZAR!C1693</f>
        <v>6.6942917774014093E-2</v>
      </c>
    </row>
    <row r="1694" spans="1:27" x14ac:dyDescent="0.25">
      <c r="A1694" t="str">
        <f>"08/06/2016"</f>
        <v>08/06/2016</v>
      </c>
      <c r="B1694" s="3">
        <f>AUD!B1694</f>
        <v>0.74629999999999996</v>
      </c>
      <c r="C1694" s="3">
        <f>AUD!C1694</f>
        <v>0.74539999999999995</v>
      </c>
      <c r="D1694" s="3">
        <f>1/CAD!B1694</f>
        <v>0.78914141414141403</v>
      </c>
      <c r="E1694" s="3">
        <f>1/CAD!C1694</f>
        <v>0.78914141414141403</v>
      </c>
      <c r="F1694" s="3">
        <f>EUR!B1694/1</f>
        <v>1.1378999999999999</v>
      </c>
      <c r="G1694" s="3">
        <f>EUR!C1694/1</f>
        <v>1.1392</v>
      </c>
      <c r="H1694" s="3">
        <f>GBP!B1694/1</f>
        <v>1.456</v>
      </c>
      <c r="I1694" s="3">
        <f>GBP!C1694/1</f>
        <v>1.4563999999999999</v>
      </c>
      <c r="J1694" s="4">
        <f>1/INR!B1694</f>
        <v>1.5002062783632749E-2</v>
      </c>
      <c r="K1694" s="4">
        <f>1/INR!C1694</f>
        <v>1.4919249561747044E-2</v>
      </c>
      <c r="L1694" s="4">
        <f>1/JPY!B1694</f>
        <v>9.3405566971791511E-3</v>
      </c>
      <c r="M1694" s="4">
        <f>1/JPY!C1694</f>
        <v>9.3514139805509298E-3</v>
      </c>
      <c r="N1694" s="5">
        <f>1/KRW!B1694</f>
        <v>8.6441630289147255E-4</v>
      </c>
      <c r="O1694" s="5">
        <f>1/KRW!C1694</f>
        <v>8.644065891985481E-4</v>
      </c>
      <c r="P1694" s="3">
        <f>1/NOK!B1694</f>
        <v>0.12350558245232685</v>
      </c>
      <c r="Q1694" s="3">
        <f>1/NOK!C1694</f>
        <v>0.1234949058351343</v>
      </c>
      <c r="R1694" s="3">
        <f>NZD!B1694/1</f>
        <v>0.70020000000000004</v>
      </c>
      <c r="S1694" s="3">
        <f>NZD!C1694/1</f>
        <v>0.69899999999999995</v>
      </c>
      <c r="T1694" s="4">
        <f>1/PHP!B1694</f>
        <v>2.1720243266724587E-2</v>
      </c>
      <c r="U1694" s="4">
        <f>1/PHP!C1694</f>
        <v>2.1681626989289278E-2</v>
      </c>
      <c r="V1694" s="4">
        <f>1/TWD!B1694</f>
        <v>3.1031807602792862E-2</v>
      </c>
      <c r="W1694" s="4">
        <f>1/TWD!C1694</f>
        <v>3.1031903900400004E-2</v>
      </c>
      <c r="X1694" s="4">
        <f>1/TWD!B1694</f>
        <v>3.1031807602792862E-2</v>
      </c>
      <c r="Y1694" s="4">
        <f>1/TWD!C1694</f>
        <v>3.1031903900400004E-2</v>
      </c>
      <c r="Z1694" s="4">
        <f>1/ZAR!B1694</f>
        <v>6.7803505441231315E-2</v>
      </c>
      <c r="AA1694" s="4">
        <f>1/ZAR!C1694</f>
        <v>6.738499066717879E-2</v>
      </c>
    </row>
    <row r="1695" spans="1:27" x14ac:dyDescent="0.25">
      <c r="A1695" t="str">
        <f>"09/06/2016"</f>
        <v>09/06/2016</v>
      </c>
      <c r="B1695" s="3">
        <f>AUD!B1695</f>
        <v>0.74309999999999998</v>
      </c>
      <c r="C1695" s="3">
        <f>AUD!C1695</f>
        <v>0.74229999999999996</v>
      </c>
      <c r="D1695" s="3">
        <f>1/CAD!B1695</f>
        <v>0.78412922449619693</v>
      </c>
      <c r="E1695" s="3">
        <f>1/CAD!C1695</f>
        <v>0.78412922449619693</v>
      </c>
      <c r="F1695" s="3">
        <f>EUR!B1695/1</f>
        <v>1.1341000000000001</v>
      </c>
      <c r="G1695" s="3">
        <f>EUR!C1695/1</f>
        <v>1.1353</v>
      </c>
      <c r="H1695" s="3">
        <f>GBP!B1695/1</f>
        <v>1.4466000000000001</v>
      </c>
      <c r="I1695" s="3">
        <f>GBP!C1695/1</f>
        <v>1.4470000000000001</v>
      </c>
      <c r="J1695" s="4">
        <f>1/INR!B1695</f>
        <v>1.4986886474334958E-2</v>
      </c>
      <c r="K1695" s="4">
        <f>1/INR!C1695</f>
        <v>1.4907573047107931E-2</v>
      </c>
      <c r="L1695" s="4">
        <f>1/JPY!B1695</f>
        <v>9.390553103577802E-3</v>
      </c>
      <c r="M1695" s="4">
        <f>1/JPY!C1695</f>
        <v>9.4018363666791404E-3</v>
      </c>
      <c r="N1695" s="5">
        <f>1/KRW!B1695</f>
        <v>8.6508932047233875E-4</v>
      </c>
      <c r="O1695" s="5">
        <f>1/KRW!C1695</f>
        <v>8.6508034001117682E-4</v>
      </c>
      <c r="P1695" s="3">
        <f>1/NOK!B1695</f>
        <v>0.12244698045746191</v>
      </c>
      <c r="Q1695" s="3">
        <f>1/NOK!C1695</f>
        <v>0.12243798516051618</v>
      </c>
      <c r="R1695" s="3">
        <f>NZD!B1695/1</f>
        <v>0.71060000000000001</v>
      </c>
      <c r="S1695" s="3">
        <f>NZD!C1695/1</f>
        <v>0.70940000000000003</v>
      </c>
      <c r="T1695" s="4">
        <f>1/PHP!B1695</f>
        <v>2.1687269572760789E-2</v>
      </c>
      <c r="U1695" s="4">
        <f>1/PHP!C1695</f>
        <v>2.1649942086404916E-2</v>
      </c>
      <c r="V1695" s="4">
        <f>1/TWD!B1695</f>
        <v>3.1031807602792862E-2</v>
      </c>
      <c r="W1695" s="4">
        <f>1/TWD!C1695</f>
        <v>3.10320001986048E-2</v>
      </c>
      <c r="X1695" s="4">
        <f>1/TWD!B1695</f>
        <v>3.1031807602792862E-2</v>
      </c>
      <c r="Y1695" s="4">
        <f>1/TWD!C1695</f>
        <v>3.10320001986048E-2</v>
      </c>
      <c r="Z1695" s="4">
        <f>1/ZAR!B1695</f>
        <v>6.7507358302054926E-2</v>
      </c>
      <c r="AA1695" s="4">
        <f>1/ZAR!C1695</f>
        <v>6.7101934548773043E-2</v>
      </c>
    </row>
    <row r="1696" spans="1:27" x14ac:dyDescent="0.25">
      <c r="A1696" t="str">
        <f>"10/06/2016"</f>
        <v>10/06/2016</v>
      </c>
      <c r="B1696" s="3">
        <f>AUD!B1696</f>
        <v>0.74009999999999998</v>
      </c>
      <c r="C1696" s="3">
        <f>AUD!C1696</f>
        <v>0.73929999999999996</v>
      </c>
      <c r="D1696" s="3">
        <f>1/CAD!B1696</f>
        <v>0.78462142016477054</v>
      </c>
      <c r="E1696" s="3">
        <f>1/CAD!C1696</f>
        <v>0.78462142016477054</v>
      </c>
      <c r="F1696" s="3">
        <f>EUR!B1696/1</f>
        <v>1.1304000000000001</v>
      </c>
      <c r="G1696" s="3">
        <f>EUR!C1696/1</f>
        <v>1.1315999999999999</v>
      </c>
      <c r="H1696" s="3">
        <f>GBP!B1696/1</f>
        <v>1.4418</v>
      </c>
      <c r="I1696" s="3">
        <f>GBP!C1696/1</f>
        <v>1.4420999999999999</v>
      </c>
      <c r="J1696" s="4">
        <f>1/INR!B1696</f>
        <v>1.4978468451600823E-2</v>
      </c>
      <c r="K1696" s="4">
        <f>1/INR!C1696</f>
        <v>1.4897579143389199E-2</v>
      </c>
      <c r="L1696" s="4">
        <f>1/JPY!B1696</f>
        <v>9.3580385551188475E-3</v>
      </c>
      <c r="M1696" s="4">
        <f>1/JPY!C1696</f>
        <v>9.3700075428560722E-3</v>
      </c>
      <c r="N1696" s="5">
        <f>1/KRW!B1696</f>
        <v>8.5792724776938918E-4</v>
      </c>
      <c r="O1696" s="5">
        <f>1/KRW!C1696</f>
        <v>8.579187834025317E-4</v>
      </c>
      <c r="P1696" s="3">
        <f>1/NOK!B1696</f>
        <v>0.12193040212646622</v>
      </c>
      <c r="Q1696" s="3">
        <f>1/NOK!C1696</f>
        <v>0.12192148256522799</v>
      </c>
      <c r="R1696" s="3">
        <f>NZD!B1696/1</f>
        <v>0.70899999999999996</v>
      </c>
      <c r="S1696" s="3">
        <f>NZD!C1696/1</f>
        <v>0.70789999999999997</v>
      </c>
      <c r="T1696" s="4">
        <f>1/PHP!B1696</f>
        <v>2.1659085986571364E-2</v>
      </c>
      <c r="U1696" s="4">
        <f>1/PHP!C1696</f>
        <v>2.1622556651098426E-2</v>
      </c>
      <c r="V1696" s="4">
        <f>1/TWD!B1696</f>
        <v>3.1031807602792862E-2</v>
      </c>
      <c r="W1696" s="4">
        <f>1/TWD!C1696</f>
        <v>3.10320001986048E-2</v>
      </c>
      <c r="X1696" s="4">
        <f>1/TWD!B1696</f>
        <v>3.1031807602792862E-2</v>
      </c>
      <c r="Y1696" s="4">
        <f>1/TWD!C1696</f>
        <v>3.10320001986048E-2</v>
      </c>
      <c r="Z1696" s="4">
        <f>1/ZAR!B1696</f>
        <v>6.6474334259542384E-2</v>
      </c>
      <c r="AA1696" s="4">
        <f>1/ZAR!C1696</f>
        <v>6.607594769427981E-2</v>
      </c>
    </row>
    <row r="1697" spans="1:27" x14ac:dyDescent="0.25">
      <c r="A1697" t="str">
        <f>"13/06/2016"</f>
        <v>13/06/2016</v>
      </c>
      <c r="B1697" s="3">
        <f>AUD!B1697</f>
        <v>0.74009999999999998</v>
      </c>
      <c r="C1697" s="3">
        <f>AUD!C1697</f>
        <v>0.73929999999999996</v>
      </c>
      <c r="D1697" s="3">
        <f>1/CAD!B1697</f>
        <v>0.78265633560303671</v>
      </c>
      <c r="E1697" s="3">
        <f>1/CAD!C1697</f>
        <v>0.78265633560303671</v>
      </c>
      <c r="F1697" s="3">
        <f>EUR!B1697/1</f>
        <v>1.1269</v>
      </c>
      <c r="G1697" s="3">
        <f>EUR!C1697/1</f>
        <v>1.1282000000000001</v>
      </c>
      <c r="H1697" s="3">
        <f>GBP!B1697/1</f>
        <v>1.4189000000000001</v>
      </c>
      <c r="I1697" s="3">
        <f>GBP!C1697/1</f>
        <v>1.4193</v>
      </c>
      <c r="J1697" s="4">
        <f>1/INR!B1697</f>
        <v>1.4893141708243355E-2</v>
      </c>
      <c r="K1697" s="4">
        <f>1/INR!C1697</f>
        <v>1.4813168907158466E-2</v>
      </c>
      <c r="L1697" s="4">
        <f>1/JPY!B1697</f>
        <v>9.4286253064303216E-3</v>
      </c>
      <c r="M1697" s="4">
        <f>1/JPY!C1697</f>
        <v>9.4410252198106701E-3</v>
      </c>
      <c r="N1697" s="5">
        <f>1/KRW!B1697</f>
        <v>8.5178875638841568E-4</v>
      </c>
      <c r="O1697" s="5">
        <f>1/KRW!C1697</f>
        <v>8.5178150100936108E-4</v>
      </c>
      <c r="P1697" s="3">
        <f>1/NOK!B1697</f>
        <v>0.12084884226809106</v>
      </c>
      <c r="Q1697" s="3">
        <f>1/NOK!C1697</f>
        <v>0.12084008023781329</v>
      </c>
      <c r="R1697" s="3">
        <f>NZD!B1697/1</f>
        <v>0.70720000000000005</v>
      </c>
      <c r="S1697" s="3">
        <f>NZD!C1697/1</f>
        <v>0.70609999999999995</v>
      </c>
      <c r="T1697" s="4">
        <f>1/PHP!B1697</f>
        <v>2.1677866897897247E-2</v>
      </c>
      <c r="U1697" s="4">
        <f>1/PHP!C1697</f>
        <v>2.1641742593113598E-2</v>
      </c>
      <c r="V1697" s="4">
        <f>1/TWD!B1697</f>
        <v>3.0830892554339445E-2</v>
      </c>
      <c r="W1697" s="4">
        <f>1/TWD!C1697</f>
        <v>3.083098760902608E-2</v>
      </c>
      <c r="X1697" s="4">
        <f>1/TWD!B1697</f>
        <v>3.0830892554339445E-2</v>
      </c>
      <c r="Y1697" s="4">
        <f>1/TWD!C1697</f>
        <v>3.083098760902608E-2</v>
      </c>
      <c r="Z1697" s="4">
        <f>1/ZAR!B1697</f>
        <v>6.5736711323805902E-2</v>
      </c>
      <c r="AA1697" s="4">
        <f>1/ZAR!C1697</f>
        <v>6.5341540230786324E-2</v>
      </c>
    </row>
    <row r="1698" spans="1:27" x14ac:dyDescent="0.25">
      <c r="A1698" t="str">
        <f>"14/06/2016"</f>
        <v>14/06/2016</v>
      </c>
      <c r="B1698" s="3">
        <f>AUD!B1698</f>
        <v>0.73460000000000003</v>
      </c>
      <c r="C1698" s="3">
        <f>AUD!C1698</f>
        <v>0.73370000000000002</v>
      </c>
      <c r="D1698" s="3">
        <f>1/CAD!B1698</f>
        <v>0.77839184245349113</v>
      </c>
      <c r="E1698" s="3">
        <f>1/CAD!C1698</f>
        <v>0.77839184245349113</v>
      </c>
      <c r="F1698" s="3">
        <f>EUR!B1698/1</f>
        <v>1.1225000000000001</v>
      </c>
      <c r="G1698" s="3">
        <f>EUR!C1698/1</f>
        <v>1.1238999999999999</v>
      </c>
      <c r="H1698" s="3">
        <f>GBP!B1698/1</f>
        <v>1.4154</v>
      </c>
      <c r="I1698" s="3">
        <f>GBP!C1698/1</f>
        <v>1.4157999999999999</v>
      </c>
      <c r="J1698" s="4">
        <f>1/INR!B1698</f>
        <v>1.4865467518953472E-2</v>
      </c>
      <c r="K1698" s="4">
        <f>1/INR!C1698</f>
        <v>1.4780873549626783E-2</v>
      </c>
      <c r="L1698" s="4">
        <f>1/JPY!B1698</f>
        <v>9.4384143463898066E-3</v>
      </c>
      <c r="M1698" s="4">
        <f>1/JPY!C1698</f>
        <v>9.4523318902773323E-3</v>
      </c>
      <c r="N1698" s="5">
        <f>1/KRW!B1698</f>
        <v>8.5226062129799295E-4</v>
      </c>
      <c r="O1698" s="5">
        <f>1/KRW!C1698</f>
        <v>8.5225154204263392E-4</v>
      </c>
      <c r="P1698" s="3">
        <f>1/NOK!B1698</f>
        <v>0.11977338874848786</v>
      </c>
      <c r="Q1698" s="3">
        <f>1/NOK!C1698</f>
        <v>0.1197662163456932</v>
      </c>
      <c r="R1698" s="3">
        <f>NZD!B1698/1</f>
        <v>0.7006</v>
      </c>
      <c r="S1698" s="3">
        <f>NZD!C1698/1</f>
        <v>0.69940000000000002</v>
      </c>
      <c r="T1698" s="4">
        <f>1/PHP!B1698</f>
        <v>2.1579628830384116E-2</v>
      </c>
      <c r="U1698" s="4">
        <f>1/PHP!C1698</f>
        <v>2.1543598858189263E-2</v>
      </c>
      <c r="V1698" s="4">
        <f>1/TWD!B1698</f>
        <v>3.0842303303210684E-2</v>
      </c>
      <c r="W1698" s="4">
        <f>1/TWD!C1698</f>
        <v>3.0842398428271377E-2</v>
      </c>
      <c r="X1698" s="4">
        <f>1/TWD!B1698</f>
        <v>3.0842303303210684E-2</v>
      </c>
      <c r="Y1698" s="4">
        <f>1/TWD!C1698</f>
        <v>3.0842398428271377E-2</v>
      </c>
      <c r="Z1698" s="4">
        <f>1/ZAR!B1698</f>
        <v>6.5062655337089617E-2</v>
      </c>
      <c r="AA1698" s="4">
        <f>1/ZAR!C1698</f>
        <v>6.4656705223615218E-2</v>
      </c>
    </row>
    <row r="1699" spans="1:27" x14ac:dyDescent="0.25">
      <c r="A1699" t="str">
        <f>"15/06/2016"</f>
        <v>15/06/2016</v>
      </c>
      <c r="B1699" s="3">
        <f>AUD!B1699</f>
        <v>0.73650000000000004</v>
      </c>
      <c r="C1699" s="3">
        <f>AUD!C1699</f>
        <v>0.73560000000000003</v>
      </c>
      <c r="D1699" s="3">
        <f>1/CAD!B1699</f>
        <v>0.77694040867065506</v>
      </c>
      <c r="E1699" s="3">
        <f>1/CAD!C1699</f>
        <v>0.77694040867065506</v>
      </c>
      <c r="F1699" s="3">
        <f>EUR!B1699/1</f>
        <v>1.1206</v>
      </c>
      <c r="G1699" s="3">
        <f>EUR!C1699/1</f>
        <v>1.1220000000000001</v>
      </c>
      <c r="H1699" s="3">
        <f>GBP!B1699/1</f>
        <v>1.4139999999999999</v>
      </c>
      <c r="I1699" s="3">
        <f>GBP!C1699/1</f>
        <v>1.4144000000000001</v>
      </c>
      <c r="J1699" s="4">
        <f>1/INR!B1699</f>
        <v>1.4877631481068214E-2</v>
      </c>
      <c r="K1699" s="4">
        <f>1/INR!C1699</f>
        <v>1.4795088030773782E-2</v>
      </c>
      <c r="L1699" s="4">
        <f>1/JPY!B1699</f>
        <v>9.4170825878142957E-3</v>
      </c>
      <c r="M1699" s="4">
        <f>1/JPY!C1699</f>
        <v>9.4313375051282896E-3</v>
      </c>
      <c r="N1699" s="5">
        <f>1/KRW!B1699</f>
        <v>8.5113626691633328E-4</v>
      </c>
      <c r="O1699" s="5">
        <f>1/KRW!C1699</f>
        <v>8.5112757380978313E-4</v>
      </c>
      <c r="P1699" s="3">
        <f>1/NOK!B1699</f>
        <v>0.1196229484664338</v>
      </c>
      <c r="Q1699" s="3">
        <f>1/NOK!C1699</f>
        <v>0.11961436329274418</v>
      </c>
      <c r="R1699" s="3">
        <f>NZD!B1699/1</f>
        <v>0.70189999999999997</v>
      </c>
      <c r="S1699" s="3">
        <f>NZD!C1699/1</f>
        <v>0.70069999999999999</v>
      </c>
      <c r="T1699" s="4">
        <f>1/PHP!B1699</f>
        <v>2.1554046772281496E-2</v>
      </c>
      <c r="U1699" s="4">
        <f>1/PHP!C1699</f>
        <v>2.1516018675904212E-2</v>
      </c>
      <c r="V1699" s="4">
        <f>1/TWD!B1699</f>
        <v>3.0802402587401814E-2</v>
      </c>
      <c r="W1699" s="4">
        <f>1/TWD!C1699</f>
        <v>3.0802497466494584E-2</v>
      </c>
      <c r="X1699" s="4">
        <f>1/TWD!B1699</f>
        <v>3.0802402587401814E-2</v>
      </c>
      <c r="Y1699" s="4">
        <f>1/TWD!C1699</f>
        <v>3.0802497466494584E-2</v>
      </c>
      <c r="Z1699" s="4">
        <f>1/ZAR!B1699</f>
        <v>6.5325746836600709E-2</v>
      </c>
      <c r="AA1699" s="4">
        <f>1/ZAR!C1699</f>
        <v>6.4914410349953586E-2</v>
      </c>
    </row>
    <row r="1700" spans="1:27" x14ac:dyDescent="0.25">
      <c r="A1700" t="str">
        <f>"16/06/2016"</f>
        <v>16/06/2016</v>
      </c>
      <c r="B1700" s="3">
        <f>AUD!B1700</f>
        <v>0.73460000000000003</v>
      </c>
      <c r="C1700" s="3">
        <f>AUD!C1700</f>
        <v>0.73380000000000001</v>
      </c>
      <c r="D1700" s="3">
        <f>1/CAD!B1700</f>
        <v>0.76781326781326786</v>
      </c>
      <c r="E1700" s="3">
        <f>1/CAD!C1700</f>
        <v>0.76781326781326786</v>
      </c>
      <c r="F1700" s="3">
        <f>EUR!B1700/1</f>
        <v>1.1184000000000001</v>
      </c>
      <c r="G1700" s="3">
        <f>EUR!C1700/1</f>
        <v>1.1197999999999999</v>
      </c>
      <c r="H1700" s="3">
        <f>GBP!B1700/1</f>
        <v>1.4117999999999999</v>
      </c>
      <c r="I1700" s="3">
        <f>GBP!C1700/1</f>
        <v>1.4121999999999999</v>
      </c>
      <c r="J1700" s="4">
        <f>1/INR!B1700</f>
        <v>1.4861601337544121E-2</v>
      </c>
      <c r="K1700" s="4">
        <f>1/INR!C1700</f>
        <v>1.4780327384251562E-2</v>
      </c>
      <c r="L1700" s="4">
        <f>1/JPY!B1700</f>
        <v>9.5886470419023866E-3</v>
      </c>
      <c r="M1700" s="4">
        <f>1/JPY!C1700</f>
        <v>9.6026149841124727E-3</v>
      </c>
      <c r="N1700" s="5">
        <f>1/KRW!B1700</f>
        <v>8.5364292116607619E-4</v>
      </c>
      <c r="O1700" s="5">
        <f>1/KRW!C1700</f>
        <v>8.536352698191702E-4</v>
      </c>
      <c r="P1700" s="3">
        <f>1/NOK!B1700</f>
        <v>0.11902353095206923</v>
      </c>
      <c r="Q1700" s="3">
        <f>1/NOK!C1700</f>
        <v>0.11901361515757403</v>
      </c>
      <c r="R1700" s="3">
        <f>NZD!B1700/1</f>
        <v>0.7026</v>
      </c>
      <c r="S1700" s="3">
        <f>NZD!C1700/1</f>
        <v>0.70150000000000001</v>
      </c>
      <c r="T1700" s="4">
        <f>1/PHP!B1700</f>
        <v>2.151462994836489E-2</v>
      </c>
      <c r="U1700" s="4">
        <f>1/PHP!C1700</f>
        <v>2.14799699280421E-2</v>
      </c>
      <c r="V1700" s="4">
        <f>1/TWD!B1700</f>
        <v>3.0871820202519138E-2</v>
      </c>
      <c r="W1700" s="4">
        <f>1/TWD!C1700</f>
        <v>3.0871915509741634E-2</v>
      </c>
      <c r="X1700" s="4">
        <f>1/TWD!B1700</f>
        <v>3.0871820202519138E-2</v>
      </c>
      <c r="Y1700" s="4">
        <f>1/TWD!C1700</f>
        <v>3.0871915509741634E-2</v>
      </c>
      <c r="Z1700" s="4">
        <f>1/ZAR!B1700</f>
        <v>6.4791597825593975E-2</v>
      </c>
      <c r="AA1700" s="4">
        <f>1/ZAR!C1700</f>
        <v>6.4399379189984604E-2</v>
      </c>
    </row>
    <row r="1701" spans="1:27" x14ac:dyDescent="0.25">
      <c r="A1701" t="str">
        <f>"17/06/2016"</f>
        <v>17/06/2016</v>
      </c>
      <c r="B1701" s="3">
        <f>AUD!B1701</f>
        <v>0.7389</v>
      </c>
      <c r="C1701" s="3">
        <f>AUD!C1701</f>
        <v>0.73809999999999998</v>
      </c>
      <c r="D1701" s="3">
        <f>1/CAD!B1701</f>
        <v>0.77429345722028642</v>
      </c>
      <c r="E1701" s="3">
        <f>1/CAD!C1701</f>
        <v>0.77429345722028642</v>
      </c>
      <c r="F1701" s="3">
        <f>EUR!B1701/1</f>
        <v>1.1255999999999999</v>
      </c>
      <c r="G1701" s="3">
        <f>EUR!C1701/1</f>
        <v>1.127</v>
      </c>
      <c r="H1701" s="3">
        <f>GBP!B1701/1</f>
        <v>1.4287000000000001</v>
      </c>
      <c r="I1701" s="3">
        <f>GBP!C1701/1</f>
        <v>1.4292</v>
      </c>
      <c r="J1701" s="4">
        <f>1/INR!B1701</f>
        <v>1.4905351021016543E-2</v>
      </c>
      <c r="K1701" s="4">
        <f>1/INR!C1701</f>
        <v>1.4824148537968351E-2</v>
      </c>
      <c r="L1701" s="4">
        <f>1/JPY!B1701</f>
        <v>9.5932463545663864E-3</v>
      </c>
      <c r="M1701" s="4">
        <f>1/JPY!C1701</f>
        <v>9.6064247768907849E-3</v>
      </c>
      <c r="N1701" s="5">
        <f>1/KRW!B1701</f>
        <v>8.5182503513778261E-4</v>
      </c>
      <c r="O1701" s="5">
        <f>1/KRW!C1701</f>
        <v>8.5181777914068615E-4</v>
      </c>
      <c r="P1701" s="3">
        <f>1/NOK!B1701</f>
        <v>0.1192648514556275</v>
      </c>
      <c r="Q1701" s="3">
        <f>1/NOK!C1701</f>
        <v>0.11925347325740862</v>
      </c>
      <c r="R1701" s="3">
        <f>NZD!B1701/1</f>
        <v>0.70489999999999997</v>
      </c>
      <c r="S1701" s="3">
        <f>NZD!C1701/1</f>
        <v>0.70379999999999998</v>
      </c>
      <c r="T1701" s="4">
        <f>1/PHP!B1701</f>
        <v>2.1533161068044791E-2</v>
      </c>
      <c r="U1701" s="4">
        <f>1/PHP!C1701</f>
        <v>2.1499828001375988E-2</v>
      </c>
      <c r="V1701" s="4">
        <f>1/TWD!B1701</f>
        <v>3.0879446640316204E-2</v>
      </c>
      <c r="W1701" s="4">
        <f>1/TWD!C1701</f>
        <v>3.087954199463314E-2</v>
      </c>
      <c r="X1701" s="4">
        <f>1/TWD!B1701</f>
        <v>3.0879446640316204E-2</v>
      </c>
      <c r="Y1701" s="4">
        <f>1/TWD!C1701</f>
        <v>3.087954199463314E-2</v>
      </c>
      <c r="Z1701" s="4">
        <f>1/ZAR!B1701</f>
        <v>6.5641779679930679E-2</v>
      </c>
      <c r="AA1701" s="4">
        <f>1/ZAR!C1701</f>
        <v>6.5246042827502515E-2</v>
      </c>
    </row>
    <row r="1702" spans="1:27" x14ac:dyDescent="0.25">
      <c r="A1702" t="str">
        <f>"20/06/2016"</f>
        <v>20/06/2016</v>
      </c>
      <c r="B1702" s="3">
        <f>AUD!B1702</f>
        <v>0.745</v>
      </c>
      <c r="C1702" s="3">
        <f>AUD!C1702</f>
        <v>0.74409999999999998</v>
      </c>
      <c r="D1702" s="3">
        <f>1/CAD!B1702</f>
        <v>0.78009205086200173</v>
      </c>
      <c r="E1702" s="3">
        <f>1/CAD!C1702</f>
        <v>0.78009205086200173</v>
      </c>
      <c r="F1702" s="3">
        <f>EUR!B1702/1</f>
        <v>1.1327</v>
      </c>
      <c r="G1702" s="3">
        <f>EUR!C1702/1</f>
        <v>1.1339999999999999</v>
      </c>
      <c r="H1702" s="3">
        <f>GBP!B1702/1</f>
        <v>1.4630000000000001</v>
      </c>
      <c r="I1702" s="3">
        <f>GBP!C1702/1</f>
        <v>1.4634</v>
      </c>
      <c r="J1702" s="4">
        <f>1/INR!B1702</f>
        <v>1.4855529971031718E-2</v>
      </c>
      <c r="K1702" s="4">
        <f>1/INR!C1702</f>
        <v>1.4776505356483192E-2</v>
      </c>
      <c r="L1702" s="4">
        <f>1/JPY!B1702</f>
        <v>9.5648015303682454E-3</v>
      </c>
      <c r="M1702" s="4">
        <f>1/JPY!C1702</f>
        <v>9.577250582057403E-3</v>
      </c>
      <c r="N1702" s="5">
        <f>1/KRW!B1702</f>
        <v>8.6140063743647168E-4</v>
      </c>
      <c r="O1702" s="5">
        <f>1/KRW!C1702</f>
        <v>8.6139210439383201E-4</v>
      </c>
      <c r="P1702" s="3">
        <f>1/NOK!B1702</f>
        <v>0.1208590662428542</v>
      </c>
      <c r="Q1702" s="3">
        <f>1/NOK!C1702</f>
        <v>0.12084884226809106</v>
      </c>
      <c r="R1702" s="3">
        <f>NZD!B1702/1</f>
        <v>0.71060000000000001</v>
      </c>
      <c r="S1702" s="3">
        <f>NZD!C1702/1</f>
        <v>0.70950000000000002</v>
      </c>
      <c r="T1702" s="4">
        <f>1/PHP!B1702</f>
        <v>2.1558693543171286E-2</v>
      </c>
      <c r="U1702" s="4">
        <f>1/PHP!C1702</f>
        <v>2.1523891519586742E-2</v>
      </c>
      <c r="V1702" s="4">
        <f>1/TWD!B1702</f>
        <v>3.1000062000123996E-2</v>
      </c>
      <c r="W1702" s="4">
        <f>1/TWD!C1702</f>
        <v>3.1000158100806315E-2</v>
      </c>
      <c r="X1702" s="4">
        <f>1/TWD!B1702</f>
        <v>3.1000062000123996E-2</v>
      </c>
      <c r="Y1702" s="4">
        <f>1/TWD!C1702</f>
        <v>3.1000158100806315E-2</v>
      </c>
      <c r="Z1702" s="4">
        <f>1/ZAR!B1702</f>
        <v>6.7295656738314114E-2</v>
      </c>
      <c r="AA1702" s="4">
        <f>1/ZAR!C1702</f>
        <v>6.688828986709297E-2</v>
      </c>
    </row>
    <row r="1703" spans="1:27" x14ac:dyDescent="0.25">
      <c r="A1703" t="str">
        <f>"21/06/2016"</f>
        <v>21/06/2016</v>
      </c>
      <c r="B1703" s="3">
        <f>AUD!B1703</f>
        <v>0.74939999999999996</v>
      </c>
      <c r="C1703" s="3">
        <f>AUD!C1703</f>
        <v>0.74850000000000005</v>
      </c>
      <c r="D1703" s="3">
        <f>1/CAD!B1703</f>
        <v>0.78259508530286426</v>
      </c>
      <c r="E1703" s="3">
        <f>1/CAD!C1703</f>
        <v>0.78259508530286426</v>
      </c>
      <c r="F1703" s="3">
        <f>EUR!B1703/1</f>
        <v>1.1327</v>
      </c>
      <c r="G1703" s="3">
        <f>EUR!C1703/1</f>
        <v>1.1342000000000001</v>
      </c>
      <c r="H1703" s="3">
        <f>GBP!B1703/1</f>
        <v>1.4741</v>
      </c>
      <c r="I1703" s="3">
        <f>GBP!C1703/1</f>
        <v>1.4744999999999999</v>
      </c>
      <c r="J1703" s="4">
        <f>1/INR!B1703</f>
        <v>1.4815363531982666E-2</v>
      </c>
      <c r="K1703" s="4">
        <f>1/INR!C1703</f>
        <v>1.4731337237137702E-2</v>
      </c>
      <c r="L1703" s="4">
        <f>1/JPY!B1703</f>
        <v>9.5492742551566076E-3</v>
      </c>
      <c r="M1703" s="4">
        <f>1/JPY!C1703</f>
        <v>9.5631459307379593E-3</v>
      </c>
      <c r="N1703" s="5">
        <f>1/KRW!B1703</f>
        <v>8.6378163600241858E-4</v>
      </c>
      <c r="O1703" s="5">
        <f>1/KRW!C1703</f>
        <v>8.637745479327932E-4</v>
      </c>
      <c r="P1703" s="3">
        <f>1/NOK!B1703</f>
        <v>0.12065345913467339</v>
      </c>
      <c r="Q1703" s="3">
        <f>1/NOK!C1703</f>
        <v>0.12064326991518778</v>
      </c>
      <c r="R1703" s="3">
        <f>NZD!B1703/1</f>
        <v>0.71479999999999999</v>
      </c>
      <c r="S1703" s="3">
        <f>NZD!C1703/1</f>
        <v>0.71360000000000001</v>
      </c>
      <c r="T1703" s="4">
        <f>1/PHP!B1703</f>
        <v>2.1561017680034496E-2</v>
      </c>
      <c r="U1703" s="4">
        <f>1/PHP!C1703</f>
        <v>2.1528988783396846E-2</v>
      </c>
      <c r="V1703" s="4">
        <f>1/TWD!B1703</f>
        <v>3.1000062000123996E-2</v>
      </c>
      <c r="W1703" s="4">
        <f>1/TWD!C1703</f>
        <v>3.1000158100806315E-2</v>
      </c>
      <c r="X1703" s="4">
        <f>1/TWD!B1703</f>
        <v>3.1000062000123996E-2</v>
      </c>
      <c r="Y1703" s="4">
        <f>1/TWD!C1703</f>
        <v>3.1000158100806315E-2</v>
      </c>
      <c r="Z1703" s="4">
        <f>1/ZAR!B1703</f>
        <v>6.8092060465749699E-2</v>
      </c>
      <c r="AA1703" s="4">
        <f>1/ZAR!C1703</f>
        <v>6.7653963507452078E-2</v>
      </c>
    </row>
    <row r="1704" spans="1:27" x14ac:dyDescent="0.25">
      <c r="A1704" t="str">
        <f>"22/06/2016"</f>
        <v>22/06/2016</v>
      </c>
      <c r="B1704" s="3">
        <f>AUD!B1704</f>
        <v>0.74990000000000001</v>
      </c>
      <c r="C1704" s="3">
        <f>AUD!C1704</f>
        <v>0.749</v>
      </c>
      <c r="D1704" s="3">
        <f>1/CAD!B1704</f>
        <v>0.78271759549154662</v>
      </c>
      <c r="E1704" s="3">
        <f>1/CAD!C1704</f>
        <v>0.78277886497064575</v>
      </c>
      <c r="F1704" s="3">
        <f>EUR!B1704/1</f>
        <v>1.1287</v>
      </c>
      <c r="G1704" s="3">
        <f>EUR!C1704/1</f>
        <v>1.1302000000000001</v>
      </c>
      <c r="H1704" s="3">
        <f>GBP!B1704/1</f>
        <v>1.4683999999999999</v>
      </c>
      <c r="I1704" s="3">
        <f>GBP!C1704/1</f>
        <v>1.4688000000000001</v>
      </c>
      <c r="J1704" s="4">
        <f>1/INR!B1704</f>
        <v>1.4818107727643181E-2</v>
      </c>
      <c r="K1704" s="4">
        <f>1/INR!C1704</f>
        <v>1.4737307493920861E-2</v>
      </c>
      <c r="L1704" s="4">
        <f>1/JPY!B1704</f>
        <v>9.5629721717509809E-3</v>
      </c>
      <c r="M1704" s="4">
        <f>1/JPY!C1704</f>
        <v>9.5758749237520955E-3</v>
      </c>
      <c r="N1704" s="5">
        <f>1/KRW!B1704</f>
        <v>8.6613832229006976E-4</v>
      </c>
      <c r="O1704" s="5">
        <f>1/KRW!C1704</f>
        <v>8.6613157058236089E-4</v>
      </c>
      <c r="P1704" s="3">
        <f>1/NOK!B1704</f>
        <v>0.12049499343302286</v>
      </c>
      <c r="Q1704" s="3">
        <f>1/NOK!C1704</f>
        <v>0.12048773434864331</v>
      </c>
      <c r="R1704" s="3">
        <f>NZD!B1704/1</f>
        <v>0.71740000000000004</v>
      </c>
      <c r="S1704" s="3">
        <f>NZD!C1704/1</f>
        <v>0.71619999999999995</v>
      </c>
      <c r="T1704" s="4">
        <f>1/PHP!B1704</f>
        <v>2.151462994836489E-2</v>
      </c>
      <c r="U1704" s="4">
        <f>1/PHP!C1704</f>
        <v>2.1481354184567796E-2</v>
      </c>
      <c r="V1704" s="4">
        <f>1/TWD!B1704</f>
        <v>3.1032770605759687E-2</v>
      </c>
      <c r="W1704" s="4">
        <f>1/TWD!C1704</f>
        <v>3.1032866909343686E-2</v>
      </c>
      <c r="X1704" s="4">
        <f>1/TWD!B1704</f>
        <v>3.1032770605759687E-2</v>
      </c>
      <c r="Y1704" s="4">
        <f>1/TWD!C1704</f>
        <v>3.1032866909343686E-2</v>
      </c>
      <c r="Z1704" s="4">
        <f>1/ZAR!B1704</f>
        <v>6.8020270040472064E-2</v>
      </c>
      <c r="AA1704" s="4">
        <f>1/ZAR!C1704</f>
        <v>6.7595427845260542E-2</v>
      </c>
    </row>
    <row r="1705" spans="1:27" x14ac:dyDescent="0.25">
      <c r="A1705" t="str">
        <f>"23/06/2016"</f>
        <v>23/06/2016</v>
      </c>
      <c r="B1705" s="3">
        <f>AUD!B1705</f>
        <v>0.75570000000000004</v>
      </c>
      <c r="C1705" s="3">
        <f>AUD!C1705</f>
        <v>0.75480000000000003</v>
      </c>
      <c r="D1705" s="3">
        <f>1/CAD!B1705</f>
        <v>0.78462142016477054</v>
      </c>
      <c r="E1705" s="3">
        <f>1/CAD!C1705</f>
        <v>0.78462142016477054</v>
      </c>
      <c r="F1705" s="3">
        <f>EUR!B1705/1</f>
        <v>1.1387</v>
      </c>
      <c r="G1705" s="3">
        <f>EUR!C1705/1</f>
        <v>1.1400999999999999</v>
      </c>
      <c r="H1705" s="3">
        <f>GBP!B1705/1</f>
        <v>1.4857</v>
      </c>
      <c r="I1705" s="3">
        <f>GBP!C1705/1</f>
        <v>1.486</v>
      </c>
      <c r="J1705" s="4">
        <f>1/INR!B1705</f>
        <v>1.486878299011226E-2</v>
      </c>
      <c r="K1705" s="4">
        <f>1/INR!C1705</f>
        <v>1.4790164540580514E-2</v>
      </c>
      <c r="L1705" s="4">
        <f>1/JPY!B1705</f>
        <v>9.4795715233671439E-3</v>
      </c>
      <c r="M1705" s="4">
        <f>1/JPY!C1705</f>
        <v>9.491682438678985E-3</v>
      </c>
      <c r="N1705" s="5">
        <f>1/KRW!B1705</f>
        <v>8.6918730986527601E-4</v>
      </c>
      <c r="O1705" s="5">
        <f>1/KRW!C1705</f>
        <v>8.691808882767925E-4</v>
      </c>
      <c r="P1705" s="3">
        <f>1/NOK!B1705</f>
        <v>0.1222897533415675</v>
      </c>
      <c r="Q1705" s="3">
        <f>1/NOK!C1705</f>
        <v>0.12228078112962987</v>
      </c>
      <c r="R1705" s="3">
        <f>NZD!B1705/1</f>
        <v>0.72209999999999996</v>
      </c>
      <c r="S1705" s="3">
        <f>NZD!C1705/1</f>
        <v>0.72089999999999999</v>
      </c>
      <c r="T1705" s="4">
        <f>1/PHP!B1705</f>
        <v>2.1496130696474634E-2</v>
      </c>
      <c r="U1705" s="4">
        <f>1/PHP!C1705</f>
        <v>2.1464754872499357E-2</v>
      </c>
      <c r="V1705" s="4">
        <f>1/TWD!B1705</f>
        <v>3.1065548306927621E-2</v>
      </c>
      <c r="W1705" s="4">
        <f>1/TWD!C1705</f>
        <v>3.1065644814056582E-2</v>
      </c>
      <c r="X1705" s="4">
        <f>1/TWD!B1705</f>
        <v>3.1065548306927621E-2</v>
      </c>
      <c r="Y1705" s="4">
        <f>1/TWD!C1705</f>
        <v>3.1065644814056582E-2</v>
      </c>
      <c r="Z1705" s="4">
        <f>1/ZAR!B1705</f>
        <v>6.9176385948892485E-2</v>
      </c>
      <c r="AA1705" s="4">
        <f>1/ZAR!C1705</f>
        <v>6.8760185102418298E-2</v>
      </c>
    </row>
    <row r="1706" spans="1:27" x14ac:dyDescent="0.25">
      <c r="A1706" t="str">
        <f>"24/06/2016"</f>
        <v>24/06/2016</v>
      </c>
      <c r="B1706" s="3">
        <f>AUD!B1706</f>
        <v>0.74139999999999995</v>
      </c>
      <c r="C1706" s="3">
        <f>AUD!C1706</f>
        <v>0.74060000000000004</v>
      </c>
      <c r="D1706" s="3">
        <f>1/CAD!B1706</f>
        <v>0.76634224844815702</v>
      </c>
      <c r="E1706" s="3">
        <f>1/CAD!C1706</f>
        <v>0.76640098099325571</v>
      </c>
      <c r="F1706" s="3">
        <f>EUR!B1706/1</f>
        <v>1.1047</v>
      </c>
      <c r="G1706" s="3">
        <f>EUR!C1706/1</f>
        <v>1.1064000000000001</v>
      </c>
      <c r="H1706" s="3">
        <f>GBP!B1706/1</f>
        <v>1.3705000000000001</v>
      </c>
      <c r="I1706" s="3">
        <f>GBP!C1706/1</f>
        <v>1.3713</v>
      </c>
      <c r="J1706" s="4">
        <f>1/INR!B1706</f>
        <v>1.4711831990878665E-2</v>
      </c>
      <c r="K1706" s="4">
        <f>1/INR!C1706</f>
        <v>1.4633254069873787E-2</v>
      </c>
      <c r="L1706" s="4">
        <f>1/JPY!B1706</f>
        <v>9.7494394072340854E-3</v>
      </c>
      <c r="M1706" s="4">
        <f>1/JPY!C1706</f>
        <v>9.7628791902277488E-3</v>
      </c>
      <c r="N1706" s="5">
        <f>1/KRW!B1706</f>
        <v>8.4788875699508216E-4</v>
      </c>
      <c r="O1706" s="5">
        <f>1/KRW!C1706</f>
        <v>8.4788300571133994E-4</v>
      </c>
      <c r="P1706" s="3">
        <f>1/NOK!B1706</f>
        <v>0.11678559332920692</v>
      </c>
      <c r="Q1706" s="3">
        <f>1/NOK!C1706</f>
        <v>0.11677604689726044</v>
      </c>
      <c r="R1706" s="3">
        <f>NZD!B1706/1</f>
        <v>0.7087</v>
      </c>
      <c r="S1706" s="3">
        <f>NZD!C1706/1</f>
        <v>0.70750000000000002</v>
      </c>
      <c r="T1706" s="4">
        <f>1/PHP!B1706</f>
        <v>2.1299254526091587E-2</v>
      </c>
      <c r="U1706" s="4">
        <f>1/PHP!C1706</f>
        <v>2.126845038070526E-2</v>
      </c>
      <c r="V1706" s="4">
        <f>1/TWD!B1706</f>
        <v>3.0767337394621869E-2</v>
      </c>
      <c r="W1706" s="4">
        <f>1/TWD!C1706</f>
        <v>3.0767526721596956E-2</v>
      </c>
      <c r="X1706" s="4">
        <f>1/TWD!B1706</f>
        <v>3.0767337394621869E-2</v>
      </c>
      <c r="Y1706" s="4">
        <f>1/TWD!C1706</f>
        <v>3.0767526721596956E-2</v>
      </c>
      <c r="Z1706" s="4">
        <f>1/ZAR!B1706</f>
        <v>6.625675818933531E-2</v>
      </c>
      <c r="AA1706" s="4">
        <f>1/ZAR!C1706</f>
        <v>6.5849691494195353E-2</v>
      </c>
    </row>
    <row r="1707" spans="1:27" x14ac:dyDescent="0.25">
      <c r="A1707" t="str">
        <f>"27/06/2016"</f>
        <v>27/06/2016</v>
      </c>
      <c r="B1707" s="3">
        <f>AUD!B1707</f>
        <v>0.74</v>
      </c>
      <c r="C1707" s="3">
        <f>AUD!C1707</f>
        <v>0.73919999999999997</v>
      </c>
      <c r="D1707" s="3">
        <f>1/CAD!B1707</f>
        <v>0.76663600122661757</v>
      </c>
      <c r="E1707" s="3">
        <f>1/CAD!C1707</f>
        <v>0.7666947788085563</v>
      </c>
      <c r="F1707" s="3">
        <f>EUR!B1707/1</f>
        <v>1.099</v>
      </c>
      <c r="G1707" s="3">
        <f>EUR!C1707/1</f>
        <v>1.1003000000000001</v>
      </c>
      <c r="H1707" s="3">
        <f>GBP!B1707/1</f>
        <v>1.3164</v>
      </c>
      <c r="I1707" s="3">
        <f>GBP!C1707/1</f>
        <v>1.3169999999999999</v>
      </c>
      <c r="J1707" s="4">
        <f>1/INR!B1707</f>
        <v>1.4716703458425313E-2</v>
      </c>
      <c r="K1707" s="4">
        <f>1/INR!C1707</f>
        <v>1.4639145073927683E-2</v>
      </c>
      <c r="L1707" s="4">
        <f>1/JPY!B1707</f>
        <v>9.8483356312783141E-3</v>
      </c>
      <c r="M1707" s="4">
        <f>1/JPY!C1707</f>
        <v>9.8606201344002518E-3</v>
      </c>
      <c r="N1707" s="5">
        <f>1/KRW!B1707</f>
        <v>8.4573748308525024E-4</v>
      </c>
      <c r="O1707" s="5">
        <f>1/KRW!C1707</f>
        <v>8.457317609488435E-4</v>
      </c>
      <c r="P1707" s="3">
        <f>1/NOK!B1707</f>
        <v>0.11697137710402265</v>
      </c>
      <c r="Q1707" s="3">
        <f>1/NOK!C1707</f>
        <v>0.11695906432748537</v>
      </c>
      <c r="R1707" s="3">
        <f>NZD!B1707/1</f>
        <v>0.70569999999999999</v>
      </c>
      <c r="S1707" s="3">
        <f>NZD!C1707/1</f>
        <v>0.70450000000000002</v>
      </c>
      <c r="T1707" s="4">
        <f>1/PHP!B1707</f>
        <v>2.1249468763280918E-2</v>
      </c>
      <c r="U1707" s="4">
        <f>1/PHP!C1707</f>
        <v>2.1225564069365144E-2</v>
      </c>
      <c r="V1707" s="4">
        <f>1/TWD!B1707</f>
        <v>3.0740854595757761E-2</v>
      </c>
      <c r="W1707" s="4">
        <f>1/TWD!C1707</f>
        <v>3.0741043596948028E-2</v>
      </c>
      <c r="X1707" s="4">
        <f>1/TWD!B1707</f>
        <v>3.0740854595757761E-2</v>
      </c>
      <c r="Y1707" s="4">
        <f>1/TWD!C1707</f>
        <v>3.0741043596948028E-2</v>
      </c>
      <c r="Z1707" s="4">
        <f>1/ZAR!B1707</f>
        <v>6.520392527630163E-2</v>
      </c>
      <c r="AA1707" s="4">
        <f>1/ZAR!C1707</f>
        <v>6.4802094403691127E-2</v>
      </c>
    </row>
    <row r="1708" spans="1:27" x14ac:dyDescent="0.25">
      <c r="A1708" t="str">
        <f>"28/06/2016"</f>
        <v>28/06/2016</v>
      </c>
      <c r="B1708" s="3">
        <f>AUD!B1708</f>
        <v>0.73909999999999998</v>
      </c>
      <c r="C1708" s="3">
        <f>AUD!C1708</f>
        <v>0.73829999999999996</v>
      </c>
      <c r="D1708" s="3">
        <f>1/CAD!B1708</f>
        <v>0.7666947788085563</v>
      </c>
      <c r="E1708" s="3">
        <f>1/CAD!C1708</f>
        <v>0.7666947788085563</v>
      </c>
      <c r="F1708" s="3">
        <f>EUR!B1708/1</f>
        <v>1.1073</v>
      </c>
      <c r="G1708" s="3">
        <f>EUR!C1708/1</f>
        <v>1.1085</v>
      </c>
      <c r="H1708" s="3">
        <f>GBP!B1708/1</f>
        <v>1.3331</v>
      </c>
      <c r="I1708" s="3">
        <f>GBP!C1708/1</f>
        <v>1.3334999999999999</v>
      </c>
      <c r="J1708" s="4">
        <f>1/INR!B1708</f>
        <v>1.4714537963507947E-2</v>
      </c>
      <c r="K1708" s="4">
        <f>1/INR!C1708</f>
        <v>1.4640216675206791E-2</v>
      </c>
      <c r="L1708" s="4">
        <f>1/JPY!B1708</f>
        <v>9.771350400625366E-3</v>
      </c>
      <c r="M1708" s="4">
        <f>1/JPY!C1708</f>
        <v>9.7831563397298878E-3</v>
      </c>
      <c r="N1708" s="5">
        <f>1/KRW!B1708</f>
        <v>8.5371579801084231E-4</v>
      </c>
      <c r="O1708" s="5">
        <f>1/KRW!C1708</f>
        <v>8.5370996740535344E-4</v>
      </c>
      <c r="P1708" s="3">
        <f>1/NOK!B1708</f>
        <v>0.11791618517557718</v>
      </c>
      <c r="Q1708" s="3">
        <f>1/NOK!C1708</f>
        <v>0.1179064530201738</v>
      </c>
      <c r="R1708" s="3">
        <f>NZD!B1708/1</f>
        <v>0.70599999999999996</v>
      </c>
      <c r="S1708" s="3">
        <f>NZD!C1708/1</f>
        <v>0.70489999999999997</v>
      </c>
      <c r="T1708" s="4">
        <f>1/PHP!B1708</f>
        <v>2.1301523058898712E-2</v>
      </c>
      <c r="U1708" s="4">
        <f>1/PHP!C1708</f>
        <v>2.1272522282967093E-2</v>
      </c>
      <c r="V1708" s="4">
        <f>1/TWD!B1708</f>
        <v>3.0833744449925996E-2</v>
      </c>
      <c r="W1708" s="4">
        <f>1/TWD!C1708</f>
        <v>3.0833934595057934E-2</v>
      </c>
      <c r="X1708" s="4">
        <f>1/TWD!B1708</f>
        <v>3.0833744449925996E-2</v>
      </c>
      <c r="Y1708" s="4">
        <f>1/TWD!C1708</f>
        <v>3.0833934595057934E-2</v>
      </c>
      <c r="Z1708" s="4">
        <f>1/ZAR!B1708</f>
        <v>6.5542825682300812E-2</v>
      </c>
      <c r="AA1708" s="4">
        <f>1/ZAR!C1708</f>
        <v>6.5154220038831909E-2</v>
      </c>
    </row>
    <row r="1709" spans="1:27" x14ac:dyDescent="0.25">
      <c r="A1709" t="str">
        <f>"29/06/2016"</f>
        <v>29/06/2016</v>
      </c>
      <c r="B1709" s="3">
        <f>AUD!B1709</f>
        <v>0.74329999999999996</v>
      </c>
      <c r="C1709" s="3">
        <f>AUD!C1709</f>
        <v>0.74239999999999995</v>
      </c>
      <c r="D1709" s="3">
        <f>1/CAD!B1709</f>
        <v>0.76928994538041384</v>
      </c>
      <c r="E1709" s="3">
        <f>1/CAD!C1709</f>
        <v>0.76934913063548238</v>
      </c>
      <c r="F1709" s="3">
        <f>EUR!B1709/1</f>
        <v>1.1076999999999999</v>
      </c>
      <c r="G1709" s="3">
        <f>EUR!C1709/1</f>
        <v>1.109</v>
      </c>
      <c r="H1709" s="3">
        <f>GBP!B1709/1</f>
        <v>1.3439000000000001</v>
      </c>
      <c r="I1709" s="3">
        <f>GBP!C1709/1</f>
        <v>1.3442000000000001</v>
      </c>
      <c r="J1709" s="4">
        <f>1/INR!B1709</f>
        <v>1.4773230905599056E-2</v>
      </c>
      <c r="K1709" s="4">
        <f>1/INR!C1709</f>
        <v>1.4692378328741965E-2</v>
      </c>
      <c r="L1709" s="4">
        <f>1/JPY!B1709</f>
        <v>9.7446891444162922E-3</v>
      </c>
      <c r="M1709" s="4">
        <f>1/JPY!C1709</f>
        <v>9.7547842339275291E-3</v>
      </c>
      <c r="N1709" s="5">
        <f>1/KRW!B1709</f>
        <v>8.6188321482439127E-4</v>
      </c>
      <c r="O1709" s="5">
        <f>1/KRW!C1709</f>
        <v>8.6187764354033489E-4</v>
      </c>
      <c r="P1709" s="3">
        <f>1/NOK!B1709</f>
        <v>0.11858457451854662</v>
      </c>
      <c r="Q1709" s="3">
        <f>1/NOK!C1709</f>
        <v>0.11857473172466947</v>
      </c>
      <c r="R1709" s="3">
        <f>NZD!B1709/1</f>
        <v>0.71199999999999997</v>
      </c>
      <c r="S1709" s="3">
        <f>NZD!C1709/1</f>
        <v>0.71089999999999998</v>
      </c>
      <c r="T1709" s="4">
        <f>1/PHP!B1709</f>
        <v>2.1290185224611454E-2</v>
      </c>
      <c r="U1709" s="4">
        <f>1/PHP!C1709</f>
        <v>2.1260763261401087E-2</v>
      </c>
      <c r="V1709" s="4">
        <f>1/TWD!B1709</f>
        <v>3.0919547337826977E-2</v>
      </c>
      <c r="W1709" s="4">
        <f>1/TWD!C1709</f>
        <v>3.0919738542690884E-2</v>
      </c>
      <c r="X1709" s="4">
        <f>1/TWD!B1709</f>
        <v>3.0919547337826977E-2</v>
      </c>
      <c r="Y1709" s="4">
        <f>1/TWD!C1709</f>
        <v>3.0919738542690884E-2</v>
      </c>
      <c r="Z1709" s="4">
        <f>1/ZAR!B1709</f>
        <v>6.6624915053233313E-2</v>
      </c>
      <c r="AA1709" s="4">
        <f>1/ZAR!C1709</f>
        <v>6.6204997153185119E-2</v>
      </c>
    </row>
    <row r="1710" spans="1:27" x14ac:dyDescent="0.25">
      <c r="A1710" t="str">
        <f>"30/06/2016"</f>
        <v>30/06/2016</v>
      </c>
      <c r="B1710" s="3">
        <f>AUD!B1710</f>
        <v>0.74490000000000001</v>
      </c>
      <c r="C1710" s="3">
        <f>AUD!C1710</f>
        <v>0.74399999999999999</v>
      </c>
      <c r="D1710" s="3">
        <f>1/CAD!B1710</f>
        <v>0.77321580453104466</v>
      </c>
      <c r="E1710" s="3">
        <f>1/CAD!C1710</f>
        <v>0.77327559542220858</v>
      </c>
      <c r="F1710" s="3">
        <f>EUR!B1710/1</f>
        <v>1.1122000000000001</v>
      </c>
      <c r="G1710" s="3">
        <f>EUR!C1710/1</f>
        <v>1.1133999999999999</v>
      </c>
      <c r="H1710" s="3">
        <f>GBP!B1710/1</f>
        <v>1.3451</v>
      </c>
      <c r="I1710" s="3">
        <f>GBP!C1710/1</f>
        <v>1.3453999999999999</v>
      </c>
      <c r="J1710" s="4">
        <f>1/INR!B1710</f>
        <v>1.4808233377758034E-2</v>
      </c>
      <c r="K1710" s="4">
        <f>1/INR!C1710</f>
        <v>1.4726456078344746E-2</v>
      </c>
      <c r="L1710" s="4">
        <f>1/JPY!B1710</f>
        <v>9.7323600973236012E-3</v>
      </c>
      <c r="M1710" s="4">
        <f>1/JPY!C1710</f>
        <v>9.7416608947325876E-3</v>
      </c>
      <c r="N1710" s="5">
        <f>1/KRW!B1710</f>
        <v>8.6813091414185254E-4</v>
      </c>
      <c r="O1710" s="5">
        <f>1/KRW!C1710</f>
        <v>8.6812601543614866E-4</v>
      </c>
      <c r="P1710" s="3">
        <f>1/NOK!B1710</f>
        <v>0.11945861356333098</v>
      </c>
      <c r="Q1710" s="3">
        <f>1/NOK!C1710</f>
        <v>0.11945147880930765</v>
      </c>
      <c r="R1710" s="3">
        <f>NZD!B1710/1</f>
        <v>0.7117</v>
      </c>
      <c r="S1710" s="3">
        <f>NZD!C1710/1</f>
        <v>0.71060000000000001</v>
      </c>
      <c r="T1710" s="4">
        <f>1/PHP!B1710</f>
        <v>2.1222410865874366E-2</v>
      </c>
      <c r="U1710" s="4">
        <f>1/PHP!C1710</f>
        <v>2.1190481235828864E-2</v>
      </c>
      <c r="V1710" s="4">
        <f>1/TWD!B1710</f>
        <v>3.0972217920525291E-2</v>
      </c>
      <c r="W1710" s="4">
        <f>1/TWD!C1710</f>
        <v>3.097240977737032E-2</v>
      </c>
      <c r="X1710" s="4">
        <f>1/TWD!B1710</f>
        <v>3.0972217920525291E-2</v>
      </c>
      <c r="Y1710" s="4">
        <f>1/TWD!C1710</f>
        <v>3.097240977737032E-2</v>
      </c>
      <c r="Z1710" s="4">
        <f>1/ZAR!B1710</f>
        <v>6.7337800074071585E-2</v>
      </c>
      <c r="AA1710" s="4">
        <f>1/ZAR!C1710</f>
        <v>6.6912458430635202E-2</v>
      </c>
    </row>
    <row r="1711" spans="1:27" x14ac:dyDescent="0.25">
      <c r="A1711" t="str">
        <f>"01/07/2016"</f>
        <v>01/07/2016</v>
      </c>
      <c r="B1711" s="3">
        <f>AUD!B1711</f>
        <v>0.74870000000000003</v>
      </c>
      <c r="C1711" s="3">
        <f>AUD!C1711</f>
        <v>0.74780000000000002</v>
      </c>
      <c r="D1711" s="3">
        <f>1/CAD!B1711</f>
        <v>0.77321580453104466</v>
      </c>
      <c r="E1711" s="3">
        <f>1/CAD!C1711</f>
        <v>0.77327559542220858</v>
      </c>
      <c r="F1711" s="3">
        <f>EUR!B1711/1</f>
        <v>1.1124000000000001</v>
      </c>
      <c r="G1711" s="3">
        <f>EUR!C1711/1</f>
        <v>1.1135999999999999</v>
      </c>
      <c r="H1711" s="3">
        <f>GBP!B1711/1</f>
        <v>1.3299000000000001</v>
      </c>
      <c r="I1711" s="3">
        <f>GBP!C1711/1</f>
        <v>1.3302</v>
      </c>
      <c r="J1711" s="4">
        <f>1/INR!B1711</f>
        <v>1.4852771898555567E-2</v>
      </c>
      <c r="K1711" s="4">
        <f>1/INR!C1711</f>
        <v>1.4763416254521296E-2</v>
      </c>
      <c r="L1711" s="4">
        <f>1/JPY!B1711</f>
        <v>9.7503900156006244E-3</v>
      </c>
      <c r="M1711" s="4">
        <f>1/JPY!C1711</f>
        <v>9.7592109873100991E-3</v>
      </c>
      <c r="N1711" s="5">
        <f>1/KRW!B1711</f>
        <v>8.7324804610749681E-4</v>
      </c>
      <c r="O1711" s="5">
        <f>1/KRW!C1711</f>
        <v>8.732423269288285E-4</v>
      </c>
      <c r="P1711" s="3">
        <f>1/NOK!B1711</f>
        <v>0.11957002618583573</v>
      </c>
      <c r="Q1711" s="3">
        <f>1/NOK!C1711</f>
        <v>0.11956287811760205</v>
      </c>
      <c r="R1711" s="3">
        <f>NZD!B1711/1</f>
        <v>0.7177</v>
      </c>
      <c r="S1711" s="3">
        <f>NZD!C1711/1</f>
        <v>0.71650000000000003</v>
      </c>
      <c r="T1711" s="4">
        <f>1/PHP!B1711</f>
        <v>2.1292451825827743E-2</v>
      </c>
      <c r="U1711" s="4">
        <f>1/PHP!C1711</f>
        <v>2.1262119408062597E-2</v>
      </c>
      <c r="V1711" s="4">
        <f>1/TWD!B1711</f>
        <v>3.1038549878949651E-2</v>
      </c>
      <c r="W1711" s="4">
        <f>1/TWD!C1711</f>
        <v>3.1038742558461476E-2</v>
      </c>
      <c r="X1711" s="4">
        <f>1/TWD!B1711</f>
        <v>3.1038549878949651E-2</v>
      </c>
      <c r="Y1711" s="4">
        <f>1/TWD!C1711</f>
        <v>3.1038742558461476E-2</v>
      </c>
      <c r="Z1711" s="4">
        <f>1/ZAR!B1711</f>
        <v>6.8161214905494483E-2</v>
      </c>
      <c r="AA1711" s="4">
        <f>1/ZAR!C1711</f>
        <v>6.7735992196813699E-2</v>
      </c>
    </row>
    <row r="1712" spans="1:27" x14ac:dyDescent="0.25">
      <c r="A1712" t="str">
        <f>"04/07/2016"</f>
        <v>04/07/2016</v>
      </c>
      <c r="B1712" s="3">
        <f>AUD!B1712</f>
        <v>0.74880000000000002</v>
      </c>
      <c r="C1712" s="3">
        <f>AUD!C1712</f>
        <v>0.74790000000000001</v>
      </c>
      <c r="D1712" s="3">
        <f>1/CAD!B1712</f>
        <v>0.77555452148286019</v>
      </c>
      <c r="E1712" s="3">
        <f>1/CAD!C1712</f>
        <v>0.77555452148286019</v>
      </c>
      <c r="F1712" s="3">
        <f>EUR!B1712/1</f>
        <v>1.1134999999999999</v>
      </c>
      <c r="G1712" s="3">
        <f>EUR!C1712/1</f>
        <v>1.1147</v>
      </c>
      <c r="H1712" s="3">
        <f>GBP!B1712/1</f>
        <v>1.3280000000000001</v>
      </c>
      <c r="I1712" s="3">
        <f>GBP!C1712/1</f>
        <v>1.3283</v>
      </c>
      <c r="J1712" s="4">
        <f>1/INR!B1712</f>
        <v>1.4877078141852939E-2</v>
      </c>
      <c r="K1712" s="4">
        <f>1/INR!C1712</f>
        <v>1.4793446503199083E-2</v>
      </c>
      <c r="L1712" s="4">
        <f>1/JPY!B1712</f>
        <v>9.7333073778469933E-3</v>
      </c>
      <c r="M1712" s="4">
        <f>1/JPY!C1712</f>
        <v>9.7424106620942284E-3</v>
      </c>
      <c r="N1712" s="5">
        <f>1/KRW!B1712</f>
        <v>8.7248614928238009E-4</v>
      </c>
      <c r="O1712" s="5">
        <f>1/KRW!C1712</f>
        <v>8.724800594682409E-4</v>
      </c>
      <c r="P1712" s="3">
        <f>1/NOK!B1712</f>
        <v>0.11977195419920472</v>
      </c>
      <c r="Q1712" s="3">
        <f>1/NOK!C1712</f>
        <v>0.11976047904191617</v>
      </c>
      <c r="R1712" s="3">
        <f>NZD!B1712/1</f>
        <v>0.71779999999999999</v>
      </c>
      <c r="S1712" s="3">
        <f>NZD!C1712/1</f>
        <v>0.71660000000000001</v>
      </c>
      <c r="T1712" s="4">
        <f>1/PHP!B1712</f>
        <v>2.135383301302584E-2</v>
      </c>
      <c r="U1712" s="4">
        <f>1/PHP!C1712</f>
        <v>2.1321961620469083E-2</v>
      </c>
      <c r="V1712" s="4">
        <f>1/TWD!B1712</f>
        <v>3.1065548306927621E-2</v>
      </c>
      <c r="W1712" s="4">
        <f>1/TWD!C1712</f>
        <v>3.1065741321785162E-2</v>
      </c>
      <c r="X1712" s="4">
        <f>1/TWD!B1712</f>
        <v>3.1065548306927621E-2</v>
      </c>
      <c r="Y1712" s="4">
        <f>1/TWD!C1712</f>
        <v>3.1065741321785162E-2</v>
      </c>
      <c r="Z1712" s="4">
        <f>1/ZAR!B1712</f>
        <v>6.8521310127449636E-2</v>
      </c>
      <c r="AA1712" s="4">
        <f>1/ZAR!C1712</f>
        <v>6.8092060465749699E-2</v>
      </c>
    </row>
    <row r="1713" spans="1:27" x14ac:dyDescent="0.25">
      <c r="A1713" t="str">
        <f>"05/07/2016"</f>
        <v>05/07/2016</v>
      </c>
      <c r="B1713" s="3">
        <f>AUD!B1713</f>
        <v>0.74890000000000001</v>
      </c>
      <c r="C1713" s="3">
        <f>AUD!C1713</f>
        <v>0.748</v>
      </c>
      <c r="D1713" s="3">
        <f>1/CAD!B1713</f>
        <v>0.77369439071566737</v>
      </c>
      <c r="E1713" s="3">
        <f>1/CAD!C1713</f>
        <v>0.77375425564840605</v>
      </c>
      <c r="F1713" s="3">
        <f>EUR!B1713/1</f>
        <v>1.1157999999999999</v>
      </c>
      <c r="G1713" s="3">
        <f>EUR!C1713/1</f>
        <v>1.117</v>
      </c>
      <c r="H1713" s="3">
        <f>GBP!B1713/1</f>
        <v>0</v>
      </c>
      <c r="I1713" s="3">
        <f>GBP!C1713/1</f>
        <v>0</v>
      </c>
      <c r="J1713" s="4">
        <f>1/INR!B1713</f>
        <v>1.4823599169878448E-2</v>
      </c>
      <c r="K1713" s="4">
        <f>1/INR!C1713</f>
        <v>1.474328259186908E-2</v>
      </c>
      <c r="L1713" s="4">
        <f>1/JPY!B1713</f>
        <v>9.8251129887993709E-3</v>
      </c>
      <c r="M1713" s="4">
        <f>1/JPY!C1713</f>
        <v>9.834069741255792E-3</v>
      </c>
      <c r="N1713" s="5">
        <f>1/KRW!B1713</f>
        <v>8.6546367216236094E-4</v>
      </c>
      <c r="O1713" s="5">
        <f>1/KRW!C1713</f>
        <v>8.654576799849063E-4</v>
      </c>
      <c r="P1713" s="3">
        <f>1/NOK!B1713</f>
        <v>0.11993283761093788</v>
      </c>
      <c r="Q1713" s="3">
        <f>1/NOK!C1713</f>
        <v>0.11993139923963492</v>
      </c>
      <c r="R1713" s="3">
        <f>NZD!B1713/1</f>
        <v>0.71889999999999998</v>
      </c>
      <c r="S1713" s="3">
        <f>NZD!C1713/1</f>
        <v>0.7177</v>
      </c>
      <c r="T1713" s="4">
        <f>1/PHP!B1713</f>
        <v>2.1258503401360544E-2</v>
      </c>
      <c r="U1713" s="4">
        <f>1/PHP!C1713</f>
        <v>2.1225564069365144E-2</v>
      </c>
      <c r="V1713" s="4">
        <f>1/TWD!B1713</f>
        <v>3.0980853832331619E-2</v>
      </c>
      <c r="W1713" s="4">
        <f>1/TWD!C1713</f>
        <v>3.0981045796181897E-2</v>
      </c>
      <c r="X1713" s="4">
        <f>1/TWD!B1713</f>
        <v>3.0980853832331619E-2</v>
      </c>
      <c r="Y1713" s="4">
        <f>1/TWD!C1713</f>
        <v>3.0981045796181897E-2</v>
      </c>
      <c r="Z1713" s="4">
        <f>1/ZAR!B1713</f>
        <v>6.7730028107961665E-2</v>
      </c>
      <c r="AA1713" s="4">
        <f>1/ZAR!C1713</f>
        <v>6.7295656738314114E-2</v>
      </c>
    </row>
    <row r="1714" spans="1:27" x14ac:dyDescent="0.25">
      <c r="A1714" t="str">
        <f>"07/07/2016"</f>
        <v>07/07/2016</v>
      </c>
      <c r="B1714" s="3">
        <f>AUD!B1714</f>
        <v>0.75129999999999997</v>
      </c>
      <c r="C1714" s="3">
        <f>AUD!C1714</f>
        <v>0.75039999999999996</v>
      </c>
      <c r="D1714" s="3">
        <f>1/CAD!B1714</f>
        <v>0.77297673340032458</v>
      </c>
      <c r="E1714" s="3">
        <f>1/CAD!C1714</f>
        <v>0.77297673340032458</v>
      </c>
      <c r="F1714" s="3">
        <f>EUR!B1714/1</f>
        <v>1.1073999999999999</v>
      </c>
      <c r="G1714" s="3">
        <f>EUR!C1714/1</f>
        <v>1.1087</v>
      </c>
      <c r="H1714" s="3">
        <f>GBP!B1714/1</f>
        <v>1.3016000000000001</v>
      </c>
      <c r="I1714" s="3">
        <f>GBP!C1714/1</f>
        <v>1.302</v>
      </c>
      <c r="J1714" s="4">
        <f>1/INR!B1714</f>
        <v>1.4836795252225518E-2</v>
      </c>
      <c r="K1714" s="4">
        <f>1/INR!C1714</f>
        <v>1.4757424829367274E-2</v>
      </c>
      <c r="L1714" s="4">
        <f>1/JPY!B1714</f>
        <v>9.9049128367670377E-3</v>
      </c>
      <c r="M1714" s="4">
        <f>1/JPY!C1714</f>
        <v>9.9153821289118659E-3</v>
      </c>
      <c r="N1714" s="5">
        <f>1/KRW!B1714</f>
        <v>8.6595081399376517E-4</v>
      </c>
      <c r="O1714" s="5">
        <f>1/KRW!C1714</f>
        <v>8.6594444013877623E-4</v>
      </c>
      <c r="P1714" s="3">
        <f>1/NOK!B1714</f>
        <v>0.11808606112134523</v>
      </c>
      <c r="Q1714" s="3">
        <f>1/NOK!C1714</f>
        <v>0.11808327232364263</v>
      </c>
      <c r="R1714" s="3">
        <f>NZD!B1714/1</f>
        <v>0.72160000000000002</v>
      </c>
      <c r="S1714" s="3">
        <f>NZD!C1714/1</f>
        <v>0.72050000000000003</v>
      </c>
      <c r="T1714" s="4">
        <f>1/PHP!B1714</f>
        <v>2.1244954323348206E-2</v>
      </c>
      <c r="U1714" s="4">
        <f>1/PHP!C1714</f>
        <v>2.1211157068618092E-2</v>
      </c>
      <c r="V1714" s="4">
        <f>1/TWD!B1714</f>
        <v>3.0967422271770097E-2</v>
      </c>
      <c r="W1714" s="4">
        <f>1/TWD!C1714</f>
        <v>3.0967614069206423E-2</v>
      </c>
      <c r="X1714" s="4">
        <f>1/TWD!B1714</f>
        <v>3.0967422271770097E-2</v>
      </c>
      <c r="Y1714" s="4">
        <f>1/TWD!C1714</f>
        <v>3.0967614069206423E-2</v>
      </c>
      <c r="Z1714" s="4">
        <f>1/ZAR!B1714</f>
        <v>6.8027673657643936E-2</v>
      </c>
      <c r="AA1714" s="4">
        <f>1/ZAR!C1714</f>
        <v>6.760273926299494E-2</v>
      </c>
    </row>
    <row r="1715" spans="1:27" x14ac:dyDescent="0.25">
      <c r="A1715" t="str">
        <f>"08/07/2016"</f>
        <v>08/07/2016</v>
      </c>
      <c r="B1715" s="3">
        <f>AUD!B1715</f>
        <v>0.75149999999999995</v>
      </c>
      <c r="C1715" s="3">
        <f>AUD!C1715</f>
        <v>0.75060000000000004</v>
      </c>
      <c r="D1715" s="3">
        <f>1/CAD!B1715</f>
        <v>0.76917160218444736</v>
      </c>
      <c r="E1715" s="3">
        <f>1/CAD!C1715</f>
        <v>0.76911244423934777</v>
      </c>
      <c r="F1715" s="3">
        <f>EUR!B1715/1</f>
        <v>1.1065</v>
      </c>
      <c r="G1715" s="3">
        <f>EUR!C1715/1</f>
        <v>1.1077999999999999</v>
      </c>
      <c r="H1715" s="3">
        <f>GBP!B1715/1</f>
        <v>1.2968999999999999</v>
      </c>
      <c r="I1715" s="3">
        <f>GBP!C1715/1</f>
        <v>1.2972999999999999</v>
      </c>
      <c r="J1715" s="4">
        <f>1/INR!B1715</f>
        <v>1.4842300556586271E-2</v>
      </c>
      <c r="K1715" s="4">
        <f>1/INR!C1715</f>
        <v>1.4761781747056868E-2</v>
      </c>
      <c r="L1715" s="4">
        <f>1/JPY!B1715</f>
        <v>9.9581756622186806E-3</v>
      </c>
      <c r="M1715" s="4">
        <f>1/JPY!C1715</f>
        <v>9.9695032894376104E-3</v>
      </c>
      <c r="N1715" s="5">
        <f>1/KRW!B1715</f>
        <v>8.6065926499698762E-4</v>
      </c>
      <c r="O1715" s="5">
        <f>1/KRW!C1715</f>
        <v>8.6065333916282539E-4</v>
      </c>
      <c r="P1715" s="3">
        <f>1/NOK!B1715</f>
        <v>0.11770799001836245</v>
      </c>
      <c r="Q1715" s="3">
        <f>1/NOK!C1715</f>
        <v>0.11770521904941267</v>
      </c>
      <c r="R1715" s="3">
        <f>NZD!B1715/1</f>
        <v>0.72760000000000002</v>
      </c>
      <c r="S1715" s="3">
        <f>NZD!C1715/1</f>
        <v>0.72640000000000005</v>
      </c>
      <c r="T1715" s="4">
        <f>1/PHP!B1715</f>
        <v>2.1220159151193633E-2</v>
      </c>
      <c r="U1715" s="4">
        <f>1/PHP!C1715</f>
        <v>2.1185542985466717E-2</v>
      </c>
      <c r="V1715" s="4">
        <f>1/TWD!B1715</f>
        <v>3.0954960532425323E-2</v>
      </c>
      <c r="W1715" s="4">
        <f>1/TWD!C1715</f>
        <v>3.0955152175528095E-2</v>
      </c>
      <c r="X1715" s="4">
        <f>1/TWD!B1715</f>
        <v>3.0954960532425323E-2</v>
      </c>
      <c r="Y1715" s="4">
        <f>1/TWD!C1715</f>
        <v>3.0955152175528095E-2</v>
      </c>
      <c r="Z1715" s="4">
        <f>1/ZAR!B1715</f>
        <v>6.799991840009792E-2</v>
      </c>
      <c r="AA1715" s="4">
        <f>1/ZAR!C1715</f>
        <v>6.7571220065949511E-2</v>
      </c>
    </row>
    <row r="1716" spans="1:27" x14ac:dyDescent="0.25">
      <c r="A1716" t="str">
        <f>"11/07/2016"</f>
        <v>11/07/2016</v>
      </c>
      <c r="B1716" s="3">
        <f>AUD!B1716</f>
        <v>0.75439999999999996</v>
      </c>
      <c r="C1716" s="3">
        <f>AUD!C1716</f>
        <v>0.75349999999999995</v>
      </c>
      <c r="D1716" s="3">
        <f>1/CAD!B1716</f>
        <v>0.76581406034614796</v>
      </c>
      <c r="E1716" s="3">
        <f>1/CAD!C1716</f>
        <v>0.76575541771958033</v>
      </c>
      <c r="F1716" s="3">
        <f>EUR!B1716/1</f>
        <v>1.1025</v>
      </c>
      <c r="G1716" s="3">
        <f>EUR!C1716/1</f>
        <v>1.1037999999999999</v>
      </c>
      <c r="H1716" s="3">
        <f>GBP!B1716/1</f>
        <v>1.2928999999999999</v>
      </c>
      <c r="I1716" s="3">
        <f>GBP!C1716/1</f>
        <v>1.2934000000000001</v>
      </c>
      <c r="J1716" s="4">
        <f>1/INR!B1716</f>
        <v>1.4892032762472076E-2</v>
      </c>
      <c r="K1716" s="4">
        <f>1/INR!C1716</f>
        <v>1.4804396905881046E-2</v>
      </c>
      <c r="L1716" s="4">
        <f>1/JPY!B1716</f>
        <v>9.8087297694948502E-3</v>
      </c>
      <c r="M1716" s="4">
        <f>1/JPY!C1716</f>
        <v>9.8200765573168407E-3</v>
      </c>
      <c r="N1716" s="5">
        <f>1/KRW!B1716</f>
        <v>8.7153564580791344E-4</v>
      </c>
      <c r="O1716" s="5">
        <f>1/KRW!C1716</f>
        <v>8.7152956925522576E-4</v>
      </c>
      <c r="P1716" s="3">
        <f>1/NOK!B1716</f>
        <v>0.1171042461999672</v>
      </c>
      <c r="Q1716" s="3">
        <f>1/NOK!C1716</f>
        <v>0.11710150358330601</v>
      </c>
      <c r="R1716" s="3">
        <f>NZD!B1716/1</f>
        <v>0.72499999999999998</v>
      </c>
      <c r="S1716" s="3">
        <f>NZD!C1716/1</f>
        <v>0.7238</v>
      </c>
      <c r="T1716" s="4">
        <f>1/PHP!B1716</f>
        <v>2.1190930281839375E-2</v>
      </c>
      <c r="U1716" s="4">
        <f>1/PHP!C1716</f>
        <v>2.115685693733339E-2</v>
      </c>
      <c r="V1716" s="4">
        <f>1/TWD!B1716</f>
        <v>3.1054936182106144E-2</v>
      </c>
      <c r="W1716" s="4">
        <f>1/TWD!C1716</f>
        <v>3.1055129065116392E-2</v>
      </c>
      <c r="X1716" s="4">
        <f>1/TWD!B1716</f>
        <v>3.1054936182106144E-2</v>
      </c>
      <c r="Y1716" s="4">
        <f>1/TWD!C1716</f>
        <v>3.1055129065116392E-2</v>
      </c>
      <c r="Z1716" s="4">
        <f>1/ZAR!B1716</f>
        <v>6.8399920656092045E-2</v>
      </c>
      <c r="AA1716" s="4">
        <f>1/ZAR!C1716</f>
        <v>6.7941706016238071E-2</v>
      </c>
    </row>
    <row r="1717" spans="1:27" x14ac:dyDescent="0.25">
      <c r="A1717" t="str">
        <f>"12/07/2016"</f>
        <v>12/07/2016</v>
      </c>
      <c r="B1717" s="3">
        <f>AUD!B1717</f>
        <v>0.76329999999999998</v>
      </c>
      <c r="C1717" s="3">
        <f>AUD!C1717</f>
        <v>0.76239999999999997</v>
      </c>
      <c r="D1717" s="3">
        <f>1/CAD!B1717</f>
        <v>0.76769537847382163</v>
      </c>
      <c r="E1717" s="3">
        <f>1/CAD!C1717</f>
        <v>0.76763644737852155</v>
      </c>
      <c r="F1717" s="3">
        <f>EUR!B1717/1</f>
        <v>1.1099000000000001</v>
      </c>
      <c r="G1717" s="3">
        <f>EUR!C1717/1</f>
        <v>1.1112</v>
      </c>
      <c r="H1717" s="3">
        <f>GBP!B1717/1</f>
        <v>1.3161</v>
      </c>
      <c r="I1717" s="3">
        <f>GBP!C1717/1</f>
        <v>1.3166</v>
      </c>
      <c r="J1717" s="4">
        <f>1/INR!B1717</f>
        <v>1.4883720930232559E-2</v>
      </c>
      <c r="K1717" s="4">
        <f>1/INR!C1717</f>
        <v>1.4798919678863442E-2</v>
      </c>
      <c r="L1717" s="4">
        <f>1/JPY!B1717</f>
        <v>9.6246390760346481E-3</v>
      </c>
      <c r="M1717" s="4">
        <f>1/JPY!C1717</f>
        <v>9.634588945079953E-3</v>
      </c>
      <c r="N1717" s="5">
        <f>1/KRW!B1717</f>
        <v>8.7077673284569827E-4</v>
      </c>
      <c r="O1717" s="5">
        <f>1/KRW!C1717</f>
        <v>8.7077028775039544E-4</v>
      </c>
      <c r="P1717" s="3">
        <f>1/NOK!B1717</f>
        <v>0.11864366561469283</v>
      </c>
      <c r="Q1717" s="3">
        <f>1/NOK!C1717</f>
        <v>0.11863944286917628</v>
      </c>
      <c r="R1717" s="3">
        <f>NZD!B1717/1</f>
        <v>0.73040000000000005</v>
      </c>
      <c r="S1717" s="3">
        <f>NZD!C1717/1</f>
        <v>0.72919999999999996</v>
      </c>
      <c r="T1717" s="4">
        <f>1/PHP!B1717</f>
        <v>2.1131373750607526E-2</v>
      </c>
      <c r="U1717" s="4">
        <f>1/PHP!C1717</f>
        <v>2.1094420736659361E-2</v>
      </c>
      <c r="V1717" s="4">
        <f>1/TWD!B1717</f>
        <v>3.1035659973309336E-2</v>
      </c>
      <c r="W1717" s="4">
        <f>1/TWD!C1717</f>
        <v>3.1035852616943096E-2</v>
      </c>
      <c r="X1717" s="4">
        <f>1/TWD!B1717</f>
        <v>3.1035659973309336E-2</v>
      </c>
      <c r="Y1717" s="4">
        <f>1/TWD!C1717</f>
        <v>3.1035852616943096E-2</v>
      </c>
      <c r="Z1717" s="4">
        <f>1/ZAR!B1717</f>
        <v>6.9874365890129547E-2</v>
      </c>
      <c r="AA1717" s="4">
        <f>1/ZAR!C1717</f>
        <v>6.9424195720692583E-2</v>
      </c>
    </row>
    <row r="1718" spans="1:27" x14ac:dyDescent="0.25">
      <c r="A1718" t="str">
        <f>"13/07/2016"</f>
        <v>13/07/2016</v>
      </c>
      <c r="B1718" s="3">
        <f>AUD!B1718</f>
        <v>0.76249999999999996</v>
      </c>
      <c r="C1718" s="3">
        <f>AUD!C1718</f>
        <v>0.76160000000000005</v>
      </c>
      <c r="D1718" s="3">
        <f>1/CAD!B1718</f>
        <v>0.76710647437864365</v>
      </c>
      <c r="E1718" s="3">
        <f>1/CAD!C1718</f>
        <v>0.76710647437864365</v>
      </c>
      <c r="F1718" s="3">
        <f>EUR!B1718/1</f>
        <v>1.1076999999999999</v>
      </c>
      <c r="G1718" s="3">
        <f>EUR!C1718/1</f>
        <v>1.109</v>
      </c>
      <c r="H1718" s="3">
        <f>GBP!B1718/1</f>
        <v>1.3263</v>
      </c>
      <c r="I1718" s="3">
        <f>GBP!C1718/1</f>
        <v>1.3267</v>
      </c>
      <c r="J1718" s="4">
        <f>1/INR!B1718</f>
        <v>1.4912019087384432E-2</v>
      </c>
      <c r="K1718" s="4">
        <f>1/INR!C1718</f>
        <v>1.4716703458425313E-2</v>
      </c>
      <c r="L1718" s="4">
        <f>1/JPY!B1718</f>
        <v>9.5529231944975149E-3</v>
      </c>
      <c r="M1718" s="4">
        <f>1/JPY!C1718</f>
        <v>9.5625789510424657E-3</v>
      </c>
      <c r="N1718" s="5">
        <f>1/KRW!B1718</f>
        <v>8.7199162888036274E-4</v>
      </c>
      <c r="O1718" s="5">
        <f>1/KRW!C1718</f>
        <v>8.7198554596759007E-4</v>
      </c>
      <c r="P1718" s="3">
        <f>1/NOK!B1718</f>
        <v>0.1189499101928178</v>
      </c>
      <c r="Q1718" s="3">
        <f>1/NOK!C1718</f>
        <v>0.11894566561994481</v>
      </c>
      <c r="R1718" s="3">
        <f>NZD!B1718/1</f>
        <v>0.72989999999999999</v>
      </c>
      <c r="S1718" s="3">
        <f>NZD!C1718/1</f>
        <v>0.72870000000000001</v>
      </c>
      <c r="T1718" s="4">
        <f>1/PHP!B1718</f>
        <v>2.1181952976064393E-2</v>
      </c>
      <c r="U1718" s="4">
        <f>1/PHP!C1718</f>
        <v>2.1148355715343133E-2</v>
      </c>
      <c r="V1718" s="4">
        <f>1/TWD!B1718</f>
        <v>3.1070374398011493E-2</v>
      </c>
      <c r="W1718" s="4">
        <f>1/TWD!C1718</f>
        <v>3.1070567472844323E-2</v>
      </c>
      <c r="X1718" s="4">
        <f>1/TWD!B1718</f>
        <v>3.1070374398011493E-2</v>
      </c>
      <c r="Y1718" s="4">
        <f>1/TWD!C1718</f>
        <v>3.1070567472844323E-2</v>
      </c>
      <c r="Z1718" s="4">
        <f>1/ZAR!B1718</f>
        <v>6.9785618579723097E-2</v>
      </c>
      <c r="AA1718" s="4">
        <f>1/ZAR!C1718</f>
        <v>6.9351975144252107E-2</v>
      </c>
    </row>
    <row r="1719" spans="1:27" x14ac:dyDescent="0.25">
      <c r="A1719" t="str">
        <f>"14/07/2016"</f>
        <v>14/07/2016</v>
      </c>
      <c r="B1719" s="3">
        <f>AUD!B1719</f>
        <v>0.76380000000000003</v>
      </c>
      <c r="C1719" s="3">
        <f>AUD!C1719</f>
        <v>0.76290000000000002</v>
      </c>
      <c r="D1719" s="3">
        <f>1/CAD!B1719</f>
        <v>0.77321580453104466</v>
      </c>
      <c r="E1719" s="3">
        <f>1/CAD!C1719</f>
        <v>0.77321580453104466</v>
      </c>
      <c r="F1719" s="3">
        <f>EUR!B1719/1</f>
        <v>1.1160000000000001</v>
      </c>
      <c r="G1719" s="3">
        <f>EUR!C1719/1</f>
        <v>1.1173</v>
      </c>
      <c r="H1719" s="3">
        <f>GBP!B1719/1</f>
        <v>1.3371999999999999</v>
      </c>
      <c r="I1719" s="3">
        <f>GBP!C1719/1</f>
        <v>1.3373999999999999</v>
      </c>
      <c r="J1719" s="4">
        <f>1/INR!B1719</f>
        <v>1.4943215780035863E-2</v>
      </c>
      <c r="K1719" s="4">
        <f>1/INR!C1719</f>
        <v>1.4863258026159334E-2</v>
      </c>
      <c r="L1719" s="4">
        <f>1/JPY!B1719</f>
        <v>9.463423866754991E-3</v>
      </c>
      <c r="M1719" s="4">
        <f>1/JPY!C1719</f>
        <v>9.4732943096763073E-3</v>
      </c>
      <c r="N1719" s="5">
        <f>1/KRW!B1719</f>
        <v>8.7811731647348087E-4</v>
      </c>
      <c r="O1719" s="5">
        <f>1/KRW!C1719</f>
        <v>8.7811153333640683E-4</v>
      </c>
      <c r="P1719" s="3">
        <f>1/NOK!B1719</f>
        <v>0.11951857916313091</v>
      </c>
      <c r="Q1719" s="3">
        <f>1/NOK!C1719</f>
        <v>0.11951715071112703</v>
      </c>
      <c r="R1719" s="3">
        <f>NZD!B1719/1</f>
        <v>0.72070000000000001</v>
      </c>
      <c r="S1719" s="3">
        <f>NZD!C1719/1</f>
        <v>0.71960000000000002</v>
      </c>
      <c r="T1719" s="4">
        <f>1/PHP!B1719</f>
        <v>2.1231422505307854E-2</v>
      </c>
      <c r="U1719" s="4">
        <f>1/PHP!C1719</f>
        <v>2.1198117607156484E-2</v>
      </c>
      <c r="V1719" s="4">
        <f>1/TWD!B1719</f>
        <v>3.1177901103697701E-2</v>
      </c>
      <c r="W1719" s="4">
        <f>1/TWD!C1719</f>
        <v>3.1177998310152489E-2</v>
      </c>
      <c r="X1719" s="4">
        <f>1/TWD!B1719</f>
        <v>3.1177901103697701E-2</v>
      </c>
      <c r="Y1719" s="4">
        <f>1/TWD!C1719</f>
        <v>3.1177998310152489E-2</v>
      </c>
      <c r="Z1719" s="4">
        <f>1/ZAR!B1719</f>
        <v>6.9975578523095439E-2</v>
      </c>
      <c r="AA1719" s="4">
        <f>1/ZAR!C1719</f>
        <v>6.954489818626905E-2</v>
      </c>
    </row>
    <row r="1720" spans="1:27" x14ac:dyDescent="0.25">
      <c r="A1720" t="str">
        <f>"15/07/2016"</f>
        <v>15/07/2016</v>
      </c>
      <c r="B1720" s="3">
        <f>AUD!B1720</f>
        <v>0.76090000000000002</v>
      </c>
      <c r="C1720" s="3">
        <f>AUD!C1720</f>
        <v>0.76</v>
      </c>
      <c r="D1720" s="3">
        <f>1/CAD!B1720</f>
        <v>0.77441338186323871</v>
      </c>
      <c r="E1720" s="3">
        <f>1/CAD!C1720</f>
        <v>0.77441338186323871</v>
      </c>
      <c r="F1720" s="3">
        <f>EUR!B1720/1</f>
        <v>1.1082000000000001</v>
      </c>
      <c r="G1720" s="3">
        <f>EUR!C1720/1</f>
        <v>1.1094999999999999</v>
      </c>
      <c r="H1720" s="3">
        <f>GBP!B1720/1</f>
        <v>1.3293999999999999</v>
      </c>
      <c r="I1720" s="3">
        <f>GBP!C1720/1</f>
        <v>1.3297000000000001</v>
      </c>
      <c r="J1720" s="4">
        <f>1/INR!B1720</f>
        <v>1.4908684308609765E-2</v>
      </c>
      <c r="K1720" s="4">
        <f>1/INR!C1720</f>
        <v>1.4829094683769556E-2</v>
      </c>
      <c r="L1720" s="4">
        <f>1/JPY!B1720</f>
        <v>9.4491165076065389E-3</v>
      </c>
      <c r="M1720" s="4">
        <f>1/JPY!C1720</f>
        <v>9.461275001419191E-3</v>
      </c>
      <c r="N1720" s="5">
        <f>1/KRW!B1720</f>
        <v>8.8206756637558429E-4</v>
      </c>
      <c r="O1720" s="5">
        <f>1/KRW!C1720</f>
        <v>8.8206173109025036E-4</v>
      </c>
      <c r="P1720" s="3">
        <f>1/NOK!B1720</f>
        <v>0.1188551868403537</v>
      </c>
      <c r="Q1720" s="3">
        <f>1/NOK!C1720</f>
        <v>0.11885377420159976</v>
      </c>
      <c r="R1720" s="3">
        <f>NZD!B1720/1</f>
        <v>0.71399999999999997</v>
      </c>
      <c r="S1720" s="3">
        <f>NZD!C1720/1</f>
        <v>0.71289999999999998</v>
      </c>
      <c r="T1720" s="4">
        <f>1/PHP!B1720</f>
        <v>2.1321961620469083E-2</v>
      </c>
      <c r="U1720" s="4">
        <f>1/PHP!C1720</f>
        <v>2.1288372291054628E-2</v>
      </c>
      <c r="V1720" s="4">
        <f>1/TWD!B1720</f>
        <v>3.125976867771179E-2</v>
      </c>
      <c r="W1720" s="4">
        <f>1/TWD!C1720</f>
        <v>3.1259866395331029E-2</v>
      </c>
      <c r="X1720" s="4">
        <f>1/TWD!B1720</f>
        <v>3.125976867771179E-2</v>
      </c>
      <c r="Y1720" s="4">
        <f>1/TWD!C1720</f>
        <v>3.1259866395331029E-2</v>
      </c>
      <c r="Z1720" s="4">
        <f>1/ZAR!B1720</f>
        <v>6.9664079807169835E-2</v>
      </c>
      <c r="AA1720" s="4">
        <f>1/ZAR!C1720</f>
        <v>6.9237213617575177E-2</v>
      </c>
    </row>
    <row r="1721" spans="1:27" x14ac:dyDescent="0.25">
      <c r="A1721" t="str">
        <f>"18/07/2016"</f>
        <v>18/07/2016</v>
      </c>
      <c r="B1721" s="3">
        <f>AUD!B1721</f>
        <v>0.75900000000000001</v>
      </c>
      <c r="C1721" s="3">
        <f>AUD!C1721</f>
        <v>0.7581</v>
      </c>
      <c r="D1721" s="3">
        <f>1/CAD!B1721</f>
        <v>0.77184316146958931</v>
      </c>
      <c r="E1721" s="3">
        <f>1/CAD!C1721</f>
        <v>0.77184316146958931</v>
      </c>
      <c r="F1721" s="3">
        <f>EUR!B1721/1</f>
        <v>1.105</v>
      </c>
      <c r="G1721" s="3">
        <f>EUR!C1721/1</f>
        <v>1.1065</v>
      </c>
      <c r="H1721" s="3">
        <f>GBP!B1721/1</f>
        <v>1.3239000000000001</v>
      </c>
      <c r="I1721" s="3">
        <f>GBP!C1721/1</f>
        <v>1.3242</v>
      </c>
      <c r="J1721" s="4">
        <f>1/INR!B1721</f>
        <v>1.488095238095238E-2</v>
      </c>
      <c r="K1721" s="4">
        <f>1/INR!C1721</f>
        <v>1.4796729922687086E-2</v>
      </c>
      <c r="L1721" s="4">
        <f>1/JPY!B1721</f>
        <v>9.4616330778692411E-3</v>
      </c>
      <c r="M1721" s="4">
        <f>1/JPY!C1721</f>
        <v>9.4735725220923724E-3</v>
      </c>
      <c r="N1721" s="5">
        <f>1/KRW!B1721</f>
        <v>8.7973959707926454E-4</v>
      </c>
      <c r="O1721" s="5">
        <f>1/KRW!C1721</f>
        <v>8.797337925543731E-4</v>
      </c>
      <c r="P1721" s="3">
        <f>1/NOK!B1721</f>
        <v>0.11812651349595416</v>
      </c>
      <c r="Q1721" s="3">
        <f>1/NOK!C1721</f>
        <v>0.11812651349595416</v>
      </c>
      <c r="R1721" s="3">
        <f>NZD!B1721/1</f>
        <v>0.70989999999999998</v>
      </c>
      <c r="S1721" s="3">
        <f>NZD!C1721/1</f>
        <v>0.7087</v>
      </c>
      <c r="T1721" s="4">
        <f>1/PHP!B1721</f>
        <v>2.1389001775287148E-2</v>
      </c>
      <c r="U1721" s="4">
        <f>1/PHP!C1721</f>
        <v>2.1354745024344406E-2</v>
      </c>
      <c r="V1721" s="4">
        <f>1/TWD!B1721</f>
        <v>3.1226580064951284E-2</v>
      </c>
      <c r="W1721" s="4">
        <f>1/TWD!C1721</f>
        <v>3.1226775086029765E-2</v>
      </c>
      <c r="X1721" s="4">
        <f>1/TWD!B1721</f>
        <v>3.1226580064951284E-2</v>
      </c>
      <c r="Y1721" s="4">
        <f>1/TWD!C1721</f>
        <v>3.1226775086029765E-2</v>
      </c>
      <c r="Z1721" s="4">
        <f>1/ZAR!B1721</f>
        <v>6.9955508296723284E-2</v>
      </c>
      <c r="AA1721" s="4">
        <f>1/ZAR!C1721</f>
        <v>6.9499947875039089E-2</v>
      </c>
    </row>
    <row r="1722" spans="1:27" x14ac:dyDescent="0.25">
      <c r="A1722" t="str">
        <f>"19/07/2016"</f>
        <v>19/07/2016</v>
      </c>
      <c r="B1722" s="3">
        <f>AUD!B1722</f>
        <v>0.75209999999999999</v>
      </c>
      <c r="C1722" s="3">
        <f>AUD!C1722</f>
        <v>0.75119999999999998</v>
      </c>
      <c r="D1722" s="3">
        <f>1/CAD!B1722</f>
        <v>0.7700600646850454</v>
      </c>
      <c r="E1722" s="3">
        <f>1/CAD!C1722</f>
        <v>0.7700600646850454</v>
      </c>
      <c r="F1722" s="3">
        <f>EUR!B1722/1</f>
        <v>1.1073999999999999</v>
      </c>
      <c r="G1722" s="3">
        <f>EUR!C1722/1</f>
        <v>1.1088</v>
      </c>
      <c r="H1722" s="3">
        <f>GBP!B1722/1</f>
        <v>1.3214999999999999</v>
      </c>
      <c r="I1722" s="3">
        <f>GBP!C1722/1</f>
        <v>1.3218000000000001</v>
      </c>
      <c r="J1722" s="4">
        <f>1/INR!B1722</f>
        <v>1.4884274763712138E-2</v>
      </c>
      <c r="K1722" s="4">
        <f>1/INR!C1722</f>
        <v>1.4802205528623763E-2</v>
      </c>
      <c r="L1722" s="4">
        <f>1/JPY!B1722</f>
        <v>9.4526892901030338E-3</v>
      </c>
      <c r="M1722" s="4">
        <f>1/JPY!C1722</f>
        <v>9.464140372129998E-3</v>
      </c>
      <c r="N1722" s="5">
        <f>1/KRW!B1722</f>
        <v>8.7892770819600092E-4</v>
      </c>
      <c r="O1722" s="5">
        <f>1/KRW!C1722</f>
        <v>8.7892230063185716E-4</v>
      </c>
      <c r="P1722" s="3">
        <f>1/NOK!B1722</f>
        <v>0.11822287376161539</v>
      </c>
      <c r="Q1722" s="3">
        <f>1/NOK!C1722</f>
        <v>0.11821448836769435</v>
      </c>
      <c r="R1722" s="3">
        <f>NZD!B1722/1</f>
        <v>0.70289999999999997</v>
      </c>
      <c r="S1722" s="3">
        <f>NZD!C1722/1</f>
        <v>0.70179999999999998</v>
      </c>
      <c r="T1722" s="4">
        <f>1/PHP!B1722</f>
        <v>2.135383301302584E-2</v>
      </c>
      <c r="U1722" s="4">
        <f>1/PHP!C1722</f>
        <v>2.1316053119604376E-2</v>
      </c>
      <c r="V1722" s="4">
        <f>1/TWD!B1722</f>
        <v>3.1246094238220223E-2</v>
      </c>
      <c r="W1722" s="4">
        <f>1/TWD!C1722</f>
        <v>3.1246289503121506E-2</v>
      </c>
      <c r="X1722" s="4">
        <f>1/TWD!B1722</f>
        <v>3.1246094238220223E-2</v>
      </c>
      <c r="Y1722" s="4">
        <f>1/TWD!C1722</f>
        <v>3.1246289503121506E-2</v>
      </c>
      <c r="Z1722" s="4">
        <f>1/ZAR!B1722</f>
        <v>6.9912958366833297E-2</v>
      </c>
      <c r="AA1722" s="4">
        <f>1/ZAR!C1722</f>
        <v>6.9464704983397935E-2</v>
      </c>
    </row>
    <row r="1723" spans="1:27" x14ac:dyDescent="0.25">
      <c r="A1723" t="str">
        <f>"20/07/2016"</f>
        <v>20/07/2016</v>
      </c>
      <c r="B1723" s="3">
        <f>AUD!B1723</f>
        <v>0.74860000000000004</v>
      </c>
      <c r="C1723" s="3">
        <f>AUD!C1723</f>
        <v>0.74780000000000002</v>
      </c>
      <c r="D1723" s="3">
        <f>1/CAD!B1723</f>
        <v>0.76552093699762691</v>
      </c>
      <c r="E1723" s="3">
        <f>1/CAD!C1723</f>
        <v>0.76552093699762691</v>
      </c>
      <c r="F1723" s="3">
        <f>EUR!B1723/1</f>
        <v>1.1011</v>
      </c>
      <c r="G1723" s="3">
        <f>EUR!C1723/1</f>
        <v>1.1024</v>
      </c>
      <c r="H1723" s="3">
        <f>GBP!B1723/1</f>
        <v>1.3160000000000001</v>
      </c>
      <c r="I1723" s="3">
        <f>GBP!C1723/1</f>
        <v>1.3163</v>
      </c>
      <c r="J1723" s="4">
        <f>1/INR!B1723</f>
        <v>1.488095238095238E-2</v>
      </c>
      <c r="K1723" s="4">
        <f>1/INR!C1723</f>
        <v>1.4801110083256245E-2</v>
      </c>
      <c r="L1723" s="4">
        <f>1/JPY!B1723</f>
        <v>9.3843843843843845E-3</v>
      </c>
      <c r="M1723" s="4">
        <f>1/JPY!C1723</f>
        <v>9.3948495555766422E-3</v>
      </c>
      <c r="N1723" s="5">
        <f>1/KRW!B1723</f>
        <v>8.7673154480098206E-4</v>
      </c>
      <c r="O1723" s="5">
        <f>1/KRW!C1723</f>
        <v>8.7672616422659162E-4</v>
      </c>
      <c r="P1723" s="3">
        <f>1/NOK!B1723</f>
        <v>0.11769967750288364</v>
      </c>
      <c r="Q1723" s="3">
        <f>1/NOK!C1723</f>
        <v>0.11769967750288364</v>
      </c>
      <c r="R1723" s="3">
        <f>NZD!B1723/1</f>
        <v>0.70269999999999999</v>
      </c>
      <c r="S1723" s="3">
        <f>NZD!C1723/1</f>
        <v>0.7016</v>
      </c>
      <c r="T1723" s="4">
        <f>1/PHP!B1723</f>
        <v>2.1378941742383754E-2</v>
      </c>
      <c r="U1723" s="4">
        <f>1/PHP!C1723</f>
        <v>2.1341073029151909E-2</v>
      </c>
      <c r="V1723" s="4">
        <f>1/TWD!B1723</f>
        <v>3.1200274562416148E-2</v>
      </c>
      <c r="W1723" s="4">
        <f>1/TWD!C1723</f>
        <v>3.1200371908433149E-2</v>
      </c>
      <c r="X1723" s="4">
        <f>1/TWD!B1723</f>
        <v>3.1200274562416148E-2</v>
      </c>
      <c r="Y1723" s="4">
        <f>1/TWD!C1723</f>
        <v>3.1200371908433149E-2</v>
      </c>
      <c r="Z1723" s="4">
        <f>1/ZAR!B1723</f>
        <v>6.9809977241947416E-2</v>
      </c>
      <c r="AA1723" s="4">
        <f>1/ZAR!C1723</f>
        <v>6.9380845336219577E-2</v>
      </c>
    </row>
    <row r="1724" spans="1:27" x14ac:dyDescent="0.25">
      <c r="A1724" t="str">
        <f>"21/07/2016"</f>
        <v>21/07/2016</v>
      </c>
      <c r="B1724" s="3">
        <f>AUD!B1724</f>
        <v>0.74860000000000004</v>
      </c>
      <c r="C1724" s="3">
        <f>AUD!C1724</f>
        <v>0.74780000000000002</v>
      </c>
      <c r="D1724" s="3">
        <f>1/CAD!B1724</f>
        <v>0.76593137254901955</v>
      </c>
      <c r="E1724" s="3">
        <f>1/CAD!C1724</f>
        <v>0.76593137254901955</v>
      </c>
      <c r="F1724" s="3">
        <f>EUR!B1724/1</f>
        <v>1.1013999999999999</v>
      </c>
      <c r="G1724" s="3">
        <f>EUR!C1724/1</f>
        <v>1.1027</v>
      </c>
      <c r="H1724" s="3">
        <f>GBP!B1724/1</f>
        <v>1.3176000000000001</v>
      </c>
      <c r="I1724" s="3">
        <f>GBP!C1724/1</f>
        <v>1.3180000000000001</v>
      </c>
      <c r="J1724" s="4">
        <f>1/INR!B1724</f>
        <v>1.4885382554331646E-2</v>
      </c>
      <c r="K1724" s="4">
        <f>1/INR!C1724</f>
        <v>1.4805492837842838E-2</v>
      </c>
      <c r="L1724" s="4">
        <f>1/JPY!B1724</f>
        <v>9.4073377234242719E-3</v>
      </c>
      <c r="M1724" s="4">
        <f>1/JPY!C1724</f>
        <v>9.4183065508089397E-3</v>
      </c>
      <c r="N1724" s="5">
        <f>1/KRW!B1724</f>
        <v>8.8008800880088006E-4</v>
      </c>
      <c r="O1724" s="5">
        <f>1/KRW!C1724</f>
        <v>8.8008297422280976E-4</v>
      </c>
      <c r="P1724" s="3">
        <f>1/NOK!B1724</f>
        <v>0.1177884049094207</v>
      </c>
      <c r="Q1724" s="3">
        <f>1/NOK!C1724</f>
        <v>0.1177884049094207</v>
      </c>
      <c r="R1724" s="3">
        <f>NZD!B1724/1</f>
        <v>0.69710000000000005</v>
      </c>
      <c r="S1724" s="3">
        <f>NZD!C1724/1</f>
        <v>0.69599999999999995</v>
      </c>
      <c r="T1724" s="4">
        <f>1/PHP!B1724</f>
        <v>2.1231422505307854E-2</v>
      </c>
      <c r="U1724" s="4">
        <f>1/PHP!C1724</f>
        <v>2.119632031879266E-2</v>
      </c>
      <c r="V1724" s="4">
        <f>1/TWD!B1724</f>
        <v>3.119151590767311E-2</v>
      </c>
      <c r="W1724" s="4">
        <f>1/TWD!C1724</f>
        <v>3.1191613199043042E-2</v>
      </c>
      <c r="X1724" s="4">
        <f>1/TWD!B1724</f>
        <v>3.119151590767311E-2</v>
      </c>
      <c r="Y1724" s="4">
        <f>1/TWD!C1724</f>
        <v>3.1191613199043042E-2</v>
      </c>
      <c r="Z1724" s="4">
        <f>1/ZAR!B1724</f>
        <v>6.9902206812669079E-2</v>
      </c>
      <c r="AA1724" s="4">
        <f>1/ZAR!C1724</f>
        <v>6.9471461123770353E-2</v>
      </c>
    </row>
    <row r="1725" spans="1:27" x14ac:dyDescent="0.25">
      <c r="A1725" t="str">
        <f>"22/07/2016"</f>
        <v>22/07/2016</v>
      </c>
      <c r="B1725" s="3">
        <f>AUD!B1725</f>
        <v>0.74729999999999996</v>
      </c>
      <c r="C1725" s="3">
        <f>AUD!C1725</f>
        <v>0.74650000000000005</v>
      </c>
      <c r="D1725" s="3">
        <f>1/CAD!B1725</f>
        <v>0.76184671644065216</v>
      </c>
      <c r="E1725" s="3">
        <f>1/CAD!C1725</f>
        <v>0.76184671644065216</v>
      </c>
      <c r="F1725" s="3">
        <f>EUR!B1725/1</f>
        <v>1.1016999999999999</v>
      </c>
      <c r="G1725" s="3">
        <f>EUR!C1725/1</f>
        <v>1.103</v>
      </c>
      <c r="H1725" s="3">
        <f>GBP!B1725/1</f>
        <v>1.3116000000000001</v>
      </c>
      <c r="I1725" s="3">
        <f>GBP!C1725/1</f>
        <v>1.3120000000000001</v>
      </c>
      <c r="J1725" s="4">
        <f>1/INR!B1725</f>
        <v>1.4896469536719798E-2</v>
      </c>
      <c r="K1725" s="4">
        <f>1/INR!C1725</f>
        <v>1.4816461088269065E-2</v>
      </c>
      <c r="L1725" s="4">
        <f>1/JPY!B1725</f>
        <v>9.4153092929102726E-3</v>
      </c>
      <c r="M1725" s="4">
        <f>1/JPY!C1725</f>
        <v>9.4255237527911331E-3</v>
      </c>
      <c r="N1725" s="5">
        <f>1/KRW!B1725</f>
        <v>8.8140672513331282E-4</v>
      </c>
      <c r="O1725" s="5">
        <f>1/KRW!C1725</f>
        <v>8.8140206389107276E-4</v>
      </c>
      <c r="P1725" s="3">
        <f>1/NOK!B1725</f>
        <v>0.11740396355780972</v>
      </c>
      <c r="Q1725" s="3">
        <f>1/NOK!C1725</f>
        <v>0.11740534194305841</v>
      </c>
      <c r="R1725" s="3">
        <f>NZD!B1725/1</f>
        <v>0.69869999999999999</v>
      </c>
      <c r="S1725" s="3">
        <f>NZD!C1725/1</f>
        <v>0.6976</v>
      </c>
      <c r="T1725" s="4">
        <f>1/PHP!B1725</f>
        <v>2.1199915200339196E-2</v>
      </c>
      <c r="U1725" s="4">
        <f>1/PHP!C1725</f>
        <v>2.116491703352523E-2</v>
      </c>
      <c r="V1725" s="4">
        <f>1/TWD!B1725</f>
        <v>3.1182762169072935E-2</v>
      </c>
      <c r="W1725" s="4">
        <f>1/TWD!C1725</f>
        <v>3.1182859405841798E-2</v>
      </c>
      <c r="X1725" s="4">
        <f>1/TWD!B1725</f>
        <v>3.1182762169072935E-2</v>
      </c>
      <c r="Y1725" s="4">
        <f>1/TWD!C1725</f>
        <v>3.1182859405841798E-2</v>
      </c>
      <c r="Z1725" s="4">
        <f>1/ZAR!B1725</f>
        <v>7.0263205969561982E-2</v>
      </c>
      <c r="AA1725" s="4">
        <f>1/ZAR!C1725</f>
        <v>6.9832402234636867E-2</v>
      </c>
    </row>
    <row r="1726" spans="1:27" x14ac:dyDescent="0.25">
      <c r="A1726" t="str">
        <f>"25/07/2016"</f>
        <v>25/07/2016</v>
      </c>
      <c r="B1726" s="3">
        <f>AUD!B1726</f>
        <v>0.74790000000000001</v>
      </c>
      <c r="C1726" s="3">
        <f>AUD!C1726</f>
        <v>0.747</v>
      </c>
      <c r="D1726" s="3">
        <f>1/CAD!B1726</f>
        <v>0.75889807998785763</v>
      </c>
      <c r="E1726" s="3">
        <f>1/CAD!C1726</f>
        <v>0.75895567698846378</v>
      </c>
      <c r="F1726" s="3">
        <f>EUR!B1726/1</f>
        <v>1.0985</v>
      </c>
      <c r="G1726" s="3">
        <f>EUR!C1726/1</f>
        <v>1.0999000000000001</v>
      </c>
      <c r="H1726" s="3">
        <f>GBP!B1726/1</f>
        <v>1.3127</v>
      </c>
      <c r="I1726" s="3">
        <f>GBP!C1726/1</f>
        <v>1.3131999999999999</v>
      </c>
      <c r="J1726" s="4">
        <f>1/INR!B1726</f>
        <v>1.484615670118398E-2</v>
      </c>
      <c r="K1726" s="4">
        <f>1/INR!C1726</f>
        <v>1.4761781747056868E-2</v>
      </c>
      <c r="L1726" s="4">
        <f>1/JPY!B1726</f>
        <v>9.4099934130046116E-3</v>
      </c>
      <c r="M1726" s="4">
        <f>1/JPY!C1726</f>
        <v>9.4208974346896273E-3</v>
      </c>
      <c r="N1726" s="5">
        <f>1/KRW!B1726</f>
        <v>8.7954615418444075E-4</v>
      </c>
      <c r="O1726" s="5">
        <f>1/KRW!C1726</f>
        <v>8.795411258038456E-4</v>
      </c>
      <c r="P1726" s="3">
        <f>1/NOK!B1726</f>
        <v>0.11655555037530889</v>
      </c>
      <c r="Q1726" s="3">
        <f>1/NOK!C1726</f>
        <v>0.11655826747791222</v>
      </c>
      <c r="R1726" s="3">
        <f>NZD!B1726/1</f>
        <v>0.69879999999999998</v>
      </c>
      <c r="S1726" s="3">
        <f>NZD!C1726/1</f>
        <v>0.69769999999999999</v>
      </c>
      <c r="T1726" s="4">
        <f>1/PHP!B1726</f>
        <v>2.1186440677966101E-2</v>
      </c>
      <c r="U1726" s="4">
        <f>1/PHP!C1726</f>
        <v>2.1150592216582064E-2</v>
      </c>
      <c r="V1726" s="4">
        <f>1/TWD!B1726</f>
        <v>3.1113876789047916E-2</v>
      </c>
      <c r="W1726" s="4">
        <f>1/TWD!C1726</f>
        <v>3.1113973596682009E-2</v>
      </c>
      <c r="X1726" s="4">
        <f>1/TWD!B1726</f>
        <v>3.1113876789047916E-2</v>
      </c>
      <c r="Y1726" s="4">
        <f>1/TWD!C1726</f>
        <v>3.1113973596682009E-2</v>
      </c>
      <c r="Z1726" s="4">
        <f>1/ZAR!B1726</f>
        <v>6.9842156725799701E-2</v>
      </c>
      <c r="AA1726" s="4">
        <f>1/ZAR!C1726</f>
        <v>6.9389029594421114E-2</v>
      </c>
    </row>
    <row r="1727" spans="1:27" x14ac:dyDescent="0.25">
      <c r="A1727" t="str">
        <f>"26/07/2016"</f>
        <v>26/07/2016</v>
      </c>
      <c r="B1727" s="3">
        <f>AUD!B1727</f>
        <v>0.753</v>
      </c>
      <c r="C1727" s="3">
        <f>AUD!C1727</f>
        <v>0.75219999999999998</v>
      </c>
      <c r="D1727" s="3">
        <f>1/CAD!B1727</f>
        <v>0.75540111799365461</v>
      </c>
      <c r="E1727" s="3">
        <f>1/CAD!C1727</f>
        <v>0.7555152614082804</v>
      </c>
      <c r="F1727" s="3">
        <f>EUR!B1727/1</f>
        <v>1.0992999999999999</v>
      </c>
      <c r="G1727" s="3">
        <f>EUR!C1727/1</f>
        <v>1.1007</v>
      </c>
      <c r="H1727" s="3">
        <f>GBP!B1727/1</f>
        <v>1.3126</v>
      </c>
      <c r="I1727" s="3">
        <f>GBP!C1727/1</f>
        <v>1.3131999999999999</v>
      </c>
      <c r="J1727" s="4">
        <f>1/INR!B1727</f>
        <v>1.4863258026159334E-2</v>
      </c>
      <c r="K1727" s="4">
        <f>1/INR!C1727</f>
        <v>1.4781419755367502E-2</v>
      </c>
      <c r="L1727" s="4">
        <f>1/JPY!B1727</f>
        <v>9.5904862376522491E-3</v>
      </c>
      <c r="M1727" s="4">
        <f>1/JPY!C1727</f>
        <v>9.6018128222608422E-3</v>
      </c>
      <c r="N1727" s="5">
        <f>1/KRW!B1727</f>
        <v>8.8101845733668123E-4</v>
      </c>
      <c r="O1727" s="5">
        <f>1/KRW!C1727</f>
        <v>8.8101302401553396E-4</v>
      </c>
      <c r="P1727" s="3">
        <f>1/NOK!B1727</f>
        <v>0.11651888188480944</v>
      </c>
      <c r="Q1727" s="3">
        <f>1/NOK!C1727</f>
        <v>0.11652567060523435</v>
      </c>
      <c r="R1727" s="3">
        <f>NZD!B1727/1</f>
        <v>0.70640000000000003</v>
      </c>
      <c r="S1727" s="3">
        <f>NZD!C1727/1</f>
        <v>0.70530000000000004</v>
      </c>
      <c r="T1727" s="4">
        <f>1/PHP!B1727</f>
        <v>2.1208907741251327E-2</v>
      </c>
      <c r="U1727" s="4">
        <f>1/PHP!C1727</f>
        <v>2.1170742034508309E-2</v>
      </c>
      <c r="V1727" s="4">
        <f>1/TWD!B1727</f>
        <v>3.1145856043853365E-2</v>
      </c>
      <c r="W1727" s="4">
        <f>1/TWD!C1727</f>
        <v>3.1145953050590369E-2</v>
      </c>
      <c r="X1727" s="4">
        <f>1/TWD!B1727</f>
        <v>3.1145856043853365E-2</v>
      </c>
      <c r="Y1727" s="4">
        <f>1/TWD!C1727</f>
        <v>3.1145953050590369E-2</v>
      </c>
      <c r="Z1727" s="4">
        <f>1/ZAR!B1727</f>
        <v>6.9293346452873592E-2</v>
      </c>
      <c r="AA1727" s="4">
        <f>1/ZAR!C1727</f>
        <v>6.8856296908352266E-2</v>
      </c>
    </row>
    <row r="1728" spans="1:27" x14ac:dyDescent="0.25">
      <c r="A1728" t="str">
        <f>"27/07/2016"</f>
        <v>27/07/2016</v>
      </c>
      <c r="B1728" s="3">
        <f>AUD!B1728</f>
        <v>0.747</v>
      </c>
      <c r="C1728" s="3">
        <f>AUD!C1728</f>
        <v>0.74619999999999997</v>
      </c>
      <c r="D1728" s="3">
        <f>1/CAD!B1728</f>
        <v>0.75838010010617318</v>
      </c>
      <c r="E1728" s="3">
        <f>1/CAD!C1728</f>
        <v>0.7584951456310679</v>
      </c>
      <c r="F1728" s="3">
        <f>EUR!B1728/1</f>
        <v>1.0992</v>
      </c>
      <c r="G1728" s="3">
        <f>EUR!C1728/1</f>
        <v>1.1007</v>
      </c>
      <c r="H1728" s="3">
        <f>GBP!B1728/1</f>
        <v>1.31</v>
      </c>
      <c r="I1728" s="3">
        <f>GBP!C1728/1</f>
        <v>1.3106</v>
      </c>
      <c r="J1728" s="4">
        <f>1/INR!B1728</f>
        <v>1.4892032762472076E-2</v>
      </c>
      <c r="K1728" s="4">
        <f>1/INR!C1728</f>
        <v>1.480768518861289E-2</v>
      </c>
      <c r="L1728" s="4">
        <f>1/JPY!B1728</f>
        <v>9.4616330778692411E-3</v>
      </c>
      <c r="M1728" s="4">
        <f>1/JPY!C1728</f>
        <v>9.4732853353543013E-3</v>
      </c>
      <c r="N1728" s="5">
        <f>1/KRW!B1728</f>
        <v>8.8160098739310593E-4</v>
      </c>
      <c r="O1728" s="5">
        <f>1/KRW!C1728</f>
        <v>8.8159593549009911E-4</v>
      </c>
      <c r="P1728" s="3">
        <f>1/NOK!B1728</f>
        <v>0.11644561407594584</v>
      </c>
      <c r="Q1728" s="3">
        <f>1/NOK!C1728</f>
        <v>0.11645375039303141</v>
      </c>
      <c r="R1728" s="3">
        <f>NZD!B1728/1</f>
        <v>0.70320000000000005</v>
      </c>
      <c r="S1728" s="3">
        <f>NZD!C1728/1</f>
        <v>0.70209999999999995</v>
      </c>
      <c r="T1728" s="4">
        <f>1/PHP!B1728</f>
        <v>2.1172983273343216E-2</v>
      </c>
      <c r="U1728" s="4">
        <f>1/PHP!C1728</f>
        <v>2.1135393329669867E-2</v>
      </c>
      <c r="V1728" s="4">
        <f>1/TWD!B1728</f>
        <v>3.1183734564051394E-2</v>
      </c>
      <c r="W1728" s="4">
        <f>1/TWD!C1728</f>
        <v>3.1183831806884766E-2</v>
      </c>
      <c r="X1728" s="4">
        <f>1/TWD!B1728</f>
        <v>3.1183734564051394E-2</v>
      </c>
      <c r="Y1728" s="4">
        <f>1/TWD!C1728</f>
        <v>3.1183831806884766E-2</v>
      </c>
      <c r="Z1728" s="4">
        <f>1/ZAR!B1728</f>
        <v>6.9971661477101779E-2</v>
      </c>
      <c r="AA1728" s="4">
        <f>1/ZAR!C1728</f>
        <v>6.9515891332758678E-2</v>
      </c>
    </row>
    <row r="1729" spans="1:27" x14ac:dyDescent="0.25">
      <c r="A1729" t="str">
        <f>"28/07/2016"</f>
        <v>28/07/2016</v>
      </c>
      <c r="B1729" s="3">
        <f>AUD!B1729</f>
        <v>0.75229999999999997</v>
      </c>
      <c r="C1729" s="3">
        <f>AUD!C1729</f>
        <v>0.75149999999999995</v>
      </c>
      <c r="D1729" s="3">
        <f>1/CAD!B1729</f>
        <v>0.76155662173482608</v>
      </c>
      <c r="E1729" s="3">
        <f>1/CAD!C1729</f>
        <v>0.76167263310229261</v>
      </c>
      <c r="F1729" s="3">
        <f>EUR!B1729/1</f>
        <v>1.1071</v>
      </c>
      <c r="G1729" s="3">
        <f>EUR!C1729/1</f>
        <v>1.1084000000000001</v>
      </c>
      <c r="H1729" s="3">
        <f>GBP!B1729/1</f>
        <v>1.3202</v>
      </c>
      <c r="I1729" s="3">
        <f>GBP!C1729/1</f>
        <v>1.3208</v>
      </c>
      <c r="J1729" s="4">
        <f>1/INR!B1729</f>
        <v>1.4918136724723082E-2</v>
      </c>
      <c r="K1729" s="4">
        <f>1/INR!C1729</f>
        <v>1.4838996883810655E-2</v>
      </c>
      <c r="L1729" s="4">
        <f>1/JPY!B1729</f>
        <v>9.5419847328244278E-3</v>
      </c>
      <c r="M1729" s="4">
        <f>1/JPY!C1729</f>
        <v>9.5526585526384926E-3</v>
      </c>
      <c r="N1729" s="5">
        <f>1/KRW!B1729</f>
        <v>8.8837560520588102E-4</v>
      </c>
      <c r="O1729" s="5">
        <f>1/KRW!C1729</f>
        <v>8.8837086996382557E-4</v>
      </c>
      <c r="P1729" s="3">
        <f>1/NOK!B1729</f>
        <v>0.11717971853431609</v>
      </c>
      <c r="Q1729" s="3">
        <f>1/NOK!C1729</f>
        <v>0.11718383800506234</v>
      </c>
      <c r="R1729" s="3">
        <f>NZD!B1729/1</f>
        <v>0.71150000000000002</v>
      </c>
      <c r="S1729" s="3">
        <f>NZD!C1729/1</f>
        <v>0.71040000000000003</v>
      </c>
      <c r="T1729" s="4">
        <f>1/PHP!B1729</f>
        <v>2.1244954323348206E-2</v>
      </c>
      <c r="U1729" s="4">
        <f>1/PHP!C1729</f>
        <v>2.1207108622810365E-2</v>
      </c>
      <c r="V1729" s="4">
        <f>1/TWD!B1729</f>
        <v>3.1288132411376367E-2</v>
      </c>
      <c r="W1729" s="4">
        <f>1/TWD!C1729</f>
        <v>3.1288230306405637E-2</v>
      </c>
      <c r="X1729" s="4">
        <f>1/TWD!B1729</f>
        <v>3.1288132411376367E-2</v>
      </c>
      <c r="Y1729" s="4">
        <f>1/TWD!C1729</f>
        <v>3.1288230306405637E-2</v>
      </c>
      <c r="Z1729" s="4">
        <f>1/ZAR!B1729</f>
        <v>7.0312609863452905E-2</v>
      </c>
      <c r="AA1729" s="4">
        <f>1/ZAR!C1729</f>
        <v>6.9847034993364532E-2</v>
      </c>
    </row>
    <row r="1730" spans="1:27" x14ac:dyDescent="0.25">
      <c r="A1730" t="str">
        <f>"29/07/2016"</f>
        <v>29/07/2016</v>
      </c>
      <c r="B1730" s="3">
        <f>AUD!B1730</f>
        <v>0.75860000000000005</v>
      </c>
      <c r="C1730" s="3">
        <f>AUD!C1730</f>
        <v>0.75119999999999998</v>
      </c>
      <c r="D1730" s="3">
        <f>1/CAD!B1730</f>
        <v>0.76005168351447894</v>
      </c>
      <c r="E1730" s="3">
        <f>1/CAD!C1730</f>
        <v>0.7601672367920943</v>
      </c>
      <c r="F1730" s="3">
        <f>EUR!B1730/1</f>
        <v>1.1109</v>
      </c>
      <c r="G1730" s="3">
        <f>EUR!C1730/1</f>
        <v>1.1122000000000001</v>
      </c>
      <c r="H1730" s="3">
        <f>GBP!B1730/1</f>
        <v>1.3177000000000001</v>
      </c>
      <c r="I1730" s="3">
        <f>GBP!C1730/1</f>
        <v>1.3183</v>
      </c>
      <c r="J1730" s="4">
        <f>1/INR!B1730</f>
        <v>1.4925373134328358E-2</v>
      </c>
      <c r="K1730" s="4">
        <f>1/INR!C1730</f>
        <v>1.484615670118398E-2</v>
      </c>
      <c r="L1730" s="4">
        <f>1/JPY!B1730</f>
        <v>9.6767950454809369E-3</v>
      </c>
      <c r="M1730" s="4">
        <f>1/JPY!C1730</f>
        <v>9.686505922329721E-3</v>
      </c>
      <c r="N1730" s="5">
        <f>1/KRW!B1730</f>
        <v>8.9229945569733202E-4</v>
      </c>
      <c r="O1730" s="5">
        <f>1/KRW!C1730</f>
        <v>8.9229428043827706E-4</v>
      </c>
      <c r="P1730" s="3">
        <f>1/NOK!B1730</f>
        <v>0.11688797456517674</v>
      </c>
      <c r="Q1730" s="3">
        <f>1/NOK!C1730</f>
        <v>0.11689480636375325</v>
      </c>
      <c r="R1730" s="3">
        <f>NZD!B1730/1</f>
        <v>0.71209999999999996</v>
      </c>
      <c r="S1730" s="3">
        <f>NZD!C1730/1</f>
        <v>0.71109999999999995</v>
      </c>
      <c r="T1730" s="4">
        <f>1/PHP!B1730</f>
        <v>2.1204410517387619E-2</v>
      </c>
      <c r="U1730" s="4">
        <f>1/PHP!C1730</f>
        <v>2.1169397518946611E-2</v>
      </c>
      <c r="V1730" s="4">
        <f>1/TWD!B1730</f>
        <v>3.1321452062517616E-2</v>
      </c>
      <c r="W1730" s="4">
        <f>1/TWD!C1730</f>
        <v>3.1321550166160825E-2</v>
      </c>
      <c r="X1730" s="4">
        <f>1/TWD!B1730</f>
        <v>3.1321452062517616E-2</v>
      </c>
      <c r="Y1730" s="4">
        <f>1/TWD!C1730</f>
        <v>3.1321550166160825E-2</v>
      </c>
      <c r="Z1730" s="4">
        <f>1/ZAR!B1730</f>
        <v>7.1696408726886873E-2</v>
      </c>
      <c r="AA1730" s="4">
        <f>1/ZAR!C1730</f>
        <v>7.0101647388713634E-2</v>
      </c>
    </row>
    <row r="1731" spans="1:27" x14ac:dyDescent="0.25">
      <c r="A1731" t="str">
        <f>"01/08/2016"</f>
        <v>01/08/2016</v>
      </c>
      <c r="B1731" s="3">
        <f>AUD!B1731</f>
        <v>0.75690000000000002</v>
      </c>
      <c r="C1731" s="3">
        <f>AUD!C1731</f>
        <v>0.75609999999999999</v>
      </c>
      <c r="D1731" s="3">
        <f>1/CAD!B1731</f>
        <v>0.76534517067197305</v>
      </c>
      <c r="E1731" s="3">
        <f>1/CAD!C1731</f>
        <v>0.76546233925290874</v>
      </c>
      <c r="F1731" s="3">
        <f>EUR!B1731/1</f>
        <v>1.1166</v>
      </c>
      <c r="G1731" s="3">
        <f>EUR!C1731/1</f>
        <v>1.1180000000000001</v>
      </c>
      <c r="H1731" s="3">
        <f>GBP!B1731/1</f>
        <v>1.3197000000000001</v>
      </c>
      <c r="I1731" s="3">
        <f>GBP!C1731/1</f>
        <v>1.3204</v>
      </c>
      <c r="J1731" s="4">
        <f>1/INR!B1731</f>
        <v>1.4981834525637663E-2</v>
      </c>
      <c r="K1731" s="4">
        <f>1/INR!C1731</f>
        <v>1.4893696243065123E-2</v>
      </c>
      <c r="L1731" s="4">
        <f>1/JPY!B1731</f>
        <v>9.771350400625366E-3</v>
      </c>
      <c r="M1731" s="4">
        <f>1/JPY!C1731</f>
        <v>9.7823428711176341E-3</v>
      </c>
      <c r="N1731" s="5">
        <f>1/KRW!B1731</f>
        <v>9.0228277542181727E-4</v>
      </c>
      <c r="O1731" s="5">
        <f>1/KRW!C1731</f>
        <v>9.0227748371050789E-4</v>
      </c>
      <c r="P1731" s="3">
        <f>1/NOK!B1731</f>
        <v>0.11816978634902628</v>
      </c>
      <c r="Q1731" s="3">
        <f>1/NOK!C1731</f>
        <v>0.11817816540216029</v>
      </c>
      <c r="R1731" s="3">
        <f>NZD!B1731/1</f>
        <v>0.71850000000000003</v>
      </c>
      <c r="S1731" s="3">
        <f>NZD!C1731/1</f>
        <v>0.71740000000000004</v>
      </c>
      <c r="T1731" s="4">
        <f>1/PHP!B1731</f>
        <v>2.1281123643328365E-2</v>
      </c>
      <c r="U1731" s="4">
        <f>1/PHP!C1731</f>
        <v>2.1246759869119957E-2</v>
      </c>
      <c r="V1731" s="4">
        <f>1/TWD!B1731</f>
        <v>3.1605562579013903E-2</v>
      </c>
      <c r="W1731" s="4">
        <f>1/TWD!C1731</f>
        <v>3.1605662470488211E-2</v>
      </c>
      <c r="X1731" s="4">
        <f>1/TWD!B1731</f>
        <v>3.1605562579013903E-2</v>
      </c>
      <c r="Y1731" s="4">
        <f>1/TWD!C1731</f>
        <v>3.1605662470488211E-2</v>
      </c>
      <c r="Z1731" s="4">
        <f>1/ZAR!B1731</f>
        <v>7.1956940966525634E-2</v>
      </c>
      <c r="AA1731" s="4">
        <f>1/ZAR!C1731</f>
        <v>7.1487293133645491E-2</v>
      </c>
    </row>
    <row r="1732" spans="1:27" x14ac:dyDescent="0.25">
      <c r="A1732" t="str">
        <f>"02/08/2016"</f>
        <v>02/08/2016</v>
      </c>
      <c r="B1732" s="3">
        <f>AUD!B1732</f>
        <v>0.75770000000000004</v>
      </c>
      <c r="C1732" s="3">
        <f>AUD!C1732</f>
        <v>0.75690000000000002</v>
      </c>
      <c r="D1732" s="3">
        <f>1/CAD!B1732</f>
        <v>0.76546233925290874</v>
      </c>
      <c r="E1732" s="3">
        <f>1/CAD!C1732</f>
        <v>0.76557954371459191</v>
      </c>
      <c r="F1732" s="3">
        <f>EUR!B1732/1</f>
        <v>1.1191</v>
      </c>
      <c r="G1732" s="3">
        <f>EUR!C1732/1</f>
        <v>1.1205000000000001</v>
      </c>
      <c r="H1732" s="3">
        <f>GBP!B1732/1</f>
        <v>1.3242</v>
      </c>
      <c r="I1732" s="3">
        <f>GBP!C1732/1</f>
        <v>1.3249</v>
      </c>
      <c r="J1732" s="4">
        <f>1/INR!B1732</f>
        <v>1.4982956886541558E-2</v>
      </c>
      <c r="K1732" s="4">
        <f>1/INR!C1732</f>
        <v>1.4897024319392202E-2</v>
      </c>
      <c r="L1732" s="4">
        <f>1/JPY!B1732</f>
        <v>9.8222178567920638E-3</v>
      </c>
      <c r="M1732" s="4">
        <f>1/JPY!C1732</f>
        <v>9.8327740123715958E-3</v>
      </c>
      <c r="N1732" s="5">
        <f>1/KRW!B1732</f>
        <v>9.0041419052764281E-4</v>
      </c>
      <c r="O1732" s="5">
        <f>1/KRW!C1732</f>
        <v>9.0040892071134094E-4</v>
      </c>
      <c r="P1732" s="3">
        <f>1/NOK!B1732</f>
        <v>0.11830679317606417</v>
      </c>
      <c r="Q1732" s="3">
        <f>1/NOK!C1732</f>
        <v>0.11830819284235433</v>
      </c>
      <c r="R1732" s="3">
        <f>NZD!B1732/1</f>
        <v>0.71970000000000001</v>
      </c>
      <c r="S1732" s="3">
        <f>NZD!C1732/1</f>
        <v>0.71860000000000002</v>
      </c>
      <c r="T1732" s="4">
        <f>1/PHP!B1732</f>
        <v>2.1292451825827743E-2</v>
      </c>
      <c r="U1732" s="4">
        <f>1/PHP!C1732</f>
        <v>2.1254436863695297E-2</v>
      </c>
      <c r="V1732" s="4">
        <f>1/TWD!B1732</f>
        <v>3.1564660206432879E-2</v>
      </c>
      <c r="W1732" s="4">
        <f>1/TWD!C1732</f>
        <v>3.156475983952476E-2</v>
      </c>
      <c r="X1732" s="4">
        <f>1/TWD!B1732</f>
        <v>3.1564660206432879E-2</v>
      </c>
      <c r="Y1732" s="4">
        <f>1/TWD!C1732</f>
        <v>3.156475983952476E-2</v>
      </c>
      <c r="Z1732" s="4">
        <f>1/ZAR!B1732</f>
        <v>7.1483205020980323E-2</v>
      </c>
      <c r="AA1732" s="4">
        <f>1/ZAR!C1732</f>
        <v>7.1029789893881493E-2</v>
      </c>
    </row>
    <row r="1733" spans="1:27" x14ac:dyDescent="0.25">
      <c r="A1733" t="str">
        <f>"03/08/2016"</f>
        <v>03/08/2016</v>
      </c>
      <c r="B1733" s="3">
        <f>AUD!B1733</f>
        <v>0.75890000000000002</v>
      </c>
      <c r="C1733" s="3">
        <f>AUD!C1733</f>
        <v>0.75819999999999999</v>
      </c>
      <c r="D1733" s="3">
        <f>1/CAD!B1733</f>
        <v>0.76242756938090872</v>
      </c>
      <c r="E1733" s="3">
        <f>1/CAD!C1733</f>
        <v>0.76260199801723483</v>
      </c>
      <c r="F1733" s="3">
        <f>EUR!B1733/1</f>
        <v>1.1198999999999999</v>
      </c>
      <c r="G1733" s="3">
        <f>EUR!C1733/1</f>
        <v>1.1213</v>
      </c>
      <c r="H1733" s="3">
        <f>GBP!B1733/1</f>
        <v>1.3351999999999999</v>
      </c>
      <c r="I1733" s="3">
        <f>GBP!C1733/1</f>
        <v>1.3358000000000001</v>
      </c>
      <c r="J1733" s="4">
        <f>1/INR!B1733</f>
        <v>1.4925930072017613E-2</v>
      </c>
      <c r="K1733" s="4">
        <f>1/INR!C1733</f>
        <v>1.4841749842306408E-2</v>
      </c>
      <c r="L1733" s="4">
        <f>1/JPY!B1733</f>
        <v>9.8872849515523036E-3</v>
      </c>
      <c r="M1733" s="4">
        <f>1/JPY!C1733</f>
        <v>9.8977757718285552E-3</v>
      </c>
      <c r="N1733" s="5">
        <f>1/KRW!B1733</f>
        <v>8.9481454968457787E-4</v>
      </c>
      <c r="O1733" s="5">
        <f>1/KRW!C1733</f>
        <v>8.9480774384517671E-4</v>
      </c>
      <c r="P1733" s="3">
        <f>1/NOK!B1733</f>
        <v>0.11855364552459988</v>
      </c>
      <c r="Q1733" s="3">
        <f>1/NOK!C1733</f>
        <v>0.11855645658462562</v>
      </c>
      <c r="R1733" s="3">
        <f>NZD!B1733/1</f>
        <v>0.71809999999999996</v>
      </c>
      <c r="S1733" s="3">
        <f>NZD!C1733/1</f>
        <v>0.71699999999999997</v>
      </c>
      <c r="T1733" s="4">
        <f>1/PHP!B1733</f>
        <v>2.1260763261401087E-2</v>
      </c>
      <c r="U1733" s="4">
        <f>1/PHP!C1733</f>
        <v>2.1223311685555413E-2</v>
      </c>
      <c r="V1733" s="4">
        <f>1/TWD!B1733</f>
        <v>3.1496062992125984E-2</v>
      </c>
      <c r="W1733" s="4">
        <f>1/TWD!C1733</f>
        <v>3.1496162192636824E-2</v>
      </c>
      <c r="X1733" s="4">
        <f>1/TWD!B1733</f>
        <v>3.1496062992125984E-2</v>
      </c>
      <c r="Y1733" s="4">
        <f>1/TWD!C1733</f>
        <v>3.1496162192636824E-2</v>
      </c>
      <c r="Z1733" s="4">
        <f>1/ZAR!B1733</f>
        <v>7.1358232599294982E-2</v>
      </c>
      <c r="AA1733" s="4">
        <f>1/ZAR!C1733</f>
        <v>7.0905893697884179E-2</v>
      </c>
    </row>
    <row r="1734" spans="1:27" x14ac:dyDescent="0.25">
      <c r="A1734" t="str">
        <f>"04/08/2016"</f>
        <v>04/08/2016</v>
      </c>
      <c r="B1734" s="3">
        <f>AUD!B1734</f>
        <v>0.7621</v>
      </c>
      <c r="C1734" s="3">
        <f>AUD!C1734</f>
        <v>0.76139999999999997</v>
      </c>
      <c r="D1734" s="3">
        <f>1/CAD!B1734</f>
        <v>0.76546233925290874</v>
      </c>
      <c r="E1734" s="3">
        <f>1/CAD!C1734</f>
        <v>0.76563815940586477</v>
      </c>
      <c r="F1734" s="3">
        <f>EUR!B1734/1</f>
        <v>1.1127</v>
      </c>
      <c r="G1734" s="3">
        <f>EUR!C1734/1</f>
        <v>1.1141000000000001</v>
      </c>
      <c r="H1734" s="3">
        <f>GBP!B1734/1</f>
        <v>1.3154999999999999</v>
      </c>
      <c r="I1734" s="3">
        <f>GBP!C1734/1</f>
        <v>1.3161</v>
      </c>
      <c r="J1734" s="4">
        <f>1/INR!B1734</f>
        <v>1.4942657551645561E-2</v>
      </c>
      <c r="K1734" s="4">
        <f>1/INR!C1734</f>
        <v>1.4862153526045925E-2</v>
      </c>
      <c r="L1734" s="4">
        <f>1/JPY!B1734</f>
        <v>9.8823994465856314E-3</v>
      </c>
      <c r="M1734" s="4">
        <f>1/JPY!C1734</f>
        <v>9.8923514317200232E-3</v>
      </c>
      <c r="N1734" s="5">
        <f>1/KRW!B1734</f>
        <v>8.9750493627714948E-4</v>
      </c>
      <c r="O1734" s="5">
        <f>1/KRW!C1734</f>
        <v>8.9749970045947499E-4</v>
      </c>
      <c r="P1734" s="3">
        <f>1/NOK!B1734</f>
        <v>0.11822147611335075</v>
      </c>
      <c r="Q1734" s="3">
        <f>1/NOK!C1734</f>
        <v>0.11822427144292723</v>
      </c>
      <c r="R1734" s="3">
        <f>NZD!B1734/1</f>
        <v>0.71889999999999998</v>
      </c>
      <c r="S1734" s="3">
        <f>NZD!C1734/1</f>
        <v>0.71789999999999998</v>
      </c>
      <c r="T1734" s="4">
        <f>1/PHP!B1734</f>
        <v>2.1267545725223307E-2</v>
      </c>
      <c r="U1734" s="4">
        <f>1/PHP!C1734</f>
        <v>2.1231873288180218E-2</v>
      </c>
      <c r="V1734" s="4">
        <f>1/TWD!B1734</f>
        <v>3.1535793125197095E-2</v>
      </c>
      <c r="W1734" s="4">
        <f>1/TWD!C1734</f>
        <v>3.1535892576135531E-2</v>
      </c>
      <c r="X1734" s="4">
        <f>1/TWD!B1734</f>
        <v>3.1535793125197095E-2</v>
      </c>
      <c r="Y1734" s="4">
        <f>1/TWD!C1734</f>
        <v>3.1535892576135531E-2</v>
      </c>
      <c r="Z1734" s="4">
        <f>1/ZAR!B1734</f>
        <v>7.2763786918526391E-2</v>
      </c>
      <c r="AA1734" s="4">
        <f>1/ZAR!C1734</f>
        <v>7.2319652865666245E-2</v>
      </c>
    </row>
    <row r="1735" spans="1:27" x14ac:dyDescent="0.25">
      <c r="A1735" t="str">
        <f>"05/08/2016"</f>
        <v>05/08/2016</v>
      </c>
      <c r="B1735" s="3">
        <f>AUD!B1735</f>
        <v>0.76539999999999997</v>
      </c>
      <c r="C1735" s="3">
        <f>AUD!C1735</f>
        <v>0.76470000000000005</v>
      </c>
      <c r="D1735" s="3">
        <f>1/CAD!B1735</f>
        <v>0.76769537847382163</v>
      </c>
      <c r="E1735" s="3">
        <f>1/CAD!C1735</f>
        <v>0.76781326781326786</v>
      </c>
      <c r="F1735" s="3">
        <f>EUR!B1735/1</f>
        <v>1.1135999999999999</v>
      </c>
      <c r="G1735" s="3">
        <f>EUR!C1735/1</f>
        <v>1.1149</v>
      </c>
      <c r="H1735" s="3">
        <f>GBP!B1735/1</f>
        <v>1.3132999999999999</v>
      </c>
      <c r="I1735" s="3">
        <f>GBP!C1735/1</f>
        <v>1.3139000000000001</v>
      </c>
      <c r="J1735" s="4">
        <f>1/INR!B1735</f>
        <v>1.4963339817447255E-2</v>
      </c>
      <c r="K1735" s="4">
        <f>1/INR!C1735</f>
        <v>1.4882613386910742E-2</v>
      </c>
      <c r="L1735" s="4">
        <f>1/JPY!B1735</f>
        <v>9.8843530690916285E-3</v>
      </c>
      <c r="M1735" s="4">
        <f>1/JPY!C1735</f>
        <v>9.8946320631594156E-3</v>
      </c>
      <c r="N1735" s="5">
        <f>1/KRW!B1735</f>
        <v>9.0029259509340535E-4</v>
      </c>
      <c r="O1735" s="5">
        <f>1/KRW!C1735</f>
        <v>9.0028732670031648E-4</v>
      </c>
      <c r="P1735" s="3">
        <f>1/NOK!B1735</f>
        <v>0.11850026070057354</v>
      </c>
      <c r="Q1735" s="3">
        <f>1/NOK!C1735</f>
        <v>0.11849885648603491</v>
      </c>
      <c r="R1735" s="3">
        <f>NZD!B1735/1</f>
        <v>0.71960000000000002</v>
      </c>
      <c r="S1735" s="3">
        <f>NZD!C1735/1</f>
        <v>0.71860000000000002</v>
      </c>
      <c r="T1735" s="4">
        <f>1/PHP!B1735</f>
        <v>2.1287919105907396E-2</v>
      </c>
      <c r="U1735" s="4">
        <f>1/PHP!C1735</f>
        <v>2.1252630012964107E-2</v>
      </c>
      <c r="V1735" s="4">
        <f>1/TWD!B1735</f>
        <v>3.1670625494853527E-2</v>
      </c>
      <c r="W1735" s="4">
        <f>1/TWD!C1735</f>
        <v>3.1670725798023117E-2</v>
      </c>
      <c r="X1735" s="4">
        <f>1/TWD!B1735</f>
        <v>3.1670625494853527E-2</v>
      </c>
      <c r="Y1735" s="4">
        <f>1/TWD!C1735</f>
        <v>3.1670725798023117E-2</v>
      </c>
      <c r="Z1735" s="4">
        <f>1/ZAR!B1735</f>
        <v>7.2883641266717689E-2</v>
      </c>
      <c r="AA1735" s="4">
        <f>1/ZAR!C1735</f>
        <v>7.2436997921058163E-2</v>
      </c>
    </row>
    <row r="1736" spans="1:27" x14ac:dyDescent="0.25">
      <c r="A1736" t="str">
        <f>"08/08/2016"</f>
        <v>08/08/2016</v>
      </c>
      <c r="B1736" s="3">
        <f>AUD!B1736</f>
        <v>0.76359999999999995</v>
      </c>
      <c r="C1736" s="3">
        <f>AUD!C1736</f>
        <v>0.76290000000000002</v>
      </c>
      <c r="D1736" s="3">
        <f>1/CAD!B1736</f>
        <v>0.75987841945288748</v>
      </c>
      <c r="E1736" s="3">
        <f>1/CAD!C1736</f>
        <v>0.75999392004863953</v>
      </c>
      <c r="F1736" s="3">
        <f>EUR!B1736/1</f>
        <v>1.1083000000000001</v>
      </c>
      <c r="G1736" s="3">
        <f>EUR!C1736/1</f>
        <v>1.1096999999999999</v>
      </c>
      <c r="H1736" s="3">
        <f>GBP!B1736/1</f>
        <v>1.3061</v>
      </c>
      <c r="I1736" s="3">
        <f>GBP!C1736/1</f>
        <v>1.3068</v>
      </c>
      <c r="J1736" s="4">
        <f>1/INR!B1736</f>
        <v>1.4958863126402395E-2</v>
      </c>
      <c r="K1736" s="4">
        <f>1/INR!C1736</f>
        <v>1.4873205919535957E-2</v>
      </c>
      <c r="L1736" s="4">
        <f>1/JPY!B1736</f>
        <v>9.7675327212346161E-3</v>
      </c>
      <c r="M1736" s="4">
        <f>1/JPY!C1736</f>
        <v>9.7787174038678742E-3</v>
      </c>
      <c r="N1736" s="5">
        <f>1/KRW!B1736</f>
        <v>9.0207929276983449E-4</v>
      </c>
      <c r="O1736" s="5">
        <f>1/KRW!C1736</f>
        <v>9.0207359657645022E-4</v>
      </c>
      <c r="P1736" s="3">
        <f>1/NOK!B1736</f>
        <v>0.11788699352800407</v>
      </c>
      <c r="Q1736" s="3">
        <f>1/NOK!C1736</f>
        <v>0.11788977306218686</v>
      </c>
      <c r="R1736" s="3">
        <f>NZD!B1736/1</f>
        <v>0.71260000000000001</v>
      </c>
      <c r="S1736" s="3">
        <f>NZD!C1736/1</f>
        <v>0.71150000000000002</v>
      </c>
      <c r="T1736" s="4">
        <f>1/PHP!B1736</f>
        <v>2.1351553325504431E-2</v>
      </c>
      <c r="U1736" s="4">
        <f>1/PHP!C1736</f>
        <v>2.1316961906589073E-2</v>
      </c>
      <c r="V1736" s="4">
        <f>1/TWD!B1736</f>
        <v>3.1735956839098696E-2</v>
      </c>
      <c r="W1736" s="4">
        <f>1/TWD!C1736</f>
        <v>3.1736057556513986E-2</v>
      </c>
      <c r="X1736" s="4">
        <f>1/TWD!B1736</f>
        <v>3.1735956839098696E-2</v>
      </c>
      <c r="Y1736" s="4">
        <f>1/TWD!C1736</f>
        <v>3.1736057556513986E-2</v>
      </c>
      <c r="Z1736" s="4">
        <f>1/ZAR!B1736</f>
        <v>7.3330449002339232E-2</v>
      </c>
      <c r="AA1736" s="4">
        <f>1/ZAR!C1736</f>
        <v>7.2873549816358657E-2</v>
      </c>
    </row>
    <row r="1737" spans="1:27" x14ac:dyDescent="0.25">
      <c r="A1737" t="str">
        <f>"09/08/2016"</f>
        <v>09/08/2016</v>
      </c>
      <c r="B1737" s="3">
        <f>AUD!B1737</f>
        <v>0.7661</v>
      </c>
      <c r="C1737" s="3">
        <f>AUD!C1737</f>
        <v>0.76539999999999997</v>
      </c>
      <c r="D1737" s="3">
        <f>1/CAD!B1737</f>
        <v>0.75999392004863953</v>
      </c>
      <c r="E1737" s="3">
        <f>1/CAD!C1737</f>
        <v>0.7601672367920943</v>
      </c>
      <c r="F1737" s="3">
        <f>EUR!B1737/1</f>
        <v>1.1075999999999999</v>
      </c>
      <c r="G1737" s="3">
        <f>EUR!C1737/1</f>
        <v>1.109</v>
      </c>
      <c r="H1737" s="3">
        <f>GBP!B1737/1</f>
        <v>1.2969999999999999</v>
      </c>
      <c r="I1737" s="3">
        <f>GBP!C1737/1</f>
        <v>1.2977000000000001</v>
      </c>
      <c r="J1737" s="4">
        <f>1/INR!B1737</f>
        <v>1.4959422566288943E-2</v>
      </c>
      <c r="K1737" s="4">
        <f>1/INR!C1737</f>
        <v>1.487652484379649E-2</v>
      </c>
      <c r="L1737" s="4">
        <f>1/JPY!B1737</f>
        <v>9.7789947193428518E-3</v>
      </c>
      <c r="M1737" s="4">
        <f>1/JPY!C1737</f>
        <v>9.789199380539463E-3</v>
      </c>
      <c r="N1737" s="5">
        <f>1/KRW!B1737</f>
        <v>9.0387309621729121E-4</v>
      </c>
      <c r="O1737" s="5">
        <f>1/KRW!C1737</f>
        <v>9.0386901130288199E-4</v>
      </c>
      <c r="P1737" s="3">
        <f>1/NOK!B1737</f>
        <v>0.11820470691142922</v>
      </c>
      <c r="Q1737" s="3">
        <f>1/NOK!C1737</f>
        <v>0.1182088987658991</v>
      </c>
      <c r="R1737" s="3">
        <f>NZD!B1737/1</f>
        <v>0.71399999999999997</v>
      </c>
      <c r="S1737" s="3">
        <f>NZD!C1737/1</f>
        <v>0.71299999999999997</v>
      </c>
      <c r="T1737" s="4">
        <f>1/PHP!B1737</f>
        <v>2.1340162185232606E-2</v>
      </c>
      <c r="U1737" s="4">
        <f>1/PHP!C1737</f>
        <v>2.130379207498935E-2</v>
      </c>
      <c r="V1737" s="4">
        <f>1/TWD!B1737</f>
        <v>3.1793469621339776E-2</v>
      </c>
      <c r="W1737" s="4">
        <f>1/TWD!C1737</f>
        <v>3.1793570704132211E-2</v>
      </c>
      <c r="X1737" s="4">
        <f>1/TWD!B1737</f>
        <v>3.1793469621339776E-2</v>
      </c>
      <c r="Y1737" s="4">
        <f>1/TWD!C1737</f>
        <v>3.1793570704132211E-2</v>
      </c>
      <c r="Z1737" s="4">
        <f>1/ZAR!B1737</f>
        <v>7.362469077629874E-2</v>
      </c>
      <c r="AA1737" s="4">
        <f>1/ZAR!C1737</f>
        <v>7.3172694877179631E-2</v>
      </c>
    </row>
    <row r="1738" spans="1:27" x14ac:dyDescent="0.25">
      <c r="A1738" t="str">
        <f>"10/08/2016"</f>
        <v>10/08/2016</v>
      </c>
      <c r="B1738" s="3">
        <f>AUD!B1738</f>
        <v>0.77339999999999998</v>
      </c>
      <c r="C1738" s="3">
        <f>AUD!C1738</f>
        <v>0.77270000000000005</v>
      </c>
      <c r="D1738" s="3">
        <f>1/CAD!B1738</f>
        <v>0.76846230692384543</v>
      </c>
      <c r="E1738" s="3">
        <f>1/CAD!C1738</f>
        <v>0.76863950807071491</v>
      </c>
      <c r="F1738" s="3">
        <f>EUR!B1738/1</f>
        <v>1.1183000000000001</v>
      </c>
      <c r="G1738" s="3">
        <f>EUR!C1738/1</f>
        <v>1.1195999999999999</v>
      </c>
      <c r="H1738" s="3">
        <f>GBP!B1738/1</f>
        <v>1.3075000000000001</v>
      </c>
      <c r="I1738" s="3">
        <f>GBP!C1738/1</f>
        <v>1.3082</v>
      </c>
      <c r="J1738" s="4">
        <f>1/INR!B1738</f>
        <v>1.498800959232614E-2</v>
      </c>
      <c r="K1738" s="4">
        <f>1/INR!C1738</f>
        <v>1.4905906465436929E-2</v>
      </c>
      <c r="L1738" s="4">
        <f>1/JPY!B1738</f>
        <v>9.8784945174355421E-3</v>
      </c>
      <c r="M1738" s="4">
        <f>1/JPY!C1738</f>
        <v>9.8890840334804834E-3</v>
      </c>
      <c r="N1738" s="5">
        <f>1/KRW!B1738</f>
        <v>9.130335539831089E-4</v>
      </c>
      <c r="O1738" s="5">
        <f>1/KRW!C1738</f>
        <v>9.130293858507835E-4</v>
      </c>
      <c r="P1738" s="3">
        <f>1/NOK!B1738</f>
        <v>0.12056327160493828</v>
      </c>
      <c r="Q1738" s="3">
        <f>1/NOK!C1738</f>
        <v>0.12056763241340229</v>
      </c>
      <c r="R1738" s="3">
        <f>NZD!B1738/1</f>
        <v>0.72470000000000001</v>
      </c>
      <c r="S1738" s="3">
        <f>NZD!C1738/1</f>
        <v>0.72370000000000001</v>
      </c>
      <c r="T1738" s="4">
        <f>1/PHP!B1738</f>
        <v>2.1390374331550801E-2</v>
      </c>
      <c r="U1738" s="4">
        <f>1/PHP!C1738</f>
        <v>2.1354745024344406E-2</v>
      </c>
      <c r="V1738" s="4">
        <f>1/TWD!B1738</f>
        <v>3.2025620496397116E-2</v>
      </c>
      <c r="W1738" s="4">
        <f>1/TWD!C1738</f>
        <v>3.2025723060762401E-2</v>
      </c>
      <c r="X1738" s="4">
        <f>1/TWD!B1738</f>
        <v>3.2025620496397116E-2</v>
      </c>
      <c r="Y1738" s="4">
        <f>1/TWD!C1738</f>
        <v>3.2025723060762401E-2</v>
      </c>
      <c r="Z1738" s="4">
        <f>1/ZAR!B1738</f>
        <v>7.5366469457738255E-2</v>
      </c>
      <c r="AA1738" s="4">
        <f>1/ZAR!C1738</f>
        <v>7.4923765069042247E-2</v>
      </c>
    </row>
    <row r="1739" spans="1:27" x14ac:dyDescent="0.25">
      <c r="A1739" t="str">
        <f>"11/08/2016"</f>
        <v>11/08/2016</v>
      </c>
      <c r="B1739" s="3">
        <f>AUD!B1739</f>
        <v>0.77190000000000003</v>
      </c>
      <c r="C1739" s="3">
        <f>AUD!C1739</f>
        <v>0.7712</v>
      </c>
      <c r="D1739" s="3">
        <f>1/CAD!B1739</f>
        <v>0.76675356540407913</v>
      </c>
      <c r="E1739" s="3">
        <f>1/CAD!C1739</f>
        <v>0.76692997929289053</v>
      </c>
      <c r="F1739" s="3">
        <f>EUR!B1739/1</f>
        <v>1.115</v>
      </c>
      <c r="G1739" s="3">
        <f>EUR!C1739/1</f>
        <v>1.1163000000000001</v>
      </c>
      <c r="H1739" s="3">
        <f>GBP!B1739/1</f>
        <v>1.2988</v>
      </c>
      <c r="I1739" s="3">
        <f>GBP!C1739/1</f>
        <v>1.2994000000000001</v>
      </c>
      <c r="J1739" s="4">
        <f>1/INR!B1739</f>
        <v>1.4958863126402395E-2</v>
      </c>
      <c r="K1739" s="4">
        <f>1/INR!C1739</f>
        <v>1.4877078141852939E-2</v>
      </c>
      <c r="L1739" s="4">
        <f>1/JPY!B1739</f>
        <v>9.8687456824237633E-3</v>
      </c>
      <c r="M1739" s="4">
        <f>1/JPY!C1739</f>
        <v>9.8791776572518097E-3</v>
      </c>
      <c r="N1739" s="5">
        <f>1/KRW!B1739</f>
        <v>9.0925622840516457E-4</v>
      </c>
      <c r="O1739" s="5">
        <f>1/KRW!C1739</f>
        <v>9.0925002784578222E-4</v>
      </c>
      <c r="P1739" s="3">
        <f>1/NOK!B1739</f>
        <v>0.12081672103419114</v>
      </c>
      <c r="Q1739" s="3">
        <f>1/NOK!C1739</f>
        <v>0.12081964044075005</v>
      </c>
      <c r="R1739" s="3">
        <f>NZD!B1739/1</f>
        <v>0.72509999999999997</v>
      </c>
      <c r="S1739" s="3">
        <f>NZD!C1739/1</f>
        <v>0.72409999999999997</v>
      </c>
      <c r="T1739" s="4">
        <f>1/PHP!B1739</f>
        <v>2.137208805300278E-2</v>
      </c>
      <c r="U1739" s="4">
        <f>1/PHP!C1739</f>
        <v>2.1337885415555317E-2</v>
      </c>
      <c r="V1739" s="4">
        <f>1/TWD!B1739</f>
        <v>3.192338387869114E-2</v>
      </c>
      <c r="W1739" s="4">
        <f>1/TWD!C1739</f>
        <v>3.1923485789260304E-2</v>
      </c>
      <c r="X1739" s="4">
        <f>1/TWD!B1739</f>
        <v>3.192338387869114E-2</v>
      </c>
      <c r="Y1739" s="4">
        <f>1/TWD!C1739</f>
        <v>3.1923485789260304E-2</v>
      </c>
      <c r="Z1739" s="4">
        <f>1/ZAR!B1739</f>
        <v>7.4928817623257898E-2</v>
      </c>
      <c r="AA1739" s="4">
        <f>1/ZAR!C1739</f>
        <v>7.4473472549078018E-2</v>
      </c>
    </row>
    <row r="1740" spans="1:27" x14ac:dyDescent="0.25">
      <c r="A1740" t="str">
        <f>"12/08/2016"</f>
        <v>12/08/2016</v>
      </c>
      <c r="B1740" s="3">
        <f>AUD!B1740</f>
        <v>0.76800000000000002</v>
      </c>
      <c r="C1740" s="3">
        <f>AUD!C1740</f>
        <v>0.76729999999999998</v>
      </c>
      <c r="D1740" s="3">
        <f>1/CAD!B1740</f>
        <v>0.77047538331150311</v>
      </c>
      <c r="E1740" s="3">
        <f>1/CAD!C1740</f>
        <v>0.77059412807274408</v>
      </c>
      <c r="F1740" s="3">
        <f>EUR!B1740/1</f>
        <v>1.1137999999999999</v>
      </c>
      <c r="G1740" s="3">
        <f>EUR!C1740/1</f>
        <v>1.1151</v>
      </c>
      <c r="H1740" s="3">
        <f>GBP!B1740/1</f>
        <v>1.2969999999999999</v>
      </c>
      <c r="I1740" s="3">
        <f>GBP!C1740/1</f>
        <v>1.2976000000000001</v>
      </c>
      <c r="J1740" s="4">
        <f>1/INR!B1740</f>
        <v>1.4966699094514705E-2</v>
      </c>
      <c r="K1740" s="4">
        <f>1/INR!C1740</f>
        <v>1.4882059677059306E-2</v>
      </c>
      <c r="L1740" s="4">
        <f>1/JPY!B1740</f>
        <v>9.7914422794477627E-3</v>
      </c>
      <c r="M1740" s="4">
        <f>1/JPY!C1740</f>
        <v>9.8016249133781406E-3</v>
      </c>
      <c r="N1740" s="5">
        <f>1/KRW!B1740</f>
        <v>9.0748219066200825E-4</v>
      </c>
      <c r="O1740" s="5">
        <f>1/KRW!C1740</f>
        <v>9.0747807306105967E-4</v>
      </c>
      <c r="P1740" s="3">
        <f>1/NOK!B1740</f>
        <v>0.12134596949362327</v>
      </c>
      <c r="Q1740" s="3">
        <f>1/NOK!C1740</f>
        <v>0.12134007984177253</v>
      </c>
      <c r="R1740" s="3">
        <f>NZD!B1740/1</f>
        <v>0.71909999999999996</v>
      </c>
      <c r="S1740" s="3">
        <f>NZD!C1740/1</f>
        <v>0.71809999999999996</v>
      </c>
      <c r="T1740" s="4">
        <f>1/PHP!B1740</f>
        <v>2.1417862497322769E-2</v>
      </c>
      <c r="U1740" s="4">
        <f>1/PHP!C1740</f>
        <v>2.1384885163166674E-2</v>
      </c>
      <c r="V1740" s="4">
        <f>1/TWD!B1740</f>
        <v>3.1905050569505156E-2</v>
      </c>
      <c r="W1740" s="4">
        <f>1/TWD!C1740</f>
        <v>3.1905152363055113E-2</v>
      </c>
      <c r="X1740" s="4">
        <f>1/TWD!B1740</f>
        <v>3.1905050569505156E-2</v>
      </c>
      <c r="Y1740" s="4">
        <f>1/TWD!C1740</f>
        <v>3.1905152363055113E-2</v>
      </c>
      <c r="Z1740" s="4">
        <f>1/ZAR!B1740</f>
        <v>7.4489005422799598E-2</v>
      </c>
      <c r="AA1740" s="4">
        <f>1/ZAR!C1740</f>
        <v>7.404061868340972E-2</v>
      </c>
    </row>
    <row r="1741" spans="1:27" x14ac:dyDescent="0.25">
      <c r="A1741" t="str">
        <f>"16/08/2016"</f>
        <v>16/08/2016</v>
      </c>
      <c r="B1741" s="3">
        <f>AUD!B1741</f>
        <v>0.77370000000000005</v>
      </c>
      <c r="C1741" s="3">
        <f>AUD!C1741</f>
        <v>0.77300000000000002</v>
      </c>
      <c r="D1741" s="3">
        <f>1/CAD!B1741</f>
        <v>0.78076202373516557</v>
      </c>
      <c r="E1741" s="3">
        <f>1/CAD!C1741</f>
        <v>0.78082298742874989</v>
      </c>
      <c r="F1741" s="3">
        <f>EUR!B1741/1</f>
        <v>1.1302000000000001</v>
      </c>
      <c r="G1741" s="3">
        <f>EUR!C1741/1</f>
        <v>1.1315</v>
      </c>
      <c r="H1741" s="3">
        <f>GBP!B1741/1</f>
        <v>1.2987</v>
      </c>
      <c r="I1741" s="3">
        <f>GBP!C1741/1</f>
        <v>1.2992999999999999</v>
      </c>
      <c r="J1741" s="4">
        <f>1/INR!B1741</f>
        <v>1.4976785981728321E-2</v>
      </c>
      <c r="K1741" s="4">
        <f>1/INR!C1741</f>
        <v>1.4894805436603984E-2</v>
      </c>
      <c r="L1741" s="4">
        <f>1/JPY!B1741</f>
        <v>1.0027073097362879E-2</v>
      </c>
      <c r="M1741" s="4">
        <f>1/JPY!C1741</f>
        <v>1.0037782212246897E-2</v>
      </c>
      <c r="N1741" s="5">
        <f>1/KRW!B1741</f>
        <v>9.1537370131356119E-4</v>
      </c>
      <c r="O1741" s="5">
        <f>1/KRW!C1741</f>
        <v>9.1536867388709484E-4</v>
      </c>
      <c r="P1741" s="3">
        <f>1/NOK!B1741</f>
        <v>0.12281692908550514</v>
      </c>
      <c r="Q1741" s="3">
        <f>1/NOK!C1741</f>
        <v>0.12282145445166362</v>
      </c>
      <c r="R1741" s="3">
        <f>NZD!B1741/1</f>
        <v>0.73009999999999997</v>
      </c>
      <c r="S1741" s="3">
        <f>NZD!C1741/1</f>
        <v>0.72899999999999998</v>
      </c>
      <c r="T1741" s="4">
        <f>1/PHP!B1741</f>
        <v>2.1326508850501174E-2</v>
      </c>
      <c r="U1741" s="4">
        <f>1/PHP!C1741</f>
        <v>2.1293812018227502E-2</v>
      </c>
      <c r="V1741" s="4">
        <f>1/TWD!B1741</f>
        <v>3.1969309462915603E-2</v>
      </c>
      <c r="W1741" s="4">
        <f>1/TWD!C1741</f>
        <v>3.1969411666917094E-2</v>
      </c>
      <c r="X1741" s="4">
        <f>1/TWD!B1741</f>
        <v>3.1969309462915603E-2</v>
      </c>
      <c r="Y1741" s="4">
        <f>1/TWD!C1741</f>
        <v>3.1969411666917094E-2</v>
      </c>
      <c r="Z1741" s="4">
        <f>1/ZAR!B1741</f>
        <v>7.5550384551457364E-2</v>
      </c>
      <c r="AA1741" s="4">
        <f>1/ZAR!C1741</f>
        <v>7.5075638705996289E-2</v>
      </c>
    </row>
    <row r="1742" spans="1:27" x14ac:dyDescent="0.25">
      <c r="A1742" t="str">
        <f>"18/08/2016"</f>
        <v>18/08/2016</v>
      </c>
      <c r="B1742" s="3">
        <f>AUD!B1742</f>
        <v>0.76890000000000003</v>
      </c>
      <c r="C1742" s="3">
        <f>AUD!C1742</f>
        <v>0.76819999999999999</v>
      </c>
      <c r="D1742" s="3">
        <f>1/CAD!B1742</f>
        <v>0.78009205086200173</v>
      </c>
      <c r="E1742" s="3">
        <f>1/CAD!C1742</f>
        <v>0.78015290997035414</v>
      </c>
      <c r="F1742" s="3">
        <f>EUR!B1742/1</f>
        <v>1.1334</v>
      </c>
      <c r="G1742" s="3">
        <f>EUR!C1742/1</f>
        <v>1.1347</v>
      </c>
      <c r="H1742" s="3">
        <f>GBP!B1742/1</f>
        <v>1.3149999999999999</v>
      </c>
      <c r="I1742" s="3">
        <f>GBP!C1742/1</f>
        <v>1.3156000000000001</v>
      </c>
      <c r="J1742" s="4">
        <f>1/INR!B1742</f>
        <v>1.4966699094514705E-2</v>
      </c>
      <c r="K1742" s="4">
        <f>1/INR!C1742</f>
        <v>1.48848286384103E-2</v>
      </c>
      <c r="L1742" s="4">
        <f>1/JPY!B1742</f>
        <v>9.9700897308075773E-3</v>
      </c>
      <c r="M1742" s="4">
        <f>1/JPY!C1742</f>
        <v>9.9804184190618005E-3</v>
      </c>
      <c r="N1742" s="5">
        <f>1/KRW!B1742</f>
        <v>9.0293453724604961E-4</v>
      </c>
      <c r="O1742" s="5">
        <f>1/KRW!C1742</f>
        <v>9.0292923788709144E-4</v>
      </c>
      <c r="P1742" s="3">
        <f>1/NOK!B1742</f>
        <v>0.12249197677552121</v>
      </c>
      <c r="Q1742" s="3">
        <f>1/NOK!C1742</f>
        <v>0.12249647822625098</v>
      </c>
      <c r="R1742" s="3">
        <f>NZD!B1742/1</f>
        <v>0.72850000000000004</v>
      </c>
      <c r="S1742" s="3">
        <f>NZD!C1742/1</f>
        <v>0.72750000000000004</v>
      </c>
      <c r="T1742" s="4">
        <f>1/PHP!B1742</f>
        <v>2.1592675764380724E-2</v>
      </c>
      <c r="U1742" s="4">
        <f>1/PHP!C1742</f>
        <v>2.1560087965158899E-2</v>
      </c>
      <c r="V1742" s="4">
        <f>1/TWD!B1742</f>
        <v>3.1846119550332792E-2</v>
      </c>
      <c r="W1742" s="4">
        <f>1/TWD!C1742</f>
        <v>3.1846220968188808E-2</v>
      </c>
      <c r="X1742" s="4">
        <f>1/TWD!B1742</f>
        <v>3.1846119550332792E-2</v>
      </c>
      <c r="Y1742" s="4">
        <f>1/TWD!C1742</f>
        <v>3.1846220968188808E-2</v>
      </c>
      <c r="Z1742" s="4">
        <f>1/ZAR!B1742</f>
        <v>7.5174404618715412E-2</v>
      </c>
      <c r="AA1742" s="4">
        <f>1/ZAR!C1742</f>
        <v>7.4717195415352891E-2</v>
      </c>
    </row>
    <row r="1743" spans="1:27" x14ac:dyDescent="0.25">
      <c r="A1743" t="str">
        <f>"19/08/2016"</f>
        <v>19/08/2016</v>
      </c>
      <c r="B1743" s="3">
        <f>AUD!B1743</f>
        <v>0.7621</v>
      </c>
      <c r="C1743" s="3">
        <f>AUD!C1743</f>
        <v>0.76149999999999995</v>
      </c>
      <c r="D1743" s="3">
        <f>1/CAD!B1743</f>
        <v>0.77990953049446265</v>
      </c>
      <c r="E1743" s="3">
        <f>1/CAD!C1743</f>
        <v>0.77997036112627716</v>
      </c>
      <c r="F1743" s="3">
        <f>EUR!B1743/1</f>
        <v>1.1328</v>
      </c>
      <c r="G1743" s="3">
        <f>EUR!C1743/1</f>
        <v>1.1341000000000001</v>
      </c>
      <c r="H1743" s="3">
        <f>GBP!B1743/1</f>
        <v>1.3123</v>
      </c>
      <c r="I1743" s="3">
        <f>GBP!C1743/1</f>
        <v>1.3129</v>
      </c>
      <c r="J1743" s="4">
        <f>1/INR!B1743</f>
        <v>1.4910907328710952E-2</v>
      </c>
      <c r="K1743" s="4">
        <f>1/INR!C1743</f>
        <v>1.4829644459274089E-2</v>
      </c>
      <c r="L1743" s="4">
        <f>1/JPY!B1743</f>
        <v>9.9820323417847863E-3</v>
      </c>
      <c r="M1743" s="4">
        <f>1/JPY!C1743</f>
        <v>9.9918766043206875E-3</v>
      </c>
      <c r="N1743" s="5">
        <f>1/KRW!B1743</f>
        <v>8.9473448754082217E-4</v>
      </c>
      <c r="O1743" s="5">
        <f>1/KRW!C1743</f>
        <v>8.9473088508121236E-4</v>
      </c>
      <c r="P1743" s="3">
        <f>1/NOK!B1743</f>
        <v>0.12185017302724571</v>
      </c>
      <c r="Q1743" s="3">
        <f>1/NOK!C1743</f>
        <v>0.12185462742947663</v>
      </c>
      <c r="R1743" s="3">
        <f>NZD!B1743/1</f>
        <v>0.72540000000000004</v>
      </c>
      <c r="S1743" s="3">
        <f>NZD!C1743/1</f>
        <v>0.72440000000000004</v>
      </c>
      <c r="T1743" s="4">
        <f>1/PHP!B1743</f>
        <v>2.1505376344086023E-2</v>
      </c>
      <c r="U1743" s="4">
        <f>1/PHP!C1743</f>
        <v>2.1476279449348195E-2</v>
      </c>
      <c r="V1743" s="4">
        <f>1/TWD!B1743</f>
        <v>3.162855425878483E-2</v>
      </c>
      <c r="W1743" s="4">
        <f>1/TWD!C1743</f>
        <v>3.1628654295645681E-2</v>
      </c>
      <c r="X1743" s="4">
        <f>1/TWD!B1743</f>
        <v>3.162855425878483E-2</v>
      </c>
      <c r="Y1743" s="4">
        <f>1/TWD!C1743</f>
        <v>3.1628654295645681E-2</v>
      </c>
      <c r="Z1743" s="4">
        <f>1/ZAR!B1743</f>
        <v>7.4038425943064451E-2</v>
      </c>
      <c r="AA1743" s="4">
        <f>1/ZAR!C1743</f>
        <v>7.3587849174344327E-2</v>
      </c>
    </row>
    <row r="1744" spans="1:27" x14ac:dyDescent="0.25">
      <c r="A1744" t="str">
        <f>"22/08/2016"</f>
        <v>22/08/2016</v>
      </c>
      <c r="B1744" s="3">
        <f>AUD!B1744</f>
        <v>0.75929999999999997</v>
      </c>
      <c r="C1744" s="3">
        <f>AUD!C1744</f>
        <v>0.75860000000000005</v>
      </c>
      <c r="D1744" s="3">
        <f>1/CAD!B1744</f>
        <v>0.77423350882626196</v>
      </c>
      <c r="E1744" s="3">
        <f>1/CAD!C1744</f>
        <v>0.77429345722028642</v>
      </c>
      <c r="F1744" s="3">
        <f>EUR!B1744/1</f>
        <v>1.1282000000000001</v>
      </c>
      <c r="G1744" s="3">
        <f>EUR!C1744/1</f>
        <v>1.1294999999999999</v>
      </c>
      <c r="H1744" s="3">
        <f>GBP!B1744/1</f>
        <v>1.3044</v>
      </c>
      <c r="I1744" s="3">
        <f>GBP!C1744/1</f>
        <v>1.3049999999999999</v>
      </c>
      <c r="J1744" s="4">
        <f>1/INR!B1744</f>
        <v>1.488095238095238E-2</v>
      </c>
      <c r="K1744" s="4">
        <f>1/INR!C1744</f>
        <v>1.479563528759016E-2</v>
      </c>
      <c r="L1744" s="4">
        <f>1/JPY!B1744</f>
        <v>9.9226036912085733E-3</v>
      </c>
      <c r="M1744" s="4">
        <f>1/JPY!C1744</f>
        <v>9.9331104343351861E-3</v>
      </c>
      <c r="N1744" s="5">
        <f>1/KRW!B1744</f>
        <v>8.8731144631765753E-4</v>
      </c>
      <c r="O1744" s="5">
        <f>1/KRW!C1744</f>
        <v>8.8730750972710844E-4</v>
      </c>
      <c r="P1744" s="3">
        <f>1/NOK!B1744</f>
        <v>0.12105218559721097</v>
      </c>
      <c r="Q1744" s="3">
        <f>1/NOK!C1744</f>
        <v>0.12105072025178551</v>
      </c>
      <c r="R1744" s="3">
        <f>NZD!B1744/1</f>
        <v>0.72209999999999996</v>
      </c>
      <c r="S1744" s="3">
        <f>NZD!C1744/1</f>
        <v>0.72099999999999997</v>
      </c>
      <c r="T1744" s="4">
        <f>1/PHP!B1744</f>
        <v>2.1427040925648167E-2</v>
      </c>
      <c r="U1744" s="4">
        <f>1/PHP!C1744</f>
        <v>2.1397239756071468E-2</v>
      </c>
      <c r="V1744" s="4">
        <f>1/TWD!B1744</f>
        <v>3.1407035175879394E-2</v>
      </c>
      <c r="W1744" s="4">
        <f>1/TWD!C1744</f>
        <v>3.140723245749031E-2</v>
      </c>
      <c r="X1744" s="4">
        <f>1/TWD!B1744</f>
        <v>3.1407035175879394E-2</v>
      </c>
      <c r="Y1744" s="4">
        <f>1/TWD!C1744</f>
        <v>3.140723245749031E-2</v>
      </c>
      <c r="Z1744" s="4">
        <f>1/ZAR!B1744</f>
        <v>7.3542930685787822E-2</v>
      </c>
      <c r="AA1744" s="4">
        <f>1/ZAR!C1744</f>
        <v>7.3099415204678359E-2</v>
      </c>
    </row>
    <row r="1745" spans="1:27" x14ac:dyDescent="0.25">
      <c r="A1745" t="str">
        <f>"23/08/2016"</f>
        <v>23/08/2016</v>
      </c>
      <c r="B1745" s="3">
        <f>AUD!B1745</f>
        <v>0.76439999999999997</v>
      </c>
      <c r="C1745" s="3">
        <f>AUD!C1745</f>
        <v>0.76370000000000005</v>
      </c>
      <c r="D1745" s="3">
        <f>1/CAD!B1745</f>
        <v>0.77423350882626196</v>
      </c>
      <c r="E1745" s="3">
        <f>1/CAD!C1745</f>
        <v>0.77429345722028642</v>
      </c>
      <c r="F1745" s="3">
        <f>EUR!B1745/1</f>
        <v>1.1337999999999999</v>
      </c>
      <c r="G1745" s="3">
        <f>EUR!C1745/1</f>
        <v>1.1351</v>
      </c>
      <c r="H1745" s="3">
        <f>GBP!B1745/1</f>
        <v>1.3166</v>
      </c>
      <c r="I1745" s="3">
        <f>GBP!C1745/1</f>
        <v>1.3171999999999999</v>
      </c>
      <c r="J1745" s="4">
        <f>1/INR!B1745</f>
        <v>1.4905351021016543E-2</v>
      </c>
      <c r="K1745" s="4">
        <f>1/INR!C1745</f>
        <v>1.4820852940086704E-2</v>
      </c>
      <c r="L1745" s="4">
        <f>1/JPY!B1745</f>
        <v>9.9860195725983616E-3</v>
      </c>
      <c r="M1745" s="4">
        <f>1/JPY!C1745</f>
        <v>9.9960615517486109E-3</v>
      </c>
      <c r="N1745" s="5">
        <f>1/KRW!B1745</f>
        <v>8.9609749540750028E-4</v>
      </c>
      <c r="O1745" s="5">
        <f>1/KRW!C1745</f>
        <v>8.9609348047188292E-4</v>
      </c>
      <c r="P1745" s="3">
        <f>1/NOK!B1745</f>
        <v>0.12175522329907952</v>
      </c>
      <c r="Q1745" s="3">
        <f>1/NOK!C1745</f>
        <v>0.12174929385409565</v>
      </c>
      <c r="R1745" s="3">
        <f>NZD!B1745/1</f>
        <v>0.73260000000000003</v>
      </c>
      <c r="S1745" s="3">
        <f>NZD!C1745/1</f>
        <v>0.73150000000000004</v>
      </c>
      <c r="T1745" s="4">
        <f>1/PHP!B1745</f>
        <v>2.1484584810398537E-2</v>
      </c>
      <c r="U1745" s="4">
        <f>1/PHP!C1745</f>
        <v>2.1453702909122113E-2</v>
      </c>
      <c r="V1745" s="4">
        <f>1/TWD!B1745</f>
        <v>3.1513929156687256E-2</v>
      </c>
      <c r="W1745" s="4">
        <f>1/TWD!C1745</f>
        <v>3.1514127783485335E-2</v>
      </c>
      <c r="X1745" s="4">
        <f>1/TWD!B1745</f>
        <v>3.1513929156687256E-2</v>
      </c>
      <c r="Y1745" s="4">
        <f>1/TWD!C1745</f>
        <v>3.1514127783485335E-2</v>
      </c>
      <c r="Z1745" s="4">
        <f>1/ZAR!B1745</f>
        <v>7.4188379132292717E-2</v>
      </c>
      <c r="AA1745" s="4">
        <f>1/ZAR!C1745</f>
        <v>7.3718043228260546E-2</v>
      </c>
    </row>
    <row r="1746" spans="1:27" x14ac:dyDescent="0.25">
      <c r="A1746" t="str">
        <f>"24/08/2016"</f>
        <v>24/08/2016</v>
      </c>
      <c r="B1746" s="3">
        <f>AUD!B1746</f>
        <v>0.76090000000000002</v>
      </c>
      <c r="C1746" s="3">
        <f>AUD!C1746</f>
        <v>0.76029999999999998</v>
      </c>
      <c r="D1746" s="3">
        <f>1/CAD!B1746</f>
        <v>0.77345502359037821</v>
      </c>
      <c r="E1746" s="3">
        <f>1/CAD!C1746</f>
        <v>0.77351485148514854</v>
      </c>
      <c r="F1746" s="3">
        <f>EUR!B1746/1</f>
        <v>1.1294999999999999</v>
      </c>
      <c r="G1746" s="3">
        <f>EUR!C1746/1</f>
        <v>1.1308</v>
      </c>
      <c r="H1746" s="3">
        <f>GBP!B1746/1</f>
        <v>1.3176000000000001</v>
      </c>
      <c r="I1746" s="3">
        <f>GBP!C1746/1</f>
        <v>1.3183</v>
      </c>
      <c r="J1746" s="4">
        <f>1/INR!B1746</f>
        <v>1.4904240256352933E-2</v>
      </c>
      <c r="K1746" s="4">
        <f>1/INR!C1746</f>
        <v>1.4821951309889947E-2</v>
      </c>
      <c r="L1746" s="4">
        <f>1/JPY!B1746</f>
        <v>9.9641291351135908E-3</v>
      </c>
      <c r="M1746" s="4">
        <f>1/JPY!C1746</f>
        <v>9.973400939693837E-3</v>
      </c>
      <c r="N1746" s="5">
        <f>1/KRW!B1746</f>
        <v>8.9345543890998434E-4</v>
      </c>
      <c r="O1746" s="5">
        <f>1/KRW!C1746</f>
        <v>8.9345144761470796E-4</v>
      </c>
      <c r="P1746" s="3">
        <f>1/NOK!B1746</f>
        <v>0.12167522449078919</v>
      </c>
      <c r="Q1746" s="3">
        <f>1/NOK!C1746</f>
        <v>0.12166930283489477</v>
      </c>
      <c r="R1746" s="3">
        <f>NZD!B1746/1</f>
        <v>0.72789999999999999</v>
      </c>
      <c r="S1746" s="3">
        <f>NZD!C1746/1</f>
        <v>0.72689999999999999</v>
      </c>
      <c r="T1746" s="4">
        <f>1/PHP!B1746</f>
        <v>2.1470746108427266E-2</v>
      </c>
      <c r="U1746" s="4">
        <f>1/PHP!C1746</f>
        <v>2.1443122118580467E-2</v>
      </c>
      <c r="V1746" s="4">
        <f>1/TWD!B1746</f>
        <v>3.1478217073784939E-2</v>
      </c>
      <c r="W1746" s="4">
        <f>1/TWD!C1746</f>
        <v>3.1478415250662618E-2</v>
      </c>
      <c r="X1746" s="4">
        <f>1/TWD!B1746</f>
        <v>3.1478217073784939E-2</v>
      </c>
      <c r="Y1746" s="4">
        <f>1/TWD!C1746</f>
        <v>3.1478415250662618E-2</v>
      </c>
      <c r="Z1746" s="4">
        <f>1/ZAR!B1746</f>
        <v>7.1706690951332669E-2</v>
      </c>
      <c r="AA1746" s="4">
        <f>1/ZAR!C1746</f>
        <v>7.1272789474434453E-2</v>
      </c>
    </row>
    <row r="1747" spans="1:27" x14ac:dyDescent="0.25">
      <c r="A1747" t="str">
        <f>"25/08/2016"</f>
        <v>25/08/2016</v>
      </c>
      <c r="B1747" s="3">
        <f>AUD!B1747</f>
        <v>0.7611</v>
      </c>
      <c r="C1747" s="3">
        <f>AUD!C1747</f>
        <v>0.76049999999999995</v>
      </c>
      <c r="D1747" s="3">
        <f>1/CAD!B1747</f>
        <v>0.77333539556105491</v>
      </c>
      <c r="E1747" s="3">
        <f>1/CAD!C1747</f>
        <v>0.77339520494972935</v>
      </c>
      <c r="F1747" s="3">
        <f>EUR!B1747/1</f>
        <v>1.1284000000000001</v>
      </c>
      <c r="G1747" s="3">
        <f>EUR!C1747/1</f>
        <v>1.1296999999999999</v>
      </c>
      <c r="H1747" s="3">
        <f>GBP!B1747/1</f>
        <v>1.3184</v>
      </c>
      <c r="I1747" s="3">
        <f>GBP!C1747/1</f>
        <v>1.3190999999999999</v>
      </c>
      <c r="J1747" s="4">
        <f>1/INR!B1747</f>
        <v>1.4912019087384432E-2</v>
      </c>
      <c r="K1747" s="4">
        <f>1/INR!C1747</f>
        <v>1.4830744132586853E-2</v>
      </c>
      <c r="L1747" s="4">
        <f>1/JPY!B1747</f>
        <v>9.9532198666268546E-3</v>
      </c>
      <c r="M1747" s="4">
        <f>1/JPY!C1747</f>
        <v>9.9626301742165128E-3</v>
      </c>
      <c r="N1747" s="5">
        <f>1/KRW!B1747</f>
        <v>8.9609749540750028E-4</v>
      </c>
      <c r="O1747" s="5">
        <f>1/KRW!C1747</f>
        <v>8.9609267748907669E-4</v>
      </c>
      <c r="P1747" s="3">
        <f>1/NOK!B1747</f>
        <v>0.1217181737405212</v>
      </c>
      <c r="Q1747" s="3">
        <f>1/NOK!C1747</f>
        <v>0.12172558184828125</v>
      </c>
      <c r="R1747" s="3">
        <f>NZD!B1747/1</f>
        <v>0.73070000000000002</v>
      </c>
      <c r="S1747" s="3">
        <f>NZD!C1747/1</f>
        <v>0.72970000000000002</v>
      </c>
      <c r="T1747" s="4">
        <f>1/PHP!B1747</f>
        <v>2.1570319240724764E-2</v>
      </c>
      <c r="U1747" s="4">
        <f>1/PHP!C1747</f>
        <v>2.1545223423966905E-2</v>
      </c>
      <c r="V1747" s="4">
        <f>1/TWD!B1747</f>
        <v>3.1575623618566466E-2</v>
      </c>
      <c r="W1747" s="4">
        <f>1/TWD!C1747</f>
        <v>3.1575823023827117E-2</v>
      </c>
      <c r="X1747" s="4">
        <f>1/TWD!B1747</f>
        <v>3.1575623618566466E-2</v>
      </c>
      <c r="Y1747" s="4">
        <f>1/TWD!C1747</f>
        <v>3.1575823023827117E-2</v>
      </c>
      <c r="Z1747" s="4">
        <f>1/ZAR!B1747</f>
        <v>7.0935569222475223E-2</v>
      </c>
      <c r="AA1747" s="4">
        <f>1/ZAR!C1747</f>
        <v>7.0500482928308059E-2</v>
      </c>
    </row>
    <row r="1748" spans="1:27" x14ac:dyDescent="0.25">
      <c r="A1748" t="str">
        <f>"26/08/2016"</f>
        <v>26/08/2016</v>
      </c>
      <c r="B1748" s="3">
        <f>AUD!B1748</f>
        <v>0.76359999999999995</v>
      </c>
      <c r="C1748" s="3">
        <f>AUD!C1748</f>
        <v>0.76300000000000001</v>
      </c>
      <c r="D1748" s="3">
        <f>1/CAD!B1748</f>
        <v>0.77519379844961234</v>
      </c>
      <c r="E1748" s="3">
        <f>1/CAD!C1748</f>
        <v>0.77525389565082559</v>
      </c>
      <c r="F1748" s="3">
        <f>EUR!B1748/1</f>
        <v>1.1286</v>
      </c>
      <c r="G1748" s="3">
        <f>EUR!C1748/1</f>
        <v>1.1298999999999999</v>
      </c>
      <c r="H1748" s="3">
        <f>GBP!B1748/1</f>
        <v>1.3202</v>
      </c>
      <c r="I1748" s="3">
        <f>GBP!C1748/1</f>
        <v>1.3209</v>
      </c>
      <c r="J1748" s="4">
        <f>1/INR!B1748</f>
        <v>1.4912019087384432E-2</v>
      </c>
      <c r="K1748" s="4">
        <f>1/INR!C1748</f>
        <v>1.4831294030404153E-2</v>
      </c>
      <c r="L1748" s="4">
        <f>1/JPY!B1748</f>
        <v>9.9561927518916765E-3</v>
      </c>
      <c r="M1748" s="4">
        <f>1/JPY!C1748</f>
        <v>9.9656086844300325E-3</v>
      </c>
      <c r="N1748" s="5">
        <f>1/KRW!B1748</f>
        <v>8.9770636024956235E-4</v>
      </c>
      <c r="O1748" s="5">
        <f>1/KRW!C1748</f>
        <v>8.9770192794954554E-4</v>
      </c>
      <c r="P1748" s="3">
        <f>1/NOK!B1748</f>
        <v>0.1218338430049099</v>
      </c>
      <c r="Q1748" s="3">
        <f>1/NOK!C1748</f>
        <v>0.12184274974717629</v>
      </c>
      <c r="R1748" s="3">
        <f>NZD!B1748/1</f>
        <v>0.73170000000000002</v>
      </c>
      <c r="S1748" s="3">
        <f>NZD!C1748/1</f>
        <v>0.73070000000000002</v>
      </c>
      <c r="T1748" s="4">
        <f>1/PHP!B1748</f>
        <v>2.155636990730761E-2</v>
      </c>
      <c r="U1748" s="4">
        <f>1/PHP!C1748</f>
        <v>2.1534552188987231E-2</v>
      </c>
      <c r="V1748" s="4">
        <f>1/TWD!B1748</f>
        <v>3.1574626630040098E-2</v>
      </c>
      <c r="W1748" s="4">
        <f>1/TWD!C1748</f>
        <v>3.1574826022708613E-2</v>
      </c>
      <c r="X1748" s="4">
        <f>1/TWD!B1748</f>
        <v>3.1574626630040098E-2</v>
      </c>
      <c r="Y1748" s="4">
        <f>1/TWD!C1748</f>
        <v>3.1574826022708613E-2</v>
      </c>
      <c r="Z1748" s="4">
        <f>1/ZAR!B1748</f>
        <v>7.0821529745042494E-2</v>
      </c>
      <c r="AA1748" s="4">
        <f>1/ZAR!C1748</f>
        <v>7.0377434179504691E-2</v>
      </c>
    </row>
    <row r="1749" spans="1:27" x14ac:dyDescent="0.25">
      <c r="A1749" t="str">
        <f>"29/08/2016"</f>
        <v>29/08/2016</v>
      </c>
      <c r="B1749" s="3">
        <f>AUD!B1749</f>
        <v>0.75509999999999999</v>
      </c>
      <c r="C1749" s="3">
        <f>AUD!C1749</f>
        <v>0.75449999999999995</v>
      </c>
      <c r="D1749" s="3">
        <f>1/CAD!B1749</f>
        <v>0.76852136489394407</v>
      </c>
      <c r="E1749" s="3">
        <f>1/CAD!C1749</f>
        <v>0.76858043194220282</v>
      </c>
      <c r="F1749" s="3">
        <f>EUR!B1749/1</f>
        <v>1.1173</v>
      </c>
      <c r="G1749" s="3">
        <f>EUR!C1749/1</f>
        <v>1.1186</v>
      </c>
      <c r="H1749" s="3">
        <f>GBP!B1749/1</f>
        <v>1.3077000000000001</v>
      </c>
      <c r="I1749" s="3">
        <f>GBP!C1749/1</f>
        <v>1.3084</v>
      </c>
      <c r="J1749" s="4">
        <f>1/INR!B1749</f>
        <v>1.4885382554331646E-2</v>
      </c>
      <c r="K1749" s="4">
        <f>1/INR!C1749</f>
        <v>1.4808781607493243E-2</v>
      </c>
      <c r="L1749" s="4">
        <f>1/JPY!B1749</f>
        <v>9.7856933163714653E-3</v>
      </c>
      <c r="M1749" s="4">
        <f>1/JPY!C1749</f>
        <v>9.7948757128220806E-3</v>
      </c>
      <c r="N1749" s="5">
        <f>1/KRW!B1749</f>
        <v>8.8880988356590529E-4</v>
      </c>
      <c r="O1749" s="5">
        <f>1/KRW!C1749</f>
        <v>8.8880632865658265E-4</v>
      </c>
      <c r="P1749" s="3">
        <f>1/NOK!B1749</f>
        <v>0.12032535977282571</v>
      </c>
      <c r="Q1749" s="3">
        <f>1/NOK!C1749</f>
        <v>0.12033115132845591</v>
      </c>
      <c r="R1749" s="3">
        <f>NZD!B1749/1</f>
        <v>0.72340000000000004</v>
      </c>
      <c r="S1749" s="3">
        <f>NZD!C1749/1</f>
        <v>0.72250000000000003</v>
      </c>
      <c r="T1749" s="4">
        <f>1/PHP!B1749</f>
        <v>2.155636990730761E-2</v>
      </c>
      <c r="U1749" s="4">
        <f>1/PHP!C1749</f>
        <v>2.1534088462035399E-2</v>
      </c>
      <c r="V1749" s="4">
        <f>1/TWD!B1749</f>
        <v>3.1445552026665831E-2</v>
      </c>
      <c r="W1749" s="4">
        <f>1/TWD!C1749</f>
        <v>3.1445749792458053E-2</v>
      </c>
      <c r="X1749" s="4">
        <f>1/TWD!B1749</f>
        <v>3.1445552026665831E-2</v>
      </c>
      <c r="Y1749" s="4">
        <f>1/TWD!C1749</f>
        <v>3.1445749792458053E-2</v>
      </c>
      <c r="Z1749" s="4">
        <f>1/ZAR!B1749</f>
        <v>6.8908489525909583E-2</v>
      </c>
      <c r="AA1749" s="4">
        <f>1/ZAR!C1749</f>
        <v>6.8495965587626897E-2</v>
      </c>
    </row>
    <row r="1750" spans="1:27" x14ac:dyDescent="0.25">
      <c r="A1750" t="str">
        <f>"30/08/2016"</f>
        <v>30/08/2016</v>
      </c>
      <c r="B1750" s="3">
        <f>AUD!B1750</f>
        <v>0.75570000000000004</v>
      </c>
      <c r="C1750" s="3">
        <f>AUD!C1750</f>
        <v>0.75509999999999999</v>
      </c>
      <c r="D1750" s="3">
        <f>1/CAD!B1750</f>
        <v>0.76757752533005841</v>
      </c>
      <c r="E1750" s="3">
        <f>1/CAD!C1750</f>
        <v>0.76763644737852155</v>
      </c>
      <c r="F1750" s="3">
        <f>EUR!B1750/1</f>
        <v>1.1169</v>
      </c>
      <c r="G1750" s="3">
        <f>EUR!C1750/1</f>
        <v>1.1185</v>
      </c>
      <c r="H1750" s="3">
        <f>GBP!B1750/1</f>
        <v>1.3112999999999999</v>
      </c>
      <c r="I1750" s="3">
        <f>GBP!C1750/1</f>
        <v>1.3123</v>
      </c>
      <c r="J1750" s="4">
        <f>1/INR!B1750</f>
        <v>1.4917580368464236E-2</v>
      </c>
      <c r="K1750" s="4">
        <f>1/INR!C1750</f>
        <v>1.4834594273846612E-2</v>
      </c>
      <c r="L1750" s="4">
        <f>1/JPY!B1750</f>
        <v>9.7780385254717904E-3</v>
      </c>
      <c r="M1750" s="4">
        <f>1/JPY!C1750</f>
        <v>9.7920846662808581E-3</v>
      </c>
      <c r="N1750" s="5">
        <f>1/KRW!B1750</f>
        <v>8.9285714285714283E-4</v>
      </c>
      <c r="O1750" s="5">
        <f>1/KRW!C1750</f>
        <v>8.9285355549910742E-4</v>
      </c>
      <c r="P1750" s="3">
        <f>1/NOK!B1750</f>
        <v>0.12034418436729045</v>
      </c>
      <c r="Q1750" s="3">
        <f>1/NOK!C1750</f>
        <v>0.12035142616440006</v>
      </c>
      <c r="R1750" s="3">
        <f>NZD!B1750/1</f>
        <v>0.72460000000000002</v>
      </c>
      <c r="S1750" s="3">
        <f>NZD!C1750/1</f>
        <v>0.72360000000000002</v>
      </c>
      <c r="T1750" s="4">
        <f>1/PHP!B1750</f>
        <v>2.1519259737465032E-2</v>
      </c>
      <c r="U1750" s="4">
        <f>1/PHP!C1750</f>
        <v>2.149659279004278E-2</v>
      </c>
      <c r="V1750" s="4">
        <f>1/TWD!B1750</f>
        <v>3.1525851197982346E-2</v>
      </c>
      <c r="W1750" s="4">
        <f>1/TWD!C1750</f>
        <v>3.1526049975094422E-2</v>
      </c>
      <c r="X1750" s="4">
        <f>1/TWD!B1750</f>
        <v>3.1525851197982346E-2</v>
      </c>
      <c r="Y1750" s="4">
        <f>1/TWD!C1750</f>
        <v>3.1526049975094422E-2</v>
      </c>
      <c r="Z1750" s="4">
        <f>1/ZAR!B1750</f>
        <v>6.9286144849614428E-2</v>
      </c>
      <c r="AA1750" s="4">
        <f>1/ZAR!C1750</f>
        <v>6.8843498075824225E-2</v>
      </c>
    </row>
    <row r="1751" spans="1:27" x14ac:dyDescent="0.25">
      <c r="A1751" t="str">
        <f>"31/08/2016"</f>
        <v>31/08/2016</v>
      </c>
      <c r="B1751" s="3">
        <f>AUD!B1751</f>
        <v>0.75180000000000002</v>
      </c>
      <c r="C1751" s="3">
        <f>AUD!C1751</f>
        <v>0.75119999999999998</v>
      </c>
      <c r="D1751" s="3">
        <f>1/CAD!B1751</f>
        <v>0.76324225309113114</v>
      </c>
      <c r="E1751" s="3">
        <f>1/CAD!C1751</f>
        <v>0.76335877862595414</v>
      </c>
      <c r="F1751" s="3">
        <f>EUR!B1751/1</f>
        <v>1.1157999999999999</v>
      </c>
      <c r="G1751" s="3">
        <f>EUR!C1751/1</f>
        <v>1.1173</v>
      </c>
      <c r="H1751" s="3">
        <f>GBP!B1751/1</f>
        <v>1.3136000000000001</v>
      </c>
      <c r="I1751" s="3">
        <f>GBP!C1751/1</f>
        <v>1.3146</v>
      </c>
      <c r="J1751" s="4">
        <f>1/INR!B1751</f>
        <v>1.4932616567738081E-2</v>
      </c>
      <c r="K1751" s="4">
        <f>1/INR!C1751</f>
        <v>1.4851668956298966E-2</v>
      </c>
      <c r="L1751" s="4">
        <f>1/JPY!B1751</f>
        <v>9.6814793300416292E-3</v>
      </c>
      <c r="M1751" s="4">
        <f>1/JPY!C1751</f>
        <v>9.69513643480748E-3</v>
      </c>
      <c r="N1751" s="5">
        <f>1/KRW!B1751</f>
        <v>8.9698165672512007E-4</v>
      </c>
      <c r="O1751" s="5">
        <f>1/KRW!C1751</f>
        <v>8.9697803614731798E-4</v>
      </c>
      <c r="P1751" s="3">
        <f>1/NOK!B1751</f>
        <v>0.1200970384070329</v>
      </c>
      <c r="Q1751" s="3">
        <f>1/NOK!C1751</f>
        <v>0.12010280800365113</v>
      </c>
      <c r="R1751" s="3">
        <f>NZD!B1751/1</f>
        <v>0.72489999999999999</v>
      </c>
      <c r="S1751" s="3">
        <f>NZD!C1751/1</f>
        <v>0.72389999999999999</v>
      </c>
      <c r="T1751" s="4">
        <f>1/PHP!B1751</f>
        <v>2.1459227467811159E-2</v>
      </c>
      <c r="U1751" s="4">
        <f>1/PHP!C1751</f>
        <v>2.1434848777141878E-2</v>
      </c>
      <c r="V1751" s="4">
        <f>1/TWD!B1751</f>
        <v>3.1517902168431665E-2</v>
      </c>
      <c r="W1751" s="4">
        <f>1/TWD!C1751</f>
        <v>3.1518100845315464E-2</v>
      </c>
      <c r="X1751" s="4">
        <f>1/TWD!B1751</f>
        <v>3.1517902168431665E-2</v>
      </c>
      <c r="Y1751" s="4">
        <f>1/TWD!C1751</f>
        <v>3.1518100845315464E-2</v>
      </c>
      <c r="Z1751" s="4">
        <f>1/ZAR!B1751</f>
        <v>6.7994832392738153E-2</v>
      </c>
      <c r="AA1751" s="4">
        <f>1/ZAR!C1751</f>
        <v>6.7587204390464797E-2</v>
      </c>
    </row>
    <row r="1752" spans="1:27" x14ac:dyDescent="0.25">
      <c r="A1752" t="str">
        <f>"01/09/2016"</f>
        <v>01/09/2016</v>
      </c>
      <c r="B1752" s="3">
        <f>AUD!B1752</f>
        <v>0.75370000000000004</v>
      </c>
      <c r="C1752" s="3">
        <f>AUD!C1752</f>
        <v>0.75309999999999999</v>
      </c>
      <c r="D1752" s="3">
        <f>1/CAD!B1752</f>
        <v>0.76207895137936288</v>
      </c>
      <c r="E1752" s="3">
        <f>1/CAD!C1752</f>
        <v>0.76213703223839646</v>
      </c>
      <c r="F1752" s="3">
        <f>EUR!B1752/1</f>
        <v>1.1153</v>
      </c>
      <c r="G1752" s="3">
        <f>EUR!C1752/1</f>
        <v>1.1168</v>
      </c>
      <c r="H1752" s="3">
        <f>GBP!B1752/1</f>
        <v>1.3245</v>
      </c>
      <c r="I1752" s="3">
        <f>GBP!C1752/1</f>
        <v>1.3254999999999999</v>
      </c>
      <c r="J1752" s="4">
        <f>1/INR!B1752</f>
        <v>1.4933174046143508E-2</v>
      </c>
      <c r="K1752" s="4">
        <f>1/INR!C1752</f>
        <v>1.4853875004641835E-2</v>
      </c>
      <c r="L1752" s="4">
        <f>1/JPY!B1752</f>
        <v>9.6497153333976651E-3</v>
      </c>
      <c r="M1752" s="4">
        <f>1/JPY!C1752</f>
        <v>9.6633295968458904E-3</v>
      </c>
      <c r="N1752" s="5">
        <f>1/KRW!B1752</f>
        <v>8.9118616879066046E-4</v>
      </c>
      <c r="O1752" s="5">
        <f>1/KRW!C1752</f>
        <v>8.9118060933582983E-4</v>
      </c>
      <c r="P1752" s="3">
        <f>1/NOK!B1752</f>
        <v>0.1199400299850075</v>
      </c>
      <c r="Q1752" s="3">
        <f>1/NOK!C1752</f>
        <v>0.11994578450540357</v>
      </c>
      <c r="R1752" s="3">
        <f>NZD!B1752/1</f>
        <v>0.72619999999999996</v>
      </c>
      <c r="S1752" s="3">
        <f>NZD!C1752/1</f>
        <v>0.72519999999999996</v>
      </c>
      <c r="T1752" s="4">
        <f>1/PHP!B1752</f>
        <v>2.1399529210357374E-2</v>
      </c>
      <c r="U1752" s="4">
        <f>1/PHP!C1752</f>
        <v>2.1371631296616872E-2</v>
      </c>
      <c r="V1752" s="4">
        <f>1/TWD!B1752</f>
        <v>3.1509957146458281E-2</v>
      </c>
      <c r="W1752" s="4">
        <f>1/TWD!C1752</f>
        <v>3.1510155723189583E-2</v>
      </c>
      <c r="X1752" s="4">
        <f>1/TWD!B1752</f>
        <v>3.1509957146458281E-2</v>
      </c>
      <c r="Y1752" s="4">
        <f>1/TWD!C1752</f>
        <v>3.1510155723189583E-2</v>
      </c>
      <c r="Z1752" s="4">
        <f>1/ZAR!B1752</f>
        <v>6.806239960796058E-2</v>
      </c>
      <c r="AA1752" s="4">
        <f>1/ZAR!C1752</f>
        <v>6.7661287594302913E-2</v>
      </c>
    </row>
    <row r="1753" spans="1:27" x14ac:dyDescent="0.25">
      <c r="A1753" t="str">
        <f>"02/09/2016"</f>
        <v>02/09/2016</v>
      </c>
      <c r="B1753" s="3">
        <f>AUD!B1753</f>
        <v>0.75570000000000004</v>
      </c>
      <c r="C1753" s="3">
        <f>AUD!C1753</f>
        <v>0.75509999999999999</v>
      </c>
      <c r="D1753" s="3">
        <f>1/CAD!B1753</f>
        <v>0.76365024818633065</v>
      </c>
      <c r="E1753" s="3">
        <f>1/CAD!C1753</f>
        <v>0.76370856881014215</v>
      </c>
      <c r="F1753" s="3">
        <f>EUR!B1753/1</f>
        <v>1.1192</v>
      </c>
      <c r="G1753" s="3">
        <f>EUR!C1753/1</f>
        <v>1.1206</v>
      </c>
      <c r="H1753" s="3">
        <f>GBP!B1753/1</f>
        <v>1.3269</v>
      </c>
      <c r="I1753" s="3">
        <f>GBP!C1753/1</f>
        <v>1.3279000000000001</v>
      </c>
      <c r="J1753" s="4">
        <f>1/INR!B1753</f>
        <v>1.4963339817447255E-2</v>
      </c>
      <c r="K1753" s="4">
        <f>1/INR!C1753</f>
        <v>1.4882613386910742E-2</v>
      </c>
      <c r="L1753" s="4">
        <f>1/JPY!B1753</f>
        <v>9.6618357487922701E-3</v>
      </c>
      <c r="M1753" s="4">
        <f>1/JPY!C1753</f>
        <v>9.6758493702473435E-3</v>
      </c>
      <c r="N1753" s="5">
        <f>1/KRW!B1753</f>
        <v>8.9505482210785407E-4</v>
      </c>
      <c r="O1753" s="5">
        <f>1/KRW!C1753</f>
        <v>8.9505121706826864E-4</v>
      </c>
      <c r="P1753" s="3">
        <f>1/NOK!B1753</f>
        <v>0.12010425048942482</v>
      </c>
      <c r="Q1753" s="3">
        <f>1/NOK!C1753</f>
        <v>0.12010857815465181</v>
      </c>
      <c r="R1753" s="3">
        <f>NZD!B1753/1</f>
        <v>0.73019999999999996</v>
      </c>
      <c r="S1753" s="3">
        <f>NZD!C1753/1</f>
        <v>0.72919999999999996</v>
      </c>
      <c r="T1753" s="4">
        <f>1/PHP!B1753</f>
        <v>2.1440823327615779E-2</v>
      </c>
      <c r="U1753" s="4">
        <f>1/PHP!C1753</f>
        <v>2.1415110501970192E-2</v>
      </c>
      <c r="V1753" s="4">
        <f>1/TWD!B1753</f>
        <v>3.1542756206037283E-2</v>
      </c>
      <c r="W1753" s="4">
        <f>1/TWD!C1753</f>
        <v>3.1542955196386439E-2</v>
      </c>
      <c r="X1753" s="4">
        <f>1/TWD!B1753</f>
        <v>3.1542756206037283E-2</v>
      </c>
      <c r="Y1753" s="4">
        <f>1/TWD!C1753</f>
        <v>3.1542955196386439E-2</v>
      </c>
      <c r="Z1753" s="4">
        <f>1/ZAR!B1753</f>
        <v>6.8719076415612979E-2</v>
      </c>
      <c r="AA1753" s="4">
        <f>1/ZAR!C1753</f>
        <v>6.8312543549246513E-2</v>
      </c>
    </row>
    <row r="1754" spans="1:27" x14ac:dyDescent="0.25">
      <c r="A1754" t="str">
        <f>"06/09/2016"</f>
        <v>06/09/2016</v>
      </c>
      <c r="B1754" s="3">
        <f>AUD!B1754</f>
        <v>0.76270000000000004</v>
      </c>
      <c r="C1754" s="3">
        <f>AUD!C1754</f>
        <v>0.7621</v>
      </c>
      <c r="D1754" s="3">
        <f>1/CAD!B1754</f>
        <v>0.77519379844961234</v>
      </c>
      <c r="E1754" s="3">
        <f>1/CAD!C1754</f>
        <v>0.77525389565082559</v>
      </c>
      <c r="F1754" s="3">
        <f>EUR!B1754/1</f>
        <v>1.1166</v>
      </c>
      <c r="G1754" s="3">
        <f>EUR!C1754/1</f>
        <v>1.1182000000000001</v>
      </c>
      <c r="H1754" s="3">
        <f>GBP!B1754/1</f>
        <v>1.3346</v>
      </c>
      <c r="I1754" s="3">
        <f>GBP!C1754/1</f>
        <v>1.3355999999999999</v>
      </c>
      <c r="J1754" s="4">
        <f>1/INR!B1754</f>
        <v>1.5030813166992334E-2</v>
      </c>
      <c r="K1754" s="4">
        <f>1/INR!C1754</f>
        <v>1.4937635372320563E-2</v>
      </c>
      <c r="L1754" s="4">
        <f>1/JPY!B1754</f>
        <v>9.6796050721130577E-3</v>
      </c>
      <c r="M1754" s="4">
        <f>1/JPY!C1754</f>
        <v>9.6939334395142168E-3</v>
      </c>
      <c r="N1754" s="5">
        <f>1/KRW!B1754</f>
        <v>9.0460898276719889E-4</v>
      </c>
      <c r="O1754" s="5">
        <f>1/KRW!C1754</f>
        <v>9.0460366373529852E-4</v>
      </c>
      <c r="P1754" s="3">
        <f>1/NOK!B1754</f>
        <v>0.12125327383839364</v>
      </c>
      <c r="Q1754" s="3">
        <f>1/NOK!C1754</f>
        <v>0.12125768470576823</v>
      </c>
      <c r="R1754" s="3">
        <f>NZD!B1754/1</f>
        <v>0.7339</v>
      </c>
      <c r="S1754" s="3">
        <f>NZD!C1754/1</f>
        <v>0.7329</v>
      </c>
      <c r="T1754" s="4">
        <f>1/PHP!B1754</f>
        <v>2.1456925222615601E-2</v>
      </c>
      <c r="U1754" s="4">
        <f>1/PHP!C1754</f>
        <v>2.1433929911049192E-2</v>
      </c>
      <c r="V1754" s="4">
        <f>1/TWD!B1754</f>
        <v>3.1826861871419476E-2</v>
      </c>
      <c r="W1754" s="4">
        <f>1/TWD!C1754</f>
        <v>3.1827064462536366E-2</v>
      </c>
      <c r="X1754" s="4">
        <f>1/TWD!B1754</f>
        <v>3.1826861871419476E-2</v>
      </c>
      <c r="Y1754" s="4">
        <f>1/TWD!C1754</f>
        <v>3.1827064462536366E-2</v>
      </c>
      <c r="Z1754" s="4">
        <f>1/ZAR!B1754</f>
        <v>7.0558185807926499E-2</v>
      </c>
      <c r="AA1754" s="4">
        <f>1/ZAR!C1754</f>
        <v>7.0105087526201773E-2</v>
      </c>
    </row>
    <row r="1755" spans="1:27" x14ac:dyDescent="0.25">
      <c r="A1755" t="str">
        <f>"07/09/2016"</f>
        <v>07/09/2016</v>
      </c>
      <c r="B1755" s="3">
        <f>AUD!B1755</f>
        <v>0.76770000000000005</v>
      </c>
      <c r="C1755" s="3">
        <f>AUD!C1755</f>
        <v>0.7671</v>
      </c>
      <c r="D1755" s="3">
        <f>1/CAD!B1755</f>
        <v>0.77802847584221579</v>
      </c>
      <c r="E1755" s="3">
        <f>1/CAD!C1755</f>
        <v>0.77814956034549843</v>
      </c>
      <c r="F1755" s="3">
        <f>EUR!B1755/1</f>
        <v>1.1236999999999999</v>
      </c>
      <c r="G1755" s="3">
        <f>EUR!C1755/1</f>
        <v>1.1252</v>
      </c>
      <c r="H1755" s="3">
        <f>GBP!B1755/1</f>
        <v>1.3380000000000001</v>
      </c>
      <c r="I1755" s="3">
        <f>GBP!C1755/1</f>
        <v>1.3389</v>
      </c>
      <c r="J1755" s="4">
        <f>1/INR!B1755</f>
        <v>1.5067048365225251E-2</v>
      </c>
      <c r="K1755" s="4">
        <f>1/INR!C1755</f>
        <v>1.4976785981728321E-2</v>
      </c>
      <c r="L1755" s="4">
        <f>1/JPY!B1755</f>
        <v>9.8367106039740308E-3</v>
      </c>
      <c r="M1755" s="4">
        <f>1/JPY!C1755</f>
        <v>9.8514111653923864E-3</v>
      </c>
      <c r="N1755" s="5">
        <f>1/KRW!B1755</f>
        <v>9.1621237802922719E-4</v>
      </c>
      <c r="O1755" s="5">
        <f>1/KRW!C1755</f>
        <v>9.1620650195106169E-4</v>
      </c>
      <c r="P1755" s="3">
        <f>1/NOK!B1755</f>
        <v>0.12220009042806693</v>
      </c>
      <c r="Q1755" s="3">
        <f>1/NOK!C1755</f>
        <v>0.12220457045093487</v>
      </c>
      <c r="R1755" s="3">
        <f>NZD!B1755/1</f>
        <v>0.74639999999999995</v>
      </c>
      <c r="S1755" s="3">
        <f>NZD!C1755/1</f>
        <v>0.74539999999999995</v>
      </c>
      <c r="T1755" s="4">
        <f>1/PHP!B1755</f>
        <v>2.1459227467811159E-2</v>
      </c>
      <c r="U1755" s="4">
        <f>1/PHP!C1755</f>
        <v>2.1436227224008574E-2</v>
      </c>
      <c r="V1755" s="4">
        <f>1/TWD!B1755</f>
        <v>3.2012292720404636E-2</v>
      </c>
      <c r="W1755" s="4">
        <f>1/TWD!C1755</f>
        <v>3.2012497679093921E-2</v>
      </c>
      <c r="X1755" s="4">
        <f>1/TWD!B1755</f>
        <v>3.2012292720404636E-2</v>
      </c>
      <c r="Y1755" s="4">
        <f>1/TWD!C1755</f>
        <v>3.2012497679093921E-2</v>
      </c>
      <c r="Z1755" s="4">
        <f>1/ZAR!B1755</f>
        <v>7.1270757608153365E-2</v>
      </c>
      <c r="AA1755" s="4">
        <f>1/ZAR!C1755</f>
        <v>7.0828050741215551E-2</v>
      </c>
    </row>
    <row r="1756" spans="1:27" x14ac:dyDescent="0.25">
      <c r="A1756" t="str">
        <f>"08/09/2016"</f>
        <v>08/09/2016</v>
      </c>
      <c r="B1756" s="3">
        <f>AUD!B1756</f>
        <v>0.76849999999999996</v>
      </c>
      <c r="C1756" s="3">
        <f>AUD!C1756</f>
        <v>0.76790000000000003</v>
      </c>
      <c r="D1756" s="3">
        <f>1/CAD!B1756</f>
        <v>0.77706115471287596</v>
      </c>
      <c r="E1756" s="3">
        <f>1/CAD!C1756</f>
        <v>0.77712154180913895</v>
      </c>
      <c r="F1756" s="3">
        <f>EUR!B1756/1</f>
        <v>1.1254</v>
      </c>
      <c r="G1756" s="3">
        <f>EUR!C1756/1</f>
        <v>1.1268</v>
      </c>
      <c r="H1756" s="3">
        <f>GBP!B1756/1</f>
        <v>1.3351</v>
      </c>
      <c r="I1756" s="3">
        <f>GBP!C1756/1</f>
        <v>1.3360000000000001</v>
      </c>
      <c r="J1756" s="4">
        <f>1/INR!B1756</f>
        <v>1.5043249341857842E-2</v>
      </c>
      <c r="K1756" s="4">
        <f>1/INR!C1756</f>
        <v>1.496166074434262E-2</v>
      </c>
      <c r="L1756" s="4">
        <f>1/JPY!B1756</f>
        <v>9.8541584548679541E-3</v>
      </c>
      <c r="M1756" s="4">
        <f>1/JPY!C1756</f>
        <v>9.8686288132381738E-3</v>
      </c>
      <c r="N1756" s="5">
        <f>1/KRW!B1756</f>
        <v>9.1399323645005039E-4</v>
      </c>
      <c r="O1756" s="5">
        <f>1/KRW!C1756</f>
        <v>9.1398780648867359E-4</v>
      </c>
      <c r="P1756" s="3">
        <f>1/NOK!B1756</f>
        <v>0.12235708692247454</v>
      </c>
      <c r="Q1756" s="3">
        <f>1/NOK!C1756</f>
        <v>0.12235109871286645</v>
      </c>
      <c r="R1756" s="3">
        <f>NZD!B1756/1</f>
        <v>0.74650000000000005</v>
      </c>
      <c r="S1756" s="3">
        <f>NZD!C1756/1</f>
        <v>0.74560000000000004</v>
      </c>
      <c r="T1756" s="4">
        <f>1/PHP!B1756</f>
        <v>2.1326508850501174E-2</v>
      </c>
      <c r="U1756" s="4">
        <f>1/PHP!C1756</f>
        <v>2.1302430607332296E-2</v>
      </c>
      <c r="V1756" s="4">
        <f>1/TWD!B1756</f>
        <v>3.192338387869114E-2</v>
      </c>
      <c r="W1756" s="4">
        <f>1/TWD!C1756</f>
        <v>3.1923587700480129E-2</v>
      </c>
      <c r="X1756" s="4">
        <f>1/TWD!B1756</f>
        <v>3.192338387869114E-2</v>
      </c>
      <c r="Y1756" s="4">
        <f>1/TWD!C1756</f>
        <v>3.1923587700480129E-2</v>
      </c>
      <c r="Z1756" s="4">
        <f>1/ZAR!B1756</f>
        <v>7.1244861464366885E-2</v>
      </c>
      <c r="AA1756" s="4">
        <f>1/ZAR!C1756</f>
        <v>7.0801973959033968E-2</v>
      </c>
    </row>
    <row r="1757" spans="1:27" x14ac:dyDescent="0.25">
      <c r="A1757" t="str">
        <f>"09/09/2016"</f>
        <v>09/09/2016</v>
      </c>
      <c r="B1757" s="3">
        <f>AUD!B1757</f>
        <v>0.76490000000000002</v>
      </c>
      <c r="C1757" s="3">
        <f>AUD!C1757</f>
        <v>0.76429999999999998</v>
      </c>
      <c r="D1757" s="3">
        <f>1/CAD!B1757</f>
        <v>0.77429345722028642</v>
      </c>
      <c r="E1757" s="3">
        <f>1/CAD!C1757</f>
        <v>0.77435341489855969</v>
      </c>
      <c r="F1757" s="3">
        <f>EUR!B1757/1</f>
        <v>1.1278999999999999</v>
      </c>
      <c r="G1757" s="3">
        <f>EUR!C1757/1</f>
        <v>1.1293</v>
      </c>
      <c r="H1757" s="3">
        <f>GBP!B1757/1</f>
        <v>1.3329</v>
      </c>
      <c r="I1757" s="3">
        <f>GBP!C1757/1</f>
        <v>1.3337000000000001</v>
      </c>
      <c r="J1757" s="4">
        <f>1/INR!B1757</f>
        <v>1.5029683625159692E-2</v>
      </c>
      <c r="K1757" s="4">
        <f>1/INR!C1757</f>
        <v>1.4950476546439917E-2</v>
      </c>
      <c r="L1757" s="4">
        <f>1/JPY!B1757</f>
        <v>9.7962382445141074E-3</v>
      </c>
      <c r="M1757" s="4">
        <f>1/JPY!C1757</f>
        <v>9.8107313704022016E-3</v>
      </c>
      <c r="N1757" s="5">
        <f>1/KRW!B1757</f>
        <v>9.0917356123283927E-4</v>
      </c>
      <c r="O1757" s="5">
        <f>1/KRW!C1757</f>
        <v>9.091686016805073E-4</v>
      </c>
      <c r="P1757" s="3">
        <f>1/NOK!B1757</f>
        <v>0.12227480038638837</v>
      </c>
      <c r="Q1757" s="3">
        <f>1/NOK!C1757</f>
        <v>0.12227031521287263</v>
      </c>
      <c r="R1757" s="3">
        <f>NZD!B1757/1</f>
        <v>0.74019999999999997</v>
      </c>
      <c r="S1757" s="3">
        <f>NZD!C1757/1</f>
        <v>0.73929999999999996</v>
      </c>
      <c r="T1757" s="4">
        <f>1/PHP!B1757</f>
        <v>2.1220159151193633E-2</v>
      </c>
      <c r="U1757" s="4">
        <f>1/PHP!C1757</f>
        <v>2.1197668256491786E-2</v>
      </c>
      <c r="V1757" s="4">
        <f>1/TWD!B1757</f>
        <v>3.1817747939800821E-2</v>
      </c>
      <c r="W1757" s="4">
        <f>1/TWD!C1757</f>
        <v>3.1817950414906072E-2</v>
      </c>
      <c r="X1757" s="4">
        <f>1/TWD!B1757</f>
        <v>3.1817747939800821E-2</v>
      </c>
      <c r="Y1757" s="4">
        <f>1/TWD!C1757</f>
        <v>3.1817950414906072E-2</v>
      </c>
      <c r="Z1757" s="4">
        <f>1/ZAR!B1757</f>
        <v>7.0736865932418E-2</v>
      </c>
      <c r="AA1757" s="4">
        <f>1/ZAR!C1757</f>
        <v>7.0323488045007029E-2</v>
      </c>
    </row>
    <row r="1758" spans="1:27" x14ac:dyDescent="0.25">
      <c r="A1758" t="str">
        <f>"12/09/2016"</f>
        <v>12/09/2016</v>
      </c>
      <c r="B1758" s="3">
        <f>AUD!B1758</f>
        <v>0.75319999999999998</v>
      </c>
      <c r="C1758" s="3">
        <f>AUD!C1758</f>
        <v>0.75260000000000005</v>
      </c>
      <c r="D1758" s="3">
        <f>1/CAD!B1758</f>
        <v>0.76516948504093663</v>
      </c>
      <c r="E1758" s="3">
        <f>1/CAD!C1758</f>
        <v>0.76528659983163694</v>
      </c>
      <c r="F1758" s="3">
        <f>EUR!B1758/1</f>
        <v>1.1241000000000001</v>
      </c>
      <c r="G1758" s="3">
        <f>EUR!C1758/1</f>
        <v>1.1254999999999999</v>
      </c>
      <c r="H1758" s="3">
        <f>GBP!B1758/1</f>
        <v>1.3269</v>
      </c>
      <c r="I1758" s="3">
        <f>GBP!C1758/1</f>
        <v>1.3277000000000001</v>
      </c>
      <c r="J1758" s="4">
        <f>1/INR!B1758</f>
        <v>1.4953830049721485E-2</v>
      </c>
      <c r="K1758" s="4">
        <f>1/INR!C1758</f>
        <v>1.4869888475836431E-2</v>
      </c>
      <c r="L1758" s="4">
        <f>1/JPY!B1758</f>
        <v>9.751340809361287E-3</v>
      </c>
      <c r="M1758" s="4">
        <f>1/JPY!C1758</f>
        <v>9.7659015733844029E-3</v>
      </c>
      <c r="N1758" s="5">
        <f>1/KRW!B1758</f>
        <v>9.0029259509340535E-4</v>
      </c>
      <c r="O1758" s="5">
        <f>1/KRW!C1758</f>
        <v>9.0028732670031648E-4</v>
      </c>
      <c r="P1758" s="3">
        <f>1/NOK!B1758</f>
        <v>0.1210404638270574</v>
      </c>
      <c r="Q1758" s="3">
        <f>1/NOK!C1758</f>
        <v>0.12103899876540222</v>
      </c>
      <c r="R1758" s="3">
        <f>NZD!B1758/1</f>
        <v>0.73180000000000001</v>
      </c>
      <c r="S1758" s="3">
        <f>NZD!C1758/1</f>
        <v>0.73089999999999999</v>
      </c>
      <c r="T1758" s="4">
        <f>1/PHP!B1758</f>
        <v>2.1204410517387619E-2</v>
      </c>
      <c r="U1758" s="4">
        <f>1/PHP!C1758</f>
        <v>2.1181952976064393E-2</v>
      </c>
      <c r="V1758" s="4">
        <f>1/TWD!B1758</f>
        <v>3.1481189988981584E-2</v>
      </c>
      <c r="W1758" s="4">
        <f>1/TWD!C1758</f>
        <v>3.1481388203294214E-2</v>
      </c>
      <c r="X1758" s="4">
        <f>1/TWD!B1758</f>
        <v>3.1481189988981584E-2</v>
      </c>
      <c r="Y1758" s="4">
        <f>1/TWD!C1758</f>
        <v>3.1481388203294214E-2</v>
      </c>
      <c r="Z1758" s="4">
        <f>1/ZAR!B1758</f>
        <v>6.9159641199781449E-2</v>
      </c>
      <c r="AA1758" s="4">
        <f>1/ZAR!C1758</f>
        <v>6.8751675822098166E-2</v>
      </c>
    </row>
    <row r="1759" spans="1:27" x14ac:dyDescent="0.25">
      <c r="A1759" t="str">
        <f>"14/09/2016"</f>
        <v>14/09/2016</v>
      </c>
      <c r="B1759" s="3">
        <f>AUD!B1759</f>
        <v>0.74780000000000002</v>
      </c>
      <c r="C1759" s="3">
        <f>AUD!C1759</f>
        <v>0.74719999999999998</v>
      </c>
      <c r="D1759" s="3">
        <f>1/CAD!B1759</f>
        <v>0.76034063260340634</v>
      </c>
      <c r="E1759" s="3">
        <f>1/CAD!C1759</f>
        <v>0.76045627376425862</v>
      </c>
      <c r="F1759" s="3">
        <f>EUR!B1759/1</f>
        <v>1.1224000000000001</v>
      </c>
      <c r="G1759" s="3">
        <f>EUR!C1759/1</f>
        <v>1.1238999999999999</v>
      </c>
      <c r="H1759" s="3">
        <f>GBP!B1759/1</f>
        <v>1.3190999999999999</v>
      </c>
      <c r="I1759" s="3">
        <f>GBP!C1759/1</f>
        <v>1.3199000000000001</v>
      </c>
      <c r="J1759" s="4">
        <f>1/INR!B1759</f>
        <v>1.4927601134497688E-2</v>
      </c>
      <c r="K1759" s="4">
        <f>1/INR!C1759</f>
        <v>1.4846707742558087E-2</v>
      </c>
      <c r="L1759" s="4">
        <f>1/JPY!B1759</f>
        <v>9.7134531325886349E-3</v>
      </c>
      <c r="M1759" s="4">
        <f>1/JPY!C1759</f>
        <v>9.7287147881329143E-3</v>
      </c>
      <c r="N1759" s="5">
        <f>1/KRW!B1759</f>
        <v>8.9341552756186902E-4</v>
      </c>
      <c r="O1759" s="5">
        <f>1/KRW!C1759</f>
        <v>8.9340994025767723E-4</v>
      </c>
      <c r="P1759" s="3">
        <f>1/NOK!B1759</f>
        <v>0.12090436464756377</v>
      </c>
      <c r="Q1759" s="3">
        <f>1/NOK!C1759</f>
        <v>0.12089851778417197</v>
      </c>
      <c r="R1759" s="3">
        <f>NZD!B1759/1</f>
        <v>0.72629999999999995</v>
      </c>
      <c r="S1759" s="3">
        <f>NZD!C1759/1</f>
        <v>0.72529999999999994</v>
      </c>
      <c r="T1759" s="4">
        <f>1/PHP!B1759</f>
        <v>2.1019442984760904E-2</v>
      </c>
      <c r="U1759" s="4">
        <f>1/PHP!C1759</f>
        <v>2.0992967355935761E-2</v>
      </c>
      <c r="V1759" s="4">
        <f>1/TWD!B1759</f>
        <v>3.1496062992125984E-2</v>
      </c>
      <c r="W1759" s="4">
        <f>1/TWD!C1759</f>
        <v>3.1496261393772561E-2</v>
      </c>
      <c r="X1759" s="4">
        <f>1/TWD!B1759</f>
        <v>3.1496062992125984E-2</v>
      </c>
      <c r="Y1759" s="4">
        <f>1/TWD!C1759</f>
        <v>3.1496261393772561E-2</v>
      </c>
      <c r="Z1759" s="4">
        <f>1/ZAR!B1759</f>
        <v>6.9307273798385138E-2</v>
      </c>
      <c r="AA1759" s="4">
        <f>1/ZAR!C1759</f>
        <v>6.8870997734144179E-2</v>
      </c>
    </row>
    <row r="1760" spans="1:27" x14ac:dyDescent="0.25">
      <c r="A1760" t="str">
        <f>"15/09/2016"</f>
        <v>15/09/2016</v>
      </c>
      <c r="B1760" s="3">
        <f>AUD!B1760</f>
        <v>0.74619999999999997</v>
      </c>
      <c r="C1760" s="3">
        <f>AUD!C1760</f>
        <v>0.74560000000000004</v>
      </c>
      <c r="D1760" s="3">
        <f>1/CAD!B1760</f>
        <v>0.75688767786860434</v>
      </c>
      <c r="E1760" s="3">
        <f>1/CAD!C1760</f>
        <v>0.75700227100681305</v>
      </c>
      <c r="F1760" s="3">
        <f>EUR!B1760/1</f>
        <v>1.1244000000000001</v>
      </c>
      <c r="G1760" s="3">
        <f>EUR!C1760/1</f>
        <v>1.1258999999999999</v>
      </c>
      <c r="H1760" s="3">
        <f>GBP!B1760/1</f>
        <v>1.3255999999999999</v>
      </c>
      <c r="I1760" s="3">
        <f>GBP!C1760/1</f>
        <v>1.3265</v>
      </c>
      <c r="J1760" s="4">
        <f>1/INR!B1760</f>
        <v>1.4922589069203506E-2</v>
      </c>
      <c r="K1760" s="4">
        <f>1/INR!C1760</f>
        <v>1.4842851311736984E-2</v>
      </c>
      <c r="L1760" s="4">
        <f>1/JPY!B1760</f>
        <v>9.7770825185764573E-3</v>
      </c>
      <c r="M1760" s="4">
        <f>1/JPY!C1760</f>
        <v>9.7926600096163927E-3</v>
      </c>
      <c r="N1760" s="5">
        <f>1/KRW!B1760</f>
        <v>8.9341552756186902E-4</v>
      </c>
      <c r="O1760" s="5">
        <f>1/KRW!C1760</f>
        <v>8.9340994025767723E-4</v>
      </c>
      <c r="P1760" s="3">
        <f>1/NOK!B1760</f>
        <v>0.12121946784653616</v>
      </c>
      <c r="Q1760" s="3">
        <f>1/NOK!C1760</f>
        <v>0.12121505975902445</v>
      </c>
      <c r="R1760" s="3">
        <f>NZD!B1760/1</f>
        <v>0.72650000000000003</v>
      </c>
      <c r="S1760" s="3">
        <f>NZD!C1760/1</f>
        <v>0.72560000000000002</v>
      </c>
      <c r="T1760" s="4">
        <f>1/PHP!B1760</f>
        <v>2.0986358866736624E-2</v>
      </c>
      <c r="U1760" s="4">
        <f>1/PHP!C1760</f>
        <v>2.0962163295252072E-2</v>
      </c>
      <c r="V1760" s="4">
        <f>1/TWD!B1760</f>
        <v>3.1558683371729727E-2</v>
      </c>
      <c r="W1760" s="4">
        <f>1/TWD!C1760</f>
        <v>3.1558882563086206E-2</v>
      </c>
      <c r="X1760" s="4">
        <f>1/TWD!B1760</f>
        <v>3.1558683371729727E-2</v>
      </c>
      <c r="Y1760" s="4">
        <f>1/TWD!C1760</f>
        <v>3.1558882563086206E-2</v>
      </c>
      <c r="Z1760" s="4">
        <f>1/ZAR!B1760</f>
        <v>6.972187942298172E-2</v>
      </c>
      <c r="AA1760" s="4">
        <f>1/ZAR!C1760</f>
        <v>6.9303911512765784E-2</v>
      </c>
    </row>
    <row r="1761" spans="1:27" x14ac:dyDescent="0.25">
      <c r="A1761" t="str">
        <f>"16/09/2016"</f>
        <v>16/09/2016</v>
      </c>
      <c r="B1761" s="3">
        <f>AUD!B1761</f>
        <v>0.75019999999999998</v>
      </c>
      <c r="C1761" s="3">
        <f>AUD!C1761</f>
        <v>0.74960000000000004</v>
      </c>
      <c r="D1761" s="3">
        <f>1/CAD!B1761</f>
        <v>0.75694497010067374</v>
      </c>
      <c r="E1761" s="3">
        <f>1/CAD!C1761</f>
        <v>0.75705958058899236</v>
      </c>
      <c r="F1761" s="3">
        <f>EUR!B1761/1</f>
        <v>1.1223000000000001</v>
      </c>
      <c r="G1761" s="3">
        <f>EUR!C1761/1</f>
        <v>1.1237999999999999</v>
      </c>
      <c r="H1761" s="3">
        <f>GBP!B1761/1</f>
        <v>1.3170999999999999</v>
      </c>
      <c r="I1761" s="3">
        <f>GBP!C1761/1</f>
        <v>1.3180000000000001</v>
      </c>
      <c r="J1761" s="4">
        <f>1/INR!B1761</f>
        <v>1.4927601134497688E-2</v>
      </c>
      <c r="K1761" s="4">
        <f>1/INR!C1761</f>
        <v>1.4846707742558087E-2</v>
      </c>
      <c r="L1761" s="4">
        <f>1/JPY!B1761</f>
        <v>9.8135426889106956E-3</v>
      </c>
      <c r="M1761" s="4">
        <f>1/JPY!C1761</f>
        <v>9.8295361835056445E-3</v>
      </c>
      <c r="N1761" s="5">
        <f>1/KRW!B1761</f>
        <v>8.9341552756186902E-4</v>
      </c>
      <c r="O1761" s="5">
        <f>1/KRW!C1761</f>
        <v>8.9340994025767723E-4</v>
      </c>
      <c r="P1761" s="3">
        <f>1/NOK!B1761</f>
        <v>0.12108149995762146</v>
      </c>
      <c r="Q1761" s="3">
        <f>1/NOK!C1761</f>
        <v>0.12108883076625013</v>
      </c>
      <c r="R1761" s="3">
        <f>NZD!B1761/1</f>
        <v>0.73019999999999996</v>
      </c>
      <c r="S1761" s="3">
        <f>NZD!C1761/1</f>
        <v>0.72919999999999996</v>
      </c>
      <c r="T1761" s="4">
        <f>1/PHP!B1761</f>
        <v>2.0942408376963352E-2</v>
      </c>
      <c r="U1761" s="4">
        <f>1/PHP!C1761</f>
        <v>2.0918313983892899E-2</v>
      </c>
      <c r="V1761" s="4">
        <f>1/TWD!B1761</f>
        <v>3.1558683371729727E-2</v>
      </c>
      <c r="W1761" s="4">
        <f>1/TWD!C1761</f>
        <v>3.1558882563086206E-2</v>
      </c>
      <c r="X1761" s="4">
        <f>1/TWD!B1761</f>
        <v>3.1558683371729727E-2</v>
      </c>
      <c r="Y1761" s="4">
        <f>1/TWD!C1761</f>
        <v>3.1558882563086206E-2</v>
      </c>
      <c r="Z1761" s="4">
        <f>1/ZAR!B1761</f>
        <v>7.0523851166464493E-2</v>
      </c>
      <c r="AA1761" s="4">
        <f>1/ZAR!C1761</f>
        <v>7.0110002594070103E-2</v>
      </c>
    </row>
    <row r="1762" spans="1:27" x14ac:dyDescent="0.25">
      <c r="A1762" t="str">
        <f>"19/09/2016"</f>
        <v>19/09/2016</v>
      </c>
      <c r="B1762" s="3">
        <f>AUD!B1762</f>
        <v>0.75419999999999998</v>
      </c>
      <c r="C1762" s="3">
        <f>AUD!C1762</f>
        <v>0.75360000000000005</v>
      </c>
      <c r="D1762" s="3">
        <f>1/CAD!B1762</f>
        <v>0.75947444368496997</v>
      </c>
      <c r="E1762" s="3">
        <f>1/CAD!C1762</f>
        <v>0.75958982149639198</v>
      </c>
      <c r="F1762" s="3">
        <f>EUR!B1762/1</f>
        <v>1.1162000000000001</v>
      </c>
      <c r="G1762" s="3">
        <f>EUR!C1762/1</f>
        <v>1.1176999999999999</v>
      </c>
      <c r="H1762" s="3">
        <f>GBP!B1762/1</f>
        <v>1.3044</v>
      </c>
      <c r="I1762" s="3">
        <f>GBP!C1762/1</f>
        <v>1.3052999999999999</v>
      </c>
      <c r="J1762" s="4">
        <f>1/INR!B1762</f>
        <v>1.4931501735787077E-2</v>
      </c>
      <c r="K1762" s="4">
        <f>1/INR!C1762</f>
        <v>1.485001485001485E-2</v>
      </c>
      <c r="L1762" s="4">
        <f>1/JPY!B1762</f>
        <v>9.8193244304791826E-3</v>
      </c>
      <c r="M1762" s="4">
        <f>1/JPY!C1762</f>
        <v>9.8353174447058447E-3</v>
      </c>
      <c r="N1762" s="5">
        <f>1/KRW!B1762</f>
        <v>8.9433439162902998E-4</v>
      </c>
      <c r="O1762" s="5">
        <f>1/KRW!C1762</f>
        <v>8.9432919273822579E-4</v>
      </c>
      <c r="P1762" s="3">
        <f>1/NOK!B1762</f>
        <v>0.12061998673180147</v>
      </c>
      <c r="Q1762" s="3">
        <f>1/NOK!C1762</f>
        <v>0.12062726176115804</v>
      </c>
      <c r="R1762" s="3">
        <f>NZD!B1762/1</f>
        <v>0.73119999999999996</v>
      </c>
      <c r="S1762" s="3">
        <f>NZD!C1762/1</f>
        <v>0.73029999999999995</v>
      </c>
      <c r="T1762" s="4">
        <f>1/PHP!B1762</f>
        <v>2.0894274968658588E-2</v>
      </c>
      <c r="U1762" s="4">
        <f>1/PHP!C1762</f>
        <v>2.0875519278542053E-2</v>
      </c>
      <c r="V1762" s="4">
        <f>1/TWD!B1762</f>
        <v>3.1798524548460952E-2</v>
      </c>
      <c r="W1762" s="4">
        <f>1/TWD!C1762</f>
        <v>3.1798726778979769E-2</v>
      </c>
      <c r="X1762" s="4">
        <f>1/TWD!B1762</f>
        <v>3.1798524548460952E-2</v>
      </c>
      <c r="Y1762" s="4">
        <f>1/TWD!C1762</f>
        <v>3.1798726778979769E-2</v>
      </c>
      <c r="Z1762" s="4">
        <f>1/ZAR!B1762</f>
        <v>7.1196166798379576E-2</v>
      </c>
      <c r="AA1762" s="4">
        <f>1/ZAR!C1762</f>
        <v>7.0776918231426372E-2</v>
      </c>
    </row>
    <row r="1763" spans="1:27" x14ac:dyDescent="0.25">
      <c r="A1763" t="str">
        <f>"20/09/2016"</f>
        <v>20/09/2016</v>
      </c>
      <c r="B1763" s="3">
        <f>AUD!B1763</f>
        <v>0.75439999999999996</v>
      </c>
      <c r="C1763" s="3">
        <f>AUD!C1763</f>
        <v>0.75380000000000003</v>
      </c>
      <c r="D1763" s="3">
        <f>1/CAD!B1763</f>
        <v>0.75614366729678639</v>
      </c>
      <c r="E1763" s="3">
        <f>1/CAD!C1763</f>
        <v>0.75625803524162438</v>
      </c>
      <c r="F1763" s="3">
        <f>EUR!B1763/1</f>
        <v>1.1176999999999999</v>
      </c>
      <c r="G1763" s="3">
        <f>EUR!C1763/1</f>
        <v>1.1193</v>
      </c>
      <c r="H1763" s="3">
        <f>GBP!B1763/1</f>
        <v>1.2961</v>
      </c>
      <c r="I1763" s="3">
        <f>GBP!C1763/1</f>
        <v>1.2969999999999999</v>
      </c>
      <c r="J1763" s="4">
        <f>1/INR!B1763</f>
        <v>1.4920919128618324E-2</v>
      </c>
      <c r="K1763" s="4">
        <f>1/INR!C1763</f>
        <v>1.4834044131281292E-2</v>
      </c>
      <c r="L1763" s="4">
        <f>1/JPY!B1763</f>
        <v>9.8116169544740974E-3</v>
      </c>
      <c r="M1763" s="4">
        <f>1/JPY!C1763</f>
        <v>9.8280098280098278E-3</v>
      </c>
      <c r="N1763" s="5">
        <f>1/KRW!B1763</f>
        <v>8.9241890143233239E-4</v>
      </c>
      <c r="O1763" s="5">
        <f>1/KRW!C1763</f>
        <v>8.9241348586702608E-4</v>
      </c>
      <c r="P1763" s="3">
        <f>1/NOK!B1763</f>
        <v>0.12051241880475783</v>
      </c>
      <c r="Q1763" s="3">
        <f>1/NOK!C1763</f>
        <v>0.12051968086388508</v>
      </c>
      <c r="R1763" s="3">
        <f>NZD!B1763/1</f>
        <v>0.73440000000000005</v>
      </c>
      <c r="S1763" s="3">
        <f>NZD!C1763/1</f>
        <v>0.73340000000000005</v>
      </c>
      <c r="T1763" s="4">
        <f>1/PHP!B1763</f>
        <v>2.0894274968658588E-2</v>
      </c>
      <c r="U1763" s="4">
        <f>1/PHP!C1763</f>
        <v>2.0874647740319382E-2</v>
      </c>
      <c r="V1763" s="4">
        <f>1/TWD!B1763</f>
        <v>3.1880638888003313E-2</v>
      </c>
      <c r="W1763" s="4">
        <f>1/TWD!C1763</f>
        <v>3.1880842164326614E-2</v>
      </c>
      <c r="X1763" s="4">
        <f>1/TWD!B1763</f>
        <v>3.1880638888003313E-2</v>
      </c>
      <c r="Y1763" s="4">
        <f>1/TWD!C1763</f>
        <v>3.1880842164326614E-2</v>
      </c>
      <c r="Z1763" s="4">
        <f>1/ZAR!B1763</f>
        <v>7.2118331758749765E-2</v>
      </c>
      <c r="AA1763" s="4">
        <f>1/ZAR!C1763</f>
        <v>7.1667120558430206E-2</v>
      </c>
    </row>
    <row r="1764" spans="1:27" x14ac:dyDescent="0.25">
      <c r="A1764" t="str">
        <f>"21/09/2016"</f>
        <v>21/09/2016</v>
      </c>
      <c r="B1764" s="3">
        <f>AUD!B1764</f>
        <v>0.75960000000000005</v>
      </c>
      <c r="C1764" s="3">
        <f>AUD!C1764</f>
        <v>0.75900000000000001</v>
      </c>
      <c r="D1764" s="3">
        <f>1/CAD!B1764</f>
        <v>0.75958982149639198</v>
      </c>
      <c r="E1764" s="3">
        <f>1/CAD!C1764</f>
        <v>0.75970523436906479</v>
      </c>
      <c r="F1764" s="3">
        <f>EUR!B1764/1</f>
        <v>1.1142000000000001</v>
      </c>
      <c r="G1764" s="3">
        <f>EUR!C1764/1</f>
        <v>1.1157999999999999</v>
      </c>
      <c r="H1764" s="3">
        <f>GBP!B1764/1</f>
        <v>1.2990999999999999</v>
      </c>
      <c r="I1764" s="3">
        <f>GBP!C1764/1</f>
        <v>1.3</v>
      </c>
      <c r="J1764" s="4">
        <f>1/INR!B1764</f>
        <v>1.4919806042521445E-2</v>
      </c>
      <c r="K1764" s="4">
        <f>1/INR!C1764</f>
        <v>1.4836244946404065E-2</v>
      </c>
      <c r="L1764" s="4">
        <f>1/JPY!B1764</f>
        <v>9.8658247829518549E-3</v>
      </c>
      <c r="M1764" s="4">
        <f>1/JPY!C1764</f>
        <v>9.8813057552677233E-3</v>
      </c>
      <c r="N1764" s="5">
        <f>1/KRW!B1764</f>
        <v>8.9257821216584109E-4</v>
      </c>
      <c r="O1764" s="5">
        <f>1/KRW!C1764</f>
        <v>8.9257183864443329E-4</v>
      </c>
      <c r="P1764" s="3">
        <f>1/NOK!B1764</f>
        <v>0.12062726176115804</v>
      </c>
      <c r="Q1764" s="3">
        <f>1/NOK!C1764</f>
        <v>0.12063599295485801</v>
      </c>
      <c r="R1764" s="3">
        <f>NZD!B1764/1</f>
        <v>0.7329</v>
      </c>
      <c r="S1764" s="3">
        <f>NZD!C1764/1</f>
        <v>0.7319</v>
      </c>
      <c r="T1764" s="4">
        <f>1/PHP!B1764</f>
        <v>2.0876826722338204E-2</v>
      </c>
      <c r="U1764" s="4">
        <f>1/PHP!C1764</f>
        <v>2.0854274500644397E-2</v>
      </c>
      <c r="V1764" s="4">
        <f>1/TWD!B1764</f>
        <v>3.1816735602927138E-2</v>
      </c>
      <c r="W1764" s="4">
        <f>1/TWD!C1764</f>
        <v>3.1816938065148362E-2</v>
      </c>
      <c r="X1764" s="4">
        <f>1/TWD!B1764</f>
        <v>3.1816735602927138E-2</v>
      </c>
      <c r="Y1764" s="4">
        <f>1/TWD!C1764</f>
        <v>3.1816938065148362E-2</v>
      </c>
      <c r="Z1764" s="4">
        <f>1/ZAR!B1764</f>
        <v>7.300229227197734E-2</v>
      </c>
      <c r="AA1764" s="4">
        <f>1/ZAR!C1764</f>
        <v>7.2568413872177995E-2</v>
      </c>
    </row>
    <row r="1765" spans="1:27" x14ac:dyDescent="0.25">
      <c r="A1765" t="str">
        <f>"22/09/2016"</f>
        <v>22/09/2016</v>
      </c>
      <c r="B1765" s="3">
        <f>AUD!B1765</f>
        <v>0.76590000000000003</v>
      </c>
      <c r="C1765" s="3">
        <f>AUD!C1765</f>
        <v>0.76529999999999998</v>
      </c>
      <c r="D1765" s="3">
        <f>1/CAD!B1765</f>
        <v>0.76734192756292208</v>
      </c>
      <c r="E1765" s="3">
        <f>1/CAD!C1765</f>
        <v>0.76745970836531086</v>
      </c>
      <c r="F1765" s="3">
        <f>EUR!B1765/1</f>
        <v>1.1234999999999999</v>
      </c>
      <c r="G1765" s="3">
        <f>EUR!C1765/1</f>
        <v>1.1251</v>
      </c>
      <c r="H1765" s="3">
        <f>GBP!B1765/1</f>
        <v>1.3069</v>
      </c>
      <c r="I1765" s="3">
        <f>GBP!C1765/1</f>
        <v>1.3078000000000001</v>
      </c>
      <c r="J1765" s="4">
        <f>1/INR!B1765</f>
        <v>1.4999250037498125E-2</v>
      </c>
      <c r="K1765" s="4">
        <f>1/INR!C1765</f>
        <v>1.4917580368464236E-2</v>
      </c>
      <c r="L1765" s="4">
        <f>1/JPY!B1765</f>
        <v>9.9324592769169644E-3</v>
      </c>
      <c r="M1765" s="4">
        <f>1/JPY!C1765</f>
        <v>9.947734602398995E-3</v>
      </c>
      <c r="N1765" s="5">
        <f>1/KRW!B1765</f>
        <v>9.0657721771451882E-4</v>
      </c>
      <c r="O1765" s="5">
        <f>1/KRW!C1765</f>
        <v>9.0657023176921253E-4</v>
      </c>
      <c r="P1765" s="3">
        <f>1/NOK!B1765</f>
        <v>0.12316180998595955</v>
      </c>
      <c r="Q1765" s="3">
        <f>1/NOK!C1765</f>
        <v>0.12317242908347395</v>
      </c>
      <c r="R1765" s="3">
        <f>NZD!B1765/1</f>
        <v>0.73250000000000004</v>
      </c>
      <c r="S1765" s="3">
        <f>NZD!C1765/1</f>
        <v>0.73160000000000003</v>
      </c>
      <c r="T1765" s="4">
        <f>1/PHP!B1765</f>
        <v>2.0898641588296761E-2</v>
      </c>
      <c r="U1765" s="4">
        <f>1/PHP!C1765</f>
        <v>2.0879006159306816E-2</v>
      </c>
      <c r="V1765" s="4">
        <f>1/TWD!B1765</f>
        <v>3.1845105407298895E-2</v>
      </c>
      <c r="W1765" s="4">
        <f>1/TWD!C1765</f>
        <v>3.1845308230738362E-2</v>
      </c>
      <c r="X1765" s="4">
        <f>1/TWD!B1765</f>
        <v>3.1845105407298895E-2</v>
      </c>
      <c r="Y1765" s="4">
        <f>1/TWD!C1765</f>
        <v>3.1845308230738362E-2</v>
      </c>
      <c r="Z1765" s="4">
        <f>1/ZAR!B1765</f>
        <v>7.4365476571156608E-2</v>
      </c>
      <c r="AA1765" s="4">
        <f>1/ZAR!C1765</f>
        <v>7.3934420169309831E-2</v>
      </c>
    </row>
    <row r="1766" spans="1:27" x14ac:dyDescent="0.25">
      <c r="A1766" t="str">
        <f>"23/09/2016"</f>
        <v>23/09/2016</v>
      </c>
      <c r="B1766" s="3">
        <f>AUD!B1766</f>
        <v>0.76329999999999998</v>
      </c>
      <c r="C1766" s="3">
        <f>AUD!C1766</f>
        <v>0.76270000000000004</v>
      </c>
      <c r="D1766" s="3">
        <f>1/CAD!B1766</f>
        <v>0.76640098099325571</v>
      </c>
      <c r="E1766" s="3">
        <f>1/CAD!C1766</f>
        <v>0.76645972254158046</v>
      </c>
      <c r="F1766" s="3">
        <f>EUR!B1766/1</f>
        <v>1.1216999999999999</v>
      </c>
      <c r="G1766" s="3">
        <f>EUR!C1766/1</f>
        <v>1.1232</v>
      </c>
      <c r="H1766" s="3">
        <f>GBP!B1766/1</f>
        <v>1.2961</v>
      </c>
      <c r="I1766" s="3">
        <f>GBP!C1766/1</f>
        <v>1.2969999999999999</v>
      </c>
      <c r="J1766" s="4">
        <f>1/INR!B1766</f>
        <v>1.5002062783632749E-2</v>
      </c>
      <c r="K1766" s="4">
        <f>1/INR!C1766</f>
        <v>1.4922032380810267E-2</v>
      </c>
      <c r="L1766" s="4">
        <f>1/JPY!B1766</f>
        <v>9.9176832291976592E-3</v>
      </c>
      <c r="M1766" s="4">
        <f>1/JPY!C1766</f>
        <v>9.9319265752532138E-3</v>
      </c>
      <c r="N1766" s="5">
        <f>1/KRW!B1766</f>
        <v>9.0698834519976424E-4</v>
      </c>
      <c r="O1766" s="5">
        <f>1/KRW!C1766</f>
        <v>9.069825868413152E-4</v>
      </c>
      <c r="P1766" s="3">
        <f>1/NOK!B1766</f>
        <v>0.12318911993692717</v>
      </c>
      <c r="Q1766" s="3">
        <f>1/NOK!C1766</f>
        <v>0.12319519045976444</v>
      </c>
      <c r="R1766" s="3">
        <f>NZD!B1766/1</f>
        <v>0.72609999999999997</v>
      </c>
      <c r="S1766" s="3">
        <f>NZD!C1766/1</f>
        <v>0.72519999999999996</v>
      </c>
      <c r="T1766" s="4">
        <f>1/PHP!B1766</f>
        <v>2.0837674515524068E-2</v>
      </c>
      <c r="U1766" s="4">
        <f>1/PHP!C1766</f>
        <v>2.0820320632937747E-2</v>
      </c>
      <c r="V1766" s="4">
        <f>1/TWD!B1766</f>
        <v>3.1874541803461574E-2</v>
      </c>
      <c r="W1766" s="4">
        <f>1/TWD!C1766</f>
        <v>3.1874745002039982E-2</v>
      </c>
      <c r="X1766" s="4">
        <f>1/TWD!B1766</f>
        <v>3.1874541803461574E-2</v>
      </c>
      <c r="Y1766" s="4">
        <f>1/TWD!C1766</f>
        <v>3.1874745002039982E-2</v>
      </c>
      <c r="Z1766" s="4">
        <f>1/ZAR!B1766</f>
        <v>7.3529952426120787E-2</v>
      </c>
      <c r="AA1766" s="4">
        <f>1/ZAR!C1766</f>
        <v>7.3102621460005554E-2</v>
      </c>
    </row>
    <row r="1767" spans="1:27" x14ac:dyDescent="0.25">
      <c r="A1767" t="str">
        <f>"26/09/2016"</f>
        <v>26/09/2016</v>
      </c>
      <c r="B1767" s="3">
        <f>AUD!B1767</f>
        <v>0.7631</v>
      </c>
      <c r="C1767" s="3">
        <f>AUD!C1767</f>
        <v>0.76249999999999996</v>
      </c>
      <c r="D1767" s="3">
        <f>1/CAD!B1767</f>
        <v>0.75884049172863854</v>
      </c>
      <c r="E1767" s="3">
        <f>1/CAD!C1767</f>
        <v>0.75895567698846378</v>
      </c>
      <c r="F1767" s="3">
        <f>EUR!B1767/1</f>
        <v>1.125</v>
      </c>
      <c r="G1767" s="3">
        <f>EUR!C1767/1</f>
        <v>1.1266</v>
      </c>
      <c r="H1767" s="3">
        <f>GBP!B1767/1</f>
        <v>1.2930999999999999</v>
      </c>
      <c r="I1767" s="3">
        <f>GBP!C1767/1</f>
        <v>1.294</v>
      </c>
      <c r="J1767" s="4">
        <f>1/INR!B1767</f>
        <v>1.5011634016362681E-2</v>
      </c>
      <c r="K1767" s="4">
        <f>1/INR!C1767</f>
        <v>1.4932616567738081E-2</v>
      </c>
      <c r="L1767" s="4">
        <f>1/JPY!B1767</f>
        <v>9.9561927518916765E-3</v>
      </c>
      <c r="M1767" s="4">
        <f>1/JPY!C1767</f>
        <v>9.9710142615416983E-3</v>
      </c>
      <c r="N1767" s="5">
        <f>1/KRW!B1767</f>
        <v>9.0244562765093414E-4</v>
      </c>
      <c r="O1767" s="5">
        <f>1/KRW!C1767</f>
        <v>9.0243992683017077E-4</v>
      </c>
      <c r="P1767" s="3">
        <f>1/NOK!B1767</f>
        <v>0.12319974374453302</v>
      </c>
      <c r="Q1767" s="3">
        <f>1/NOK!C1767</f>
        <v>0.12321036938468742</v>
      </c>
      <c r="R1767" s="3">
        <f>NZD!B1767/1</f>
        <v>0.72599999999999998</v>
      </c>
      <c r="S1767" s="3">
        <f>NZD!C1767/1</f>
        <v>0.72509999999999997</v>
      </c>
      <c r="T1767" s="4">
        <f>1/PHP!B1767</f>
        <v>2.0721094073767096E-2</v>
      </c>
      <c r="U1767" s="4">
        <f>1/PHP!C1767</f>
        <v>2.0703933747412008E-2</v>
      </c>
      <c r="V1767" s="4">
        <f>1/TWD!B1767</f>
        <v>3.1814711122423012E-2</v>
      </c>
      <c r="W1767" s="4">
        <f>1/TWD!C1767</f>
        <v>3.1814913558879859E-2</v>
      </c>
      <c r="X1767" s="4">
        <f>1/TWD!B1767</f>
        <v>3.1814711122423012E-2</v>
      </c>
      <c r="Y1767" s="4">
        <f>1/TWD!C1767</f>
        <v>3.1814913558879859E-2</v>
      </c>
      <c r="Z1767" s="4">
        <f>1/ZAR!B1767</f>
        <v>7.3167341025659791E-2</v>
      </c>
      <c r="AA1767" s="4">
        <f>1/ZAR!C1767</f>
        <v>7.2742085661080078E-2</v>
      </c>
    </row>
    <row r="1768" spans="1:27" x14ac:dyDescent="0.25">
      <c r="A1768" t="str">
        <f>"27/09/2016"</f>
        <v>27/09/2016</v>
      </c>
      <c r="B1768" s="3">
        <f>AUD!B1768</f>
        <v>0.76629999999999998</v>
      </c>
      <c r="C1768" s="3">
        <f>AUD!C1768</f>
        <v>0.76570000000000005</v>
      </c>
      <c r="D1768" s="3">
        <f>1/CAD!B1768</f>
        <v>0.75625803524162438</v>
      </c>
      <c r="E1768" s="3">
        <f>1/CAD!C1768</f>
        <v>0.75637243778836694</v>
      </c>
      <c r="F1768" s="3">
        <f>EUR!B1768/1</f>
        <v>1.1228</v>
      </c>
      <c r="G1768" s="3">
        <f>EUR!C1768/1</f>
        <v>1.1246</v>
      </c>
      <c r="H1768" s="3">
        <f>GBP!B1768/1</f>
        <v>1.2988</v>
      </c>
      <c r="I1768" s="3">
        <f>GBP!C1768/1</f>
        <v>1.2999000000000001</v>
      </c>
      <c r="J1768" s="4">
        <f>1/INR!B1768</f>
        <v>1.5039855617386074E-2</v>
      </c>
      <c r="K1768" s="4">
        <f>1/INR!C1768</f>
        <v>1.4962220393506398E-2</v>
      </c>
      <c r="L1768" s="4">
        <f>1/JPY!B1768</f>
        <v>9.9710838568152355E-3</v>
      </c>
      <c r="M1768" s="4">
        <f>1/JPY!C1768</f>
        <v>9.9871166195607663E-3</v>
      </c>
      <c r="N1768" s="5">
        <f>1/KRW!B1768</f>
        <v>9.1087124834904592E-4</v>
      </c>
      <c r="O1768" s="5">
        <f>1/KRW!C1768</f>
        <v>9.1086502574332269E-4</v>
      </c>
      <c r="P1768" s="3">
        <f>1/NOK!B1768</f>
        <v>0.12333041451352318</v>
      </c>
      <c r="Q1768" s="3">
        <f>1/NOK!C1768</f>
        <v>0.12334410538520364</v>
      </c>
      <c r="R1768" s="3">
        <f>NZD!B1768/1</f>
        <v>0.73009999999999997</v>
      </c>
      <c r="S1768" s="3">
        <f>NZD!C1768/1</f>
        <v>0.72909999999999997</v>
      </c>
      <c r="T1768" s="4">
        <f>1/PHP!B1768</f>
        <v>2.0755500207555001E-2</v>
      </c>
      <c r="U1768" s="4">
        <f>1/PHP!C1768</f>
        <v>2.073828287017835E-2</v>
      </c>
      <c r="V1768" s="4">
        <f>1/TWD!B1768</f>
        <v>3.1730921783277806E-2</v>
      </c>
      <c r="W1768" s="4">
        <f>1/TWD!C1768</f>
        <v>3.1731123154835186E-2</v>
      </c>
      <c r="X1768" s="4">
        <f>1/TWD!B1768</f>
        <v>3.1730921783277806E-2</v>
      </c>
      <c r="Y1768" s="4">
        <f>1/TWD!C1768</f>
        <v>3.1731123154835186E-2</v>
      </c>
      <c r="Z1768" s="4">
        <f>1/ZAR!B1768</f>
        <v>7.3986933907471936E-2</v>
      </c>
      <c r="AA1768" s="4">
        <f>1/ZAR!C1768</f>
        <v>7.3535900226490564E-2</v>
      </c>
    </row>
    <row r="1769" spans="1:27" x14ac:dyDescent="0.25">
      <c r="A1769" t="str">
        <f>"28/09/2016"</f>
        <v>28/09/2016</v>
      </c>
      <c r="B1769" s="3">
        <f>AUD!B1769</f>
        <v>0.76600000000000001</v>
      </c>
      <c r="C1769" s="3">
        <f>AUD!C1769</f>
        <v>0.76539999999999997</v>
      </c>
      <c r="D1769" s="3">
        <f>1/CAD!B1769</f>
        <v>0.75631523218877628</v>
      </c>
      <c r="E1769" s="3">
        <f>1/CAD!C1769</f>
        <v>0.75642965204236001</v>
      </c>
      <c r="F1769" s="3">
        <f>EUR!B1769/1</f>
        <v>1.1208</v>
      </c>
      <c r="G1769" s="3">
        <f>EUR!C1769/1</f>
        <v>1.1225000000000001</v>
      </c>
      <c r="H1769" s="3">
        <f>GBP!B1769/1</f>
        <v>1.302</v>
      </c>
      <c r="I1769" s="3">
        <f>GBP!C1769/1</f>
        <v>1.3029999999999999</v>
      </c>
      <c r="J1769" s="4">
        <f>1/INR!B1769</f>
        <v>1.5044380923724988E-2</v>
      </c>
      <c r="K1769" s="4">
        <f>1/INR!C1769</f>
        <v>1.4967819188744199E-2</v>
      </c>
      <c r="L1769" s="4">
        <f>1/JPY!B1769</f>
        <v>9.92950054612253E-3</v>
      </c>
      <c r="M1769" s="4">
        <f>1/JPY!C1769</f>
        <v>9.9453799731872555E-3</v>
      </c>
      <c r="N1769" s="5">
        <f>1/KRW!B1769</f>
        <v>9.1170169120663729E-4</v>
      </c>
      <c r="O1769" s="5">
        <f>1/KRW!C1769</f>
        <v>9.1169628843882483E-4</v>
      </c>
      <c r="P1769" s="3">
        <f>1/NOK!B1769</f>
        <v>0.12326504449868106</v>
      </c>
      <c r="Q1769" s="3">
        <f>1/NOK!C1769</f>
        <v>0.12327112250684155</v>
      </c>
      <c r="R1769" s="3">
        <f>NZD!B1769/1</f>
        <v>0.72450000000000003</v>
      </c>
      <c r="S1769" s="3">
        <f>NZD!C1769/1</f>
        <v>0.72350000000000003</v>
      </c>
      <c r="T1769" s="4">
        <f>1/PHP!B1769</f>
        <v>2.069108214359611E-2</v>
      </c>
      <c r="U1769" s="4">
        <f>1/PHP!C1769</f>
        <v>2.0676108756332058E-2</v>
      </c>
      <c r="V1769" s="4">
        <f>1/TWD!B1769</f>
        <v>3.1730921783277806E-2</v>
      </c>
      <c r="W1769" s="4">
        <f>1/TWD!C1769</f>
        <v>3.1731123154835186E-2</v>
      </c>
      <c r="X1769" s="4">
        <f>1/TWD!B1769</f>
        <v>3.1730921783277806E-2</v>
      </c>
      <c r="Y1769" s="4">
        <f>1/TWD!C1769</f>
        <v>3.1731123154835186E-2</v>
      </c>
      <c r="Z1769" s="4">
        <f>1/ZAR!B1769</f>
        <v>7.3509953247669735E-2</v>
      </c>
      <c r="AA1769" s="4">
        <f>1/ZAR!C1769</f>
        <v>7.3073241309764767E-2</v>
      </c>
    </row>
    <row r="1770" spans="1:27" x14ac:dyDescent="0.25">
      <c r="A1770" t="str">
        <f>"29/09/2016"</f>
        <v>29/09/2016</v>
      </c>
      <c r="B1770" s="3">
        <f>AUD!B1770</f>
        <v>0.76849999999999996</v>
      </c>
      <c r="C1770" s="3">
        <f>AUD!C1770</f>
        <v>0.76790000000000003</v>
      </c>
      <c r="D1770" s="3">
        <f>1/CAD!B1770</f>
        <v>0.76470138410950517</v>
      </c>
      <c r="E1770" s="3">
        <f>1/CAD!C1770</f>
        <v>0.76481835564053535</v>
      </c>
      <c r="F1770" s="3">
        <f>EUR!B1770/1</f>
        <v>1.123</v>
      </c>
      <c r="G1770" s="3">
        <f>EUR!C1770/1</f>
        <v>1.1244000000000001</v>
      </c>
      <c r="H1770" s="3">
        <f>GBP!B1770/1</f>
        <v>1.3023</v>
      </c>
      <c r="I1770" s="3">
        <f>GBP!C1770/1</f>
        <v>1.3028999999999999</v>
      </c>
      <c r="J1770" s="4">
        <f>1/INR!B1770</f>
        <v>1.5044380923724988E-2</v>
      </c>
      <c r="K1770" s="4">
        <f>1/INR!C1770</f>
        <v>1.4961101137043686E-2</v>
      </c>
      <c r="L1770" s="4">
        <f>1/JPY!B1770</f>
        <v>9.8609604575485652E-3</v>
      </c>
      <c r="M1770" s="4">
        <f>1/JPY!C1770</f>
        <v>9.8735592008736116E-3</v>
      </c>
      <c r="N1770" s="5">
        <f>1/KRW!B1770</f>
        <v>9.1058095064651249E-4</v>
      </c>
      <c r="O1770" s="5">
        <f>1/KRW!C1770</f>
        <v>9.1057514657983416E-4</v>
      </c>
      <c r="P1770" s="3">
        <f>1/NOK!B1770</f>
        <v>0.12455161418891988</v>
      </c>
      <c r="Q1770" s="3">
        <f>1/NOK!C1770</f>
        <v>0.12454851164528584</v>
      </c>
      <c r="R1770" s="3">
        <f>NZD!B1770/1</f>
        <v>0.72970000000000002</v>
      </c>
      <c r="S1770" s="3">
        <f>NZD!C1770/1</f>
        <v>0.72870000000000001</v>
      </c>
      <c r="T1770" s="4">
        <f>1/PHP!B1770</f>
        <v>2.072538860103627E-2</v>
      </c>
      <c r="U1770" s="4">
        <f>1/PHP!C1770</f>
        <v>2.0710365537951747E-2</v>
      </c>
      <c r="V1770" s="4">
        <f>1/TWD!B1770</f>
        <v>3.1882671767894152E-2</v>
      </c>
      <c r="W1770" s="4">
        <f>1/TWD!C1770</f>
        <v>3.1882875070142327E-2</v>
      </c>
      <c r="X1770" s="4">
        <f>1/TWD!B1770</f>
        <v>3.1882671767894152E-2</v>
      </c>
      <c r="Y1770" s="4">
        <f>1/TWD!C1770</f>
        <v>3.1882875070142327E-2</v>
      </c>
      <c r="Z1770" s="4">
        <f>1/ZAR!B1770</f>
        <v>7.3314320486220566E-2</v>
      </c>
      <c r="AA1770" s="4">
        <f>1/ZAR!C1770</f>
        <v>7.2884172473105746E-2</v>
      </c>
    </row>
    <row r="1771" spans="1:27" x14ac:dyDescent="0.25">
      <c r="A1771" t="str">
        <f>"30/09/2016"</f>
        <v>30/09/2016</v>
      </c>
      <c r="B1771" s="3">
        <f>AUD!B1771</f>
        <v>0.76529999999999998</v>
      </c>
      <c r="C1771" s="3">
        <f>AUD!C1771</f>
        <v>0.76170000000000004</v>
      </c>
      <c r="D1771" s="3">
        <f>1/CAD!B1771</f>
        <v>0.76034063260340634</v>
      </c>
      <c r="E1771" s="3">
        <f>1/CAD!C1771</f>
        <v>0.76045627376425862</v>
      </c>
      <c r="F1771" s="3">
        <f>EUR!B1771/1</f>
        <v>1.1173</v>
      </c>
      <c r="G1771" s="3">
        <f>EUR!C1771/1</f>
        <v>1.1189</v>
      </c>
      <c r="H1771" s="3">
        <f>GBP!B1771/1</f>
        <v>1.2955000000000001</v>
      </c>
      <c r="I1771" s="3">
        <f>GBP!C1771/1</f>
        <v>1.2963</v>
      </c>
      <c r="J1771" s="4">
        <f>1/INR!B1771</f>
        <v>1.5010507355148603E-2</v>
      </c>
      <c r="K1771" s="4">
        <f>1/INR!C1771</f>
        <v>1.4927044072097622E-2</v>
      </c>
      <c r="L1771" s="4">
        <f>1/JPY!B1771</f>
        <v>9.8784945174355421E-3</v>
      </c>
      <c r="M1771" s="4">
        <f>1/JPY!C1771</f>
        <v>9.8910794332807122E-3</v>
      </c>
      <c r="N1771" s="5">
        <f>1/KRW!B1771</f>
        <v>9.0797657420438565E-4</v>
      </c>
      <c r="O1771" s="5">
        <f>1/KRW!C1771</f>
        <v>9.0797162770257756E-4</v>
      </c>
      <c r="P1771" s="3">
        <f>1/NOK!B1771</f>
        <v>0.12441679626749612</v>
      </c>
      <c r="Q1771" s="3">
        <f>1/NOK!C1771</f>
        <v>0.12442453651860146</v>
      </c>
      <c r="R1771" s="3">
        <f>NZD!B1771/1</f>
        <v>0.72740000000000005</v>
      </c>
      <c r="S1771" s="3">
        <f>NZD!C1771/1</f>
        <v>0.72650000000000003</v>
      </c>
      <c r="T1771" s="4">
        <f>1/PHP!B1771</f>
        <v>2.0618556701030927E-2</v>
      </c>
      <c r="U1771" s="4">
        <f>1/PHP!C1771</f>
        <v>2.0600716904948291E-2</v>
      </c>
      <c r="V1771" s="4">
        <f>1/TWD!B1771</f>
        <v>3.1882671767894152E-2</v>
      </c>
      <c r="W1771" s="4">
        <f>1/TWD!C1771</f>
        <v>3.1882875070142327E-2</v>
      </c>
      <c r="X1771" s="4">
        <f>1/TWD!B1771</f>
        <v>3.1882671767894152E-2</v>
      </c>
      <c r="Y1771" s="4">
        <f>1/TWD!C1771</f>
        <v>3.1882875070142327E-2</v>
      </c>
      <c r="Z1771" s="4">
        <f>1/ZAR!B1771</f>
        <v>7.2665441042894408E-2</v>
      </c>
      <c r="AA1771" s="4">
        <f>1/ZAR!C1771</f>
        <v>7.1768446284906376E-2</v>
      </c>
    </row>
    <row r="1772" spans="1:27" x14ac:dyDescent="0.25">
      <c r="A1772" t="str">
        <f>"03/10/2016"</f>
        <v>03/10/2016</v>
      </c>
      <c r="B1772" s="3">
        <f>AUD!B1772</f>
        <v>0.76749999999999996</v>
      </c>
      <c r="C1772" s="3">
        <f>AUD!C1772</f>
        <v>0.76690000000000003</v>
      </c>
      <c r="D1772" s="3">
        <f>1/CAD!B1772</f>
        <v>0.76429226536227457</v>
      </c>
      <c r="E1772" s="3">
        <f>1/CAD!C1772</f>
        <v>0.76440911175661208</v>
      </c>
      <c r="F1772" s="3">
        <f>EUR!B1772/1</f>
        <v>1.1235999999999999</v>
      </c>
      <c r="G1772" s="3">
        <f>EUR!C1772/1</f>
        <v>1.1253</v>
      </c>
      <c r="H1772" s="3">
        <f>GBP!B1772/1</f>
        <v>1.2873000000000001</v>
      </c>
      <c r="I1772" s="3">
        <f>GBP!C1772/1</f>
        <v>1.2881</v>
      </c>
      <c r="J1772" s="4">
        <f>1/INR!B1772</f>
        <v>1.5018397536982805E-2</v>
      </c>
      <c r="K1772" s="4">
        <f>1/INR!C1772</f>
        <v>1.4930387070284795E-2</v>
      </c>
      <c r="L1772" s="4">
        <f>1/JPY!B1772</f>
        <v>9.8658247829518549E-3</v>
      </c>
      <c r="M1772" s="4">
        <f>1/JPY!C1772</f>
        <v>9.8785042759105754E-3</v>
      </c>
      <c r="N1772" s="5">
        <f>1/KRW!B1772</f>
        <v>9.0797657420438565E-4</v>
      </c>
      <c r="O1772" s="5">
        <f>1/KRW!C1772</f>
        <v>9.0797162770257756E-4</v>
      </c>
      <c r="P1772" s="3">
        <f>1/NOK!B1772</f>
        <v>0.12546421760513901</v>
      </c>
      <c r="Q1772" s="3">
        <f>1/NOK!C1772</f>
        <v>0.12547366307811991</v>
      </c>
      <c r="R1772" s="3">
        <f>NZD!B1772/1</f>
        <v>0.72750000000000004</v>
      </c>
      <c r="S1772" s="3">
        <f>NZD!C1772/1</f>
        <v>0.72650000000000003</v>
      </c>
      <c r="T1772" s="4">
        <f>1/PHP!B1772</f>
        <v>2.0755500207555001E-2</v>
      </c>
      <c r="U1772" s="4">
        <f>1/PHP!C1772</f>
        <v>2.0736992721315555E-2</v>
      </c>
      <c r="V1772" s="4">
        <f>1/TWD!B1772</f>
        <v>3.1918289179699973E-2</v>
      </c>
      <c r="W1772" s="4">
        <f>1/TWD!C1772</f>
        <v>3.1918492936437518E-2</v>
      </c>
      <c r="X1772" s="4">
        <f>1/TWD!B1772</f>
        <v>3.1918289179699973E-2</v>
      </c>
      <c r="Y1772" s="4">
        <f>1/TWD!C1772</f>
        <v>3.1918492936437518E-2</v>
      </c>
      <c r="Z1772" s="4">
        <f>1/ZAR!B1772</f>
        <v>7.3513736041579375E-2</v>
      </c>
      <c r="AA1772" s="4">
        <f>1/ZAR!C1772</f>
        <v>7.305295608786809E-2</v>
      </c>
    </row>
    <row r="1773" spans="1:27" x14ac:dyDescent="0.25">
      <c r="A1773" t="str">
        <f>"04/10/2016"</f>
        <v>04/10/2016</v>
      </c>
      <c r="B1773" s="3">
        <f>AUD!B1773</f>
        <v>0.76649999999999996</v>
      </c>
      <c r="C1773" s="3">
        <f>AUD!C1773</f>
        <v>0.76590000000000003</v>
      </c>
      <c r="D1773" s="3">
        <f>1/CAD!B1773</f>
        <v>0.75964752354907317</v>
      </c>
      <c r="E1773" s="3">
        <f>1/CAD!C1773</f>
        <v>0.75982068231897271</v>
      </c>
      <c r="F1773" s="3">
        <f>EUR!B1773/1</f>
        <v>1.1165</v>
      </c>
      <c r="G1773" s="3">
        <f>EUR!C1773/1</f>
        <v>1.1181000000000001</v>
      </c>
      <c r="H1773" s="3">
        <f>GBP!B1773/1</f>
        <v>1.2742</v>
      </c>
      <c r="I1773" s="3">
        <f>GBP!C1773/1</f>
        <v>1.2749999999999999</v>
      </c>
      <c r="J1773" s="4">
        <f>1/INR!B1773</f>
        <v>1.5045512675844428E-2</v>
      </c>
      <c r="K1773" s="4">
        <f>1/INR!C1773</f>
        <v>1.496166074434262E-2</v>
      </c>
      <c r="L1773" s="4">
        <f>1/JPY!B1773</f>
        <v>9.7589538401483353E-3</v>
      </c>
      <c r="M1773" s="4">
        <f>1/JPY!C1773</f>
        <v>9.7704052470984331E-3</v>
      </c>
      <c r="N1773" s="5">
        <f>1/KRW!B1773</f>
        <v>9.0264927562395644E-4</v>
      </c>
      <c r="O1773" s="5">
        <f>1/KRW!C1773</f>
        <v>9.0264397961288296E-4</v>
      </c>
      <c r="P1773" s="3">
        <f>1/NOK!B1773</f>
        <v>0.12520972629153831</v>
      </c>
      <c r="Q1773" s="3">
        <f>1/NOK!C1773</f>
        <v>0.12521913348359628</v>
      </c>
      <c r="R1773" s="3">
        <f>NZD!B1773/1</f>
        <v>0.72809999999999997</v>
      </c>
      <c r="S1773" s="3">
        <f>NZD!C1773/1</f>
        <v>0.72709999999999997</v>
      </c>
      <c r="T1773" s="4">
        <f>1/PHP!B1773</f>
        <v>2.0727536532283139E-2</v>
      </c>
      <c r="U1773" s="4">
        <f>1/PHP!C1773</f>
        <v>2.070822116380203E-2</v>
      </c>
      <c r="V1773" s="4">
        <f>1/TWD!B1773</f>
        <v>3.1900979360066355E-2</v>
      </c>
      <c r="W1773" s="4">
        <f>1/TWD!C1773</f>
        <v>3.1901182895861774E-2</v>
      </c>
      <c r="X1773" s="4">
        <f>1/TWD!B1773</f>
        <v>3.1900979360066355E-2</v>
      </c>
      <c r="Y1773" s="4">
        <f>1/TWD!C1773</f>
        <v>3.1901182895861774E-2</v>
      </c>
      <c r="Z1773" s="4">
        <f>1/ZAR!B1773</f>
        <v>7.3478625067967721E-2</v>
      </c>
      <c r="AA1773" s="4">
        <f>1/ZAR!C1773</f>
        <v>7.3033748895364556E-2</v>
      </c>
    </row>
    <row r="1774" spans="1:27" x14ac:dyDescent="0.25">
      <c r="A1774" t="str">
        <f>"05/10/2016"</f>
        <v>05/10/2016</v>
      </c>
      <c r="B1774" s="3">
        <f>AUD!B1774</f>
        <v>0.76190000000000002</v>
      </c>
      <c r="C1774" s="3">
        <f>AUD!C1774</f>
        <v>0.76129999999999998</v>
      </c>
      <c r="D1774" s="3">
        <f>1/CAD!B1774</f>
        <v>0.75677311941879832</v>
      </c>
      <c r="E1774" s="3">
        <f>1/CAD!C1774</f>
        <v>0.75688767786860434</v>
      </c>
      <c r="F1774" s="3">
        <f>EUR!B1774/1</f>
        <v>1.1224000000000001</v>
      </c>
      <c r="G1774" s="3">
        <f>EUR!C1774/1</f>
        <v>1.1237999999999999</v>
      </c>
      <c r="H1774" s="3">
        <f>GBP!B1774/1</f>
        <v>1.2729999999999999</v>
      </c>
      <c r="I1774" s="3">
        <f>GBP!C1774/1</f>
        <v>1.2737000000000001</v>
      </c>
      <c r="J1774" s="4">
        <f>1/INR!B1774</f>
        <v>1.5034767900770532E-2</v>
      </c>
      <c r="K1774" s="4">
        <f>1/INR!C1774</f>
        <v>1.4955507365587378E-2</v>
      </c>
      <c r="L1774" s="4">
        <f>1/JPY!B1774</f>
        <v>9.6983803704781303E-3</v>
      </c>
      <c r="M1774" s="4">
        <f>1/JPY!C1774</f>
        <v>9.7081534897899349E-3</v>
      </c>
      <c r="N1774" s="5">
        <f>1/KRW!B1774</f>
        <v>8.9794818838952986E-4</v>
      </c>
      <c r="O1774" s="5">
        <f>1/KRW!C1774</f>
        <v>8.9794335054990053E-4</v>
      </c>
      <c r="P1774" s="3">
        <f>1/NOK!B1774</f>
        <v>0.12467273407305821</v>
      </c>
      <c r="Q1774" s="3">
        <f>1/NOK!C1774</f>
        <v>0.12468050620285519</v>
      </c>
      <c r="R1774" s="3">
        <f>NZD!B1774/1</f>
        <v>0.71819999999999995</v>
      </c>
      <c r="S1774" s="3">
        <f>NZD!C1774/1</f>
        <v>0.71719999999999995</v>
      </c>
      <c r="T1774" s="4">
        <f>1/PHP!B1774</f>
        <v>2.070822116380203E-2</v>
      </c>
      <c r="U1774" s="4">
        <f>1/PHP!C1774</f>
        <v>2.0692794768861482E-2</v>
      </c>
      <c r="V1774" s="4">
        <f>1/TWD!B1774</f>
        <v>3.1875557822261889E-2</v>
      </c>
      <c r="W1774" s="4">
        <f>1/TWD!C1774</f>
        <v>3.1875659427704407E-2</v>
      </c>
      <c r="X1774" s="4">
        <f>1/TWD!B1774</f>
        <v>3.1875557822261889E-2</v>
      </c>
      <c r="Y1774" s="4">
        <f>1/TWD!C1774</f>
        <v>3.1875659427704407E-2</v>
      </c>
      <c r="Z1774" s="4">
        <f>1/ZAR!B1774</f>
        <v>7.2868770630970678E-2</v>
      </c>
      <c r="AA1774" s="4">
        <f>1/ZAR!C1774</f>
        <v>7.2442245419839027E-2</v>
      </c>
    </row>
    <row r="1775" spans="1:27" x14ac:dyDescent="0.25">
      <c r="A1775" t="str">
        <f>"06/10/2016"</f>
        <v>06/10/2016</v>
      </c>
      <c r="B1775" s="3">
        <f>AUD!B1775</f>
        <v>0.75760000000000005</v>
      </c>
      <c r="C1775" s="3">
        <f>AUD!C1775</f>
        <v>0.75700000000000001</v>
      </c>
      <c r="D1775" s="3">
        <f>1/CAD!B1775</f>
        <v>0.75734625870948191</v>
      </c>
      <c r="E1775" s="3">
        <f>1/CAD!C1775</f>
        <v>0.75746099075897588</v>
      </c>
      <c r="F1775" s="3">
        <f>EUR!B1775/1</f>
        <v>1.1182000000000001</v>
      </c>
      <c r="G1775" s="3">
        <f>EUR!C1775/1</f>
        <v>1.1196999999999999</v>
      </c>
      <c r="H1775" s="3">
        <f>GBP!B1775/1</f>
        <v>1.2663</v>
      </c>
      <c r="I1775" s="3">
        <f>GBP!C1775/1</f>
        <v>1.2668999999999999</v>
      </c>
      <c r="J1775" s="4">
        <f>1/INR!B1775</f>
        <v>1.4991379956524999E-2</v>
      </c>
      <c r="K1775" s="4">
        <f>1/INR!C1775</f>
        <v>1.4907017478477995E-2</v>
      </c>
      <c r="L1775" s="4">
        <f>1/JPY!B1775</f>
        <v>9.6404126096596935E-3</v>
      </c>
      <c r="M1775" s="4">
        <f>1/JPY!C1775</f>
        <v>9.6515128263779705E-3</v>
      </c>
      <c r="N1775" s="5">
        <f>1/KRW!B1775</f>
        <v>8.9932101263546019E-4</v>
      </c>
      <c r="O1775" s="5">
        <f>1/KRW!C1775</f>
        <v>8.9931575560734615E-4</v>
      </c>
      <c r="P1775" s="3">
        <f>1/NOK!B1775</f>
        <v>0.12418349353003999</v>
      </c>
      <c r="Q1775" s="3">
        <f>1/NOK!C1775</f>
        <v>0.12418812016442506</v>
      </c>
      <c r="R1775" s="3">
        <f>NZD!B1775/1</f>
        <v>0.7147</v>
      </c>
      <c r="S1775" s="3">
        <f>NZD!C1775/1</f>
        <v>0.7137</v>
      </c>
      <c r="T1775" s="4">
        <f>1/PHP!B1775</f>
        <v>2.0682523267838676E-2</v>
      </c>
      <c r="U1775" s="4">
        <f>1/PHP!C1775</f>
        <v>2.0666280896089941E-2</v>
      </c>
      <c r="V1775" s="4">
        <f>1/TWD!B1775</f>
        <v>3.1842063365706094E-2</v>
      </c>
      <c r="W1775" s="4">
        <f>1/TWD!C1775</f>
        <v>3.184226615039739E-2</v>
      </c>
      <c r="X1775" s="4">
        <f>1/TWD!B1775</f>
        <v>3.1842063365706094E-2</v>
      </c>
      <c r="Y1775" s="4">
        <f>1/TWD!C1775</f>
        <v>3.184226615039739E-2</v>
      </c>
      <c r="Z1775" s="4">
        <f>1/ZAR!B1775</f>
        <v>7.2483727403197973E-2</v>
      </c>
      <c r="AA1775" s="4">
        <f>1/ZAR!C1775</f>
        <v>7.2019128280471301E-2</v>
      </c>
    </row>
    <row r="1776" spans="1:27" x14ac:dyDescent="0.25">
      <c r="A1776" t="str">
        <f>"07/10/2016"</f>
        <v>07/10/2016</v>
      </c>
      <c r="B1776" s="3">
        <f>AUD!B1776</f>
        <v>0.75749999999999995</v>
      </c>
      <c r="C1776" s="3">
        <f>AUD!C1776</f>
        <v>0.75690000000000002</v>
      </c>
      <c r="D1776" s="3">
        <f>1/CAD!B1776</f>
        <v>0.75306875517734762</v>
      </c>
      <c r="E1776" s="3">
        <f>1/CAD!C1776</f>
        <v>0.75318219477291548</v>
      </c>
      <c r="F1776" s="3">
        <f>EUR!B1776/1</f>
        <v>1.1141000000000001</v>
      </c>
      <c r="G1776" s="3">
        <f>EUR!C1776/1</f>
        <v>1.1155999999999999</v>
      </c>
      <c r="H1776" s="3">
        <f>GBP!B1776/1</f>
        <v>1.2343999999999999</v>
      </c>
      <c r="I1776" s="3">
        <f>GBP!C1776/1</f>
        <v>1.2350000000000001</v>
      </c>
      <c r="J1776" s="4">
        <f>1/INR!B1776</f>
        <v>1.49947518368571E-2</v>
      </c>
      <c r="K1776" s="4">
        <f>1/INR!C1776</f>
        <v>1.4910907328710952E-2</v>
      </c>
      <c r="L1776" s="4">
        <f>1/JPY!B1776</f>
        <v>9.6441315459542872E-3</v>
      </c>
      <c r="M1776" s="4">
        <f>1/JPY!C1776</f>
        <v>9.6554454298362919E-3</v>
      </c>
      <c r="N1776" s="5">
        <f>1/KRW!B1776</f>
        <v>8.9625812233923372E-4</v>
      </c>
      <c r="O1776" s="5">
        <f>1/KRW!C1776</f>
        <v>8.9625370432859172E-4</v>
      </c>
      <c r="P1776" s="3">
        <f>1/NOK!B1776</f>
        <v>0.123768503391257</v>
      </c>
      <c r="Q1776" s="3">
        <f>1/NOK!C1776</f>
        <v>0.12377156719558384</v>
      </c>
      <c r="R1776" s="3">
        <f>NZD!B1776/1</f>
        <v>0.71360000000000001</v>
      </c>
      <c r="S1776" s="3">
        <f>NZD!C1776/1</f>
        <v>0.71260000000000001</v>
      </c>
      <c r="T1776" s="4">
        <f>1/PHP!B1776</f>
        <v>2.0701790704895973E-2</v>
      </c>
      <c r="U1776" s="4">
        <f>1/PHP!C1776</f>
        <v>2.0680384655154586E-2</v>
      </c>
      <c r="V1776" s="4">
        <f>1/TWD!B1776</f>
        <v>3.1767209885955716E-2</v>
      </c>
      <c r="W1776" s="4">
        <f>1/TWD!C1776</f>
        <v>3.1767310801838693E-2</v>
      </c>
      <c r="X1776" s="4">
        <f>1/TWD!B1776</f>
        <v>3.1767209885955716E-2</v>
      </c>
      <c r="Y1776" s="4">
        <f>1/TWD!C1776</f>
        <v>3.1767310801838693E-2</v>
      </c>
      <c r="Z1776" s="4">
        <f>1/ZAR!B1776</f>
        <v>7.1719547879970175E-2</v>
      </c>
      <c r="AA1776" s="4">
        <f>1/ZAR!C1776</f>
        <v>7.1254506847558102E-2</v>
      </c>
    </row>
    <row r="1777" spans="1:27" x14ac:dyDescent="0.25">
      <c r="A1777" t="str">
        <f>"10/10/2016"</f>
        <v>10/10/2016</v>
      </c>
      <c r="B1777" s="3">
        <f>AUD!B1777</f>
        <v>0.75900000000000001</v>
      </c>
      <c r="C1777" s="3">
        <f>AUD!C1777</f>
        <v>0.75839999999999996</v>
      </c>
      <c r="D1777" s="3">
        <f>1/CAD!B1777</f>
        <v>0.75448921080428555</v>
      </c>
      <c r="E1777" s="3">
        <f>1/CAD!C1777</f>
        <v>0.75460307878056143</v>
      </c>
      <c r="F1777" s="3">
        <f>EUR!B1777/1</f>
        <v>1.1162000000000001</v>
      </c>
      <c r="G1777" s="3">
        <f>EUR!C1777/1</f>
        <v>1.1175999999999999</v>
      </c>
      <c r="H1777" s="3">
        <f>GBP!B1777/1</f>
        <v>1.2423999999999999</v>
      </c>
      <c r="I1777" s="3">
        <f>GBP!C1777/1</f>
        <v>1.2430000000000001</v>
      </c>
      <c r="J1777" s="4">
        <f>1/INR!B1777</f>
        <v>1.502911891790344E-2</v>
      </c>
      <c r="K1777" s="4">
        <f>1/INR!C1777</f>
        <v>1.4947683109118086E-2</v>
      </c>
      <c r="L1777" s="4">
        <f>1/JPY!B1777</f>
        <v>9.6721152916142764E-3</v>
      </c>
      <c r="M1777" s="4">
        <f>1/JPY!C1777</f>
        <v>9.6832605474915512E-3</v>
      </c>
      <c r="N1777" s="5">
        <f>1/KRW!B1777</f>
        <v>9.0086032160713488E-4</v>
      </c>
      <c r="O1777" s="5">
        <f>1/KRW!C1777</f>
        <v>9.0085545233753971E-4</v>
      </c>
      <c r="P1777" s="3">
        <f>1/NOK!B1777</f>
        <v>0.12323314478662183</v>
      </c>
      <c r="Q1777" s="3">
        <f>1/NOK!C1777</f>
        <v>0.12323770087745244</v>
      </c>
      <c r="R1777" s="3">
        <f>NZD!B1777/1</f>
        <v>0.71379999999999999</v>
      </c>
      <c r="S1777" s="3">
        <f>NZD!C1777/1</f>
        <v>0.71279999999999999</v>
      </c>
      <c r="T1777" s="4">
        <f>1/PHP!B1777</f>
        <v>2.0680384655154586E-2</v>
      </c>
      <c r="U1777" s="4">
        <f>1/PHP!C1777</f>
        <v>2.0662010826893673E-2</v>
      </c>
      <c r="V1777" s="4">
        <f>1/TWD!B1777</f>
        <v>3.1767209885955716E-2</v>
      </c>
      <c r="W1777" s="4">
        <f>1/TWD!C1777</f>
        <v>3.1767310801838693E-2</v>
      </c>
      <c r="X1777" s="4">
        <f>1/TWD!B1777</f>
        <v>3.1767209885955716E-2</v>
      </c>
      <c r="Y1777" s="4">
        <f>1/TWD!C1777</f>
        <v>3.1767310801838693E-2</v>
      </c>
      <c r="Z1777" s="4">
        <f>1/ZAR!B1777</f>
        <v>7.2161005635774531E-2</v>
      </c>
      <c r="AA1777" s="4">
        <f>1/ZAR!C1777</f>
        <v>7.1710290426676232E-2</v>
      </c>
    </row>
    <row r="1778" spans="1:27" x14ac:dyDescent="0.25">
      <c r="A1778" t="str">
        <f>"13/10/2016"</f>
        <v>13/10/2016</v>
      </c>
      <c r="B1778" s="3">
        <f>AUD!B1778</f>
        <v>0.75519999999999998</v>
      </c>
      <c r="C1778" s="3">
        <f>AUD!C1778</f>
        <v>0.75460000000000005</v>
      </c>
      <c r="D1778" s="3">
        <f>1/CAD!B1778</f>
        <v>0.75431847325941004</v>
      </c>
      <c r="E1778" s="3">
        <f>1/CAD!C1778</f>
        <v>0.75443228970199927</v>
      </c>
      <c r="F1778" s="3">
        <f>EUR!B1778/1</f>
        <v>1.1024</v>
      </c>
      <c r="G1778" s="3">
        <f>EUR!C1778/1</f>
        <v>1.1037999999999999</v>
      </c>
      <c r="H1778" s="3">
        <f>GBP!B1778/1</f>
        <v>1.2194</v>
      </c>
      <c r="I1778" s="3">
        <f>GBP!C1778/1</f>
        <v>1.2201</v>
      </c>
      <c r="J1778" s="4">
        <f>1/INR!B1778</f>
        <v>1.4938751120406334E-2</v>
      </c>
      <c r="K1778" s="4">
        <f>1/INR!C1778</f>
        <v>1.4859945018203433E-2</v>
      </c>
      <c r="L1778" s="4">
        <f>1/JPY!B1778</f>
        <v>9.636696540425942E-3</v>
      </c>
      <c r="M1778" s="4">
        <f>1/JPY!C1778</f>
        <v>9.6462619288086564E-3</v>
      </c>
      <c r="N1778" s="5">
        <f>1/KRW!B1778</f>
        <v>8.8086324598106143E-4</v>
      </c>
      <c r="O1778" s="5">
        <f>1/KRW!C1778</f>
        <v>8.808593663978577E-4</v>
      </c>
      <c r="P1778" s="3">
        <f>1/NOK!B1778</f>
        <v>0.12149487291636292</v>
      </c>
      <c r="Q1778" s="3">
        <f>1/NOK!C1778</f>
        <v>0.12150077760497668</v>
      </c>
      <c r="R1778" s="3">
        <f>NZD!B1778/1</f>
        <v>0.70660000000000001</v>
      </c>
      <c r="S1778" s="3">
        <f>NZD!C1778/1</f>
        <v>0.7056</v>
      </c>
      <c r="T1778" s="4">
        <f>1/PHP!B1778</f>
        <v>2.0624935547076416E-2</v>
      </c>
      <c r="U1778" s="4">
        <f>1/PHP!C1778</f>
        <v>2.0610057708161583E-2</v>
      </c>
      <c r="V1778" s="4">
        <f>1/TWD!B1778</f>
        <v>3.1485154749535595E-2</v>
      </c>
      <c r="W1778" s="4">
        <f>1/TWD!C1778</f>
        <v>3.1485253881344676E-2</v>
      </c>
      <c r="X1778" s="4">
        <f>1/TWD!B1778</f>
        <v>3.1485154749535595E-2</v>
      </c>
      <c r="Y1778" s="4">
        <f>1/TWD!C1778</f>
        <v>3.1485253881344676E-2</v>
      </c>
      <c r="Z1778" s="4">
        <f>1/ZAR!B1778</f>
        <v>6.9694667660977261E-2</v>
      </c>
      <c r="AA1778" s="4">
        <f>1/ZAR!C1778</f>
        <v>6.926167059149467E-2</v>
      </c>
    </row>
    <row r="1779" spans="1:27" x14ac:dyDescent="0.25">
      <c r="A1779" t="str">
        <f>"14/10/2016"</f>
        <v>14/10/2016</v>
      </c>
      <c r="B1779" s="3">
        <f>AUD!B1779</f>
        <v>0.76280000000000003</v>
      </c>
      <c r="C1779" s="3">
        <f>AUD!C1779</f>
        <v>0.76219999999999999</v>
      </c>
      <c r="D1779" s="3">
        <f>1/CAD!B1779</f>
        <v>0.75941676792223578</v>
      </c>
      <c r="E1779" s="3">
        <f>1/CAD!C1779</f>
        <v>0.75953212820902327</v>
      </c>
      <c r="F1779" s="3">
        <f>EUR!B1779/1</f>
        <v>1.1006</v>
      </c>
      <c r="G1779" s="3">
        <f>EUR!C1779/1</f>
        <v>1.1020000000000001</v>
      </c>
      <c r="H1779" s="3">
        <f>GBP!B1779/1</f>
        <v>1.2248000000000001</v>
      </c>
      <c r="I1779" s="3">
        <f>GBP!C1779/1</f>
        <v>1.2254</v>
      </c>
      <c r="J1779" s="4">
        <f>1/INR!B1779</f>
        <v>1.498800959232614E-2</v>
      </c>
      <c r="K1779" s="4">
        <f>1/INR!C1779</f>
        <v>1.4908128657150311E-2</v>
      </c>
      <c r="L1779" s="4">
        <f>1/JPY!B1779</f>
        <v>9.5904862376522491E-3</v>
      </c>
      <c r="M1779" s="4">
        <f>1/JPY!C1779</f>
        <v>9.6004024488706569E-3</v>
      </c>
      <c r="N1779" s="5">
        <f>1/KRW!B1779</f>
        <v>8.8167871627578911E-4</v>
      </c>
      <c r="O1779" s="5">
        <f>1/KRW!C1779</f>
        <v>8.8167482950612995E-4</v>
      </c>
      <c r="P1779" s="3">
        <f>1/NOK!B1779</f>
        <v>0.1220464752977934</v>
      </c>
      <c r="Q1779" s="3">
        <f>1/NOK!C1779</f>
        <v>0.12205392342336846</v>
      </c>
      <c r="R1779" s="3">
        <f>NZD!B1779/1</f>
        <v>0.70979999999999999</v>
      </c>
      <c r="S1779" s="3">
        <f>NZD!C1779/1</f>
        <v>0.70879999999999999</v>
      </c>
      <c r="T1779" s="4">
        <f>1/PHP!B1779</f>
        <v>2.0641965115078955E-2</v>
      </c>
      <c r="U1779" s="4">
        <f>1/PHP!C1779</f>
        <v>2.0627062706270627E-2</v>
      </c>
      <c r="V1779" s="4">
        <f>1/TWD!B1779</f>
        <v>3.1571636042179704E-2</v>
      </c>
      <c r="W1779" s="4">
        <f>1/TWD!C1779</f>
        <v>3.1571735719314639E-2</v>
      </c>
      <c r="X1779" s="4">
        <f>1/TWD!B1779</f>
        <v>3.1571636042179704E-2</v>
      </c>
      <c r="Y1779" s="4">
        <f>1/TWD!C1779</f>
        <v>3.1571735719314639E-2</v>
      </c>
      <c r="Z1779" s="4">
        <f>1/ZAR!B1779</f>
        <v>7.0384864438751096E-2</v>
      </c>
      <c r="AA1779" s="4">
        <f>1/ZAR!C1779</f>
        <v>6.99471898716469E-2</v>
      </c>
    </row>
    <row r="1780" spans="1:27" x14ac:dyDescent="0.25">
      <c r="A1780" t="str">
        <f>"17/10/2016"</f>
        <v>17/10/2016</v>
      </c>
      <c r="B1780" s="3">
        <f>AUD!B1780</f>
        <v>0.76139999999999997</v>
      </c>
      <c r="C1780" s="3">
        <f>AUD!C1780</f>
        <v>0.76070000000000004</v>
      </c>
      <c r="D1780" s="3">
        <f>1/CAD!B1780</f>
        <v>0.76138267093040968</v>
      </c>
      <c r="E1780" s="3">
        <f>1/CAD!C1780</f>
        <v>0.76149862930246726</v>
      </c>
      <c r="F1780" s="3">
        <f>EUR!B1780/1</f>
        <v>1.0998000000000001</v>
      </c>
      <c r="G1780" s="3">
        <f>EUR!C1780/1</f>
        <v>1.1012999999999999</v>
      </c>
      <c r="H1780" s="3">
        <f>GBP!B1780/1</f>
        <v>1.2159</v>
      </c>
      <c r="I1780" s="3">
        <f>GBP!C1780/1</f>
        <v>1.2165999999999999</v>
      </c>
      <c r="J1780" s="4">
        <f>1/INR!B1780</f>
        <v>1.4948800358771209E-2</v>
      </c>
      <c r="K1780" s="4">
        <f>1/INR!C1780</f>
        <v>1.4865467518953472E-2</v>
      </c>
      <c r="L1780" s="4">
        <f>1/JPY!B1780</f>
        <v>9.6043027276219734E-3</v>
      </c>
      <c r="M1780" s="4">
        <f>1/JPY!C1780</f>
        <v>9.6146727598052841E-3</v>
      </c>
      <c r="N1780" s="5">
        <f>1/KRW!B1780</f>
        <v>8.7850303083545646E-4</v>
      </c>
      <c r="O1780" s="5">
        <f>1/KRW!C1780</f>
        <v>8.7849840025441307E-4</v>
      </c>
      <c r="P1780" s="3">
        <f>1/NOK!B1780</f>
        <v>0.1218071305894247</v>
      </c>
      <c r="Q1780" s="3">
        <f>1/NOK!C1780</f>
        <v>0.1218130656694237</v>
      </c>
      <c r="R1780" s="3">
        <f>NZD!B1780/1</f>
        <v>0.71220000000000006</v>
      </c>
      <c r="S1780" s="3">
        <f>NZD!C1780/1</f>
        <v>0.71120000000000005</v>
      </c>
      <c r="T1780" s="4">
        <f>1/PHP!B1780</f>
        <v>2.0607934054611025E-2</v>
      </c>
      <c r="U1780" s="4">
        <f>1/PHP!C1780</f>
        <v>2.0592232609859561E-2</v>
      </c>
      <c r="V1780" s="4">
        <f>1/TWD!B1780</f>
        <v>3.1461381154632685E-2</v>
      </c>
      <c r="W1780" s="4">
        <f>1/TWD!C1780</f>
        <v>3.1461480136794513E-2</v>
      </c>
      <c r="X1780" s="4">
        <f>1/TWD!B1780</f>
        <v>3.1461381154632685E-2</v>
      </c>
      <c r="Y1780" s="4">
        <f>1/TWD!C1780</f>
        <v>3.1461480136794513E-2</v>
      </c>
      <c r="Z1780" s="4">
        <f>1/ZAR!B1780</f>
        <v>7.0201055823879588E-2</v>
      </c>
      <c r="AA1780" s="4">
        <f>1/ZAR!C1780</f>
        <v>6.9743761420540937E-2</v>
      </c>
    </row>
    <row r="1781" spans="1:27" x14ac:dyDescent="0.25">
      <c r="A1781" t="str">
        <f>"18/10/2016"</f>
        <v>18/10/2016</v>
      </c>
      <c r="B1781" s="3">
        <f>AUD!B1781</f>
        <v>0.76690000000000003</v>
      </c>
      <c r="C1781" s="3">
        <f>AUD!C1781</f>
        <v>0.76619999999999999</v>
      </c>
      <c r="D1781" s="3">
        <f>1/CAD!B1781</f>
        <v>0.76370856881014215</v>
      </c>
      <c r="E1781" s="3">
        <f>1/CAD!C1781</f>
        <v>0.76382523678582348</v>
      </c>
      <c r="F1781" s="3">
        <f>EUR!B1781/1</f>
        <v>1.1016999999999999</v>
      </c>
      <c r="G1781" s="3">
        <f>EUR!C1781/1</f>
        <v>1.1032</v>
      </c>
      <c r="H1781" s="3">
        <f>GBP!B1781/1</f>
        <v>1.2221</v>
      </c>
      <c r="I1781" s="3">
        <f>GBP!C1781/1</f>
        <v>1.2228000000000001</v>
      </c>
      <c r="J1781" s="4">
        <f>1/INR!B1781</f>
        <v>1.4980151299528127E-2</v>
      </c>
      <c r="K1781" s="4">
        <f>1/INR!C1781</f>
        <v>1.4898688915375446E-2</v>
      </c>
      <c r="L1781" s="4">
        <f>1/JPY!B1781</f>
        <v>9.6200096200096206E-3</v>
      </c>
      <c r="M1781" s="4">
        <f>1/JPY!C1781</f>
        <v>9.6298293594237524E-3</v>
      </c>
      <c r="N1781" s="5">
        <f>1/KRW!B1781</f>
        <v>8.8218428829782544E-4</v>
      </c>
      <c r="O1781" s="5">
        <f>1/KRW!C1781</f>
        <v>8.8217650587529557E-4</v>
      </c>
      <c r="P1781" s="3">
        <f>1/NOK!B1781</f>
        <v>0.12252499509900019</v>
      </c>
      <c r="Q1781" s="3">
        <f>1/NOK!C1781</f>
        <v>0.12252049155221212</v>
      </c>
      <c r="R1781" s="3">
        <f>NZD!B1781/1</f>
        <v>0.71809999999999996</v>
      </c>
      <c r="S1781" s="3">
        <f>NZD!C1781/1</f>
        <v>0.71709999999999996</v>
      </c>
      <c r="T1781" s="4">
        <f>1/PHP!B1781</f>
        <v>2.0618556701030927E-2</v>
      </c>
      <c r="U1781" s="4">
        <f>1/PHP!C1781</f>
        <v>2.0602414602991472E-2</v>
      </c>
      <c r="V1781" s="4">
        <f>1/TWD!B1781</f>
        <v>3.1482181085505608E-2</v>
      </c>
      <c r="W1781" s="4">
        <f>1/TWD!C1781</f>
        <v>3.1482280198590222E-2</v>
      </c>
      <c r="X1781" s="4">
        <f>1/TWD!B1781</f>
        <v>3.1482181085505608E-2</v>
      </c>
      <c r="Y1781" s="4">
        <f>1/TWD!C1781</f>
        <v>3.1482280198590222E-2</v>
      </c>
      <c r="Z1781" s="4">
        <f>1/ZAR!B1781</f>
        <v>7.0910921700160265E-2</v>
      </c>
      <c r="AA1781" s="4">
        <f>1/ZAR!C1781</f>
        <v>7.0449822114199159E-2</v>
      </c>
    </row>
    <row r="1782" spans="1:27" x14ac:dyDescent="0.25">
      <c r="A1782" t="str">
        <f>"19/10/2016"</f>
        <v>19/10/2016</v>
      </c>
      <c r="B1782" s="3">
        <f>AUD!B1782</f>
        <v>0.76749999999999996</v>
      </c>
      <c r="C1782" s="3">
        <f>AUD!C1782</f>
        <v>0.76690000000000003</v>
      </c>
      <c r="D1782" s="3">
        <f>1/CAD!B1782</f>
        <v>0.76400030560012222</v>
      </c>
      <c r="E1782" s="3">
        <f>1/CAD!C1782</f>
        <v>0.76411706273401081</v>
      </c>
      <c r="F1782" s="3">
        <f>EUR!B1782/1</f>
        <v>1.0973999999999999</v>
      </c>
      <c r="G1782" s="3">
        <f>EUR!C1782/1</f>
        <v>1.0987</v>
      </c>
      <c r="H1782" s="3">
        <f>GBP!B1782/1</f>
        <v>1.2283999999999999</v>
      </c>
      <c r="I1782" s="3">
        <f>GBP!C1782/1</f>
        <v>1.2290000000000001</v>
      </c>
      <c r="J1782" s="4">
        <f>1/INR!B1782</f>
        <v>1.499643834589285E-2</v>
      </c>
      <c r="K1782" s="4">
        <f>1/INR!C1782</f>
        <v>1.4919249561747044E-2</v>
      </c>
      <c r="L1782" s="4">
        <f>1/JPY!B1782</f>
        <v>9.6749226006191957E-3</v>
      </c>
      <c r="M1782" s="4">
        <f>1/JPY!C1782</f>
        <v>9.6841045108558808E-3</v>
      </c>
      <c r="N1782" s="5">
        <f>1/KRW!B1782</f>
        <v>8.9031339031339033E-4</v>
      </c>
      <c r="O1782" s="5">
        <f>1/KRW!C1782</f>
        <v>8.9030823806664227E-4</v>
      </c>
      <c r="P1782" s="3">
        <f>1/NOK!B1782</f>
        <v>0.12247397428046541</v>
      </c>
      <c r="Q1782" s="3">
        <f>1/NOK!C1782</f>
        <v>0.12247847440812278</v>
      </c>
      <c r="R1782" s="3">
        <f>NZD!B1782/1</f>
        <v>0.71989999999999998</v>
      </c>
      <c r="S1782" s="3">
        <f>NZD!C1782/1</f>
        <v>0.71889999999999998</v>
      </c>
      <c r="T1782" s="4">
        <f>1/PHP!B1782</f>
        <v>2.0712510356255178E-2</v>
      </c>
      <c r="U1782" s="4">
        <f>1/PHP!C1782</f>
        <v>2.0697934346152254E-2</v>
      </c>
      <c r="V1782" s="4">
        <f>1/TWD!B1782</f>
        <v>3.1726894888797236E-2</v>
      </c>
      <c r="W1782" s="4">
        <f>1/TWD!C1782</f>
        <v>3.1726995548702529E-2</v>
      </c>
      <c r="X1782" s="4">
        <f>1/TWD!B1782</f>
        <v>3.1726894888797236E-2</v>
      </c>
      <c r="Y1782" s="4">
        <f>1/TWD!C1782</f>
        <v>3.1726995548702529E-2</v>
      </c>
      <c r="Z1782" s="4">
        <f>1/ZAR!B1782</f>
        <v>7.1677908151928496E-2</v>
      </c>
      <c r="AA1782" s="4">
        <f>1/ZAR!C1782</f>
        <v>7.1243846312774736E-2</v>
      </c>
    </row>
    <row r="1783" spans="1:27" x14ac:dyDescent="0.25">
      <c r="A1783" t="str">
        <f>"20/10/2016"</f>
        <v>20/10/2016</v>
      </c>
      <c r="B1783" s="3">
        <f>AUD!B1783</f>
        <v>0.76670000000000005</v>
      </c>
      <c r="C1783" s="3">
        <f>AUD!C1783</f>
        <v>0.7661</v>
      </c>
      <c r="D1783" s="3">
        <f>1/CAD!B1783</f>
        <v>0.75987841945288748</v>
      </c>
      <c r="E1783" s="3">
        <f>1/CAD!C1783</f>
        <v>0.76005168351447894</v>
      </c>
      <c r="F1783" s="3">
        <f>EUR!B1783/1</f>
        <v>1.0984</v>
      </c>
      <c r="G1783" s="3">
        <f>EUR!C1783/1</f>
        <v>1.0998000000000001</v>
      </c>
      <c r="H1783" s="3">
        <f>GBP!B1783/1</f>
        <v>1.2262999999999999</v>
      </c>
      <c r="I1783" s="3">
        <f>GBP!C1783/1</f>
        <v>1.2269000000000001</v>
      </c>
      <c r="J1783" s="4">
        <f>1/INR!B1783</f>
        <v>1.4966699094514705E-2</v>
      </c>
      <c r="K1783" s="4">
        <f>1/INR!C1783</f>
        <v>1.488981536628946E-2</v>
      </c>
      <c r="L1783" s="4">
        <f>1/JPY!B1783</f>
        <v>9.643201542912247E-3</v>
      </c>
      <c r="M1783" s="4">
        <f>1/JPY!C1783</f>
        <v>9.6526959979922385E-3</v>
      </c>
      <c r="N1783" s="5">
        <f>1/KRW!B1783</f>
        <v>8.868786306593943E-4</v>
      </c>
      <c r="O1783" s="5">
        <f>1/KRW!C1783</f>
        <v>8.8687351808978097E-4</v>
      </c>
      <c r="P1783" s="3">
        <f>1/NOK!B1783</f>
        <v>0.12243948428489221</v>
      </c>
      <c r="Q1783" s="3">
        <f>1/NOK!C1783</f>
        <v>0.12244398187829068</v>
      </c>
      <c r="R1783" s="3">
        <f>NZD!B1783/1</f>
        <v>0.72319999999999995</v>
      </c>
      <c r="S1783" s="3">
        <f>NZD!C1783/1</f>
        <v>0.72230000000000005</v>
      </c>
      <c r="T1783" s="4">
        <f>1/PHP!B1783</f>
        <v>2.0787859889824345E-2</v>
      </c>
      <c r="U1783" s="4">
        <f>1/PHP!C1783</f>
        <v>2.0770588846193788E-2</v>
      </c>
      <c r="V1783" s="4">
        <f>1/TWD!B1783</f>
        <v>3.1715826197272437E-2</v>
      </c>
      <c r="W1783" s="4">
        <f>1/TWD!C1783</f>
        <v>3.1715926786954604E-2</v>
      </c>
      <c r="X1783" s="4">
        <f>1/TWD!B1783</f>
        <v>3.1715826197272437E-2</v>
      </c>
      <c r="Y1783" s="4">
        <f>1/TWD!C1783</f>
        <v>3.1715926786954604E-2</v>
      </c>
      <c r="Z1783" s="4">
        <f>1/ZAR!B1783</f>
        <v>7.1969369836197714E-2</v>
      </c>
      <c r="AA1783" s="4">
        <f>1/ZAR!C1783</f>
        <v>7.1510808858759004E-2</v>
      </c>
    </row>
    <row r="1784" spans="1:27" x14ac:dyDescent="0.25">
      <c r="A1784" t="str">
        <f>"21/10/2016"</f>
        <v>21/10/2016</v>
      </c>
      <c r="B1784" s="3">
        <f>AUD!B1784</f>
        <v>0.76349999999999996</v>
      </c>
      <c r="C1784" s="3">
        <f>AUD!C1784</f>
        <v>0.76290000000000002</v>
      </c>
      <c r="D1784" s="3">
        <f>1/CAD!B1784</f>
        <v>0.75562943932295612</v>
      </c>
      <c r="E1784" s="3">
        <f>1/CAD!C1784</f>
        <v>0.75580077091678632</v>
      </c>
      <c r="F1784" s="3">
        <f>EUR!B1784/1</f>
        <v>1.0892999999999999</v>
      </c>
      <c r="G1784" s="3">
        <f>EUR!C1784/1</f>
        <v>1.0906</v>
      </c>
      <c r="H1784" s="3">
        <f>GBP!B1784/1</f>
        <v>1.2205999999999999</v>
      </c>
      <c r="I1784" s="3">
        <f>GBP!C1784/1</f>
        <v>1.2212000000000001</v>
      </c>
      <c r="J1784" s="4">
        <f>1/INR!B1784</f>
        <v>1.4948800358771209E-2</v>
      </c>
      <c r="K1784" s="4">
        <f>1/INR!C1784</f>
        <v>1.4872652909462726E-2</v>
      </c>
      <c r="L1784" s="4">
        <f>1/JPY!B1784</f>
        <v>9.6385542168674707E-3</v>
      </c>
      <c r="M1784" s="4">
        <f>1/JPY!C1784</f>
        <v>9.647797504307741E-3</v>
      </c>
      <c r="N1784" s="5">
        <f>1/KRW!B1784</f>
        <v>8.8101845733668123E-4</v>
      </c>
      <c r="O1784" s="5">
        <f>1/KRW!C1784</f>
        <v>8.810141882929954E-4</v>
      </c>
      <c r="P1784" s="3">
        <f>1/NOK!B1784</f>
        <v>0.12154064927014839</v>
      </c>
      <c r="Q1784" s="3">
        <f>1/NOK!C1784</f>
        <v>0.12154360376785173</v>
      </c>
      <c r="R1784" s="3">
        <f>NZD!B1784/1</f>
        <v>0.71689999999999998</v>
      </c>
      <c r="S1784" s="3">
        <f>NZD!C1784/1</f>
        <v>0.71589999999999998</v>
      </c>
      <c r="T1784" s="4">
        <f>1/PHP!B1784</f>
        <v>2.0703933747412008E-2</v>
      </c>
      <c r="U1784" s="4">
        <f>1/PHP!C1784</f>
        <v>2.0693222969477496E-2</v>
      </c>
      <c r="V1784" s="4">
        <f>1/TWD!B1784</f>
        <v>3.1616554427898444E-2</v>
      </c>
      <c r="W1784" s="4">
        <f>1/TWD!C1784</f>
        <v>3.1616654388865878E-2</v>
      </c>
      <c r="X1784" s="4">
        <f>1/TWD!B1784</f>
        <v>3.1616554427898444E-2</v>
      </c>
      <c r="Y1784" s="4">
        <f>1/TWD!C1784</f>
        <v>3.1616654388865878E-2</v>
      </c>
      <c r="Z1784" s="4">
        <f>1/ZAR!B1784</f>
        <v>7.1272789474434453E-2</v>
      </c>
      <c r="AA1784" s="4">
        <f>1/ZAR!C1784</f>
        <v>7.0805984521811777E-2</v>
      </c>
    </row>
    <row r="1785" spans="1:27" x14ac:dyDescent="0.25">
      <c r="A1785" t="str">
        <f>"24/10/2016"</f>
        <v>24/10/2016</v>
      </c>
      <c r="B1785" s="3">
        <f>AUD!B1785</f>
        <v>0.76259999999999994</v>
      </c>
      <c r="C1785" s="3">
        <f>AUD!C1785</f>
        <v>0.76190000000000002</v>
      </c>
      <c r="D1785" s="3">
        <f>1/CAD!B1785</f>
        <v>0.74872716382150351</v>
      </c>
      <c r="E1785" s="3">
        <f>1/CAD!C1785</f>
        <v>0.74889537931550965</v>
      </c>
      <c r="F1785" s="3">
        <f>EUR!B1785/1</f>
        <v>1.0892999999999999</v>
      </c>
      <c r="G1785" s="3">
        <f>EUR!C1785/1</f>
        <v>1.0907</v>
      </c>
      <c r="H1785" s="3">
        <f>GBP!B1785/1</f>
        <v>1.2237</v>
      </c>
      <c r="I1785" s="3">
        <f>GBP!C1785/1</f>
        <v>1.2243999999999999</v>
      </c>
      <c r="J1785" s="4">
        <f>1/INR!B1785</f>
        <v>1.4957185057772127E-2</v>
      </c>
      <c r="K1785" s="4">
        <f>1/INR!C1785</f>
        <v>1.4877078141852939E-2</v>
      </c>
      <c r="L1785" s="4">
        <f>1/JPY!B1785</f>
        <v>9.6126117466115539E-3</v>
      </c>
      <c r="M1785" s="4">
        <f>1/JPY!C1785</f>
        <v>9.6221756508920731E-3</v>
      </c>
      <c r="N1785" s="5">
        <f>1/KRW!B1785</f>
        <v>8.8354833009365614E-4</v>
      </c>
      <c r="O1785" s="5">
        <f>1/KRW!C1785</f>
        <v>8.8354364617257723E-4</v>
      </c>
      <c r="P1785" s="3">
        <f>1/NOK!B1785</f>
        <v>0.1211709965102753</v>
      </c>
      <c r="Q1785" s="3">
        <f>1/NOK!C1785</f>
        <v>0.12117540139351712</v>
      </c>
      <c r="R1785" s="3">
        <f>NZD!B1785/1</f>
        <v>0.7157</v>
      </c>
      <c r="S1785" s="3">
        <f>NZD!C1785/1</f>
        <v>0.71479999999999999</v>
      </c>
      <c r="T1785" s="4">
        <f>1/PHP!B1785</f>
        <v>2.0686801820438559E-2</v>
      </c>
      <c r="U1785" s="4">
        <f>1/PHP!C1785</f>
        <v>2.0684662322887581E-2</v>
      </c>
      <c r="V1785" s="4">
        <f>1/TWD!B1785</f>
        <v>3.1562667676672033E-2</v>
      </c>
      <c r="W1785" s="4">
        <f>1/TWD!C1785</f>
        <v>3.1562767297185546E-2</v>
      </c>
      <c r="X1785" s="4">
        <f>1/TWD!B1785</f>
        <v>3.1562667676672033E-2</v>
      </c>
      <c r="Y1785" s="4">
        <f>1/TWD!C1785</f>
        <v>3.1562767297185546E-2</v>
      </c>
      <c r="Z1785" s="4">
        <f>1/ZAR!B1785</f>
        <v>7.2016016362038915E-2</v>
      </c>
      <c r="AA1785" s="4">
        <f>1/ZAR!C1785</f>
        <v>7.1536386983239025E-2</v>
      </c>
    </row>
    <row r="1786" spans="1:27" x14ac:dyDescent="0.25">
      <c r="A1786" t="str">
        <f>"25/10/2016"</f>
        <v>25/10/2016</v>
      </c>
      <c r="B1786" s="3">
        <f>AUD!B1786</f>
        <v>0.76370000000000005</v>
      </c>
      <c r="C1786" s="3">
        <f>AUD!C1786</f>
        <v>0.7631</v>
      </c>
      <c r="D1786" s="3">
        <f>1/CAD!B1786</f>
        <v>0.75114549688274623</v>
      </c>
      <c r="E1786" s="3">
        <f>1/CAD!C1786</f>
        <v>0.75125835774923</v>
      </c>
      <c r="F1786" s="3">
        <f>EUR!B1786/1</f>
        <v>1.0875999999999999</v>
      </c>
      <c r="G1786" s="3">
        <f>EUR!C1786/1</f>
        <v>1.089</v>
      </c>
      <c r="H1786" s="3">
        <f>GBP!B1786/1</f>
        <v>1.2228000000000001</v>
      </c>
      <c r="I1786" s="3">
        <f>GBP!C1786/1</f>
        <v>1.2235</v>
      </c>
      <c r="J1786" s="4">
        <f>1/INR!B1786</f>
        <v>1.4963339817447255E-2</v>
      </c>
      <c r="K1786" s="4">
        <f>1/INR!C1786</f>
        <v>1.4885382554331646E-2</v>
      </c>
      <c r="L1786" s="4">
        <f>1/JPY!B1786</f>
        <v>9.5675468809797177E-3</v>
      </c>
      <c r="M1786" s="4">
        <f>1/JPY!C1786</f>
        <v>9.5769020445728176E-3</v>
      </c>
      <c r="N1786" s="5">
        <f>1/KRW!B1786</f>
        <v>8.8218428829782544E-4</v>
      </c>
      <c r="O1786" s="5">
        <f>1/KRW!C1786</f>
        <v>8.8217961882783031E-4</v>
      </c>
      <c r="P1786" s="3">
        <f>1/NOK!B1786</f>
        <v>0.12104778966736067</v>
      </c>
      <c r="Q1786" s="3">
        <f>1/NOK!C1786</f>
        <v>0.12105218559721097</v>
      </c>
      <c r="R1786" s="3">
        <f>NZD!B1786/1</f>
        <v>0.7147</v>
      </c>
      <c r="S1786" s="3">
        <f>NZD!C1786/1</f>
        <v>0.71379999999999999</v>
      </c>
      <c r="T1786" s="4">
        <f>1/PHP!B1786</f>
        <v>2.0716801325875285E-2</v>
      </c>
      <c r="U1786" s="4">
        <f>1/PHP!C1786</f>
        <v>2.0710365537951747E-2</v>
      </c>
      <c r="V1786" s="4">
        <f>1/TWD!B1786</f>
        <v>3.1629554655870445E-2</v>
      </c>
      <c r="W1786" s="4">
        <f>1/TWD!C1786</f>
        <v>3.1629654699059651E-2</v>
      </c>
      <c r="X1786" s="4">
        <f>1/TWD!B1786</f>
        <v>3.1629554655870445E-2</v>
      </c>
      <c r="Y1786" s="4">
        <f>1/TWD!C1786</f>
        <v>3.1629654699059651E-2</v>
      </c>
      <c r="Z1786" s="4">
        <f>1/ZAR!B1786</f>
        <v>7.2342672772388247E-2</v>
      </c>
      <c r="AA1786" s="4">
        <f>1/ZAR!C1786</f>
        <v>7.1876774457869427E-2</v>
      </c>
    </row>
    <row r="1787" spans="1:27" x14ac:dyDescent="0.25">
      <c r="A1787" t="str">
        <f>"26/10/2016"</f>
        <v>26/10/2016</v>
      </c>
      <c r="B1787" s="3">
        <f>AUD!B1787</f>
        <v>0.76729999999999998</v>
      </c>
      <c r="C1787" s="3">
        <f>AUD!C1787</f>
        <v>0.76670000000000005</v>
      </c>
      <c r="D1787" s="3">
        <f>1/CAD!B1787</f>
        <v>0.74783128926114273</v>
      </c>
      <c r="E1787" s="3">
        <f>1/CAD!C1787</f>
        <v>0.74794315632011965</v>
      </c>
      <c r="F1787" s="3">
        <f>EUR!B1787/1</f>
        <v>1.0914999999999999</v>
      </c>
      <c r="G1787" s="3">
        <f>EUR!C1787/1</f>
        <v>1.0928</v>
      </c>
      <c r="H1787" s="3">
        <f>GBP!B1787/1</f>
        <v>1.2204999999999999</v>
      </c>
      <c r="I1787" s="3">
        <f>GBP!C1787/1</f>
        <v>1.2212000000000001</v>
      </c>
      <c r="J1787" s="4">
        <f>1/INR!B1787</f>
        <v>1.496166074434262E-2</v>
      </c>
      <c r="K1787" s="4">
        <f>1/INR!C1787</f>
        <v>1.4884274763712138E-2</v>
      </c>
      <c r="L1787" s="4">
        <f>1/JPY!B1787</f>
        <v>9.5895665515918684E-3</v>
      </c>
      <c r="M1787" s="4">
        <f>1/JPY!C1787</f>
        <v>9.5982554210946626E-3</v>
      </c>
      <c r="N1787" s="5">
        <f>1/KRW!B1787</f>
        <v>8.8171758585724983E-4</v>
      </c>
      <c r="O1787" s="5">
        <f>1/KRW!C1787</f>
        <v>8.8171292132651952E-4</v>
      </c>
      <c r="P1787" s="3">
        <f>1/NOK!B1787</f>
        <v>0.12075836251660427</v>
      </c>
      <c r="Q1787" s="3">
        <f>1/NOK!C1787</f>
        <v>0.12076127910346827</v>
      </c>
      <c r="R1787" s="3">
        <f>NZD!B1787/1</f>
        <v>0.71640000000000004</v>
      </c>
      <c r="S1787" s="3">
        <f>NZD!C1787/1</f>
        <v>0.71550000000000002</v>
      </c>
      <c r="T1787" s="4">
        <f>1/PHP!B1787</f>
        <v>2.0688941760628944E-2</v>
      </c>
      <c r="U1787" s="4">
        <f>1/PHP!C1787</f>
        <v>2.0680384655154586E-2</v>
      </c>
      <c r="V1787" s="4">
        <f>1/TWD!B1787</f>
        <v>3.1687686165156222E-2</v>
      </c>
      <c r="W1787" s="4">
        <f>1/TWD!C1787</f>
        <v>3.1687786576419852E-2</v>
      </c>
      <c r="X1787" s="4">
        <f>1/TWD!B1787</f>
        <v>3.1687686165156222E-2</v>
      </c>
      <c r="Y1787" s="4">
        <f>1/TWD!C1787</f>
        <v>3.1687786576419852E-2</v>
      </c>
      <c r="Z1787" s="4">
        <f>1/ZAR!B1787</f>
        <v>7.2400810889081957E-2</v>
      </c>
      <c r="AA1787" s="4">
        <f>1/ZAR!C1787</f>
        <v>7.1950210454365573E-2</v>
      </c>
    </row>
    <row r="1788" spans="1:27" x14ac:dyDescent="0.25">
      <c r="A1788" t="str">
        <f>"27/10/2016"</f>
        <v>27/10/2016</v>
      </c>
      <c r="B1788" s="3">
        <f>AUD!B1788</f>
        <v>0.76290000000000002</v>
      </c>
      <c r="C1788" s="3">
        <f>AUD!C1788</f>
        <v>0.76229999999999998</v>
      </c>
      <c r="D1788" s="3">
        <f>1/CAD!B1788</f>
        <v>0.74682598954443613</v>
      </c>
      <c r="E1788" s="3">
        <f>1/CAD!C1788</f>
        <v>0.74699335175916937</v>
      </c>
      <c r="F1788" s="3">
        <f>EUR!B1788/1</f>
        <v>1.0899000000000001</v>
      </c>
      <c r="G1788" s="3">
        <f>EUR!C1788/1</f>
        <v>1.0911999999999999</v>
      </c>
      <c r="H1788" s="3">
        <f>GBP!B1788/1</f>
        <v>1.2212000000000001</v>
      </c>
      <c r="I1788" s="3">
        <f>GBP!C1788/1</f>
        <v>1.2218</v>
      </c>
      <c r="J1788" s="4">
        <f>1/INR!B1788</f>
        <v>1.4952153110047849E-2</v>
      </c>
      <c r="K1788" s="4">
        <f>1/INR!C1788</f>
        <v>1.4882613386910742E-2</v>
      </c>
      <c r="L1788" s="4">
        <f>1/JPY!B1788</f>
        <v>9.5693779904306216E-3</v>
      </c>
      <c r="M1788" s="4">
        <f>1/JPY!C1788</f>
        <v>9.5778376499051302E-3</v>
      </c>
      <c r="N1788" s="5">
        <f>1/KRW!B1788</f>
        <v>8.7558007179756598E-4</v>
      </c>
      <c r="O1788" s="5">
        <f>1/KRW!C1788</f>
        <v>8.7557547197895816E-4</v>
      </c>
      <c r="P1788" s="3">
        <f>1/NOK!B1788</f>
        <v>0.12075836251660427</v>
      </c>
      <c r="Q1788" s="3">
        <f>1/NOK!C1788</f>
        <v>0.12075544607061778</v>
      </c>
      <c r="R1788" s="3">
        <f>NZD!B1788/1</f>
        <v>0.71530000000000005</v>
      </c>
      <c r="S1788" s="3">
        <f>NZD!C1788/1</f>
        <v>0.71450000000000002</v>
      </c>
      <c r="T1788" s="4">
        <f>1/PHP!B1788</f>
        <v>2.0601565718994644E-2</v>
      </c>
      <c r="U1788" s="4">
        <f>1/PHP!C1788</f>
        <v>2.0597322348094749E-2</v>
      </c>
      <c r="V1788" s="4">
        <f>1/TWD!B1788</f>
        <v>3.1562667676672033E-2</v>
      </c>
      <c r="W1788" s="4">
        <f>1/TWD!C1788</f>
        <v>3.1562767297185546E-2</v>
      </c>
      <c r="X1788" s="4">
        <f>1/TWD!B1788</f>
        <v>3.1562667676672033E-2</v>
      </c>
      <c r="Y1788" s="4">
        <f>1/TWD!C1788</f>
        <v>3.1562767297185546E-2</v>
      </c>
      <c r="Z1788" s="4">
        <f>1/ZAR!B1788</f>
        <v>7.1729322229634254E-2</v>
      </c>
      <c r="AA1788" s="4">
        <f>1/ZAR!C1788</f>
        <v>7.1287523970429936E-2</v>
      </c>
    </row>
    <row r="1789" spans="1:27" x14ac:dyDescent="0.25">
      <c r="A1789" t="str">
        <f>"28/10/2016"</f>
        <v>28/10/2016</v>
      </c>
      <c r="B1789" s="3">
        <f>AUD!B1789</f>
        <v>0.75849999999999995</v>
      </c>
      <c r="C1789" s="3">
        <f>AUD!C1789</f>
        <v>0.75670000000000004</v>
      </c>
      <c r="D1789" s="3">
        <f>1/CAD!B1789</f>
        <v>0.74699335175916937</v>
      </c>
      <c r="E1789" s="3">
        <f>1/CAD!C1789</f>
        <v>0.74716078900179317</v>
      </c>
      <c r="F1789" s="3">
        <f>EUR!B1789/1</f>
        <v>1.0978000000000001</v>
      </c>
      <c r="G1789" s="3">
        <f>EUR!C1789/1</f>
        <v>1.0931999999999999</v>
      </c>
      <c r="H1789" s="3">
        <f>GBP!B1789/1</f>
        <v>1.2125999999999999</v>
      </c>
      <c r="I1789" s="3">
        <f>GBP!C1789/1</f>
        <v>1.2133</v>
      </c>
      <c r="J1789" s="4">
        <f>1/INR!B1789</f>
        <v>1.4974543276430068E-2</v>
      </c>
      <c r="K1789" s="4">
        <f>1/INR!C1789</f>
        <v>1.4905906465436929E-2</v>
      </c>
      <c r="L1789" s="4">
        <f>1/JPY!B1789</f>
        <v>9.493971328206589E-3</v>
      </c>
      <c r="M1789" s="4">
        <f>1/JPY!C1789</f>
        <v>9.5028670149784195E-3</v>
      </c>
      <c r="N1789" s="5">
        <f>1/KRW!B1789</f>
        <v>8.7347687469974242E-4</v>
      </c>
      <c r="O1789" s="5">
        <f>1/KRW!C1789</f>
        <v>8.7347229695262983E-4</v>
      </c>
      <c r="P1789" s="3">
        <f>1/NOK!B1789</f>
        <v>0.12082693957444751</v>
      </c>
      <c r="Q1789" s="3">
        <f>1/NOK!C1789</f>
        <v>0.12082985947487344</v>
      </c>
      <c r="R1789" s="3">
        <f>NZD!B1789/1</f>
        <v>0.71379999999999999</v>
      </c>
      <c r="S1789" s="3">
        <f>NZD!C1789/1</f>
        <v>0.71299999999999997</v>
      </c>
      <c r="T1789" s="4">
        <f>1/PHP!B1789</f>
        <v>2.0651343369886211E-2</v>
      </c>
      <c r="U1789" s="4">
        <f>1/PHP!C1789</f>
        <v>2.0639920082229441E-2</v>
      </c>
      <c r="V1789" s="4">
        <f>1/TWD!B1789</f>
        <v>3.1607560528478414E-2</v>
      </c>
      <c r="W1789" s="4">
        <f>1/TWD!C1789</f>
        <v>3.1607660432582445E-2</v>
      </c>
      <c r="X1789" s="4">
        <f>1/TWD!B1789</f>
        <v>3.1607560528478414E-2</v>
      </c>
      <c r="Y1789" s="4">
        <f>1/TWD!C1789</f>
        <v>3.1607660432582445E-2</v>
      </c>
      <c r="Z1789" s="4">
        <f>1/ZAR!B1789</f>
        <v>7.1974549799191004E-2</v>
      </c>
      <c r="AA1789" s="4">
        <f>1/ZAR!C1789</f>
        <v>7.1645555109760992E-2</v>
      </c>
    </row>
    <row r="1790" spans="1:27" x14ac:dyDescent="0.25">
      <c r="A1790" t="str">
        <f>"01/11/2016"</f>
        <v>01/11/2016</v>
      </c>
      <c r="B1790" s="3">
        <f>AUD!B1790</f>
        <v>0.7651</v>
      </c>
      <c r="C1790" s="3">
        <f>AUD!C1790</f>
        <v>0.76439999999999997</v>
      </c>
      <c r="D1790" s="3">
        <f>1/CAD!B1790</f>
        <v>0.74554536643554759</v>
      </c>
      <c r="E1790" s="3">
        <f>1/CAD!C1790</f>
        <v>0.74565655059279701</v>
      </c>
      <c r="F1790" s="3">
        <f>EUR!B1790/1</f>
        <v>1.0965</v>
      </c>
      <c r="G1790" s="3">
        <f>EUR!C1790/1</f>
        <v>1.0979000000000001</v>
      </c>
      <c r="H1790" s="3">
        <f>GBP!B1790/1</f>
        <v>1.2232000000000001</v>
      </c>
      <c r="I1790" s="3">
        <f>GBP!C1790/1</f>
        <v>1.2239</v>
      </c>
      <c r="J1790" s="4">
        <f>1/INR!B1790</f>
        <v>1.498576352465158E-2</v>
      </c>
      <c r="K1790" s="4">
        <f>1/INR!C1790</f>
        <v>1.4912019087384432E-2</v>
      </c>
      <c r="L1790" s="4">
        <f>1/JPY!B1790</f>
        <v>9.535615523982072E-3</v>
      </c>
      <c r="M1790" s="4">
        <f>1/JPY!C1790</f>
        <v>9.5445530190375657E-3</v>
      </c>
      <c r="N1790" s="5">
        <f>1/KRW!B1790</f>
        <v>8.7634738410305847E-4</v>
      </c>
      <c r="O1790" s="5">
        <f>1/KRW!C1790</f>
        <v>8.7634392818536789E-4</v>
      </c>
      <c r="P1790" s="3">
        <f>1/NOK!B1790</f>
        <v>0.12091898428053205</v>
      </c>
      <c r="Q1790" s="3">
        <f>1/NOK!C1790</f>
        <v>0.12091606007109863</v>
      </c>
      <c r="R1790" s="3">
        <f>NZD!B1790/1</f>
        <v>0.71599999999999997</v>
      </c>
      <c r="S1790" s="3">
        <f>NZD!C1790/1</f>
        <v>0.71509999999999996</v>
      </c>
      <c r="T1790" s="4">
        <f>1/PHP!B1790</f>
        <v>2.0651343369886211E-2</v>
      </c>
      <c r="U1790" s="4">
        <f>1/PHP!C1790</f>
        <v>2.0638556952097906E-2</v>
      </c>
      <c r="V1790" s="4">
        <f>1/TWD!B1790</f>
        <v>3.164556962025316E-2</v>
      </c>
      <c r="W1790" s="4">
        <f>1/TWD!C1790</f>
        <v>3.1645669764777735E-2</v>
      </c>
      <c r="X1790" s="4">
        <f>1/TWD!B1790</f>
        <v>3.164556962025316E-2</v>
      </c>
      <c r="Y1790" s="4">
        <f>1/TWD!C1790</f>
        <v>3.1645669764777735E-2</v>
      </c>
      <c r="Z1790" s="4">
        <f>1/ZAR!B1790</f>
        <v>7.4082305441345336E-2</v>
      </c>
      <c r="AA1790" s="4">
        <f>1/ZAR!C1790</f>
        <v>7.3613851182238441E-2</v>
      </c>
    </row>
    <row r="1791" spans="1:27" x14ac:dyDescent="0.25">
      <c r="A1791" t="str">
        <f>"02/11/2016"</f>
        <v>02/11/2016</v>
      </c>
      <c r="B1791" s="3">
        <f>AUD!B1791</f>
        <v>0.7631</v>
      </c>
      <c r="C1791" s="3">
        <f>AUD!C1791</f>
        <v>0.76239999999999997</v>
      </c>
      <c r="D1791" s="3">
        <f>1/CAD!B1791</f>
        <v>0.74649148999701409</v>
      </c>
      <c r="E1791" s="3">
        <f>1/CAD!C1791</f>
        <v>0.74660295654770792</v>
      </c>
      <c r="F1791" s="3">
        <f>EUR!B1791/1</f>
        <v>1.1069</v>
      </c>
      <c r="G1791" s="3">
        <f>EUR!C1791/1</f>
        <v>1.1082000000000001</v>
      </c>
      <c r="H1791" s="3">
        <f>GBP!B1791/1</f>
        <v>1.2251000000000001</v>
      </c>
      <c r="I1791" s="3">
        <f>GBP!C1791/1</f>
        <v>1.2257</v>
      </c>
      <c r="J1791" s="4">
        <f>1/INR!B1791</f>
        <v>1.4962780084539709E-2</v>
      </c>
      <c r="K1791" s="4">
        <f>1/INR!C1791</f>
        <v>1.4891478351513346E-2</v>
      </c>
      <c r="L1791" s="4">
        <f>1/JPY!B1791</f>
        <v>9.636696540425942E-3</v>
      </c>
      <c r="M1791" s="4">
        <f>1/JPY!C1791</f>
        <v>9.6454617620136632E-3</v>
      </c>
      <c r="N1791" s="5">
        <f>1/KRW!B1791</f>
        <v>8.7005698873276202E-4</v>
      </c>
      <c r="O1791" s="5">
        <f>1/KRW!C1791</f>
        <v>8.7005358224986288E-4</v>
      </c>
      <c r="P1791" s="3">
        <f>1/NOK!B1791</f>
        <v>0.12181751735899624</v>
      </c>
      <c r="Q1791" s="3">
        <f>1/NOK!C1791</f>
        <v>0.12181603342631958</v>
      </c>
      <c r="R1791" s="3">
        <f>NZD!B1791/1</f>
        <v>0.72299999999999998</v>
      </c>
      <c r="S1791" s="3">
        <f>NZD!C1791/1</f>
        <v>0.72209999999999996</v>
      </c>
      <c r="T1791" s="4">
        <f>1/PHP!B1791</f>
        <v>2.0644095788604461E-2</v>
      </c>
      <c r="U1791" s="4">
        <f>1/PHP!C1791</f>
        <v>2.0633446817290828E-2</v>
      </c>
      <c r="V1791" s="4">
        <f>1/TWD!B1791</f>
        <v>3.1656589319066765E-2</v>
      </c>
      <c r="W1791" s="4">
        <f>1/TWD!C1791</f>
        <v>3.1656689533348742E-2</v>
      </c>
      <c r="X1791" s="4">
        <f>1/TWD!B1791</f>
        <v>3.1656589319066765E-2</v>
      </c>
      <c r="Y1791" s="4">
        <f>1/TWD!C1791</f>
        <v>3.1656689533348742E-2</v>
      </c>
      <c r="Z1791" s="4">
        <f>1/ZAR!B1791</f>
        <v>7.3384800540112136E-2</v>
      </c>
      <c r="AA1791" s="4">
        <f>1/ZAR!C1791</f>
        <v>7.2927757763159823E-2</v>
      </c>
    </row>
    <row r="1792" spans="1:27" x14ac:dyDescent="0.25">
      <c r="A1792" t="str">
        <f>"03/11/2016"</f>
        <v>03/11/2016</v>
      </c>
      <c r="B1792" s="3">
        <f>AUD!B1792</f>
        <v>0.76700000000000002</v>
      </c>
      <c r="C1792" s="3">
        <f>AUD!C1792</f>
        <v>0.76639999999999997</v>
      </c>
      <c r="D1792" s="3">
        <f>1/CAD!B1792</f>
        <v>0.74771945566023634</v>
      </c>
      <c r="E1792" s="3">
        <f>1/CAD!C1792</f>
        <v>0.74777536827936897</v>
      </c>
      <c r="F1792" s="3">
        <f>EUR!B1792/1</f>
        <v>1.1116999999999999</v>
      </c>
      <c r="G1792" s="3">
        <f>EUR!C1792/1</f>
        <v>1.1129</v>
      </c>
      <c r="H1792" s="3">
        <f>GBP!B1792/1</f>
        <v>1.2327999999999999</v>
      </c>
      <c r="I1792" s="3">
        <f>GBP!C1792/1</f>
        <v>1.2334000000000001</v>
      </c>
      <c r="J1792" s="4">
        <f>1/INR!B1792</f>
        <v>1.4993627708224006E-2</v>
      </c>
      <c r="K1792" s="4">
        <f>1/INR!C1792</f>
        <v>1.4920919128618324E-2</v>
      </c>
      <c r="L1792" s="4">
        <f>1/JPY!B1792</f>
        <v>9.7352024922118374E-3</v>
      </c>
      <c r="M1792" s="4">
        <f>1/JPY!C1792</f>
        <v>9.7439959932688475E-3</v>
      </c>
      <c r="N1792" s="5">
        <f>1/KRW!B1792</f>
        <v>8.7904360056258797E-4</v>
      </c>
      <c r="O1792" s="5">
        <f>1/KRW!C1792</f>
        <v>8.7904012334691015E-4</v>
      </c>
      <c r="P1792" s="3">
        <f>1/NOK!B1792</f>
        <v>0.12225536701061175</v>
      </c>
      <c r="Q1792" s="3">
        <f>1/NOK!C1792</f>
        <v>0.12224938875305624</v>
      </c>
      <c r="R1792" s="3">
        <f>NZD!B1792/1</f>
        <v>0.73060000000000003</v>
      </c>
      <c r="S1792" s="3">
        <f>NZD!C1792/1</f>
        <v>0.72970000000000002</v>
      </c>
      <c r="T1792" s="4">
        <f>1/PHP!B1792</f>
        <v>2.0678246484698098E-2</v>
      </c>
      <c r="U1792" s="4">
        <f>1/PHP!C1792</f>
        <v>2.0671834625322998E-2</v>
      </c>
      <c r="V1792" s="4">
        <f>1/TWD!B1792</f>
        <v>3.1724881824815199E-2</v>
      </c>
      <c r="W1792" s="4">
        <f>1/TWD!C1792</f>
        <v>3.1724982471947182E-2</v>
      </c>
      <c r="X1792" s="4">
        <f>1/TWD!B1792</f>
        <v>3.1724881824815199E-2</v>
      </c>
      <c r="Y1792" s="4">
        <f>1/TWD!C1792</f>
        <v>3.1724982471947182E-2</v>
      </c>
      <c r="Z1792" s="4">
        <f>1/ZAR!B1792</f>
        <v>7.439424486121754E-2</v>
      </c>
      <c r="AA1792" s="4">
        <f>1/ZAR!C1792</f>
        <v>7.3932780316136565E-2</v>
      </c>
    </row>
    <row r="1793" spans="1:27" x14ac:dyDescent="0.25">
      <c r="A1793" t="str">
        <f>"04/11/2016"</f>
        <v>04/11/2016</v>
      </c>
      <c r="B1793" s="3">
        <f>AUD!B1793</f>
        <v>0.76819999999999999</v>
      </c>
      <c r="C1793" s="3">
        <f>AUD!C1793</f>
        <v>0.76759999999999995</v>
      </c>
      <c r="D1793" s="3">
        <f>1/CAD!B1793</f>
        <v>0.74537865235539658</v>
      </c>
      <c r="E1793" s="3">
        <f>1/CAD!C1793</f>
        <v>0.74548978678992106</v>
      </c>
      <c r="F1793" s="3">
        <f>EUR!B1793/1</f>
        <v>1.1097999999999999</v>
      </c>
      <c r="G1793" s="3">
        <f>EUR!C1793/1</f>
        <v>1.111</v>
      </c>
      <c r="H1793" s="3">
        <f>GBP!B1793/1</f>
        <v>1.2491000000000001</v>
      </c>
      <c r="I1793" s="3">
        <f>GBP!C1793/1</f>
        <v>1.2497</v>
      </c>
      <c r="J1793" s="4">
        <f>1/INR!B1793</f>
        <v>1.4990256333383302E-2</v>
      </c>
      <c r="K1793" s="4">
        <f>1/INR!C1793</f>
        <v>1.4920919128618324E-2</v>
      </c>
      <c r="L1793" s="4">
        <f>1/JPY!B1793</f>
        <v>9.7115664756725253E-3</v>
      </c>
      <c r="M1793" s="4">
        <f>1/JPY!C1793</f>
        <v>9.7204212441750378E-3</v>
      </c>
      <c r="N1793" s="5">
        <f>1/KRW!B1793</f>
        <v>8.743933895859747E-4</v>
      </c>
      <c r="O1793" s="5">
        <f>1/KRW!C1793</f>
        <v>8.7438994906241345E-4</v>
      </c>
      <c r="P1793" s="3">
        <f>1/NOK!B1793</f>
        <v>0.12209266833526647</v>
      </c>
      <c r="Q1793" s="3">
        <f>1/NOK!C1793</f>
        <v>0.12209714048496983</v>
      </c>
      <c r="R1793" s="3">
        <f>NZD!B1793/1</f>
        <v>0.73150000000000004</v>
      </c>
      <c r="S1793" s="3">
        <f>NZD!C1793/1</f>
        <v>0.73060000000000003</v>
      </c>
      <c r="T1793" s="4">
        <f>1/PHP!B1793</f>
        <v>2.0627062706270627E-2</v>
      </c>
      <c r="U1793" s="4">
        <f>1/PHP!C1793</f>
        <v>2.0619406985855088E-2</v>
      </c>
      <c r="V1793" s="4">
        <f>1/TWD!B1793</f>
        <v>3.1773265974009472E-2</v>
      </c>
      <c r="W1793" s="4">
        <f>1/TWD!C1793</f>
        <v>3.1773366928373299E-2</v>
      </c>
      <c r="X1793" s="4">
        <f>1/TWD!B1793</f>
        <v>3.1773265974009472E-2</v>
      </c>
      <c r="Y1793" s="4">
        <f>1/TWD!C1793</f>
        <v>3.1773366928373299E-2</v>
      </c>
      <c r="Z1793" s="4">
        <f>1/ZAR!B1793</f>
        <v>7.3738155808723227E-2</v>
      </c>
      <c r="AA1793" s="4">
        <f>1/ZAR!C1793</f>
        <v>7.3293901214479942E-2</v>
      </c>
    </row>
    <row r="1794" spans="1:27" x14ac:dyDescent="0.25">
      <c r="A1794" t="str">
        <f>"07/11/2016"</f>
        <v>07/11/2016</v>
      </c>
      <c r="B1794" s="3">
        <f>AUD!B1794</f>
        <v>0.76739999999999997</v>
      </c>
      <c r="C1794" s="3">
        <f>AUD!C1794</f>
        <v>0.76680000000000004</v>
      </c>
      <c r="D1794" s="3">
        <f>1/CAD!B1794</f>
        <v>0.74665870230717546</v>
      </c>
      <c r="E1794" s="3">
        <f>1/CAD!C1794</f>
        <v>0.74677021880367411</v>
      </c>
      <c r="F1794" s="3">
        <f>EUR!B1794/1</f>
        <v>1.1064000000000001</v>
      </c>
      <c r="G1794" s="3">
        <f>EUR!C1794/1</f>
        <v>1.1075999999999999</v>
      </c>
      <c r="H1794" s="3">
        <f>GBP!B1794/1</f>
        <v>1.2423</v>
      </c>
      <c r="I1794" s="3">
        <f>GBP!C1794/1</f>
        <v>1.2428999999999999</v>
      </c>
      <c r="J1794" s="4">
        <f>1/INR!B1794</f>
        <v>1.4982956886541558E-2</v>
      </c>
      <c r="K1794" s="4">
        <f>1/INR!C1794</f>
        <v>1.4913131011855938E-2</v>
      </c>
      <c r="L1794" s="4">
        <f>1/JPY!B1794</f>
        <v>9.5785440613026813E-3</v>
      </c>
      <c r="M1794" s="4">
        <f>1/JPY!C1794</f>
        <v>9.5874519428971357E-3</v>
      </c>
      <c r="N1794" s="5">
        <f>1/KRW!B1794</f>
        <v>8.7473757872638203E-4</v>
      </c>
      <c r="O1794" s="5">
        <f>1/KRW!C1794</f>
        <v>8.7473413549369336E-4</v>
      </c>
      <c r="P1794" s="3">
        <f>1/NOK!B1794</f>
        <v>0.12157463466822281</v>
      </c>
      <c r="Q1794" s="3">
        <f>1/NOK!C1794</f>
        <v>0.12157906894749002</v>
      </c>
      <c r="R1794" s="3">
        <f>NZD!B1794/1</f>
        <v>0.73089999999999999</v>
      </c>
      <c r="S1794" s="3">
        <f>NZD!C1794/1</f>
        <v>0.73</v>
      </c>
      <c r="T1794" s="4">
        <f>1/PHP!B1794</f>
        <v>2.0582484305855717E-2</v>
      </c>
      <c r="U1794" s="4">
        <f>1/PHP!C1794</f>
        <v>2.0575073298698628E-2</v>
      </c>
      <c r="V1794" s="4">
        <f>1/TWD!B1794</f>
        <v>3.1725888324873094E-2</v>
      </c>
      <c r="W1794" s="4">
        <f>1/TWD!C1794</f>
        <v>3.1725988978391427E-2</v>
      </c>
      <c r="X1794" s="4">
        <f>1/TWD!B1794</f>
        <v>3.1725888324873094E-2</v>
      </c>
      <c r="Y1794" s="4">
        <f>1/TWD!C1794</f>
        <v>3.1725988978391427E-2</v>
      </c>
      <c r="Z1794" s="4">
        <f>1/ZAR!B1794</f>
        <v>7.4184526591443548E-2</v>
      </c>
      <c r="AA1794" s="4">
        <f>1/ZAR!C1794</f>
        <v>7.3739243287885378E-2</v>
      </c>
    </row>
    <row r="1795" spans="1:27" x14ac:dyDescent="0.25">
      <c r="A1795" t="str">
        <f>"08/11/2016"</f>
        <v>08/11/2016</v>
      </c>
      <c r="B1795" s="3">
        <f>AUD!B1795</f>
        <v>0.77</v>
      </c>
      <c r="C1795" s="3">
        <f>AUD!C1795</f>
        <v>0.76929999999999998</v>
      </c>
      <c r="D1795" s="3">
        <f>1/CAD!B1795</f>
        <v>0.74716078900179317</v>
      </c>
      <c r="E1795" s="3">
        <f>1/CAD!C1795</f>
        <v>0.74727245553728883</v>
      </c>
      <c r="F1795" s="3">
        <f>EUR!B1795/1</f>
        <v>1.1042000000000001</v>
      </c>
      <c r="G1795" s="3">
        <f>EUR!C1795/1</f>
        <v>1.1054999999999999</v>
      </c>
      <c r="H1795" s="3">
        <f>GBP!B1795/1</f>
        <v>1.2386999999999999</v>
      </c>
      <c r="I1795" s="3">
        <f>GBP!C1795/1</f>
        <v>1.2393000000000001</v>
      </c>
      <c r="J1795" s="4">
        <f>1/INR!B1795</f>
        <v>1.4990256333383302E-2</v>
      </c>
      <c r="K1795" s="4">
        <f>1/INR!C1795</f>
        <v>1.4912575028893113E-2</v>
      </c>
      <c r="L1795" s="4">
        <f>1/JPY!B1795</f>
        <v>9.5757923968208362E-3</v>
      </c>
      <c r="M1795" s="4">
        <f>1/JPY!C1795</f>
        <v>9.5855955338793285E-3</v>
      </c>
      <c r="N1795" s="5">
        <f>1/KRW!B1795</f>
        <v>8.8047545674664314E-4</v>
      </c>
      <c r="O1795" s="5">
        <f>1/KRW!C1795</f>
        <v>8.8047096039483143E-4</v>
      </c>
      <c r="P1795" s="3">
        <f>1/NOK!B1795</f>
        <v>0.12134449702705982</v>
      </c>
      <c r="Q1795" s="3">
        <f>1/NOK!C1795</f>
        <v>0.12134744199592272</v>
      </c>
      <c r="R1795" s="3">
        <f>NZD!B1795/1</f>
        <v>0.73280000000000001</v>
      </c>
      <c r="S1795" s="3">
        <f>NZD!C1795/1</f>
        <v>0.7319</v>
      </c>
      <c r="T1795" s="4">
        <f>1/PHP!B1795</f>
        <v>2.0584602717167558E-2</v>
      </c>
      <c r="U1795" s="4">
        <f>1/PHP!C1795</f>
        <v>2.0576131687242798E-2</v>
      </c>
      <c r="V1795" s="4">
        <f>1/TWD!B1795</f>
        <v>3.1705770450221944E-2</v>
      </c>
      <c r="W1795" s="4">
        <f>1/TWD!C1795</f>
        <v>3.1705870976128647E-2</v>
      </c>
      <c r="X1795" s="4">
        <f>1/TWD!B1795</f>
        <v>3.1705770450221944E-2</v>
      </c>
      <c r="Y1795" s="4">
        <f>1/TWD!C1795</f>
        <v>3.1705870976128647E-2</v>
      </c>
      <c r="Z1795" s="4">
        <f>1/ZAR!B1795</f>
        <v>7.440531551574045E-2</v>
      </c>
      <c r="AA1795" s="4">
        <f>1/ZAR!C1795</f>
        <v>7.3959026699208633E-2</v>
      </c>
    </row>
    <row r="1796" spans="1:27" x14ac:dyDescent="0.25">
      <c r="A1796" t="str">
        <f>"09/11/2016"</f>
        <v>09/11/2016</v>
      </c>
      <c r="B1796" s="3">
        <f>AUD!B1796</f>
        <v>0.76170000000000004</v>
      </c>
      <c r="C1796" s="3">
        <f>AUD!C1796</f>
        <v>0.76100000000000001</v>
      </c>
      <c r="D1796" s="3">
        <f>1/CAD!B1796</f>
        <v>0.7415097137772505</v>
      </c>
      <c r="E1796" s="3">
        <f>1/CAD!C1796</f>
        <v>0.74161969741916345</v>
      </c>
      <c r="F1796" s="3">
        <f>EUR!B1796/1</f>
        <v>1.1251</v>
      </c>
      <c r="G1796" s="3">
        <f>EUR!C1796/1</f>
        <v>1.1263000000000001</v>
      </c>
      <c r="H1796" s="3">
        <f>GBP!B1796/1</f>
        <v>1.2507999999999999</v>
      </c>
      <c r="I1796" s="3">
        <f>GBP!C1796/1</f>
        <v>1.2514000000000001</v>
      </c>
      <c r="J1796" s="4">
        <f>1/INR!B1796</f>
        <v>1.4974543276430068E-2</v>
      </c>
      <c r="K1796" s="4">
        <f>1/INR!C1796</f>
        <v>1.4904795617990088E-2</v>
      </c>
      <c r="L1796" s="4">
        <f>1/JPY!B1796</f>
        <v>9.835743090390479E-3</v>
      </c>
      <c r="M1796" s="4">
        <f>1/JPY!C1796</f>
        <v>9.8457951562626149E-3</v>
      </c>
      <c r="N1796" s="5">
        <f>1/KRW!B1796</f>
        <v>8.6715227193895242E-4</v>
      </c>
      <c r="O1796" s="5">
        <f>1/KRW!C1796</f>
        <v>8.6714791063312378E-4</v>
      </c>
      <c r="P1796" s="3">
        <f>1/NOK!B1796</f>
        <v>0.12186799259042605</v>
      </c>
      <c r="Q1796" s="3">
        <f>1/NOK!C1796</f>
        <v>0.12187096302434983</v>
      </c>
      <c r="R1796" s="3">
        <f>NZD!B1796/1</f>
        <v>0.73060000000000003</v>
      </c>
      <c r="S1796" s="3">
        <f>NZD!C1796/1</f>
        <v>0.72970000000000002</v>
      </c>
      <c r="T1796" s="4">
        <f>1/PHP!B1796</f>
        <v>2.051702913418137E-2</v>
      </c>
      <c r="U1796" s="4">
        <f>1/PHP!C1796</f>
        <v>2.0508613617719443E-2</v>
      </c>
      <c r="V1796" s="4">
        <f>1/TWD!B1796</f>
        <v>3.1636559207820554E-2</v>
      </c>
      <c r="W1796" s="4">
        <f>1/TWD!C1796</f>
        <v>3.1636659295325054E-2</v>
      </c>
      <c r="X1796" s="4">
        <f>1/TWD!B1796</f>
        <v>3.1636559207820554E-2</v>
      </c>
      <c r="Y1796" s="4">
        <f>1/TWD!C1796</f>
        <v>3.1636659295325054E-2</v>
      </c>
      <c r="Z1796" s="4">
        <f>1/ZAR!B1796</f>
        <v>7.293041708905533E-2</v>
      </c>
      <c r="AA1796" s="4">
        <f>1/ZAR!C1796</f>
        <v>7.2481625907832373E-2</v>
      </c>
    </row>
    <row r="1797" spans="1:27" x14ac:dyDescent="0.25">
      <c r="A1797" t="str">
        <f>"10/11/2016"</f>
        <v>10/11/2016</v>
      </c>
      <c r="B1797" s="3">
        <f>AUD!B1797</f>
        <v>0.77029999999999998</v>
      </c>
      <c r="C1797" s="3">
        <f>AUD!C1797</f>
        <v>0.76959999999999995</v>
      </c>
      <c r="D1797" s="3">
        <f>1/CAD!B1797</f>
        <v>0.74487895716945995</v>
      </c>
      <c r="E1797" s="3">
        <f>1/CAD!C1797</f>
        <v>0.74498994263577434</v>
      </c>
      <c r="F1797" s="3">
        <f>EUR!B1797/1</f>
        <v>1.0913999999999999</v>
      </c>
      <c r="G1797" s="3">
        <f>EUR!C1797/1</f>
        <v>1.0925</v>
      </c>
      <c r="H1797" s="3">
        <f>GBP!B1797/1</f>
        <v>1.2403999999999999</v>
      </c>
      <c r="I1797" s="3">
        <f>GBP!C1797/1</f>
        <v>1.2408999999999999</v>
      </c>
      <c r="J1797" s="4">
        <f>1/INR!B1797</f>
        <v>1.5008254539996999E-2</v>
      </c>
      <c r="K1797" s="4">
        <f>1/INR!C1797</f>
        <v>1.4939867035183386E-2</v>
      </c>
      <c r="L1797" s="4">
        <f>1/JPY!B1797</f>
        <v>9.3843843843843845E-3</v>
      </c>
      <c r="M1797" s="4">
        <f>1/JPY!C1797</f>
        <v>9.3928816985335839E-3</v>
      </c>
      <c r="N1797" s="5">
        <f>1/KRW!B1797</f>
        <v>8.693006476289826E-4</v>
      </c>
      <c r="O1797" s="5">
        <f>1/KRW!C1797</f>
        <v>8.6929626468610841E-4</v>
      </c>
      <c r="P1797" s="3">
        <f>1/NOK!B1797</f>
        <v>0.12054728467241274</v>
      </c>
      <c r="Q1797" s="3">
        <f>1/NOK!C1797</f>
        <v>0.12055019107205286</v>
      </c>
      <c r="R1797" s="3">
        <f>NZD!B1797/1</f>
        <v>0.72570000000000001</v>
      </c>
      <c r="S1797" s="3">
        <f>NZD!C1797/1</f>
        <v>0.72489999999999999</v>
      </c>
      <c r="T1797" s="4">
        <f>1/PHP!B1797</f>
        <v>2.0550760378133994E-2</v>
      </c>
      <c r="U1797" s="4">
        <f>1/PHP!C1797</f>
        <v>2.05435832117838E-2</v>
      </c>
      <c r="V1797" s="4">
        <f>1/TWD!B1797</f>
        <v>3.1656589319066765E-2</v>
      </c>
      <c r="W1797" s="4">
        <f>1/TWD!C1797</f>
        <v>3.1656689533348742E-2</v>
      </c>
      <c r="X1797" s="4">
        <f>1/TWD!B1797</f>
        <v>3.1656589319066765E-2</v>
      </c>
      <c r="Y1797" s="4">
        <f>1/TWD!C1797</f>
        <v>3.1656689533348742E-2</v>
      </c>
      <c r="Z1797" s="4">
        <f>1/ZAR!B1797</f>
        <v>7.3063097290820347E-2</v>
      </c>
      <c r="AA1797" s="4">
        <f>1/ZAR!C1797</f>
        <v>7.2625333168715916E-2</v>
      </c>
    </row>
    <row r="1798" spans="1:27" x14ac:dyDescent="0.25">
      <c r="A1798" t="str">
        <f>"11/11/2016"</f>
        <v>11/11/2016</v>
      </c>
      <c r="B1798" s="3">
        <f>AUD!B1798</f>
        <v>0.76149999999999995</v>
      </c>
      <c r="C1798" s="3">
        <f>AUD!C1798</f>
        <v>0.76080000000000003</v>
      </c>
      <c r="D1798" s="3">
        <f>1/CAD!B1798</f>
        <v>0.74272133095662507</v>
      </c>
      <c r="E1798" s="3">
        <f>1/CAD!C1798</f>
        <v>0.7428316743425939</v>
      </c>
      <c r="F1798" s="3">
        <f>EUR!B1798/1</f>
        <v>1.0905</v>
      </c>
      <c r="G1798" s="3">
        <f>EUR!C1798/1</f>
        <v>1.0915999999999999</v>
      </c>
      <c r="H1798" s="3">
        <f>GBP!B1798/1</f>
        <v>1.2564</v>
      </c>
      <c r="I1798" s="3">
        <f>GBP!C1798/1</f>
        <v>1.2568999999999999</v>
      </c>
      <c r="J1798" s="4">
        <f>1/INR!B1798</f>
        <v>1.4927601134497688E-2</v>
      </c>
      <c r="K1798" s="4">
        <f>1/INR!C1798</f>
        <v>1.4859392993796204E-2</v>
      </c>
      <c r="L1798" s="4">
        <f>1/JPY!B1798</f>
        <v>9.3931993236896494E-3</v>
      </c>
      <c r="M1798" s="4">
        <f>1/JPY!C1798</f>
        <v>9.4013767376094556E-3</v>
      </c>
      <c r="N1798" s="5">
        <f>1/KRW!B1798</f>
        <v>8.6006708523264815E-4</v>
      </c>
      <c r="O1798" s="5">
        <f>1/KRW!C1798</f>
        <v>8.6006190725608424E-4</v>
      </c>
      <c r="P1798" s="3">
        <f>1/NOK!B1798</f>
        <v>0.11943293243679012</v>
      </c>
      <c r="Q1798" s="3">
        <f>1/NOK!C1798</f>
        <v>0.11943435887636156</v>
      </c>
      <c r="R1798" s="3">
        <f>NZD!B1798/1</f>
        <v>0.72160000000000002</v>
      </c>
      <c r="S1798" s="3">
        <f>NZD!C1798/1</f>
        <v>0.7208</v>
      </c>
      <c r="T1798" s="4">
        <f>1/PHP!B1798</f>
        <v>2.0441537203597711E-2</v>
      </c>
      <c r="U1798" s="4">
        <f>1/PHP!C1798</f>
        <v>2.0431096128307284E-2</v>
      </c>
      <c r="V1798" s="4">
        <f>1/TWD!B1798</f>
        <v>3.1453464599125597E-2</v>
      </c>
      <c r="W1798" s="4">
        <f>1/TWD!C1798</f>
        <v>3.1453563531480301E-2</v>
      </c>
      <c r="X1798" s="4">
        <f>1/TWD!B1798</f>
        <v>3.1453464599125597E-2</v>
      </c>
      <c r="Y1798" s="4">
        <f>1/TWD!C1798</f>
        <v>3.1453563531480301E-2</v>
      </c>
      <c r="Z1798" s="4">
        <f>1/ZAR!B1798</f>
        <v>7.107573119158464E-2</v>
      </c>
      <c r="AA1798" s="4">
        <f>1/ZAR!C1798</f>
        <v>7.0643420271835886E-2</v>
      </c>
    </row>
    <row r="1799" spans="1:27" x14ac:dyDescent="0.25">
      <c r="A1799" t="str">
        <f>"15/11/2016"</f>
        <v>15/11/2016</v>
      </c>
      <c r="B1799" s="3">
        <f>AUD!B1799</f>
        <v>0.75580000000000003</v>
      </c>
      <c r="C1799" s="3">
        <f>AUD!C1799</f>
        <v>0.75509999999999999</v>
      </c>
      <c r="D1799" s="3">
        <f>1/CAD!B1799</f>
        <v>0.74024724257902141</v>
      </c>
      <c r="E1799" s="3">
        <f>1/CAD!C1799</f>
        <v>0.74041166888790166</v>
      </c>
      <c r="F1799" s="3">
        <f>EUR!B1799/1</f>
        <v>1.0799000000000001</v>
      </c>
      <c r="G1799" s="3">
        <f>EUR!C1799/1</f>
        <v>1.0810999999999999</v>
      </c>
      <c r="H1799" s="3">
        <f>GBP!B1799/1</f>
        <v>1.2487999999999999</v>
      </c>
      <c r="I1799" s="3">
        <f>GBP!C1799/1</f>
        <v>1.2494000000000001</v>
      </c>
      <c r="J1799" s="4">
        <f>1/INR!B1799</f>
        <v>1.4759602966680196E-2</v>
      </c>
      <c r="K1799" s="4">
        <f>1/INR!C1799</f>
        <v>1.4697776961234614E-2</v>
      </c>
      <c r="L1799" s="4">
        <f>1/JPY!B1799</f>
        <v>9.2644061515656847E-3</v>
      </c>
      <c r="M1799" s="4">
        <f>1/JPY!C1799</f>
        <v>9.2733066014815037E-3</v>
      </c>
      <c r="N1799" s="5">
        <f>1/KRW!B1799</f>
        <v>8.5426277122842992E-4</v>
      </c>
      <c r="O1799" s="5">
        <f>1/KRW!C1799</f>
        <v>8.5425766290480069E-4</v>
      </c>
      <c r="P1799" s="3">
        <f>1/NOK!B1799</f>
        <v>0.11899945260251804</v>
      </c>
      <c r="Q1799" s="3">
        <f>1/NOK!C1799</f>
        <v>0.119002284843869</v>
      </c>
      <c r="R1799" s="3">
        <f>NZD!B1799/1</f>
        <v>0.71160000000000001</v>
      </c>
      <c r="S1799" s="3">
        <f>NZD!C1799/1</f>
        <v>0.7107</v>
      </c>
      <c r="T1799" s="4">
        <f>1/PHP!B1799</f>
        <v>2.0337604230221681E-2</v>
      </c>
      <c r="U1799" s="4">
        <f>1/PHP!C1799</f>
        <v>2.03190084323885E-2</v>
      </c>
      <c r="V1799" s="4">
        <f>1/TWD!B1799</f>
        <v>3.1377470975839344E-2</v>
      </c>
      <c r="W1799" s="4">
        <f>1/TWD!C1799</f>
        <v>3.1377569430716755E-2</v>
      </c>
      <c r="X1799" s="4">
        <f>1/TWD!B1799</f>
        <v>3.1377470975839344E-2</v>
      </c>
      <c r="Y1799" s="4">
        <f>1/TWD!C1799</f>
        <v>3.1377569430716755E-2</v>
      </c>
      <c r="Z1799" s="4">
        <f>1/ZAR!B1799</f>
        <v>7.055918151349444E-2</v>
      </c>
      <c r="AA1799" s="4">
        <f>1/ZAR!C1799</f>
        <v>7.0110002594070103E-2</v>
      </c>
    </row>
    <row r="1800" spans="1:27" x14ac:dyDescent="0.25">
      <c r="A1800" t="str">
        <f>"16/11/2016"</f>
        <v>16/11/2016</v>
      </c>
      <c r="B1800" s="3">
        <f>AUD!B1800</f>
        <v>0.748</v>
      </c>
      <c r="C1800" s="3">
        <f>AUD!C1800</f>
        <v>0.74729999999999996</v>
      </c>
      <c r="D1800" s="3">
        <f>1/CAD!B1800</f>
        <v>0.74156470152020759</v>
      </c>
      <c r="E1800" s="3">
        <f>1/CAD!C1800</f>
        <v>0.74172971369233043</v>
      </c>
      <c r="F1800" s="3">
        <f>EUR!B1800/1</f>
        <v>1.0703</v>
      </c>
      <c r="G1800" s="3">
        <f>EUR!C1800/1</f>
        <v>1.0714999999999999</v>
      </c>
      <c r="H1800" s="3">
        <f>GBP!B1800/1</f>
        <v>1.2421</v>
      </c>
      <c r="I1800" s="3">
        <f>GBP!C1800/1</f>
        <v>1.2426999999999999</v>
      </c>
      <c r="J1800" s="4">
        <f>1/INR!B1800</f>
        <v>1.4715620631300125E-2</v>
      </c>
      <c r="K1800" s="4">
        <f>1/INR!C1800</f>
        <v>1.4655235582911996E-2</v>
      </c>
      <c r="L1800" s="4">
        <f>1/JPY!B1800</f>
        <v>9.1182638825567618E-3</v>
      </c>
      <c r="M1800" s="4">
        <f>1/JPY!C1800</f>
        <v>9.1265690853900051E-3</v>
      </c>
      <c r="N1800" s="5">
        <f>1/KRW!B1800</f>
        <v>8.5513938772019827E-4</v>
      </c>
      <c r="O1800" s="5">
        <f>1/KRW!C1800</f>
        <v>8.5513426890723254E-4</v>
      </c>
      <c r="P1800" s="3">
        <f>1/NOK!B1800</f>
        <v>0.1180776951233912</v>
      </c>
      <c r="Q1800" s="3">
        <f>1/NOK!C1800</f>
        <v>0.11807908937406275</v>
      </c>
      <c r="R1800" s="3">
        <f>NZD!B1800/1</f>
        <v>0.70550000000000002</v>
      </c>
      <c r="S1800" s="3">
        <f>NZD!C1800/1</f>
        <v>0.7046</v>
      </c>
      <c r="T1800" s="4">
        <f>1/PHP!B1800</f>
        <v>2.0263424518743668E-2</v>
      </c>
      <c r="U1800" s="4">
        <f>1/PHP!C1800</f>
        <v>2.0245783815520418E-2</v>
      </c>
      <c r="V1800" s="4">
        <f>1/TWD!B1800</f>
        <v>3.1397174254317109E-2</v>
      </c>
      <c r="W1800" s="4">
        <f>1/TWD!C1800</f>
        <v>3.1397272832881733E-2</v>
      </c>
      <c r="X1800" s="4">
        <f>1/TWD!B1800</f>
        <v>3.1397174254317109E-2</v>
      </c>
      <c r="Y1800" s="4">
        <f>1/TWD!C1800</f>
        <v>3.1397272832881733E-2</v>
      </c>
      <c r="Z1800" s="4">
        <f>1/ZAR!B1800</f>
        <v>6.9697582190873797E-2</v>
      </c>
      <c r="AA1800" s="4">
        <f>1/ZAR!C1800</f>
        <v>6.9270786431238351E-2</v>
      </c>
    </row>
    <row r="1801" spans="1:27" x14ac:dyDescent="0.25">
      <c r="A1801" t="str">
        <f>"17/11/2016"</f>
        <v>17/11/2016</v>
      </c>
      <c r="B1801" s="3">
        <f>AUD!B1801</f>
        <v>0.74660000000000004</v>
      </c>
      <c r="C1801" s="3">
        <f>AUD!C1801</f>
        <v>0.746</v>
      </c>
      <c r="D1801" s="3">
        <f>1/CAD!B1801</f>
        <v>0.74576776791707067</v>
      </c>
      <c r="E1801" s="3">
        <f>1/CAD!C1801</f>
        <v>0.74593465612412357</v>
      </c>
      <c r="F1801" s="3">
        <f>EUR!B1801/1</f>
        <v>1.0736000000000001</v>
      </c>
      <c r="G1801" s="3">
        <f>EUR!C1801/1</f>
        <v>1.0747</v>
      </c>
      <c r="H1801" s="3">
        <f>GBP!B1801/1</f>
        <v>1.2468999999999999</v>
      </c>
      <c r="I1801" s="3">
        <f>GBP!C1801/1</f>
        <v>1.2475000000000001</v>
      </c>
      <c r="J1801" s="4">
        <f>1/INR!B1801</f>
        <v>1.4742739200943536E-2</v>
      </c>
      <c r="K1801" s="4">
        <f>1/INR!C1801</f>
        <v>1.467997651203758E-2</v>
      </c>
      <c r="L1801" s="4">
        <f>1/JPY!B1801</f>
        <v>9.1810503121557106E-3</v>
      </c>
      <c r="M1801" s="4">
        <f>1/JPY!C1801</f>
        <v>9.1889214687204523E-3</v>
      </c>
      <c r="N1801" s="5">
        <f>1/KRW!B1801</f>
        <v>8.5019554497534424E-4</v>
      </c>
      <c r="O1801" s="5">
        <f>1/KRW!C1801</f>
        <v>8.5018903953294007E-4</v>
      </c>
      <c r="P1801" s="3">
        <f>1/NOK!B1801</f>
        <v>0.11822706690469717</v>
      </c>
      <c r="Q1801" s="3">
        <f>1/NOK!C1801</f>
        <v>0.1182284646851576</v>
      </c>
      <c r="R1801" s="3">
        <f>NZD!B1801/1</f>
        <v>0.70950000000000002</v>
      </c>
      <c r="S1801" s="3">
        <f>NZD!C1801/1</f>
        <v>0.7087</v>
      </c>
      <c r="T1801" s="4">
        <f>1/PHP!B1801</f>
        <v>2.0177562550443905E-2</v>
      </c>
      <c r="U1801" s="4">
        <f>1/PHP!C1801</f>
        <v>2.0159258139300477E-2</v>
      </c>
      <c r="V1801" s="4">
        <f>1/TWD!B1801</f>
        <v>3.1345997116168263E-2</v>
      </c>
      <c r="W1801" s="4">
        <f>1/TWD!C1801</f>
        <v>3.1346095373629784E-2</v>
      </c>
      <c r="X1801" s="4">
        <f>1/TWD!B1801</f>
        <v>3.1345997116168263E-2</v>
      </c>
      <c r="Y1801" s="4">
        <f>1/TWD!C1801</f>
        <v>3.1346095373629784E-2</v>
      </c>
      <c r="Z1801" s="4">
        <f>1/ZAR!B1801</f>
        <v>7.007561158490011E-2</v>
      </c>
      <c r="AA1801" s="4">
        <f>1/ZAR!C1801</f>
        <v>6.9660197556320275E-2</v>
      </c>
    </row>
    <row r="1802" spans="1:27" x14ac:dyDescent="0.25">
      <c r="A1802" t="str">
        <f>"18/11/2016"</f>
        <v>18/11/2016</v>
      </c>
      <c r="B1802" s="3">
        <f>AUD!B1802</f>
        <v>0.7389</v>
      </c>
      <c r="C1802" s="3">
        <f>AUD!C1802</f>
        <v>0.73829999999999996</v>
      </c>
      <c r="D1802" s="3">
        <f>1/CAD!B1802</f>
        <v>0.74085049636983247</v>
      </c>
      <c r="E1802" s="3">
        <f>1/CAD!C1802</f>
        <v>0.74101519081141165</v>
      </c>
      <c r="F1802" s="3">
        <f>EUR!B1802/1</f>
        <v>1.0625</v>
      </c>
      <c r="G1802" s="3">
        <f>EUR!C1802/1</f>
        <v>1.0636000000000001</v>
      </c>
      <c r="H1802" s="3">
        <f>GBP!B1802/1</f>
        <v>1.2398</v>
      </c>
      <c r="I1802" s="3">
        <f>GBP!C1802/1</f>
        <v>1.2403999999999999</v>
      </c>
      <c r="J1802" s="4">
        <f>1/INR!B1802</f>
        <v>1.4675667742882301E-2</v>
      </c>
      <c r="K1802" s="4">
        <f>1/INR!C1802</f>
        <v>1.4618814414151013E-2</v>
      </c>
      <c r="L1802" s="4">
        <f>1/JPY!B1802</f>
        <v>9.0818272636454447E-3</v>
      </c>
      <c r="M1802" s="4">
        <f>1/JPY!C1802</f>
        <v>9.0899092008969919E-3</v>
      </c>
      <c r="N1802" s="5">
        <f>1/KRW!B1802</f>
        <v>8.4512993872807945E-4</v>
      </c>
      <c r="O1802" s="5">
        <f>1/KRW!C1802</f>
        <v>8.4512422480980472E-4</v>
      </c>
      <c r="P1802" s="3">
        <f>1/NOK!B1802</f>
        <v>0.11687158150624094</v>
      </c>
      <c r="Q1802" s="3">
        <f>1/NOK!C1802</f>
        <v>0.11687294741886095</v>
      </c>
      <c r="R1802" s="3">
        <f>NZD!B1802/1</f>
        <v>0.7046</v>
      </c>
      <c r="S1802" s="3">
        <f>NZD!C1802/1</f>
        <v>0.70379999999999998</v>
      </c>
      <c r="T1802" s="4">
        <f>1/PHP!B1802</f>
        <v>2.0088388911209322E-2</v>
      </c>
      <c r="U1802" s="4">
        <f>1/PHP!C1802</f>
        <v>2.0070245860511791E-2</v>
      </c>
      <c r="V1802" s="4">
        <f>1/TWD!B1802</f>
        <v>3.1240237425804437E-2</v>
      </c>
      <c r="W1802" s="4">
        <f>1/TWD!C1802</f>
        <v>3.1240335021352768E-2</v>
      </c>
      <c r="X1802" s="4">
        <f>1/TWD!B1802</f>
        <v>3.1240237425804437E-2</v>
      </c>
      <c r="Y1802" s="4">
        <f>1/TWD!C1802</f>
        <v>3.1240335021352768E-2</v>
      </c>
      <c r="Z1802" s="4">
        <f>1/ZAR!B1802</f>
        <v>6.8987878829689625E-2</v>
      </c>
      <c r="AA1802" s="4">
        <f>1/ZAR!C1802</f>
        <v>6.8579109431684923E-2</v>
      </c>
    </row>
    <row r="1803" spans="1:27" x14ac:dyDescent="0.25">
      <c r="A1803" t="str">
        <f>"21/11/2016"</f>
        <v>21/11/2016</v>
      </c>
      <c r="B1803" s="3">
        <f>AUD!B1803</f>
        <v>0.73219999999999996</v>
      </c>
      <c r="C1803" s="3">
        <f>AUD!C1803</f>
        <v>0.73160000000000003</v>
      </c>
      <c r="D1803" s="3">
        <f>1/CAD!B1803</f>
        <v>0.74178473407017276</v>
      </c>
      <c r="E1803" s="3">
        <f>1/CAD!C1803</f>
        <v>0.74189479931745672</v>
      </c>
      <c r="F1803" s="3">
        <f>EUR!B1803/1</f>
        <v>1.0592999999999999</v>
      </c>
      <c r="G1803" s="3">
        <f>EUR!C1803/1</f>
        <v>1.0604</v>
      </c>
      <c r="H1803" s="3">
        <f>GBP!B1803/1</f>
        <v>1.2332000000000001</v>
      </c>
      <c r="I1803" s="3">
        <f>GBP!C1803/1</f>
        <v>1.2338</v>
      </c>
      <c r="J1803" s="4">
        <f>1/INR!B1803</f>
        <v>1.4667057788207684E-2</v>
      </c>
      <c r="K1803" s="4">
        <f>1/INR!C1803</f>
        <v>1.4614007526213876E-2</v>
      </c>
      <c r="L1803" s="4">
        <f>1/JPY!B1803</f>
        <v>9.0017103249617429E-3</v>
      </c>
      <c r="M1803" s="4">
        <f>1/JPY!C1803</f>
        <v>9.0114851378081361E-3</v>
      </c>
      <c r="N1803" s="5">
        <f>1/KRW!B1803</f>
        <v>8.4349036312260134E-4</v>
      </c>
      <c r="O1803" s="5">
        <f>1/KRW!C1803</f>
        <v>8.4348467135306746E-4</v>
      </c>
      <c r="P1803" s="3">
        <f>1/NOK!B1803</f>
        <v>0.11635618956750404</v>
      </c>
      <c r="Q1803" s="3">
        <f>1/NOK!C1803</f>
        <v>0.11635889738308841</v>
      </c>
      <c r="R1803" s="3">
        <f>NZD!B1803/1</f>
        <v>0.70020000000000004</v>
      </c>
      <c r="S1803" s="3">
        <f>NZD!C1803/1</f>
        <v>0.69940000000000002</v>
      </c>
      <c r="T1803" s="4">
        <f>1/PHP!B1803</f>
        <v>2.0028039254956938E-2</v>
      </c>
      <c r="U1803" s="4">
        <f>1/PHP!C1803</f>
        <v>2.001000500250125E-2</v>
      </c>
      <c r="V1803" s="4">
        <f>1/TWD!B1803</f>
        <v>3.1243165557534293E-2</v>
      </c>
      <c r="W1803" s="4">
        <f>1/TWD!C1803</f>
        <v>3.1243263171378668E-2</v>
      </c>
      <c r="X1803" s="4">
        <f>1/TWD!B1803</f>
        <v>3.1243165557534293E-2</v>
      </c>
      <c r="Y1803" s="4">
        <f>1/TWD!C1803</f>
        <v>3.1243263171378668E-2</v>
      </c>
      <c r="Z1803" s="4">
        <f>1/ZAR!B1803</f>
        <v>6.9044561359901682E-2</v>
      </c>
      <c r="AA1803" s="4">
        <f>1/ZAR!C1803</f>
        <v>6.8631824577056383E-2</v>
      </c>
    </row>
    <row r="1804" spans="1:27" x14ac:dyDescent="0.25">
      <c r="A1804" t="str">
        <f>"22/11/2016"</f>
        <v>22/11/2016</v>
      </c>
      <c r="B1804" s="3">
        <f>AUD!B1804</f>
        <v>0.73980000000000001</v>
      </c>
      <c r="C1804" s="3">
        <f>AUD!C1804</f>
        <v>0.73909999999999998</v>
      </c>
      <c r="D1804" s="3">
        <f>1/CAD!B1804</f>
        <v>0.74632435256362406</v>
      </c>
      <c r="E1804" s="3">
        <f>1/CAD!C1804</f>
        <v>0.74643576920206023</v>
      </c>
      <c r="F1804" s="3">
        <f>EUR!B1804/1</f>
        <v>1.0621</v>
      </c>
      <c r="G1804" s="3">
        <f>EUR!C1804/1</f>
        <v>1.0633999999999999</v>
      </c>
      <c r="H1804" s="3">
        <f>GBP!B1804/1</f>
        <v>1.2445999999999999</v>
      </c>
      <c r="I1804" s="3">
        <f>GBP!C1804/1</f>
        <v>1.2453000000000001</v>
      </c>
      <c r="J1804" s="4">
        <f>1/INR!B1804</f>
        <v>1.4649868151186638E-2</v>
      </c>
      <c r="K1804" s="4">
        <f>1/INR!C1804</f>
        <v>1.4601737606775207E-2</v>
      </c>
      <c r="L1804" s="4">
        <f>1/JPY!B1804</f>
        <v>9.0163195383644399E-3</v>
      </c>
      <c r="M1804" s="4">
        <f>1/JPY!C1804</f>
        <v>9.0262075937484493E-3</v>
      </c>
      <c r="N1804" s="5">
        <f>1/KRW!B1804</f>
        <v>8.50087133931228E-4</v>
      </c>
      <c r="O1804" s="5">
        <f>1/KRW!C1804</f>
        <v>8.5008135278546158E-4</v>
      </c>
      <c r="P1804" s="3">
        <f>1/NOK!B1804</f>
        <v>0.11733783910635502</v>
      </c>
      <c r="Q1804" s="3">
        <f>1/NOK!C1804</f>
        <v>0.11734334663224595</v>
      </c>
      <c r="R1804" s="3">
        <f>NZD!B1804/1</f>
        <v>0.70630000000000004</v>
      </c>
      <c r="S1804" s="3">
        <f>NZD!C1804/1</f>
        <v>0.70550000000000002</v>
      </c>
      <c r="T1804" s="4">
        <f>1/PHP!B1804</f>
        <v>2.0046106043900974E-2</v>
      </c>
      <c r="U1804" s="4">
        <f>1/PHP!C1804</f>
        <v>2.0028039254956938E-2</v>
      </c>
      <c r="V1804" s="4">
        <f>1/TWD!B1804</f>
        <v>3.130282351468102E-2</v>
      </c>
      <c r="W1804" s="4">
        <f>1/TWD!C1804</f>
        <v>3.130292150166375E-2</v>
      </c>
      <c r="X1804" s="4">
        <f>1/TWD!B1804</f>
        <v>3.130282351468102E-2</v>
      </c>
      <c r="Y1804" s="4">
        <f>1/TWD!C1804</f>
        <v>3.130292150166375E-2</v>
      </c>
      <c r="Z1804" s="4">
        <f>1/ZAR!B1804</f>
        <v>7.119160508592827E-2</v>
      </c>
      <c r="AA1804" s="4">
        <f>1/ZAR!C1804</f>
        <v>7.0740869122318029E-2</v>
      </c>
    </row>
    <row r="1805" spans="1:27" x14ac:dyDescent="0.25">
      <c r="A1805" t="str">
        <f>"23/11/2016"</f>
        <v>23/11/2016</v>
      </c>
      <c r="B1805" s="3">
        <f>AUD!B1805</f>
        <v>0.74280000000000002</v>
      </c>
      <c r="C1805" s="3">
        <f>AUD!C1805</f>
        <v>0.74209999999999998</v>
      </c>
      <c r="D1805" s="3">
        <f>1/CAD!B1805</f>
        <v>0.74388157405341071</v>
      </c>
      <c r="E1805" s="3">
        <f>1/CAD!C1805</f>
        <v>0.74404761904761896</v>
      </c>
      <c r="F1805" s="3">
        <f>EUR!B1805/1</f>
        <v>1.0626</v>
      </c>
      <c r="G1805" s="3">
        <f>EUR!C1805/1</f>
        <v>1.0639000000000001</v>
      </c>
      <c r="H1805" s="3">
        <f>GBP!B1805/1</f>
        <v>1.2416</v>
      </c>
      <c r="I1805" s="3">
        <f>GBP!C1805/1</f>
        <v>1.2423</v>
      </c>
      <c r="J1805" s="4">
        <f>1/INR!B1805</f>
        <v>1.460706982179375E-2</v>
      </c>
      <c r="K1805" s="4">
        <f>1/INR!C1805</f>
        <v>1.4559219625828054E-2</v>
      </c>
      <c r="L1805" s="4">
        <f>1/JPY!B1805</f>
        <v>9.004141905276427E-3</v>
      </c>
      <c r="M1805" s="4">
        <f>1/JPY!C1805</f>
        <v>9.0138163777438059E-3</v>
      </c>
      <c r="N1805" s="5">
        <f>1/KRW!B1805</f>
        <v>8.4958158107132243E-4</v>
      </c>
      <c r="O1805" s="5">
        <f>1/KRW!C1805</f>
        <v>8.4957580679966493E-4</v>
      </c>
      <c r="P1805" s="3">
        <f>1/NOK!B1805</f>
        <v>0.11738742545898483</v>
      </c>
      <c r="Q1805" s="3">
        <f>1/NOK!C1805</f>
        <v>0.11738604749439481</v>
      </c>
      <c r="R1805" s="3">
        <f>NZD!B1805/1</f>
        <v>0.70620000000000005</v>
      </c>
      <c r="S1805" s="3">
        <f>NZD!C1805/1</f>
        <v>0.70540000000000003</v>
      </c>
      <c r="T1805" s="4">
        <f>1/PHP!B1805</f>
        <v>2.0024028834601523E-2</v>
      </c>
      <c r="U1805" s="4">
        <f>1/PHP!C1805</f>
        <v>2.0008003201280513E-2</v>
      </c>
      <c r="V1805" s="4">
        <f>1/TWD!B1805</f>
        <v>3.1318509238960228E-2</v>
      </c>
      <c r="W1805" s="4">
        <f>1/TWD!C1805</f>
        <v>3.1318607324169509E-2</v>
      </c>
      <c r="X1805" s="4">
        <f>1/TWD!B1805</f>
        <v>3.1318509238960228E-2</v>
      </c>
      <c r="Y1805" s="4">
        <f>1/TWD!C1805</f>
        <v>3.1318607324169509E-2</v>
      </c>
      <c r="Z1805" s="4">
        <f>1/ZAR!B1805</f>
        <v>7.1062094057787697E-2</v>
      </c>
      <c r="AA1805" s="4">
        <f>1/ZAR!C1805</f>
        <v>7.0608005535667637E-2</v>
      </c>
    </row>
    <row r="1806" spans="1:27" x14ac:dyDescent="0.25">
      <c r="A1806" t="str">
        <f>"24/11/2016"</f>
        <v>24/11/2016</v>
      </c>
      <c r="B1806" s="3">
        <f>AUD!B1806</f>
        <v>0.73980000000000001</v>
      </c>
      <c r="C1806" s="3">
        <f>AUD!C1806</f>
        <v>0.73919999999999997</v>
      </c>
      <c r="D1806" s="3">
        <f>1/CAD!B1806</f>
        <v>0.74178473407017276</v>
      </c>
      <c r="E1806" s="3">
        <f>1/CAD!C1806</f>
        <v>0.74200489723232177</v>
      </c>
      <c r="F1806" s="3">
        <f>EUR!B1806/1</f>
        <v>1.0571999999999999</v>
      </c>
      <c r="G1806" s="3">
        <f>EUR!C1806/1</f>
        <v>1.0584</v>
      </c>
      <c r="H1806" s="3">
        <f>GBP!B1806/1</f>
        <v>1.2467999999999999</v>
      </c>
      <c r="I1806" s="3">
        <f>GBP!C1806/1</f>
        <v>1.2475000000000001</v>
      </c>
      <c r="J1806" s="4">
        <f>1/INR!B1806</f>
        <v>1.4544925639067671E-2</v>
      </c>
      <c r="K1806" s="4">
        <f>1/INR!C1806</f>
        <v>1.4521164597400712E-2</v>
      </c>
      <c r="L1806" s="4">
        <f>1/JPY!B1806</f>
        <v>8.843296781039971E-3</v>
      </c>
      <c r="M1806" s="4">
        <f>1/JPY!C1806</f>
        <v>8.8528714731266663E-3</v>
      </c>
      <c r="N1806" s="5">
        <f>1/KRW!B1806</f>
        <v>8.4709868699703512E-4</v>
      </c>
      <c r="O1806" s="5">
        <f>1/KRW!C1806</f>
        <v>8.4709294642645362E-4</v>
      </c>
      <c r="P1806" s="3">
        <f>1/NOK!B1806</f>
        <v>0.1164117249889409</v>
      </c>
      <c r="Q1806" s="3">
        <f>1/NOK!C1806</f>
        <v>0.11642121194481636</v>
      </c>
      <c r="R1806" s="3">
        <f>NZD!B1806/1</f>
        <v>0.70030000000000003</v>
      </c>
      <c r="S1806" s="3">
        <f>NZD!C1806/1</f>
        <v>0.6996</v>
      </c>
      <c r="T1806" s="4">
        <f>1/PHP!B1806</f>
        <v>2.0008003201280513E-2</v>
      </c>
      <c r="U1806" s="4">
        <f>1/PHP!C1806</f>
        <v>1.9991603526518863E-2</v>
      </c>
      <c r="V1806" s="4">
        <f>1/TWD!B1806</f>
        <v>3.1321452062517616E-2</v>
      </c>
      <c r="W1806" s="4">
        <f>1/TWD!C1806</f>
        <v>3.1321550166160825E-2</v>
      </c>
      <c r="X1806" s="4">
        <f>1/TWD!B1806</f>
        <v>3.1321452062517616E-2</v>
      </c>
      <c r="Y1806" s="4">
        <f>1/TWD!C1806</f>
        <v>3.1321550166160825E-2</v>
      </c>
      <c r="Z1806" s="4">
        <f>1/ZAR!B1806</f>
        <v>7.046421826996252E-2</v>
      </c>
      <c r="AA1806" s="4">
        <f>1/ZAR!C1806</f>
        <v>7.0053520889959919E-2</v>
      </c>
    </row>
    <row r="1807" spans="1:27" x14ac:dyDescent="0.25">
      <c r="A1807" t="str">
        <f>"25/11/2016"</f>
        <v>25/11/2016</v>
      </c>
      <c r="B1807" s="3">
        <f>AUD!B1807</f>
        <v>0.74329999999999996</v>
      </c>
      <c r="C1807" s="3">
        <f>AUD!C1807</f>
        <v>0.74270000000000003</v>
      </c>
      <c r="D1807" s="3">
        <f>1/CAD!B1807</f>
        <v>0.74161969741916345</v>
      </c>
      <c r="E1807" s="3">
        <f>1/CAD!C1807</f>
        <v>0.74183976261127593</v>
      </c>
      <c r="F1807" s="3">
        <f>EUR!B1807/1</f>
        <v>1.0588</v>
      </c>
      <c r="G1807" s="3">
        <f>EUR!C1807/1</f>
        <v>1.06</v>
      </c>
      <c r="H1807" s="3">
        <f>GBP!B1807/1</f>
        <v>1.2457</v>
      </c>
      <c r="I1807" s="3">
        <f>GBP!C1807/1</f>
        <v>1.2463</v>
      </c>
      <c r="J1807" s="4">
        <f>1/INR!B1807</f>
        <v>1.4604403227573113E-2</v>
      </c>
      <c r="K1807" s="4">
        <f>1/INR!C1807</f>
        <v>1.4575134819997086E-2</v>
      </c>
      <c r="L1807" s="4">
        <f>1/JPY!B1807</f>
        <v>8.8479915059281548E-3</v>
      </c>
      <c r="M1807" s="4">
        <f>1/JPY!C1807</f>
        <v>8.8575842179107449E-3</v>
      </c>
      <c r="N1807" s="5">
        <f>1/KRW!B1807</f>
        <v>8.4925690021231425E-4</v>
      </c>
      <c r="O1807" s="5">
        <f>1/KRW!C1807</f>
        <v>8.4925185158134936E-4</v>
      </c>
      <c r="P1807" s="3">
        <f>1/NOK!B1807</f>
        <v>0.11668475280335118</v>
      </c>
      <c r="Q1807" s="3">
        <f>1/NOK!C1807</f>
        <v>0.11669292257424588</v>
      </c>
      <c r="R1807" s="3">
        <f>NZD!B1807/1</f>
        <v>0.70430000000000004</v>
      </c>
      <c r="S1807" s="3">
        <f>NZD!C1807/1</f>
        <v>0.70350000000000001</v>
      </c>
      <c r="T1807" s="4">
        <f>1/PHP!B1807</f>
        <v>2.0072260136491368E-2</v>
      </c>
      <c r="U1807" s="4">
        <f>1/PHP!C1807</f>
        <v>2.0056157240272765E-2</v>
      </c>
      <c r="V1807" s="4">
        <f>1/TWD!B1807</f>
        <v>3.1306743472543988E-2</v>
      </c>
      <c r="W1807" s="4">
        <f>1/TWD!C1807</f>
        <v>3.1306939496208726E-2</v>
      </c>
      <c r="X1807" s="4">
        <f>1/TWD!B1807</f>
        <v>3.1306743472543988E-2</v>
      </c>
      <c r="Y1807" s="4">
        <f>1/TWD!C1807</f>
        <v>3.1306939496208726E-2</v>
      </c>
      <c r="Z1807" s="4">
        <f>1/ZAR!B1807</f>
        <v>7.0576610911144047E-2</v>
      </c>
      <c r="AA1807" s="4">
        <f>1/ZAR!C1807</f>
        <v>7.0163129275565686E-2</v>
      </c>
    </row>
    <row r="1808" spans="1:27" x14ac:dyDescent="0.25">
      <c r="A1808" t="str">
        <f>"28/11/2016"</f>
        <v>28/11/2016</v>
      </c>
      <c r="B1808" s="3">
        <f>AUD!B1808</f>
        <v>0.74509999999999998</v>
      </c>
      <c r="C1808" s="3">
        <f>AUD!C1808</f>
        <v>0.74450000000000005</v>
      </c>
      <c r="D1808" s="3">
        <f>1/CAD!B1808</f>
        <v>0.74085049636983247</v>
      </c>
      <c r="E1808" s="3">
        <f>1/CAD!C1808</f>
        <v>0.74101519081141165</v>
      </c>
      <c r="F1808" s="3">
        <f>EUR!B1808/1</f>
        <v>1.0590999999999999</v>
      </c>
      <c r="G1808" s="3">
        <f>EUR!C1808/1</f>
        <v>1.0604</v>
      </c>
      <c r="H1808" s="3">
        <f>GBP!B1808/1</f>
        <v>1.2392000000000001</v>
      </c>
      <c r="I1808" s="3">
        <f>GBP!C1808/1</f>
        <v>1.2399</v>
      </c>
      <c r="J1808" s="4">
        <f>1/INR!B1808</f>
        <v>1.4539110206455364E-2</v>
      </c>
      <c r="K1808" s="4">
        <f>1/INR!C1808</f>
        <v>1.4501160092807426E-2</v>
      </c>
      <c r="L1808" s="4">
        <f>1/JPY!B1808</f>
        <v>8.8904694167852051E-3</v>
      </c>
      <c r="M1808" s="4">
        <f>1/JPY!C1808</f>
        <v>8.9007724090296551E-3</v>
      </c>
      <c r="N1808" s="5">
        <f>1/KRW!B1808</f>
        <v>8.5433575395130288E-4</v>
      </c>
      <c r="O1808" s="5">
        <f>1/KRW!C1808</f>
        <v>8.5433064475479419E-4</v>
      </c>
      <c r="P1808" s="3">
        <f>1/NOK!B1808</f>
        <v>0.11644425813363143</v>
      </c>
      <c r="Q1808" s="3">
        <f>1/NOK!C1808</f>
        <v>0.11645375039303141</v>
      </c>
      <c r="R1808" s="3">
        <f>NZD!B1808/1</f>
        <v>0.7056</v>
      </c>
      <c r="S1808" s="3">
        <f>NZD!C1808/1</f>
        <v>0.70489999999999997</v>
      </c>
      <c r="T1808" s="4">
        <f>1/PHP!B1808</f>
        <v>2.0102522866619763E-2</v>
      </c>
      <c r="U1808" s="4">
        <f>1/PHP!C1808</f>
        <v>2.0086371397007131E-2</v>
      </c>
      <c r="V1808" s="4">
        <f>1/TWD!B1808</f>
        <v>3.1442585838259339E-2</v>
      </c>
      <c r="W1808" s="4">
        <f>1/TWD!C1808</f>
        <v>3.1442882431918298E-2</v>
      </c>
      <c r="X1808" s="4">
        <f>1/TWD!B1808</f>
        <v>3.1442585838259339E-2</v>
      </c>
      <c r="Y1808" s="4">
        <f>1/TWD!C1808</f>
        <v>3.1442882431918298E-2</v>
      </c>
      <c r="Z1808" s="4">
        <f>1/ZAR!B1808</f>
        <v>7.1893310327474036E-2</v>
      </c>
      <c r="AA1808" s="4">
        <f>1/ZAR!C1808</f>
        <v>7.1472475949511838E-2</v>
      </c>
    </row>
    <row r="1809" spans="1:27" x14ac:dyDescent="0.25">
      <c r="A1809" t="str">
        <f>"29/11/2016"</f>
        <v>29/11/2016</v>
      </c>
      <c r="B1809" s="3">
        <f>AUD!B1809</f>
        <v>0.74709999999999999</v>
      </c>
      <c r="C1809" s="3">
        <f>AUD!C1809</f>
        <v>0.74650000000000005</v>
      </c>
      <c r="D1809" s="3">
        <f>1/CAD!B1809</f>
        <v>0.74443534579021819</v>
      </c>
      <c r="E1809" s="3">
        <f>1/CAD!C1809</f>
        <v>0.74465708541216769</v>
      </c>
      <c r="F1809" s="3">
        <f>EUR!B1809/1</f>
        <v>1.0599000000000001</v>
      </c>
      <c r="G1809" s="3">
        <f>EUR!C1809/1</f>
        <v>1.0619000000000001</v>
      </c>
      <c r="H1809" s="3">
        <f>GBP!B1809/1</f>
        <v>1.2397</v>
      </c>
      <c r="I1809" s="3">
        <f>GBP!C1809/1</f>
        <v>1.2410000000000001</v>
      </c>
      <c r="J1809" s="4">
        <f>1/INR!B1809</f>
        <v>1.4556040756914119E-2</v>
      </c>
      <c r="K1809" s="4">
        <f>1/INR!C1809</f>
        <v>1.4509576320371444E-2</v>
      </c>
      <c r="L1809" s="4">
        <f>1/JPY!B1809</f>
        <v>8.9293686936333608E-3</v>
      </c>
      <c r="M1809" s="4">
        <f>1/JPY!C1809</f>
        <v>8.9486579697642746E-3</v>
      </c>
      <c r="N1809" s="5">
        <f>1/KRW!B1809</f>
        <v>8.5448175681449208E-4</v>
      </c>
      <c r="O1809" s="5">
        <f>1/KRW!C1809</f>
        <v>8.5447664587155335E-4</v>
      </c>
      <c r="P1809" s="3">
        <f>1/NOK!B1809</f>
        <v>0.11675423234092236</v>
      </c>
      <c r="Q1809" s="3">
        <f>1/NOK!C1809</f>
        <v>0.11676104851421565</v>
      </c>
      <c r="R1809" s="3">
        <f>NZD!B1809/1</f>
        <v>0.70730000000000004</v>
      </c>
      <c r="S1809" s="3">
        <f>NZD!C1809/1</f>
        <v>0.70650000000000002</v>
      </c>
      <c r="T1809" s="4">
        <f>1/PHP!B1809</f>
        <v>2.0088388911209322E-2</v>
      </c>
      <c r="U1809" s="4">
        <f>1/PHP!C1809</f>
        <v>2.0072260136491368E-2</v>
      </c>
      <c r="V1809" s="4">
        <f>1/TWD!B1809</f>
        <v>3.1407035175879394E-2</v>
      </c>
      <c r="W1809" s="4">
        <f>1/TWD!C1809</f>
        <v>3.140733109922518E-2</v>
      </c>
      <c r="X1809" s="4">
        <f>1/TWD!B1809</f>
        <v>3.1407035175879394E-2</v>
      </c>
      <c r="Y1809" s="4">
        <f>1/TWD!C1809</f>
        <v>3.140733109922518E-2</v>
      </c>
      <c r="Z1809" s="4">
        <f>1/ZAR!B1809</f>
        <v>7.2392948926774531E-2</v>
      </c>
      <c r="AA1809" s="4">
        <f>1/ZAR!C1809</f>
        <v>7.1924335598949909E-2</v>
      </c>
    </row>
    <row r="1810" spans="1:27" x14ac:dyDescent="0.25">
      <c r="A1810" t="str">
        <f>"30/11/2016"</f>
        <v>30/11/2016</v>
      </c>
      <c r="B1810" s="3">
        <f>AUD!B1810</f>
        <v>0.73929999999999996</v>
      </c>
      <c r="C1810" s="3">
        <f>AUD!C1810</f>
        <v>0.74470000000000003</v>
      </c>
      <c r="D1810" s="3">
        <f>1/CAD!B1810</f>
        <v>0.74777536827936897</v>
      </c>
      <c r="E1810" s="3">
        <f>1/CAD!C1810</f>
        <v>0.74805505685218432</v>
      </c>
      <c r="F1810" s="3">
        <f>EUR!B1810/1</f>
        <v>1.0599000000000001</v>
      </c>
      <c r="G1810" s="3">
        <f>EUR!C1810/1</f>
        <v>1.0674999999999999</v>
      </c>
      <c r="H1810" s="3">
        <f>GBP!B1810/1</f>
        <v>1.2441</v>
      </c>
      <c r="I1810" s="3">
        <f>GBP!C1810/1</f>
        <v>1.2455000000000001</v>
      </c>
      <c r="J1810" s="4">
        <f>1/INR!B1810</f>
        <v>1.4620951823963741E-2</v>
      </c>
      <c r="K1810" s="4">
        <f>1/INR!C1810</f>
        <v>1.4573541734980142E-2</v>
      </c>
      <c r="L1810" s="4">
        <f>1/JPY!B1810</f>
        <v>8.8284629645978639E-3</v>
      </c>
      <c r="M1810" s="4">
        <f>1/JPY!C1810</f>
        <v>8.8469191046563998E-3</v>
      </c>
      <c r="N1810" s="5">
        <f>1/KRW!B1810</f>
        <v>8.5550517580631352E-4</v>
      </c>
      <c r="O1810" s="5">
        <f>1/KRW!C1810</f>
        <v>8.555000526132533E-4</v>
      </c>
      <c r="P1810" s="3">
        <f>1/NOK!B1810</f>
        <v>0.11792174712860545</v>
      </c>
      <c r="Q1810" s="3">
        <f>1/NOK!C1810</f>
        <v>0.11794121809690052</v>
      </c>
      <c r="R1810" s="3">
        <f>NZD!B1810/1</f>
        <v>0.71419999999999995</v>
      </c>
      <c r="S1810" s="3">
        <f>NZD!C1810/1</f>
        <v>0.71340000000000003</v>
      </c>
      <c r="T1810" s="4">
        <f>1/PHP!B1810</f>
        <v>2.0106564793405047E-2</v>
      </c>
      <c r="U1810" s="4">
        <f>1/PHP!C1810</f>
        <v>2.0092425155716295E-2</v>
      </c>
      <c r="V1810" s="4">
        <f>1/TWD!B1810</f>
        <v>3.1357792411414238E-2</v>
      </c>
      <c r="W1810" s="4">
        <f>1/TWD!C1810</f>
        <v>3.1357989074876608E-2</v>
      </c>
      <c r="X1810" s="4">
        <f>1/TWD!B1810</f>
        <v>3.1357792411414238E-2</v>
      </c>
      <c r="Y1810" s="4">
        <f>1/TWD!C1810</f>
        <v>3.1357989074876608E-2</v>
      </c>
      <c r="Z1810" s="4">
        <f>1/ZAR!B1810</f>
        <v>7.1022727272727279E-2</v>
      </c>
      <c r="AA1810" s="4">
        <f>1/ZAR!C1810</f>
        <v>7.1162221399903219E-2</v>
      </c>
    </row>
    <row r="1811" spans="1:27" x14ac:dyDescent="0.25">
      <c r="A1811" t="str">
        <f>"01/12/2016"</f>
        <v>01/12/2016</v>
      </c>
      <c r="B1811" s="3">
        <f>AUD!B1811</f>
        <v>0.74060000000000004</v>
      </c>
      <c r="C1811" s="3">
        <f>AUD!C1811</f>
        <v>0.74</v>
      </c>
      <c r="D1811" s="3">
        <f>1/CAD!B1811</f>
        <v>0.74599030212607231</v>
      </c>
      <c r="E1811" s="3">
        <f>1/CAD!C1811</f>
        <v>0.74626865671641784</v>
      </c>
      <c r="F1811" s="3">
        <f>EUR!B1811/1</f>
        <v>1.06</v>
      </c>
      <c r="G1811" s="3">
        <f>EUR!C1811/1</f>
        <v>1.0619000000000001</v>
      </c>
      <c r="H1811" s="3">
        <f>GBP!B1811/1</f>
        <v>1.2524</v>
      </c>
      <c r="I1811" s="3">
        <f>GBP!C1811/1</f>
        <v>1.2537</v>
      </c>
      <c r="J1811" s="4">
        <f>1/INR!B1811</f>
        <v>1.4618814414151013E-2</v>
      </c>
      <c r="K1811" s="4">
        <f>1/INR!C1811</f>
        <v>1.4573541734980142E-2</v>
      </c>
      <c r="L1811" s="4">
        <f>1/JPY!B1811</f>
        <v>8.7565674255691769E-3</v>
      </c>
      <c r="M1811" s="4">
        <f>1/JPY!C1811</f>
        <v>8.7734613322851974E-3</v>
      </c>
      <c r="N1811" s="5">
        <f>1/KRW!B1811</f>
        <v>8.5280573085451145E-4</v>
      </c>
      <c r="O1811" s="5">
        <f>1/KRW!C1811</f>
        <v>8.5280063994160027E-4</v>
      </c>
      <c r="P1811" s="3">
        <f>1/NOK!B1811</f>
        <v>0.1174977675424167</v>
      </c>
      <c r="Q1811" s="3">
        <f>1/NOK!C1811</f>
        <v>0.11751847978094555</v>
      </c>
      <c r="R1811" s="3">
        <f>NZD!B1811/1</f>
        <v>0.70899999999999996</v>
      </c>
      <c r="S1811" s="3">
        <f>NZD!C1811/1</f>
        <v>0.70820000000000005</v>
      </c>
      <c r="T1811" s="4">
        <f>1/PHP!B1811</f>
        <v>2.0089196030374866E-2</v>
      </c>
      <c r="U1811" s="4">
        <f>1/PHP!C1811</f>
        <v>2.0075080802200228E-2</v>
      </c>
      <c r="V1811" s="4">
        <f>1/TWD!B1811</f>
        <v>3.130380341211457E-2</v>
      </c>
      <c r="W1811" s="4">
        <f>1/TWD!C1811</f>
        <v>3.1304097393307806E-2</v>
      </c>
      <c r="X1811" s="4">
        <f>1/TWD!B1811</f>
        <v>3.130380341211457E-2</v>
      </c>
      <c r="Y1811" s="4">
        <f>1/TWD!C1811</f>
        <v>3.1304097393307806E-2</v>
      </c>
      <c r="Z1811" s="4">
        <f>1/ZAR!B1811</f>
        <v>7.1168298792985654E-2</v>
      </c>
      <c r="AA1811" s="4">
        <f>1/ZAR!C1811</f>
        <v>7.0720857702562215E-2</v>
      </c>
    </row>
    <row r="1812" spans="1:27" x14ac:dyDescent="0.25">
      <c r="A1812" t="str">
        <f>"02/12/2016"</f>
        <v>02/12/2016</v>
      </c>
      <c r="B1812" s="3">
        <f>AUD!B1812</f>
        <v>0.74129999999999996</v>
      </c>
      <c r="C1812" s="3">
        <f>AUD!C1812</f>
        <v>0.74070000000000003</v>
      </c>
      <c r="D1812" s="3">
        <f>1/CAD!B1812</f>
        <v>0.75120192307692313</v>
      </c>
      <c r="E1812" s="3">
        <f>1/CAD!C1812</f>
        <v>0.75142771265404273</v>
      </c>
      <c r="F1812" s="3">
        <f>EUR!B1812/1</f>
        <v>1.0682</v>
      </c>
      <c r="G1812" s="3">
        <f>EUR!C1812/1</f>
        <v>1.0701000000000001</v>
      </c>
      <c r="H1812" s="3">
        <f>GBP!B1812/1</f>
        <v>1.2606999999999999</v>
      </c>
      <c r="I1812" s="3">
        <f>GBP!C1812/1</f>
        <v>1.2621</v>
      </c>
      <c r="J1812" s="4">
        <f>1/INR!B1812</f>
        <v>1.4627367805163462E-2</v>
      </c>
      <c r="K1812" s="4">
        <f>1/INR!C1812</f>
        <v>1.4581510644502771E-2</v>
      </c>
      <c r="L1812" s="4">
        <f>1/JPY!B1812</f>
        <v>8.7827156156683652E-3</v>
      </c>
      <c r="M1812" s="4">
        <f>1/JPY!C1812</f>
        <v>8.8002837211471705E-3</v>
      </c>
      <c r="N1812" s="5">
        <f>1/KRW!B1812</f>
        <v>8.5269665316563628E-4</v>
      </c>
      <c r="O1812" s="5">
        <f>1/KRW!C1812</f>
        <v>8.526915635549393E-4</v>
      </c>
      <c r="P1812" s="3">
        <f>1/NOK!B1812</f>
        <v>0.11894425082963615</v>
      </c>
      <c r="Q1812" s="3">
        <f>1/NOK!C1812</f>
        <v>0.11896689151409164</v>
      </c>
      <c r="R1812" s="3">
        <f>NZD!B1812/1</f>
        <v>0.70960000000000001</v>
      </c>
      <c r="S1812" s="3">
        <f>NZD!C1812/1</f>
        <v>0.70879999999999999</v>
      </c>
      <c r="T1812" s="4">
        <f>1/PHP!B1812</f>
        <v>2.0104543626859671E-2</v>
      </c>
      <c r="U1812" s="4">
        <f>1/PHP!C1812</f>
        <v>2.0089196030374866E-2</v>
      </c>
      <c r="V1812" s="4">
        <f>1/TWD!B1812</f>
        <v>3.1287153494775045E-2</v>
      </c>
      <c r="W1812" s="4">
        <f>1/TWD!C1812</f>
        <v>3.1287447163323601E-2</v>
      </c>
      <c r="X1812" s="4">
        <f>1/TWD!B1812</f>
        <v>3.1287153494775045E-2</v>
      </c>
      <c r="Y1812" s="4">
        <f>1/TWD!C1812</f>
        <v>3.1287447163323601E-2</v>
      </c>
      <c r="Z1812" s="4">
        <f>1/ZAR!B1812</f>
        <v>7.0975343165784216E-2</v>
      </c>
      <c r="AA1812" s="4">
        <f>1/ZAR!C1812</f>
        <v>7.052584066802077E-2</v>
      </c>
    </row>
    <row r="1813" spans="1:27" x14ac:dyDescent="0.25">
      <c r="A1813" t="str">
        <f>"05/12/2016"</f>
        <v>05/12/2016</v>
      </c>
      <c r="B1813" s="3">
        <f>AUD!B1813</f>
        <v>0.74209999999999998</v>
      </c>
      <c r="C1813" s="3">
        <f>AUD!C1813</f>
        <v>0.74150000000000005</v>
      </c>
      <c r="D1813" s="3">
        <f>1/CAD!B1813</f>
        <v>0.75114549688274623</v>
      </c>
      <c r="E1813" s="3">
        <f>1/CAD!C1813</f>
        <v>0.751371252535878</v>
      </c>
      <c r="F1813" s="3">
        <f>EUR!B1813/1</f>
        <v>1.07</v>
      </c>
      <c r="G1813" s="3">
        <f>EUR!C1813/1</f>
        <v>1.0721000000000001</v>
      </c>
      <c r="H1813" s="3">
        <f>GBP!B1813/1</f>
        <v>1.2714000000000001</v>
      </c>
      <c r="I1813" s="3">
        <f>GBP!C1813/1</f>
        <v>1.2728999999999999</v>
      </c>
      <c r="J1813" s="4">
        <f>1/INR!B1813</f>
        <v>1.4657383657017223E-2</v>
      </c>
      <c r="K1813" s="4">
        <f>1/INR!C1813</f>
        <v>1.4607603257495527E-2</v>
      </c>
      <c r="L1813" s="4">
        <f>1/JPY!B1813</f>
        <v>8.7512032904524372E-3</v>
      </c>
      <c r="M1813" s="4">
        <f>1/JPY!C1813</f>
        <v>8.769937356337465E-3</v>
      </c>
      <c r="N1813" s="5">
        <f>1/KRW!B1813</f>
        <v>8.5128117817315056E-4</v>
      </c>
      <c r="O1813" s="5">
        <f>1/KRW!C1813</f>
        <v>8.5127755479035168E-4</v>
      </c>
      <c r="P1813" s="3">
        <f>1/NOK!B1813</f>
        <v>0.11914974740253552</v>
      </c>
      <c r="Q1813" s="3">
        <f>1/NOK!C1813</f>
        <v>0.11917388661796427</v>
      </c>
      <c r="R1813" s="3">
        <f>NZD!B1813/1</f>
        <v>0.70850000000000002</v>
      </c>
      <c r="S1813" s="3">
        <f>NZD!C1813/1</f>
        <v>0.7077</v>
      </c>
      <c r="T1813" s="4">
        <f>1/PHP!B1813</f>
        <v>2.0124773596297042E-2</v>
      </c>
      <c r="U1813" s="4">
        <f>1/PHP!C1813</f>
        <v>2.0110608345902461E-2</v>
      </c>
      <c r="V1813" s="4">
        <f>1/TWD!B1813</f>
        <v>3.1254883575558681E-2</v>
      </c>
      <c r="W1813" s="4">
        <f>1/TWD!C1813</f>
        <v>3.1255372017065436E-2</v>
      </c>
      <c r="X1813" s="4">
        <f>1/TWD!B1813</f>
        <v>3.1254883575558681E-2</v>
      </c>
      <c r="Y1813" s="4">
        <f>1/TWD!C1813</f>
        <v>3.1255372017065436E-2</v>
      </c>
      <c r="Z1813" s="4">
        <f>1/ZAR!B1813</f>
        <v>7.2163088580191229E-2</v>
      </c>
      <c r="AA1813" s="4">
        <f>1/ZAR!C1813</f>
        <v>7.1683560092328416E-2</v>
      </c>
    </row>
    <row r="1814" spans="1:27" x14ac:dyDescent="0.25">
      <c r="A1814" t="str">
        <f>"06/12/2016"</f>
        <v>06/12/2016</v>
      </c>
      <c r="B1814" s="3">
        <f>AUD!B1814</f>
        <v>0.74429999999999996</v>
      </c>
      <c r="C1814" s="3">
        <f>AUD!C1814</f>
        <v>0.74370000000000003</v>
      </c>
      <c r="D1814" s="3">
        <f>1/CAD!B1814</f>
        <v>0.7538635506973238</v>
      </c>
      <c r="E1814" s="3">
        <f>1/CAD!C1814</f>
        <v>0.75414781297134237</v>
      </c>
      <c r="F1814" s="3">
        <f>EUR!B1814/1</f>
        <v>1.0766</v>
      </c>
      <c r="G1814" s="3">
        <f>EUR!C1814/1</f>
        <v>1.0787</v>
      </c>
      <c r="H1814" s="3">
        <f>GBP!B1814/1</f>
        <v>1.2757000000000001</v>
      </c>
      <c r="I1814" s="3">
        <f>GBP!C1814/1</f>
        <v>1.2770999999999999</v>
      </c>
      <c r="J1814" s="4">
        <f>1/INR!B1814</f>
        <v>1.4726456078344746E-2</v>
      </c>
      <c r="K1814" s="4">
        <f>1/INR!C1814</f>
        <v>1.4677283234873226E-2</v>
      </c>
      <c r="L1814" s="4">
        <f>1/JPY!B1814</f>
        <v>8.7657784011220194E-3</v>
      </c>
      <c r="M1814" s="4">
        <f>1/JPY!C1814</f>
        <v>8.7835950551873269E-3</v>
      </c>
      <c r="N1814" s="5">
        <f>1/KRW!B1814</f>
        <v>8.5360648740930435E-4</v>
      </c>
      <c r="O1814" s="5">
        <f>1/KRW!C1814</f>
        <v>8.5360284420467683E-4</v>
      </c>
      <c r="P1814" s="3">
        <f>1/NOK!B1814</f>
        <v>0.11961865572554696</v>
      </c>
      <c r="Q1814" s="3">
        <f>1/NOK!C1814</f>
        <v>0.11964155390450211</v>
      </c>
      <c r="R1814" s="3">
        <f>NZD!B1814/1</f>
        <v>0.7127</v>
      </c>
      <c r="S1814" s="3">
        <f>NZD!C1814/1</f>
        <v>0.71189999999999998</v>
      </c>
      <c r="T1814" s="4">
        <f>1/PHP!B1814</f>
        <v>2.0157226365652085E-2</v>
      </c>
      <c r="U1814" s="4">
        <f>1/PHP!C1814</f>
        <v>2.0142609676509687E-2</v>
      </c>
      <c r="V1814" s="4">
        <f>1/TWD!B1814</f>
        <v>3.1300863903843748E-2</v>
      </c>
      <c r="W1814" s="4">
        <f>1/TWD!C1814</f>
        <v>3.1301157829828126E-2</v>
      </c>
      <c r="X1814" s="4">
        <f>1/TWD!B1814</f>
        <v>3.1300863903843748E-2</v>
      </c>
      <c r="Y1814" s="4">
        <f>1/TWD!C1814</f>
        <v>3.1301157829828126E-2</v>
      </c>
      <c r="Z1814" s="4">
        <f>1/ZAR!B1814</f>
        <v>7.3507791825933547E-2</v>
      </c>
      <c r="AA1814" s="4">
        <f>1/ZAR!C1814</f>
        <v>7.3035882529086535E-2</v>
      </c>
    </row>
    <row r="1815" spans="1:27" x14ac:dyDescent="0.25">
      <c r="A1815" t="str">
        <f>"07/12/2016"</f>
        <v>07/12/2016</v>
      </c>
      <c r="B1815" s="3">
        <f>AUD!B1815</f>
        <v>0.74460000000000004</v>
      </c>
      <c r="C1815" s="3">
        <f>AUD!C1815</f>
        <v>0.74399999999999999</v>
      </c>
      <c r="D1815" s="3">
        <f>1/CAD!B1815</f>
        <v>0.75284197846871936</v>
      </c>
      <c r="E1815" s="3">
        <f>1/CAD!C1815</f>
        <v>0.75312547070341918</v>
      </c>
      <c r="F1815" s="3">
        <f>EUR!B1815/1</f>
        <v>1.0719000000000001</v>
      </c>
      <c r="G1815" s="3">
        <f>EUR!C1815/1</f>
        <v>1.0739000000000001</v>
      </c>
      <c r="H1815" s="3">
        <f>GBP!B1815/1</f>
        <v>1.2601</v>
      </c>
      <c r="I1815" s="3">
        <f>GBP!C1815/1</f>
        <v>1.2614000000000001</v>
      </c>
      <c r="J1815" s="4">
        <f>1/INR!B1815</f>
        <v>1.478415138971023E-2</v>
      </c>
      <c r="K1815" s="4">
        <f>1/INR!C1815</f>
        <v>1.4730794726375486E-2</v>
      </c>
      <c r="L1815" s="4">
        <f>1/JPY!B1815</f>
        <v>8.7619381407167268E-3</v>
      </c>
      <c r="M1815" s="4">
        <f>1/JPY!C1815</f>
        <v>8.7795079261397558E-3</v>
      </c>
      <c r="N1815" s="5">
        <f>1/KRW!B1815</f>
        <v>8.5642101657174658E-4</v>
      </c>
      <c r="O1815" s="5">
        <f>1/KRW!C1815</f>
        <v>8.5641734930266215E-4</v>
      </c>
      <c r="P1815" s="3">
        <f>1/NOK!B1815</f>
        <v>0.11913129459977842</v>
      </c>
      <c r="Q1815" s="3">
        <f>1/NOK!C1815</f>
        <v>0.11915542633811543</v>
      </c>
      <c r="R1815" s="3">
        <f>NZD!B1815/1</f>
        <v>0.71309999999999996</v>
      </c>
      <c r="S1815" s="3">
        <f>NZD!C1815/1</f>
        <v>0.71240000000000003</v>
      </c>
      <c r="T1815" s="4">
        <f>1/PHP!B1815</f>
        <v>2.0094443886265446E-2</v>
      </c>
      <c r="U1815" s="4">
        <f>1/PHP!C1815</f>
        <v>2.0079111700098389E-2</v>
      </c>
      <c r="V1815" s="4">
        <f>1/TWD!B1815</f>
        <v>3.1345997116168263E-2</v>
      </c>
      <c r="W1815" s="4">
        <f>1/TWD!C1815</f>
        <v>3.1346291890400821E-2</v>
      </c>
      <c r="X1815" s="4">
        <f>1/TWD!B1815</f>
        <v>3.1345997116168263E-2</v>
      </c>
      <c r="Y1815" s="4">
        <f>1/TWD!C1815</f>
        <v>3.1346291890400821E-2</v>
      </c>
      <c r="Z1815" s="4">
        <f>1/ZAR!B1815</f>
        <v>7.3903275393165421E-2</v>
      </c>
      <c r="AA1815" s="4">
        <f>1/ZAR!C1815</f>
        <v>7.3445705262384781E-2</v>
      </c>
    </row>
    <row r="1816" spans="1:27" x14ac:dyDescent="0.25">
      <c r="A1816" t="str">
        <f>"08/12/2016"</f>
        <v>08/12/2016</v>
      </c>
      <c r="B1816" s="3">
        <f>AUD!B1816</f>
        <v>0.74890000000000001</v>
      </c>
      <c r="C1816" s="3">
        <f>AUD!C1816</f>
        <v>0.74829999999999997</v>
      </c>
      <c r="D1816" s="3">
        <f>1/CAD!B1816</f>
        <v>0.75705958058899236</v>
      </c>
      <c r="E1816" s="3">
        <f>1/CAD!C1816</f>
        <v>0.75734625870948191</v>
      </c>
      <c r="F1816" s="3">
        <f>EUR!B1816/1</f>
        <v>1.0784</v>
      </c>
      <c r="G1816" s="3">
        <f>EUR!C1816/1</f>
        <v>1.0803</v>
      </c>
      <c r="H1816" s="3">
        <f>GBP!B1816/1</f>
        <v>1.2678</v>
      </c>
      <c r="I1816" s="3">
        <f>GBP!C1816/1</f>
        <v>1.2690999999999999</v>
      </c>
      <c r="J1816" s="4">
        <f>1/INR!B1816</f>
        <v>1.484560570071259E-2</v>
      </c>
      <c r="K1816" s="4">
        <f>1/INR!C1816</f>
        <v>1.4785790854988358E-2</v>
      </c>
      <c r="L1816" s="4">
        <f>1/JPY!B1816</f>
        <v>8.8237889349686762E-3</v>
      </c>
      <c r="M1816" s="4">
        <f>1/JPY!C1816</f>
        <v>8.8401541015662981E-3</v>
      </c>
      <c r="N1816" s="5">
        <f>1/KRW!B1816</f>
        <v>8.6281276962899055E-4</v>
      </c>
      <c r="O1816" s="5">
        <f>1/KRW!C1816</f>
        <v>8.6280904741567108E-4</v>
      </c>
      <c r="P1816" s="3">
        <f>1/NOK!B1816</f>
        <v>0.11937875296954649</v>
      </c>
      <c r="Q1816" s="3">
        <f>1/NOK!C1816</f>
        <v>0.1193987081059783</v>
      </c>
      <c r="R1816" s="3">
        <f>NZD!B1816/1</f>
        <v>0.72030000000000005</v>
      </c>
      <c r="S1816" s="3">
        <f>NZD!C1816/1</f>
        <v>0.71960000000000002</v>
      </c>
      <c r="T1816" s="4">
        <f>1/PHP!B1816</f>
        <v>2.0100502512562814E-2</v>
      </c>
      <c r="U1816" s="4">
        <f>1/PHP!C1816</f>
        <v>2.0084354288009639E-2</v>
      </c>
      <c r="V1816" s="4">
        <f>1/TWD!B1816</f>
        <v>3.1492095484033505E-2</v>
      </c>
      <c r="W1816" s="4">
        <f>1/TWD!C1816</f>
        <v>3.149239301246784E-2</v>
      </c>
      <c r="X1816" s="4">
        <f>1/TWD!B1816</f>
        <v>3.1492095484033505E-2</v>
      </c>
      <c r="Y1816" s="4">
        <f>1/TWD!C1816</f>
        <v>3.149239301246784E-2</v>
      </c>
      <c r="Z1816" s="4">
        <f>1/ZAR!B1816</f>
        <v>7.3601389594235539E-2</v>
      </c>
      <c r="AA1816" s="4">
        <f>1/ZAR!C1816</f>
        <v>7.3146468488501371E-2</v>
      </c>
    </row>
    <row r="1817" spans="1:27" x14ac:dyDescent="0.25">
      <c r="A1817" t="str">
        <f>"09/12/2016"</f>
        <v>09/12/2016</v>
      </c>
      <c r="B1817" s="3">
        <f>AUD!B1817</f>
        <v>0.74950000000000006</v>
      </c>
      <c r="C1817" s="3">
        <f>AUD!C1817</f>
        <v>0.74890000000000001</v>
      </c>
      <c r="D1817" s="3">
        <f>1/CAD!B1817</f>
        <v>0.75964752354907317</v>
      </c>
      <c r="E1817" s="3">
        <f>1/CAD!C1817</f>
        <v>0.75993616536210951</v>
      </c>
      <c r="F1817" s="3">
        <f>EUR!B1817/1</f>
        <v>1.0596000000000001</v>
      </c>
      <c r="G1817" s="3">
        <f>EUR!C1817/1</f>
        <v>1.0616000000000001</v>
      </c>
      <c r="H1817" s="3">
        <f>GBP!B1817/1</f>
        <v>1.2608999999999999</v>
      </c>
      <c r="I1817" s="3">
        <f>GBP!C1817/1</f>
        <v>1.2622</v>
      </c>
      <c r="J1817" s="4">
        <f>1/INR!B1817</f>
        <v>1.4831843969001446E-2</v>
      </c>
      <c r="K1817" s="4">
        <f>1/INR!C1817</f>
        <v>1.4772139744441984E-2</v>
      </c>
      <c r="L1817" s="4">
        <f>1/JPY!B1817</f>
        <v>8.7244808933868434E-3</v>
      </c>
      <c r="M1817" s="4">
        <f>1/JPY!C1817</f>
        <v>8.7410753620553415E-3</v>
      </c>
      <c r="N1817" s="5">
        <f>1/KRW!B1817</f>
        <v>8.5759615796921233E-4</v>
      </c>
      <c r="O1817" s="5">
        <f>1/KRW!C1817</f>
        <v>8.5759248062912982E-4</v>
      </c>
      <c r="P1817" s="3">
        <f>1/NOK!B1817</f>
        <v>0.11818235537434263</v>
      </c>
      <c r="Q1817" s="3">
        <f>1/NOK!C1817</f>
        <v>0.118206104163219</v>
      </c>
      <c r="R1817" s="3">
        <f>NZD!B1817/1</f>
        <v>0.71830000000000005</v>
      </c>
      <c r="S1817" s="3">
        <f>NZD!C1817/1</f>
        <v>0.71760000000000002</v>
      </c>
      <c r="T1817" s="4">
        <f>1/PHP!B1817</f>
        <v>2.0096463022508039E-2</v>
      </c>
      <c r="U1817" s="4">
        <f>1/PHP!C1817</f>
        <v>2.0081127756134784E-2</v>
      </c>
      <c r="V1817" s="4">
        <f>1/TWD!B1817</f>
        <v>3.1385349318937925E-2</v>
      </c>
      <c r="W1817" s="4">
        <f>1/TWD!C1817</f>
        <v>3.1385743339945267E-2</v>
      </c>
      <c r="X1817" s="4">
        <f>1/TWD!B1817</f>
        <v>3.1385349318937925E-2</v>
      </c>
      <c r="Y1817" s="4">
        <f>1/TWD!C1817</f>
        <v>3.1385743339945267E-2</v>
      </c>
      <c r="Z1817" s="4">
        <f>1/ZAR!B1817</f>
        <v>7.2972460193522964E-2</v>
      </c>
      <c r="AA1817" s="4">
        <f>1/ZAR!C1817</f>
        <v>7.2523153016600547E-2</v>
      </c>
    </row>
    <row r="1818" spans="1:27" x14ac:dyDescent="0.25">
      <c r="A1818" t="str">
        <f>"13/12/2016"</f>
        <v>13/12/2016</v>
      </c>
      <c r="B1818" s="3">
        <f>AUD!B1818</f>
        <v>0.74819999999999998</v>
      </c>
      <c r="C1818" s="3">
        <f>AUD!C1818</f>
        <v>0.74760000000000004</v>
      </c>
      <c r="D1818" s="3">
        <f>1/CAD!B1818</f>
        <v>0.76184671644065216</v>
      </c>
      <c r="E1818" s="3">
        <f>1/CAD!C1818</f>
        <v>0.76225322051985667</v>
      </c>
      <c r="F1818" s="3">
        <f>EUR!B1818/1</f>
        <v>1.0604</v>
      </c>
      <c r="G1818" s="3">
        <f>EUR!C1818/1</f>
        <v>1.0626</v>
      </c>
      <c r="H1818" s="3">
        <f>GBP!B1818/1</f>
        <v>1.2699</v>
      </c>
      <c r="I1818" s="3">
        <f>GBP!C1818/1</f>
        <v>1.2714000000000001</v>
      </c>
      <c r="J1818" s="4">
        <f>1/INR!B1818</f>
        <v>1.4804944851580428E-2</v>
      </c>
      <c r="K1818" s="4">
        <f>1/INR!C1818</f>
        <v>1.4752526370140887E-2</v>
      </c>
      <c r="L1818" s="4">
        <f>1/JPY!B1818</f>
        <v>8.6655112651646445E-3</v>
      </c>
      <c r="M1818" s="4">
        <f>1/JPY!C1818</f>
        <v>8.6833897174772318E-3</v>
      </c>
      <c r="N1818" s="5">
        <f>1/KRW!B1818</f>
        <v>8.5711836804662717E-4</v>
      </c>
      <c r="O1818" s="5">
        <f>1/KRW!C1818</f>
        <v>8.5711469480288511E-4</v>
      </c>
      <c r="P1818" s="3">
        <f>1/NOK!B1818</f>
        <v>0.11828020580755812</v>
      </c>
      <c r="Q1818" s="3">
        <f>1/NOK!C1818</f>
        <v>0.11830819284235433</v>
      </c>
      <c r="R1818" s="3">
        <f>NZD!B1818/1</f>
        <v>0.71899999999999997</v>
      </c>
      <c r="S1818" s="3">
        <f>NZD!C1818/1</f>
        <v>0.71819999999999995</v>
      </c>
      <c r="T1818" s="4">
        <f>1/PHP!B1818</f>
        <v>2.0085161082991888E-2</v>
      </c>
      <c r="U1818" s="4">
        <f>1/PHP!C1818</f>
        <v>2.00692388741157E-2</v>
      </c>
      <c r="V1818" s="4">
        <f>1/TWD!B1818</f>
        <v>3.138239447669857E-2</v>
      </c>
      <c r="W1818" s="4">
        <f>1/TWD!C1818</f>
        <v>3.1382886911767015E-2</v>
      </c>
      <c r="X1818" s="4">
        <f>1/TWD!B1818</f>
        <v>3.138239447669857E-2</v>
      </c>
      <c r="Y1818" s="4">
        <f>1/TWD!C1818</f>
        <v>3.1382886911767015E-2</v>
      </c>
      <c r="Z1818" s="4">
        <f>1/ZAR!B1818</f>
        <v>7.2762728020198938E-2</v>
      </c>
      <c r="AA1818" s="4">
        <f>1/ZAR!C1818</f>
        <v>7.2293511657328752E-2</v>
      </c>
    </row>
    <row r="1819" spans="1:27" x14ac:dyDescent="0.25">
      <c r="A1819" t="str">
        <f>"14/12/2016"</f>
        <v>14/12/2016</v>
      </c>
      <c r="B1819" s="3">
        <f>AUD!B1819</f>
        <v>0.74919999999999998</v>
      </c>
      <c r="C1819" s="3">
        <f>AUD!C1819</f>
        <v>0.74860000000000004</v>
      </c>
      <c r="D1819" s="3">
        <f>1/CAD!B1819</f>
        <v>0.76126674786845305</v>
      </c>
      <c r="E1819" s="3">
        <f>1/CAD!C1819</f>
        <v>0.76167263310229261</v>
      </c>
      <c r="F1819" s="3">
        <f>EUR!B1819/1</f>
        <v>1.0636000000000001</v>
      </c>
      <c r="G1819" s="3">
        <f>EUR!C1819/1</f>
        <v>1.0657000000000001</v>
      </c>
      <c r="H1819" s="3">
        <f>GBP!B1819/1</f>
        <v>1.2655000000000001</v>
      </c>
      <c r="I1819" s="3">
        <f>GBP!C1819/1</f>
        <v>1.2669999999999999</v>
      </c>
      <c r="J1819" s="4">
        <f>1/INR!B1819</f>
        <v>1.4807137040053306E-2</v>
      </c>
      <c r="K1819" s="4">
        <f>1/INR!C1819</f>
        <v>1.4755247334833452E-2</v>
      </c>
      <c r="L1819" s="4">
        <f>1/JPY!B1819</f>
        <v>8.6775425199583488E-3</v>
      </c>
      <c r="M1819" s="4">
        <f>1/JPY!C1819</f>
        <v>8.694828055427789E-3</v>
      </c>
      <c r="N1819" s="5">
        <f>1/KRW!B1819</f>
        <v>8.5440874914559123E-4</v>
      </c>
      <c r="O1819" s="5">
        <f>1/KRW!C1819</f>
        <v>8.5440582909832843E-4</v>
      </c>
      <c r="P1819" s="3">
        <f>1/NOK!B1819</f>
        <v>0.11868590960881126</v>
      </c>
      <c r="Q1819" s="3">
        <f>1/NOK!C1819</f>
        <v>0.11871127044801634</v>
      </c>
      <c r="R1819" s="3">
        <f>NZD!B1819/1</f>
        <v>0.72119999999999995</v>
      </c>
      <c r="S1819" s="3">
        <f>NZD!C1819/1</f>
        <v>0.72040000000000004</v>
      </c>
      <c r="T1819" s="4">
        <f>1/PHP!B1819</f>
        <v>2.002002002002002E-2</v>
      </c>
      <c r="U1819" s="4">
        <f>1/PHP!C1819</f>
        <v>2.0004200882185259E-2</v>
      </c>
      <c r="V1819" s="4">
        <f>1/TWD!B1819</f>
        <v>3.143962020938787E-2</v>
      </c>
      <c r="W1819" s="4">
        <f>1/TWD!C1819</f>
        <v>3.1440114442016567E-2</v>
      </c>
      <c r="X1819" s="4">
        <f>1/TWD!B1819</f>
        <v>3.143962020938787E-2</v>
      </c>
      <c r="Y1819" s="4">
        <f>1/TWD!C1819</f>
        <v>3.1440114442016567E-2</v>
      </c>
      <c r="Z1819" s="4">
        <f>1/ZAR!B1819</f>
        <v>7.3441390098631779E-2</v>
      </c>
      <c r="AA1819" s="4">
        <f>1/ZAR!C1819</f>
        <v>7.2995364794335563E-2</v>
      </c>
    </row>
    <row r="1820" spans="1:27" x14ac:dyDescent="0.25">
      <c r="A1820" t="str">
        <f>"15/12/2016"</f>
        <v>15/12/2016</v>
      </c>
      <c r="B1820" s="3">
        <f>AUD!B1820</f>
        <v>0.74239999999999995</v>
      </c>
      <c r="C1820" s="3">
        <f>AUD!C1820</f>
        <v>0.74180000000000001</v>
      </c>
      <c r="D1820" s="3">
        <f>1/CAD!B1820</f>
        <v>0.75267198554869785</v>
      </c>
      <c r="E1820" s="3">
        <f>1/CAD!C1820</f>
        <v>0.75301204819277101</v>
      </c>
      <c r="F1820" s="3">
        <f>EUR!B1820/1</f>
        <v>1.0513999999999999</v>
      </c>
      <c r="G1820" s="3">
        <f>EUR!C1820/1</f>
        <v>1.0533999999999999</v>
      </c>
      <c r="H1820" s="3">
        <f>GBP!B1820/1</f>
        <v>1.2544999999999999</v>
      </c>
      <c r="I1820" s="3">
        <f>GBP!C1820/1</f>
        <v>1.2559</v>
      </c>
      <c r="J1820" s="4">
        <f>1/INR!B1820</f>
        <v>1.4760147601476014E-2</v>
      </c>
      <c r="K1820" s="4">
        <f>1/INR!C1820</f>
        <v>1.4708586137157566E-2</v>
      </c>
      <c r="L1820" s="4">
        <f>1/JPY!B1820</f>
        <v>8.5113626691633339E-3</v>
      </c>
      <c r="M1820" s="4">
        <f>1/JPY!C1820</f>
        <v>8.5280282175397657E-3</v>
      </c>
      <c r="N1820" s="5">
        <f>1/KRW!B1820</f>
        <v>8.4810448647273354E-4</v>
      </c>
      <c r="O1820" s="5">
        <f>1/KRW!C1820</f>
        <v>8.4810398297617844E-4</v>
      </c>
      <c r="P1820" s="3">
        <f>1/NOK!B1820</f>
        <v>0.11633859183768441</v>
      </c>
      <c r="Q1820" s="3">
        <f>1/NOK!C1820</f>
        <v>0.11636431339236883</v>
      </c>
      <c r="R1820" s="3">
        <f>NZD!B1820/1</f>
        <v>0.71030000000000004</v>
      </c>
      <c r="S1820" s="3">
        <f>NZD!C1820/1</f>
        <v>0.70960000000000001</v>
      </c>
      <c r="T1820" s="4">
        <f>1/PHP!B1820</f>
        <v>2.0036064916850331E-2</v>
      </c>
      <c r="U1820" s="4">
        <f>1/PHP!C1820</f>
        <v>2.002002002002002E-2</v>
      </c>
      <c r="V1820" s="4">
        <f>1/TWD!B1820</f>
        <v>3.1299884190428492E-2</v>
      </c>
      <c r="W1820" s="4">
        <f>1/TWD!C1820</f>
        <v>3.1300472011117929E-2</v>
      </c>
      <c r="X1820" s="4">
        <f>1/TWD!B1820</f>
        <v>3.1299884190428492E-2</v>
      </c>
      <c r="Y1820" s="4">
        <f>1/TWD!C1820</f>
        <v>3.1300472011117929E-2</v>
      </c>
      <c r="Z1820" s="4">
        <f>1/ZAR!B1820</f>
        <v>7.1367399371966886E-2</v>
      </c>
      <c r="AA1820" s="4">
        <f>1/ZAR!C1820</f>
        <v>7.0937078811094567E-2</v>
      </c>
    </row>
    <row r="1821" spans="1:27" x14ac:dyDescent="0.25">
      <c r="A1821" t="str">
        <f>"16/12/2016"</f>
        <v>16/12/2016</v>
      </c>
      <c r="B1821" s="3">
        <f>AUD!B1821</f>
        <v>0.73509999999999998</v>
      </c>
      <c r="C1821" s="3">
        <f>AUD!C1821</f>
        <v>0.73450000000000004</v>
      </c>
      <c r="D1821" s="3">
        <f>1/CAD!B1821</f>
        <v>0.74855902387903284</v>
      </c>
      <c r="E1821" s="3">
        <f>1/CAD!C1821</f>
        <v>0.74895146794487721</v>
      </c>
      <c r="F1821" s="3">
        <f>EUR!B1821/1</f>
        <v>1.0448</v>
      </c>
      <c r="G1821" s="3">
        <f>EUR!C1821/1</f>
        <v>1.0468999999999999</v>
      </c>
      <c r="H1821" s="3">
        <f>GBP!B1821/1</f>
        <v>1.2447999999999999</v>
      </c>
      <c r="I1821" s="3">
        <f>GBP!C1821/1</f>
        <v>1.2463</v>
      </c>
      <c r="J1821" s="4">
        <f>1/INR!B1821</f>
        <v>1.4754703061600883E-2</v>
      </c>
      <c r="K1821" s="4">
        <f>1/INR!C1821</f>
        <v>1.4701558365186711E-2</v>
      </c>
      <c r="L1821" s="4">
        <f>1/JPY!B1821</f>
        <v>8.4623847000084625E-3</v>
      </c>
      <c r="M1821" s="4">
        <f>1/JPY!C1821</f>
        <v>8.4778093340680764E-3</v>
      </c>
      <c r="N1821" s="5">
        <f>1/KRW!B1821</f>
        <v>8.4466593462285662E-4</v>
      </c>
      <c r="O1821" s="5">
        <f>1/KRW!C1821</f>
        <v>8.4466543520077318E-4</v>
      </c>
      <c r="P1821" s="3">
        <f>1/NOK!B1821</f>
        <v>0.11490422732652335</v>
      </c>
      <c r="Q1821" s="3">
        <f>1/NOK!C1821</f>
        <v>0.11492799760949765</v>
      </c>
      <c r="R1821" s="3">
        <f>NZD!B1821/1</f>
        <v>0.70269999999999999</v>
      </c>
      <c r="S1821" s="3">
        <f>NZD!C1821/1</f>
        <v>0.70199999999999996</v>
      </c>
      <c r="T1821" s="4">
        <f>1/PHP!B1821</f>
        <v>2.0024028834601523E-2</v>
      </c>
      <c r="U1821" s="4">
        <f>1/PHP!C1821</f>
        <v>2.0008003201280513E-2</v>
      </c>
      <c r="V1821" s="4">
        <f>1/TWD!B1821</f>
        <v>3.1280302793331036E-2</v>
      </c>
      <c r="W1821" s="4">
        <f>1/TWD!C1821</f>
        <v>3.1280792029654191E-2</v>
      </c>
      <c r="X1821" s="4">
        <f>1/TWD!B1821</f>
        <v>3.1280302793331036E-2</v>
      </c>
      <c r="Y1821" s="4">
        <f>1/TWD!C1821</f>
        <v>3.1280792029654191E-2</v>
      </c>
      <c r="Z1821" s="4">
        <f>1/ZAR!B1821</f>
        <v>7.172314864622556E-2</v>
      </c>
      <c r="AA1821" s="4">
        <f>1/ZAR!C1821</f>
        <v>7.1290573247499475E-2</v>
      </c>
    </row>
    <row r="1822" spans="1:27" x14ac:dyDescent="0.25">
      <c r="A1822" t="str">
        <f>"19/12/2016"</f>
        <v>19/12/2016</v>
      </c>
      <c r="B1822" s="3">
        <f>AUD!B1822</f>
        <v>0.72640000000000005</v>
      </c>
      <c r="C1822" s="3">
        <f>AUD!C1822</f>
        <v>0.7258</v>
      </c>
      <c r="D1822" s="3">
        <f>1/CAD!B1822</f>
        <v>0.74805505685218432</v>
      </c>
      <c r="E1822" s="3">
        <f>1/CAD!C1822</f>
        <v>0.7484469725319961</v>
      </c>
      <c r="F1822" s="3">
        <f>EUR!B1822/1</f>
        <v>1.0430999999999999</v>
      </c>
      <c r="G1822" s="3">
        <f>EUR!C1822/1</f>
        <v>1.0452999999999999</v>
      </c>
      <c r="H1822" s="3">
        <f>GBP!B1822/1</f>
        <v>1.2413000000000001</v>
      </c>
      <c r="I1822" s="3">
        <f>GBP!C1822/1</f>
        <v>1.2427999999999999</v>
      </c>
      <c r="J1822" s="4">
        <f>1/INR!B1822</f>
        <v>1.4732965009208104E-2</v>
      </c>
      <c r="K1822" s="4">
        <f>1/INR!C1822</f>
        <v>1.4671899644206433E-2</v>
      </c>
      <c r="L1822" s="4">
        <f>1/JPY!B1822</f>
        <v>8.5251491901108273E-3</v>
      </c>
      <c r="M1822" s="4">
        <f>1/JPY!C1822</f>
        <v>8.5405265063780642E-3</v>
      </c>
      <c r="N1822" s="5">
        <f>1/KRW!B1822</f>
        <v>8.4206980758704897E-4</v>
      </c>
      <c r="O1822" s="5">
        <f>1/KRW!C1822</f>
        <v>8.4206924032218249E-4</v>
      </c>
      <c r="P1822" s="3">
        <f>1/NOK!B1822</f>
        <v>0.11531897227731906</v>
      </c>
      <c r="Q1822" s="3">
        <f>1/NOK!C1822</f>
        <v>0.1153469058192514</v>
      </c>
      <c r="R1822" s="3">
        <f>NZD!B1822/1</f>
        <v>0.69389999999999996</v>
      </c>
      <c r="S1822" s="3">
        <f>NZD!C1822/1</f>
        <v>0.69310000000000005</v>
      </c>
      <c r="T1822" s="4">
        <f>1/PHP!B1822</f>
        <v>2.0006001800540161E-2</v>
      </c>
      <c r="U1822" s="4">
        <f>1/PHP!C1822</f>
        <v>1.9991004048178319E-2</v>
      </c>
      <c r="V1822" s="4">
        <f>1/TWD!B1822</f>
        <v>3.1277367696734643E-2</v>
      </c>
      <c r="W1822" s="4">
        <f>1/TWD!C1822</f>
        <v>3.1277759011122369E-2</v>
      </c>
      <c r="X1822" s="4">
        <f>1/TWD!B1822</f>
        <v>3.1277367696734643E-2</v>
      </c>
      <c r="Y1822" s="4">
        <f>1/TWD!C1822</f>
        <v>3.1277759011122369E-2</v>
      </c>
      <c r="Z1822" s="4">
        <f>1/ZAR!B1822</f>
        <v>7.0705356637818878E-2</v>
      </c>
      <c r="AA1822" s="4">
        <f>1/ZAR!C1822</f>
        <v>7.025283997105583E-2</v>
      </c>
    </row>
    <row r="1823" spans="1:27" x14ac:dyDescent="0.25">
      <c r="A1823" t="str">
        <f>"20/12/2016"</f>
        <v>20/12/2016</v>
      </c>
      <c r="B1823" s="3">
        <f>AUD!B1823</f>
        <v>0.72340000000000004</v>
      </c>
      <c r="C1823" s="3">
        <f>AUD!C1823</f>
        <v>0.7228</v>
      </c>
      <c r="D1823" s="3">
        <f>1/CAD!B1823</f>
        <v>0.74565655059279701</v>
      </c>
      <c r="E1823" s="3">
        <f>1/CAD!C1823</f>
        <v>0.74604595643091609</v>
      </c>
      <c r="F1823" s="3">
        <f>EUR!B1823/1</f>
        <v>1.0379</v>
      </c>
      <c r="G1823" s="3">
        <f>EUR!C1823/1</f>
        <v>1.0401</v>
      </c>
      <c r="H1823" s="3">
        <f>GBP!B1823/1</f>
        <v>1.2347999999999999</v>
      </c>
      <c r="I1823" s="3">
        <f>GBP!C1823/1</f>
        <v>1.2363999999999999</v>
      </c>
      <c r="J1823" s="4">
        <f>1/INR!B1823</f>
        <v>1.4695617032220141E-2</v>
      </c>
      <c r="K1823" s="4">
        <f>1/INR!C1823</f>
        <v>1.463860933211345E-2</v>
      </c>
      <c r="L1823" s="4">
        <f>1/JPY!B1823</f>
        <v>8.4839229659794679E-3</v>
      </c>
      <c r="M1823" s="4">
        <f>1/JPY!C1823</f>
        <v>8.499159008216137E-3</v>
      </c>
      <c r="N1823" s="5">
        <f>1/KRW!B1823</f>
        <v>8.378718056137411E-4</v>
      </c>
      <c r="O1823" s="5">
        <f>1/KRW!C1823</f>
        <v>8.3787271825264652E-4</v>
      </c>
      <c r="P1823" s="3">
        <f>1/NOK!B1823</f>
        <v>0.11485803546816135</v>
      </c>
      <c r="Q1823" s="3">
        <f>1/NOK!C1823</f>
        <v>0.11488442626717522</v>
      </c>
      <c r="R1823" s="3">
        <f>NZD!B1823/1</f>
        <v>0.68989999999999996</v>
      </c>
      <c r="S1823" s="3">
        <f>NZD!C1823/1</f>
        <v>0.68910000000000005</v>
      </c>
      <c r="T1823" s="4">
        <f>1/PHP!B1823</f>
        <v>2.0000400008000158E-2</v>
      </c>
      <c r="U1823" s="4">
        <f>1/PHP!C1823</f>
        <v>1.9984012789768187E-2</v>
      </c>
      <c r="V1823" s="4">
        <f>1/TWD!B1823</f>
        <v>3.1244141723426856E-2</v>
      </c>
      <c r="W1823" s="4">
        <f>1/TWD!C1823</f>
        <v>3.12446298292481E-2</v>
      </c>
      <c r="X1823" s="4">
        <f>1/TWD!B1823</f>
        <v>3.1244141723426856E-2</v>
      </c>
      <c r="Y1823" s="4">
        <f>1/TWD!C1823</f>
        <v>3.12446298292481E-2</v>
      </c>
      <c r="Z1823" s="4">
        <f>1/ZAR!B1823</f>
        <v>7.1047452593587246E-2</v>
      </c>
      <c r="AA1823" s="4">
        <f>1/ZAR!C1823</f>
        <v>7.0602023453992191E-2</v>
      </c>
    </row>
    <row r="1824" spans="1:27" x14ac:dyDescent="0.25">
      <c r="A1824" t="str">
        <f>"21/12/2016"</f>
        <v>21/12/2016</v>
      </c>
      <c r="B1824" s="3">
        <f>AUD!B1824</f>
        <v>0.72560000000000002</v>
      </c>
      <c r="C1824" s="3">
        <f>AUD!C1824</f>
        <v>0.72499999999999998</v>
      </c>
      <c r="D1824" s="3">
        <f>1/CAD!B1824</f>
        <v>0.74811101967531979</v>
      </c>
      <c r="E1824" s="3">
        <f>1/CAD!C1824</f>
        <v>0.74850299401197595</v>
      </c>
      <c r="F1824" s="3">
        <f>EUR!B1824/1</f>
        <v>1.0409999999999999</v>
      </c>
      <c r="G1824" s="3">
        <f>EUR!C1824/1</f>
        <v>1.0430999999999999</v>
      </c>
      <c r="H1824" s="3">
        <f>GBP!B1824/1</f>
        <v>1.2378</v>
      </c>
      <c r="I1824" s="3">
        <f>GBP!C1824/1</f>
        <v>1.2394000000000001</v>
      </c>
      <c r="J1824" s="4">
        <f>1/INR!B1824</f>
        <v>1.4722119985277881E-2</v>
      </c>
      <c r="K1824" s="4">
        <f>1/INR!C1824</f>
        <v>1.4667057788207684E-2</v>
      </c>
      <c r="L1824" s="4">
        <f>1/JPY!B1824</f>
        <v>8.5012326787384171E-3</v>
      </c>
      <c r="M1824" s="4">
        <f>1/JPY!C1824</f>
        <v>8.5157259911879269E-3</v>
      </c>
      <c r="N1824" s="5">
        <f>1/KRW!B1824</f>
        <v>8.3685509853968787E-4</v>
      </c>
      <c r="O1824" s="5">
        <f>1/KRW!C1824</f>
        <v>8.3685600896507106E-4</v>
      </c>
      <c r="P1824" s="3">
        <f>1/NOK!B1824</f>
        <v>0.1151012891344383</v>
      </c>
      <c r="Q1824" s="3">
        <f>1/NOK!C1824</f>
        <v>0.11512381566374637</v>
      </c>
      <c r="R1824" s="3">
        <f>NZD!B1824/1</f>
        <v>0.6925</v>
      </c>
      <c r="S1824" s="3">
        <f>NZD!C1824/1</f>
        <v>0.69169999999999998</v>
      </c>
      <c r="T1824" s="4">
        <f>1/PHP!B1824</f>
        <v>2.0008003201280513E-2</v>
      </c>
      <c r="U1824" s="4">
        <f>1/PHP!C1824</f>
        <v>1.999000499750125E-2</v>
      </c>
      <c r="V1824" s="4">
        <f>1/TWD!B1824</f>
        <v>3.119151590767311E-2</v>
      </c>
      <c r="W1824" s="4">
        <f>1/TWD!C1824</f>
        <v>3.1192099664996854E-2</v>
      </c>
      <c r="X1824" s="4">
        <f>1/TWD!B1824</f>
        <v>3.119151590767311E-2</v>
      </c>
      <c r="Y1824" s="4">
        <f>1/TWD!C1824</f>
        <v>3.1192099664996854E-2</v>
      </c>
      <c r="Z1824" s="4">
        <f>1/ZAR!B1824</f>
        <v>7.1461750098259905E-2</v>
      </c>
      <c r="AA1824" s="4">
        <f>1/ZAR!C1824</f>
        <v>7.1025753938378053E-2</v>
      </c>
    </row>
    <row r="1825" spans="1:27" x14ac:dyDescent="0.25">
      <c r="A1825" t="str">
        <f>"22/12/2016"</f>
        <v>22/12/2016</v>
      </c>
      <c r="B1825" s="3">
        <f>AUD!B1825</f>
        <v>0.7198</v>
      </c>
      <c r="C1825" s="3">
        <f>AUD!C1825</f>
        <v>0.71919999999999995</v>
      </c>
      <c r="D1825" s="3">
        <f>1/CAD!B1825</f>
        <v>0.74277649855158578</v>
      </c>
      <c r="E1825" s="3">
        <f>1/CAD!C1825</f>
        <v>0.74316290130796681</v>
      </c>
      <c r="F1825" s="3">
        <f>EUR!B1825/1</f>
        <v>1.046</v>
      </c>
      <c r="G1825" s="3">
        <f>EUR!C1825/1</f>
        <v>1.0481</v>
      </c>
      <c r="H1825" s="3">
        <f>GBP!B1825/1</f>
        <v>1.2330000000000001</v>
      </c>
      <c r="I1825" s="3">
        <f>GBP!C1825/1</f>
        <v>1.2344999999999999</v>
      </c>
      <c r="J1825" s="4">
        <f>1/INR!B1825</f>
        <v>1.4706963747334361E-2</v>
      </c>
      <c r="K1825" s="4">
        <f>1/INR!C1825</f>
        <v>1.4651477967840006E-2</v>
      </c>
      <c r="L1825" s="4">
        <f>1/JPY!B1825</f>
        <v>8.4997875053123666E-3</v>
      </c>
      <c r="M1825" s="4">
        <f>1/JPY!C1825</f>
        <v>8.5138119571380646E-3</v>
      </c>
      <c r="N1825" s="5">
        <f>1/KRW!B1825</f>
        <v>8.3385449239107776E-4</v>
      </c>
      <c r="O1825" s="5">
        <f>1/KRW!C1825</f>
        <v>8.3385539629936636E-4</v>
      </c>
      <c r="P1825" s="3">
        <f>1/NOK!B1825</f>
        <v>0.1150152395192363</v>
      </c>
      <c r="Q1825" s="3">
        <f>1/NOK!C1825</f>
        <v>0.11504302609175833</v>
      </c>
      <c r="R1825" s="3">
        <f>NZD!B1825/1</f>
        <v>0.68920000000000003</v>
      </c>
      <c r="S1825" s="3">
        <f>NZD!C1825/1</f>
        <v>0.68840000000000001</v>
      </c>
      <c r="T1825" s="4">
        <f>1/PHP!B1825</f>
        <v>2.0006001800540161E-2</v>
      </c>
      <c r="U1825" s="4">
        <f>1/PHP!C1825</f>
        <v>1.9982016185433108E-2</v>
      </c>
      <c r="V1825" s="4">
        <f>1/TWD!B1825</f>
        <v>3.1220730565095223E-2</v>
      </c>
      <c r="W1825" s="4">
        <f>1/TWD!C1825</f>
        <v>3.1221217939711828E-2</v>
      </c>
      <c r="X1825" s="4">
        <f>1/TWD!B1825</f>
        <v>3.1220730565095223E-2</v>
      </c>
      <c r="Y1825" s="4">
        <f>1/TWD!C1825</f>
        <v>3.1221217939711828E-2</v>
      </c>
      <c r="Z1825" s="4">
        <f>1/ZAR!B1825</f>
        <v>7.138268256121065E-2</v>
      </c>
      <c r="AA1825" s="4">
        <f>1/ZAR!C1825</f>
        <v>7.0919973901449607E-2</v>
      </c>
    </row>
    <row r="1826" spans="1:27" x14ac:dyDescent="0.25">
      <c r="A1826" t="str">
        <f>"23/12/2016"</f>
        <v>23/12/2016</v>
      </c>
      <c r="B1826" s="3">
        <f>AUD!B1826</f>
        <v>0.72160000000000002</v>
      </c>
      <c r="C1826" s="3">
        <f>AUD!C1826</f>
        <v>0.72099999999999997</v>
      </c>
      <c r="D1826" s="3">
        <f>1/CAD!B1826</f>
        <v>0.74134479946623177</v>
      </c>
      <c r="E1826" s="3">
        <f>1/CAD!C1826</f>
        <v>0.74178473407017276</v>
      </c>
      <c r="F1826" s="3">
        <f>EUR!B1826/1</f>
        <v>1.044</v>
      </c>
      <c r="G1826" s="3">
        <f>EUR!C1826/1</f>
        <v>1.0463</v>
      </c>
      <c r="H1826" s="3">
        <f>GBP!B1826/1</f>
        <v>1.2287999999999999</v>
      </c>
      <c r="I1826" s="3">
        <f>GBP!C1826/1</f>
        <v>1.2302999999999999</v>
      </c>
      <c r="J1826" s="4">
        <f>1/INR!B1826</f>
        <v>1.4736764543344508E-2</v>
      </c>
      <c r="K1826" s="4">
        <f>1/INR!C1826</f>
        <v>1.4678360427140288E-2</v>
      </c>
      <c r="L1826" s="4">
        <f>1/JPY!B1826</f>
        <v>8.5120871637725561E-3</v>
      </c>
      <c r="M1826" s="4">
        <f>1/JPY!C1826</f>
        <v>8.5268647400500025E-3</v>
      </c>
      <c r="N1826" s="5">
        <f>1/KRW!B1826</f>
        <v>8.312897460409826E-4</v>
      </c>
      <c r="O1826" s="5">
        <f>1/KRW!C1826</f>
        <v>8.3129064439738793E-4</v>
      </c>
      <c r="P1826" s="3">
        <f>1/NOK!B1826</f>
        <v>0.11471836641046231</v>
      </c>
      <c r="Q1826" s="3">
        <f>1/NOK!C1826</f>
        <v>0.11474600970751242</v>
      </c>
      <c r="R1826" s="3">
        <f>NZD!B1826/1</f>
        <v>0.69069999999999998</v>
      </c>
      <c r="S1826" s="3">
        <f>NZD!C1826/1</f>
        <v>0.68989999999999996</v>
      </c>
      <c r="T1826" s="4">
        <f>1/PHP!B1826</f>
        <v>2.006823198876179E-2</v>
      </c>
      <c r="U1826" s="4">
        <f>1/PHP!C1826</f>
        <v>2.0047110710168896E-2</v>
      </c>
      <c r="V1826" s="4">
        <f>1/TWD!B1826</f>
        <v>3.1089693766516401E-2</v>
      </c>
      <c r="W1826" s="4">
        <f>1/TWD!C1826</f>
        <v>3.1090080398947912E-2</v>
      </c>
      <c r="X1826" s="4">
        <f>1/TWD!B1826</f>
        <v>3.1089693766516401E-2</v>
      </c>
      <c r="Y1826" s="4">
        <f>1/TWD!C1826</f>
        <v>3.1090080398947912E-2</v>
      </c>
      <c r="Z1826" s="4">
        <f>1/ZAR!B1826</f>
        <v>7.123014459719354E-2</v>
      </c>
      <c r="AA1826" s="4">
        <f>1/ZAR!C1826</f>
        <v>7.0799968848013706E-2</v>
      </c>
    </row>
    <row r="1827" spans="1:27" x14ac:dyDescent="0.25">
      <c r="A1827" t="str">
        <f>"26/12/2016"</f>
        <v>26/12/2016</v>
      </c>
      <c r="B1827" s="3">
        <f>AUD!B1827</f>
        <v>0.71899999999999997</v>
      </c>
      <c r="C1827" s="3">
        <f>AUD!C1827</f>
        <v>0.71850000000000003</v>
      </c>
      <c r="D1827" s="3">
        <f>1/CAD!B1827</f>
        <v>0.74107010523195493</v>
      </c>
      <c r="E1827" s="3">
        <f>1/CAD!C1827</f>
        <v>0.74139976275207597</v>
      </c>
      <c r="F1827" s="3">
        <f>EUR!B1827/1</f>
        <v>1.0452999999999999</v>
      </c>
      <c r="G1827" s="3">
        <f>EUR!C1827/1</f>
        <v>1.0476000000000001</v>
      </c>
      <c r="H1827" s="3">
        <f>GBP!B1827/1</f>
        <v>1.2266999999999999</v>
      </c>
      <c r="I1827" s="3">
        <f>GBP!C1827/1</f>
        <v>1.2282</v>
      </c>
      <c r="J1827" s="4">
        <f>1/INR!B1827</f>
        <v>1.4762326542663125E-2</v>
      </c>
      <c r="K1827" s="4">
        <f>1/INR!C1827</f>
        <v>1.4700477765527378E-2</v>
      </c>
      <c r="L1827" s="4">
        <f>1/JPY!B1827</f>
        <v>8.5353362922499145E-3</v>
      </c>
      <c r="M1827" s="4">
        <f>1/JPY!C1827</f>
        <v>8.5497488511274977E-3</v>
      </c>
      <c r="N1827" s="5">
        <f>1/KRW!B1827</f>
        <v>8.3229296712442784E-4</v>
      </c>
      <c r="O1827" s="5">
        <f>1/KRW!C1827</f>
        <v>8.3229331348036353E-4</v>
      </c>
      <c r="P1827" s="3">
        <f>1/NOK!B1827</f>
        <v>0.11486067400243503</v>
      </c>
      <c r="Q1827" s="3">
        <f>1/NOK!C1827</f>
        <v>0.11488838593306602</v>
      </c>
      <c r="R1827" s="3">
        <f>NZD!B1827/1</f>
        <v>0.69010000000000005</v>
      </c>
      <c r="S1827" s="3">
        <f>NZD!C1827/1</f>
        <v>0.68930000000000002</v>
      </c>
      <c r="T1827" s="4">
        <f>1/PHP!B1827</f>
        <v>2.0060180541624874E-2</v>
      </c>
      <c r="U1827" s="4">
        <f>1/PHP!C1827</f>
        <v>2.0039076198587243E-2</v>
      </c>
      <c r="V1827" s="4">
        <f>1/TWD!B1827</f>
        <v>3.1009675018605808E-2</v>
      </c>
      <c r="W1827" s="4">
        <f>1/TWD!C1827</f>
        <v>3.1010155826033024E-2</v>
      </c>
      <c r="X1827" s="4">
        <f>1/TWD!B1827</f>
        <v>3.1009675018605808E-2</v>
      </c>
      <c r="Y1827" s="4">
        <f>1/TWD!C1827</f>
        <v>3.1010155826033024E-2</v>
      </c>
      <c r="Z1827" s="4">
        <f>1/ZAR!B1827</f>
        <v>7.1143995446784292E-2</v>
      </c>
      <c r="AA1827" s="4">
        <f>1/ZAR!C1827</f>
        <v>7.0717356868069695E-2</v>
      </c>
    </row>
    <row r="1828" spans="1:27" x14ac:dyDescent="0.25">
      <c r="A1828" t="str">
        <f>"27/12/2016"</f>
        <v>27/12/2016</v>
      </c>
      <c r="B1828" s="3">
        <f>AUD!B1828</f>
        <v>0.71870000000000001</v>
      </c>
      <c r="C1828" s="3">
        <f>AUD!C1828</f>
        <v>0.71809999999999996</v>
      </c>
      <c r="D1828" s="3">
        <f>1/CAD!B1828</f>
        <v>0.73893445651370726</v>
      </c>
      <c r="E1828" s="3">
        <f>1/CAD!C1828</f>
        <v>0.73937153419593349</v>
      </c>
      <c r="F1828" s="3">
        <f>EUR!B1828/1</f>
        <v>1.0450999999999999</v>
      </c>
      <c r="G1828" s="3">
        <f>EUR!C1828/1</f>
        <v>1.0474000000000001</v>
      </c>
      <c r="H1828" s="3">
        <f>GBP!B1828/1</f>
        <v>1.2259</v>
      </c>
      <c r="I1828" s="3">
        <f>GBP!C1828/1</f>
        <v>1.2274</v>
      </c>
      <c r="J1828" s="4">
        <f>1/INR!B1828</f>
        <v>1.4692378328741965E-2</v>
      </c>
      <c r="K1828" s="4">
        <f>1/INR!C1828</f>
        <v>1.4635931211123308E-2</v>
      </c>
      <c r="L1828" s="4">
        <f>1/JPY!B1828</f>
        <v>8.523695874531197E-3</v>
      </c>
      <c r="M1828" s="4">
        <f>1/JPY!C1828</f>
        <v>8.5387033808142169E-3</v>
      </c>
      <c r="N1828" s="5">
        <f>1/KRW!B1828</f>
        <v>8.2808877111626377E-4</v>
      </c>
      <c r="O1828" s="5">
        <f>1/KRW!C1828</f>
        <v>8.2808911398191208E-4</v>
      </c>
      <c r="P1828" s="3">
        <f>1/NOK!B1828</f>
        <v>0.11483561282024782</v>
      </c>
      <c r="Q1828" s="3">
        <f>1/NOK!C1828</f>
        <v>0.1148646320311513</v>
      </c>
      <c r="R1828" s="3">
        <f>NZD!B1828/1</f>
        <v>0.68879999999999997</v>
      </c>
      <c r="S1828" s="3">
        <f>NZD!C1828/1</f>
        <v>0.68799999999999994</v>
      </c>
      <c r="T1828" s="4">
        <f>1/PHP!B1828</f>
        <v>2.0076289901626177E-2</v>
      </c>
      <c r="U1828" s="4">
        <f>1/PHP!C1828</f>
        <v>2.0048115477145148E-2</v>
      </c>
      <c r="V1828" s="4">
        <f>1/TWD!B1828</f>
        <v>3.097893432465923E-2</v>
      </c>
      <c r="W1828" s="4">
        <f>1/TWD!C1828</f>
        <v>3.0979510151985475E-2</v>
      </c>
      <c r="X1828" s="4">
        <f>1/TWD!B1828</f>
        <v>3.097893432465923E-2</v>
      </c>
      <c r="Y1828" s="4">
        <f>1/TWD!C1828</f>
        <v>3.0979510151985475E-2</v>
      </c>
      <c r="Z1828" s="4">
        <f>1/ZAR!B1828</f>
        <v>7.1767416157716077E-2</v>
      </c>
      <c r="AA1828" s="4">
        <f>1/ZAR!C1828</f>
        <v>7.133176403452457E-2</v>
      </c>
    </row>
    <row r="1829" spans="1:27" x14ac:dyDescent="0.25">
      <c r="A1829" t="str">
        <f>"28/12/2016"</f>
        <v>28/12/2016</v>
      </c>
      <c r="B1829" s="3">
        <f>AUD!B1829</f>
        <v>0.71719999999999995</v>
      </c>
      <c r="C1829" s="3">
        <f>AUD!C1829</f>
        <v>0.71660000000000001</v>
      </c>
      <c r="D1829" s="3">
        <f>1/CAD!B1829</f>
        <v>0.73659398939304654</v>
      </c>
      <c r="E1829" s="3">
        <f>1/CAD!C1829</f>
        <v>0.73702830188679247</v>
      </c>
      <c r="F1829" s="3">
        <f>EUR!B1829/1</f>
        <v>1.0394000000000001</v>
      </c>
      <c r="G1829" s="3">
        <f>EUR!C1829/1</f>
        <v>1.0419</v>
      </c>
      <c r="H1829" s="3">
        <f>GBP!B1829/1</f>
        <v>1.2210000000000001</v>
      </c>
      <c r="I1829" s="3">
        <f>GBP!C1829/1</f>
        <v>1.2225999999999999</v>
      </c>
      <c r="J1829" s="4">
        <f>1/INR!B1829</f>
        <v>1.4653088138325152E-2</v>
      </c>
      <c r="K1829" s="4">
        <f>1/INR!C1829</f>
        <v>1.4608136732159813E-2</v>
      </c>
      <c r="L1829" s="4">
        <f>1/JPY!B1829</f>
        <v>8.4889643463497456E-3</v>
      </c>
      <c r="M1829" s="4">
        <f>1/JPY!C1829</f>
        <v>8.5060848277815539E-3</v>
      </c>
      <c r="N1829" s="5">
        <f>1/KRW!B1829</f>
        <v>8.2709565361234027E-4</v>
      </c>
      <c r="O1829" s="5">
        <f>1/KRW!C1829</f>
        <v>8.27093943397826E-4</v>
      </c>
      <c r="P1829" s="3">
        <f>1/NOK!B1829</f>
        <v>0.11457509824814675</v>
      </c>
      <c r="Q1829" s="3">
        <f>1/NOK!C1829</f>
        <v>0.11460398592663053</v>
      </c>
      <c r="R1829" s="3">
        <f>NZD!B1829/1</f>
        <v>0.69059999999999999</v>
      </c>
      <c r="S1829" s="3">
        <f>NZD!C1829/1</f>
        <v>0.68979999999999997</v>
      </c>
      <c r="T1829" s="4">
        <f>1/PHP!B1829</f>
        <v>2.0066218521119696E-2</v>
      </c>
      <c r="U1829" s="4">
        <f>1/PHP!C1829</f>
        <v>2.0044498787307821E-2</v>
      </c>
      <c r="V1829" s="4">
        <f>1/TWD!B1829</f>
        <v>3.0949212342545881E-2</v>
      </c>
      <c r="W1829" s="4">
        <f>1/TWD!C1829</f>
        <v>3.0949595488786962E-2</v>
      </c>
      <c r="X1829" s="4">
        <f>1/TWD!B1829</f>
        <v>3.0949212342545881E-2</v>
      </c>
      <c r="Y1829" s="4">
        <f>1/TWD!C1829</f>
        <v>3.0949595488786962E-2</v>
      </c>
      <c r="Z1829" s="4">
        <f>1/ZAR!B1829</f>
        <v>7.1962119140484448E-2</v>
      </c>
      <c r="AA1829" s="4">
        <f>1/ZAR!C1829</f>
        <v>7.1529223264164582E-2</v>
      </c>
    </row>
    <row r="1830" spans="1:27" x14ac:dyDescent="0.25">
      <c r="A1830" t="str">
        <f>"29/12/2016"</f>
        <v>29/12/2016</v>
      </c>
      <c r="B1830" s="3">
        <f>AUD!B1830</f>
        <v>0.72140000000000004</v>
      </c>
      <c r="C1830" s="3">
        <f>AUD!C1830</f>
        <v>0.7208</v>
      </c>
      <c r="D1830" s="3">
        <f>1/CAD!B1830</f>
        <v>0.73964497041420119</v>
      </c>
      <c r="E1830" s="3">
        <f>1/CAD!C1830</f>
        <v>0.74002812106860061</v>
      </c>
      <c r="F1830" s="3">
        <f>EUR!B1830/1</f>
        <v>1.0462</v>
      </c>
      <c r="G1830" s="3">
        <f>EUR!C1830/1</f>
        <v>1.0479000000000001</v>
      </c>
      <c r="H1830" s="3">
        <f>GBP!B1830/1</f>
        <v>1.2263999999999999</v>
      </c>
      <c r="I1830" s="3">
        <f>GBP!C1830/1</f>
        <v>1.2273000000000001</v>
      </c>
      <c r="J1830" s="4">
        <f>1/INR!B1830</f>
        <v>1.4683209749651272E-2</v>
      </c>
      <c r="K1830" s="4">
        <f>1/INR!C1830</f>
        <v>1.4635931211123308E-2</v>
      </c>
      <c r="L1830" s="4">
        <f>1/JPY!B1830</f>
        <v>8.5836909871244635E-3</v>
      </c>
      <c r="M1830" s="4">
        <f>1/JPY!C1830</f>
        <v>8.5969516928687418E-3</v>
      </c>
      <c r="N1830" s="5">
        <f>1/KRW!B1830</f>
        <v>8.2781456953642384E-4</v>
      </c>
      <c r="O1830" s="5">
        <f>1/KRW!C1830</f>
        <v>8.278125137106448E-4</v>
      </c>
      <c r="P1830" s="3">
        <f>1/NOK!B1830</f>
        <v>0.1150456731322335</v>
      </c>
      <c r="Q1830" s="3">
        <f>1/NOK!C1830</f>
        <v>0.11507215023819933</v>
      </c>
      <c r="R1830" s="3">
        <f>NZD!B1830/1</f>
        <v>0.6956</v>
      </c>
      <c r="S1830" s="3">
        <f>NZD!C1830/1</f>
        <v>0.69479999999999997</v>
      </c>
      <c r="T1830" s="4">
        <f>1/PHP!B1830</f>
        <v>2.0104543626859671E-2</v>
      </c>
      <c r="U1830" s="4">
        <f>1/PHP!C1830</f>
        <v>2.0078305391024998E-2</v>
      </c>
      <c r="V1830" s="4">
        <f>1/TWD!B1830</f>
        <v>3.0948254518445163E-2</v>
      </c>
      <c r="W1830" s="4">
        <f>1/TWD!C1830</f>
        <v>3.0948637640971045E-2</v>
      </c>
      <c r="X1830" s="4">
        <f>1/TWD!B1830</f>
        <v>3.0948254518445163E-2</v>
      </c>
      <c r="Y1830" s="4">
        <f>1/TWD!C1830</f>
        <v>3.0948637640971045E-2</v>
      </c>
      <c r="Z1830" s="4">
        <f>1/ZAR!B1830</f>
        <v>7.3111707377702395E-2</v>
      </c>
      <c r="AA1830" s="4">
        <f>1/ZAR!C1830</f>
        <v>7.2685511596973382E-2</v>
      </c>
    </row>
    <row r="1831" spans="1:27" x14ac:dyDescent="0.25">
      <c r="A1831" t="str">
        <f>"30/12/2016"</f>
        <v>30/12/2016</v>
      </c>
      <c r="B1831" s="3">
        <f>AUD!B1831</f>
        <v>0.71799999999999997</v>
      </c>
      <c r="C1831" s="3">
        <f>AUD!C1831</f>
        <v>0.72189999999999999</v>
      </c>
      <c r="D1831" s="3">
        <f>1/CAD!B1831</f>
        <v>0.74228028503562948</v>
      </c>
      <c r="E1831" s="3">
        <f>1/CAD!C1831</f>
        <v>0.74250074250074249</v>
      </c>
      <c r="F1831" s="3">
        <f>EUR!B1831/1</f>
        <v>1.0508</v>
      </c>
      <c r="G1831" s="3">
        <f>EUR!C1831/1</f>
        <v>1.0577000000000001</v>
      </c>
      <c r="H1831" s="3">
        <f>GBP!B1831/1</f>
        <v>1.2302999999999999</v>
      </c>
      <c r="I1831" s="3">
        <f>GBP!C1831/1</f>
        <v>1.2313000000000001</v>
      </c>
      <c r="J1831" s="4">
        <f>1/INR!B1831</f>
        <v>1.472103636095981E-2</v>
      </c>
      <c r="K1831" s="4">
        <f>1/INR!C1831</f>
        <v>1.4673514306676448E-2</v>
      </c>
      <c r="L1831" s="4">
        <f>1/JPY!B1831</f>
        <v>8.5506626763574168E-3</v>
      </c>
      <c r="M1831" s="4">
        <f>1/JPY!C1831</f>
        <v>8.5661249163732061E-3</v>
      </c>
      <c r="N1831" s="5">
        <f>1/KRW!B1831</f>
        <v>8.2781456953642384E-4</v>
      </c>
      <c r="O1831" s="5">
        <f>1/KRW!C1831</f>
        <v>8.278125137106448E-4</v>
      </c>
      <c r="P1831" s="3">
        <f>1/NOK!B1831</f>
        <v>0.11617910170318563</v>
      </c>
      <c r="Q1831" s="3">
        <f>1/NOK!C1831</f>
        <v>0.1162034024356233</v>
      </c>
      <c r="R1831" s="3">
        <f>NZD!B1831/1</f>
        <v>0.69620000000000004</v>
      </c>
      <c r="S1831" s="3">
        <f>NZD!C1831/1</f>
        <v>0.69540000000000002</v>
      </c>
      <c r="T1831" s="4">
        <f>1/PHP!B1831</f>
        <v>2.0104543626859671E-2</v>
      </c>
      <c r="U1831" s="4">
        <f>1/PHP!C1831</f>
        <v>2.0078305391024998E-2</v>
      </c>
      <c r="V1831" s="4">
        <f>1/TWD!B1831</f>
        <v>3.0979894048762349E-2</v>
      </c>
      <c r="W1831" s="4">
        <f>1/TWD!C1831</f>
        <v>3.0980277955053814E-2</v>
      </c>
      <c r="X1831" s="4">
        <f>1/TWD!B1831</f>
        <v>3.0979894048762349E-2</v>
      </c>
      <c r="Y1831" s="4">
        <f>1/TWD!C1831</f>
        <v>3.0980277955053814E-2</v>
      </c>
      <c r="Z1831" s="4">
        <f>1/ZAR!B1831</f>
        <v>7.25578830512041E-2</v>
      </c>
      <c r="AA1831" s="4">
        <f>1/ZAR!C1831</f>
        <v>7.2362041767370502E-2</v>
      </c>
    </row>
    <row r="1832" spans="1:27" x14ac:dyDescent="0.25">
      <c r="A1832" t="str">
        <f>"02/01/2017"</f>
        <v>02/01/2017</v>
      </c>
      <c r="B1832" s="3">
        <f>AUD!B1832</f>
        <v>0.71740000000000004</v>
      </c>
      <c r="C1832" s="3">
        <f>AUD!C1832</f>
        <v>0.71679999999999999</v>
      </c>
      <c r="D1832" s="3">
        <f>1/CAD!B1832</f>
        <v>0.74449076831447292</v>
      </c>
      <c r="E1832" s="3">
        <f>1/CAD!C1832</f>
        <v>0.74460163812360391</v>
      </c>
      <c r="F1832" s="3">
        <f>EUR!B1832/1</f>
        <v>1.0478000000000001</v>
      </c>
      <c r="G1832" s="3">
        <f>EUR!C1832/1</f>
        <v>1.0492999999999999</v>
      </c>
      <c r="H1832" s="3">
        <f>GBP!B1832/1</f>
        <v>1.2294</v>
      </c>
      <c r="I1832" s="3">
        <f>GBP!C1832/1</f>
        <v>1.2303999999999999</v>
      </c>
      <c r="J1832" s="4">
        <f>1/INR!B1832</f>
        <v>1.4655772542410142E-2</v>
      </c>
      <c r="K1832" s="4">
        <f>1/INR!C1832</f>
        <v>1.460120459937945E-2</v>
      </c>
      <c r="L1832" s="4">
        <f>1/JPY!B1832</f>
        <v>8.5186131697759602E-3</v>
      </c>
      <c r="M1832" s="4">
        <f>1/JPY!C1832</f>
        <v>8.5323722469234399E-3</v>
      </c>
      <c r="N1832" s="5">
        <f>1/KRW!B1832</f>
        <v>8.2778030710649396E-4</v>
      </c>
      <c r="O1832" s="5">
        <f>1/KRW!C1832</f>
        <v>8.2777825145088826E-4</v>
      </c>
      <c r="P1832" s="3">
        <f>1/NOK!B1832</f>
        <v>0.11573538262117496</v>
      </c>
      <c r="Q1832" s="3">
        <f>1/NOK!C1832</f>
        <v>0.11575011864387161</v>
      </c>
      <c r="R1832" s="3">
        <f>NZD!B1832/1</f>
        <v>0.69220000000000004</v>
      </c>
      <c r="S1832" s="3">
        <f>NZD!C1832/1</f>
        <v>0.69140000000000001</v>
      </c>
      <c r="T1832" s="4">
        <f>1/PHP!B1832</f>
        <v>2.0104543626859671E-2</v>
      </c>
      <c r="U1832" s="4">
        <f>1/PHP!C1832</f>
        <v>2.0078305391024998E-2</v>
      </c>
      <c r="V1832" s="4">
        <f>1/TWD!B1832</f>
        <v>3.0979894048762349E-2</v>
      </c>
      <c r="W1832" s="4">
        <f>1/TWD!C1832</f>
        <v>3.0980277955053814E-2</v>
      </c>
      <c r="X1832" s="4">
        <f>1/TWD!B1832</f>
        <v>3.0979894048762349E-2</v>
      </c>
      <c r="Y1832" s="4">
        <f>1/TWD!C1832</f>
        <v>3.0980277955053814E-2</v>
      </c>
      <c r="Z1832" s="4">
        <f>1/ZAR!B1832</f>
        <v>7.2572100381729246E-2</v>
      </c>
      <c r="AA1832" s="4">
        <f>1/ZAR!C1832</f>
        <v>7.2125613969288918E-2</v>
      </c>
    </row>
    <row r="1833" spans="1:27" x14ac:dyDescent="0.25">
      <c r="A1833" t="str">
        <f>"03/01/2017"</f>
        <v>03/01/2017</v>
      </c>
      <c r="B1833" s="3">
        <f>AUD!B1833</f>
        <v>0.72009999999999996</v>
      </c>
      <c r="C1833" s="3">
        <f>AUD!C1833</f>
        <v>0.71950000000000003</v>
      </c>
      <c r="D1833" s="3">
        <f>1/CAD!B1833</f>
        <v>0.74393691414968011</v>
      </c>
      <c r="E1833" s="3">
        <f>1/CAD!C1833</f>
        <v>0.74421373818560699</v>
      </c>
      <c r="F1833" s="3">
        <f>EUR!B1833/1</f>
        <v>1.0382</v>
      </c>
      <c r="G1833" s="3">
        <f>EUR!C1833/1</f>
        <v>1.0397000000000001</v>
      </c>
      <c r="H1833" s="3">
        <f>GBP!B1833/1</f>
        <v>1.2273000000000001</v>
      </c>
      <c r="I1833" s="3">
        <f>GBP!C1833/1</f>
        <v>1.2281</v>
      </c>
      <c r="J1833" s="4">
        <f>1/INR!B1833</f>
        <v>1.4633789419770251E-2</v>
      </c>
      <c r="K1833" s="4">
        <f>1/INR!C1833</f>
        <v>1.4582573824279984E-2</v>
      </c>
      <c r="L1833" s="4">
        <f>1/JPY!B1833</f>
        <v>8.4495141529362071E-3</v>
      </c>
      <c r="M1833" s="4">
        <f>1/JPY!C1833</f>
        <v>8.4608954334855161E-3</v>
      </c>
      <c r="N1833" s="5">
        <f>1/KRW!B1833</f>
        <v>8.3090984628167843E-4</v>
      </c>
      <c r="O1833" s="5">
        <f>1/KRW!C1833</f>
        <v>8.3090777505332358E-4</v>
      </c>
      <c r="P1833" s="3">
        <f>1/NOK!B1833</f>
        <v>0.11521533746572345</v>
      </c>
      <c r="Q1833" s="3">
        <f>1/NOK!C1833</f>
        <v>0.11524587707874752</v>
      </c>
      <c r="R1833" s="3">
        <f>NZD!B1833/1</f>
        <v>0.69089999999999996</v>
      </c>
      <c r="S1833" s="3">
        <f>NZD!C1833/1</f>
        <v>0.69010000000000005</v>
      </c>
      <c r="T1833" s="4">
        <f>1/PHP!B1833</f>
        <v>2.0084354288009639E-2</v>
      </c>
      <c r="U1833" s="4">
        <f>1/PHP!C1833</f>
        <v>2.0054628808875378E-2</v>
      </c>
      <c r="V1833" s="4">
        <f>1/TWD!B1833</f>
        <v>3.101063664837039E-2</v>
      </c>
      <c r="W1833" s="4">
        <f>1/TWD!C1833</f>
        <v>3.1010925148929971E-2</v>
      </c>
      <c r="X1833" s="4">
        <f>1/TWD!B1833</f>
        <v>3.101063664837039E-2</v>
      </c>
      <c r="Y1833" s="4">
        <f>1/TWD!C1833</f>
        <v>3.1010925148929971E-2</v>
      </c>
      <c r="Z1833" s="4">
        <f>1/ZAR!B1833</f>
        <v>7.2552092402344878E-2</v>
      </c>
      <c r="AA1833" s="4">
        <f>1/ZAR!C1833</f>
        <v>7.2117291562998051E-2</v>
      </c>
    </row>
    <row r="1834" spans="1:27" x14ac:dyDescent="0.25">
      <c r="A1834" t="str">
        <f>"04/01/2017"</f>
        <v>04/01/2017</v>
      </c>
      <c r="B1834" s="3">
        <f>AUD!B1834</f>
        <v>0.72629999999999995</v>
      </c>
      <c r="C1834" s="3">
        <f>AUD!C1834</f>
        <v>0.72570000000000001</v>
      </c>
      <c r="D1834" s="3">
        <f>1/CAD!B1834</f>
        <v>0.74878322725570956</v>
      </c>
      <c r="E1834" s="3">
        <f>1/CAD!C1834</f>
        <v>0.7490075649764063</v>
      </c>
      <c r="F1834" s="3">
        <f>EUR!B1834/1</f>
        <v>1.0436000000000001</v>
      </c>
      <c r="G1834" s="3">
        <f>EUR!C1834/1</f>
        <v>1.0449999999999999</v>
      </c>
      <c r="H1834" s="3">
        <f>GBP!B1834/1</f>
        <v>1.2259</v>
      </c>
      <c r="I1834" s="3">
        <f>GBP!C1834/1</f>
        <v>1.2266999999999999</v>
      </c>
      <c r="J1834" s="4">
        <f>1/INR!B1834</f>
        <v>1.4695077149155033E-2</v>
      </c>
      <c r="K1834" s="4">
        <f>1/INR!C1834</f>
        <v>1.4642896364900976E-2</v>
      </c>
      <c r="L1834" s="4">
        <f>1/JPY!B1834</f>
        <v>8.5091899251191292E-3</v>
      </c>
      <c r="M1834" s="4">
        <f>1/JPY!C1834</f>
        <v>8.5188961895829238E-3</v>
      </c>
      <c r="N1834" s="5">
        <f>1/KRW!B1834</f>
        <v>8.2887811347341373E-4</v>
      </c>
      <c r="O1834" s="5">
        <f>1/KRW!C1834</f>
        <v>8.2887673939783765E-4</v>
      </c>
      <c r="P1834" s="3">
        <f>1/NOK!B1834</f>
        <v>0.11587754061507799</v>
      </c>
      <c r="Q1834" s="3">
        <f>1/NOK!C1834</f>
        <v>0.11590574544780184</v>
      </c>
      <c r="R1834" s="3">
        <f>NZD!B1834/1</f>
        <v>0.69450000000000001</v>
      </c>
      <c r="S1834" s="3">
        <f>NZD!C1834/1</f>
        <v>0.69369999999999998</v>
      </c>
      <c r="T1834" s="4">
        <f>1/PHP!B1834</f>
        <v>2.0120724346076459E-2</v>
      </c>
      <c r="U1834" s="4">
        <f>1/PHP!C1834</f>
        <v>2.0089397820300336E-2</v>
      </c>
      <c r="V1834" s="4">
        <f>1/TWD!B1834</f>
        <v>3.0996218461347716E-2</v>
      </c>
      <c r="W1834" s="4">
        <f>1/TWD!C1834</f>
        <v>3.0996506693695622E-2</v>
      </c>
      <c r="X1834" s="4">
        <f>1/TWD!B1834</f>
        <v>3.0996218461347716E-2</v>
      </c>
      <c r="Y1834" s="4">
        <f>1/TWD!C1834</f>
        <v>3.0996506693695622E-2</v>
      </c>
      <c r="Z1834" s="4">
        <f>1/ZAR!B1834</f>
        <v>7.3453258019259435E-2</v>
      </c>
      <c r="AA1834" s="4">
        <f>1/ZAR!C1834</f>
        <v>7.3023082596408717E-2</v>
      </c>
    </row>
    <row r="1835" spans="1:27" x14ac:dyDescent="0.25">
      <c r="A1835" t="str">
        <f>"05/01/2017"</f>
        <v>05/01/2017</v>
      </c>
      <c r="B1835" s="3">
        <f>AUD!B1835</f>
        <v>0.72899999999999998</v>
      </c>
      <c r="C1835" s="3">
        <f>AUD!C1835</f>
        <v>0.72850000000000004</v>
      </c>
      <c r="D1835" s="3">
        <f>1/CAD!B1835</f>
        <v>0.75182317119013609</v>
      </c>
      <c r="E1835" s="3">
        <f>1/CAD!C1835</f>
        <v>0.75204933443633892</v>
      </c>
      <c r="F1835" s="3">
        <f>EUR!B1835/1</f>
        <v>1.0492999999999999</v>
      </c>
      <c r="G1835" s="3">
        <f>EUR!C1835/1</f>
        <v>1.0507</v>
      </c>
      <c r="H1835" s="3">
        <f>GBP!B1835/1</f>
        <v>1.2310000000000001</v>
      </c>
      <c r="I1835" s="3">
        <f>GBP!C1835/1</f>
        <v>1.2318</v>
      </c>
      <c r="J1835" s="4">
        <f>1/INR!B1835</f>
        <v>1.4712914260492147E-2</v>
      </c>
      <c r="K1835" s="4">
        <f>1/INR!C1835</f>
        <v>1.4657383657017223E-2</v>
      </c>
      <c r="L1835" s="4">
        <f>1/JPY!B1835</f>
        <v>8.5741232958929953E-3</v>
      </c>
      <c r="M1835" s="4">
        <f>1/JPY!C1835</f>
        <v>8.5840667703049652E-3</v>
      </c>
      <c r="N1835" s="5">
        <f>1/KRW!B1835</f>
        <v>8.4292156614826992E-4</v>
      </c>
      <c r="O1835" s="5">
        <f>1/KRW!C1835</f>
        <v>8.4292014511713211E-4</v>
      </c>
      <c r="P1835" s="3">
        <f>1/NOK!B1835</f>
        <v>0.11646053152586587</v>
      </c>
      <c r="Q1835" s="3">
        <f>1/NOK!C1835</f>
        <v>0.11648902090977925</v>
      </c>
      <c r="R1835" s="3">
        <f>NZD!B1835/1</f>
        <v>0.69610000000000005</v>
      </c>
      <c r="S1835" s="3">
        <f>NZD!C1835/1</f>
        <v>0.69540000000000002</v>
      </c>
      <c r="T1835" s="4">
        <f>1/PHP!B1835</f>
        <v>2.0202020202020204E-2</v>
      </c>
      <c r="U1835" s="4">
        <f>1/PHP!C1835</f>
        <v>2.0180820148530836E-2</v>
      </c>
      <c r="V1835" s="4">
        <f>1/TWD!B1835</f>
        <v>3.1284217112466761E-2</v>
      </c>
      <c r="W1835" s="4">
        <f>1/TWD!C1835</f>
        <v>3.1284510725894499E-2</v>
      </c>
      <c r="X1835" s="4">
        <f>1/TWD!B1835</f>
        <v>3.1284217112466761E-2</v>
      </c>
      <c r="Y1835" s="4">
        <f>1/TWD!C1835</f>
        <v>3.1284510725894499E-2</v>
      </c>
      <c r="Z1835" s="4">
        <f>1/ZAR!B1835</f>
        <v>7.3019350127783864E-2</v>
      </c>
      <c r="AA1835" s="4">
        <f>1/ZAR!C1835</f>
        <v>7.2588957767744378E-2</v>
      </c>
    </row>
    <row r="1836" spans="1:27" x14ac:dyDescent="0.25">
      <c r="A1836" t="str">
        <f>"06/01/2017"</f>
        <v>06/01/2017</v>
      </c>
      <c r="B1836" s="3">
        <f>AUD!B1836</f>
        <v>0.7339</v>
      </c>
      <c r="C1836" s="3">
        <f>AUD!C1836</f>
        <v>0.73329999999999995</v>
      </c>
      <c r="D1836" s="3">
        <f>1/CAD!B1836</f>
        <v>0.75454614049649138</v>
      </c>
      <c r="E1836" s="3">
        <f>1/CAD!C1836</f>
        <v>0.75477394520341157</v>
      </c>
      <c r="F1836" s="3">
        <f>EUR!B1836/1</f>
        <v>1.0592999999999999</v>
      </c>
      <c r="G1836" s="3">
        <f>EUR!C1836/1</f>
        <v>1.0607</v>
      </c>
      <c r="H1836" s="3">
        <f>GBP!B1836/1</f>
        <v>1.2367999999999999</v>
      </c>
      <c r="I1836" s="3">
        <f>GBP!C1836/1</f>
        <v>1.2376</v>
      </c>
      <c r="J1836" s="4">
        <f>1/INR!B1836</f>
        <v>1.4713455455013609E-2</v>
      </c>
      <c r="K1836" s="4">
        <f>1/INR!C1836</f>
        <v>1.465630954125751E-2</v>
      </c>
      <c r="L1836" s="4">
        <f>1/JPY!B1836</f>
        <v>8.6236633321835118E-3</v>
      </c>
      <c r="M1836" s="4">
        <f>1/JPY!C1836</f>
        <v>8.6343632113959779E-3</v>
      </c>
      <c r="N1836" s="5">
        <f>1/KRW!B1836</f>
        <v>8.3815271142402147E-4</v>
      </c>
      <c r="O1836" s="5">
        <f>1/KRW!C1836</f>
        <v>8.3815004193264655E-4</v>
      </c>
      <c r="P1836" s="3">
        <f>1/NOK!B1836</f>
        <v>0.11775788977861515</v>
      </c>
      <c r="Q1836" s="3">
        <f>1/NOK!C1836</f>
        <v>0.11778008103269576</v>
      </c>
      <c r="R1836" s="3">
        <f>NZD!B1836/1</f>
        <v>0.70240000000000002</v>
      </c>
      <c r="S1836" s="3">
        <f>NZD!C1836/1</f>
        <v>0.70169999999999999</v>
      </c>
      <c r="T1836" s="4">
        <f>1/PHP!B1836</f>
        <v>2.0161290322580645E-2</v>
      </c>
      <c r="U1836" s="4">
        <f>1/PHP!C1836</f>
        <v>2.0138958815829222E-2</v>
      </c>
      <c r="V1836" s="4">
        <f>1/TWD!B1836</f>
        <v>3.1255860473838847E-2</v>
      </c>
      <c r="W1836" s="4">
        <f>1/TWD!C1836</f>
        <v>3.1256153555231182E-2</v>
      </c>
      <c r="X1836" s="4">
        <f>1/TWD!B1836</f>
        <v>3.1255860473838847E-2</v>
      </c>
      <c r="Y1836" s="4">
        <f>1/TWD!C1836</f>
        <v>3.1256153555231182E-2</v>
      </c>
      <c r="Z1836" s="4">
        <f>1/ZAR!B1836</f>
        <v>7.3455416235116103E-2</v>
      </c>
      <c r="AA1836" s="4">
        <f>1/ZAR!C1836</f>
        <v>7.3024149086102774E-2</v>
      </c>
    </row>
    <row r="1837" spans="1:27" x14ac:dyDescent="0.25">
      <c r="A1837" t="str">
        <f>"09/01/2017"</f>
        <v>09/01/2017</v>
      </c>
      <c r="B1837" s="3">
        <f>AUD!B1837</f>
        <v>0.73219999999999996</v>
      </c>
      <c r="C1837" s="3">
        <f>AUD!C1837</f>
        <v>0.73160000000000003</v>
      </c>
      <c r="D1837" s="3">
        <f>1/CAD!B1837</f>
        <v>0.75460307878056143</v>
      </c>
      <c r="E1837" s="3">
        <f>1/CAD!C1837</f>
        <v>0.75477394520341157</v>
      </c>
      <c r="F1837" s="3">
        <f>EUR!B1837/1</f>
        <v>1.0526</v>
      </c>
      <c r="G1837" s="3">
        <f>EUR!C1837/1</f>
        <v>1.0541</v>
      </c>
      <c r="H1837" s="3">
        <f>GBP!B1837/1</f>
        <v>1.2177</v>
      </c>
      <c r="I1837" s="3">
        <f>GBP!C1837/1</f>
        <v>1.2185999999999999</v>
      </c>
      <c r="J1837" s="4">
        <f>1/INR!B1837</f>
        <v>1.4660606949127694E-2</v>
      </c>
      <c r="K1837" s="4">
        <f>1/INR!C1837</f>
        <v>1.4595344085236809E-2</v>
      </c>
      <c r="L1837" s="4">
        <f>1/JPY!B1837</f>
        <v>8.5609108809177291E-3</v>
      </c>
      <c r="M1837" s="4">
        <f>1/JPY!C1837</f>
        <v>8.5714114286057144E-3</v>
      </c>
      <c r="N1837" s="5">
        <f>1/KRW!B1837</f>
        <v>8.2747207281754236E-4</v>
      </c>
      <c r="O1837" s="5">
        <f>1/KRW!C1837</f>
        <v>8.2746947092760491E-4</v>
      </c>
      <c r="P1837" s="3">
        <f>1/NOK!B1837</f>
        <v>0.11680196227296617</v>
      </c>
      <c r="Q1837" s="3">
        <f>1/NOK!C1837</f>
        <v>0.11682652429407574</v>
      </c>
      <c r="R1837" s="3">
        <f>NZD!B1837/1</f>
        <v>0.69799999999999995</v>
      </c>
      <c r="S1837" s="3">
        <f>NZD!C1837/1</f>
        <v>0.69720000000000004</v>
      </c>
      <c r="T1837" s="4">
        <f>1/PHP!B1837</f>
        <v>2.015316404675534E-2</v>
      </c>
      <c r="U1837" s="4">
        <f>1/PHP!C1837</f>
        <v>2.0130850528434826E-2</v>
      </c>
      <c r="V1837" s="4">
        <f>1/TWD!B1837</f>
        <v>3.1147796293412244E-2</v>
      </c>
      <c r="W1837" s="4">
        <f>1/TWD!C1837</f>
        <v>3.1148087351696167E-2</v>
      </c>
      <c r="X1837" s="4">
        <f>1/TWD!B1837</f>
        <v>3.1147796293412244E-2</v>
      </c>
      <c r="Y1837" s="4">
        <f>1/TWD!C1837</f>
        <v>3.1148087351696167E-2</v>
      </c>
      <c r="Z1837" s="4">
        <f>1/ZAR!B1837</f>
        <v>7.2951166489152161E-2</v>
      </c>
      <c r="AA1837" s="4">
        <f>1/ZAR!C1837</f>
        <v>7.2500018125004534E-2</v>
      </c>
    </row>
    <row r="1838" spans="1:27" x14ac:dyDescent="0.25">
      <c r="A1838" t="str">
        <f>"10/01/2017"</f>
        <v>10/01/2017</v>
      </c>
      <c r="B1838" s="3">
        <f>AUD!B1838</f>
        <v>0.73519999999999996</v>
      </c>
      <c r="C1838" s="3">
        <f>AUD!C1838</f>
        <v>0.73460000000000003</v>
      </c>
      <c r="D1838" s="3">
        <f>1/CAD!B1838</f>
        <v>0.75557234605213452</v>
      </c>
      <c r="E1838" s="3">
        <f>1/CAD!C1838</f>
        <v>0.75580077091678632</v>
      </c>
      <c r="F1838" s="3">
        <f>EUR!B1838/1</f>
        <v>1.0583</v>
      </c>
      <c r="G1838" s="3">
        <f>EUR!C1838/1</f>
        <v>1.0597000000000001</v>
      </c>
      <c r="H1838" s="3">
        <f>GBP!B1838/1</f>
        <v>1.2148000000000001</v>
      </c>
      <c r="I1838" s="3">
        <f>GBP!C1838/1</f>
        <v>1.2156</v>
      </c>
      <c r="J1838" s="4">
        <f>1/INR!B1838</f>
        <v>1.466544454628781E-2</v>
      </c>
      <c r="K1838" s="4">
        <f>1/INR!C1838</f>
        <v>1.460120459937945E-2</v>
      </c>
      <c r="L1838" s="4">
        <f>1/JPY!B1838</f>
        <v>8.62738331464067E-3</v>
      </c>
      <c r="M1838" s="4">
        <f>1/JPY!C1838</f>
        <v>8.6367197047623728E-3</v>
      </c>
      <c r="N1838" s="5">
        <f>1/KRW!B1838</f>
        <v>8.3647009619406104E-4</v>
      </c>
      <c r="O1838" s="5">
        <f>1/KRW!C1838</f>
        <v>8.3646743741006935E-4</v>
      </c>
      <c r="P1838" s="3">
        <f>1/NOK!B1838</f>
        <v>0.1165813679657717</v>
      </c>
      <c r="Q1838" s="3">
        <f>1/NOK!C1838</f>
        <v>0.11660447761194029</v>
      </c>
      <c r="R1838" s="3">
        <f>NZD!B1838/1</f>
        <v>0.69969999999999999</v>
      </c>
      <c r="S1838" s="3">
        <f>NZD!C1838/1</f>
        <v>0.69889999999999997</v>
      </c>
      <c r="T1838" s="4">
        <f>1/PHP!B1838</f>
        <v>2.0199979800020199E-2</v>
      </c>
      <c r="U1838" s="4">
        <f>1/PHP!C1838</f>
        <v>2.0177969692689524E-2</v>
      </c>
      <c r="V1838" s="4">
        <f>1/TWD!B1838</f>
        <v>3.130282351468102E-2</v>
      </c>
      <c r="W1838" s="4">
        <f>1/TWD!C1838</f>
        <v>3.1303117477469583E-2</v>
      </c>
      <c r="X1838" s="4">
        <f>1/TWD!B1838</f>
        <v>3.130282351468102E-2</v>
      </c>
      <c r="Y1838" s="4">
        <f>1/TWD!C1838</f>
        <v>3.1303117477469583E-2</v>
      </c>
      <c r="Z1838" s="4">
        <f>1/ZAR!B1838</f>
        <v>7.3122934277106671E-2</v>
      </c>
      <c r="AA1838" s="4">
        <f>1/ZAR!C1838</f>
        <v>7.2686568249053257E-2</v>
      </c>
    </row>
    <row r="1839" spans="1:27" x14ac:dyDescent="0.25">
      <c r="A1839" t="str">
        <f>"11/01/2017"</f>
        <v>11/01/2017</v>
      </c>
      <c r="B1839" s="3">
        <f>AUD!B1839</f>
        <v>0.73819999999999997</v>
      </c>
      <c r="C1839" s="3">
        <f>AUD!C1839</f>
        <v>0.73760000000000003</v>
      </c>
      <c r="D1839" s="3">
        <f>1/CAD!B1839</f>
        <v>0.75505889459377828</v>
      </c>
      <c r="E1839" s="3">
        <f>1/CAD!C1839</f>
        <v>0.7552299675251114</v>
      </c>
      <c r="F1839" s="3">
        <f>EUR!B1839/1</f>
        <v>1.0505</v>
      </c>
      <c r="G1839" s="3">
        <f>EUR!C1839/1</f>
        <v>1.0518000000000001</v>
      </c>
      <c r="H1839" s="3">
        <f>GBP!B1839/1</f>
        <v>1.2122999999999999</v>
      </c>
      <c r="I1839" s="3">
        <f>GBP!C1839/1</f>
        <v>1.2131000000000001</v>
      </c>
      <c r="J1839" s="4">
        <f>1/INR!B1839</f>
        <v>1.4633789419770251E-2</v>
      </c>
      <c r="K1839" s="4">
        <f>1/INR!C1839</f>
        <v>1.4570887367040654E-2</v>
      </c>
      <c r="L1839" s="4">
        <f>1/JPY!B1839</f>
        <v>8.5925416738271178E-3</v>
      </c>
      <c r="M1839" s="4">
        <f>1/JPY!C1839</f>
        <v>8.6010037371361241E-3</v>
      </c>
      <c r="N1839" s="5">
        <f>1/KRW!B1839</f>
        <v>8.3580592586401437E-4</v>
      </c>
      <c r="O1839" s="5">
        <f>1/KRW!C1839</f>
        <v>8.3580327130057172E-4</v>
      </c>
      <c r="P1839" s="3">
        <f>1/NOK!B1839</f>
        <v>0.11584532332429741</v>
      </c>
      <c r="Q1839" s="3">
        <f>1/NOK!C1839</f>
        <v>0.11587216982225208</v>
      </c>
      <c r="R1839" s="3">
        <f>NZD!B1839/1</f>
        <v>0.69910000000000005</v>
      </c>
      <c r="S1839" s="3">
        <f>NZD!C1839/1</f>
        <v>0.69840000000000002</v>
      </c>
      <c r="T1839" s="4">
        <f>1/PHP!B1839</f>
        <v>2.0149103364900261E-2</v>
      </c>
      <c r="U1839" s="4">
        <f>1/PHP!C1839</f>
        <v>2.0127203928830207E-2</v>
      </c>
      <c r="V1839" s="4">
        <f>1/TWD!B1839</f>
        <v>3.1313605761703459E-2</v>
      </c>
      <c r="W1839" s="4">
        <f>1/TWD!C1839</f>
        <v>3.1313899927038612E-2</v>
      </c>
      <c r="X1839" s="4">
        <f>1/TWD!B1839</f>
        <v>3.1313605761703459E-2</v>
      </c>
      <c r="Y1839" s="4">
        <f>1/TWD!C1839</f>
        <v>3.1313899927038612E-2</v>
      </c>
      <c r="Z1839" s="4">
        <f>1/ZAR!B1839</f>
        <v>7.2511057936335291E-2</v>
      </c>
      <c r="AA1839" s="4">
        <f>1/ZAR!C1839</f>
        <v>7.2091296417783488E-2</v>
      </c>
    </row>
    <row r="1840" spans="1:27" x14ac:dyDescent="0.25">
      <c r="A1840" t="str">
        <f>"12/01/2017"</f>
        <v>12/01/2017</v>
      </c>
      <c r="B1840" s="3">
        <f>AUD!B1840</f>
        <v>0.75009999999999999</v>
      </c>
      <c r="C1840" s="3">
        <f>AUD!C1840</f>
        <v>0.74950000000000006</v>
      </c>
      <c r="D1840" s="3">
        <f>1/CAD!B1840</f>
        <v>0.76593137254901955</v>
      </c>
      <c r="E1840" s="3">
        <f>1/CAD!C1840</f>
        <v>0.76610740825863788</v>
      </c>
      <c r="F1840" s="3">
        <f>EUR!B1840/1</f>
        <v>1.0644</v>
      </c>
      <c r="G1840" s="3">
        <f>EUR!C1840/1</f>
        <v>1.0657000000000001</v>
      </c>
      <c r="H1840" s="3">
        <f>GBP!B1840/1</f>
        <v>1.2274</v>
      </c>
      <c r="I1840" s="3">
        <f>GBP!C1840/1</f>
        <v>1.2282</v>
      </c>
      <c r="J1840" s="4">
        <f>1/INR!B1840</f>
        <v>1.4686983660730676E-2</v>
      </c>
      <c r="K1840" s="4">
        <f>1/INR!C1840</f>
        <v>1.4624693795473659E-2</v>
      </c>
      <c r="L1840" s="4">
        <f>1/JPY!B1840</f>
        <v>8.7504375218760942E-3</v>
      </c>
      <c r="M1840" s="4">
        <f>1/JPY!C1840</f>
        <v>8.7590908414070245E-3</v>
      </c>
      <c r="N1840" s="5">
        <f>1/KRW!B1840</f>
        <v>8.438818565400844E-4</v>
      </c>
      <c r="O1840" s="5">
        <f>1/KRW!C1840</f>
        <v>8.4387915042972864E-4</v>
      </c>
      <c r="P1840" s="3">
        <f>1/NOK!B1840</f>
        <v>0.11748258320703955</v>
      </c>
      <c r="Q1840" s="3">
        <f>1/NOK!C1840</f>
        <v>0.11750467081066471</v>
      </c>
      <c r="R1840" s="3">
        <f>NZD!B1840/1</f>
        <v>0.71109999999999995</v>
      </c>
      <c r="S1840" s="3">
        <f>NZD!C1840/1</f>
        <v>0.71040000000000003</v>
      </c>
      <c r="T1840" s="4">
        <f>1/PHP!B1840</f>
        <v>2.0169423154497781E-2</v>
      </c>
      <c r="U1840" s="4">
        <f>1/PHP!C1840</f>
        <v>2.0147885479418932E-2</v>
      </c>
      <c r="V1840" s="4">
        <f>1/TWD!B1840</f>
        <v>3.1466331025802388E-2</v>
      </c>
      <c r="W1840" s="4">
        <f>1/TWD!C1840</f>
        <v>3.1466529053046276E-2</v>
      </c>
      <c r="X1840" s="4">
        <f>1/TWD!B1840</f>
        <v>3.1466331025802388E-2</v>
      </c>
      <c r="Y1840" s="4">
        <f>1/TWD!C1840</f>
        <v>3.1466529053046276E-2</v>
      </c>
      <c r="Z1840" s="4">
        <f>1/ZAR!B1840</f>
        <v>7.4133380778697036E-2</v>
      </c>
      <c r="AA1840" s="4">
        <f>1/ZAR!C1840</f>
        <v>7.3705003095610122E-2</v>
      </c>
    </row>
    <row r="1841" spans="1:27" x14ac:dyDescent="0.25">
      <c r="A1841" t="str">
        <f>"13/01/2017"</f>
        <v>13/01/2017</v>
      </c>
      <c r="B1841" s="3">
        <f>AUD!B1841</f>
        <v>0.74929999999999997</v>
      </c>
      <c r="C1841" s="3">
        <f>AUD!C1841</f>
        <v>0.74870000000000003</v>
      </c>
      <c r="D1841" s="3">
        <f>1/CAD!B1841</f>
        <v>0.76167263310229261</v>
      </c>
      <c r="E1841" s="3">
        <f>1/CAD!C1841</f>
        <v>0.76184671644065216</v>
      </c>
      <c r="F1841" s="3">
        <f>EUR!B1841/1</f>
        <v>1.0651999999999999</v>
      </c>
      <c r="G1841" s="3">
        <f>EUR!C1841/1</f>
        <v>1.0665</v>
      </c>
      <c r="H1841" s="3">
        <f>GBP!B1841/1</f>
        <v>1.2197</v>
      </c>
      <c r="I1841" s="3">
        <f>GBP!C1841/1</f>
        <v>1.2203999999999999</v>
      </c>
      <c r="J1841" s="4">
        <f>1/INR!B1841</f>
        <v>1.4670823399963324E-2</v>
      </c>
      <c r="K1841" s="4">
        <f>1/INR!C1841</f>
        <v>1.4603870025556773E-2</v>
      </c>
      <c r="L1841" s="4">
        <f>1/JPY!B1841</f>
        <v>8.7260034904013961E-3</v>
      </c>
      <c r="M1841" s="4">
        <f>1/JPY!C1841</f>
        <v>8.7345017185132129E-3</v>
      </c>
      <c r="N1841" s="5">
        <f>1/KRW!B1841</f>
        <v>8.5102761584613426E-4</v>
      </c>
      <c r="O1841" s="5">
        <f>1/KRW!C1841</f>
        <v>8.5102486371262326E-4</v>
      </c>
      <c r="P1841" s="3">
        <f>1/NOK!B1841</f>
        <v>0.11762768485190674</v>
      </c>
      <c r="Q1841" s="3">
        <f>1/NOK!C1841</f>
        <v>0.11764982705475423</v>
      </c>
      <c r="R1841" s="3">
        <f>NZD!B1841/1</f>
        <v>0.71289999999999998</v>
      </c>
      <c r="S1841" s="3">
        <f>NZD!C1841/1</f>
        <v>0.71220000000000006</v>
      </c>
      <c r="T1841" s="4">
        <f>1/PHP!B1841</f>
        <v>2.0149103364900261E-2</v>
      </c>
      <c r="U1841" s="4">
        <f>1/PHP!C1841</f>
        <v>2.0126798832645666E-2</v>
      </c>
      <c r="V1841" s="4">
        <f>1/TWD!B1841</f>
        <v>3.1643566862856784E-2</v>
      </c>
      <c r="W1841" s="4">
        <f>1/TWD!C1841</f>
        <v>3.1643767127188957E-2</v>
      </c>
      <c r="X1841" s="4">
        <f>1/TWD!B1841</f>
        <v>3.1643566862856784E-2</v>
      </c>
      <c r="Y1841" s="4">
        <f>1/TWD!C1841</f>
        <v>3.1643767127188957E-2</v>
      </c>
      <c r="Z1841" s="4">
        <f>1/ZAR!B1841</f>
        <v>7.4074622774983515E-2</v>
      </c>
      <c r="AA1841" s="4">
        <f>1/ZAR!C1841</f>
        <v>7.3643667749228578E-2</v>
      </c>
    </row>
    <row r="1842" spans="1:27" x14ac:dyDescent="0.25">
      <c r="A1842" t="str">
        <f>"16/01/2017"</f>
        <v>16/01/2017</v>
      </c>
      <c r="B1842" s="3">
        <f>AUD!B1842</f>
        <v>0.74750000000000005</v>
      </c>
      <c r="C1842" s="3">
        <f>AUD!C1842</f>
        <v>0.74680000000000002</v>
      </c>
      <c r="D1842" s="3">
        <f>1/CAD!B1842</f>
        <v>0.76080340839926963</v>
      </c>
      <c r="E1842" s="3">
        <f>1/CAD!C1842</f>
        <v>0.76103500761035003</v>
      </c>
      <c r="F1842" s="3">
        <f>EUR!B1842/1</f>
        <v>1.0611999999999999</v>
      </c>
      <c r="G1842" s="3">
        <f>EUR!C1842/1</f>
        <v>1.0626</v>
      </c>
      <c r="H1842" s="3">
        <f>GBP!B1842/1</f>
        <v>1.2033</v>
      </c>
      <c r="I1842" s="3">
        <f>GBP!C1842/1</f>
        <v>1.2040999999999999</v>
      </c>
      <c r="J1842" s="4">
        <f>1/INR!B1842</f>
        <v>1.4661681694890405E-2</v>
      </c>
      <c r="K1842" s="4">
        <f>1/INR!C1842</f>
        <v>1.4593214155417729E-2</v>
      </c>
      <c r="L1842" s="4">
        <f>1/JPY!B1842</f>
        <v>8.7558007179756592E-3</v>
      </c>
      <c r="M1842" s="4">
        <f>1/JPY!C1842</f>
        <v>8.7652866599349268E-3</v>
      </c>
      <c r="N1842" s="5">
        <f>1/KRW!B1842</f>
        <v>8.4659668134100914E-4</v>
      </c>
      <c r="O1842" s="5">
        <f>1/KRW!C1842</f>
        <v>8.4659395779119572E-4</v>
      </c>
      <c r="P1842" s="3">
        <f>1/NOK!B1842</f>
        <v>0.11733508553727735</v>
      </c>
      <c r="Q1842" s="3">
        <f>1/NOK!C1842</f>
        <v>0.1173557404560444</v>
      </c>
      <c r="R1842" s="3">
        <f>NZD!B1842/1</f>
        <v>0.70960000000000001</v>
      </c>
      <c r="S1842" s="3">
        <f>NZD!C1842/1</f>
        <v>0.70879999999999999</v>
      </c>
      <c r="T1842" s="4">
        <f>1/PHP!B1842</f>
        <v>2.0054146194725758E-2</v>
      </c>
      <c r="U1842" s="4">
        <f>1/PHP!C1842</f>
        <v>2.003205128205128E-2</v>
      </c>
      <c r="V1842" s="4">
        <f>1/TWD!B1842</f>
        <v>3.1528833117886311E-2</v>
      </c>
      <c r="W1842" s="4">
        <f>1/TWD!C1842</f>
        <v>3.1529031932603542E-2</v>
      </c>
      <c r="X1842" s="4">
        <f>1/TWD!B1842</f>
        <v>3.1528833117886311E-2</v>
      </c>
      <c r="Y1842" s="4">
        <f>1/TWD!C1842</f>
        <v>3.1529031932603542E-2</v>
      </c>
      <c r="Z1842" s="4">
        <f>1/ZAR!B1842</f>
        <v>7.3798559452119494E-2</v>
      </c>
      <c r="AA1842" s="4">
        <f>1/ZAR!C1842</f>
        <v>7.3329373547161791E-2</v>
      </c>
    </row>
    <row r="1843" spans="1:27" x14ac:dyDescent="0.25">
      <c r="A1843" t="str">
        <f>"17/01/2017"</f>
        <v>17/01/2017</v>
      </c>
      <c r="B1843" s="3">
        <f>AUD!B1843</f>
        <v>0.75560000000000005</v>
      </c>
      <c r="C1843" s="3">
        <f>AUD!C1843</f>
        <v>0.755</v>
      </c>
      <c r="D1843" s="3">
        <f>1/CAD!B1843</f>
        <v>0.76692997929289053</v>
      </c>
      <c r="E1843" s="3">
        <f>1/CAD!C1843</f>
        <v>0.76710647437864365</v>
      </c>
      <c r="F1843" s="3">
        <f>EUR!B1843/1</f>
        <v>1.0708</v>
      </c>
      <c r="G1843" s="3">
        <f>EUR!C1843/1</f>
        <v>1.0722</v>
      </c>
      <c r="H1843" s="3">
        <f>GBP!B1843/1</f>
        <v>1.218</v>
      </c>
      <c r="I1843" s="3">
        <f>GBP!C1843/1</f>
        <v>1.2188000000000001</v>
      </c>
      <c r="J1843" s="4">
        <f>1/INR!B1843</f>
        <v>1.4713455455013609E-2</v>
      </c>
      <c r="K1843" s="4">
        <f>1/INR!C1843</f>
        <v>1.4647722279185588E-2</v>
      </c>
      <c r="L1843" s="4">
        <f>1/JPY!B1843</f>
        <v>8.864462370357238E-3</v>
      </c>
      <c r="M1843" s="4">
        <f>1/JPY!C1843</f>
        <v>8.8732483098680273E-3</v>
      </c>
      <c r="N1843" s="5">
        <f>1/KRW!B1843</f>
        <v>8.5135365230716846E-4</v>
      </c>
      <c r="O1843" s="5">
        <f>1/KRW!C1843</f>
        <v>8.5135184030342187E-4</v>
      </c>
      <c r="P1843" s="3">
        <f>1/NOK!B1843</f>
        <v>0.11843570125778714</v>
      </c>
      <c r="Q1843" s="3">
        <f>1/NOK!C1843</f>
        <v>0.11846235858555944</v>
      </c>
      <c r="R1843" s="3">
        <f>NZD!B1843/1</f>
        <v>0.71940000000000004</v>
      </c>
      <c r="S1843" s="3">
        <f>NZD!C1843/1</f>
        <v>0.71860000000000002</v>
      </c>
      <c r="T1843" s="4">
        <f>1/PHP!B1843</f>
        <v>2.006823198876179E-2</v>
      </c>
      <c r="U1843" s="4">
        <f>1/PHP!C1843</f>
        <v>2.0054146194725758E-2</v>
      </c>
      <c r="V1843" s="4">
        <f>1/TWD!B1843</f>
        <v>3.1641564358941908E-2</v>
      </c>
      <c r="W1843" s="4">
        <f>1/TWD!C1843</f>
        <v>3.1641864718371583E-2</v>
      </c>
      <c r="X1843" s="4">
        <f>1/TWD!B1843</f>
        <v>3.1641564358941908E-2</v>
      </c>
      <c r="Y1843" s="4">
        <f>1/TWD!C1843</f>
        <v>3.1641864718371583E-2</v>
      </c>
      <c r="Z1843" s="4">
        <f>1/ZAR!B1843</f>
        <v>7.4383730790401531E-2</v>
      </c>
      <c r="AA1843" s="4">
        <f>1/ZAR!C1843</f>
        <v>7.3931687121100098E-2</v>
      </c>
    </row>
    <row r="1844" spans="1:27" x14ac:dyDescent="0.25">
      <c r="A1844" t="str">
        <f>"18/01/2017"</f>
        <v>18/01/2017</v>
      </c>
      <c r="B1844" s="3">
        <f>AUD!B1844</f>
        <v>0.75509999999999999</v>
      </c>
      <c r="C1844" s="3">
        <f>AUD!C1844</f>
        <v>0.75449999999999995</v>
      </c>
      <c r="D1844" s="3">
        <f>1/CAD!B1844</f>
        <v>0.76260199801723483</v>
      </c>
      <c r="E1844" s="3">
        <f>1/CAD!C1844</f>
        <v>0.76283469372187052</v>
      </c>
      <c r="F1844" s="3">
        <f>EUR!B1844/1</f>
        <v>1.0661</v>
      </c>
      <c r="G1844" s="3">
        <f>EUR!C1844/1</f>
        <v>1.0674999999999999</v>
      </c>
      <c r="H1844" s="3">
        <f>GBP!B1844/1</f>
        <v>1.2282999999999999</v>
      </c>
      <c r="I1844" s="3">
        <f>GBP!C1844/1</f>
        <v>1.2291000000000001</v>
      </c>
      <c r="J1844" s="4">
        <f>1/INR!B1844</f>
        <v>1.4688601645123384E-2</v>
      </c>
      <c r="K1844" s="4">
        <f>1/INR!C1844</f>
        <v>1.4624693795473659E-2</v>
      </c>
      <c r="L1844" s="4">
        <f>1/JPY!B1844</f>
        <v>8.8051422030465797E-3</v>
      </c>
      <c r="M1844" s="4">
        <f>1/JPY!C1844</f>
        <v>8.8137021338854232E-3</v>
      </c>
      <c r="N1844" s="5">
        <f>1/KRW!B1844</f>
        <v>8.5781685610122243E-4</v>
      </c>
      <c r="O1844" s="5">
        <f>1/KRW!C1844</f>
        <v>8.5781612025209503E-4</v>
      </c>
      <c r="P1844" s="3">
        <f>1/NOK!B1844</f>
        <v>0.11799549257218374</v>
      </c>
      <c r="Q1844" s="3">
        <f>1/NOK!C1844</f>
        <v>0.11802473798508169</v>
      </c>
      <c r="R1844" s="3">
        <f>NZD!B1844/1</f>
        <v>0.71870000000000001</v>
      </c>
      <c r="S1844" s="3">
        <f>NZD!C1844/1</f>
        <v>0.71799999999999997</v>
      </c>
      <c r="T1844" s="4">
        <f>1/PHP!B1844</f>
        <v>2.006823198876179E-2</v>
      </c>
      <c r="U1844" s="4">
        <f>1/PHP!C1844</f>
        <v>2.0054146194725758E-2</v>
      </c>
      <c r="V1844" s="4">
        <f>1/TWD!B1844</f>
        <v>3.1647572631179191E-2</v>
      </c>
      <c r="W1844" s="4">
        <f>1/TWD!C1844</f>
        <v>3.1647873104688001E-2</v>
      </c>
      <c r="X1844" s="4">
        <f>1/TWD!B1844</f>
        <v>3.1647572631179191E-2</v>
      </c>
      <c r="Y1844" s="4">
        <f>1/TWD!C1844</f>
        <v>3.1647873104688001E-2</v>
      </c>
      <c r="Z1844" s="4">
        <f>1/ZAR!B1844</f>
        <v>7.3709892604686467E-2</v>
      </c>
      <c r="AA1844" s="4">
        <f>1/ZAR!C1844</f>
        <v>7.3267051074461312E-2</v>
      </c>
    </row>
    <row r="1845" spans="1:27" x14ac:dyDescent="0.25">
      <c r="A1845" t="str">
        <f>"19/01/2017"</f>
        <v>19/01/2017</v>
      </c>
      <c r="B1845" s="3">
        <f>AUD!B1845</f>
        <v>0.752</v>
      </c>
      <c r="C1845" s="3">
        <f>AUD!C1845</f>
        <v>0.75139999999999996</v>
      </c>
      <c r="D1845" s="3">
        <f>1/CAD!B1845</f>
        <v>0.75392038600723765</v>
      </c>
      <c r="E1845" s="3">
        <f>1/CAD!C1845</f>
        <v>0.75409094336777016</v>
      </c>
      <c r="F1845" s="3">
        <f>EUR!B1845/1</f>
        <v>1.0638000000000001</v>
      </c>
      <c r="G1845" s="3">
        <f>EUR!C1845/1</f>
        <v>1.0650999999999999</v>
      </c>
      <c r="H1845" s="3">
        <f>GBP!B1845/1</f>
        <v>1.2274</v>
      </c>
      <c r="I1845" s="3">
        <f>GBP!C1845/1</f>
        <v>1.2282</v>
      </c>
      <c r="J1845" s="4">
        <f>1/INR!B1845</f>
        <v>1.4660069635330767E-2</v>
      </c>
      <c r="K1845" s="4">
        <f>1/INR!C1845</f>
        <v>1.4598007371993724E-2</v>
      </c>
      <c r="L1845" s="4">
        <f>1/JPY!B1845</f>
        <v>8.7336244541484712E-3</v>
      </c>
      <c r="M1845" s="4">
        <f>1/JPY!C1845</f>
        <v>8.7420611157492598E-3</v>
      </c>
      <c r="N1845" s="5">
        <f>1/KRW!B1845</f>
        <v>8.499787505312367E-4</v>
      </c>
      <c r="O1845" s="5">
        <f>1/KRW!C1845</f>
        <v>8.4997802806797442E-4</v>
      </c>
      <c r="P1845" s="3">
        <f>1/NOK!B1845</f>
        <v>0.11770383361386079</v>
      </c>
      <c r="Q1845" s="3">
        <f>1/NOK!C1845</f>
        <v>0.1177273904546632</v>
      </c>
      <c r="R1845" s="3">
        <f>NZD!B1845/1</f>
        <v>0.71399999999999997</v>
      </c>
      <c r="S1845" s="3">
        <f>NZD!C1845/1</f>
        <v>0.71330000000000005</v>
      </c>
      <c r="T1845" s="4">
        <f>1/PHP!B1845</f>
        <v>2.0028039254956938E-2</v>
      </c>
      <c r="U1845" s="4">
        <f>1/PHP!C1845</f>
        <v>2.0012007204322595E-2</v>
      </c>
      <c r="V1845" s="4">
        <f>1/TWD!B1845</f>
        <v>3.1601567437744914E-2</v>
      </c>
      <c r="W1845" s="4">
        <f>1/TWD!C1845</f>
        <v>3.1601867038304622E-2</v>
      </c>
      <c r="X1845" s="4">
        <f>1/TWD!B1845</f>
        <v>3.1601567437744914E-2</v>
      </c>
      <c r="Y1845" s="4">
        <f>1/TWD!C1845</f>
        <v>3.1601867038304622E-2</v>
      </c>
      <c r="Z1845" s="4">
        <f>1/ZAR!B1845</f>
        <v>7.3529411764705885E-2</v>
      </c>
      <c r="AA1845" s="4">
        <f>1/ZAR!C1845</f>
        <v>7.3099415204678359E-2</v>
      </c>
    </row>
    <row r="1846" spans="1:27" x14ac:dyDescent="0.25">
      <c r="A1846" t="str">
        <f>"20/01/2017"</f>
        <v>20/01/2017</v>
      </c>
      <c r="B1846" s="3">
        <f>AUD!B1846</f>
        <v>0.752</v>
      </c>
      <c r="C1846" s="3">
        <f>AUD!C1846</f>
        <v>0.75139999999999996</v>
      </c>
      <c r="D1846" s="3">
        <f>1/CAD!B1846</f>
        <v>0.74771945566023634</v>
      </c>
      <c r="E1846" s="3">
        <f>1/CAD!C1846</f>
        <v>0.74794315632011965</v>
      </c>
      <c r="F1846" s="3">
        <f>EUR!B1846/1</f>
        <v>1.0629999999999999</v>
      </c>
      <c r="G1846" s="3">
        <f>EUR!C1846/1</f>
        <v>1.0643</v>
      </c>
      <c r="H1846" s="3">
        <f>GBP!B1846/1</f>
        <v>1.2263999999999999</v>
      </c>
      <c r="I1846" s="3">
        <f>GBP!C1846/1</f>
        <v>1.2272000000000001</v>
      </c>
      <c r="J1846" s="4">
        <f>1/INR!B1846</f>
        <v>1.4664906877841326E-2</v>
      </c>
      <c r="K1846" s="4">
        <f>1/INR!C1846</f>
        <v>1.4597474636887819E-2</v>
      </c>
      <c r="L1846" s="4">
        <f>1/JPY!B1846</f>
        <v>8.6685159500693477E-3</v>
      </c>
      <c r="M1846" s="4">
        <f>1/JPY!C1846</f>
        <v>8.6765712619812606E-3</v>
      </c>
      <c r="N1846" s="5">
        <f>1/KRW!B1846</f>
        <v>8.5524909129784047E-4</v>
      </c>
      <c r="O1846" s="5">
        <f>1/KRW!C1846</f>
        <v>8.552483598474579E-4</v>
      </c>
      <c r="P1846" s="3">
        <f>1/NOK!B1846</f>
        <v>0.11817956202654312</v>
      </c>
      <c r="Q1846" s="3">
        <f>1/NOK!C1846</f>
        <v>0.118206104163219</v>
      </c>
      <c r="R1846" s="3">
        <f>NZD!B1846/1</f>
        <v>0.71299999999999997</v>
      </c>
      <c r="S1846" s="3">
        <f>NZD!C1846/1</f>
        <v>0.71230000000000004</v>
      </c>
      <c r="T1846" s="4">
        <f>1/PHP!B1846</f>
        <v>2.003205128205128E-2</v>
      </c>
      <c r="U1846" s="4">
        <f>1/PHP!C1846</f>
        <v>2.0014009806864803E-2</v>
      </c>
      <c r="V1846" s="4">
        <f>1/TWD!B1846</f>
        <v>3.1710797526557789E-2</v>
      </c>
      <c r="W1846" s="4">
        <f>1/TWD!C1846</f>
        <v>3.1710998642769259E-2</v>
      </c>
      <c r="X1846" s="4">
        <f>1/TWD!B1846</f>
        <v>3.1710797526557789E-2</v>
      </c>
      <c r="Y1846" s="4">
        <f>1/TWD!C1846</f>
        <v>3.1710998642769259E-2</v>
      </c>
      <c r="Z1846" s="4">
        <f>1/ZAR!B1846</f>
        <v>7.3420899993392116E-2</v>
      </c>
      <c r="AA1846" s="4">
        <f>1/ZAR!C1846</f>
        <v>7.2994299145236752E-2</v>
      </c>
    </row>
    <row r="1847" spans="1:27" x14ac:dyDescent="0.25">
      <c r="A1847" t="str">
        <f>"23/01/2017"</f>
        <v>23/01/2017</v>
      </c>
      <c r="B1847" s="3">
        <f>AUD!B1847</f>
        <v>0.75600000000000001</v>
      </c>
      <c r="C1847" s="3">
        <f>AUD!C1847</f>
        <v>0.75539999999999996</v>
      </c>
      <c r="D1847" s="3">
        <f>1/CAD!B1847</f>
        <v>0.75227563379222151</v>
      </c>
      <c r="E1847" s="3">
        <f>1/CAD!C1847</f>
        <v>0.75250206938069086</v>
      </c>
      <c r="F1847" s="3">
        <f>EUR!B1847/1</f>
        <v>1.0727</v>
      </c>
      <c r="G1847" s="3">
        <f>EUR!C1847/1</f>
        <v>1.0741000000000001</v>
      </c>
      <c r="H1847" s="3">
        <f>GBP!B1847/1</f>
        <v>1.2448999999999999</v>
      </c>
      <c r="I1847" s="3">
        <f>GBP!C1847/1</f>
        <v>1.2457</v>
      </c>
      <c r="J1847" s="4">
        <f>1/INR!B1847</f>
        <v>1.465845793022574E-2</v>
      </c>
      <c r="K1847" s="4">
        <f>1/INR!C1847</f>
        <v>1.4592681770092299E-2</v>
      </c>
      <c r="L1847" s="4">
        <f>1/JPY!B1847</f>
        <v>8.794301292762291E-3</v>
      </c>
      <c r="M1847" s="4">
        <f>1/JPY!C1847</f>
        <v>8.803057125678606E-3</v>
      </c>
      <c r="N1847" s="5">
        <f>1/KRW!B1847</f>
        <v>8.5730207038449999E-4</v>
      </c>
      <c r="O1847" s="5">
        <f>1/KRW!C1847</f>
        <v>8.5730133541829013E-4</v>
      </c>
      <c r="P1847" s="3">
        <f>1/NOK!B1847</f>
        <v>0.1191625257688962</v>
      </c>
      <c r="Q1847" s="3">
        <f>1/NOK!C1847</f>
        <v>0.11919093195389693</v>
      </c>
      <c r="R1847" s="3">
        <f>NZD!B1847/1</f>
        <v>0.71830000000000005</v>
      </c>
      <c r="S1847" s="3">
        <f>NZD!C1847/1</f>
        <v>0.71750000000000003</v>
      </c>
      <c r="T1847" s="4">
        <f>1/PHP!B1847</f>
        <v>2.0052135552436335E-2</v>
      </c>
      <c r="U1847" s="4">
        <f>1/PHP!C1847</f>
        <v>2.0037670821143751E-2</v>
      </c>
      <c r="V1847" s="4">
        <f>1/TWD!B1847</f>
        <v>3.1809651048128003E-2</v>
      </c>
      <c r="W1847" s="4">
        <f>1/TWD!C1847</f>
        <v>3.180985342019544E-2</v>
      </c>
      <c r="X1847" s="4">
        <f>1/TWD!B1847</f>
        <v>3.1809651048128003E-2</v>
      </c>
      <c r="Y1847" s="4">
        <f>1/TWD!C1847</f>
        <v>3.180985342019544E-2</v>
      </c>
      <c r="Z1847" s="4">
        <f>1/ZAR!B1847</f>
        <v>7.3906006341135352E-2</v>
      </c>
      <c r="AA1847" s="4">
        <f>1/ZAR!C1847</f>
        <v>7.3451099930221461E-2</v>
      </c>
    </row>
    <row r="1848" spans="1:27" x14ac:dyDescent="0.25">
      <c r="A1848" t="str">
        <f>"24/01/2017"</f>
        <v>24/01/2017</v>
      </c>
      <c r="B1848" s="3">
        <f>AUD!B1848</f>
        <v>0.75760000000000005</v>
      </c>
      <c r="C1848" s="3">
        <f>AUD!C1848</f>
        <v>0.75700000000000001</v>
      </c>
      <c r="D1848" s="3">
        <f>1/CAD!B1848</f>
        <v>0.75580077091678632</v>
      </c>
      <c r="E1848" s="3">
        <f>1/CAD!C1848</f>
        <v>0.75602933393815686</v>
      </c>
      <c r="F1848" s="3">
        <f>EUR!B1848/1</f>
        <v>1.0753999999999999</v>
      </c>
      <c r="G1848" s="3">
        <f>EUR!C1848/1</f>
        <v>1.0768</v>
      </c>
      <c r="H1848" s="3">
        <f>GBP!B1848/1</f>
        <v>1.2506999999999999</v>
      </c>
      <c r="I1848" s="3">
        <f>GBP!C1848/1</f>
        <v>1.2515000000000001</v>
      </c>
      <c r="J1848" s="4">
        <f>1/INR!B1848</f>
        <v>1.4678360427140288E-2</v>
      </c>
      <c r="K1848" s="4">
        <f>1/INR!C1848</f>
        <v>1.4616143530529469E-2</v>
      </c>
      <c r="L1848" s="4">
        <f>1/JPY!B1848</f>
        <v>8.8589652728561299E-3</v>
      </c>
      <c r="M1848" s="4">
        <f>1/JPY!C1848</f>
        <v>8.8673314209455241E-3</v>
      </c>
      <c r="N1848" s="5">
        <f>1/KRW!B1848</f>
        <v>8.5936492931723454E-4</v>
      </c>
      <c r="O1848" s="5">
        <f>1/KRW!C1848</f>
        <v>8.5936470776486716E-4</v>
      </c>
      <c r="P1848" s="3">
        <f>1/NOK!B1848</f>
        <v>0.11966875688095351</v>
      </c>
      <c r="Q1848" s="3">
        <f>1/NOK!C1848</f>
        <v>0.11969883772428569</v>
      </c>
      <c r="R1848" s="3">
        <f>NZD!B1848/1</f>
        <v>0.72350000000000003</v>
      </c>
      <c r="S1848" s="3">
        <f>NZD!C1848/1</f>
        <v>0.7228</v>
      </c>
      <c r="T1848" s="4">
        <f>1/PHP!B1848</f>
        <v>2.0086371397007131E-2</v>
      </c>
      <c r="U1848" s="4">
        <f>1/PHP!C1848</f>
        <v>2.0073065960094744E-2</v>
      </c>
      <c r="V1848" s="4">
        <f>1/TWD!B1848</f>
        <v>3.1857279388340237E-2</v>
      </c>
      <c r="W1848" s="4">
        <f>1/TWD!C1848</f>
        <v>3.1857482366883509E-2</v>
      </c>
      <c r="X1848" s="4">
        <f>1/TWD!B1848</f>
        <v>3.1857279388340237E-2</v>
      </c>
      <c r="Y1848" s="4">
        <f>1/TWD!C1848</f>
        <v>3.1857482366883509E-2</v>
      </c>
      <c r="Z1848" s="4">
        <f>1/ZAR!B1848</f>
        <v>7.4267168712727163E-2</v>
      </c>
      <c r="AA1848" s="4">
        <f>1/ZAR!C1848</f>
        <v>7.3821440699236685E-2</v>
      </c>
    </row>
    <row r="1849" spans="1:27" x14ac:dyDescent="0.25">
      <c r="A1849" t="str">
        <f>"25/01/2017"</f>
        <v>25/01/2017</v>
      </c>
      <c r="B1849" s="3">
        <f>AUD!B1849</f>
        <v>0.75490000000000002</v>
      </c>
      <c r="C1849" s="3">
        <f>AUD!C1849</f>
        <v>0.75439999999999996</v>
      </c>
      <c r="D1849" s="3">
        <f>1/CAD!B1849</f>
        <v>0.76144064570166758</v>
      </c>
      <c r="E1849" s="3">
        <f>1/CAD!C1849</f>
        <v>0.76167263310229261</v>
      </c>
      <c r="F1849" s="3">
        <f>EUR!B1849/1</f>
        <v>1.075</v>
      </c>
      <c r="G1849" s="3">
        <f>EUR!C1849/1</f>
        <v>1.0763</v>
      </c>
      <c r="H1849" s="3">
        <f>GBP!B1849/1</f>
        <v>1.2568999999999999</v>
      </c>
      <c r="I1849" s="3">
        <f>GBP!C1849/1</f>
        <v>1.2577</v>
      </c>
      <c r="J1849" s="4">
        <f>1/INR!B1849</f>
        <v>1.4688601645123384E-2</v>
      </c>
      <c r="K1849" s="4">
        <f>1/INR!C1849</f>
        <v>1.4630577907827361E-2</v>
      </c>
      <c r="L1849" s="4">
        <f>1/JPY!B1849</f>
        <v>8.8012673825030793E-3</v>
      </c>
      <c r="M1849" s="4">
        <f>1/JPY!C1849</f>
        <v>8.8088342036461518E-3</v>
      </c>
      <c r="N1849" s="5">
        <f>1/KRW!B1849</f>
        <v>8.5755938598747975E-4</v>
      </c>
      <c r="O1849" s="5">
        <f>1/KRW!C1849</f>
        <v>8.5755916536510619E-4</v>
      </c>
      <c r="P1849" s="3">
        <f>1/NOK!B1849</f>
        <v>0.12026024316621167</v>
      </c>
      <c r="Q1849" s="3">
        <f>1/NOK!C1849</f>
        <v>0.12028483448806776</v>
      </c>
      <c r="R1849" s="3">
        <f>NZD!B1849/1</f>
        <v>0.72540000000000004</v>
      </c>
      <c r="S1849" s="3">
        <f>NZD!C1849/1</f>
        <v>0.72470000000000001</v>
      </c>
      <c r="T1849" s="4">
        <f>1/PHP!B1849</f>
        <v>2.0092425155716295E-2</v>
      </c>
      <c r="U1849" s="4">
        <f>1/PHP!C1849</f>
        <v>2.0077096048827497E-2</v>
      </c>
      <c r="V1849" s="4">
        <f>1/TWD!B1849</f>
        <v>3.1918289179699973E-2</v>
      </c>
      <c r="W1849" s="4">
        <f>1/TWD!C1849</f>
        <v>3.1918492936437518E-2</v>
      </c>
      <c r="X1849" s="4">
        <f>1/TWD!B1849</f>
        <v>3.1918289179699973E-2</v>
      </c>
      <c r="Y1849" s="4">
        <f>1/TWD!C1849</f>
        <v>3.1918492936437518E-2</v>
      </c>
      <c r="Z1849" s="4">
        <f>1/ZAR!B1849</f>
        <v>7.534545892919034E-2</v>
      </c>
      <c r="AA1849" s="4">
        <f>1/ZAR!C1849</f>
        <v>7.4920397078104509E-2</v>
      </c>
    </row>
    <row r="1850" spans="1:27" x14ac:dyDescent="0.25">
      <c r="A1850" t="str">
        <f>"27/01/2017"</f>
        <v>27/01/2017</v>
      </c>
      <c r="B1850" s="3">
        <f>AUD!B1850</f>
        <v>0.75339999999999996</v>
      </c>
      <c r="C1850" s="3">
        <f>AUD!C1850</f>
        <v>0.75290000000000001</v>
      </c>
      <c r="D1850" s="3">
        <f>1/CAD!B1850</f>
        <v>0.76295109483482115</v>
      </c>
      <c r="E1850" s="3">
        <f>1/CAD!C1850</f>
        <v>0.76318400366328321</v>
      </c>
      <c r="F1850" s="3">
        <f>EUR!B1850/1</f>
        <v>1.0692999999999999</v>
      </c>
      <c r="G1850" s="3">
        <f>EUR!C1850/1</f>
        <v>1.0705</v>
      </c>
      <c r="H1850" s="3">
        <f>GBP!B1850/1</f>
        <v>1.254</v>
      </c>
      <c r="I1850" s="3">
        <f>GBP!C1850/1</f>
        <v>1.2545999999999999</v>
      </c>
      <c r="J1850" s="4">
        <f>1/INR!B1850</f>
        <v>1.469723691945914E-2</v>
      </c>
      <c r="K1850" s="4">
        <f>1/INR!C1850</f>
        <v>1.4641288433382138E-2</v>
      </c>
      <c r="L1850" s="4">
        <f>1/JPY!B1850</f>
        <v>8.6956521739130436E-3</v>
      </c>
      <c r="M1850" s="4">
        <f>1/JPY!C1850</f>
        <v>8.7028793476321645E-3</v>
      </c>
      <c r="N1850" s="5">
        <f>1/KRW!B1850</f>
        <v>8.6225479629230435E-4</v>
      </c>
      <c r="O1850" s="5">
        <f>1/KRW!C1850</f>
        <v>8.6225501933736215E-4</v>
      </c>
      <c r="P1850" s="3">
        <f>1/NOK!B1850</f>
        <v>0.11975904480185867</v>
      </c>
      <c r="Q1850" s="3">
        <f>1/NOK!C1850</f>
        <v>0.11978199676588609</v>
      </c>
      <c r="R1850" s="3">
        <f>NZD!B1850/1</f>
        <v>0.72509999999999997</v>
      </c>
      <c r="S1850" s="3">
        <f>NZD!C1850/1</f>
        <v>0.72440000000000004</v>
      </c>
      <c r="T1850" s="4">
        <f>1/PHP!B1850</f>
        <v>2.0060180541624874E-2</v>
      </c>
      <c r="U1850" s="4">
        <f>1/PHP!C1850</f>
        <v>2.0041084222656446E-2</v>
      </c>
      <c r="V1850" s="4">
        <f>1/TWD!B1850</f>
        <v>3.1853220360578458E-2</v>
      </c>
      <c r="W1850" s="4">
        <f>1/TWD!C1850</f>
        <v>3.1853423287400699E-2</v>
      </c>
      <c r="X1850" s="4">
        <f>1/TWD!B1850</f>
        <v>3.1853220360578458E-2</v>
      </c>
      <c r="Y1850" s="4">
        <f>1/TWD!C1850</f>
        <v>3.1853423287400699E-2</v>
      </c>
      <c r="Z1850" s="4">
        <f>1/ZAR!B1850</f>
        <v>7.4919274481745915E-2</v>
      </c>
      <c r="AA1850" s="4">
        <f>1/ZAR!C1850</f>
        <v>7.4541754563818924E-2</v>
      </c>
    </row>
    <row r="1851" spans="1:27" x14ac:dyDescent="0.25">
      <c r="A1851" t="str">
        <f>"30/01/2017"</f>
        <v>30/01/2017</v>
      </c>
      <c r="B1851" s="3">
        <f>AUD!B1851</f>
        <v>0.75509999999999999</v>
      </c>
      <c r="C1851" s="3">
        <f>AUD!C1851</f>
        <v>0.75460000000000005</v>
      </c>
      <c r="D1851" s="3">
        <f>1/CAD!B1851</f>
        <v>0.76149862930246726</v>
      </c>
      <c r="E1851" s="3">
        <f>1/CAD!C1851</f>
        <v>0.76167263310229261</v>
      </c>
      <c r="F1851" s="3">
        <f>EUR!B1851/1</f>
        <v>1.073</v>
      </c>
      <c r="G1851" s="3">
        <f>EUR!C1851/1</f>
        <v>1.0742</v>
      </c>
      <c r="H1851" s="3">
        <f>GBP!B1851/1</f>
        <v>1.2574000000000001</v>
      </c>
      <c r="I1851" s="3">
        <f>GBP!C1851/1</f>
        <v>1.258</v>
      </c>
      <c r="J1851" s="4">
        <f>1/INR!B1851</f>
        <v>1.4690759512266786E-2</v>
      </c>
      <c r="K1851" s="4">
        <f>1/INR!C1851</f>
        <v>1.4633789419770251E-2</v>
      </c>
      <c r="L1851" s="4">
        <f>1/JPY!B1851</f>
        <v>8.7343872827321169E-3</v>
      </c>
      <c r="M1851" s="4">
        <f>1/JPY!C1851</f>
        <v>8.7413733571681442E-3</v>
      </c>
      <c r="N1851" s="5">
        <f>1/KRW!B1851</f>
        <v>8.6225479629230435E-4</v>
      </c>
      <c r="O1851" s="5">
        <f>1/KRW!C1851</f>
        <v>8.6225501933736215E-4</v>
      </c>
      <c r="P1851" s="3">
        <f>1/NOK!B1851</f>
        <v>0.1202587969309955</v>
      </c>
      <c r="Q1851" s="3">
        <f>1/NOK!C1851</f>
        <v>0.12027760070242119</v>
      </c>
      <c r="R1851" s="3">
        <f>NZD!B1851/1</f>
        <v>0.72629999999999995</v>
      </c>
      <c r="S1851" s="3">
        <f>NZD!C1851/1</f>
        <v>0.72560000000000002</v>
      </c>
      <c r="T1851" s="4">
        <f>1/PHP!B1851</f>
        <v>2.0072260136491368E-2</v>
      </c>
      <c r="U1851" s="4">
        <f>1/PHP!C1851</f>
        <v>2.0050929360575863E-2</v>
      </c>
      <c r="V1851" s="4">
        <f>1/TWD!B1851</f>
        <v>3.1853220360578458E-2</v>
      </c>
      <c r="W1851" s="4">
        <f>1/TWD!C1851</f>
        <v>3.1853423287400699E-2</v>
      </c>
      <c r="X1851" s="4">
        <f>1/TWD!B1851</f>
        <v>3.1853220360578458E-2</v>
      </c>
      <c r="Y1851" s="4">
        <f>1/TWD!C1851</f>
        <v>3.1853423287400699E-2</v>
      </c>
      <c r="Z1851" s="4">
        <f>1/ZAR!B1851</f>
        <v>7.4342256882234434E-2</v>
      </c>
      <c r="AA1851" s="4">
        <f>1/ZAR!C1851</f>
        <v>7.3972704072197359E-2</v>
      </c>
    </row>
    <row r="1852" spans="1:27" x14ac:dyDescent="0.25">
      <c r="A1852" t="str">
        <f>"31/01/2017"</f>
        <v>31/01/2017</v>
      </c>
      <c r="B1852" s="3">
        <f>AUD!B1852</f>
        <v>0.75700000000000001</v>
      </c>
      <c r="C1852" s="3">
        <f>AUD!C1852</f>
        <v>0.75429999999999997</v>
      </c>
      <c r="D1852" s="3">
        <f>1/CAD!B1852</f>
        <v>0.76242756938090872</v>
      </c>
      <c r="E1852" s="3">
        <f>1/CAD!C1852</f>
        <v>0.76266015863331305</v>
      </c>
      <c r="F1852" s="3">
        <f>EUR!B1852/1</f>
        <v>1.0783</v>
      </c>
      <c r="G1852" s="3">
        <f>EUR!C1852/1</f>
        <v>1.0718000000000001</v>
      </c>
      <c r="H1852" s="3">
        <f>GBP!B1852/1</f>
        <v>1.2568999999999999</v>
      </c>
      <c r="I1852" s="3">
        <f>GBP!C1852/1</f>
        <v>1.2435</v>
      </c>
      <c r="J1852" s="4">
        <f>1/INR!B1852</f>
        <v>1.4734050390452334E-2</v>
      </c>
      <c r="K1852" s="4">
        <f>1/INR!C1852</f>
        <v>1.4677821811243212E-2</v>
      </c>
      <c r="L1852" s="4">
        <f>1/JPY!B1852</f>
        <v>8.7804021424181221E-3</v>
      </c>
      <c r="M1852" s="4">
        <f>1/JPY!C1852</f>
        <v>8.7871454606485259E-3</v>
      </c>
      <c r="N1852" s="5">
        <f>1/KRW!B1852</f>
        <v>8.6080743737625891E-4</v>
      </c>
      <c r="O1852" s="5">
        <f>1/KRW!C1852</f>
        <v>8.6080765967314966E-4</v>
      </c>
      <c r="P1852" s="3">
        <f>1/NOK!B1852</f>
        <v>0.12041519158056979</v>
      </c>
      <c r="Q1852" s="3">
        <f>1/NOK!C1852</f>
        <v>0.12043694523732099</v>
      </c>
      <c r="R1852" s="3">
        <f>NZD!B1852/1</f>
        <v>0.72770000000000001</v>
      </c>
      <c r="S1852" s="3">
        <f>NZD!C1852/1</f>
        <v>0.72699999999999998</v>
      </c>
      <c r="T1852" s="4">
        <f>1/PHP!B1852</f>
        <v>2.0092425155716295E-2</v>
      </c>
      <c r="U1852" s="4">
        <f>1/PHP!C1852</f>
        <v>2.0075483819160043E-2</v>
      </c>
      <c r="V1852" s="4">
        <f>1/TWD!B1852</f>
        <v>3.1853220360578458E-2</v>
      </c>
      <c r="W1852" s="4">
        <f>1/TWD!C1852</f>
        <v>3.1853423287400699E-2</v>
      </c>
      <c r="X1852" s="4">
        <f>1/TWD!B1852</f>
        <v>3.1853220360578458E-2</v>
      </c>
      <c r="Y1852" s="4">
        <f>1/TWD!C1852</f>
        <v>3.1853423287400699E-2</v>
      </c>
      <c r="Z1852" s="4">
        <f>1/ZAR!B1852</f>
        <v>7.3980912924465486E-2</v>
      </c>
      <c r="AA1852" s="4">
        <f>1/ZAR!C1852</f>
        <v>7.3405270498421785E-2</v>
      </c>
    </row>
    <row r="1853" spans="1:27" x14ac:dyDescent="0.25">
      <c r="A1853" t="str">
        <f>"01/02/2017"</f>
        <v>01/02/2017</v>
      </c>
      <c r="B1853" s="3">
        <f>AUD!B1853</f>
        <v>0.75670000000000004</v>
      </c>
      <c r="C1853" s="3">
        <f>AUD!C1853</f>
        <v>0.75619999999999998</v>
      </c>
      <c r="D1853" s="3">
        <f>1/CAD!B1853</f>
        <v>0.76440911175661208</v>
      </c>
      <c r="E1853" s="3">
        <f>1/CAD!C1853</f>
        <v>0.76458444835232042</v>
      </c>
      <c r="F1853" s="3">
        <f>EUR!B1853/1</f>
        <v>1.0789</v>
      </c>
      <c r="G1853" s="3">
        <f>EUR!C1853/1</f>
        <v>1.08</v>
      </c>
      <c r="H1853" s="3">
        <f>GBP!B1853/1</f>
        <v>1.2568999999999999</v>
      </c>
      <c r="I1853" s="3">
        <f>GBP!C1853/1</f>
        <v>1.2575000000000001</v>
      </c>
      <c r="J1853" s="4">
        <f>1/INR!B1853</f>
        <v>1.4792899408284025E-2</v>
      </c>
      <c r="K1853" s="4">
        <f>1/INR!C1853</f>
        <v>1.4736764543344508E-2</v>
      </c>
      <c r="L1853" s="4">
        <f>1/JPY!B1853</f>
        <v>8.8393883143286483E-3</v>
      </c>
      <c r="M1853" s="4">
        <f>1/JPY!C1853</f>
        <v>8.8460817165644644E-3</v>
      </c>
      <c r="N1853" s="5">
        <f>1/KRW!B1853</f>
        <v>8.6456577184109275E-4</v>
      </c>
      <c r="O1853" s="5">
        <f>1/KRW!C1853</f>
        <v>8.6456599608334317E-4</v>
      </c>
      <c r="P1853" s="3">
        <f>1/NOK!B1853</f>
        <v>0.12108883076625013</v>
      </c>
      <c r="Q1853" s="3">
        <f>1/NOK!C1853</f>
        <v>0.1211108285191779</v>
      </c>
      <c r="R1853" s="3">
        <f>NZD!B1853/1</f>
        <v>0.72719999999999996</v>
      </c>
      <c r="S1853" s="3">
        <f>NZD!C1853/1</f>
        <v>0.72650000000000003</v>
      </c>
      <c r="T1853" s="4">
        <f>1/PHP!B1853</f>
        <v>2.0080321285140562E-2</v>
      </c>
      <c r="U1853" s="4">
        <f>1/PHP!C1853</f>
        <v>2.0062394045481449E-2</v>
      </c>
      <c r="V1853" s="4">
        <f>1/TWD!B1853</f>
        <v>3.1853220360578458E-2</v>
      </c>
      <c r="W1853" s="4">
        <f>1/TWD!C1853</f>
        <v>3.1853423287400699E-2</v>
      </c>
      <c r="X1853" s="4">
        <f>1/TWD!B1853</f>
        <v>3.1853220360578458E-2</v>
      </c>
      <c r="Y1853" s="4">
        <f>1/TWD!C1853</f>
        <v>3.1853423287400699E-2</v>
      </c>
      <c r="Z1853" s="4">
        <f>1/ZAR!B1853</f>
        <v>7.4042263323905275E-2</v>
      </c>
      <c r="AA1853" s="4">
        <f>1/ZAR!C1853</f>
        <v>7.367785096444307E-2</v>
      </c>
    </row>
    <row r="1854" spans="1:27" x14ac:dyDescent="0.25">
      <c r="A1854" t="str">
        <f>"02/02/2017"</f>
        <v>02/02/2017</v>
      </c>
      <c r="B1854" s="3">
        <f>AUD!B1854</f>
        <v>0.76719999999999999</v>
      </c>
      <c r="C1854" s="3">
        <f>AUD!C1854</f>
        <v>0.76670000000000005</v>
      </c>
      <c r="D1854" s="3">
        <f>1/CAD!B1854</f>
        <v>0.76934913063548238</v>
      </c>
      <c r="E1854" s="3">
        <f>1/CAD!C1854</f>
        <v>0.76952674105425156</v>
      </c>
      <c r="F1854" s="3">
        <f>EUR!B1854/1</f>
        <v>1.0806</v>
      </c>
      <c r="G1854" s="3">
        <f>EUR!C1854/1</f>
        <v>1.0817000000000001</v>
      </c>
      <c r="H1854" s="3">
        <f>GBP!B1854/1</f>
        <v>1.2656000000000001</v>
      </c>
      <c r="I1854" s="3">
        <f>GBP!C1854/1</f>
        <v>1.2662</v>
      </c>
      <c r="J1854" s="4">
        <f>1/INR!B1854</f>
        <v>1.4841749842306408E-2</v>
      </c>
      <c r="K1854" s="4">
        <f>1/INR!C1854</f>
        <v>1.4784697837737941E-2</v>
      </c>
      <c r="L1854" s="4">
        <f>1/JPY!B1854</f>
        <v>8.8928412627834585E-3</v>
      </c>
      <c r="M1854" s="4">
        <f>1/JPY!C1854</f>
        <v>8.8991486184516726E-3</v>
      </c>
      <c r="N1854" s="5">
        <f>1/KRW!B1854</f>
        <v>8.7183958151700091E-4</v>
      </c>
      <c r="O1854" s="5">
        <f>1/KRW!C1854</f>
        <v>8.7183882141340767E-4</v>
      </c>
      <c r="P1854" s="3">
        <f>1/NOK!B1854</f>
        <v>0.12202264740335807</v>
      </c>
      <c r="Q1854" s="3">
        <f>1/NOK!C1854</f>
        <v>0.12204796485018612</v>
      </c>
      <c r="R1854" s="3">
        <f>NZD!B1854/1</f>
        <v>0.73160000000000003</v>
      </c>
      <c r="S1854" s="3">
        <f>NZD!C1854/1</f>
        <v>0.73099999999999998</v>
      </c>
      <c r="T1854" s="4">
        <f>1/PHP!B1854</f>
        <v>2.0100502512562814E-2</v>
      </c>
      <c r="U1854" s="4">
        <f>1/PHP!C1854</f>
        <v>2.0081531015924654E-2</v>
      </c>
      <c r="V1854" s="4">
        <f>1/TWD!B1854</f>
        <v>3.2152273165712814E-2</v>
      </c>
      <c r="W1854" s="4">
        <f>1/TWD!C1854</f>
        <v>3.2152479920776286E-2</v>
      </c>
      <c r="X1854" s="4">
        <f>1/TWD!B1854</f>
        <v>3.2152273165712814E-2</v>
      </c>
      <c r="Y1854" s="4">
        <f>1/TWD!C1854</f>
        <v>3.2152479920776286E-2</v>
      </c>
      <c r="Z1854" s="4">
        <f>1/ZAR!B1854</f>
        <v>7.4759647732539874E-2</v>
      </c>
      <c r="AA1854" s="4">
        <f>1/ZAR!C1854</f>
        <v>7.4388710769253658E-2</v>
      </c>
    </row>
    <row r="1855" spans="1:27" x14ac:dyDescent="0.25">
      <c r="A1855" t="str">
        <f>"03/02/2017"</f>
        <v>03/02/2017</v>
      </c>
      <c r="B1855" s="3">
        <f>AUD!B1855</f>
        <v>0.7641</v>
      </c>
      <c r="C1855" s="3">
        <f>AUD!C1855</f>
        <v>0.76359999999999995</v>
      </c>
      <c r="D1855" s="3">
        <f>1/CAD!B1855</f>
        <v>0.7666947788085563</v>
      </c>
      <c r="E1855" s="3">
        <f>1/CAD!C1855</f>
        <v>0.76681236101525951</v>
      </c>
      <c r="F1855" s="3">
        <f>EUR!B1855/1</f>
        <v>1.0730999999999999</v>
      </c>
      <c r="G1855" s="3">
        <f>EUR!C1855/1</f>
        <v>1.0742</v>
      </c>
      <c r="H1855" s="3">
        <f>GBP!B1855/1</f>
        <v>1.2472000000000001</v>
      </c>
      <c r="I1855" s="3">
        <f>GBP!C1855/1</f>
        <v>1.2478</v>
      </c>
      <c r="J1855" s="4">
        <f>1/INR!B1855</f>
        <v>1.4853875004641835E-2</v>
      </c>
      <c r="K1855" s="4">
        <f>1/INR!C1855</f>
        <v>1.4798372179060302E-2</v>
      </c>
      <c r="L1855" s="4">
        <f>1/JPY!B1855</f>
        <v>8.8378258948298722E-3</v>
      </c>
      <c r="M1855" s="4">
        <f>1/JPY!C1855</f>
        <v>8.8445482204768978E-3</v>
      </c>
      <c r="N1855" s="5">
        <f>1/KRW!B1855</f>
        <v>8.7142172454359292E-4</v>
      </c>
      <c r="O1855" s="5">
        <f>1/KRW!C1855</f>
        <v>8.7142096516843262E-4</v>
      </c>
      <c r="P1855" s="3">
        <f>1/NOK!B1855</f>
        <v>0.12105072025178551</v>
      </c>
      <c r="Q1855" s="3">
        <f>1/NOK!C1855</f>
        <v>0.12107710189848896</v>
      </c>
      <c r="R1855" s="3">
        <f>NZD!B1855/1</f>
        <v>0.72650000000000003</v>
      </c>
      <c r="S1855" s="3">
        <f>NZD!C1855/1</f>
        <v>0.72589999999999999</v>
      </c>
      <c r="T1855" s="4">
        <f>1/PHP!B1855</f>
        <v>2.0084354288009639E-2</v>
      </c>
      <c r="U1855" s="4">
        <f>1/PHP!C1855</f>
        <v>2.0064205457463884E-2</v>
      </c>
      <c r="V1855" s="4">
        <f>1/TWD!B1855</f>
        <v>3.2205081961933592E-2</v>
      </c>
      <c r="W1855" s="4">
        <f>1/TWD!C1855</f>
        <v>3.2205289396730521E-2</v>
      </c>
      <c r="X1855" s="4">
        <f>1/TWD!B1855</f>
        <v>3.2205081961933592E-2</v>
      </c>
      <c r="Y1855" s="4">
        <f>1/TWD!C1855</f>
        <v>3.2205289396730521E-2</v>
      </c>
      <c r="Z1855" s="4">
        <f>1/ZAR!B1855</f>
        <v>7.436934792955735E-2</v>
      </c>
      <c r="AA1855" s="4">
        <f>1/ZAR!C1855</f>
        <v>7.3997336095900548E-2</v>
      </c>
    </row>
    <row r="1856" spans="1:27" x14ac:dyDescent="0.25">
      <c r="A1856" t="str">
        <f>"06/02/2017"</f>
        <v>06/02/2017</v>
      </c>
      <c r="B1856" s="3">
        <f>AUD!B1856</f>
        <v>0.76590000000000003</v>
      </c>
      <c r="C1856" s="3">
        <f>AUD!C1856</f>
        <v>0.76539999999999997</v>
      </c>
      <c r="D1856" s="3">
        <f>1/CAD!B1856</f>
        <v>0.76793119336507443</v>
      </c>
      <c r="E1856" s="3">
        <f>1/CAD!C1856</f>
        <v>0.76810814962746754</v>
      </c>
      <c r="F1856" s="3">
        <f>EUR!B1856/1</f>
        <v>1.0734999999999999</v>
      </c>
      <c r="G1856" s="3">
        <f>EUR!C1856/1</f>
        <v>1.0746</v>
      </c>
      <c r="H1856" s="3">
        <f>GBP!B1856/1</f>
        <v>1.2458</v>
      </c>
      <c r="I1856" s="3">
        <f>GBP!C1856/1</f>
        <v>1.2464</v>
      </c>
      <c r="J1856" s="4">
        <f>1/INR!B1856</f>
        <v>1.4875971586894269E-2</v>
      </c>
      <c r="K1856" s="4">
        <f>1/INR!C1856</f>
        <v>1.4820303816228234E-2</v>
      </c>
      <c r="L1856" s="4">
        <f>1/JPY!B1856</f>
        <v>8.8928412627834585E-3</v>
      </c>
      <c r="M1856" s="4">
        <f>1/JPY!C1856</f>
        <v>8.8999168747763893E-3</v>
      </c>
      <c r="N1856" s="5">
        <f>1/KRW!B1856</f>
        <v>8.7831013130736471E-4</v>
      </c>
      <c r="O1856" s="5">
        <f>1/KRW!C1856</f>
        <v>8.7830935987935545E-4</v>
      </c>
      <c r="P1856" s="3">
        <f>1/NOK!B1856</f>
        <v>0.12116952828702637</v>
      </c>
      <c r="Q1856" s="3">
        <f>1/NOK!C1856</f>
        <v>0.1211944929222416</v>
      </c>
      <c r="R1856" s="3">
        <f>NZD!B1856/1</f>
        <v>0.73129999999999995</v>
      </c>
      <c r="S1856" s="3">
        <f>NZD!C1856/1</f>
        <v>0.73070000000000002</v>
      </c>
      <c r="T1856" s="4">
        <f>1/PHP!B1856</f>
        <v>2.0122748767481637E-2</v>
      </c>
      <c r="U1856" s="4">
        <f>1/PHP!C1856</f>
        <v>2.0100502512562814E-2</v>
      </c>
      <c r="V1856" s="4">
        <f>1/TWD!B1856</f>
        <v>3.2318531445931095E-2</v>
      </c>
      <c r="W1856" s="4">
        <f>1/TWD!C1856</f>
        <v>3.2318740344776324E-2</v>
      </c>
      <c r="X1856" s="4">
        <f>1/TWD!B1856</f>
        <v>3.2318531445931095E-2</v>
      </c>
      <c r="Y1856" s="4">
        <f>1/TWD!C1856</f>
        <v>3.2318740344776324E-2</v>
      </c>
      <c r="Z1856" s="4">
        <f>1/ZAR!B1856</f>
        <v>7.5240015649923248E-2</v>
      </c>
      <c r="AA1856" s="4">
        <f>1/ZAR!C1856</f>
        <v>7.4864868911614535E-2</v>
      </c>
    </row>
    <row r="1857" spans="1:27" x14ac:dyDescent="0.25">
      <c r="A1857" t="str">
        <f>"07/02/2017"</f>
        <v>07/02/2017</v>
      </c>
      <c r="B1857" s="3">
        <f>AUD!B1857</f>
        <v>0.76119999999999999</v>
      </c>
      <c r="C1857" s="3">
        <f>AUD!C1857</f>
        <v>0.76070000000000004</v>
      </c>
      <c r="D1857" s="3">
        <f>1/CAD!B1857</f>
        <v>0.75723156141147963</v>
      </c>
      <c r="E1857" s="3">
        <f>1/CAD!C1857</f>
        <v>0.75740362038930542</v>
      </c>
      <c r="F1857" s="3">
        <f>EUR!B1857/1</f>
        <v>1.0669</v>
      </c>
      <c r="G1857" s="3">
        <f>EUR!C1857/1</f>
        <v>1.0680000000000001</v>
      </c>
      <c r="H1857" s="3">
        <f>GBP!B1857/1</f>
        <v>1.2363</v>
      </c>
      <c r="I1857" s="3">
        <f>GBP!C1857/1</f>
        <v>1.2369000000000001</v>
      </c>
      <c r="J1857" s="4">
        <f>1/INR!B1857</f>
        <v>1.4833494029518652E-2</v>
      </c>
      <c r="K1857" s="4">
        <f>1/INR!C1857</f>
        <v>1.4776505356483192E-2</v>
      </c>
      <c r="L1857" s="4">
        <f>1/JPY!B1857</f>
        <v>8.8912598915266289E-3</v>
      </c>
      <c r="M1857" s="4">
        <f>1/JPY!C1857</f>
        <v>8.8981983817736417E-3</v>
      </c>
      <c r="N1857" s="5">
        <f>1/KRW!B1857</f>
        <v>8.7385852230523881E-4</v>
      </c>
      <c r="O1857" s="5">
        <f>1/KRW!C1857</f>
        <v>8.7385775867718902E-4</v>
      </c>
      <c r="P1857" s="3">
        <f>1/NOK!B1857</f>
        <v>0.1200249651927601</v>
      </c>
      <c r="Q1857" s="3">
        <f>1/NOK!C1857</f>
        <v>0.1200494603776756</v>
      </c>
      <c r="R1857" s="3">
        <f>NZD!B1857/1</f>
        <v>0.72899999999999998</v>
      </c>
      <c r="S1857" s="3">
        <f>NZD!C1857/1</f>
        <v>0.72829999999999995</v>
      </c>
      <c r="T1857" s="4">
        <f>1/PHP!B1857</f>
        <v>2.0088388911209322E-2</v>
      </c>
      <c r="U1857" s="4">
        <f>1/PHP!C1857</f>
        <v>2.0066621182325318E-2</v>
      </c>
      <c r="V1857" s="4">
        <f>1/TWD!B1857</f>
        <v>3.2208193764493687E-2</v>
      </c>
      <c r="W1857" s="4">
        <f>1/TWD!C1857</f>
        <v>3.2208401239379278E-2</v>
      </c>
      <c r="X1857" s="4">
        <f>1/TWD!B1857</f>
        <v>3.2208193764493687E-2</v>
      </c>
      <c r="Y1857" s="4">
        <f>1/TWD!C1857</f>
        <v>3.2208401239379278E-2</v>
      </c>
      <c r="Z1857" s="4">
        <f>1/ZAR!B1857</f>
        <v>7.4314081032073959E-2</v>
      </c>
      <c r="AA1857" s="4">
        <f>1/ZAR!C1857</f>
        <v>7.3943167281627351E-2</v>
      </c>
    </row>
    <row r="1858" spans="1:27" x14ac:dyDescent="0.25">
      <c r="A1858" t="str">
        <f>"08/02/2017"</f>
        <v>08/02/2017</v>
      </c>
      <c r="B1858" s="3">
        <f>AUD!B1858</f>
        <v>0.7631</v>
      </c>
      <c r="C1858" s="3">
        <f>AUD!C1858</f>
        <v>0.76259999999999994</v>
      </c>
      <c r="D1858" s="3">
        <f>1/CAD!B1858</f>
        <v>0.75895567698846378</v>
      </c>
      <c r="E1858" s="3">
        <f>1/CAD!C1858</f>
        <v>0.75907089722180054</v>
      </c>
      <c r="F1858" s="3">
        <f>EUR!B1858/1</f>
        <v>1.0680000000000001</v>
      </c>
      <c r="G1858" s="3">
        <f>EUR!C1858/1</f>
        <v>1.0690999999999999</v>
      </c>
      <c r="H1858" s="3">
        <f>GBP!B1858/1</f>
        <v>1.2499</v>
      </c>
      <c r="I1858" s="3">
        <f>GBP!C1858/1</f>
        <v>1.2504999999999999</v>
      </c>
      <c r="J1858" s="4">
        <f>1/INR!B1858</f>
        <v>1.4851668956298966E-2</v>
      </c>
      <c r="K1858" s="4">
        <f>1/INR!C1858</f>
        <v>1.479563528759016E-2</v>
      </c>
      <c r="L1858" s="4">
        <f>1/JPY!B1858</f>
        <v>8.9110675458919982E-3</v>
      </c>
      <c r="M1858" s="4">
        <f>1/JPY!C1858</f>
        <v>8.9179256548209858E-3</v>
      </c>
      <c r="N1858" s="5">
        <f>1/KRW!B1858</f>
        <v>8.7336244541484718E-4</v>
      </c>
      <c r="O1858" s="5">
        <f>1/KRW!C1858</f>
        <v>8.733616826535523E-4</v>
      </c>
      <c r="P1858" s="3">
        <f>1/NOK!B1858</f>
        <v>0.12017353057815484</v>
      </c>
      <c r="Q1858" s="3">
        <f>1/NOK!C1858</f>
        <v>0.12019808644646378</v>
      </c>
      <c r="R1858" s="3">
        <f>NZD!B1858/1</f>
        <v>0.72960000000000003</v>
      </c>
      <c r="S1858" s="3">
        <f>NZD!C1858/1</f>
        <v>0.72899999999999998</v>
      </c>
      <c r="T1858" s="4">
        <f>1/PHP!B1858</f>
        <v>2.0092425155716295E-2</v>
      </c>
      <c r="U1858" s="4">
        <f>1/PHP!C1858</f>
        <v>2.0068634730779265E-2</v>
      </c>
      <c r="V1858" s="4">
        <f>1/TWD!B1858</f>
        <v>3.2120258246876303E-2</v>
      </c>
      <c r="W1858" s="4">
        <f>1/TWD!C1858</f>
        <v>3.2120464590399835E-2</v>
      </c>
      <c r="X1858" s="4">
        <f>1/TWD!B1858</f>
        <v>3.2120258246876303E-2</v>
      </c>
      <c r="Y1858" s="4">
        <f>1/TWD!C1858</f>
        <v>3.2120464590399835E-2</v>
      </c>
      <c r="Z1858" s="4">
        <f>1/ZAR!B1858</f>
        <v>7.424621529917512E-2</v>
      </c>
      <c r="AA1858" s="4">
        <f>1/ZAR!C1858</f>
        <v>7.3874885493927483E-2</v>
      </c>
    </row>
    <row r="1859" spans="1:27" x14ac:dyDescent="0.25">
      <c r="A1859" t="str">
        <f>"09/02/2017"</f>
        <v>09/02/2017</v>
      </c>
      <c r="B1859" s="3">
        <f>AUD!B1859</f>
        <v>0.76419999999999999</v>
      </c>
      <c r="C1859" s="3">
        <f>AUD!C1859</f>
        <v>0.76370000000000005</v>
      </c>
      <c r="D1859" s="3">
        <f>1/CAD!B1859</f>
        <v>0.76149862930246726</v>
      </c>
      <c r="E1859" s="3">
        <f>1/CAD!C1859</f>
        <v>0.76161462300076166</v>
      </c>
      <c r="F1859" s="3">
        <f>EUR!B1859/1</f>
        <v>1.0674999999999999</v>
      </c>
      <c r="G1859" s="3">
        <f>EUR!C1859/1</f>
        <v>1.0686</v>
      </c>
      <c r="H1859" s="3">
        <f>GBP!B1859/1</f>
        <v>1.2548999999999999</v>
      </c>
      <c r="I1859" s="3">
        <f>GBP!C1859/1</f>
        <v>1.2555000000000001</v>
      </c>
      <c r="J1859" s="4">
        <f>1/INR!B1859</f>
        <v>1.4957744372148678E-2</v>
      </c>
      <c r="K1859" s="4">
        <f>1/INR!C1859</f>
        <v>1.4892587214713877E-2</v>
      </c>
      <c r="L1859" s="4">
        <f>1/JPY!B1859</f>
        <v>8.8944231966556972E-3</v>
      </c>
      <c r="M1859" s="4">
        <f>1/JPY!C1859</f>
        <v>8.9009467046915116E-3</v>
      </c>
      <c r="N1859" s="5">
        <f>1/KRW!B1859</f>
        <v>8.7229588276343324E-4</v>
      </c>
      <c r="O1859" s="5">
        <f>1/KRW!C1859</f>
        <v>8.7229641539383353E-4</v>
      </c>
      <c r="P1859" s="3">
        <f>1/NOK!B1859</f>
        <v>0.12025012025012025</v>
      </c>
      <c r="Q1859" s="3">
        <f>1/NOK!C1859</f>
        <v>0.12027615404969812</v>
      </c>
      <c r="R1859" s="3">
        <f>NZD!B1859/1</f>
        <v>0.72019999999999995</v>
      </c>
      <c r="S1859" s="3">
        <f>NZD!C1859/1</f>
        <v>0.71960000000000002</v>
      </c>
      <c r="T1859" s="4">
        <f>1/PHP!B1859</f>
        <v>2.0048115477145148E-2</v>
      </c>
      <c r="U1859" s="4">
        <f>1/PHP!C1859</f>
        <v>2.0028039254956938E-2</v>
      </c>
      <c r="V1859" s="4">
        <f>1/TWD!B1859</f>
        <v>3.2211306168465133E-2</v>
      </c>
      <c r="W1859" s="4">
        <f>1/TWD!C1859</f>
        <v>3.2211513683451015E-2</v>
      </c>
      <c r="X1859" s="4">
        <f>1/TWD!B1859</f>
        <v>3.2211306168465133E-2</v>
      </c>
      <c r="Y1859" s="4">
        <f>1/TWD!C1859</f>
        <v>3.2211513683451015E-2</v>
      </c>
      <c r="Z1859" s="4">
        <f>1/ZAR!B1859</f>
        <v>7.4433006572434471E-2</v>
      </c>
      <c r="AA1859" s="4">
        <f>1/ZAR!C1859</f>
        <v>7.4062004710343493E-2</v>
      </c>
    </row>
    <row r="1860" spans="1:27" x14ac:dyDescent="0.25">
      <c r="A1860" t="str">
        <f>"10/02/2017"</f>
        <v>10/02/2017</v>
      </c>
      <c r="B1860" s="3">
        <f>AUD!B1860</f>
        <v>0.76429999999999998</v>
      </c>
      <c r="C1860" s="3">
        <f>AUD!C1860</f>
        <v>0.76380000000000003</v>
      </c>
      <c r="D1860" s="3">
        <f>1/CAD!B1860</f>
        <v>0.76068766164612811</v>
      </c>
      <c r="E1860" s="3">
        <f>1/CAD!C1860</f>
        <v>0.76086129498592403</v>
      </c>
      <c r="F1860" s="3">
        <f>EUR!B1860/1</f>
        <v>1.0643</v>
      </c>
      <c r="G1860" s="3">
        <f>EUR!C1860/1</f>
        <v>1.0653999999999999</v>
      </c>
      <c r="H1860" s="3">
        <f>GBP!B1860/1</f>
        <v>1.2484999999999999</v>
      </c>
      <c r="I1860" s="3">
        <f>GBP!C1860/1</f>
        <v>1.2491000000000001</v>
      </c>
      <c r="J1860" s="4">
        <f>1/INR!B1860</f>
        <v>1.4950476546439917E-2</v>
      </c>
      <c r="K1860" s="4">
        <f>1/INR!C1860</f>
        <v>1.4888706915804361E-2</v>
      </c>
      <c r="L1860" s="4">
        <f>1/JPY!B1860</f>
        <v>8.8105726872246704E-3</v>
      </c>
      <c r="M1860" s="4">
        <f>1/JPY!C1860</f>
        <v>8.8170747943637721E-3</v>
      </c>
      <c r="N1860" s="5">
        <f>1/KRW!B1860</f>
        <v>8.6907400165124051E-4</v>
      </c>
      <c r="O1860" s="5">
        <f>1/KRW!C1860</f>
        <v>8.6907551223310703E-4</v>
      </c>
      <c r="P1860" s="3">
        <f>1/NOK!B1860</f>
        <v>0.1193103859690986</v>
      </c>
      <c r="Q1860" s="3">
        <f>1/NOK!C1860</f>
        <v>0.11933459032435142</v>
      </c>
      <c r="R1860" s="3">
        <f>NZD!B1860/1</f>
        <v>0.71809999999999996</v>
      </c>
      <c r="S1860" s="3">
        <f>NZD!C1860/1</f>
        <v>0.71750000000000003</v>
      </c>
      <c r="T1860" s="4">
        <f>1/PHP!B1860</f>
        <v>2.0056157240272765E-2</v>
      </c>
      <c r="U1860" s="4">
        <f>1/PHP!C1860</f>
        <v>2.0036867836819749E-2</v>
      </c>
      <c r="V1860" s="4">
        <f>1/TWD!B1860</f>
        <v>3.2205081961933592E-2</v>
      </c>
      <c r="W1860" s="4">
        <f>1/TWD!C1860</f>
        <v>3.2205289396730521E-2</v>
      </c>
      <c r="X1860" s="4">
        <f>1/TWD!B1860</f>
        <v>3.2205081961933592E-2</v>
      </c>
      <c r="Y1860" s="4">
        <f>1/TWD!C1860</f>
        <v>3.2205289396730521E-2</v>
      </c>
      <c r="Z1860" s="4">
        <f>1/ZAR!B1860</f>
        <v>7.4953528812136475E-2</v>
      </c>
      <c r="AA1860" s="4">
        <f>1/ZAR!C1860</f>
        <v>7.4579557743222585E-2</v>
      </c>
    </row>
    <row r="1861" spans="1:27" x14ac:dyDescent="0.25">
      <c r="A1861" t="str">
        <f>"13/02/2017"</f>
        <v>13/02/2017</v>
      </c>
      <c r="B1861" s="3">
        <f>AUD!B1861</f>
        <v>0.76729999999999998</v>
      </c>
      <c r="C1861" s="3">
        <f>AUD!C1861</f>
        <v>0.76670000000000005</v>
      </c>
      <c r="D1861" s="3">
        <f>1/CAD!B1861</f>
        <v>0.76394194041252872</v>
      </c>
      <c r="E1861" s="3">
        <f>1/CAD!C1861</f>
        <v>0.76405867970660146</v>
      </c>
      <c r="F1861" s="3">
        <f>EUR!B1861/1</f>
        <v>1.0641</v>
      </c>
      <c r="G1861" s="3">
        <f>EUR!C1861/1</f>
        <v>1.0651999999999999</v>
      </c>
      <c r="H1861" s="3">
        <f>GBP!B1861/1</f>
        <v>1.2524999999999999</v>
      </c>
      <c r="I1861" s="3">
        <f>GBP!C1861/1</f>
        <v>1.2531000000000001</v>
      </c>
      <c r="J1861" s="4">
        <f>1/INR!B1861</f>
        <v>1.4920919128618324E-2</v>
      </c>
      <c r="K1861" s="4">
        <f>1/INR!C1861</f>
        <v>1.4861601337544121E-2</v>
      </c>
      <c r="L1861" s="4">
        <f>1/JPY!B1861</f>
        <v>8.7912087912087912E-3</v>
      </c>
      <c r="M1861" s="4">
        <f>1/JPY!C1861</f>
        <v>8.7981003141801625E-3</v>
      </c>
      <c r="N1861" s="5">
        <f>1/KRW!B1861</f>
        <v>8.6801788116835205E-4</v>
      </c>
      <c r="O1861" s="5">
        <f>1/KRW!C1861</f>
        <v>8.6801901135238652E-4</v>
      </c>
      <c r="P1861" s="3">
        <f>1/NOK!B1861</f>
        <v>0.11950001195000119</v>
      </c>
      <c r="Q1861" s="3">
        <f>1/NOK!C1861</f>
        <v>0.11952143616957701</v>
      </c>
      <c r="R1861" s="3">
        <f>NZD!B1861/1</f>
        <v>0.71879999999999999</v>
      </c>
      <c r="S1861" s="3">
        <f>NZD!C1861/1</f>
        <v>0.71819999999999995</v>
      </c>
      <c r="T1861" s="4">
        <f>1/PHP!B1861</f>
        <v>2.0030045067601403E-2</v>
      </c>
      <c r="U1861" s="4">
        <f>1/PHP!C1861</f>
        <v>2.0009204233947617E-2</v>
      </c>
      <c r="V1861" s="4">
        <f>1/TWD!B1861</f>
        <v>3.2226877215597804E-2</v>
      </c>
      <c r="W1861" s="4">
        <f>1/TWD!C1861</f>
        <v>3.2227084931259628E-2</v>
      </c>
      <c r="X1861" s="4">
        <f>1/TWD!B1861</f>
        <v>3.2226877215597804E-2</v>
      </c>
      <c r="Y1861" s="4">
        <f>1/TWD!C1861</f>
        <v>3.2227084931259628E-2</v>
      </c>
      <c r="Z1861" s="4">
        <f>1/ZAR!B1861</f>
        <v>7.5057043352948244E-2</v>
      </c>
      <c r="AA1861" s="4">
        <f>1/ZAR!C1861</f>
        <v>7.4684272239109173E-2</v>
      </c>
    </row>
    <row r="1862" spans="1:27" x14ac:dyDescent="0.25">
      <c r="A1862" t="str">
        <f>"14/02/2017"</f>
        <v>14/02/2017</v>
      </c>
      <c r="B1862" s="3">
        <f>AUD!B1862</f>
        <v>0.76929999999999998</v>
      </c>
      <c r="C1862" s="3">
        <f>AUD!C1862</f>
        <v>0.76880000000000004</v>
      </c>
      <c r="D1862" s="3">
        <f>1/CAD!B1862</f>
        <v>0.76740081344486233</v>
      </c>
      <c r="E1862" s="3">
        <f>1/CAD!C1862</f>
        <v>0.76751861232634899</v>
      </c>
      <c r="F1862" s="3">
        <f>EUR!B1862/1</f>
        <v>1.0629</v>
      </c>
      <c r="G1862" s="3">
        <f>EUR!C1862/1</f>
        <v>1.0640000000000001</v>
      </c>
      <c r="H1862" s="3">
        <f>GBP!B1862/1</f>
        <v>1.2467999999999999</v>
      </c>
      <c r="I1862" s="3">
        <f>GBP!C1862/1</f>
        <v>1.2474000000000001</v>
      </c>
      <c r="J1862" s="4">
        <f>1/INR!B1862</f>
        <v>1.4942657551645561E-2</v>
      </c>
      <c r="K1862" s="4">
        <f>1/INR!C1862</f>
        <v>1.48848286384103E-2</v>
      </c>
      <c r="L1862" s="4">
        <f>1/JPY!B1862</f>
        <v>8.82223202470225E-3</v>
      </c>
      <c r="M1862" s="4">
        <f>1/JPY!C1862</f>
        <v>8.8287825373744439E-3</v>
      </c>
      <c r="N1862" s="5">
        <f>1/KRW!B1862</f>
        <v>8.7912087912087912E-4</v>
      </c>
      <c r="O1862" s="5">
        <f>1/KRW!C1862</f>
        <v>8.7912033812374791E-4</v>
      </c>
      <c r="P1862" s="3">
        <f>1/NOK!B1862</f>
        <v>0.11963153487259241</v>
      </c>
      <c r="Q1862" s="3">
        <f>1/NOK!C1862</f>
        <v>0.11965157461472194</v>
      </c>
      <c r="R1862" s="3">
        <f>NZD!B1862/1</f>
        <v>0.71899999999999997</v>
      </c>
      <c r="S1862" s="3">
        <f>NZD!C1862/1</f>
        <v>0.71830000000000005</v>
      </c>
      <c r="T1862" s="4">
        <f>1/PHP!B1862</f>
        <v>2.0048115477145148E-2</v>
      </c>
      <c r="U1862" s="4">
        <f>1/PHP!C1862</f>
        <v>2.0024028834601523E-2</v>
      </c>
      <c r="V1862" s="4">
        <f>1/TWD!B1862</f>
        <v>3.2387614976033166E-2</v>
      </c>
      <c r="W1862" s="4">
        <f>1/TWD!C1862</f>
        <v>3.2387824768912866E-2</v>
      </c>
      <c r="X1862" s="4">
        <f>1/TWD!B1862</f>
        <v>3.2387614976033166E-2</v>
      </c>
      <c r="Y1862" s="4">
        <f>1/TWD!C1862</f>
        <v>3.2387824768912866E-2</v>
      </c>
      <c r="Z1862" s="4">
        <f>1/ZAR!B1862</f>
        <v>7.6182350073135049E-2</v>
      </c>
      <c r="AA1862" s="4">
        <f>1/ZAR!C1862</f>
        <v>7.5803517283201935E-2</v>
      </c>
    </row>
    <row r="1863" spans="1:27" x14ac:dyDescent="0.25">
      <c r="A1863" t="str">
        <f>"15/02/2017"</f>
        <v>15/02/2017</v>
      </c>
      <c r="B1863" s="3">
        <f>AUD!B1863</f>
        <v>0.76770000000000005</v>
      </c>
      <c r="C1863" s="3">
        <f>AUD!C1863</f>
        <v>0.76719999999999999</v>
      </c>
      <c r="D1863" s="3">
        <f>1/CAD!B1863</f>
        <v>0.76440911175661208</v>
      </c>
      <c r="E1863" s="3">
        <f>1/CAD!C1863</f>
        <v>0.76452599388379205</v>
      </c>
      <c r="F1863" s="3">
        <f>EUR!B1863/1</f>
        <v>1.0552999999999999</v>
      </c>
      <c r="G1863" s="3">
        <f>EUR!C1863/1</f>
        <v>1.0564</v>
      </c>
      <c r="H1863" s="3">
        <f>GBP!B1863/1</f>
        <v>1.2426999999999999</v>
      </c>
      <c r="I1863" s="3">
        <f>GBP!C1863/1</f>
        <v>1.2433000000000001</v>
      </c>
      <c r="J1863" s="4">
        <f>1/INR!B1863</f>
        <v>1.4945449110745778E-2</v>
      </c>
      <c r="K1863" s="4">
        <f>1/INR!C1863</f>
        <v>1.4889261120416901E-2</v>
      </c>
      <c r="L1863" s="4">
        <f>1/JPY!B1863</f>
        <v>8.7267649882188675E-3</v>
      </c>
      <c r="M1863" s="4">
        <f>1/JPY!C1863</f>
        <v>8.7334413951148625E-3</v>
      </c>
      <c r="N1863" s="5">
        <f>1/KRW!B1863</f>
        <v>8.7538845362629674E-4</v>
      </c>
      <c r="O1863" s="5">
        <f>1/KRW!C1863</f>
        <v>8.753878405827702E-4</v>
      </c>
      <c r="P1863" s="3">
        <f>1/NOK!B1863</f>
        <v>0.11907880635404511</v>
      </c>
      <c r="Q1863" s="3">
        <f>1/NOK!C1863</f>
        <v>0.11909866133104664</v>
      </c>
      <c r="R1863" s="3">
        <f>NZD!B1863/1</f>
        <v>0.71740000000000004</v>
      </c>
      <c r="S1863" s="3">
        <f>NZD!C1863/1</f>
        <v>0.7167</v>
      </c>
      <c r="T1863" s="4">
        <f>1/PHP!B1863</f>
        <v>2.0022024226649313E-2</v>
      </c>
      <c r="U1863" s="4">
        <f>1/PHP!C1863</f>
        <v>1.999800019998E-2</v>
      </c>
      <c r="V1863" s="4">
        <f>1/TWD!B1863</f>
        <v>3.2504469364537623E-2</v>
      </c>
      <c r="W1863" s="4">
        <f>1/TWD!C1863</f>
        <v>3.2504680674017059E-2</v>
      </c>
      <c r="X1863" s="4">
        <f>1/TWD!B1863</f>
        <v>3.2504469364537623E-2</v>
      </c>
      <c r="Y1863" s="4">
        <f>1/TWD!C1863</f>
        <v>3.2504680674017059E-2</v>
      </c>
      <c r="Z1863" s="4">
        <f>1/ZAR!B1863</f>
        <v>7.6845049641902072E-2</v>
      </c>
      <c r="AA1863" s="4">
        <f>1/ZAR!C1863</f>
        <v>7.6467214681705212E-2</v>
      </c>
    </row>
    <row r="1864" spans="1:27" x14ac:dyDescent="0.25">
      <c r="A1864" t="str">
        <f>"16/02/2017"</f>
        <v>16/02/2017</v>
      </c>
      <c r="B1864" s="3">
        <f>AUD!B1864</f>
        <v>0.77080000000000004</v>
      </c>
      <c r="C1864" s="3">
        <f>AUD!C1864</f>
        <v>0.77029999999999998</v>
      </c>
      <c r="D1864" s="3">
        <f>1/CAD!B1864</f>
        <v>0.76745970836531086</v>
      </c>
      <c r="E1864" s="3">
        <f>1/CAD!C1864</f>
        <v>0.76757752533005841</v>
      </c>
      <c r="F1864" s="3">
        <f>EUR!B1864/1</f>
        <v>1.0634999999999999</v>
      </c>
      <c r="G1864" s="3">
        <f>EUR!C1864/1</f>
        <v>1.0646</v>
      </c>
      <c r="H1864" s="3">
        <f>GBP!B1864/1</f>
        <v>1.2501</v>
      </c>
      <c r="I1864" s="3">
        <f>GBP!C1864/1</f>
        <v>1.2506999999999999</v>
      </c>
      <c r="J1864" s="4">
        <f>1/INR!B1864</f>
        <v>1.4908128657150311E-2</v>
      </c>
      <c r="K1864" s="4">
        <f>1/INR!C1864</f>
        <v>1.485001485001485E-2</v>
      </c>
      <c r="L1864" s="4">
        <f>1/JPY!B1864</f>
        <v>8.8028169014084511E-3</v>
      </c>
      <c r="M1864" s="4">
        <f>1/JPY!C1864</f>
        <v>8.809431729987393E-3</v>
      </c>
      <c r="N1864" s="5">
        <f>1/KRW!B1864</f>
        <v>8.7573342674489882E-4</v>
      </c>
      <c r="O1864" s="5">
        <f>1/KRW!C1864</f>
        <v>8.7573281321810098E-4</v>
      </c>
      <c r="P1864" s="3">
        <f>1/NOK!B1864</f>
        <v>0.12007252380437784</v>
      </c>
      <c r="Q1864" s="3">
        <f>1/NOK!C1864</f>
        <v>0.12008982719073867</v>
      </c>
      <c r="R1864" s="3">
        <f>NZD!B1864/1</f>
        <v>0.72240000000000004</v>
      </c>
      <c r="S1864" s="3">
        <f>NZD!C1864/1</f>
        <v>0.72170000000000001</v>
      </c>
      <c r="T1864" s="4">
        <f>1/PHP!B1864</f>
        <v>2.0012007204322595E-2</v>
      </c>
      <c r="U1864" s="4">
        <f>1/PHP!C1864</f>
        <v>1.9988206957894841E-2</v>
      </c>
      <c r="V1864" s="4">
        <f>1/TWD!B1864</f>
        <v>3.2471749577867255E-2</v>
      </c>
      <c r="W1864" s="4">
        <f>1/TWD!C1864</f>
        <v>3.2471960462140945E-2</v>
      </c>
      <c r="X1864" s="4">
        <f>1/TWD!B1864</f>
        <v>3.2471749577867255E-2</v>
      </c>
      <c r="Y1864" s="4">
        <f>1/TWD!C1864</f>
        <v>3.2471960462140945E-2</v>
      </c>
      <c r="Z1864" s="4">
        <f>1/ZAR!B1864</f>
        <v>7.7006006468504543E-2</v>
      </c>
      <c r="AA1864" s="4">
        <f>1/ZAR!C1864</f>
        <v>7.6612501628015667E-2</v>
      </c>
    </row>
    <row r="1865" spans="1:27" x14ac:dyDescent="0.25">
      <c r="A1865" t="str">
        <f>"17/02/2017"</f>
        <v>17/02/2017</v>
      </c>
      <c r="B1865" s="3">
        <f>AUD!B1865</f>
        <v>0.76649999999999996</v>
      </c>
      <c r="C1865" s="3">
        <f>AUD!C1865</f>
        <v>0.76600000000000001</v>
      </c>
      <c r="D1865" s="3">
        <f>1/CAD!B1865</f>
        <v>0.76382523678582348</v>
      </c>
      <c r="E1865" s="3">
        <f>1/CAD!C1865</f>
        <v>0.76394194041252872</v>
      </c>
      <c r="F1865" s="3">
        <f>EUR!B1865/1</f>
        <v>1.0642</v>
      </c>
      <c r="G1865" s="3">
        <f>EUR!C1865/1</f>
        <v>1.0652999999999999</v>
      </c>
      <c r="H1865" s="3">
        <f>GBP!B1865/1</f>
        <v>1.2404999999999999</v>
      </c>
      <c r="I1865" s="3">
        <f>GBP!C1865/1</f>
        <v>1.2411000000000001</v>
      </c>
      <c r="J1865" s="4">
        <f>1/INR!B1865</f>
        <v>1.4919806042521445E-2</v>
      </c>
      <c r="K1865" s="4">
        <f>1/INR!C1865</f>
        <v>1.4859392993796204E-2</v>
      </c>
      <c r="L1865" s="4">
        <f>1/JPY!B1865</f>
        <v>8.8550429469582918E-3</v>
      </c>
      <c r="M1865" s="4">
        <f>1/JPY!C1865</f>
        <v>8.8618857383900435E-3</v>
      </c>
      <c r="N1865" s="5">
        <f>1/KRW!B1865</f>
        <v>8.7092840968472384E-4</v>
      </c>
      <c r="O1865" s="5">
        <f>1/KRW!C1865</f>
        <v>8.7092916820167925E-4</v>
      </c>
      <c r="P1865" s="3">
        <f>1/NOK!B1865</f>
        <v>0.11997168668194307</v>
      </c>
      <c r="Q1865" s="3">
        <f>1/NOK!C1865</f>
        <v>0.11999328037629893</v>
      </c>
      <c r="R1865" s="3">
        <f>NZD!B1865/1</f>
        <v>0.71870000000000001</v>
      </c>
      <c r="S1865" s="3">
        <f>NZD!C1865/1</f>
        <v>0.71799999999999997</v>
      </c>
      <c r="T1865" s="4">
        <f>1/PHP!B1865</f>
        <v>0.02</v>
      </c>
      <c r="U1865" s="4">
        <f>1/PHP!C1865</f>
        <v>1.9976826880818251E-2</v>
      </c>
      <c r="V1865" s="4">
        <f>1/TWD!B1865</f>
        <v>3.2493907392363935E-2</v>
      </c>
      <c r="W1865" s="4">
        <f>1/TWD!C1865</f>
        <v>3.249411856453982E-2</v>
      </c>
      <c r="X1865" s="4">
        <f>1/TWD!B1865</f>
        <v>3.2493907392363935E-2</v>
      </c>
      <c r="Y1865" s="4">
        <f>1/TWD!C1865</f>
        <v>3.249411856453982E-2</v>
      </c>
      <c r="Z1865" s="4">
        <f>1/ZAR!B1865</f>
        <v>7.6383690554392827E-2</v>
      </c>
      <c r="AA1865" s="4">
        <f>1/ZAR!C1865</f>
        <v>7.5993616536210951E-2</v>
      </c>
    </row>
    <row r="1866" spans="1:27" x14ac:dyDescent="0.25">
      <c r="A1866" t="str">
        <f>"20/02/2017"</f>
        <v>20/02/2017</v>
      </c>
      <c r="B1866" s="3">
        <f>AUD!B1866</f>
        <v>0.7671</v>
      </c>
      <c r="C1866" s="3">
        <f>AUD!C1866</f>
        <v>0.76659999999999995</v>
      </c>
      <c r="D1866" s="3">
        <f>1/CAD!B1866</f>
        <v>0.76324225309113114</v>
      </c>
      <c r="E1866" s="3">
        <f>1/CAD!C1866</f>
        <v>0.76335877862595414</v>
      </c>
      <c r="F1866" s="3">
        <f>EUR!B1866/1</f>
        <v>1.0623</v>
      </c>
      <c r="G1866" s="3">
        <f>EUR!C1866/1</f>
        <v>1.0633999999999999</v>
      </c>
      <c r="H1866" s="3">
        <f>GBP!B1866/1</f>
        <v>1.2470000000000001</v>
      </c>
      <c r="I1866" s="3">
        <f>GBP!C1866/1</f>
        <v>1.2476</v>
      </c>
      <c r="J1866" s="4">
        <f>1/INR!B1866</f>
        <v>1.4940983116689076E-2</v>
      </c>
      <c r="K1866" s="4">
        <f>1/INR!C1866</f>
        <v>1.488150600840805E-2</v>
      </c>
      <c r="L1866" s="4">
        <f>1/JPY!B1866</f>
        <v>8.8401697312588401E-3</v>
      </c>
      <c r="M1866" s="4">
        <f>1/JPY!C1866</f>
        <v>8.8469504119582463E-3</v>
      </c>
      <c r="N1866" s="5">
        <f>1/KRW!B1866</f>
        <v>8.713457935781814E-4</v>
      </c>
      <c r="O1866" s="5">
        <f>1/KRW!C1866</f>
        <v>8.7134655282233517E-4</v>
      </c>
      <c r="P1866" s="3">
        <f>1/NOK!B1866</f>
        <v>0.1198609612849095</v>
      </c>
      <c r="Q1866" s="3">
        <f>1/NOK!C1866</f>
        <v>0.11987964084059605</v>
      </c>
      <c r="R1866" s="3">
        <f>NZD!B1866/1</f>
        <v>0.71850000000000003</v>
      </c>
      <c r="S1866" s="3">
        <f>NZD!C1866/1</f>
        <v>0.71779999999999999</v>
      </c>
      <c r="T1866" s="4">
        <f>1/PHP!B1866</f>
        <v>1.9900497512437811E-2</v>
      </c>
      <c r="U1866" s="4">
        <f>1/PHP!C1866</f>
        <v>1.9877554265723147E-2</v>
      </c>
      <c r="V1866" s="4">
        <f>1/TWD!B1866</f>
        <v>3.2463316452408783E-2</v>
      </c>
      <c r="W1866" s="4">
        <f>1/TWD!C1866</f>
        <v>3.246352722716029E-2</v>
      </c>
      <c r="X1866" s="4">
        <f>1/TWD!B1866</f>
        <v>3.2463316452408783E-2</v>
      </c>
      <c r="Y1866" s="4">
        <f>1/TWD!C1866</f>
        <v>3.246352722716029E-2</v>
      </c>
      <c r="Z1866" s="4">
        <f>1/ZAR!B1866</f>
        <v>7.6340539880298042E-2</v>
      </c>
      <c r="AA1866" s="4">
        <f>1/ZAR!C1866</f>
        <v>7.5963021201279207E-2</v>
      </c>
    </row>
    <row r="1867" spans="1:27" x14ac:dyDescent="0.25">
      <c r="A1867" t="str">
        <f>"22/02/2017"</f>
        <v>22/02/2017</v>
      </c>
      <c r="B1867" s="3">
        <f>AUD!B1867</f>
        <v>0.7681</v>
      </c>
      <c r="C1867" s="3">
        <f>AUD!C1867</f>
        <v>0.76759999999999995</v>
      </c>
      <c r="D1867" s="3">
        <f>1/CAD!B1867</f>
        <v>0.75947444368496997</v>
      </c>
      <c r="E1867" s="3">
        <f>1/CAD!C1867</f>
        <v>0.75958982149639198</v>
      </c>
      <c r="F1867" s="3">
        <f>EUR!B1867/1</f>
        <v>1.0501</v>
      </c>
      <c r="G1867" s="3">
        <f>EUR!C1867/1</f>
        <v>1.0511999999999999</v>
      </c>
      <c r="H1867" s="3">
        <f>GBP!B1867/1</f>
        <v>1.2443</v>
      </c>
      <c r="I1867" s="3">
        <f>GBP!C1867/1</f>
        <v>1.2448999999999999</v>
      </c>
      <c r="J1867" s="4">
        <f>1/INR!B1867</f>
        <v>1.4931501735787077E-2</v>
      </c>
      <c r="K1867" s="4">
        <f>1/INR!C1867</f>
        <v>1.4872652909462726E-2</v>
      </c>
      <c r="L1867" s="4">
        <f>1/JPY!B1867</f>
        <v>8.8425148112123084E-3</v>
      </c>
      <c r="M1867" s="4">
        <f>1/JPY!C1867</f>
        <v>8.8495496906639895E-3</v>
      </c>
      <c r="N1867" s="5">
        <f>1/KRW!B1867</f>
        <v>8.7519691930684415E-4</v>
      </c>
      <c r="O1867" s="5">
        <f>1/KRW!C1867</f>
        <v>8.7519653632218779E-4</v>
      </c>
      <c r="P1867" s="3">
        <f>1/NOK!B1867</f>
        <v>0.11922503725782416</v>
      </c>
      <c r="Q1867" s="3">
        <f>1/NOK!C1867</f>
        <v>0.11924209723000607</v>
      </c>
      <c r="R1867" s="3">
        <f>NZD!B1867/1</f>
        <v>0.7167</v>
      </c>
      <c r="S1867" s="3">
        <f>NZD!C1867/1</f>
        <v>0.71599999999999997</v>
      </c>
      <c r="T1867" s="4">
        <f>1/PHP!B1867</f>
        <v>1.9860973187686197E-2</v>
      </c>
      <c r="U1867" s="4">
        <f>1/PHP!C1867</f>
        <v>1.9834382902761939E-2</v>
      </c>
      <c r="V1867" s="4">
        <f>1/TWD!B1867</f>
        <v>3.2483352281955501E-2</v>
      </c>
      <c r="W1867" s="4">
        <f>1/TWD!C1867</f>
        <v>3.2483668835492953E-2</v>
      </c>
      <c r="X1867" s="4">
        <f>1/TWD!B1867</f>
        <v>3.2483352281955501E-2</v>
      </c>
      <c r="Y1867" s="4">
        <f>1/TWD!C1867</f>
        <v>3.2483668835492953E-2</v>
      </c>
      <c r="Z1867" s="4">
        <f>1/ZAR!B1867</f>
        <v>7.6421049413850556E-2</v>
      </c>
      <c r="AA1867" s="4">
        <f>1/ZAR!C1867</f>
        <v>7.6042736017641915E-2</v>
      </c>
    </row>
    <row r="1868" spans="1:27" x14ac:dyDescent="0.25">
      <c r="A1868" t="str">
        <f>"23/02/2017"</f>
        <v>23/02/2017</v>
      </c>
      <c r="B1868" s="3">
        <f>AUD!B1868</f>
        <v>0.77</v>
      </c>
      <c r="C1868" s="3">
        <f>AUD!C1868</f>
        <v>0.76949999999999996</v>
      </c>
      <c r="D1868" s="3">
        <f>1/CAD!B1868</f>
        <v>0.76068766164612811</v>
      </c>
      <c r="E1868" s="3">
        <f>1/CAD!C1868</f>
        <v>0.76080340839926963</v>
      </c>
      <c r="F1868" s="3">
        <f>EUR!B1868/1</f>
        <v>1.0548999999999999</v>
      </c>
      <c r="G1868" s="3">
        <f>EUR!C1868/1</f>
        <v>1.056</v>
      </c>
      <c r="H1868" s="3">
        <f>GBP!B1868/1</f>
        <v>1.2477</v>
      </c>
      <c r="I1868" s="3">
        <f>GBP!C1868/1</f>
        <v>1.2483</v>
      </c>
      <c r="J1868" s="4">
        <f>1/INR!B1868</f>
        <v>1.4963339817447255E-2</v>
      </c>
      <c r="K1868" s="4">
        <f>1/INR!C1868</f>
        <v>1.4901464068844763E-2</v>
      </c>
      <c r="L1868" s="4">
        <f>1/JPY!B1868</f>
        <v>8.8284629645978639E-3</v>
      </c>
      <c r="M1868" s="4">
        <f>1/JPY!C1868</f>
        <v>8.8355145273529868E-3</v>
      </c>
      <c r="N1868" s="5">
        <f>1/KRW!B1868</f>
        <v>8.7912087912087912E-4</v>
      </c>
      <c r="O1868" s="5">
        <f>1/KRW!C1868</f>
        <v>8.7911933341655666E-4</v>
      </c>
      <c r="P1868" s="3">
        <f>1/NOK!B1868</f>
        <v>0.11980926365226559</v>
      </c>
      <c r="Q1868" s="3">
        <f>1/NOK!C1868</f>
        <v>0.11982792709668916</v>
      </c>
      <c r="R1868" s="3">
        <f>NZD!B1868/1</f>
        <v>0.72009999999999996</v>
      </c>
      <c r="S1868" s="3">
        <f>NZD!C1868/1</f>
        <v>0.71940000000000004</v>
      </c>
      <c r="T1868" s="4">
        <f>1/PHP!B1868</f>
        <v>1.9910403185664508E-2</v>
      </c>
      <c r="U1868" s="4">
        <f>1/PHP!C1868</f>
        <v>1.98850643281831E-2</v>
      </c>
      <c r="V1868" s="4">
        <f>1/TWD!B1868</f>
        <v>3.2522440483933913E-2</v>
      </c>
      <c r="W1868" s="4">
        <f>1/TWD!C1868</f>
        <v>3.2522757799770388E-2</v>
      </c>
      <c r="X1868" s="4">
        <f>1/TWD!B1868</f>
        <v>3.2522440483933913E-2</v>
      </c>
      <c r="Y1868" s="4">
        <f>1/TWD!C1868</f>
        <v>3.2522757799770388E-2</v>
      </c>
      <c r="Z1868" s="4">
        <f>1/ZAR!B1868</f>
        <v>7.6971628257824165E-2</v>
      </c>
      <c r="AA1868" s="4">
        <f>1/ZAR!C1868</f>
        <v>7.659196397114014E-2</v>
      </c>
    </row>
    <row r="1869" spans="1:27" x14ac:dyDescent="0.25">
      <c r="A1869" t="str">
        <f>"27/02/2017"</f>
        <v>27/02/2017</v>
      </c>
      <c r="B1869" s="3">
        <f>AUD!B1869</f>
        <v>0.76719999999999999</v>
      </c>
      <c r="C1869" s="3">
        <f>AUD!C1869</f>
        <v>0.76659999999999995</v>
      </c>
      <c r="D1869" s="3">
        <f>1/CAD!B1869</f>
        <v>0.76254384627116067</v>
      </c>
      <c r="E1869" s="3">
        <f>1/CAD!C1869</f>
        <v>0.76266015863331305</v>
      </c>
      <c r="F1869" s="3">
        <f>EUR!B1869/1</f>
        <v>1.0580000000000001</v>
      </c>
      <c r="G1869" s="3">
        <f>EUR!C1869/1</f>
        <v>1.0597000000000001</v>
      </c>
      <c r="H1869" s="3">
        <f>GBP!B1869/1</f>
        <v>1.2418</v>
      </c>
      <c r="I1869" s="3">
        <f>GBP!C1869/1</f>
        <v>1.2427999999999999</v>
      </c>
      <c r="J1869" s="4">
        <f>1/INR!B1869</f>
        <v>1.498969458497283E-2</v>
      </c>
      <c r="K1869" s="4">
        <f>1/INR!C1869</f>
        <v>1.4923145799134457E-2</v>
      </c>
      <c r="L1869" s="4">
        <f>1/JPY!B1869</f>
        <v>8.9047195013357075E-3</v>
      </c>
      <c r="M1869" s="4">
        <f>1/JPY!C1869</f>
        <v>8.9175677868915323E-3</v>
      </c>
      <c r="N1869" s="5">
        <f>1/KRW!B1869</f>
        <v>8.8195087533624386E-4</v>
      </c>
      <c r="O1869" s="5">
        <f>1/KRW!C1869</f>
        <v>8.819462083368611E-4</v>
      </c>
      <c r="P1869" s="3">
        <f>1/NOK!B1869</f>
        <v>0.1197246333433104</v>
      </c>
      <c r="Q1869" s="3">
        <f>1/NOK!C1869</f>
        <v>0.11975330818513862</v>
      </c>
      <c r="R1869" s="3">
        <f>NZD!B1869/1</f>
        <v>0.71909999999999996</v>
      </c>
      <c r="S1869" s="3">
        <f>NZD!C1869/1</f>
        <v>0.71830000000000005</v>
      </c>
      <c r="T1869" s="4">
        <f>1/PHP!B1869</f>
        <v>1.9884668920262479E-2</v>
      </c>
      <c r="U1869" s="4">
        <f>1/PHP!C1869</f>
        <v>1.9859789883423032E-2</v>
      </c>
      <c r="V1869" s="4">
        <f>1/TWD!B1869</f>
        <v>3.2621105855488497E-2</v>
      </c>
      <c r="W1869" s="4">
        <f>1/TWD!C1869</f>
        <v>3.2621425099576905E-2</v>
      </c>
      <c r="X1869" s="4">
        <f>1/TWD!B1869</f>
        <v>3.2621105855488497E-2</v>
      </c>
      <c r="Y1869" s="4">
        <f>1/TWD!C1869</f>
        <v>3.2621425099576905E-2</v>
      </c>
      <c r="Z1869" s="4">
        <f>1/ZAR!B1869</f>
        <v>7.712597757176573E-2</v>
      </c>
      <c r="AA1869" s="4">
        <f>1/ZAR!C1869</f>
        <v>7.6678884168877581E-2</v>
      </c>
    </row>
    <row r="1870" spans="1:27" x14ac:dyDescent="0.25">
      <c r="A1870" t="str">
        <f>"28/02/2017"</f>
        <v>28/02/2017</v>
      </c>
      <c r="B1870" s="3">
        <f>AUD!B1870</f>
        <v>0.76770000000000005</v>
      </c>
      <c r="C1870" s="3">
        <f>AUD!C1870</f>
        <v>0.76680000000000004</v>
      </c>
      <c r="D1870" s="3">
        <f>1/CAD!B1870</f>
        <v>0.75907089722180054</v>
      </c>
      <c r="E1870" s="3">
        <f>1/CAD!C1870</f>
        <v>0.75924379318199076</v>
      </c>
      <c r="F1870" s="3">
        <f>EUR!B1870/1</f>
        <v>1.0607</v>
      </c>
      <c r="G1870" s="3">
        <f>EUR!C1870/1</f>
        <v>1.0612999999999999</v>
      </c>
      <c r="H1870" s="3">
        <f>GBP!B1870/1</f>
        <v>1.2428999999999999</v>
      </c>
      <c r="I1870" s="3">
        <f>GBP!C1870/1</f>
        <v>1.2439</v>
      </c>
      <c r="J1870" s="4">
        <f>1/INR!B1870</f>
        <v>1.4993627708224006E-2</v>
      </c>
      <c r="K1870" s="4">
        <f>1/INR!C1870</f>
        <v>1.4929272571193968E-2</v>
      </c>
      <c r="L1870" s="4">
        <f>1/JPY!B1870</f>
        <v>8.910273545397843E-3</v>
      </c>
      <c r="M1870" s="4">
        <f>1/JPY!C1870</f>
        <v>8.922875128824009E-3</v>
      </c>
      <c r="N1870" s="5">
        <f>1/KRW!B1870</f>
        <v>8.8460347649166261E-4</v>
      </c>
      <c r="O1870" s="5">
        <f>1/KRW!C1870</f>
        <v>8.8459878137671887E-4</v>
      </c>
      <c r="P1870" s="3">
        <f>1/NOK!B1870</f>
        <v>0.11949715596768798</v>
      </c>
      <c r="Q1870" s="3">
        <f>1/NOK!C1870</f>
        <v>0.11952429331261578</v>
      </c>
      <c r="R1870" s="3">
        <f>NZD!B1870/1</f>
        <v>0.72</v>
      </c>
      <c r="S1870" s="3">
        <f>NZD!C1870/1</f>
        <v>0.71930000000000005</v>
      </c>
      <c r="T1870" s="4">
        <f>1/PHP!B1870</f>
        <v>1.9912385503783353E-2</v>
      </c>
      <c r="U1870" s="4">
        <f>1/PHP!C1870</f>
        <v>1.9885855191202499E-2</v>
      </c>
      <c r="V1870" s="4">
        <f>1/TWD!B1870</f>
        <v>3.2621105855488497E-2</v>
      </c>
      <c r="W1870" s="4">
        <f>1/TWD!C1870</f>
        <v>3.2621425099576905E-2</v>
      </c>
      <c r="X1870" s="4">
        <f>1/TWD!B1870</f>
        <v>3.2621105855488497E-2</v>
      </c>
      <c r="Y1870" s="4">
        <f>1/TWD!C1870</f>
        <v>3.2621425099576905E-2</v>
      </c>
      <c r="Z1870" s="4">
        <f>1/ZAR!B1870</f>
        <v>7.6242175646724253E-2</v>
      </c>
      <c r="AA1870" s="4">
        <f>1/ZAR!C1870</f>
        <v>7.6349282698489049E-2</v>
      </c>
    </row>
    <row r="1871" spans="1:27" x14ac:dyDescent="0.25">
      <c r="A1871" t="str">
        <f>"01/03/2017"</f>
        <v>01/03/2017</v>
      </c>
      <c r="B1871" s="3">
        <f>AUD!B1871</f>
        <v>0.76549999999999996</v>
      </c>
      <c r="C1871" s="3">
        <f>AUD!C1871</f>
        <v>0.76500000000000001</v>
      </c>
      <c r="D1871" s="3">
        <f>1/CAD!B1871</f>
        <v>0.7502438292445045</v>
      </c>
      <c r="E1871" s="3">
        <f>1/CAD!C1871</f>
        <v>0.75041272699984995</v>
      </c>
      <c r="F1871" s="3">
        <f>EUR!B1871/1</f>
        <v>1.0527</v>
      </c>
      <c r="G1871" s="3">
        <f>EUR!C1871/1</f>
        <v>1.0543</v>
      </c>
      <c r="H1871" s="3">
        <f>GBP!B1871/1</f>
        <v>1.2310000000000001</v>
      </c>
      <c r="I1871" s="3">
        <f>GBP!C1871/1</f>
        <v>1.232</v>
      </c>
      <c r="J1871" s="4">
        <f>1/INR!B1871</f>
        <v>1.4963339817447255E-2</v>
      </c>
      <c r="K1871" s="4">
        <f>1/INR!C1871</f>
        <v>1.4900353883404731E-2</v>
      </c>
      <c r="L1871" s="4">
        <f>1/JPY!B1871</f>
        <v>8.7873462214411256E-3</v>
      </c>
      <c r="M1871" s="4">
        <f>1/JPY!C1871</f>
        <v>8.7994706238472692E-3</v>
      </c>
      <c r="N1871" s="5">
        <f>1/KRW!B1871</f>
        <v>8.8460347649166261E-4</v>
      </c>
      <c r="O1871" s="5">
        <f>1/KRW!C1871</f>
        <v>8.8459878137671887E-4</v>
      </c>
      <c r="P1871" s="3">
        <f>1/NOK!B1871</f>
        <v>0.11881423394522665</v>
      </c>
      <c r="Q1871" s="3">
        <f>1/NOK!C1871</f>
        <v>0.11884671151149248</v>
      </c>
      <c r="R1871" s="3">
        <f>NZD!B1871/1</f>
        <v>0.71120000000000005</v>
      </c>
      <c r="S1871" s="3">
        <f>NZD!C1871/1</f>
        <v>0.71050000000000002</v>
      </c>
      <c r="T1871" s="4">
        <f>1/PHP!B1871</f>
        <v>1.9888623707239459E-2</v>
      </c>
      <c r="U1871" s="4">
        <f>1/PHP!C1871</f>
        <v>1.9861762135536667E-2</v>
      </c>
      <c r="V1871" s="4">
        <f>1/TWD!B1871</f>
        <v>3.2488628979857048E-2</v>
      </c>
      <c r="W1871" s="4">
        <f>1/TWD!C1871</f>
        <v>3.2489051189749055E-2</v>
      </c>
      <c r="X1871" s="4">
        <f>1/TWD!B1871</f>
        <v>3.2488628979857048E-2</v>
      </c>
      <c r="Y1871" s="4">
        <f>1/TWD!C1871</f>
        <v>3.2489051189749055E-2</v>
      </c>
      <c r="Z1871" s="4">
        <f>1/ZAR!B1871</f>
        <v>7.6584925023358411E-2</v>
      </c>
      <c r="AA1871" s="4">
        <f>1/ZAR!C1871</f>
        <v>7.6170744340513699E-2</v>
      </c>
    </row>
    <row r="1872" spans="1:27" x14ac:dyDescent="0.25">
      <c r="A1872" t="str">
        <f>"02/03/2017"</f>
        <v>02/03/2017</v>
      </c>
      <c r="B1872" s="3">
        <f>AUD!B1872</f>
        <v>0.76129999999999998</v>
      </c>
      <c r="C1872" s="3">
        <f>AUD!C1872</f>
        <v>0.76080000000000003</v>
      </c>
      <c r="D1872" s="3">
        <f>1/CAD!B1872</f>
        <v>0.74805505685218432</v>
      </c>
      <c r="E1872" s="3">
        <f>1/CAD!C1872</f>
        <v>0.7482229704451927</v>
      </c>
      <c r="F1872" s="3">
        <f>EUR!B1872/1</f>
        <v>1.0530999999999999</v>
      </c>
      <c r="G1872" s="3">
        <f>EUR!C1872/1</f>
        <v>1.0547</v>
      </c>
      <c r="H1872" s="3">
        <f>GBP!B1872/1</f>
        <v>1.2281</v>
      </c>
      <c r="I1872" s="3">
        <f>GBP!C1872/1</f>
        <v>1.2291000000000001</v>
      </c>
      <c r="J1872" s="4">
        <f>1/INR!B1872</f>
        <v>1.4989132878662969E-2</v>
      </c>
      <c r="K1872" s="4">
        <f>1/INR!C1872</f>
        <v>1.4923145799134457E-2</v>
      </c>
      <c r="L1872" s="4">
        <f>1/JPY!B1872</f>
        <v>8.7512032904524372E-3</v>
      </c>
      <c r="M1872" s="4">
        <f>1/JPY!C1872</f>
        <v>8.7634584813627518E-3</v>
      </c>
      <c r="N1872" s="5">
        <f>1/KRW!B1872</f>
        <v>8.7588683542086355E-4</v>
      </c>
      <c r="O1872" s="5">
        <f>1/KRW!C1872</f>
        <v>8.7588223237856336E-4</v>
      </c>
      <c r="P1872" s="3">
        <f>1/NOK!B1872</f>
        <v>0.11855364552459988</v>
      </c>
      <c r="Q1872" s="3">
        <f>1/NOK!C1872</f>
        <v>0.11858176212498518</v>
      </c>
      <c r="R1872" s="3">
        <f>NZD!B1872/1</f>
        <v>0.71020000000000005</v>
      </c>
      <c r="S1872" s="3">
        <f>NZD!C1872/1</f>
        <v>0.70950000000000002</v>
      </c>
      <c r="T1872" s="4">
        <f>1/PHP!B1872</f>
        <v>1.9868865487780649E-2</v>
      </c>
      <c r="U1872" s="4">
        <f>1/PHP!C1872</f>
        <v>1.9842254080063494E-2</v>
      </c>
      <c r="V1872" s="4">
        <f>1/TWD!B1872</f>
        <v>3.2441200324412001E-2</v>
      </c>
      <c r="W1872" s="4">
        <f>1/TWD!C1872</f>
        <v>3.2441621302466209E-2</v>
      </c>
      <c r="X1872" s="4">
        <f>1/TWD!B1872</f>
        <v>3.2441200324412001E-2</v>
      </c>
      <c r="Y1872" s="4">
        <f>1/TWD!C1872</f>
        <v>3.2441621302466209E-2</v>
      </c>
      <c r="Z1872" s="4">
        <f>1/ZAR!B1872</f>
        <v>7.641287404101843E-2</v>
      </c>
      <c r="AA1872" s="4">
        <f>1/ZAR!C1872</f>
        <v>7.5997659272094412E-2</v>
      </c>
    </row>
    <row r="1873" spans="1:27" x14ac:dyDescent="0.25">
      <c r="A1873" t="str">
        <f>"03/03/2017"</f>
        <v>03/03/2017</v>
      </c>
      <c r="B1873" s="3">
        <f>AUD!B1873</f>
        <v>0.75580000000000003</v>
      </c>
      <c r="C1873" s="3">
        <f>AUD!C1873</f>
        <v>0.75529999999999997</v>
      </c>
      <c r="D1873" s="3">
        <f>1/CAD!B1873</f>
        <v>0.74699335175916937</v>
      </c>
      <c r="E1873" s="3">
        <f>1/CAD!C1873</f>
        <v>0.74716078900179317</v>
      </c>
      <c r="F1873" s="3">
        <f>EUR!B1873/1</f>
        <v>1.0521</v>
      </c>
      <c r="G1873" s="3">
        <f>EUR!C1873/1</f>
        <v>1.0536000000000001</v>
      </c>
      <c r="H1873" s="3">
        <f>GBP!B1873/1</f>
        <v>1.2270000000000001</v>
      </c>
      <c r="I1873" s="3">
        <f>GBP!C1873/1</f>
        <v>1.228</v>
      </c>
      <c r="J1873" s="4">
        <f>1/INR!B1873</f>
        <v>1.4958863126402395E-2</v>
      </c>
      <c r="K1873" s="4">
        <f>1/INR!C1873</f>
        <v>1.4893141708243355E-2</v>
      </c>
      <c r="L1873" s="4">
        <f>1/JPY!B1873</f>
        <v>8.7657784011220194E-3</v>
      </c>
      <c r="M1873" s="4">
        <f>1/JPY!C1873</f>
        <v>8.7780975931334212E-3</v>
      </c>
      <c r="N1873" s="5">
        <f>1/KRW!B1873</f>
        <v>8.6662622410954148E-4</v>
      </c>
      <c r="O1873" s="5">
        <f>1/KRW!C1873</f>
        <v>8.6662171788689894E-4</v>
      </c>
      <c r="P1873" s="3">
        <f>1/NOK!B1873</f>
        <v>0.11800663197271687</v>
      </c>
      <c r="Q1873" s="3">
        <f>1/NOK!C1873</f>
        <v>0.11803031018365516</v>
      </c>
      <c r="R1873" s="3">
        <f>NZD!B1873/1</f>
        <v>0.70409999999999995</v>
      </c>
      <c r="S1873" s="3">
        <f>NZD!C1873/1</f>
        <v>0.70340000000000003</v>
      </c>
      <c r="T1873" s="4">
        <f>1/PHP!B1873</f>
        <v>1.984914648670107E-2</v>
      </c>
      <c r="U1873" s="4">
        <f>1/PHP!C1873</f>
        <v>1.9821605550049554E-2</v>
      </c>
      <c r="V1873" s="4">
        <f>1/TWD!B1873</f>
        <v>3.2207156430158784E-2</v>
      </c>
      <c r="W1873" s="4">
        <f>1/TWD!C1873</f>
        <v>3.2207467623443169E-2</v>
      </c>
      <c r="X1873" s="4">
        <f>1/TWD!B1873</f>
        <v>3.2207156430158784E-2</v>
      </c>
      <c r="Y1873" s="4">
        <f>1/TWD!C1873</f>
        <v>3.2207467623443169E-2</v>
      </c>
      <c r="Z1873" s="4">
        <f>1/ZAR!B1873</f>
        <v>7.5953789714337791E-2</v>
      </c>
      <c r="AA1873" s="4">
        <f>1/ZAR!C1873</f>
        <v>7.5542965061378656E-2</v>
      </c>
    </row>
    <row r="1874" spans="1:27" x14ac:dyDescent="0.25">
      <c r="A1874" t="str">
        <f>"06/03/2017"</f>
        <v>06/03/2017</v>
      </c>
      <c r="B1874" s="3">
        <f>AUD!B1874</f>
        <v>0.75900000000000001</v>
      </c>
      <c r="C1874" s="3">
        <f>AUD!C1874</f>
        <v>0.75849999999999995</v>
      </c>
      <c r="D1874" s="3">
        <f>1/CAD!B1874</f>
        <v>0.74632435256362406</v>
      </c>
      <c r="E1874" s="3">
        <f>1/CAD!C1874</f>
        <v>0.74654721911160882</v>
      </c>
      <c r="F1874" s="3">
        <f>EUR!B1874/1</f>
        <v>1.0578000000000001</v>
      </c>
      <c r="G1874" s="3">
        <f>EUR!C1874/1</f>
        <v>1.0595000000000001</v>
      </c>
      <c r="H1874" s="3">
        <f>GBP!B1874/1</f>
        <v>1.226</v>
      </c>
      <c r="I1874" s="3">
        <f>GBP!C1874/1</f>
        <v>1.2271000000000001</v>
      </c>
      <c r="J1874" s="4">
        <f>1/INR!B1874</f>
        <v>1.498800959232614E-2</v>
      </c>
      <c r="K1874" s="4">
        <f>1/INR!C1874</f>
        <v>1.4917580368464236E-2</v>
      </c>
      <c r="L1874" s="4">
        <f>1/JPY!B1874</f>
        <v>8.7842586085734361E-3</v>
      </c>
      <c r="M1874" s="4">
        <f>1/JPY!C1874</f>
        <v>8.7972876202809143E-3</v>
      </c>
      <c r="N1874" s="5">
        <f>1/KRW!B1874</f>
        <v>8.6355785837651119E-4</v>
      </c>
      <c r="O1874" s="5">
        <f>1/KRW!C1874</f>
        <v>8.6355338400664579E-4</v>
      </c>
      <c r="P1874" s="3">
        <f>1/NOK!B1874</f>
        <v>0.11787726619044252</v>
      </c>
      <c r="Q1874" s="3">
        <f>1/NOK!C1874</f>
        <v>0.11790506284339848</v>
      </c>
      <c r="R1874" s="3">
        <f>NZD!B1874/1</f>
        <v>0.70189999999999997</v>
      </c>
      <c r="S1874" s="3">
        <f>NZD!C1874/1</f>
        <v>0.70120000000000005</v>
      </c>
      <c r="T1874" s="4">
        <f>1/PHP!B1874</f>
        <v>1.9843238416509573E-2</v>
      </c>
      <c r="U1874" s="4">
        <f>1/PHP!C1874</f>
        <v>1.98145359435682E-2</v>
      </c>
      <c r="V1874" s="4">
        <f>1/TWD!B1874</f>
        <v>3.2270556344391375E-2</v>
      </c>
      <c r="W1874" s="4">
        <f>1/TWD!C1874</f>
        <v>3.2270868764057999E-2</v>
      </c>
      <c r="X1874" s="4">
        <f>1/TWD!B1874</f>
        <v>3.2270556344391375E-2</v>
      </c>
      <c r="Y1874" s="4">
        <f>1/TWD!C1874</f>
        <v>3.2270868764057999E-2</v>
      </c>
      <c r="Z1874" s="4">
        <f>1/ZAR!B1874</f>
        <v>7.6868086676454533E-2</v>
      </c>
      <c r="AA1874" s="4">
        <f>1/ZAR!C1874</f>
        <v>7.6428058268751625E-2</v>
      </c>
    </row>
    <row r="1875" spans="1:27" x14ac:dyDescent="0.25">
      <c r="A1875" t="str">
        <f>"07/03/2017"</f>
        <v>07/03/2017</v>
      </c>
      <c r="B1875" s="3">
        <f>AUD!B1875</f>
        <v>0.75970000000000004</v>
      </c>
      <c r="C1875" s="3">
        <f>AUD!C1875</f>
        <v>0.75919999999999999</v>
      </c>
      <c r="D1875" s="3">
        <f>1/CAD!B1875</f>
        <v>0.74576776791707067</v>
      </c>
      <c r="E1875" s="3">
        <f>1/CAD!C1875</f>
        <v>0.74604595643091609</v>
      </c>
      <c r="F1875" s="3">
        <f>EUR!B1875/1</f>
        <v>1.0573999999999999</v>
      </c>
      <c r="G1875" s="3">
        <f>EUR!C1875/1</f>
        <v>1.0590999999999999</v>
      </c>
      <c r="H1875" s="3">
        <f>GBP!B1875/1</f>
        <v>1.2196</v>
      </c>
      <c r="I1875" s="3">
        <f>GBP!C1875/1</f>
        <v>1.2206999999999999</v>
      </c>
      <c r="J1875" s="4">
        <f>1/INR!B1875</f>
        <v>1.4997562896029396E-2</v>
      </c>
      <c r="K1875" s="4">
        <f>1/INR!C1875</f>
        <v>1.4929829799940279E-2</v>
      </c>
      <c r="L1875" s="4">
        <f>1/JPY!B1875</f>
        <v>8.7757788503729697E-3</v>
      </c>
      <c r="M1875" s="4">
        <f>1/JPY!C1875</f>
        <v>8.788975811859669E-3</v>
      </c>
      <c r="N1875" s="5">
        <f>1/KRW!B1875</f>
        <v>8.724100327153762E-4</v>
      </c>
      <c r="O1875" s="5">
        <f>1/KRW!C1875</f>
        <v>8.7240546614368857E-4</v>
      </c>
      <c r="P1875" s="3">
        <f>1/NOK!B1875</f>
        <v>0.11816838995568685</v>
      </c>
      <c r="Q1875" s="3">
        <f>1/NOK!C1875</f>
        <v>0.11819772114793627</v>
      </c>
      <c r="R1875" s="3">
        <f>NZD!B1875/1</f>
        <v>0.69889999999999997</v>
      </c>
      <c r="S1875" s="3">
        <f>NZD!C1875/1</f>
        <v>0.69830000000000003</v>
      </c>
      <c r="T1875" s="4">
        <f>1/PHP!B1875</f>
        <v>1.9882692116512574E-2</v>
      </c>
      <c r="U1875" s="4">
        <f>1/PHP!C1875</f>
        <v>1.9850328522937055E-2</v>
      </c>
      <c r="V1875" s="4">
        <f>1/TWD!B1875</f>
        <v>3.236245954692557E-2</v>
      </c>
      <c r="W1875" s="4">
        <f>1/TWD!C1875</f>
        <v>3.2362773748612447E-2</v>
      </c>
      <c r="X1875" s="4">
        <f>1/TWD!B1875</f>
        <v>3.236245954692557E-2</v>
      </c>
      <c r="Y1875" s="4">
        <f>1/TWD!C1875</f>
        <v>3.2362773748612447E-2</v>
      </c>
      <c r="Z1875" s="4">
        <f>1/ZAR!B1875</f>
        <v>7.7139661356886643E-2</v>
      </c>
      <c r="AA1875" s="4">
        <f>1/ZAR!C1875</f>
        <v>7.671241283552091E-2</v>
      </c>
    </row>
    <row r="1876" spans="1:27" x14ac:dyDescent="0.25">
      <c r="A1876" t="str">
        <f>"08/03/2017"</f>
        <v>08/03/2017</v>
      </c>
      <c r="B1876" s="3">
        <f>AUD!B1876</f>
        <v>0.75609999999999999</v>
      </c>
      <c r="C1876" s="3">
        <f>AUD!C1876</f>
        <v>0.75560000000000005</v>
      </c>
      <c r="D1876" s="3">
        <f>1/CAD!B1876</f>
        <v>0.74399226248047012</v>
      </c>
      <c r="E1876" s="3">
        <f>1/CAD!C1876</f>
        <v>0.74426912771658238</v>
      </c>
      <c r="F1876" s="3">
        <f>EUR!B1876/1</f>
        <v>1.056</v>
      </c>
      <c r="G1876" s="3">
        <f>EUR!C1876/1</f>
        <v>1.0576000000000001</v>
      </c>
      <c r="H1876" s="3">
        <f>GBP!B1876/1</f>
        <v>1.2148000000000001</v>
      </c>
      <c r="I1876" s="3">
        <f>GBP!C1876/1</f>
        <v>1.2159</v>
      </c>
      <c r="J1876" s="4">
        <f>1/INR!B1876</f>
        <v>1.4991379956524999E-2</v>
      </c>
      <c r="K1876" s="4">
        <f>1/INR!C1876</f>
        <v>1.4925930072017613E-2</v>
      </c>
      <c r="L1876" s="4">
        <f>1/JPY!B1876</f>
        <v>8.7711604245241642E-3</v>
      </c>
      <c r="M1876" s="4">
        <f>1/JPY!C1876</f>
        <v>8.7839268193488831E-3</v>
      </c>
      <c r="N1876" s="5">
        <f>1/KRW!B1876</f>
        <v>8.7286693143630246E-4</v>
      </c>
      <c r="O1876" s="5">
        <f>1/KRW!C1876</f>
        <v>8.7286236008016368E-4</v>
      </c>
      <c r="P1876" s="3">
        <f>1/NOK!B1876</f>
        <v>0.11796487006169562</v>
      </c>
      <c r="Q1876" s="3">
        <f>1/NOK!C1876</f>
        <v>0.11799549257218374</v>
      </c>
      <c r="R1876" s="3">
        <f>NZD!B1876/1</f>
        <v>0.69420000000000004</v>
      </c>
      <c r="S1876" s="3">
        <f>NZD!C1876/1</f>
        <v>0.69359999999999999</v>
      </c>
      <c r="T1876" s="4">
        <f>1/PHP!B1876</f>
        <v>1.984126984126984E-2</v>
      </c>
      <c r="U1876" s="4">
        <f>1/PHP!C1876</f>
        <v>1.9810218110501397E-2</v>
      </c>
      <c r="V1876" s="4">
        <f>1/TWD!B1876</f>
        <v>3.2381322453208988E-2</v>
      </c>
      <c r="W1876" s="4">
        <f>1/TWD!C1876</f>
        <v>3.2381637021277977E-2</v>
      </c>
      <c r="X1876" s="4">
        <f>1/TWD!B1876</f>
        <v>3.2381322453208988E-2</v>
      </c>
      <c r="Y1876" s="4">
        <f>1/TWD!C1876</f>
        <v>3.2381637021277977E-2</v>
      </c>
      <c r="Z1876" s="4">
        <f>1/ZAR!B1876</f>
        <v>7.6677708256655625E-2</v>
      </c>
      <c r="AA1876" s="4">
        <f>1/ZAR!C1876</f>
        <v>7.6264270951701837E-2</v>
      </c>
    </row>
    <row r="1877" spans="1:27" x14ac:dyDescent="0.25">
      <c r="A1877" t="str">
        <f>"09/03/2017"</f>
        <v>09/03/2017</v>
      </c>
      <c r="B1877" s="3">
        <f>AUD!B1877</f>
        <v>0.75049999999999994</v>
      </c>
      <c r="C1877" s="3">
        <f>AUD!C1877</f>
        <v>0.75</v>
      </c>
      <c r="D1877" s="3">
        <f>1/CAD!B1877</f>
        <v>0.7392622163081245</v>
      </c>
      <c r="E1877" s="3">
        <f>1/CAD!C1877</f>
        <v>0.73953557166099682</v>
      </c>
      <c r="F1877" s="3">
        <f>EUR!B1877/1</f>
        <v>1.0563</v>
      </c>
      <c r="G1877" s="3">
        <f>EUR!C1877/1</f>
        <v>1.0579000000000001</v>
      </c>
      <c r="H1877" s="3">
        <f>GBP!B1877/1</f>
        <v>1.2153</v>
      </c>
      <c r="I1877" s="3">
        <f>GBP!C1877/1</f>
        <v>1.2163999999999999</v>
      </c>
      <c r="J1877" s="4">
        <f>1/INR!B1877</f>
        <v>1.498800959232614E-2</v>
      </c>
      <c r="K1877" s="4">
        <f>1/INR!C1877</f>
        <v>1.4915911548644516E-2</v>
      </c>
      <c r="L1877" s="4">
        <f>1/JPY!B1877</f>
        <v>8.7206767245138223E-3</v>
      </c>
      <c r="M1877" s="4">
        <f>1/JPY!C1877</f>
        <v>8.7335634336179312E-3</v>
      </c>
      <c r="N1877" s="5">
        <f>1/KRW!B1877</f>
        <v>8.6325966850828726E-4</v>
      </c>
      <c r="O1877" s="5">
        <f>1/KRW!C1877</f>
        <v>8.63253110646259E-4</v>
      </c>
      <c r="P1877" s="3">
        <f>1/NOK!B1877</f>
        <v>0.11662215587717355</v>
      </c>
      <c r="Q1877" s="3">
        <f>1/NOK!C1877</f>
        <v>0.11666025035289726</v>
      </c>
      <c r="R1877" s="3">
        <f>NZD!B1877/1</f>
        <v>0.68989999999999996</v>
      </c>
      <c r="S1877" s="3">
        <f>NZD!C1877/1</f>
        <v>0.68930000000000002</v>
      </c>
      <c r="T1877" s="4">
        <f>1/PHP!B1877</f>
        <v>1.9845207382417147E-2</v>
      </c>
      <c r="U1877" s="4">
        <f>1/PHP!C1877</f>
        <v>1.981649921724828E-2</v>
      </c>
      <c r="V1877" s="4">
        <f>1/TWD!B1877</f>
        <v>3.2236227071983495E-2</v>
      </c>
      <c r="W1877" s="4">
        <f>1/TWD!C1877</f>
        <v>3.223653882729919E-2</v>
      </c>
      <c r="X1877" s="4">
        <f>1/TWD!B1877</f>
        <v>3.2236227071983495E-2</v>
      </c>
      <c r="Y1877" s="4">
        <f>1/TWD!C1877</f>
        <v>3.223653882729919E-2</v>
      </c>
      <c r="Z1877" s="4">
        <f>1/ZAR!B1877</f>
        <v>7.5315383167011862E-2</v>
      </c>
      <c r="AA1877" s="4">
        <f>1/ZAR!C1877</f>
        <v>7.4908050368173065E-2</v>
      </c>
    </row>
    <row r="1878" spans="1:27" x14ac:dyDescent="0.25">
      <c r="A1878" t="str">
        <f>"10/03/2017"</f>
        <v>10/03/2017</v>
      </c>
      <c r="B1878" s="3">
        <f>AUD!B1878</f>
        <v>0.75180000000000002</v>
      </c>
      <c r="C1878" s="3">
        <f>AUD!C1878</f>
        <v>0.75129999999999997</v>
      </c>
      <c r="D1878" s="3">
        <f>1/CAD!B1878</f>
        <v>0.74112502779218858</v>
      </c>
      <c r="E1878" s="3">
        <f>1/CAD!C1878</f>
        <v>0.74145473418847774</v>
      </c>
      <c r="F1878" s="3">
        <f>EUR!B1878/1</f>
        <v>1.0605</v>
      </c>
      <c r="G1878" s="3">
        <f>EUR!C1878/1</f>
        <v>1.0623</v>
      </c>
      <c r="H1878" s="3">
        <f>GBP!B1878/1</f>
        <v>1.2149000000000001</v>
      </c>
      <c r="I1878" s="3">
        <f>GBP!C1878/1</f>
        <v>1.216</v>
      </c>
      <c r="J1878" s="4">
        <f>1/INR!B1878</f>
        <v>1.5012760846719712E-2</v>
      </c>
      <c r="K1878" s="4">
        <f>1/INR!C1878</f>
        <v>1.4942099364960777E-2</v>
      </c>
      <c r="L1878" s="4">
        <f>1/JPY!B1878</f>
        <v>8.6625086625086618E-3</v>
      </c>
      <c r="M1878" s="4">
        <f>1/JPY!C1878</f>
        <v>8.6754572182840464E-3</v>
      </c>
      <c r="N1878" s="5">
        <f>1/KRW!B1878</f>
        <v>8.6396820597002023E-4</v>
      </c>
      <c r="O1878" s="5">
        <f>1/KRW!C1878</f>
        <v>8.6396163733862481E-4</v>
      </c>
      <c r="P1878" s="3">
        <f>1/NOK!B1878</f>
        <v>0.11597699016515123</v>
      </c>
      <c r="Q1878" s="3">
        <f>1/NOK!C1878</f>
        <v>0.1160160102094089</v>
      </c>
      <c r="R1878" s="3">
        <f>NZD!B1878/1</f>
        <v>0.69169999999999998</v>
      </c>
      <c r="S1878" s="3">
        <f>NZD!C1878/1</f>
        <v>0.69099999999999995</v>
      </c>
      <c r="T1878" s="4">
        <f>1/PHP!B1878</f>
        <v>1.9857029388403495E-2</v>
      </c>
      <c r="U1878" s="4">
        <f>1/PHP!C1878</f>
        <v>1.9823963206724287E-2</v>
      </c>
      <c r="V1878" s="4">
        <f>1/TWD!B1878</f>
        <v>3.2208193764493687E-2</v>
      </c>
      <c r="W1878" s="4">
        <f>1/TWD!C1878</f>
        <v>3.2208504977824445E-2</v>
      </c>
      <c r="X1878" s="4">
        <f>1/TWD!B1878</f>
        <v>3.2208193764493687E-2</v>
      </c>
      <c r="Y1878" s="4">
        <f>1/TWD!C1878</f>
        <v>3.2208504977824445E-2</v>
      </c>
      <c r="Z1878" s="4">
        <f>1/ZAR!B1878</f>
        <v>7.5203802304244505E-2</v>
      </c>
      <c r="AA1878" s="4">
        <f>1/ZAR!C1878</f>
        <v>7.4744001793856041E-2</v>
      </c>
    </row>
    <row r="1879" spans="1:27" x14ac:dyDescent="0.25">
      <c r="A1879" t="str">
        <f>"14/03/2017"</f>
        <v>14/03/2017</v>
      </c>
      <c r="B1879" s="3">
        <f>AUD!B1879</f>
        <v>0.75549999999999995</v>
      </c>
      <c r="C1879" s="3">
        <f>AUD!C1879</f>
        <v>0.755</v>
      </c>
      <c r="D1879" s="3">
        <f>1/CAD!B1879</f>
        <v>0.74244561585863833</v>
      </c>
      <c r="E1879" s="3">
        <f>1/CAD!C1879</f>
        <v>0.7428316743425939</v>
      </c>
      <c r="F1879" s="3">
        <f>EUR!B1879/1</f>
        <v>1.0632999999999999</v>
      </c>
      <c r="G1879" s="3">
        <f>EUR!C1879/1</f>
        <v>1.0650999999999999</v>
      </c>
      <c r="H1879" s="3">
        <f>GBP!B1879/1</f>
        <v>1.2129000000000001</v>
      </c>
      <c r="I1879" s="3">
        <f>GBP!C1879/1</f>
        <v>1.214</v>
      </c>
      <c r="J1879" s="4">
        <f>1/INR!B1879</f>
        <v>1.5192373428538873E-2</v>
      </c>
      <c r="K1879" s="4">
        <f>1/INR!C1879</f>
        <v>1.512001512001512E-2</v>
      </c>
      <c r="L1879" s="4">
        <f>1/JPY!B1879</f>
        <v>8.6948960959916527E-3</v>
      </c>
      <c r="M1879" s="4">
        <f>1/JPY!C1879</f>
        <v>8.7087759205829313E-3</v>
      </c>
      <c r="N1879" s="5">
        <f>1/KRW!B1879</f>
        <v>8.703220191470844E-4</v>
      </c>
      <c r="O1879" s="5">
        <f>1/KRW!C1879</f>
        <v>8.7031535354646541E-4</v>
      </c>
      <c r="P1879" s="3">
        <f>1/NOK!B1879</f>
        <v>0.11635618956750404</v>
      </c>
      <c r="Q1879" s="3">
        <f>1/NOK!C1879</f>
        <v>0.1164022395790895</v>
      </c>
      <c r="R1879" s="3">
        <f>NZD!B1879/1</f>
        <v>0.69079999999999997</v>
      </c>
      <c r="S1879" s="3">
        <f>NZD!C1879/1</f>
        <v>0.69020000000000004</v>
      </c>
      <c r="T1879" s="4">
        <f>1/PHP!B1879</f>
        <v>1.9853087155052612E-2</v>
      </c>
      <c r="U1879" s="4">
        <f>1/PHP!C1879</f>
        <v>1.9820034090458634E-2</v>
      </c>
      <c r="V1879" s="4">
        <f>1/TWD!B1879</f>
        <v>3.2292440339716476E-2</v>
      </c>
      <c r="W1879" s="4">
        <f>1/TWD!C1879</f>
        <v>3.2292753183258145E-2</v>
      </c>
      <c r="X1879" s="4">
        <f>1/TWD!B1879</f>
        <v>3.2292440339716476E-2</v>
      </c>
      <c r="Y1879" s="4">
        <f>1/TWD!C1879</f>
        <v>3.2292753183258145E-2</v>
      </c>
      <c r="Z1879" s="4">
        <f>1/ZAR!B1879</f>
        <v>7.5805815822189884E-2</v>
      </c>
      <c r="AA1879" s="4">
        <f>1/ZAR!C1879</f>
        <v>7.5371013815506829E-2</v>
      </c>
    </row>
    <row r="1880" spans="1:27" x14ac:dyDescent="0.25">
      <c r="A1880" t="str">
        <f>"15/03/2017"</f>
        <v>15/03/2017</v>
      </c>
      <c r="B1880" s="3">
        <f>AUD!B1880</f>
        <v>0.75729999999999997</v>
      </c>
      <c r="C1880" s="3">
        <f>AUD!C1880</f>
        <v>0.75680000000000003</v>
      </c>
      <c r="D1880" s="3">
        <f>1/CAD!B1880</f>
        <v>0.74250074250074249</v>
      </c>
      <c r="E1880" s="3">
        <f>1/CAD!C1880</f>
        <v>0.7428316743425939</v>
      </c>
      <c r="F1880" s="3">
        <f>EUR!B1880/1</f>
        <v>1.0615000000000001</v>
      </c>
      <c r="G1880" s="3">
        <f>EUR!C1880/1</f>
        <v>1.0631999999999999</v>
      </c>
      <c r="H1880" s="3">
        <f>GBP!B1880/1</f>
        <v>1.2161</v>
      </c>
      <c r="I1880" s="3">
        <f>GBP!C1880/1</f>
        <v>1.2172000000000001</v>
      </c>
      <c r="J1880" s="4">
        <f>1/INR!B1880</f>
        <v>1.528584530724549E-2</v>
      </c>
      <c r="K1880" s="4">
        <f>1/INR!C1880</f>
        <v>1.5213753232922561E-2</v>
      </c>
      <c r="L1880" s="4">
        <f>1/JPY!B1880</f>
        <v>8.7115602404390629E-3</v>
      </c>
      <c r="M1880" s="4">
        <f>1/JPY!C1880</f>
        <v>8.7253410953967714E-3</v>
      </c>
      <c r="N1880" s="5">
        <f>1/KRW!B1880</f>
        <v>8.7370582324931194E-4</v>
      </c>
      <c r="O1880" s="5">
        <f>1/KRW!C1880</f>
        <v>8.7369910571654329E-4</v>
      </c>
      <c r="P1880" s="3">
        <f>1/NOK!B1880</f>
        <v>0.11619395094291392</v>
      </c>
      <c r="Q1880" s="3">
        <f>1/NOK!C1880</f>
        <v>0.11623446816919088</v>
      </c>
      <c r="R1880" s="3">
        <f>NZD!B1880/1</f>
        <v>0.69359999999999999</v>
      </c>
      <c r="S1880" s="3">
        <f>NZD!C1880/1</f>
        <v>0.69299999999999995</v>
      </c>
      <c r="T1880" s="4">
        <f>1/PHP!B1880</f>
        <v>1.9876764062810574E-2</v>
      </c>
      <c r="U1880" s="4">
        <f>1/PHP!C1880</f>
        <v>1.9844616651617832E-2</v>
      </c>
      <c r="V1880" s="4">
        <f>1/TWD!B1880</f>
        <v>3.2326889506691665E-2</v>
      </c>
      <c r="W1880" s="4">
        <f>1/TWD!C1880</f>
        <v>3.2327203018067671E-2</v>
      </c>
      <c r="X1880" s="4">
        <f>1/TWD!B1880</f>
        <v>3.2326889506691665E-2</v>
      </c>
      <c r="Y1880" s="4">
        <f>1/TWD!C1880</f>
        <v>3.2327203018067671E-2</v>
      </c>
      <c r="Z1880" s="4">
        <f>1/ZAR!B1880</f>
        <v>7.6067030267071345E-2</v>
      </c>
      <c r="AA1880" s="4">
        <f>1/ZAR!C1880</f>
        <v>7.5644681800646013E-2</v>
      </c>
    </row>
    <row r="1881" spans="1:27" x14ac:dyDescent="0.25">
      <c r="A1881" t="str">
        <f>"16/03/2017"</f>
        <v>16/03/2017</v>
      </c>
      <c r="B1881" s="3">
        <f>AUD!B1881</f>
        <v>0.76870000000000005</v>
      </c>
      <c r="C1881" s="3">
        <f>AUD!C1881</f>
        <v>0.76819999999999999</v>
      </c>
      <c r="D1881" s="3">
        <f>1/CAD!B1881</f>
        <v>0.75125835774923</v>
      </c>
      <c r="E1881" s="3">
        <f>1/CAD!C1881</f>
        <v>0.75159714393085308</v>
      </c>
      <c r="F1881" s="3">
        <f>EUR!B1881/1</f>
        <v>1.0727</v>
      </c>
      <c r="G1881" s="3">
        <f>EUR!C1881/1</f>
        <v>1.0744</v>
      </c>
      <c r="H1881" s="3">
        <f>GBP!B1881/1</f>
        <v>1.2269000000000001</v>
      </c>
      <c r="I1881" s="3">
        <f>GBP!C1881/1</f>
        <v>1.228</v>
      </c>
      <c r="J1881" s="4">
        <f>1/INR!B1881</f>
        <v>1.528759793617428E-2</v>
      </c>
      <c r="K1881" s="4">
        <f>1/INR!C1881</f>
        <v>1.5215489368176805E-2</v>
      </c>
      <c r="L1881" s="4">
        <f>1/JPY!B1881</f>
        <v>8.8191198518387873E-3</v>
      </c>
      <c r="M1881" s="4">
        <f>1/JPY!C1881</f>
        <v>8.8332433814715654E-3</v>
      </c>
      <c r="N1881" s="5">
        <f>1/KRW!B1881</f>
        <v>8.8343124696320505E-4</v>
      </c>
      <c r="O1881" s="5">
        <f>1/KRW!C1881</f>
        <v>8.8342672037194394E-4</v>
      </c>
      <c r="P1881" s="3">
        <f>1/NOK!B1881</f>
        <v>0.11710561755647417</v>
      </c>
      <c r="Q1881" s="3">
        <f>1/NOK!C1881</f>
        <v>0.11714814554485603</v>
      </c>
      <c r="R1881" s="3">
        <f>NZD!B1881/1</f>
        <v>0.69940000000000002</v>
      </c>
      <c r="S1881" s="3">
        <f>NZD!C1881/1</f>
        <v>0.69879999999999998</v>
      </c>
      <c r="T1881" s="4">
        <f>1/PHP!B1881</f>
        <v>1.9948134849391581E-2</v>
      </c>
      <c r="U1881" s="4">
        <f>1/PHP!C1881</f>
        <v>1.9920318725099601E-2</v>
      </c>
      <c r="V1881" s="4">
        <f>1/TWD!B1881</f>
        <v>3.2520325203252036E-2</v>
      </c>
      <c r="W1881" s="4">
        <f>1/TWD!C1881</f>
        <v>3.2520748237375448E-2</v>
      </c>
      <c r="X1881" s="4">
        <f>1/TWD!B1881</f>
        <v>3.2520325203252036E-2</v>
      </c>
      <c r="Y1881" s="4">
        <f>1/TWD!C1881</f>
        <v>3.2520748237375448E-2</v>
      </c>
      <c r="Z1881" s="4">
        <f>1/ZAR!B1881</f>
        <v>7.8293208064200426E-2</v>
      </c>
      <c r="AA1881" s="4">
        <f>1/ZAR!C1881</f>
        <v>7.7879800316191988E-2</v>
      </c>
    </row>
    <row r="1882" spans="1:27" x14ac:dyDescent="0.25">
      <c r="A1882" t="str">
        <f>"17/03/2017"</f>
        <v>17/03/2017</v>
      </c>
      <c r="B1882" s="3">
        <f>AUD!B1882</f>
        <v>0.76939999999999997</v>
      </c>
      <c r="C1882" s="3">
        <f>AUD!C1882</f>
        <v>0.76890000000000003</v>
      </c>
      <c r="D1882" s="3">
        <f>1/CAD!B1882</f>
        <v>0.74973759184285493</v>
      </c>
      <c r="E1882" s="3">
        <f>1/CAD!C1882</f>
        <v>0.75013127297277027</v>
      </c>
      <c r="F1882" s="3">
        <f>EUR!B1882/1</f>
        <v>1.0741000000000001</v>
      </c>
      <c r="G1882" s="3">
        <f>EUR!C1882/1</f>
        <v>1.0759000000000001</v>
      </c>
      <c r="H1882" s="3">
        <f>GBP!B1882/1</f>
        <v>1.2352000000000001</v>
      </c>
      <c r="I1882" s="3">
        <f>GBP!C1882/1</f>
        <v>1.2363999999999999</v>
      </c>
      <c r="J1882" s="4">
        <f>1/INR!B1882</f>
        <v>1.5271838729383017E-2</v>
      </c>
      <c r="K1882" s="4">
        <f>1/INR!C1882</f>
        <v>1.5198723307242191E-2</v>
      </c>
      <c r="L1882" s="4">
        <f>1/JPY!B1882</f>
        <v>8.8378258948298722E-3</v>
      </c>
      <c r="M1882" s="4">
        <f>1/JPY!C1882</f>
        <v>8.8525971749591897E-3</v>
      </c>
      <c r="N1882" s="5">
        <f>1/KRW!B1882</f>
        <v>8.8386070355311994E-4</v>
      </c>
      <c r="O1882" s="5">
        <f>1/KRW!C1882</f>
        <v>8.8385617255983668E-4</v>
      </c>
      <c r="P1882" s="3">
        <f>1/NOK!B1882</f>
        <v>0.11816559726801139</v>
      </c>
      <c r="Q1882" s="3">
        <f>1/NOK!C1882</f>
        <v>0.11821029611679176</v>
      </c>
      <c r="R1882" s="3">
        <f>NZD!B1882/1</f>
        <v>0.70150000000000001</v>
      </c>
      <c r="S1882" s="3">
        <f>NZD!C1882/1</f>
        <v>0.70089999999999997</v>
      </c>
      <c r="T1882" s="4">
        <f>1/PHP!B1882</f>
        <v>1.9928258270227182E-2</v>
      </c>
      <c r="U1882" s="4">
        <f>1/PHP!C1882</f>
        <v>1.9899111504671316E-2</v>
      </c>
      <c r="V1882" s="4">
        <f>1/TWD!B1882</f>
        <v>3.2634945499641015E-2</v>
      </c>
      <c r="W1882" s="4">
        <f>1/TWD!C1882</f>
        <v>3.2635371521069392E-2</v>
      </c>
      <c r="X1882" s="4">
        <f>1/TWD!B1882</f>
        <v>3.2634945499641015E-2</v>
      </c>
      <c r="Y1882" s="4">
        <f>1/TWD!C1882</f>
        <v>3.2635371521069392E-2</v>
      </c>
      <c r="Z1882" s="4">
        <f>1/ZAR!B1882</f>
        <v>7.8380348479029333E-2</v>
      </c>
      <c r="AA1882" s="4">
        <f>1/ZAR!C1882</f>
        <v>7.7941715185384369E-2</v>
      </c>
    </row>
    <row r="1883" spans="1:27" x14ac:dyDescent="0.25">
      <c r="A1883" t="str">
        <f>"20/03/2017"</f>
        <v>20/03/2017</v>
      </c>
      <c r="B1883" s="3">
        <f>AUD!B1883</f>
        <v>0.7722</v>
      </c>
      <c r="C1883" s="3">
        <f>AUD!C1883</f>
        <v>0.77170000000000005</v>
      </c>
      <c r="D1883" s="3">
        <f>1/CAD!B1883</f>
        <v>0.74889537931550965</v>
      </c>
      <c r="E1883" s="3">
        <f>1/CAD!C1883</f>
        <v>0.749232037161909</v>
      </c>
      <c r="F1883" s="3">
        <f>EUR!B1883/1</f>
        <v>1.0751999999999999</v>
      </c>
      <c r="G1883" s="3">
        <f>EUR!C1883/1</f>
        <v>1.0770999999999999</v>
      </c>
      <c r="H1883" s="3">
        <f>GBP!B1883/1</f>
        <v>1.2383999999999999</v>
      </c>
      <c r="I1883" s="3">
        <f>GBP!C1883/1</f>
        <v>1.2396</v>
      </c>
      <c r="J1883" s="4">
        <f>1/INR!B1883</f>
        <v>1.5298707259236596E-2</v>
      </c>
      <c r="K1883" s="4">
        <f>1/INR!C1883</f>
        <v>1.5219541891789057E-2</v>
      </c>
      <c r="L1883" s="4">
        <f>1/JPY!B1883</f>
        <v>8.8589652728561299E-3</v>
      </c>
      <c r="M1883" s="4">
        <f>1/JPY!C1883</f>
        <v>8.8736813709482769E-3</v>
      </c>
      <c r="N1883" s="5">
        <f>1/KRW!B1883</f>
        <v>8.9269773254775934E-4</v>
      </c>
      <c r="O1883" s="5">
        <f>1/KRW!C1883</f>
        <v>8.9269430585117368E-4</v>
      </c>
      <c r="P1883" s="3">
        <f>1/NOK!B1883</f>
        <v>0.11785781633037903</v>
      </c>
      <c r="Q1883" s="3">
        <f>1/NOK!C1883</f>
        <v>0.1179064530201738</v>
      </c>
      <c r="R1883" s="3">
        <f>NZD!B1883/1</f>
        <v>0.70350000000000001</v>
      </c>
      <c r="S1883" s="3">
        <f>NZD!C1883/1</f>
        <v>0.70289999999999997</v>
      </c>
      <c r="T1883" s="4">
        <f>1/PHP!B1883</f>
        <v>1.9956096587507483E-2</v>
      </c>
      <c r="U1883" s="4">
        <f>1/PHP!C1883</f>
        <v>1.9930244145490782E-2</v>
      </c>
      <c r="V1883" s="4">
        <f>1/TWD!B1883</f>
        <v>3.2741798179556018E-2</v>
      </c>
      <c r="W1883" s="4">
        <f>1/TWD!C1883</f>
        <v>3.274233420100519E-2</v>
      </c>
      <c r="X1883" s="4">
        <f>1/TWD!B1883</f>
        <v>3.2741798179556018E-2</v>
      </c>
      <c r="Y1883" s="4">
        <f>1/TWD!C1883</f>
        <v>3.274233420100519E-2</v>
      </c>
      <c r="Z1883" s="4">
        <f>1/ZAR!B1883</f>
        <v>7.8771169751870818E-2</v>
      </c>
      <c r="AA1883" s="4">
        <f>1/ZAR!C1883</f>
        <v>7.8340436199548766E-2</v>
      </c>
    </row>
    <row r="1884" spans="1:27" x14ac:dyDescent="0.25">
      <c r="A1884" t="str">
        <f>"21/03/2017"</f>
        <v>21/03/2017</v>
      </c>
      <c r="B1884" s="3">
        <f>AUD!B1884</f>
        <v>0.77300000000000002</v>
      </c>
      <c r="C1884" s="3">
        <f>AUD!C1884</f>
        <v>0.77259999999999995</v>
      </c>
      <c r="D1884" s="3">
        <f>1/CAD!B1884</f>
        <v>0.7509762691498949</v>
      </c>
      <c r="E1884" s="3">
        <f>1/CAD!C1884</f>
        <v>0.75131480090157776</v>
      </c>
      <c r="F1884" s="3">
        <f>EUR!B1884/1</f>
        <v>1.0803</v>
      </c>
      <c r="G1884" s="3">
        <f>EUR!C1884/1</f>
        <v>1.0821000000000001</v>
      </c>
      <c r="H1884" s="3">
        <f>GBP!B1884/1</f>
        <v>1.2456</v>
      </c>
      <c r="I1884" s="3">
        <f>GBP!C1884/1</f>
        <v>1.2467999999999999</v>
      </c>
      <c r="J1884" s="4">
        <f>1/INR!B1884</f>
        <v>1.5317454239105462E-2</v>
      </c>
      <c r="K1884" s="4">
        <f>1/INR!C1884</f>
        <v>1.5241579027587259E-2</v>
      </c>
      <c r="L1884" s="4">
        <f>1/JPY!B1884</f>
        <v>8.8809946714031984E-3</v>
      </c>
      <c r="M1884" s="4">
        <f>1/JPY!C1884</f>
        <v>8.894518130585758E-3</v>
      </c>
      <c r="N1884" s="5">
        <f>1/KRW!B1884</f>
        <v>8.9070989578694218E-4</v>
      </c>
      <c r="O1884" s="5">
        <f>1/KRW!C1884</f>
        <v>8.907064843342988E-4</v>
      </c>
      <c r="P1884" s="3">
        <f>1/NOK!B1884</f>
        <v>0.11844552098262404</v>
      </c>
      <c r="Q1884" s="3">
        <f>1/NOK!C1884</f>
        <v>0.11849323996066026</v>
      </c>
      <c r="R1884" s="3">
        <f>NZD!B1884/1</f>
        <v>0.70530000000000004</v>
      </c>
      <c r="S1884" s="3">
        <f>NZD!C1884/1</f>
        <v>0.70469999999999999</v>
      </c>
      <c r="T1884" s="4">
        <f>1/PHP!B1884</f>
        <v>1.9926272790674503E-2</v>
      </c>
      <c r="U1884" s="4">
        <f>1/PHP!C1884</f>
        <v>1.9901487636200806E-2</v>
      </c>
      <c r="V1884" s="4">
        <f>1/TWD!B1884</f>
        <v>3.2829940906106365E-2</v>
      </c>
      <c r="W1884" s="4">
        <f>1/TWD!C1884</f>
        <v>3.2830479817462531E-2</v>
      </c>
      <c r="X1884" s="4">
        <f>1/TWD!B1884</f>
        <v>3.2829940906106365E-2</v>
      </c>
      <c r="Y1884" s="4">
        <f>1/TWD!C1884</f>
        <v>3.2830479817462531E-2</v>
      </c>
      <c r="Z1884" s="4">
        <f>1/ZAR!B1884</f>
        <v>7.9651445275474519E-2</v>
      </c>
      <c r="AA1884" s="4">
        <f>1/ZAR!C1884</f>
        <v>7.9216077695129006E-2</v>
      </c>
    </row>
    <row r="1885" spans="1:27" x14ac:dyDescent="0.25">
      <c r="A1885" t="str">
        <f>"22/03/2017"</f>
        <v>22/03/2017</v>
      </c>
      <c r="B1885" s="3">
        <f>AUD!B1885</f>
        <v>0.76629999999999998</v>
      </c>
      <c r="C1885" s="3">
        <f>AUD!C1885</f>
        <v>0.76590000000000003</v>
      </c>
      <c r="D1885" s="3">
        <f>1/CAD!B1885</f>
        <v>0.74721661809758644</v>
      </c>
      <c r="E1885" s="3">
        <f>1/CAD!C1885</f>
        <v>0.74755176795993128</v>
      </c>
      <c r="F1885" s="3">
        <f>EUR!B1885/1</f>
        <v>1.0787</v>
      </c>
      <c r="G1885" s="3">
        <f>EUR!C1885/1</f>
        <v>1.0805</v>
      </c>
      <c r="H1885" s="3">
        <f>GBP!B1885/1</f>
        <v>1.246</v>
      </c>
      <c r="I1885" s="3">
        <f>GBP!C1885/1</f>
        <v>1.2472000000000001</v>
      </c>
      <c r="J1885" s="4">
        <f>1/INR!B1885</f>
        <v>1.5280006112002446E-2</v>
      </c>
      <c r="K1885" s="4">
        <f>1/INR!C1885</f>
        <v>1.5206812652068125E-2</v>
      </c>
      <c r="L1885" s="4">
        <f>1/JPY!B1885</f>
        <v>8.986340762041696E-3</v>
      </c>
      <c r="M1885" s="4">
        <f>1/JPY!C1885</f>
        <v>8.9993286500827038E-3</v>
      </c>
      <c r="N1885" s="5">
        <f>1/KRW!B1885</f>
        <v>8.9011526992745552E-4</v>
      </c>
      <c r="O1885" s="5">
        <f>1/KRW!C1885</f>
        <v>8.9011225917790297E-4</v>
      </c>
      <c r="P1885" s="3">
        <f>1/NOK!B1885</f>
        <v>0.11773293461112812</v>
      </c>
      <c r="Q1885" s="3">
        <f>1/NOK!C1885</f>
        <v>0.11777869383428537</v>
      </c>
      <c r="R1885" s="3">
        <f>NZD!B1885/1</f>
        <v>0.70289999999999997</v>
      </c>
      <c r="S1885" s="3">
        <f>NZD!C1885/1</f>
        <v>0.70230000000000004</v>
      </c>
      <c r="T1885" s="4">
        <f>1/PHP!B1885</f>
        <v>1.987281399046105E-2</v>
      </c>
      <c r="U1885" s="4">
        <f>1/PHP!C1885</f>
        <v>1.9847767622336678E-2</v>
      </c>
      <c r="V1885" s="4">
        <f>1/TWD!B1885</f>
        <v>3.2781511227667599E-2</v>
      </c>
      <c r="W1885" s="4">
        <f>1/TWD!C1885</f>
        <v>3.2781941084295482E-2</v>
      </c>
      <c r="X1885" s="4">
        <f>1/TWD!B1885</f>
        <v>3.2781511227667599E-2</v>
      </c>
      <c r="Y1885" s="4">
        <f>1/TWD!C1885</f>
        <v>3.2781941084295482E-2</v>
      </c>
      <c r="Z1885" s="4">
        <f>1/ZAR!B1885</f>
        <v>7.9260028375090164E-2</v>
      </c>
      <c r="AA1885" s="4">
        <f>1/ZAR!C1885</f>
        <v>7.8841969157021671E-2</v>
      </c>
    </row>
    <row r="1886" spans="1:27" x14ac:dyDescent="0.25">
      <c r="A1886" t="str">
        <f>"23/03/2017"</f>
        <v>23/03/2017</v>
      </c>
      <c r="B1886" s="3">
        <f>AUD!B1886</f>
        <v>0.76590000000000003</v>
      </c>
      <c r="C1886" s="3">
        <f>AUD!C1886</f>
        <v>0.76539999999999997</v>
      </c>
      <c r="D1886" s="3">
        <f>1/CAD!B1886</f>
        <v>0.75058170081813402</v>
      </c>
      <c r="E1886" s="3">
        <f>1/CAD!C1886</f>
        <v>0.75091987684914019</v>
      </c>
      <c r="F1886" s="3">
        <f>EUR!B1886/1</f>
        <v>1.0790999999999999</v>
      </c>
      <c r="G1886" s="3">
        <f>EUR!C1886/1</f>
        <v>1.0809</v>
      </c>
      <c r="H1886" s="3">
        <f>GBP!B1886/1</f>
        <v>1.2485999999999999</v>
      </c>
      <c r="I1886" s="3">
        <f>GBP!C1886/1</f>
        <v>1.2497</v>
      </c>
      <c r="J1886" s="4">
        <f>1/INR!B1886</f>
        <v>1.5287013681877244E-2</v>
      </c>
      <c r="K1886" s="4">
        <f>1/INR!C1886</f>
        <v>1.5215489368176805E-2</v>
      </c>
      <c r="L1886" s="4">
        <f>1/JPY!B1886</f>
        <v>8.9823048594269289E-3</v>
      </c>
      <c r="M1886" s="4">
        <f>1/JPY!C1886</f>
        <v>8.9948522460595801E-3</v>
      </c>
      <c r="N1886" s="5">
        <f>1/KRW!B1886</f>
        <v>8.9273757978842116E-4</v>
      </c>
      <c r="O1886" s="5">
        <f>1/KRW!C1886</f>
        <v>8.9273455127322689E-4</v>
      </c>
      <c r="P1886" s="3">
        <f>1/NOK!B1886</f>
        <v>0.11807490672082369</v>
      </c>
      <c r="Q1886" s="3">
        <f>1/NOK!C1886</f>
        <v>0.11811953697141508</v>
      </c>
      <c r="R1886" s="3">
        <f>NZD!B1886/1</f>
        <v>0.70430000000000004</v>
      </c>
      <c r="S1886" s="3">
        <f>NZD!C1886/1</f>
        <v>0.70369999999999999</v>
      </c>
      <c r="T1886" s="4">
        <f>1/PHP!B1886</f>
        <v>1.9861762135536667E-2</v>
      </c>
      <c r="U1886" s="4">
        <f>1/PHP!C1886</f>
        <v>1.9836153373137884E-2</v>
      </c>
      <c r="V1886" s="4">
        <f>1/TWD!B1886</f>
        <v>3.2746086842622306E-2</v>
      </c>
      <c r="W1886" s="4">
        <f>1/TWD!C1886</f>
        <v>3.2746515770721997E-2</v>
      </c>
      <c r="X1886" s="4">
        <f>1/TWD!B1886</f>
        <v>3.2746086842622306E-2</v>
      </c>
      <c r="Y1886" s="4">
        <f>1/TWD!C1886</f>
        <v>3.2746515770721997E-2</v>
      </c>
      <c r="Z1886" s="4">
        <f>1/ZAR!B1886</f>
        <v>7.9577285459638408E-2</v>
      </c>
      <c r="AA1886" s="4">
        <f>1/ZAR!C1886</f>
        <v>7.9143978726098518E-2</v>
      </c>
    </row>
    <row r="1887" spans="1:27" x14ac:dyDescent="0.25">
      <c r="A1887" t="str">
        <f>"24/03/2017"</f>
        <v>24/03/2017</v>
      </c>
      <c r="B1887" s="3">
        <f>AUD!B1887</f>
        <v>0.76160000000000005</v>
      </c>
      <c r="C1887" s="3">
        <f>AUD!C1887</f>
        <v>0.76119999999999999</v>
      </c>
      <c r="D1887" s="3">
        <f>1/CAD!B1887</f>
        <v>0.74872716382150351</v>
      </c>
      <c r="E1887" s="3">
        <f>1/CAD!C1887</f>
        <v>0.74906367041198507</v>
      </c>
      <c r="F1887" s="3">
        <f>EUR!B1887/1</f>
        <v>1.08</v>
      </c>
      <c r="G1887" s="3">
        <f>EUR!C1887/1</f>
        <v>1.0817000000000001</v>
      </c>
      <c r="H1887" s="3">
        <f>GBP!B1887/1</f>
        <v>1.2486999999999999</v>
      </c>
      <c r="I1887" s="3">
        <f>GBP!C1887/1</f>
        <v>1.2499</v>
      </c>
      <c r="J1887" s="4">
        <f>1/INR!B1887</f>
        <v>1.528584530724549E-2</v>
      </c>
      <c r="K1887" s="4">
        <f>1/INR!C1887</f>
        <v>1.5217804831653033E-2</v>
      </c>
      <c r="L1887" s="4">
        <f>1/JPY!B1887</f>
        <v>9.005763688760807E-3</v>
      </c>
      <c r="M1887" s="4">
        <f>1/JPY!C1887</f>
        <v>9.0173195656898207E-3</v>
      </c>
      <c r="N1887" s="5">
        <f>1/KRW!B1887</f>
        <v>8.9059090706683887E-4</v>
      </c>
      <c r="O1887" s="5">
        <f>1/KRW!C1887</f>
        <v>8.9058868624631844E-4</v>
      </c>
      <c r="P1887" s="3">
        <f>1/NOK!B1887</f>
        <v>0.11777453243510623</v>
      </c>
      <c r="Q1887" s="3">
        <f>1/NOK!C1887</f>
        <v>0.11782171218512148</v>
      </c>
      <c r="R1887" s="3">
        <f>NZD!B1887/1</f>
        <v>0.70140000000000002</v>
      </c>
      <c r="S1887" s="3">
        <f>NZD!C1887/1</f>
        <v>0.70079999999999998</v>
      </c>
      <c r="T1887" s="4">
        <f>1/PHP!B1887</f>
        <v>1.9852298896212182E-2</v>
      </c>
      <c r="U1887" s="4">
        <f>1/PHP!C1887</f>
        <v>1.9827500743531276E-2</v>
      </c>
      <c r="V1887" s="4">
        <f>1/TWD!B1887</f>
        <v>3.2797638570022963E-2</v>
      </c>
      <c r="W1887" s="4">
        <f>1/TWD!C1887</f>
        <v>3.2798068849706132E-2</v>
      </c>
      <c r="X1887" s="4">
        <f>1/TWD!B1887</f>
        <v>3.2797638570022963E-2</v>
      </c>
      <c r="Y1887" s="4">
        <f>1/TWD!C1887</f>
        <v>3.2798068849706132E-2</v>
      </c>
      <c r="Z1887" s="4">
        <f>1/ZAR!B1887</f>
        <v>7.9895815856123625E-2</v>
      </c>
      <c r="AA1887" s="4">
        <f>1/ZAR!C1887</f>
        <v>7.9477988571065236E-2</v>
      </c>
    </row>
    <row r="1888" spans="1:27" x14ac:dyDescent="0.25">
      <c r="A1888" t="str">
        <f>"27/03/2017"</f>
        <v>27/03/2017</v>
      </c>
      <c r="B1888" s="3">
        <f>AUD!B1888</f>
        <v>0.76429999999999998</v>
      </c>
      <c r="C1888" s="3">
        <f>AUD!C1888</f>
        <v>0.76390000000000002</v>
      </c>
      <c r="D1888" s="3">
        <f>1/CAD!B1888</f>
        <v>0.74973759184285493</v>
      </c>
      <c r="E1888" s="3">
        <f>1/CAD!C1888</f>
        <v>0.75007500750075007</v>
      </c>
      <c r="F1888" s="3">
        <f>EUR!B1888/1</f>
        <v>1.0868</v>
      </c>
      <c r="G1888" s="3">
        <f>EUR!C1888/1</f>
        <v>1.0884</v>
      </c>
      <c r="H1888" s="3">
        <f>GBP!B1888/1</f>
        <v>1.2592000000000001</v>
      </c>
      <c r="I1888" s="3">
        <f>GBP!C1888/1</f>
        <v>1.2602</v>
      </c>
      <c r="J1888" s="4">
        <f>1/INR!B1888</f>
        <v>1.5372790161414298E-2</v>
      </c>
      <c r="K1888" s="4">
        <f>1/INR!C1888</f>
        <v>1.5305731996632741E-2</v>
      </c>
      <c r="L1888" s="4">
        <f>1/JPY!B1888</f>
        <v>9.0702947845804991E-3</v>
      </c>
      <c r="M1888" s="4">
        <f>1/JPY!C1888</f>
        <v>9.0819757293280606E-3</v>
      </c>
      <c r="N1888" s="5">
        <f>1/KRW!B1888</f>
        <v>8.9847259658580418E-4</v>
      </c>
      <c r="O1888" s="5">
        <f>1/KRW!C1888</f>
        <v>8.9847203150905468E-4</v>
      </c>
      <c r="P1888" s="3">
        <f>1/NOK!B1888</f>
        <v>0.11823265822485486</v>
      </c>
      <c r="Q1888" s="3">
        <f>1/NOK!C1888</f>
        <v>0.11827460998947356</v>
      </c>
      <c r="R1888" s="3">
        <f>NZD!B1888/1</f>
        <v>0.70630000000000004</v>
      </c>
      <c r="S1888" s="3">
        <f>NZD!C1888/1</f>
        <v>0.70569999999999999</v>
      </c>
      <c r="T1888" s="4">
        <f>1/PHP!B1888</f>
        <v>1.9936204146730464E-2</v>
      </c>
      <c r="U1888" s="4">
        <f>1/PHP!C1888</f>
        <v>1.9910403185664508E-2</v>
      </c>
      <c r="V1888" s="4">
        <f>1/TWD!B1888</f>
        <v>3.3055665741108027E-2</v>
      </c>
      <c r="W1888" s="4">
        <f>1/TWD!C1888</f>
        <v>3.3056102817702201E-2</v>
      </c>
      <c r="X1888" s="4">
        <f>1/TWD!B1888</f>
        <v>3.3055665741108027E-2</v>
      </c>
      <c r="Y1888" s="4">
        <f>1/TWD!C1888</f>
        <v>3.3056102817702201E-2</v>
      </c>
      <c r="Z1888" s="4">
        <f>1/ZAR!B1888</f>
        <v>7.9471672322400683E-2</v>
      </c>
      <c r="AA1888" s="4">
        <f>1/ZAR!C1888</f>
        <v>7.9064508732674996E-2</v>
      </c>
    </row>
    <row r="1889" spans="1:27" x14ac:dyDescent="0.25">
      <c r="A1889" t="str">
        <f>"29/03/2017"</f>
        <v>29/03/2017</v>
      </c>
      <c r="B1889" s="3">
        <f>AUD!B1889</f>
        <v>0.76559999999999995</v>
      </c>
      <c r="C1889" s="3">
        <f>AUD!C1889</f>
        <v>0.76519999999999999</v>
      </c>
      <c r="D1889" s="3">
        <f>1/CAD!B1889</f>
        <v>0.74738415545590431</v>
      </c>
      <c r="E1889" s="3">
        <f>1/CAD!C1889</f>
        <v>0.74771945566023634</v>
      </c>
      <c r="F1889" s="3">
        <f>EUR!B1889/1</f>
        <v>1.0751999999999999</v>
      </c>
      <c r="G1889" s="3">
        <f>EUR!C1889/1</f>
        <v>1.0767</v>
      </c>
      <c r="H1889" s="3">
        <f>GBP!B1889/1</f>
        <v>1.2412000000000001</v>
      </c>
      <c r="I1889" s="3">
        <f>GBP!C1889/1</f>
        <v>1.2422</v>
      </c>
      <c r="J1889" s="4">
        <f>1/INR!B1889</f>
        <v>1.5404760070861894E-2</v>
      </c>
      <c r="K1889" s="4">
        <f>1/INR!C1889</f>
        <v>1.5340952673161002E-2</v>
      </c>
      <c r="L1889" s="4">
        <f>1/JPY!B1889</f>
        <v>9.008197459688316E-3</v>
      </c>
      <c r="M1889" s="4">
        <f>1/JPY!C1889</f>
        <v>9.0185150113182375E-3</v>
      </c>
      <c r="N1889" s="5">
        <f>1/KRW!B1889</f>
        <v>8.971023593792051E-4</v>
      </c>
      <c r="O1889" s="5">
        <f>1/KRW!C1889</f>
        <v>8.9709954261379813E-4</v>
      </c>
      <c r="P1889" s="3">
        <f>1/NOK!B1889</f>
        <v>0.11697685028132933</v>
      </c>
      <c r="Q1889" s="3">
        <f>1/NOK!C1889</f>
        <v>0.1170124384222043</v>
      </c>
      <c r="R1889" s="3">
        <f>NZD!B1889/1</f>
        <v>0.70220000000000005</v>
      </c>
      <c r="S1889" s="3">
        <f>NZD!C1889/1</f>
        <v>0.70169999999999999</v>
      </c>
      <c r="T1889" s="4">
        <f>1/PHP!B1889</f>
        <v>1.9920318725099601E-2</v>
      </c>
      <c r="U1889" s="4">
        <f>1/PHP!C1889</f>
        <v>1.9893371528606669E-2</v>
      </c>
      <c r="V1889" s="4">
        <f>1/TWD!B1889</f>
        <v>3.301964668978042E-2</v>
      </c>
      <c r="W1889" s="4">
        <f>1/TWD!C1889</f>
        <v>3.3020082814367697E-2</v>
      </c>
      <c r="X1889" s="4">
        <f>1/TWD!B1889</f>
        <v>3.301964668978042E-2</v>
      </c>
      <c r="Y1889" s="4">
        <f>1/TWD!C1889</f>
        <v>3.3020082814367697E-2</v>
      </c>
      <c r="Z1889" s="4">
        <f>1/ZAR!B1889</f>
        <v>7.7264825188333011E-2</v>
      </c>
      <c r="AA1889" s="4">
        <f>1/ZAR!C1889</f>
        <v>7.6886999177309109E-2</v>
      </c>
    </row>
    <row r="1890" spans="1:27" x14ac:dyDescent="0.25">
      <c r="A1890" t="str">
        <f>"30/03/2017"</f>
        <v>30/03/2017</v>
      </c>
      <c r="B1890" s="3">
        <f>AUD!B1890</f>
        <v>0.76749999999999996</v>
      </c>
      <c r="C1890" s="3">
        <f>AUD!C1890</f>
        <v>0.7671</v>
      </c>
      <c r="D1890" s="3">
        <f>1/CAD!B1890</f>
        <v>0.74990626171728536</v>
      </c>
      <c r="E1890" s="3">
        <f>1/CAD!C1890</f>
        <v>0.75030012004801927</v>
      </c>
      <c r="F1890" s="3">
        <f>EUR!B1890/1</f>
        <v>1.0744</v>
      </c>
      <c r="G1890" s="3">
        <f>EUR!C1890/1</f>
        <v>1.0758000000000001</v>
      </c>
      <c r="H1890" s="3">
        <f>GBP!B1890/1</f>
        <v>1.2467999999999999</v>
      </c>
      <c r="I1890" s="3">
        <f>GBP!C1890/1</f>
        <v>1.2476</v>
      </c>
      <c r="J1890" s="4">
        <f>1/INR!B1890</f>
        <v>1.5403573629081947E-2</v>
      </c>
      <c r="K1890" s="4">
        <f>1/INR!C1890</f>
        <v>1.5337423312883436E-2</v>
      </c>
      <c r="L1890" s="4">
        <f>1/JPY!B1890</f>
        <v>8.9992800575953921E-3</v>
      </c>
      <c r="M1890" s="4">
        <f>1/JPY!C1890</f>
        <v>9.0104539286480177E-3</v>
      </c>
      <c r="N1890" s="5">
        <f>1/KRW!B1890</f>
        <v>8.9493466976910683E-4</v>
      </c>
      <c r="O1890" s="5">
        <f>1/KRW!C1890</f>
        <v>8.9493066524670999E-4</v>
      </c>
      <c r="P1890" s="3">
        <f>1/NOK!B1890</f>
        <v>0.11727866583789742</v>
      </c>
      <c r="Q1890" s="3">
        <f>1/NOK!C1890</f>
        <v>0.11731168541698438</v>
      </c>
      <c r="R1890" s="3">
        <f>NZD!B1890/1</f>
        <v>0.7016</v>
      </c>
      <c r="S1890" s="3">
        <f>NZD!C1890/1</f>
        <v>0.70099999999999996</v>
      </c>
      <c r="T1890" s="4">
        <f>1/PHP!B1890</f>
        <v>1.9916351324437361E-2</v>
      </c>
      <c r="U1890" s="4">
        <f>1/PHP!C1890</f>
        <v>1.9890206062534808E-2</v>
      </c>
      <c r="V1890" s="4">
        <f>1/TWD!B1890</f>
        <v>3.2982618160229557E-2</v>
      </c>
      <c r="W1890" s="4">
        <f>1/TWD!C1890</f>
        <v>3.2983053307210755E-2</v>
      </c>
      <c r="X1890" s="4">
        <f>1/TWD!B1890</f>
        <v>3.2982618160229557E-2</v>
      </c>
      <c r="Y1890" s="4">
        <f>1/TWD!C1890</f>
        <v>3.2983053307210755E-2</v>
      </c>
      <c r="Z1890" s="4">
        <f>1/ZAR!B1890</f>
        <v>7.7627094961225274E-2</v>
      </c>
      <c r="AA1890" s="4">
        <f>1/ZAR!C1890</f>
        <v>7.7225444239367988E-2</v>
      </c>
    </row>
    <row r="1891" spans="1:27" x14ac:dyDescent="0.25">
      <c r="A1891" t="str">
        <f>"31/03/2017"</f>
        <v>31/03/2017</v>
      </c>
      <c r="B1891" s="3">
        <f>AUD!B1891</f>
        <v>0.76249999999999996</v>
      </c>
      <c r="C1891" s="3">
        <f>AUD!C1891</f>
        <v>0.76419999999999999</v>
      </c>
      <c r="D1891" s="3">
        <f>1/CAD!B1891</f>
        <v>0.74940047961630696</v>
      </c>
      <c r="E1891" s="3">
        <f>1/CAD!C1891</f>
        <v>0.74973759184285493</v>
      </c>
      <c r="F1891" s="3">
        <f>EUR!B1891/1</f>
        <v>1.0648</v>
      </c>
      <c r="G1891" s="3">
        <f>EUR!C1891/1</f>
        <v>1.0702</v>
      </c>
      <c r="H1891" s="3">
        <f>GBP!B1891/1</f>
        <v>1.2539</v>
      </c>
      <c r="I1891" s="3">
        <f>GBP!C1891/1</f>
        <v>1.2491000000000001</v>
      </c>
      <c r="J1891" s="4">
        <f>1/INR!B1891</f>
        <v>1.5419011641353788E-2</v>
      </c>
      <c r="K1891" s="4">
        <f>1/INR!C1891</f>
        <v>1.5353318235903737E-2</v>
      </c>
      <c r="L1891" s="4">
        <f>1/JPY!B1891</f>
        <v>8.9445438282647581E-3</v>
      </c>
      <c r="M1891" s="4">
        <f>1/JPY!C1891</f>
        <v>8.9552853646457879E-3</v>
      </c>
      <c r="N1891" s="5">
        <f>1/KRW!B1891</f>
        <v>8.9405453732677696E-4</v>
      </c>
      <c r="O1891" s="5">
        <f>1/KRW!C1891</f>
        <v>8.9405309852876405E-4</v>
      </c>
      <c r="P1891" s="3">
        <f>1/NOK!B1891</f>
        <v>0.11653381811401668</v>
      </c>
      <c r="Q1891" s="3">
        <f>1/NOK!C1891</f>
        <v>0.11656913715524678</v>
      </c>
      <c r="R1891" s="3">
        <f>NZD!B1891/1</f>
        <v>0.69850000000000001</v>
      </c>
      <c r="S1891" s="3">
        <f>NZD!C1891/1</f>
        <v>0.69789999999999996</v>
      </c>
      <c r="T1891" s="4">
        <f>1/PHP!B1891</f>
        <v>1.9900497512437811E-2</v>
      </c>
      <c r="U1891" s="4">
        <f>1/PHP!C1891</f>
        <v>1.987083954297069E-2</v>
      </c>
      <c r="V1891" s="4">
        <f>1/TWD!B1891</f>
        <v>3.2965221691115869E-2</v>
      </c>
      <c r="W1891" s="4">
        <f>1/TWD!C1891</f>
        <v>3.2965656379184166E-2</v>
      </c>
      <c r="X1891" s="4">
        <f>1/TWD!B1891</f>
        <v>3.2965221691115869E-2</v>
      </c>
      <c r="Y1891" s="4">
        <f>1/TWD!C1891</f>
        <v>3.2965656379184166E-2</v>
      </c>
      <c r="Z1891" s="4">
        <f>1/ZAR!B1891</f>
        <v>7.4257241937519966E-2</v>
      </c>
      <c r="AA1891" s="4">
        <f>1/ZAR!C1891</f>
        <v>7.4538420829016308E-2</v>
      </c>
    </row>
    <row r="1892" spans="1:27" x14ac:dyDescent="0.25">
      <c r="A1892" t="str">
        <f>"03/04/2017"</f>
        <v>03/04/2017</v>
      </c>
      <c r="B1892" s="3">
        <f>AUD!B1892</f>
        <v>0.76119999999999999</v>
      </c>
      <c r="C1892" s="3">
        <f>AUD!C1892</f>
        <v>0.76080000000000003</v>
      </c>
      <c r="D1892" s="3">
        <f>1/CAD!B1892</f>
        <v>0.74878322725570956</v>
      </c>
      <c r="E1892" s="3">
        <f>1/CAD!C1892</f>
        <v>0.74906367041198507</v>
      </c>
      <c r="F1892" s="3">
        <f>EUR!B1892/1</f>
        <v>1.0663</v>
      </c>
      <c r="G1892" s="3">
        <f>EUR!C1892/1</f>
        <v>1.0677000000000001</v>
      </c>
      <c r="H1892" s="3">
        <f>GBP!B1892/1</f>
        <v>1.2487999999999999</v>
      </c>
      <c r="I1892" s="3">
        <f>GBP!C1892/1</f>
        <v>1.2497</v>
      </c>
      <c r="J1892" s="4">
        <f>1/INR!B1892</f>
        <v>1.537751806858373E-2</v>
      </c>
      <c r="K1892" s="4">
        <f>1/INR!C1892</f>
        <v>1.5306903413439462E-2</v>
      </c>
      <c r="L1892" s="4">
        <f>1/JPY!B1892</f>
        <v>8.9839187853741793E-3</v>
      </c>
      <c r="M1892" s="4">
        <f>1/JPY!C1892</f>
        <v>8.99431019936788E-3</v>
      </c>
      <c r="N1892" s="5">
        <f>1/KRW!B1892</f>
        <v>8.9625812233923372E-4</v>
      </c>
      <c r="O1892" s="5">
        <f>1/KRW!C1892</f>
        <v>8.9625490923626546E-4</v>
      </c>
      <c r="P1892" s="3">
        <f>1/NOK!B1892</f>
        <v>0.11660991650729978</v>
      </c>
      <c r="Q1892" s="3">
        <f>1/NOK!C1892</f>
        <v>0.11664392110205177</v>
      </c>
      <c r="R1892" s="3">
        <f>NZD!B1892/1</f>
        <v>0.70030000000000003</v>
      </c>
      <c r="S1892" s="3">
        <f>NZD!C1892/1</f>
        <v>0.69969999999999999</v>
      </c>
      <c r="T1892" s="4">
        <f>1/PHP!B1892</f>
        <v>1.9915161412383246E-2</v>
      </c>
      <c r="U1892" s="4">
        <f>1/PHP!C1892</f>
        <v>1.9883482790845643E-2</v>
      </c>
      <c r="V1892" s="4">
        <f>1/TWD!B1892</f>
        <v>3.2965221691115869E-2</v>
      </c>
      <c r="W1892" s="4">
        <f>1/TWD!C1892</f>
        <v>3.2965656379184166E-2</v>
      </c>
      <c r="X1892" s="4">
        <f>1/TWD!B1892</f>
        <v>3.2965221691115869E-2</v>
      </c>
      <c r="Y1892" s="4">
        <f>1/TWD!C1892</f>
        <v>3.2965656379184166E-2</v>
      </c>
      <c r="Z1892" s="4">
        <f>1/ZAR!B1892</f>
        <v>7.4004455068195099E-2</v>
      </c>
      <c r="AA1892" s="4">
        <f>1/ZAR!C1892</f>
        <v>7.361601884570082E-2</v>
      </c>
    </row>
    <row r="1893" spans="1:27" x14ac:dyDescent="0.25">
      <c r="A1893" t="str">
        <f>"05/04/2017"</f>
        <v>05/04/2017</v>
      </c>
      <c r="B1893" s="3">
        <f>AUD!B1893</f>
        <v>0.75780000000000003</v>
      </c>
      <c r="C1893" s="3">
        <f>AUD!C1893</f>
        <v>0.75739999999999996</v>
      </c>
      <c r="D1893" s="3">
        <f>1/CAD!B1893</f>
        <v>0.74638005672488428</v>
      </c>
      <c r="E1893" s="3">
        <f>1/CAD!C1893</f>
        <v>0.74671445639187572</v>
      </c>
      <c r="F1893" s="3">
        <f>EUR!B1893/1</f>
        <v>1.0669999999999999</v>
      </c>
      <c r="G1893" s="3">
        <f>EUR!C1893/1</f>
        <v>1.0684</v>
      </c>
      <c r="H1893" s="3">
        <f>GBP!B1893/1</f>
        <v>1.248</v>
      </c>
      <c r="I1893" s="3">
        <f>GBP!C1893/1</f>
        <v>1.2488999999999999</v>
      </c>
      <c r="J1893" s="4">
        <f>1/INR!B1893</f>
        <v>1.5411288769023309E-2</v>
      </c>
      <c r="K1893" s="4">
        <f>1/INR!C1893</f>
        <v>1.5339776039269826E-2</v>
      </c>
      <c r="L1893" s="4">
        <f>1/JPY!B1893</f>
        <v>9.0220137134608448E-3</v>
      </c>
      <c r="M1893" s="4">
        <f>1/JPY!C1893</f>
        <v>9.0311556808678577E-3</v>
      </c>
      <c r="N1893" s="5">
        <f>1/KRW!B1893</f>
        <v>8.8940276604260247E-4</v>
      </c>
      <c r="O1893" s="5">
        <f>1/KRW!C1893</f>
        <v>8.893996019047381E-4</v>
      </c>
      <c r="P1893" s="3">
        <f>1/NOK!B1893</f>
        <v>0.11636837573021154</v>
      </c>
      <c r="Q1893" s="3">
        <f>1/NOK!C1893</f>
        <v>0.11640765962400325</v>
      </c>
      <c r="R1893" s="3">
        <f>NZD!B1893/1</f>
        <v>0.69740000000000002</v>
      </c>
      <c r="S1893" s="3">
        <f>NZD!C1893/1</f>
        <v>0.69679999999999997</v>
      </c>
      <c r="T1893" s="4">
        <f>1/PHP!B1893</f>
        <v>1.9936999082898043E-2</v>
      </c>
      <c r="U1893" s="4">
        <f>1/PHP!C1893</f>
        <v>1.9904656694433663E-2</v>
      </c>
      <c r="V1893" s="4">
        <f>1/TWD!B1893</f>
        <v>3.2894736842105261E-2</v>
      </c>
      <c r="W1893" s="4">
        <f>1/TWD!C1893</f>
        <v>3.2895169673285173E-2</v>
      </c>
      <c r="X1893" s="4">
        <f>1/TWD!B1893</f>
        <v>3.2894736842105261E-2</v>
      </c>
      <c r="Y1893" s="4">
        <f>1/TWD!C1893</f>
        <v>3.2895169673285173E-2</v>
      </c>
      <c r="Z1893" s="4">
        <f>1/ZAR!B1893</f>
        <v>7.284223101185143E-2</v>
      </c>
      <c r="AA1893" s="4">
        <f>1/ZAR!C1893</f>
        <v>7.2451167912826756E-2</v>
      </c>
    </row>
    <row r="1894" spans="1:27" x14ac:dyDescent="0.25">
      <c r="A1894" t="str">
        <f>"06/04/2017"</f>
        <v>06/04/2017</v>
      </c>
      <c r="B1894" s="3">
        <f>AUD!B1894</f>
        <v>0.75580000000000003</v>
      </c>
      <c r="C1894" s="3">
        <f>AUD!C1894</f>
        <v>0.75539999999999996</v>
      </c>
      <c r="D1894" s="3">
        <f>1/CAD!B1894</f>
        <v>0.74493444576877232</v>
      </c>
      <c r="E1894" s="3">
        <f>1/CAD!C1894</f>
        <v>0.7452120128176466</v>
      </c>
      <c r="F1894" s="3">
        <f>EUR!B1894/1</f>
        <v>1.0672999999999999</v>
      </c>
      <c r="G1894" s="3">
        <f>EUR!C1894/1</f>
        <v>1.0687</v>
      </c>
      <c r="H1894" s="3">
        <f>GBP!B1894/1</f>
        <v>1.2462</v>
      </c>
      <c r="I1894" s="3">
        <f>GBP!C1894/1</f>
        <v>1.2471000000000001</v>
      </c>
      <c r="J1894" s="4">
        <f>1/INR!B1894</f>
        <v>1.5494867325198529E-2</v>
      </c>
      <c r="K1894" s="4">
        <f>1/INR!C1894</f>
        <v>1.542198403824652E-2</v>
      </c>
      <c r="L1894" s="4">
        <f>1/JPY!B1894</f>
        <v>9.0146939511403582E-3</v>
      </c>
      <c r="M1894" s="4">
        <f>1/JPY!C1894</f>
        <v>9.0239839445277661E-3</v>
      </c>
      <c r="N1894" s="5">
        <f>1/KRW!B1894</f>
        <v>8.8245675961877868E-4</v>
      </c>
      <c r="O1894" s="5">
        <f>1/KRW!C1894</f>
        <v>8.8245364471004344E-4</v>
      </c>
      <c r="P1894" s="3">
        <f>1/NOK!B1894</f>
        <v>0.11632505874415466</v>
      </c>
      <c r="Q1894" s="3">
        <f>1/NOK!C1894</f>
        <v>0.1163602513381429</v>
      </c>
      <c r="R1894" s="3">
        <f>NZD!B1894/1</f>
        <v>0.69750000000000001</v>
      </c>
      <c r="S1894" s="3">
        <f>NZD!C1894/1</f>
        <v>0.69689999999999996</v>
      </c>
      <c r="T1894" s="4">
        <f>1/PHP!B1894</f>
        <v>1.9930244145490782E-2</v>
      </c>
      <c r="U1894" s="4">
        <f>1/PHP!C1894</f>
        <v>1.9898715537912028E-2</v>
      </c>
      <c r="V1894" s="4">
        <f>1/TWD!B1894</f>
        <v>3.2722513089005235E-2</v>
      </c>
      <c r="W1894" s="4">
        <f>1/TWD!C1894</f>
        <v>3.2722834321017552E-2</v>
      </c>
      <c r="X1894" s="4">
        <f>1/TWD!B1894</f>
        <v>3.2722513089005235E-2</v>
      </c>
      <c r="Y1894" s="4">
        <f>1/TWD!C1894</f>
        <v>3.2722834321017552E-2</v>
      </c>
      <c r="Z1894" s="4">
        <f>1/ZAR!B1894</f>
        <v>7.2524204953403199E-2</v>
      </c>
      <c r="AA1894" s="4">
        <f>1/ZAR!C1894</f>
        <v>7.2145387384657561E-2</v>
      </c>
    </row>
    <row r="1895" spans="1:27" x14ac:dyDescent="0.25">
      <c r="A1895" t="str">
        <f>"07/04/2017"</f>
        <v>07/04/2017</v>
      </c>
      <c r="B1895" s="3">
        <f>AUD!B1895</f>
        <v>0.75239999999999996</v>
      </c>
      <c r="C1895" s="3">
        <f>AUD!C1895</f>
        <v>0.752</v>
      </c>
      <c r="D1895" s="3">
        <f>1/CAD!B1895</f>
        <v>0.74576776791707067</v>
      </c>
      <c r="E1895" s="3">
        <f>1/CAD!C1895</f>
        <v>0.74604595643091609</v>
      </c>
      <c r="F1895" s="3">
        <f>EUR!B1895/1</f>
        <v>1.0629</v>
      </c>
      <c r="G1895" s="3">
        <f>EUR!C1895/1</f>
        <v>1.0643</v>
      </c>
      <c r="H1895" s="3">
        <f>GBP!B1895/1</f>
        <v>1.2414000000000001</v>
      </c>
      <c r="I1895" s="3">
        <f>GBP!C1895/1</f>
        <v>1.2423</v>
      </c>
      <c r="J1895" s="4">
        <f>1/INR!B1895</f>
        <v>1.555572839698219E-2</v>
      </c>
      <c r="K1895" s="4">
        <f>1/INR!C1895</f>
        <v>1.548467017652524E-2</v>
      </c>
      <c r="L1895" s="4">
        <f>1/JPY!B1895</f>
        <v>9.0326077138469883E-3</v>
      </c>
      <c r="M1895" s="4">
        <f>1/JPY!C1895</f>
        <v>9.0422535465978972E-3</v>
      </c>
      <c r="N1895" s="5">
        <f>1/KRW!B1895</f>
        <v>8.8144557073600708E-4</v>
      </c>
      <c r="O1895" s="5">
        <f>1/KRW!C1895</f>
        <v>8.814424629617878E-4</v>
      </c>
      <c r="P1895" s="3">
        <f>1/NOK!B1895</f>
        <v>0.11608334784375182</v>
      </c>
      <c r="Q1895" s="3">
        <f>1/NOK!C1895</f>
        <v>0.1161170459823502</v>
      </c>
      <c r="R1895" s="3">
        <f>NZD!B1895/1</f>
        <v>0.69620000000000004</v>
      </c>
      <c r="S1895" s="3">
        <f>NZD!C1895/1</f>
        <v>0.6956</v>
      </c>
      <c r="T1895" s="4">
        <f>1/PHP!B1895</f>
        <v>1.9966057701906757E-2</v>
      </c>
      <c r="U1895" s="4">
        <f>1/PHP!C1895</f>
        <v>1.9935806702418214E-2</v>
      </c>
      <c r="V1895" s="4">
        <f>1/TWD!B1895</f>
        <v>3.2666928002090687E-2</v>
      </c>
      <c r="W1895" s="4">
        <f>1/TWD!C1895</f>
        <v>3.2667248143683623E-2</v>
      </c>
      <c r="X1895" s="4">
        <f>1/TWD!B1895</f>
        <v>3.2666928002090687E-2</v>
      </c>
      <c r="Y1895" s="4">
        <f>1/TWD!C1895</f>
        <v>3.2667248143683623E-2</v>
      </c>
      <c r="Z1895" s="4">
        <f>1/ZAR!B1895</f>
        <v>7.2465343449495276E-2</v>
      </c>
      <c r="AA1895" s="4">
        <f>1/ZAR!C1895</f>
        <v>7.2088178259647195E-2</v>
      </c>
    </row>
    <row r="1896" spans="1:27" x14ac:dyDescent="0.25">
      <c r="A1896" t="str">
        <f>"10/04/2017"</f>
        <v>10/04/2017</v>
      </c>
      <c r="B1896" s="3">
        <f>AUD!B1896</f>
        <v>0.74839999999999995</v>
      </c>
      <c r="C1896" s="3">
        <f>AUD!C1896</f>
        <v>0.748</v>
      </c>
      <c r="D1896" s="3">
        <f>1/CAD!B1896</f>
        <v>0.74510096118023983</v>
      </c>
      <c r="E1896" s="3">
        <f>1/CAD!C1896</f>
        <v>0.74537865235539658</v>
      </c>
      <c r="F1896" s="3">
        <f>EUR!B1896/1</f>
        <v>1.0584</v>
      </c>
      <c r="G1896" s="3">
        <f>EUR!C1896/1</f>
        <v>1.0598000000000001</v>
      </c>
      <c r="H1896" s="3">
        <f>GBP!B1896/1</f>
        <v>1.2384999999999999</v>
      </c>
      <c r="I1896" s="3">
        <f>GBP!C1896/1</f>
        <v>1.2394000000000001</v>
      </c>
      <c r="J1896" s="4">
        <f>1/INR!B1896</f>
        <v>1.5507482360238816E-2</v>
      </c>
      <c r="K1896" s="4">
        <f>1/INR!C1896</f>
        <v>1.5437458994249545E-2</v>
      </c>
      <c r="L1896" s="4">
        <f>1/JPY!B1896</f>
        <v>8.9734386216798277E-3</v>
      </c>
      <c r="M1896" s="4">
        <f>1/JPY!C1896</f>
        <v>8.9829261522623959E-3</v>
      </c>
      <c r="N1896" s="5">
        <f>1/KRW!B1896</f>
        <v>8.7523521946523128E-4</v>
      </c>
      <c r="O1896" s="5">
        <f>1/KRW!C1896</f>
        <v>8.7523138929854573E-4</v>
      </c>
      <c r="P1896" s="3">
        <f>1/NOK!B1896</f>
        <v>0.11535622000738281</v>
      </c>
      <c r="Q1896" s="3">
        <f>1/NOK!C1896</f>
        <v>0.11538683436219928</v>
      </c>
      <c r="R1896" s="3">
        <f>NZD!B1896/1</f>
        <v>0.69359999999999999</v>
      </c>
      <c r="S1896" s="3">
        <f>NZD!C1896/1</f>
        <v>0.69299999999999995</v>
      </c>
      <c r="T1896" s="4">
        <f>1/PHP!B1896</f>
        <v>2.0092425155716295E-2</v>
      </c>
      <c r="U1896" s="4">
        <f>1/PHP!C1896</f>
        <v>2.0062192797672785E-2</v>
      </c>
      <c r="V1896" s="4">
        <f>1/TWD!B1896</f>
        <v>3.2567985670086307E-2</v>
      </c>
      <c r="W1896" s="4">
        <f>1/TWD!C1896</f>
        <v>3.2568303875302476E-2</v>
      </c>
      <c r="X1896" s="4">
        <f>1/TWD!B1896</f>
        <v>3.2567985670086307E-2</v>
      </c>
      <c r="Y1896" s="4">
        <f>1/TWD!C1896</f>
        <v>3.2568303875302476E-2</v>
      </c>
      <c r="Z1896" s="4">
        <f>1/ZAR!B1896</f>
        <v>7.232749891508751E-2</v>
      </c>
      <c r="AA1896" s="4">
        <f>1/ZAR!C1896</f>
        <v>7.1951245835821645E-2</v>
      </c>
    </row>
    <row r="1897" spans="1:27" x14ac:dyDescent="0.25">
      <c r="A1897" t="str">
        <f>"11/04/2017"</f>
        <v>11/04/2017</v>
      </c>
      <c r="B1897" s="3">
        <f>AUD!B1897</f>
        <v>0.75070000000000003</v>
      </c>
      <c r="C1897" s="3">
        <f>AUD!C1897</f>
        <v>0.75019999999999998</v>
      </c>
      <c r="D1897" s="3">
        <f>1/CAD!B1897</f>
        <v>0.75069439231288937</v>
      </c>
      <c r="E1897" s="3">
        <f>1/CAD!C1897</f>
        <v>0.7509762691498949</v>
      </c>
      <c r="F1897" s="3">
        <f>EUR!B1897/1</f>
        <v>1.0609999999999999</v>
      </c>
      <c r="G1897" s="3">
        <f>EUR!C1897/1</f>
        <v>1.0626</v>
      </c>
      <c r="H1897" s="3">
        <f>GBP!B1897/1</f>
        <v>1.2423999999999999</v>
      </c>
      <c r="I1897" s="3">
        <f>GBP!C1897/1</f>
        <v>1.2434000000000001</v>
      </c>
      <c r="J1897" s="4">
        <f>1/INR!B1897</f>
        <v>1.5502674211301451E-2</v>
      </c>
      <c r="K1897" s="4">
        <f>1/INR!C1897</f>
        <v>1.5427337241592103E-2</v>
      </c>
      <c r="L1897" s="4">
        <f>1/JPY!B1897</f>
        <v>9.0399566082082806E-3</v>
      </c>
      <c r="M1897" s="4">
        <f>1/JPY!C1897</f>
        <v>9.0506501534537726E-3</v>
      </c>
      <c r="N1897" s="5">
        <f>1/KRW!B1897</f>
        <v>8.7263842226973254E-4</v>
      </c>
      <c r="O1897" s="5">
        <f>1/KRW!C1897</f>
        <v>8.7263423405184578E-4</v>
      </c>
      <c r="P1897" s="3">
        <f>1/NOK!B1897</f>
        <v>0.11636431339236883</v>
      </c>
      <c r="Q1897" s="3">
        <f>1/NOK!C1897</f>
        <v>0.11639411045801083</v>
      </c>
      <c r="R1897" s="3">
        <f>NZD!B1897/1</f>
        <v>0.69430000000000003</v>
      </c>
      <c r="S1897" s="3">
        <f>NZD!C1897/1</f>
        <v>0.69369999999999998</v>
      </c>
      <c r="T1897" s="4">
        <f>1/PHP!B1897</f>
        <v>2.0139770003826558E-2</v>
      </c>
      <c r="U1897" s="4">
        <f>1/PHP!C1897</f>
        <v>2.0107373373816181E-2</v>
      </c>
      <c r="V1897" s="4">
        <f>1/TWD!B1897</f>
        <v>3.2579657262005603E-2</v>
      </c>
      <c r="W1897" s="4">
        <f>1/TWD!C1897</f>
        <v>3.2580081841165585E-2</v>
      </c>
      <c r="X1897" s="4">
        <f>1/TWD!B1897</f>
        <v>3.2579657262005603E-2</v>
      </c>
      <c r="Y1897" s="4">
        <f>1/TWD!C1897</f>
        <v>3.2580081841165585E-2</v>
      </c>
      <c r="Z1897" s="4">
        <f>1/ZAR!B1897</f>
        <v>7.2431751182448337E-2</v>
      </c>
      <c r="AA1897" s="4">
        <f>1/ZAR!C1897</f>
        <v>7.2032097502647177E-2</v>
      </c>
    </row>
    <row r="1898" spans="1:27" x14ac:dyDescent="0.25">
      <c r="A1898" t="str">
        <f>"12/04/2017"</f>
        <v>12/04/2017</v>
      </c>
      <c r="B1898" s="3">
        <f>AUD!B1898</f>
        <v>0.74939999999999996</v>
      </c>
      <c r="C1898" s="3">
        <f>AUD!C1898</f>
        <v>0.74890000000000001</v>
      </c>
      <c r="D1898" s="3">
        <f>1/CAD!B1898</f>
        <v>0.75013127297277027</v>
      </c>
      <c r="E1898" s="3">
        <f>1/CAD!C1898</f>
        <v>0.75046904315196994</v>
      </c>
      <c r="F1898" s="3">
        <f>EUR!B1898/1</f>
        <v>1.0602</v>
      </c>
      <c r="G1898" s="3">
        <f>EUR!C1898/1</f>
        <v>1.0617000000000001</v>
      </c>
      <c r="H1898" s="3">
        <f>GBP!B1898/1</f>
        <v>1.2484</v>
      </c>
      <c r="I1898" s="3">
        <f>GBP!C1898/1</f>
        <v>1.2493000000000001</v>
      </c>
      <c r="J1898" s="4">
        <f>1/INR!B1898</f>
        <v>1.5455950540958269E-2</v>
      </c>
      <c r="K1898" s="4">
        <f>1/INR!C1898</f>
        <v>1.5386982612709649E-2</v>
      </c>
      <c r="L1898" s="4">
        <f>1/JPY!B1898</f>
        <v>9.1349228099022566E-3</v>
      </c>
      <c r="M1898" s="4">
        <f>1/JPY!C1898</f>
        <v>9.1450645001399187E-3</v>
      </c>
      <c r="N1898" s="5">
        <f>1/KRW!B1898</f>
        <v>8.7408767099340066E-4</v>
      </c>
      <c r="O1898" s="5">
        <f>1/KRW!C1898</f>
        <v>8.7408385086381333E-4</v>
      </c>
      <c r="P1898" s="3">
        <f>1/NOK!B1898</f>
        <v>0.11625473738054824</v>
      </c>
      <c r="Q1898" s="3">
        <f>1/NOK!C1898</f>
        <v>0.11627906976744186</v>
      </c>
      <c r="R1898" s="3">
        <f>NZD!B1898/1</f>
        <v>0.6946</v>
      </c>
      <c r="S1898" s="3">
        <f>NZD!C1898/1</f>
        <v>0.69399999999999995</v>
      </c>
      <c r="T1898" s="4">
        <f>1/PHP!B1898</f>
        <v>2.0171457387796268E-2</v>
      </c>
      <c r="U1898" s="4">
        <f>1/PHP!C1898</f>
        <v>2.0139770003826558E-2</v>
      </c>
      <c r="V1898" s="4">
        <f>1/TWD!B1898</f>
        <v>3.2646665143155625E-2</v>
      </c>
      <c r="W1898" s="4">
        <f>1/TWD!C1898</f>
        <v>3.2646984887710694E-2</v>
      </c>
      <c r="X1898" s="4">
        <f>1/TWD!B1898</f>
        <v>3.2646665143155625E-2</v>
      </c>
      <c r="Y1898" s="4">
        <f>1/TWD!C1898</f>
        <v>3.2646984887710694E-2</v>
      </c>
      <c r="Z1898" s="4">
        <f>1/ZAR!B1898</f>
        <v>7.2322791081153401E-2</v>
      </c>
      <c r="AA1898" s="4">
        <f>1/ZAR!C1898</f>
        <v>7.1947622131088573E-2</v>
      </c>
    </row>
    <row r="1899" spans="1:27" x14ac:dyDescent="0.25">
      <c r="A1899" t="str">
        <f>"13/04/2017"</f>
        <v>13/04/2017</v>
      </c>
      <c r="B1899" s="3">
        <f>AUD!B1899</f>
        <v>0.75790000000000002</v>
      </c>
      <c r="C1899" s="3">
        <f>AUD!C1899</f>
        <v>0.75739999999999996</v>
      </c>
      <c r="D1899" s="3">
        <f>1/CAD!B1899</f>
        <v>0.75505889459377828</v>
      </c>
      <c r="E1899" s="3">
        <f>1/CAD!C1899</f>
        <v>0.75534405921897418</v>
      </c>
      <c r="F1899" s="3">
        <f>EUR!B1899/1</f>
        <v>1.0636000000000001</v>
      </c>
      <c r="G1899" s="3">
        <f>EUR!C1899/1</f>
        <v>1.0650999999999999</v>
      </c>
      <c r="H1899" s="3">
        <f>GBP!B1899/1</f>
        <v>1.2534000000000001</v>
      </c>
      <c r="I1899" s="3">
        <f>GBP!C1899/1</f>
        <v>1.2544</v>
      </c>
      <c r="J1899" s="4">
        <f>1/INR!B1899</f>
        <v>1.5524334394162849E-2</v>
      </c>
      <c r="K1899" s="4">
        <f>1/INR!C1899</f>
        <v>1.5454756201220925E-2</v>
      </c>
      <c r="L1899" s="4">
        <f>1/JPY!B1899</f>
        <v>9.1650627806800482E-3</v>
      </c>
      <c r="M1899" s="4">
        <f>1/JPY!C1899</f>
        <v>9.1755830394852876E-3</v>
      </c>
      <c r="N1899" s="5">
        <f>1/KRW!B1899</f>
        <v>8.8503407381184166E-4</v>
      </c>
      <c r="O1899" s="5">
        <f>1/KRW!C1899</f>
        <v>8.850313323217426E-4</v>
      </c>
      <c r="P1899" s="3">
        <f>1/NOK!B1899</f>
        <v>0.11684973124561814</v>
      </c>
      <c r="Q1899" s="3">
        <f>1/NOK!C1899</f>
        <v>0.11687431336340898</v>
      </c>
      <c r="R1899" s="3">
        <f>NZD!B1899/1</f>
        <v>0.7</v>
      </c>
      <c r="S1899" s="3">
        <f>NZD!C1899/1</f>
        <v>0.69940000000000002</v>
      </c>
      <c r="T1899" s="4">
        <f>1/PHP!B1899</f>
        <v>2.0230629172567266E-2</v>
      </c>
      <c r="U1899" s="4">
        <f>1/PHP!C1899</f>
        <v>2.0199571769078495E-2</v>
      </c>
      <c r="V1899" s="4">
        <f>1/TWD!B1899</f>
        <v>3.2976092333058531E-2</v>
      </c>
      <c r="W1899" s="4">
        <f>1/TWD!C1899</f>
        <v>3.2976418563085537E-2</v>
      </c>
      <c r="X1899" s="4">
        <f>1/TWD!B1899</f>
        <v>3.2976092333058531E-2</v>
      </c>
      <c r="Y1899" s="4">
        <f>1/TWD!C1899</f>
        <v>3.2976418563085537E-2</v>
      </c>
      <c r="Z1899" s="4">
        <f>1/ZAR!B1899</f>
        <v>7.3618728604556996E-2</v>
      </c>
      <c r="AA1899" s="4">
        <f>1/ZAR!C1899</f>
        <v>7.3238611395927938E-2</v>
      </c>
    </row>
    <row r="1900" spans="1:27" x14ac:dyDescent="0.25">
      <c r="A1900" t="str">
        <f>"17/04/2017"</f>
        <v>17/04/2017</v>
      </c>
      <c r="B1900" s="3">
        <f>AUD!B1900</f>
        <v>0.7591</v>
      </c>
      <c r="C1900" s="3">
        <f>AUD!C1900</f>
        <v>0.75860000000000005</v>
      </c>
      <c r="D1900" s="3">
        <f>1/CAD!B1900</f>
        <v>0.75216246709289214</v>
      </c>
      <c r="E1900" s="3">
        <f>1/CAD!C1900</f>
        <v>0.7524454477050414</v>
      </c>
      <c r="F1900" s="3">
        <f>EUR!B1900/1</f>
        <v>1.0637000000000001</v>
      </c>
      <c r="G1900" s="3">
        <f>EUR!C1900/1</f>
        <v>1.0651999999999999</v>
      </c>
      <c r="H1900" s="3">
        <f>GBP!B1900/1</f>
        <v>1.2544</v>
      </c>
      <c r="I1900" s="3">
        <f>GBP!C1900/1</f>
        <v>1.2554000000000001</v>
      </c>
      <c r="J1900" s="4">
        <f>1/INR!B1900</f>
        <v>1.5499070055796654E-2</v>
      </c>
      <c r="K1900" s="4">
        <f>1/INR!C1900</f>
        <v>1.5429717636167257E-2</v>
      </c>
      <c r="L1900" s="4">
        <f>1/JPY!B1900</f>
        <v>9.2284976005906245E-3</v>
      </c>
      <c r="M1900" s="4">
        <f>1/JPY!C1900</f>
        <v>9.2391896861077696E-3</v>
      </c>
      <c r="N1900" s="5">
        <f>1/KRW!B1900</f>
        <v>8.7796312554872696E-4</v>
      </c>
      <c r="O1900" s="5">
        <f>1/KRW!C1900</f>
        <v>8.779608130970683E-4</v>
      </c>
      <c r="P1900" s="3">
        <f>1/NOK!B1900</f>
        <v>0.11686202101179137</v>
      </c>
      <c r="Q1900" s="3">
        <f>1/NOK!C1900</f>
        <v>0.11688797456517674</v>
      </c>
      <c r="R1900" s="3">
        <f>NZD!B1900/1</f>
        <v>0.70220000000000005</v>
      </c>
      <c r="S1900" s="3">
        <f>NZD!C1900/1</f>
        <v>0.7016</v>
      </c>
      <c r="T1900" s="4">
        <f>1/PHP!B1900</f>
        <v>2.0173492031470647E-2</v>
      </c>
      <c r="U1900" s="4">
        <f>1/PHP!C1900</f>
        <v>2.0139972811036702E-2</v>
      </c>
      <c r="V1900" s="4">
        <f>1/TWD!B1900</f>
        <v>3.2953272259935412E-2</v>
      </c>
      <c r="W1900" s="4">
        <f>1/TWD!C1900</f>
        <v>3.2953598038601845E-2</v>
      </c>
      <c r="X1900" s="4">
        <f>1/TWD!B1900</f>
        <v>3.2953272259935412E-2</v>
      </c>
      <c r="Y1900" s="4">
        <f>1/TWD!C1900</f>
        <v>3.2953598038601845E-2</v>
      </c>
      <c r="Z1900" s="4">
        <f>1/ZAR!B1900</f>
        <v>7.4750147631541572E-2</v>
      </c>
      <c r="AA1900" s="4">
        <f>1/ZAR!C1900</f>
        <v>7.4364370542785538E-2</v>
      </c>
    </row>
    <row r="1901" spans="1:27" x14ac:dyDescent="0.25">
      <c r="A1901" t="str">
        <f>"18/04/2017"</f>
        <v>18/04/2017</v>
      </c>
      <c r="B1901" s="3">
        <f>AUD!B1901</f>
        <v>0.75460000000000005</v>
      </c>
      <c r="C1901" s="3">
        <f>AUD!C1901</f>
        <v>0.75409999999999999</v>
      </c>
      <c r="D1901" s="3">
        <f>1/CAD!B1901</f>
        <v>0.749232037161909</v>
      </c>
      <c r="E1901" s="3">
        <f>1/CAD!C1901</f>
        <v>0.74951281666916503</v>
      </c>
      <c r="F1901" s="3">
        <f>EUR!B1901/1</f>
        <v>1.0676000000000001</v>
      </c>
      <c r="G1901" s="3">
        <f>EUR!C1901/1</f>
        <v>1.0691999999999999</v>
      </c>
      <c r="H1901" s="3">
        <f>GBP!B1901/1</f>
        <v>1.2674000000000001</v>
      </c>
      <c r="I1901" s="3">
        <f>GBP!C1901/1</f>
        <v>1.2684</v>
      </c>
      <c r="J1901" s="4">
        <f>1/INR!B1901</f>
        <v>1.5472092213669596E-2</v>
      </c>
      <c r="K1901" s="4">
        <f>1/INR!C1901</f>
        <v>1.5399422521655439E-2</v>
      </c>
      <c r="L1901" s="4">
        <f>1/JPY!B1901</f>
        <v>9.184423218221896E-3</v>
      </c>
      <c r="M1901" s="4">
        <f>1/JPY!C1901</f>
        <v>9.1954276655475831E-3</v>
      </c>
      <c r="N1901" s="5">
        <f>1/KRW!B1901</f>
        <v>8.7527352297593001E-4</v>
      </c>
      <c r="O1901" s="5">
        <f>1/KRW!C1901</f>
        <v>8.7527122467074485E-4</v>
      </c>
      <c r="P1901" s="3">
        <f>1/NOK!B1901</f>
        <v>0.11715363527730266</v>
      </c>
      <c r="Q1901" s="3">
        <f>1/NOK!C1901</f>
        <v>0.11718383800506234</v>
      </c>
      <c r="R1901" s="3">
        <f>NZD!B1901/1</f>
        <v>0.70330000000000004</v>
      </c>
      <c r="S1901" s="3">
        <f>NZD!C1901/1</f>
        <v>0.70269999999999999</v>
      </c>
      <c r="T1901" s="4">
        <f>1/PHP!B1901</f>
        <v>2.0145044319097503E-2</v>
      </c>
      <c r="U1901" s="4">
        <f>1/PHP!C1901</f>
        <v>2.011384435907235E-2</v>
      </c>
      <c r="V1901" s="4">
        <f>1/TWD!B1901</f>
        <v>3.2888245740972176E-2</v>
      </c>
      <c r="W1901" s="4">
        <f>1/TWD!C1901</f>
        <v>3.288867840134712E-2</v>
      </c>
      <c r="X1901" s="4">
        <f>1/TWD!B1901</f>
        <v>3.2888245740972176E-2</v>
      </c>
      <c r="Y1901" s="4">
        <f>1/TWD!C1901</f>
        <v>3.288867840134712E-2</v>
      </c>
      <c r="Z1901" s="4">
        <f>1/ZAR!B1901</f>
        <v>7.4874958818772638E-2</v>
      </c>
      <c r="AA1901" s="4">
        <f>1/ZAR!C1901</f>
        <v>7.4463490550583059E-2</v>
      </c>
    </row>
    <row r="1902" spans="1:27" x14ac:dyDescent="0.25">
      <c r="A1902" t="str">
        <f>"19/04/2017"</f>
        <v>19/04/2017</v>
      </c>
      <c r="B1902" s="3">
        <f>AUD!B1902</f>
        <v>0.75270000000000004</v>
      </c>
      <c r="C1902" s="3">
        <f>AUD!C1902</f>
        <v>0.75229999999999997</v>
      </c>
      <c r="D1902" s="3">
        <f>1/CAD!B1902</f>
        <v>0.74632435256362406</v>
      </c>
      <c r="E1902" s="3">
        <f>1/CAD!C1902</f>
        <v>0.74660295654770792</v>
      </c>
      <c r="F1902" s="3">
        <f>EUR!B1902/1</f>
        <v>1.0718000000000001</v>
      </c>
      <c r="G1902" s="3">
        <f>EUR!C1902/1</f>
        <v>1.0733999999999999</v>
      </c>
      <c r="H1902" s="3">
        <f>GBP!B1902/1</f>
        <v>1.2822</v>
      </c>
      <c r="I1902" s="3">
        <f>GBP!C1902/1</f>
        <v>1.2831999999999999</v>
      </c>
      <c r="J1902" s="4">
        <f>1/INR!B1902</f>
        <v>1.5487667944399272E-2</v>
      </c>
      <c r="K1902" s="4">
        <f>1/INR!C1902</f>
        <v>1.5416634548678025E-2</v>
      </c>
      <c r="L1902" s="4">
        <f>1/JPY!B1902</f>
        <v>9.2097992263768646E-3</v>
      </c>
      <c r="M1902" s="4">
        <f>1/JPY!C1902</f>
        <v>9.2204054949928584E-3</v>
      </c>
      <c r="N1902" s="5">
        <f>1/KRW!B1902</f>
        <v>8.7630898654865702E-4</v>
      </c>
      <c r="O1902" s="5">
        <f>1/KRW!C1902</f>
        <v>8.7630668280239371E-4</v>
      </c>
      <c r="P1902" s="3">
        <f>1/NOK!B1902</f>
        <v>0.1173557404560444</v>
      </c>
      <c r="Q1902" s="3">
        <f>1/NOK!C1902</f>
        <v>0.1173805359595272</v>
      </c>
      <c r="R1902" s="3">
        <f>NZD!B1902/1</f>
        <v>0.70430000000000004</v>
      </c>
      <c r="S1902" s="3">
        <f>NZD!C1902/1</f>
        <v>0.70369999999999999</v>
      </c>
      <c r="T1902" s="4">
        <f>1/PHP!B1902</f>
        <v>2.0102522866619763E-2</v>
      </c>
      <c r="U1902" s="4">
        <f>1/PHP!C1902</f>
        <v>2.0070245860511791E-2</v>
      </c>
      <c r="V1902" s="4">
        <f>1/TWD!B1902</f>
        <v>3.2838565611454089E-2</v>
      </c>
      <c r="W1902" s="4">
        <f>1/TWD!C1902</f>
        <v>3.2838889126058646E-2</v>
      </c>
      <c r="X1902" s="4">
        <f>1/TWD!B1902</f>
        <v>3.2838565611454089E-2</v>
      </c>
      <c r="Y1902" s="4">
        <f>1/TWD!C1902</f>
        <v>3.2838889126058646E-2</v>
      </c>
      <c r="Z1902" s="4">
        <f>1/ZAR!B1902</f>
        <v>7.5086913101915467E-2</v>
      </c>
      <c r="AA1902" s="4">
        <f>1/ZAR!C1902</f>
        <v>7.468259895444361E-2</v>
      </c>
    </row>
    <row r="1903" spans="1:27" x14ac:dyDescent="0.25">
      <c r="A1903" t="str">
        <f>"20/04/2017"</f>
        <v>20/04/2017</v>
      </c>
      <c r="B1903" s="3">
        <f>AUD!B1903</f>
        <v>0.75219999999999998</v>
      </c>
      <c r="C1903" s="3">
        <f>AUD!C1903</f>
        <v>0.75180000000000002</v>
      </c>
      <c r="D1903" s="3">
        <f>1/CAD!B1903</f>
        <v>0.74139976275207597</v>
      </c>
      <c r="E1903" s="3">
        <f>1/CAD!C1903</f>
        <v>0.74172971369233043</v>
      </c>
      <c r="F1903" s="3">
        <f>EUR!B1903/1</f>
        <v>1.0743</v>
      </c>
      <c r="G1903" s="3">
        <f>EUR!C1903/1</f>
        <v>1.0758000000000001</v>
      </c>
      <c r="H1903" s="3">
        <f>GBP!B1903/1</f>
        <v>1.2793000000000001</v>
      </c>
      <c r="I1903" s="3">
        <f>GBP!C1903/1</f>
        <v>1.2802</v>
      </c>
      <c r="J1903" s="4">
        <f>1/INR!B1903</f>
        <v>1.5488267637264772E-2</v>
      </c>
      <c r="K1903" s="4">
        <f>1/INR!C1903</f>
        <v>1.5420200462606014E-2</v>
      </c>
      <c r="L1903" s="4">
        <f>1/JPY!B1903</f>
        <v>9.1684239479233529E-3</v>
      </c>
      <c r="M1903" s="4">
        <f>1/JPY!C1903</f>
        <v>9.1784969844048159E-3</v>
      </c>
      <c r="N1903" s="5">
        <f>1/KRW!B1903</f>
        <v>8.7696220292905378E-4</v>
      </c>
      <c r="O1903" s="5">
        <f>1/KRW!C1903</f>
        <v>8.7695951121784688E-4</v>
      </c>
      <c r="P1903" s="3">
        <f>1/NOK!B1903</f>
        <v>0.11659632022013386</v>
      </c>
      <c r="Q1903" s="3">
        <f>1/NOK!C1903</f>
        <v>0.11662487608606915</v>
      </c>
      <c r="R1903" s="3">
        <f>NZD!B1903/1</f>
        <v>0.70230000000000004</v>
      </c>
      <c r="S1903" s="3">
        <f>NZD!C1903/1</f>
        <v>0.70169999999999999</v>
      </c>
      <c r="T1903" s="4">
        <f>1/PHP!B1903</f>
        <v>2.0058168689198679E-2</v>
      </c>
      <c r="U1903" s="4">
        <f>1/PHP!C1903</f>
        <v>2.0024830790179821E-2</v>
      </c>
      <c r="V1903" s="4">
        <f>1/TWD!B1903</f>
        <v>3.2886082609839516E-2</v>
      </c>
      <c r="W1903" s="4">
        <f>1/TWD!C1903</f>
        <v>3.2886407061369326E-2</v>
      </c>
      <c r="X1903" s="4">
        <f>1/TWD!B1903</f>
        <v>3.2886082609839516E-2</v>
      </c>
      <c r="Y1903" s="4">
        <f>1/TWD!C1903</f>
        <v>3.2886407061369326E-2</v>
      </c>
      <c r="Z1903" s="4">
        <f>1/ZAR!B1903</f>
        <v>7.5922073583673713E-2</v>
      </c>
      <c r="AA1903" s="4">
        <f>1/ZAR!C1903</f>
        <v>7.5531553306393745E-2</v>
      </c>
    </row>
    <row r="1904" spans="1:27" x14ac:dyDescent="0.25">
      <c r="A1904" t="str">
        <f>"21/04/2017"</f>
        <v>21/04/2017</v>
      </c>
      <c r="B1904" s="3">
        <f>AUD!B1904</f>
        <v>0.75270000000000004</v>
      </c>
      <c r="C1904" s="3">
        <f>AUD!C1904</f>
        <v>0.75229999999999997</v>
      </c>
      <c r="D1904" s="3">
        <f>1/CAD!B1904</f>
        <v>0.7428316743425939</v>
      </c>
      <c r="E1904" s="3">
        <f>1/CAD!C1904</f>
        <v>0.74310767630229624</v>
      </c>
      <c r="F1904" s="3">
        <f>EUR!B1904/1</f>
        <v>1.0704</v>
      </c>
      <c r="G1904" s="3">
        <f>EUR!C1904/1</f>
        <v>1.0719000000000001</v>
      </c>
      <c r="H1904" s="3">
        <f>GBP!B1904/1</f>
        <v>1.2777000000000001</v>
      </c>
      <c r="I1904" s="3">
        <f>GBP!C1904/1</f>
        <v>1.2786999999999999</v>
      </c>
      <c r="J1904" s="4">
        <f>1/INR!B1904</f>
        <v>1.5476282596920221E-2</v>
      </c>
      <c r="K1904" s="4">
        <f>1/INR!C1904</f>
        <v>1.5406540076262373E-2</v>
      </c>
      <c r="L1904" s="4">
        <f>1/JPY!B1904</f>
        <v>9.1650627806800482E-3</v>
      </c>
      <c r="M1904" s="4">
        <f>1/JPY!C1904</f>
        <v>9.1754062411113259E-3</v>
      </c>
      <c r="N1904" s="5">
        <f>1/KRW!B1904</f>
        <v>8.8152327221438639E-4</v>
      </c>
      <c r="O1904" s="5">
        <f>1/KRW!C1904</f>
        <v>8.8152094097071324E-4</v>
      </c>
      <c r="P1904" s="3">
        <f>1/NOK!B1904</f>
        <v>0.11568718186024989</v>
      </c>
      <c r="Q1904" s="3">
        <f>1/NOK!C1904</f>
        <v>0.1157193112386595</v>
      </c>
      <c r="R1904" s="3">
        <f>NZD!B1904/1</f>
        <v>0.70050000000000001</v>
      </c>
      <c r="S1904" s="3">
        <f>NZD!C1904/1</f>
        <v>0.69989999999999997</v>
      </c>
      <c r="T1904" s="4">
        <f>1/PHP!B1904</f>
        <v>2.0080321285140562E-2</v>
      </c>
      <c r="U1904" s="4">
        <f>1/PHP!C1904</f>
        <v>2.0046106043900974E-2</v>
      </c>
      <c r="V1904" s="4">
        <f>1/TWD!B1904</f>
        <v>3.2934821987287158E-2</v>
      </c>
      <c r="W1904" s="4">
        <f>1/TWD!C1904</f>
        <v>3.2935147401252196E-2</v>
      </c>
      <c r="X1904" s="4">
        <f>1/TWD!B1904</f>
        <v>3.2934821987287158E-2</v>
      </c>
      <c r="Y1904" s="4">
        <f>1/TWD!C1904</f>
        <v>3.2935147401252196E-2</v>
      </c>
      <c r="Z1904" s="4">
        <f>1/ZAR!B1904</f>
        <v>7.6068766164612805E-2</v>
      </c>
      <c r="AA1904" s="4">
        <f>1/ZAR!C1904</f>
        <v>7.5676739240659596E-2</v>
      </c>
    </row>
    <row r="1905" spans="1:27" x14ac:dyDescent="0.25">
      <c r="A1905" t="str">
        <f>"24/04/2017"</f>
        <v>24/04/2017</v>
      </c>
      <c r="B1905" s="3">
        <f>AUD!B1905</f>
        <v>0.75690000000000002</v>
      </c>
      <c r="C1905" s="3">
        <f>AUD!C1905</f>
        <v>0.75639999999999996</v>
      </c>
      <c r="D1905" s="3">
        <f>1/CAD!B1905</f>
        <v>0.74426912771658238</v>
      </c>
      <c r="E1905" s="3">
        <f>1/CAD!C1905</f>
        <v>0.74454619909165365</v>
      </c>
      <c r="F1905" s="3">
        <f>EUR!B1905/1</f>
        <v>1.0853999999999999</v>
      </c>
      <c r="G1905" s="3">
        <f>EUR!C1905/1</f>
        <v>1.0869</v>
      </c>
      <c r="H1905" s="3">
        <f>GBP!B1905/1</f>
        <v>1.2814000000000001</v>
      </c>
      <c r="I1905" s="3">
        <f>GBP!C1905/1</f>
        <v>1.2823</v>
      </c>
      <c r="J1905" s="4">
        <f>1/INR!B1905</f>
        <v>1.5517709586065099E-2</v>
      </c>
      <c r="K1905" s="4">
        <f>1/INR!C1905</f>
        <v>1.5448787270199289E-2</v>
      </c>
      <c r="L1905" s="4">
        <f>1/JPY!B1905</f>
        <v>9.0735867888576353E-3</v>
      </c>
      <c r="M1905" s="4">
        <f>1/JPY!C1905</f>
        <v>9.0836999363232643E-3</v>
      </c>
      <c r="N1905" s="5">
        <f>1/KRW!B1905</f>
        <v>8.8483829580144225E-4</v>
      </c>
      <c r="O1905" s="5">
        <f>1/KRW!C1905</f>
        <v>8.8483594699124805E-4</v>
      </c>
      <c r="P1905" s="3">
        <f>1/NOK!B1905</f>
        <v>0.11743291644647996</v>
      </c>
      <c r="Q1905" s="3">
        <f>1/NOK!C1905</f>
        <v>0.11746740279572419</v>
      </c>
      <c r="R1905" s="3">
        <f>NZD!B1905/1</f>
        <v>0.7026</v>
      </c>
      <c r="S1905" s="3">
        <f>NZD!C1905/1</f>
        <v>0.70199999999999996</v>
      </c>
      <c r="T1905" s="4">
        <f>1/PHP!B1905</f>
        <v>2.0076289901626177E-2</v>
      </c>
      <c r="U1905" s="4">
        <f>1/PHP!C1905</f>
        <v>2.0044097013429546E-2</v>
      </c>
      <c r="V1905" s="4">
        <f>1/TWD!B1905</f>
        <v>3.3033826638477801E-2</v>
      </c>
      <c r="W1905" s="4">
        <f>1/TWD!C1905</f>
        <v>3.3034154011832836E-2</v>
      </c>
      <c r="X1905" s="4">
        <f>1/TWD!B1905</f>
        <v>3.3033826638477801E-2</v>
      </c>
      <c r="Y1905" s="4">
        <f>1/TWD!C1905</f>
        <v>3.3034154011832836E-2</v>
      </c>
      <c r="Z1905" s="4">
        <f>1/ZAR!B1905</f>
        <v>7.707247895921325E-2</v>
      </c>
      <c r="AA1905" s="4">
        <f>1/ZAR!C1905</f>
        <v>7.6674180736378841E-2</v>
      </c>
    </row>
    <row r="1906" spans="1:27" x14ac:dyDescent="0.25">
      <c r="A1906" t="str">
        <f>"25/04/2017"</f>
        <v>25/04/2017</v>
      </c>
      <c r="B1906" s="3">
        <f>AUD!B1906</f>
        <v>0.75349999999999995</v>
      </c>
      <c r="C1906" s="3">
        <f>AUD!C1906</f>
        <v>0.753</v>
      </c>
      <c r="D1906" s="3">
        <f>1/CAD!B1906</f>
        <v>0.7370826269624825</v>
      </c>
      <c r="E1906" s="3">
        <f>1/CAD!C1906</f>
        <v>0.73740874566772352</v>
      </c>
      <c r="F1906" s="3">
        <f>EUR!B1906/1</f>
        <v>1.0876999999999999</v>
      </c>
      <c r="G1906" s="3">
        <f>EUR!C1906/1</f>
        <v>1.0892999999999999</v>
      </c>
      <c r="H1906" s="3">
        <f>GBP!B1906/1</f>
        <v>1.2828999999999999</v>
      </c>
      <c r="I1906" s="3">
        <f>GBP!C1906/1</f>
        <v>1.284</v>
      </c>
      <c r="J1906" s="4">
        <f>1/INR!B1906</f>
        <v>1.5558148580318941E-2</v>
      </c>
      <c r="K1906" s="4">
        <f>1/INR!C1906</f>
        <v>1.5482272797646694E-2</v>
      </c>
      <c r="L1906" s="4">
        <f>1/JPY!B1906</f>
        <v>9.0497737556561094E-3</v>
      </c>
      <c r="M1906" s="4">
        <f>1/JPY!C1906</f>
        <v>9.0605562275468086E-3</v>
      </c>
      <c r="N1906" s="5">
        <f>1/KRW!B1906</f>
        <v>8.8849400266548197E-4</v>
      </c>
      <c r="O1906" s="5">
        <f>1/KRW!C1906</f>
        <v>8.8849163440701633E-4</v>
      </c>
      <c r="P1906" s="3">
        <f>1/NOK!B1906</f>
        <v>0.1168442699570013</v>
      </c>
      <c r="Q1906" s="3">
        <f>1/NOK!C1906</f>
        <v>0.1168825097012483</v>
      </c>
      <c r="R1906" s="3">
        <f>NZD!B1906/1</f>
        <v>0.69640000000000002</v>
      </c>
      <c r="S1906" s="3">
        <f>NZD!C1906/1</f>
        <v>0.69579999999999997</v>
      </c>
      <c r="T1906" s="4">
        <f>1/PHP!B1906</f>
        <v>2.0120724346076459E-2</v>
      </c>
      <c r="U1906" s="4">
        <f>1/PHP!C1906</f>
        <v>2.0086774867427288E-2</v>
      </c>
      <c r="V1906" s="4">
        <f>1/TWD!B1906</f>
        <v>3.3161996352180402E-2</v>
      </c>
      <c r="W1906" s="4">
        <f>1/TWD!C1906</f>
        <v>3.3162436245216323E-2</v>
      </c>
      <c r="X1906" s="4">
        <f>1/TWD!B1906</f>
        <v>3.3161996352180402E-2</v>
      </c>
      <c r="Y1906" s="4">
        <f>1/TWD!C1906</f>
        <v>3.3162436245216323E-2</v>
      </c>
      <c r="Z1906" s="4">
        <f>1/ZAR!B1906</f>
        <v>7.6518119490695397E-2</v>
      </c>
      <c r="AA1906" s="4">
        <f>1/ZAR!C1906</f>
        <v>7.6078604414080625E-2</v>
      </c>
    </row>
    <row r="1907" spans="1:27" x14ac:dyDescent="0.25">
      <c r="A1907" t="str">
        <f>"26/04/2017"</f>
        <v>26/04/2017</v>
      </c>
      <c r="B1907" s="3">
        <f>AUD!B1907</f>
        <v>0.74909999999999999</v>
      </c>
      <c r="C1907" s="3">
        <f>AUD!C1907</f>
        <v>0.74860000000000004</v>
      </c>
      <c r="D1907" s="3">
        <f>1/CAD!B1907</f>
        <v>0.73621438562909514</v>
      </c>
      <c r="E1907" s="3">
        <f>1/CAD!C1907</f>
        <v>0.73653973631877445</v>
      </c>
      <c r="F1907" s="3">
        <f>EUR!B1907/1</f>
        <v>1.0893999999999999</v>
      </c>
      <c r="G1907" s="3">
        <f>EUR!C1907/1</f>
        <v>1.0911</v>
      </c>
      <c r="H1907" s="3">
        <f>GBP!B1907/1</f>
        <v>1.2826</v>
      </c>
      <c r="I1907" s="3">
        <f>GBP!C1907/1</f>
        <v>1.2837000000000001</v>
      </c>
      <c r="J1907" s="4">
        <f>1/INR!B1907</f>
        <v>1.5595757953836555E-2</v>
      </c>
      <c r="K1907" s="4">
        <f>1/INR!C1907</f>
        <v>1.5520720161415489E-2</v>
      </c>
      <c r="L1907" s="4">
        <f>1/JPY!B1907</f>
        <v>8.9928057553956831E-3</v>
      </c>
      <c r="M1907" s="4">
        <f>1/JPY!C1907</f>
        <v>9.0030151097602595E-3</v>
      </c>
      <c r="N1907" s="5">
        <f>1/KRW!B1907</f>
        <v>8.8857295183934596E-4</v>
      </c>
      <c r="O1907" s="5">
        <f>1/KRW!C1907</f>
        <v>8.885701883813229E-4</v>
      </c>
      <c r="P1907" s="3">
        <f>1/NOK!B1907</f>
        <v>0.11656913715524678</v>
      </c>
      <c r="Q1907" s="3">
        <f>1/NOK!C1907</f>
        <v>0.11661127631041922</v>
      </c>
      <c r="R1907" s="3">
        <f>NZD!B1907/1</f>
        <v>0.69010000000000005</v>
      </c>
      <c r="S1907" s="3">
        <f>NZD!C1907/1</f>
        <v>0.6895</v>
      </c>
      <c r="T1907" s="4">
        <f>1/PHP!B1907</f>
        <v>2.0078305391024998E-2</v>
      </c>
      <c r="U1907" s="4">
        <f>1/PHP!C1907</f>
        <v>2.0045704205588741E-2</v>
      </c>
      <c r="V1907" s="4">
        <f>1/TWD!B1907</f>
        <v>3.3178500331785002E-2</v>
      </c>
      <c r="W1907" s="4">
        <f>1/TWD!C1907</f>
        <v>3.317894066278252E-2</v>
      </c>
      <c r="X1907" s="4">
        <f>1/TWD!B1907</f>
        <v>3.3178500331785002E-2</v>
      </c>
      <c r="Y1907" s="4">
        <f>1/TWD!C1907</f>
        <v>3.317894066278252E-2</v>
      </c>
      <c r="Z1907" s="4">
        <f>1/ZAR!B1907</f>
        <v>7.5697361946936145E-2</v>
      </c>
      <c r="AA1907" s="4">
        <f>1/ZAR!C1907</f>
        <v>7.5289865984038543E-2</v>
      </c>
    </row>
    <row r="1908" spans="1:27" x14ac:dyDescent="0.25">
      <c r="A1908" t="str">
        <f>"27/04/2017"</f>
        <v>27/04/2017</v>
      </c>
      <c r="B1908" s="3">
        <f>AUD!B1908</f>
        <v>0.747</v>
      </c>
      <c r="C1908" s="3">
        <f>AUD!C1908</f>
        <v>0.74660000000000004</v>
      </c>
      <c r="D1908" s="3">
        <f>1/CAD!B1908</f>
        <v>0.73697398481833587</v>
      </c>
      <c r="E1908" s="3">
        <f>1/CAD!C1908</f>
        <v>0.73730000737300005</v>
      </c>
      <c r="F1908" s="3">
        <f>EUR!B1908/1</f>
        <v>1.0898000000000001</v>
      </c>
      <c r="G1908" s="3">
        <f>EUR!C1908/1</f>
        <v>1.0913999999999999</v>
      </c>
      <c r="H1908" s="3">
        <f>GBP!B1908/1</f>
        <v>1.2898000000000001</v>
      </c>
      <c r="I1908" s="3">
        <f>GBP!C1908/1</f>
        <v>1.2907999999999999</v>
      </c>
      <c r="J1908" s="4">
        <f>1/INR!B1908</f>
        <v>1.5586034912718205E-2</v>
      </c>
      <c r="K1908" s="4">
        <f>1/INR!C1908</f>
        <v>1.5515301966564523E-2</v>
      </c>
      <c r="L1908" s="4">
        <f>1/JPY!B1908</f>
        <v>8.9790787465206072E-3</v>
      </c>
      <c r="M1908" s="4">
        <f>1/JPY!C1908</f>
        <v>8.9888044440649181E-3</v>
      </c>
      <c r="N1908" s="5">
        <f>1/KRW!B1908</f>
        <v>8.8476000884760012E-4</v>
      </c>
      <c r="O1908" s="5">
        <f>1/KRW!C1908</f>
        <v>8.8475726905512791E-4</v>
      </c>
      <c r="P1908" s="3">
        <f>1/NOK!B1908</f>
        <v>0.11675423234092236</v>
      </c>
      <c r="Q1908" s="3">
        <f>1/NOK!C1908</f>
        <v>0.116795141322121</v>
      </c>
      <c r="R1908" s="3">
        <f>NZD!B1908/1</f>
        <v>0.68810000000000004</v>
      </c>
      <c r="S1908" s="3">
        <f>NZD!C1908/1</f>
        <v>0.6875</v>
      </c>
      <c r="T1908" s="4">
        <f>1/PHP!B1908</f>
        <v>2.0008003201280513E-2</v>
      </c>
      <c r="U1908" s="4">
        <f>1/PHP!C1908</f>
        <v>1.9976028765481421E-2</v>
      </c>
      <c r="V1908" s="4">
        <f>1/TWD!B1908</f>
        <v>3.3145508783559825E-2</v>
      </c>
      <c r="W1908" s="4">
        <f>1/TWD!C1908</f>
        <v>3.3145838374262923E-2</v>
      </c>
      <c r="X1908" s="4">
        <f>1/TWD!B1908</f>
        <v>3.3145508783559825E-2</v>
      </c>
      <c r="Y1908" s="4">
        <f>1/TWD!C1908</f>
        <v>3.3145838374262923E-2</v>
      </c>
      <c r="Z1908" s="4">
        <f>1/ZAR!B1908</f>
        <v>7.5200409090225448E-2</v>
      </c>
      <c r="AA1908" s="4">
        <f>1/ZAR!C1908</f>
        <v>7.4793756217230986E-2</v>
      </c>
    </row>
    <row r="1909" spans="1:27" x14ac:dyDescent="0.25">
      <c r="A1909" t="str">
        <f>"28/04/2017"</f>
        <v>28/04/2017</v>
      </c>
      <c r="B1909" s="3">
        <f>AUD!B1909</f>
        <v>0.74829999999999997</v>
      </c>
      <c r="C1909" s="3">
        <f>AUD!C1909</f>
        <v>0.74680000000000002</v>
      </c>
      <c r="D1909" s="3">
        <f>1/CAD!B1909</f>
        <v>0.73313782991202336</v>
      </c>
      <c r="E1909" s="3">
        <f>1/CAD!C1909</f>
        <v>0.73346046648085672</v>
      </c>
      <c r="F1909" s="3">
        <f>EUR!B1909/1</f>
        <v>1.0887</v>
      </c>
      <c r="G1909" s="3">
        <f>EUR!C1909/1</f>
        <v>1.095</v>
      </c>
      <c r="H1909" s="3">
        <f>GBP!B1909/1</f>
        <v>1.2945</v>
      </c>
      <c r="I1909" s="3">
        <f>GBP!C1909/1</f>
        <v>1.2955000000000001</v>
      </c>
      <c r="J1909" s="4">
        <f>1/INR!B1909</f>
        <v>1.556420233463035E-2</v>
      </c>
      <c r="K1909" s="4">
        <f>1/INR!C1909</f>
        <v>1.5490066994539751E-2</v>
      </c>
      <c r="L1909" s="4">
        <f>1/JPY!B1909</f>
        <v>8.9790787465206072E-3</v>
      </c>
      <c r="M1909" s="4">
        <f>1/JPY!C1909</f>
        <v>8.9894266363902773E-3</v>
      </c>
      <c r="N1909" s="5">
        <f>1/KRW!B1909</f>
        <v>8.7881184638368922E-4</v>
      </c>
      <c r="O1909" s="5">
        <f>1/KRW!C1909</f>
        <v>8.7881084238149653E-4</v>
      </c>
      <c r="P1909" s="3">
        <f>1/NOK!B1909</f>
        <v>0.11715089034676664</v>
      </c>
      <c r="Q1909" s="3">
        <f>1/NOK!C1909</f>
        <v>0.11719619815533183</v>
      </c>
      <c r="R1909" s="3">
        <f>NZD!B1909/1</f>
        <v>0.68720000000000003</v>
      </c>
      <c r="S1909" s="3">
        <f>NZD!C1909/1</f>
        <v>0.68659999999999999</v>
      </c>
      <c r="T1909" s="4">
        <f>1/PHP!B1909</f>
        <v>2.0008003201280513E-2</v>
      </c>
      <c r="U1909" s="4">
        <f>1/PHP!C1909</f>
        <v>1.9976028765481421E-2</v>
      </c>
      <c r="V1909" s="4">
        <f>1/TWD!B1909</f>
        <v>3.3090668431502317E-2</v>
      </c>
      <c r="W1909" s="4">
        <f>1/TWD!C1909</f>
        <v>3.3090996932464582E-2</v>
      </c>
      <c r="X1909" s="4">
        <f>1/TWD!B1909</f>
        <v>3.3090668431502317E-2</v>
      </c>
      <c r="Y1909" s="4">
        <f>1/TWD!C1909</f>
        <v>3.3090996932464582E-2</v>
      </c>
      <c r="Z1909" s="4">
        <f>1/ZAR!B1909</f>
        <v>7.4556204194532058E-2</v>
      </c>
      <c r="AA1909" s="4">
        <f>1/ZAR!C1909</f>
        <v>7.4924326430305388E-2</v>
      </c>
    </row>
    <row r="1910" spans="1:27" x14ac:dyDescent="0.25">
      <c r="A1910" t="str">
        <f>"02/05/2017"</f>
        <v>02/05/2017</v>
      </c>
      <c r="B1910" s="3">
        <f>AUD!B1910</f>
        <v>0.75139999999999996</v>
      </c>
      <c r="C1910" s="3">
        <f>AUD!C1910</f>
        <v>0.751</v>
      </c>
      <c r="D1910" s="3">
        <f>1/CAD!B1910</f>
        <v>0.7314753858532661</v>
      </c>
      <c r="E1910" s="3">
        <f>1/CAD!C1910</f>
        <v>0.73179656055616538</v>
      </c>
      <c r="F1910" s="3">
        <f>EUR!B1910/1</f>
        <v>1.0914999999999999</v>
      </c>
      <c r="G1910" s="3">
        <f>EUR!C1910/1</f>
        <v>1.0931</v>
      </c>
      <c r="H1910" s="3">
        <f>GBP!B1910/1</f>
        <v>1.2917000000000001</v>
      </c>
      <c r="I1910" s="3">
        <f>GBP!C1910/1</f>
        <v>1.2927999999999999</v>
      </c>
      <c r="J1910" s="4">
        <f>1/INR!B1910</f>
        <v>1.5572079261883443E-2</v>
      </c>
      <c r="K1910" s="4">
        <f>1/INR!C1910</f>
        <v>1.5500271254746957E-2</v>
      </c>
      <c r="L1910" s="4">
        <f>1/JPY!B1910</f>
        <v>8.913450396648542E-3</v>
      </c>
      <c r="M1910" s="4">
        <f>1/JPY!C1910</f>
        <v>8.9235598935954712E-3</v>
      </c>
      <c r="N1910" s="5">
        <f>1/KRW!B1910</f>
        <v>8.8409512863584123E-4</v>
      </c>
      <c r="O1910" s="5">
        <f>1/KRW!C1910</f>
        <v>8.8409200215011175E-4</v>
      </c>
      <c r="P1910" s="3">
        <f>1/NOK!B1910</f>
        <v>0.11635483570697198</v>
      </c>
      <c r="Q1910" s="3">
        <f>1/NOK!C1910</f>
        <v>0.11639817487661792</v>
      </c>
      <c r="R1910" s="3">
        <f>NZD!B1910/1</f>
        <v>0.6915</v>
      </c>
      <c r="S1910" s="3">
        <f>NZD!C1910/1</f>
        <v>0.69089999999999996</v>
      </c>
      <c r="T1910" s="4">
        <f>1/PHP!B1910</f>
        <v>1.998001998001998E-2</v>
      </c>
      <c r="U1910" s="4">
        <f>1/PHP!C1910</f>
        <v>1.9946145407400022E-2</v>
      </c>
      <c r="V1910" s="4">
        <f>1/TWD!B1910</f>
        <v>3.3266799733865607E-2</v>
      </c>
      <c r="W1910" s="4">
        <f>1/TWD!C1910</f>
        <v>3.326713174116841E-2</v>
      </c>
      <c r="X1910" s="4">
        <f>1/TWD!B1910</f>
        <v>3.3266799733865607E-2</v>
      </c>
      <c r="Y1910" s="4">
        <f>1/TWD!C1910</f>
        <v>3.326713174116841E-2</v>
      </c>
      <c r="Z1910" s="4">
        <f>1/ZAR!B1910</f>
        <v>7.4937801624651537E-2</v>
      </c>
      <c r="AA1910" s="4">
        <f>1/ZAR!C1910</f>
        <v>7.4525088871168474E-2</v>
      </c>
    </row>
    <row r="1911" spans="1:27" x14ac:dyDescent="0.25">
      <c r="A1911" t="str">
        <f>"03/05/2017"</f>
        <v>03/05/2017</v>
      </c>
      <c r="B1911" s="3">
        <f>AUD!B1911</f>
        <v>0.74750000000000005</v>
      </c>
      <c r="C1911" s="3">
        <f>AUD!C1911</f>
        <v>0.74709999999999999</v>
      </c>
      <c r="D1911" s="3">
        <f>1/CAD!B1911</f>
        <v>0.72896923749817766</v>
      </c>
      <c r="E1911" s="3">
        <f>1/CAD!C1911</f>
        <v>0.72928821470245042</v>
      </c>
      <c r="F1911" s="3">
        <f>EUR!B1911/1</f>
        <v>1.0911999999999999</v>
      </c>
      <c r="G1911" s="3">
        <f>EUR!C1911/1</f>
        <v>1.0928</v>
      </c>
      <c r="H1911" s="3">
        <f>GBP!B1911/1</f>
        <v>1.2925</v>
      </c>
      <c r="I1911" s="3">
        <f>GBP!C1911/1</f>
        <v>1.2935000000000001</v>
      </c>
      <c r="J1911" s="4">
        <f>1/INR!B1911</f>
        <v>1.5587857059350766E-2</v>
      </c>
      <c r="K1911" s="4">
        <f>1/INR!C1911</f>
        <v>1.5519515791107316E-2</v>
      </c>
      <c r="L1911" s="4">
        <f>1/JPY!B1911</f>
        <v>8.911861687906605E-3</v>
      </c>
      <c r="M1911" s="4">
        <f>1/JPY!C1911</f>
        <v>8.9220233007560514E-3</v>
      </c>
      <c r="N1911" s="5">
        <f>1/KRW!B1911</f>
        <v>8.8409512863584123E-4</v>
      </c>
      <c r="O1911" s="5">
        <f>1/KRW!C1911</f>
        <v>8.8409200215011175E-4</v>
      </c>
      <c r="P1911" s="3">
        <f>1/NOK!B1911</f>
        <v>0.11613862306048499</v>
      </c>
      <c r="Q1911" s="3">
        <f>1/NOK!C1911</f>
        <v>0.11618450098756827</v>
      </c>
      <c r="R1911" s="3">
        <f>NZD!B1911/1</f>
        <v>0.69199999999999995</v>
      </c>
      <c r="S1911" s="3">
        <f>NZD!C1911/1</f>
        <v>0.69140000000000001</v>
      </c>
      <c r="T1911" s="4">
        <f>1/PHP!B1911</f>
        <v>2.0014009806864803E-2</v>
      </c>
      <c r="U1911" s="4">
        <f>1/PHP!C1911</f>
        <v>1.9979221609526095E-2</v>
      </c>
      <c r="V1911" s="4">
        <f>1/TWD!B1911</f>
        <v>3.3252419113490507E-2</v>
      </c>
      <c r="W1911" s="4">
        <f>1/TWD!C1911</f>
        <v>3.3252750833812725E-2</v>
      </c>
      <c r="X1911" s="4">
        <f>1/TWD!B1911</f>
        <v>3.3252419113490507E-2</v>
      </c>
      <c r="Y1911" s="4">
        <f>1/TWD!C1911</f>
        <v>3.3252750833812725E-2</v>
      </c>
      <c r="Z1911" s="4">
        <f>1/ZAR!B1911</f>
        <v>7.4761324471624341E-2</v>
      </c>
      <c r="AA1911" s="4">
        <f>1/ZAR!C1911</f>
        <v>7.4360499702557994E-2</v>
      </c>
    </row>
    <row r="1912" spans="1:27" x14ac:dyDescent="0.25">
      <c r="A1912" t="str">
        <f>"04/05/2017"</f>
        <v>04/05/2017</v>
      </c>
      <c r="B1912" s="3">
        <f>AUD!B1912</f>
        <v>0.74199999999999999</v>
      </c>
      <c r="C1912" s="3">
        <f>AUD!C1912</f>
        <v>0.74160000000000004</v>
      </c>
      <c r="D1912" s="3">
        <f>1/CAD!B1912</f>
        <v>0.72912869121399926</v>
      </c>
      <c r="E1912" s="3">
        <f>1/CAD!C1912</f>
        <v>0.7293946024799417</v>
      </c>
      <c r="F1912" s="3">
        <f>EUR!B1912/1</f>
        <v>1.0894999999999999</v>
      </c>
      <c r="G1912" s="3">
        <f>EUR!C1912/1</f>
        <v>1.0911</v>
      </c>
      <c r="H1912" s="3">
        <f>GBP!B1912/1</f>
        <v>1.2875000000000001</v>
      </c>
      <c r="I1912" s="3">
        <f>GBP!C1912/1</f>
        <v>1.2885</v>
      </c>
      <c r="J1912" s="4">
        <f>1/INR!B1912</f>
        <v>1.5572079261883443E-2</v>
      </c>
      <c r="K1912" s="4">
        <f>1/INR!C1912</f>
        <v>1.5504476917709988E-2</v>
      </c>
      <c r="L1912" s="4">
        <f>1/JPY!B1912</f>
        <v>8.8683930471798508E-3</v>
      </c>
      <c r="M1912" s="4">
        <f>1/JPY!C1912</f>
        <v>8.8783295955565736E-3</v>
      </c>
      <c r="N1912" s="5">
        <f>1/KRW!B1912</f>
        <v>8.8421238781555321E-4</v>
      </c>
      <c r="O1912" s="5">
        <f>1/KRW!C1912</f>
        <v>8.8420886958759165E-4</v>
      </c>
      <c r="P1912" s="3">
        <f>1/NOK!B1912</f>
        <v>0.11552680221811459</v>
      </c>
      <c r="Q1912" s="3">
        <f>1/NOK!C1912</f>
        <v>0.11556952662721895</v>
      </c>
      <c r="R1912" s="3">
        <f>NZD!B1912/1</f>
        <v>0.68830000000000002</v>
      </c>
      <c r="S1912" s="3">
        <f>NZD!C1912/1</f>
        <v>0.68779999999999997</v>
      </c>
      <c r="T1912" s="4">
        <f>1/PHP!B1912</f>
        <v>2.0056157240272765E-2</v>
      </c>
      <c r="U1912" s="4">
        <f>1/PHP!C1912</f>
        <v>2.0022826021664698E-2</v>
      </c>
      <c r="V1912" s="4">
        <f>1/TWD!B1912</f>
        <v>3.3170796430822304E-2</v>
      </c>
      <c r="W1912" s="4">
        <f>1/TWD!C1912</f>
        <v>3.3171126524627906E-2</v>
      </c>
      <c r="X1912" s="4">
        <f>1/TWD!B1912</f>
        <v>3.3170796430822304E-2</v>
      </c>
      <c r="Y1912" s="4">
        <f>1/TWD!C1912</f>
        <v>3.3171126524627906E-2</v>
      </c>
      <c r="Z1912" s="4">
        <f>1/ZAR!B1912</f>
        <v>7.4361605615788445E-2</v>
      </c>
      <c r="AA1912" s="4">
        <f>1/ZAR!C1912</f>
        <v>7.3951916463915163E-2</v>
      </c>
    </row>
    <row r="1913" spans="1:27" x14ac:dyDescent="0.25">
      <c r="A1913" t="str">
        <f>"05/05/2017"</f>
        <v>05/05/2017</v>
      </c>
      <c r="B1913" s="3">
        <f>AUD!B1913</f>
        <v>0.73870000000000002</v>
      </c>
      <c r="C1913" s="3">
        <f>AUD!C1913</f>
        <v>0.73829999999999996</v>
      </c>
      <c r="D1913" s="3">
        <f>1/CAD!B1913</f>
        <v>0.72568940493468803</v>
      </c>
      <c r="E1913" s="3">
        <f>1/CAD!C1913</f>
        <v>0.72595281306715065</v>
      </c>
      <c r="F1913" s="3">
        <f>EUR!B1913/1</f>
        <v>1.0955999999999999</v>
      </c>
      <c r="G1913" s="3">
        <f>EUR!C1913/1</f>
        <v>1.0971</v>
      </c>
      <c r="H1913" s="3">
        <f>GBP!B1913/1</f>
        <v>1.2927999999999999</v>
      </c>
      <c r="I1913" s="3">
        <f>GBP!C1913/1</f>
        <v>1.2938000000000001</v>
      </c>
      <c r="J1913" s="4">
        <f>1/INR!B1913</f>
        <v>1.553277415346381E-2</v>
      </c>
      <c r="K1913" s="4">
        <f>1/INR!C1913</f>
        <v>1.546551190844417E-2</v>
      </c>
      <c r="L1913" s="4">
        <f>1/JPY!B1913</f>
        <v>8.8928412627834585E-3</v>
      </c>
      <c r="M1913" s="4">
        <f>1/JPY!C1913</f>
        <v>8.9024522695021566E-3</v>
      </c>
      <c r="N1913" s="5">
        <f>1/KRW!B1913</f>
        <v>8.8280732730081665E-4</v>
      </c>
      <c r="O1913" s="5">
        <f>1/KRW!C1913</f>
        <v>8.8280382024525175E-4</v>
      </c>
      <c r="P1913" s="3">
        <f>1/NOK!B1913</f>
        <v>0.11536287391991509</v>
      </c>
      <c r="Q1913" s="3">
        <f>1/NOK!C1913</f>
        <v>0.11540547714394524</v>
      </c>
      <c r="R1913" s="3">
        <f>NZD!B1913/1</f>
        <v>0.68889999999999996</v>
      </c>
      <c r="S1913" s="3">
        <f>NZD!C1913/1</f>
        <v>0.68830000000000002</v>
      </c>
      <c r="T1913" s="4">
        <f>1/PHP!B1913</f>
        <v>2.003205128205128E-2</v>
      </c>
      <c r="U1913" s="4">
        <f>1/PHP!C1913</f>
        <v>1.9998400127989761E-2</v>
      </c>
      <c r="V1913" s="4">
        <f>1/TWD!B1913</f>
        <v>3.3132330528129347E-2</v>
      </c>
      <c r="W1913" s="4">
        <f>1/TWD!C1913</f>
        <v>3.3132659856800646E-2</v>
      </c>
      <c r="X1913" s="4">
        <f>1/TWD!B1913</f>
        <v>3.3132330528129347E-2</v>
      </c>
      <c r="Y1913" s="4">
        <f>1/TWD!C1913</f>
        <v>3.3132659856800646E-2</v>
      </c>
      <c r="Z1913" s="4">
        <f>1/ZAR!B1913</f>
        <v>7.3606807157525933E-2</v>
      </c>
      <c r="AA1913" s="4">
        <f>1/ZAR!C1913</f>
        <v>7.3213945792394541E-2</v>
      </c>
    </row>
    <row r="1914" spans="1:27" x14ac:dyDescent="0.25">
      <c r="A1914" t="str">
        <f>"08/05/2017"</f>
        <v>08/05/2017</v>
      </c>
      <c r="B1914" s="3">
        <f>AUD!B1914</f>
        <v>0.74039999999999995</v>
      </c>
      <c r="C1914" s="3">
        <f>AUD!C1914</f>
        <v>0.7399</v>
      </c>
      <c r="D1914" s="3">
        <f>1/CAD!B1914</f>
        <v>0.73062029663184047</v>
      </c>
      <c r="E1914" s="3">
        <f>1/CAD!C1914</f>
        <v>0.73088729717877499</v>
      </c>
      <c r="F1914" s="3">
        <f>EUR!B1914/1</f>
        <v>1.095</v>
      </c>
      <c r="G1914" s="3">
        <f>EUR!C1914/1</f>
        <v>1.0966</v>
      </c>
      <c r="H1914" s="3">
        <f>GBP!B1914/1</f>
        <v>1.2958000000000001</v>
      </c>
      <c r="I1914" s="3">
        <f>GBP!C1914/1</f>
        <v>1.2968</v>
      </c>
      <c r="J1914" s="4">
        <f>1/INR!B1914</f>
        <v>1.5549681231534752E-2</v>
      </c>
      <c r="K1914" s="4">
        <f>1/INR!C1914</f>
        <v>1.5479277117758599E-2</v>
      </c>
      <c r="L1914" s="4">
        <f>1/JPY!B1914</f>
        <v>8.8809946714031984E-3</v>
      </c>
      <c r="M1914" s="4">
        <f>1/JPY!C1914</f>
        <v>8.8907539714997985E-3</v>
      </c>
      <c r="N1914" s="5">
        <f>1/KRW!B1914</f>
        <v>8.8374353762538116E-4</v>
      </c>
      <c r="O1914" s="5">
        <f>1/KRW!C1914</f>
        <v>8.8373963262943465E-4</v>
      </c>
      <c r="P1914" s="3">
        <f>1/NOK!B1914</f>
        <v>0.1159232124640638</v>
      </c>
      <c r="Q1914" s="3">
        <f>1/NOK!C1914</f>
        <v>0.11596757546589972</v>
      </c>
      <c r="R1914" s="3">
        <f>NZD!B1914/1</f>
        <v>0.69299999999999995</v>
      </c>
      <c r="S1914" s="3">
        <f>NZD!C1914/1</f>
        <v>0.69240000000000002</v>
      </c>
      <c r="T1914" s="4">
        <f>1/PHP!B1914</f>
        <v>2.004008016032064E-2</v>
      </c>
      <c r="U1914" s="4">
        <f>1/PHP!C1914</f>
        <v>2.0006001800540161E-2</v>
      </c>
      <c r="V1914" s="4">
        <f>1/TWD!B1914</f>
        <v>3.3149903865278788E-2</v>
      </c>
      <c r="W1914" s="4">
        <f>1/TWD!C1914</f>
        <v>3.3150233543395309E-2</v>
      </c>
      <c r="X1914" s="4">
        <f>1/TWD!B1914</f>
        <v>3.3149903865278788E-2</v>
      </c>
      <c r="Y1914" s="4">
        <f>1/TWD!C1914</f>
        <v>3.3150233543395309E-2</v>
      </c>
      <c r="Z1914" s="4">
        <f>1/ZAR!B1914</f>
        <v>7.3741418342440399E-2</v>
      </c>
      <c r="AA1914" s="4">
        <f>1/ZAR!C1914</f>
        <v>7.3324534389206636E-2</v>
      </c>
    </row>
    <row r="1915" spans="1:27" x14ac:dyDescent="0.25">
      <c r="A1915" t="str">
        <f>"09/05/2017"</f>
        <v>09/05/2017</v>
      </c>
      <c r="B1915" s="3">
        <f>AUD!B1915</f>
        <v>0.73570000000000002</v>
      </c>
      <c r="C1915" s="3">
        <f>AUD!C1915</f>
        <v>0.73519999999999996</v>
      </c>
      <c r="D1915" s="3">
        <f>1/CAD!B1915</f>
        <v>0.73008688033876035</v>
      </c>
      <c r="E1915" s="3">
        <f>1/CAD!C1915</f>
        <v>0.73035349108968739</v>
      </c>
      <c r="F1915" s="3">
        <f>EUR!B1915/1</f>
        <v>1.093</v>
      </c>
      <c r="G1915" s="3">
        <f>EUR!C1915/1</f>
        <v>1.0945</v>
      </c>
      <c r="H1915" s="3">
        <f>GBP!B1915/1</f>
        <v>1.2952999999999999</v>
      </c>
      <c r="I1915" s="3">
        <f>GBP!C1915/1</f>
        <v>1.2963</v>
      </c>
      <c r="J1915" s="4">
        <f>1/INR!B1915</f>
        <v>1.5506280043417585E-2</v>
      </c>
      <c r="K1915" s="4">
        <f>1/INR!C1915</f>
        <v>1.5438054805094557E-2</v>
      </c>
      <c r="L1915" s="4">
        <f>1/JPY!B1915</f>
        <v>8.8276836158192092E-3</v>
      </c>
      <c r="M1915" s="4">
        <f>1/JPY!C1915</f>
        <v>8.8365685483550293E-3</v>
      </c>
      <c r="N1915" s="5">
        <f>1/KRW!B1915</f>
        <v>8.8374353762538116E-4</v>
      </c>
      <c r="O1915" s="5">
        <f>1/KRW!C1915</f>
        <v>8.8373963262943465E-4</v>
      </c>
      <c r="P1915" s="3">
        <f>1/NOK!B1915</f>
        <v>0.11571663310884307</v>
      </c>
      <c r="Q1915" s="3">
        <f>1/NOK!C1915</f>
        <v>0.11575815805618901</v>
      </c>
      <c r="R1915" s="3">
        <f>NZD!B1915/1</f>
        <v>0.69020000000000004</v>
      </c>
      <c r="S1915" s="3">
        <f>NZD!C1915/1</f>
        <v>0.68959999999999999</v>
      </c>
      <c r="T1915" s="4">
        <f>1/PHP!B1915</f>
        <v>2.0030045067601403E-2</v>
      </c>
      <c r="U1915" s="4">
        <f>1/PHP!C1915</f>
        <v>1.9993602047344849E-2</v>
      </c>
      <c r="V1915" s="4">
        <f>1/TWD!B1915</f>
        <v>3.3061130029424408E-2</v>
      </c>
      <c r="W1915" s="4">
        <f>1/TWD!C1915</f>
        <v>3.3061457944172423E-2</v>
      </c>
      <c r="X1915" s="4">
        <f>1/TWD!B1915</f>
        <v>3.3061130029424408E-2</v>
      </c>
      <c r="Y1915" s="4">
        <f>1/TWD!C1915</f>
        <v>3.3061457944172423E-2</v>
      </c>
      <c r="Z1915" s="4">
        <f>1/ZAR!B1915</f>
        <v>7.3278325736813574E-2</v>
      </c>
      <c r="AA1915" s="4">
        <f>1/ZAR!C1915</f>
        <v>7.2873549816358657E-2</v>
      </c>
    </row>
    <row r="1916" spans="1:27" x14ac:dyDescent="0.25">
      <c r="A1916" t="str">
        <f>"11/05/2017"</f>
        <v>11/05/2017</v>
      </c>
      <c r="B1916" s="3">
        <f>AUD!B1916</f>
        <v>0.73729999999999996</v>
      </c>
      <c r="C1916" s="3">
        <f>AUD!C1916</f>
        <v>0.73680000000000001</v>
      </c>
      <c r="D1916" s="3">
        <f>1/CAD!B1916</f>
        <v>0.7293946024799417</v>
      </c>
      <c r="E1916" s="3">
        <f>1/CAD!C1916</f>
        <v>0.72971395213076473</v>
      </c>
      <c r="F1916" s="3">
        <f>EUR!B1916/1</f>
        <v>1.0868</v>
      </c>
      <c r="G1916" s="3">
        <f>EUR!C1916/1</f>
        <v>1.0883</v>
      </c>
      <c r="H1916" s="3">
        <f>GBP!B1916/1</f>
        <v>1.2884</v>
      </c>
      <c r="I1916" s="3">
        <f>GBP!C1916/1</f>
        <v>1.2894000000000001</v>
      </c>
      <c r="J1916" s="4">
        <f>1/INR!B1916</f>
        <v>1.553277415346381E-2</v>
      </c>
      <c r="K1916" s="4">
        <f>1/INR!C1916</f>
        <v>1.5464316090620892E-2</v>
      </c>
      <c r="L1916" s="4">
        <f>1/JPY!B1916</f>
        <v>8.7665468571929521E-3</v>
      </c>
      <c r="M1916" s="4">
        <f>1/JPY!C1916</f>
        <v>8.7756941354668796E-3</v>
      </c>
      <c r="N1916" s="5">
        <f>1/KRW!B1916</f>
        <v>8.8660342228920992E-4</v>
      </c>
      <c r="O1916" s="5">
        <f>1/KRW!C1916</f>
        <v>8.865998850079948E-4</v>
      </c>
      <c r="P1916" s="3">
        <f>1/NOK!B1916</f>
        <v>0.11633317822242903</v>
      </c>
      <c r="Q1916" s="3">
        <f>1/NOK!C1916</f>
        <v>0.1163778556216323</v>
      </c>
      <c r="R1916" s="3">
        <f>NZD!B1916/1</f>
        <v>0.68400000000000005</v>
      </c>
      <c r="S1916" s="3">
        <f>NZD!C1916/1</f>
        <v>0.6835</v>
      </c>
      <c r="T1916" s="4">
        <f>1/PHP!B1916</f>
        <v>2.0014009806864803E-2</v>
      </c>
      <c r="U1916" s="4">
        <f>1/PHP!C1916</f>
        <v>1.9978024173409249E-2</v>
      </c>
      <c r="V1916" s="4">
        <f>1/TWD!B1916</f>
        <v>3.309504898067249E-2</v>
      </c>
      <c r="W1916" s="4">
        <f>1/TWD!C1916</f>
        <v>3.3095377568614991E-2</v>
      </c>
      <c r="X1916" s="4">
        <f>1/TWD!B1916</f>
        <v>3.309504898067249E-2</v>
      </c>
      <c r="Y1916" s="4">
        <f>1/TWD!C1916</f>
        <v>3.3095377568614991E-2</v>
      </c>
      <c r="Z1916" s="4">
        <f>1/ZAR!B1916</f>
        <v>7.4834615499745558E-2</v>
      </c>
      <c r="AA1916" s="4">
        <f>1/ZAR!C1916</f>
        <v>7.443466869128966E-2</v>
      </c>
    </row>
    <row r="1917" spans="1:27" x14ac:dyDescent="0.25">
      <c r="A1917" t="str">
        <f>"12/05/2017"</f>
        <v>12/05/2017</v>
      </c>
      <c r="B1917" s="3">
        <f>AUD!B1917</f>
        <v>0.7379</v>
      </c>
      <c r="C1917" s="3">
        <f>AUD!C1917</f>
        <v>0.73740000000000006</v>
      </c>
      <c r="D1917" s="3">
        <f>1/CAD!B1917</f>
        <v>0.72875674099985421</v>
      </c>
      <c r="E1917" s="3">
        <f>1/CAD!C1917</f>
        <v>0.72907553222513855</v>
      </c>
      <c r="F1917" s="3">
        <f>EUR!B1917/1</f>
        <v>1.0875999999999999</v>
      </c>
      <c r="G1917" s="3">
        <f>EUR!C1917/1</f>
        <v>1.0891</v>
      </c>
      <c r="H1917" s="3">
        <f>GBP!B1917/1</f>
        <v>1.2850999999999999</v>
      </c>
      <c r="I1917" s="3">
        <f>GBP!C1917/1</f>
        <v>1.2861</v>
      </c>
      <c r="J1917" s="4">
        <f>1/INR!B1917</f>
        <v>1.5548472362590377E-2</v>
      </c>
      <c r="K1917" s="4">
        <f>1/INR!C1917</f>
        <v>1.5479876160990714E-2</v>
      </c>
      <c r="L1917" s="4">
        <f>1/JPY!B1917</f>
        <v>8.7811731647348089E-3</v>
      </c>
      <c r="M1917" s="4">
        <f>1/JPY!C1917</f>
        <v>8.7907451035549779E-3</v>
      </c>
      <c r="N1917" s="5">
        <f>1/KRW!B1917</f>
        <v>8.868786306593943E-4</v>
      </c>
      <c r="O1917" s="5">
        <f>1/KRW!C1917</f>
        <v>8.8687548445573331E-4</v>
      </c>
      <c r="P1917" s="3">
        <f>1/NOK!B1917</f>
        <v>0.11623852144600721</v>
      </c>
      <c r="Q1917" s="3">
        <f>1/NOK!C1917</f>
        <v>0.11628177399474406</v>
      </c>
      <c r="R1917" s="3">
        <f>NZD!B1917/1</f>
        <v>0.68430000000000002</v>
      </c>
      <c r="S1917" s="3">
        <f>NZD!C1917/1</f>
        <v>0.68379999999999996</v>
      </c>
      <c r="T1917" s="4">
        <f>1/PHP!B1917</f>
        <v>2.0096463022508039E-2</v>
      </c>
      <c r="U1917" s="4">
        <f>1/PHP!C1917</f>
        <v>2.0062997813133237E-2</v>
      </c>
      <c r="V1917" s="4">
        <f>1/TWD!B1917</f>
        <v>3.3111486374623356E-2</v>
      </c>
      <c r="W1917" s="4">
        <f>1/TWD!C1917</f>
        <v>3.3111815289049593E-2</v>
      </c>
      <c r="X1917" s="4">
        <f>1/TWD!B1917</f>
        <v>3.3111486374623356E-2</v>
      </c>
      <c r="Y1917" s="4">
        <f>1/TWD!C1917</f>
        <v>3.3111815289049593E-2</v>
      </c>
      <c r="Z1917" s="4">
        <f>1/ZAR!B1917</f>
        <v>7.4291997266054496E-2</v>
      </c>
      <c r="AA1917" s="4">
        <f>1/ZAR!C1917</f>
        <v>7.3858516625552095E-2</v>
      </c>
    </row>
    <row r="1918" spans="1:27" x14ac:dyDescent="0.25">
      <c r="A1918" t="str">
        <f>"15/05/2017"</f>
        <v>15/05/2017</v>
      </c>
      <c r="B1918" s="3">
        <f>AUD!B1918</f>
        <v>0.74380000000000002</v>
      </c>
      <c r="C1918" s="3">
        <f>AUD!C1918</f>
        <v>0.74329999999999996</v>
      </c>
      <c r="D1918" s="3">
        <f>1/CAD!B1918</f>
        <v>0.73443008225616924</v>
      </c>
      <c r="E1918" s="3">
        <f>1/CAD!C1918</f>
        <v>0.73475385745775168</v>
      </c>
      <c r="F1918" s="3">
        <f>EUR!B1918/1</f>
        <v>1.0971</v>
      </c>
      <c r="G1918" s="3">
        <f>EUR!C1918/1</f>
        <v>1.0988</v>
      </c>
      <c r="H1918" s="3">
        <f>GBP!B1918/1</f>
        <v>1.2929999999999999</v>
      </c>
      <c r="I1918" s="3">
        <f>GBP!C1918/1</f>
        <v>1.2941</v>
      </c>
      <c r="J1918" s="4">
        <f>1/INR!B1918</f>
        <v>1.560914696011863E-2</v>
      </c>
      <c r="K1918" s="4">
        <f>1/INR!C1918</f>
        <v>1.5535790577543012E-2</v>
      </c>
      <c r="L1918" s="4">
        <f>1/JPY!B1918</f>
        <v>8.8113490175345845E-3</v>
      </c>
      <c r="M1918" s="4">
        <f>1/JPY!C1918</f>
        <v>8.8217339294473004E-3</v>
      </c>
      <c r="N1918" s="5">
        <f>1/KRW!B1918</f>
        <v>8.8983804947499561E-4</v>
      </c>
      <c r="O1918" s="5">
        <f>1/KRW!C1918</f>
        <v>8.8983488223925164E-4</v>
      </c>
      <c r="P1918" s="3">
        <f>1/NOK!B1918</f>
        <v>0.11758619067776679</v>
      </c>
      <c r="Q1918" s="3">
        <f>1/NOK!C1918</f>
        <v>0.11763321962122104</v>
      </c>
      <c r="R1918" s="3">
        <f>NZD!B1918/1</f>
        <v>0.69069999999999998</v>
      </c>
      <c r="S1918" s="3">
        <f>NZD!C1918/1</f>
        <v>0.69010000000000005</v>
      </c>
      <c r="T1918" s="4">
        <f>1/PHP!B1918</f>
        <v>2.0108990729755274E-2</v>
      </c>
      <c r="U1918" s="4">
        <f>1/PHP!C1918</f>
        <v>2.0075886852301699E-2</v>
      </c>
      <c r="V1918" s="4">
        <f>1/TWD!B1918</f>
        <v>3.3156498673740056E-2</v>
      </c>
      <c r="W1918" s="4">
        <f>1/TWD!C1918</f>
        <v>3.3156828483041939E-2</v>
      </c>
      <c r="X1918" s="4">
        <f>1/TWD!B1918</f>
        <v>3.3156498673740056E-2</v>
      </c>
      <c r="Y1918" s="4">
        <f>1/TWD!C1918</f>
        <v>3.3156828483041939E-2</v>
      </c>
      <c r="Z1918" s="4">
        <f>1/ZAR!B1918</f>
        <v>7.5748967920312091E-2</v>
      </c>
      <c r="AA1918" s="4">
        <f>1/ZAR!C1918</f>
        <v>7.5317084927544964E-2</v>
      </c>
    </row>
    <row r="1919" spans="1:27" x14ac:dyDescent="0.25">
      <c r="A1919" t="str">
        <f>"16/05/2017"</f>
        <v>16/05/2017</v>
      </c>
      <c r="B1919" s="3">
        <f>AUD!B1919</f>
        <v>0.74060000000000004</v>
      </c>
      <c r="C1919" s="3">
        <f>AUD!C1919</f>
        <v>0.74009999999999998</v>
      </c>
      <c r="D1919" s="3">
        <f>1/CAD!B1919</f>
        <v>0.73346046648085672</v>
      </c>
      <c r="E1919" s="3">
        <f>1/CAD!C1919</f>
        <v>0.73378338714411506</v>
      </c>
      <c r="F1919" s="3">
        <f>EUR!B1919/1</f>
        <v>1.1060000000000001</v>
      </c>
      <c r="G1919" s="3">
        <f>EUR!C1919/1</f>
        <v>1.1075999999999999</v>
      </c>
      <c r="H1919" s="3">
        <f>GBP!B1919/1</f>
        <v>1.2887</v>
      </c>
      <c r="I1919" s="3">
        <f>GBP!C1919/1</f>
        <v>1.2898000000000001</v>
      </c>
      <c r="J1919" s="4">
        <f>1/INR!B1919</f>
        <v>1.5604275571506595E-2</v>
      </c>
      <c r="K1919" s="4">
        <f>1/INR!C1919</f>
        <v>1.553277415346381E-2</v>
      </c>
      <c r="L1919" s="4">
        <f>1/JPY!B1919</f>
        <v>8.7981699806440258E-3</v>
      </c>
      <c r="M1919" s="4">
        <f>1/JPY!C1919</f>
        <v>8.8078100613375888E-3</v>
      </c>
      <c r="N1919" s="5">
        <f>1/KRW!B1919</f>
        <v>8.9601720353030777E-4</v>
      </c>
      <c r="O1919" s="5">
        <f>1/KRW!C1919</f>
        <v>8.9601399215450143E-4</v>
      </c>
      <c r="P1919" s="3">
        <f>1/NOK!B1919</f>
        <v>0.11772600449713336</v>
      </c>
      <c r="Q1919" s="3">
        <f>1/NOK!C1919</f>
        <v>0.11777037132998081</v>
      </c>
      <c r="R1919" s="3">
        <f>NZD!B1919/1</f>
        <v>0.68710000000000004</v>
      </c>
      <c r="S1919" s="3">
        <f>NZD!C1919/1</f>
        <v>0.6865</v>
      </c>
      <c r="T1919" s="4">
        <f>1/PHP!B1919</f>
        <v>2.0093636345369419E-2</v>
      </c>
      <c r="U1919" s="4">
        <f>1/PHP!C1919</f>
        <v>2.0058168689198679E-2</v>
      </c>
      <c r="V1919" s="4">
        <f>1/TWD!B1919</f>
        <v>3.3206043499916987E-2</v>
      </c>
      <c r="W1919" s="4">
        <f>1/TWD!C1919</f>
        <v>3.3206374295609783E-2</v>
      </c>
      <c r="X1919" s="4">
        <f>1/TWD!B1919</f>
        <v>3.3206043499916987E-2</v>
      </c>
      <c r="Y1919" s="4">
        <f>1/TWD!C1919</f>
        <v>3.3206374295609783E-2</v>
      </c>
      <c r="Z1919" s="4">
        <f>1/ZAR!B1919</f>
        <v>7.6018457281427934E-2</v>
      </c>
      <c r="AA1919" s="4">
        <f>1/ZAR!C1919</f>
        <v>7.559321777650109E-2</v>
      </c>
    </row>
    <row r="1920" spans="1:27" x14ac:dyDescent="0.25">
      <c r="A1920" t="str">
        <f>"17/05/2017"</f>
        <v>17/05/2017</v>
      </c>
      <c r="B1920" s="3">
        <f>AUD!B1920</f>
        <v>0.74060000000000004</v>
      </c>
      <c r="C1920" s="3">
        <f>AUD!C1920</f>
        <v>0.74019999999999997</v>
      </c>
      <c r="D1920" s="3">
        <f>1/CAD!B1920</f>
        <v>0.73459193418056268</v>
      </c>
      <c r="E1920" s="3">
        <f>1/CAD!C1920</f>
        <v>0.73491585213493049</v>
      </c>
      <c r="F1920" s="3">
        <f>EUR!B1920/1</f>
        <v>1.1105</v>
      </c>
      <c r="G1920" s="3">
        <f>EUR!C1920/1</f>
        <v>1.1121000000000001</v>
      </c>
      <c r="H1920" s="3">
        <f>GBP!B1920/1</f>
        <v>1.2961</v>
      </c>
      <c r="I1920" s="3">
        <f>GBP!C1920/1</f>
        <v>1.2970999999999999</v>
      </c>
      <c r="J1920" s="4">
        <f>1/INR!B1920</f>
        <v>1.5585427625170466E-2</v>
      </c>
      <c r="K1920" s="4">
        <f>1/INR!C1920</f>
        <v>1.5516505682920205E-2</v>
      </c>
      <c r="L1920" s="4">
        <f>1/JPY!B1920</f>
        <v>8.8936321593738876E-3</v>
      </c>
      <c r="M1920" s="4">
        <f>1/JPY!C1920</f>
        <v>8.9033399989672125E-3</v>
      </c>
      <c r="N1920" s="5">
        <f>1/KRW!B1920</f>
        <v>8.9413447782546484E-4</v>
      </c>
      <c r="O1920" s="5">
        <f>1/KRW!C1920</f>
        <v>8.9413327861237674E-4</v>
      </c>
      <c r="P1920" s="3">
        <f>1/NOK!B1920</f>
        <v>0.11845113298508701</v>
      </c>
      <c r="Q1920" s="3">
        <f>1/NOK!C1920</f>
        <v>0.1184946440420893</v>
      </c>
      <c r="R1920" s="3">
        <f>NZD!B1920/1</f>
        <v>0.68899999999999995</v>
      </c>
      <c r="S1920" s="3">
        <f>NZD!C1920/1</f>
        <v>0.6885</v>
      </c>
      <c r="T1920" s="4">
        <f>1/PHP!B1920</f>
        <v>2.0074274816822245E-2</v>
      </c>
      <c r="U1920" s="4">
        <f>1/PHP!C1920</f>
        <v>2.0038473869830074E-2</v>
      </c>
      <c r="V1920" s="4">
        <f>1/TWD!B1920</f>
        <v>3.317739955542285E-2</v>
      </c>
      <c r="W1920" s="4">
        <f>1/TWD!C1920</f>
        <v>3.3177729780662031E-2</v>
      </c>
      <c r="X1920" s="4">
        <f>1/TWD!B1920</f>
        <v>3.317739955542285E-2</v>
      </c>
      <c r="Y1920" s="4">
        <f>1/TWD!C1920</f>
        <v>3.3177729780662031E-2</v>
      </c>
      <c r="Z1920" s="4">
        <f>1/ZAR!B1920</f>
        <v>7.6338791556929644E-2</v>
      </c>
      <c r="AA1920" s="4">
        <f>1/ZAR!C1920</f>
        <v>7.5925532237980986E-2</v>
      </c>
    </row>
    <row r="1921" spans="1:27" x14ac:dyDescent="0.25">
      <c r="A1921" t="str">
        <f>"18/05/2017"</f>
        <v>18/05/2017</v>
      </c>
      <c r="B1921" s="3">
        <f>AUD!B1921</f>
        <v>0.74390000000000001</v>
      </c>
      <c r="C1921" s="3">
        <f>AUD!C1921</f>
        <v>0.74350000000000005</v>
      </c>
      <c r="D1921" s="3">
        <f>1/CAD!B1921</f>
        <v>0.73286918285086111</v>
      </c>
      <c r="E1921" s="3">
        <f>1/CAD!C1921</f>
        <v>0.7331915829606277</v>
      </c>
      <c r="F1921" s="3">
        <f>EUR!B1921/1</f>
        <v>1.1128</v>
      </c>
      <c r="G1921" s="3">
        <f>EUR!C1921/1</f>
        <v>1.1144000000000001</v>
      </c>
      <c r="H1921" s="3">
        <f>GBP!B1921/1</f>
        <v>1.3024</v>
      </c>
      <c r="I1921" s="3">
        <f>GBP!C1921/1</f>
        <v>1.3035000000000001</v>
      </c>
      <c r="J1921" s="4">
        <f>1/INR!B1921</f>
        <v>1.5420200462606014E-2</v>
      </c>
      <c r="K1921" s="4">
        <f>1/INR!C1921</f>
        <v>1.535272894757043E-2</v>
      </c>
      <c r="L1921" s="4">
        <f>1/JPY!B1921</f>
        <v>9.0252707581227436E-3</v>
      </c>
      <c r="M1921" s="4">
        <f>1/JPY!C1921</f>
        <v>9.0354070496052874E-3</v>
      </c>
      <c r="N1921" s="5">
        <f>1/KRW!B1921</f>
        <v>8.8920505068468801E-4</v>
      </c>
      <c r="O1921" s="5">
        <f>1/KRW!C1921</f>
        <v>8.8920425999976867E-4</v>
      </c>
      <c r="P1921" s="3">
        <f>1/NOK!B1921</f>
        <v>0.11836280567194564</v>
      </c>
      <c r="Q1921" s="3">
        <f>1/NOK!C1921</f>
        <v>0.11840765387074621</v>
      </c>
      <c r="R1921" s="3">
        <f>NZD!B1921/1</f>
        <v>0.69279999999999997</v>
      </c>
      <c r="S1921" s="3">
        <f>NZD!C1921/1</f>
        <v>0.69230000000000003</v>
      </c>
      <c r="T1921" s="4">
        <f>1/PHP!B1921</f>
        <v>2.0038473869830074E-2</v>
      </c>
      <c r="U1921" s="4">
        <f>1/PHP!C1921</f>
        <v>2.000520135235161E-2</v>
      </c>
      <c r="V1921" s="4">
        <f>1/TWD!B1921</f>
        <v>3.3083005260197834E-2</v>
      </c>
      <c r="W1921" s="4">
        <f>1/TWD!C1921</f>
        <v>3.3083333609027779E-2</v>
      </c>
      <c r="X1921" s="4">
        <f>1/TWD!B1921</f>
        <v>3.3083005260197834E-2</v>
      </c>
      <c r="Y1921" s="4">
        <f>1/TWD!C1921</f>
        <v>3.3083333609027779E-2</v>
      </c>
      <c r="Z1921" s="4">
        <f>1/ZAR!B1921</f>
        <v>7.4259447658228311E-2</v>
      </c>
      <c r="AA1921" s="4">
        <f>1/ZAR!C1921</f>
        <v>7.385142570177318E-2</v>
      </c>
    </row>
    <row r="1922" spans="1:27" x14ac:dyDescent="0.25">
      <c r="A1922" t="str">
        <f>"19/05/2017"</f>
        <v>19/05/2017</v>
      </c>
      <c r="B1922" s="3">
        <f>AUD!B1922</f>
        <v>0.74360000000000004</v>
      </c>
      <c r="C1922" s="3">
        <f>AUD!C1922</f>
        <v>0.74319999999999997</v>
      </c>
      <c r="D1922" s="3">
        <f>1/CAD!B1922</f>
        <v>0.73702830188679247</v>
      </c>
      <c r="E1922" s="3">
        <f>1/CAD!C1922</f>
        <v>0.73735437251142899</v>
      </c>
      <c r="F1922" s="3">
        <f>EUR!B1922/1</f>
        <v>1.1171</v>
      </c>
      <c r="G1922" s="3">
        <f>EUR!C1922/1</f>
        <v>1.1187</v>
      </c>
      <c r="H1922" s="3">
        <f>GBP!B1922/1</f>
        <v>1.3007</v>
      </c>
      <c r="I1922" s="3">
        <f>GBP!C1922/1</f>
        <v>1.3017000000000001</v>
      </c>
      <c r="J1922" s="4">
        <f>1/INR!B1922</f>
        <v>1.5469698727617279E-2</v>
      </c>
      <c r="K1922" s="4">
        <f>1/INR!C1922</f>
        <v>1.5401794309037004E-2</v>
      </c>
      <c r="L1922" s="4">
        <f>1/JPY!B1922</f>
        <v>8.9750493627714957E-3</v>
      </c>
      <c r="M1922" s="4">
        <f>1/JPY!C1922</f>
        <v>8.9850085132955667E-3</v>
      </c>
      <c r="N1922" s="5">
        <f>1/KRW!B1922</f>
        <v>8.8723272114275581E-4</v>
      </c>
      <c r="O1922" s="5">
        <f>1/KRW!C1922</f>
        <v>8.8723114678174642E-4</v>
      </c>
      <c r="P1922" s="3">
        <f>1/NOK!B1922</f>
        <v>0.11895840024743347</v>
      </c>
      <c r="Q1922" s="3">
        <f>1/NOK!C1922</f>
        <v>0.11900511722004045</v>
      </c>
      <c r="R1922" s="3">
        <f>NZD!B1922/1</f>
        <v>0.68910000000000005</v>
      </c>
      <c r="S1922" s="3">
        <f>NZD!C1922/1</f>
        <v>0.68859999999999999</v>
      </c>
      <c r="T1922" s="4">
        <f>1/PHP!B1922</f>
        <v>2.0052135552436335E-2</v>
      </c>
      <c r="U1922" s="4">
        <f>1/PHP!C1922</f>
        <v>2.0017415151181529E-2</v>
      </c>
      <c r="V1922" s="4">
        <f>1/TWD!B1922</f>
        <v>3.3099430689792139E-2</v>
      </c>
      <c r="W1922" s="4">
        <f>1/TWD!C1922</f>
        <v>3.3099759364749418E-2</v>
      </c>
      <c r="X1922" s="4">
        <f>1/TWD!B1922</f>
        <v>3.3099430689792139E-2</v>
      </c>
      <c r="Y1922" s="4">
        <f>1/TWD!C1922</f>
        <v>3.3099759364749418E-2</v>
      </c>
      <c r="Z1922" s="4">
        <f>1/ZAR!B1922</f>
        <v>7.5394880687601307E-2</v>
      </c>
      <c r="AA1922" s="4">
        <f>1/ZAR!C1922</f>
        <v>7.4981629500772307E-2</v>
      </c>
    </row>
    <row r="1923" spans="1:27" x14ac:dyDescent="0.25">
      <c r="A1923" t="str">
        <f>"22/05/2017"</f>
        <v>22/05/2017</v>
      </c>
      <c r="B1923" s="3">
        <f>AUD!B1923</f>
        <v>0.74680000000000002</v>
      </c>
      <c r="C1923" s="3">
        <f>AUD!C1923</f>
        <v>0.74629999999999996</v>
      </c>
      <c r="D1923" s="3">
        <f>1/CAD!B1923</f>
        <v>0.74046649389115138</v>
      </c>
      <c r="E1923" s="3">
        <f>1/CAD!C1923</f>
        <v>0.74079561448996212</v>
      </c>
      <c r="F1923" s="3">
        <f>EUR!B1923/1</f>
        <v>1.1236999999999999</v>
      </c>
      <c r="G1923" s="3">
        <f>EUR!C1923/1</f>
        <v>1.1254</v>
      </c>
      <c r="H1923" s="3">
        <f>GBP!B1923/1</f>
        <v>1.3</v>
      </c>
      <c r="I1923" s="3">
        <f>GBP!C1923/1</f>
        <v>1.3010999999999999</v>
      </c>
      <c r="J1923" s="4">
        <f>1/INR!B1923</f>
        <v>1.5490666873208891E-2</v>
      </c>
      <c r="K1923" s="4">
        <f>1/INR!C1923</f>
        <v>1.5417823003391921E-2</v>
      </c>
      <c r="L1923" s="4">
        <f>1/JPY!B1923</f>
        <v>8.9766606822262122E-3</v>
      </c>
      <c r="M1923" s="4">
        <f>1/JPY!C1923</f>
        <v>8.9872049163605781E-3</v>
      </c>
      <c r="N1923" s="5">
        <f>1/KRW!B1923</f>
        <v>8.9381480157311414E-4</v>
      </c>
      <c r="O1923" s="5">
        <f>1/KRW!C1923</f>
        <v>8.9381320376617139E-4</v>
      </c>
      <c r="P1923" s="3">
        <f>1/NOK!B1923</f>
        <v>0.11977051968428491</v>
      </c>
      <c r="Q1923" s="3">
        <f>1/NOK!C1923</f>
        <v>0.11982218387912337</v>
      </c>
      <c r="R1923" s="3">
        <f>NZD!B1923/1</f>
        <v>0.69689999999999996</v>
      </c>
      <c r="S1923" s="3">
        <f>NZD!C1923/1</f>
        <v>0.69640000000000002</v>
      </c>
      <c r="T1923" s="4">
        <f>1/PHP!B1923</f>
        <v>2.0093232599260567E-2</v>
      </c>
      <c r="U1923" s="4">
        <f>1/PHP!C1923</f>
        <v>2.0060180541624874E-2</v>
      </c>
      <c r="V1923" s="4">
        <f>1/TWD!B1923</f>
        <v>3.327565553041395E-2</v>
      </c>
      <c r="W1923" s="4">
        <f>1/TWD!C1923</f>
        <v>3.3275987714505337E-2</v>
      </c>
      <c r="X1923" s="4">
        <f>1/TWD!B1923</f>
        <v>3.327565553041395E-2</v>
      </c>
      <c r="Y1923" s="4">
        <f>1/TWD!C1923</f>
        <v>3.3275987714505337E-2</v>
      </c>
      <c r="Z1923" s="4">
        <f>1/ZAR!B1923</f>
        <v>7.5953212820902324E-2</v>
      </c>
      <c r="AA1923" s="4">
        <f>1/ZAR!C1923</f>
        <v>7.5507599839923889E-2</v>
      </c>
    </row>
    <row r="1924" spans="1:27" x14ac:dyDescent="0.25">
      <c r="A1924" t="str">
        <f>"23/05/2017"</f>
        <v>23/05/2017</v>
      </c>
      <c r="B1924" s="3">
        <f>AUD!B1924</f>
        <v>0.75060000000000004</v>
      </c>
      <c r="C1924" s="3">
        <f>AUD!C1924</f>
        <v>0.75019999999999998</v>
      </c>
      <c r="D1924" s="3">
        <f>1/CAD!B1924</f>
        <v>0.74294205052005935</v>
      </c>
      <c r="E1924" s="3">
        <f>1/CAD!C1924</f>
        <v>0.74327337594767362</v>
      </c>
      <c r="F1924" s="3">
        <f>EUR!B1924/1</f>
        <v>1.1234</v>
      </c>
      <c r="G1924" s="3">
        <f>EUR!C1924/1</f>
        <v>1.1251</v>
      </c>
      <c r="H1924" s="3">
        <f>GBP!B1924/1</f>
        <v>1.2974000000000001</v>
      </c>
      <c r="I1924" s="3">
        <f>GBP!C1924/1</f>
        <v>1.2985</v>
      </c>
      <c r="J1924" s="4">
        <f>1/INR!B1924</f>
        <v>1.5409507666230065E-2</v>
      </c>
      <c r="K1924" s="4">
        <f>1/INR!C1924</f>
        <v>1.5339187790006521E-2</v>
      </c>
      <c r="L1924" s="4">
        <f>1/JPY!B1924</f>
        <v>8.988764044943821E-3</v>
      </c>
      <c r="M1924" s="4">
        <f>1/JPY!C1924</f>
        <v>8.9987374771319587E-3</v>
      </c>
      <c r="N1924" s="5">
        <f>1/KRW!B1924</f>
        <v>8.8952143746664288E-4</v>
      </c>
      <c r="O1924" s="5">
        <f>1/KRW!C1924</f>
        <v>8.8952025059564513E-4</v>
      </c>
      <c r="P1924" s="3">
        <f>1/NOK!B1924</f>
        <v>0.11979204101679486</v>
      </c>
      <c r="Q1924" s="3">
        <f>1/NOK!C1924</f>
        <v>0.11984228754958474</v>
      </c>
      <c r="R1924" s="3">
        <f>NZD!B1924/1</f>
        <v>0.70420000000000005</v>
      </c>
      <c r="S1924" s="3">
        <f>NZD!C1924/1</f>
        <v>0.70369999999999999</v>
      </c>
      <c r="T1924" s="4">
        <f>1/PHP!B1924</f>
        <v>2.0072260136491368E-2</v>
      </c>
      <c r="U1924" s="4">
        <f>1/PHP!C1924</f>
        <v>2.0036466368791202E-2</v>
      </c>
      <c r="V1924" s="4">
        <f>1/TWD!B1924</f>
        <v>3.3147706178732431E-2</v>
      </c>
      <c r="W1924" s="4">
        <f>1/TWD!C1924</f>
        <v>3.3147925934274292E-2</v>
      </c>
      <c r="X1924" s="4">
        <f>1/TWD!B1924</f>
        <v>3.3147706178732431E-2</v>
      </c>
      <c r="Y1924" s="4">
        <f>1/TWD!C1924</f>
        <v>3.3147925934274292E-2</v>
      </c>
      <c r="Z1924" s="4">
        <f>1/ZAR!B1924</f>
        <v>7.5592646347363332E-2</v>
      </c>
      <c r="AA1924" s="4">
        <f>1/ZAR!C1924</f>
        <v>7.5155195478663436E-2</v>
      </c>
    </row>
    <row r="1925" spans="1:27" x14ac:dyDescent="0.25">
      <c r="A1925" t="str">
        <f>"24/05/2017"</f>
        <v>24/05/2017</v>
      </c>
      <c r="B1925" s="3">
        <f>AUD!B1925</f>
        <v>0.74760000000000004</v>
      </c>
      <c r="C1925" s="3">
        <f>AUD!C1925</f>
        <v>0.74719999999999998</v>
      </c>
      <c r="D1925" s="3">
        <f>1/CAD!B1925</f>
        <v>0.74057616825890538</v>
      </c>
      <c r="E1925" s="3">
        <f>1/CAD!C1925</f>
        <v>0.74090538638215908</v>
      </c>
      <c r="F1925" s="3">
        <f>EUR!B1925/1</f>
        <v>1.119</v>
      </c>
      <c r="G1925" s="3">
        <f>EUR!C1925/1</f>
        <v>1.1206</v>
      </c>
      <c r="H1925" s="3">
        <f>GBP!B1925/1</f>
        <v>1.2970999999999999</v>
      </c>
      <c r="I1925" s="3">
        <f>GBP!C1925/1</f>
        <v>1.2982</v>
      </c>
      <c r="J1925" s="4">
        <f>1/INR!B1925</f>
        <v>1.5444015444015444E-2</v>
      </c>
      <c r="K1925" s="4">
        <f>1/INR!C1925</f>
        <v>1.5375744762636942E-2</v>
      </c>
      <c r="L1925" s="4">
        <f>1/JPY!B1925</f>
        <v>8.9453439484748192E-3</v>
      </c>
      <c r="M1925" s="4">
        <f>1/JPY!C1925</f>
        <v>8.9551730900630719E-3</v>
      </c>
      <c r="N1925" s="5">
        <f>1/KRW!B1925</f>
        <v>8.8762648677436537E-4</v>
      </c>
      <c r="O1925" s="5">
        <f>1/KRW!C1925</f>
        <v>8.8762530495476886E-4</v>
      </c>
      <c r="P1925" s="3">
        <f>1/NOK!B1925</f>
        <v>0.11920798216648587</v>
      </c>
      <c r="Q1925" s="3">
        <f>1/NOK!C1925</f>
        <v>0.1192591620851272</v>
      </c>
      <c r="R1925" s="3">
        <f>NZD!B1925/1</f>
        <v>0.70330000000000004</v>
      </c>
      <c r="S1925" s="3">
        <f>NZD!C1925/1</f>
        <v>0.70279999999999998</v>
      </c>
      <c r="T1925" s="4">
        <f>1/PHP!B1925</f>
        <v>2.0002000200020003E-2</v>
      </c>
      <c r="U1925" s="4">
        <f>1/PHP!C1925</f>
        <v>1.9970044932601096E-2</v>
      </c>
      <c r="V1925" s="4">
        <f>1/TWD!B1925</f>
        <v>3.3131232813172977E-2</v>
      </c>
      <c r="W1925" s="4">
        <f>1/TWD!C1925</f>
        <v>3.3131452350345231E-2</v>
      </c>
      <c r="X1925" s="4">
        <f>1/TWD!B1925</f>
        <v>3.3131232813172977E-2</v>
      </c>
      <c r="Y1925" s="4">
        <f>1/TWD!C1925</f>
        <v>3.3131452350345231E-2</v>
      </c>
      <c r="Z1925" s="4">
        <f>1/ZAR!B1925</f>
        <v>7.6947937025808349E-2</v>
      </c>
      <c r="AA1925" s="4">
        <f>1/ZAR!C1925</f>
        <v>7.6518119490695397E-2</v>
      </c>
    </row>
    <row r="1926" spans="1:27" x14ac:dyDescent="0.25">
      <c r="A1926" t="str">
        <f>"25/05/2017"</f>
        <v>25/05/2017</v>
      </c>
      <c r="B1926" s="3">
        <f>AUD!B1926</f>
        <v>0.74639999999999995</v>
      </c>
      <c r="C1926" s="3">
        <f>AUD!C1926</f>
        <v>0.746</v>
      </c>
      <c r="D1926" s="3">
        <f>1/CAD!B1926</f>
        <v>0.74443534579021819</v>
      </c>
      <c r="E1926" s="3">
        <f>1/CAD!C1926</f>
        <v>0.74476800476651528</v>
      </c>
      <c r="F1926" s="3">
        <f>EUR!B1926/1</f>
        <v>1.1209</v>
      </c>
      <c r="G1926" s="3">
        <f>EUR!C1926/1</f>
        <v>1.1226</v>
      </c>
      <c r="H1926" s="3">
        <f>GBP!B1926/1</f>
        <v>1.2952999999999999</v>
      </c>
      <c r="I1926" s="3">
        <f>GBP!C1926/1</f>
        <v>1.2964</v>
      </c>
      <c r="J1926" s="4">
        <f>1/INR!B1926</f>
        <v>1.5473289234459016E-2</v>
      </c>
      <c r="K1926" s="4">
        <f>1/INR!C1926</f>
        <v>1.5408320493066254E-2</v>
      </c>
      <c r="L1926" s="4">
        <f>1/JPY!B1926</f>
        <v>8.9429440171704538E-3</v>
      </c>
      <c r="M1926" s="4">
        <f>1/JPY!C1926</f>
        <v>8.9529041430459217E-3</v>
      </c>
      <c r="N1926" s="5">
        <f>1/KRW!B1926</f>
        <v>8.9565606806986115E-4</v>
      </c>
      <c r="O1926" s="5">
        <f>1/KRW!C1926</f>
        <v>8.9565526587078738E-4</v>
      </c>
      <c r="P1926" s="3">
        <f>1/NOK!B1926</f>
        <v>0.11992996090283274</v>
      </c>
      <c r="Q1926" s="3">
        <f>1/NOK!C1926</f>
        <v>0.11998176277205864</v>
      </c>
      <c r="R1926" s="3">
        <f>NZD!B1926/1</f>
        <v>0.70269999999999999</v>
      </c>
      <c r="S1926" s="3">
        <f>NZD!C1926/1</f>
        <v>0.70220000000000005</v>
      </c>
      <c r="T1926" s="4">
        <f>1/PHP!B1926</f>
        <v>2.0056157240272765E-2</v>
      </c>
      <c r="U1926" s="4">
        <f>1/PHP!C1926</f>
        <v>2.002503128911139E-2</v>
      </c>
      <c r="V1926" s="4">
        <f>1/TWD!B1926</f>
        <v>3.3235841531507576E-2</v>
      </c>
      <c r="W1926" s="4">
        <f>1/TWD!C1926</f>
        <v>3.3236062457208566E-2</v>
      </c>
      <c r="X1926" s="4">
        <f>1/TWD!B1926</f>
        <v>3.3235841531507576E-2</v>
      </c>
      <c r="Y1926" s="4">
        <f>1/TWD!C1926</f>
        <v>3.3236062457208566E-2</v>
      </c>
      <c r="Z1926" s="4">
        <f>1/ZAR!B1926</f>
        <v>7.7517577110609831E-2</v>
      </c>
      <c r="AA1926" s="4">
        <f>1/ZAR!C1926</f>
        <v>7.7084361124814996E-2</v>
      </c>
    </row>
    <row r="1927" spans="1:27" x14ac:dyDescent="0.25">
      <c r="A1927" t="str">
        <f>"26/05/2017"</f>
        <v>26/05/2017</v>
      </c>
      <c r="B1927" s="3">
        <f>AUD!B1927</f>
        <v>0.74509999999999998</v>
      </c>
      <c r="C1927" s="3">
        <f>AUD!C1927</f>
        <v>0.74470000000000003</v>
      </c>
      <c r="D1927" s="3">
        <f>1/CAD!B1927</f>
        <v>0.74343914950561296</v>
      </c>
      <c r="E1927" s="3">
        <f>1/CAD!C1927</f>
        <v>0.74377091855708444</v>
      </c>
      <c r="F1927" s="3">
        <f>EUR!B1927/1</f>
        <v>1.1204000000000001</v>
      </c>
      <c r="G1927" s="3">
        <f>EUR!C1927/1</f>
        <v>1.1221000000000001</v>
      </c>
      <c r="H1927" s="3">
        <f>GBP!B1927/1</f>
        <v>1.2849999999999999</v>
      </c>
      <c r="I1927" s="3">
        <f>GBP!C1927/1</f>
        <v>1.2861</v>
      </c>
      <c r="J1927" s="4">
        <f>1/INR!B1927</f>
        <v>1.5515903801396431E-2</v>
      </c>
      <c r="K1927" s="4">
        <f>1/INR!C1927</f>
        <v>1.5450577465332767E-2</v>
      </c>
      <c r="L1927" s="4">
        <f>1/JPY!B1927</f>
        <v>9.0106325464047576E-3</v>
      </c>
      <c r="M1927" s="4">
        <f>1/JPY!C1927</f>
        <v>9.0207522405293377E-3</v>
      </c>
      <c r="N1927" s="5">
        <f>1/KRW!B1927</f>
        <v>8.9206066012488853E-4</v>
      </c>
      <c r="O1927" s="5">
        <f>1/KRW!C1927</f>
        <v>8.9205986435337702E-4</v>
      </c>
      <c r="P1927" s="3">
        <f>1/NOK!B1927</f>
        <v>0.11918382913806255</v>
      </c>
      <c r="Q1927" s="3">
        <f>1/NOK!C1927</f>
        <v>0.11923498831497116</v>
      </c>
      <c r="R1927" s="3">
        <f>NZD!B1927/1</f>
        <v>0.70620000000000005</v>
      </c>
      <c r="S1927" s="3">
        <f>NZD!C1927/1</f>
        <v>0.70569999999999999</v>
      </c>
      <c r="T1927" s="4">
        <f>1/PHP!B1927</f>
        <v>2.0092425155716295E-2</v>
      </c>
      <c r="U1927" s="4">
        <f>1/PHP!C1927</f>
        <v>2.0064205457463884E-2</v>
      </c>
      <c r="V1927" s="4">
        <f>1/TWD!B1927</f>
        <v>3.3195020746887967E-2</v>
      </c>
      <c r="W1927" s="4">
        <f>1/TWD!C1927</f>
        <v>3.3195241130231569E-2</v>
      </c>
      <c r="X1927" s="4">
        <f>1/TWD!B1927</f>
        <v>3.3195020746887967E-2</v>
      </c>
      <c r="Y1927" s="4">
        <f>1/TWD!C1927</f>
        <v>3.3195241130231569E-2</v>
      </c>
      <c r="Z1927" s="4">
        <f>1/ZAR!B1927</f>
        <v>7.7592762147146915E-2</v>
      </c>
      <c r="AA1927" s="4">
        <f>1/ZAR!C1927</f>
        <v>7.7156326432985881E-2</v>
      </c>
    </row>
    <row r="1928" spans="1:27" x14ac:dyDescent="0.25">
      <c r="A1928" t="str">
        <f>"29/05/2017"</f>
        <v>29/05/2017</v>
      </c>
      <c r="B1928" s="3">
        <f>AUD!B1928</f>
        <v>0.74370000000000003</v>
      </c>
      <c r="C1928" s="3">
        <f>AUD!C1928</f>
        <v>0.74329999999999996</v>
      </c>
      <c r="D1928" s="3">
        <f>1/CAD!B1928</f>
        <v>0.74327337594767362</v>
      </c>
      <c r="E1928" s="3">
        <f>1/CAD!C1928</f>
        <v>0.74360499702558003</v>
      </c>
      <c r="F1928" s="3">
        <f>EUR!B1928/1</f>
        <v>1.1186</v>
      </c>
      <c r="G1928" s="3">
        <f>EUR!C1928/1</f>
        <v>1.1202000000000001</v>
      </c>
      <c r="H1928" s="3">
        <f>GBP!B1928/1</f>
        <v>1.2844</v>
      </c>
      <c r="I1928" s="3">
        <f>GBP!C1928/1</f>
        <v>1.2855000000000001</v>
      </c>
      <c r="J1928" s="4">
        <f>1/INR!B1928</f>
        <v>1.5503875968992248E-2</v>
      </c>
      <c r="K1928" s="4">
        <f>1/INR!C1928</f>
        <v>1.5440438508453639E-2</v>
      </c>
      <c r="L1928" s="4">
        <f>1/JPY!B1928</f>
        <v>8.9831117499101689E-3</v>
      </c>
      <c r="M1928" s="4">
        <f>1/JPY!C1928</f>
        <v>8.9929674994154579E-3</v>
      </c>
      <c r="N1928" s="5">
        <f>1/KRW!B1928</f>
        <v>8.9110675458919974E-4</v>
      </c>
      <c r="O1928" s="5">
        <f>1/KRW!C1928</f>
        <v>8.9110397534849953E-4</v>
      </c>
      <c r="P1928" s="3">
        <f>1/NOK!B1928</f>
        <v>0.11904761904761904</v>
      </c>
      <c r="Q1928" s="3">
        <f>1/NOK!C1928</f>
        <v>0.11909866133104664</v>
      </c>
      <c r="R1928" s="3">
        <f>NZD!B1928/1</f>
        <v>0.7087</v>
      </c>
      <c r="S1928" s="3">
        <f>NZD!C1928/1</f>
        <v>0.70820000000000005</v>
      </c>
      <c r="T1928" s="4">
        <f>1/PHP!B1928</f>
        <v>2.0064205457463884E-2</v>
      </c>
      <c r="U1928" s="4">
        <f>1/PHP!C1928</f>
        <v>2.0035061357375407E-2</v>
      </c>
      <c r="V1928" s="4">
        <f>1/TWD!B1928</f>
        <v>3.3195020746887967E-2</v>
      </c>
      <c r="W1928" s="4">
        <f>1/TWD!C1928</f>
        <v>3.3195241130231569E-2</v>
      </c>
      <c r="X1928" s="4">
        <f>1/TWD!B1928</f>
        <v>3.3195020746887967E-2</v>
      </c>
      <c r="Y1928" s="4">
        <f>1/TWD!C1928</f>
        <v>3.3195241130231569E-2</v>
      </c>
      <c r="Z1928" s="4">
        <f>1/ZAR!B1928</f>
        <v>7.7217095865024524E-2</v>
      </c>
      <c r="AA1928" s="4">
        <f>1/ZAR!C1928</f>
        <v>7.6796657809452135E-2</v>
      </c>
    </row>
    <row r="1929" spans="1:27" x14ac:dyDescent="0.25">
      <c r="A1929" t="str">
        <f>"30/05/2017"</f>
        <v>30/05/2017</v>
      </c>
      <c r="B1929" s="3">
        <f>AUD!B1929</f>
        <v>0.74460000000000004</v>
      </c>
      <c r="C1929" s="3">
        <f>AUD!C1929</f>
        <v>0.74419999999999997</v>
      </c>
      <c r="D1929" s="3">
        <f>1/CAD!B1929</f>
        <v>0.74261102034754189</v>
      </c>
      <c r="E1929" s="3">
        <f>1/CAD!C1929</f>
        <v>0.74294205052005935</v>
      </c>
      <c r="F1929" s="3">
        <f>EUR!B1929/1</f>
        <v>1.1151</v>
      </c>
      <c r="G1929" s="3">
        <f>EUR!C1929/1</f>
        <v>1.117</v>
      </c>
      <c r="H1929" s="3">
        <f>GBP!B1929/1</f>
        <v>1.2863</v>
      </c>
      <c r="I1929" s="3">
        <f>GBP!C1929/1</f>
        <v>1.2877000000000001</v>
      </c>
      <c r="J1929" s="4">
        <f>1/INR!B1929</f>
        <v>1.5463120457708365E-2</v>
      </c>
      <c r="K1929" s="4">
        <f>1/INR!C1929</f>
        <v>1.5397051464644519E-2</v>
      </c>
      <c r="L1929" s="4">
        <f>1/JPY!B1929</f>
        <v>9.0098207045679803E-3</v>
      </c>
      <c r="M1929" s="4">
        <f>1/JPY!C1929</f>
        <v>9.0228521777104866E-3</v>
      </c>
      <c r="N1929" s="5">
        <f>1/KRW!B1929</f>
        <v>8.8849400266548197E-4</v>
      </c>
      <c r="O1929" s="5">
        <f>1/KRW!C1929</f>
        <v>8.8849123969849937E-4</v>
      </c>
      <c r="P1929" s="3">
        <f>1/NOK!B1929</f>
        <v>0.11835299965677631</v>
      </c>
      <c r="Q1929" s="3">
        <f>1/NOK!C1929</f>
        <v>0.11841326228537596</v>
      </c>
      <c r="R1929" s="3">
        <f>NZD!B1929/1</f>
        <v>0.70669999999999999</v>
      </c>
      <c r="S1929" s="3">
        <f>NZD!C1929/1</f>
        <v>0.70620000000000005</v>
      </c>
      <c r="T1929" s="4">
        <f>1/PHP!B1929</f>
        <v>2.0048115477145148E-2</v>
      </c>
      <c r="U1929" s="4">
        <f>1/PHP!C1929</f>
        <v>2.0021222495845595E-2</v>
      </c>
      <c r="V1929" s="4">
        <f>1/TWD!B1929</f>
        <v>3.3195020746887967E-2</v>
      </c>
      <c r="W1929" s="4">
        <f>1/TWD!C1929</f>
        <v>3.3195241130231569E-2</v>
      </c>
      <c r="X1929" s="4">
        <f>1/TWD!B1929</f>
        <v>3.3195020746887967E-2</v>
      </c>
      <c r="Y1929" s="4">
        <f>1/TWD!C1929</f>
        <v>3.3195241130231569E-2</v>
      </c>
      <c r="Z1929" s="4">
        <f>1/ZAR!B1929</f>
        <v>7.6221836031586332E-2</v>
      </c>
      <c r="AA1929" s="4">
        <f>1/ZAR!C1929</f>
        <v>7.5776519887547647E-2</v>
      </c>
    </row>
    <row r="1930" spans="1:27" x14ac:dyDescent="0.25">
      <c r="A1930" t="str">
        <f>"31/05/2017"</f>
        <v>31/05/2017</v>
      </c>
      <c r="B1930" s="3">
        <f>AUD!B1930</f>
        <v>0.74360000000000004</v>
      </c>
      <c r="C1930" s="3">
        <f>AUD!C1930</f>
        <v>0.74539999999999995</v>
      </c>
      <c r="D1930" s="3">
        <f>1/CAD!B1930</f>
        <v>0.74288685833147605</v>
      </c>
      <c r="E1930" s="3">
        <f>1/CAD!C1930</f>
        <v>0.74332862558537127</v>
      </c>
      <c r="F1930" s="3">
        <f>EUR!B1930/1</f>
        <v>1.1236999999999999</v>
      </c>
      <c r="G1930" s="3">
        <f>EUR!C1930/1</f>
        <v>1.1238999999999999</v>
      </c>
      <c r="H1930" s="3">
        <f>GBP!B1930/1</f>
        <v>1.2888999999999999</v>
      </c>
      <c r="I1930" s="3">
        <f>GBP!C1930/1</f>
        <v>1.2851999999999999</v>
      </c>
      <c r="J1930" s="4">
        <f>1/INR!B1930</f>
        <v>1.5499670631999071E-2</v>
      </c>
      <c r="K1930" s="4">
        <f>1/INR!C1930</f>
        <v>1.5435671837616733E-2</v>
      </c>
      <c r="L1930" s="4">
        <f>1/JPY!B1930</f>
        <v>9.0220137134608448E-3</v>
      </c>
      <c r="M1930" s="4">
        <f>1/JPY!C1930</f>
        <v>9.0346886872145604E-3</v>
      </c>
      <c r="N1930" s="5">
        <f>1/KRW!B1930</f>
        <v>8.9309636509779403E-4</v>
      </c>
      <c r="O1930" s="5">
        <f>1/KRW!C1930</f>
        <v>8.9309516866772085E-4</v>
      </c>
      <c r="P1930" s="3">
        <f>1/NOK!B1930</f>
        <v>0.11861974069724683</v>
      </c>
      <c r="Q1930" s="3">
        <f>1/NOK!C1930</f>
        <v>0.11867745840355083</v>
      </c>
      <c r="R1930" s="3">
        <f>NZD!B1930/1</f>
        <v>0.7107</v>
      </c>
      <c r="S1930" s="3">
        <f>NZD!C1930/1</f>
        <v>0.71020000000000005</v>
      </c>
      <c r="T1930" s="4">
        <f>1/PHP!B1930</f>
        <v>2.0088388911209322E-2</v>
      </c>
      <c r="U1930" s="4">
        <f>1/PHP!C1930</f>
        <v>2.0062595297327662E-2</v>
      </c>
      <c r="V1930" s="4">
        <f>1/TWD!B1930</f>
        <v>3.3217073575817969E-2</v>
      </c>
      <c r="W1930" s="4">
        <f>1/TWD!C1930</f>
        <v>3.32172942520794E-2</v>
      </c>
      <c r="X1930" s="4">
        <f>1/TWD!B1930</f>
        <v>3.3217073575817969E-2</v>
      </c>
      <c r="Y1930" s="4">
        <f>1/TWD!C1930</f>
        <v>3.32172942520794E-2</v>
      </c>
      <c r="Z1930" s="4">
        <f>1/ZAR!B1930</f>
        <v>7.5999969600012166E-2</v>
      </c>
      <c r="AA1930" s="4">
        <f>1/ZAR!C1930</f>
        <v>7.5839160308817058E-2</v>
      </c>
    </row>
    <row r="1931" spans="1:27" x14ac:dyDescent="0.25">
      <c r="A1931" t="str">
        <f>"01/06/2017"</f>
        <v>01/06/2017</v>
      </c>
      <c r="B1931" s="3">
        <f>AUD!B1931</f>
        <v>0.73909999999999998</v>
      </c>
      <c r="C1931" s="3">
        <f>AUD!C1931</f>
        <v>0.73880000000000001</v>
      </c>
      <c r="D1931" s="3">
        <f>1/CAD!B1931</f>
        <v>0.74041166888790166</v>
      </c>
      <c r="E1931" s="3">
        <f>1/CAD!C1931</f>
        <v>0.74085049636983247</v>
      </c>
      <c r="F1931" s="3">
        <f>EUR!B1931/1</f>
        <v>1.1222000000000001</v>
      </c>
      <c r="G1931" s="3">
        <f>EUR!C1931/1</f>
        <v>1.1240000000000001</v>
      </c>
      <c r="H1931" s="3">
        <f>GBP!B1931/1</f>
        <v>1.286</v>
      </c>
      <c r="I1931" s="3">
        <f>GBP!C1931/1</f>
        <v>1.2871999999999999</v>
      </c>
      <c r="J1931" s="4">
        <f>1/INR!B1931</f>
        <v>1.5508083588570542E-2</v>
      </c>
      <c r="K1931" s="4">
        <f>1/INR!C1931</f>
        <v>1.5445208124179472E-2</v>
      </c>
      <c r="L1931" s="4">
        <f>1/JPY!B1931</f>
        <v>8.9976606082418573E-3</v>
      </c>
      <c r="M1931" s="4">
        <f>1/JPY!C1931</f>
        <v>9.0096989409098899E-3</v>
      </c>
      <c r="N1931" s="5">
        <f>1/KRW!B1931</f>
        <v>8.9110675458919974E-4</v>
      </c>
      <c r="O1931" s="5">
        <f>1/KRW!C1931</f>
        <v>8.9110516644953406E-4</v>
      </c>
      <c r="P1931" s="3">
        <f>1/NOK!B1931</f>
        <v>0.1182550287950995</v>
      </c>
      <c r="Q1931" s="3">
        <f>1/NOK!C1931</f>
        <v>0.11831099227429222</v>
      </c>
      <c r="R1931" s="3">
        <f>NZD!B1931/1</f>
        <v>0.70730000000000004</v>
      </c>
      <c r="S1931" s="3">
        <f>NZD!C1931/1</f>
        <v>0.70679999999999998</v>
      </c>
      <c r="T1931" s="4">
        <f>1/PHP!B1931</f>
        <v>2.0094443886265446E-2</v>
      </c>
      <c r="U1931" s="4">
        <f>1/PHP!C1931</f>
        <v>2.0067426553218814E-2</v>
      </c>
      <c r="V1931" s="4">
        <f>1/TWD!B1931</f>
        <v>3.3203838363714842E-2</v>
      </c>
      <c r="W1931" s="4">
        <f>1/TWD!C1931</f>
        <v>3.3204058864155554E-2</v>
      </c>
      <c r="X1931" s="4">
        <f>1/TWD!B1931</f>
        <v>3.3203838363714842E-2</v>
      </c>
      <c r="Y1931" s="4">
        <f>1/TWD!C1931</f>
        <v>3.3204058864155554E-2</v>
      </c>
      <c r="Z1931" s="4">
        <f>1/ZAR!B1931</f>
        <v>7.6650672226395419E-2</v>
      </c>
      <c r="AA1931" s="4">
        <f>1/ZAR!C1931</f>
        <v>7.6239269322842806E-2</v>
      </c>
    </row>
    <row r="1932" spans="1:27" x14ac:dyDescent="0.25">
      <c r="A1932" t="str">
        <f>"02/06/2017"</f>
        <v>02/06/2017</v>
      </c>
      <c r="B1932" s="3">
        <f>AUD!B1932</f>
        <v>0.73980000000000001</v>
      </c>
      <c r="C1932" s="3">
        <f>AUD!C1932</f>
        <v>0.73939999999999995</v>
      </c>
      <c r="D1932" s="3">
        <f>1/CAD!B1932</f>
        <v>0.73920756948551158</v>
      </c>
      <c r="E1932" s="3">
        <f>1/CAD!C1932</f>
        <v>0.7395902669920863</v>
      </c>
      <c r="F1932" s="3">
        <f>EUR!B1932/1</f>
        <v>1.1212</v>
      </c>
      <c r="G1932" s="3">
        <f>EUR!C1932/1</f>
        <v>1.123</v>
      </c>
      <c r="H1932" s="3">
        <f>GBP!B1932/1</f>
        <v>1.2853000000000001</v>
      </c>
      <c r="I1932" s="3">
        <f>GBP!C1932/1</f>
        <v>1.2865</v>
      </c>
      <c r="J1932" s="4">
        <f>1/INR!B1932</f>
        <v>1.5516505682920205E-2</v>
      </c>
      <c r="K1932" s="4">
        <f>1/INR!C1932</f>
        <v>1.5454159100567941E-2</v>
      </c>
      <c r="L1932" s="4">
        <f>1/JPY!B1932</f>
        <v>8.9670014347202291E-3</v>
      </c>
      <c r="M1932" s="4">
        <f>1/JPY!C1932</f>
        <v>8.9787078921046634E-3</v>
      </c>
      <c r="N1932" s="5">
        <f>1/KRW!B1932</f>
        <v>8.9126559714795004E-4</v>
      </c>
      <c r="O1932" s="5">
        <f>1/KRW!C1932</f>
        <v>8.9126440561799602E-4</v>
      </c>
      <c r="P1932" s="3">
        <f>1/NOK!B1932</f>
        <v>0.11801080979017677</v>
      </c>
      <c r="Q1932" s="3">
        <f>1/NOK!C1932</f>
        <v>0.11806654230324212</v>
      </c>
      <c r="R1932" s="3">
        <f>NZD!B1932/1</f>
        <v>0.70879999999999999</v>
      </c>
      <c r="S1932" s="3">
        <f>NZD!C1932/1</f>
        <v>0.70830000000000004</v>
      </c>
      <c r="T1932" s="4">
        <f>1/PHP!B1932</f>
        <v>2.0173492031470647E-2</v>
      </c>
      <c r="U1932" s="4">
        <f>1/PHP!C1932</f>
        <v>2.0147073637554146E-2</v>
      </c>
      <c r="V1932" s="4">
        <f>1/TWD!B1932</f>
        <v>3.3203838363714842E-2</v>
      </c>
      <c r="W1932" s="4">
        <f>1/TWD!C1932</f>
        <v>3.3204058864155554E-2</v>
      </c>
      <c r="X1932" s="4">
        <f>1/TWD!B1932</f>
        <v>3.3203838363714842E-2</v>
      </c>
      <c r="Y1932" s="4">
        <f>1/TWD!C1932</f>
        <v>3.3204058864155554E-2</v>
      </c>
      <c r="Z1932" s="4">
        <f>1/ZAR!B1932</f>
        <v>7.756507709968663E-2</v>
      </c>
      <c r="AA1932" s="4">
        <f>1/ZAR!C1932</f>
        <v>7.7154540544711048E-2</v>
      </c>
    </row>
    <row r="1933" spans="1:27" x14ac:dyDescent="0.25">
      <c r="A1933" t="str">
        <f>"05/06/2017"</f>
        <v>05/06/2017</v>
      </c>
      <c r="B1933" s="3">
        <f>AUD!B1933</f>
        <v>0.74709999999999999</v>
      </c>
      <c r="C1933" s="3">
        <f>AUD!C1933</f>
        <v>0.74670000000000003</v>
      </c>
      <c r="D1933" s="3">
        <f>1/CAD!B1933</f>
        <v>0.7412898443291327</v>
      </c>
      <c r="E1933" s="3">
        <f>1/CAD!C1933</f>
        <v>0.74172971369233043</v>
      </c>
      <c r="F1933" s="3">
        <f>EUR!B1933/1</f>
        <v>1.1244000000000001</v>
      </c>
      <c r="G1933" s="3">
        <f>EUR!C1933/1</f>
        <v>1.1262000000000001</v>
      </c>
      <c r="H1933" s="3">
        <f>GBP!B1933/1</f>
        <v>1.2907</v>
      </c>
      <c r="I1933" s="3">
        <f>GBP!C1933/1</f>
        <v>1.2919</v>
      </c>
      <c r="J1933" s="4">
        <f>1/INR!B1933</f>
        <v>1.5535187199005747E-2</v>
      </c>
      <c r="K1933" s="4">
        <f>1/INR!C1933</f>
        <v>1.5472690700912889E-2</v>
      </c>
      <c r="L1933" s="4">
        <f>1/JPY!B1933</f>
        <v>9.0432266232591783E-3</v>
      </c>
      <c r="M1933" s="4">
        <f>1/JPY!C1933</f>
        <v>9.054993693196893E-3</v>
      </c>
      <c r="N1933" s="5">
        <f>1/KRW!B1933</f>
        <v>8.9421443262094249E-4</v>
      </c>
      <c r="O1933" s="5">
        <f>1/KRW!C1933</f>
        <v>8.9421243357678268E-4</v>
      </c>
      <c r="P1933" s="3">
        <f>1/NOK!B1933</f>
        <v>0.11838943019167249</v>
      </c>
      <c r="Q1933" s="3">
        <f>1/NOK!C1933</f>
        <v>0.11844552098262404</v>
      </c>
      <c r="R1933" s="3">
        <f>NZD!B1933/1</f>
        <v>0.71279999999999999</v>
      </c>
      <c r="S1933" s="3">
        <f>NZD!C1933/1</f>
        <v>0.71230000000000004</v>
      </c>
      <c r="T1933" s="4">
        <f>1/PHP!B1933</f>
        <v>2.0242914979757085E-2</v>
      </c>
      <c r="U1933" s="4">
        <f>1/PHP!C1933</f>
        <v>2.0218767059584704E-2</v>
      </c>
      <c r="V1933" s="4">
        <f>1/TWD!B1933</f>
        <v>3.3231423634188489E-2</v>
      </c>
      <c r="W1933" s="4">
        <f>1/TWD!C1933</f>
        <v>3.3231644501159785E-2</v>
      </c>
      <c r="X1933" s="4">
        <f>1/TWD!B1933</f>
        <v>3.3231423634188489E-2</v>
      </c>
      <c r="Y1933" s="4">
        <f>1/TWD!C1933</f>
        <v>3.3231644501159785E-2</v>
      </c>
      <c r="Z1933" s="4">
        <f>1/ZAR!B1933</f>
        <v>7.8345960090567934E-2</v>
      </c>
      <c r="AA1933" s="4">
        <f>1/ZAR!C1933</f>
        <v>7.7933211237969063E-2</v>
      </c>
    </row>
    <row r="1934" spans="1:27" x14ac:dyDescent="0.25">
      <c r="A1934" t="str">
        <f>"06/06/2017"</f>
        <v>06/06/2017</v>
      </c>
      <c r="B1934" s="3">
        <f>AUD!B1934</f>
        <v>0.74860000000000004</v>
      </c>
      <c r="C1934" s="3">
        <f>AUD!C1934</f>
        <v>0.74819999999999998</v>
      </c>
      <c r="D1934" s="3">
        <f>1/CAD!B1934</f>
        <v>0.74261102034754189</v>
      </c>
      <c r="E1934" s="3">
        <f>1/CAD!C1934</f>
        <v>0.74305245950364085</v>
      </c>
      <c r="F1934" s="3">
        <f>EUR!B1934/1</f>
        <v>1.1251</v>
      </c>
      <c r="G1934" s="3">
        <f>EUR!C1934/1</f>
        <v>1.127</v>
      </c>
      <c r="H1934" s="3">
        <f>GBP!B1934/1</f>
        <v>1.2908999999999999</v>
      </c>
      <c r="I1934" s="3">
        <f>GBP!C1934/1</f>
        <v>1.2922</v>
      </c>
      <c r="J1934" s="4">
        <f>1/INR!B1934</f>
        <v>1.5520117952896441E-2</v>
      </c>
      <c r="K1934" s="4">
        <f>1/INR!C1934</f>
        <v>1.5453562046051616E-2</v>
      </c>
      <c r="L1934" s="4">
        <f>1/JPY!B1934</f>
        <v>9.1449474165523556E-3</v>
      </c>
      <c r="M1934" s="4">
        <f>1/JPY!C1934</f>
        <v>9.1577691308086587E-3</v>
      </c>
      <c r="N1934" s="5">
        <f>1/KRW!B1934</f>
        <v>8.9421443262094249E-4</v>
      </c>
      <c r="O1934" s="5">
        <f>1/KRW!C1934</f>
        <v>8.9421243357678268E-4</v>
      </c>
      <c r="P1934" s="3">
        <f>1/NOK!B1934</f>
        <v>0.11830819284235433</v>
      </c>
      <c r="Q1934" s="3">
        <f>1/NOK!C1934</f>
        <v>0.11836981096341188</v>
      </c>
      <c r="R1934" s="3">
        <f>NZD!B1934/1</f>
        <v>0.71779999999999999</v>
      </c>
      <c r="S1934" s="3">
        <f>NZD!C1934/1</f>
        <v>0.71730000000000005</v>
      </c>
      <c r="T1934" s="4">
        <f>1/PHP!B1934</f>
        <v>2.0177562550443905E-2</v>
      </c>
      <c r="U1934" s="4">
        <f>1/PHP!C1934</f>
        <v>2.0152960973791073E-2</v>
      </c>
      <c r="V1934" s="4">
        <f>1/TWD!B1934</f>
        <v>3.3227006911217438E-2</v>
      </c>
      <c r="W1934" s="4">
        <f>1/TWD!C1934</f>
        <v>3.3227227719482451E-2</v>
      </c>
      <c r="X1934" s="4">
        <f>1/TWD!B1934</f>
        <v>3.3227006911217438E-2</v>
      </c>
      <c r="Y1934" s="4">
        <f>1/TWD!C1934</f>
        <v>3.3227227719482451E-2</v>
      </c>
      <c r="Z1934" s="4">
        <f>1/ZAR!B1934</f>
        <v>7.7579519006982151E-2</v>
      </c>
      <c r="AA1934" s="4">
        <f>1/ZAR!C1934</f>
        <v>7.7150969016170842E-2</v>
      </c>
    </row>
    <row r="1935" spans="1:27" x14ac:dyDescent="0.25">
      <c r="A1935" t="str">
        <f>"07/06/2017"</f>
        <v>07/06/2017</v>
      </c>
      <c r="B1935" s="3">
        <f>AUD!B1935</f>
        <v>0.75560000000000005</v>
      </c>
      <c r="C1935" s="3">
        <f>AUD!C1935</f>
        <v>0.75519999999999998</v>
      </c>
      <c r="D1935" s="3">
        <f>1/CAD!B1935</f>
        <v>0.74316290130796681</v>
      </c>
      <c r="E1935" s="3">
        <f>1/CAD!C1935</f>
        <v>0.74360499702558003</v>
      </c>
      <c r="F1935" s="3">
        <f>EUR!B1935/1</f>
        <v>1.1214</v>
      </c>
      <c r="G1935" s="3">
        <f>EUR!C1935/1</f>
        <v>1.1233</v>
      </c>
      <c r="H1935" s="3">
        <f>GBP!B1935/1</f>
        <v>1.2909999999999999</v>
      </c>
      <c r="I1935" s="3">
        <f>GBP!C1935/1</f>
        <v>1.2923</v>
      </c>
      <c r="J1935" s="4">
        <f>1/INR!B1935</f>
        <v>1.5543034777540314E-2</v>
      </c>
      <c r="K1935" s="4">
        <f>1/INR!C1935</f>
        <v>1.5478678120888476E-2</v>
      </c>
      <c r="L1935" s="4">
        <f>1/JPY!B1935</f>
        <v>9.1382619025861273E-3</v>
      </c>
      <c r="M1935" s="4">
        <f>1/JPY!C1935</f>
        <v>9.1506294260450712E-3</v>
      </c>
      <c r="N1935" s="5">
        <f>1/KRW!B1935</f>
        <v>8.8952143746664288E-4</v>
      </c>
      <c r="O1935" s="5">
        <f>1/KRW!C1935</f>
        <v>8.8951985497268289E-4</v>
      </c>
      <c r="P1935" s="3">
        <f>1/NOK!B1935</f>
        <v>0.11799410029498525</v>
      </c>
      <c r="Q1935" s="3">
        <f>1/NOK!C1935</f>
        <v>0.11805678531373591</v>
      </c>
      <c r="R1935" s="3">
        <f>NZD!B1935/1</f>
        <v>0.7198</v>
      </c>
      <c r="S1935" s="3">
        <f>NZD!C1935/1</f>
        <v>0.71930000000000005</v>
      </c>
      <c r="T1935" s="4">
        <f>1/PHP!B1935</f>
        <v>2.0197939810139367E-2</v>
      </c>
      <c r="U1935" s="4">
        <f>1/PHP!C1935</f>
        <v>2.017267812474784E-2</v>
      </c>
      <c r="V1935" s="4">
        <f>1/TWD!B1935</f>
        <v>3.3224798989966109E-2</v>
      </c>
      <c r="W1935" s="4">
        <f>1/TWD!C1935</f>
        <v>3.3225019768886761E-2</v>
      </c>
      <c r="X1935" s="4">
        <f>1/TWD!B1935</f>
        <v>3.3224798989966109E-2</v>
      </c>
      <c r="Y1935" s="4">
        <f>1/TWD!C1935</f>
        <v>3.3225019768886761E-2</v>
      </c>
      <c r="Z1935" s="4">
        <f>1/ZAR!B1935</f>
        <v>7.7650603345187988E-2</v>
      </c>
      <c r="AA1935" s="4">
        <f>1/ZAR!C1935</f>
        <v>7.7236180516401104E-2</v>
      </c>
    </row>
    <row r="1936" spans="1:27" x14ac:dyDescent="0.25">
      <c r="A1936" t="str">
        <f>"08/06/2017"</f>
        <v>08/06/2017</v>
      </c>
      <c r="B1936" s="3">
        <f>AUD!B1936</f>
        <v>0.75429999999999997</v>
      </c>
      <c r="C1936" s="3">
        <f>AUD!C1936</f>
        <v>0.754</v>
      </c>
      <c r="D1936" s="3">
        <f>1/CAD!B1936</f>
        <v>0.7399186089530152</v>
      </c>
      <c r="E1936" s="3">
        <f>1/CAD!C1936</f>
        <v>0.74035685200266532</v>
      </c>
      <c r="F1936" s="3">
        <f>EUR!B1936/1</f>
        <v>1.1252</v>
      </c>
      <c r="G1936" s="3">
        <f>EUR!C1936/1</f>
        <v>1.127</v>
      </c>
      <c r="H1936" s="3">
        <f>GBP!B1936/1</f>
        <v>1.2952999999999999</v>
      </c>
      <c r="I1936" s="3">
        <f>GBP!C1936/1</f>
        <v>1.2966</v>
      </c>
      <c r="J1936" s="4">
        <f>1/INR!B1936</f>
        <v>1.552312946289972E-2</v>
      </c>
      <c r="K1936" s="4">
        <f>1/INR!C1936</f>
        <v>1.5461327354953425E-2</v>
      </c>
      <c r="L1936" s="4">
        <f>1/JPY!B1936</f>
        <v>9.0983531980711498E-3</v>
      </c>
      <c r="M1936" s="4">
        <f>1/JPY!C1936</f>
        <v>9.1105630601288051E-3</v>
      </c>
      <c r="N1936" s="5">
        <f>1/KRW!B1936</f>
        <v>8.8849400266548197E-4</v>
      </c>
      <c r="O1936" s="5">
        <f>1/KRW!C1936</f>
        <v>8.8849281853467087E-4</v>
      </c>
      <c r="P1936" s="3">
        <f>1/NOK!B1936</f>
        <v>0.11772046099332525</v>
      </c>
      <c r="Q1936" s="3">
        <f>1/NOK!C1936</f>
        <v>0.1177773066685511</v>
      </c>
      <c r="R1936" s="3">
        <f>NZD!B1936/1</f>
        <v>0.71960000000000002</v>
      </c>
      <c r="S1936" s="3">
        <f>NZD!C1936/1</f>
        <v>0.71919999999999995</v>
      </c>
      <c r="T1936" s="4">
        <f>1/PHP!B1936</f>
        <v>2.0157226365652085E-2</v>
      </c>
      <c r="U1936" s="4">
        <f>1/PHP!C1936</f>
        <v>2.0129634848423852E-2</v>
      </c>
      <c r="V1936" s="4">
        <f>1/TWD!B1936</f>
        <v>3.3174097664543524E-2</v>
      </c>
      <c r="W1936" s="4">
        <f>1/TWD!C1936</f>
        <v>3.317431777015506E-2</v>
      </c>
      <c r="X1936" s="4">
        <f>1/TWD!B1936</f>
        <v>3.3174097664543524E-2</v>
      </c>
      <c r="Y1936" s="4">
        <f>1/TWD!C1936</f>
        <v>3.317431777015506E-2</v>
      </c>
      <c r="Z1936" s="4">
        <f>1/ZAR!B1936</f>
        <v>7.7962375357652394E-2</v>
      </c>
      <c r="AA1936" s="4">
        <f>1/ZAR!C1936</f>
        <v>7.7560264325380823E-2</v>
      </c>
    </row>
    <row r="1937" spans="1:27" x14ac:dyDescent="0.25">
      <c r="A1937" t="str">
        <f>"09/06/2017"</f>
        <v>09/06/2017</v>
      </c>
      <c r="B1937" s="3">
        <f>AUD!B1937</f>
        <v>0.75339999999999996</v>
      </c>
      <c r="C1937" s="3">
        <f>AUD!C1937</f>
        <v>0.75309999999999999</v>
      </c>
      <c r="D1937" s="3">
        <f>1/CAD!B1937</f>
        <v>0.74002812106860061</v>
      </c>
      <c r="E1937" s="3">
        <f>1/CAD!C1937</f>
        <v>0.74046649389115138</v>
      </c>
      <c r="F1937" s="3">
        <f>EUR!B1937/1</f>
        <v>1.1176999999999999</v>
      </c>
      <c r="G1937" s="3">
        <f>EUR!C1937/1</f>
        <v>1.1195999999999999</v>
      </c>
      <c r="H1937" s="3">
        <f>GBP!B1937/1</f>
        <v>1.2775000000000001</v>
      </c>
      <c r="I1937" s="3">
        <f>GBP!C1937/1</f>
        <v>1.2787999999999999</v>
      </c>
      <c r="J1937" s="4">
        <f>1/INR!B1937</f>
        <v>1.556299120690997E-2</v>
      </c>
      <c r="K1937" s="4">
        <f>1/INR!C1937</f>
        <v>1.5499670631999071E-2</v>
      </c>
      <c r="L1937" s="4">
        <f>1/JPY!B1937</f>
        <v>9.058791557206269E-3</v>
      </c>
      <c r="M1937" s="4">
        <f>1/JPY!C1937</f>
        <v>9.0717347424761306E-3</v>
      </c>
      <c r="N1937" s="5">
        <f>1/KRW!B1937</f>
        <v>8.902341315766047E-4</v>
      </c>
      <c r="O1937" s="5">
        <f>1/KRW!C1937</f>
        <v>8.9023215028899156E-4</v>
      </c>
      <c r="P1937" s="3">
        <f>1/NOK!B1937</f>
        <v>0.11742050631722323</v>
      </c>
      <c r="Q1937" s="3">
        <f>1/NOK!C1937</f>
        <v>0.11748396343899059</v>
      </c>
      <c r="R1937" s="3">
        <f>NZD!B1937/1</f>
        <v>0.72060000000000002</v>
      </c>
      <c r="S1937" s="3">
        <f>NZD!C1937/1</f>
        <v>0.72019999999999995</v>
      </c>
      <c r="T1937" s="4">
        <f>1/PHP!B1937</f>
        <v>2.0188561161246038E-2</v>
      </c>
      <c r="U1937" s="4">
        <f>1/PHP!C1937</f>
        <v>2.0164136067590183E-2</v>
      </c>
      <c r="V1937" s="4">
        <f>1/TWD!B1937</f>
        <v>3.3212660666245973E-2</v>
      </c>
      <c r="W1937" s="4">
        <f>1/TWD!C1937</f>
        <v>3.3212881283877144E-2</v>
      </c>
      <c r="X1937" s="4">
        <f>1/TWD!B1937</f>
        <v>3.3212660666245973E-2</v>
      </c>
      <c r="Y1937" s="4">
        <f>1/TWD!C1937</f>
        <v>3.3212881283877144E-2</v>
      </c>
      <c r="Z1937" s="4">
        <f>1/ZAR!B1937</f>
        <v>7.777440755345047E-2</v>
      </c>
      <c r="AA1937" s="4">
        <f>1/ZAR!C1937</f>
        <v>7.7369439071566723E-2</v>
      </c>
    </row>
    <row r="1938" spans="1:27" x14ac:dyDescent="0.25">
      <c r="A1938" t="str">
        <f>"12/06/2017"</f>
        <v>12/06/2017</v>
      </c>
      <c r="B1938" s="3">
        <f>AUD!B1938</f>
        <v>0.75439999999999996</v>
      </c>
      <c r="C1938" s="3">
        <f>AUD!C1938</f>
        <v>0.75409999999999999</v>
      </c>
      <c r="D1938" s="3">
        <f>1/CAD!B1938</f>
        <v>0.74432452549311501</v>
      </c>
      <c r="E1938" s="3">
        <f>1/CAD!C1938</f>
        <v>0.74482347683598982</v>
      </c>
      <c r="F1938" s="3">
        <f>EUR!B1938/1</f>
        <v>1.1225000000000001</v>
      </c>
      <c r="G1938" s="3">
        <f>EUR!C1938/1</f>
        <v>1.1244000000000001</v>
      </c>
      <c r="H1938" s="3">
        <f>GBP!B1938/1</f>
        <v>1.2701</v>
      </c>
      <c r="I1938" s="3">
        <f>GBP!C1938/1</f>
        <v>1.2714000000000001</v>
      </c>
      <c r="J1938" s="4">
        <f>1/INR!B1938</f>
        <v>1.5516505682920205E-2</v>
      </c>
      <c r="K1938" s="4">
        <f>1/INR!C1938</f>
        <v>1.5453562046051616E-2</v>
      </c>
      <c r="L1938" s="4">
        <f>1/JPY!B1938</f>
        <v>9.1016656048056796E-3</v>
      </c>
      <c r="M1938" s="4">
        <f>1/JPY!C1938</f>
        <v>9.114856304290363E-3</v>
      </c>
      <c r="N1938" s="5">
        <f>1/KRW!B1938</f>
        <v>8.869179600886918E-4</v>
      </c>
      <c r="O1938" s="5">
        <f>1/KRW!C1938</f>
        <v>8.8691819607579492E-4</v>
      </c>
      <c r="P1938" s="3">
        <f>1/NOK!B1938</f>
        <v>0.11811535145222823</v>
      </c>
      <c r="Q1938" s="3">
        <f>1/NOK!C1938</f>
        <v>0.11817956202654312</v>
      </c>
      <c r="R1938" s="3">
        <f>NZD!B1938/1</f>
        <v>0.7198</v>
      </c>
      <c r="S1938" s="3">
        <f>NZD!C1938/1</f>
        <v>0.71940000000000004</v>
      </c>
      <c r="T1938" s="4">
        <f>1/PHP!B1938</f>
        <v>2.0188561161246038E-2</v>
      </c>
      <c r="U1938" s="4">
        <f>1/PHP!C1938</f>
        <v>2.0164136067590183E-2</v>
      </c>
      <c r="V1938" s="4">
        <f>1/TWD!B1938</f>
        <v>3.313782019418763E-2</v>
      </c>
      <c r="W1938" s="4">
        <f>1/TWD!C1938</f>
        <v>3.3138039818668648E-2</v>
      </c>
      <c r="X1938" s="4">
        <f>1/TWD!B1938</f>
        <v>3.313782019418763E-2</v>
      </c>
      <c r="Y1938" s="4">
        <f>1/TWD!C1938</f>
        <v>3.3138039818668648E-2</v>
      </c>
      <c r="Z1938" s="4">
        <f>1/ZAR!B1938</f>
        <v>7.7931996539819359E-2</v>
      </c>
      <c r="AA1938" s="4">
        <f>1/ZAR!C1938</f>
        <v>7.7525389565082564E-2</v>
      </c>
    </row>
    <row r="1939" spans="1:27" x14ac:dyDescent="0.25">
      <c r="A1939" t="str">
        <f>"13/06/2017"</f>
        <v>13/06/2017</v>
      </c>
      <c r="B1939" s="3">
        <f>AUD!B1939</f>
        <v>0.75409999999999999</v>
      </c>
      <c r="C1939" s="3">
        <f>AUD!C1939</f>
        <v>0.75380000000000003</v>
      </c>
      <c r="D1939" s="3">
        <f>1/CAD!B1939</f>
        <v>0.75369309617123903</v>
      </c>
      <c r="E1939" s="3">
        <f>1/CAD!C1939</f>
        <v>0.75414781297134237</v>
      </c>
      <c r="F1939" s="3">
        <f>EUR!B1939/1</f>
        <v>1.1213</v>
      </c>
      <c r="G1939" s="3">
        <f>EUR!C1939/1</f>
        <v>1.1233</v>
      </c>
      <c r="H1939" s="3">
        <f>GBP!B1939/1</f>
        <v>1.2729999999999999</v>
      </c>
      <c r="I1939" s="3">
        <f>GBP!C1939/1</f>
        <v>1.2744</v>
      </c>
      <c r="J1939" s="4">
        <f>1/INR!B1939</f>
        <v>1.5541826941757004E-2</v>
      </c>
      <c r="K1939" s="4">
        <f>1/INR!C1939</f>
        <v>1.5474486440481256E-2</v>
      </c>
      <c r="L1939" s="4">
        <f>1/JPY!B1939</f>
        <v>9.0851276460434272E-3</v>
      </c>
      <c r="M1939" s="4">
        <f>1/JPY!C1939</f>
        <v>9.0993963460464025E-3</v>
      </c>
      <c r="N1939" s="5">
        <f>1/KRW!B1939</f>
        <v>8.8628910750686882E-4</v>
      </c>
      <c r="O1939" s="5">
        <f>1/KRW!C1939</f>
        <v>8.8628950026123376E-4</v>
      </c>
      <c r="P1939" s="3">
        <f>1/NOK!B1939</f>
        <v>0.11862114777822591</v>
      </c>
      <c r="Q1939" s="3">
        <f>1/NOK!C1939</f>
        <v>0.11869013566282506</v>
      </c>
      <c r="R1939" s="3">
        <f>NZD!B1939/1</f>
        <v>0.72189999999999999</v>
      </c>
      <c r="S1939" s="3">
        <f>NZD!C1939/1</f>
        <v>0.72150000000000003</v>
      </c>
      <c r="T1939" s="4">
        <f>1/PHP!B1939</f>
        <v>2.0181634712411706E-2</v>
      </c>
      <c r="U1939" s="4">
        <f>1/PHP!C1939</f>
        <v>2.0156007498034791E-2</v>
      </c>
      <c r="V1939" s="4">
        <f>1/TWD!B1939</f>
        <v>3.3081910811168451E-2</v>
      </c>
      <c r="W1939" s="4">
        <f>1/TWD!C1939</f>
        <v>3.3082239138273836E-2</v>
      </c>
      <c r="X1939" s="4">
        <f>1/TWD!B1939</f>
        <v>3.3081910811168451E-2</v>
      </c>
      <c r="Y1939" s="4">
        <f>1/TWD!C1939</f>
        <v>3.3082239138273836E-2</v>
      </c>
      <c r="Z1939" s="4">
        <f>1/ZAR!B1939</f>
        <v>7.8216660148611658E-2</v>
      </c>
      <c r="AA1939" s="4">
        <f>1/ZAR!C1939</f>
        <v>7.7783481899783763E-2</v>
      </c>
    </row>
    <row r="1940" spans="1:27" x14ac:dyDescent="0.25">
      <c r="A1940" t="str">
        <f>"14/06/2017"</f>
        <v>14/06/2017</v>
      </c>
      <c r="B1940" s="3">
        <f>AUD!B1940</f>
        <v>0.7581</v>
      </c>
      <c r="C1940" s="3">
        <f>AUD!C1940</f>
        <v>0.75780000000000003</v>
      </c>
      <c r="D1940" s="3">
        <f>1/CAD!B1940</f>
        <v>0.7562008469449486</v>
      </c>
      <c r="E1940" s="3">
        <f>1/CAD!C1940</f>
        <v>0.75671585319712453</v>
      </c>
      <c r="F1940" s="3">
        <f>EUR!B1940/1</f>
        <v>1.1205000000000001</v>
      </c>
      <c r="G1940" s="3">
        <f>EUR!C1940/1</f>
        <v>1.1224000000000001</v>
      </c>
      <c r="H1940" s="3">
        <f>GBP!B1940/1</f>
        <v>1.274</v>
      </c>
      <c r="I1940" s="3">
        <f>GBP!C1940/1</f>
        <v>1.2753000000000001</v>
      </c>
      <c r="J1940" s="4">
        <f>1/INR!B1940</f>
        <v>1.5552099533437015E-2</v>
      </c>
      <c r="K1940" s="4">
        <f>1/INR!C1940</f>
        <v>1.5487068297971196E-2</v>
      </c>
      <c r="L1940" s="4">
        <f>1/JPY!B1940</f>
        <v>9.0645395213923147E-3</v>
      </c>
      <c r="M1940" s="4">
        <f>1/JPY!C1940</f>
        <v>9.0788342413680723E-3</v>
      </c>
      <c r="N1940" s="5">
        <f>1/KRW!B1940</f>
        <v>8.8952143746664288E-4</v>
      </c>
      <c r="O1940" s="5">
        <f>1/KRW!C1940</f>
        <v>8.8952222871573441E-4</v>
      </c>
      <c r="P1940" s="3">
        <f>1/NOK!B1940</f>
        <v>0.11897821508881724</v>
      </c>
      <c r="Q1940" s="3">
        <f>1/NOK!C1940</f>
        <v>0.11904620183093058</v>
      </c>
      <c r="R1940" s="3">
        <f>NZD!B1940/1</f>
        <v>0.72450000000000003</v>
      </c>
      <c r="S1940" s="3">
        <f>NZD!C1940/1</f>
        <v>0.72409999999999997</v>
      </c>
      <c r="T1940" s="4">
        <f>1/PHP!B1940</f>
        <v>2.0199979800020199E-2</v>
      </c>
      <c r="U1940" s="4">
        <f>1/PHP!C1940</f>
        <v>2.017247465832871E-2</v>
      </c>
      <c r="V1940" s="4">
        <f>1/TWD!B1940</f>
        <v>3.3074251695055401E-2</v>
      </c>
      <c r="W1940" s="4">
        <f>1/TWD!C1940</f>
        <v>3.3074579870149202E-2</v>
      </c>
      <c r="X1940" s="4">
        <f>1/TWD!B1940</f>
        <v>3.3074251695055401E-2</v>
      </c>
      <c r="Y1940" s="4">
        <f>1/TWD!C1940</f>
        <v>3.3074579870149202E-2</v>
      </c>
      <c r="Z1940" s="4">
        <f>1/ZAR!B1940</f>
        <v>7.8463988952270358E-2</v>
      </c>
      <c r="AA1940" s="4">
        <f>1/ZAR!C1940</f>
        <v>7.8057918975880103E-2</v>
      </c>
    </row>
    <row r="1941" spans="1:27" x14ac:dyDescent="0.25">
      <c r="A1941" t="str">
        <f>"15/06/2017"</f>
        <v>15/06/2017</v>
      </c>
      <c r="B1941" s="3">
        <f>AUD!B1941</f>
        <v>0.75780000000000003</v>
      </c>
      <c r="C1941" s="3">
        <f>AUD!C1941</f>
        <v>0.75749999999999995</v>
      </c>
      <c r="D1941" s="3">
        <f>1/CAD!B1941</f>
        <v>0.75261533830059457</v>
      </c>
      <c r="E1941" s="3">
        <f>1/CAD!C1941</f>
        <v>0.75306875517734762</v>
      </c>
      <c r="F1941" s="3">
        <f>EUR!B1941/1</f>
        <v>1.1160000000000001</v>
      </c>
      <c r="G1941" s="3">
        <f>EUR!C1941/1</f>
        <v>1.1178999999999999</v>
      </c>
      <c r="H1941" s="3">
        <f>GBP!B1941/1</f>
        <v>1.2775000000000001</v>
      </c>
      <c r="I1941" s="3">
        <f>GBP!C1941/1</f>
        <v>1.2787999999999999</v>
      </c>
      <c r="J1941" s="4">
        <f>1/INR!B1941</f>
        <v>1.5494267121165167E-2</v>
      </c>
      <c r="K1941" s="4">
        <f>1/INR!C1941</f>
        <v>1.543090810894221E-2</v>
      </c>
      <c r="L1941" s="4">
        <f>1/JPY!B1941</f>
        <v>9.0843023255813959E-3</v>
      </c>
      <c r="M1941" s="4">
        <f>1/JPY!C1941</f>
        <v>9.0976082387940211E-3</v>
      </c>
      <c r="N1941" s="5">
        <f>1/KRW!B1941</f>
        <v>8.8944231966556968E-4</v>
      </c>
      <c r="O1941" s="5">
        <f>1/KRW!C1941</f>
        <v>8.8944152855863342E-4</v>
      </c>
      <c r="P1941" s="3">
        <f>1/NOK!B1941</f>
        <v>0.11773154852305773</v>
      </c>
      <c r="Q1941" s="3">
        <f>1/NOK!C1941</f>
        <v>0.11779811758608097</v>
      </c>
      <c r="R1941" s="3">
        <f>NZD!B1941/1</f>
        <v>0.72040000000000004</v>
      </c>
      <c r="S1941" s="3">
        <f>NZD!C1941/1</f>
        <v>0.72</v>
      </c>
      <c r="T1941" s="4">
        <f>1/PHP!B1941</f>
        <v>2.0098078623683575E-2</v>
      </c>
      <c r="U1941" s="4">
        <f>1/PHP!C1941</f>
        <v>2.0071857248951247E-2</v>
      </c>
      <c r="V1941" s="4">
        <f>1/TWD!B1941</f>
        <v>3.3061130029424408E-2</v>
      </c>
      <c r="W1941" s="4">
        <f>1/TWD!C1941</f>
        <v>3.3061457944172423E-2</v>
      </c>
      <c r="X1941" s="4">
        <f>1/TWD!B1941</f>
        <v>3.3061130029424408E-2</v>
      </c>
      <c r="Y1941" s="4">
        <f>1/TWD!C1941</f>
        <v>3.3061457944172423E-2</v>
      </c>
      <c r="Z1941" s="4">
        <f>1/ZAR!B1941</f>
        <v>7.771758982210443E-2</v>
      </c>
      <c r="AA1941" s="4">
        <f>1/ZAR!C1941</f>
        <v>7.7318591255267327E-2</v>
      </c>
    </row>
    <row r="1942" spans="1:27" x14ac:dyDescent="0.25">
      <c r="A1942" t="str">
        <f>"16/06/2017"</f>
        <v>16/06/2017</v>
      </c>
      <c r="B1942" s="3">
        <f>AUD!B1942</f>
        <v>0.76119999999999999</v>
      </c>
      <c r="C1942" s="3">
        <f>AUD!C1942</f>
        <v>0.76090000000000002</v>
      </c>
      <c r="D1942" s="3">
        <f>1/CAD!B1942</f>
        <v>0.75591503515004921</v>
      </c>
      <c r="E1942" s="3">
        <f>1/CAD!C1942</f>
        <v>0.75637243778836694</v>
      </c>
      <c r="F1942" s="3">
        <f>EUR!B1942/1</f>
        <v>1.1173</v>
      </c>
      <c r="G1942" s="3">
        <f>EUR!C1942/1</f>
        <v>1.1192</v>
      </c>
      <c r="H1942" s="3">
        <f>GBP!B1942/1</f>
        <v>1.2769999999999999</v>
      </c>
      <c r="I1942" s="3">
        <f>GBP!C1942/1</f>
        <v>1.2783</v>
      </c>
      <c r="J1942" s="4">
        <f>1/INR!B1942</f>
        <v>1.5520117952896441E-2</v>
      </c>
      <c r="K1942" s="4">
        <f>1/INR!C1942</f>
        <v>1.5455950540958269E-2</v>
      </c>
      <c r="L1942" s="4">
        <f>1/JPY!B1942</f>
        <v>8.9790787465206072E-3</v>
      </c>
      <c r="M1942" s="4">
        <f>1/JPY!C1942</f>
        <v>8.992239697141368E-3</v>
      </c>
      <c r="N1942" s="5">
        <f>1/KRW!B1942</f>
        <v>8.8160098739310593E-4</v>
      </c>
      <c r="O1942" s="5">
        <f>1/KRW!C1942</f>
        <v>8.8160153144765236E-4</v>
      </c>
      <c r="P1942" s="3">
        <f>1/NOK!B1942</f>
        <v>0.11801080979017677</v>
      </c>
      <c r="Q1942" s="3">
        <f>1/NOK!C1942</f>
        <v>0.11807908937406275</v>
      </c>
      <c r="R1942" s="3">
        <f>NZD!B1942/1</f>
        <v>0.72370000000000001</v>
      </c>
      <c r="S1942" s="3">
        <f>NZD!C1942/1</f>
        <v>0.72330000000000005</v>
      </c>
      <c r="T1942" s="4">
        <f>1/PHP!B1942</f>
        <v>2.004008016032064E-2</v>
      </c>
      <c r="U1942" s="4">
        <f>1/PHP!C1942</f>
        <v>2.0015011258443835E-2</v>
      </c>
      <c r="V1942" s="4">
        <f>1/TWD!B1942</f>
        <v>3.2910975810432778E-2</v>
      </c>
      <c r="W1942" s="4">
        <f>1/TWD!C1942</f>
        <v>3.2911300753339673E-2</v>
      </c>
      <c r="X1942" s="4">
        <f>1/TWD!B1942</f>
        <v>3.2910975810432778E-2</v>
      </c>
      <c r="Y1942" s="4">
        <f>1/TWD!C1942</f>
        <v>3.2911300753339673E-2</v>
      </c>
      <c r="Z1942" s="4">
        <f>1/ZAR!B1942</f>
        <v>7.7867065346041237E-2</v>
      </c>
      <c r="AA1942" s="4">
        <f>1/ZAR!C1942</f>
        <v>7.7467134568159457E-2</v>
      </c>
    </row>
    <row r="1943" spans="1:27" x14ac:dyDescent="0.25">
      <c r="A1943" t="str">
        <f>"19/06/2017"</f>
        <v>19/06/2017</v>
      </c>
      <c r="B1943" s="3">
        <f>AUD!B1943</f>
        <v>0.76200000000000001</v>
      </c>
      <c r="C1943" s="3">
        <f>AUD!C1943</f>
        <v>0.76170000000000004</v>
      </c>
      <c r="D1943" s="3">
        <f>1/CAD!B1943</f>
        <v>0.75631523218877628</v>
      </c>
      <c r="E1943" s="3">
        <f>1/CAD!C1943</f>
        <v>0.75677311941879832</v>
      </c>
      <c r="F1943" s="3">
        <f>EUR!B1943/1</f>
        <v>1.1194999999999999</v>
      </c>
      <c r="G1943" s="3">
        <f>EUR!C1943/1</f>
        <v>1.1214</v>
      </c>
      <c r="H1943" s="3">
        <f>GBP!B1943/1</f>
        <v>1.2773000000000001</v>
      </c>
      <c r="I1943" s="3">
        <f>GBP!C1943/1</f>
        <v>1.2786</v>
      </c>
      <c r="J1943" s="4">
        <f>1/INR!B1943</f>
        <v>1.5534583867334653E-2</v>
      </c>
      <c r="K1943" s="4">
        <f>1/INR!C1943</f>
        <v>1.547029702970297E-2</v>
      </c>
      <c r="L1943" s="4">
        <f>1/JPY!B1943</f>
        <v>9.0073860565663844E-3</v>
      </c>
      <c r="M1943" s="4">
        <f>1/JPY!C1943</f>
        <v>9.0206871418223415E-3</v>
      </c>
      <c r="N1943" s="5">
        <f>1/KRW!B1943</f>
        <v>8.8393883143286485E-4</v>
      </c>
      <c r="O1943" s="5">
        <f>1/KRW!C1943</f>
        <v>8.839394565115931E-4</v>
      </c>
      <c r="P1943" s="3">
        <f>1/NOK!B1943</f>
        <v>0.11837121212121211</v>
      </c>
      <c r="Q1943" s="3">
        <f>1/NOK!C1943</f>
        <v>0.11843429857286671</v>
      </c>
      <c r="R1943" s="3">
        <f>NZD!B1943/1</f>
        <v>0.72799999999999998</v>
      </c>
      <c r="S1943" s="3">
        <f>NZD!C1943/1</f>
        <v>0.72760000000000002</v>
      </c>
      <c r="T1943" s="4">
        <f>1/PHP!B1943</f>
        <v>2.0038072337441138E-2</v>
      </c>
      <c r="U1943" s="4">
        <f>1/PHP!C1943</f>
        <v>2.0011206275514289E-2</v>
      </c>
      <c r="V1943" s="4">
        <f>1/TWD!B1943</f>
        <v>3.2919643151068247E-2</v>
      </c>
      <c r="W1943" s="4">
        <f>1/TWD!C1943</f>
        <v>3.291996826515059E-2</v>
      </c>
      <c r="X1943" s="4">
        <f>1/TWD!B1943</f>
        <v>3.2919643151068247E-2</v>
      </c>
      <c r="Y1943" s="4">
        <f>1/TWD!C1943</f>
        <v>3.291996826515059E-2</v>
      </c>
      <c r="Z1943" s="4">
        <f>1/ZAR!B1943</f>
        <v>7.8014682363220761E-2</v>
      </c>
      <c r="AA1943" s="4">
        <f>1/ZAR!C1943</f>
        <v>7.7614442495459554E-2</v>
      </c>
    </row>
    <row r="1944" spans="1:27" x14ac:dyDescent="0.25">
      <c r="A1944" t="str">
        <f>"20/06/2017"</f>
        <v>20/06/2017</v>
      </c>
      <c r="B1944" s="3">
        <f>AUD!B1944</f>
        <v>0.7601</v>
      </c>
      <c r="C1944" s="3">
        <f>AUD!C1944</f>
        <v>0.75980000000000003</v>
      </c>
      <c r="D1944" s="3">
        <f>1/CAD!B1944</f>
        <v>0.75397722988765736</v>
      </c>
      <c r="E1944" s="3">
        <f>1/CAD!C1944</f>
        <v>0.75443228970199927</v>
      </c>
      <c r="F1944" s="3">
        <f>EUR!B1944/1</f>
        <v>1.1145</v>
      </c>
      <c r="G1944" s="3">
        <f>EUR!C1944/1</f>
        <v>1.1165</v>
      </c>
      <c r="H1944" s="3">
        <f>GBP!B1944/1</f>
        <v>1.2667999999999999</v>
      </c>
      <c r="I1944" s="3">
        <f>GBP!C1944/1</f>
        <v>1.2682</v>
      </c>
      <c r="J1944" s="4">
        <f>1/INR!B1944</f>
        <v>1.5502674211301451E-2</v>
      </c>
      <c r="K1944" s="4">
        <f>1/INR!C1944</f>
        <v>1.5435671837616733E-2</v>
      </c>
      <c r="L1944" s="4">
        <f>1/JPY!B1944</f>
        <v>8.965393580778195E-3</v>
      </c>
      <c r="M1944" s="4">
        <f>1/JPY!C1944</f>
        <v>8.9790787465206072E-3</v>
      </c>
      <c r="N1944" s="5">
        <f>1/KRW!B1944</f>
        <v>8.8066930867459266E-4</v>
      </c>
      <c r="O1944" s="5">
        <f>1/KRW!C1944</f>
        <v>8.8066775752046239E-4</v>
      </c>
      <c r="P1944" s="3">
        <f>1/NOK!B1944</f>
        <v>0.11749500646222537</v>
      </c>
      <c r="Q1944" s="3">
        <f>1/NOK!C1944</f>
        <v>0.11756821895905101</v>
      </c>
      <c r="R1944" s="3">
        <f>NZD!B1944/1</f>
        <v>0.72440000000000004</v>
      </c>
      <c r="S1944" s="3">
        <f>NZD!C1944/1</f>
        <v>0.72399999999999998</v>
      </c>
      <c r="T1944" s="4">
        <f>1/PHP!B1944</f>
        <v>1.9940179461615155E-2</v>
      </c>
      <c r="U1944" s="4">
        <f>1/PHP!C1944</f>
        <v>1.9910997839656733E-2</v>
      </c>
      <c r="V1944" s="4">
        <f>1/TWD!B1944</f>
        <v>3.2900148050666225E-2</v>
      </c>
      <c r="W1944" s="4">
        <f>1/TWD!C1944</f>
        <v>3.2900472779793848E-2</v>
      </c>
      <c r="X1944" s="4">
        <f>1/TWD!B1944</f>
        <v>3.2900148050666225E-2</v>
      </c>
      <c r="Y1944" s="4">
        <f>1/TWD!C1944</f>
        <v>3.2900472779793848E-2</v>
      </c>
      <c r="Z1944" s="4">
        <f>1/ZAR!B1944</f>
        <v>7.6357444469048519E-2</v>
      </c>
      <c r="AA1944" s="4">
        <f>1/ZAR!C1944</f>
        <v>7.5940523382087149E-2</v>
      </c>
    </row>
    <row r="1945" spans="1:27" x14ac:dyDescent="0.25">
      <c r="A1945" t="str">
        <f>"21/06/2017"</f>
        <v>21/06/2017</v>
      </c>
      <c r="B1945" s="3">
        <f>AUD!B1945</f>
        <v>0.75660000000000005</v>
      </c>
      <c r="C1945" s="3">
        <f>AUD!C1945</f>
        <v>0.75629999999999997</v>
      </c>
      <c r="D1945" s="3">
        <f>1/CAD!B1945</f>
        <v>0.75216246709289214</v>
      </c>
      <c r="E1945" s="3">
        <f>1/CAD!C1945</f>
        <v>0.75267198554869785</v>
      </c>
      <c r="F1945" s="3">
        <f>EUR!B1945/1</f>
        <v>1.1144000000000001</v>
      </c>
      <c r="G1945" s="3">
        <f>EUR!C1945/1</f>
        <v>1.1164000000000001</v>
      </c>
      <c r="H1945" s="3">
        <f>GBP!B1945/1</f>
        <v>1.2693000000000001</v>
      </c>
      <c r="I1945" s="3">
        <f>GBP!C1945/1</f>
        <v>1.2706999999999999</v>
      </c>
      <c r="J1945" s="4">
        <f>1/INR!B1945</f>
        <v>1.549726860640812E-2</v>
      </c>
      <c r="K1945" s="4">
        <f>1/INR!C1945</f>
        <v>1.54320987654321E-2</v>
      </c>
      <c r="L1945" s="4">
        <f>1/JPY!B1945</f>
        <v>8.9798850574712638E-3</v>
      </c>
      <c r="M1945" s="4">
        <f>1/JPY!C1945</f>
        <v>8.9927814942945307E-3</v>
      </c>
      <c r="N1945" s="5">
        <f>1/KRW!B1945</f>
        <v>8.7404947120006996E-4</v>
      </c>
      <c r="O1945" s="5">
        <f>1/KRW!C1945</f>
        <v>8.7404870723825948E-4</v>
      </c>
      <c r="P1945" s="3">
        <f>1/NOK!B1945</f>
        <v>0.11691530655193377</v>
      </c>
      <c r="Q1945" s="3">
        <f>1/NOK!C1945</f>
        <v>0.1169864295741694</v>
      </c>
      <c r="R1945" s="3">
        <f>NZD!B1945/1</f>
        <v>0.72350000000000003</v>
      </c>
      <c r="S1945" s="3">
        <f>NZD!C1945/1</f>
        <v>0.72309999999999997</v>
      </c>
      <c r="T1945" s="4">
        <f>1/PHP!B1945</f>
        <v>1.986294567484358E-2</v>
      </c>
      <c r="U1945" s="4">
        <f>1/PHP!C1945</f>
        <v>1.9830842909977889E-2</v>
      </c>
      <c r="V1945" s="4">
        <f>1/TWD!B1945</f>
        <v>3.2821320729946174E-2</v>
      </c>
      <c r="W1945" s="4">
        <f>1/TWD!C1945</f>
        <v>3.2821643904856618E-2</v>
      </c>
      <c r="X1945" s="4">
        <f>1/TWD!B1945</f>
        <v>3.2821320729946174E-2</v>
      </c>
      <c r="Y1945" s="4">
        <f>1/TWD!C1945</f>
        <v>3.2821643904856618E-2</v>
      </c>
      <c r="Z1945" s="4">
        <f>1/ZAR!B1945</f>
        <v>7.6627765304480427E-2</v>
      </c>
      <c r="AA1945" s="4">
        <f>1/ZAR!C1945</f>
        <v>7.6218931258145897E-2</v>
      </c>
    </row>
    <row r="1946" spans="1:27" x14ac:dyDescent="0.25">
      <c r="A1946" t="str">
        <f>"22/06/2017"</f>
        <v>22/06/2017</v>
      </c>
      <c r="B1946" s="3">
        <f>AUD!B1946</f>
        <v>0.75380000000000003</v>
      </c>
      <c r="C1946" s="3">
        <f>AUD!C1946</f>
        <v>0.75349999999999995</v>
      </c>
      <c r="D1946" s="3">
        <f>1/CAD!B1946</f>
        <v>0.75148418125798455</v>
      </c>
      <c r="E1946" s="3">
        <f>1/CAD!C1946</f>
        <v>0.75199278086930366</v>
      </c>
      <c r="F1946" s="3">
        <f>EUR!B1946/1</f>
        <v>1.1163000000000001</v>
      </c>
      <c r="G1946" s="3">
        <f>EUR!C1946/1</f>
        <v>1.1182000000000001</v>
      </c>
      <c r="H1946" s="3">
        <f>GBP!B1946/1</f>
        <v>1.2665999999999999</v>
      </c>
      <c r="I1946" s="3">
        <f>GBP!C1946/1</f>
        <v>1.2679</v>
      </c>
      <c r="J1946" s="4">
        <f>1/INR!B1946</f>
        <v>1.5479876160990714E-2</v>
      </c>
      <c r="K1946" s="4">
        <f>1/INR!C1946</f>
        <v>1.5417228753131625E-2</v>
      </c>
      <c r="L1946" s="4">
        <f>1/JPY!B1946</f>
        <v>8.9806915132465207E-3</v>
      </c>
      <c r="M1946" s="4">
        <f>1/JPY!C1946</f>
        <v>8.9932182141447131E-3</v>
      </c>
      <c r="N1946" s="5">
        <f>1/KRW!B1946</f>
        <v>8.7634738410305847E-4</v>
      </c>
      <c r="O1946" s="5">
        <f>1/KRW!C1946</f>
        <v>8.7634892007522585E-4</v>
      </c>
      <c r="P1946" s="3">
        <f>1/NOK!B1946</f>
        <v>0.11769829219778022</v>
      </c>
      <c r="Q1946" s="3">
        <f>1/NOK!C1946</f>
        <v>0.11777037132998081</v>
      </c>
      <c r="R1946" s="3">
        <f>NZD!B1946/1</f>
        <v>0.72470000000000001</v>
      </c>
      <c r="S1946" s="3">
        <f>NZD!C1946/1</f>
        <v>0.72430000000000005</v>
      </c>
      <c r="T1946" s="4">
        <f>1/PHP!B1946</f>
        <v>1.986294567484358E-2</v>
      </c>
      <c r="U1946" s="4">
        <f>1/PHP!C1946</f>
        <v>1.9833006088732869E-2</v>
      </c>
      <c r="V1946" s="4">
        <f>1/TWD!B1946</f>
        <v>3.2851511169513799E-2</v>
      </c>
      <c r="W1946" s="4">
        <f>1/TWD!C1946</f>
        <v>3.2851834939240536E-2</v>
      </c>
      <c r="X1946" s="4">
        <f>1/TWD!B1946</f>
        <v>3.2851511169513799E-2</v>
      </c>
      <c r="Y1946" s="4">
        <f>1/TWD!C1946</f>
        <v>3.2851834939240536E-2</v>
      </c>
      <c r="Z1946" s="4">
        <f>1/ZAR!B1946</f>
        <v>7.6866904954072029E-2</v>
      </c>
      <c r="AA1946" s="4">
        <f>1/ZAR!C1946</f>
        <v>7.6470138410950531E-2</v>
      </c>
    </row>
    <row r="1947" spans="1:27" x14ac:dyDescent="0.25">
      <c r="A1947" t="str">
        <f>"23/06/2017"</f>
        <v>23/06/2017</v>
      </c>
      <c r="B1947" s="3">
        <f>AUD!B1947</f>
        <v>0.75680000000000003</v>
      </c>
      <c r="C1947" s="3">
        <f>AUD!C1947</f>
        <v>0.75649999999999995</v>
      </c>
      <c r="D1947" s="3">
        <f>1/CAD!B1947</f>
        <v>0.75580077091678632</v>
      </c>
      <c r="E1947" s="3">
        <f>1/CAD!C1947</f>
        <v>0.75625803524162438</v>
      </c>
      <c r="F1947" s="3">
        <f>EUR!B1947/1</f>
        <v>1.1166</v>
      </c>
      <c r="G1947" s="3">
        <f>EUR!C1947/1</f>
        <v>1.1185</v>
      </c>
      <c r="H1947" s="3">
        <f>GBP!B1947/1</f>
        <v>1.2730999999999999</v>
      </c>
      <c r="I1947" s="3">
        <f>GBP!C1947/1</f>
        <v>1.2745</v>
      </c>
      <c r="J1947" s="4">
        <f>1/INR!B1947</f>
        <v>1.5498469526134295E-2</v>
      </c>
      <c r="K1947" s="4">
        <f>1/INR!C1947</f>
        <v>1.5435671837616733E-2</v>
      </c>
      <c r="L1947" s="4">
        <f>1/JPY!B1947</f>
        <v>8.9903802930863964E-3</v>
      </c>
      <c r="M1947" s="4">
        <f>1/JPY!C1947</f>
        <v>9.0033069146297426E-3</v>
      </c>
      <c r="N1947" s="5">
        <f>1/KRW!B1947</f>
        <v>8.7788605039065934E-4</v>
      </c>
      <c r="O1947" s="5">
        <f>1/KRW!C1947</f>
        <v>8.7788682107525339E-4</v>
      </c>
      <c r="P1947" s="3">
        <f>1/NOK!B1947</f>
        <v>0.11793982710021347</v>
      </c>
      <c r="Q1947" s="3">
        <f>1/NOK!C1947</f>
        <v>0.11801220246173455</v>
      </c>
      <c r="R1947" s="3">
        <f>NZD!B1947/1</f>
        <v>0.72829999999999995</v>
      </c>
      <c r="S1947" s="3">
        <f>NZD!C1947/1</f>
        <v>0.72789999999999999</v>
      </c>
      <c r="T1947" s="4">
        <f>1/PHP!B1947</f>
        <v>1.9908421262193908E-2</v>
      </c>
      <c r="U1947" s="4">
        <f>1/PHP!C1947</f>
        <v>1.9879530047909669E-2</v>
      </c>
      <c r="V1947" s="4">
        <f>1/TWD!B1947</f>
        <v>3.2894736842105261E-2</v>
      </c>
      <c r="W1947" s="4">
        <f>1/TWD!C1947</f>
        <v>3.2895061464422344E-2</v>
      </c>
      <c r="X1947" s="4">
        <f>1/TWD!B1947</f>
        <v>3.2894736842105261E-2</v>
      </c>
      <c r="Y1947" s="4">
        <f>1/TWD!C1947</f>
        <v>3.2895061464422344E-2</v>
      </c>
      <c r="Z1947" s="4">
        <f>1/ZAR!B1947</f>
        <v>7.7274975272007912E-2</v>
      </c>
      <c r="AA1947" s="4">
        <f>1/ZAR!C1947</f>
        <v>7.6876359750613091E-2</v>
      </c>
    </row>
    <row r="1948" spans="1:27" x14ac:dyDescent="0.25">
      <c r="A1948" t="str">
        <f>"27/06/2017"</f>
        <v>27/06/2017</v>
      </c>
      <c r="B1948" s="3">
        <f>AUD!B1948</f>
        <v>0.75980000000000003</v>
      </c>
      <c r="C1948" s="3">
        <f>AUD!C1948</f>
        <v>0.75949999999999995</v>
      </c>
      <c r="D1948" s="3">
        <f>1/CAD!B1948</f>
        <v>0.75466002565844092</v>
      </c>
      <c r="E1948" s="3">
        <f>1/CAD!C1948</f>
        <v>0.7551159102922298</v>
      </c>
      <c r="F1948" s="3">
        <f>EUR!B1948/1</f>
        <v>1.1188</v>
      </c>
      <c r="G1948" s="3">
        <f>EUR!C1948/1</f>
        <v>1.1208</v>
      </c>
      <c r="H1948" s="3">
        <f>GBP!B1948/1</f>
        <v>1.2725</v>
      </c>
      <c r="I1948" s="3">
        <f>GBP!C1948/1</f>
        <v>1.274</v>
      </c>
      <c r="J1948" s="4">
        <f>1/INR!B1948</f>
        <v>1.5516505682920205E-2</v>
      </c>
      <c r="K1948" s="4">
        <f>1/INR!C1948</f>
        <v>1.545177115926913E-2</v>
      </c>
      <c r="L1948" s="4">
        <f>1/JPY!B1948</f>
        <v>8.9381480157311403E-3</v>
      </c>
      <c r="M1948" s="4">
        <f>1/JPY!C1948</f>
        <v>8.951830201684734E-3</v>
      </c>
      <c r="N1948" s="5">
        <f>1/KRW!B1948</f>
        <v>8.7989441267047959E-4</v>
      </c>
      <c r="O1948" s="5">
        <f>1/KRW!C1948</f>
        <v>8.798947997777386E-4</v>
      </c>
      <c r="P1948" s="3">
        <f>1/NOK!B1948</f>
        <v>0.11787448724598049</v>
      </c>
      <c r="Q1948" s="3">
        <f>1/NOK!C1948</f>
        <v>0.11793982710021347</v>
      </c>
      <c r="R1948" s="3">
        <f>NZD!B1948/1</f>
        <v>0.73009999999999997</v>
      </c>
      <c r="S1948" s="3">
        <f>NZD!C1948/1</f>
        <v>0.72970000000000002</v>
      </c>
      <c r="T1948" s="4">
        <f>1/PHP!B1948</f>
        <v>1.9874788830368677E-2</v>
      </c>
      <c r="U1948" s="4">
        <f>1/PHP!C1948</f>
        <v>1.9845207382417147E-2</v>
      </c>
      <c r="V1948" s="4">
        <f>1/TWD!B1948</f>
        <v>3.2927230819888048E-2</v>
      </c>
      <c r="W1948" s="4">
        <f>1/TWD!C1948</f>
        <v>3.2927556083859895E-2</v>
      </c>
      <c r="X1948" s="4">
        <f>1/TWD!B1948</f>
        <v>3.2927230819888048E-2</v>
      </c>
      <c r="Y1948" s="4">
        <f>1/TWD!C1948</f>
        <v>3.2927556083859895E-2</v>
      </c>
      <c r="Z1948" s="4">
        <f>1/ZAR!B1948</f>
        <v>7.7681970014759572E-2</v>
      </c>
      <c r="AA1948" s="4">
        <f>1/ZAR!C1948</f>
        <v>7.7255274603873575E-2</v>
      </c>
    </row>
    <row r="1949" spans="1:27" x14ac:dyDescent="0.25">
      <c r="A1949" t="str">
        <f>"28/06/2017"</f>
        <v>28/06/2017</v>
      </c>
      <c r="B1949" s="3">
        <f>AUD!B1949</f>
        <v>0.75939999999999996</v>
      </c>
      <c r="C1949" s="3">
        <f>AUD!C1949</f>
        <v>0.7591</v>
      </c>
      <c r="D1949" s="3">
        <f>1/CAD!B1949</f>
        <v>0.76458444835232042</v>
      </c>
      <c r="E1949" s="3">
        <f>1/CAD!C1949</f>
        <v>0.76511094108645761</v>
      </c>
      <c r="F1949" s="3">
        <f>EUR!B1949/1</f>
        <v>1.1375</v>
      </c>
      <c r="G1949" s="3">
        <f>EUR!C1949/1</f>
        <v>1.1394</v>
      </c>
      <c r="H1949" s="3">
        <f>GBP!B1949/1</f>
        <v>1.2822</v>
      </c>
      <c r="I1949" s="3">
        <f>GBP!C1949/1</f>
        <v>1.2836000000000001</v>
      </c>
      <c r="J1949" s="4">
        <f>1/INR!B1949</f>
        <v>1.5490666873208891E-2</v>
      </c>
      <c r="K1949" s="4">
        <f>1/INR!C1949</f>
        <v>1.5426147319706903E-2</v>
      </c>
      <c r="L1949" s="4">
        <f>1/JPY!B1949</f>
        <v>8.9221984296930772E-3</v>
      </c>
      <c r="M1949" s="4">
        <f>1/JPY!C1949</f>
        <v>8.9342430775251076E-3</v>
      </c>
      <c r="N1949" s="5">
        <f>1/KRW!B1949</f>
        <v>8.7404947120006996E-4</v>
      </c>
      <c r="O1949" s="5">
        <f>1/KRW!C1949</f>
        <v>8.7404908921899776E-4</v>
      </c>
      <c r="P1949" s="3">
        <f>1/NOK!B1949</f>
        <v>0.11853959222380275</v>
      </c>
      <c r="Q1949" s="3">
        <f>1/NOK!C1949</f>
        <v>0.11861270579304456</v>
      </c>
      <c r="R1949" s="3">
        <f>NZD!B1949/1</f>
        <v>0.7268</v>
      </c>
      <c r="S1949" s="3">
        <f>NZD!C1949/1</f>
        <v>0.72640000000000005</v>
      </c>
      <c r="T1949" s="4">
        <f>1/PHP!B1949</f>
        <v>1.9782393669634028E-2</v>
      </c>
      <c r="U1949" s="4">
        <f>1/PHP!C1949</f>
        <v>1.9753086419753086E-2</v>
      </c>
      <c r="V1949" s="4">
        <f>1/TWD!B1949</f>
        <v>3.2852590426755153E-2</v>
      </c>
      <c r="W1949" s="4">
        <f>1/TWD!C1949</f>
        <v>3.2852914217755685E-2</v>
      </c>
      <c r="X1949" s="4">
        <f>1/TWD!B1949</f>
        <v>3.2852590426755153E-2</v>
      </c>
      <c r="Y1949" s="4">
        <f>1/TWD!C1949</f>
        <v>3.2852914217755685E-2</v>
      </c>
      <c r="Z1949" s="4">
        <f>1/ZAR!B1949</f>
        <v>7.6887590342918657E-2</v>
      </c>
      <c r="AA1949" s="4">
        <f>1/ZAR!C1949</f>
        <v>7.6481835564053538E-2</v>
      </c>
    </row>
    <row r="1950" spans="1:27" x14ac:dyDescent="0.25">
      <c r="A1950" t="str">
        <f>"29/06/2017"</f>
        <v>29/06/2017</v>
      </c>
      <c r="B1950" s="3">
        <f>AUD!B1950</f>
        <v>0.76770000000000005</v>
      </c>
      <c r="C1950" s="3">
        <f>AUD!C1950</f>
        <v>0.76739999999999997</v>
      </c>
      <c r="D1950" s="3">
        <f>1/CAD!B1950</f>
        <v>0.76716532412734939</v>
      </c>
      <c r="E1950" s="3">
        <f>1/CAD!C1950</f>
        <v>0.76763644737852155</v>
      </c>
      <c r="F1950" s="3">
        <f>EUR!B1950/1</f>
        <v>1.1414</v>
      </c>
      <c r="G1950" s="3">
        <f>EUR!C1950/1</f>
        <v>1.1432</v>
      </c>
      <c r="H1950" s="3">
        <f>GBP!B1950/1</f>
        <v>1.2974000000000001</v>
      </c>
      <c r="I1950" s="3">
        <f>GBP!C1950/1</f>
        <v>1.2987</v>
      </c>
      <c r="J1950" s="4">
        <f>1/INR!B1950</f>
        <v>1.5472092213669596E-2</v>
      </c>
      <c r="K1950" s="4">
        <f>1/INR!C1950</f>
        <v>1.5408320493066254E-2</v>
      </c>
      <c r="L1950" s="4">
        <f>1/JPY!B1950</f>
        <v>8.8723272114275588E-3</v>
      </c>
      <c r="M1950" s="4">
        <f>1/JPY!C1950</f>
        <v>8.8836376719539107E-3</v>
      </c>
      <c r="N1950" s="5">
        <f>1/KRW!B1950</f>
        <v>8.7619381407167264E-4</v>
      </c>
      <c r="O1950" s="5">
        <f>1/KRW!C1950</f>
        <v>8.7619358375705316E-4</v>
      </c>
      <c r="P1950" s="3">
        <f>1/NOK!B1950</f>
        <v>0.11922503725782416</v>
      </c>
      <c r="Q1950" s="3">
        <f>1/NOK!C1950</f>
        <v>0.11929757587325825</v>
      </c>
      <c r="R1950" s="3">
        <f>NZD!B1950/1</f>
        <v>0.72929999999999995</v>
      </c>
      <c r="S1950" s="3">
        <f>NZD!C1950/1</f>
        <v>0.72889999999999999</v>
      </c>
      <c r="T1950" s="4">
        <f>1/PHP!B1950</f>
        <v>1.9774569903104607E-2</v>
      </c>
      <c r="U1950" s="4">
        <f>1/PHP!C1950</f>
        <v>1.9747235387045814E-2</v>
      </c>
      <c r="V1950" s="4">
        <f>1/TWD!B1950</f>
        <v>3.292181069958848E-2</v>
      </c>
      <c r="W1950" s="4">
        <f>1/TWD!C1950</f>
        <v>3.2922135856485825E-2</v>
      </c>
      <c r="X1950" s="4">
        <f>1/TWD!B1950</f>
        <v>3.292181069958848E-2</v>
      </c>
      <c r="Y1950" s="4">
        <f>1/TWD!C1950</f>
        <v>3.2922135856485825E-2</v>
      </c>
      <c r="Z1950" s="4">
        <f>1/ZAR!B1950</f>
        <v>7.7032106982190179E-2</v>
      </c>
      <c r="AA1950" s="4">
        <f>1/ZAR!C1950</f>
        <v>7.6626590959594801E-2</v>
      </c>
    </row>
    <row r="1951" spans="1:27" x14ac:dyDescent="0.25">
      <c r="A1951" t="str">
        <f>"30/06/2017"</f>
        <v>30/06/2017</v>
      </c>
      <c r="B1951" s="3">
        <f>AUD!B1951</f>
        <v>0.76800000000000002</v>
      </c>
      <c r="C1951" s="3">
        <f>AUD!C1951</f>
        <v>0.76839999999999997</v>
      </c>
      <c r="D1951" s="3">
        <f>1/CAD!B1951</f>
        <v>0.77089115016959608</v>
      </c>
      <c r="E1951" s="3">
        <f>1/CAD!C1951</f>
        <v>0.77136686207960503</v>
      </c>
      <c r="F1951" s="3">
        <f>EUR!B1951/1</f>
        <v>1.1423000000000001</v>
      </c>
      <c r="G1951" s="3">
        <f>EUR!C1951/1</f>
        <v>1.1429</v>
      </c>
      <c r="H1951" s="3">
        <f>GBP!B1951/1</f>
        <v>1.3016000000000001</v>
      </c>
      <c r="I1951" s="3">
        <f>GBP!C1951/1</f>
        <v>1.2984</v>
      </c>
      <c r="J1951" s="4">
        <f>1/INR!B1951</f>
        <v>1.5484070762203385E-2</v>
      </c>
      <c r="K1951" s="4">
        <f>1/INR!C1951</f>
        <v>1.5416634548678025E-2</v>
      </c>
      <c r="L1951" s="4">
        <f>1/JPY!B1951</f>
        <v>8.9325591782045549E-3</v>
      </c>
      <c r="M1951" s="4">
        <f>1/JPY!C1951</f>
        <v>8.9448398560596377E-3</v>
      </c>
      <c r="N1951" s="5">
        <f>1/KRW!B1951</f>
        <v>8.7404947120006996E-4</v>
      </c>
      <c r="O1951" s="5">
        <f>1/KRW!C1951</f>
        <v>8.7404985318147589E-4</v>
      </c>
      <c r="P1951" s="3">
        <f>1/NOK!B1951</f>
        <v>0.11928192282459593</v>
      </c>
      <c r="Q1951" s="3">
        <f>1/NOK!C1951</f>
        <v>0.11936022917164001</v>
      </c>
      <c r="R1951" s="3">
        <f>NZD!B1951/1</f>
        <v>0.7339</v>
      </c>
      <c r="S1951" s="3">
        <f>NZD!C1951/1</f>
        <v>0.73350000000000004</v>
      </c>
      <c r="T1951" s="4">
        <f>1/PHP!B1951</f>
        <v>1.9813750743015654E-2</v>
      </c>
      <c r="U1951" s="4">
        <f>1/PHP!C1951</f>
        <v>1.9783176386800664E-2</v>
      </c>
      <c r="V1951" s="4">
        <f>1/TWD!B1951</f>
        <v>3.2856908164941682E-2</v>
      </c>
      <c r="W1951" s="4">
        <f>1/TWD!C1951</f>
        <v>3.28572320410584E-2</v>
      </c>
      <c r="X1951" s="4">
        <f>1/TWD!B1951</f>
        <v>3.2856908164941682E-2</v>
      </c>
      <c r="Y1951" s="4">
        <f>1/TWD!C1951</f>
        <v>3.28572320410584E-2</v>
      </c>
      <c r="Z1951" s="4">
        <f>1/ZAR!B1951</f>
        <v>7.623810685533057E-2</v>
      </c>
      <c r="AA1951" s="4">
        <f>1/ZAR!C1951</f>
        <v>7.6220674095641705E-2</v>
      </c>
    </row>
    <row r="1952" spans="1:27" x14ac:dyDescent="0.25">
      <c r="A1952" t="str">
        <f>"03/07/2017"</f>
        <v>03/07/2017</v>
      </c>
      <c r="B1952" s="3">
        <f>AUD!B1952</f>
        <v>0.76559999999999995</v>
      </c>
      <c r="C1952" s="3">
        <f>AUD!C1952</f>
        <v>0.76529999999999998</v>
      </c>
      <c r="D1952" s="3">
        <f>1/CAD!B1952</f>
        <v>0.77035667514059003</v>
      </c>
      <c r="E1952" s="3">
        <f>1/CAD!C1952</f>
        <v>0.77083172743390127</v>
      </c>
      <c r="F1952" s="3">
        <f>EUR!B1952/1</f>
        <v>1.137</v>
      </c>
      <c r="G1952" s="3">
        <f>EUR!C1952/1</f>
        <v>1.1389</v>
      </c>
      <c r="H1952" s="3">
        <f>GBP!B1952/1</f>
        <v>1.2952999999999999</v>
      </c>
      <c r="I1952" s="3">
        <f>GBP!C1952/1</f>
        <v>1.2966</v>
      </c>
      <c r="J1952" s="4">
        <f>1/INR!B1952</f>
        <v>1.5413070283600495E-2</v>
      </c>
      <c r="K1952" s="4">
        <f>1/INR!C1952</f>
        <v>1.5345661014348191E-2</v>
      </c>
      <c r="L1952" s="4">
        <f>1/JPY!B1952</f>
        <v>8.8448611356801692E-3</v>
      </c>
      <c r="M1952" s="4">
        <f>1/JPY!C1952</f>
        <v>8.8567761866087322E-3</v>
      </c>
      <c r="N1952" s="5">
        <f>1/KRW!B1952</f>
        <v>8.7183958151700091E-4</v>
      </c>
      <c r="O1952" s="5">
        <f>1/KRW!C1952</f>
        <v>8.7183920146503857E-4</v>
      </c>
      <c r="P1952" s="3">
        <f>1/NOK!B1952</f>
        <v>0.11950001195000119</v>
      </c>
      <c r="Q1952" s="3">
        <f>1/NOK!C1952</f>
        <v>0.11958146487294469</v>
      </c>
      <c r="R1952" s="3">
        <f>NZD!B1952/1</f>
        <v>0.72950000000000004</v>
      </c>
      <c r="S1952" s="3">
        <f>NZD!C1952/1</f>
        <v>0.72909999999999997</v>
      </c>
      <c r="T1952" s="4">
        <f>1/PHP!B1952</f>
        <v>1.9739439399921045E-2</v>
      </c>
      <c r="U1952" s="4">
        <f>1/PHP!C1952</f>
        <v>1.9706957541359978E-2</v>
      </c>
      <c r="V1952" s="4">
        <f>1/TWD!B1952</f>
        <v>3.2864466938346257E-2</v>
      </c>
      <c r="W1952" s="4">
        <f>1/TWD!C1952</f>
        <v>3.2864790963497072E-2</v>
      </c>
      <c r="X1952" s="4">
        <f>1/TWD!B1952</f>
        <v>3.2864466938346257E-2</v>
      </c>
      <c r="Y1952" s="4">
        <f>1/TWD!C1952</f>
        <v>3.2864790963497072E-2</v>
      </c>
      <c r="Z1952" s="4">
        <f>1/ZAR!B1952</f>
        <v>7.5930144267274111E-2</v>
      </c>
      <c r="AA1952" s="4">
        <f>1/ZAR!C1952</f>
        <v>7.5499618726925427E-2</v>
      </c>
    </row>
    <row r="1953" spans="1:27" x14ac:dyDescent="0.25">
      <c r="A1953" t="str">
        <f>"04/07/2017"</f>
        <v>04/07/2017</v>
      </c>
      <c r="B1953" s="3">
        <f>AUD!B1953</f>
        <v>0.76049999999999995</v>
      </c>
      <c r="C1953" s="3">
        <f>AUD!C1953</f>
        <v>0.76019999999999999</v>
      </c>
      <c r="D1953" s="3">
        <f>1/CAD!B1953</f>
        <v>0.77000077000077005</v>
      </c>
      <c r="E1953" s="3">
        <f>1/CAD!C1953</f>
        <v>0.77047538331150311</v>
      </c>
      <c r="F1953" s="3">
        <f>EUR!B1953/1</f>
        <v>1.1343000000000001</v>
      </c>
      <c r="G1953" s="3">
        <f>EUR!C1953/1</f>
        <v>1.1361000000000001</v>
      </c>
      <c r="H1953" s="3">
        <f>GBP!B1953/1</f>
        <v>1.2927999999999999</v>
      </c>
      <c r="I1953" s="3">
        <f>GBP!C1953/1</f>
        <v>1.2941</v>
      </c>
      <c r="J1953" s="4">
        <f>1/INR!B1953</f>
        <v>1.5445208124179472E-2</v>
      </c>
      <c r="K1953" s="4">
        <f>1/INR!C1953</f>
        <v>1.5379883112888343E-2</v>
      </c>
      <c r="L1953" s="4">
        <f>1/JPY!B1953</f>
        <v>8.8362640275691431E-3</v>
      </c>
      <c r="M1953" s="4">
        <f>1/JPY!C1953</f>
        <v>8.847584432498239E-3</v>
      </c>
      <c r="N1953" s="5">
        <f>1/KRW!B1953</f>
        <v>8.6888522026240327E-4</v>
      </c>
      <c r="O1953" s="5">
        <f>1/KRW!C1953</f>
        <v>8.688849937740046E-4</v>
      </c>
      <c r="P1953" s="3">
        <f>1/NOK!B1953</f>
        <v>0.11956001912960305</v>
      </c>
      <c r="Q1953" s="3">
        <f>1/NOK!C1953</f>
        <v>0.11963725982820091</v>
      </c>
      <c r="R1953" s="3">
        <f>NZD!B1953/1</f>
        <v>0.72799999999999998</v>
      </c>
      <c r="S1953" s="3">
        <f>NZD!C1953/1</f>
        <v>0.72760000000000002</v>
      </c>
      <c r="T1953" s="4">
        <f>1/PHP!B1953</f>
        <v>1.9794140934283451E-2</v>
      </c>
      <c r="U1953" s="4">
        <f>1/PHP!C1953</f>
        <v>1.9762260012054979E-2</v>
      </c>
      <c r="V1953" s="4">
        <f>1/TWD!B1953</f>
        <v>3.2756813417190778E-2</v>
      </c>
      <c r="W1953" s="4">
        <f>1/TWD!C1953</f>
        <v>3.2757135323001736E-2</v>
      </c>
      <c r="X1953" s="4">
        <f>1/TWD!B1953</f>
        <v>3.2756813417190778E-2</v>
      </c>
      <c r="Y1953" s="4">
        <f>1/TWD!C1953</f>
        <v>3.2757135323001736E-2</v>
      </c>
      <c r="Z1953" s="4">
        <f>1/ZAR!B1953</f>
        <v>7.5411369017993155E-2</v>
      </c>
      <c r="AA1953" s="4">
        <f>1/ZAR!C1953</f>
        <v>7.4995687747954495E-2</v>
      </c>
    </row>
    <row r="1954" spans="1:27" x14ac:dyDescent="0.25">
      <c r="A1954" t="str">
        <f>"05/07/2017"</f>
        <v>05/07/2017</v>
      </c>
      <c r="B1954" s="3">
        <f>AUD!B1954</f>
        <v>0.76139999999999997</v>
      </c>
      <c r="C1954" s="3">
        <f>AUD!C1954</f>
        <v>0.7611</v>
      </c>
      <c r="D1954" s="3">
        <f>1/CAD!B1954</f>
        <v>0.77285725326532184</v>
      </c>
      <c r="E1954" s="3">
        <f>1/CAD!C1954</f>
        <v>0.77327559542220858</v>
      </c>
      <c r="F1954" s="3">
        <f>EUR!B1954/1</f>
        <v>1.1356999999999999</v>
      </c>
      <c r="G1954" s="3">
        <f>EUR!C1954/1</f>
        <v>1.1375</v>
      </c>
      <c r="H1954" s="3">
        <f>GBP!B1954/1</f>
        <v>1.2927999999999999</v>
      </c>
      <c r="I1954" s="3">
        <f>GBP!C1954/1</f>
        <v>1.294</v>
      </c>
      <c r="J1954" s="4">
        <f>1/INR!B1954</f>
        <v>1.5448190630672383E-2</v>
      </c>
      <c r="K1954" s="4">
        <f>1/INR!C1954</f>
        <v>1.5384023691396485E-2</v>
      </c>
      <c r="L1954" s="4">
        <f>1/JPY!B1954</f>
        <v>8.8393883143286483E-3</v>
      </c>
      <c r="M1954" s="4">
        <f>1/JPY!C1954</f>
        <v>8.8503407381184188E-3</v>
      </c>
      <c r="N1954" s="5">
        <f>1/KRW!B1954</f>
        <v>8.6941401495392102E-4</v>
      </c>
      <c r="O1954" s="5">
        <f>1/KRW!C1954</f>
        <v>8.6941378818976137E-4</v>
      </c>
      <c r="P1954" s="3">
        <f>1/NOK!B1954</f>
        <v>0.11979778134508948</v>
      </c>
      <c r="Q1954" s="3">
        <f>1/NOK!C1954</f>
        <v>0.11986814504045551</v>
      </c>
      <c r="R1954" s="3">
        <f>NZD!B1954/1</f>
        <v>0.72840000000000005</v>
      </c>
      <c r="S1954" s="3">
        <f>NZD!C1954/1</f>
        <v>0.72799999999999998</v>
      </c>
      <c r="T1954" s="4">
        <f>1/PHP!B1954</f>
        <v>1.9798059790140567E-2</v>
      </c>
      <c r="U1954" s="4">
        <f>1/PHP!C1954</f>
        <v>1.9767533802482803E-2</v>
      </c>
      <c r="V1954" s="4">
        <f>1/TWD!B1954</f>
        <v>3.2735367290821007E-2</v>
      </c>
      <c r="W1954" s="4">
        <f>1/TWD!C1954</f>
        <v>3.2735688775259675E-2</v>
      </c>
      <c r="X1954" s="4">
        <f>1/TWD!B1954</f>
        <v>3.2735367290821007E-2</v>
      </c>
      <c r="Y1954" s="4">
        <f>1/TWD!C1954</f>
        <v>3.2735688775259675E-2</v>
      </c>
      <c r="Z1954" s="4">
        <f>1/ZAR!B1954</f>
        <v>7.5856994394168112E-2</v>
      </c>
      <c r="AA1954" s="4">
        <f>1/ZAR!C1954</f>
        <v>7.5451198165026864E-2</v>
      </c>
    </row>
    <row r="1955" spans="1:27" x14ac:dyDescent="0.25">
      <c r="A1955" t="str">
        <f>"06/07/2017"</f>
        <v>06/07/2017</v>
      </c>
      <c r="B1955" s="3">
        <f>AUD!B1955</f>
        <v>0.75949999999999995</v>
      </c>
      <c r="C1955" s="3">
        <f>AUD!C1955</f>
        <v>0.75919999999999999</v>
      </c>
      <c r="D1955" s="3">
        <f>1/CAD!B1955</f>
        <v>0.77315602288541818</v>
      </c>
      <c r="E1955" s="3">
        <f>1/CAD!C1955</f>
        <v>0.77357468863618783</v>
      </c>
      <c r="F1955" s="3">
        <f>EUR!B1955/1</f>
        <v>1.1371</v>
      </c>
      <c r="G1955" s="3">
        <f>EUR!C1955/1</f>
        <v>1.1389</v>
      </c>
      <c r="H1955" s="3">
        <f>GBP!B1955/1</f>
        <v>1.2948</v>
      </c>
      <c r="I1955" s="3">
        <f>GBP!C1955/1</f>
        <v>1.2961</v>
      </c>
      <c r="J1955" s="4">
        <f>1/INR!B1955</f>
        <v>1.5436863229391787E-2</v>
      </c>
      <c r="K1955" s="4">
        <f>1/INR!C1955</f>
        <v>1.5373971865631485E-2</v>
      </c>
      <c r="L1955" s="4">
        <f>1/JPY!B1955</f>
        <v>8.8206756637558437E-3</v>
      </c>
      <c r="M1955" s="4">
        <f>1/JPY!C1955</f>
        <v>8.8324631885015464E-3</v>
      </c>
      <c r="N1955" s="5">
        <f>1/KRW!B1955</f>
        <v>8.6393088552915766E-4</v>
      </c>
      <c r="O1955" s="5">
        <f>1/KRW!C1955</f>
        <v>8.6393036306587115E-4</v>
      </c>
      <c r="P1955" s="3">
        <f>1/NOK!B1955</f>
        <v>0.11941724385001193</v>
      </c>
      <c r="Q1955" s="3">
        <f>1/NOK!C1955</f>
        <v>0.11949144441258006</v>
      </c>
      <c r="R1955" s="3">
        <f>NZD!B1955/1</f>
        <v>0.72660000000000002</v>
      </c>
      <c r="S1955" s="3">
        <f>NZD!C1955/1</f>
        <v>0.72619999999999996</v>
      </c>
      <c r="T1955" s="4">
        <f>1/PHP!B1955</f>
        <v>1.973164956590371E-2</v>
      </c>
      <c r="U1955" s="4">
        <f>1/PHP!C1955</f>
        <v>1.9700551615445233E-2</v>
      </c>
      <c r="V1955" s="4">
        <f>1/TWD!B1955</f>
        <v>3.2678670631678702E-2</v>
      </c>
      <c r="W1955" s="4">
        <f>1/TWD!C1955</f>
        <v>3.2678991003473774E-2</v>
      </c>
      <c r="X1955" s="4">
        <f>1/TWD!B1955</f>
        <v>3.2678670631678702E-2</v>
      </c>
      <c r="Y1955" s="4">
        <f>1/TWD!C1955</f>
        <v>3.2678991003473774E-2</v>
      </c>
      <c r="Z1955" s="4">
        <f>1/ZAR!B1955</f>
        <v>7.4155370331919435E-2</v>
      </c>
      <c r="AA1955" s="4">
        <f>1/ZAR!C1955</f>
        <v>7.3751207676025693E-2</v>
      </c>
    </row>
    <row r="1956" spans="1:27" x14ac:dyDescent="0.25">
      <c r="A1956" t="str">
        <f>"07/07/2017"</f>
        <v>07/07/2017</v>
      </c>
      <c r="B1956" s="3">
        <f>AUD!B1956</f>
        <v>0.75849999999999995</v>
      </c>
      <c r="C1956" s="3">
        <f>AUD!C1956</f>
        <v>0.75819999999999999</v>
      </c>
      <c r="D1956" s="3">
        <f>1/CAD!B1956</f>
        <v>0.76970443349753703</v>
      </c>
      <c r="E1956" s="3">
        <f>1/CAD!C1956</f>
        <v>0.77011936850211782</v>
      </c>
      <c r="F1956" s="3">
        <f>EUR!B1956/1</f>
        <v>1.1412</v>
      </c>
      <c r="G1956" s="3">
        <f>EUR!C1956/1</f>
        <v>1.143</v>
      </c>
      <c r="H1956" s="3">
        <f>GBP!B1956/1</f>
        <v>1.2957000000000001</v>
      </c>
      <c r="I1956" s="3">
        <f>GBP!C1956/1</f>
        <v>1.2968999999999999</v>
      </c>
      <c r="J1956" s="4">
        <f>1/INR!B1956</f>
        <v>1.5443419173004904E-2</v>
      </c>
      <c r="K1956" s="4">
        <f>1/INR!C1956</f>
        <v>1.5380474487637944E-2</v>
      </c>
      <c r="L1956" s="4">
        <f>1/JPY!B1956</f>
        <v>8.7950747581354433E-3</v>
      </c>
      <c r="M1956" s="4">
        <f>1/JPY!C1956</f>
        <v>8.8074454620958378E-3</v>
      </c>
      <c r="N1956" s="5">
        <f>1/KRW!B1956</f>
        <v>8.6490226604393696E-4</v>
      </c>
      <c r="O1956" s="5">
        <f>1/KRW!C1956</f>
        <v>8.6490129357232179E-4</v>
      </c>
      <c r="P1956" s="3">
        <f>1/NOK!B1956</f>
        <v>0.11947288562860657</v>
      </c>
      <c r="Q1956" s="3">
        <f>1/NOK!C1956</f>
        <v>0.11954429713930496</v>
      </c>
      <c r="R1956" s="3">
        <f>NZD!B1956/1</f>
        <v>0.72750000000000004</v>
      </c>
      <c r="S1956" s="3">
        <f>NZD!C1956/1</f>
        <v>0.72709999999999997</v>
      </c>
      <c r="T1956" s="4">
        <f>1/PHP!B1956</f>
        <v>1.9770660340055358E-2</v>
      </c>
      <c r="U1956" s="4">
        <f>1/PHP!C1956</f>
        <v>1.9740803253284377E-2</v>
      </c>
      <c r="V1956" s="4">
        <f>1/TWD!B1956</f>
        <v>3.2645599373204492E-2</v>
      </c>
      <c r="W1956" s="4">
        <f>1/TWD!C1956</f>
        <v>3.2645919096883295E-2</v>
      </c>
      <c r="X1956" s="4">
        <f>1/TWD!B1956</f>
        <v>3.2645599373204492E-2</v>
      </c>
      <c r="Y1956" s="4">
        <f>1/TWD!C1956</f>
        <v>3.2645919096883295E-2</v>
      </c>
      <c r="Z1956" s="4">
        <f>1/ZAR!B1956</f>
        <v>7.4379304702259647E-2</v>
      </c>
      <c r="AA1956" s="4">
        <f>1/ZAR!C1956</f>
        <v>7.3974345696912316E-2</v>
      </c>
    </row>
    <row r="1957" spans="1:27" x14ac:dyDescent="0.25">
      <c r="A1957" t="str">
        <f>"10/07/2017"</f>
        <v>10/07/2017</v>
      </c>
      <c r="B1957" s="3">
        <f>AUD!B1957</f>
        <v>0.75919999999999999</v>
      </c>
      <c r="C1957" s="3">
        <f>AUD!C1957</f>
        <v>0.75880000000000003</v>
      </c>
      <c r="D1957" s="3">
        <f>1/CAD!B1957</f>
        <v>0.7736345350456445</v>
      </c>
      <c r="E1957" s="3">
        <f>1/CAD!C1957</f>
        <v>0.77399380804953555</v>
      </c>
      <c r="F1957" s="3">
        <f>EUR!B1957/1</f>
        <v>1.1386000000000001</v>
      </c>
      <c r="G1957" s="3">
        <f>EUR!C1957/1</f>
        <v>1.1405000000000001</v>
      </c>
      <c r="H1957" s="3">
        <f>GBP!B1957/1</f>
        <v>1.2883</v>
      </c>
      <c r="I1957" s="3">
        <f>GBP!C1957/1</f>
        <v>1.2897000000000001</v>
      </c>
      <c r="J1957" s="4">
        <f>1/INR!B1957</f>
        <v>1.5493666963628616E-2</v>
      </c>
      <c r="K1957" s="4">
        <f>1/INR!C1957</f>
        <v>1.5426742257703728E-2</v>
      </c>
      <c r="L1957" s="4">
        <f>1/JPY!B1957</f>
        <v>8.7588683542086359E-3</v>
      </c>
      <c r="M1957" s="4">
        <f>1/JPY!C1957</f>
        <v>8.7714912499989028E-3</v>
      </c>
      <c r="N1957" s="5">
        <f>1/KRW!B1957</f>
        <v>8.6979211968339566E-4</v>
      </c>
      <c r="O1957" s="5">
        <f>1/KRW!C1957</f>
        <v>8.6978947180729629E-4</v>
      </c>
      <c r="P1957" s="3">
        <f>1/NOK!B1957</f>
        <v>0.11957717510881523</v>
      </c>
      <c r="Q1957" s="3">
        <f>1/NOK!C1957</f>
        <v>0.11965586971868905</v>
      </c>
      <c r="R1957" s="3">
        <f>NZD!B1957/1</f>
        <v>0.72699999999999998</v>
      </c>
      <c r="S1957" s="3">
        <f>NZD!C1957/1</f>
        <v>0.72660000000000002</v>
      </c>
      <c r="T1957" s="4">
        <f>1/PHP!B1957</f>
        <v>1.9706375012316486E-2</v>
      </c>
      <c r="U1957" s="4">
        <f>1/PHP!C1957</f>
        <v>1.9675937312463723E-2</v>
      </c>
      <c r="V1957" s="4">
        <f>1/TWD!B1957</f>
        <v>3.2694696920159555E-2</v>
      </c>
      <c r="W1957" s="4">
        <f>1/TWD!C1957</f>
        <v>3.2695017606266981E-2</v>
      </c>
      <c r="X1957" s="4">
        <f>1/TWD!B1957</f>
        <v>3.2694696920159555E-2</v>
      </c>
      <c r="Y1957" s="4">
        <f>1/TWD!C1957</f>
        <v>3.2695017606266981E-2</v>
      </c>
      <c r="Z1957" s="4">
        <f>1/ZAR!B1957</f>
        <v>7.4821177386047349E-2</v>
      </c>
      <c r="AA1957" s="4">
        <f>1/ZAR!C1957</f>
        <v>7.4393691414968016E-2</v>
      </c>
    </row>
    <row r="1958" spans="1:27" x14ac:dyDescent="0.25">
      <c r="A1958" t="str">
        <f>"11/07/2017"</f>
        <v>11/07/2017</v>
      </c>
      <c r="B1958" s="3">
        <f>AUD!B1958</f>
        <v>0.76060000000000005</v>
      </c>
      <c r="C1958" s="3">
        <f>AUD!C1958</f>
        <v>0.76029999999999998</v>
      </c>
      <c r="D1958" s="3">
        <f>1/CAD!B1958</f>
        <v>0.77417356971432993</v>
      </c>
      <c r="E1958" s="3">
        <f>1/CAD!C1958</f>
        <v>0.77459333849728895</v>
      </c>
      <c r="F1958" s="3">
        <f>EUR!B1958/1</f>
        <v>1.1395999999999999</v>
      </c>
      <c r="G1958" s="3">
        <f>EUR!C1958/1</f>
        <v>1.1415</v>
      </c>
      <c r="H1958" s="3">
        <f>GBP!B1958/1</f>
        <v>1.2908999999999999</v>
      </c>
      <c r="I1958" s="3">
        <f>GBP!C1958/1</f>
        <v>1.2922</v>
      </c>
      <c r="J1958" s="4">
        <f>1/INR!B1958</f>
        <v>1.5480475250590193E-2</v>
      </c>
      <c r="K1958" s="4">
        <f>1/INR!C1958</f>
        <v>1.5414852210104435E-2</v>
      </c>
      <c r="L1958" s="4">
        <f>1/JPY!B1958</f>
        <v>8.7466106883582612E-3</v>
      </c>
      <c r="M1958" s="4">
        <f>1/JPY!C1958</f>
        <v>8.75894507265545E-3</v>
      </c>
      <c r="N1958" s="5">
        <f>1/KRW!B1958</f>
        <v>8.6858334057152782E-4</v>
      </c>
      <c r="O1958" s="5">
        <f>1/KRW!C1958</f>
        <v>8.6858145448307454E-4</v>
      </c>
      <c r="P1958" s="3">
        <f>1/NOK!B1958</f>
        <v>0.11971746677840298</v>
      </c>
      <c r="Q1958" s="3">
        <f>1/NOK!C1958</f>
        <v>0.11979204101679486</v>
      </c>
      <c r="R1958" s="3">
        <f>NZD!B1958/1</f>
        <v>0.72160000000000002</v>
      </c>
      <c r="S1958" s="3">
        <f>NZD!C1958/1</f>
        <v>0.72119999999999995</v>
      </c>
      <c r="T1958" s="4">
        <f>1/PHP!B1958</f>
        <v>1.9770660340055358E-2</v>
      </c>
      <c r="U1958" s="4">
        <f>1/PHP!C1958</f>
        <v>1.9737880941102164E-2</v>
      </c>
      <c r="V1958" s="4">
        <f>1/TWD!B1958</f>
        <v>3.2687216029810742E-2</v>
      </c>
      <c r="W1958" s="4">
        <f>1/TWD!C1958</f>
        <v>3.2687536569181538E-2</v>
      </c>
      <c r="X1958" s="4">
        <f>1/TWD!B1958</f>
        <v>3.2687216029810742E-2</v>
      </c>
      <c r="Y1958" s="4">
        <f>1/TWD!C1958</f>
        <v>3.2687536569181538E-2</v>
      </c>
      <c r="Z1958" s="4">
        <f>1/ZAR!B1958</f>
        <v>7.3694682928626701E-2</v>
      </c>
      <c r="AA1958" s="4">
        <f>1/ZAR!C1958</f>
        <v>7.3286918285086114E-2</v>
      </c>
    </row>
    <row r="1959" spans="1:27" x14ac:dyDescent="0.25">
      <c r="A1959" t="str">
        <f>"12/07/2017"</f>
        <v>12/07/2017</v>
      </c>
      <c r="B1959" s="3">
        <f>AUD!B1959</f>
        <v>0.76539999999999997</v>
      </c>
      <c r="C1959" s="3">
        <f>AUD!C1959</f>
        <v>0.7651</v>
      </c>
      <c r="D1959" s="3">
        <f>1/CAD!B1959</f>
        <v>0.77303648732220154</v>
      </c>
      <c r="E1959" s="3">
        <f>1/CAD!C1959</f>
        <v>0.77345502359037821</v>
      </c>
      <c r="F1959" s="3">
        <f>EUR!B1959/1</f>
        <v>1.1456999999999999</v>
      </c>
      <c r="G1959" s="3">
        <f>EUR!C1959/1</f>
        <v>1.1475</v>
      </c>
      <c r="H1959" s="3">
        <f>GBP!B1959/1</f>
        <v>1.2868999999999999</v>
      </c>
      <c r="I1959" s="3">
        <f>GBP!C1959/1</f>
        <v>1.2882</v>
      </c>
      <c r="J1959" s="4">
        <f>1/INR!B1959</f>
        <v>1.5493066852583469E-2</v>
      </c>
      <c r="K1959" s="4">
        <f>1/INR!C1959</f>
        <v>1.5428527347064723E-2</v>
      </c>
      <c r="L1959" s="4">
        <f>1/JPY!B1959</f>
        <v>8.8105726872246704E-3</v>
      </c>
      <c r="M1959" s="4">
        <f>1/JPY!C1959</f>
        <v>8.8222242415313262E-3</v>
      </c>
      <c r="N1959" s="5">
        <f>1/KRW!B1959</f>
        <v>8.7305744718002435E-4</v>
      </c>
      <c r="O1959" s="5">
        <f>1/KRW!C1959</f>
        <v>8.7305554161091852E-4</v>
      </c>
      <c r="P1959" s="3">
        <f>1/NOK!B1959</f>
        <v>0.12102288542763437</v>
      </c>
      <c r="Q1959" s="3">
        <f>1/NOK!C1959</f>
        <v>0.12109616246261157</v>
      </c>
      <c r="R1959" s="3">
        <f>NZD!B1959/1</f>
        <v>0.72389999999999999</v>
      </c>
      <c r="S1959" s="3">
        <f>NZD!C1959/1</f>
        <v>0.72350000000000003</v>
      </c>
      <c r="T1959" s="4">
        <f>1/PHP!B1959</f>
        <v>1.9774569903104607E-2</v>
      </c>
      <c r="U1959" s="4">
        <f>1/PHP!C1959</f>
        <v>1.974177754965057E-2</v>
      </c>
      <c r="V1959" s="4">
        <f>1/TWD!B1959</f>
        <v>3.2797638570022963E-2</v>
      </c>
      <c r="W1959" s="4">
        <f>1/TWD!C1959</f>
        <v>3.2797961278726917E-2</v>
      </c>
      <c r="X1959" s="4">
        <f>1/TWD!B1959</f>
        <v>3.2797638570022963E-2</v>
      </c>
      <c r="Y1959" s="4">
        <f>1/TWD!C1959</f>
        <v>3.2797961278726917E-2</v>
      </c>
      <c r="Z1959" s="4">
        <f>1/ZAR!B1959</f>
        <v>7.470212527546409E-2</v>
      </c>
      <c r="AA1959" s="4">
        <f>1/ZAR!C1959</f>
        <v>7.4301933336305401E-2</v>
      </c>
    </row>
    <row r="1960" spans="1:27" x14ac:dyDescent="0.25">
      <c r="A1960" t="str">
        <f>"13/07/2017"</f>
        <v>13/07/2017</v>
      </c>
      <c r="B1960" s="3">
        <f>AUD!B1960</f>
        <v>0.77310000000000001</v>
      </c>
      <c r="C1960" s="3">
        <f>AUD!C1960</f>
        <v>0.77280000000000004</v>
      </c>
      <c r="D1960" s="3">
        <f>1/CAD!B1960</f>
        <v>0.7842522155125089</v>
      </c>
      <c r="E1960" s="3">
        <f>1/CAD!C1960</f>
        <v>0.78462142016477054</v>
      </c>
      <c r="F1960" s="3">
        <f>EUR!B1960/1</f>
        <v>1.1402000000000001</v>
      </c>
      <c r="G1960" s="3">
        <f>EUR!C1960/1</f>
        <v>1.1419999999999999</v>
      </c>
      <c r="H1960" s="3">
        <f>GBP!B1960/1</f>
        <v>1.2928999999999999</v>
      </c>
      <c r="I1960" s="3">
        <f>GBP!C1960/1</f>
        <v>1.2941</v>
      </c>
      <c r="J1960" s="4">
        <f>1/INR!B1960</f>
        <v>1.5516505682920205E-2</v>
      </c>
      <c r="K1960" s="4">
        <f>1/INR!C1960</f>
        <v>1.5449980687524142E-2</v>
      </c>
      <c r="L1960" s="4">
        <f>1/JPY!B1960</f>
        <v>8.8417329796640146E-3</v>
      </c>
      <c r="M1960" s="4">
        <f>1/JPY!C1960</f>
        <v>8.8532320051419571E-3</v>
      </c>
      <c r="N1960" s="5">
        <f>1/KRW!B1960</f>
        <v>8.7989441267047959E-4</v>
      </c>
      <c r="O1960" s="5">
        <f>1/KRW!C1960</f>
        <v>8.7989247713929353E-4</v>
      </c>
      <c r="P1960" s="3">
        <f>1/NOK!B1960</f>
        <v>0.12072483189067158</v>
      </c>
      <c r="Q1960" s="3">
        <f>1/NOK!C1960</f>
        <v>0.12080066681968084</v>
      </c>
      <c r="R1960" s="3">
        <f>NZD!B1960/1</f>
        <v>0.73399999999999999</v>
      </c>
      <c r="S1960" s="3">
        <f>NZD!C1960/1</f>
        <v>0.73360000000000003</v>
      </c>
      <c r="T1960" s="4">
        <f>1/PHP!B1960</f>
        <v>1.9774569903104607E-2</v>
      </c>
      <c r="U1960" s="4">
        <f>1/PHP!C1960</f>
        <v>1.9742362173634075E-2</v>
      </c>
      <c r="V1960" s="4">
        <f>1/TWD!B1960</f>
        <v>3.2910975810432778E-2</v>
      </c>
      <c r="W1960" s="4">
        <f>1/TWD!C1960</f>
        <v>3.2911300753339673E-2</v>
      </c>
      <c r="X1960" s="4">
        <f>1/TWD!B1960</f>
        <v>3.2910975810432778E-2</v>
      </c>
      <c r="Y1960" s="4">
        <f>1/TWD!C1960</f>
        <v>3.2911300753339673E-2</v>
      </c>
      <c r="Z1960" s="4">
        <f>1/ZAR!B1960</f>
        <v>7.5844337082571725E-2</v>
      </c>
      <c r="AA1960" s="4">
        <f>1/ZAR!C1960</f>
        <v>7.543924500403601E-2</v>
      </c>
    </row>
    <row r="1961" spans="1:27" x14ac:dyDescent="0.25">
      <c r="A1961" t="str">
        <f>"14/07/2017"</f>
        <v>14/07/2017</v>
      </c>
      <c r="B1961" s="3">
        <f>AUD!B1961</f>
        <v>0.77610000000000001</v>
      </c>
      <c r="C1961" s="3">
        <f>AUD!C1961</f>
        <v>0.77580000000000005</v>
      </c>
      <c r="D1961" s="3">
        <f>1/CAD!B1961</f>
        <v>0.78529919899481693</v>
      </c>
      <c r="E1961" s="3">
        <f>1/CAD!C1961</f>
        <v>0.78566939032055316</v>
      </c>
      <c r="F1961" s="3">
        <f>EUR!B1961/1</f>
        <v>1.1417999999999999</v>
      </c>
      <c r="G1961" s="3">
        <f>EUR!C1961/1</f>
        <v>1.1435999999999999</v>
      </c>
      <c r="H1961" s="3">
        <f>GBP!B1961/1</f>
        <v>1.2975000000000001</v>
      </c>
      <c r="I1961" s="3">
        <f>GBP!C1961/1</f>
        <v>1.2988</v>
      </c>
      <c r="J1961" s="4">
        <f>1/INR!B1961</f>
        <v>1.5515903801396431E-2</v>
      </c>
      <c r="K1961" s="4">
        <f>1/INR!C1961</f>
        <v>1.5451174289245983E-2</v>
      </c>
      <c r="L1961" s="4">
        <f>1/JPY!B1961</f>
        <v>8.8378258948298722E-3</v>
      </c>
      <c r="M1961" s="4">
        <f>1/JPY!C1961</f>
        <v>8.8503720696418084E-3</v>
      </c>
      <c r="N1961" s="5">
        <f>1/KRW!B1961</f>
        <v>8.8230104111522846E-4</v>
      </c>
      <c r="O1961" s="5">
        <f>1/KRW!C1961</f>
        <v>8.8229948420772146E-4</v>
      </c>
      <c r="P1961" s="3">
        <f>1/NOK!B1961</f>
        <v>0.12154508107056908</v>
      </c>
      <c r="Q1961" s="3">
        <f>1/NOK!C1961</f>
        <v>0.1216234295374661</v>
      </c>
      <c r="R1961" s="3">
        <f>NZD!B1961/1</f>
        <v>0.73070000000000002</v>
      </c>
      <c r="S1961" s="3">
        <f>NZD!C1961/1</f>
        <v>0.73029999999999995</v>
      </c>
      <c r="T1961" s="4">
        <f>1/PHP!B1961</f>
        <v>1.9741387819563715E-2</v>
      </c>
      <c r="U1961" s="4">
        <f>1/PHP!C1961</f>
        <v>1.9708899553593423E-2</v>
      </c>
      <c r="V1961" s="4">
        <f>1/TWD!B1961</f>
        <v>3.2876352039977644E-2</v>
      </c>
      <c r="W1961" s="4">
        <f>1/TWD!C1961</f>
        <v>3.2876676299532823E-2</v>
      </c>
      <c r="X1961" s="4">
        <f>1/TWD!B1961</f>
        <v>3.2876352039977644E-2</v>
      </c>
      <c r="Y1961" s="4">
        <f>1/TWD!C1961</f>
        <v>3.2876676299532823E-2</v>
      </c>
      <c r="Z1961" s="4">
        <f>1/ZAR!B1961</f>
        <v>7.5821909498968817E-2</v>
      </c>
      <c r="AA1961" s="4">
        <f>1/ZAR!C1961</f>
        <v>7.5414781297134234E-2</v>
      </c>
    </row>
    <row r="1962" spans="1:27" x14ac:dyDescent="0.25">
      <c r="A1962" t="str">
        <f>"17/07/2017"</f>
        <v>17/07/2017</v>
      </c>
      <c r="B1962" s="3">
        <f>AUD!B1962</f>
        <v>0.78239999999999998</v>
      </c>
      <c r="C1962" s="3">
        <f>AUD!C1962</f>
        <v>0.78210000000000002</v>
      </c>
      <c r="D1962" s="3">
        <f>1/CAD!B1962</f>
        <v>0.78976465013426</v>
      </c>
      <c r="E1962" s="3">
        <f>1/CAD!C1962</f>
        <v>0.79013906447534765</v>
      </c>
      <c r="F1962" s="3">
        <f>EUR!B1962/1</f>
        <v>1.1463000000000001</v>
      </c>
      <c r="G1962" s="3">
        <f>EUR!C1962/1</f>
        <v>1.1483000000000001</v>
      </c>
      <c r="H1962" s="3">
        <f>GBP!B1962/1</f>
        <v>1.3063</v>
      </c>
      <c r="I1962" s="3">
        <f>GBP!C1962/1</f>
        <v>1.3077000000000001</v>
      </c>
      <c r="J1962" s="4">
        <f>1/INR!B1962</f>
        <v>1.5538204560463039E-2</v>
      </c>
      <c r="K1962" s="4">
        <f>1/INR!C1962</f>
        <v>1.547029702970297E-2</v>
      </c>
      <c r="L1962" s="4">
        <f>1/JPY!B1962</f>
        <v>8.892050506846879E-3</v>
      </c>
      <c r="M1962" s="4">
        <f>1/JPY!C1962</f>
        <v>8.9048622328763965E-3</v>
      </c>
      <c r="N1962" s="5">
        <f>1/KRW!B1962</f>
        <v>8.8621056362991836E-4</v>
      </c>
      <c r="O1962" s="5">
        <f>1/KRW!C1962</f>
        <v>8.8620899289437629E-4</v>
      </c>
      <c r="P1962" s="3">
        <f>1/NOK!B1962</f>
        <v>0.12236307571827126</v>
      </c>
      <c r="Q1962" s="3">
        <f>1/NOK!C1962</f>
        <v>0.12244548114951817</v>
      </c>
      <c r="R1962" s="3">
        <f>NZD!B1962/1</f>
        <v>0.73350000000000004</v>
      </c>
      <c r="S1962" s="3">
        <f>NZD!C1962/1</f>
        <v>0.73309999999999997</v>
      </c>
      <c r="T1962" s="4">
        <f>1/PHP!B1962</f>
        <v>1.9719976336028396E-2</v>
      </c>
      <c r="U1962" s="4">
        <f>1/PHP!C1962</f>
        <v>1.968794605502781E-2</v>
      </c>
      <c r="V1962" s="4">
        <f>1/TWD!B1962</f>
        <v>3.2874190473059603E-2</v>
      </c>
      <c r="W1962" s="4">
        <f>1/TWD!C1962</f>
        <v>3.2874514689976889E-2</v>
      </c>
      <c r="X1962" s="4">
        <f>1/TWD!B1962</f>
        <v>3.2874190473059603E-2</v>
      </c>
      <c r="Y1962" s="4">
        <f>1/TWD!C1962</f>
        <v>3.2874514689976889E-2</v>
      </c>
      <c r="Z1962" s="4">
        <f>1/ZAR!B1962</f>
        <v>7.7137281219386136E-2</v>
      </c>
      <c r="AA1962" s="4">
        <f>1/ZAR!C1962</f>
        <v>7.6697703670752099E-2</v>
      </c>
    </row>
    <row r="1963" spans="1:27" x14ac:dyDescent="0.25">
      <c r="A1963" t="str">
        <f>"18/07/2017"</f>
        <v>18/07/2017</v>
      </c>
      <c r="B1963" s="3">
        <f>AUD!B1963</f>
        <v>0.79290000000000005</v>
      </c>
      <c r="C1963" s="3">
        <f>AUD!C1963</f>
        <v>0.79259999999999997</v>
      </c>
      <c r="D1963" s="3">
        <f>1/CAD!B1963</f>
        <v>0.79371378680847682</v>
      </c>
      <c r="E1963" s="3">
        <f>1/CAD!C1963</f>
        <v>0.79409195584848724</v>
      </c>
      <c r="F1963" s="3">
        <f>EUR!B1963/1</f>
        <v>1.1552</v>
      </c>
      <c r="G1963" s="3">
        <f>EUR!C1963/1</f>
        <v>1.1572</v>
      </c>
      <c r="H1963" s="3">
        <f>GBP!B1963/1</f>
        <v>1.3015000000000001</v>
      </c>
      <c r="I1963" s="3">
        <f>GBP!C1963/1</f>
        <v>1.3028999999999999</v>
      </c>
      <c r="J1963" s="4">
        <f>1/INR!B1963</f>
        <v>1.5543034777540314E-2</v>
      </c>
      <c r="K1963" s="4">
        <f>1/INR!C1963</f>
        <v>1.5476881408396209E-2</v>
      </c>
      <c r="L1963" s="4">
        <f>1/JPY!B1963</f>
        <v>8.9221984296930772E-3</v>
      </c>
      <c r="M1963" s="4">
        <f>1/JPY!C1963</f>
        <v>8.9351611098899726E-3</v>
      </c>
      <c r="N1963" s="5">
        <f>1/KRW!B1963</f>
        <v>8.9007565643079659E-4</v>
      </c>
      <c r="O1963" s="5">
        <f>1/KRW!C1963</f>
        <v>8.9007407196426888E-4</v>
      </c>
      <c r="P1963" s="3">
        <f>1/NOK!B1963</f>
        <v>0.12384821163182402</v>
      </c>
      <c r="Q1963" s="3">
        <f>1/NOK!C1963</f>
        <v>0.12392802260447132</v>
      </c>
      <c r="R1963" s="3">
        <f>NZD!B1963/1</f>
        <v>0.73550000000000004</v>
      </c>
      <c r="S1963" s="3">
        <f>NZD!C1963/1</f>
        <v>0.73509999999999998</v>
      </c>
      <c r="T1963" s="4">
        <f>1/PHP!B1963</f>
        <v>1.967729240456513E-2</v>
      </c>
      <c r="U1963" s="4">
        <f>1/PHP!C1963</f>
        <v>1.9643278070244363E-2</v>
      </c>
      <c r="V1963" s="4">
        <f>1/TWD!B1963</f>
        <v>3.2925062557618859E-2</v>
      </c>
      <c r="W1963" s="4">
        <f>1/TWD!C1963</f>
        <v>3.2925387778754561E-2</v>
      </c>
      <c r="X1963" s="4">
        <f>1/TWD!B1963</f>
        <v>3.2925062557618859E-2</v>
      </c>
      <c r="Y1963" s="4">
        <f>1/TWD!C1963</f>
        <v>3.2925387778754561E-2</v>
      </c>
      <c r="Z1963" s="4">
        <f>1/ZAR!B1963</f>
        <v>7.7280349925424457E-2</v>
      </c>
      <c r="AA1963" s="4">
        <f>1/ZAR!C1963</f>
        <v>7.6853317757727607E-2</v>
      </c>
    </row>
    <row r="1964" spans="1:27" x14ac:dyDescent="0.25">
      <c r="A1964" t="str">
        <f>"19/07/2017"</f>
        <v>19/07/2017</v>
      </c>
      <c r="B1964" s="3">
        <f>AUD!B1964</f>
        <v>0.79300000000000004</v>
      </c>
      <c r="C1964" s="3">
        <f>AUD!C1964</f>
        <v>0.79269999999999996</v>
      </c>
      <c r="D1964" s="3">
        <f>1/CAD!B1964</f>
        <v>0.79220470569595181</v>
      </c>
      <c r="E1964" s="3">
        <f>1/CAD!C1964</f>
        <v>0.79258143774272805</v>
      </c>
      <c r="F1964" s="3">
        <f>EUR!B1964/1</f>
        <v>1.1521999999999999</v>
      </c>
      <c r="G1964" s="3">
        <f>EUR!C1964/1</f>
        <v>1.1540999999999999</v>
      </c>
      <c r="H1964" s="3">
        <f>GBP!B1964/1</f>
        <v>1.3025</v>
      </c>
      <c r="I1964" s="3">
        <f>GBP!C1964/1</f>
        <v>1.3038000000000001</v>
      </c>
      <c r="J1964" s="4">
        <f>1/INR!B1964</f>
        <v>1.5555123468792535E-2</v>
      </c>
      <c r="K1964" s="4">
        <f>1/INR!C1964</f>
        <v>1.5491266798342436E-2</v>
      </c>
      <c r="L1964" s="4">
        <f>1/JPY!B1964</f>
        <v>8.9237908263430296E-3</v>
      </c>
      <c r="M1964" s="4">
        <f>1/JPY!C1964</f>
        <v>8.9357679130871465E-3</v>
      </c>
      <c r="N1964" s="5">
        <f>1/KRW!B1964</f>
        <v>8.9221984296930772E-4</v>
      </c>
      <c r="O1964" s="5">
        <f>1/KRW!C1964</f>
        <v>8.9221785283312622E-4</v>
      </c>
      <c r="P1964" s="3">
        <f>1/NOK!B1964</f>
        <v>0.12387889599127892</v>
      </c>
      <c r="Q1964" s="3">
        <f>1/NOK!C1964</f>
        <v>0.12395567345117388</v>
      </c>
      <c r="R1964" s="3">
        <f>NZD!B1964/1</f>
        <v>0.73680000000000001</v>
      </c>
      <c r="S1964" s="3">
        <f>NZD!C1964/1</f>
        <v>0.73640000000000005</v>
      </c>
      <c r="T1964" s="4">
        <f>1/PHP!B1964</f>
        <v>1.9623233908948195E-2</v>
      </c>
      <c r="U1964" s="4">
        <f>1/PHP!C1964</f>
        <v>1.9590941148812789E-2</v>
      </c>
      <c r="V1964" s="4">
        <f>1/TWD!B1964</f>
        <v>3.2897983353620423E-2</v>
      </c>
      <c r="W1964" s="4">
        <f>1/TWD!C1964</f>
        <v>3.2898308040017504E-2</v>
      </c>
      <c r="X1964" s="4">
        <f>1/TWD!B1964</f>
        <v>3.2897983353620423E-2</v>
      </c>
      <c r="Y1964" s="4">
        <f>1/TWD!C1964</f>
        <v>3.2898308040017504E-2</v>
      </c>
      <c r="Z1964" s="4">
        <f>1/ZAR!B1964</f>
        <v>7.7332941513096332E-2</v>
      </c>
      <c r="AA1964" s="4">
        <f>1/ZAR!C1964</f>
        <v>7.6922485211652222E-2</v>
      </c>
    </row>
    <row r="1965" spans="1:27" x14ac:dyDescent="0.25">
      <c r="A1965" t="str">
        <f>"20/07/2017"</f>
        <v>20/07/2017</v>
      </c>
      <c r="B1965" s="3">
        <f>AUD!B1965</f>
        <v>0.79079999999999995</v>
      </c>
      <c r="C1965" s="3">
        <f>AUD!C1965</f>
        <v>0.79049999999999998</v>
      </c>
      <c r="D1965" s="3">
        <f>1/CAD!B1965</f>
        <v>0.7923302432453847</v>
      </c>
      <c r="E1965" s="3">
        <f>1/CAD!C1965</f>
        <v>0.79264426125554843</v>
      </c>
      <c r="F1965" s="3">
        <f>EUR!B1965/1</f>
        <v>1.1496</v>
      </c>
      <c r="G1965" s="3">
        <f>EUR!C1965/1</f>
        <v>1.1514</v>
      </c>
      <c r="H1965" s="3">
        <f>GBP!B1965/1</f>
        <v>1.2941</v>
      </c>
      <c r="I1965" s="3">
        <f>GBP!C1965/1</f>
        <v>1.2954000000000001</v>
      </c>
      <c r="J1965" s="4">
        <f>1/INR!B1965</f>
        <v>1.5519515791107316E-2</v>
      </c>
      <c r="K1965" s="4">
        <f>1/INR!C1965</f>
        <v>1.5455950540958269E-2</v>
      </c>
      <c r="L1965" s="4">
        <f>1/JPY!B1965</f>
        <v>8.910273545397843E-3</v>
      </c>
      <c r="M1965" s="4">
        <f>1/JPY!C1965</f>
        <v>8.9220471815699056E-3</v>
      </c>
      <c r="N1965" s="5">
        <f>1/KRW!B1965</f>
        <v>8.882572392965003E-4</v>
      </c>
      <c r="O1965" s="5">
        <f>1/KRW!C1965</f>
        <v>8.8825526679857261E-4</v>
      </c>
      <c r="P1965" s="3">
        <f>1/NOK!B1965</f>
        <v>0.12376084454400317</v>
      </c>
      <c r="Q1965" s="3">
        <f>1/NOK!C1965</f>
        <v>0.12383900928792571</v>
      </c>
      <c r="R1965" s="3">
        <f>NZD!B1965/1</f>
        <v>0.73470000000000002</v>
      </c>
      <c r="S1965" s="3">
        <f>NZD!C1965/1</f>
        <v>0.73429999999999995</v>
      </c>
      <c r="T1965" s="4">
        <f>1/PHP!B1965</f>
        <v>1.9650225977598742E-2</v>
      </c>
      <c r="U1965" s="4">
        <f>1/PHP!C1965</f>
        <v>1.9620538779994898E-2</v>
      </c>
      <c r="V1965" s="4">
        <f>1/TWD!B1965</f>
        <v>3.2833174639655904E-2</v>
      </c>
      <c r="W1965" s="4">
        <f>1/TWD!C1965</f>
        <v>3.283349804804854E-2</v>
      </c>
      <c r="X1965" s="4">
        <f>1/TWD!B1965</f>
        <v>3.2833174639655904E-2</v>
      </c>
      <c r="Y1965" s="4">
        <f>1/TWD!C1965</f>
        <v>3.283349804804854E-2</v>
      </c>
      <c r="Z1965" s="4">
        <f>1/ZAR!B1965</f>
        <v>7.7059412807274408E-2</v>
      </c>
      <c r="AA1965" s="4">
        <f>1/ZAR!C1965</f>
        <v>7.6651259763454216E-2</v>
      </c>
    </row>
    <row r="1966" spans="1:27" x14ac:dyDescent="0.25">
      <c r="A1966" t="str">
        <f>"21/07/2017"</f>
        <v>21/07/2017</v>
      </c>
      <c r="B1966" s="3">
        <f>AUD!B1966</f>
        <v>0.79190000000000005</v>
      </c>
      <c r="C1966" s="3">
        <f>AUD!C1966</f>
        <v>0.79159999999999997</v>
      </c>
      <c r="D1966" s="3">
        <f>1/CAD!B1966</f>
        <v>0.79383980312772884</v>
      </c>
      <c r="E1966" s="3">
        <f>1/CAD!C1966</f>
        <v>0.79421809228814222</v>
      </c>
      <c r="F1966" s="3">
        <f>EUR!B1966/1</f>
        <v>1.1645000000000001</v>
      </c>
      <c r="G1966" s="3">
        <f>EUR!C1966/1</f>
        <v>1.1664000000000001</v>
      </c>
      <c r="H1966" s="3">
        <f>GBP!B1966/1</f>
        <v>1.3006</v>
      </c>
      <c r="I1966" s="3">
        <f>GBP!C1966/1</f>
        <v>1.3019000000000001</v>
      </c>
      <c r="J1966" s="4">
        <f>1/INR!B1966</f>
        <v>1.5546659411558941E-2</v>
      </c>
      <c r="K1966" s="4">
        <f>1/INR!C1966</f>
        <v>1.5477480266212661E-2</v>
      </c>
      <c r="L1966" s="4">
        <f>1/JPY!B1966</f>
        <v>8.963786303334529E-3</v>
      </c>
      <c r="M1966" s="4">
        <f>1/JPY!C1966</f>
        <v>8.9754682501786125E-3</v>
      </c>
      <c r="N1966" s="5">
        <f>1/KRW!B1966</f>
        <v>8.9405453732677696E-4</v>
      </c>
      <c r="O1966" s="5">
        <f>1/KRW!C1966</f>
        <v>8.9405253899745409E-4</v>
      </c>
      <c r="P1966" s="3">
        <f>1/NOK!B1966</f>
        <v>0.12450819263907566</v>
      </c>
      <c r="Q1966" s="3">
        <f>1/NOK!C1966</f>
        <v>0.12458575237335857</v>
      </c>
      <c r="R1966" s="3">
        <f>NZD!B1966/1</f>
        <v>0.74360000000000004</v>
      </c>
      <c r="S1966" s="3">
        <f>NZD!C1966/1</f>
        <v>0.74319999999999997</v>
      </c>
      <c r="T1966" s="4">
        <f>1/PHP!B1966</f>
        <v>1.9716088328075709E-2</v>
      </c>
      <c r="U1966" s="4">
        <f>1/PHP!C1966</f>
        <v>1.9686395716240292E-2</v>
      </c>
      <c r="V1966" s="4">
        <f>1/TWD!B1966</f>
        <v>3.2837487275473684E-2</v>
      </c>
      <c r="W1966" s="4">
        <f>1/TWD!C1966</f>
        <v>3.283781076883166E-2</v>
      </c>
      <c r="X1966" s="4">
        <f>1/TWD!B1966</f>
        <v>3.2837487275473684E-2</v>
      </c>
      <c r="Y1966" s="4">
        <f>1/TWD!C1966</f>
        <v>3.283781076883166E-2</v>
      </c>
      <c r="Z1966" s="4">
        <f>1/ZAR!B1966</f>
        <v>7.7137281219386136E-2</v>
      </c>
      <c r="AA1966" s="4">
        <f>1/ZAR!C1966</f>
        <v>7.6742437032830416E-2</v>
      </c>
    </row>
    <row r="1967" spans="1:27" x14ac:dyDescent="0.25">
      <c r="A1967" t="str">
        <f>"24/07/2017"</f>
        <v>24/07/2017</v>
      </c>
      <c r="B1967" s="3">
        <f>AUD!B1967</f>
        <v>0.79479999999999995</v>
      </c>
      <c r="C1967" s="3">
        <f>AUD!C1967</f>
        <v>0.7944</v>
      </c>
      <c r="D1967" s="3">
        <f>1/CAD!B1967</f>
        <v>0.79821200510855683</v>
      </c>
      <c r="E1967" s="3">
        <f>1/CAD!C1967</f>
        <v>0.79853070350554978</v>
      </c>
      <c r="F1967" s="3">
        <f>EUR!B1967/1</f>
        <v>1.1645000000000001</v>
      </c>
      <c r="G1967" s="3">
        <f>EUR!C1967/1</f>
        <v>1.1665000000000001</v>
      </c>
      <c r="H1967" s="3">
        <f>GBP!B1967/1</f>
        <v>1.3029999999999999</v>
      </c>
      <c r="I1967" s="3">
        <f>GBP!C1967/1</f>
        <v>1.3044</v>
      </c>
      <c r="J1967" s="4">
        <f>1/INR!B1967</f>
        <v>1.5541223094257518E-2</v>
      </c>
      <c r="K1967" s="4">
        <f>1/INR!C1967</f>
        <v>1.5473289234459016E-2</v>
      </c>
      <c r="L1967" s="4">
        <f>1/JPY!B1967</f>
        <v>9.0252707581227436E-3</v>
      </c>
      <c r="M1967" s="4">
        <f>1/JPY!C1967</f>
        <v>9.0377588527107405E-3</v>
      </c>
      <c r="N1967" s="5">
        <f>1/KRW!B1967</f>
        <v>8.9750493627714948E-4</v>
      </c>
      <c r="O1967" s="5">
        <f>1/KRW!C1967</f>
        <v>8.9750332524982004E-4</v>
      </c>
      <c r="P1967" s="3">
        <f>1/NOK!B1967</f>
        <v>0.12450199203187251</v>
      </c>
      <c r="Q1967" s="3">
        <f>1/NOK!C1967</f>
        <v>0.12458420023172662</v>
      </c>
      <c r="R1967" s="3">
        <f>NZD!B1967/1</f>
        <v>0.74370000000000003</v>
      </c>
      <c r="S1967" s="3">
        <f>NZD!C1967/1</f>
        <v>0.74319999999999997</v>
      </c>
      <c r="T1967" s="4">
        <f>1/PHP!B1967</f>
        <v>1.9708316909735908E-2</v>
      </c>
      <c r="U1967" s="4">
        <f>1/PHP!C1967</f>
        <v>1.9679228574239892E-2</v>
      </c>
      <c r="V1967" s="4">
        <f>1/TWD!B1967</f>
        <v>3.2939161368951544E-2</v>
      </c>
      <c r="W1967" s="4">
        <f>1/TWD!C1967</f>
        <v>3.2939595370010476E-2</v>
      </c>
      <c r="X1967" s="4">
        <f>1/TWD!B1967</f>
        <v>3.2939161368951544E-2</v>
      </c>
      <c r="Y1967" s="4">
        <f>1/TWD!C1967</f>
        <v>3.2939595370010476E-2</v>
      </c>
      <c r="Z1967" s="4">
        <f>1/ZAR!B1967</f>
        <v>7.7030326839676783E-2</v>
      </c>
      <c r="AA1967" s="4">
        <f>1/ZAR!C1967</f>
        <v>7.6609567002727294E-2</v>
      </c>
    </row>
    <row r="1968" spans="1:27" x14ac:dyDescent="0.25">
      <c r="A1968" t="str">
        <f>"25/07/2017"</f>
        <v>25/07/2017</v>
      </c>
      <c r="B1968" s="3">
        <f>AUD!B1968</f>
        <v>0.79359999999999997</v>
      </c>
      <c r="C1968" s="3">
        <f>AUD!C1968</f>
        <v>0.79330000000000001</v>
      </c>
      <c r="D1968" s="3">
        <f>1/CAD!B1968</f>
        <v>0.79929661897530169</v>
      </c>
      <c r="E1968" s="3">
        <f>1/CAD!C1968</f>
        <v>0.79968012794882048</v>
      </c>
      <c r="F1968" s="3">
        <f>EUR!B1968/1</f>
        <v>1.1657999999999999</v>
      </c>
      <c r="G1968" s="3">
        <f>EUR!C1968/1</f>
        <v>1.1677</v>
      </c>
      <c r="H1968" s="3">
        <f>GBP!B1968/1</f>
        <v>1.3042</v>
      </c>
      <c r="I1968" s="3">
        <f>GBP!C1968/1</f>
        <v>1.3056000000000001</v>
      </c>
      <c r="J1968" s="4">
        <f>1/INR!B1968</f>
        <v>1.5531567911780692E-2</v>
      </c>
      <c r="K1968" s="4">
        <f>1/INR!C1968</f>
        <v>1.5467305981980588E-2</v>
      </c>
      <c r="L1968" s="4">
        <f>1/JPY!B1968</f>
        <v>8.971828458639872E-3</v>
      </c>
      <c r="M1968" s="4">
        <f>1/JPY!C1968</f>
        <v>8.983870359157169E-3</v>
      </c>
      <c r="N1968" s="5">
        <f>1/KRW!B1968</f>
        <v>8.9645898700134474E-4</v>
      </c>
      <c r="O1968" s="5">
        <f>1/KRW!C1968</f>
        <v>8.9645737972679572E-4</v>
      </c>
      <c r="P1968" s="3">
        <f>1/NOK!B1968</f>
        <v>0.12528973250642111</v>
      </c>
      <c r="Q1968" s="3">
        <f>1/NOK!C1968</f>
        <v>0.12537141281045097</v>
      </c>
      <c r="R1968" s="3">
        <f>NZD!B1968/1</f>
        <v>0.74250000000000005</v>
      </c>
      <c r="S1968" s="3">
        <f>NZD!C1968/1</f>
        <v>0.74209999999999998</v>
      </c>
      <c r="T1968" s="4">
        <f>1/PHP!B1968</f>
        <v>1.9770660340055358E-2</v>
      </c>
      <c r="U1968" s="4">
        <f>1/PHP!C1968</f>
        <v>1.9740023885428903E-2</v>
      </c>
      <c r="V1968" s="4">
        <f>1/TWD!B1968</f>
        <v>3.2938076416337288E-2</v>
      </c>
      <c r="W1968" s="4">
        <f>1/TWD!C1968</f>
        <v>3.293840189461688E-2</v>
      </c>
      <c r="X1968" s="4">
        <f>1/TWD!B1968</f>
        <v>3.2938076416337288E-2</v>
      </c>
      <c r="Y1968" s="4">
        <f>1/TWD!C1968</f>
        <v>3.293840189461688E-2</v>
      </c>
      <c r="Z1968" s="4">
        <f>1/ZAR!B1968</f>
        <v>7.6717120959884616E-2</v>
      </c>
      <c r="AA1968" s="4">
        <f>1/ZAR!C1968</f>
        <v>7.631082926978168E-2</v>
      </c>
    </row>
    <row r="1969" spans="1:27" x14ac:dyDescent="0.25">
      <c r="A1969" t="str">
        <f>"26/07/2017"</f>
        <v>26/07/2017</v>
      </c>
      <c r="B1969" s="3">
        <f>AUD!B1969</f>
        <v>0.79220000000000002</v>
      </c>
      <c r="C1969" s="3">
        <f>AUD!C1969</f>
        <v>0.79190000000000005</v>
      </c>
      <c r="D1969" s="3">
        <f>1/CAD!B1969</f>
        <v>0.79929661897530169</v>
      </c>
      <c r="E1969" s="3">
        <f>1/CAD!C1969</f>
        <v>0.79961618423156888</v>
      </c>
      <c r="F1969" s="3">
        <f>EUR!B1969/1</f>
        <v>1.1646000000000001</v>
      </c>
      <c r="G1969" s="3">
        <f>EUR!C1969/1</f>
        <v>1.1665000000000001</v>
      </c>
      <c r="H1969" s="3">
        <f>GBP!B1969/1</f>
        <v>1.3057000000000001</v>
      </c>
      <c r="I1969" s="3">
        <f>GBP!C1969/1</f>
        <v>1.3070999999999999</v>
      </c>
      <c r="J1969" s="4">
        <f>1/INR!B1969</f>
        <v>1.5534583867334653E-2</v>
      </c>
      <c r="K1969" s="4">
        <f>1/INR!C1969</f>
        <v>1.5471493772723756E-2</v>
      </c>
      <c r="L1969" s="4">
        <f>1/JPY!B1969</f>
        <v>8.948545861297539E-3</v>
      </c>
      <c r="M1969" s="4">
        <f>1/JPY!C1969</f>
        <v>8.9602924639460239E-3</v>
      </c>
      <c r="N1969" s="5">
        <f>1/KRW!B1969</f>
        <v>8.9134503966485418E-4</v>
      </c>
      <c r="O1969" s="5">
        <f>1/KRW!C1969</f>
        <v>8.9134265618328852E-4</v>
      </c>
      <c r="P1969" s="3">
        <f>1/NOK!B1969</f>
        <v>0.12530229177891664</v>
      </c>
      <c r="Q1969" s="3">
        <f>1/NOK!C1969</f>
        <v>0.12538241636992828</v>
      </c>
      <c r="R1969" s="3">
        <f>NZD!B1969/1</f>
        <v>0.74280000000000002</v>
      </c>
      <c r="S1969" s="3">
        <f>NZD!C1969/1</f>
        <v>0.74239999999999995</v>
      </c>
      <c r="T1969" s="4">
        <f>1/PHP!B1969</f>
        <v>1.9739439399921045E-2</v>
      </c>
      <c r="U1969" s="4">
        <f>1/PHP!C1969</f>
        <v>1.9709093775868186E-2</v>
      </c>
      <c r="V1969" s="4">
        <f>1/TWD!B1969</f>
        <v>3.2892572857048878E-2</v>
      </c>
      <c r="W1969" s="4">
        <f>1/TWD!C1969</f>
        <v>3.28928974366565E-2</v>
      </c>
      <c r="X1969" s="4">
        <f>1/TWD!B1969</f>
        <v>3.2892572857048878E-2</v>
      </c>
      <c r="Y1969" s="4">
        <f>1/TWD!C1969</f>
        <v>3.28928974366565E-2</v>
      </c>
      <c r="Z1969" s="4">
        <f>1/ZAR!B1969</f>
        <v>7.6600764475629468E-2</v>
      </c>
      <c r="AA1969" s="4">
        <f>1/ZAR!C1969</f>
        <v>7.6210218266065111E-2</v>
      </c>
    </row>
    <row r="1970" spans="1:27" x14ac:dyDescent="0.25">
      <c r="A1970" t="str">
        <f>"27/07/2017"</f>
        <v>27/07/2017</v>
      </c>
      <c r="B1970" s="3">
        <f>AUD!B1970</f>
        <v>0.80149999999999999</v>
      </c>
      <c r="C1970" s="3">
        <f>AUD!C1970</f>
        <v>0.80120000000000002</v>
      </c>
      <c r="D1970" s="3">
        <f>1/CAD!B1970</f>
        <v>0.80289040545965473</v>
      </c>
      <c r="E1970" s="3">
        <f>1/CAD!C1970</f>
        <v>0.80321285140562237</v>
      </c>
      <c r="F1970" s="3">
        <f>EUR!B1970/1</f>
        <v>1.1706000000000001</v>
      </c>
      <c r="G1970" s="3">
        <f>EUR!C1970/1</f>
        <v>1.1725000000000001</v>
      </c>
      <c r="H1970" s="3">
        <f>GBP!B1970/1</f>
        <v>1.3137000000000001</v>
      </c>
      <c r="I1970" s="3">
        <f>GBP!C1970/1</f>
        <v>1.3149999999999999</v>
      </c>
      <c r="J1970" s="4">
        <f>1/INR!B1970</f>
        <v>1.5596974187007721E-2</v>
      </c>
      <c r="K1970" s="4">
        <f>1/INR!C1970</f>
        <v>1.5533980582524271E-2</v>
      </c>
      <c r="L1970" s="4">
        <f>1/JPY!B1970</f>
        <v>8.9798850574712638E-3</v>
      </c>
      <c r="M1970" s="4">
        <f>1/JPY!C1970</f>
        <v>8.991697965268667E-3</v>
      </c>
      <c r="N1970" s="5">
        <f>1/KRW!B1970</f>
        <v>8.9839187853741806E-4</v>
      </c>
      <c r="O1970" s="5">
        <f>1/KRW!C1970</f>
        <v>8.9838905366841453E-4</v>
      </c>
      <c r="P1970" s="3">
        <f>1/NOK!B1970</f>
        <v>0.12595251590150514</v>
      </c>
      <c r="Q1970" s="3">
        <f>1/NOK!C1970</f>
        <v>0.12603506295451394</v>
      </c>
      <c r="R1970" s="3">
        <f>NZD!B1970/1</f>
        <v>0.75319999999999998</v>
      </c>
      <c r="S1970" s="3">
        <f>NZD!C1970/1</f>
        <v>0.75280000000000002</v>
      </c>
      <c r="T1970" s="4">
        <f>1/PHP!B1970</f>
        <v>1.9774569903104607E-2</v>
      </c>
      <c r="U1970" s="4">
        <f>1/PHP!C1970</f>
        <v>1.9744895944398374E-2</v>
      </c>
      <c r="V1970" s="4">
        <f>1/TWD!B1970</f>
        <v>3.3055665741108027E-2</v>
      </c>
      <c r="W1970" s="4">
        <f>1/TWD!C1970</f>
        <v>3.3056102817702201E-2</v>
      </c>
      <c r="X1970" s="4">
        <f>1/TWD!B1970</f>
        <v>3.3055665741108027E-2</v>
      </c>
      <c r="Y1970" s="4">
        <f>1/TWD!C1970</f>
        <v>3.3056102817702201E-2</v>
      </c>
      <c r="Z1970" s="4">
        <f>1/ZAR!B1970</f>
        <v>7.7220673518714436E-2</v>
      </c>
      <c r="AA1970" s="4">
        <f>1/ZAR!C1970</f>
        <v>7.682674800058388E-2</v>
      </c>
    </row>
    <row r="1971" spans="1:27" x14ac:dyDescent="0.25">
      <c r="A1971" t="str">
        <f>"28/07/2017"</f>
        <v>28/07/2017</v>
      </c>
      <c r="B1971" s="3">
        <f>AUD!B1971</f>
        <v>0.79520000000000002</v>
      </c>
      <c r="C1971" s="3">
        <f>AUD!C1971</f>
        <v>0.79490000000000005</v>
      </c>
      <c r="D1971" s="3">
        <f>1/CAD!B1971</f>
        <v>0.79732100143517781</v>
      </c>
      <c r="E1971" s="3">
        <f>1/CAD!C1971</f>
        <v>0.79770261646458196</v>
      </c>
      <c r="F1971" s="3">
        <f>EUR!B1971/1</f>
        <v>1.1712</v>
      </c>
      <c r="G1971" s="3">
        <f>EUR!C1971/1</f>
        <v>1.1731</v>
      </c>
      <c r="H1971" s="3">
        <f>GBP!B1971/1</f>
        <v>1.3088</v>
      </c>
      <c r="I1971" s="3">
        <f>GBP!C1971/1</f>
        <v>1.3101</v>
      </c>
      <c r="J1971" s="4">
        <f>1/INR!B1971</f>
        <v>1.5586642247593813E-2</v>
      </c>
      <c r="K1971" s="4">
        <f>1/INR!C1971</f>
        <v>1.5523731905149997E-2</v>
      </c>
      <c r="L1971" s="4">
        <f>1/JPY!B1971</f>
        <v>8.9879561387740427E-3</v>
      </c>
      <c r="M1971" s="4">
        <f>1/JPY!C1971</f>
        <v>8.9995797196270946E-3</v>
      </c>
      <c r="N1971" s="5">
        <f>1/KRW!B1971</f>
        <v>8.9110675458919974E-4</v>
      </c>
      <c r="O1971" s="5">
        <f>1/KRW!C1971</f>
        <v>8.9110437238182404E-4</v>
      </c>
      <c r="P1971" s="3">
        <f>1/NOK!B1971</f>
        <v>0.12562971896631867</v>
      </c>
      <c r="Q1971" s="3">
        <f>1/NOK!C1971</f>
        <v>0.1257118433127585</v>
      </c>
      <c r="R1971" s="3">
        <f>NZD!B1971/1</f>
        <v>0.74650000000000005</v>
      </c>
      <c r="S1971" s="3">
        <f>NZD!C1971/1</f>
        <v>0.74609999999999999</v>
      </c>
      <c r="T1971" s="4">
        <f>1/PHP!B1971</f>
        <v>1.9774569903104607E-2</v>
      </c>
      <c r="U1971" s="4">
        <f>1/PHP!C1971</f>
        <v>1.9745675697022354E-2</v>
      </c>
      <c r="V1971" s="4">
        <f>1/TWD!B1971</f>
        <v>3.2947843563638758E-2</v>
      </c>
      <c r="W1971" s="4">
        <f>1/TWD!C1971</f>
        <v>3.2948277793519734E-2</v>
      </c>
      <c r="X1971" s="4">
        <f>1/TWD!B1971</f>
        <v>3.2947843563638758E-2</v>
      </c>
      <c r="Y1971" s="4">
        <f>1/TWD!C1971</f>
        <v>3.2948277793519734E-2</v>
      </c>
      <c r="Z1971" s="4">
        <f>1/ZAR!B1971</f>
        <v>7.65345170671973E-2</v>
      </c>
      <c r="AA1971" s="4">
        <f>1/ZAR!C1971</f>
        <v>7.6142905004111708E-2</v>
      </c>
    </row>
    <row r="1972" spans="1:27" x14ac:dyDescent="0.25">
      <c r="A1972" t="str">
        <f>"31/07/2017"</f>
        <v>31/07/2017</v>
      </c>
      <c r="B1972" s="3">
        <f>AUD!B1972</f>
        <v>0.79800000000000004</v>
      </c>
      <c r="C1972" s="3">
        <f>AUD!C1972</f>
        <v>0.7974</v>
      </c>
      <c r="D1972" s="3">
        <f>1/CAD!B1972</f>
        <v>0.8025682182985554</v>
      </c>
      <c r="E1972" s="3">
        <f>1/CAD!C1972</f>
        <v>0.80295487393608478</v>
      </c>
      <c r="F1972" s="3">
        <f>EUR!B1972/1</f>
        <v>1.181</v>
      </c>
      <c r="G1972" s="3">
        <f>EUR!C1972/1</f>
        <v>1.1754</v>
      </c>
      <c r="H1972" s="3">
        <f>GBP!B1972/1</f>
        <v>1.319</v>
      </c>
      <c r="I1972" s="3">
        <f>GBP!C1972/1</f>
        <v>1.3141</v>
      </c>
      <c r="J1972" s="4">
        <f>1/INR!B1972</f>
        <v>1.5578143864158586E-2</v>
      </c>
      <c r="K1972" s="4">
        <f>1/INR!C1972</f>
        <v>1.5509286185103329E-2</v>
      </c>
      <c r="L1972" s="4">
        <f>1/JPY!B1972</f>
        <v>9.0473174703700355E-3</v>
      </c>
      <c r="M1972" s="4">
        <f>1/JPY!C1972</f>
        <v>9.0604987623358682E-3</v>
      </c>
      <c r="N1972" s="5">
        <f>1/KRW!B1972</f>
        <v>8.9341552756186902E-4</v>
      </c>
      <c r="O1972" s="5">
        <f>1/KRW!C1972</f>
        <v>8.934127339010376E-4</v>
      </c>
      <c r="P1972" s="3">
        <f>1/NOK!B1972</f>
        <v>0.12585265171537163</v>
      </c>
      <c r="Q1972" s="3">
        <f>1/NOK!C1972</f>
        <v>0.12594458438287154</v>
      </c>
      <c r="R1972" s="3">
        <f>NZD!B1972/1</f>
        <v>0.74909999999999999</v>
      </c>
      <c r="S1972" s="3">
        <f>NZD!C1972/1</f>
        <v>0.74860000000000004</v>
      </c>
      <c r="T1972" s="4">
        <f>1/PHP!B1972</f>
        <v>1.9817677368212445E-2</v>
      </c>
      <c r="U1972" s="4">
        <f>1/PHP!C1972</f>
        <v>1.9790615290229373E-2</v>
      </c>
      <c r="V1972" s="4">
        <f>1/TWD!B1972</f>
        <v>3.3083005260197834E-2</v>
      </c>
      <c r="W1972" s="4">
        <f>1/TWD!C1972</f>
        <v>3.3083443060086148E-2</v>
      </c>
      <c r="X1972" s="4">
        <f>1/TWD!B1972</f>
        <v>3.3083005260197834E-2</v>
      </c>
      <c r="Y1972" s="4">
        <f>1/TWD!C1972</f>
        <v>3.3083443060086148E-2</v>
      </c>
      <c r="Z1972" s="4">
        <f>1/ZAR!B1972</f>
        <v>7.5532694326739327E-2</v>
      </c>
      <c r="AA1972" s="4">
        <f>1/ZAR!C1972</f>
        <v>7.5746672827396055E-2</v>
      </c>
    </row>
    <row r="1973" spans="1:27" x14ac:dyDescent="0.25">
      <c r="A1973" t="str">
        <f>"01/08/2017"</f>
        <v>01/08/2017</v>
      </c>
      <c r="B1973" s="3">
        <f>AUD!B1973</f>
        <v>0.7984</v>
      </c>
      <c r="C1973" s="3">
        <f>AUD!C1973</f>
        <v>0.79810000000000003</v>
      </c>
      <c r="D1973" s="3">
        <f>1/CAD!B1973</f>
        <v>0.80108948169510541</v>
      </c>
      <c r="E1973" s="3">
        <f>1/CAD!C1973</f>
        <v>0.80147471347278987</v>
      </c>
      <c r="F1973" s="3">
        <f>EUR!B1973/1</f>
        <v>1.1819999999999999</v>
      </c>
      <c r="G1973" s="3">
        <f>EUR!C1973/1</f>
        <v>1.1839999999999999</v>
      </c>
      <c r="H1973" s="3">
        <f>GBP!B1973/1</f>
        <v>1.3208</v>
      </c>
      <c r="I1973" s="3">
        <f>GBP!C1973/1</f>
        <v>1.3222</v>
      </c>
      <c r="J1973" s="4">
        <f>1/INR!B1973</f>
        <v>1.5604275571506595E-2</v>
      </c>
      <c r="K1973" s="4">
        <f>1/INR!C1973</f>
        <v>1.5537600994406464E-2</v>
      </c>
      <c r="L1973" s="4">
        <f>1/JPY!B1973</f>
        <v>9.0555102780041658E-3</v>
      </c>
      <c r="M1973" s="4">
        <f>1/JPY!C1973</f>
        <v>9.0680246940448468E-3</v>
      </c>
      <c r="N1973" s="5">
        <f>1/KRW!B1973</f>
        <v>8.9182199233033086E-4</v>
      </c>
      <c r="O1973" s="5">
        <f>1/KRW!C1973</f>
        <v>8.9181920862638881E-4</v>
      </c>
      <c r="P1973" s="3">
        <f>1/NOK!B1973</f>
        <v>0.12663998784256117</v>
      </c>
      <c r="Q1973" s="3">
        <f>1/NOK!C1973</f>
        <v>0.12673146869099067</v>
      </c>
      <c r="R1973" s="3">
        <f>NZD!B1973/1</f>
        <v>0.74729999999999996</v>
      </c>
      <c r="S1973" s="3">
        <f>NZD!C1973/1</f>
        <v>0.74690000000000001</v>
      </c>
      <c r="T1973" s="4">
        <f>1/PHP!B1973</f>
        <v>1.9825535289452818E-2</v>
      </c>
      <c r="U1973" s="4">
        <f>1/PHP!C1973</f>
        <v>1.9797275894836871E-2</v>
      </c>
      <c r="V1973" s="4">
        <f>1/TWD!B1973</f>
        <v>3.3051295610787942E-2</v>
      </c>
      <c r="W1973" s="4">
        <f>1/TWD!C1973</f>
        <v>3.3051732571821417E-2</v>
      </c>
      <c r="X1973" s="4">
        <f>1/TWD!B1973</f>
        <v>3.3051295610787942E-2</v>
      </c>
      <c r="Y1973" s="4">
        <f>1/TWD!C1973</f>
        <v>3.3051732571821417E-2</v>
      </c>
      <c r="Z1973" s="4">
        <f>1/ZAR!B1973</f>
        <v>7.5268898138600146E-2</v>
      </c>
      <c r="AA1973" s="4">
        <f>1/ZAR!C1973</f>
        <v>7.4860945793189151E-2</v>
      </c>
    </row>
    <row r="1974" spans="1:27" x14ac:dyDescent="0.25">
      <c r="A1974" t="str">
        <f>"02/08/2017"</f>
        <v>02/08/2017</v>
      </c>
      <c r="B1974" s="3">
        <f>AUD!B1974</f>
        <v>0.79590000000000005</v>
      </c>
      <c r="C1974" s="3">
        <f>AUD!C1974</f>
        <v>0.79559999999999997</v>
      </c>
      <c r="D1974" s="3">
        <f>1/CAD!B1974</f>
        <v>0.7966857871255576</v>
      </c>
      <c r="E1974" s="3">
        <f>1/CAD!C1974</f>
        <v>0.79706679419735382</v>
      </c>
      <c r="F1974" s="3">
        <f>EUR!B1974/1</f>
        <v>1.1822999999999999</v>
      </c>
      <c r="G1974" s="3">
        <f>EUR!C1974/1</f>
        <v>1.1841999999999999</v>
      </c>
      <c r="H1974" s="3">
        <f>GBP!B1974/1</f>
        <v>1.3222</v>
      </c>
      <c r="I1974" s="3">
        <f>GBP!C1974/1</f>
        <v>1.3234999999999999</v>
      </c>
      <c r="J1974" s="4">
        <f>1/INR!B1974</f>
        <v>1.5696739002472235E-2</v>
      </c>
      <c r="K1974" s="4">
        <f>1/INR!C1974</f>
        <v>1.5631105900742476E-2</v>
      </c>
      <c r="L1974" s="4">
        <f>1/JPY!B1974</f>
        <v>9.0260853867677581E-3</v>
      </c>
      <c r="M1974" s="4">
        <f>1/JPY!C1974</f>
        <v>9.0382571348001824E-3</v>
      </c>
      <c r="N1974" s="5">
        <f>1/KRW!B1974</f>
        <v>8.8967971530249106E-4</v>
      </c>
      <c r="O1974" s="5">
        <f>1/KRW!C1974</f>
        <v>8.8967694495613227E-4</v>
      </c>
      <c r="P1974" s="3">
        <f>1/NOK!B1974</f>
        <v>0.12630408972642534</v>
      </c>
      <c r="Q1974" s="3">
        <f>1/NOK!C1974</f>
        <v>0.12639508575906569</v>
      </c>
      <c r="R1974" s="3">
        <f>NZD!B1974/1</f>
        <v>0.7419</v>
      </c>
      <c r="S1974" s="3">
        <f>NZD!C1974/1</f>
        <v>0.74150000000000005</v>
      </c>
      <c r="T1974" s="4">
        <f>1/PHP!B1974</f>
        <v>1.9833399444664813E-2</v>
      </c>
      <c r="U1974" s="4">
        <f>1/PHP!C1974</f>
        <v>1.9805117642398798E-2</v>
      </c>
      <c r="V1974" s="4">
        <f>1/TWD!B1974</f>
        <v>3.3052388035035532E-2</v>
      </c>
      <c r="W1974" s="4">
        <f>1/TWD!C1974</f>
        <v>3.3052715776391767E-2</v>
      </c>
      <c r="X1974" s="4">
        <f>1/TWD!B1974</f>
        <v>3.3052388035035532E-2</v>
      </c>
      <c r="Y1974" s="4">
        <f>1/TWD!C1974</f>
        <v>3.3052715776391767E-2</v>
      </c>
      <c r="Z1974" s="4">
        <f>1/ZAR!B1974</f>
        <v>7.5186839295649691E-2</v>
      </c>
      <c r="AA1974" s="4">
        <f>1/ZAR!C1974</f>
        <v>7.479095926884359E-2</v>
      </c>
    </row>
    <row r="1975" spans="1:27" x14ac:dyDescent="0.25">
      <c r="A1975" t="str">
        <f>"03/08/2017"</f>
        <v>03/08/2017</v>
      </c>
      <c r="B1975" s="3">
        <f>AUD!B1975</f>
        <v>0.79300000000000004</v>
      </c>
      <c r="C1975" s="3">
        <f>AUD!C1975</f>
        <v>0.79269999999999996</v>
      </c>
      <c r="D1975" s="3">
        <f>1/CAD!B1975</f>
        <v>0.79314720812182748</v>
      </c>
      <c r="E1975" s="3">
        <f>1/CAD!C1975</f>
        <v>0.79352483732740831</v>
      </c>
      <c r="F1975" s="3">
        <f>EUR!B1975/1</f>
        <v>1.1847000000000001</v>
      </c>
      <c r="G1975" s="3">
        <f>EUR!C1975/1</f>
        <v>1.1866000000000001</v>
      </c>
      <c r="H1975" s="3">
        <f>GBP!B1975/1</f>
        <v>1.3154999999999999</v>
      </c>
      <c r="I1975" s="3">
        <f>GBP!C1975/1</f>
        <v>1.3168</v>
      </c>
      <c r="J1975" s="4">
        <f>1/INR!B1975</f>
        <v>1.5699203265434281E-2</v>
      </c>
      <c r="K1975" s="4">
        <f>1/INR!C1975</f>
        <v>1.5635994058322257E-2</v>
      </c>
      <c r="L1975" s="4">
        <f>1/JPY!B1975</f>
        <v>9.0546903295907286E-3</v>
      </c>
      <c r="M1975" s="4">
        <f>1/JPY!C1975</f>
        <v>9.0662406742381858E-3</v>
      </c>
      <c r="N1975" s="5">
        <f>1/KRW!B1975</f>
        <v>8.8589652728561312E-4</v>
      </c>
      <c r="O1975" s="5">
        <f>1/KRW!C1975</f>
        <v>8.8589338804610893E-4</v>
      </c>
      <c r="P1975" s="3">
        <f>1/NOK!B1975</f>
        <v>0.12637112672496589</v>
      </c>
      <c r="Q1975" s="3">
        <f>1/NOK!C1975</f>
        <v>0.12645582265835431</v>
      </c>
      <c r="R1975" s="3">
        <f>NZD!B1975/1</f>
        <v>0.74139999999999995</v>
      </c>
      <c r="S1975" s="3">
        <f>NZD!C1975/1</f>
        <v>0.74099999999999999</v>
      </c>
      <c r="T1975" s="4">
        <f>1/PHP!B1975</f>
        <v>1.9892580067634769E-2</v>
      </c>
      <c r="U1975" s="4">
        <f>1/PHP!C1975</f>
        <v>1.9865905140302956E-2</v>
      </c>
      <c r="V1975" s="4">
        <f>1/TWD!B1975</f>
        <v>3.3079722130334104E-2</v>
      </c>
      <c r="W1975" s="4">
        <f>1/TWD!C1975</f>
        <v>3.308005041399683E-2</v>
      </c>
      <c r="X1975" s="4">
        <f>1/TWD!B1975</f>
        <v>3.3079722130334104E-2</v>
      </c>
      <c r="Y1975" s="4">
        <f>1/TWD!C1975</f>
        <v>3.308005041399683E-2</v>
      </c>
      <c r="Z1975" s="4">
        <f>1/ZAR!B1975</f>
        <v>7.5186839295649691E-2</v>
      </c>
      <c r="AA1975" s="4">
        <f>1/ZAR!C1975</f>
        <v>7.4791518641786028E-2</v>
      </c>
    </row>
    <row r="1976" spans="1:27" x14ac:dyDescent="0.25">
      <c r="A1976" t="str">
        <f>"04/08/2017"</f>
        <v>04/08/2017</v>
      </c>
      <c r="B1976" s="3">
        <f>AUD!B1976</f>
        <v>0.79710000000000003</v>
      </c>
      <c r="C1976" s="3">
        <f>AUD!C1976</f>
        <v>0.79679999999999995</v>
      </c>
      <c r="D1976" s="3">
        <f>1/CAD!B1976</f>
        <v>0.79522862823061624</v>
      </c>
      <c r="E1976" s="3">
        <f>1/CAD!C1976</f>
        <v>0.79560824250139239</v>
      </c>
      <c r="F1976" s="3">
        <f>EUR!B1976/1</f>
        <v>1.1874</v>
      </c>
      <c r="G1976" s="3">
        <f>EUR!C1976/1</f>
        <v>1.1892</v>
      </c>
      <c r="H1976" s="3">
        <f>GBP!B1976/1</f>
        <v>1.3143</v>
      </c>
      <c r="I1976" s="3">
        <f>GBP!C1976/1</f>
        <v>1.3156000000000001</v>
      </c>
      <c r="J1976" s="4">
        <f>1/INR!B1976</f>
        <v>1.5726361313151169E-2</v>
      </c>
      <c r="K1976" s="4">
        <f>1/INR!C1976</f>
        <v>1.5662933667475919E-2</v>
      </c>
      <c r="L1976" s="4">
        <f>1/JPY!B1976</f>
        <v>9.0876045074518349E-3</v>
      </c>
      <c r="M1976" s="4">
        <f>1/JPY!C1976</f>
        <v>9.0993383871058736E-3</v>
      </c>
      <c r="N1976" s="5">
        <f>1/KRW!B1976</f>
        <v>8.8888888888888893E-4</v>
      </c>
      <c r="O1976" s="5">
        <f>1/KRW!C1976</f>
        <v>8.8888612346539359E-4</v>
      </c>
      <c r="P1976" s="3">
        <f>1/NOK!B1976</f>
        <v>0.12668009475671088</v>
      </c>
      <c r="Q1976" s="3">
        <f>1/NOK!C1976</f>
        <v>0.12676199168441335</v>
      </c>
      <c r="R1976" s="3">
        <f>NZD!B1976/1</f>
        <v>0.74539999999999995</v>
      </c>
      <c r="S1976" s="3">
        <f>NZD!C1976/1</f>
        <v>0.745</v>
      </c>
      <c r="T1976" s="4">
        <f>1/PHP!B1976</f>
        <v>1.9936204146730464E-2</v>
      </c>
      <c r="U1976" s="4">
        <f>1/PHP!C1976</f>
        <v>1.9910403185664508E-2</v>
      </c>
      <c r="V1976" s="4">
        <f>1/TWD!B1976</f>
        <v>3.3055665741108027E-2</v>
      </c>
      <c r="W1976" s="4">
        <f>1/TWD!C1976</f>
        <v>3.3055993547470061E-2</v>
      </c>
      <c r="X1976" s="4">
        <f>1/TWD!B1976</f>
        <v>3.3055665741108027E-2</v>
      </c>
      <c r="Y1976" s="4">
        <f>1/TWD!C1976</f>
        <v>3.3055993547470061E-2</v>
      </c>
      <c r="Z1976" s="4">
        <f>1/ZAR!B1976</f>
        <v>7.4784806718667038E-2</v>
      </c>
      <c r="AA1976" s="4">
        <f>1/ZAR!C1976</f>
        <v>7.4392584547172333E-2</v>
      </c>
    </row>
    <row r="1977" spans="1:27" x14ac:dyDescent="0.25">
      <c r="A1977" t="str">
        <f>"07/08/2017"</f>
        <v>07/08/2017</v>
      </c>
      <c r="B1977" s="3">
        <f>AUD!B1977</f>
        <v>0.79090000000000005</v>
      </c>
      <c r="C1977" s="3">
        <f>AUD!C1977</f>
        <v>0.79059999999999997</v>
      </c>
      <c r="D1977" s="3">
        <f>1/CAD!B1977</f>
        <v>0.78845698967121347</v>
      </c>
      <c r="E1977" s="3">
        <f>1/CAD!C1977</f>
        <v>0.78883016486550439</v>
      </c>
      <c r="F1977" s="3">
        <f>EUR!B1977/1</f>
        <v>1.1798</v>
      </c>
      <c r="G1977" s="3">
        <f>EUR!C1977/1</f>
        <v>1.1818</v>
      </c>
      <c r="H1977" s="3">
        <f>GBP!B1977/1</f>
        <v>1.3053999999999999</v>
      </c>
      <c r="I1977" s="3">
        <f>GBP!C1977/1</f>
        <v>1.3068</v>
      </c>
      <c r="J1977" s="4">
        <f>1/INR!B1977</f>
        <v>1.5670296952127242E-2</v>
      </c>
      <c r="K1977" s="4">
        <f>1/INR!C1977</f>
        <v>1.5602449584584779E-2</v>
      </c>
      <c r="L1977" s="4">
        <f>1/JPY!B1977</f>
        <v>9.0260853867677581E-3</v>
      </c>
      <c r="M1977" s="4">
        <f>1/JPY!C1977</f>
        <v>9.0386574339793857E-3</v>
      </c>
      <c r="N1977" s="5">
        <f>1/KRW!B1977</f>
        <v>8.8707531269404771E-4</v>
      </c>
      <c r="O1977" s="5">
        <f>1/KRW!C1977</f>
        <v>8.8707255854346238E-4</v>
      </c>
      <c r="P1977" s="3">
        <f>1/NOK!B1977</f>
        <v>0.12583681481854331</v>
      </c>
      <c r="Q1977" s="3">
        <f>1/NOK!C1977</f>
        <v>0.12592238144407789</v>
      </c>
      <c r="R1977" s="3">
        <f>NZD!B1977/1</f>
        <v>0.73599999999999999</v>
      </c>
      <c r="S1977" s="3">
        <f>NZD!C1977/1</f>
        <v>0.73550000000000004</v>
      </c>
      <c r="T1977" s="4">
        <f>1/PHP!B1977</f>
        <v>1.9857029388403495E-2</v>
      </c>
      <c r="U1977" s="4">
        <f>1/PHP!C1977</f>
        <v>1.983143282102132E-2</v>
      </c>
      <c r="V1977" s="4">
        <f>1/TWD!B1977</f>
        <v>3.3075345637361905E-2</v>
      </c>
      <c r="W1977" s="4">
        <f>1/TWD!C1977</f>
        <v>3.3075673834165188E-2</v>
      </c>
      <c r="X1977" s="4">
        <f>1/TWD!B1977</f>
        <v>3.3075345637361905E-2</v>
      </c>
      <c r="Y1977" s="4">
        <f>1/TWD!C1977</f>
        <v>3.3075673834165188E-2</v>
      </c>
      <c r="Z1977" s="4">
        <f>1/ZAR!B1977</f>
        <v>7.4737298396137575E-2</v>
      </c>
      <c r="AA1977" s="4">
        <f>1/ZAR!C1977</f>
        <v>7.433341510008995E-2</v>
      </c>
    </row>
    <row r="1978" spans="1:27" x14ac:dyDescent="0.25">
      <c r="A1978" t="str">
        <f>"08/08/2017"</f>
        <v>08/08/2017</v>
      </c>
      <c r="B1978" s="3">
        <f>AUD!B1978</f>
        <v>0.79179999999999995</v>
      </c>
      <c r="C1978" s="3">
        <f>AUD!C1978</f>
        <v>0.79149999999999998</v>
      </c>
      <c r="D1978" s="3">
        <f>1/CAD!B1978</f>
        <v>0.78957757599684175</v>
      </c>
      <c r="E1978" s="3">
        <f>1/CAD!C1978</f>
        <v>0.79001422025596457</v>
      </c>
      <c r="F1978" s="3">
        <f>EUR!B1978/1</f>
        <v>1.1813</v>
      </c>
      <c r="G1978" s="3">
        <f>EUR!C1978/1</f>
        <v>1.1832</v>
      </c>
      <c r="H1978" s="3">
        <f>GBP!B1978/1</f>
        <v>1.3048999999999999</v>
      </c>
      <c r="I1978" s="3">
        <f>GBP!C1978/1</f>
        <v>1.3062</v>
      </c>
      <c r="J1978" s="4">
        <f>1/INR!B1978</f>
        <v>1.5683199372672024E-2</v>
      </c>
      <c r="K1978" s="4">
        <f>1/INR!C1978</f>
        <v>1.5617679212868968E-2</v>
      </c>
      <c r="L1978" s="4">
        <f>1/JPY!B1978</f>
        <v>9.0440444966989244E-3</v>
      </c>
      <c r="M1978" s="4">
        <f>1/JPY!C1978</f>
        <v>9.0561171354414764E-3</v>
      </c>
      <c r="N1978" s="5">
        <f>1/KRW!B1978</f>
        <v>8.8952143746664288E-4</v>
      </c>
      <c r="O1978" s="5">
        <f>1/KRW!C1978</f>
        <v>8.8951906372781433E-4</v>
      </c>
      <c r="P1978" s="3">
        <f>1/NOK!B1978</f>
        <v>0.12631685319455321</v>
      </c>
      <c r="Q1978" s="3">
        <f>1/NOK!C1978</f>
        <v>0.12640147636924401</v>
      </c>
      <c r="R1978" s="3">
        <f>NZD!B1978/1</f>
        <v>0.73580000000000001</v>
      </c>
      <c r="S1978" s="3">
        <f>NZD!C1978/1</f>
        <v>0.73529999999999995</v>
      </c>
      <c r="T1978" s="4">
        <f>1/PHP!B1978</f>
        <v>1.9833399444664813E-2</v>
      </c>
      <c r="U1978" s="4">
        <f>1/PHP!C1978</f>
        <v>1.9803940984255867E-2</v>
      </c>
      <c r="V1978" s="4">
        <f>1/TWD!B1978</f>
        <v>3.3062223103881509E-2</v>
      </c>
      <c r="W1978" s="4">
        <f>1/TWD!C1978</f>
        <v>3.3062551040313172E-2</v>
      </c>
      <c r="X1978" s="4">
        <f>1/TWD!B1978</f>
        <v>3.3062223103881509E-2</v>
      </c>
      <c r="Y1978" s="4">
        <f>1/TWD!C1978</f>
        <v>3.3062551040313172E-2</v>
      </c>
      <c r="Z1978" s="4">
        <f>1/ZAR!B1978</f>
        <v>7.5586361196985613E-2</v>
      </c>
      <c r="AA1978" s="4">
        <f>1/ZAR!C1978</f>
        <v>7.5190796646490463E-2</v>
      </c>
    </row>
    <row r="1979" spans="1:27" x14ac:dyDescent="0.25">
      <c r="A1979" t="str">
        <f>"09/08/2017"</f>
        <v>09/08/2017</v>
      </c>
      <c r="B1979" s="3">
        <f>AUD!B1979</f>
        <v>0.78890000000000005</v>
      </c>
      <c r="C1979" s="3">
        <f>AUD!C1979</f>
        <v>0.78859999999999997</v>
      </c>
      <c r="D1979" s="3">
        <f>1/CAD!B1979</f>
        <v>0.7885813421654444</v>
      </c>
      <c r="E1979" s="3">
        <f>1/CAD!C1979</f>
        <v>0.78895463510848118</v>
      </c>
      <c r="F1979" s="3">
        <f>EUR!B1979/1</f>
        <v>1.1738999999999999</v>
      </c>
      <c r="G1979" s="3">
        <f>EUR!C1979/1</f>
        <v>1.1757</v>
      </c>
      <c r="H1979" s="3">
        <f>GBP!B1979/1</f>
        <v>1.2990999999999999</v>
      </c>
      <c r="I1979" s="3">
        <f>GBP!C1979/1</f>
        <v>1.3004</v>
      </c>
      <c r="J1979" s="4">
        <f>1/INR!B1979</f>
        <v>1.5664160401002505E-2</v>
      </c>
      <c r="K1979" s="4">
        <f>1/INR!C1979</f>
        <v>1.5601232497367293E-2</v>
      </c>
      <c r="L1979" s="4">
        <f>1/JPY!B1979</f>
        <v>9.109957183201239E-3</v>
      </c>
      <c r="M1979" s="4">
        <f>1/JPY!C1979</f>
        <v>9.1217405740493772E-3</v>
      </c>
      <c r="N1979" s="5">
        <f>1/KRW!B1979</f>
        <v>8.8066930867459266E-4</v>
      </c>
      <c r="O1979" s="5">
        <f>1/KRW!C1979</f>
        <v>8.8066736973278347E-4</v>
      </c>
      <c r="P1979" s="3">
        <f>1/NOK!B1979</f>
        <v>0.12551933625374989</v>
      </c>
      <c r="Q1979" s="3">
        <f>1/NOK!C1979</f>
        <v>0.12559658377292138</v>
      </c>
      <c r="R1979" s="3">
        <f>NZD!B1979/1</f>
        <v>0.73260000000000003</v>
      </c>
      <c r="S1979" s="3">
        <f>NZD!C1979/1</f>
        <v>0.73219999999999996</v>
      </c>
      <c r="T1979" s="4">
        <f>1/PHP!B1979</f>
        <v>1.9770660340055358E-2</v>
      </c>
      <c r="U1979" s="4">
        <f>1/PHP!C1979</f>
        <v>1.974392134021738E-2</v>
      </c>
      <c r="V1979" s="4">
        <f>1/TWD!B1979</f>
        <v>3.3091763460074787E-2</v>
      </c>
      <c r="W1979" s="4">
        <f>1/TWD!C1979</f>
        <v>3.3092091982778876E-2</v>
      </c>
      <c r="X1979" s="4">
        <f>1/TWD!B1979</f>
        <v>3.3091763460074787E-2</v>
      </c>
      <c r="Y1979" s="4">
        <f>1/TWD!C1979</f>
        <v>3.3092091982778876E-2</v>
      </c>
      <c r="Z1979" s="4">
        <f>1/ZAR!B1979</f>
        <v>7.418397626112759E-2</v>
      </c>
      <c r="AA1979" s="4">
        <f>1/ZAR!C1979</f>
        <v>7.3798014833400982E-2</v>
      </c>
    </row>
    <row r="1980" spans="1:27" x14ac:dyDescent="0.25">
      <c r="A1980" t="str">
        <f>"10/08/2017"</f>
        <v>10/08/2017</v>
      </c>
      <c r="B1980" s="3">
        <f>AUD!B1980</f>
        <v>0.7883</v>
      </c>
      <c r="C1980" s="3">
        <f>AUD!C1980</f>
        <v>0.78800000000000003</v>
      </c>
      <c r="D1980" s="3">
        <f>1/CAD!B1980</f>
        <v>0.78616352201257855</v>
      </c>
      <c r="E1980" s="3">
        <f>1/CAD!C1980</f>
        <v>0.78647267007471489</v>
      </c>
      <c r="F1980" s="3">
        <f>EUR!B1980/1</f>
        <v>1.1715</v>
      </c>
      <c r="G1980" s="3">
        <f>EUR!C1980/1</f>
        <v>1.1733</v>
      </c>
      <c r="H1980" s="3">
        <f>GBP!B1980/1</f>
        <v>1.2999000000000001</v>
      </c>
      <c r="I1980" s="3">
        <f>GBP!C1980/1</f>
        <v>1.3011999999999999</v>
      </c>
      <c r="J1980" s="4">
        <f>1/INR!B1980</f>
        <v>1.5604275571506595E-2</v>
      </c>
      <c r="K1980" s="4">
        <f>1/INR!C1980</f>
        <v>1.5541223094257518E-2</v>
      </c>
      <c r="L1980" s="4">
        <f>1/JPY!B1980</f>
        <v>9.1041514930808448E-3</v>
      </c>
      <c r="M1980" s="4">
        <f>1/JPY!C1980</f>
        <v>9.1160029608777626E-3</v>
      </c>
      <c r="N1980" s="5">
        <f>1/KRW!B1980</f>
        <v>8.7573342674489882E-4</v>
      </c>
      <c r="O1980" s="5">
        <f>1/KRW!C1980</f>
        <v>8.7573150947650963E-4</v>
      </c>
      <c r="P1980" s="3">
        <f>1/NOK!B1980</f>
        <v>0.12550358312729828</v>
      </c>
      <c r="Q1980" s="3">
        <f>1/NOK!C1980</f>
        <v>0.12558238832586119</v>
      </c>
      <c r="R1980" s="3">
        <f>NZD!B1980/1</f>
        <v>0.7268</v>
      </c>
      <c r="S1980" s="3">
        <f>NZD!C1980/1</f>
        <v>0.72629999999999995</v>
      </c>
      <c r="T1980" s="4">
        <f>1/PHP!B1980</f>
        <v>1.968503937007874E-2</v>
      </c>
      <c r="U1980" s="4">
        <f>1/PHP!C1980</f>
        <v>1.9656792404615417E-2</v>
      </c>
      <c r="V1980" s="4">
        <f>1/TWD!B1980</f>
        <v>3.2991323281976841E-2</v>
      </c>
      <c r="W1980" s="4">
        <f>1/TWD!C1980</f>
        <v>3.2991649813432222E-2</v>
      </c>
      <c r="X1980" s="4">
        <f>1/TWD!B1980</f>
        <v>3.2991323281976841E-2</v>
      </c>
      <c r="Y1980" s="4">
        <f>1/TWD!C1980</f>
        <v>3.2991649813432222E-2</v>
      </c>
      <c r="Z1980" s="4">
        <f>1/ZAR!B1980</f>
        <v>7.4754617966524883E-2</v>
      </c>
      <c r="AA1980" s="4">
        <f>1/ZAR!C1980</f>
        <v>7.4366582632428291E-2</v>
      </c>
    </row>
    <row r="1981" spans="1:27" x14ac:dyDescent="0.25">
      <c r="A1981" t="str">
        <f>"11/08/2017"</f>
        <v>11/08/2017</v>
      </c>
      <c r="B1981" s="3">
        <f>AUD!B1981</f>
        <v>0.78610000000000002</v>
      </c>
      <c r="C1981" s="3">
        <f>AUD!C1981</f>
        <v>0.78580000000000005</v>
      </c>
      <c r="D1981" s="3">
        <f>1/CAD!B1981</f>
        <v>0.7862871520679352</v>
      </c>
      <c r="E1981" s="3">
        <f>1/CAD!C1981</f>
        <v>0.78659639738849985</v>
      </c>
      <c r="F1981" s="3">
        <f>EUR!B1981/1</f>
        <v>1.1767000000000001</v>
      </c>
      <c r="G1981" s="3">
        <f>EUR!C1981/1</f>
        <v>1.1786000000000001</v>
      </c>
      <c r="H1981" s="3">
        <f>GBP!B1981/1</f>
        <v>1.2984</v>
      </c>
      <c r="I1981" s="3">
        <f>GBP!C1981/1</f>
        <v>1.2997000000000001</v>
      </c>
      <c r="J1981" s="4">
        <f>1/INR!B1981</f>
        <v>1.5590287251042601E-2</v>
      </c>
      <c r="K1981" s="4">
        <f>1/INR!C1981</f>
        <v>1.5524334394162849E-2</v>
      </c>
      <c r="L1981" s="4">
        <f>1/JPY!B1981</f>
        <v>9.1642228739002921E-3</v>
      </c>
      <c r="M1981" s="4">
        <f>1/JPY!C1981</f>
        <v>9.1763408239803491E-3</v>
      </c>
      <c r="N1981" s="5">
        <f>1/KRW!B1981</f>
        <v>8.7427872005595392E-4</v>
      </c>
      <c r="O1981" s="5">
        <f>1/KRW!C1981</f>
        <v>8.7427642697212715E-4</v>
      </c>
      <c r="P1981" s="3">
        <f>1/NOK!B1981</f>
        <v>0.12505940321652786</v>
      </c>
      <c r="Q1981" s="3">
        <f>1/NOK!C1981</f>
        <v>0.12513765141655822</v>
      </c>
      <c r="R1981" s="3">
        <f>NZD!B1981/1</f>
        <v>0.72840000000000005</v>
      </c>
      <c r="S1981" s="3">
        <f>NZD!C1981/1</f>
        <v>0.72799999999999998</v>
      </c>
      <c r="T1981" s="4">
        <f>1/PHP!B1981</f>
        <v>1.9611688566385566E-2</v>
      </c>
      <c r="U1981" s="4">
        <f>1/PHP!C1981</f>
        <v>1.9582501077037559E-2</v>
      </c>
      <c r="V1981" s="4">
        <f>1/TWD!B1981</f>
        <v>3.2940246393043021E-2</v>
      </c>
      <c r="W1981" s="4">
        <f>1/TWD!C1981</f>
        <v>3.2940571914209571E-2</v>
      </c>
      <c r="X1981" s="4">
        <f>1/TWD!B1981</f>
        <v>3.2940246393043021E-2</v>
      </c>
      <c r="Y1981" s="4">
        <f>1/TWD!C1981</f>
        <v>3.2940571914209571E-2</v>
      </c>
      <c r="Z1981" s="4">
        <f>1/ZAR!B1981</f>
        <v>7.4086696251954035E-2</v>
      </c>
      <c r="AA1981" s="4">
        <f>1/ZAR!C1981</f>
        <v>7.3705003095610122E-2</v>
      </c>
    </row>
    <row r="1982" spans="1:27" x14ac:dyDescent="0.25">
      <c r="A1982" t="str">
        <f>"14/08/2017"</f>
        <v>14/08/2017</v>
      </c>
      <c r="B1982" s="3">
        <f>AUD!B1982</f>
        <v>0.78720000000000001</v>
      </c>
      <c r="C1982" s="3">
        <f>AUD!C1982</f>
        <v>0.78690000000000004</v>
      </c>
      <c r="D1982" s="3">
        <f>1/CAD!B1982</f>
        <v>0.78740157480314954</v>
      </c>
      <c r="E1982" s="3">
        <f>1/CAD!C1982</f>
        <v>0.78771169751870806</v>
      </c>
      <c r="F1982" s="3">
        <f>EUR!B1982/1</f>
        <v>1.1796</v>
      </c>
      <c r="G1982" s="3">
        <f>EUR!C1982/1</f>
        <v>1.1816</v>
      </c>
      <c r="H1982" s="3">
        <f>GBP!B1982/1</f>
        <v>1.2971999999999999</v>
      </c>
      <c r="I1982" s="3">
        <f>GBP!C1982/1</f>
        <v>1.2986</v>
      </c>
      <c r="J1982" s="4">
        <f>1/INR!B1982</f>
        <v>1.5593933959689681E-2</v>
      </c>
      <c r="K1982" s="4">
        <f>1/INR!C1982</f>
        <v>1.553277415346381E-2</v>
      </c>
      <c r="L1982" s="4">
        <f>1/JPY!B1982</f>
        <v>9.1166013310237937E-3</v>
      </c>
      <c r="M1982" s="4">
        <f>1/JPY!C1982</f>
        <v>9.1301854888483913E-3</v>
      </c>
      <c r="N1982" s="5">
        <f>1/KRW!B1982</f>
        <v>8.7734690296543255E-4</v>
      </c>
      <c r="O1982" s="5">
        <f>1/KRW!C1982</f>
        <v>8.7734420889214681E-4</v>
      </c>
      <c r="P1982" s="3">
        <f>1/NOK!B1982</f>
        <v>0.1261081755930237</v>
      </c>
      <c r="Q1982" s="3">
        <f>1/NOK!C1982</f>
        <v>0.12619251930745545</v>
      </c>
      <c r="R1982" s="3">
        <f>NZD!B1982/1</f>
        <v>0.72929999999999995</v>
      </c>
      <c r="S1982" s="3">
        <f>NZD!C1982/1</f>
        <v>0.7288</v>
      </c>
      <c r="T1982" s="4">
        <f>1/PHP!B1982</f>
        <v>1.9573302016050106E-2</v>
      </c>
      <c r="U1982" s="4">
        <f>1/PHP!C1982</f>
        <v>1.9544419579599535E-2</v>
      </c>
      <c r="V1982" s="4">
        <f>1/TWD!B1982</f>
        <v>3.2997855139415937E-2</v>
      </c>
      <c r="W1982" s="4">
        <f>1/TWD!C1982</f>
        <v>3.299818180018281E-2</v>
      </c>
      <c r="X1982" s="4">
        <f>1/TWD!B1982</f>
        <v>3.2997855139415937E-2</v>
      </c>
      <c r="Y1982" s="4">
        <f>1/TWD!C1982</f>
        <v>3.299818180018281E-2</v>
      </c>
      <c r="Z1982" s="4">
        <f>1/ZAR!B1982</f>
        <v>7.5182317119013603E-2</v>
      </c>
      <c r="AA1982" s="4">
        <f>1/ZAR!C1982</f>
        <v>7.476970929537026E-2</v>
      </c>
    </row>
    <row r="1983" spans="1:27" x14ac:dyDescent="0.25">
      <c r="A1983" t="str">
        <f>"16/08/2017"</f>
        <v>16/08/2017</v>
      </c>
      <c r="B1983" s="3">
        <f>AUD!B1983</f>
        <v>0.78320000000000001</v>
      </c>
      <c r="C1983" s="3">
        <f>AUD!C1983</f>
        <v>0.78290000000000004</v>
      </c>
      <c r="D1983" s="3">
        <f>1/CAD!B1983</f>
        <v>0.78388335815630628</v>
      </c>
      <c r="E1983" s="3">
        <f>1/CAD!C1983</f>
        <v>0.78419071518193229</v>
      </c>
      <c r="F1983" s="3">
        <f>EUR!B1983/1</f>
        <v>1.1739999999999999</v>
      </c>
      <c r="G1983" s="3">
        <f>EUR!C1983/1</f>
        <v>1.1758999999999999</v>
      </c>
      <c r="H1983" s="3">
        <f>GBP!B1983/1</f>
        <v>1.2869999999999999</v>
      </c>
      <c r="I1983" s="3">
        <f>GBP!C1983/1</f>
        <v>1.2883</v>
      </c>
      <c r="J1983" s="4">
        <f>1/INR!B1983</f>
        <v>1.5552099533437015E-2</v>
      </c>
      <c r="K1983" s="4">
        <f>1/INR!C1983</f>
        <v>1.5490066994539751E-2</v>
      </c>
      <c r="L1983" s="4">
        <f>1/JPY!B1983</f>
        <v>9.0334236675700084E-3</v>
      </c>
      <c r="M1983" s="4">
        <f>1/JPY!C1983</f>
        <v>9.0461716601534237E-3</v>
      </c>
      <c r="N1983" s="5">
        <f>1/KRW!B1983</f>
        <v>8.7466106883582614E-4</v>
      </c>
      <c r="O1983" s="5">
        <f>1/KRW!C1983</f>
        <v>8.7465839123207446E-4</v>
      </c>
      <c r="P1983" s="3">
        <f>1/NOK!B1983</f>
        <v>0.12568656284956575</v>
      </c>
      <c r="Q1983" s="3">
        <f>1/NOK!C1983</f>
        <v>0.12576401639962775</v>
      </c>
      <c r="R1983" s="3">
        <f>NZD!B1983/1</f>
        <v>0.72319999999999995</v>
      </c>
      <c r="S1983" s="3">
        <f>NZD!C1983/1</f>
        <v>0.72270000000000001</v>
      </c>
      <c r="T1983" s="4">
        <f>1/PHP!B1983</f>
        <v>1.9455252918287938E-2</v>
      </c>
      <c r="U1983" s="4">
        <f>1/PHP!C1983</f>
        <v>1.9426151485129283E-2</v>
      </c>
      <c r="V1983" s="4">
        <f>1/TWD!B1983</f>
        <v>3.2915308910174121E-2</v>
      </c>
      <c r="W1983" s="4">
        <f>1/TWD!C1983</f>
        <v>3.2915633938651843E-2</v>
      </c>
      <c r="X1983" s="4">
        <f>1/TWD!B1983</f>
        <v>3.2915308910174121E-2</v>
      </c>
      <c r="Y1983" s="4">
        <f>1/TWD!C1983</f>
        <v>3.2915633938651843E-2</v>
      </c>
      <c r="Z1983" s="4">
        <f>1/ZAR!B1983</f>
        <v>7.5044651567682766E-2</v>
      </c>
      <c r="AA1983" s="4">
        <f>1/ZAR!C1983</f>
        <v>7.4656951308736355E-2</v>
      </c>
    </row>
    <row r="1984" spans="1:27" x14ac:dyDescent="0.25">
      <c r="A1984" t="str">
        <f>"18/08/2017"</f>
        <v>18/08/2017</v>
      </c>
      <c r="B1984" s="3">
        <f>AUD!B1984</f>
        <v>0.79179999999999995</v>
      </c>
      <c r="C1984" s="3">
        <f>AUD!C1984</f>
        <v>0.79149999999999998</v>
      </c>
      <c r="D1984" s="3">
        <f>1/CAD!B1984</f>
        <v>0.79063883617963315</v>
      </c>
      <c r="E1984" s="3">
        <f>1/CAD!C1984</f>
        <v>0.79095151467215064</v>
      </c>
      <c r="F1984" s="3">
        <f>EUR!B1984/1</f>
        <v>1.1740999999999999</v>
      </c>
      <c r="G1984" s="3">
        <f>EUR!C1984/1</f>
        <v>1.1759999999999999</v>
      </c>
      <c r="H1984" s="3">
        <f>GBP!B1984/1</f>
        <v>1.2878000000000001</v>
      </c>
      <c r="I1984" s="3">
        <f>GBP!C1984/1</f>
        <v>1.2890999999999999</v>
      </c>
      <c r="J1984" s="4">
        <f>1/INR!B1984</f>
        <v>1.5587857059350766E-2</v>
      </c>
      <c r="K1984" s="4">
        <f>1/INR!C1984</f>
        <v>1.5525539512498059E-2</v>
      </c>
      <c r="L1984" s="4">
        <f>1/JPY!B1984</f>
        <v>9.1650627806800482E-3</v>
      </c>
      <c r="M1984" s="4">
        <f>1/JPY!C1984</f>
        <v>9.1773850876669706E-3</v>
      </c>
      <c r="N1984" s="5">
        <f>1/KRW!B1984</f>
        <v>8.7604029785370125E-4</v>
      </c>
      <c r="O1984" s="5">
        <f>1/KRW!C1984</f>
        <v>8.760376117988249E-4</v>
      </c>
      <c r="P1984" s="3">
        <f>1/NOK!B1984</f>
        <v>0.12599218848431396</v>
      </c>
      <c r="Q1984" s="3">
        <f>1/NOK!C1984</f>
        <v>0.12607478756398297</v>
      </c>
      <c r="R1984" s="3">
        <f>NZD!B1984/1</f>
        <v>0.73229999999999995</v>
      </c>
      <c r="S1984" s="3">
        <f>NZD!C1984/1</f>
        <v>0.73180000000000001</v>
      </c>
      <c r="T1984" s="4">
        <f>1/PHP!B1984</f>
        <v>1.9421246844047387E-2</v>
      </c>
      <c r="U1984" s="4">
        <f>1/PHP!C1984</f>
        <v>1.9392435011102171E-2</v>
      </c>
      <c r="V1984" s="4">
        <f>1/TWD!B1984</f>
        <v>3.2966308432781699E-2</v>
      </c>
      <c r="W1984" s="4">
        <f>1/TWD!C1984</f>
        <v>3.2966634469253665E-2</v>
      </c>
      <c r="X1984" s="4">
        <f>1/TWD!B1984</f>
        <v>3.2966308432781699E-2</v>
      </c>
      <c r="Y1984" s="4">
        <f>1/TWD!C1984</f>
        <v>3.2966634469253665E-2</v>
      </c>
      <c r="Z1984" s="4">
        <f>1/ZAR!B1984</f>
        <v>7.5650404351411252E-2</v>
      </c>
      <c r="AA1984" s="4">
        <f>1/ZAR!C1984</f>
        <v>7.5264932562620415E-2</v>
      </c>
    </row>
    <row r="1985" spans="1:27" x14ac:dyDescent="0.25">
      <c r="A1985" t="str">
        <f>"21/08/2017"</f>
        <v>21/08/2017</v>
      </c>
      <c r="B1985" s="3">
        <f>AUD!B1985</f>
        <v>0.79300000000000004</v>
      </c>
      <c r="C1985" s="3">
        <f>AUD!C1985</f>
        <v>0.79269999999999996</v>
      </c>
      <c r="D1985" s="3">
        <f>1/CAD!B1985</f>
        <v>0.79377678996666134</v>
      </c>
      <c r="E1985" s="3">
        <f>1/CAD!C1985</f>
        <v>0.79409195584848724</v>
      </c>
      <c r="F1985" s="3">
        <f>EUR!B1985/1</f>
        <v>1.1760999999999999</v>
      </c>
      <c r="G1985" s="3">
        <f>EUR!C1985/1</f>
        <v>1.1780999999999999</v>
      </c>
      <c r="H1985" s="3">
        <f>GBP!B1985/1</f>
        <v>1.2883</v>
      </c>
      <c r="I1985" s="3">
        <f>GBP!C1985/1</f>
        <v>1.2896000000000001</v>
      </c>
      <c r="J1985" s="4">
        <f>1/INR!B1985</f>
        <v>1.5589679632083561E-2</v>
      </c>
      <c r="K1985" s="4">
        <f>1/INR!C1985</f>
        <v>1.5523731905149997E-2</v>
      </c>
      <c r="L1985" s="4">
        <f>1/JPY!B1985</f>
        <v>9.1743119266055051E-3</v>
      </c>
      <c r="M1985" s="4">
        <f>1/JPY!C1985</f>
        <v>9.1872499345408438E-3</v>
      </c>
      <c r="N1985" s="5">
        <f>1/KRW!B1985</f>
        <v>8.7788605039065934E-4</v>
      </c>
      <c r="O1985" s="5">
        <f>1/KRW!C1985</f>
        <v>8.7788335300523614E-4</v>
      </c>
      <c r="P1985" s="3">
        <f>1/NOK!B1985</f>
        <v>0.12660631765525099</v>
      </c>
      <c r="Q1985" s="3">
        <f>1/NOK!C1985</f>
        <v>0.12669453946534906</v>
      </c>
      <c r="R1985" s="3">
        <f>NZD!B1985/1</f>
        <v>0.73150000000000004</v>
      </c>
      <c r="S1985" s="3">
        <f>NZD!C1985/1</f>
        <v>0.73099999999999998</v>
      </c>
      <c r="T1985" s="4">
        <f>1/PHP!B1985</f>
        <v>1.9421246844047387E-2</v>
      </c>
      <c r="U1985" s="4">
        <f>1/PHP!C1985</f>
        <v>1.9393751333320403E-2</v>
      </c>
      <c r="V1985" s="4">
        <f>1/TWD!B1985</f>
        <v>3.2970656116056714E-2</v>
      </c>
      <c r="W1985" s="4">
        <f>1/TWD!C1985</f>
        <v>3.2971090947457267E-2</v>
      </c>
      <c r="X1985" s="4">
        <f>1/TWD!B1985</f>
        <v>3.2970656116056714E-2</v>
      </c>
      <c r="Y1985" s="4">
        <f>1/TWD!C1985</f>
        <v>3.2971090947457267E-2</v>
      </c>
      <c r="Z1985" s="4">
        <f>1/ZAR!B1985</f>
        <v>7.5710543450280887E-2</v>
      </c>
      <c r="AA1985" s="4">
        <f>1/ZAR!C1985</f>
        <v>7.5290432844698427E-2</v>
      </c>
    </row>
    <row r="1986" spans="1:27" x14ac:dyDescent="0.25">
      <c r="A1986" t="str">
        <f>"22/08/2017"</f>
        <v>22/08/2017</v>
      </c>
      <c r="B1986" s="3">
        <f>AUD!B1986</f>
        <v>0.7903</v>
      </c>
      <c r="C1986" s="3">
        <f>AUD!C1986</f>
        <v>0.79</v>
      </c>
      <c r="D1986" s="3">
        <f>1/CAD!B1986</f>
        <v>0.79472303902090125</v>
      </c>
      <c r="E1986" s="3">
        <f>1/CAD!C1986</f>
        <v>0.79503895690888848</v>
      </c>
      <c r="F1986" s="3">
        <f>EUR!B1986/1</f>
        <v>1.1759999999999999</v>
      </c>
      <c r="G1986" s="3">
        <f>EUR!C1986/1</f>
        <v>1.1778999999999999</v>
      </c>
      <c r="H1986" s="3">
        <f>GBP!B1986/1</f>
        <v>1.2826</v>
      </c>
      <c r="I1986" s="3">
        <f>GBP!C1986/1</f>
        <v>1.2839</v>
      </c>
      <c r="J1986" s="4">
        <f>1/INR!B1986</f>
        <v>1.5598190609889253E-2</v>
      </c>
      <c r="K1986" s="4">
        <f>1/INR!C1986</f>
        <v>1.5533980582524271E-2</v>
      </c>
      <c r="L1986" s="4">
        <f>1/JPY!B1986</f>
        <v>9.1357573542846706E-3</v>
      </c>
      <c r="M1986" s="4">
        <f>1/JPY!C1986</f>
        <v>9.1478000912950455E-3</v>
      </c>
      <c r="N1986" s="5">
        <f>1/KRW!B1986</f>
        <v>8.8183421516754845E-4</v>
      </c>
      <c r="O1986" s="5">
        <f>1/KRW!C1986</f>
        <v>8.8183149346540821E-4</v>
      </c>
      <c r="P1986" s="3">
        <f>1/NOK!B1986</f>
        <v>0.12632802334541871</v>
      </c>
      <c r="Q1986" s="3">
        <f>1/NOK!C1986</f>
        <v>0.12641266149217506</v>
      </c>
      <c r="R1986" s="3">
        <f>NZD!B1986/1</f>
        <v>0.7278</v>
      </c>
      <c r="S1986" s="3">
        <f>NZD!C1986/1</f>
        <v>0.72729999999999995</v>
      </c>
      <c r="T1986" s="4">
        <f>1/PHP!B1986</f>
        <v>1.9512195121951219E-2</v>
      </c>
      <c r="U1986" s="4">
        <f>1/PHP!C1986</f>
        <v>1.9483492610885427E-2</v>
      </c>
      <c r="V1986" s="4">
        <f>1/TWD!B1986</f>
        <v>3.3002211148146929E-2</v>
      </c>
      <c r="W1986" s="4">
        <f>1/TWD!C1986</f>
        <v>3.3002646812274349E-2</v>
      </c>
      <c r="X1986" s="4">
        <f>1/TWD!B1986</f>
        <v>3.3002211148146929E-2</v>
      </c>
      <c r="Y1986" s="4">
        <f>1/TWD!C1986</f>
        <v>3.3002646812274349E-2</v>
      </c>
      <c r="Z1986" s="4">
        <f>1/ZAR!B1986</f>
        <v>7.568991356211871E-2</v>
      </c>
      <c r="AA1986" s="4">
        <f>1/ZAR!C1986</f>
        <v>7.5281364098317455E-2</v>
      </c>
    </row>
    <row r="1987" spans="1:27" x14ac:dyDescent="0.25">
      <c r="A1987" t="str">
        <f>"23/08/2017"</f>
        <v>23/08/2017</v>
      </c>
      <c r="B1987" s="3">
        <f>AUD!B1987</f>
        <v>0.79059999999999997</v>
      </c>
      <c r="C1987" s="3">
        <f>AUD!C1987</f>
        <v>0.7903</v>
      </c>
      <c r="D1987" s="3">
        <f>1/CAD!B1987</f>
        <v>0.79567154678548702</v>
      </c>
      <c r="E1987" s="3">
        <f>1/CAD!C1987</f>
        <v>0.79598821937435327</v>
      </c>
      <c r="F1987" s="3">
        <f>EUR!B1987/1</f>
        <v>1.1796</v>
      </c>
      <c r="G1987" s="3">
        <f>EUR!C1987/1</f>
        <v>1.1815</v>
      </c>
      <c r="H1987" s="3">
        <f>GBP!B1987/1</f>
        <v>1.2811999999999999</v>
      </c>
      <c r="I1987" s="3">
        <f>GBP!C1987/1</f>
        <v>1.2825</v>
      </c>
      <c r="J1987" s="4">
        <f>1/INR!B1987</f>
        <v>1.5595757953836555E-2</v>
      </c>
      <c r="K1987" s="4">
        <f>1/INR!C1987</f>
        <v>1.553277415346381E-2</v>
      </c>
      <c r="L1987" s="4">
        <f>1/JPY!B1987</f>
        <v>9.1533180778032037E-3</v>
      </c>
      <c r="M1987" s="4">
        <f>1/JPY!C1987</f>
        <v>9.1653315833660227E-3</v>
      </c>
      <c r="N1987" s="5">
        <f>1/KRW!B1987</f>
        <v>8.8347027122537324E-4</v>
      </c>
      <c r="O1987" s="5">
        <f>1/KRW!C1987</f>
        <v>8.8346753941480002E-4</v>
      </c>
      <c r="P1987" s="3">
        <f>1/NOK!B1987</f>
        <v>0.12670417110131266</v>
      </c>
      <c r="Q1987" s="3">
        <f>1/NOK!C1987</f>
        <v>0.12678770666396186</v>
      </c>
      <c r="R1987" s="3">
        <f>NZD!B1987/1</f>
        <v>0.72330000000000005</v>
      </c>
      <c r="S1987" s="3">
        <f>NZD!C1987/1</f>
        <v>0.7228</v>
      </c>
      <c r="T1987" s="4">
        <f>1/PHP!B1987</f>
        <v>1.95160031225605E-2</v>
      </c>
      <c r="U1987" s="4">
        <f>1/PHP!C1987</f>
        <v>1.9487479294553252E-2</v>
      </c>
      <c r="V1987" s="4">
        <f>1/TWD!B1987</f>
        <v>3.3015286077453861E-2</v>
      </c>
      <c r="W1987" s="4">
        <f>1/TWD!C1987</f>
        <v>3.3015613083427153E-2</v>
      </c>
      <c r="X1987" s="4">
        <f>1/TWD!B1987</f>
        <v>3.3015286077453861E-2</v>
      </c>
      <c r="Y1987" s="4">
        <f>1/TWD!C1987</f>
        <v>3.3015613083427153E-2</v>
      </c>
      <c r="Z1987" s="4">
        <f>1/ZAR!B1987</f>
        <v>7.5414212562499527E-2</v>
      </c>
      <c r="AA1987" s="4">
        <f>1/ZAR!C1987</f>
        <v>7.5017066382602041E-2</v>
      </c>
    </row>
    <row r="1988" spans="1:27" x14ac:dyDescent="0.25">
      <c r="A1988" t="str">
        <f>"24/08/2017"</f>
        <v>24/08/2017</v>
      </c>
      <c r="B1988" s="3">
        <f>AUD!B1988</f>
        <v>0.78910000000000002</v>
      </c>
      <c r="C1988" s="3">
        <f>AUD!C1988</f>
        <v>0.78879999999999995</v>
      </c>
      <c r="D1988" s="3">
        <f>1/CAD!B1988</f>
        <v>0.79789356099896269</v>
      </c>
      <c r="E1988" s="3">
        <f>1/CAD!C1988</f>
        <v>0.79814829595338821</v>
      </c>
      <c r="F1988" s="3">
        <f>EUR!B1988/1</f>
        <v>1.1798</v>
      </c>
      <c r="G1988" s="3">
        <f>EUR!C1988/1</f>
        <v>1.1817</v>
      </c>
      <c r="H1988" s="3">
        <f>GBP!B1988/1</f>
        <v>1.2818000000000001</v>
      </c>
      <c r="I1988" s="3">
        <f>GBP!C1988/1</f>
        <v>1.2830999999999999</v>
      </c>
      <c r="J1988" s="4">
        <f>1/INR!B1988</f>
        <v>1.5615850087839158E-2</v>
      </c>
      <c r="K1988" s="4">
        <f>1/INR!C1988</f>
        <v>1.5553913753548235E-2</v>
      </c>
      <c r="L1988" s="4">
        <f>1/JPY!B1988</f>
        <v>9.1382619025861273E-3</v>
      </c>
      <c r="M1988" s="4">
        <f>1/JPY!C1988</f>
        <v>9.1503614850304664E-3</v>
      </c>
      <c r="N1988" s="5">
        <f>1/KRW!B1988</f>
        <v>8.8652482269503544E-4</v>
      </c>
      <c r="O1988" s="5">
        <f>1/KRW!C1988</f>
        <v>8.8652207196165608E-4</v>
      </c>
      <c r="P1988" s="3">
        <f>1/NOK!B1988</f>
        <v>0.12739827247942517</v>
      </c>
      <c r="Q1988" s="3">
        <f>1/NOK!C1988</f>
        <v>0.12748272609061473</v>
      </c>
      <c r="R1988" s="3">
        <f>NZD!B1988/1</f>
        <v>0.72099999999999997</v>
      </c>
      <c r="S1988" s="3">
        <f>NZD!C1988/1</f>
        <v>0.72050000000000003</v>
      </c>
      <c r="T1988" s="4">
        <f>1/PHP!B1988</f>
        <v>1.9600156801254411E-2</v>
      </c>
      <c r="U1988" s="4">
        <f>1/PHP!C1988</f>
        <v>1.9572152741079991E-2</v>
      </c>
      <c r="V1988" s="4">
        <f>1/TWD!B1988</f>
        <v>3.3040375338663851E-2</v>
      </c>
      <c r="W1988" s="4">
        <f>1/TWD!C1988</f>
        <v>3.3040702841830853E-2</v>
      </c>
      <c r="X1988" s="4">
        <f>1/TWD!B1988</f>
        <v>3.3040375338663851E-2</v>
      </c>
      <c r="Y1988" s="4">
        <f>1/TWD!C1988</f>
        <v>3.3040702841830853E-2</v>
      </c>
      <c r="Z1988" s="4">
        <f>1/ZAR!B1988</f>
        <v>7.5658417377225298E-2</v>
      </c>
      <c r="AA1988" s="4">
        <f>1/ZAR!C1988</f>
        <v>7.5272864132480244E-2</v>
      </c>
    </row>
    <row r="1989" spans="1:27" x14ac:dyDescent="0.25">
      <c r="A1989" t="str">
        <f>"28/08/2017"</f>
        <v>28/08/2017</v>
      </c>
      <c r="B1989" s="3">
        <f>AUD!B1989</f>
        <v>0.79459999999999997</v>
      </c>
      <c r="C1989" s="3">
        <f>AUD!C1989</f>
        <v>0.79430000000000001</v>
      </c>
      <c r="D1989" s="3">
        <f>1/CAD!B1989</f>
        <v>0.80205325633622082</v>
      </c>
      <c r="E1989" s="3">
        <f>1/CAD!C1989</f>
        <v>0.80237503008906363</v>
      </c>
      <c r="F1989" s="3">
        <f>EUR!B1989/1</f>
        <v>1.1926000000000001</v>
      </c>
      <c r="G1989" s="3">
        <f>EUR!C1989/1</f>
        <v>1.1943999999999999</v>
      </c>
      <c r="H1989" s="3">
        <f>GBP!B1989/1</f>
        <v>1.2912999999999999</v>
      </c>
      <c r="I1989" s="3">
        <f>GBP!C1989/1</f>
        <v>1.2925</v>
      </c>
      <c r="J1989" s="4">
        <f>1/INR!B1989</f>
        <v>1.5644555694618274E-2</v>
      </c>
      <c r="K1989" s="4">
        <f>1/INR!C1989</f>
        <v>1.5584820384945061E-2</v>
      </c>
      <c r="L1989" s="4">
        <f>1/JPY!B1989</f>
        <v>9.1524803221673078E-3</v>
      </c>
      <c r="M1989" s="4">
        <f>1/JPY!C1989</f>
        <v>9.164189280831082E-3</v>
      </c>
      <c r="N1989" s="5">
        <f>1/KRW!B1989</f>
        <v>8.9261804873694555E-4</v>
      </c>
      <c r="O1989" s="5">
        <f>1/KRW!C1989</f>
        <v>8.9261526006122454E-4</v>
      </c>
      <c r="P1989" s="3">
        <f>1/NOK!B1989</f>
        <v>0.12865707742582919</v>
      </c>
      <c r="Q1989" s="3">
        <f>1/NOK!C1989</f>
        <v>0.12873989391832741</v>
      </c>
      <c r="R1989" s="3">
        <f>NZD!B1989/1</f>
        <v>0.72440000000000004</v>
      </c>
      <c r="S1989" s="3">
        <f>NZD!C1989/1</f>
        <v>0.72399999999999998</v>
      </c>
      <c r="T1989" s="4">
        <f>1/PHP!B1989</f>
        <v>1.9556077050943581E-2</v>
      </c>
      <c r="U1989" s="4">
        <f>1/PHP!C1989</f>
        <v>1.9527054734334422E-2</v>
      </c>
      <c r="V1989" s="4">
        <f>1/TWD!B1989</f>
        <v>3.3153200941550907E-2</v>
      </c>
      <c r="W1989" s="4">
        <f>1/TWD!C1989</f>
        <v>3.3153640601274424E-2</v>
      </c>
      <c r="X1989" s="4">
        <f>1/TWD!B1989</f>
        <v>3.3153200941550907E-2</v>
      </c>
      <c r="Y1989" s="4">
        <f>1/TWD!C1989</f>
        <v>3.3153640601274424E-2</v>
      </c>
      <c r="Z1989" s="4">
        <f>1/ZAR!B1989</f>
        <v>7.6584925023358411E-2</v>
      </c>
      <c r="AA1989" s="4">
        <f>1/ZAR!C1989</f>
        <v>7.6206152884783926E-2</v>
      </c>
    </row>
    <row r="1990" spans="1:27" x14ac:dyDescent="0.25">
      <c r="A1990" t="str">
        <f>"29/08/2017"</f>
        <v>29/08/2017</v>
      </c>
      <c r="B1990" s="3">
        <f>AUD!B1990</f>
        <v>0.79779999999999995</v>
      </c>
      <c r="C1990" s="3">
        <f>AUD!C1990</f>
        <v>0.79749999999999999</v>
      </c>
      <c r="D1990" s="3">
        <f>1/CAD!B1990</f>
        <v>0.80211759043875841</v>
      </c>
      <c r="E1990" s="3">
        <f>1/CAD!C1990</f>
        <v>0.80243941582410527</v>
      </c>
      <c r="F1990" s="3">
        <f>EUR!B1990/1</f>
        <v>1.2043999999999999</v>
      </c>
      <c r="G1990" s="3">
        <f>EUR!C1990/1</f>
        <v>1.2061999999999999</v>
      </c>
      <c r="H1990" s="3">
        <f>GBP!B1990/1</f>
        <v>1.2950999999999999</v>
      </c>
      <c r="I1990" s="3">
        <f>GBP!C1990/1</f>
        <v>1.2963</v>
      </c>
      <c r="J1990" s="4">
        <f>1/INR!B1990</f>
        <v>1.5618289016438249E-2</v>
      </c>
      <c r="K1990" s="4">
        <f>1/INR!C1990</f>
        <v>1.5561780267662619E-2</v>
      </c>
      <c r="L1990" s="4">
        <f>1/JPY!B1990</f>
        <v>9.2114959469417838E-3</v>
      </c>
      <c r="M1990" s="4">
        <f>1/JPY!C1990</f>
        <v>9.2229821959551681E-3</v>
      </c>
      <c r="N1990" s="5">
        <f>1/KRW!B1990</f>
        <v>8.8770528184642697E-4</v>
      </c>
      <c r="O1990" s="5">
        <f>1/KRW!C1990</f>
        <v>8.8770252378266024E-4</v>
      </c>
      <c r="P1990" s="3">
        <f>1/NOK!B1990</f>
        <v>0.12969663956006899</v>
      </c>
      <c r="Q1990" s="3">
        <f>1/NOK!C1990</f>
        <v>0.12977911594466218</v>
      </c>
      <c r="R1990" s="3">
        <f>NZD!B1990/1</f>
        <v>0.72899999999999998</v>
      </c>
      <c r="S1990" s="3">
        <f>NZD!C1990/1</f>
        <v>0.72860000000000003</v>
      </c>
      <c r="T1990" s="4">
        <f>1/PHP!B1990</f>
        <v>1.9535065442469232E-2</v>
      </c>
      <c r="U1990" s="4">
        <f>1/PHP!C1990</f>
        <v>1.9506105410993641E-2</v>
      </c>
      <c r="V1990" s="4">
        <f>1/TWD!B1990</f>
        <v>3.3107101473266017E-2</v>
      </c>
      <c r="W1990" s="4">
        <f>1/TWD!C1990</f>
        <v>3.3107430300582358E-2</v>
      </c>
      <c r="X1990" s="4">
        <f>1/TWD!B1990</f>
        <v>3.3107101473266017E-2</v>
      </c>
      <c r="Y1990" s="4">
        <f>1/TWD!C1990</f>
        <v>3.3107430300582358E-2</v>
      </c>
      <c r="Z1990" s="4">
        <f>1/ZAR!B1990</f>
        <v>7.7169425473627346E-2</v>
      </c>
      <c r="AA1990" s="4">
        <f>1/ZAR!C1990</f>
        <v>7.6801376280662956E-2</v>
      </c>
    </row>
    <row r="1991" spans="1:27" x14ac:dyDescent="0.25">
      <c r="A1991" t="str">
        <f>"30/08/2017"</f>
        <v>30/08/2017</v>
      </c>
      <c r="B1991" s="3">
        <f>AUD!B1991</f>
        <v>0.7994</v>
      </c>
      <c r="C1991" s="3">
        <f>AUD!C1991</f>
        <v>0.79910000000000003</v>
      </c>
      <c r="D1991" s="3">
        <f>1/CAD!B1991</f>
        <v>0.79974408189379398</v>
      </c>
      <c r="E1991" s="3">
        <f>1/CAD!C1991</f>
        <v>0.8</v>
      </c>
      <c r="F1991" s="3">
        <f>EUR!B1991/1</f>
        <v>1.1980999999999999</v>
      </c>
      <c r="G1991" s="3">
        <f>EUR!C1991/1</f>
        <v>1.2001999999999999</v>
      </c>
      <c r="H1991" s="3">
        <f>GBP!B1991/1</f>
        <v>1.2932999999999999</v>
      </c>
      <c r="I1991" s="3">
        <f>GBP!C1991/1</f>
        <v>1.2947</v>
      </c>
      <c r="J1991" s="4">
        <f>1/INR!B1991</f>
        <v>1.5639050709621925E-2</v>
      </c>
      <c r="K1991" s="4">
        <f>1/INR!C1991</f>
        <v>1.5582391897156215E-2</v>
      </c>
      <c r="L1991" s="4">
        <f>1/JPY!B1991</f>
        <v>9.1107871720116605E-3</v>
      </c>
      <c r="M1991" s="4">
        <f>1/JPY!C1991</f>
        <v>9.1244455758756962E-3</v>
      </c>
      <c r="N1991" s="5">
        <f>1/KRW!B1991</f>
        <v>8.9126559714795004E-4</v>
      </c>
      <c r="O1991" s="5">
        <f>1/KRW!C1991</f>
        <v>8.9126281691634651E-4</v>
      </c>
      <c r="P1991" s="3">
        <f>1/NOK!B1991</f>
        <v>0.12912055986674759</v>
      </c>
      <c r="Q1991" s="3">
        <f>1/NOK!C1991</f>
        <v>0.1292006356671275</v>
      </c>
      <c r="R1991" s="3">
        <f>NZD!B1991/1</f>
        <v>0.72729999999999995</v>
      </c>
      <c r="S1991" s="3">
        <f>NZD!C1991/1</f>
        <v>0.72689999999999999</v>
      </c>
      <c r="T1991" s="4">
        <f>1/PHP!B1991</f>
        <v>1.9535065442469232E-2</v>
      </c>
      <c r="U1991" s="4">
        <f>1/PHP!C1991</f>
        <v>1.9503061980730974E-2</v>
      </c>
      <c r="V1991" s="4">
        <f>1/TWD!B1991</f>
        <v>3.3178500331785002E-2</v>
      </c>
      <c r="W1991" s="4">
        <f>1/TWD!C1991</f>
        <v>3.317894066278252E-2</v>
      </c>
      <c r="X1991" s="4">
        <f>1/TWD!B1991</f>
        <v>3.3178500331785002E-2</v>
      </c>
      <c r="Y1991" s="4">
        <f>1/TWD!C1991</f>
        <v>3.317894066278252E-2</v>
      </c>
      <c r="Z1991" s="4">
        <f>1/ZAR!B1991</f>
        <v>7.7010750700797825E-2</v>
      </c>
      <c r="AA1991" s="4">
        <f>1/ZAR!C1991</f>
        <v>7.6620132706069849E-2</v>
      </c>
    </row>
    <row r="1992" spans="1:27" x14ac:dyDescent="0.25">
      <c r="A1992" t="str">
        <f>"31/08/2017"</f>
        <v>31/08/2017</v>
      </c>
      <c r="B1992" s="3">
        <f>AUD!B1992</f>
        <v>0.79269999999999996</v>
      </c>
      <c r="C1992" s="3">
        <f>AUD!C1992</f>
        <v>0.78790000000000004</v>
      </c>
      <c r="D1992" s="3">
        <f>1/CAD!B1992</f>
        <v>0.79032640480518446</v>
      </c>
      <c r="E1992" s="3">
        <f>1/CAD!C1992</f>
        <v>0.79057633014467554</v>
      </c>
      <c r="F1992" s="3">
        <f>EUR!B1992/1</f>
        <v>1.1879999999999999</v>
      </c>
      <c r="G1992" s="3">
        <f>EUR!C1992/1</f>
        <v>1.1863999999999999</v>
      </c>
      <c r="H1992" s="3">
        <f>GBP!B1992/1</f>
        <v>1.2894000000000001</v>
      </c>
      <c r="I1992" s="3">
        <f>GBP!C1992/1</f>
        <v>1.2877000000000001</v>
      </c>
      <c r="J1992" s="4">
        <f>1/INR!B1992</f>
        <v>1.5647003598810827E-2</v>
      </c>
      <c r="K1992" s="4">
        <f>1/INR!C1992</f>
        <v>1.5589679632083561E-2</v>
      </c>
      <c r="L1992" s="4">
        <f>1/JPY!B1992</f>
        <v>9.0424088977303554E-3</v>
      </c>
      <c r="M1992" s="4">
        <f>1/JPY!C1992</f>
        <v>9.0553872762753375E-3</v>
      </c>
      <c r="N1992" s="5">
        <f>1/KRW!B1992</f>
        <v>8.869179600886918E-4</v>
      </c>
      <c r="O1992" s="5">
        <f>1/KRW!C1992</f>
        <v>8.8691560022456704E-4</v>
      </c>
      <c r="P1992" s="3">
        <f>1/NOK!B1992</f>
        <v>0.1276047315834471</v>
      </c>
      <c r="Q1992" s="3">
        <f>1/NOK!C1992</f>
        <v>0.12768945923514013</v>
      </c>
      <c r="R1992" s="3">
        <f>NZD!B1992/1</f>
        <v>0.71360000000000001</v>
      </c>
      <c r="S1992" s="3">
        <f>NZD!C1992/1</f>
        <v>0.71319999999999995</v>
      </c>
      <c r="T1992" s="4">
        <f>1/PHP!B1992</f>
        <v>1.953201296925661E-2</v>
      </c>
      <c r="U1992" s="4">
        <f>1/PHP!C1992</f>
        <v>1.9500019500019502E-2</v>
      </c>
      <c r="V1992" s="4">
        <f>1/TWD!B1992</f>
        <v>3.3107101473266017E-2</v>
      </c>
      <c r="W1992" s="4">
        <f>1/TWD!C1992</f>
        <v>3.3107430300582358E-2</v>
      </c>
      <c r="X1992" s="4">
        <f>1/TWD!B1992</f>
        <v>3.3107101473266017E-2</v>
      </c>
      <c r="Y1992" s="4">
        <f>1/TWD!C1992</f>
        <v>3.3107430300582358E-2</v>
      </c>
      <c r="Z1992" s="4">
        <f>1/ZAR!B1992</f>
        <v>7.6815535173833549E-2</v>
      </c>
      <c r="AA1992" s="4">
        <f>1/ZAR!C1992</f>
        <v>7.6278814322110172E-2</v>
      </c>
    </row>
    <row r="1993" spans="1:27" x14ac:dyDescent="0.25">
      <c r="A1993" t="str">
        <f>"01/09/2017"</f>
        <v>01/09/2017</v>
      </c>
      <c r="B1993" s="3">
        <f>AUD!B1993</f>
        <v>0.79320000000000002</v>
      </c>
      <c r="C1993" s="3">
        <f>AUD!C1993</f>
        <v>0.79290000000000005</v>
      </c>
      <c r="D1993" s="3">
        <f>1/CAD!B1993</f>
        <v>0.80243941582410527</v>
      </c>
      <c r="E1993" s="3">
        <f>1/CAD!C1993</f>
        <v>0.8026326350429408</v>
      </c>
      <c r="F1993" s="3">
        <f>EUR!B1993/1</f>
        <v>1.1917</v>
      </c>
      <c r="G1993" s="3">
        <f>EUR!C1993/1</f>
        <v>1.1936</v>
      </c>
      <c r="H1993" s="3">
        <f>GBP!B1993/1</f>
        <v>1.294</v>
      </c>
      <c r="I1993" s="3">
        <f>GBP!C1993/1</f>
        <v>1.2952999999999999</v>
      </c>
      <c r="J1993" s="4">
        <f>1/INR!B1993</f>
        <v>1.5616459748574998E-2</v>
      </c>
      <c r="K1993" s="4">
        <f>1/INR!C1993</f>
        <v>1.5558753743825121E-2</v>
      </c>
      <c r="L1993" s="4">
        <f>1/JPY!B1993</f>
        <v>9.0785292782569211E-3</v>
      </c>
      <c r="M1993" s="4">
        <f>1/JPY!C1993</f>
        <v>9.0913471285434672E-3</v>
      </c>
      <c r="N1993" s="5">
        <f>1/KRW!B1993</f>
        <v>8.9039266316445558E-4</v>
      </c>
      <c r="O1993" s="5">
        <f>1/KRW!C1993</f>
        <v>8.9039107756908986E-4</v>
      </c>
      <c r="P1993" s="3">
        <f>1/NOK!B1993</f>
        <v>0.12868687908580839</v>
      </c>
      <c r="Q1993" s="3">
        <f>1/NOK!C1993</f>
        <v>0.12877139214752051</v>
      </c>
      <c r="R1993" s="3">
        <f>NZD!B1993/1</f>
        <v>0.71619999999999995</v>
      </c>
      <c r="S1993" s="3">
        <f>NZD!C1993/1</f>
        <v>0.71579999999999999</v>
      </c>
      <c r="T1993" s="4">
        <f>1/PHP!B1993</f>
        <v>1.953201296925661E-2</v>
      </c>
      <c r="U1993" s="4">
        <f>1/PHP!C1993</f>
        <v>1.949944914056178E-2</v>
      </c>
      <c r="V1993" s="4">
        <f>1/TWD!B1993</f>
        <v>3.3160896670645978E-2</v>
      </c>
      <c r="W1993" s="4">
        <f>1/TWD!C1993</f>
        <v>3.3161226567448278E-2</v>
      </c>
      <c r="X1993" s="4">
        <f>1/TWD!B1993</f>
        <v>3.3160896670645978E-2</v>
      </c>
      <c r="Y1993" s="4">
        <f>1/TWD!C1993</f>
        <v>3.3161226567448278E-2</v>
      </c>
      <c r="Z1993" s="4">
        <f>1/ZAR!B1993</f>
        <v>7.7294685990338161E-2</v>
      </c>
      <c r="AA1993" s="4">
        <f>1/ZAR!C1993</f>
        <v>7.691420220743761E-2</v>
      </c>
    </row>
    <row r="1994" spans="1:27" x14ac:dyDescent="0.25">
      <c r="A1994" t="str">
        <f>"04/09/2017"</f>
        <v>04/09/2017</v>
      </c>
      <c r="B1994" s="3">
        <f>AUD!B1994</f>
        <v>0.79620000000000002</v>
      </c>
      <c r="C1994" s="3">
        <f>AUD!C1994</f>
        <v>0.79590000000000005</v>
      </c>
      <c r="D1994" s="3">
        <f>1/CAD!B1994</f>
        <v>0.80697224015493862</v>
      </c>
      <c r="E1994" s="3">
        <f>1/CAD!C1994</f>
        <v>0.8071676487206394</v>
      </c>
      <c r="F1994" s="3">
        <f>EUR!B1994/1</f>
        <v>1.1883999999999999</v>
      </c>
      <c r="G1994" s="3">
        <f>EUR!C1994/1</f>
        <v>1.1902999999999999</v>
      </c>
      <c r="H1994" s="3">
        <f>GBP!B1994/1</f>
        <v>1.2954000000000001</v>
      </c>
      <c r="I1994" s="3">
        <f>GBP!C1994/1</f>
        <v>1.2967</v>
      </c>
      <c r="J1994" s="4">
        <f>1/INR!B1994</f>
        <v>1.5627441787779341E-2</v>
      </c>
      <c r="K1994" s="4">
        <f>1/INR!C1994</f>
        <v>1.5570866908015105E-2</v>
      </c>
      <c r="L1994" s="4">
        <f>1/JPY!B1994</f>
        <v>9.1066387396411975E-3</v>
      </c>
      <c r="M1994" s="4">
        <f>1/JPY!C1994</f>
        <v>9.1195028776591327E-3</v>
      </c>
      <c r="N1994" s="5">
        <f>1/KRW!B1994</f>
        <v>8.8386070355311994E-4</v>
      </c>
      <c r="O1994" s="5">
        <f>1/KRW!C1994</f>
        <v>8.8385914113639529E-4</v>
      </c>
      <c r="P1994" s="3">
        <f>1/NOK!B1994</f>
        <v>0.12842080930794025</v>
      </c>
      <c r="Q1994" s="3">
        <f>1/NOK!C1994</f>
        <v>0.12850167052171679</v>
      </c>
      <c r="R1994" s="3">
        <f>NZD!B1994/1</f>
        <v>0.71760000000000002</v>
      </c>
      <c r="S1994" s="3">
        <f>NZD!C1994/1</f>
        <v>0.71719999999999995</v>
      </c>
      <c r="T1994" s="4">
        <f>1/PHP!B1994</f>
        <v>1.952362358453729E-2</v>
      </c>
      <c r="U1994" s="4">
        <f>1/PHP!C1994</f>
        <v>1.94916575705598E-2</v>
      </c>
      <c r="V1994" s="4">
        <f>1/TWD!B1994</f>
        <v>3.3238050920694012E-2</v>
      </c>
      <c r="W1994" s="4">
        <f>1/TWD!C1994</f>
        <v>3.3238382354407577E-2</v>
      </c>
      <c r="X1994" s="4">
        <f>1/TWD!B1994</f>
        <v>3.3238050920694012E-2</v>
      </c>
      <c r="Y1994" s="4">
        <f>1/TWD!C1994</f>
        <v>3.3238382354407577E-2</v>
      </c>
      <c r="Z1994" s="4">
        <f>1/ZAR!B1994</f>
        <v>7.734909192166084E-2</v>
      </c>
      <c r="AA1994" s="4">
        <f>1/ZAR!C1994</f>
        <v>7.6969850909398785E-2</v>
      </c>
    </row>
    <row r="1995" spans="1:27" x14ac:dyDescent="0.25">
      <c r="A1995" t="str">
        <f>"05/09/2017"</f>
        <v>05/09/2017</v>
      </c>
      <c r="B1995" s="3">
        <f>AUD!B1995</f>
        <v>0.79700000000000004</v>
      </c>
      <c r="C1995" s="3">
        <f>AUD!C1995</f>
        <v>0.79669999999999996</v>
      </c>
      <c r="D1995" s="3">
        <f>1/CAD!B1995</f>
        <v>0.80677692617991126</v>
      </c>
      <c r="E1995" s="3">
        <f>1/CAD!C1995</f>
        <v>0.80697224015493862</v>
      </c>
      <c r="F1995" s="3">
        <f>EUR!B1995/1</f>
        <v>1.1886000000000001</v>
      </c>
      <c r="G1995" s="3">
        <f>EUR!C1995/1</f>
        <v>1.1907000000000001</v>
      </c>
      <c r="H1995" s="3">
        <f>GBP!B1995/1</f>
        <v>1.2959000000000001</v>
      </c>
      <c r="I1995" s="3">
        <f>GBP!C1995/1</f>
        <v>1.2972999999999999</v>
      </c>
      <c r="J1995" s="4">
        <f>1/INR!B1995</f>
        <v>1.5591502631066068E-2</v>
      </c>
      <c r="K1995" s="4">
        <f>1/INR!C1995</f>
        <v>1.5530964861192001E-2</v>
      </c>
      <c r="L1995" s="4">
        <f>1/JPY!B1995</f>
        <v>9.1424392027793025E-3</v>
      </c>
      <c r="M1995" s="4">
        <f>1/JPY!C1995</f>
        <v>9.1562598143659878E-3</v>
      </c>
      <c r="N1995" s="5">
        <f>1/KRW!B1995</f>
        <v>8.8393883143286485E-4</v>
      </c>
      <c r="O1995" s="5">
        <f>1/KRW!C1995</f>
        <v>8.8393726873991216E-4</v>
      </c>
      <c r="P1995" s="3">
        <f>1/NOK!B1995</f>
        <v>0.12807048999769471</v>
      </c>
      <c r="Q1995" s="3">
        <f>1/NOK!C1995</f>
        <v>0.12816240740266066</v>
      </c>
      <c r="R1995" s="3">
        <f>NZD!B1995/1</f>
        <v>0.71830000000000005</v>
      </c>
      <c r="S1995" s="3">
        <f>NZD!C1995/1</f>
        <v>0.71779999999999999</v>
      </c>
      <c r="T1995" s="4">
        <f>1/PHP!B1995</f>
        <v>1.9533157534915521E-2</v>
      </c>
      <c r="U1995" s="4">
        <f>1/PHP!C1995</f>
        <v>1.9498498615606596E-2</v>
      </c>
      <c r="V1995" s="4">
        <f>1/TWD!B1995</f>
        <v>3.3253524873636607E-2</v>
      </c>
      <c r="W1995" s="4">
        <f>1/TWD!C1995</f>
        <v>3.3253967198286757E-2</v>
      </c>
      <c r="X1995" s="4">
        <f>1/TWD!B1995</f>
        <v>3.3253524873636607E-2</v>
      </c>
      <c r="Y1995" s="4">
        <f>1/TWD!C1995</f>
        <v>3.3253967198286757E-2</v>
      </c>
      <c r="Z1995" s="4">
        <f>1/ZAR!B1995</f>
        <v>7.7223058805359276E-2</v>
      </c>
      <c r="AA1995" s="4">
        <f>1/ZAR!C1995</f>
        <v>7.6806685253884496E-2</v>
      </c>
    </row>
    <row r="1996" spans="1:27" x14ac:dyDescent="0.25">
      <c r="A1996" t="str">
        <f>"06/09/2017"</f>
        <v>06/09/2017</v>
      </c>
      <c r="B1996" s="3">
        <f>AUD!B1996</f>
        <v>0.79710000000000003</v>
      </c>
      <c r="C1996" s="3">
        <f>AUD!C1996</f>
        <v>0.79679999999999995</v>
      </c>
      <c r="D1996" s="3">
        <f>1/CAD!B1996</f>
        <v>0.80690712498991357</v>
      </c>
      <c r="E1996" s="3">
        <f>1/CAD!C1996</f>
        <v>0.8071676487206394</v>
      </c>
      <c r="F1996" s="3">
        <f>EUR!B1996/1</f>
        <v>1.1922999999999999</v>
      </c>
      <c r="G1996" s="3">
        <f>EUR!C1996/1</f>
        <v>1.1942999999999999</v>
      </c>
      <c r="H1996" s="3">
        <f>GBP!B1996/1</f>
        <v>1.3044</v>
      </c>
      <c r="I1996" s="3">
        <f>GBP!C1996/1</f>
        <v>1.3058000000000001</v>
      </c>
      <c r="J1996" s="4">
        <f>1/INR!B1996</f>
        <v>1.5597582374731918E-2</v>
      </c>
      <c r="K1996" s="4">
        <f>1/INR!C1996</f>
        <v>1.5538808173413098E-2</v>
      </c>
      <c r="L1996" s="4">
        <f>1/JPY!B1996</f>
        <v>9.1818933063997805E-3</v>
      </c>
      <c r="M1996" s="4">
        <f>1/JPY!C1996</f>
        <v>9.1954192099663636E-3</v>
      </c>
      <c r="N1996" s="5">
        <f>1/KRW!B1996</f>
        <v>8.8051422030465786E-4</v>
      </c>
      <c r="O1996" s="5">
        <f>1/KRW!C1996</f>
        <v>8.8051266969680427E-4</v>
      </c>
      <c r="P1996" s="3">
        <f>1/NOK!B1996</f>
        <v>0.12834334411417425</v>
      </c>
      <c r="Q1996" s="3">
        <f>1/NOK!C1996</f>
        <v>0.12843400418694853</v>
      </c>
      <c r="R1996" s="3">
        <f>NZD!B1996/1</f>
        <v>0.72130000000000005</v>
      </c>
      <c r="S1996" s="3">
        <f>NZD!C1996/1</f>
        <v>0.7208</v>
      </c>
      <c r="T1996" s="4">
        <f>1/PHP!B1996</f>
        <v>1.9565642731363724E-2</v>
      </c>
      <c r="U1996" s="4">
        <f>1/PHP!C1996</f>
        <v>1.9529342837613515E-2</v>
      </c>
      <c r="V1996" s="4">
        <f>1/TWD!B1996</f>
        <v>3.3214866974457767E-2</v>
      </c>
      <c r="W1996" s="4">
        <f>1/TWD!C1996</f>
        <v>3.3215197945972157E-2</v>
      </c>
      <c r="X1996" s="4">
        <f>1/TWD!B1996</f>
        <v>3.3214866974457767E-2</v>
      </c>
      <c r="Y1996" s="4">
        <f>1/TWD!C1996</f>
        <v>3.3215197945972157E-2</v>
      </c>
      <c r="Z1996" s="4">
        <f>1/ZAR!B1996</f>
        <v>7.7283933443076519E-2</v>
      </c>
      <c r="AA1996" s="4">
        <f>1/ZAR!C1996</f>
        <v>7.6886408020790081E-2</v>
      </c>
    </row>
    <row r="1997" spans="1:27" x14ac:dyDescent="0.25">
      <c r="A1997" t="str">
        <f>"07/09/2017"</f>
        <v>07/09/2017</v>
      </c>
      <c r="B1997" s="3">
        <f>AUD!B1997</f>
        <v>0.80269999999999997</v>
      </c>
      <c r="C1997" s="3">
        <f>AUD!C1997</f>
        <v>0.8024</v>
      </c>
      <c r="D1997" s="3">
        <f>1/CAD!B1997</f>
        <v>0.82122033341545542</v>
      </c>
      <c r="E1997" s="3">
        <f>1/CAD!C1997</f>
        <v>0.82135523613963035</v>
      </c>
      <c r="F1997" s="3">
        <f>EUR!B1997/1</f>
        <v>1.1981999999999999</v>
      </c>
      <c r="G1997" s="3">
        <f>EUR!C1997/1</f>
        <v>1.2000999999999999</v>
      </c>
      <c r="H1997" s="3">
        <f>GBP!B1997/1</f>
        <v>1.3089999999999999</v>
      </c>
      <c r="I1997" s="3">
        <f>GBP!C1997/1</f>
        <v>1.3103</v>
      </c>
      <c r="J1997" s="4">
        <f>1/INR!B1997</f>
        <v>1.56128024980484E-2</v>
      </c>
      <c r="K1997" s="4">
        <f>1/INR!C1997</f>
        <v>1.5556938394523958E-2</v>
      </c>
      <c r="L1997" s="4">
        <f>1/JPY!B1997</f>
        <v>9.1861106007716329E-3</v>
      </c>
      <c r="M1997" s="4">
        <f>1/JPY!C1997</f>
        <v>9.1988449930226757E-3</v>
      </c>
      <c r="N1997" s="5">
        <f>1/KRW!B1997</f>
        <v>8.8519075860848007E-4</v>
      </c>
      <c r="O1997" s="5">
        <f>1/KRW!C1997</f>
        <v>8.8518919148589624E-4</v>
      </c>
      <c r="P1997" s="3">
        <f>1/NOK!B1997</f>
        <v>0.12881120142207567</v>
      </c>
      <c r="Q1997" s="3">
        <f>1/NOK!C1997</f>
        <v>0.12889587790982443</v>
      </c>
      <c r="R1997" s="3">
        <f>NZD!B1997/1</f>
        <v>0.72070000000000001</v>
      </c>
      <c r="S1997" s="3">
        <f>NZD!C1997/1</f>
        <v>0.72030000000000005</v>
      </c>
      <c r="T1997" s="4">
        <f>1/PHP!B1997</f>
        <v>1.9615535504119264E-2</v>
      </c>
      <c r="U1997" s="4">
        <f>1/PHP!C1997</f>
        <v>1.9582884558895525E-2</v>
      </c>
      <c r="V1997" s="4">
        <f>1/TWD!B1997</f>
        <v>3.3283408221001828E-2</v>
      </c>
      <c r="W1997" s="4">
        <f>1/TWD!C1997</f>
        <v>3.3283740559899085E-2</v>
      </c>
      <c r="X1997" s="4">
        <f>1/TWD!B1997</f>
        <v>3.3283408221001828E-2</v>
      </c>
      <c r="Y1997" s="4">
        <f>1/TWD!C1997</f>
        <v>3.3283740559899085E-2</v>
      </c>
      <c r="Z1997" s="4">
        <f>1/ZAR!B1997</f>
        <v>7.8064621894003858E-2</v>
      </c>
      <c r="AA1997" s="4">
        <f>1/ZAR!C1997</f>
        <v>7.7689212076011122E-2</v>
      </c>
    </row>
    <row r="1998" spans="1:27" x14ac:dyDescent="0.25">
      <c r="A1998" t="str">
        <f>"08/09/2017"</f>
        <v>08/09/2017</v>
      </c>
      <c r="B1998" s="3">
        <f>AUD!B1998</f>
        <v>0.8105</v>
      </c>
      <c r="C1998" s="3">
        <f>AUD!C1998</f>
        <v>0.81020000000000003</v>
      </c>
      <c r="D1998" s="3">
        <f>1/CAD!B1998</f>
        <v>0.82596844800528613</v>
      </c>
      <c r="E1998" s="3">
        <f>1/CAD!C1998</f>
        <v>0.82610491532424624</v>
      </c>
      <c r="F1998" s="3">
        <f>EUR!B1998/1</f>
        <v>1.2059</v>
      </c>
      <c r="G1998" s="3">
        <f>EUR!C1998/1</f>
        <v>1.2078</v>
      </c>
      <c r="H1998" s="3">
        <f>GBP!B1998/1</f>
        <v>1.3203</v>
      </c>
      <c r="I1998" s="3">
        <f>GBP!C1998/1</f>
        <v>1.3216000000000001</v>
      </c>
      <c r="J1998" s="4">
        <f>1/INR!B1998</f>
        <v>1.5675823960496924E-2</v>
      </c>
      <c r="K1998" s="4">
        <f>1/INR!C1998</f>
        <v>1.561889886762983E-2</v>
      </c>
      <c r="L1998" s="4">
        <f>1/JPY!B1998</f>
        <v>9.3101201005492979E-3</v>
      </c>
      <c r="M1998" s="4">
        <f>1/JPY!C1998</f>
        <v>9.3230096539764964E-3</v>
      </c>
      <c r="N1998" s="5">
        <f>1/KRW!B1998</f>
        <v>8.8707531269404771E-4</v>
      </c>
      <c r="O1998" s="5">
        <f>1/KRW!C1998</f>
        <v>8.8707373889161916E-4</v>
      </c>
      <c r="P1998" s="3">
        <f>1/NOK!B1998</f>
        <v>0.12952193453961428</v>
      </c>
      <c r="Q1998" s="3">
        <f>1/NOK!C1998</f>
        <v>0.12960754834361554</v>
      </c>
      <c r="R1998" s="3">
        <f>NZD!B1998/1</f>
        <v>0.73080000000000001</v>
      </c>
      <c r="S1998" s="3">
        <f>NZD!C1998/1</f>
        <v>0.73040000000000005</v>
      </c>
      <c r="T1998" s="4">
        <f>1/PHP!B1998</f>
        <v>1.9638648860958365E-2</v>
      </c>
      <c r="U1998" s="4">
        <f>1/PHP!C1998</f>
        <v>1.9605920988138417E-2</v>
      </c>
      <c r="V1998" s="4">
        <f>1/TWD!B1998</f>
        <v>3.3322225924691765E-2</v>
      </c>
      <c r="W1998" s="4">
        <f>1/TWD!C1998</f>
        <v>3.3322559039243978E-2</v>
      </c>
      <c r="X1998" s="4">
        <f>1/TWD!B1998</f>
        <v>3.3322225924691765E-2</v>
      </c>
      <c r="Y1998" s="4">
        <f>1/TWD!C1998</f>
        <v>3.3322559039243978E-2</v>
      </c>
      <c r="Z1998" s="4">
        <f>1/ZAR!B1998</f>
        <v>7.792592361700966E-2</v>
      </c>
      <c r="AA1998" s="4">
        <f>1/ZAR!C1998</f>
        <v>7.7553046283658028E-2</v>
      </c>
    </row>
    <row r="1999" spans="1:27" x14ac:dyDescent="0.25">
      <c r="A1999" t="str">
        <f>"11/09/2017"</f>
        <v>11/09/2017</v>
      </c>
      <c r="B1999" s="3">
        <f>AUD!B1999</f>
        <v>0.80479999999999996</v>
      </c>
      <c r="C1999" s="3">
        <f>AUD!C1999</f>
        <v>0.80449999999999999</v>
      </c>
      <c r="D1999" s="3">
        <f>1/CAD!B1999</f>
        <v>0.82555931643688596</v>
      </c>
      <c r="E1999" s="3">
        <f>1/CAD!C1999</f>
        <v>0.82569564858393196</v>
      </c>
      <c r="F1999" s="3">
        <f>EUR!B1999/1</f>
        <v>1.2001999999999999</v>
      </c>
      <c r="G1999" s="3">
        <f>EUR!C1999/1</f>
        <v>1.2020999999999999</v>
      </c>
      <c r="H1999" s="3">
        <f>GBP!B1999/1</f>
        <v>1.3212999999999999</v>
      </c>
      <c r="I1999" s="3">
        <f>GBP!C1999/1</f>
        <v>1.3226</v>
      </c>
      <c r="J1999" s="4">
        <f>1/INR!B1999</f>
        <v>1.5640885274106515E-2</v>
      </c>
      <c r="K1999" s="4">
        <f>1/INR!C1999</f>
        <v>1.5582998948147572E-2</v>
      </c>
      <c r="L1999" s="4">
        <f>1/JPY!B1999</f>
        <v>9.2064076597311723E-3</v>
      </c>
      <c r="M1999" s="4">
        <f>1/JPY!C1999</f>
        <v>9.2190029463933426E-3</v>
      </c>
      <c r="N1999" s="5">
        <f>1/KRW!B1999</f>
        <v>8.8331419485911144E-4</v>
      </c>
      <c r="O1999" s="5">
        <f>1/KRW!C1999</f>
        <v>8.8331263437393449E-4</v>
      </c>
      <c r="P1999" s="3">
        <f>1/NOK!B1999</f>
        <v>0.12829065530866732</v>
      </c>
      <c r="Q1999" s="3">
        <f>1/NOK!C1999</f>
        <v>0.12837135264894287</v>
      </c>
      <c r="R1999" s="3">
        <f>NZD!B1999/1</f>
        <v>0.72719999999999996</v>
      </c>
      <c r="S1999" s="3">
        <f>NZD!C1999/1</f>
        <v>0.7268</v>
      </c>
      <c r="T1999" s="4">
        <f>1/PHP!B1999</f>
        <v>1.9623233908948195E-2</v>
      </c>
      <c r="U1999" s="4">
        <f>1/PHP!C1999</f>
        <v>1.9590557351356647E-2</v>
      </c>
      <c r="V1999" s="4">
        <f>1/TWD!B1999</f>
        <v>3.3304469459801506E-2</v>
      </c>
      <c r="W1999" s="4">
        <f>1/TWD!C1999</f>
        <v>3.3304802219432023E-2</v>
      </c>
      <c r="X1999" s="4">
        <f>1/TWD!B1999</f>
        <v>3.3304469459801506E-2</v>
      </c>
      <c r="Y1999" s="4">
        <f>1/TWD!C1999</f>
        <v>3.3304802219432023E-2</v>
      </c>
      <c r="Z1999" s="4">
        <f>1/ZAR!B1999</f>
        <v>7.7451534702160124E-2</v>
      </c>
      <c r="AA1999" s="4">
        <f>1/ZAR!C1999</f>
        <v>7.7079607818955426E-2</v>
      </c>
    </row>
    <row r="2000" spans="1:27" x14ac:dyDescent="0.25">
      <c r="A2000" t="str">
        <f>"12/09/2017"</f>
        <v>12/09/2017</v>
      </c>
      <c r="B2000" s="3">
        <f>AUD!B2000</f>
        <v>0.80220000000000002</v>
      </c>
      <c r="C2000" s="3">
        <f>AUD!C2000</f>
        <v>0.80189999999999995</v>
      </c>
      <c r="D2000" s="3">
        <f>1/CAD!B2000</f>
        <v>0.82358754735628403</v>
      </c>
      <c r="E2000" s="3">
        <f>1/CAD!C2000</f>
        <v>0.82372322899505768</v>
      </c>
      <c r="F2000" s="3">
        <f>EUR!B2000/1</f>
        <v>1.1930000000000001</v>
      </c>
      <c r="G2000" s="3">
        <f>EUR!C2000/1</f>
        <v>1.1950000000000001</v>
      </c>
      <c r="H2000" s="3">
        <f>GBP!B2000/1</f>
        <v>1.3265</v>
      </c>
      <c r="I2000" s="3">
        <f>GBP!C2000/1</f>
        <v>1.3279000000000001</v>
      </c>
      <c r="J2000" s="4">
        <f>1/INR!B2000</f>
        <v>1.56128024980484E-2</v>
      </c>
      <c r="K2000" s="4">
        <f>1/INR!C2000</f>
        <v>1.5551494887446057E-2</v>
      </c>
      <c r="L2000" s="4">
        <f>1/JPY!B2000</f>
        <v>9.1016656048056796E-3</v>
      </c>
      <c r="M2000" s="4">
        <f>1/JPY!C2000</f>
        <v>9.1149809269024107E-3</v>
      </c>
      <c r="N2000" s="5">
        <f>1/KRW!B2000</f>
        <v>8.8581805297191952E-4</v>
      </c>
      <c r="O2000" s="5">
        <f>1/KRW!C2000</f>
        <v>8.8581648362745394E-4</v>
      </c>
      <c r="P2000" s="3">
        <f>1/NOK!B2000</f>
        <v>0.12724912834347085</v>
      </c>
      <c r="Q2000" s="3">
        <f>1/NOK!C2000</f>
        <v>0.12733338426668706</v>
      </c>
      <c r="R2000" s="3">
        <f>NZD!B2000/1</f>
        <v>0.72919999999999996</v>
      </c>
      <c r="S2000" s="3">
        <f>NZD!C2000/1</f>
        <v>0.72870000000000001</v>
      </c>
      <c r="T2000" s="4">
        <f>1/PHP!B2000</f>
        <v>1.9623233908948195E-2</v>
      </c>
      <c r="U2000" s="4">
        <f>1/PHP!C2000</f>
        <v>1.9590557351356647E-2</v>
      </c>
      <c r="V2000" s="4">
        <f>1/TWD!B2000</f>
        <v>3.3300033300033297E-2</v>
      </c>
      <c r="W2000" s="4">
        <f>1/TWD!C2000</f>
        <v>3.3300476862828679E-2</v>
      </c>
      <c r="X2000" s="4">
        <f>1/TWD!B2000</f>
        <v>3.3300033300033297E-2</v>
      </c>
      <c r="Y2000" s="4">
        <f>1/TWD!C2000</f>
        <v>3.3300476862828679E-2</v>
      </c>
      <c r="Z2000" s="4">
        <f>1/ZAR!B2000</f>
        <v>7.6976960795633861E-2</v>
      </c>
      <c r="AA2000" s="4">
        <f>1/ZAR!C2000</f>
        <v>7.6587857761030567E-2</v>
      </c>
    </row>
    <row r="2001" spans="1:27" x14ac:dyDescent="0.25">
      <c r="A2001" t="str">
        <f>"13/09/2017"</f>
        <v>13/09/2017</v>
      </c>
      <c r="B2001" s="3">
        <f>AUD!B2001</f>
        <v>0.80379999999999996</v>
      </c>
      <c r="C2001" s="3">
        <f>AUD!C2001</f>
        <v>0.80349999999999999</v>
      </c>
      <c r="D2001" s="3">
        <f>1/CAD!B2001</f>
        <v>0.82331631812942541</v>
      </c>
      <c r="E2001" s="3">
        <f>1/CAD!C2001</f>
        <v>0.82345191040843224</v>
      </c>
      <c r="F2001" s="3">
        <f>EUR!B2001/1</f>
        <v>1.1979</v>
      </c>
      <c r="G2001" s="3">
        <f>EUR!C2001/1</f>
        <v>1.1999</v>
      </c>
      <c r="H2001" s="3">
        <f>GBP!B2001/1</f>
        <v>1.3272999999999999</v>
      </c>
      <c r="I2001" s="3">
        <f>GBP!C2001/1</f>
        <v>1.3286</v>
      </c>
      <c r="J2001" s="4">
        <f>1/INR!B2001</f>
        <v>1.5624389672278426E-2</v>
      </c>
      <c r="K2001" s="4">
        <f>1/INR!C2001</f>
        <v>1.5564807969181679E-2</v>
      </c>
      <c r="L2001" s="4">
        <f>1/JPY!B2001</f>
        <v>9.0834771550549545E-3</v>
      </c>
      <c r="M2001" s="4">
        <f>1/JPY!C2001</f>
        <v>9.0963834598640266E-3</v>
      </c>
      <c r="N2001" s="5">
        <f>1/KRW!B2001</f>
        <v>8.8605351763246503E-4</v>
      </c>
      <c r="O2001" s="5">
        <f>1/KRW!C2001</f>
        <v>8.8605273254232445E-4</v>
      </c>
      <c r="P2001" s="3">
        <f>1/NOK!B2001</f>
        <v>0.12735608762098827</v>
      </c>
      <c r="Q2001" s="3">
        <f>1/NOK!C2001</f>
        <v>0.12744048529336799</v>
      </c>
      <c r="R2001" s="3">
        <f>NZD!B2001/1</f>
        <v>0.72840000000000005</v>
      </c>
      <c r="S2001" s="3">
        <f>NZD!C2001/1</f>
        <v>0.72789999999999999</v>
      </c>
      <c r="T2001" s="4">
        <f>1/PHP!B2001</f>
        <v>1.9598236158745713E-2</v>
      </c>
      <c r="U2001" s="4">
        <f>1/PHP!C2001</f>
        <v>1.956238935023524E-2</v>
      </c>
      <c r="V2001" s="4">
        <f>1/TWD!B2001</f>
        <v>3.3271227042853339E-2</v>
      </c>
      <c r="W2001" s="4">
        <f>1/TWD!C2001</f>
        <v>3.3271669838565859E-2</v>
      </c>
      <c r="X2001" s="4">
        <f>1/TWD!B2001</f>
        <v>3.3271227042853339E-2</v>
      </c>
      <c r="Y2001" s="4">
        <f>1/TWD!C2001</f>
        <v>3.3271669838565859E-2</v>
      </c>
      <c r="Z2001" s="4">
        <f>1/ZAR!B2001</f>
        <v>7.6191637205900276E-2</v>
      </c>
      <c r="AA2001" s="4">
        <f>1/ZAR!C2001</f>
        <v>7.5820184849610658E-2</v>
      </c>
    </row>
    <row r="2002" spans="1:27" x14ac:dyDescent="0.25">
      <c r="A2002" t="str">
        <f>"14/09/2017"</f>
        <v>14/09/2017</v>
      </c>
      <c r="B2002" s="3">
        <f>AUD!B2002</f>
        <v>0.79949999999999999</v>
      </c>
      <c r="C2002" s="3">
        <f>AUD!C2002</f>
        <v>0.79920000000000002</v>
      </c>
      <c r="D2002" s="3">
        <f>1/CAD!B2002</f>
        <v>0.82068116536725488</v>
      </c>
      <c r="E2002" s="3">
        <f>1/CAD!C2002</f>
        <v>0.82081589099564967</v>
      </c>
      <c r="F2002" s="3">
        <f>EUR!B2002/1</f>
        <v>1.1881999999999999</v>
      </c>
      <c r="G2002" s="3">
        <f>EUR!C2002/1</f>
        <v>1.1900999999999999</v>
      </c>
      <c r="H2002" s="3">
        <f>GBP!B2002/1</f>
        <v>1.3321000000000001</v>
      </c>
      <c r="I2002" s="3">
        <f>GBP!C2002/1</f>
        <v>1.3333999999999999</v>
      </c>
      <c r="J2002" s="4">
        <f>1/INR!B2002</f>
        <v>1.5593933959689681E-2</v>
      </c>
      <c r="K2002" s="4">
        <f>1/INR!C2002</f>
        <v>1.5536394002951917E-2</v>
      </c>
      <c r="L2002" s="4">
        <f>1/JPY!B2002</f>
        <v>9.0375056484410295E-3</v>
      </c>
      <c r="M2002" s="4">
        <f>1/JPY!C2002</f>
        <v>9.0499948867528886E-3</v>
      </c>
      <c r="N2002" s="5">
        <f>1/KRW!B2002</f>
        <v>8.8292424509977055E-4</v>
      </c>
      <c r="O2002" s="5">
        <f>1/KRW!C2002</f>
        <v>8.8292346554523602E-4</v>
      </c>
      <c r="P2002" s="3">
        <f>1/NOK!B2002</f>
        <v>0.12656305371335999</v>
      </c>
      <c r="Q2002" s="3">
        <f>1/NOK!C2002</f>
        <v>0.12664640324214793</v>
      </c>
      <c r="R2002" s="3">
        <f>NZD!B2002/1</f>
        <v>0.72209999999999996</v>
      </c>
      <c r="S2002" s="3">
        <f>NZD!C2002/1</f>
        <v>0.72170000000000001</v>
      </c>
      <c r="T2002" s="4">
        <f>1/PHP!B2002</f>
        <v>1.9521717911176184E-2</v>
      </c>
      <c r="U2002" s="4">
        <f>1/PHP!C2002</f>
        <v>1.9489378288832584E-2</v>
      </c>
      <c r="V2002" s="4">
        <f>1/TWD!B2002</f>
        <v>3.3217073575817969E-2</v>
      </c>
      <c r="W2002" s="4">
        <f>1/TWD!C2002</f>
        <v>3.3217514931272958E-2</v>
      </c>
      <c r="X2002" s="4">
        <f>1/TWD!B2002</f>
        <v>3.3217073575817969E-2</v>
      </c>
      <c r="Y2002" s="4">
        <f>1/TWD!C2002</f>
        <v>3.3217514931272958E-2</v>
      </c>
      <c r="Z2002" s="4">
        <f>1/ZAR!B2002</f>
        <v>7.5999969600012166E-2</v>
      </c>
      <c r="AA2002" s="4">
        <f>1/ZAR!C2002</f>
        <v>7.5642965204235996E-2</v>
      </c>
    </row>
    <row r="2003" spans="1:27" x14ac:dyDescent="0.25">
      <c r="A2003" t="str">
        <f>"15/09/2017"</f>
        <v>15/09/2017</v>
      </c>
      <c r="B2003" s="3">
        <f>AUD!B2003</f>
        <v>0.79969999999999997</v>
      </c>
      <c r="C2003" s="3">
        <f>AUD!C2003</f>
        <v>0.7994</v>
      </c>
      <c r="D2003" s="3">
        <f>1/CAD!B2003</f>
        <v>0.8214227041235419</v>
      </c>
      <c r="E2003" s="3">
        <f>1/CAD!C2003</f>
        <v>0.82155767334866903</v>
      </c>
      <c r="F2003" s="3">
        <f>EUR!B2003/1</f>
        <v>1.1911</v>
      </c>
      <c r="G2003" s="3">
        <f>EUR!C2003/1</f>
        <v>1.1930000000000001</v>
      </c>
      <c r="H2003" s="3">
        <f>GBP!B2003/1</f>
        <v>1.3395999999999999</v>
      </c>
      <c r="I2003" s="3">
        <f>GBP!C2003/1</f>
        <v>1.3409</v>
      </c>
      <c r="J2003" s="4">
        <f>1/INR!B2003</f>
        <v>1.5598190609889253E-2</v>
      </c>
      <c r="K2003" s="4">
        <f>1/INR!C2003</f>
        <v>1.5533377344569143E-2</v>
      </c>
      <c r="L2003" s="4">
        <f>1/JPY!B2003</f>
        <v>9.058791557206269E-3</v>
      </c>
      <c r="M2003" s="4">
        <f>1/JPY!C2003</f>
        <v>9.0715043184896316E-3</v>
      </c>
      <c r="N2003" s="5">
        <f>1/KRW!B2003</f>
        <v>8.8292424509977055E-4</v>
      </c>
      <c r="O2003" s="5">
        <f>1/KRW!C2003</f>
        <v>8.8292346554523602E-4</v>
      </c>
      <c r="P2003" s="3">
        <f>1/NOK!B2003</f>
        <v>0.12683755913801195</v>
      </c>
      <c r="Q2003" s="3">
        <f>1/NOK!C2003</f>
        <v>0.12691804901575052</v>
      </c>
      <c r="R2003" s="3">
        <f>NZD!B2003/1</f>
        <v>0.72360000000000002</v>
      </c>
      <c r="S2003" s="3">
        <f>NZD!C2003/1</f>
        <v>0.72319999999999995</v>
      </c>
      <c r="T2003" s="4">
        <f>1/PHP!B2003</f>
        <v>1.9519812609798948E-2</v>
      </c>
      <c r="U2003" s="4">
        <f>1/PHP!C2003</f>
        <v>1.9488238847855319E-2</v>
      </c>
      <c r="V2003" s="4">
        <f>1/TWD!B2003</f>
        <v>3.3231423634188489E-2</v>
      </c>
      <c r="W2003" s="4">
        <f>1/TWD!C2003</f>
        <v>3.323186537106701E-2</v>
      </c>
      <c r="X2003" s="4">
        <f>1/TWD!B2003</f>
        <v>3.3231423634188489E-2</v>
      </c>
      <c r="Y2003" s="4">
        <f>1/TWD!C2003</f>
        <v>3.323186537106701E-2</v>
      </c>
      <c r="Z2003" s="4">
        <f>1/ZAR!B2003</f>
        <v>7.6198604041573956E-2</v>
      </c>
      <c r="AA2003" s="4">
        <f>1/ZAR!C2003</f>
        <v>7.5840310641912378E-2</v>
      </c>
    </row>
    <row r="2004" spans="1:27" x14ac:dyDescent="0.25">
      <c r="A2004" t="str">
        <f>"18/09/2017"</f>
        <v>18/09/2017</v>
      </c>
      <c r="B2004" s="3">
        <f>AUD!B2004</f>
        <v>0.79959999999999998</v>
      </c>
      <c r="C2004" s="3">
        <f>AUD!C2004</f>
        <v>0.79930000000000001</v>
      </c>
      <c r="D2004" s="3">
        <f>1/CAD!B2004</f>
        <v>0.81960495041390058</v>
      </c>
      <c r="E2004" s="3">
        <f>1/CAD!C2004</f>
        <v>0.81973932289531926</v>
      </c>
      <c r="F2004" s="3">
        <f>EUR!B2004/1</f>
        <v>1.1962999999999999</v>
      </c>
      <c r="G2004" s="3">
        <f>EUR!C2004/1</f>
        <v>1.1981999999999999</v>
      </c>
      <c r="H2004" s="3">
        <f>GBP!B2004/1</f>
        <v>1.3543000000000001</v>
      </c>
      <c r="I2004" s="3">
        <f>GBP!C2004/1</f>
        <v>1.3555999999999999</v>
      </c>
      <c r="J2004" s="4">
        <f>1/INR!B2004</f>
        <v>1.5590287251042601E-2</v>
      </c>
      <c r="K2004" s="4">
        <f>1/INR!C2004</f>
        <v>1.5526142141831309E-2</v>
      </c>
      <c r="L2004" s="4">
        <f>1/JPY!B2004</f>
        <v>8.9903802930863964E-3</v>
      </c>
      <c r="M2004" s="4">
        <f>1/JPY!C2004</f>
        <v>9.0027719534844786E-3</v>
      </c>
      <c r="N2004" s="5">
        <f>1/KRW!B2004</f>
        <v>8.8723272114275581E-4</v>
      </c>
      <c r="O2004" s="5">
        <f>1/KRW!C2004</f>
        <v>8.8723193396155256E-4</v>
      </c>
      <c r="P2004" s="3">
        <f>1/NOK!B2004</f>
        <v>0.12790177143953443</v>
      </c>
      <c r="Q2004" s="3">
        <f>1/NOK!C2004</f>
        <v>0.12798361809688361</v>
      </c>
      <c r="R2004" s="3">
        <f>NZD!B2004/1</f>
        <v>0.72909999999999997</v>
      </c>
      <c r="S2004" s="3">
        <f>NZD!C2004/1</f>
        <v>0.72870000000000001</v>
      </c>
      <c r="T2004" s="4">
        <f>1/PHP!B2004</f>
        <v>1.9544610573634321E-2</v>
      </c>
      <c r="U2004" s="4">
        <f>1/PHP!C2004</f>
        <v>1.9512956603184514E-2</v>
      </c>
      <c r="V2004" s="4">
        <f>1/TWD!B2004</f>
        <v>3.3211557622052475E-2</v>
      </c>
      <c r="W2004" s="4">
        <f>1/TWD!C2004</f>
        <v>3.3211998830937638E-2</v>
      </c>
      <c r="X2004" s="4">
        <f>1/TWD!B2004</f>
        <v>3.3211557622052475E-2</v>
      </c>
      <c r="Y2004" s="4">
        <f>1/TWD!C2004</f>
        <v>3.3211998830937638E-2</v>
      </c>
      <c r="Z2004" s="4">
        <f>1/ZAR!B2004</f>
        <v>7.5757001840895136E-2</v>
      </c>
      <c r="AA2004" s="4">
        <f>1/ZAR!C2004</f>
        <v>7.540283967094201E-2</v>
      </c>
    </row>
    <row r="2005" spans="1:27" x14ac:dyDescent="0.25">
      <c r="A2005" t="str">
        <f>"19/09/2017"</f>
        <v>19/09/2017</v>
      </c>
      <c r="B2005" s="3">
        <f>AUD!B2005</f>
        <v>0.79990000000000006</v>
      </c>
      <c r="C2005" s="3">
        <f>AUD!C2005</f>
        <v>0.79959999999999998</v>
      </c>
      <c r="D2005" s="3">
        <f>1/CAD!B2005</f>
        <v>0.81413335504355622</v>
      </c>
      <c r="E2005" s="3">
        <f>1/CAD!C2005</f>
        <v>0.81426593925576096</v>
      </c>
      <c r="F2005" s="3">
        <f>EUR!B2005/1</f>
        <v>1.1967000000000001</v>
      </c>
      <c r="G2005" s="3">
        <f>EUR!C2005/1</f>
        <v>1.1988000000000001</v>
      </c>
      <c r="H2005" s="3">
        <f>GBP!B2005/1</f>
        <v>1.3494999999999999</v>
      </c>
      <c r="I2005" s="3">
        <f>GBP!C2005/1</f>
        <v>1.351</v>
      </c>
      <c r="J2005" s="4">
        <f>1/INR!B2005</f>
        <v>1.5544242801072554E-2</v>
      </c>
      <c r="K2005" s="4">
        <f>1/INR!C2005</f>
        <v>1.5482272797646694E-2</v>
      </c>
      <c r="L2005" s="4">
        <f>1/JPY!B2005</f>
        <v>8.9694142972463909E-3</v>
      </c>
      <c r="M2005" s="4">
        <f>1/JPY!C2005</f>
        <v>8.983006845949517E-3</v>
      </c>
      <c r="N2005" s="5">
        <f>1/KRW!B2005</f>
        <v>8.8370448921880535E-4</v>
      </c>
      <c r="O2005" s="5">
        <f>1/KRW!C2005</f>
        <v>8.8370487968578984E-4</v>
      </c>
      <c r="P2005" s="3">
        <f>1/NOK!B2005</f>
        <v>0.12809509780060716</v>
      </c>
      <c r="Q2005" s="3">
        <f>1/NOK!C2005</f>
        <v>0.12818705054415402</v>
      </c>
      <c r="R2005" s="3">
        <f>NZD!B2005/1</f>
        <v>0.73</v>
      </c>
      <c r="S2005" s="3">
        <f>NZD!C2005/1</f>
        <v>0.72950000000000004</v>
      </c>
      <c r="T2005" s="4">
        <f>1/PHP!B2005</f>
        <v>1.9621308741293041E-2</v>
      </c>
      <c r="U2005" s="4">
        <f>1/PHP!C2005</f>
        <v>1.9590557351356647E-2</v>
      </c>
      <c r="V2005" s="4">
        <f>1/TWD!B2005</f>
        <v>3.318180309918041E-2</v>
      </c>
      <c r="W2005" s="4">
        <f>1/TWD!C2005</f>
        <v>3.3182243517848729E-2</v>
      </c>
      <c r="X2005" s="4">
        <f>1/TWD!B2005</f>
        <v>3.318180309918041E-2</v>
      </c>
      <c r="Y2005" s="4">
        <f>1/TWD!C2005</f>
        <v>3.3182243517848729E-2</v>
      </c>
      <c r="Z2005" s="4">
        <f>1/ZAR!B2005</f>
        <v>7.5023820062869964E-2</v>
      </c>
      <c r="AA2005" s="4">
        <f>1/ZAR!C2005</f>
        <v>7.4650820785774535E-2</v>
      </c>
    </row>
    <row r="2006" spans="1:27" x14ac:dyDescent="0.25">
      <c r="A2006" t="str">
        <f>"20/09/2017"</f>
        <v>20/09/2017</v>
      </c>
      <c r="B2006" s="3">
        <f>AUD!B2006</f>
        <v>0.80169999999999997</v>
      </c>
      <c r="C2006" s="3">
        <f>AUD!C2006</f>
        <v>0.8014</v>
      </c>
      <c r="D2006" s="3">
        <f>1/CAD!B2006</f>
        <v>0.81419964175215764</v>
      </c>
      <c r="E2006" s="3">
        <f>1/CAD!C2006</f>
        <v>0.81433224755700329</v>
      </c>
      <c r="F2006" s="3">
        <f>EUR!B2006/1</f>
        <v>1.2009000000000001</v>
      </c>
      <c r="G2006" s="3">
        <f>EUR!C2006/1</f>
        <v>1.2029000000000001</v>
      </c>
      <c r="H2006" s="3">
        <f>GBP!B2006/1</f>
        <v>1.3515999999999999</v>
      </c>
      <c r="I2006" s="3">
        <f>GBP!C2006/1</f>
        <v>1.353</v>
      </c>
      <c r="J2006" s="4">
        <f>1/INR!B2006</f>
        <v>1.5549076773566569E-2</v>
      </c>
      <c r="K2006" s="4">
        <f>1/INR!C2006</f>
        <v>1.5489467162329615E-2</v>
      </c>
      <c r="L2006" s="4">
        <f>1/JPY!B2006</f>
        <v>8.9694142972463909E-3</v>
      </c>
      <c r="M2006" s="4">
        <f>1/JPY!C2006</f>
        <v>8.9824500890160804E-3</v>
      </c>
      <c r="N2006" s="5">
        <f>1/KRW!B2006</f>
        <v>8.8621056362991836E-4</v>
      </c>
      <c r="O2006" s="5">
        <f>1/KRW!C2006</f>
        <v>8.8621095631467406E-4</v>
      </c>
      <c r="P2006" s="3">
        <f>1/NOK!B2006</f>
        <v>0.12820184097843645</v>
      </c>
      <c r="Q2006" s="3">
        <f>1/NOK!C2006</f>
        <v>0.12828736369467608</v>
      </c>
      <c r="R2006" s="3">
        <f>NZD!B2006/1</f>
        <v>0.73080000000000001</v>
      </c>
      <c r="S2006" s="3">
        <f>NZD!C2006/1</f>
        <v>0.73029999999999995</v>
      </c>
      <c r="T2006" s="4">
        <f>1/PHP!B2006</f>
        <v>1.9625159454420567E-2</v>
      </c>
      <c r="U2006" s="4">
        <f>1/PHP!C2006</f>
        <v>1.9593628152124929E-2</v>
      </c>
      <c r="V2006" s="4">
        <f>1/TWD!B2006</f>
        <v>3.3220384027639362E-2</v>
      </c>
      <c r="W2006" s="4">
        <f>1/TWD!C2006</f>
        <v>3.3220825471071302E-2</v>
      </c>
      <c r="X2006" s="4">
        <f>1/TWD!B2006</f>
        <v>3.3220384027639362E-2</v>
      </c>
      <c r="Y2006" s="4">
        <f>1/TWD!C2006</f>
        <v>3.3220825471071302E-2</v>
      </c>
      <c r="Z2006" s="4">
        <f>1/ZAR!B2006</f>
        <v>7.5093115463174334E-2</v>
      </c>
      <c r="AA2006" s="4">
        <f>1/ZAR!C2006</f>
        <v>7.4731713149792253E-2</v>
      </c>
    </row>
    <row r="2007" spans="1:27" x14ac:dyDescent="0.25">
      <c r="A2007" t="str">
        <f>"21/09/2017"</f>
        <v>21/09/2017</v>
      </c>
      <c r="B2007" s="3">
        <f>AUD!B2007</f>
        <v>0.79330000000000001</v>
      </c>
      <c r="C2007" s="3">
        <f>AUD!C2007</f>
        <v>0.79300000000000004</v>
      </c>
      <c r="D2007" s="3">
        <f>1/CAD!B2007</f>
        <v>0.80899603591942404</v>
      </c>
      <c r="E2007" s="3">
        <f>1/CAD!C2007</f>
        <v>0.80912695201877172</v>
      </c>
      <c r="F2007" s="3">
        <f>EUR!B2007/1</f>
        <v>1.1893</v>
      </c>
      <c r="G2007" s="3">
        <f>EUR!C2007/1</f>
        <v>1.1912</v>
      </c>
      <c r="H2007" s="3">
        <f>GBP!B2007/1</f>
        <v>1.3476999999999999</v>
      </c>
      <c r="I2007" s="3">
        <f>GBP!C2007/1</f>
        <v>1.349</v>
      </c>
      <c r="J2007" s="4">
        <f>1/INR!B2007</f>
        <v>1.54320987654321E-2</v>
      </c>
      <c r="K2007" s="4">
        <f>1/INR!C2007</f>
        <v>1.5373971865631485E-2</v>
      </c>
      <c r="L2007" s="4">
        <f>1/JPY!B2007</f>
        <v>8.8865191504487687E-3</v>
      </c>
      <c r="M2007" s="4">
        <f>1/JPY!C2007</f>
        <v>8.8986813933911273E-3</v>
      </c>
      <c r="N2007" s="5">
        <f>1/KRW!B2007</f>
        <v>8.8269044046252972E-4</v>
      </c>
      <c r="O2007" s="5">
        <f>1/KRW!C2007</f>
        <v>8.8268927175045675E-4</v>
      </c>
      <c r="P2007" s="3">
        <f>1/NOK!B2007</f>
        <v>0.12769272023801922</v>
      </c>
      <c r="Q2007" s="3">
        <f>1/NOK!C2007</f>
        <v>0.12777756481516975</v>
      </c>
      <c r="R2007" s="3">
        <f>NZD!B2007/1</f>
        <v>0.73080000000000001</v>
      </c>
      <c r="S2007" s="3">
        <f>NZD!C2007/1</f>
        <v>0.73029999999999995</v>
      </c>
      <c r="T2007" s="4">
        <f>1/PHP!B2007</f>
        <v>1.9577133907595929E-2</v>
      </c>
      <c r="U2007" s="4">
        <f>1/PHP!C2007</f>
        <v>1.9545183578136758E-2</v>
      </c>
      <c r="V2007" s="4">
        <f>1/TWD!B2007</f>
        <v>3.310162197947699E-2</v>
      </c>
      <c r="W2007" s="4">
        <f>1/TWD!C2007</f>
        <v>3.3102060272231344E-2</v>
      </c>
      <c r="X2007" s="4">
        <f>1/TWD!B2007</f>
        <v>3.310162197947699E-2</v>
      </c>
      <c r="Y2007" s="4">
        <f>1/TWD!C2007</f>
        <v>3.3102060272231344E-2</v>
      </c>
      <c r="Z2007" s="4">
        <f>1/ZAR!B2007</f>
        <v>7.4798231769800952E-2</v>
      </c>
      <c r="AA2007" s="4">
        <f>1/ZAR!C2007</f>
        <v>7.4448522569069614E-2</v>
      </c>
    </row>
    <row r="2008" spans="1:27" x14ac:dyDescent="0.25">
      <c r="A2008" t="str">
        <f>"22/09/2017"</f>
        <v>22/09/2017</v>
      </c>
      <c r="B2008" s="3">
        <f>AUD!B2008</f>
        <v>0.79690000000000005</v>
      </c>
      <c r="C2008" s="3">
        <f>AUD!C2008</f>
        <v>0.79659999999999997</v>
      </c>
      <c r="D2008" s="3">
        <f>1/CAD!B2008</f>
        <v>0.81499592502037488</v>
      </c>
      <c r="E2008" s="3">
        <f>1/CAD!C2008</f>
        <v>0.81519523925980275</v>
      </c>
      <c r="F2008" s="3">
        <f>EUR!B2008/1</f>
        <v>1.1973</v>
      </c>
      <c r="G2008" s="3">
        <f>EUR!C2008/1</f>
        <v>1.1993</v>
      </c>
      <c r="H2008" s="3">
        <f>GBP!B2008/1</f>
        <v>1.3567</v>
      </c>
      <c r="I2008" s="3">
        <f>GBP!C2008/1</f>
        <v>1.3581000000000001</v>
      </c>
      <c r="J2008" s="4">
        <f>1/INR!B2008</f>
        <v>1.543090810894221E-2</v>
      </c>
      <c r="K2008" s="4">
        <f>1/INR!C2008</f>
        <v>1.5372199377425927E-2</v>
      </c>
      <c r="L2008" s="4">
        <f>1/JPY!B2008</f>
        <v>8.9285714285714281E-3</v>
      </c>
      <c r="M2008" s="4">
        <f>1/JPY!C2008</f>
        <v>8.9411449136061871E-3</v>
      </c>
      <c r="N2008" s="5">
        <f>1/KRW!B2008</f>
        <v>8.7966220971147087E-4</v>
      </c>
      <c r="O2008" s="5">
        <f>1/KRW!C2008</f>
        <v>8.7966104900459748E-4</v>
      </c>
      <c r="P2008" s="3">
        <f>1/NOK!B2008</f>
        <v>0.12847360509783265</v>
      </c>
      <c r="Q2008" s="3">
        <f>1/NOK!C2008</f>
        <v>0.12856114367993418</v>
      </c>
      <c r="R2008" s="3">
        <f>NZD!B2008/1</f>
        <v>0.73199999999999998</v>
      </c>
      <c r="S2008" s="3">
        <f>NZD!C2008/1</f>
        <v>0.73150000000000004</v>
      </c>
      <c r="T2008" s="4">
        <f>1/PHP!B2008</f>
        <v>1.9714144898965006E-2</v>
      </c>
      <c r="U2008" s="4">
        <f>1/PHP!C2008</f>
        <v>1.9682133543276092E-2</v>
      </c>
      <c r="V2008" s="4">
        <f>1/TWD!B2008</f>
        <v>3.3122453711370937E-2</v>
      </c>
      <c r="W2008" s="4">
        <f>1/TWD!C2008</f>
        <v>3.3122892555961125E-2</v>
      </c>
      <c r="X2008" s="4">
        <f>1/TWD!B2008</f>
        <v>3.3122453711370937E-2</v>
      </c>
      <c r="Y2008" s="4">
        <f>1/TWD!C2008</f>
        <v>3.3122892555961125E-2</v>
      </c>
      <c r="Z2008" s="4">
        <f>1/ZAR!B2008</f>
        <v>7.5750115518926173E-2</v>
      </c>
      <c r="AA2008" s="4">
        <f>1/ZAR!C2008</f>
        <v>7.5383513625570095E-2</v>
      </c>
    </row>
    <row r="2009" spans="1:27" x14ac:dyDescent="0.25">
      <c r="A2009" t="str">
        <f>"25/09/2017"</f>
        <v>25/09/2017</v>
      </c>
      <c r="B2009" s="3">
        <f>AUD!B2009</f>
        <v>0.79549999999999998</v>
      </c>
      <c r="C2009" s="3">
        <f>AUD!C2009</f>
        <v>0.79520000000000002</v>
      </c>
      <c r="D2009" s="3">
        <f>1/CAD!B2009</f>
        <v>0.81103000811030002</v>
      </c>
      <c r="E2009" s="3">
        <f>1/CAD!C2009</f>
        <v>0.81122738703658637</v>
      </c>
      <c r="F2009" s="3">
        <f>EUR!B2009/1</f>
        <v>1.1874</v>
      </c>
      <c r="G2009" s="3">
        <f>EUR!C2009/1</f>
        <v>1.1894</v>
      </c>
      <c r="H2009" s="3">
        <f>GBP!B2009/1</f>
        <v>1.3484</v>
      </c>
      <c r="I2009" s="3">
        <f>GBP!C2009/1</f>
        <v>1.3498000000000001</v>
      </c>
      <c r="J2009" s="4">
        <f>1/INR!B2009</f>
        <v>1.5354496948293732E-2</v>
      </c>
      <c r="K2009" s="4">
        <f>1/INR!C2009</f>
        <v>1.5296367112810707E-2</v>
      </c>
      <c r="L2009" s="4">
        <f>1/JPY!B2009</f>
        <v>8.9150396719265401E-3</v>
      </c>
      <c r="M2009" s="4">
        <f>1/JPY!C2009</f>
        <v>8.9282206770448305E-3</v>
      </c>
      <c r="N2009" s="5">
        <f>1/KRW!B2009</f>
        <v>8.8354833009365614E-4</v>
      </c>
      <c r="O2009" s="5">
        <f>1/KRW!C2009</f>
        <v>8.8354715910873057E-4</v>
      </c>
      <c r="P2009" s="3">
        <f>1/NOK!B2009</f>
        <v>0.12790831531957891</v>
      </c>
      <c r="Q2009" s="3">
        <f>1/NOK!C2009</f>
        <v>0.12800163842097179</v>
      </c>
      <c r="R2009" s="3">
        <f>NZD!B2009/1</f>
        <v>0.72770000000000001</v>
      </c>
      <c r="S2009" s="3">
        <f>NZD!C2009/1</f>
        <v>0.72729999999999995</v>
      </c>
      <c r="T2009" s="4">
        <f>1/PHP!B2009</f>
        <v>1.9714144898965006E-2</v>
      </c>
      <c r="U2009" s="4">
        <f>1/PHP!C2009</f>
        <v>1.9682133543276092E-2</v>
      </c>
      <c r="V2009" s="4">
        <f>1/TWD!B2009</f>
        <v>3.3143311679703039E-2</v>
      </c>
      <c r="W2009" s="4">
        <f>1/TWD!C2009</f>
        <v>3.3143751077171907E-2</v>
      </c>
      <c r="X2009" s="4">
        <f>1/TWD!B2009</f>
        <v>3.3143311679703039E-2</v>
      </c>
      <c r="Y2009" s="4">
        <f>1/TWD!C2009</f>
        <v>3.3143751077171907E-2</v>
      </c>
      <c r="Z2009" s="4">
        <f>1/ZAR!B2009</f>
        <v>7.5329566854990579E-2</v>
      </c>
      <c r="AA2009" s="4">
        <f>1/ZAR!C2009</f>
        <v>7.4964204592307168E-2</v>
      </c>
    </row>
    <row r="2010" spans="1:27" x14ac:dyDescent="0.25">
      <c r="A2010" t="str">
        <f>"26/09/2017"</f>
        <v>26/09/2017</v>
      </c>
      <c r="B2010" s="3">
        <f>AUD!B2010</f>
        <v>0.7893</v>
      </c>
      <c r="C2010" s="3">
        <f>AUD!C2010</f>
        <v>0.78900000000000003</v>
      </c>
      <c r="D2010" s="3">
        <f>1/CAD!B2010</f>
        <v>0.80671184252984829</v>
      </c>
      <c r="E2010" s="3">
        <f>1/CAD!C2010</f>
        <v>0.80697224015493862</v>
      </c>
      <c r="F2010" s="3">
        <f>EUR!B2010/1</f>
        <v>1.1793</v>
      </c>
      <c r="G2010" s="3">
        <f>EUR!C2010/1</f>
        <v>1.1814</v>
      </c>
      <c r="H2010" s="3">
        <f>GBP!B2010/1</f>
        <v>1.3427</v>
      </c>
      <c r="I2010" s="3">
        <f>GBP!C2010/1</f>
        <v>1.3443000000000001</v>
      </c>
      <c r="J2010" s="4">
        <f>1/INR!B2010</f>
        <v>1.5278838808250572E-2</v>
      </c>
      <c r="K2010" s="4">
        <f>1/INR!C2010</f>
        <v>1.5216068167985392E-2</v>
      </c>
      <c r="L2010" s="4">
        <f>1/JPY!B2010</f>
        <v>8.9333571556190813E-3</v>
      </c>
      <c r="M2010" s="4">
        <f>1/JPY!C2010</f>
        <v>8.9473528809134173E-3</v>
      </c>
      <c r="N2010" s="5">
        <f>1/KRW!B2010</f>
        <v>8.793527963418923E-4</v>
      </c>
      <c r="O2010" s="5">
        <f>1/KRW!C2010</f>
        <v>8.7935163645141176E-4</v>
      </c>
      <c r="P2010" s="3">
        <f>1/NOK!B2010</f>
        <v>0.1270422034199761</v>
      </c>
      <c r="Q2010" s="3">
        <f>1/NOK!C2010</f>
        <v>0.12714881497304445</v>
      </c>
      <c r="R2010" s="3">
        <f>NZD!B2010/1</f>
        <v>0.72070000000000001</v>
      </c>
      <c r="S2010" s="3">
        <f>NZD!C2010/1</f>
        <v>0.72030000000000005</v>
      </c>
      <c r="T2010" s="4">
        <f>1/PHP!B2010</f>
        <v>1.9632865416707567E-2</v>
      </c>
      <c r="U2010" s="4">
        <f>1/PHP!C2010</f>
        <v>1.9602462069235896E-2</v>
      </c>
      <c r="V2010" s="4">
        <f>1/TWD!B2010</f>
        <v>3.309504898067249E-2</v>
      </c>
      <c r="W2010" s="4">
        <f>1/TWD!C2010</f>
        <v>3.309548709937913E-2</v>
      </c>
      <c r="X2010" s="4">
        <f>1/TWD!B2010</f>
        <v>3.309504898067249E-2</v>
      </c>
      <c r="Y2010" s="4">
        <f>1/TWD!C2010</f>
        <v>3.309548709937913E-2</v>
      </c>
      <c r="Z2010" s="4">
        <f>1/ZAR!B2010</f>
        <v>7.4822856886321634E-2</v>
      </c>
      <c r="AA2010" s="4">
        <f>1/ZAR!C2010</f>
        <v>7.4436330884378052E-2</v>
      </c>
    </row>
    <row r="2011" spans="1:27" x14ac:dyDescent="0.25">
      <c r="A2011" t="str">
        <f>"27/09/2017"</f>
        <v>27/09/2017</v>
      </c>
      <c r="B2011" s="3">
        <f>AUD!B2011</f>
        <v>0.78590000000000004</v>
      </c>
      <c r="C2011" s="3">
        <f>AUD!C2011</f>
        <v>0.78559999999999997</v>
      </c>
      <c r="D2011" s="3">
        <f>1/CAD!B2011</f>
        <v>0.80677692617991126</v>
      </c>
      <c r="E2011" s="3">
        <f>1/CAD!C2011</f>
        <v>0.80703736583003782</v>
      </c>
      <c r="F2011" s="3">
        <f>EUR!B2011/1</f>
        <v>1.1744000000000001</v>
      </c>
      <c r="G2011" s="3">
        <f>EUR!C2011/1</f>
        <v>1.1766000000000001</v>
      </c>
      <c r="H2011" s="3">
        <f>GBP!B2011/1</f>
        <v>1.3414999999999999</v>
      </c>
      <c r="I2011" s="3">
        <f>GBP!C2011/1</f>
        <v>1.3431</v>
      </c>
      <c r="J2011" s="4">
        <f>1/INR!B2011</f>
        <v>1.5217225899718481E-2</v>
      </c>
      <c r="K2011" s="4">
        <f>1/INR!C2011</f>
        <v>1.515438530024626E-2</v>
      </c>
      <c r="L2011" s="4">
        <f>1/JPY!B2011</f>
        <v>8.8558271342543387E-3</v>
      </c>
      <c r="M2011" s="4">
        <f>1/JPY!C2011</f>
        <v>8.8697696077344387E-3</v>
      </c>
      <c r="N2011" s="5">
        <f>1/KRW!B2011</f>
        <v>8.7657784011220205E-4</v>
      </c>
      <c r="O2011" s="5">
        <f>1/KRW!C2011</f>
        <v>8.7657668753065275E-4</v>
      </c>
      <c r="P2011" s="3">
        <f>1/NOK!B2011</f>
        <v>0.12574503935819731</v>
      </c>
      <c r="Q2011" s="3">
        <f>1/NOK!C2011</f>
        <v>0.12585265171537163</v>
      </c>
      <c r="R2011" s="3">
        <f>NZD!B2011/1</f>
        <v>0.72070000000000001</v>
      </c>
      <c r="S2011" s="3">
        <f>NZD!C2011/1</f>
        <v>0.72030000000000005</v>
      </c>
      <c r="T2011" s="4">
        <f>1/PHP!B2011</f>
        <v>1.9592476489028215E-2</v>
      </c>
      <c r="U2011" s="4">
        <f>1/PHP!C2011</f>
        <v>1.9560284797746654E-2</v>
      </c>
      <c r="V2011" s="4">
        <f>1/TWD!B2011</f>
        <v>3.2997855139415937E-2</v>
      </c>
      <c r="W2011" s="4">
        <f>1/TWD!C2011</f>
        <v>3.2998399577620484E-2</v>
      </c>
      <c r="X2011" s="4">
        <f>1/TWD!B2011</f>
        <v>3.2997855139415937E-2</v>
      </c>
      <c r="Y2011" s="4">
        <f>1/TWD!C2011</f>
        <v>3.2998399577620484E-2</v>
      </c>
      <c r="Z2011" s="4">
        <f>1/ZAR!B2011</f>
        <v>7.3804006081450102E-2</v>
      </c>
      <c r="AA2011" s="4">
        <f>1/ZAR!C2011</f>
        <v>7.3419821883512107E-2</v>
      </c>
    </row>
    <row r="2012" spans="1:27" x14ac:dyDescent="0.25">
      <c r="A2012" t="str">
        <f>"28/09/2017"</f>
        <v>28/09/2017</v>
      </c>
      <c r="B2012" s="3">
        <f>AUD!B2012</f>
        <v>0.78180000000000005</v>
      </c>
      <c r="C2012" s="3">
        <f>AUD!C2012</f>
        <v>0.78149999999999997</v>
      </c>
      <c r="D2012" s="3">
        <f>1/CAD!B2012</f>
        <v>0.79974408189379398</v>
      </c>
      <c r="E2012" s="3">
        <f>1/CAD!C2012</f>
        <v>0.8</v>
      </c>
      <c r="F2012" s="3">
        <f>EUR!B2012/1</f>
        <v>1.1732</v>
      </c>
      <c r="G2012" s="3">
        <f>EUR!C2012/1</f>
        <v>1.1752</v>
      </c>
      <c r="H2012" s="3">
        <f>GBP!B2012/1</f>
        <v>1.3373999999999999</v>
      </c>
      <c r="I2012" s="3">
        <f>GBP!C2012/1</f>
        <v>1.3387</v>
      </c>
      <c r="J2012" s="4">
        <f>1/INR!B2012</f>
        <v>1.5219541891789057E-2</v>
      </c>
      <c r="K2012" s="4">
        <f>1/INR!C2012</f>
        <v>1.5157830914396151E-2</v>
      </c>
      <c r="L2012" s="4">
        <f>1/JPY!B2012</f>
        <v>8.8472087056533661E-3</v>
      </c>
      <c r="M2012" s="4">
        <f>1/JPY!C2012</f>
        <v>8.8593969408502365E-3</v>
      </c>
      <c r="N2012" s="5">
        <f>1/KRW!B2012</f>
        <v>8.7161160986664341E-4</v>
      </c>
      <c r="O2012" s="5">
        <f>1/KRW!C2012</f>
        <v>8.7161047030793559E-4</v>
      </c>
      <c r="P2012" s="3">
        <f>1/NOK!B2012</f>
        <v>0.12553194160254078</v>
      </c>
      <c r="Q2012" s="3">
        <f>1/NOK!C2012</f>
        <v>0.12563445399266296</v>
      </c>
      <c r="R2012" s="3">
        <f>NZD!B2012/1</f>
        <v>0.71899999999999997</v>
      </c>
      <c r="S2012" s="3">
        <f>NZD!C2012/1</f>
        <v>0.71860000000000002</v>
      </c>
      <c r="T2012" s="4">
        <f>1/PHP!B2012</f>
        <v>1.9552253397204025E-2</v>
      </c>
      <c r="U2012" s="4">
        <f>1/PHP!C2012</f>
        <v>1.9520955745993326E-2</v>
      </c>
      <c r="V2012" s="4">
        <f>1/TWD!B2012</f>
        <v>3.2877432930036823E-2</v>
      </c>
      <c r="W2012" s="4">
        <f>1/TWD!C2012</f>
        <v>3.2877865305961415E-2</v>
      </c>
      <c r="X2012" s="4">
        <f>1/TWD!B2012</f>
        <v>3.2877432930036823E-2</v>
      </c>
      <c r="Y2012" s="4">
        <f>1/TWD!C2012</f>
        <v>3.2877865305961415E-2</v>
      </c>
      <c r="Z2012" s="4">
        <f>1/ZAR!B2012</f>
        <v>7.3375108228284636E-2</v>
      </c>
      <c r="AA2012" s="4">
        <f>1/ZAR!C2012</f>
        <v>7.3004957036582788E-2</v>
      </c>
    </row>
    <row r="2013" spans="1:27" x14ac:dyDescent="0.25">
      <c r="A2013" t="str">
        <f>"29/09/2017"</f>
        <v>29/09/2017</v>
      </c>
      <c r="B2013" s="3">
        <f>AUD!B2013</f>
        <v>0.78290000000000004</v>
      </c>
      <c r="C2013" s="3">
        <f>AUD!C2013</f>
        <v>0.78380000000000005</v>
      </c>
      <c r="D2013" s="3">
        <f>1/CAD!B2013</f>
        <v>0.80476420408820215</v>
      </c>
      <c r="E2013" s="3">
        <f>1/CAD!C2013</f>
        <v>0.80495854463495131</v>
      </c>
      <c r="F2013" s="3">
        <f>EUR!B2013/1</f>
        <v>1.1811</v>
      </c>
      <c r="G2013" s="3">
        <f>EUR!C2013/1</f>
        <v>1.1831</v>
      </c>
      <c r="H2013" s="3">
        <f>GBP!B2013/1</f>
        <v>1.3385</v>
      </c>
      <c r="I2013" s="3">
        <f>GBP!C2013/1</f>
        <v>1.3396999999999999</v>
      </c>
      <c r="J2013" s="4">
        <f>1/INR!B2013</f>
        <v>1.5318040822578793E-2</v>
      </c>
      <c r="K2013" s="4">
        <f>1/INR!C2013</f>
        <v>1.5253784845364755E-2</v>
      </c>
      <c r="L2013" s="4">
        <f>1/JPY!B2013</f>
        <v>8.8896790825851186E-3</v>
      </c>
      <c r="M2013" s="4">
        <f>1/JPY!C2013</f>
        <v>8.9030942704136831E-3</v>
      </c>
      <c r="N2013" s="5">
        <f>1/KRW!B2013</f>
        <v>8.7298123090353555E-4</v>
      </c>
      <c r="O2013" s="5">
        <f>1/KRW!C2013</f>
        <v>8.7298008776068813E-4</v>
      </c>
      <c r="P2013" s="3">
        <f>1/NOK!B2013</f>
        <v>0.12557923421782974</v>
      </c>
      <c r="Q2013" s="3">
        <f>1/NOK!C2013</f>
        <v>0.1256628716479429</v>
      </c>
      <c r="R2013" s="3">
        <f>NZD!B2013/1</f>
        <v>0.72219999999999995</v>
      </c>
      <c r="S2013" s="3">
        <f>NZD!C2013/1</f>
        <v>0.72170000000000001</v>
      </c>
      <c r="T2013" s="4">
        <f>1/PHP!B2013</f>
        <v>1.9673421207948062E-2</v>
      </c>
      <c r="U2013" s="4">
        <f>1/PHP!C2013</f>
        <v>1.9639805958717126E-2</v>
      </c>
      <c r="V2013" s="4">
        <f>1/TWD!B2013</f>
        <v>3.2964135021097046E-2</v>
      </c>
      <c r="W2013" s="4">
        <f>1/TWD!C2013</f>
        <v>3.2964569680507393E-2</v>
      </c>
      <c r="X2013" s="4">
        <f>1/TWD!B2013</f>
        <v>3.2964135021097046E-2</v>
      </c>
      <c r="Y2013" s="4">
        <f>1/TWD!C2013</f>
        <v>3.2964569680507393E-2</v>
      </c>
      <c r="Z2013" s="4">
        <f>1/ZAR!B2013</f>
        <v>7.3570524704982196E-2</v>
      </c>
      <c r="AA2013" s="4">
        <f>1/ZAR!C2013</f>
        <v>7.371097925035934E-2</v>
      </c>
    </row>
    <row r="2014" spans="1:27" x14ac:dyDescent="0.25">
      <c r="A2014" t="str">
        <f>"03/10/2017"</f>
        <v>03/10/2017</v>
      </c>
      <c r="B2014" s="3">
        <f>AUD!B2014</f>
        <v>0.78169999999999995</v>
      </c>
      <c r="C2014" s="3">
        <f>AUD!C2014</f>
        <v>0.78139999999999998</v>
      </c>
      <c r="D2014" s="3">
        <f>1/CAD!B2014</f>
        <v>0.80006400512040965</v>
      </c>
      <c r="E2014" s="3">
        <f>1/CAD!C2014</f>
        <v>0.80025608194622277</v>
      </c>
      <c r="F2014" s="3">
        <f>EUR!B2014/1</f>
        <v>1.1757</v>
      </c>
      <c r="G2014" s="3">
        <f>EUR!C2014/1</f>
        <v>1.1777</v>
      </c>
      <c r="H2014" s="3">
        <f>GBP!B2014/1</f>
        <v>1.3257000000000001</v>
      </c>
      <c r="I2014" s="3">
        <f>GBP!C2014/1</f>
        <v>1.3270999999999999</v>
      </c>
      <c r="J2014" s="4">
        <f>1/INR!B2014</f>
        <v>1.5266010228226854E-2</v>
      </c>
      <c r="K2014" s="4">
        <f>1/INR!C2014</f>
        <v>1.5202189115232594E-2</v>
      </c>
      <c r="L2014" s="4">
        <f>1/JPY!B2014</f>
        <v>8.8487744447394035E-3</v>
      </c>
      <c r="M2014" s="4">
        <f>1/JPY!C2014</f>
        <v>8.8610455147602862E-3</v>
      </c>
      <c r="N2014" s="5">
        <f>1/KRW!B2014</f>
        <v>8.7298123090353555E-4</v>
      </c>
      <c r="O2014" s="5">
        <f>1/KRW!C2014</f>
        <v>8.7298008776068813E-4</v>
      </c>
      <c r="P2014" s="3">
        <f>1/NOK!B2014</f>
        <v>0.12522540573031457</v>
      </c>
      <c r="Q2014" s="3">
        <f>1/NOK!C2014</f>
        <v>0.1253148535695936</v>
      </c>
      <c r="R2014" s="3">
        <f>NZD!B2014/1</f>
        <v>0.7177</v>
      </c>
      <c r="S2014" s="3">
        <f>NZD!C2014/1</f>
        <v>0.71719999999999995</v>
      </c>
      <c r="T2014" s="4">
        <f>1/PHP!B2014</f>
        <v>1.9584802193497845E-2</v>
      </c>
      <c r="U2014" s="4">
        <f>1/PHP!C2014</f>
        <v>1.9551106592633143E-2</v>
      </c>
      <c r="V2014" s="4">
        <f>1/TWD!B2014</f>
        <v>3.2840722495894911E-2</v>
      </c>
      <c r="W2014" s="4">
        <f>1/TWD!C2014</f>
        <v>3.2841153906783667E-2</v>
      </c>
      <c r="X2014" s="4">
        <f>1/TWD!B2014</f>
        <v>3.2840722495894911E-2</v>
      </c>
      <c r="Y2014" s="4">
        <f>1/TWD!C2014</f>
        <v>3.2841153906783667E-2</v>
      </c>
      <c r="Z2014" s="4">
        <f>1/ZAR!B2014</f>
        <v>7.305028781813401E-2</v>
      </c>
      <c r="AA2014" s="4">
        <f>1/ZAR!C2014</f>
        <v>7.2669665501529701E-2</v>
      </c>
    </row>
    <row r="2015" spans="1:27" x14ac:dyDescent="0.25">
      <c r="A2015" t="str">
        <f>"04/10/2017"</f>
        <v>04/10/2017</v>
      </c>
      <c r="B2015" s="3">
        <f>AUD!B2015</f>
        <v>0.78600000000000003</v>
      </c>
      <c r="C2015" s="3">
        <f>AUD!C2015</f>
        <v>0.78569999999999995</v>
      </c>
      <c r="D2015" s="3">
        <f>1/CAD!B2015</f>
        <v>0.80218193486282696</v>
      </c>
      <c r="E2015" s="3">
        <f>1/CAD!C2015</f>
        <v>0.80231065468549423</v>
      </c>
      <c r="F2015" s="3">
        <f>EUR!B2015/1</f>
        <v>1.1773</v>
      </c>
      <c r="G2015" s="3">
        <f>EUR!C2015/1</f>
        <v>1.1792</v>
      </c>
      <c r="H2015" s="3">
        <f>GBP!B2015/1</f>
        <v>1.3280000000000001</v>
      </c>
      <c r="I2015" s="3">
        <f>GBP!C2015/1</f>
        <v>1.3292999999999999</v>
      </c>
      <c r="J2015" s="4">
        <f>1/INR!B2015</f>
        <v>1.5381065907867414E-2</v>
      </c>
      <c r="K2015" s="4">
        <f>1/INR!C2015</f>
        <v>1.5318627450980392E-2</v>
      </c>
      <c r="L2015" s="4">
        <f>1/JPY!B2015</f>
        <v>8.8936321593738876E-3</v>
      </c>
      <c r="M2015" s="4">
        <f>1/JPY!C2015</f>
        <v>8.905425274131254E-3</v>
      </c>
      <c r="N2015" s="5">
        <f>1/KRW!B2015</f>
        <v>8.7298123090353555E-4</v>
      </c>
      <c r="O2015" s="5">
        <f>1/KRW!C2015</f>
        <v>8.7298008776068813E-4</v>
      </c>
      <c r="P2015" s="3">
        <f>1/NOK!B2015</f>
        <v>0.12586532410320955</v>
      </c>
      <c r="Q2015" s="3">
        <f>1/NOK!C2015</f>
        <v>0.12594934317417533</v>
      </c>
      <c r="R2015" s="3">
        <f>NZD!B2015/1</f>
        <v>0.71760000000000002</v>
      </c>
      <c r="S2015" s="3">
        <f>NZD!C2015/1</f>
        <v>0.71719999999999995</v>
      </c>
      <c r="T2015" s="4">
        <f>1/PHP!B2015</f>
        <v>1.9603999215840034E-2</v>
      </c>
      <c r="U2015" s="4">
        <f>1/PHP!C2015</f>
        <v>1.9571386632742931E-2</v>
      </c>
      <c r="V2015" s="4">
        <f>1/TWD!B2015</f>
        <v>3.2840722495894911E-2</v>
      </c>
      <c r="W2015" s="4">
        <f>1/TWD!C2015</f>
        <v>3.2841153906783667E-2</v>
      </c>
      <c r="X2015" s="4">
        <f>1/TWD!B2015</f>
        <v>3.2840722495894911E-2</v>
      </c>
      <c r="Y2015" s="4">
        <f>1/TWD!C2015</f>
        <v>3.2841153906783667E-2</v>
      </c>
      <c r="Z2015" s="4">
        <f>1/ZAR!B2015</f>
        <v>7.3656143658942602E-2</v>
      </c>
      <c r="AA2015" s="4">
        <f>1/ZAR!C2015</f>
        <v>7.3284232897292148E-2</v>
      </c>
    </row>
    <row r="2016" spans="1:27" x14ac:dyDescent="0.25">
      <c r="A2016" t="str">
        <f>"05/10/2017"</f>
        <v>05/10/2017</v>
      </c>
      <c r="B2016" s="3">
        <f>AUD!B2016</f>
        <v>0.78169999999999995</v>
      </c>
      <c r="C2016" s="3">
        <f>AUD!C2016</f>
        <v>0.78139999999999998</v>
      </c>
      <c r="D2016" s="3">
        <f>1/CAD!B2016</f>
        <v>0.80153895479320292</v>
      </c>
      <c r="E2016" s="3">
        <f>1/CAD!C2016</f>
        <v>0.80173174055960872</v>
      </c>
      <c r="F2016" s="3">
        <f>EUR!B2016/1</f>
        <v>1.1738999999999999</v>
      </c>
      <c r="G2016" s="3">
        <f>EUR!C2016/1</f>
        <v>1.1758</v>
      </c>
      <c r="H2016" s="3">
        <f>GBP!B2016/1</f>
        <v>1.3166</v>
      </c>
      <c r="I2016" s="3">
        <f>GBP!C2016/1</f>
        <v>1.3179000000000001</v>
      </c>
      <c r="J2016" s="4">
        <f>1/INR!B2016</f>
        <v>1.5349783184312522E-2</v>
      </c>
      <c r="K2016" s="4">
        <f>1/INR!C2016</f>
        <v>1.5287013681877244E-2</v>
      </c>
      <c r="L2016" s="4">
        <f>1/JPY!B2016</f>
        <v>8.8896790825851186E-3</v>
      </c>
      <c r="M2016" s="4">
        <f>1/JPY!C2016</f>
        <v>8.9015092508934884E-3</v>
      </c>
      <c r="N2016" s="5">
        <f>1/KRW!B2016</f>
        <v>8.7298123090353555E-4</v>
      </c>
      <c r="O2016" s="5">
        <f>1/KRW!C2016</f>
        <v>8.7298008776068813E-4</v>
      </c>
      <c r="P2016" s="3">
        <f>1/NOK!B2016</f>
        <v>0.12547681188516363</v>
      </c>
      <c r="Q2016" s="3">
        <f>1/NOK!C2016</f>
        <v>0.12556188945531252</v>
      </c>
      <c r="R2016" s="3">
        <f>NZD!B2016/1</f>
        <v>0.71479999999999999</v>
      </c>
      <c r="S2016" s="3">
        <f>NZD!C2016/1</f>
        <v>0.71440000000000003</v>
      </c>
      <c r="T2016" s="4">
        <f>1/PHP!B2016</f>
        <v>1.9600156801254411E-2</v>
      </c>
      <c r="U2016" s="4">
        <f>1/PHP!C2016</f>
        <v>1.9570237582684256E-2</v>
      </c>
      <c r="V2016" s="4">
        <f>1/TWD!B2016</f>
        <v>3.2947843563638758E-2</v>
      </c>
      <c r="W2016" s="4">
        <f>1/TWD!C2016</f>
        <v>3.2948277793519734E-2</v>
      </c>
      <c r="X2016" s="4">
        <f>1/TWD!B2016</f>
        <v>3.2947843563638758E-2</v>
      </c>
      <c r="Y2016" s="4">
        <f>1/TWD!C2016</f>
        <v>3.2948277793519734E-2</v>
      </c>
      <c r="Z2016" s="4">
        <f>1/ZAR!B2016</f>
        <v>7.323110271394466E-2</v>
      </c>
      <c r="AA2016" s="4">
        <f>1/ZAR!C2016</f>
        <v>7.2857621635799313E-2</v>
      </c>
    </row>
    <row r="2017" spans="1:27" x14ac:dyDescent="0.25">
      <c r="A2017" t="str">
        <f>"06/10/2017"</f>
        <v>06/10/2017</v>
      </c>
      <c r="B2017" s="3">
        <f>AUD!B2017</f>
        <v>0.77749999999999997</v>
      </c>
      <c r="C2017" s="3">
        <f>AUD!C2017</f>
        <v>0.7772</v>
      </c>
      <c r="D2017" s="3">
        <f>1/CAD!B2017</f>
        <v>0.79529187211706687</v>
      </c>
      <c r="E2017" s="3">
        <f>1/CAD!C2017</f>
        <v>0.79548166414764132</v>
      </c>
      <c r="F2017" s="3">
        <f>EUR!B2017/1</f>
        <v>1.1709000000000001</v>
      </c>
      <c r="G2017" s="3">
        <f>EUR!C2017/1</f>
        <v>1.1728000000000001</v>
      </c>
      <c r="H2017" s="3">
        <f>GBP!B2017/1</f>
        <v>1.3081</v>
      </c>
      <c r="I2017" s="3">
        <f>GBP!C2017/1</f>
        <v>1.3093999999999999</v>
      </c>
      <c r="J2017" s="4">
        <f>1/INR!B2017</f>
        <v>1.5296952082297602E-2</v>
      </c>
      <c r="K2017" s="4">
        <f>1/INR!C2017</f>
        <v>1.523229246001523E-2</v>
      </c>
      <c r="L2017" s="4">
        <f>1/JPY!B2017</f>
        <v>8.8511240927597809E-3</v>
      </c>
      <c r="M2017" s="4">
        <f>1/JPY!C2017</f>
        <v>8.8636373708678839E-3</v>
      </c>
      <c r="N2017" s="5">
        <f>1/KRW!B2017</f>
        <v>8.7298123090353555E-4</v>
      </c>
      <c r="O2017" s="5">
        <f>1/KRW!C2017</f>
        <v>8.7298275509865571E-4</v>
      </c>
      <c r="P2017" s="3">
        <f>1/NOK!B2017</f>
        <v>0.12496719611102085</v>
      </c>
      <c r="Q2017" s="3">
        <f>1/NOK!C2017</f>
        <v>0.12505314758772479</v>
      </c>
      <c r="R2017" s="3">
        <f>NZD!B2017/1</f>
        <v>0.70879999999999999</v>
      </c>
      <c r="S2017" s="3">
        <f>NZD!C2017/1</f>
        <v>0.70840000000000003</v>
      </c>
      <c r="T2017" s="4">
        <f>1/PHP!B2017</f>
        <v>1.9540791402051783E-2</v>
      </c>
      <c r="U2017" s="4">
        <f>1/PHP!C2017</f>
        <v>1.9510672337768761E-2</v>
      </c>
      <c r="V2017" s="4">
        <f>1/TWD!B2017</f>
        <v>3.2920726889649719E-2</v>
      </c>
      <c r="W2017" s="4">
        <f>1/TWD!C2017</f>
        <v>3.2921160405061961E-2</v>
      </c>
      <c r="X2017" s="4">
        <f>1/TWD!B2017</f>
        <v>3.2920726889649719E-2</v>
      </c>
      <c r="Y2017" s="4">
        <f>1/TWD!C2017</f>
        <v>3.2921160405061961E-2</v>
      </c>
      <c r="Z2017" s="4">
        <f>1/ZAR!B2017</f>
        <v>7.2793448589626927E-2</v>
      </c>
      <c r="AA2017" s="4">
        <f>1/ZAR!C2017</f>
        <v>7.2422308968054516E-2</v>
      </c>
    </row>
    <row r="2018" spans="1:27" x14ac:dyDescent="0.25">
      <c r="A2018" t="str">
        <f>"09/10/2017"</f>
        <v>09/10/2017</v>
      </c>
      <c r="B2018" s="3">
        <f>AUD!B2018</f>
        <v>0.77549999999999997</v>
      </c>
      <c r="C2018" s="3">
        <f>AUD!C2018</f>
        <v>0.7752</v>
      </c>
      <c r="D2018" s="3">
        <f>1/CAD!B2018</f>
        <v>0.79725743442557606</v>
      </c>
      <c r="E2018" s="3">
        <f>1/CAD!C2018</f>
        <v>0.79744816586921852</v>
      </c>
      <c r="F2018" s="3">
        <f>EUR!B2018/1</f>
        <v>1.1740999999999999</v>
      </c>
      <c r="G2018" s="3">
        <f>EUR!C2018/1</f>
        <v>1.1760999999999999</v>
      </c>
      <c r="H2018" s="3">
        <f>GBP!B2018/1</f>
        <v>1.3174999999999999</v>
      </c>
      <c r="I2018" s="3">
        <f>GBP!C2018/1</f>
        <v>1.3188</v>
      </c>
      <c r="J2018" s="4">
        <f>1/INR!B2018</f>
        <v>1.5299292407726144E-2</v>
      </c>
      <c r="K2018" s="4">
        <f>1/INR!C2018</f>
        <v>1.523171242526941E-2</v>
      </c>
      <c r="L2018" s="4">
        <f>1/JPY!B2018</f>
        <v>8.8746893858714943E-3</v>
      </c>
      <c r="M2018" s="4">
        <f>1/JPY!C2018</f>
        <v>8.8873642121840429E-3</v>
      </c>
      <c r="N2018" s="5">
        <f>1/KRW!B2018</f>
        <v>8.7298123090353555E-4</v>
      </c>
      <c r="O2018" s="5">
        <f>1/KRW!C2018</f>
        <v>8.7298275509865571E-4</v>
      </c>
      <c r="P2018" s="3">
        <f>1/NOK!B2018</f>
        <v>0.12515801199013757</v>
      </c>
      <c r="Q2018" s="3">
        <f>1/NOK!C2018</f>
        <v>0.12524893225285255</v>
      </c>
      <c r="R2018" s="3">
        <f>NZD!B2018/1</f>
        <v>0.7077</v>
      </c>
      <c r="S2018" s="3">
        <f>NZD!C2018/1</f>
        <v>0.70720000000000005</v>
      </c>
      <c r="T2018" s="4">
        <f>1/PHP!B2018</f>
        <v>1.9512195121951219E-2</v>
      </c>
      <c r="U2018" s="4">
        <f>1/PHP!C2018</f>
        <v>1.9481404998928521E-2</v>
      </c>
      <c r="V2018" s="4">
        <f>1/TWD!B2018</f>
        <v>3.2920726889649719E-2</v>
      </c>
      <c r="W2018" s="4">
        <f>1/TWD!C2018</f>
        <v>3.2921160405061961E-2</v>
      </c>
      <c r="X2018" s="4">
        <f>1/TWD!B2018</f>
        <v>3.2920726889649719E-2</v>
      </c>
      <c r="Y2018" s="4">
        <f>1/TWD!C2018</f>
        <v>3.2921160405061961E-2</v>
      </c>
      <c r="Z2018" s="4">
        <f>1/ZAR!B2018</f>
        <v>7.2480049866274307E-2</v>
      </c>
      <c r="AA2018" s="4">
        <f>1/ZAR!C2018</f>
        <v>7.2086619281728923E-2</v>
      </c>
    </row>
    <row r="2019" spans="1:27" x14ac:dyDescent="0.25">
      <c r="A2019" t="str">
        <f>"10/10/2017"</f>
        <v>10/10/2017</v>
      </c>
      <c r="B2019" s="3">
        <f>AUD!B2019</f>
        <v>0.77769999999999995</v>
      </c>
      <c r="C2019" s="3">
        <f>AUD!C2019</f>
        <v>0.77739999999999998</v>
      </c>
      <c r="D2019" s="3">
        <f>1/CAD!B2019</f>
        <v>0.79891347767036824</v>
      </c>
      <c r="E2019" s="3">
        <f>1/CAD!C2019</f>
        <v>0.79910500239731497</v>
      </c>
      <c r="F2019" s="3">
        <f>EUR!B2019/1</f>
        <v>1.1779999999999999</v>
      </c>
      <c r="G2019" s="3">
        <f>EUR!C2019/1</f>
        <v>1.18</v>
      </c>
      <c r="H2019" s="3">
        <f>GBP!B2019/1</f>
        <v>1.3182</v>
      </c>
      <c r="I2019" s="3">
        <f>GBP!C2019/1</f>
        <v>1.3194999999999999</v>
      </c>
      <c r="J2019" s="4">
        <f>1/INR!B2019</f>
        <v>1.5316867700555238E-2</v>
      </c>
      <c r="K2019" s="4">
        <f>1/INR!C2019</f>
        <v>1.5251458420711482E-2</v>
      </c>
      <c r="L2019" s="4">
        <f>1/JPY!B2019</f>
        <v>8.892050506846879E-3</v>
      </c>
      <c r="M2019" s="4">
        <f>1/JPY!C2019</f>
        <v>8.9042199769736874E-3</v>
      </c>
      <c r="N2019" s="5">
        <f>1/KRW!B2019</f>
        <v>8.808244516867789E-4</v>
      </c>
      <c r="O2019" s="5">
        <f>1/KRW!C2019</f>
        <v>8.8082561546588844E-4</v>
      </c>
      <c r="P2019" s="3">
        <f>1/NOK!B2019</f>
        <v>0.12556346605391694</v>
      </c>
      <c r="Q2019" s="3">
        <f>1/NOK!C2019</f>
        <v>0.12565181881007728</v>
      </c>
      <c r="R2019" s="3">
        <f>NZD!B2019/1</f>
        <v>0.70660000000000001</v>
      </c>
      <c r="S2019" s="3">
        <f>NZD!C2019/1</f>
        <v>0.70609999999999995</v>
      </c>
      <c r="T2019" s="4">
        <f>1/PHP!B2019</f>
        <v>1.9436345966958212E-2</v>
      </c>
      <c r="U2019" s="4">
        <f>1/PHP!C2019</f>
        <v>1.9402782358990279E-2</v>
      </c>
      <c r="V2019" s="4">
        <f>1/TWD!B2019</f>
        <v>3.2920726889649719E-2</v>
      </c>
      <c r="W2019" s="4">
        <f>1/TWD!C2019</f>
        <v>3.2921160405061961E-2</v>
      </c>
      <c r="X2019" s="4">
        <f>1/TWD!B2019</f>
        <v>3.2920726889649719E-2</v>
      </c>
      <c r="Y2019" s="4">
        <f>1/TWD!C2019</f>
        <v>3.2921160405061961E-2</v>
      </c>
      <c r="Z2019" s="4">
        <f>1/ZAR!B2019</f>
        <v>7.2903832554477396E-2</v>
      </c>
      <c r="AA2019" s="4">
        <f>1/ZAR!C2019</f>
        <v>7.2519997389280083E-2</v>
      </c>
    </row>
    <row r="2020" spans="1:27" x14ac:dyDescent="0.25">
      <c r="A2020" t="str">
        <f>"11/10/2017"</f>
        <v>11/10/2017</v>
      </c>
      <c r="B2020" s="3">
        <f>AUD!B2020</f>
        <v>0.77859999999999996</v>
      </c>
      <c r="C2020" s="3">
        <f>AUD!C2020</f>
        <v>0.77829999999999999</v>
      </c>
      <c r="D2020" s="3">
        <f>1/CAD!B2020</f>
        <v>0.79904115061925685</v>
      </c>
      <c r="E2020" s="3">
        <f>1/CAD!C2020</f>
        <v>0.79923273657288996</v>
      </c>
      <c r="F2020" s="3">
        <f>EUR!B2020/1</f>
        <v>1.1820999999999999</v>
      </c>
      <c r="G2020" s="3">
        <f>EUR!C2020/1</f>
        <v>1.1839999999999999</v>
      </c>
      <c r="H2020" s="3">
        <f>GBP!B2020/1</f>
        <v>1.3186</v>
      </c>
      <c r="I2020" s="3">
        <f>GBP!C2020/1</f>
        <v>1.3199000000000001</v>
      </c>
      <c r="J2020" s="4">
        <f>1/INR!B2020</f>
        <v>1.5350372246526979E-2</v>
      </c>
      <c r="K2020" s="4">
        <f>1/INR!C2020</f>
        <v>1.528759793617428E-2</v>
      </c>
      <c r="L2020" s="4">
        <f>1/JPY!B2020</f>
        <v>8.9031339031339033E-3</v>
      </c>
      <c r="M2020" s="4">
        <f>1/JPY!C2020</f>
        <v>8.9152065787092387E-3</v>
      </c>
      <c r="N2020" s="5">
        <f>1/KRW!B2020</f>
        <v>8.808244516867789E-4</v>
      </c>
      <c r="O2020" s="5">
        <f>1/KRW!C2020</f>
        <v>8.8082522753917696E-4</v>
      </c>
      <c r="P2020" s="3">
        <f>1/NOK!B2020</f>
        <v>0.126000126000126</v>
      </c>
      <c r="Q2020" s="3">
        <f>1/NOK!C2020</f>
        <v>0.12608750472828142</v>
      </c>
      <c r="R2020" s="3">
        <f>NZD!B2020/1</f>
        <v>0.70650000000000002</v>
      </c>
      <c r="S2020" s="3">
        <f>NZD!C2020/1</f>
        <v>0.70609999999999995</v>
      </c>
      <c r="T2020" s="4">
        <f>1/PHP!B2020</f>
        <v>1.9464720194647202E-2</v>
      </c>
      <c r="U2020" s="4">
        <f>1/PHP!C2020</f>
        <v>1.942954845729385E-2</v>
      </c>
      <c r="V2020" s="4">
        <f>1/TWD!B2020</f>
        <v>3.3076439652035855E-2</v>
      </c>
      <c r="W2020" s="4">
        <f>1/TWD!C2020</f>
        <v>3.3076877278169922E-2</v>
      </c>
      <c r="X2020" s="4">
        <f>1/TWD!B2020</f>
        <v>3.3076439652035855E-2</v>
      </c>
      <c r="Y2020" s="4">
        <f>1/TWD!C2020</f>
        <v>3.3076877278169922E-2</v>
      </c>
      <c r="Z2020" s="4">
        <f>1/ZAR!B2020</f>
        <v>7.3598681111634479E-2</v>
      </c>
      <c r="AA2020" s="4">
        <f>1/ZAR!C2020</f>
        <v>7.3224667926130957E-2</v>
      </c>
    </row>
    <row r="2021" spans="1:27" x14ac:dyDescent="0.25">
      <c r="A2021" t="str">
        <f>"12/10/2017"</f>
        <v>12/10/2017</v>
      </c>
      <c r="B2021" s="3">
        <f>AUD!B2021</f>
        <v>0.78169999999999995</v>
      </c>
      <c r="C2021" s="3">
        <f>AUD!C2021</f>
        <v>0.78139999999999998</v>
      </c>
      <c r="D2021" s="3">
        <f>1/CAD!B2021</f>
        <v>0.80166746833413494</v>
      </c>
      <c r="E2021" s="3">
        <f>1/CAD!C2021</f>
        <v>0.80179602309172537</v>
      </c>
      <c r="F2021" s="3">
        <f>EUR!B2021/1</f>
        <v>1.1859999999999999</v>
      </c>
      <c r="G2021" s="3">
        <f>EUR!C2021/1</f>
        <v>1.1879</v>
      </c>
      <c r="H2021" s="3">
        <f>GBP!B2021/1</f>
        <v>1.3146</v>
      </c>
      <c r="I2021" s="3">
        <f>GBP!C2021/1</f>
        <v>1.3159000000000001</v>
      </c>
      <c r="J2021" s="4">
        <f>1/INR!B2021</f>
        <v>1.5362753005338556E-2</v>
      </c>
      <c r="K2021" s="4">
        <f>1/INR!C2021</f>
        <v>1.5301048121796341E-2</v>
      </c>
      <c r="L2021" s="4">
        <f>1/JPY!B2021</f>
        <v>8.910273545397843E-3</v>
      </c>
      <c r="M2021" s="4">
        <f>1/JPY!C2021</f>
        <v>8.9222700753307273E-3</v>
      </c>
      <c r="N2021" s="5">
        <f>1/KRW!B2021</f>
        <v>8.823788934968676E-4</v>
      </c>
      <c r="O2021" s="5">
        <f>1/KRW!C2021</f>
        <v>8.8237733631459233E-4</v>
      </c>
      <c r="P2021" s="3">
        <f>1/NOK!B2021</f>
        <v>0.12655504511687357</v>
      </c>
      <c r="Q2021" s="3">
        <f>1/NOK!C2021</f>
        <v>0.12664159163152364</v>
      </c>
      <c r="R2021" s="3">
        <f>NZD!B2021/1</f>
        <v>0.71130000000000004</v>
      </c>
      <c r="S2021" s="3">
        <f>NZD!C2021/1</f>
        <v>0.71089999999999998</v>
      </c>
      <c r="T2021" s="4">
        <f>1/PHP!B2021</f>
        <v>1.9436345966958212E-2</v>
      </c>
      <c r="U2021" s="4">
        <f>1/PHP!C2021</f>
        <v>1.9399771082701224E-2</v>
      </c>
      <c r="V2021" s="4">
        <f>1/TWD!B2021</f>
        <v>3.3098335153741769E-2</v>
      </c>
      <c r="W2021" s="4">
        <f>1/TWD!C2021</f>
        <v>3.3098773359459301E-2</v>
      </c>
      <c r="X2021" s="4">
        <f>1/TWD!B2021</f>
        <v>3.3098335153741769E-2</v>
      </c>
      <c r="Y2021" s="4">
        <f>1/TWD!C2021</f>
        <v>3.3098773359459301E-2</v>
      </c>
      <c r="Z2021" s="4">
        <f>1/ZAR!B2021</f>
        <v>7.3948635277935951E-2</v>
      </c>
      <c r="AA2021" s="4">
        <f>1/ZAR!C2021</f>
        <v>7.3577561786757506E-2</v>
      </c>
    </row>
    <row r="2022" spans="1:27" x14ac:dyDescent="0.25">
      <c r="A2022" t="str">
        <f>"13/10/2017"</f>
        <v>13/10/2017</v>
      </c>
      <c r="B2022" s="3">
        <f>AUD!B2022</f>
        <v>0.78400000000000003</v>
      </c>
      <c r="C2022" s="3">
        <f>AUD!C2022</f>
        <v>0.78369999999999995</v>
      </c>
      <c r="D2022" s="3">
        <f>1/CAD!B2022</f>
        <v>0.80121785113372324</v>
      </c>
      <c r="E2022" s="3">
        <f>1/CAD!C2022</f>
        <v>0.80134626171968903</v>
      </c>
      <c r="F2022" s="3">
        <f>EUR!B2022/1</f>
        <v>1.1819</v>
      </c>
      <c r="G2022" s="3">
        <f>EUR!C2022/1</f>
        <v>1.1838</v>
      </c>
      <c r="H2022" s="3">
        <f>GBP!B2022/1</f>
        <v>1.3289</v>
      </c>
      <c r="I2022" s="3">
        <f>GBP!C2022/1</f>
        <v>1.3301000000000001</v>
      </c>
      <c r="J2022" s="4">
        <f>1/INR!B2022</f>
        <v>1.5400608324028798E-2</v>
      </c>
      <c r="K2022" s="4">
        <f>1/INR!C2022</f>
        <v>1.5340364333652923E-2</v>
      </c>
      <c r="L2022" s="4">
        <f>1/JPY!B2022</f>
        <v>8.9142449634515945E-3</v>
      </c>
      <c r="M2022" s="4">
        <f>1/JPY!C2022</f>
        <v>8.9259334964398914E-3</v>
      </c>
      <c r="N2022" s="5">
        <f>1/KRW!B2022</f>
        <v>8.8566114604552305E-4</v>
      </c>
      <c r="O2022" s="5">
        <f>1/KRW!C2022</f>
        <v>8.8565957725697054E-4</v>
      </c>
      <c r="P2022" s="3">
        <f>1/NOK!B2022</f>
        <v>0.12650061352797562</v>
      </c>
      <c r="Q2022" s="3">
        <f>1/NOK!C2022</f>
        <v>0.12658227848101264</v>
      </c>
      <c r="R2022" s="3">
        <f>NZD!B2022/1</f>
        <v>0.71460000000000001</v>
      </c>
      <c r="S2022" s="3">
        <f>NZD!C2022/1</f>
        <v>0.71419999999999995</v>
      </c>
      <c r="T2022" s="4">
        <f>1/PHP!B2022</f>
        <v>1.9451468585878234E-2</v>
      </c>
      <c r="U2022" s="4">
        <f>1/PHP!C2022</f>
        <v>1.9414271430928876E-2</v>
      </c>
      <c r="V2022" s="4">
        <f>1/TWD!B2022</f>
        <v>3.3129037601457682E-2</v>
      </c>
      <c r="W2022" s="4">
        <f>1/TWD!C2022</f>
        <v>3.3129476620528349E-2</v>
      </c>
      <c r="X2022" s="4">
        <f>1/TWD!B2022</f>
        <v>3.3129037601457682E-2</v>
      </c>
      <c r="Y2022" s="4">
        <f>1/TWD!C2022</f>
        <v>3.3129476620528349E-2</v>
      </c>
      <c r="Z2022" s="4">
        <f>1/ZAR!B2022</f>
        <v>7.4735622734576443E-2</v>
      </c>
      <c r="AA2022" s="4">
        <f>1/ZAR!C2022</f>
        <v>7.4362711561914402E-2</v>
      </c>
    </row>
    <row r="2023" spans="1:27" x14ac:dyDescent="0.25">
      <c r="A2023" t="str">
        <f>"16/10/2017"</f>
        <v>16/10/2017</v>
      </c>
      <c r="B2023" s="3">
        <f>AUD!B2023</f>
        <v>0.78710000000000002</v>
      </c>
      <c r="C2023" s="3">
        <f>AUD!C2023</f>
        <v>0.78680000000000005</v>
      </c>
      <c r="D2023" s="3">
        <f>1/CAD!B2023</f>
        <v>0.79808459696727863</v>
      </c>
      <c r="E2023" s="3">
        <f>1/CAD!C2023</f>
        <v>0.79821200510855683</v>
      </c>
      <c r="F2023" s="3">
        <f>EUR!B2023/1</f>
        <v>1.1811</v>
      </c>
      <c r="G2023" s="3">
        <f>EUR!C2023/1</f>
        <v>1.1831</v>
      </c>
      <c r="H2023" s="3">
        <f>GBP!B2023/1</f>
        <v>1.3301000000000001</v>
      </c>
      <c r="I2023" s="3">
        <f>GBP!C2023/1</f>
        <v>1.3313999999999999</v>
      </c>
      <c r="J2023" s="4">
        <f>1/INR!B2023</f>
        <v>1.5449980687524142E-2</v>
      </c>
      <c r="K2023" s="4">
        <f>1/INR!C2023</f>
        <v>1.5385798907608276E-2</v>
      </c>
      <c r="L2023" s="4">
        <f>1/JPY!B2023</f>
        <v>8.9493466976910685E-3</v>
      </c>
      <c r="M2023" s="4">
        <f>1/JPY!C2023</f>
        <v>8.9615370828404501E-3</v>
      </c>
      <c r="N2023" s="5">
        <f>1/KRW!B2023</f>
        <v>8.8660342228920992E-4</v>
      </c>
      <c r="O2023" s="5">
        <f>1/KRW!C2023</f>
        <v>8.8566091072688575E-4</v>
      </c>
      <c r="P2023" s="3">
        <f>1/NOK!B2023</f>
        <v>0.12681825675624264</v>
      </c>
      <c r="Q2023" s="3">
        <f>1/NOK!C2023</f>
        <v>0.12690677428361125</v>
      </c>
      <c r="R2023" s="3">
        <f>NZD!B2023/1</f>
        <v>0.71889999999999998</v>
      </c>
      <c r="S2023" s="3">
        <f>NZD!C2023/1</f>
        <v>0.71840000000000004</v>
      </c>
      <c r="T2023" s="4">
        <f>1/PHP!B2023</f>
        <v>1.9451468585878234E-2</v>
      </c>
      <c r="U2023" s="4">
        <f>1/PHP!C2023</f>
        <v>1.941936110301971E-2</v>
      </c>
      <c r="V2023" s="4">
        <f>1/TWD!B2023</f>
        <v>3.3158697526361164E-2</v>
      </c>
      <c r="W2023" s="4">
        <f>1/TWD!C2023</f>
        <v>3.3159137331883172E-2</v>
      </c>
      <c r="X2023" s="4">
        <f>1/TWD!B2023</f>
        <v>3.3158697526361164E-2</v>
      </c>
      <c r="Y2023" s="4">
        <f>1/TWD!C2023</f>
        <v>3.3159137331883172E-2</v>
      </c>
      <c r="Z2023" s="4">
        <f>1/ZAR!B2023</f>
        <v>7.5079584359420984E-2</v>
      </c>
      <c r="AA2023" s="4">
        <f>1/ZAR!C2023</f>
        <v>7.468204120955034E-2</v>
      </c>
    </row>
    <row r="2024" spans="1:27" x14ac:dyDescent="0.25">
      <c r="A2024" t="str">
        <f>"17/10/2017"</f>
        <v>17/10/2017</v>
      </c>
      <c r="B2024" s="3">
        <f>AUD!B2024</f>
        <v>0.78400000000000003</v>
      </c>
      <c r="C2024" s="3">
        <f>AUD!C2024</f>
        <v>0.78369999999999995</v>
      </c>
      <c r="D2024" s="3">
        <f>1/CAD!B2024</f>
        <v>0.79725743442557606</v>
      </c>
      <c r="E2024" s="3">
        <f>1/CAD!C2024</f>
        <v>0.7973845785822502</v>
      </c>
      <c r="F2024" s="3">
        <f>EUR!B2024/1</f>
        <v>1.1756</v>
      </c>
      <c r="G2024" s="3">
        <f>EUR!C2024/1</f>
        <v>1.1775</v>
      </c>
      <c r="H2024" s="3">
        <f>GBP!B2024/1</f>
        <v>1.3196000000000001</v>
      </c>
      <c r="I2024" s="3">
        <f>GBP!C2024/1</f>
        <v>1.3209</v>
      </c>
      <c r="J2024" s="4">
        <f>1/INR!B2024</f>
        <v>1.537751806858373E-2</v>
      </c>
      <c r="K2024" s="4">
        <f>1/INR!C2024</f>
        <v>1.5315108354391607E-2</v>
      </c>
      <c r="L2024" s="4">
        <f>1/JPY!B2024</f>
        <v>8.9086859688195987E-3</v>
      </c>
      <c r="M2024" s="4">
        <f>1/JPY!C2024</f>
        <v>8.9201609910655663E-3</v>
      </c>
      <c r="N2024" s="5">
        <f>1/KRW!B2024</f>
        <v>8.8292424509977055E-4</v>
      </c>
      <c r="O2024" s="5">
        <f>1/KRW!C2024</f>
        <v>8.8292268599207831E-4</v>
      </c>
      <c r="P2024" s="3">
        <f>1/NOK!B2024</f>
        <v>0.12603982858583312</v>
      </c>
      <c r="Q2024" s="3">
        <f>1/NOK!C2024</f>
        <v>0.12612408087076066</v>
      </c>
      <c r="R2024" s="3">
        <f>NZD!B2024/1</f>
        <v>0.71779999999999999</v>
      </c>
      <c r="S2024" s="3">
        <f>NZD!C2024/1</f>
        <v>0.71730000000000005</v>
      </c>
      <c r="T2024" s="4">
        <f>1/PHP!B2024</f>
        <v>1.9472300652322073E-2</v>
      </c>
      <c r="U2024" s="4">
        <f>1/PHP!C2024</f>
        <v>1.9433324264448677E-2</v>
      </c>
      <c r="V2024" s="4">
        <f>1/TWD!B2024</f>
        <v>3.310600542938489E-2</v>
      </c>
      <c r="W2024" s="4">
        <f>1/TWD!C2024</f>
        <v>3.3106334234929168E-2</v>
      </c>
      <c r="X2024" s="4">
        <f>1/TWD!B2024</f>
        <v>3.310600542938489E-2</v>
      </c>
      <c r="Y2024" s="4">
        <f>1/TWD!C2024</f>
        <v>3.3106334234929168E-2</v>
      </c>
      <c r="Z2024" s="4">
        <f>1/ZAR!B2024</f>
        <v>7.4366582632428291E-2</v>
      </c>
      <c r="AA2024" s="4">
        <f>1/ZAR!C2024</f>
        <v>7.3985291724005267E-2</v>
      </c>
    </row>
    <row r="2025" spans="1:27" x14ac:dyDescent="0.25">
      <c r="A2025" t="str">
        <f>"18/10/2017"</f>
        <v>18/10/2017</v>
      </c>
      <c r="B2025" s="3">
        <f>AUD!B2025</f>
        <v>0.78310000000000002</v>
      </c>
      <c r="C2025" s="3">
        <f>AUD!C2025</f>
        <v>0.78280000000000005</v>
      </c>
      <c r="D2025" s="3">
        <f>1/CAD!B2025</f>
        <v>0.79859447372624182</v>
      </c>
      <c r="E2025" s="3">
        <f>1/CAD!C2025</f>
        <v>0.79878584551481746</v>
      </c>
      <c r="F2025" s="3">
        <f>EUR!B2025/1</f>
        <v>1.1749000000000001</v>
      </c>
      <c r="G2025" s="3">
        <f>EUR!C2025/1</f>
        <v>1.1768000000000001</v>
      </c>
      <c r="H2025" s="3">
        <f>GBP!B2025/1</f>
        <v>1.3168</v>
      </c>
      <c r="I2025" s="3">
        <f>GBP!C2025/1</f>
        <v>1.3180000000000001</v>
      </c>
      <c r="J2025" s="4">
        <f>1/INR!B2025</f>
        <v>1.5373971865631485E-2</v>
      </c>
      <c r="K2025" s="4">
        <f>1/INR!C2025</f>
        <v>1.5313935681470138E-2</v>
      </c>
      <c r="L2025" s="4">
        <f>1/JPY!B2025</f>
        <v>8.8683930471798508E-3</v>
      </c>
      <c r="M2025" s="4">
        <f>1/JPY!C2025</f>
        <v>8.879488470428196E-3</v>
      </c>
      <c r="N2025" s="5">
        <f>1/KRW!B2025</f>
        <v>8.8487744447394046E-4</v>
      </c>
      <c r="O2025" s="5">
        <f>1/KRW!C2025</f>
        <v>8.8292401123326561E-4</v>
      </c>
      <c r="P2025" s="3">
        <f>1/NOK!B2025</f>
        <v>0.12565971349585323</v>
      </c>
      <c r="Q2025" s="3">
        <f>1/NOK!C2025</f>
        <v>0.12574029599265676</v>
      </c>
      <c r="R2025" s="3">
        <f>NZD!B2025/1</f>
        <v>0.71330000000000005</v>
      </c>
      <c r="S2025" s="3">
        <f>NZD!C2025/1</f>
        <v>0.71279999999999999</v>
      </c>
      <c r="T2025" s="4">
        <f>1/PHP!B2025</f>
        <v>1.9451468585878234E-2</v>
      </c>
      <c r="U2025" s="4">
        <f>1/PHP!C2025</f>
        <v>1.9412198625616335E-2</v>
      </c>
      <c r="V2025" s="4">
        <f>1/TWD!B2025</f>
        <v>3.3112582781456956E-2</v>
      </c>
      <c r="W2025" s="4">
        <f>1/TWD!C2025</f>
        <v>3.3112911717666067E-2</v>
      </c>
      <c r="X2025" s="4">
        <f>1/TWD!B2025</f>
        <v>3.3112582781456956E-2</v>
      </c>
      <c r="Y2025" s="4">
        <f>1/TWD!C2025</f>
        <v>3.3112911717666067E-2</v>
      </c>
      <c r="Z2025" s="4">
        <f>1/ZAR!B2025</f>
        <v>7.4134479946623172E-2</v>
      </c>
      <c r="AA2025" s="4">
        <f>1/ZAR!C2025</f>
        <v>7.376426416458283E-2</v>
      </c>
    </row>
    <row r="2026" spans="1:27" x14ac:dyDescent="0.25">
      <c r="A2026" t="str">
        <f>"23/10/2017"</f>
        <v>23/10/2017</v>
      </c>
      <c r="B2026" s="3">
        <f>AUD!B2026</f>
        <v>0.78100000000000003</v>
      </c>
      <c r="C2026" s="3">
        <f>AUD!C2026</f>
        <v>0.78069999999999995</v>
      </c>
      <c r="D2026" s="3">
        <f>1/CAD!B2026</f>
        <v>0.79151495963273699</v>
      </c>
      <c r="E2026" s="3">
        <f>1/CAD!C2026</f>
        <v>0.79170295305201499</v>
      </c>
      <c r="F2026" s="3">
        <f>EUR!B2026/1</f>
        <v>1.1738999999999999</v>
      </c>
      <c r="G2026" s="3">
        <f>EUR!C2026/1</f>
        <v>1.1758999999999999</v>
      </c>
      <c r="H2026" s="3">
        <f>GBP!B2026/1</f>
        <v>1.3162</v>
      </c>
      <c r="I2026" s="3">
        <f>GBP!C2026/1</f>
        <v>1.3173999999999999</v>
      </c>
      <c r="J2026" s="4">
        <f>1/INR!B2026</f>
        <v>1.5379291783613367E-2</v>
      </c>
      <c r="K2026" s="4">
        <f>1/INR!C2026</f>
        <v>1.5315694758203468E-2</v>
      </c>
      <c r="L2026" s="4">
        <f>1/JPY!B2026</f>
        <v>8.7780898876404501E-3</v>
      </c>
      <c r="M2026" s="4">
        <f>1/JPY!C2026</f>
        <v>8.790242830458192E-3</v>
      </c>
      <c r="N2026" s="5">
        <f>1/KRW!B2026</f>
        <v>8.8464260438782727E-4</v>
      </c>
      <c r="O2026" s="5">
        <f>1/KRW!C2026</f>
        <v>8.846418217959821E-4</v>
      </c>
      <c r="P2026" s="3">
        <f>1/NOK!B2026</f>
        <v>0.1250422017430883</v>
      </c>
      <c r="Q2026" s="3">
        <f>1/NOK!C2026</f>
        <v>0.12512825646287445</v>
      </c>
      <c r="R2026" s="3">
        <f>NZD!B2026/1</f>
        <v>0.69620000000000004</v>
      </c>
      <c r="S2026" s="3">
        <f>NZD!C2026/1</f>
        <v>0.69569999999999999</v>
      </c>
      <c r="T2026" s="4">
        <f>1/PHP!B2026</f>
        <v>1.9406171162429653E-2</v>
      </c>
      <c r="U2026" s="4">
        <f>1/PHP!C2026</f>
        <v>1.9368584156498159E-2</v>
      </c>
      <c r="V2026" s="4">
        <f>1/TWD!B2026</f>
        <v>3.3046926635822864E-2</v>
      </c>
      <c r="W2026" s="4">
        <f>1/TWD!C2026</f>
        <v>3.3047363481341463E-2</v>
      </c>
      <c r="X2026" s="4">
        <f>1/TWD!B2026</f>
        <v>3.3046926635822864E-2</v>
      </c>
      <c r="Y2026" s="4">
        <f>1/TWD!C2026</f>
        <v>3.3047363481341463E-2</v>
      </c>
      <c r="Z2026" s="4">
        <f>1/ZAR!B2026</f>
        <v>7.2882047694012006E-2</v>
      </c>
      <c r="AA2026" s="4">
        <f>1/ZAR!C2026</f>
        <v>7.2486879874742671E-2</v>
      </c>
    </row>
    <row r="2027" spans="1:27" x14ac:dyDescent="0.25">
      <c r="A2027" t="str">
        <f>"24/10/2017"</f>
        <v>24/10/2017</v>
      </c>
      <c r="B2027" s="3">
        <f>AUD!B2027</f>
        <v>0.77849999999999997</v>
      </c>
      <c r="C2027" s="3">
        <f>AUD!C2027</f>
        <v>0.7782</v>
      </c>
      <c r="D2027" s="3">
        <f>1/CAD!B2027</f>
        <v>0.79045134771954795</v>
      </c>
      <c r="E2027" s="3">
        <f>1/CAD!C2027</f>
        <v>0.79063883617963315</v>
      </c>
      <c r="F2027" s="3">
        <f>EUR!B2027/1</f>
        <v>1.1762999999999999</v>
      </c>
      <c r="G2027" s="3">
        <f>EUR!C2027/1</f>
        <v>1.1782999999999999</v>
      </c>
      <c r="H2027" s="3">
        <f>GBP!B2027/1</f>
        <v>1.3172999999999999</v>
      </c>
      <c r="I2027" s="3">
        <f>GBP!C2027/1</f>
        <v>1.3185</v>
      </c>
      <c r="J2027" s="4">
        <f>1/INR!B2027</f>
        <v>1.5367474739713395E-2</v>
      </c>
      <c r="K2027" s="4">
        <f>1/INR!C2027</f>
        <v>1.5305731996632741E-2</v>
      </c>
      <c r="L2027" s="4">
        <f>1/JPY!B2027</f>
        <v>8.794301292762291E-3</v>
      </c>
      <c r="M2027" s="4">
        <f>1/JPY!C2027</f>
        <v>8.8059718578751365E-3</v>
      </c>
      <c r="N2027" s="5">
        <f>1/KRW!B2027</f>
        <v>8.869179600886918E-4</v>
      </c>
      <c r="O2027" s="5">
        <f>1/KRW!C2027</f>
        <v>8.8691560022456704E-4</v>
      </c>
      <c r="P2027" s="3">
        <f>1/NOK!B2027</f>
        <v>0.12522070148636974</v>
      </c>
      <c r="Q2027" s="3">
        <f>1/NOK!C2027</f>
        <v>0.12530386186502268</v>
      </c>
      <c r="R2027" s="3">
        <f>NZD!B2027/1</f>
        <v>0.69199999999999995</v>
      </c>
      <c r="S2027" s="3">
        <f>NZD!C2027/1</f>
        <v>0.6915</v>
      </c>
      <c r="T2027" s="4">
        <f>1/PHP!B2027</f>
        <v>1.937984496124031E-2</v>
      </c>
      <c r="U2027" s="4">
        <f>1/PHP!C2027</f>
        <v>1.9341611543073768E-2</v>
      </c>
      <c r="V2027" s="4">
        <f>1/TWD!B2027</f>
        <v>3.3033826638477801E-2</v>
      </c>
      <c r="W2027" s="4">
        <f>1/TWD!C2027</f>
        <v>3.303426313772645E-2</v>
      </c>
      <c r="X2027" s="4">
        <f>1/TWD!B2027</f>
        <v>3.3033826638477801E-2</v>
      </c>
      <c r="Y2027" s="4">
        <f>1/TWD!C2027</f>
        <v>3.303426313772645E-2</v>
      </c>
      <c r="Z2027" s="4">
        <f>1/ZAR!B2027</f>
        <v>7.3015618040698907E-2</v>
      </c>
      <c r="AA2027" s="4">
        <f>1/ZAR!C2027</f>
        <v>7.2630607990819496E-2</v>
      </c>
    </row>
    <row r="2028" spans="1:27" x14ac:dyDescent="0.25">
      <c r="A2028" t="str">
        <f>"25/10/2017"</f>
        <v>25/10/2017</v>
      </c>
      <c r="B2028" s="3">
        <f>AUD!B2028</f>
        <v>0.77129999999999999</v>
      </c>
      <c r="C2028" s="3">
        <f>AUD!C2028</f>
        <v>0.77100000000000002</v>
      </c>
      <c r="D2028" s="3">
        <f>1/CAD!B2028</f>
        <v>0.78721561835786824</v>
      </c>
      <c r="E2028" s="3">
        <f>1/CAD!C2028</f>
        <v>0.78740157480314954</v>
      </c>
      <c r="F2028" s="3">
        <f>EUR!B2028/1</f>
        <v>1.1773</v>
      </c>
      <c r="G2028" s="3">
        <f>EUR!C2028/1</f>
        <v>1.1792</v>
      </c>
      <c r="H2028" s="3">
        <f>GBP!B2028/1</f>
        <v>1.3251999999999999</v>
      </c>
      <c r="I2028" s="3">
        <f>GBP!C2028/1</f>
        <v>1.3263</v>
      </c>
      <c r="J2028" s="4">
        <f>1/INR!B2028</f>
        <v>1.5407726975078001E-2</v>
      </c>
      <c r="K2028" s="4">
        <f>1/INR!C2028</f>
        <v>1.5346838551258441E-2</v>
      </c>
      <c r="L2028" s="4">
        <f>1/JPY!B2028</f>
        <v>8.7611704923777813E-3</v>
      </c>
      <c r="M2028" s="4">
        <f>1/JPY!C2028</f>
        <v>8.7724300069740822E-3</v>
      </c>
      <c r="N2028" s="5">
        <f>1/KRW!B2028</f>
        <v>8.8652482269503544E-4</v>
      </c>
      <c r="O2028" s="5">
        <f>1/KRW!C2028</f>
        <v>8.8652403676947101E-4</v>
      </c>
      <c r="P2028" s="3">
        <f>1/NOK!B2028</f>
        <v>0.12477540427230983</v>
      </c>
      <c r="Q2028" s="3">
        <f>1/NOK!C2028</f>
        <v>0.124856415122609</v>
      </c>
      <c r="R2028" s="3">
        <f>NZD!B2028/1</f>
        <v>0.68759999999999999</v>
      </c>
      <c r="S2028" s="3">
        <f>NZD!C2028/1</f>
        <v>0.68710000000000004</v>
      </c>
      <c r="T2028" s="4">
        <f>1/PHP!B2028</f>
        <v>1.9316206297083253E-2</v>
      </c>
      <c r="U2028" s="4">
        <f>1/PHP!C2028</f>
        <v>1.92784091456773E-2</v>
      </c>
      <c r="V2028" s="4">
        <f>1/TWD!B2028</f>
        <v>3.3040375338663851E-2</v>
      </c>
      <c r="W2028" s="4">
        <f>1/TWD!C2028</f>
        <v>3.3040812010995985E-2</v>
      </c>
      <c r="X2028" s="4">
        <f>1/TWD!B2028</f>
        <v>3.3040375338663851E-2</v>
      </c>
      <c r="Y2028" s="4">
        <f>1/TWD!C2028</f>
        <v>3.3040812010995985E-2</v>
      </c>
      <c r="Z2028" s="4">
        <f>1/ZAR!B2028</f>
        <v>7.2696607976271824E-2</v>
      </c>
      <c r="AA2028" s="4">
        <f>1/ZAR!C2028</f>
        <v>7.2326975792161199E-2</v>
      </c>
    </row>
    <row r="2029" spans="1:27" x14ac:dyDescent="0.25">
      <c r="A2029" t="str">
        <f>"26/10/2017"</f>
        <v>26/10/2017</v>
      </c>
      <c r="B2029" s="3">
        <f>AUD!B2029</f>
        <v>0.77139999999999997</v>
      </c>
      <c r="C2029" s="3">
        <f>AUD!C2029</f>
        <v>0.77110000000000001</v>
      </c>
      <c r="D2029" s="3">
        <f>1/CAD!B2029</f>
        <v>0.78155529503712384</v>
      </c>
      <c r="E2029" s="3">
        <f>1/CAD!C2029</f>
        <v>0.78173858661663542</v>
      </c>
      <c r="F2029" s="3">
        <f>EUR!B2029/1</f>
        <v>1.1808000000000001</v>
      </c>
      <c r="G2029" s="3">
        <f>EUR!C2029/1</f>
        <v>1.1827000000000001</v>
      </c>
      <c r="H2029" s="3">
        <f>GBP!B2029/1</f>
        <v>1.3221000000000001</v>
      </c>
      <c r="I2029" s="3">
        <f>GBP!C2029/1</f>
        <v>1.3231999999999999</v>
      </c>
      <c r="J2029" s="4">
        <f>1/INR!B2029</f>
        <v>1.5425552427596313E-2</v>
      </c>
      <c r="K2029" s="4">
        <f>1/INR!C2029</f>
        <v>1.5365113509776054E-2</v>
      </c>
      <c r="L2029" s="4">
        <f>1/JPY!B2029</f>
        <v>8.8004928275983458E-3</v>
      </c>
      <c r="M2029" s="4">
        <f>1/JPY!C2029</f>
        <v>8.8118925301587017E-3</v>
      </c>
      <c r="N2029" s="5">
        <f>1/KRW!B2029</f>
        <v>8.8920505068468801E-4</v>
      </c>
      <c r="O2029" s="5">
        <f>1/KRW!C2029</f>
        <v>8.8920267863414905E-4</v>
      </c>
      <c r="P2029" s="3">
        <f>1/NOK!B2029</f>
        <v>0.1243239883135451</v>
      </c>
      <c r="Q2029" s="3">
        <f>1/NOK!C2029</f>
        <v>0.12440750923725756</v>
      </c>
      <c r="R2029" s="3">
        <f>NZD!B2029/1</f>
        <v>0.68669999999999998</v>
      </c>
      <c r="S2029" s="3">
        <f>NZD!C2029/1</f>
        <v>0.68630000000000002</v>
      </c>
      <c r="T2029" s="4">
        <f>1/PHP!B2029</f>
        <v>1.9316206297083253E-2</v>
      </c>
      <c r="U2029" s="4">
        <f>1/PHP!C2029</f>
        <v>1.9280081747546609E-2</v>
      </c>
      <c r="V2029" s="4">
        <f>1/TWD!B2029</f>
        <v>3.3077533739084418E-2</v>
      </c>
      <c r="W2029" s="4">
        <f>1/TWD!C2029</f>
        <v>3.307797139417034E-2</v>
      </c>
      <c r="X2029" s="4">
        <f>1/TWD!B2029</f>
        <v>3.3077533739084418E-2</v>
      </c>
      <c r="Y2029" s="4">
        <f>1/TWD!C2029</f>
        <v>3.307797139417034E-2</v>
      </c>
      <c r="Z2029" s="4">
        <f>1/ZAR!B2029</f>
        <v>7.0064809949203014E-2</v>
      </c>
      <c r="AA2029" s="4">
        <f>1/ZAR!C2029</f>
        <v>6.9694667660977261E-2</v>
      </c>
    </row>
    <row r="2030" spans="1:27" x14ac:dyDescent="0.25">
      <c r="A2030" t="str">
        <f>"27/10/2017"</f>
        <v>27/10/2017</v>
      </c>
      <c r="B2030" s="3">
        <f>AUD!B2030</f>
        <v>0.76419999999999999</v>
      </c>
      <c r="C2030" s="3">
        <f>AUD!C2030</f>
        <v>0.76390000000000002</v>
      </c>
      <c r="D2030" s="3">
        <f>1/CAD!B2030</f>
        <v>0.77597578955536595</v>
      </c>
      <c r="E2030" s="3">
        <f>1/CAD!C2030</f>
        <v>0.77615647314498604</v>
      </c>
      <c r="F2030" s="3">
        <f>EUR!B2030/1</f>
        <v>1.1613</v>
      </c>
      <c r="G2030" s="3">
        <f>EUR!C2030/1</f>
        <v>1.1631</v>
      </c>
      <c r="H2030" s="3">
        <f>GBP!B2030/1</f>
        <v>1.3097000000000001</v>
      </c>
      <c r="I2030" s="3">
        <f>GBP!C2030/1</f>
        <v>1.3108</v>
      </c>
      <c r="J2030" s="4">
        <f>1/INR!B2030</f>
        <v>1.5371608638844054E-2</v>
      </c>
      <c r="K2030" s="4">
        <f>1/INR!C2030</f>
        <v>1.5313935681470138E-2</v>
      </c>
      <c r="L2030" s="4">
        <f>1/JPY!B2030</f>
        <v>8.7611704923777813E-3</v>
      </c>
      <c r="M2030" s="4">
        <f>1/JPY!C2030</f>
        <v>8.7722222319691363E-3</v>
      </c>
      <c r="N2030" s="5">
        <f>1/KRW!B2030</f>
        <v>8.8456435205661217E-4</v>
      </c>
      <c r="O2030" s="5">
        <f>1/KRW!C2030</f>
        <v>8.8456278715119479E-4</v>
      </c>
      <c r="P2030" s="3">
        <f>1/NOK!B2030</f>
        <v>0.12195865601561071</v>
      </c>
      <c r="Q2030" s="3">
        <f>1/NOK!C2030</f>
        <v>0.12203902808118035</v>
      </c>
      <c r="R2030" s="3">
        <f>NZD!B2030/1</f>
        <v>0.68420000000000003</v>
      </c>
      <c r="S2030" s="3">
        <f>NZD!C2030/1</f>
        <v>0.68379999999999996</v>
      </c>
      <c r="T2030" s="4">
        <f>1/PHP!B2030</f>
        <v>1.9310611180843876E-2</v>
      </c>
      <c r="U2030" s="4">
        <f>1/PHP!C2030</f>
        <v>1.9272464466393639E-2</v>
      </c>
      <c r="V2030" s="4">
        <f>1/TWD!B2030</f>
        <v>3.3027280533720858E-2</v>
      </c>
      <c r="W2030" s="4">
        <f>1/TWD!C2030</f>
        <v>3.3027607777341081E-2</v>
      </c>
      <c r="X2030" s="4">
        <f>1/TWD!B2030</f>
        <v>3.3027280533720858E-2</v>
      </c>
      <c r="Y2030" s="4">
        <f>1/TWD!C2030</f>
        <v>3.3027607777341081E-2</v>
      </c>
      <c r="Z2030" s="4">
        <f>1/ZAR!B2030</f>
        <v>7.0440889527552952E-2</v>
      </c>
      <c r="AA2030" s="4">
        <f>1/ZAR!C2030</f>
        <v>7.0069228397656891E-2</v>
      </c>
    </row>
    <row r="2031" spans="1:27" x14ac:dyDescent="0.25">
      <c r="A2031" t="str">
        <f>"30/10/2017"</f>
        <v>30/10/2017</v>
      </c>
      <c r="B2031" s="3">
        <f>AUD!B2031</f>
        <v>0.76680000000000004</v>
      </c>
      <c r="C2031" s="3">
        <f>AUD!C2031</f>
        <v>0.76649999999999996</v>
      </c>
      <c r="D2031" s="3">
        <f>1/CAD!B2031</f>
        <v>0.77936248149014109</v>
      </c>
      <c r="E2031" s="3">
        <f>1/CAD!C2031</f>
        <v>0.77954474586841294</v>
      </c>
      <c r="F2031" s="3">
        <f>EUR!B2031/1</f>
        <v>1.1635</v>
      </c>
      <c r="G2031" s="3">
        <f>EUR!C2031/1</f>
        <v>1.1653</v>
      </c>
      <c r="H2031" s="3">
        <f>GBP!B2031/1</f>
        <v>1.3180000000000001</v>
      </c>
      <c r="I2031" s="3">
        <f>GBP!C2031/1</f>
        <v>1.3190999999999999</v>
      </c>
      <c r="J2031" s="4">
        <f>1/INR!B2031</f>
        <v>1.5418417299464209E-2</v>
      </c>
      <c r="K2031" s="4">
        <f>1/INR!C2031</f>
        <v>1.5351550506601166E-2</v>
      </c>
      <c r="L2031" s="4">
        <f>1/JPY!B2031</f>
        <v>8.8035918654811168E-3</v>
      </c>
      <c r="M2031" s="4">
        <f>1/JPY!C2031</f>
        <v>8.8146965672927166E-3</v>
      </c>
      <c r="N2031" s="5">
        <f>1/KRW!B2031</f>
        <v>8.8896790825851175E-4</v>
      </c>
      <c r="O2031" s="5">
        <f>1/KRW!C2031</f>
        <v>8.8896672286417969E-4</v>
      </c>
      <c r="P2031" s="3">
        <f>1/NOK!B2031</f>
        <v>0.12250248067523367</v>
      </c>
      <c r="Q2031" s="3">
        <f>1/NOK!C2031</f>
        <v>0.1225835713497677</v>
      </c>
      <c r="R2031" s="3">
        <f>NZD!B2031/1</f>
        <v>0.68510000000000004</v>
      </c>
      <c r="S2031" s="3">
        <f>NZD!C2031/1</f>
        <v>0.68469999999999998</v>
      </c>
      <c r="T2031" s="4">
        <f>1/PHP!B2031</f>
        <v>1.9368584156498159E-2</v>
      </c>
      <c r="U2031" s="4">
        <f>1/PHP!C2031</f>
        <v>1.9328713770742127E-2</v>
      </c>
      <c r="V2031" s="4">
        <f>1/TWD!B2031</f>
        <v>3.3107101473266017E-2</v>
      </c>
      <c r="W2031" s="4">
        <f>1/TWD!C2031</f>
        <v>3.3107430300582358E-2</v>
      </c>
      <c r="X2031" s="4">
        <f>1/TWD!B2031</f>
        <v>3.3107101473266017E-2</v>
      </c>
      <c r="Y2031" s="4">
        <f>1/TWD!C2031</f>
        <v>3.3107430300582358E-2</v>
      </c>
      <c r="Z2031" s="4">
        <f>1/ZAR!B2031</f>
        <v>7.0938085239203225E-2</v>
      </c>
      <c r="AA2031" s="4">
        <f>1/ZAR!C2031</f>
        <v>7.0565654284746523E-2</v>
      </c>
    </row>
    <row r="2032" spans="1:27" x14ac:dyDescent="0.25">
      <c r="A2032" t="str">
        <f>"31/10/2017"</f>
        <v>31/10/2017</v>
      </c>
      <c r="B2032" s="3">
        <f>AUD!B2032</f>
        <v>0.7661</v>
      </c>
      <c r="C2032" s="3">
        <f>AUD!C2032</f>
        <v>0.76580000000000004</v>
      </c>
      <c r="D2032" s="3">
        <f>1/CAD!B2032</f>
        <v>0.77833125778331258</v>
      </c>
      <c r="E2032" s="3">
        <f>1/CAD!C2032</f>
        <v>0.77851304009342159</v>
      </c>
      <c r="F2032" s="3">
        <f>EUR!B2032/1</f>
        <v>1.1647000000000001</v>
      </c>
      <c r="G2032" s="3">
        <f>EUR!C2032/1</f>
        <v>1.1653</v>
      </c>
      <c r="H2032" s="3">
        <f>GBP!B2032/1</f>
        <v>1.3272999999999999</v>
      </c>
      <c r="I2032" s="3">
        <f>GBP!C2032/1</f>
        <v>1.3228</v>
      </c>
      <c r="J2032" s="4">
        <f>1/INR!B2032</f>
        <v>1.5443419173004904E-2</v>
      </c>
      <c r="K2032" s="4">
        <f>1/INR!C2032</f>
        <v>1.5378109261466303E-2</v>
      </c>
      <c r="L2032" s="4">
        <f>1/JPY!B2032</f>
        <v>8.82223202470225E-3</v>
      </c>
      <c r="M2032" s="4">
        <f>1/JPY!C2032</f>
        <v>8.8338364203174712E-3</v>
      </c>
      <c r="N2032" s="5">
        <f>1/KRW!B2032</f>
        <v>8.9245872378402495E-4</v>
      </c>
      <c r="O2032" s="5">
        <f>1/KRW!C2032</f>
        <v>8.9245633434270155E-4</v>
      </c>
      <c r="P2032" s="3">
        <f>1/NOK!B2032</f>
        <v>0.12215381608521449</v>
      </c>
      <c r="Q2032" s="3">
        <f>1/NOK!C2032</f>
        <v>0.12224191675325469</v>
      </c>
      <c r="R2032" s="3">
        <f>NZD!B2032/1</f>
        <v>0.68420000000000003</v>
      </c>
      <c r="S2032" s="3">
        <f>NZD!C2032/1</f>
        <v>0.68379999999999996</v>
      </c>
      <c r="T2032" s="4">
        <f>1/PHP!B2032</f>
        <v>1.9368584156498159E-2</v>
      </c>
      <c r="U2032" s="4">
        <f>1/PHP!C2032</f>
        <v>1.9328153388225289E-2</v>
      </c>
      <c r="V2032" s="4">
        <f>1/TWD!B2032</f>
        <v>3.3145508783559825E-2</v>
      </c>
      <c r="W2032" s="4">
        <f>1/TWD!C2032</f>
        <v>3.3145838374262923E-2</v>
      </c>
      <c r="X2032" s="4">
        <f>1/TWD!B2032</f>
        <v>3.3145508783559825E-2</v>
      </c>
      <c r="Y2032" s="4">
        <f>1/TWD!C2032</f>
        <v>3.3145838374262923E-2</v>
      </c>
      <c r="Z2032" s="4">
        <f>1/ZAR!B2032</f>
        <v>7.0708356313549131E-2</v>
      </c>
      <c r="AA2032" s="4">
        <f>1/ZAR!C2032</f>
        <v>7.0372481544816706E-2</v>
      </c>
    </row>
    <row r="2033" spans="1:27" x14ac:dyDescent="0.25">
      <c r="A2033" t="str">
        <f>"01/11/2017"</f>
        <v>01/11/2017</v>
      </c>
      <c r="B2033" s="3">
        <f>AUD!B2033</f>
        <v>0.76780000000000004</v>
      </c>
      <c r="C2033" s="3">
        <f>AUD!C2033</f>
        <v>0.76749999999999996</v>
      </c>
      <c r="D2033" s="3">
        <f>1/CAD!B2033</f>
        <v>0.77627697562490294</v>
      </c>
      <c r="E2033" s="3">
        <f>1/CAD!C2033</f>
        <v>0.77645779951859617</v>
      </c>
      <c r="F2033" s="3">
        <f>EUR!B2033/1</f>
        <v>1.1633</v>
      </c>
      <c r="G2033" s="3">
        <f>EUR!C2033/1</f>
        <v>1.1652</v>
      </c>
      <c r="H2033" s="3">
        <f>GBP!B2033/1</f>
        <v>1.3299000000000001</v>
      </c>
      <c r="I2033" s="3">
        <f>GBP!C2033/1</f>
        <v>1.331</v>
      </c>
      <c r="J2033" s="4">
        <f>1/INR!B2033</f>
        <v>1.5479277117758599E-2</v>
      </c>
      <c r="K2033" s="4">
        <f>1/INR!C2033</f>
        <v>1.5415446277169722E-2</v>
      </c>
      <c r="L2033" s="4">
        <f>1/JPY!B2033</f>
        <v>8.7688530340231489E-3</v>
      </c>
      <c r="M2033" s="4">
        <f>1/JPY!C2033</f>
        <v>8.7796389636865344E-3</v>
      </c>
      <c r="N2033" s="5">
        <f>1/KRW!B2033</f>
        <v>8.9726334679228351E-4</v>
      </c>
      <c r="O2033" s="5">
        <f>1/KRW!C2033</f>
        <v>8.9726093155424443E-4</v>
      </c>
      <c r="P2033" s="3">
        <f>1/NOK!B2033</f>
        <v>0.12278526085728669</v>
      </c>
      <c r="Q2033" s="3">
        <f>1/NOK!C2033</f>
        <v>0.12287125549848868</v>
      </c>
      <c r="R2033" s="3">
        <f>NZD!B2033/1</f>
        <v>0.6905</v>
      </c>
      <c r="S2033" s="3">
        <f>NZD!C2033/1</f>
        <v>0.69010000000000005</v>
      </c>
      <c r="T2033" s="4">
        <f>1/PHP!B2033</f>
        <v>1.9368584156498159E-2</v>
      </c>
      <c r="U2033" s="4">
        <f>1/PHP!C2033</f>
        <v>1.9328153388225289E-2</v>
      </c>
      <c r="V2033" s="4">
        <f>1/TWD!B2033</f>
        <v>3.3140016570008285E-2</v>
      </c>
      <c r="W2033" s="4">
        <f>1/TWD!C2033</f>
        <v>3.314034605149347E-2</v>
      </c>
      <c r="X2033" s="4">
        <f>1/TWD!B2033</f>
        <v>3.3140016570008285E-2</v>
      </c>
      <c r="Y2033" s="4">
        <f>1/TWD!C2033</f>
        <v>3.314034605149347E-2</v>
      </c>
      <c r="Z2033" s="4">
        <f>1/ZAR!B2033</f>
        <v>7.0705856566099373E-2</v>
      </c>
      <c r="AA2033" s="4">
        <f>1/ZAR!C2033</f>
        <v>7.0331896218253948E-2</v>
      </c>
    </row>
    <row r="2034" spans="1:27" x14ac:dyDescent="0.25">
      <c r="A2034" t="str">
        <f>"02/11/2017"</f>
        <v>02/11/2017</v>
      </c>
      <c r="B2034" s="3">
        <f>AUD!B2034</f>
        <v>0.76970000000000005</v>
      </c>
      <c r="C2034" s="3">
        <f>AUD!C2034</f>
        <v>0.76949999999999996</v>
      </c>
      <c r="D2034" s="3">
        <f>1/CAD!B2034</f>
        <v>0.7782706825433886</v>
      </c>
      <c r="E2034" s="3">
        <f>1/CAD!C2034</f>
        <v>0.77845243655612639</v>
      </c>
      <c r="F2034" s="3">
        <f>EUR!B2034/1</f>
        <v>1.1651</v>
      </c>
      <c r="G2034" s="3">
        <f>EUR!C2034/1</f>
        <v>1.1669</v>
      </c>
      <c r="H2034" s="3">
        <f>GBP!B2034/1</f>
        <v>1.3209</v>
      </c>
      <c r="I2034" s="3">
        <f>GBP!C2034/1</f>
        <v>1.3219000000000001</v>
      </c>
      <c r="J2034" s="4">
        <f>1/INR!B2034</f>
        <v>1.5476282596920221E-2</v>
      </c>
      <c r="K2034" s="4">
        <f>1/INR!C2034</f>
        <v>1.5415446277169722E-2</v>
      </c>
      <c r="L2034" s="4">
        <f>1/JPY!B2034</f>
        <v>8.7642418930762491E-3</v>
      </c>
      <c r="M2034" s="4">
        <f>1/JPY!C2034</f>
        <v>8.7748624759678446E-3</v>
      </c>
      <c r="N2034" s="5">
        <f>1/KRW!B2034</f>
        <v>8.9726334679228351E-4</v>
      </c>
      <c r="O2034" s="5">
        <f>1/KRW!C2034</f>
        <v>8.9726012647778754E-4</v>
      </c>
      <c r="P2034" s="3">
        <f>1/NOK!B2034</f>
        <v>0.12278978388998035</v>
      </c>
      <c r="Q2034" s="3">
        <f>1/NOK!C2034</f>
        <v>0.12287427504177724</v>
      </c>
      <c r="R2034" s="3">
        <f>NZD!B2034/1</f>
        <v>0.68940000000000001</v>
      </c>
      <c r="S2034" s="3">
        <f>NZD!C2034/1</f>
        <v>0.68899999999999995</v>
      </c>
      <c r="T2034" s="4">
        <f>1/PHP!B2034</f>
        <v>1.9440124416796267E-2</v>
      </c>
      <c r="U2034" s="4">
        <f>1/PHP!C2034</f>
        <v>1.9403723574553958E-2</v>
      </c>
      <c r="V2034" s="4">
        <f>1/TWD!B2034</f>
        <v>3.3126842680624109E-2</v>
      </c>
      <c r="W2034" s="4">
        <f>1/TWD!C2034</f>
        <v>3.3127171900207711E-2</v>
      </c>
      <c r="X2034" s="4">
        <f>1/TWD!B2034</f>
        <v>3.3126842680624109E-2</v>
      </c>
      <c r="Y2034" s="4">
        <f>1/TWD!C2034</f>
        <v>3.3127171900207711E-2</v>
      </c>
      <c r="Z2034" s="4">
        <f>1/ZAR!B2034</f>
        <v>7.1471454301152121E-2</v>
      </c>
      <c r="AA2034" s="4">
        <f>1/ZAR!C2034</f>
        <v>7.1113639596074529E-2</v>
      </c>
    </row>
    <row r="2035" spans="1:27" x14ac:dyDescent="0.25">
      <c r="A2035" t="str">
        <f>"03/11/2017"</f>
        <v>03/11/2017</v>
      </c>
      <c r="B2035" s="3">
        <f>AUD!B2035</f>
        <v>0.76680000000000004</v>
      </c>
      <c r="C2035" s="3">
        <f>AUD!C2035</f>
        <v>0.76649999999999996</v>
      </c>
      <c r="D2035" s="3">
        <f>1/CAD!B2035</f>
        <v>0.77924101924725309</v>
      </c>
      <c r="E2035" s="3">
        <f>1/CAD!C2035</f>
        <v>0.77942322681215903</v>
      </c>
      <c r="F2035" s="3">
        <f>EUR!B2035/1</f>
        <v>1.1645000000000001</v>
      </c>
      <c r="G2035" s="3">
        <f>EUR!C2035/1</f>
        <v>1.1662999999999999</v>
      </c>
      <c r="H2035" s="3">
        <f>GBP!B2035/1</f>
        <v>1.3086</v>
      </c>
      <c r="I2035" s="3">
        <f>GBP!C2035/1</f>
        <v>1.3096000000000001</v>
      </c>
      <c r="J2035" s="4">
        <f>1/INR!B2035</f>
        <v>1.5491266798342436E-2</v>
      </c>
      <c r="K2035" s="4">
        <f>1/INR!C2035</f>
        <v>1.543090810894221E-2</v>
      </c>
      <c r="L2035" s="4">
        <f>1/JPY!B2035</f>
        <v>8.7650100797615916E-3</v>
      </c>
      <c r="M2035" s="4">
        <f>1/JPY!C2035</f>
        <v>8.7756248244875035E-3</v>
      </c>
      <c r="N2035" s="5">
        <f>1/KRW!B2035</f>
        <v>8.9782725803555399E-4</v>
      </c>
      <c r="O2035" s="5">
        <f>1/KRW!C2035</f>
        <v>8.9782403367199247E-4</v>
      </c>
      <c r="P2035" s="3">
        <f>1/NOK!B2035</f>
        <v>0.12263317963308151</v>
      </c>
      <c r="Q2035" s="3">
        <f>1/NOK!C2035</f>
        <v>0.1227189613067115</v>
      </c>
      <c r="R2035" s="3">
        <f>NZD!B2035/1</f>
        <v>0.6915</v>
      </c>
      <c r="S2035" s="3">
        <f>NZD!C2035/1</f>
        <v>0.69110000000000005</v>
      </c>
      <c r="T2035" s="4">
        <f>1/PHP!B2035</f>
        <v>1.952362358453729E-2</v>
      </c>
      <c r="U2035" s="4">
        <f>1/PHP!C2035</f>
        <v>1.9491277653250171E-2</v>
      </c>
      <c r="V2035" s="4">
        <f>1/TWD!B2035</f>
        <v>3.3143311679703039E-2</v>
      </c>
      <c r="W2035" s="4">
        <f>1/TWD!C2035</f>
        <v>3.3143641226712449E-2</v>
      </c>
      <c r="X2035" s="4">
        <f>1/TWD!B2035</f>
        <v>3.3143311679703039E-2</v>
      </c>
      <c r="Y2035" s="4">
        <f>1/TWD!C2035</f>
        <v>3.3143641226712449E-2</v>
      </c>
      <c r="Z2035" s="4">
        <f>1/ZAR!B2035</f>
        <v>7.078844166324523E-2</v>
      </c>
      <c r="AA2035" s="4">
        <f>1/ZAR!C2035</f>
        <v>7.0432951351960496E-2</v>
      </c>
    </row>
    <row r="2036" spans="1:27" x14ac:dyDescent="0.25">
      <c r="A2036" t="str">
        <f>"06/11/2017"</f>
        <v>06/11/2017</v>
      </c>
      <c r="B2036" s="3">
        <f>AUD!B2036</f>
        <v>0.76619999999999999</v>
      </c>
      <c r="C2036" s="3">
        <f>AUD!C2036</f>
        <v>0.76590000000000003</v>
      </c>
      <c r="D2036" s="3">
        <f>1/CAD!B2036</f>
        <v>0.7843752451172642</v>
      </c>
      <c r="E2036" s="3">
        <f>1/CAD!C2036</f>
        <v>0.7845598619174643</v>
      </c>
      <c r="F2036" s="3">
        <f>EUR!B2036/1</f>
        <v>1.1596</v>
      </c>
      <c r="G2036" s="3">
        <f>EUR!C2036/1</f>
        <v>1.1614</v>
      </c>
      <c r="H2036" s="3">
        <f>GBP!B2036/1</f>
        <v>1.3109999999999999</v>
      </c>
      <c r="I2036" s="3">
        <f>GBP!C2036/1</f>
        <v>1.3120000000000001</v>
      </c>
      <c r="J2036" s="4">
        <f>1/INR!B2036</f>
        <v>1.5459534668006493E-2</v>
      </c>
      <c r="K2036" s="4">
        <f>1/INR!C2036</f>
        <v>1.5400015400015399E-2</v>
      </c>
      <c r="L2036" s="4">
        <f>1/JPY!B2036</f>
        <v>8.7665468571929521E-3</v>
      </c>
      <c r="M2036" s="4">
        <f>1/JPY!C2036</f>
        <v>8.7770035485425345E-3</v>
      </c>
      <c r="N2036" s="5">
        <f>1/KRW!B2036</f>
        <v>8.9678055779750698E-4</v>
      </c>
      <c r="O2036" s="5">
        <f>1/KRW!C2036</f>
        <v>8.9678136201359708E-4</v>
      </c>
      <c r="P2036" s="3">
        <f>1/NOK!B2036</f>
        <v>0.12255202333390523</v>
      </c>
      <c r="Q2036" s="3">
        <f>1/NOK!C2036</f>
        <v>0.12263919548687761</v>
      </c>
      <c r="R2036" s="3">
        <f>NZD!B2036/1</f>
        <v>0.68940000000000001</v>
      </c>
      <c r="S2036" s="3">
        <f>NZD!C2036/1</f>
        <v>0.68899999999999995</v>
      </c>
      <c r="T2036" s="4">
        <f>1/PHP!B2036</f>
        <v>1.9496977968414896E-2</v>
      </c>
      <c r="U2036" s="4">
        <f>1/PHP!C2036</f>
        <v>1.945903872348706E-2</v>
      </c>
      <c r="V2036" s="4">
        <f>1/TWD!B2036</f>
        <v>3.3108197589723214E-2</v>
      </c>
      <c r="W2036" s="4">
        <f>1/TWD!C2036</f>
        <v>3.3108526438813783E-2</v>
      </c>
      <c r="X2036" s="4">
        <f>1/TWD!B2036</f>
        <v>3.3108197589723214E-2</v>
      </c>
      <c r="Y2036" s="4">
        <f>1/TWD!C2036</f>
        <v>3.3108526438813783E-2</v>
      </c>
      <c r="Z2036" s="4">
        <f>1/ZAR!B2036</f>
        <v>7.050744206050949E-2</v>
      </c>
      <c r="AA2036" s="4">
        <f>1/ZAR!C2036</f>
        <v>7.0150332161822787E-2</v>
      </c>
    </row>
    <row r="2037" spans="1:27" x14ac:dyDescent="0.25">
      <c r="A2037" t="str">
        <f>"07/11/2017"</f>
        <v>07/11/2017</v>
      </c>
      <c r="B2037" s="3">
        <f>AUD!B2037</f>
        <v>0.7661</v>
      </c>
      <c r="C2037" s="3">
        <f>AUD!C2037</f>
        <v>0.76580000000000004</v>
      </c>
      <c r="D2037" s="3">
        <f>1/CAD!B2037</f>
        <v>0.78382191566076187</v>
      </c>
      <c r="E2037" s="3">
        <f>1/CAD!C2037</f>
        <v>0.78400627205017637</v>
      </c>
      <c r="F2037" s="3">
        <f>EUR!B2037/1</f>
        <v>1.1560999999999999</v>
      </c>
      <c r="G2037" s="3">
        <f>EUR!C2037/1</f>
        <v>1.1579999999999999</v>
      </c>
      <c r="H2037" s="3">
        <f>GBP!B2037/1</f>
        <v>1.3143</v>
      </c>
      <c r="I2037" s="3">
        <f>GBP!C2037/1</f>
        <v>1.3152999999999999</v>
      </c>
      <c r="J2037" s="4">
        <f>1/INR!B2037</f>
        <v>1.5376335819174292E-2</v>
      </c>
      <c r="K2037" s="4">
        <f>1/INR!C2037</f>
        <v>1.5313349412350217E-2</v>
      </c>
      <c r="L2037" s="4">
        <f>1/JPY!B2037</f>
        <v>8.7642418930762491E-3</v>
      </c>
      <c r="M2037" s="4">
        <f>1/JPY!C2037</f>
        <v>8.7751088771633942E-3</v>
      </c>
      <c r="N2037" s="5">
        <f>1/KRW!B2037</f>
        <v>8.9928057553956839E-4</v>
      </c>
      <c r="O2037" s="5">
        <f>1/KRW!C2037</f>
        <v>8.9927750246896637E-4</v>
      </c>
      <c r="P2037" s="3">
        <f>1/NOK!B2037</f>
        <v>0.12231817403429802</v>
      </c>
      <c r="Q2037" s="3">
        <f>1/NOK!C2037</f>
        <v>0.12241250566157838</v>
      </c>
      <c r="R2037" s="3">
        <f>NZD!B2037/1</f>
        <v>0.6925</v>
      </c>
      <c r="S2037" s="3">
        <f>NZD!C2037/1</f>
        <v>0.69199999999999995</v>
      </c>
      <c r="T2037" s="4">
        <f>1/PHP!B2037</f>
        <v>1.9470404984423675E-2</v>
      </c>
      <c r="U2037" s="4">
        <f>1/PHP!C2037</f>
        <v>1.9435023856491783E-2</v>
      </c>
      <c r="V2037" s="4">
        <f>1/TWD!B2037</f>
        <v>3.3143311679703039E-2</v>
      </c>
      <c r="W2037" s="4">
        <f>1/TWD!C2037</f>
        <v>3.3143641226712449E-2</v>
      </c>
      <c r="X2037" s="4">
        <f>1/TWD!B2037</f>
        <v>3.3143311679703039E-2</v>
      </c>
      <c r="Y2037" s="4">
        <f>1/TWD!C2037</f>
        <v>3.3143641226712449E-2</v>
      </c>
      <c r="Z2037" s="4">
        <f>1/ZAR!B2037</f>
        <v>7.0409643304747013E-2</v>
      </c>
      <c r="AA2037" s="4">
        <f>1/ZAR!C2037</f>
        <v>7.0033405934630824E-2</v>
      </c>
    </row>
    <row r="2038" spans="1:27" x14ac:dyDescent="0.25">
      <c r="A2038" t="str">
        <f>"08/11/2017"</f>
        <v>08/11/2017</v>
      </c>
      <c r="B2038" s="3">
        <f>AUD!B2038</f>
        <v>0.76759999999999995</v>
      </c>
      <c r="C2038" s="3">
        <f>AUD!C2038</f>
        <v>0.76739999999999997</v>
      </c>
      <c r="D2038" s="3">
        <f>1/CAD!B2038</f>
        <v>0.78486774978416141</v>
      </c>
      <c r="E2038" s="3">
        <f>1/CAD!C2038</f>
        <v>0.78505259852410114</v>
      </c>
      <c r="F2038" s="3">
        <f>EUR!B2038/1</f>
        <v>1.1600999999999999</v>
      </c>
      <c r="G2038" s="3">
        <f>EUR!C2038/1</f>
        <v>1.1618999999999999</v>
      </c>
      <c r="H2038" s="3">
        <f>GBP!B2038/1</f>
        <v>1.3129</v>
      </c>
      <c r="I2038" s="3">
        <f>GBP!C2038/1</f>
        <v>1.3139000000000001</v>
      </c>
      <c r="J2038" s="4">
        <f>1/INR!B2038</f>
        <v>1.5393496247835288E-2</v>
      </c>
      <c r="K2038" s="4">
        <f>1/INR!C2038</f>
        <v>1.5332132316301891E-2</v>
      </c>
      <c r="L2038" s="4">
        <f>1/JPY!B2038</f>
        <v>8.8074687334859965E-3</v>
      </c>
      <c r="M2038" s="4">
        <f>1/JPY!C2038</f>
        <v>8.8182099562881325E-3</v>
      </c>
      <c r="N2038" s="5">
        <f>1/KRW!B2038</f>
        <v>8.9637863033345294E-4</v>
      </c>
      <c r="O2038" s="5">
        <f>1/KRW!C2038</f>
        <v>8.9637541636638086E-4</v>
      </c>
      <c r="P2038" s="3">
        <f>1/NOK!B2038</f>
        <v>0.12240351542896311</v>
      </c>
      <c r="Q2038" s="3">
        <f>1/NOK!C2038</f>
        <v>0.1224934772223379</v>
      </c>
      <c r="R2038" s="3">
        <f>NZD!B2038/1</f>
        <v>0.69310000000000005</v>
      </c>
      <c r="S2038" s="3">
        <f>NZD!C2038/1</f>
        <v>0.69269999999999998</v>
      </c>
      <c r="T2038" s="4">
        <f>1/PHP!B2038</f>
        <v>1.9489378288832584E-2</v>
      </c>
      <c r="U2038" s="4">
        <f>1/PHP!C2038</f>
        <v>1.9451279407903053E-2</v>
      </c>
      <c r="V2038" s="4">
        <f>1/TWD!B2038</f>
        <v>3.3126842680624109E-2</v>
      </c>
      <c r="W2038" s="4">
        <f>1/TWD!C2038</f>
        <v>3.3127171900207711E-2</v>
      </c>
      <c r="X2038" s="4">
        <f>1/TWD!B2038</f>
        <v>3.3126842680624109E-2</v>
      </c>
      <c r="Y2038" s="4">
        <f>1/TWD!C2038</f>
        <v>3.3127171900207711E-2</v>
      </c>
      <c r="Z2038" s="4">
        <f>1/ZAR!B2038</f>
        <v>7.0274562716533498E-2</v>
      </c>
      <c r="AA2038" s="4">
        <f>1/ZAR!C2038</f>
        <v>6.9912958366833297E-2</v>
      </c>
    </row>
    <row r="2039" spans="1:27" x14ac:dyDescent="0.25">
      <c r="A2039" t="str">
        <f>"09/11/2017"</f>
        <v>09/11/2017</v>
      </c>
      <c r="B2039" s="3">
        <f>AUD!B2039</f>
        <v>0.76870000000000005</v>
      </c>
      <c r="C2039" s="3">
        <f>AUD!C2039</f>
        <v>0.76839999999999997</v>
      </c>
      <c r="D2039" s="3">
        <f>1/CAD!B2039</f>
        <v>0.78777375137860406</v>
      </c>
      <c r="E2039" s="3">
        <f>1/CAD!C2039</f>
        <v>0.78795997163344111</v>
      </c>
      <c r="F2039" s="3">
        <f>EUR!B2039/1</f>
        <v>1.1633</v>
      </c>
      <c r="G2039" s="3">
        <f>EUR!C2039/1</f>
        <v>1.1651</v>
      </c>
      <c r="H2039" s="3">
        <f>GBP!B2039/1</f>
        <v>1.3112999999999999</v>
      </c>
      <c r="I2039" s="3">
        <f>GBP!C2039/1</f>
        <v>1.3123</v>
      </c>
      <c r="J2039" s="4">
        <f>1/INR!B2039</f>
        <v>1.5397051464644519E-2</v>
      </c>
      <c r="K2039" s="4">
        <f>1/INR!C2039</f>
        <v>1.5337423312883436E-2</v>
      </c>
      <c r="L2039" s="4">
        <f>1/JPY!B2039</f>
        <v>8.8261253309797009E-3</v>
      </c>
      <c r="M2039" s="4">
        <f>1/JPY!C2039</f>
        <v>8.8364592307862231E-3</v>
      </c>
      <c r="N2039" s="5">
        <f>1/KRW!B2039</f>
        <v>8.9637863033345294E-4</v>
      </c>
      <c r="O2039" s="5">
        <f>1/KRW!C2039</f>
        <v>8.9637541636638086E-4</v>
      </c>
      <c r="P2039" s="3">
        <f>1/NOK!B2039</f>
        <v>0.12307389356569685</v>
      </c>
      <c r="Q2039" s="3">
        <f>1/NOK!C2039</f>
        <v>0.12315574275228454</v>
      </c>
      <c r="R2039" s="3">
        <f>NZD!B2039/1</f>
        <v>0.69769999999999999</v>
      </c>
      <c r="S2039" s="3">
        <f>NZD!C2039/1</f>
        <v>0.69730000000000003</v>
      </c>
      <c r="T2039" s="4">
        <f>1/PHP!B2039</f>
        <v>1.9504583577140626E-2</v>
      </c>
      <c r="U2039" s="4">
        <f>1/PHP!C2039</f>
        <v>1.9467941167881791E-2</v>
      </c>
      <c r="V2039" s="4">
        <f>1/TWD!B2039</f>
        <v>3.3131232813172977E-2</v>
      </c>
      <c r="W2039" s="4">
        <f>1/TWD!C2039</f>
        <v>3.3131562120022398E-2</v>
      </c>
      <c r="X2039" s="4">
        <f>1/TWD!B2039</f>
        <v>3.3131232813172977E-2</v>
      </c>
      <c r="Y2039" s="4">
        <f>1/TWD!C2039</f>
        <v>3.3131562120022398E-2</v>
      </c>
      <c r="Z2039" s="4">
        <f>1/ZAR!B2039</f>
        <v>7.085715905306493E-2</v>
      </c>
      <c r="AA2039" s="4">
        <f>1/ZAR!C2039</f>
        <v>7.050445940705749E-2</v>
      </c>
    </row>
    <row r="2040" spans="1:27" x14ac:dyDescent="0.25">
      <c r="A2040" t="str">
        <f>"10/11/2017"</f>
        <v>10/11/2017</v>
      </c>
      <c r="B2040" s="3">
        <f>AUD!B2040</f>
        <v>0.76619999999999999</v>
      </c>
      <c r="C2040" s="3">
        <f>AUD!C2040</f>
        <v>0.76590000000000003</v>
      </c>
      <c r="D2040" s="3">
        <f>1/CAD!B2040</f>
        <v>0.78914141414141403</v>
      </c>
      <c r="E2040" s="3">
        <f>1/CAD!C2040</f>
        <v>0.78932828163233093</v>
      </c>
      <c r="F2040" s="3">
        <f>EUR!B2040/1</f>
        <v>1.1640999999999999</v>
      </c>
      <c r="G2040" s="3">
        <f>EUR!C2040/1</f>
        <v>1.1658999999999999</v>
      </c>
      <c r="H2040" s="3">
        <f>GBP!B2040/1</f>
        <v>1.3150999999999999</v>
      </c>
      <c r="I2040" s="3">
        <f>GBP!C2040/1</f>
        <v>1.3161</v>
      </c>
      <c r="J2040" s="4">
        <f>1/INR!B2040</f>
        <v>1.5343895047757874E-2</v>
      </c>
      <c r="K2040" s="4">
        <f>1/INR!C2040</f>
        <v>1.5285261186900531E-2</v>
      </c>
      <c r="L2040" s="4">
        <f>1/JPY!B2040</f>
        <v>8.8121254846669009E-3</v>
      </c>
      <c r="M2040" s="4">
        <f>1/JPY!C2040</f>
        <v>8.8222942905640273E-3</v>
      </c>
      <c r="N2040" s="5">
        <f>1/KRW!B2040</f>
        <v>8.9517500671381267E-4</v>
      </c>
      <c r="O2040" s="5">
        <f>1/KRW!C2040</f>
        <v>8.9517580805282258E-4</v>
      </c>
      <c r="P2040" s="3">
        <f>1/NOK!B2040</f>
        <v>0.1230103082638325</v>
      </c>
      <c r="Q2040" s="3">
        <f>1/NOK!C2040</f>
        <v>0.12309055772331703</v>
      </c>
      <c r="R2040" s="3">
        <f>NZD!B2040/1</f>
        <v>0.69340000000000002</v>
      </c>
      <c r="S2040" s="3">
        <f>NZD!C2040/1</f>
        <v>0.69299999999999995</v>
      </c>
      <c r="T2040" s="4">
        <f>1/PHP!B2040</f>
        <v>1.9514098936481608E-2</v>
      </c>
      <c r="U2040" s="4">
        <f>1/PHP!C2040</f>
        <v>1.9479887016655303E-2</v>
      </c>
      <c r="V2040" s="4">
        <f>1/TWD!B2040</f>
        <v>3.3143311679703039E-2</v>
      </c>
      <c r="W2040" s="4">
        <f>1/TWD!C2040</f>
        <v>3.3143641226712449E-2</v>
      </c>
      <c r="X2040" s="4">
        <f>1/TWD!B2040</f>
        <v>3.3143311679703039E-2</v>
      </c>
      <c r="Y2040" s="4">
        <f>1/TWD!C2040</f>
        <v>3.3143641226712449E-2</v>
      </c>
      <c r="Z2040" s="4">
        <f>1/ZAR!B2040</f>
        <v>6.9535226545768089E-2</v>
      </c>
      <c r="AA2040" s="4">
        <f>1/ZAR!C2040</f>
        <v>6.9187394056802853E-2</v>
      </c>
    </row>
    <row r="2041" spans="1:27" x14ac:dyDescent="0.25">
      <c r="A2041" t="str">
        <f>"13/11/2017"</f>
        <v>13/11/2017</v>
      </c>
      <c r="B2041" s="3">
        <f>AUD!B2041</f>
        <v>0.76480000000000004</v>
      </c>
      <c r="C2041" s="3">
        <f>AUD!C2041</f>
        <v>0.76449999999999996</v>
      </c>
      <c r="D2041" s="3">
        <f>1/CAD!B2041</f>
        <v>0.78721561835786824</v>
      </c>
      <c r="E2041" s="3">
        <f>1/CAD!C2041</f>
        <v>0.78740157480314954</v>
      </c>
      <c r="F2041" s="3">
        <f>EUR!B2041/1</f>
        <v>1.1651</v>
      </c>
      <c r="G2041" s="3">
        <f>EUR!C2041/1</f>
        <v>1.1669</v>
      </c>
      <c r="H2041" s="3">
        <f>GBP!B2041/1</f>
        <v>1.3088</v>
      </c>
      <c r="I2041" s="3">
        <f>GBP!C2041/1</f>
        <v>1.3098000000000001</v>
      </c>
      <c r="J2041" s="4">
        <f>1/INR!B2041</f>
        <v>1.5282341254680216E-2</v>
      </c>
      <c r="K2041" s="4">
        <f>1/INR!C2041</f>
        <v>1.5223596574690771E-2</v>
      </c>
      <c r="L2041" s="4">
        <f>1/JPY!B2041</f>
        <v>8.8253463948459974E-3</v>
      </c>
      <c r="M2041" s="4">
        <f>1/JPY!C2041</f>
        <v>8.8357096974564647E-3</v>
      </c>
      <c r="N2041" s="5">
        <f>1/KRW!B2041</f>
        <v>8.9214024444642689E-4</v>
      </c>
      <c r="O2041" s="5">
        <f>1/KRW!C2041</f>
        <v>8.9214104036135287E-4</v>
      </c>
      <c r="P2041" s="3">
        <f>1/NOK!B2041</f>
        <v>0.12281240405280933</v>
      </c>
      <c r="Q2041" s="3">
        <f>1/NOK!C2041</f>
        <v>0.12289541600098315</v>
      </c>
      <c r="R2041" s="3">
        <f>NZD!B2041/1</f>
        <v>0.69130000000000003</v>
      </c>
      <c r="S2041" s="3">
        <f>NZD!C2041/1</f>
        <v>0.69089999999999996</v>
      </c>
      <c r="T2041" s="4">
        <f>1/PHP!B2041</f>
        <v>1.9527436047646944E-2</v>
      </c>
      <c r="U2041" s="4">
        <f>1/PHP!C2041</f>
        <v>1.9493177387914232E-2</v>
      </c>
      <c r="V2041" s="4">
        <f>1/TWD!B2041</f>
        <v>3.3118065904951151E-2</v>
      </c>
      <c r="W2041" s="4">
        <f>1/TWD!C2041</f>
        <v>3.3118394950107134E-2</v>
      </c>
      <c r="X2041" s="4">
        <f>1/TWD!B2041</f>
        <v>3.3118065904951151E-2</v>
      </c>
      <c r="Y2041" s="4">
        <f>1/TWD!C2041</f>
        <v>3.3118394950107134E-2</v>
      </c>
      <c r="Z2041" s="4">
        <f>1/ZAR!B2041</f>
        <v>6.8886179365833827E-2</v>
      </c>
      <c r="AA2041" s="4">
        <f>1/ZAR!C2041</f>
        <v>6.8537747164250706E-2</v>
      </c>
    </row>
    <row r="2042" spans="1:27" x14ac:dyDescent="0.25">
      <c r="A2042" t="str">
        <f>"14/11/2017"</f>
        <v>14/11/2017</v>
      </c>
      <c r="B2042" s="3">
        <f>AUD!B2042</f>
        <v>0.76370000000000005</v>
      </c>
      <c r="C2042" s="3">
        <f>AUD!C2042</f>
        <v>0.76339999999999997</v>
      </c>
      <c r="D2042" s="3">
        <f>1/CAD!B2042</f>
        <v>0.78573112280977453</v>
      </c>
      <c r="E2042" s="3">
        <f>1/CAD!C2042</f>
        <v>0.78597814980743541</v>
      </c>
      <c r="F2042" s="3">
        <f>EUR!B2042/1</f>
        <v>1.1726000000000001</v>
      </c>
      <c r="G2042" s="3">
        <f>EUR!C2042/1</f>
        <v>1.1745000000000001</v>
      </c>
      <c r="H2042" s="3">
        <f>GBP!B2042/1</f>
        <v>1.3107</v>
      </c>
      <c r="I2042" s="3">
        <f>GBP!C2042/1</f>
        <v>1.3117000000000001</v>
      </c>
      <c r="J2042" s="4">
        <f>1/INR!B2042</f>
        <v>1.5285261186900531E-2</v>
      </c>
      <c r="K2042" s="4">
        <f>1/INR!C2042</f>
        <v>1.5223017202009439E-2</v>
      </c>
      <c r="L2042" s="4">
        <f>1/JPY!B2042</f>
        <v>8.7997184090109117E-3</v>
      </c>
      <c r="M2042" s="4">
        <f>1/JPY!C2042</f>
        <v>8.8107201794567491E-3</v>
      </c>
      <c r="N2042" s="5">
        <f>1/KRW!B2042</f>
        <v>8.9429440171704517E-4</v>
      </c>
      <c r="O2042" s="5">
        <f>1/KRW!C2042</f>
        <v>8.9429520148023736E-4</v>
      </c>
      <c r="P2042" s="3">
        <f>1/NOK!B2042</f>
        <v>0.12212845470866257</v>
      </c>
      <c r="Q2042" s="3">
        <f>1/NOK!C2042</f>
        <v>0.12221950623319482</v>
      </c>
      <c r="R2042" s="3">
        <f>NZD!B2042/1</f>
        <v>0.68689999999999996</v>
      </c>
      <c r="S2042" s="3">
        <f>NZD!C2042/1</f>
        <v>0.68640000000000001</v>
      </c>
      <c r="T2042" s="4">
        <f>1/PHP!B2042</f>
        <v>1.9519812609798948E-2</v>
      </c>
      <c r="U2042" s="4">
        <f>1/PHP!C2042</f>
        <v>1.948368241597662E-2</v>
      </c>
      <c r="V2042" s="4">
        <f>1/TWD!B2042</f>
        <v>3.3133428315827836E-2</v>
      </c>
      <c r="W2042" s="4">
        <f>1/TWD!C2042</f>
        <v>3.3133757666323177E-2</v>
      </c>
      <c r="X2042" s="4">
        <f>1/TWD!B2042</f>
        <v>3.3133428315827836E-2</v>
      </c>
      <c r="Y2042" s="4">
        <f>1/TWD!C2042</f>
        <v>3.3133757666323177E-2</v>
      </c>
      <c r="Z2042" s="4">
        <f>1/ZAR!B2042</f>
        <v>6.9633033911287515E-2</v>
      </c>
      <c r="AA2042" s="4">
        <f>1/ZAR!C2042</f>
        <v>6.9264549018521346E-2</v>
      </c>
    </row>
    <row r="2043" spans="1:27" x14ac:dyDescent="0.25">
      <c r="A2043" t="str">
        <f>"15/11/2017"</f>
        <v>15/11/2017</v>
      </c>
      <c r="B2043" s="3">
        <f>AUD!B2043</f>
        <v>0.75980000000000003</v>
      </c>
      <c r="C2043" s="3">
        <f>AUD!C2043</f>
        <v>0.75960000000000005</v>
      </c>
      <c r="D2043" s="3">
        <f>1/CAD!B2043</f>
        <v>0.78505259852410114</v>
      </c>
      <c r="E2043" s="3">
        <f>1/CAD!C2043</f>
        <v>0.78529919899481693</v>
      </c>
      <c r="F2043" s="3">
        <f>EUR!B2043/1</f>
        <v>1.1843999999999999</v>
      </c>
      <c r="G2043" s="3">
        <f>EUR!C2043/1</f>
        <v>1.1861999999999999</v>
      </c>
      <c r="H2043" s="3">
        <f>GBP!B2043/1</f>
        <v>1.3162</v>
      </c>
      <c r="I2043" s="3">
        <f>GBP!C2043/1</f>
        <v>1.3171999999999999</v>
      </c>
      <c r="J2043" s="4">
        <f>1/INR!B2043</f>
        <v>1.5333895576171125E-2</v>
      </c>
      <c r="K2043" s="4">
        <f>1/INR!C2043</f>
        <v>1.5273588147695598E-2</v>
      </c>
      <c r="L2043" s="4">
        <f>1/JPY!B2043</f>
        <v>8.869179600886918E-3</v>
      </c>
      <c r="M2043" s="4">
        <f>1/JPY!C2043</f>
        <v>8.8800483074627928E-3</v>
      </c>
      <c r="N2043" s="5">
        <f>1/KRW!B2043</f>
        <v>8.9887640449438206E-4</v>
      </c>
      <c r="O2043" s="5">
        <f>1/KRW!C2043</f>
        <v>8.9887721247389879E-4</v>
      </c>
      <c r="P2043" s="3">
        <f>1/NOK!B2043</f>
        <v>0.1208882871338596</v>
      </c>
      <c r="Q2043" s="3">
        <f>1/NOK!C2043</f>
        <v>0.12097603464753633</v>
      </c>
      <c r="R2043" s="3">
        <f>NZD!B2043/1</f>
        <v>0.69089999999999996</v>
      </c>
      <c r="S2043" s="3">
        <f>NZD!C2043/1</f>
        <v>0.69040000000000001</v>
      </c>
      <c r="T2043" s="4">
        <f>1/PHP!B2043</f>
        <v>1.9592476489028215E-2</v>
      </c>
      <c r="U2043" s="4">
        <f>1/PHP!C2043</f>
        <v>1.9554547410000196E-2</v>
      </c>
      <c r="V2043" s="4">
        <f>1/TWD!B2043</f>
        <v>3.3165295834438842E-2</v>
      </c>
      <c r="W2043" s="4">
        <f>1/TWD!C2043</f>
        <v>3.3165625818776384E-2</v>
      </c>
      <c r="X2043" s="4">
        <f>1/TWD!B2043</f>
        <v>3.3165295834438842E-2</v>
      </c>
      <c r="Y2043" s="4">
        <f>1/TWD!C2043</f>
        <v>3.3165625818776384E-2</v>
      </c>
      <c r="Z2043" s="4">
        <f>1/ZAR!B2043</f>
        <v>6.9510092865484069E-2</v>
      </c>
      <c r="AA2043" s="4">
        <f>1/ZAR!C2043</f>
        <v>6.9151510960514487E-2</v>
      </c>
    </row>
    <row r="2044" spans="1:27" x14ac:dyDescent="0.25">
      <c r="A2044" t="str">
        <f>"16/11/2017"</f>
        <v>16/11/2017</v>
      </c>
      <c r="B2044" s="3">
        <f>AUD!B2044</f>
        <v>0.7591</v>
      </c>
      <c r="C2044" s="3">
        <f>AUD!C2044</f>
        <v>0.75890000000000002</v>
      </c>
      <c r="D2044" s="3">
        <f>1/CAD!B2044</f>
        <v>0.78345346286430584</v>
      </c>
      <c r="E2044" s="3">
        <f>1/CAD!C2044</f>
        <v>0.78369905956112851</v>
      </c>
      <c r="F2044" s="3">
        <f>EUR!B2044/1</f>
        <v>1.1766000000000001</v>
      </c>
      <c r="G2044" s="3">
        <f>EUR!C2044/1</f>
        <v>1.1783999999999999</v>
      </c>
      <c r="H2044" s="3">
        <f>GBP!B2044/1</f>
        <v>1.319</v>
      </c>
      <c r="I2044" s="3">
        <f>GBP!C2044/1</f>
        <v>1.32</v>
      </c>
      <c r="J2044" s="4">
        <f>1/INR!B2044</f>
        <v>1.530748918908576E-2</v>
      </c>
      <c r="K2044" s="4">
        <f>1/INR!C2044</f>
        <v>1.5248551387618176E-2</v>
      </c>
      <c r="L2044" s="4">
        <f>1/JPY!B2044</f>
        <v>8.8347027122537333E-3</v>
      </c>
      <c r="M2044" s="4">
        <f>1/JPY!C2044</f>
        <v>8.8453461980048439E-3</v>
      </c>
      <c r="N2044" s="5">
        <f>1/KRW!B2044</f>
        <v>9.0768811836253063E-4</v>
      </c>
      <c r="O2044" s="5">
        <f>1/KRW!C2044</f>
        <v>9.0768894226099864E-4</v>
      </c>
      <c r="P2044" s="3">
        <f>1/NOK!B2044</f>
        <v>0.12178636236314258</v>
      </c>
      <c r="Q2044" s="3">
        <f>1/NOK!C2044</f>
        <v>0.12187244829561382</v>
      </c>
      <c r="R2044" s="3">
        <f>NZD!B2044/1</f>
        <v>0.68420000000000003</v>
      </c>
      <c r="S2044" s="3">
        <f>NZD!C2044/1</f>
        <v>0.68379999999999996</v>
      </c>
      <c r="T2044" s="4">
        <f>1/PHP!B2044</f>
        <v>1.9646365422396856E-2</v>
      </c>
      <c r="U2044" s="4">
        <f>1/PHP!C2044</f>
        <v>1.9609765663300326E-2</v>
      </c>
      <c r="V2044" s="4">
        <f>1/TWD!B2044</f>
        <v>3.3158697526361164E-2</v>
      </c>
      <c r="W2044" s="4">
        <f>1/TWD!C2044</f>
        <v>3.3159027379408908E-2</v>
      </c>
      <c r="X2044" s="4">
        <f>1/TWD!B2044</f>
        <v>3.3158697526361164E-2</v>
      </c>
      <c r="Y2044" s="4">
        <f>1/TWD!C2044</f>
        <v>3.3159027379408908E-2</v>
      </c>
      <c r="Z2044" s="4">
        <f>1/ZAR!B2044</f>
        <v>6.9909048328125112E-2</v>
      </c>
      <c r="AA2044" s="4">
        <f>1/ZAR!C2044</f>
        <v>6.9562797815728147E-2</v>
      </c>
    </row>
    <row r="2045" spans="1:27" x14ac:dyDescent="0.25">
      <c r="A2045" t="str">
        <f>"17/11/2017"</f>
        <v>17/11/2017</v>
      </c>
      <c r="B2045" s="3">
        <f>AUD!B2045</f>
        <v>0.75729999999999997</v>
      </c>
      <c r="C2045" s="3">
        <f>AUD!C2045</f>
        <v>0.7571</v>
      </c>
      <c r="D2045" s="3">
        <f>1/CAD!B2045</f>
        <v>0.78536087332129112</v>
      </c>
      <c r="E2045" s="3">
        <f>1/CAD!C2045</f>
        <v>0.78554595443833475</v>
      </c>
      <c r="F2045" s="3">
        <f>EUR!B2045/1</f>
        <v>1.1806000000000001</v>
      </c>
      <c r="G2045" s="3">
        <f>EUR!C2045/1</f>
        <v>1.1823999999999999</v>
      </c>
      <c r="H2045" s="3">
        <f>GBP!B2045/1</f>
        <v>1.3228</v>
      </c>
      <c r="I2045" s="3">
        <f>GBP!C2045/1</f>
        <v>1.3238000000000001</v>
      </c>
      <c r="J2045" s="4">
        <f>1/INR!B2045</f>
        <v>1.5419011641353788E-2</v>
      </c>
      <c r="K2045" s="4">
        <f>1/INR!C2045</f>
        <v>1.5360393226066586E-2</v>
      </c>
      <c r="L2045" s="4">
        <f>1/JPY!B2045</f>
        <v>8.8849400266548199E-3</v>
      </c>
      <c r="M2045" s="4">
        <f>1/JPY!C2045</f>
        <v>8.8956495825716422E-3</v>
      </c>
      <c r="N2045" s="5">
        <f>1/KRW!B2045</f>
        <v>9.1074681238615665E-4</v>
      </c>
      <c r="O2045" s="5">
        <f>1/KRW!C2045</f>
        <v>9.1074764184666832E-4</v>
      </c>
      <c r="P2045" s="3">
        <f>1/NOK!B2045</f>
        <v>0.12206137245807192</v>
      </c>
      <c r="Q2045" s="3">
        <f>1/NOK!C2045</f>
        <v>0.12214337188992441</v>
      </c>
      <c r="R2045" s="3">
        <f>NZD!B2045/1</f>
        <v>0.6845</v>
      </c>
      <c r="S2045" s="3">
        <f>NZD!C2045/1</f>
        <v>0.68410000000000004</v>
      </c>
      <c r="T2045" s="4">
        <f>1/PHP!B2045</f>
        <v>1.966568338249754E-2</v>
      </c>
      <c r="U2045" s="4">
        <f>1/PHP!C2045</f>
        <v>1.9629011679261951E-2</v>
      </c>
      <c r="V2045" s="4">
        <f>1/TWD!B2045</f>
        <v>3.3189512114171919E-2</v>
      </c>
      <c r="W2045" s="4">
        <f>1/TWD!C2045</f>
        <v>3.3189842580576639E-2</v>
      </c>
      <c r="X2045" s="4">
        <f>1/TWD!B2045</f>
        <v>3.3189512114171919E-2</v>
      </c>
      <c r="Y2045" s="4">
        <f>1/TWD!C2045</f>
        <v>3.3189842580576639E-2</v>
      </c>
      <c r="Z2045" s="4">
        <f>1/ZAR!B2045</f>
        <v>7.0701857337792259E-2</v>
      </c>
      <c r="AA2045" s="4">
        <f>1/ZAR!C2045</f>
        <v>7.0352183028239368E-2</v>
      </c>
    </row>
    <row r="2046" spans="1:27" x14ac:dyDescent="0.25">
      <c r="A2046" t="str">
        <f>"20/11/2017"</f>
        <v>20/11/2017</v>
      </c>
      <c r="B2046" s="3">
        <f>AUD!B2046</f>
        <v>0.75590000000000002</v>
      </c>
      <c r="C2046" s="3">
        <f>AUD!C2046</f>
        <v>0.75570000000000004</v>
      </c>
      <c r="D2046" s="3">
        <f>1/CAD!B2046</f>
        <v>0.7822277847309137</v>
      </c>
      <c r="E2046" s="3">
        <f>1/CAD!C2046</f>
        <v>0.78247261345852892</v>
      </c>
      <c r="F2046" s="3">
        <f>EUR!B2046/1</f>
        <v>1.1788000000000001</v>
      </c>
      <c r="G2046" s="3">
        <f>EUR!C2046/1</f>
        <v>1.1806000000000001</v>
      </c>
      <c r="H2046" s="3">
        <f>GBP!B2046/1</f>
        <v>1.3251999999999999</v>
      </c>
      <c r="I2046" s="3">
        <f>GBP!C2046/1</f>
        <v>1.3262</v>
      </c>
      <c r="J2046" s="4">
        <f>1/INR!B2046</f>
        <v>1.536216299254935E-2</v>
      </c>
      <c r="K2046" s="4">
        <f>1/INR!C2046</f>
        <v>1.5303975207560163E-2</v>
      </c>
      <c r="L2046" s="4">
        <f>1/JPY!B2046</f>
        <v>8.9166295140436919E-3</v>
      </c>
      <c r="M2046" s="4">
        <f>1/JPY!C2046</f>
        <v>8.9273678280874635E-3</v>
      </c>
      <c r="N2046" s="5">
        <f>1/KRW!B2046</f>
        <v>9.0851276460434261E-4</v>
      </c>
      <c r="O2046" s="5">
        <f>1/KRW!C2046</f>
        <v>9.0851028842476125E-4</v>
      </c>
      <c r="P2046" s="3">
        <f>1/NOK!B2046</f>
        <v>0.12096579087434074</v>
      </c>
      <c r="Q2046" s="3">
        <f>1/NOK!C2046</f>
        <v>0.12105365097811351</v>
      </c>
      <c r="R2046" s="3">
        <f>NZD!B2046/1</f>
        <v>0.68300000000000005</v>
      </c>
      <c r="S2046" s="3">
        <f>NZD!C2046/1</f>
        <v>0.68259999999999998</v>
      </c>
      <c r="T2046" s="4">
        <f>1/PHP!B2046</f>
        <v>1.968503937007874E-2</v>
      </c>
      <c r="U2046" s="4">
        <f>1/PHP!C2046</f>
        <v>1.9649453745185883E-2</v>
      </c>
      <c r="V2046" s="4">
        <f>1/TWD!B2046</f>
        <v>3.3222591362126241E-2</v>
      </c>
      <c r="W2046" s="4">
        <f>1/TWD!C2046</f>
        <v>3.3222922487599546E-2</v>
      </c>
      <c r="X2046" s="4">
        <f>1/TWD!B2046</f>
        <v>3.3222591362126241E-2</v>
      </c>
      <c r="Y2046" s="4">
        <f>1/TWD!C2046</f>
        <v>3.3222922487599546E-2</v>
      </c>
      <c r="Z2046" s="4">
        <f>1/ZAR!B2046</f>
        <v>7.1189071053811823E-2</v>
      </c>
      <c r="AA2046" s="4">
        <f>1/ZAR!C2046</f>
        <v>7.0836078231364799E-2</v>
      </c>
    </row>
    <row r="2047" spans="1:27" x14ac:dyDescent="0.25">
      <c r="A2047" t="str">
        <f>"21/11/2017"</f>
        <v>21/11/2017</v>
      </c>
      <c r="B2047" s="3">
        <f>AUD!B2047</f>
        <v>0.75760000000000005</v>
      </c>
      <c r="C2047" s="3">
        <f>AUD!C2047</f>
        <v>0.75739999999999996</v>
      </c>
      <c r="D2047" s="3">
        <f>1/CAD!B2047</f>
        <v>0.78094494338149167</v>
      </c>
      <c r="E2047" s="3">
        <f>1/CAD!C2047</f>
        <v>0.78118896961174911</v>
      </c>
      <c r="F2047" s="3">
        <f>EUR!B2047/1</f>
        <v>1.1726000000000001</v>
      </c>
      <c r="G2047" s="3">
        <f>EUR!C2047/1</f>
        <v>1.1747000000000001</v>
      </c>
      <c r="H2047" s="3">
        <f>GBP!B2047/1</f>
        <v>1.3227</v>
      </c>
      <c r="I2047" s="3">
        <f>GBP!C2047/1</f>
        <v>1.3239000000000001</v>
      </c>
      <c r="J2047" s="4">
        <f>1/INR!B2047</f>
        <v>1.5408320493066254E-2</v>
      </c>
      <c r="K2047" s="4">
        <f>1/INR!C2047</f>
        <v>1.5347427387484174E-2</v>
      </c>
      <c r="L2047" s="4">
        <f>1/JPY!B2047</f>
        <v>8.88336146397797E-3</v>
      </c>
      <c r="M2047" s="4">
        <f>1/JPY!C2047</f>
        <v>8.8955308852832343E-3</v>
      </c>
      <c r="N2047" s="5">
        <f>1/KRW!B2047</f>
        <v>9.1240875912408756E-4</v>
      </c>
      <c r="O2047" s="5">
        <f>1/KRW!C2047</f>
        <v>9.1240626166169258E-4</v>
      </c>
      <c r="P2047" s="3">
        <f>1/NOK!B2047</f>
        <v>0.12090582645177672</v>
      </c>
      <c r="Q2047" s="3">
        <f>1/NOK!C2047</f>
        <v>0.1210023837469598</v>
      </c>
      <c r="R2047" s="3">
        <f>NZD!B2047/1</f>
        <v>0.68149999999999999</v>
      </c>
      <c r="S2047" s="3">
        <f>NZD!C2047/1</f>
        <v>0.68110000000000004</v>
      </c>
      <c r="T2047" s="4">
        <f>1/PHP!B2047</f>
        <v>1.9700551615445233E-2</v>
      </c>
      <c r="U2047" s="4">
        <f>1/PHP!C2047</f>
        <v>1.9664716582272257E-2</v>
      </c>
      <c r="V2047" s="4">
        <f>1/TWD!B2047</f>
        <v>3.3266799733865607E-2</v>
      </c>
      <c r="W2047" s="4">
        <f>1/TWD!C2047</f>
        <v>3.3267242411742004E-2</v>
      </c>
      <c r="X2047" s="4">
        <f>1/TWD!B2047</f>
        <v>3.3266799733865607E-2</v>
      </c>
      <c r="Y2047" s="4">
        <f>1/TWD!C2047</f>
        <v>3.3267242411742004E-2</v>
      </c>
      <c r="Z2047" s="4">
        <f>1/ZAR!B2047</f>
        <v>7.0919470940746784E-2</v>
      </c>
      <c r="AA2047" s="4">
        <f>1/ZAR!C2047</f>
        <v>7.0528825130830974E-2</v>
      </c>
    </row>
    <row r="2048" spans="1:27" x14ac:dyDescent="0.25">
      <c r="A2048" t="str">
        <f>"22/11/2017"</f>
        <v>22/11/2017</v>
      </c>
      <c r="B2048" s="3">
        <f>AUD!B2048</f>
        <v>0.75600000000000001</v>
      </c>
      <c r="C2048" s="3">
        <f>AUD!C2048</f>
        <v>0.75580000000000003</v>
      </c>
      <c r="D2048" s="3">
        <f>1/CAD!B2048</f>
        <v>0.78419071518193229</v>
      </c>
      <c r="E2048" s="3">
        <f>1/CAD!C2048</f>
        <v>0.78443677439598369</v>
      </c>
      <c r="F2048" s="3">
        <f>EUR!B2048/1</f>
        <v>1.1751</v>
      </c>
      <c r="G2048" s="3">
        <f>EUR!C2048/1</f>
        <v>1.1772</v>
      </c>
      <c r="H2048" s="3">
        <f>GBP!B2048/1</f>
        <v>1.3236000000000001</v>
      </c>
      <c r="I2048" s="3">
        <f>GBP!C2048/1</f>
        <v>1.3248</v>
      </c>
      <c r="J2048" s="4">
        <f>1/INR!B2048</f>
        <v>1.5401201293700907E-2</v>
      </c>
      <c r="K2048" s="4">
        <f>1/INR!C2048</f>
        <v>1.5341541057799255E-2</v>
      </c>
      <c r="L2048" s="4">
        <f>1/JPY!B2048</f>
        <v>8.9221984296930772E-3</v>
      </c>
      <c r="M2048" s="4">
        <f>1/JPY!C2048</f>
        <v>8.9337322542575939E-3</v>
      </c>
      <c r="N2048" s="5">
        <f>1/KRW!B2048</f>
        <v>9.1827364554637281E-4</v>
      </c>
      <c r="O2048" s="5">
        <f>1/KRW!C2048</f>
        <v>9.1827094722953971E-4</v>
      </c>
      <c r="P2048" s="3">
        <f>1/NOK!B2048</f>
        <v>0.12167078319483143</v>
      </c>
      <c r="Q2048" s="3">
        <f>1/NOK!C2048</f>
        <v>0.12176708392187423</v>
      </c>
      <c r="R2048" s="3">
        <f>NZD!B2048/1</f>
        <v>0.68279999999999996</v>
      </c>
      <c r="S2048" s="3">
        <f>NZD!C2048/1</f>
        <v>0.68240000000000001</v>
      </c>
      <c r="T2048" s="4">
        <f>1/PHP!B2048</f>
        <v>1.9745285813012142E-2</v>
      </c>
      <c r="U2048" s="4">
        <f>1/PHP!C2048</f>
        <v>1.9706375012316486E-2</v>
      </c>
      <c r="V2048" s="4">
        <f>1/TWD!B2048</f>
        <v>3.3311125916055964E-2</v>
      </c>
      <c r="W2048" s="4">
        <f>1/TWD!C2048</f>
        <v>3.331145880871561E-2</v>
      </c>
      <c r="X2048" s="4">
        <f>1/TWD!B2048</f>
        <v>3.3311125916055964E-2</v>
      </c>
      <c r="Y2048" s="4">
        <f>1/TWD!C2048</f>
        <v>3.331145880871561E-2</v>
      </c>
      <c r="Z2048" s="4">
        <f>1/ZAR!B2048</f>
        <v>7.174167258535466E-2</v>
      </c>
      <c r="AA2048" s="4">
        <f>1/ZAR!C2048</f>
        <v>7.1351104515097893E-2</v>
      </c>
    </row>
    <row r="2049" spans="1:27" x14ac:dyDescent="0.25">
      <c r="A2049" t="str">
        <f>"23/11/2017"</f>
        <v>23/11/2017</v>
      </c>
      <c r="B2049" s="3">
        <f>AUD!B2049</f>
        <v>0.76329999999999998</v>
      </c>
      <c r="C2049" s="3">
        <f>AUD!C2049</f>
        <v>0.7631</v>
      </c>
      <c r="D2049" s="3">
        <f>1/CAD!B2049</f>
        <v>0.78889239507731146</v>
      </c>
      <c r="E2049" s="3">
        <f>1/CAD!C2049</f>
        <v>0.78914141414141403</v>
      </c>
      <c r="F2049" s="3">
        <f>EUR!B2049/1</f>
        <v>1.1847000000000001</v>
      </c>
      <c r="G2049" s="3">
        <f>EUR!C2049/1</f>
        <v>1.1866000000000001</v>
      </c>
      <c r="H2049" s="3">
        <f>GBP!B2049/1</f>
        <v>1.331</v>
      </c>
      <c r="I2049" s="3">
        <f>GBP!C2049/1</f>
        <v>1.3321000000000001</v>
      </c>
      <c r="J2049" s="4">
        <f>1/INR!B2049</f>
        <v>1.548467017652524E-2</v>
      </c>
      <c r="K2049" s="4">
        <f>1/INR!C2049</f>
        <v>1.5428527347064723E-2</v>
      </c>
      <c r="L2049" s="4">
        <f>1/JPY!B2049</f>
        <v>8.9928057553956831E-3</v>
      </c>
      <c r="M2049" s="4">
        <f>1/JPY!C2049</f>
        <v>9.0041743352218089E-3</v>
      </c>
      <c r="N2049" s="5">
        <f>1/KRW!B2049</f>
        <v>9.2123445416858593E-4</v>
      </c>
      <c r="O2049" s="5">
        <f>1/KRW!C2049</f>
        <v>9.2123275682587413E-4</v>
      </c>
      <c r="P2049" s="3">
        <f>1/NOK!B2049</f>
        <v>0.12304966284392382</v>
      </c>
      <c r="Q2049" s="3">
        <f>1/NOK!C2049</f>
        <v>0.1231345121410629</v>
      </c>
      <c r="R2049" s="3">
        <f>NZD!B2049/1</f>
        <v>0.69030000000000002</v>
      </c>
      <c r="S2049" s="3">
        <f>NZD!C2049/1</f>
        <v>0.68989999999999996</v>
      </c>
      <c r="T2049" s="4">
        <f>1/PHP!B2049</f>
        <v>1.973164956590371E-2</v>
      </c>
      <c r="U2049" s="4">
        <f>1/PHP!C2049</f>
        <v>1.9693762000886218E-2</v>
      </c>
      <c r="V2049" s="4">
        <f>1/TWD!B2049</f>
        <v>3.3325557369947009E-2</v>
      </c>
      <c r="W2049" s="4">
        <f>1/TWD!C2049</f>
        <v>3.3325890551110252E-2</v>
      </c>
      <c r="X2049" s="4">
        <f>1/TWD!B2049</f>
        <v>3.3325557369947009E-2</v>
      </c>
      <c r="Y2049" s="4">
        <f>1/TWD!C2049</f>
        <v>3.3325890551110252E-2</v>
      </c>
      <c r="Z2049" s="4">
        <f>1/ZAR!B2049</f>
        <v>7.2083501528170238E-2</v>
      </c>
      <c r="AA2049" s="4">
        <f>1/ZAR!C2049</f>
        <v>7.1728807723758017E-2</v>
      </c>
    </row>
    <row r="2050" spans="1:27" x14ac:dyDescent="0.25">
      <c r="A2050" t="str">
        <f>"24/11/2017"</f>
        <v>24/11/2017</v>
      </c>
      <c r="B2050" s="3">
        <f>AUD!B2050</f>
        <v>0.76139999999999997</v>
      </c>
      <c r="C2050" s="3">
        <f>AUD!C2050</f>
        <v>0.76119999999999999</v>
      </c>
      <c r="D2050" s="3">
        <f>1/CAD!B2050</f>
        <v>0.78542255733584665</v>
      </c>
      <c r="E2050" s="3">
        <f>1/CAD!C2050</f>
        <v>0.78566939032055316</v>
      </c>
      <c r="F2050" s="3">
        <f>EUR!B2050/1</f>
        <v>1.1861999999999999</v>
      </c>
      <c r="G2050" s="3">
        <f>EUR!C2050/1</f>
        <v>1.1880999999999999</v>
      </c>
      <c r="H2050" s="3">
        <f>GBP!B2050/1</f>
        <v>1.3315999999999999</v>
      </c>
      <c r="I2050" s="3">
        <f>GBP!C2050/1</f>
        <v>1.3327</v>
      </c>
      <c r="J2050" s="4">
        <f>1/INR!B2050</f>
        <v>1.5454756201220925E-2</v>
      </c>
      <c r="K2050" s="4">
        <f>1/INR!C2050</f>
        <v>1.5398829688943641E-2</v>
      </c>
      <c r="L2050" s="4">
        <f>1/JPY!B2050</f>
        <v>8.9686098654708519E-3</v>
      </c>
      <c r="M2050" s="4">
        <f>1/JPY!C2050</f>
        <v>8.9798931213120707E-3</v>
      </c>
      <c r="N2050" s="5">
        <f>1/KRW!B2050</f>
        <v>9.2131932927952821E-4</v>
      </c>
      <c r="O2050" s="5">
        <f>1/KRW!C2050</f>
        <v>9.2131763162404338E-4</v>
      </c>
      <c r="P2050" s="3">
        <f>1/NOK!B2050</f>
        <v>0.12294981188678782</v>
      </c>
      <c r="Q2050" s="3">
        <f>1/NOK!C2050</f>
        <v>0.12303603725531206</v>
      </c>
      <c r="R2050" s="3">
        <f>NZD!B2050/1</f>
        <v>0.68700000000000006</v>
      </c>
      <c r="S2050" s="3">
        <f>NZD!C2050/1</f>
        <v>0.68659999999999999</v>
      </c>
      <c r="T2050" s="4">
        <f>1/PHP!B2050</f>
        <v>1.9708316909735908E-2</v>
      </c>
      <c r="U2050" s="4">
        <f>1/PHP!C2050</f>
        <v>1.9672453646781093E-2</v>
      </c>
      <c r="V2050" s="4">
        <f>1/TWD!B2050</f>
        <v>3.3321115590949989E-2</v>
      </c>
      <c r="W2050" s="4">
        <f>1/TWD!C2050</f>
        <v>3.3321448683302952E-2</v>
      </c>
      <c r="X2050" s="4">
        <f>1/TWD!B2050</f>
        <v>3.3321115590949989E-2</v>
      </c>
      <c r="Y2050" s="4">
        <f>1/TWD!C2050</f>
        <v>3.3321448683302952E-2</v>
      </c>
      <c r="Z2050" s="4">
        <f>1/ZAR!B2050</f>
        <v>7.1357214214357076E-2</v>
      </c>
      <c r="AA2050" s="4">
        <f>1/ZAR!C2050</f>
        <v>7.1004572694481516E-2</v>
      </c>
    </row>
    <row r="2051" spans="1:27" x14ac:dyDescent="0.25">
      <c r="A2051" t="str">
        <f>"27/11/2017"</f>
        <v>27/11/2017</v>
      </c>
      <c r="B2051" s="3">
        <f>AUD!B2051</f>
        <v>0.76400000000000001</v>
      </c>
      <c r="C2051" s="3">
        <f>AUD!C2051</f>
        <v>0.76380000000000003</v>
      </c>
      <c r="D2051" s="3">
        <f>1/CAD!B2051</f>
        <v>0.78833267638943638</v>
      </c>
      <c r="E2051" s="3">
        <f>1/CAD!C2051</f>
        <v>0.7885813421654444</v>
      </c>
      <c r="F2051" s="3">
        <f>EUR!B2051/1</f>
        <v>1.1937</v>
      </c>
      <c r="G2051" s="3">
        <f>EUR!C2051/1</f>
        <v>1.1957</v>
      </c>
      <c r="H2051" s="3">
        <f>GBP!B2051/1</f>
        <v>1.3348</v>
      </c>
      <c r="I2051" s="3">
        <f>GBP!C2051/1</f>
        <v>1.3359000000000001</v>
      </c>
      <c r="J2051" s="4">
        <f>1/INR!B2051</f>
        <v>1.5502073402317561E-2</v>
      </c>
      <c r="K2051" s="4">
        <f>1/INR!C2051</f>
        <v>1.5446997489862909E-2</v>
      </c>
      <c r="L2051" s="4">
        <f>1/JPY!B2051</f>
        <v>8.9960417416336813E-3</v>
      </c>
      <c r="M2051" s="4">
        <f>1/JPY!C2051</f>
        <v>9.0074671903007594E-3</v>
      </c>
      <c r="N2051" s="5">
        <f>1/KRW!B2051</f>
        <v>9.1852668320014698E-4</v>
      </c>
      <c r="O2051" s="5">
        <f>1/KRW!C2051</f>
        <v>9.1852516455837583E-4</v>
      </c>
      <c r="P2051" s="3">
        <f>1/NOK!B2051</f>
        <v>0.12261814258037619</v>
      </c>
      <c r="Q2051" s="3">
        <f>1/NOK!C2051</f>
        <v>0.12270540885442231</v>
      </c>
      <c r="R2051" s="3">
        <f>NZD!B2051/1</f>
        <v>0.69020000000000004</v>
      </c>
      <c r="S2051" s="3">
        <f>NZD!C2051/1</f>
        <v>0.68979999999999997</v>
      </c>
      <c r="T2051" s="4">
        <f>1/PHP!B2051</f>
        <v>1.9790223629527013E-2</v>
      </c>
      <c r="U2051" s="4">
        <f>1/PHP!C2051</f>
        <v>1.9754061928984146E-2</v>
      </c>
      <c r="V2051" s="4">
        <f>1/TWD!B2051</f>
        <v>3.3326667999733384E-2</v>
      </c>
      <c r="W2051" s="4">
        <f>1/TWD!C2051</f>
        <v>3.3327001203104743E-2</v>
      </c>
      <c r="X2051" s="4">
        <f>1/TWD!B2051</f>
        <v>3.3326667999733384E-2</v>
      </c>
      <c r="Y2051" s="4">
        <f>1/TWD!C2051</f>
        <v>3.3327001203104743E-2</v>
      </c>
      <c r="Z2051" s="4">
        <f>1/ZAR!B2051</f>
        <v>7.2622696044967974E-2</v>
      </c>
      <c r="AA2051" s="4">
        <f>1/ZAR!C2051</f>
        <v>7.2270000722700012E-2</v>
      </c>
    </row>
    <row r="2052" spans="1:27" x14ac:dyDescent="0.25">
      <c r="A2052" t="str">
        <f>"28/11/2017"</f>
        <v>28/11/2017</v>
      </c>
      <c r="B2052" s="3">
        <f>AUD!B2052</f>
        <v>0.76060000000000005</v>
      </c>
      <c r="C2052" s="3">
        <f>AUD!C2052</f>
        <v>0.76039999999999996</v>
      </c>
      <c r="D2052" s="3">
        <f>1/CAD!B2052</f>
        <v>0.78192196418797411</v>
      </c>
      <c r="E2052" s="3">
        <f>1/CAD!C2052</f>
        <v>0.78216660148611661</v>
      </c>
      <c r="F2052" s="3">
        <f>EUR!B2052/1</f>
        <v>1.1881999999999999</v>
      </c>
      <c r="G2052" s="3">
        <f>EUR!C2052/1</f>
        <v>1.1900999999999999</v>
      </c>
      <c r="H2052" s="3">
        <f>GBP!B2052/1</f>
        <v>1.3293999999999999</v>
      </c>
      <c r="I2052" s="3">
        <f>GBP!C2052/1</f>
        <v>1.3305</v>
      </c>
      <c r="J2052" s="4">
        <f>1/INR!B2052</f>
        <v>1.5523731905149997E-2</v>
      </c>
      <c r="K2052" s="4">
        <f>1/INR!C2052</f>
        <v>1.5472092213669596E-2</v>
      </c>
      <c r="L2052" s="4">
        <f>1/JPY!B2052</f>
        <v>8.9790787465206072E-3</v>
      </c>
      <c r="M2052" s="4">
        <f>1/JPY!C2052</f>
        <v>8.9905581158667165E-3</v>
      </c>
      <c r="N2052" s="5">
        <f>1/KRW!B2052</f>
        <v>9.2216894135005521E-4</v>
      </c>
      <c r="O2052" s="5">
        <f>1/KRW!C2052</f>
        <v>9.2216741064059455E-4</v>
      </c>
      <c r="P2052" s="3">
        <f>1/NOK!B2052</f>
        <v>0.12201222562500763</v>
      </c>
      <c r="Q2052" s="3">
        <f>1/NOK!C2052</f>
        <v>0.12209863127434342</v>
      </c>
      <c r="R2052" s="3">
        <f>NZD!B2052/1</f>
        <v>0.6925</v>
      </c>
      <c r="S2052" s="3">
        <f>NZD!C2052/1</f>
        <v>0.69220000000000004</v>
      </c>
      <c r="T2052" s="4">
        <f>1/PHP!B2052</f>
        <v>1.9853087155052612E-2</v>
      </c>
      <c r="U2052" s="4">
        <f>1/PHP!C2052</f>
        <v>1.9818462880019025E-2</v>
      </c>
      <c r="V2052" s="4">
        <f>1/TWD!B2052</f>
        <v>3.3331111259249382E-2</v>
      </c>
      <c r="W2052" s="4">
        <f>1/TWD!C2052</f>
        <v>3.3331444551475416E-2</v>
      </c>
      <c r="X2052" s="4">
        <f>1/TWD!B2052</f>
        <v>3.3331111259249382E-2</v>
      </c>
      <c r="Y2052" s="4">
        <f>1/TWD!C2052</f>
        <v>3.3331444551475416E-2</v>
      </c>
      <c r="Z2052" s="4">
        <f>1/ZAR!B2052</f>
        <v>7.2742614806031822E-2</v>
      </c>
      <c r="AA2052" s="4">
        <f>1/ZAR!C2052</f>
        <v>7.2402383486464369E-2</v>
      </c>
    </row>
    <row r="2053" spans="1:27" x14ac:dyDescent="0.25">
      <c r="A2053" t="str">
        <f>"29/11/2017"</f>
        <v>29/11/2017</v>
      </c>
      <c r="B2053" s="3">
        <f>AUD!B2053</f>
        <v>0.75800000000000001</v>
      </c>
      <c r="C2053" s="3">
        <f>AUD!C2053</f>
        <v>0.75790000000000002</v>
      </c>
      <c r="D2053" s="3">
        <f>1/CAD!B2053</f>
        <v>0.77863427548080666</v>
      </c>
      <c r="E2053" s="3">
        <f>1/CAD!C2053</f>
        <v>0.77893752921015735</v>
      </c>
      <c r="F2053" s="3">
        <f>EUR!B2053/1</f>
        <v>1.1836</v>
      </c>
      <c r="G2053" s="3">
        <f>EUR!C2053/1</f>
        <v>1.1863999999999999</v>
      </c>
      <c r="H2053" s="3">
        <f>GBP!B2053/1</f>
        <v>1.3406</v>
      </c>
      <c r="I2053" s="3">
        <f>GBP!C2053/1</f>
        <v>1.3424</v>
      </c>
      <c r="J2053" s="4">
        <f>1/INR!B2053</f>
        <v>1.5546055188495918E-2</v>
      </c>
      <c r="K2053" s="4">
        <f>1/INR!C2053</f>
        <v>1.5490666873208891E-2</v>
      </c>
      <c r="L2053" s="4">
        <f>1/JPY!B2053</f>
        <v>8.9621796020792257E-3</v>
      </c>
      <c r="M2053" s="4">
        <f>1/JPY!C2053</f>
        <v>8.9804173020311909E-3</v>
      </c>
      <c r="N2053" s="5">
        <f>1/KRW!B2053</f>
        <v>9.2850510677808728E-4</v>
      </c>
      <c r="O2053" s="5">
        <f>1/KRW!C2053</f>
        <v>9.2850734830000523E-4</v>
      </c>
      <c r="P2053" s="3">
        <f>1/NOK!B2053</f>
        <v>0.12124445306627223</v>
      </c>
      <c r="Q2053" s="3">
        <f>1/NOK!C2053</f>
        <v>0.12139605462822457</v>
      </c>
      <c r="R2053" s="3">
        <f>NZD!B2053/1</f>
        <v>0.69210000000000005</v>
      </c>
      <c r="S2053" s="3">
        <f>NZD!C2053/1</f>
        <v>0.69169999999999998</v>
      </c>
      <c r="T2053" s="4">
        <f>1/PHP!B2053</f>
        <v>1.9892580067634769E-2</v>
      </c>
      <c r="U2053" s="4">
        <f>1/PHP!C2053</f>
        <v>1.9854072566635232E-2</v>
      </c>
      <c r="V2053" s="4">
        <f>1/TWD!B2053</f>
        <v>3.334444814938313E-2</v>
      </c>
      <c r="W2053" s="4">
        <f>1/TWD!C2053</f>
        <v>3.3344892896204015E-2</v>
      </c>
      <c r="X2053" s="4">
        <f>1/TWD!B2053</f>
        <v>3.334444814938313E-2</v>
      </c>
      <c r="Y2053" s="4">
        <f>1/TWD!C2053</f>
        <v>3.3344892896204015E-2</v>
      </c>
      <c r="Z2053" s="4">
        <f>1/ZAR!B2053</f>
        <v>7.3280473684981903E-2</v>
      </c>
      <c r="AA2053" s="4">
        <f>1/ZAR!C2053</f>
        <v>7.2900112266172892E-2</v>
      </c>
    </row>
    <row r="2054" spans="1:27" x14ac:dyDescent="0.25">
      <c r="A2054" t="str">
        <f>"30/11/2017"</f>
        <v>30/11/2017</v>
      </c>
      <c r="B2054" s="3">
        <f>AUD!B2054</f>
        <v>0.75619999999999998</v>
      </c>
      <c r="C2054" s="3">
        <f>AUD!C2054</f>
        <v>0.75619999999999998</v>
      </c>
      <c r="D2054" s="3">
        <f>1/CAD!B2054</f>
        <v>0.77543424317617859</v>
      </c>
      <c r="E2054" s="3">
        <f>1/CAD!C2054</f>
        <v>0.77585538055706416</v>
      </c>
      <c r="F2054" s="3">
        <f>EUR!B2054/1</f>
        <v>1.1891</v>
      </c>
      <c r="G2054" s="3">
        <f>EUR!C2054/1</f>
        <v>1.1863999999999999</v>
      </c>
      <c r="H2054" s="3">
        <f>GBP!B2054/1</f>
        <v>1.3508</v>
      </c>
      <c r="I2054" s="3">
        <f>GBP!C2054/1</f>
        <v>1.3455999999999999</v>
      </c>
      <c r="J2054" s="4">
        <f>1/INR!B2054</f>
        <v>1.5511090429657206E-2</v>
      </c>
      <c r="K2054" s="4">
        <f>1/INR!C2054</f>
        <v>1.5454756201220925E-2</v>
      </c>
      <c r="L2054" s="4">
        <f>1/JPY!B2054</f>
        <v>8.9015488695032927E-3</v>
      </c>
      <c r="M2054" s="4">
        <f>1/JPY!C2054</f>
        <v>8.9184983032556987E-3</v>
      </c>
      <c r="N2054" s="5">
        <f>1/KRW!B2054</f>
        <v>9.1903317709769326E-4</v>
      </c>
      <c r="O2054" s="5">
        <f>1/KRW!C2054</f>
        <v>9.1903081216223334E-4</v>
      </c>
      <c r="P2054" s="3">
        <f>1/NOK!B2054</f>
        <v>0.12057635497678905</v>
      </c>
      <c r="Q2054" s="3">
        <f>1/NOK!C2054</f>
        <v>0.1207175450880031</v>
      </c>
      <c r="R2054" s="3">
        <f>NZD!B2054/1</f>
        <v>0.68420000000000003</v>
      </c>
      <c r="S2054" s="3">
        <f>NZD!C2054/1</f>
        <v>0.68389999999999995</v>
      </c>
      <c r="T2054" s="4">
        <f>1/PHP!B2054</f>
        <v>1.9892580067634769E-2</v>
      </c>
      <c r="U2054" s="4">
        <f>1/PHP!C2054</f>
        <v>1.985545230720356E-2</v>
      </c>
      <c r="V2054" s="4">
        <f>1/TWD!B2054</f>
        <v>3.3322225924691765E-2</v>
      </c>
      <c r="W2054" s="4">
        <f>1/TWD!C2054</f>
        <v>3.3322670078908087E-2</v>
      </c>
      <c r="X2054" s="4">
        <f>1/TWD!B2054</f>
        <v>3.3322225924691765E-2</v>
      </c>
      <c r="Y2054" s="4">
        <f>1/TWD!C2054</f>
        <v>3.3322670078908087E-2</v>
      </c>
      <c r="Z2054" s="4">
        <f>1/ZAR!B2054</f>
        <v>7.2982579058378766E-2</v>
      </c>
      <c r="AA2054" s="4">
        <f>1/ZAR!C2054</f>
        <v>7.3091400796696265E-2</v>
      </c>
    </row>
    <row r="2055" spans="1:27" x14ac:dyDescent="0.25">
      <c r="A2055" t="str">
        <f>"04/12/2017"</f>
        <v>04/12/2017</v>
      </c>
      <c r="B2055" s="3">
        <f>AUD!B2055</f>
        <v>0.76</v>
      </c>
      <c r="C2055" s="3">
        <f>AUD!C2055</f>
        <v>0.75990000000000002</v>
      </c>
      <c r="D2055" s="3">
        <f>1/CAD!B2055</f>
        <v>0.78634898167806866</v>
      </c>
      <c r="E2055" s="3">
        <f>1/CAD!C2055</f>
        <v>0.78672016363779407</v>
      </c>
      <c r="F2055" s="3">
        <f>EUR!B2055/1</f>
        <v>1.1870000000000001</v>
      </c>
      <c r="G2055" s="3">
        <f>EUR!C2055/1</f>
        <v>1.1898</v>
      </c>
      <c r="H2055" s="3">
        <f>GBP!B2055/1</f>
        <v>1.3465</v>
      </c>
      <c r="I2055" s="3">
        <f>GBP!C2055/1</f>
        <v>1.3484</v>
      </c>
      <c r="J2055" s="4">
        <f>1/INR!B2055</f>
        <v>1.5524936929943724E-2</v>
      </c>
      <c r="K2055" s="4">
        <f>1/INR!C2055</f>
        <v>1.5464913976416007E-2</v>
      </c>
      <c r="L2055" s="4">
        <f>1/JPY!B2055</f>
        <v>8.8660342228921007E-3</v>
      </c>
      <c r="M2055" s="4">
        <f>1/JPY!C2055</f>
        <v>8.8858163710503653E-3</v>
      </c>
      <c r="N2055" s="5">
        <f>1/KRW!B2055</f>
        <v>9.1827364554637281E-4</v>
      </c>
      <c r="O2055" s="5">
        <f>1/KRW!C2055</f>
        <v>9.1827111587387735E-4</v>
      </c>
      <c r="P2055" s="3">
        <f>1/NOK!B2055</f>
        <v>0.12051532352338598</v>
      </c>
      <c r="Q2055" s="3">
        <f>1/NOK!C2055</f>
        <v>0.12065345913467339</v>
      </c>
      <c r="R2055" s="3">
        <f>NZD!B2055/1</f>
        <v>0.6855</v>
      </c>
      <c r="S2055" s="3">
        <f>NZD!C2055/1</f>
        <v>0.68520000000000003</v>
      </c>
      <c r="T2055" s="4">
        <f>1/PHP!B2055</f>
        <v>1.9780437147660965E-2</v>
      </c>
      <c r="U2055" s="4">
        <f>1/PHP!C2055</f>
        <v>1.9743336623889437E-2</v>
      </c>
      <c r="V2055" s="4">
        <f>1/TWD!B2055</f>
        <v>3.3251313426880362E-2</v>
      </c>
      <c r="W2055" s="4">
        <f>1/TWD!C2055</f>
        <v>3.3251866260993898E-2</v>
      </c>
      <c r="X2055" s="4">
        <f>1/TWD!B2055</f>
        <v>3.3251313426880362E-2</v>
      </c>
      <c r="Y2055" s="4">
        <f>1/TWD!C2055</f>
        <v>3.3251866260993898E-2</v>
      </c>
      <c r="Z2055" s="4">
        <f>1/ZAR!B2055</f>
        <v>7.2561568490864495E-2</v>
      </c>
      <c r="AA2055" s="4">
        <f>1/ZAR!C2055</f>
        <v>7.2173505106275487E-2</v>
      </c>
    </row>
    <row r="2056" spans="1:27" x14ac:dyDescent="0.25">
      <c r="A2056" t="str">
        <f>"05/12/2017"</f>
        <v>05/12/2017</v>
      </c>
      <c r="B2056" s="3">
        <f>AUD!B2056</f>
        <v>0.76459999999999995</v>
      </c>
      <c r="C2056" s="3">
        <f>AUD!C2056</f>
        <v>0.76449999999999996</v>
      </c>
      <c r="D2056" s="3">
        <f>1/CAD!B2056</f>
        <v>0.79145231499802138</v>
      </c>
      <c r="E2056" s="3">
        <f>1/CAD!C2056</f>
        <v>0.79189103579347486</v>
      </c>
      <c r="F2056" s="3">
        <f>EUR!B2056/1</f>
        <v>1.1872</v>
      </c>
      <c r="G2056" s="3">
        <f>EUR!C2056/1</f>
        <v>1.1900999999999999</v>
      </c>
      <c r="H2056" s="3">
        <f>GBP!B2056/1</f>
        <v>1.3412999999999999</v>
      </c>
      <c r="I2056" s="3">
        <f>GBP!C2056/1</f>
        <v>1.3432999999999999</v>
      </c>
      <c r="J2056" s="4">
        <f>1/INR!B2056</f>
        <v>1.5530361857431278E-2</v>
      </c>
      <c r="K2056" s="4">
        <f>1/INR!C2056</f>
        <v>1.5473289234459016E-2</v>
      </c>
      <c r="L2056" s="4">
        <f>1/JPY!B2056</f>
        <v>8.8936321593738876E-3</v>
      </c>
      <c r="M2056" s="4">
        <f>1/JPY!C2056</f>
        <v>8.9126559714795012E-3</v>
      </c>
      <c r="N2056" s="5">
        <f>1/KRW!B2056</f>
        <v>9.2081031307550648E-4</v>
      </c>
      <c r="O2056" s="5">
        <f>1/KRW!C2056</f>
        <v>9.208077694076352E-4</v>
      </c>
      <c r="P2056" s="3">
        <f>1/NOK!B2056</f>
        <v>0.12075107166576105</v>
      </c>
      <c r="Q2056" s="3">
        <f>1/NOK!C2056</f>
        <v>0.12090290287869811</v>
      </c>
      <c r="R2056" s="3">
        <f>NZD!B2056/1</f>
        <v>0.68979999999999997</v>
      </c>
      <c r="S2056" s="3">
        <f>NZD!C2056/1</f>
        <v>0.68940000000000001</v>
      </c>
      <c r="T2056" s="4">
        <f>1/PHP!B2056</f>
        <v>1.9749185346104474E-2</v>
      </c>
      <c r="U2056" s="4">
        <f>1/PHP!C2056</f>
        <v>1.9702492365284208E-2</v>
      </c>
      <c r="V2056" s="4">
        <f>1/TWD!B2056</f>
        <v>3.3340001333600051E-2</v>
      </c>
      <c r="W2056" s="4">
        <f>1/TWD!C2056</f>
        <v>3.3340557120709484E-2</v>
      </c>
      <c r="X2056" s="4">
        <f>1/TWD!B2056</f>
        <v>3.3340001333600051E-2</v>
      </c>
      <c r="Y2056" s="4">
        <f>1/TWD!C2056</f>
        <v>3.3340557120709484E-2</v>
      </c>
      <c r="Z2056" s="4">
        <f>1/ZAR!B2056</f>
        <v>7.4193883456247875E-2</v>
      </c>
      <c r="AA2056" s="4">
        <f>1/ZAR!C2056</f>
        <v>7.3815991496397781E-2</v>
      </c>
    </row>
    <row r="2057" spans="1:27" x14ac:dyDescent="0.25">
      <c r="A2057" t="str">
        <f>"06/12/2017"</f>
        <v>06/12/2017</v>
      </c>
      <c r="B2057" s="3">
        <f>AUD!B2057</f>
        <v>0.75870000000000004</v>
      </c>
      <c r="C2057" s="3">
        <f>AUD!C2057</f>
        <v>0.75860000000000005</v>
      </c>
      <c r="D2057" s="3">
        <f>1/CAD!B2057</f>
        <v>0.78920369347328556</v>
      </c>
      <c r="E2057" s="3">
        <f>1/CAD!C2057</f>
        <v>0.78970228223959571</v>
      </c>
      <c r="F2057" s="3">
        <f>EUR!B2057/1</f>
        <v>1.1816</v>
      </c>
      <c r="G2057" s="3">
        <f>EUR!C2057/1</f>
        <v>1.1846000000000001</v>
      </c>
      <c r="H2057" s="3">
        <f>GBP!B2057/1</f>
        <v>1.3376999999999999</v>
      </c>
      <c r="I2057" s="3">
        <f>GBP!C2057/1</f>
        <v>1.3398000000000001</v>
      </c>
      <c r="J2057" s="4">
        <f>1/INR!B2057</f>
        <v>1.5498469526134295E-2</v>
      </c>
      <c r="K2057" s="4">
        <f>1/INR!C2057</f>
        <v>1.5444015444015444E-2</v>
      </c>
      <c r="L2057" s="4">
        <f>1/JPY!B2057</f>
        <v>8.913450396648542E-3</v>
      </c>
      <c r="M2057" s="4">
        <f>1/JPY!C2057</f>
        <v>8.932678865728438E-3</v>
      </c>
      <c r="N2057" s="5">
        <f>1/KRW!B2057</f>
        <v>9.1449474165523545E-4</v>
      </c>
      <c r="O2057" s="5">
        <f>1/KRW!C2057</f>
        <v>9.1449616336852107E-4</v>
      </c>
      <c r="P2057" s="3">
        <f>1/NOK!B2057</f>
        <v>0.1207175450880031</v>
      </c>
      <c r="Q2057" s="3">
        <f>1/NOK!C2057</f>
        <v>0.12086929194768777</v>
      </c>
      <c r="R2057" s="3">
        <f>NZD!B2057/1</f>
        <v>0.68940000000000001</v>
      </c>
      <c r="S2057" s="3">
        <f>NZD!C2057/1</f>
        <v>0.68910000000000005</v>
      </c>
      <c r="T2057" s="4">
        <f>1/PHP!B2057</f>
        <v>1.9719976336028396E-2</v>
      </c>
      <c r="U2057" s="4">
        <f>1/PHP!C2057</f>
        <v>1.9657951641438964E-2</v>
      </c>
      <c r="V2057" s="4">
        <f>1/TWD!B2057</f>
        <v>3.3322225924691765E-2</v>
      </c>
      <c r="W2057" s="4">
        <f>1/TWD!C2057</f>
        <v>3.3322781119312216E-2</v>
      </c>
      <c r="X2057" s="4">
        <f>1/TWD!B2057</f>
        <v>3.3322225924691765E-2</v>
      </c>
      <c r="Y2057" s="4">
        <f>1/TWD!C2057</f>
        <v>3.3322781119312216E-2</v>
      </c>
      <c r="Z2057" s="4">
        <f>1/ZAR!B2057</f>
        <v>7.370120059255765E-2</v>
      </c>
      <c r="AA2057" s="4">
        <f>1/ZAR!C2057</f>
        <v>7.333797807194456E-2</v>
      </c>
    </row>
    <row r="2058" spans="1:27" x14ac:dyDescent="0.25">
      <c r="A2058" t="str">
        <f>"07/12/2017"</f>
        <v>07/12/2017</v>
      </c>
      <c r="B2058" s="3">
        <f>AUD!B2058</f>
        <v>0.75229999999999997</v>
      </c>
      <c r="C2058" s="3">
        <f>AUD!C2058</f>
        <v>0.75219999999999998</v>
      </c>
      <c r="D2058" s="3">
        <f>1/CAD!B2058</f>
        <v>0.77954474586841294</v>
      </c>
      <c r="E2058" s="3">
        <f>1/CAD!C2058</f>
        <v>0.78003120124804992</v>
      </c>
      <c r="F2058" s="3">
        <f>EUR!B2058/1</f>
        <v>1.1780999999999999</v>
      </c>
      <c r="G2058" s="3">
        <f>EUR!C2058/1</f>
        <v>1.1813</v>
      </c>
      <c r="H2058" s="3">
        <f>GBP!B2058/1</f>
        <v>1.3371999999999999</v>
      </c>
      <c r="I2058" s="3">
        <f>GBP!C2058/1</f>
        <v>1.3393999999999999</v>
      </c>
      <c r="J2058" s="4">
        <f>1/INR!B2058</f>
        <v>1.548586914440573E-2</v>
      </c>
      <c r="K2058" s="4">
        <f>1/INR!C2058</f>
        <v>1.543328960567945E-2</v>
      </c>
      <c r="L2058" s="4">
        <f>1/JPY!B2058</f>
        <v>8.8723272114275588E-3</v>
      </c>
      <c r="M2058" s="4">
        <f>1/JPY!C2058</f>
        <v>8.8927542727461097E-3</v>
      </c>
      <c r="N2058" s="5">
        <f>1/KRW!B2058</f>
        <v>9.1449474165523545E-4</v>
      </c>
      <c r="O2058" s="5">
        <f>1/KRW!C2058</f>
        <v>9.1449323631657487E-4</v>
      </c>
      <c r="P2058" s="3">
        <f>1/NOK!B2058</f>
        <v>0.12069714671945156</v>
      </c>
      <c r="Q2058" s="3">
        <f>1/NOK!C2058</f>
        <v>0.12085760556911845</v>
      </c>
      <c r="R2058" s="3">
        <f>NZD!B2058/1</f>
        <v>0.68310000000000004</v>
      </c>
      <c r="S2058" s="3">
        <f>NZD!C2058/1</f>
        <v>0.68279999999999996</v>
      </c>
      <c r="T2058" s="4">
        <f>1/PHP!B2058</f>
        <v>1.9739439399921045E-2</v>
      </c>
      <c r="U2058" s="4">
        <f>1/PHP!C2058</f>
        <v>1.9686977064671721E-2</v>
      </c>
      <c r="V2058" s="4">
        <f>1/TWD!B2058</f>
        <v>3.3298924444740439E-2</v>
      </c>
      <c r="W2058" s="4">
        <f>1/TWD!C2058</f>
        <v>3.329947886315579E-2</v>
      </c>
      <c r="X2058" s="4">
        <f>1/TWD!B2058</f>
        <v>3.3298924444740439E-2</v>
      </c>
      <c r="Y2058" s="4">
        <f>1/TWD!C2058</f>
        <v>3.329947886315579E-2</v>
      </c>
      <c r="Z2058" s="4">
        <f>1/ZAR!B2058</f>
        <v>7.3611141782420189E-2</v>
      </c>
      <c r="AA2058" s="4">
        <f>1/ZAR!C2058</f>
        <v>7.3259536560171715E-2</v>
      </c>
    </row>
    <row r="2059" spans="1:27" x14ac:dyDescent="0.25">
      <c r="A2059" t="str">
        <f>"08/12/2017"</f>
        <v>08/12/2017</v>
      </c>
      <c r="B2059" s="3">
        <f>AUD!B2059</f>
        <v>0.75080000000000002</v>
      </c>
      <c r="C2059" s="3">
        <f>AUD!C2059</f>
        <v>0.75070000000000003</v>
      </c>
      <c r="D2059" s="3">
        <f>1/CAD!B2059</f>
        <v>0.77814956034549843</v>
      </c>
      <c r="E2059" s="3">
        <f>1/CAD!C2059</f>
        <v>0.778694907335306</v>
      </c>
      <c r="F2059" s="3">
        <f>EUR!B2059/1</f>
        <v>1.1737</v>
      </c>
      <c r="G2059" s="3">
        <f>EUR!C2059/1</f>
        <v>1.1771</v>
      </c>
      <c r="H2059" s="3">
        <f>GBP!B2059/1</f>
        <v>1.3469</v>
      </c>
      <c r="I2059" s="3">
        <f>GBP!C2059/1</f>
        <v>1.3492</v>
      </c>
      <c r="J2059" s="4">
        <f>1/INR!B2059</f>
        <v>1.5512895094046925E-2</v>
      </c>
      <c r="K2059" s="4">
        <f>1/INR!C2059</f>
        <v>1.5461925009663703E-2</v>
      </c>
      <c r="L2059" s="4">
        <f>1/JPY!B2059</f>
        <v>8.8066930867459273E-3</v>
      </c>
      <c r="M2059" s="4">
        <f>1/JPY!C2059</f>
        <v>8.8290241809314274E-3</v>
      </c>
      <c r="N2059" s="5">
        <f>1/KRW!B2059</f>
        <v>9.1441111923921004E-4</v>
      </c>
      <c r="O2059" s="5">
        <f>1/KRW!C2059</f>
        <v>9.1441354407395558E-4</v>
      </c>
      <c r="P2059" s="3">
        <f>1/NOK!B2059</f>
        <v>0.11999184055484227</v>
      </c>
      <c r="Q2059" s="3">
        <f>1/NOK!C2059</f>
        <v>0.12015909063600207</v>
      </c>
      <c r="R2059" s="3">
        <f>NZD!B2059/1</f>
        <v>0.68389999999999995</v>
      </c>
      <c r="S2059" s="3">
        <f>NZD!C2059/1</f>
        <v>0.68359999999999999</v>
      </c>
      <c r="T2059" s="4">
        <f>1/PHP!B2059</f>
        <v>1.9794140934283451E-2</v>
      </c>
      <c r="U2059" s="4">
        <f>1/PHP!C2059</f>
        <v>1.975113569030219E-2</v>
      </c>
      <c r="V2059" s="4">
        <f>1/TWD!B2059</f>
        <v>3.3318895145436976E-2</v>
      </c>
      <c r="W2059" s="4">
        <f>1/TWD!C2059</f>
        <v>3.3319450229071221E-2</v>
      </c>
      <c r="X2059" s="4">
        <f>1/TWD!B2059</f>
        <v>3.3318895145436976E-2</v>
      </c>
      <c r="Y2059" s="4">
        <f>1/TWD!C2059</f>
        <v>3.3319450229071221E-2</v>
      </c>
      <c r="Z2059" s="4">
        <f>1/ZAR!B2059</f>
        <v>7.3321846244088426E-2</v>
      </c>
      <c r="AA2059" s="4">
        <f>1/ZAR!C2059</f>
        <v>7.2980448537836723E-2</v>
      </c>
    </row>
    <row r="2060" spans="1:27" x14ac:dyDescent="0.25">
      <c r="A2060" t="str">
        <f>"11/12/2017"</f>
        <v>11/12/2017</v>
      </c>
      <c r="B2060" s="3">
        <f>AUD!B2060</f>
        <v>0.75229999999999997</v>
      </c>
      <c r="C2060" s="3">
        <f>AUD!C2060</f>
        <v>0.75219999999999998</v>
      </c>
      <c r="D2060" s="3">
        <f>1/CAD!B2060</f>
        <v>0.77784691972619779</v>
      </c>
      <c r="E2060" s="3">
        <f>1/CAD!C2060</f>
        <v>0.77839184245349113</v>
      </c>
      <c r="F2060" s="3">
        <f>EUR!B2060/1</f>
        <v>1.1792</v>
      </c>
      <c r="G2060" s="3">
        <f>EUR!C2060/1</f>
        <v>1.1826000000000001</v>
      </c>
      <c r="H2060" s="3">
        <f>GBP!B2060/1</f>
        <v>1.3389</v>
      </c>
      <c r="I2060" s="3">
        <f>GBP!C2060/1</f>
        <v>1.3411999999999999</v>
      </c>
      <c r="J2060" s="4">
        <f>1/INR!B2060</f>
        <v>1.5533980582524271E-2</v>
      </c>
      <c r="K2060" s="4">
        <f>1/INR!C2060</f>
        <v>1.5479277117758599E-2</v>
      </c>
      <c r="L2060" s="4">
        <f>1/JPY!B2060</f>
        <v>8.819897689186805E-3</v>
      </c>
      <c r="M2060" s="4">
        <f>1/JPY!C2060</f>
        <v>8.8418736991393316E-3</v>
      </c>
      <c r="N2060" s="5">
        <f>1/KRW!B2060</f>
        <v>9.154994049253868E-4</v>
      </c>
      <c r="O2060" s="5">
        <f>1/KRW!C2060</f>
        <v>9.1550183553540517E-4</v>
      </c>
      <c r="P2060" s="3">
        <f>1/NOK!B2060</f>
        <v>0.11918382913806255</v>
      </c>
      <c r="Q2060" s="3">
        <f>1/NOK!C2060</f>
        <v>0.11935310616458793</v>
      </c>
      <c r="R2060" s="3">
        <f>NZD!B2060/1</f>
        <v>0.6915</v>
      </c>
      <c r="S2060" s="3">
        <f>NZD!C2060/1</f>
        <v>0.69120000000000004</v>
      </c>
      <c r="T2060" s="4">
        <f>1/PHP!B2060</f>
        <v>1.9853087155052612E-2</v>
      </c>
      <c r="U2060" s="4">
        <f>1/PHP!C2060</f>
        <v>1.9807863721897592E-2</v>
      </c>
      <c r="V2060" s="4">
        <f>1/TWD!B2060</f>
        <v>3.3302251232183298E-2</v>
      </c>
      <c r="W2060" s="4">
        <f>1/TWD!C2060</f>
        <v>3.3302916669441907E-2</v>
      </c>
      <c r="X2060" s="4">
        <f>1/TWD!B2060</f>
        <v>3.3302251232183298E-2</v>
      </c>
      <c r="Y2060" s="4">
        <f>1/TWD!C2060</f>
        <v>3.3302916669441907E-2</v>
      </c>
      <c r="Z2060" s="4">
        <f>1/ZAR!B2060</f>
        <v>7.3289603869691078E-2</v>
      </c>
      <c r="AA2060" s="4">
        <f>1/ZAR!C2060</f>
        <v>7.2922439693142369E-2</v>
      </c>
    </row>
    <row r="2061" spans="1:27" x14ac:dyDescent="0.25">
      <c r="A2061" t="str">
        <f>"12/12/2017"</f>
        <v>12/12/2017</v>
      </c>
      <c r="B2061" s="3">
        <f>AUD!B2061</f>
        <v>0.75770000000000004</v>
      </c>
      <c r="C2061" s="3">
        <f>AUD!C2061</f>
        <v>0.75760000000000005</v>
      </c>
      <c r="D2061" s="3">
        <f>1/CAD!B2061</f>
        <v>0.78009205086200173</v>
      </c>
      <c r="E2061" s="3">
        <f>1/CAD!C2061</f>
        <v>0.78070106956046537</v>
      </c>
      <c r="F2061" s="3">
        <f>EUR!B2061/1</f>
        <v>1.1772</v>
      </c>
      <c r="G2061" s="3">
        <f>EUR!C2061/1</f>
        <v>1.1807000000000001</v>
      </c>
      <c r="H2061" s="3">
        <f>GBP!B2061/1</f>
        <v>1.3339000000000001</v>
      </c>
      <c r="I2061" s="3">
        <f>GBP!C2061/1</f>
        <v>1.3363</v>
      </c>
      <c r="J2061" s="4">
        <f>1/INR!B2061</f>
        <v>1.5527950310559004E-2</v>
      </c>
      <c r="K2061" s="4">
        <f>1/INR!C2061</f>
        <v>1.5474486440481256E-2</v>
      </c>
      <c r="L2061" s="4">
        <f>1/JPY!B2061</f>
        <v>8.8144557073600704E-3</v>
      </c>
      <c r="M2061" s="4">
        <f>1/JPY!C2061</f>
        <v>8.8362640275691431E-3</v>
      </c>
      <c r="N2061" s="5">
        <f>1/KRW!B2061</f>
        <v>9.1541559868180144E-4</v>
      </c>
      <c r="O2061" s="5">
        <f>1/KRW!C2061</f>
        <v>9.1541409030999389E-4</v>
      </c>
      <c r="P2061" s="3">
        <f>1/NOK!B2061</f>
        <v>0.11998752129778505</v>
      </c>
      <c r="Q2061" s="3">
        <f>1/NOK!C2061</f>
        <v>0.1201691982311094</v>
      </c>
      <c r="R2061" s="3">
        <f>NZD!B2061/1</f>
        <v>0.69489999999999996</v>
      </c>
      <c r="S2061" s="3">
        <f>NZD!C2061/1</f>
        <v>0.6946</v>
      </c>
      <c r="T2061" s="4">
        <f>1/PHP!B2061</f>
        <v>1.9792182088075212E-2</v>
      </c>
      <c r="U2061" s="4">
        <f>1/PHP!C2061</f>
        <v>1.9743336623889437E-2</v>
      </c>
      <c r="V2061" s="4">
        <f>1/TWD!B2061</f>
        <v>3.3311125916055964E-2</v>
      </c>
      <c r="W2061" s="4">
        <f>1/TWD!C2061</f>
        <v>3.331179170802881E-2</v>
      </c>
      <c r="X2061" s="4">
        <f>1/TWD!B2061</f>
        <v>3.3311125916055964E-2</v>
      </c>
      <c r="Y2061" s="4">
        <f>1/TWD!C2061</f>
        <v>3.331179170802881E-2</v>
      </c>
      <c r="Z2061" s="4">
        <f>1/ZAR!B2061</f>
        <v>7.3454337111334742E-2</v>
      </c>
      <c r="AA2061" s="4">
        <f>1/ZAR!C2061</f>
        <v>7.3081251735679725E-2</v>
      </c>
    </row>
    <row r="2062" spans="1:27" x14ac:dyDescent="0.25">
      <c r="A2062" t="str">
        <f>"13/12/2017"</f>
        <v>13/12/2017</v>
      </c>
      <c r="B2062" s="3">
        <f>AUD!B2062</f>
        <v>0.75629999999999997</v>
      </c>
      <c r="C2062" s="3">
        <f>AUD!C2062</f>
        <v>0.75619999999999998</v>
      </c>
      <c r="D2062" s="3">
        <f>1/CAD!B2062</f>
        <v>0.77766544832413098</v>
      </c>
      <c r="E2062" s="3">
        <f>1/CAD!C2062</f>
        <v>0.7782706825433886</v>
      </c>
      <c r="F2062" s="3">
        <f>EUR!B2062/1</f>
        <v>1.1742999999999999</v>
      </c>
      <c r="G2062" s="3">
        <f>EUR!C2062/1</f>
        <v>1.1778999999999999</v>
      </c>
      <c r="H2062" s="3">
        <f>GBP!B2062/1</f>
        <v>1.3355999999999999</v>
      </c>
      <c r="I2062" s="3">
        <f>GBP!C2062/1</f>
        <v>1.3383</v>
      </c>
      <c r="J2062" s="4">
        <f>1/INR!B2062</f>
        <v>1.5517107611141286E-2</v>
      </c>
      <c r="K2062" s="4">
        <f>1/INR!C2062</f>
        <v>1.546551190844417E-2</v>
      </c>
      <c r="L2062" s="4">
        <f>1/JPY!B2062</f>
        <v>8.8237889349686762E-3</v>
      </c>
      <c r="M2062" s="4">
        <f>1/JPY!C2062</f>
        <v>8.8464103920552154E-3</v>
      </c>
      <c r="N2062" s="5">
        <f>1/KRW!B2062</f>
        <v>9.1675834250091678E-4</v>
      </c>
      <c r="O2062" s="5">
        <f>1/KRW!C2062</f>
        <v>9.1676094789048255E-4</v>
      </c>
      <c r="P2062" s="3">
        <f>1/NOK!B2062</f>
        <v>0.1195500137482516</v>
      </c>
      <c r="Q2062" s="3">
        <f>1/NOK!C2062</f>
        <v>0.11973323435385959</v>
      </c>
      <c r="R2062" s="3">
        <f>NZD!B2062/1</f>
        <v>0.69430000000000003</v>
      </c>
      <c r="S2062" s="3">
        <f>NZD!C2062/1</f>
        <v>0.69399999999999995</v>
      </c>
      <c r="T2062" s="4">
        <f>1/PHP!B2062</f>
        <v>1.9805902158843335E-2</v>
      </c>
      <c r="U2062" s="4">
        <f>1/PHP!C2062</f>
        <v>1.9760893192372297E-2</v>
      </c>
      <c r="V2062" s="4">
        <f>1/TWD!B2062</f>
        <v>3.330557868442964E-2</v>
      </c>
      <c r="W2062" s="4">
        <f>1/TWD!C2062</f>
        <v>3.3306244254672865E-2</v>
      </c>
      <c r="X2062" s="4">
        <f>1/TWD!B2062</f>
        <v>3.330557868442964E-2</v>
      </c>
      <c r="Y2062" s="4">
        <f>1/TWD!C2062</f>
        <v>3.3306244254672865E-2</v>
      </c>
      <c r="Z2062" s="4">
        <f>1/ZAR!B2062</f>
        <v>7.325309677466614E-2</v>
      </c>
      <c r="AA2062" s="4">
        <f>1/ZAR!C2062</f>
        <v>7.2883641266717689E-2</v>
      </c>
    </row>
    <row r="2063" spans="1:27" x14ac:dyDescent="0.25">
      <c r="A2063" t="str">
        <f>"14/12/2017"</f>
        <v>14/12/2017</v>
      </c>
      <c r="B2063" s="3">
        <f>AUD!B2063</f>
        <v>0.76639999999999997</v>
      </c>
      <c r="C2063" s="3">
        <f>AUD!C2063</f>
        <v>0.76629999999999998</v>
      </c>
      <c r="D2063" s="3">
        <f>1/CAD!B2063</f>
        <v>0.77948398160417809</v>
      </c>
      <c r="E2063" s="3">
        <f>1/CAD!C2063</f>
        <v>0.78015290997035414</v>
      </c>
      <c r="F2063" s="3">
        <f>EUR!B2063/1</f>
        <v>1.1823999999999999</v>
      </c>
      <c r="G2063" s="3">
        <f>EUR!C2063/1</f>
        <v>1.1860999999999999</v>
      </c>
      <c r="H2063" s="3">
        <f>GBP!B2063/1</f>
        <v>1.3452</v>
      </c>
      <c r="I2063" s="3">
        <f>GBP!C2063/1</f>
        <v>1.3481000000000001</v>
      </c>
      <c r="J2063" s="4">
        <f>1/INR!B2063</f>
        <v>1.5540015540015542E-2</v>
      </c>
      <c r="K2063" s="4">
        <f>1/INR!C2063</f>
        <v>1.5489467162329615E-2</v>
      </c>
      <c r="L2063" s="4">
        <f>1/JPY!B2063</f>
        <v>8.8731144631765749E-3</v>
      </c>
      <c r="M2063" s="4">
        <f>1/JPY!C2063</f>
        <v>8.8956574958368329E-3</v>
      </c>
      <c r="N2063" s="5">
        <f>1/KRW!B2063</f>
        <v>9.1827364554637281E-4</v>
      </c>
      <c r="O2063" s="5">
        <f>1/KRW!C2063</f>
        <v>9.1827625955592698E-4</v>
      </c>
      <c r="P2063" s="3">
        <f>1/NOK!B2063</f>
        <v>0.12115778378181906</v>
      </c>
      <c r="Q2063" s="3">
        <f>1/NOK!C2063</f>
        <v>0.12135775051273649</v>
      </c>
      <c r="R2063" s="3">
        <f>NZD!B2063/1</f>
        <v>0.6996</v>
      </c>
      <c r="S2063" s="3">
        <f>NZD!C2063/1</f>
        <v>0.69930000000000003</v>
      </c>
      <c r="T2063" s="4">
        <f>1/PHP!B2063</f>
        <v>1.9813750743015654E-2</v>
      </c>
      <c r="U2063" s="4">
        <f>1/PHP!C2063</f>
        <v>1.97728104084074E-2</v>
      </c>
      <c r="V2063" s="4">
        <f>1/TWD!B2063</f>
        <v>3.3325557369947009E-2</v>
      </c>
      <c r="W2063" s="4">
        <f>1/TWD!C2063</f>
        <v>3.3326223738935692E-2</v>
      </c>
      <c r="X2063" s="4">
        <f>1/TWD!B2063</f>
        <v>3.3325557369947009E-2</v>
      </c>
      <c r="Y2063" s="4">
        <f>1/TWD!C2063</f>
        <v>3.3326223738935692E-2</v>
      </c>
      <c r="Z2063" s="4">
        <f>1/ZAR!B2063</f>
        <v>7.4369901013661741E-2</v>
      </c>
      <c r="AA2063" s="4">
        <f>1/ZAR!C2063</f>
        <v>7.4014314368398851E-2</v>
      </c>
    </row>
    <row r="2064" spans="1:27" x14ac:dyDescent="0.25">
      <c r="A2064" t="str">
        <f>"15/12/2017"</f>
        <v>15/12/2017</v>
      </c>
      <c r="B2064" s="3">
        <f>AUD!B2064</f>
        <v>0.76770000000000005</v>
      </c>
      <c r="C2064" s="3">
        <f>AUD!C2064</f>
        <v>0.76759999999999995</v>
      </c>
      <c r="D2064" s="3">
        <f>1/CAD!B2064</f>
        <v>0.78326936633508271</v>
      </c>
      <c r="E2064" s="3">
        <f>1/CAD!C2064</f>
        <v>0.78406774345303432</v>
      </c>
      <c r="F2064" s="3">
        <f>EUR!B2064/1</f>
        <v>1.1802999999999999</v>
      </c>
      <c r="G2064" s="3">
        <f>EUR!C2064/1</f>
        <v>1.1846000000000001</v>
      </c>
      <c r="H2064" s="3">
        <f>GBP!B2064/1</f>
        <v>1.3411999999999999</v>
      </c>
      <c r="I2064" s="3">
        <f>GBP!C2064/1</f>
        <v>1.3446</v>
      </c>
      <c r="J2064" s="4">
        <f>1/INR!B2064</f>
        <v>1.56128024980484E-2</v>
      </c>
      <c r="K2064" s="4">
        <f>1/INR!C2064</f>
        <v>1.5560569516844317E-2</v>
      </c>
      <c r="L2064" s="4">
        <f>1/JPY!B2064</f>
        <v>8.9158345221112701E-3</v>
      </c>
      <c r="M2064" s="4">
        <f>1/JPY!C2064</f>
        <v>8.9421363300220599E-3</v>
      </c>
      <c r="N2064" s="5">
        <f>1/KRW!B2064</f>
        <v>9.1797861109836143E-4</v>
      </c>
      <c r="O2064" s="5">
        <f>1/KRW!C2064</f>
        <v>9.1797709426835305E-4</v>
      </c>
      <c r="P2064" s="3">
        <f>1/NOK!B2064</f>
        <v>0.12083423959013026</v>
      </c>
      <c r="Q2064" s="3">
        <f>1/NOK!C2064</f>
        <v>0.12107417003656441</v>
      </c>
      <c r="R2064" s="3">
        <f>NZD!B2064/1</f>
        <v>0.7026</v>
      </c>
      <c r="S2064" s="3">
        <f>NZD!C2064/1</f>
        <v>0.70230000000000004</v>
      </c>
      <c r="T2064" s="4">
        <f>1/PHP!B2064</f>
        <v>1.9817677368212445E-2</v>
      </c>
      <c r="U2064" s="4">
        <f>1/PHP!C2064</f>
        <v>1.9772614928324269E-2</v>
      </c>
      <c r="V2064" s="4">
        <f>1/TWD!B2064</f>
        <v>3.3342224593224862E-2</v>
      </c>
      <c r="W2064" s="4">
        <f>1/TWD!C2064</f>
        <v>3.3342891628933627E-2</v>
      </c>
      <c r="X2064" s="4">
        <f>1/TWD!B2064</f>
        <v>3.3342224593224862E-2</v>
      </c>
      <c r="Y2064" s="4">
        <f>1/TWD!C2064</f>
        <v>3.3342891628933627E-2</v>
      </c>
      <c r="Z2064" s="4">
        <f>1/ZAR!B2064</f>
        <v>7.5098754862644376E-2</v>
      </c>
      <c r="AA2064" s="4">
        <f>1/ZAR!C2064</f>
        <v>7.4733947148152569E-2</v>
      </c>
    </row>
    <row r="2065" spans="1:27" x14ac:dyDescent="0.25">
      <c r="A2065" t="str">
        <f>"18/12/2017"</f>
        <v>18/12/2017</v>
      </c>
      <c r="B2065" s="3">
        <f>AUD!B2065</f>
        <v>0.76600000000000001</v>
      </c>
      <c r="C2065" s="3">
        <f>AUD!C2065</f>
        <v>0.76590000000000003</v>
      </c>
      <c r="D2065" s="3">
        <f>1/CAD!B2065</f>
        <v>0.77681970014759572</v>
      </c>
      <c r="E2065" s="3">
        <f>1/CAD!C2065</f>
        <v>0.77772592938248553</v>
      </c>
      <c r="F2065" s="3">
        <f>EUR!B2065/1</f>
        <v>1.1789000000000001</v>
      </c>
      <c r="G2065" s="3">
        <f>EUR!C2065/1</f>
        <v>1.1833</v>
      </c>
      <c r="H2065" s="3">
        <f>GBP!B2065/1</f>
        <v>1.3354999999999999</v>
      </c>
      <c r="I2065" s="3">
        <f>GBP!C2065/1</f>
        <v>1.339</v>
      </c>
      <c r="J2065" s="4">
        <f>1/INR!B2065</f>
        <v>1.5566625155666253E-2</v>
      </c>
      <c r="K2065" s="4">
        <f>1/INR!C2065</f>
        <v>1.5511691937798115E-2</v>
      </c>
      <c r="L2065" s="4">
        <f>1/JPY!B2065</f>
        <v>8.8794175102113303E-3</v>
      </c>
      <c r="M2065" s="4">
        <f>1/JPY!C2065</f>
        <v>8.9052032211901101E-3</v>
      </c>
      <c r="N2065" s="5">
        <f>1/KRW!B2065</f>
        <v>9.1861106007716335E-4</v>
      </c>
      <c r="O2065" s="5">
        <f>1/KRW!C2065</f>
        <v>9.1860954115637148E-4</v>
      </c>
      <c r="P2065" s="3">
        <f>1/NOK!B2065</f>
        <v>0.11950572432419512</v>
      </c>
      <c r="Q2065" s="3">
        <f>1/NOK!C2065</f>
        <v>0.11973753532257293</v>
      </c>
      <c r="R2065" s="3">
        <f>NZD!B2065/1</f>
        <v>0.7006</v>
      </c>
      <c r="S2065" s="3">
        <f>NZD!C2065/1</f>
        <v>0.70020000000000004</v>
      </c>
      <c r="T2065" s="4">
        <f>1/PHP!B2065</f>
        <v>1.9809040846242226E-2</v>
      </c>
      <c r="U2065" s="4">
        <f>1/PHP!C2065</f>
        <v>1.976597090449083E-2</v>
      </c>
      <c r="V2065" s="4">
        <f>1/TWD!B2065</f>
        <v>3.3324446814182888E-2</v>
      </c>
      <c r="W2065" s="4">
        <f>1/TWD!C2065</f>
        <v>3.3325224195445771E-2</v>
      </c>
      <c r="X2065" s="4">
        <f>1/TWD!B2065</f>
        <v>3.3324446814182888E-2</v>
      </c>
      <c r="Y2065" s="4">
        <f>1/TWD!C2065</f>
        <v>3.3325224195445771E-2</v>
      </c>
      <c r="Z2065" s="4">
        <f>1/ZAR!B2065</f>
        <v>7.7752637758235946E-2</v>
      </c>
      <c r="AA2065" s="4">
        <f>1/ZAR!C2065</f>
        <v>7.7345502359037824E-2</v>
      </c>
    </row>
    <row r="2066" spans="1:27" x14ac:dyDescent="0.25">
      <c r="A2066" t="str">
        <f>"19/12/2017"</f>
        <v>19/12/2017</v>
      </c>
      <c r="B2066" s="3">
        <f>AUD!B2066</f>
        <v>0.76790000000000003</v>
      </c>
      <c r="C2066" s="3">
        <f>AUD!C2066</f>
        <v>0.76790000000000003</v>
      </c>
      <c r="D2066" s="3">
        <f>1/CAD!B2066</f>
        <v>0.77748406157673766</v>
      </c>
      <c r="E2066" s="3">
        <f>1/CAD!C2066</f>
        <v>0.7782706825433886</v>
      </c>
      <c r="F2066" s="3">
        <f>EUR!B2066/1</f>
        <v>1.1813</v>
      </c>
      <c r="G2066" s="3">
        <f>EUR!C2066/1</f>
        <v>1.1851</v>
      </c>
      <c r="H2066" s="3">
        <f>GBP!B2066/1</f>
        <v>1.3376999999999999</v>
      </c>
      <c r="I2066" s="3">
        <f>GBP!C2066/1</f>
        <v>1.3406</v>
      </c>
      <c r="J2066" s="4">
        <f>1/INR!B2066</f>
        <v>1.5615850087839158E-2</v>
      </c>
      <c r="K2066" s="4">
        <f>1/INR!C2066</f>
        <v>1.556299120690997E-2</v>
      </c>
      <c r="L2066" s="4">
        <f>1/JPY!B2066</f>
        <v>8.8802060207796817E-3</v>
      </c>
      <c r="M2066" s="4">
        <f>1/JPY!C2066</f>
        <v>8.9039979841348555E-3</v>
      </c>
      <c r="N2066" s="5">
        <f>1/KRW!B2066</f>
        <v>9.2165898617511521E-4</v>
      </c>
      <c r="O2066" s="5">
        <f>1/KRW!C2066</f>
        <v>9.2165745715813555E-4</v>
      </c>
      <c r="P2066" s="3">
        <f>1/NOK!B2066</f>
        <v>0.11956144860651133</v>
      </c>
      <c r="Q2066" s="3">
        <f>1/NOK!C2066</f>
        <v>0.11976908520372723</v>
      </c>
      <c r="R2066" s="3">
        <f>NZD!B2066/1</f>
        <v>0.70140000000000002</v>
      </c>
      <c r="S2066" s="3">
        <f>NZD!C2066/1</f>
        <v>0.70109999999999995</v>
      </c>
      <c r="T2066" s="4">
        <f>1/PHP!B2066</f>
        <v>1.984126984126984E-2</v>
      </c>
      <c r="U2066" s="4">
        <f>1/PHP!C2066</f>
        <v>1.9793161462714631E-2</v>
      </c>
      <c r="V2066" s="4">
        <f>1/TWD!B2066</f>
        <v>3.334444814938313E-2</v>
      </c>
      <c r="W2066" s="4">
        <f>1/TWD!C2066</f>
        <v>3.334522646410553E-2</v>
      </c>
      <c r="X2066" s="4">
        <f>1/TWD!B2066</f>
        <v>3.334444814938313E-2</v>
      </c>
      <c r="Y2066" s="4">
        <f>1/TWD!C2066</f>
        <v>3.334522646410553E-2</v>
      </c>
      <c r="Z2066" s="4">
        <f>1/ZAR!B2066</f>
        <v>7.8239302731334059E-2</v>
      </c>
      <c r="AA2066" s="4">
        <f>1/ZAR!C2066</f>
        <v>7.7847667683876201E-2</v>
      </c>
    </row>
    <row r="2067" spans="1:27" x14ac:dyDescent="0.25">
      <c r="A2067" t="str">
        <f>"20/12/2017"</f>
        <v>20/12/2017</v>
      </c>
      <c r="B2067" s="3">
        <f>AUD!B2067</f>
        <v>0.76729999999999998</v>
      </c>
      <c r="C2067" s="3">
        <f>AUD!C2067</f>
        <v>0.76729999999999998</v>
      </c>
      <c r="D2067" s="3">
        <f>1/CAD!B2067</f>
        <v>0.77772592938248553</v>
      </c>
      <c r="E2067" s="3">
        <f>1/CAD!C2067</f>
        <v>0.77845243655612639</v>
      </c>
      <c r="F2067" s="3">
        <f>EUR!B2067/1</f>
        <v>1.1845000000000001</v>
      </c>
      <c r="G2067" s="3">
        <f>EUR!C2067/1</f>
        <v>1.1879</v>
      </c>
      <c r="H2067" s="3">
        <f>GBP!B2067/1</f>
        <v>1.3401000000000001</v>
      </c>
      <c r="I2067" s="3">
        <f>GBP!C2067/1</f>
        <v>1.3426</v>
      </c>
      <c r="J2067" s="4">
        <f>1/INR!B2067</f>
        <v>1.5595757953836555E-2</v>
      </c>
      <c r="K2067" s="4">
        <f>1/INR!C2067</f>
        <v>1.5546659411558941E-2</v>
      </c>
      <c r="L2067" s="4">
        <f>1/JPY!B2067</f>
        <v>8.8401697312588401E-3</v>
      </c>
      <c r="M2067" s="4">
        <f>1/JPY!C2067</f>
        <v>8.8625690283345195E-3</v>
      </c>
      <c r="N2067" s="5">
        <f>1/KRW!B2067</f>
        <v>9.2506938020351531E-4</v>
      </c>
      <c r="O2067" s="5">
        <f>1/KRW!C2067</f>
        <v>9.2506895232703399E-4</v>
      </c>
      <c r="P2067" s="3">
        <f>1/NOK!B2067</f>
        <v>0.11988395233414055</v>
      </c>
      <c r="Q2067" s="3">
        <f>1/NOK!C2067</f>
        <v>0.12009271157333461</v>
      </c>
      <c r="R2067" s="3">
        <f>NZD!B2067/1</f>
        <v>0.69789999999999996</v>
      </c>
      <c r="S2067" s="3">
        <f>NZD!C2067/1</f>
        <v>0.6976</v>
      </c>
      <c r="T2067" s="4">
        <f>1/PHP!B2067</f>
        <v>1.9880715705765408E-2</v>
      </c>
      <c r="U2067" s="4">
        <f>1/PHP!C2067</f>
        <v>1.9835366458395318E-2</v>
      </c>
      <c r="V2067" s="4">
        <f>1/TWD!B2067</f>
        <v>3.3333333333333333E-2</v>
      </c>
      <c r="W2067" s="4">
        <f>1/TWD!C2067</f>
        <v>3.3334000013333601E-2</v>
      </c>
      <c r="X2067" s="4">
        <f>1/TWD!B2067</f>
        <v>3.3333333333333333E-2</v>
      </c>
      <c r="Y2067" s="4">
        <f>1/TWD!C2067</f>
        <v>3.3334000013333601E-2</v>
      </c>
      <c r="Z2067" s="4">
        <f>1/ZAR!B2067</f>
        <v>7.8612644057670239E-2</v>
      </c>
      <c r="AA2067" s="4">
        <f>1/ZAR!C2067</f>
        <v>7.8227061869783232E-2</v>
      </c>
    </row>
    <row r="2068" spans="1:27" x14ac:dyDescent="0.25">
      <c r="A2068" t="str">
        <f>"21/12/2017"</f>
        <v>21/12/2017</v>
      </c>
      <c r="B2068" s="3">
        <f>AUD!B2068</f>
        <v>0.76629999999999998</v>
      </c>
      <c r="C2068" s="3">
        <f>AUD!C2068</f>
        <v>0.76629999999999998</v>
      </c>
      <c r="D2068" s="3">
        <f>1/CAD!B2068</f>
        <v>0.77899820830412081</v>
      </c>
      <c r="E2068" s="3">
        <f>1/CAD!C2068</f>
        <v>0.77972709551656927</v>
      </c>
      <c r="F2068" s="3">
        <f>EUR!B2068/1</f>
        <v>1.1871</v>
      </c>
      <c r="G2068" s="3">
        <f>EUR!C2068/1</f>
        <v>1.1910000000000001</v>
      </c>
      <c r="H2068" s="3">
        <f>GBP!B2068/1</f>
        <v>1.337</v>
      </c>
      <c r="I2068" s="3">
        <f>GBP!C2068/1</f>
        <v>1.3398000000000001</v>
      </c>
      <c r="J2068" s="4">
        <f>1/INR!B2068</f>
        <v>1.5608537870215008E-2</v>
      </c>
      <c r="K2068" s="4">
        <f>1/INR!C2068</f>
        <v>1.5555123468792535E-2</v>
      </c>
      <c r="L2068" s="4">
        <f>1/JPY!B2068</f>
        <v>8.8082445168677879E-3</v>
      </c>
      <c r="M2068" s="4">
        <f>1/JPY!C2068</f>
        <v>8.8322759626959981E-3</v>
      </c>
      <c r="N2068" s="5">
        <f>1/KRW!B2068</f>
        <v>9.2353158478019953E-4</v>
      </c>
      <c r="O2068" s="5">
        <f>1/KRW!C2068</f>
        <v>9.2353115832510227E-4</v>
      </c>
      <c r="P2068" s="3">
        <f>1/NOK!B2068</f>
        <v>0.11885377420159976</v>
      </c>
      <c r="Q2068" s="3">
        <f>1/NOK!C2068</f>
        <v>0.11907029910459134</v>
      </c>
      <c r="R2068" s="3">
        <f>NZD!B2068/1</f>
        <v>0.69899999999999995</v>
      </c>
      <c r="S2068" s="3">
        <f>NZD!C2068/1</f>
        <v>0.69869999999999999</v>
      </c>
      <c r="T2068" s="4">
        <f>1/PHP!B2068</f>
        <v>1.9900497512437811E-2</v>
      </c>
      <c r="U2068" s="4">
        <f>1/PHP!C2068</f>
        <v>1.986294567484358E-2</v>
      </c>
      <c r="V2068" s="4">
        <f>1/TWD!B2068</f>
        <v>3.3347784039750562E-2</v>
      </c>
      <c r="W2068" s="4">
        <f>1/TWD!C2068</f>
        <v>3.3348451297921723E-2</v>
      </c>
      <c r="X2068" s="4">
        <f>1/TWD!B2068</f>
        <v>3.3347784039750562E-2</v>
      </c>
      <c r="Y2068" s="4">
        <f>1/TWD!C2068</f>
        <v>3.3348451297921723E-2</v>
      </c>
      <c r="Z2068" s="4">
        <f>1/ZAR!B2068</f>
        <v>7.8725280261997724E-2</v>
      </c>
      <c r="AA2068" s="4">
        <f>1/ZAR!C2068</f>
        <v>7.8321415424619553E-2</v>
      </c>
    </row>
    <row r="2069" spans="1:27" x14ac:dyDescent="0.25">
      <c r="A2069" t="str">
        <f>"22/12/2017"</f>
        <v>22/12/2017</v>
      </c>
      <c r="B2069" s="3">
        <f>AUD!B2069</f>
        <v>0.77190000000000003</v>
      </c>
      <c r="C2069" s="3">
        <f>AUD!C2069</f>
        <v>0.77190000000000003</v>
      </c>
      <c r="D2069" s="3">
        <f>1/CAD!B2069</f>
        <v>0.78696781301644769</v>
      </c>
      <c r="E2069" s="3">
        <f>1/CAD!C2069</f>
        <v>0.78777375137860406</v>
      </c>
      <c r="F2069" s="3">
        <f>EUR!B2069/1</f>
        <v>1.1850000000000001</v>
      </c>
      <c r="G2069" s="3">
        <f>EUR!C2069/1</f>
        <v>1.1892</v>
      </c>
      <c r="H2069" s="3">
        <f>GBP!B2069/1</f>
        <v>1.3369</v>
      </c>
      <c r="I2069" s="3">
        <f>GBP!C2069/1</f>
        <v>1.3401000000000001</v>
      </c>
      <c r="J2069" s="4">
        <f>1/INR!B2069</f>
        <v>1.5614021391209305E-2</v>
      </c>
      <c r="K2069" s="4">
        <f>1/INR!C2069</f>
        <v>1.5561780267662619E-2</v>
      </c>
      <c r="L2069" s="4">
        <f>1/JPY!B2069</f>
        <v>8.8206756637558437E-3</v>
      </c>
      <c r="M2069" s="4">
        <f>1/JPY!C2069</f>
        <v>8.8483672992659395E-3</v>
      </c>
      <c r="N2069" s="5">
        <f>1/KRW!B2069</f>
        <v>9.2609742544915732E-4</v>
      </c>
      <c r="O2069" s="5">
        <f>1/KRW!C2069</f>
        <v>9.2610557325703449E-4</v>
      </c>
      <c r="P2069" s="3">
        <f>1/NOK!B2069</f>
        <v>0.11954143903984317</v>
      </c>
      <c r="Q2069" s="3">
        <f>1/NOK!C2069</f>
        <v>0.11977051968428491</v>
      </c>
      <c r="R2069" s="3">
        <f>NZD!B2069/1</f>
        <v>0.70169999999999999</v>
      </c>
      <c r="S2069" s="3">
        <f>NZD!C2069/1</f>
        <v>0.70130000000000003</v>
      </c>
      <c r="T2069" s="4">
        <f>1/PHP!B2069</f>
        <v>1.9940179461615155E-2</v>
      </c>
      <c r="U2069" s="4">
        <f>1/PHP!C2069</f>
        <v>1.9908421262193908E-2</v>
      </c>
      <c r="V2069" s="4">
        <f>1/TWD!B2069</f>
        <v>3.3368926855312335E-2</v>
      </c>
      <c r="W2069" s="4">
        <f>1/TWD!C2069</f>
        <v>3.3369594959856377E-2</v>
      </c>
      <c r="X2069" s="4">
        <f>1/TWD!B2069</f>
        <v>3.3368926855312335E-2</v>
      </c>
      <c r="Y2069" s="4">
        <f>1/TWD!C2069</f>
        <v>3.3369594959856377E-2</v>
      </c>
      <c r="Z2069" s="4">
        <f>1/ZAR!B2069</f>
        <v>7.8417841627327053E-2</v>
      </c>
      <c r="AA2069" s="4">
        <f>1/ZAR!C2069</f>
        <v>7.8031727700483014E-2</v>
      </c>
    </row>
    <row r="2070" spans="1:27" x14ac:dyDescent="0.25">
      <c r="A2070" t="str">
        <f>"26/12/2017"</f>
        <v>26/12/2017</v>
      </c>
      <c r="B2070" s="3">
        <f>AUD!B2070</f>
        <v>0.77159999999999995</v>
      </c>
      <c r="C2070" s="3">
        <f>AUD!C2070</f>
        <v>0.77159999999999995</v>
      </c>
      <c r="D2070" s="3">
        <f>1/CAD!B2070</f>
        <v>0.78622533218020285</v>
      </c>
      <c r="E2070" s="3">
        <f>1/CAD!C2070</f>
        <v>0.78702974972453965</v>
      </c>
      <c r="F2070" s="3">
        <f>EUR!B2070/1</f>
        <v>1.1854</v>
      </c>
      <c r="G2070" s="3">
        <f>EUR!C2070/1</f>
        <v>1.1894</v>
      </c>
      <c r="H2070" s="3">
        <f>GBP!B2070/1</f>
        <v>1.3358000000000001</v>
      </c>
      <c r="I2070" s="3">
        <f>GBP!C2070/1</f>
        <v>1.3387</v>
      </c>
      <c r="J2070" s="4">
        <f>1/INR!B2070</f>
        <v>1.5604884328794914E-2</v>
      </c>
      <c r="K2070" s="4">
        <f>1/INR!C2070</f>
        <v>1.5555123468792535E-2</v>
      </c>
      <c r="L2070" s="4">
        <f>1/JPY!B2070</f>
        <v>8.8261253309797009E-3</v>
      </c>
      <c r="M2070" s="4">
        <f>1/JPY!C2070</f>
        <v>8.8561173187573453E-3</v>
      </c>
      <c r="N2070" s="5">
        <f>1/KRW!B2070</f>
        <v>9.2910898448388005E-4</v>
      </c>
      <c r="O2070" s="5">
        <f>1/KRW!C2070</f>
        <v>9.2911718536956326E-4</v>
      </c>
      <c r="P2070" s="3">
        <f>1/NOK!B2070</f>
        <v>0.11999328037629893</v>
      </c>
      <c r="Q2070" s="3">
        <f>1/NOK!C2070</f>
        <v>0.12022409771814663</v>
      </c>
      <c r="R2070" s="3">
        <f>NZD!B2070/1</f>
        <v>0.7016</v>
      </c>
      <c r="S2070" s="3">
        <f>NZD!C2070/1</f>
        <v>0.70120000000000005</v>
      </c>
      <c r="T2070" s="4">
        <f>1/PHP!B2070</f>
        <v>1.9940179461615155E-2</v>
      </c>
      <c r="U2070" s="4">
        <f>1/PHP!C2070</f>
        <v>1.9908421262193908E-2</v>
      </c>
      <c r="V2070" s="4">
        <f>1/TWD!B2070</f>
        <v>3.3383408446002336E-2</v>
      </c>
      <c r="W2070" s="4">
        <f>1/TWD!C2070</f>
        <v>3.3384188580604456E-2</v>
      </c>
      <c r="X2070" s="4">
        <f>1/TWD!B2070</f>
        <v>3.3383408446002336E-2</v>
      </c>
      <c r="Y2070" s="4">
        <f>1/TWD!C2070</f>
        <v>3.3384188580604456E-2</v>
      </c>
      <c r="Z2070" s="4">
        <f>1/ZAR!B2070</f>
        <v>7.9394064499738001E-2</v>
      </c>
      <c r="AA2070" s="4">
        <f>1/ZAR!C2070</f>
        <v>7.9003918594362274E-2</v>
      </c>
    </row>
    <row r="2071" spans="1:27" x14ac:dyDescent="0.25">
      <c r="A2071" t="str">
        <f>"27/12/2017"</f>
        <v>27/12/2017</v>
      </c>
      <c r="B2071" s="3">
        <f>AUD!B2071</f>
        <v>0.77690000000000003</v>
      </c>
      <c r="C2071" s="3">
        <f>AUD!C2071</f>
        <v>0.77690000000000003</v>
      </c>
      <c r="D2071" s="3">
        <f>1/CAD!B2071</f>
        <v>0.79076387790605729</v>
      </c>
      <c r="E2071" s="3">
        <f>1/CAD!C2071</f>
        <v>0.79157761418507078</v>
      </c>
      <c r="F2071" s="3">
        <f>EUR!B2071/1</f>
        <v>1.1891</v>
      </c>
      <c r="G2071" s="3">
        <f>EUR!C2071/1</f>
        <v>1.1930000000000001</v>
      </c>
      <c r="H2071" s="3">
        <f>GBP!B2071/1</f>
        <v>1.3418000000000001</v>
      </c>
      <c r="I2071" s="3">
        <f>GBP!C2071/1</f>
        <v>1.3447</v>
      </c>
      <c r="J2071" s="4">
        <f>1/INR!B2071</f>
        <v>1.5586642247593813E-2</v>
      </c>
      <c r="K2071" s="4">
        <f>1/INR!C2071</f>
        <v>1.5535790577543012E-2</v>
      </c>
      <c r="L2071" s="4">
        <f>1/JPY!B2071</f>
        <v>8.8315817362889688E-3</v>
      </c>
      <c r="M2071" s="4">
        <f>1/JPY!C2071</f>
        <v>8.8617443812109755E-3</v>
      </c>
      <c r="N2071" s="5">
        <f>1/KRW!B2071</f>
        <v>9.3083868565577588E-4</v>
      </c>
      <c r="O2071" s="5">
        <f>1/KRW!C2071</f>
        <v>9.3084691710482398E-4</v>
      </c>
      <c r="P2071" s="3">
        <f>1/NOK!B2071</f>
        <v>0.12065782646991396</v>
      </c>
      <c r="Q2071" s="3">
        <f>1/NOK!C2071</f>
        <v>0.12090875016624954</v>
      </c>
      <c r="R2071" s="3">
        <f>NZD!B2071/1</f>
        <v>0.70720000000000005</v>
      </c>
      <c r="S2071" s="3">
        <f>NZD!C2071/1</f>
        <v>0.70679999999999998</v>
      </c>
      <c r="T2071" s="4">
        <f>1/PHP!B2071</f>
        <v>1.998001998001998E-2</v>
      </c>
      <c r="U2071" s="4">
        <f>1/PHP!C2071</f>
        <v>1.9956096587507483E-2</v>
      </c>
      <c r="V2071" s="4">
        <f>1/TWD!B2071</f>
        <v>3.3399018068868774E-2</v>
      </c>
      <c r="W2071" s="4">
        <f>1/TWD!C2071</f>
        <v>3.339979893321042E-2</v>
      </c>
      <c r="X2071" s="4">
        <f>1/TWD!B2071</f>
        <v>3.3399018068868774E-2</v>
      </c>
      <c r="Y2071" s="4">
        <f>1/TWD!C2071</f>
        <v>3.339979893321042E-2</v>
      </c>
      <c r="Z2071" s="4">
        <f>1/ZAR!B2071</f>
        <v>8.073501154510665E-2</v>
      </c>
      <c r="AA2071" s="4">
        <f>1/ZAR!C2071</f>
        <v>8.0322575463059653E-2</v>
      </c>
    </row>
    <row r="2072" spans="1:27" x14ac:dyDescent="0.25">
      <c r="A2072" t="str">
        <f>"28/12/2017"</f>
        <v>28/12/2017</v>
      </c>
      <c r="B2072" s="3">
        <f>AUD!B2072</f>
        <v>0.77839999999999998</v>
      </c>
      <c r="C2072" s="3">
        <f>AUD!C2072</f>
        <v>0.77839999999999998</v>
      </c>
      <c r="D2072" s="3">
        <f>1/CAD!B2072</f>
        <v>0.79270709472849776</v>
      </c>
      <c r="E2072" s="3">
        <f>1/CAD!C2072</f>
        <v>0.79321012136114866</v>
      </c>
      <c r="F2072" s="3">
        <f>EUR!B2072/1</f>
        <v>1.1932</v>
      </c>
      <c r="G2072" s="3">
        <f>EUR!C2072/1</f>
        <v>1.1953</v>
      </c>
      <c r="H2072" s="3">
        <f>GBP!B2072/1</f>
        <v>1.3436999999999999</v>
      </c>
      <c r="I2072" s="3">
        <f>GBP!C2072/1</f>
        <v>1.345</v>
      </c>
      <c r="J2072" s="4">
        <f>1/INR!B2072</f>
        <v>1.5604275571506595E-2</v>
      </c>
      <c r="K2072" s="4">
        <f>1/INR!C2072</f>
        <v>1.5546659411558941E-2</v>
      </c>
      <c r="L2072" s="4">
        <f>1/JPY!B2072</f>
        <v>8.8613203367301739E-3</v>
      </c>
      <c r="M2072" s="4">
        <f>1/JPY!C2072</f>
        <v>8.8749808078540035E-3</v>
      </c>
      <c r="N2072" s="5">
        <f>1/KRW!B2072</f>
        <v>9.3388121031004858E-4</v>
      </c>
      <c r="O2072" s="5">
        <f>1/KRW!C2072</f>
        <v>9.3388949565764723E-4</v>
      </c>
      <c r="P2072" s="3">
        <f>1/NOK!B2072</f>
        <v>0.12093653250773993</v>
      </c>
      <c r="Q2072" s="3">
        <f>1/NOK!C2072</f>
        <v>0.12104485922482872</v>
      </c>
      <c r="R2072" s="3">
        <f>NZD!B2072/1</f>
        <v>0.70820000000000005</v>
      </c>
      <c r="S2072" s="3">
        <f>NZD!C2072/1</f>
        <v>0.70789999999999997</v>
      </c>
      <c r="T2072" s="4">
        <f>1/PHP!B2072</f>
        <v>1.998800719568259E-2</v>
      </c>
      <c r="U2072" s="4">
        <f>1/PHP!C2072</f>
        <v>1.9966057701906757E-2</v>
      </c>
      <c r="V2072" s="4">
        <f>1/TWD!B2072</f>
        <v>3.351206434316354E-2</v>
      </c>
      <c r="W2072" s="4">
        <f>1/TWD!C2072</f>
        <v>3.351262588180097E-2</v>
      </c>
      <c r="X2072" s="4">
        <f>1/TWD!B2072</f>
        <v>3.351206434316354E-2</v>
      </c>
      <c r="Y2072" s="4">
        <f>1/TWD!C2072</f>
        <v>3.351262588180097E-2</v>
      </c>
      <c r="Z2072" s="4">
        <f>1/ZAR!B2072</f>
        <v>8.1181351020043674E-2</v>
      </c>
      <c r="AA2072" s="4">
        <f>1/ZAR!C2072</f>
        <v>8.0795675815430359E-2</v>
      </c>
    </row>
    <row r="2073" spans="1:27" x14ac:dyDescent="0.25">
      <c r="A2073" t="str">
        <f>"29/12/2017"</f>
        <v>29/12/2017</v>
      </c>
      <c r="B2073" s="3">
        <f>AUD!B2073</f>
        <v>0.77890000000000004</v>
      </c>
      <c r="C2073" s="3">
        <f>AUD!C2073</f>
        <v>0.78190000000000004</v>
      </c>
      <c r="D2073" s="3">
        <f>1/CAD!B2073</f>
        <v>0.79782990266475184</v>
      </c>
      <c r="E2073" s="3">
        <f>1/CAD!C2073</f>
        <v>0.79814829595338821</v>
      </c>
      <c r="F2073" s="3">
        <f>EUR!B2073/1</f>
        <v>1.1989000000000001</v>
      </c>
      <c r="G2073" s="3">
        <f>EUR!C2073/1</f>
        <v>1.2002999999999999</v>
      </c>
      <c r="H2073" s="3">
        <f>GBP!B2073/1</f>
        <v>1.3473999999999999</v>
      </c>
      <c r="I2073" s="3">
        <f>GBP!C2073/1</f>
        <v>1.3522000000000001</v>
      </c>
      <c r="J2073" s="4">
        <f>1/INR!B2073</f>
        <v>1.5654351909830933E-2</v>
      </c>
      <c r="K2073" s="4">
        <f>1/INR!C2073</f>
        <v>1.5592718200600321E-2</v>
      </c>
      <c r="L2073" s="4">
        <f>1/JPY!B2073</f>
        <v>8.8880988356590529E-3</v>
      </c>
      <c r="M2073" s="4">
        <f>1/JPY!C2073</f>
        <v>8.9010259322489516E-3</v>
      </c>
      <c r="N2073" s="5">
        <f>1/KRW!B2073</f>
        <v>9.3388121031004858E-4</v>
      </c>
      <c r="O2073" s="5">
        <f>1/KRW!C2073</f>
        <v>9.3388949565764723E-4</v>
      </c>
      <c r="P2073" s="3">
        <f>1/NOK!B2073</f>
        <v>0.12203604944900723</v>
      </c>
      <c r="Q2073" s="3">
        <f>1/NOK!C2073</f>
        <v>0.12214933978281847</v>
      </c>
      <c r="R2073" s="3">
        <f>NZD!B2073/1</f>
        <v>0.71189999999999998</v>
      </c>
      <c r="S2073" s="3">
        <f>NZD!C2073/1</f>
        <v>0.71160000000000001</v>
      </c>
      <c r="T2073" s="4">
        <f>1/PHP!B2073</f>
        <v>2.0028039254956938E-2</v>
      </c>
      <c r="U2073" s="4">
        <f>1/PHP!C2073</f>
        <v>1.9996000799840034E-2</v>
      </c>
      <c r="V2073" s="4">
        <f>1/TWD!B2073</f>
        <v>3.3501959864652084E-2</v>
      </c>
      <c r="W2073" s="4">
        <f>1/TWD!C2073</f>
        <v>3.350252106471012E-2</v>
      </c>
      <c r="X2073" s="4">
        <f>1/TWD!B2073</f>
        <v>3.3501959864652084E-2</v>
      </c>
      <c r="Y2073" s="4">
        <f>1/TWD!C2073</f>
        <v>3.350252106471012E-2</v>
      </c>
      <c r="Z2073" s="4">
        <f>1/ZAR!B2073</f>
        <v>7.9491887852844612E-2</v>
      </c>
      <c r="AA2073" s="4">
        <f>1/ZAR!C2073</f>
        <v>8.0800245632746723E-2</v>
      </c>
    </row>
    <row r="2074" spans="1:27" x14ac:dyDescent="0.25">
      <c r="A2074" t="str">
        <f>"02/01/2018"</f>
        <v>02/01/2018</v>
      </c>
      <c r="B2074" s="3">
        <f>AUD!B2074</f>
        <v>0.78300000000000003</v>
      </c>
      <c r="C2074" s="3">
        <f>AUD!C2074</f>
        <v>0.78290000000000004</v>
      </c>
      <c r="D2074" s="3">
        <f>1/CAD!B2074</f>
        <v>0.79706679419735382</v>
      </c>
      <c r="E2074" s="3">
        <f>1/CAD!C2074</f>
        <v>0.79744816586921852</v>
      </c>
      <c r="F2074" s="3">
        <f>EUR!B2074/1</f>
        <v>1.2065999999999999</v>
      </c>
      <c r="G2074" s="3">
        <f>EUR!C2074/1</f>
        <v>1.2087000000000001</v>
      </c>
      <c r="H2074" s="3">
        <f>GBP!B2074/1</f>
        <v>1.3543000000000001</v>
      </c>
      <c r="I2074" s="3">
        <f>GBP!C2074/1</f>
        <v>1.3555999999999999</v>
      </c>
      <c r="J2074" s="4">
        <f>1/INR!B2074</f>
        <v>1.5751132112620594E-2</v>
      </c>
      <c r="K2074" s="4">
        <f>1/INR!C2074</f>
        <v>1.5690581728317578E-2</v>
      </c>
      <c r="L2074" s="4">
        <f>1/JPY!B2074</f>
        <v>8.9126559714795012E-3</v>
      </c>
      <c r="M2074" s="4">
        <f>1/JPY!C2074</f>
        <v>8.9252324353656983E-3</v>
      </c>
      <c r="N2074" s="5">
        <f>1/KRW!B2074</f>
        <v>9.4224064826156607E-4</v>
      </c>
      <c r="O2074" s="5">
        <f>1/KRW!C2074</f>
        <v>9.4224908260273686E-4</v>
      </c>
      <c r="P2074" s="3">
        <f>1/NOK!B2074</f>
        <v>0.12330608268905906</v>
      </c>
      <c r="Q2074" s="3">
        <f>1/NOK!C2074</f>
        <v>0.12341717473403598</v>
      </c>
      <c r="R2074" s="3">
        <f>NZD!B2074/1</f>
        <v>0.71140000000000003</v>
      </c>
      <c r="S2074" s="3">
        <f>NZD!C2074/1</f>
        <v>0.71109999999999995</v>
      </c>
      <c r="T2074" s="4">
        <f>1/PHP!B2074</f>
        <v>2.0028039254956938E-2</v>
      </c>
      <c r="U2074" s="4">
        <f>1/PHP!C2074</f>
        <v>1.9996000799840034E-2</v>
      </c>
      <c r="V2074" s="4">
        <f>1/TWD!B2074</f>
        <v>3.3749578130273371E-2</v>
      </c>
      <c r="W2074" s="4">
        <f>1/TWD!C2074</f>
        <v>3.3750033750033749E-2</v>
      </c>
      <c r="X2074" s="4">
        <f>1/TWD!B2074</f>
        <v>3.3749578130273371E-2</v>
      </c>
      <c r="Y2074" s="4">
        <f>1/TWD!C2074</f>
        <v>3.3750033750033749E-2</v>
      </c>
      <c r="Z2074" s="4">
        <f>1/ZAR!B2074</f>
        <v>8.090811265645606E-2</v>
      </c>
      <c r="AA2074" s="4">
        <f>1/ZAR!C2074</f>
        <v>8.0509463887479982E-2</v>
      </c>
    </row>
    <row r="2075" spans="1:27" x14ac:dyDescent="0.25">
      <c r="A2075" t="str">
        <f>"03/01/2018"</f>
        <v>03/01/2018</v>
      </c>
      <c r="B2075" s="3">
        <f>AUD!B2075</f>
        <v>0.78339999999999999</v>
      </c>
      <c r="C2075" s="3">
        <f>AUD!C2075</f>
        <v>0.7833</v>
      </c>
      <c r="D2075" s="3">
        <f>1/CAD!B2075</f>
        <v>0.79878584551481746</v>
      </c>
      <c r="E2075" s="3">
        <f>1/CAD!C2075</f>
        <v>0.79916886438104362</v>
      </c>
      <c r="F2075" s="3">
        <f>EUR!B2075/1</f>
        <v>1.2015</v>
      </c>
      <c r="G2075" s="3">
        <f>EUR!C2075/1</f>
        <v>1.2036</v>
      </c>
      <c r="H2075" s="3">
        <f>GBP!B2075/1</f>
        <v>1.3566</v>
      </c>
      <c r="I2075" s="3">
        <f>GBP!C2075/1</f>
        <v>1.3579000000000001</v>
      </c>
      <c r="J2075" s="4">
        <f>1/INR!B2075</f>
        <v>1.5738117721120555E-2</v>
      </c>
      <c r="K2075" s="4">
        <f>1/INR!C2075</f>
        <v>1.5680740130934179E-2</v>
      </c>
      <c r="L2075" s="4">
        <f>1/JPY!B2075</f>
        <v>8.9094796863863155E-3</v>
      </c>
      <c r="M2075" s="4">
        <f>1/JPY!C2075</f>
        <v>8.9223496829443031E-3</v>
      </c>
      <c r="N2075" s="5">
        <f>1/KRW!B2075</f>
        <v>9.39319932368965E-4</v>
      </c>
      <c r="O2075" s="5">
        <f>1/KRW!C2075</f>
        <v>9.3932831450214895E-4</v>
      </c>
      <c r="P2075" s="3">
        <f>1/NOK!B2075</f>
        <v>0.12329088017359355</v>
      </c>
      <c r="Q2075" s="3">
        <f>1/NOK!C2075</f>
        <v>0.12340194481465028</v>
      </c>
      <c r="R2075" s="3">
        <f>NZD!B2075/1</f>
        <v>0.71050000000000002</v>
      </c>
      <c r="S2075" s="3">
        <f>NZD!C2075/1</f>
        <v>0.71020000000000005</v>
      </c>
      <c r="T2075" s="4">
        <f>1/PHP!B2075</f>
        <v>2.0072260136491368E-2</v>
      </c>
      <c r="U2075" s="4">
        <f>1/PHP!C2075</f>
        <v>2.0039076198587243E-2</v>
      </c>
      <c r="V2075" s="4">
        <f>1/TWD!B2075</f>
        <v>3.3783783783783779E-2</v>
      </c>
      <c r="W2075" s="4">
        <f>1/TWD!C2075</f>
        <v>3.3784240327571997E-2</v>
      </c>
      <c r="X2075" s="4">
        <f>1/TWD!B2075</f>
        <v>3.3783783783783779E-2</v>
      </c>
      <c r="Y2075" s="4">
        <f>1/TWD!C2075</f>
        <v>3.3784240327571997E-2</v>
      </c>
      <c r="Z2075" s="4">
        <f>1/ZAR!B2075</f>
        <v>8.092906567393679E-2</v>
      </c>
      <c r="AA2075" s="4">
        <f>1/ZAR!C2075</f>
        <v>8.0541237113402053E-2</v>
      </c>
    </row>
    <row r="2076" spans="1:27" x14ac:dyDescent="0.25">
      <c r="A2076" t="str">
        <f>"04/01/2018"</f>
        <v>04/01/2018</v>
      </c>
      <c r="B2076" s="3">
        <f>AUD!B2076</f>
        <v>0.78420000000000001</v>
      </c>
      <c r="C2076" s="3">
        <f>AUD!C2076</f>
        <v>0.78410000000000002</v>
      </c>
      <c r="D2076" s="3">
        <f>1/CAD!B2076</f>
        <v>0.79872204472843455</v>
      </c>
      <c r="E2076" s="3">
        <f>1/CAD!C2076</f>
        <v>0.79910500239731497</v>
      </c>
      <c r="F2076" s="3">
        <f>EUR!B2076/1</f>
        <v>1.2051000000000001</v>
      </c>
      <c r="G2076" s="3">
        <f>EUR!C2076/1</f>
        <v>1.2072000000000001</v>
      </c>
      <c r="H2076" s="3">
        <f>GBP!B2076/1</f>
        <v>1.3547</v>
      </c>
      <c r="I2076" s="3">
        <f>GBP!C2076/1</f>
        <v>1.3560000000000001</v>
      </c>
      <c r="J2076" s="4">
        <f>1/INR!B2076</f>
        <v>1.5769139793424269E-2</v>
      </c>
      <c r="K2076" s="4">
        <f>1/INR!C2076</f>
        <v>1.5710919088766692E-2</v>
      </c>
      <c r="L2076" s="4">
        <f>1/JPY!B2076</f>
        <v>8.8802060207796817E-3</v>
      </c>
      <c r="M2076" s="4">
        <f>1/JPY!C2076</f>
        <v>8.8934027848801486E-3</v>
      </c>
      <c r="N2076" s="5">
        <f>1/KRW!B2076</f>
        <v>9.4135366657253135E-4</v>
      </c>
      <c r="O2076" s="5">
        <f>1/KRW!C2076</f>
        <v>9.4135783148056851E-4</v>
      </c>
      <c r="P2076" s="3">
        <f>1/NOK!B2076</f>
        <v>0.12345526598437057</v>
      </c>
      <c r="Q2076" s="3">
        <f>1/NOK!C2076</f>
        <v>0.12357273491176907</v>
      </c>
      <c r="R2076" s="3">
        <f>NZD!B2076/1</f>
        <v>0.71240000000000003</v>
      </c>
      <c r="S2076" s="3">
        <f>NZD!C2076/1</f>
        <v>0.71209999999999996</v>
      </c>
      <c r="T2076" s="4">
        <f>1/PHP!B2076</f>
        <v>2.0072260136491368E-2</v>
      </c>
      <c r="U2076" s="4">
        <f>1/PHP!C2076</f>
        <v>2.0043092649195772E-2</v>
      </c>
      <c r="V2076" s="4">
        <f>1/TWD!B2076</f>
        <v>3.3795201081446437E-2</v>
      </c>
      <c r="W2076" s="4">
        <f>1/TWD!C2076</f>
        <v>3.3795657933868656E-2</v>
      </c>
      <c r="X2076" s="4">
        <f>1/TWD!B2076</f>
        <v>3.3795201081446437E-2</v>
      </c>
      <c r="Y2076" s="4">
        <f>1/TWD!C2076</f>
        <v>3.3795657933868656E-2</v>
      </c>
      <c r="Z2076" s="4">
        <f>1/ZAR!B2076</f>
        <v>8.1265135631511359E-2</v>
      </c>
      <c r="AA2076" s="4">
        <f>1/ZAR!C2076</f>
        <v>8.0878011694960492E-2</v>
      </c>
    </row>
    <row r="2077" spans="1:27" x14ac:dyDescent="0.25">
      <c r="A2077" t="str">
        <f>"05/01/2018"</f>
        <v>05/01/2018</v>
      </c>
      <c r="B2077" s="3">
        <f>AUD!B2077</f>
        <v>0.7843</v>
      </c>
      <c r="C2077" s="3">
        <f>AUD!C2077</f>
        <v>0.78420000000000001</v>
      </c>
      <c r="D2077" s="3">
        <f>1/CAD!B2077</f>
        <v>0.79936051159072752</v>
      </c>
      <c r="E2077" s="3">
        <f>1/CAD!C2077</f>
        <v>0.79968012794882048</v>
      </c>
      <c r="F2077" s="3">
        <f>EUR!B2077/1</f>
        <v>1.2052</v>
      </c>
      <c r="G2077" s="3">
        <f>EUR!C2077/1</f>
        <v>1.2073</v>
      </c>
      <c r="H2077" s="3">
        <f>GBP!B2077/1</f>
        <v>1.3542000000000001</v>
      </c>
      <c r="I2077" s="3">
        <f>GBP!C2077/1</f>
        <v>1.3554999999999999</v>
      </c>
      <c r="J2077" s="4">
        <f>1/INR!B2077</f>
        <v>1.5779092702169626E-2</v>
      </c>
      <c r="K2077" s="4">
        <f>1/INR!C2077</f>
        <v>1.5720798616569723E-2</v>
      </c>
      <c r="L2077" s="4">
        <f>1/JPY!B2077</f>
        <v>8.8292424509977038E-3</v>
      </c>
      <c r="M2077" s="4">
        <f>1/JPY!C2077</f>
        <v>8.8437425657289064E-3</v>
      </c>
      <c r="N2077" s="5">
        <f>1/KRW!B2077</f>
        <v>9.4082227867155882E-4</v>
      </c>
      <c r="O2077" s="5">
        <f>1/KRW!C2077</f>
        <v>9.4082581927112344E-4</v>
      </c>
      <c r="P2077" s="3">
        <f>1/NOK!B2077</f>
        <v>0.12379455056388418</v>
      </c>
      <c r="Q2077" s="3">
        <f>1/NOK!C2077</f>
        <v>0.1239095955590801</v>
      </c>
      <c r="R2077" s="3">
        <f>NZD!B2077/1</f>
        <v>0.71530000000000005</v>
      </c>
      <c r="S2077" s="3">
        <f>NZD!C2077/1</f>
        <v>0.71499999999999997</v>
      </c>
      <c r="T2077" s="4">
        <f>1/PHP!B2077</f>
        <v>2.0052135552436335E-2</v>
      </c>
      <c r="U2077" s="4">
        <f>1/PHP!C2077</f>
        <v>2.0026033843997197E-2</v>
      </c>
      <c r="V2077" s="4">
        <f>1/TWD!B2077</f>
        <v>3.3836367327603707E-2</v>
      </c>
      <c r="W2077" s="4">
        <f>1/TWD!C2077</f>
        <v>3.3836710801016454E-2</v>
      </c>
      <c r="X2077" s="4">
        <f>1/TWD!B2077</f>
        <v>3.3836367327603707E-2</v>
      </c>
      <c r="Y2077" s="4">
        <f>1/TWD!C2077</f>
        <v>3.3836710801016454E-2</v>
      </c>
      <c r="Z2077" s="4">
        <f>1/ZAR!B2077</f>
        <v>8.0844011479849626E-2</v>
      </c>
      <c r="AA2077" s="4">
        <f>1/ZAR!C2077</f>
        <v>8.0462174731658648E-2</v>
      </c>
    </row>
    <row r="2078" spans="1:27" x14ac:dyDescent="0.25">
      <c r="A2078" t="str">
        <f>"08/01/2018"</f>
        <v>08/01/2018</v>
      </c>
      <c r="B2078" s="3">
        <f>AUD!B2078</f>
        <v>0.78410000000000002</v>
      </c>
      <c r="C2078" s="3">
        <f>AUD!C2078</f>
        <v>0.78390000000000004</v>
      </c>
      <c r="D2078" s="3">
        <f>1/CAD!B2078</f>
        <v>0.80658170672689145</v>
      </c>
      <c r="E2078" s="3">
        <f>1/CAD!C2078</f>
        <v>0.80684202033241892</v>
      </c>
      <c r="F2078" s="3">
        <f>EUR!B2078/1</f>
        <v>1.1991000000000001</v>
      </c>
      <c r="G2078" s="3">
        <f>EUR!C2078/1</f>
        <v>1.2014</v>
      </c>
      <c r="H2078" s="3">
        <f>GBP!B2078/1</f>
        <v>1.3542000000000001</v>
      </c>
      <c r="I2078" s="3">
        <f>GBP!C2078/1</f>
        <v>1.3555999999999999</v>
      </c>
      <c r="J2078" s="4">
        <f>1/INR!B2078</f>
        <v>1.5745551881593451E-2</v>
      </c>
      <c r="K2078" s="4">
        <f>1/INR!C2078</f>
        <v>1.5684429282829471E-2</v>
      </c>
      <c r="L2078" s="4">
        <f>1/JPY!B2078</f>
        <v>8.8378258948298722E-3</v>
      </c>
      <c r="M2078" s="4">
        <f>1/JPY!C2078</f>
        <v>8.852111317070234E-3</v>
      </c>
      <c r="N2078" s="5">
        <f>1/KRW!B2078</f>
        <v>9.3791033577190022E-4</v>
      </c>
      <c r="O2078" s="5">
        <f>1/KRW!C2078</f>
        <v>9.3790593741353682E-4</v>
      </c>
      <c r="P2078" s="3">
        <f>1/NOK!B2078</f>
        <v>0.12400332328906416</v>
      </c>
      <c r="Q2078" s="3">
        <f>1/NOK!C2078</f>
        <v>0.12411875682653162</v>
      </c>
      <c r="R2078" s="3">
        <f>NZD!B2078/1</f>
        <v>0.71809999999999996</v>
      </c>
      <c r="S2078" s="3">
        <f>NZD!C2078/1</f>
        <v>0.71779999999999999</v>
      </c>
      <c r="T2078" s="4">
        <f>1/PHP!B2078</f>
        <v>1.9940179461615155E-2</v>
      </c>
      <c r="U2078" s="4">
        <f>1/PHP!C2078</f>
        <v>1.9915161412383246E-2</v>
      </c>
      <c r="V2078" s="4">
        <f>1/TWD!B2078</f>
        <v>3.3871896487484336E-2</v>
      </c>
      <c r="W2078" s="4">
        <f>1/TWD!C2078</f>
        <v>3.3872355415850909E-2</v>
      </c>
      <c r="X2078" s="4">
        <f>1/TWD!B2078</f>
        <v>3.3871896487484336E-2</v>
      </c>
      <c r="Y2078" s="4">
        <f>1/TWD!C2078</f>
        <v>3.3872355415850909E-2</v>
      </c>
      <c r="Z2078" s="4">
        <f>1/ZAR!B2078</f>
        <v>8.0378744644766131E-2</v>
      </c>
      <c r="AA2078" s="4">
        <f>1/ZAR!C2078</f>
        <v>7.9974408189379398E-2</v>
      </c>
    </row>
    <row r="2079" spans="1:27" x14ac:dyDescent="0.25">
      <c r="A2079" t="str">
        <f>"09/01/2018"</f>
        <v>09/01/2018</v>
      </c>
      <c r="B2079" s="3">
        <f>AUD!B2079</f>
        <v>0.78259999999999996</v>
      </c>
      <c r="C2079" s="3">
        <f>AUD!C2079</f>
        <v>0.78239999999999998</v>
      </c>
      <c r="D2079" s="3">
        <f>1/CAD!B2079</f>
        <v>0.8044405116241653</v>
      </c>
      <c r="E2079" s="3">
        <f>1/CAD!C2079</f>
        <v>0.8046994447573832</v>
      </c>
      <c r="F2079" s="3">
        <f>EUR!B2079/1</f>
        <v>1.1924999999999999</v>
      </c>
      <c r="G2079" s="3">
        <f>EUR!C2079/1</f>
        <v>1.1947000000000001</v>
      </c>
      <c r="H2079" s="3">
        <f>GBP!B2079/1</f>
        <v>1.3534999999999999</v>
      </c>
      <c r="I2079" s="3">
        <f>GBP!C2079/1</f>
        <v>1.3549</v>
      </c>
      <c r="J2079" s="4">
        <f>1/INR!B2079</f>
        <v>1.5694275513006631E-2</v>
      </c>
      <c r="K2079" s="4">
        <f>1/INR!C2079</f>
        <v>1.5633549597436097E-2</v>
      </c>
      <c r="L2079" s="4">
        <f>1/JPY!B2079</f>
        <v>8.869966294128083E-3</v>
      </c>
      <c r="M2079" s="4">
        <f>1/JPY!C2079</f>
        <v>8.8839138971065091E-3</v>
      </c>
      <c r="N2079" s="5">
        <f>1/KRW!B2079</f>
        <v>9.3703148425787106E-4</v>
      </c>
      <c r="O2079" s="5">
        <f>1/KRW!C2079</f>
        <v>9.370345573659584E-4</v>
      </c>
      <c r="P2079" s="3">
        <f>1/NOK!B2079</f>
        <v>0.12337758476040073</v>
      </c>
      <c r="Q2079" s="3">
        <f>1/NOK!C2079</f>
        <v>0.12348575591805484</v>
      </c>
      <c r="R2079" s="3">
        <f>NZD!B2079/1</f>
        <v>0.71740000000000004</v>
      </c>
      <c r="S2079" s="3">
        <f>NZD!C2079/1</f>
        <v>0.71709999999999996</v>
      </c>
      <c r="T2079" s="4">
        <f>1/PHP!B2079</f>
        <v>1.9880715705765408E-2</v>
      </c>
      <c r="U2079" s="4">
        <f>1/PHP!C2079</f>
        <v>1.984914648670107E-2</v>
      </c>
      <c r="V2079" s="4">
        <f>1/TWD!B2079</f>
        <v>3.3856988082340195E-2</v>
      </c>
      <c r="W2079" s="4">
        <f>1/TWD!C2079</f>
        <v>3.3857446606806701E-2</v>
      </c>
      <c r="X2079" s="4">
        <f>1/TWD!B2079</f>
        <v>3.3856988082340195E-2</v>
      </c>
      <c r="Y2079" s="4">
        <f>1/TWD!C2079</f>
        <v>3.3857446606806701E-2</v>
      </c>
      <c r="Z2079" s="4">
        <f>1/ZAR!B2079</f>
        <v>8.1062239587555332E-2</v>
      </c>
      <c r="AA2079" s="4">
        <f>1/ZAR!C2079</f>
        <v>8.0663375600942153E-2</v>
      </c>
    </row>
    <row r="2080" spans="1:27" x14ac:dyDescent="0.25">
      <c r="A2080" t="str">
        <f>"10/01/2018"</f>
        <v>10/01/2018</v>
      </c>
      <c r="B2080" s="3">
        <f>AUD!B2080</f>
        <v>0.78600000000000003</v>
      </c>
      <c r="C2080" s="3">
        <f>AUD!C2080</f>
        <v>0.78590000000000004</v>
      </c>
      <c r="D2080" s="3">
        <f>1/CAD!B2080</f>
        <v>0.80411707944676747</v>
      </c>
      <c r="E2080" s="3">
        <f>1/CAD!C2080</f>
        <v>0.80437580437580436</v>
      </c>
      <c r="F2080" s="3">
        <f>EUR!B2080/1</f>
        <v>1.1996</v>
      </c>
      <c r="G2080" s="3">
        <f>EUR!C2080/1</f>
        <v>1.2017</v>
      </c>
      <c r="H2080" s="3">
        <f>GBP!B2080/1</f>
        <v>1.3548</v>
      </c>
      <c r="I2080" s="3">
        <f>GBP!C2080/1</f>
        <v>1.3561000000000001</v>
      </c>
      <c r="J2080" s="4">
        <f>1/INR!B2080</f>
        <v>1.5723270440251572E-2</v>
      </c>
      <c r="K2080" s="4">
        <f>1/INR!C2080</f>
        <v>1.5663547010220463E-2</v>
      </c>
      <c r="L2080" s="4">
        <f>1/JPY!B2080</f>
        <v>8.9750493627714957E-3</v>
      </c>
      <c r="M2080" s="4">
        <f>1/JPY!C2080</f>
        <v>8.9890064451176206E-3</v>
      </c>
      <c r="N2080" s="5">
        <f>1/KRW!B2080</f>
        <v>9.3292284728052979E-4</v>
      </c>
      <c r="O2080" s="5">
        <f>1/KRW!C2080</f>
        <v>9.3292502314820214E-4</v>
      </c>
      <c r="P2080" s="3">
        <f>1/NOK!B2080</f>
        <v>0.12426836997179107</v>
      </c>
      <c r="Q2080" s="3">
        <f>1/NOK!C2080</f>
        <v>0.12437501554687694</v>
      </c>
      <c r="R2080" s="3">
        <f>NZD!B2080/1</f>
        <v>0.72130000000000005</v>
      </c>
      <c r="S2080" s="3">
        <f>NZD!C2080/1</f>
        <v>0.72099999999999997</v>
      </c>
      <c r="T2080" s="4">
        <f>1/PHP!B2080</f>
        <v>1.9835366458395318E-2</v>
      </c>
      <c r="U2080" s="4">
        <f>1/PHP!C2080</f>
        <v>1.9805902158843335E-2</v>
      </c>
      <c r="V2080" s="4">
        <f>1/TWD!B2080</f>
        <v>3.3782642478294655E-2</v>
      </c>
      <c r="W2080" s="4">
        <f>1/TWD!C2080</f>
        <v>3.3782984861844487E-2</v>
      </c>
      <c r="X2080" s="4">
        <f>1/TWD!B2080</f>
        <v>3.3782642478294655E-2</v>
      </c>
      <c r="Y2080" s="4">
        <f>1/TWD!C2080</f>
        <v>3.3782984861844487E-2</v>
      </c>
      <c r="Z2080" s="4">
        <f>1/ZAR!B2080</f>
        <v>8.0069179771322427E-2</v>
      </c>
      <c r="AA2080" s="4">
        <f>1/ZAR!C2080</f>
        <v>7.9690799697174963E-2</v>
      </c>
    </row>
    <row r="2081" spans="1:27" x14ac:dyDescent="0.25">
      <c r="A2081" t="str">
        <f>"11/01/2018"</f>
        <v>11/01/2018</v>
      </c>
      <c r="B2081" s="3">
        <f>AUD!B2081</f>
        <v>0.78720000000000001</v>
      </c>
      <c r="C2081" s="3">
        <f>AUD!C2081</f>
        <v>0.78710000000000002</v>
      </c>
      <c r="D2081" s="3">
        <f>1/CAD!B2081</f>
        <v>0.79522862823061624</v>
      </c>
      <c r="E2081" s="3">
        <f>1/CAD!C2081</f>
        <v>0.79548166414764132</v>
      </c>
      <c r="F2081" s="3">
        <f>EUR!B2081/1</f>
        <v>1.1944999999999999</v>
      </c>
      <c r="G2081" s="3">
        <f>EUR!C2081/1</f>
        <v>1.1967000000000001</v>
      </c>
      <c r="H2081" s="3">
        <f>GBP!B2081/1</f>
        <v>1.3475999999999999</v>
      </c>
      <c r="I2081" s="3">
        <f>GBP!C2081/1</f>
        <v>1.349</v>
      </c>
      <c r="J2081" s="4">
        <f>1/INR!B2081</f>
        <v>1.5705983979896341E-2</v>
      </c>
      <c r="K2081" s="4">
        <f>1/INR!C2081</f>
        <v>1.5646391550948564E-2</v>
      </c>
      <c r="L2081" s="4">
        <f>1/JPY!B2081</f>
        <v>8.9565606806986109E-3</v>
      </c>
      <c r="M2081" s="4">
        <f>1/JPY!C2081</f>
        <v>8.9706051211390515E-3</v>
      </c>
      <c r="N2081" s="5">
        <f>1/KRW!B2081</f>
        <v>9.3266181682521911E-4</v>
      </c>
      <c r="O2081" s="5">
        <f>1/KRW!C2081</f>
        <v>9.3266529627045809E-4</v>
      </c>
      <c r="P2081" s="3">
        <f>1/NOK!B2081</f>
        <v>0.12400947432383834</v>
      </c>
      <c r="Q2081" s="3">
        <f>1/NOK!C2081</f>
        <v>0.12411875682653162</v>
      </c>
      <c r="R2081" s="3">
        <f>NZD!B2081/1</f>
        <v>0.72219999999999995</v>
      </c>
      <c r="S2081" s="3">
        <f>NZD!C2081/1</f>
        <v>0.72189999999999999</v>
      </c>
      <c r="T2081" s="4">
        <f>1/PHP!B2081</f>
        <v>1.984126984126984E-2</v>
      </c>
      <c r="U2081" s="4">
        <f>1/PHP!C2081</f>
        <v>1.9813750743015654E-2</v>
      </c>
      <c r="V2081" s="4">
        <f>1/TWD!B2081</f>
        <v>3.3749578130273371E-2</v>
      </c>
      <c r="W2081" s="4">
        <f>1/TWD!C2081</f>
        <v>3.3750033750033749E-2</v>
      </c>
      <c r="X2081" s="4">
        <f>1/TWD!B2081</f>
        <v>3.3749578130273371E-2</v>
      </c>
      <c r="Y2081" s="4">
        <f>1/TWD!C2081</f>
        <v>3.3750033750033749E-2</v>
      </c>
      <c r="Z2081" s="4">
        <f>1/ZAR!B2081</f>
        <v>8.0307094328712997E-2</v>
      </c>
      <c r="AA2081" s="4">
        <f>1/ZAR!C2081</f>
        <v>7.9921357384333813E-2</v>
      </c>
    </row>
    <row r="2082" spans="1:27" x14ac:dyDescent="0.25">
      <c r="A2082" t="str">
        <f>"12/01/2018"</f>
        <v>12/01/2018</v>
      </c>
      <c r="B2082" s="3">
        <f>AUD!B2082</f>
        <v>0.78720000000000001</v>
      </c>
      <c r="C2082" s="3">
        <f>AUD!C2082</f>
        <v>0.78710000000000002</v>
      </c>
      <c r="D2082" s="3">
        <f>1/CAD!B2082</f>
        <v>0.79884965649464768</v>
      </c>
      <c r="E2082" s="3">
        <f>1/CAD!C2082</f>
        <v>0.79910500239731497</v>
      </c>
      <c r="F2082" s="3">
        <f>EUR!B2082/1</f>
        <v>1.2131000000000001</v>
      </c>
      <c r="G2082" s="3">
        <f>EUR!C2082/1</f>
        <v>1.2153</v>
      </c>
      <c r="H2082" s="3">
        <f>GBP!B2082/1</f>
        <v>1.3633999999999999</v>
      </c>
      <c r="I2082" s="3">
        <f>GBP!C2082/1</f>
        <v>1.3648</v>
      </c>
      <c r="J2082" s="4">
        <f>1/INR!B2082</f>
        <v>1.5715239853848269E-2</v>
      </c>
      <c r="K2082" s="4">
        <f>1/INR!C2082</f>
        <v>1.5651901706057285E-2</v>
      </c>
      <c r="L2082" s="4">
        <f>1/JPY!B2082</f>
        <v>9.0009000900090012E-3</v>
      </c>
      <c r="M2082" s="4">
        <f>1/JPY!C2082</f>
        <v>9.0148564834847834E-3</v>
      </c>
      <c r="N2082" s="5">
        <f>1/KRW!B2082</f>
        <v>9.3896713615023472E-4</v>
      </c>
      <c r="O2082" s="5">
        <f>1/KRW!C2082</f>
        <v>9.3897154446734505E-4</v>
      </c>
      <c r="P2082" s="3">
        <f>1/NOK!B2082</f>
        <v>0.12541701156344848</v>
      </c>
      <c r="Q2082" s="3">
        <f>1/NOK!C2082</f>
        <v>0.12552563861168645</v>
      </c>
      <c r="R2082" s="3">
        <f>NZD!B2082/1</f>
        <v>0.72529999999999994</v>
      </c>
      <c r="S2082" s="3">
        <f>NZD!C2082/1</f>
        <v>0.72499999999999998</v>
      </c>
      <c r="T2082" s="4">
        <f>1/PHP!B2082</f>
        <v>1.984126984126984E-2</v>
      </c>
      <c r="U2082" s="4">
        <f>1/PHP!C2082</f>
        <v>1.9815713861091846E-2</v>
      </c>
      <c r="V2082" s="4">
        <f>1/TWD!B2082</f>
        <v>3.3784925166390756E-2</v>
      </c>
      <c r="W2082" s="4">
        <f>1/TWD!C2082</f>
        <v>3.3785381741028291E-2</v>
      </c>
      <c r="X2082" s="4">
        <f>1/TWD!B2082</f>
        <v>3.3784925166390756E-2</v>
      </c>
      <c r="Y2082" s="4">
        <f>1/TWD!C2082</f>
        <v>3.3785381741028291E-2</v>
      </c>
      <c r="Z2082" s="4">
        <f>1/ZAR!B2082</f>
        <v>8.0647762831059067E-2</v>
      </c>
      <c r="AA2082" s="4">
        <f>1/ZAR!C2082</f>
        <v>8.026004253782254E-2</v>
      </c>
    </row>
    <row r="2083" spans="1:27" x14ac:dyDescent="0.25">
      <c r="A2083" t="str">
        <f>"15/01/2018"</f>
        <v>15/01/2018</v>
      </c>
      <c r="B2083" s="3">
        <f>AUD!B2083</f>
        <v>0.79479999999999995</v>
      </c>
      <c r="C2083" s="3">
        <f>AUD!C2083</f>
        <v>0.79469999999999996</v>
      </c>
      <c r="D2083" s="3">
        <f>1/CAD!B2083</f>
        <v>0.80424642110342603</v>
      </c>
      <c r="E2083" s="3">
        <f>1/CAD!C2083</f>
        <v>0.80450522928399026</v>
      </c>
      <c r="F2083" s="3">
        <f>EUR!B2083/1</f>
        <v>1.2263999999999999</v>
      </c>
      <c r="G2083" s="3">
        <f>EUR!C2083/1</f>
        <v>1.2287999999999999</v>
      </c>
      <c r="H2083" s="3">
        <f>GBP!B2083/1</f>
        <v>1.3774</v>
      </c>
      <c r="I2083" s="3">
        <f>GBP!C2083/1</f>
        <v>1.3789</v>
      </c>
      <c r="J2083" s="4">
        <f>1/INR!B2083</f>
        <v>1.5748651521713453E-2</v>
      </c>
      <c r="K2083" s="4">
        <f>1/INR!C2083</f>
        <v>1.5684429282829471E-2</v>
      </c>
      <c r="L2083" s="4">
        <f>1/JPY!B2083</f>
        <v>9.0399566082082806E-3</v>
      </c>
      <c r="M2083" s="4">
        <f>1/JPY!C2083</f>
        <v>9.05527247767649E-3</v>
      </c>
      <c r="N2083" s="5">
        <f>1/KRW!B2083</f>
        <v>9.4091080165600307E-4</v>
      </c>
      <c r="O2083" s="5">
        <f>1/KRW!C2083</f>
        <v>9.4091567090345309E-4</v>
      </c>
      <c r="P2083" s="3">
        <f>1/NOK!B2083</f>
        <v>0.12687940112922666</v>
      </c>
      <c r="Q2083" s="3">
        <f>1/NOK!C2083</f>
        <v>0.12699702826953849</v>
      </c>
      <c r="R2083" s="3">
        <f>NZD!B2083/1</f>
        <v>0.72870000000000001</v>
      </c>
      <c r="S2083" s="3">
        <f>NZD!C2083/1</f>
        <v>0.72840000000000005</v>
      </c>
      <c r="T2083" s="4">
        <f>1/PHP!B2083</f>
        <v>1.984914648670107E-2</v>
      </c>
      <c r="U2083" s="4">
        <f>1/PHP!C2083</f>
        <v>1.9829466587348802E-2</v>
      </c>
      <c r="V2083" s="4">
        <f>1/TWD!B2083</f>
        <v>3.3850111705368627E-2</v>
      </c>
      <c r="W2083" s="4">
        <f>1/TWD!C2083</f>
        <v>3.3850570043599537E-2</v>
      </c>
      <c r="X2083" s="4">
        <f>1/TWD!B2083</f>
        <v>3.3850111705368627E-2</v>
      </c>
      <c r="Y2083" s="4">
        <f>1/TWD!C2083</f>
        <v>3.3850570043599537E-2</v>
      </c>
      <c r="Z2083" s="4">
        <f>1/ZAR!B2083</f>
        <v>8.1339168062989048E-2</v>
      </c>
      <c r="AA2083" s="4">
        <f>1/ZAR!C2083</f>
        <v>8.0906803453102374E-2</v>
      </c>
    </row>
    <row r="2084" spans="1:27" x14ac:dyDescent="0.25">
      <c r="A2084" t="str">
        <f>"16/01/2018"</f>
        <v>16/01/2018</v>
      </c>
      <c r="B2084" s="3">
        <f>AUD!B2084</f>
        <v>0.79479999999999995</v>
      </c>
      <c r="C2084" s="3">
        <f>AUD!C2084</f>
        <v>0.79469999999999996</v>
      </c>
      <c r="D2084" s="3">
        <f>1/CAD!B2084</f>
        <v>0.80379390724218314</v>
      </c>
      <c r="E2084" s="3">
        <f>1/CAD!C2084</f>
        <v>0.804052424218059</v>
      </c>
      <c r="F2084" s="3">
        <f>EUR!B2084/1</f>
        <v>1.2215</v>
      </c>
      <c r="G2084" s="3">
        <f>EUR!C2084/1</f>
        <v>1.2239</v>
      </c>
      <c r="H2084" s="3">
        <f>GBP!B2084/1</f>
        <v>1.3756999999999999</v>
      </c>
      <c r="I2084" s="3">
        <f>GBP!C2084/1</f>
        <v>1.3772</v>
      </c>
      <c r="J2084" s="4">
        <f>1/INR!B2084</f>
        <v>1.5613411920840002E-2</v>
      </c>
      <c r="K2084" s="4">
        <f>1/INR!C2084</f>
        <v>1.5550890288469014E-2</v>
      </c>
      <c r="L2084" s="4">
        <f>1/JPY!B2084</f>
        <v>9.0334236675700084E-3</v>
      </c>
      <c r="M2084" s="4">
        <f>1/JPY!C2084</f>
        <v>9.0483816969335034E-3</v>
      </c>
      <c r="N2084" s="5">
        <f>1/KRW!B2084</f>
        <v>9.4091080165600307E-4</v>
      </c>
      <c r="O2084" s="5">
        <f>1/KRW!C2084</f>
        <v>9.4091434292187769E-4</v>
      </c>
      <c r="P2084" s="3">
        <f>1/NOK!B2084</f>
        <v>0.1267957447348067</v>
      </c>
      <c r="Q2084" s="3">
        <f>1/NOK!C2084</f>
        <v>0.12690677428361125</v>
      </c>
      <c r="R2084" s="3">
        <f>NZD!B2084/1</f>
        <v>0.72709999999999997</v>
      </c>
      <c r="S2084" s="3">
        <f>NZD!C2084/1</f>
        <v>0.7268</v>
      </c>
      <c r="T2084" s="4">
        <f>1/PHP!B2084</f>
        <v>1.9796100168266852E-2</v>
      </c>
      <c r="U2084" s="4">
        <f>1/PHP!C2084</f>
        <v>1.9768119952951874E-2</v>
      </c>
      <c r="V2084" s="4">
        <f>1/TWD!B2084</f>
        <v>3.3835222466587718E-2</v>
      </c>
      <c r="W2084" s="4">
        <f>1/TWD!C2084</f>
        <v>3.3835680401697196E-2</v>
      </c>
      <c r="X2084" s="4">
        <f>1/TWD!B2084</f>
        <v>3.3835222466587718E-2</v>
      </c>
      <c r="Y2084" s="4">
        <f>1/TWD!C2084</f>
        <v>3.3835680401697196E-2</v>
      </c>
      <c r="Z2084" s="4">
        <f>1/ZAR!B2084</f>
        <v>8.1632653061224483E-2</v>
      </c>
      <c r="AA2084" s="4">
        <f>1/ZAR!C2084</f>
        <v>8.1215635634172278E-2</v>
      </c>
    </row>
    <row r="2085" spans="1:27" x14ac:dyDescent="0.25">
      <c r="A2085" t="str">
        <f>"17/01/2018"</f>
        <v>17/01/2018</v>
      </c>
      <c r="B2085" s="3">
        <f>AUD!B2085</f>
        <v>0.79720000000000002</v>
      </c>
      <c r="C2085" s="3">
        <f>AUD!C2085</f>
        <v>0.79710000000000003</v>
      </c>
      <c r="D2085" s="3">
        <f>1/CAD!B2085</f>
        <v>0.80398777938575328</v>
      </c>
      <c r="E2085" s="3">
        <f>1/CAD!C2085</f>
        <v>0.80424642110342603</v>
      </c>
      <c r="F2085" s="3">
        <f>EUR!B2085/1</f>
        <v>1.2217</v>
      </c>
      <c r="G2085" s="3">
        <f>EUR!C2085/1</f>
        <v>1.224</v>
      </c>
      <c r="H2085" s="3">
        <f>GBP!B2085/1</f>
        <v>1.3794</v>
      </c>
      <c r="I2085" s="3">
        <f>GBP!C2085/1</f>
        <v>1.3809</v>
      </c>
      <c r="J2085" s="4">
        <f>1/INR!B2085</f>
        <v>1.5650676891775569E-2</v>
      </c>
      <c r="K2085" s="4">
        <f>1/INR!C2085</f>
        <v>1.5590894917368257E-2</v>
      </c>
      <c r="L2085" s="4">
        <f>1/JPY!B2085</f>
        <v>9.0301607368611161E-3</v>
      </c>
      <c r="M2085" s="4">
        <f>1/JPY!C2085</f>
        <v>9.045001596442781E-3</v>
      </c>
      <c r="N2085" s="5">
        <f>1/KRW!B2085</f>
        <v>9.3519124660993173E-4</v>
      </c>
      <c r="O2085" s="5">
        <f>1/KRW!C2085</f>
        <v>9.351947449536891E-4</v>
      </c>
      <c r="P2085" s="3">
        <f>1/NOK!B2085</f>
        <v>0.12687457179832018</v>
      </c>
      <c r="Q2085" s="3">
        <f>1/NOK!C2085</f>
        <v>0.12698573950145398</v>
      </c>
      <c r="R2085" s="3">
        <f>NZD!B2085/1</f>
        <v>0.72719999999999996</v>
      </c>
      <c r="S2085" s="3">
        <f>NZD!C2085/1</f>
        <v>0.72689999999999999</v>
      </c>
      <c r="T2085" s="4">
        <f>1/PHP!B2085</f>
        <v>1.9708316909735908E-2</v>
      </c>
      <c r="U2085" s="4">
        <f>1/PHP!C2085</f>
        <v>1.9683102056884165E-2</v>
      </c>
      <c r="V2085" s="4">
        <f>1/TWD!B2085</f>
        <v>3.3829499323410013E-2</v>
      </c>
      <c r="W2085" s="4">
        <f>1/TWD!C2085</f>
        <v>3.3829957103614396E-2</v>
      </c>
      <c r="X2085" s="4">
        <f>1/TWD!B2085</f>
        <v>3.3829499323410013E-2</v>
      </c>
      <c r="Y2085" s="4">
        <f>1/TWD!C2085</f>
        <v>3.3829957103614396E-2</v>
      </c>
      <c r="Z2085" s="4">
        <f>1/ZAR!B2085</f>
        <v>8.1214316459705518E-2</v>
      </c>
      <c r="AA2085" s="4">
        <f>1/ZAR!C2085</f>
        <v>8.0817223766729174E-2</v>
      </c>
    </row>
    <row r="2086" spans="1:27" x14ac:dyDescent="0.25">
      <c r="A2086" t="str">
        <f>"18/01/2018"</f>
        <v>18/01/2018</v>
      </c>
      <c r="B2086" s="3">
        <f>AUD!B2086</f>
        <v>0.79900000000000004</v>
      </c>
      <c r="C2086" s="3">
        <f>AUD!C2086</f>
        <v>0.79890000000000005</v>
      </c>
      <c r="D2086" s="3">
        <f>1/CAD!B2086</f>
        <v>0.80289040545965473</v>
      </c>
      <c r="E2086" s="3">
        <f>1/CAD!C2086</f>
        <v>0.80314834149867476</v>
      </c>
      <c r="F2086" s="3">
        <f>EUR!B2086/1</f>
        <v>1.2238</v>
      </c>
      <c r="G2086" s="3">
        <f>EUR!C2086/1</f>
        <v>1.226</v>
      </c>
      <c r="H2086" s="3">
        <f>GBP!B2086/1</f>
        <v>1.3874</v>
      </c>
      <c r="I2086" s="3">
        <f>GBP!C2086/1</f>
        <v>1.3888</v>
      </c>
      <c r="J2086" s="4">
        <f>1/INR!B2086</f>
        <v>1.5658028654192437E-2</v>
      </c>
      <c r="K2086" s="4">
        <f>1/INR!C2086</f>
        <v>1.5598798892485279E-2</v>
      </c>
      <c r="L2086" s="4">
        <f>1/JPY!B2086</f>
        <v>8.986340762041696E-3</v>
      </c>
      <c r="M2086" s="4">
        <f>1/JPY!C2086</f>
        <v>9.0002196053583713E-3</v>
      </c>
      <c r="N2086" s="5">
        <f>1/KRW!B2086</f>
        <v>9.3405566971791528E-4</v>
      </c>
      <c r="O2086" s="5">
        <f>1/KRW!C2086</f>
        <v>9.3405828710523193E-4</v>
      </c>
      <c r="P2086" s="3">
        <f>1/NOK!B2086</f>
        <v>0.12740151862610202</v>
      </c>
      <c r="Q2086" s="3">
        <f>1/NOK!C2086</f>
        <v>0.12750873434830287</v>
      </c>
      <c r="R2086" s="3">
        <f>NZD!B2086/1</f>
        <v>0.72899999999999998</v>
      </c>
      <c r="S2086" s="3">
        <f>NZD!C2086/1</f>
        <v>0.72870000000000001</v>
      </c>
      <c r="T2086" s="4">
        <f>1/PHP!B2086</f>
        <v>1.9681165124975399E-2</v>
      </c>
      <c r="U2086" s="4">
        <f>1/PHP!C2086</f>
        <v>1.9656019656019656E-2</v>
      </c>
      <c r="V2086" s="4">
        <f>1/TWD!B2086</f>
        <v>3.3824922202678936E-2</v>
      </c>
      <c r="W2086" s="4">
        <f>1/TWD!C2086</f>
        <v>3.3825379859015813E-2</v>
      </c>
      <c r="X2086" s="4">
        <f>1/TWD!B2086</f>
        <v>3.3824922202678936E-2</v>
      </c>
      <c r="Y2086" s="4">
        <f>1/TWD!C2086</f>
        <v>3.3825379859015813E-2</v>
      </c>
      <c r="Z2086" s="4">
        <f>1/ZAR!B2086</f>
        <v>8.1533481724270065E-2</v>
      </c>
      <c r="AA2086" s="4">
        <f>1/ZAR!C2086</f>
        <v>8.1152363562588758E-2</v>
      </c>
    </row>
    <row r="2087" spans="1:27" x14ac:dyDescent="0.25">
      <c r="A2087" t="str">
        <f>"19/01/2018"</f>
        <v>19/01/2018</v>
      </c>
      <c r="B2087" s="3">
        <f>AUD!B2087</f>
        <v>0.80120000000000002</v>
      </c>
      <c r="C2087" s="3">
        <f>AUD!C2087</f>
        <v>0.80100000000000005</v>
      </c>
      <c r="D2087" s="3">
        <f>1/CAD!B2087</f>
        <v>0.80508815715320825</v>
      </c>
      <c r="E2087" s="3">
        <f>1/CAD!C2087</f>
        <v>0.80534750744946437</v>
      </c>
      <c r="F2087" s="3">
        <f>EUR!B2087/1</f>
        <v>1.2265999999999999</v>
      </c>
      <c r="G2087" s="3">
        <f>EUR!C2087/1</f>
        <v>1.2289000000000001</v>
      </c>
      <c r="H2087" s="3">
        <f>GBP!B2087/1</f>
        <v>1.3894</v>
      </c>
      <c r="I2087" s="3">
        <f>GBP!C2087/1</f>
        <v>1.3908</v>
      </c>
      <c r="J2087" s="4">
        <f>1/INR!B2087</f>
        <v>1.5663547010220463E-2</v>
      </c>
      <c r="K2087" s="4">
        <f>1/INR!C2087</f>
        <v>1.5604884328794914E-2</v>
      </c>
      <c r="L2087" s="4">
        <f>1/JPY!B2087</f>
        <v>9.0350560173473073E-3</v>
      </c>
      <c r="M2087" s="4">
        <f>1/JPY!C2087</f>
        <v>9.049069484184942E-3</v>
      </c>
      <c r="N2087" s="5">
        <f>1/KRW!B2087</f>
        <v>9.3808630393996248E-4</v>
      </c>
      <c r="O2087" s="5">
        <f>1/KRW!C2087</f>
        <v>9.3808938397077295E-4</v>
      </c>
      <c r="P2087" s="3">
        <f>1/NOK!B2087</f>
        <v>0.12747297572914543</v>
      </c>
      <c r="Q2087" s="3">
        <f>1/NOK!C2087</f>
        <v>0.12758193950064428</v>
      </c>
      <c r="R2087" s="3">
        <f>NZD!B2087/1</f>
        <v>0.72909999999999997</v>
      </c>
      <c r="S2087" s="3">
        <f>NZD!C2087/1</f>
        <v>0.7288</v>
      </c>
      <c r="T2087" s="4">
        <f>1/PHP!B2087</f>
        <v>1.9712201852946976E-2</v>
      </c>
      <c r="U2087" s="4">
        <f>1/PHP!C2087</f>
        <v>1.9686977064671721E-2</v>
      </c>
      <c r="V2087" s="4">
        <f>1/TWD!B2087</f>
        <v>3.3978933061501869E-2</v>
      </c>
      <c r="W2087" s="4">
        <f>1/TWD!C2087</f>
        <v>3.3979394894935712E-2</v>
      </c>
      <c r="X2087" s="4">
        <f>1/TWD!B2087</f>
        <v>3.3978933061501869E-2</v>
      </c>
      <c r="Y2087" s="4">
        <f>1/TWD!C2087</f>
        <v>3.3979394894935712E-2</v>
      </c>
      <c r="Z2087" s="4">
        <f>1/ZAR!B2087</f>
        <v>8.2010907450690937E-2</v>
      </c>
      <c r="AA2087" s="4">
        <f>1/ZAR!C2087</f>
        <v>8.1622658449985716E-2</v>
      </c>
    </row>
    <row r="2088" spans="1:27" x14ac:dyDescent="0.25">
      <c r="A2088" t="str">
        <f>"22/01/2018"</f>
        <v>22/01/2018</v>
      </c>
      <c r="B2088" s="3">
        <f>AUD!B2088</f>
        <v>0.8014</v>
      </c>
      <c r="C2088" s="3">
        <f>AUD!C2088</f>
        <v>0.80130000000000001</v>
      </c>
      <c r="D2088" s="3">
        <f>1/CAD!B2088</f>
        <v>0.8022462896109106</v>
      </c>
      <c r="E2088" s="3">
        <f>1/CAD!C2088</f>
        <v>0.80250381189310649</v>
      </c>
      <c r="F2088" s="3">
        <f>EUR!B2088/1</f>
        <v>1.2256</v>
      </c>
      <c r="G2088" s="3">
        <f>EUR!C2088/1</f>
        <v>1.228</v>
      </c>
      <c r="H2088" s="3">
        <f>GBP!B2088/1</f>
        <v>1.3906000000000001</v>
      </c>
      <c r="I2088" s="3">
        <f>GBP!C2088/1</f>
        <v>1.3920999999999999</v>
      </c>
      <c r="J2088" s="4">
        <f>1/INR!B2088</f>
        <v>1.5655577299412915E-2</v>
      </c>
      <c r="K2088" s="4">
        <f>1/INR!C2088</f>
        <v>1.5592718200600321E-2</v>
      </c>
      <c r="L2088" s="4">
        <f>1/JPY!B2088</f>
        <v>9.0334236675700084E-3</v>
      </c>
      <c r="M2088" s="4">
        <f>1/JPY!C2088</f>
        <v>9.0488156457642042E-3</v>
      </c>
      <c r="N2088" s="5">
        <f>1/KRW!B2088</f>
        <v>9.3440478415249479E-4</v>
      </c>
      <c r="O2088" s="5">
        <f>1/KRW!C2088</f>
        <v>9.3440827661475103E-4</v>
      </c>
      <c r="P2088" s="3">
        <f>1/NOK!B2088</f>
        <v>0.12727342149138995</v>
      </c>
      <c r="Q2088" s="3">
        <f>1/NOK!C2088</f>
        <v>0.12738691226863352</v>
      </c>
      <c r="R2088" s="3">
        <f>NZD!B2088/1</f>
        <v>0.73080000000000001</v>
      </c>
      <c r="S2088" s="3">
        <f>NZD!C2088/1</f>
        <v>0.73050000000000004</v>
      </c>
      <c r="T2088" s="4">
        <f>1/PHP!B2088</f>
        <v>1.9669551534225019E-2</v>
      </c>
      <c r="U2088" s="4">
        <f>1/PHP!C2088</f>
        <v>1.9637877538195674E-2</v>
      </c>
      <c r="V2088" s="4">
        <f>1/TWD!B2088</f>
        <v>3.3973161202649906E-2</v>
      </c>
      <c r="W2088" s="4">
        <f>1/TWD!C2088</f>
        <v>3.3973622879196592E-2</v>
      </c>
      <c r="X2088" s="4">
        <f>1/TWD!B2088</f>
        <v>3.3973161202649906E-2</v>
      </c>
      <c r="Y2088" s="4">
        <f>1/TWD!C2088</f>
        <v>3.3973622879196592E-2</v>
      </c>
      <c r="Z2088" s="4">
        <f>1/ZAR!B2088</f>
        <v>8.2942122986579964E-2</v>
      </c>
      <c r="AA2088" s="4">
        <f>1/ZAR!C2088</f>
        <v>8.2525273364968024E-2</v>
      </c>
    </row>
    <row r="2089" spans="1:27" x14ac:dyDescent="0.25">
      <c r="A2089" t="str">
        <f>"23/01/2018"</f>
        <v>23/01/2018</v>
      </c>
      <c r="B2089" s="3">
        <f>AUD!B2089</f>
        <v>0.79630000000000001</v>
      </c>
      <c r="C2089" s="3">
        <f>AUD!C2089</f>
        <v>0.79620000000000002</v>
      </c>
      <c r="D2089" s="3">
        <f>1/CAD!B2089</f>
        <v>0.80070462006565779</v>
      </c>
      <c r="E2089" s="3">
        <f>1/CAD!C2089</f>
        <v>0.80096115338406093</v>
      </c>
      <c r="F2089" s="3">
        <f>EUR!B2089/1</f>
        <v>1.2248000000000001</v>
      </c>
      <c r="G2089" s="3">
        <f>EUR!C2089/1</f>
        <v>1.2272000000000001</v>
      </c>
      <c r="H2089" s="3">
        <f>GBP!B2089/1</f>
        <v>1.3948</v>
      </c>
      <c r="I2089" s="3">
        <f>GBP!C2089/1</f>
        <v>1.3963000000000001</v>
      </c>
      <c r="J2089" s="4">
        <f>1/INR!B2089</f>
        <v>1.5677667163126126E-2</v>
      </c>
      <c r="K2089" s="4">
        <f>1/INR!C2089</f>
        <v>1.561706945691641E-2</v>
      </c>
      <c r="L2089" s="4">
        <f>1/JPY!B2089</f>
        <v>9.0555102780041658E-3</v>
      </c>
      <c r="M2089" s="4">
        <f>1/JPY!C2089</f>
        <v>9.0703523741193816E-3</v>
      </c>
      <c r="N2089" s="5">
        <f>1/KRW!B2089</f>
        <v>9.3431748108007101E-4</v>
      </c>
      <c r="O2089" s="5">
        <f>1/KRW!C2089</f>
        <v>9.3432184584623854E-4</v>
      </c>
      <c r="P2089" s="3">
        <f>1/NOK!B2089</f>
        <v>0.12689067099786824</v>
      </c>
      <c r="Q2089" s="3">
        <f>1/NOK!C2089</f>
        <v>0.12700025400050802</v>
      </c>
      <c r="R2089" s="3">
        <f>NZD!B2089/1</f>
        <v>0.73170000000000002</v>
      </c>
      <c r="S2089" s="3">
        <f>NZD!C2089/1</f>
        <v>0.73140000000000005</v>
      </c>
      <c r="T2089" s="4">
        <f>1/PHP!B2089</f>
        <v>1.9561815336463225E-2</v>
      </c>
      <c r="U2089" s="4">
        <f>1/PHP!C2089</f>
        <v>1.9535065442469232E-2</v>
      </c>
      <c r="V2089" s="4">
        <f>1/TWD!B2089</f>
        <v>3.4011291748860618E-2</v>
      </c>
      <c r="W2089" s="4">
        <f>1/TWD!C2089</f>
        <v>3.4011754462342191E-2</v>
      </c>
      <c r="X2089" s="4">
        <f>1/TWD!B2089</f>
        <v>3.4011291748860618E-2</v>
      </c>
      <c r="Y2089" s="4">
        <f>1/TWD!C2089</f>
        <v>3.4011754462342191E-2</v>
      </c>
      <c r="Z2089" s="4">
        <f>1/ZAR!B2089</f>
        <v>8.2328920503194361E-2</v>
      </c>
      <c r="AA2089" s="4">
        <f>1/ZAR!C2089</f>
        <v>8.1926921186301821E-2</v>
      </c>
    </row>
    <row r="2090" spans="1:27" x14ac:dyDescent="0.25">
      <c r="A2090" t="str">
        <f>"24/01/2018"</f>
        <v>24/01/2018</v>
      </c>
      <c r="B2090" s="3">
        <f>AUD!B2090</f>
        <v>0.80689999999999995</v>
      </c>
      <c r="C2090" s="3">
        <f>AUD!C2090</f>
        <v>0.80679999999999996</v>
      </c>
      <c r="D2090" s="3">
        <f>1/CAD!B2090</f>
        <v>0.81037277147487841</v>
      </c>
      <c r="E2090" s="3">
        <f>1/CAD!C2090</f>
        <v>0.81063553826199741</v>
      </c>
      <c r="F2090" s="3">
        <f>EUR!B2090/1</f>
        <v>1.2332000000000001</v>
      </c>
      <c r="G2090" s="3">
        <f>EUR!C2090/1</f>
        <v>1.2355</v>
      </c>
      <c r="H2090" s="3">
        <f>GBP!B2090/1</f>
        <v>1.4100999999999999</v>
      </c>
      <c r="I2090" s="3">
        <f>GBP!C2090/1</f>
        <v>1.4116</v>
      </c>
      <c r="J2090" s="4">
        <f>1/INR!B2090</f>
        <v>1.5699203265434281E-2</v>
      </c>
      <c r="K2090" s="4">
        <f>1/INR!C2090</f>
        <v>1.5641496891252493E-2</v>
      </c>
      <c r="L2090" s="4">
        <f>1/JPY!B2090</f>
        <v>9.1349228099022566E-3</v>
      </c>
      <c r="M2090" s="4">
        <f>1/JPY!C2090</f>
        <v>9.1493149907866406E-3</v>
      </c>
      <c r="N2090" s="5">
        <f>1/KRW!B2090</f>
        <v>9.3431748108007101E-4</v>
      </c>
      <c r="O2090" s="5">
        <f>1/KRW!C2090</f>
        <v>9.3432053641210645E-4</v>
      </c>
      <c r="P2090" s="3">
        <f>1/NOK!B2090</f>
        <v>0.12788705015730106</v>
      </c>
      <c r="Q2090" s="3">
        <f>1/NOK!C2090</f>
        <v>0.12799017035491675</v>
      </c>
      <c r="R2090" s="3">
        <f>NZD!B2090/1</f>
        <v>0.74039999999999995</v>
      </c>
      <c r="S2090" s="3">
        <f>NZD!C2090/1</f>
        <v>0.74009999999999998</v>
      </c>
      <c r="T2090" s="4">
        <f>1/PHP!B2090</f>
        <v>1.9615535504119264E-2</v>
      </c>
      <c r="U2090" s="4">
        <f>1/PHP!C2090</f>
        <v>1.9588638589618023E-2</v>
      </c>
      <c r="V2090" s="4">
        <f>1/TWD!B2090</f>
        <v>3.4128528036585781E-2</v>
      </c>
      <c r="W2090" s="4">
        <f>1/TWD!C2090</f>
        <v>3.4128993945516474E-2</v>
      </c>
      <c r="X2090" s="4">
        <f>1/TWD!B2090</f>
        <v>3.4128528036585781E-2</v>
      </c>
      <c r="Y2090" s="4">
        <f>1/TWD!C2090</f>
        <v>3.4128993945516474E-2</v>
      </c>
      <c r="Z2090" s="4">
        <f>1/ZAR!B2090</f>
        <v>8.3423013072386143E-2</v>
      </c>
      <c r="AA2090" s="4">
        <f>1/ZAR!C2090</f>
        <v>8.3029583440579868E-2</v>
      </c>
    </row>
    <row r="2091" spans="1:27" x14ac:dyDescent="0.25">
      <c r="A2091" t="str">
        <f>"25/01/2018"</f>
        <v>25/01/2018</v>
      </c>
      <c r="B2091" s="3">
        <f>AUD!B2091</f>
        <v>0.80720000000000003</v>
      </c>
      <c r="C2091" s="3">
        <f>AUD!C2091</f>
        <v>0.80710000000000004</v>
      </c>
      <c r="D2091" s="3">
        <f>1/CAD!B2091</f>
        <v>0.81149070843138849</v>
      </c>
      <c r="E2091" s="3">
        <f>1/CAD!C2091</f>
        <v>0.81168831168831168</v>
      </c>
      <c r="F2091" s="3">
        <f>EUR!B2091/1</f>
        <v>1.2412000000000001</v>
      </c>
      <c r="G2091" s="3">
        <f>EUR!C2091/1</f>
        <v>1.2434000000000001</v>
      </c>
      <c r="H2091" s="3">
        <f>GBP!B2091/1</f>
        <v>1.4260999999999999</v>
      </c>
      <c r="I2091" s="3">
        <f>GBP!C2091/1</f>
        <v>1.4275</v>
      </c>
      <c r="J2091" s="4">
        <f>1/INR!B2091</f>
        <v>1.5736260277744996E-2</v>
      </c>
      <c r="K2091" s="4">
        <f>1/INR!C2091</f>
        <v>1.5679510799263063E-2</v>
      </c>
      <c r="L2091" s="4">
        <f>1/JPY!B2091</f>
        <v>9.1759955955221136E-3</v>
      </c>
      <c r="M2091" s="4">
        <f>1/JPY!C2091</f>
        <v>9.189706793215055E-3</v>
      </c>
      <c r="N2091" s="5">
        <f>1/KRW!B2091</f>
        <v>9.4446543256516816E-4</v>
      </c>
      <c r="O2091" s="5">
        <f>1/KRW!C2091</f>
        <v>9.4446721659844463E-4</v>
      </c>
      <c r="P2091" s="3">
        <f>1/NOK!B2091</f>
        <v>0.12940963325309934</v>
      </c>
      <c r="Q2091" s="3">
        <f>1/NOK!C2091</f>
        <v>0.12951186976286377</v>
      </c>
      <c r="R2091" s="3">
        <f>NZD!B2091/1</f>
        <v>0.73640000000000005</v>
      </c>
      <c r="S2091" s="3">
        <f>NZD!C2091/1</f>
        <v>0.73619999999999997</v>
      </c>
      <c r="T2091" s="4">
        <f>1/PHP!B2091</f>
        <v>1.9681165124975399E-2</v>
      </c>
      <c r="U2091" s="4">
        <f>1/PHP!C2091</f>
        <v>1.965988400668436E-2</v>
      </c>
      <c r="V2091" s="4">
        <f>1/TWD!B2091</f>
        <v>3.4400908183976057E-2</v>
      </c>
      <c r="W2091" s="4">
        <f>1/TWD!C2091</f>
        <v>3.4401263214385233E-2</v>
      </c>
      <c r="X2091" s="4">
        <f>1/TWD!B2091</f>
        <v>3.4400908183976057E-2</v>
      </c>
      <c r="Y2091" s="4">
        <f>1/TWD!C2091</f>
        <v>3.4401263214385233E-2</v>
      </c>
      <c r="Z2091" s="4">
        <f>1/ZAR!B2091</f>
        <v>8.4288604180714766E-2</v>
      </c>
      <c r="AA2091" s="4">
        <f>1/ZAR!C2091</f>
        <v>8.3905287711231555E-2</v>
      </c>
    </row>
    <row r="2092" spans="1:27" x14ac:dyDescent="0.25">
      <c r="A2092" t="str">
        <f>"29/01/2018"</f>
        <v>29/01/2018</v>
      </c>
      <c r="B2092" s="3">
        <f>AUD!B2092</f>
        <v>0.80940000000000001</v>
      </c>
      <c r="C2092" s="3">
        <f>AUD!C2092</f>
        <v>0.80930000000000002</v>
      </c>
      <c r="D2092" s="3">
        <f>1/CAD!B2092</f>
        <v>0.81024145195268193</v>
      </c>
      <c r="E2092" s="3">
        <f>1/CAD!C2092</f>
        <v>0.81043844719993519</v>
      </c>
      <c r="F2092" s="3">
        <f>EUR!B2092/1</f>
        <v>1.2398</v>
      </c>
      <c r="G2092" s="3">
        <f>EUR!C2092/1</f>
        <v>1.2419</v>
      </c>
      <c r="H2092" s="3">
        <f>GBP!B2092/1</f>
        <v>1.4077</v>
      </c>
      <c r="I2092" s="3">
        <f>GBP!C2092/1</f>
        <v>1.4091</v>
      </c>
      <c r="J2092" s="4">
        <f>1/INR!B2092</f>
        <v>1.5725124818178244E-2</v>
      </c>
      <c r="K2092" s="4">
        <f>1/INR!C2092</f>
        <v>1.5670910871694418E-2</v>
      </c>
      <c r="L2092" s="4">
        <f>1/JPY!B2092</f>
        <v>9.19793966151582E-3</v>
      </c>
      <c r="M2092" s="4">
        <f>1/JPY!C2092</f>
        <v>9.2112074603411462E-3</v>
      </c>
      <c r="N2092" s="5">
        <f>1/KRW!B2092</f>
        <v>9.3843843843843854E-4</v>
      </c>
      <c r="O2092" s="5">
        <f>1/KRW!C2092</f>
        <v>9.3843887877199635E-4</v>
      </c>
      <c r="P2092" s="3">
        <f>1/NOK!B2092</f>
        <v>0.12969495746005397</v>
      </c>
      <c r="Q2092" s="3">
        <f>1/NOK!C2092</f>
        <v>0.12979596074970148</v>
      </c>
      <c r="R2092" s="3">
        <f>NZD!B2092/1</f>
        <v>0.73309999999999997</v>
      </c>
      <c r="S2092" s="3">
        <f>NZD!C2092/1</f>
        <v>0.7329</v>
      </c>
      <c r="T2092" s="4">
        <f>1/PHP!B2092</f>
        <v>1.953125E-2</v>
      </c>
      <c r="U2092" s="4">
        <f>1/PHP!C2092</f>
        <v>1.9507817757966506E-2</v>
      </c>
      <c r="V2092" s="4">
        <f>1/TWD!B2092</f>
        <v>3.430531732418525E-2</v>
      </c>
      <c r="W2092" s="4">
        <f>1/TWD!C2092</f>
        <v>3.4305670384257816E-2</v>
      </c>
      <c r="X2092" s="4">
        <f>1/TWD!B2092</f>
        <v>3.430531732418525E-2</v>
      </c>
      <c r="Y2092" s="4">
        <f>1/TWD!C2092</f>
        <v>3.4305670384257816E-2</v>
      </c>
      <c r="Z2092" s="4">
        <f>1/ZAR!B2092</f>
        <v>8.347593806085396E-2</v>
      </c>
      <c r="AA2092" s="4">
        <f>1/ZAR!C2092</f>
        <v>8.3119301132916074E-2</v>
      </c>
    </row>
    <row r="2093" spans="1:27" x14ac:dyDescent="0.25">
      <c r="A2093" t="str">
        <f>"30/01/2018"</f>
        <v>30/01/2018</v>
      </c>
      <c r="B2093" s="3">
        <f>AUD!B2093</f>
        <v>0.81030000000000002</v>
      </c>
      <c r="C2093" s="3">
        <f>AUD!C2093</f>
        <v>0.81020000000000003</v>
      </c>
      <c r="D2093" s="3">
        <f>1/CAD!B2093</f>
        <v>0.81208380704888738</v>
      </c>
      <c r="E2093" s="3">
        <f>1/CAD!C2093</f>
        <v>0.81228169929331484</v>
      </c>
      <c r="F2093" s="3">
        <f>EUR!B2093/1</f>
        <v>1.2427999999999999</v>
      </c>
      <c r="G2093" s="3">
        <f>EUR!C2093/1</f>
        <v>1.2450000000000001</v>
      </c>
      <c r="H2093" s="3">
        <f>GBP!B2093/1</f>
        <v>1.411</v>
      </c>
      <c r="I2093" s="3">
        <f>GBP!C2093/1</f>
        <v>1.4124000000000001</v>
      </c>
      <c r="J2093" s="4">
        <f>1/INR!B2093</f>
        <v>1.5719562996148708E-2</v>
      </c>
      <c r="K2093" s="4">
        <f>1/INR!C2093</f>
        <v>1.5664773839827686E-2</v>
      </c>
      <c r="L2093" s="4">
        <f>1/JPY!B2093</f>
        <v>9.2081031307550652E-3</v>
      </c>
      <c r="M2093" s="4">
        <f>1/JPY!C2093</f>
        <v>9.2217234294482836E-3</v>
      </c>
      <c r="N2093" s="5">
        <f>1/KRW!B2093</f>
        <v>9.312721177127957E-4</v>
      </c>
      <c r="O2093" s="5">
        <f>1/KRW!C2093</f>
        <v>9.3127255134687616E-4</v>
      </c>
      <c r="P2093" s="3">
        <f>1/NOK!B2093</f>
        <v>0.12989374691502351</v>
      </c>
      <c r="Q2093" s="3">
        <f>1/NOK!C2093</f>
        <v>0.12999675008124797</v>
      </c>
      <c r="R2093" s="3">
        <f>NZD!B2093/1</f>
        <v>0.73399999999999999</v>
      </c>
      <c r="S2093" s="3">
        <f>NZD!C2093/1</f>
        <v>0.73380000000000001</v>
      </c>
      <c r="T2093" s="4">
        <f>1/PHP!B2093</f>
        <v>1.9443904335990667E-2</v>
      </c>
      <c r="U2093" s="4">
        <f>1/PHP!C2093</f>
        <v>1.9420492503689893E-2</v>
      </c>
      <c r="V2093" s="4">
        <f>1/TWD!B2093</f>
        <v>3.4199726402188782E-2</v>
      </c>
      <c r="W2093" s="4">
        <f>1/TWD!C2093</f>
        <v>3.4200077292174683E-2</v>
      </c>
      <c r="X2093" s="4">
        <f>1/TWD!B2093</f>
        <v>3.4199726402188782E-2</v>
      </c>
      <c r="Y2093" s="4">
        <f>1/TWD!C2093</f>
        <v>3.4200077292174683E-2</v>
      </c>
      <c r="Z2093" s="4">
        <f>1/ZAR!B2093</f>
        <v>8.4102167312851653E-2</v>
      </c>
      <c r="AA2093" s="4">
        <f>1/ZAR!C2093</f>
        <v>8.3744378658582544E-2</v>
      </c>
    </row>
    <row r="2094" spans="1:27" x14ac:dyDescent="0.25">
      <c r="A2094" t="str">
        <f>"31/01/2018"</f>
        <v>31/01/2018</v>
      </c>
      <c r="B2094" s="3">
        <f>AUD!B2094</f>
        <v>0.80530000000000002</v>
      </c>
      <c r="C2094" s="3">
        <f>AUD!C2094</f>
        <v>0.81040000000000001</v>
      </c>
      <c r="D2094" s="3">
        <f>1/CAD!B2094</f>
        <v>0.81433224755700329</v>
      </c>
      <c r="E2094" s="3">
        <f>1/CAD!C2094</f>
        <v>0.81459758879113719</v>
      </c>
      <c r="F2094" s="3">
        <f>EUR!B2094/1</f>
        <v>1.2415</v>
      </c>
      <c r="G2094" s="3">
        <f>EUR!C2094/1</f>
        <v>1.2474000000000001</v>
      </c>
      <c r="H2094" s="3">
        <f>GBP!B2094/1</f>
        <v>1.4184000000000001</v>
      </c>
      <c r="I2094" s="3">
        <f>GBP!C2094/1</f>
        <v>1.4155</v>
      </c>
      <c r="J2094" s="4">
        <f>1/INR!B2094</f>
        <v>1.5725743041358705E-2</v>
      </c>
      <c r="K2094" s="4">
        <f>1/INR!C2094</f>
        <v>1.5664160401002505E-2</v>
      </c>
      <c r="L2094" s="4">
        <f>1/JPY!B2094</f>
        <v>9.1928663357234777E-3</v>
      </c>
      <c r="M2094" s="4">
        <f>1/JPY!C2094</f>
        <v>9.2063737566792231E-3</v>
      </c>
      <c r="N2094" s="5">
        <f>1/KRW!B2094</f>
        <v>9.3641726753441329E-4</v>
      </c>
      <c r="O2094" s="5">
        <f>1/KRW!C2094</f>
        <v>9.3642138887585708E-4</v>
      </c>
      <c r="P2094" s="3">
        <f>1/NOK!B2094</f>
        <v>0.13002886640834266</v>
      </c>
      <c r="Q2094" s="3">
        <f>1/NOK!C2094</f>
        <v>0.13013547102533737</v>
      </c>
      <c r="R2094" s="3">
        <f>NZD!B2094/1</f>
        <v>0.74019999999999997</v>
      </c>
      <c r="S2094" s="3">
        <f>NZD!C2094/1</f>
        <v>0.7399</v>
      </c>
      <c r="T2094" s="4">
        <f>1/PHP!B2094</f>
        <v>1.9493177387914232E-2</v>
      </c>
      <c r="U2094" s="4">
        <f>1/PHP!C2094</f>
        <v>1.9468509685583568E-2</v>
      </c>
      <c r="V2094" s="4">
        <f>1/TWD!B2094</f>
        <v>3.4302963776070249E-2</v>
      </c>
      <c r="W2094" s="4">
        <f>1/TWD!C2094</f>
        <v>3.4303316787700204E-2</v>
      </c>
      <c r="X2094" s="4">
        <f>1/TWD!B2094</f>
        <v>3.4302963776070249E-2</v>
      </c>
      <c r="Y2094" s="4">
        <f>1/TWD!C2094</f>
        <v>3.4303316787700204E-2</v>
      </c>
      <c r="Z2094" s="4">
        <f>1/ZAR!B2094</f>
        <v>8.4075297836742585E-2</v>
      </c>
      <c r="AA2094" s="4">
        <f>1/ZAR!C2094</f>
        <v>8.4141087775982767E-2</v>
      </c>
    </row>
    <row r="2095" spans="1:27" x14ac:dyDescent="0.25">
      <c r="A2095" t="str">
        <f>"01/02/2018"</f>
        <v>01/02/2018</v>
      </c>
      <c r="B2095" s="3">
        <f>AUD!B2095</f>
        <v>0.79920000000000002</v>
      </c>
      <c r="C2095" s="3">
        <f>AUD!C2095</f>
        <v>0.79910000000000003</v>
      </c>
      <c r="D2095" s="3">
        <f>1/CAD!B2095</f>
        <v>0.81116158338741084</v>
      </c>
      <c r="E2095" s="3">
        <f>1/CAD!C2095</f>
        <v>0.81142486205777353</v>
      </c>
      <c r="F2095" s="3">
        <f>EUR!B2095/1</f>
        <v>1.2435</v>
      </c>
      <c r="G2095" s="3">
        <f>EUR!C2095/1</f>
        <v>1.2457</v>
      </c>
      <c r="H2095" s="3">
        <f>GBP!B2095/1</f>
        <v>1.4232</v>
      </c>
      <c r="I2095" s="3">
        <f>GBP!C2095/1</f>
        <v>1.4247000000000001</v>
      </c>
      <c r="J2095" s="4">
        <f>1/INR!B2095</f>
        <v>1.5618289016438249E-2</v>
      </c>
      <c r="K2095" s="4">
        <f>1/INR!C2095</f>
        <v>1.5560569516844317E-2</v>
      </c>
      <c r="L2095" s="4">
        <f>1/JPY!B2095</f>
        <v>9.1116173120728925E-3</v>
      </c>
      <c r="M2095" s="4">
        <f>1/JPY!C2095</f>
        <v>9.1253031881984269E-3</v>
      </c>
      <c r="N2095" s="5">
        <f>1/KRW!B2095</f>
        <v>9.3274881074526634E-4</v>
      </c>
      <c r="O2095" s="5">
        <f>1/KRW!C2095</f>
        <v>9.3275289985880923E-4</v>
      </c>
      <c r="P2095" s="3">
        <f>1/NOK!B2095</f>
        <v>0.12990555865885503</v>
      </c>
      <c r="Q2095" s="3">
        <f>1/NOK!C2095</f>
        <v>0.13001196110042124</v>
      </c>
      <c r="R2095" s="3">
        <f>NZD!B2095/1</f>
        <v>0.73409999999999997</v>
      </c>
      <c r="S2095" s="3">
        <f>NZD!C2095/1</f>
        <v>0.73380000000000001</v>
      </c>
      <c r="T2095" s="4">
        <f>1/PHP!B2095</f>
        <v>1.9383601473153711E-2</v>
      </c>
      <c r="U2095" s="4">
        <f>1/PHP!C2095</f>
        <v>1.9352653732643089E-2</v>
      </c>
      <c r="V2095" s="4">
        <f>1/TWD!B2095</f>
        <v>3.4239539820584815E-2</v>
      </c>
      <c r="W2095" s="4">
        <f>1/TWD!C2095</f>
        <v>3.423989152802364E-2</v>
      </c>
      <c r="X2095" s="4">
        <f>1/TWD!B2095</f>
        <v>3.4239539820584815E-2</v>
      </c>
      <c r="Y2095" s="4">
        <f>1/TWD!C2095</f>
        <v>3.423989152802364E-2</v>
      </c>
      <c r="Z2095" s="4">
        <f>1/ZAR!B2095</f>
        <v>8.3843380565104389E-2</v>
      </c>
      <c r="AA2095" s="4">
        <f>1/ZAR!C2095</f>
        <v>8.348430077723884E-2</v>
      </c>
    </row>
    <row r="2096" spans="1:27" x14ac:dyDescent="0.25">
      <c r="A2096" t="str">
        <f>"02/02/2018"</f>
        <v>02/02/2018</v>
      </c>
      <c r="B2096" s="3">
        <f>AUD!B2096</f>
        <v>0.79859999999999998</v>
      </c>
      <c r="C2096" s="3">
        <f>AUD!C2096</f>
        <v>0.79849999999999999</v>
      </c>
      <c r="D2096" s="3">
        <f>1/CAD!B2096</f>
        <v>0.81261173411344068</v>
      </c>
      <c r="E2096" s="3">
        <f>1/CAD!C2096</f>
        <v>0.81287595512924726</v>
      </c>
      <c r="F2096" s="3">
        <f>EUR!B2096/1</f>
        <v>1.2491000000000001</v>
      </c>
      <c r="G2096" s="3">
        <f>EUR!C2096/1</f>
        <v>1.2513000000000001</v>
      </c>
      <c r="H2096" s="3">
        <f>GBP!B2096/1</f>
        <v>1.4224000000000001</v>
      </c>
      <c r="I2096" s="3">
        <f>GBP!C2096/1</f>
        <v>1.4238999999999999</v>
      </c>
      <c r="J2096" s="4">
        <f>1/INR!B2096</f>
        <v>1.5607928827844546E-2</v>
      </c>
      <c r="K2096" s="4">
        <f>1/INR!C2096</f>
        <v>1.5549681231534752E-2</v>
      </c>
      <c r="L2096" s="4">
        <f>1/JPY!B2096</f>
        <v>9.0991810737033659E-3</v>
      </c>
      <c r="M2096" s="4">
        <f>1/JPY!C2096</f>
        <v>9.1129541554615303E-3</v>
      </c>
      <c r="N2096" s="5">
        <f>1/KRW!B2096</f>
        <v>9.25754489909276E-4</v>
      </c>
      <c r="O2096" s="5">
        <f>1/KRW!C2096</f>
        <v>9.2575234736079568E-4</v>
      </c>
      <c r="P2096" s="3">
        <f>1/NOK!B2096</f>
        <v>0.13040529967137865</v>
      </c>
      <c r="Q2096" s="3">
        <f>1/NOK!C2096</f>
        <v>0.13051081934692385</v>
      </c>
      <c r="R2096" s="3">
        <f>NZD!B2096/1</f>
        <v>0.73529999999999995</v>
      </c>
      <c r="S2096" s="3">
        <f>NZD!C2096/1</f>
        <v>0.73499999999999999</v>
      </c>
      <c r="T2096" s="4">
        <f>1/PHP!B2096</f>
        <v>1.9428793471925394E-2</v>
      </c>
      <c r="U2096" s="4">
        <f>1/PHP!C2096</f>
        <v>1.94014648105932E-2</v>
      </c>
      <c r="V2096" s="4">
        <f>1/TWD!B2096</f>
        <v>3.4205575508807935E-2</v>
      </c>
      <c r="W2096" s="4">
        <f>1/TWD!C2096</f>
        <v>3.4205926518828651E-2</v>
      </c>
      <c r="X2096" s="4">
        <f>1/TWD!B2096</f>
        <v>3.4205575508807935E-2</v>
      </c>
      <c r="Y2096" s="4">
        <f>1/TWD!C2096</f>
        <v>3.4205926518828651E-2</v>
      </c>
      <c r="Z2096" s="4">
        <f>1/ZAR!B2096</f>
        <v>8.3563830231722494E-2</v>
      </c>
      <c r="AA2096" s="4">
        <f>1/ZAR!C2096</f>
        <v>8.3205751181521667E-2</v>
      </c>
    </row>
    <row r="2097" spans="1:27" x14ac:dyDescent="0.25">
      <c r="A2097" t="str">
        <f>"05/02/2018"</f>
        <v>05/02/2018</v>
      </c>
      <c r="B2097" s="3">
        <f>AUD!B2097</f>
        <v>0.79400000000000004</v>
      </c>
      <c r="C2097" s="3">
        <f>AUD!C2097</f>
        <v>0.79390000000000005</v>
      </c>
      <c r="D2097" s="3">
        <f>1/CAD!B2097</f>
        <v>0.8048289738430584</v>
      </c>
      <c r="E2097" s="3">
        <f>1/CAD!C2097</f>
        <v>0.8050233456770246</v>
      </c>
      <c r="F2097" s="3">
        <f>EUR!B2097/1</f>
        <v>1.2462</v>
      </c>
      <c r="G2097" s="3">
        <f>EUR!C2097/1</f>
        <v>1.2484</v>
      </c>
      <c r="H2097" s="3">
        <f>GBP!B2097/1</f>
        <v>1.4097</v>
      </c>
      <c r="I2097" s="3">
        <f>GBP!C2097/1</f>
        <v>1.4112</v>
      </c>
      <c r="J2097" s="4">
        <f>1/INR!B2097</f>
        <v>1.5607928827844546E-2</v>
      </c>
      <c r="K2097" s="4">
        <f>1/INR!C2097</f>
        <v>1.5550285736500406E-2</v>
      </c>
      <c r="L2097" s="4">
        <f>1/JPY!B2097</f>
        <v>9.1049804242920879E-3</v>
      </c>
      <c r="M2097" s="4">
        <f>1/JPY!C2097</f>
        <v>9.1188625495610184E-3</v>
      </c>
      <c r="N2097" s="5">
        <f>1/KRW!B2097</f>
        <v>9.1861106007716335E-4</v>
      </c>
      <c r="O2097" s="5">
        <f>1/KRW!C2097</f>
        <v>9.186092036190998E-4</v>
      </c>
      <c r="P2097" s="3">
        <f>1/NOK!B2097</f>
        <v>0.12963947262662534</v>
      </c>
      <c r="Q2097" s="3">
        <f>1/NOK!C2097</f>
        <v>0.1297420727593544</v>
      </c>
      <c r="R2097" s="3">
        <f>NZD!B2097/1</f>
        <v>0.73080000000000001</v>
      </c>
      <c r="S2097" s="3">
        <f>NZD!C2097/1</f>
        <v>0.73050000000000004</v>
      </c>
      <c r="T2097" s="4">
        <f>1/PHP!B2097</f>
        <v>1.9409937888198756E-2</v>
      </c>
      <c r="U2097" s="4">
        <f>1/PHP!C2097</f>
        <v>1.9383601473153711E-2</v>
      </c>
      <c r="V2097" s="4">
        <f>1/TWD!B2097</f>
        <v>3.4121540928788344E-2</v>
      </c>
      <c r="W2097" s="4">
        <f>1/TWD!C2097</f>
        <v>3.4121890216230417E-2</v>
      </c>
      <c r="X2097" s="4">
        <f>1/TWD!B2097</f>
        <v>3.4121540928788344E-2</v>
      </c>
      <c r="Y2097" s="4">
        <f>1/TWD!C2097</f>
        <v>3.4121890216230417E-2</v>
      </c>
      <c r="Z2097" s="4">
        <f>1/ZAR!B2097</f>
        <v>8.3052339584406096E-2</v>
      </c>
      <c r="AA2097" s="4">
        <f>1/ZAR!C2097</f>
        <v>8.2697253624207143E-2</v>
      </c>
    </row>
    <row r="2098" spans="1:27" x14ac:dyDescent="0.25">
      <c r="A2098" t="str">
        <f>"06/02/2018"</f>
        <v>06/02/2018</v>
      </c>
      <c r="B2098" s="3">
        <f>AUD!B2098</f>
        <v>0.78610000000000002</v>
      </c>
      <c r="C2098" s="3">
        <f>AUD!C2098</f>
        <v>0.78600000000000003</v>
      </c>
      <c r="D2098" s="3">
        <f>1/CAD!B2098</f>
        <v>0.79757537087254748</v>
      </c>
      <c r="E2098" s="3">
        <f>1/CAD!C2098</f>
        <v>0.7977662544874351</v>
      </c>
      <c r="F2098" s="3">
        <f>EUR!B2098/1</f>
        <v>1.2402</v>
      </c>
      <c r="G2098" s="3">
        <f>EUR!C2098/1</f>
        <v>1.2423999999999999</v>
      </c>
      <c r="H2098" s="3">
        <f>GBP!B2098/1</f>
        <v>1.3947000000000001</v>
      </c>
      <c r="I2098" s="3">
        <f>GBP!C2098/1</f>
        <v>1.3960999999999999</v>
      </c>
      <c r="J2098" s="4">
        <f>1/INR!B2098</f>
        <v>1.556299120690997E-2</v>
      </c>
      <c r="K2098" s="4">
        <f>1/INR!C2098</f>
        <v>1.5505077913016512E-2</v>
      </c>
      <c r="L2098" s="4">
        <f>1/JPY!B2098</f>
        <v>9.1709464416727809E-3</v>
      </c>
      <c r="M2098" s="4">
        <f>1/JPY!C2098</f>
        <v>9.1846341071387567E-3</v>
      </c>
      <c r="N2098" s="5">
        <f>1/KRW!B2098</f>
        <v>9.1625435220817292E-4</v>
      </c>
      <c r="O2098" s="5">
        <f>1/KRW!C2098</f>
        <v>9.1625166574552835E-4</v>
      </c>
      <c r="P2098" s="3">
        <f>1/NOK!B2098</f>
        <v>0.12797542871768619</v>
      </c>
      <c r="Q2098" s="3">
        <f>1/NOK!C2098</f>
        <v>0.12807705115397422</v>
      </c>
      <c r="R2098" s="3">
        <f>NZD!B2098/1</f>
        <v>0.73070000000000002</v>
      </c>
      <c r="S2098" s="3">
        <f>NZD!C2098/1</f>
        <v>0.73040000000000005</v>
      </c>
      <c r="T2098" s="4">
        <f>1/PHP!B2098</f>
        <v>1.9425019425019428E-2</v>
      </c>
      <c r="U2098" s="4">
        <f>1/PHP!C2098</f>
        <v>1.9396760740956261E-2</v>
      </c>
      <c r="V2098" s="4">
        <f>1/TWD!B2098</f>
        <v>3.4029810113659568E-2</v>
      </c>
      <c r="W2098" s="4">
        <f>1/TWD!C2098</f>
        <v>3.4030157525599188E-2</v>
      </c>
      <c r="X2098" s="4">
        <f>1/TWD!B2098</f>
        <v>3.4029810113659568E-2</v>
      </c>
      <c r="Y2098" s="4">
        <f>1/TWD!C2098</f>
        <v>3.4030157525599188E-2</v>
      </c>
      <c r="Z2098" s="4">
        <f>1/ZAR!B2098</f>
        <v>8.2621412165176725E-2</v>
      </c>
      <c r="AA2098" s="4">
        <f>1/ZAR!C2098</f>
        <v>8.2274054876794595E-2</v>
      </c>
    </row>
    <row r="2099" spans="1:27" x14ac:dyDescent="0.25">
      <c r="A2099" t="str">
        <f>"07/02/2018"</f>
        <v>07/02/2018</v>
      </c>
      <c r="B2099" s="3">
        <f>AUD!B2099</f>
        <v>0.78620000000000001</v>
      </c>
      <c r="C2099" s="3">
        <f>AUD!C2099</f>
        <v>0.78610000000000002</v>
      </c>
      <c r="D2099" s="3">
        <f>1/CAD!B2099</f>
        <v>0.79878584551481746</v>
      </c>
      <c r="E2099" s="3">
        <f>1/CAD!C2099</f>
        <v>0.7989773090444231</v>
      </c>
      <c r="F2099" s="3">
        <f>EUR!B2099/1</f>
        <v>1.2345999999999999</v>
      </c>
      <c r="G2099" s="3">
        <f>EUR!C2099/1</f>
        <v>1.2366999999999999</v>
      </c>
      <c r="H2099" s="3">
        <f>GBP!B2099/1</f>
        <v>1.3875</v>
      </c>
      <c r="I2099" s="3">
        <f>GBP!C2099/1</f>
        <v>1.3889</v>
      </c>
      <c r="J2099" s="4">
        <f>1/INR!B2099</f>
        <v>1.555451858764971E-2</v>
      </c>
      <c r="K2099" s="4">
        <f>1/INR!C2099</f>
        <v>1.5496668216333487E-2</v>
      </c>
      <c r="L2099" s="4">
        <f>1/JPY!B2099</f>
        <v>9.1625435220817307E-3</v>
      </c>
      <c r="M2099" s="4">
        <f>1/JPY!C2099</f>
        <v>9.1762229381715278E-3</v>
      </c>
      <c r="N2099" s="5">
        <f>1/KRW!B2099</f>
        <v>9.2021717125241554E-4</v>
      </c>
      <c r="O2099" s="5">
        <f>1/KRW!C2099</f>
        <v>9.202139534250271E-4</v>
      </c>
      <c r="P2099" s="3">
        <f>1/NOK!B2099</f>
        <v>0.12764871074802145</v>
      </c>
      <c r="Q2099" s="3">
        <f>1/NOK!C2099</f>
        <v>0.12774981476276859</v>
      </c>
      <c r="R2099" s="3">
        <f>NZD!B2099/1</f>
        <v>0.73129999999999995</v>
      </c>
      <c r="S2099" s="3">
        <f>NZD!C2099/1</f>
        <v>0.73099999999999998</v>
      </c>
      <c r="T2099" s="4">
        <f>1/PHP!B2099</f>
        <v>1.9554165037152915E-2</v>
      </c>
      <c r="U2099" s="4">
        <f>1/PHP!C2099</f>
        <v>1.9529342837613515E-2</v>
      </c>
      <c r="V2099" s="4">
        <f>1/TWD!B2099</f>
        <v>3.4162339437004648E-2</v>
      </c>
      <c r="W2099" s="4">
        <f>1/TWD!C2099</f>
        <v>3.4162689560223697E-2</v>
      </c>
      <c r="X2099" s="4">
        <f>1/TWD!B2099</f>
        <v>3.4162339437004648E-2</v>
      </c>
      <c r="Y2099" s="4">
        <f>1/TWD!C2099</f>
        <v>3.4162689560223697E-2</v>
      </c>
      <c r="Z2099" s="4">
        <f>1/ZAR!B2099</f>
        <v>8.3528930244990349E-2</v>
      </c>
      <c r="AA2099" s="4">
        <f>1/ZAR!C2099</f>
        <v>8.3175992081645556E-2</v>
      </c>
    </row>
    <row r="2100" spans="1:27" x14ac:dyDescent="0.25">
      <c r="A2100" t="str">
        <f>"08/02/2018"</f>
        <v>08/02/2018</v>
      </c>
      <c r="B2100" s="3">
        <f>AUD!B2100</f>
        <v>0.78049999999999997</v>
      </c>
      <c r="C2100" s="3">
        <f>AUD!C2100</f>
        <v>0.78039999999999998</v>
      </c>
      <c r="D2100" s="3">
        <f>1/CAD!B2100</f>
        <v>0.79409195584848724</v>
      </c>
      <c r="E2100" s="3">
        <f>1/CAD!C2100</f>
        <v>0.79428117553613986</v>
      </c>
      <c r="F2100" s="3">
        <f>EUR!B2100/1</f>
        <v>1.2238</v>
      </c>
      <c r="G2100" s="3">
        <f>EUR!C2100/1</f>
        <v>1.2259</v>
      </c>
      <c r="H2100" s="3">
        <f>GBP!B2100/1</f>
        <v>1.3902000000000001</v>
      </c>
      <c r="I2100" s="3">
        <f>GBP!C2100/1</f>
        <v>1.3915999999999999</v>
      </c>
      <c r="J2100" s="4">
        <f>1/INR!B2100</f>
        <v>1.5561780267662619E-2</v>
      </c>
      <c r="K2100" s="4">
        <f>1/INR!C2100</f>
        <v>1.5503275066857874E-2</v>
      </c>
      <c r="L2100" s="4">
        <f>1/JPY!B2100</f>
        <v>9.1166013310237937E-3</v>
      </c>
      <c r="M2100" s="4">
        <f>1/JPY!C2100</f>
        <v>9.1299770928874729E-3</v>
      </c>
      <c r="N2100" s="5">
        <f>1/KRW!B2100</f>
        <v>9.1911764705882352E-4</v>
      </c>
      <c r="O2100" s="5">
        <f>1/KRW!C2100</f>
        <v>9.1911494377957701E-4</v>
      </c>
      <c r="P2100" s="3">
        <f>1/NOK!B2100</f>
        <v>0.12638550105531893</v>
      </c>
      <c r="Q2100" s="3">
        <f>1/NOK!C2100</f>
        <v>0.1264862130027827</v>
      </c>
      <c r="R2100" s="3">
        <f>NZD!B2100/1</f>
        <v>0.72130000000000005</v>
      </c>
      <c r="S2100" s="3">
        <f>NZD!C2100/1</f>
        <v>0.72099999999999997</v>
      </c>
      <c r="T2100" s="4">
        <f>1/PHP!B2100</f>
        <v>1.9485580670303974E-2</v>
      </c>
      <c r="U2100" s="4">
        <f>1/PHP!C2100</f>
        <v>1.9461689663896619E-2</v>
      </c>
      <c r="V2100" s="4">
        <f>1/TWD!B2100</f>
        <v>3.4022863364180728E-2</v>
      </c>
      <c r="W2100" s="4">
        <f>1/TWD!C2100</f>
        <v>3.4023210634294719E-2</v>
      </c>
      <c r="X2100" s="4">
        <f>1/TWD!B2100</f>
        <v>3.4022863364180728E-2</v>
      </c>
      <c r="Y2100" s="4">
        <f>1/TWD!C2100</f>
        <v>3.4023210634294719E-2</v>
      </c>
      <c r="Z2100" s="4">
        <f>1/ZAR!B2100</f>
        <v>8.2510973959536618E-2</v>
      </c>
      <c r="AA2100" s="4">
        <f>1/ZAR!C2100</f>
        <v>8.2161167345865649E-2</v>
      </c>
    </row>
    <row r="2101" spans="1:27" x14ac:dyDescent="0.25">
      <c r="A2101" t="str">
        <f>"09/02/2018"</f>
        <v>09/02/2018</v>
      </c>
      <c r="B2101" s="3">
        <f>AUD!B2101</f>
        <v>0.77849999999999997</v>
      </c>
      <c r="C2101" s="3">
        <f>AUD!C2101</f>
        <v>0.77839999999999998</v>
      </c>
      <c r="D2101" s="3">
        <f>1/CAD!B2101</f>
        <v>0.79283279156425901</v>
      </c>
      <c r="E2101" s="3">
        <f>1/CAD!C2101</f>
        <v>0.79308430486160686</v>
      </c>
      <c r="F2101" s="3">
        <f>EUR!B2101/1</f>
        <v>1.2243999999999999</v>
      </c>
      <c r="G2101" s="3">
        <f>EUR!C2101/1</f>
        <v>1.2265999999999999</v>
      </c>
      <c r="H2101" s="3">
        <f>GBP!B2101/1</f>
        <v>1.3883000000000001</v>
      </c>
      <c r="I2101" s="3">
        <f>GBP!C2101/1</f>
        <v>1.3897999999999999</v>
      </c>
      <c r="J2101" s="4">
        <f>1/INR!B2101</f>
        <v>1.5527950310559004E-2</v>
      </c>
      <c r="K2101" s="4">
        <f>1/INR!C2101</f>
        <v>1.5468502262268457E-2</v>
      </c>
      <c r="L2101" s="4">
        <f>1/JPY!B2101</f>
        <v>9.1709464416727809E-3</v>
      </c>
      <c r="M2101" s="4">
        <f>1/JPY!C2101</f>
        <v>9.1851065334581285E-3</v>
      </c>
      <c r="N2101" s="5">
        <f>1/KRW!B2101</f>
        <v>9.1558322651529023E-4</v>
      </c>
      <c r="O2101" s="5">
        <f>1/KRW!C2101</f>
        <v>9.1558087930190249E-4</v>
      </c>
      <c r="P2101" s="3">
        <f>1/NOK!B2101</f>
        <v>0.12471627048464742</v>
      </c>
      <c r="Q2101" s="3">
        <f>1/NOK!C2101</f>
        <v>0.12481745447283349</v>
      </c>
      <c r="R2101" s="3">
        <f>NZD!B2101/1</f>
        <v>0.72219999999999995</v>
      </c>
      <c r="S2101" s="3">
        <f>NZD!C2101/1</f>
        <v>0.72189999999999999</v>
      </c>
      <c r="T2101" s="4">
        <f>1/PHP!B2101</f>
        <v>1.9413706076490001E-2</v>
      </c>
      <c r="U2101" s="4">
        <f>1/PHP!C2101</f>
        <v>1.9385480275273821E-2</v>
      </c>
      <c r="V2101" s="4">
        <f>1/TWD!B2101</f>
        <v>3.4005508892440577E-2</v>
      </c>
      <c r="W2101" s="4">
        <f>1/TWD!C2101</f>
        <v>3.4005855808370199E-2</v>
      </c>
      <c r="X2101" s="4">
        <f>1/TWD!B2101</f>
        <v>3.4005508892440577E-2</v>
      </c>
      <c r="Y2101" s="4">
        <f>1/TWD!C2101</f>
        <v>3.4005855808370199E-2</v>
      </c>
      <c r="Z2101" s="4">
        <f>1/ZAR!B2101</f>
        <v>8.2637798529047179E-2</v>
      </c>
      <c r="AA2101" s="4">
        <f>1/ZAR!C2101</f>
        <v>8.2288949416982796E-2</v>
      </c>
    </row>
    <row r="2102" spans="1:27" x14ac:dyDescent="0.25">
      <c r="A2102" t="str">
        <f>"12/02/2018"</f>
        <v>12/02/2018</v>
      </c>
      <c r="B2102" s="3">
        <f>AUD!B2102</f>
        <v>0.7833</v>
      </c>
      <c r="C2102" s="3">
        <f>AUD!C2102</f>
        <v>0.78320000000000001</v>
      </c>
      <c r="D2102" s="3">
        <f>1/CAD!B2102</f>
        <v>0.79598821937435327</v>
      </c>
      <c r="E2102" s="3">
        <f>1/CAD!C2102</f>
        <v>0.79624173899195794</v>
      </c>
      <c r="F2102" s="3">
        <f>EUR!B2102/1</f>
        <v>1.2270000000000001</v>
      </c>
      <c r="G2102" s="3">
        <f>EUR!C2102/1</f>
        <v>1.2292000000000001</v>
      </c>
      <c r="H2102" s="3">
        <f>GBP!B2102/1</f>
        <v>1.3865000000000001</v>
      </c>
      <c r="I2102" s="3">
        <f>GBP!C2102/1</f>
        <v>1.3879999999999999</v>
      </c>
      <c r="J2102" s="4">
        <f>1/INR!B2102</f>
        <v>1.5547867998600693E-2</v>
      </c>
      <c r="K2102" s="4">
        <f>1/INR!C2102</f>
        <v>1.5489467162329615E-2</v>
      </c>
      <c r="L2102" s="4">
        <f>1/JPY!B2102</f>
        <v>9.2064076597311723E-3</v>
      </c>
      <c r="M2102" s="4">
        <f>1/JPY!C2102</f>
        <v>9.2207795800303728E-3</v>
      </c>
      <c r="N2102" s="5">
        <f>1/KRW!B2102</f>
        <v>9.2199889360132774E-4</v>
      </c>
      <c r="O2102" s="5">
        <f>1/KRW!C2102</f>
        <v>9.2199719344054313E-4</v>
      </c>
      <c r="P2102" s="3">
        <f>1/NOK!B2102</f>
        <v>0.12576717979676025</v>
      </c>
      <c r="Q2102" s="3">
        <f>1/NOK!C2102</f>
        <v>0.12586849259893262</v>
      </c>
      <c r="R2102" s="3">
        <f>NZD!B2102/1</f>
        <v>0.7248</v>
      </c>
      <c r="S2102" s="3">
        <f>NZD!C2102/1</f>
        <v>0.72450000000000003</v>
      </c>
      <c r="T2102" s="4">
        <f>1/PHP!B2102</f>
        <v>1.9311729944768454E-2</v>
      </c>
      <c r="U2102" s="4">
        <f>1/PHP!C2102</f>
        <v>1.9289379267775162E-2</v>
      </c>
      <c r="V2102" s="4">
        <f>1/TWD!B2102</f>
        <v>3.4011291748860618E-2</v>
      </c>
      <c r="W2102" s="4">
        <f>1/TWD!C2102</f>
        <v>3.4011638782791467E-2</v>
      </c>
      <c r="X2102" s="4">
        <f>1/TWD!B2102</f>
        <v>3.4011291748860618E-2</v>
      </c>
      <c r="Y2102" s="4">
        <f>1/TWD!C2102</f>
        <v>3.4011638782791467E-2</v>
      </c>
      <c r="Z2102" s="4">
        <f>1/ZAR!B2102</f>
        <v>8.3675706432151553E-2</v>
      </c>
      <c r="AA2102" s="4">
        <f>1/ZAR!C2102</f>
        <v>8.3322917968587262E-2</v>
      </c>
    </row>
    <row r="2103" spans="1:27" x14ac:dyDescent="0.25">
      <c r="A2103" t="str">
        <f>"14/02/2018"</f>
        <v>14/02/2018</v>
      </c>
      <c r="B2103" s="3">
        <f>AUD!B2103</f>
        <v>0.7863</v>
      </c>
      <c r="C2103" s="3">
        <f>AUD!C2103</f>
        <v>0.78620000000000001</v>
      </c>
      <c r="D2103" s="3">
        <f>1/CAD!B2103</f>
        <v>0.79503895690888848</v>
      </c>
      <c r="E2103" s="3">
        <f>1/CAD!C2103</f>
        <v>0.79529187211706687</v>
      </c>
      <c r="F2103" s="3">
        <f>EUR!B2103/1</f>
        <v>1.2346999999999999</v>
      </c>
      <c r="G2103" s="3">
        <f>EUR!C2103/1</f>
        <v>1.2369000000000001</v>
      </c>
      <c r="H2103" s="3">
        <f>GBP!B2103/1</f>
        <v>1.3848</v>
      </c>
      <c r="I2103" s="3">
        <f>GBP!C2103/1</f>
        <v>1.3862000000000001</v>
      </c>
      <c r="J2103" s="4">
        <f>1/INR!B2103</f>
        <v>1.5603058199407082E-2</v>
      </c>
      <c r="K2103" s="4">
        <f>1/INR!C2103</f>
        <v>1.5543034777540314E-2</v>
      </c>
      <c r="L2103" s="4">
        <f>1/JPY!B2103</f>
        <v>9.3092533978774896E-3</v>
      </c>
      <c r="M2103" s="4">
        <f>1/JPY!C2103</f>
        <v>9.3231748020689981E-3</v>
      </c>
      <c r="N2103" s="5">
        <f>1/KRW!B2103</f>
        <v>9.2824654228163006E-4</v>
      </c>
      <c r="O2103" s="5">
        <f>1/KRW!C2103</f>
        <v>9.2824464667388583E-4</v>
      </c>
      <c r="P2103" s="3">
        <f>1/NOK!B2103</f>
        <v>0.12697284050941504</v>
      </c>
      <c r="Q2103" s="3">
        <f>1/NOK!C2103</f>
        <v>0.12707287629455491</v>
      </c>
      <c r="R2103" s="3">
        <f>NZD!B2103/1</f>
        <v>0.73099999999999998</v>
      </c>
      <c r="S2103" s="3">
        <f>NZD!C2103/1</f>
        <v>0.73080000000000001</v>
      </c>
      <c r="T2103" s="4">
        <f>1/PHP!B2103</f>
        <v>1.9179133103183737E-2</v>
      </c>
      <c r="U2103" s="4">
        <f>1/PHP!C2103</f>
        <v>1.9153418885271022E-2</v>
      </c>
      <c r="V2103" s="4">
        <f>1/TWD!B2103</f>
        <v>3.4079678287836965E-2</v>
      </c>
      <c r="W2103" s="4">
        <f>1/TWD!C2103</f>
        <v>3.4080026718740948E-2</v>
      </c>
      <c r="X2103" s="4">
        <f>1/TWD!B2103</f>
        <v>3.4079678287836965E-2</v>
      </c>
      <c r="Y2103" s="4">
        <f>1/TWD!C2103</f>
        <v>3.4080026718740948E-2</v>
      </c>
      <c r="Z2103" s="4">
        <f>1/ZAR!B2103</f>
        <v>8.4604516189074178E-2</v>
      </c>
      <c r="AA2103" s="4">
        <f>1/ZAR!C2103</f>
        <v>8.4247417816643924E-2</v>
      </c>
    </row>
    <row r="2104" spans="1:27" x14ac:dyDescent="0.25">
      <c r="A2104" t="str">
        <f>"15/02/2018"</f>
        <v>15/02/2018</v>
      </c>
      <c r="B2104" s="3">
        <f>AUD!B2104</f>
        <v>0.79279999999999995</v>
      </c>
      <c r="C2104" s="3">
        <f>AUD!C2104</f>
        <v>0.79269999999999996</v>
      </c>
      <c r="D2104" s="3">
        <f>1/CAD!B2104</f>
        <v>0.80076873798846904</v>
      </c>
      <c r="E2104" s="3">
        <f>1/CAD!C2104</f>
        <v>0.80102531239987185</v>
      </c>
      <c r="F2104" s="3">
        <f>EUR!B2104/1</f>
        <v>1.2476</v>
      </c>
      <c r="G2104" s="3">
        <f>EUR!C2104/1</f>
        <v>1.2498</v>
      </c>
      <c r="H2104" s="3">
        <f>GBP!B2104/1</f>
        <v>1.4051</v>
      </c>
      <c r="I2104" s="3">
        <f>GBP!C2104/1</f>
        <v>1.4065000000000001</v>
      </c>
      <c r="J2104" s="4">
        <f>1/INR!B2104</f>
        <v>1.5645779550966125E-2</v>
      </c>
      <c r="K2104" s="4">
        <f>1/INR!C2104</f>
        <v>1.5586642247593813E-2</v>
      </c>
      <c r="L2104" s="4">
        <f>1/JPY!B2104</f>
        <v>9.3799831160303916E-3</v>
      </c>
      <c r="M2104" s="4">
        <f>1/JPY!C2104</f>
        <v>9.3940552539541929E-3</v>
      </c>
      <c r="N2104" s="5">
        <f>1/KRW!B2104</f>
        <v>9.2824654228163006E-4</v>
      </c>
      <c r="O2104" s="5">
        <f>1/KRW!C2104</f>
        <v>9.2824464667388583E-4</v>
      </c>
      <c r="P2104" s="3">
        <f>1/NOK!B2104</f>
        <v>0.12830217728794857</v>
      </c>
      <c r="Q2104" s="3">
        <f>1/NOK!C2104</f>
        <v>0.12839607621591084</v>
      </c>
      <c r="R2104" s="3">
        <f>NZD!B2104/1</f>
        <v>0.73850000000000005</v>
      </c>
      <c r="S2104" s="3">
        <f>NZD!C2104/1</f>
        <v>0.73829999999999996</v>
      </c>
      <c r="T2104" s="4">
        <f>1/PHP!B2104</f>
        <v>1.9227071716977504E-2</v>
      </c>
      <c r="U2104" s="4">
        <f>1/PHP!C2104</f>
        <v>1.9203072491598656E-2</v>
      </c>
      <c r="V2104" s="4">
        <f>1/TWD!B2104</f>
        <v>3.4079678287836965E-2</v>
      </c>
      <c r="W2104" s="4">
        <f>1/TWD!C2104</f>
        <v>3.4080026718740948E-2</v>
      </c>
      <c r="X2104" s="4">
        <f>1/TWD!B2104</f>
        <v>3.4079678287836965E-2</v>
      </c>
      <c r="Y2104" s="4">
        <f>1/TWD!C2104</f>
        <v>3.4080026718740948E-2</v>
      </c>
      <c r="Z2104" s="4">
        <f>1/ZAR!B2104</f>
        <v>8.5653838576775818E-2</v>
      </c>
      <c r="AA2104" s="4">
        <f>1/ZAR!C2104</f>
        <v>8.5291483645358004E-2</v>
      </c>
    </row>
    <row r="2105" spans="1:27" x14ac:dyDescent="0.25">
      <c r="A2105" t="str">
        <f>"16/02/2018"</f>
        <v>16/02/2018</v>
      </c>
      <c r="B2105" s="3">
        <f>AUD!B2105</f>
        <v>0.79579999999999995</v>
      </c>
      <c r="C2105" s="3">
        <f>AUD!C2105</f>
        <v>0.79569999999999996</v>
      </c>
      <c r="D2105" s="3">
        <f>1/CAD!B2105</f>
        <v>0.80153895479320292</v>
      </c>
      <c r="E2105" s="3">
        <f>1/CAD!C2105</f>
        <v>0.80179602309172537</v>
      </c>
      <c r="F2105" s="3">
        <f>EUR!B2105/1</f>
        <v>1.2485999999999999</v>
      </c>
      <c r="G2105" s="3">
        <f>EUR!C2105/1</f>
        <v>1.2507999999999999</v>
      </c>
      <c r="H2105" s="3">
        <f>GBP!B2105/1</f>
        <v>1.4068000000000001</v>
      </c>
      <c r="I2105" s="3">
        <f>GBP!C2105/1</f>
        <v>1.4081999999999999</v>
      </c>
      <c r="J2105" s="4">
        <f>1/INR!B2105</f>
        <v>1.5571473061351605E-2</v>
      </c>
      <c r="K2105" s="4">
        <f>1/INR!C2105</f>
        <v>1.5512895094046925E-2</v>
      </c>
      <c r="L2105" s="4">
        <f>1/JPY!B2105</f>
        <v>9.4188565508147304E-3</v>
      </c>
      <c r="M2105" s="4">
        <f>1/JPY!C2105</f>
        <v>9.4328676955409887E-3</v>
      </c>
      <c r="N2105" s="5">
        <f>1/KRW!B2105</f>
        <v>9.2824654228163006E-4</v>
      </c>
      <c r="O2105" s="5">
        <f>1/KRW!C2105</f>
        <v>9.2825128133486247E-4</v>
      </c>
      <c r="P2105" s="3">
        <f>1/NOK!B2105</f>
        <v>0.128801246796069</v>
      </c>
      <c r="Q2105" s="3">
        <f>1/NOK!C2105</f>
        <v>0.12889753934597389</v>
      </c>
      <c r="R2105" s="3">
        <f>NZD!B2105/1</f>
        <v>0.74109999999999998</v>
      </c>
      <c r="S2105" s="3">
        <f>NZD!C2105/1</f>
        <v>0.7409</v>
      </c>
      <c r="T2105" s="4">
        <f>1/PHP!B2105</f>
        <v>1.9227071716977504E-2</v>
      </c>
      <c r="U2105" s="4">
        <f>1/PHP!C2105</f>
        <v>1.9203072491598656E-2</v>
      </c>
      <c r="V2105" s="4">
        <f>1/TWD!B2105</f>
        <v>3.4079678287836965E-2</v>
      </c>
      <c r="W2105" s="4">
        <f>1/TWD!C2105</f>
        <v>3.4080026718740948E-2</v>
      </c>
      <c r="X2105" s="4">
        <f>1/TWD!B2105</f>
        <v>3.4079678287836965E-2</v>
      </c>
      <c r="Y2105" s="4">
        <f>1/TWD!C2105</f>
        <v>3.4080026718740948E-2</v>
      </c>
      <c r="Z2105" s="4">
        <f>1/ZAR!B2105</f>
        <v>8.5976390883063511E-2</v>
      </c>
      <c r="AA2105" s="4">
        <f>1/ZAR!C2105</f>
        <v>8.5611307541500078E-2</v>
      </c>
    </row>
    <row r="2106" spans="1:27" x14ac:dyDescent="0.25">
      <c r="A2106" t="str">
        <f>"20/02/2018"</f>
        <v>20/02/2018</v>
      </c>
      <c r="B2106" s="3">
        <f>AUD!B2106</f>
        <v>0.78910000000000002</v>
      </c>
      <c r="C2106" s="3">
        <f>AUD!C2106</f>
        <v>0.78900000000000003</v>
      </c>
      <c r="D2106" s="3">
        <f>1/CAD!B2106</f>
        <v>0.79371378680847682</v>
      </c>
      <c r="E2106" s="3">
        <f>1/CAD!C2106</f>
        <v>0.79396585946804288</v>
      </c>
      <c r="F2106" s="3">
        <f>EUR!B2106/1</f>
        <v>1.2337</v>
      </c>
      <c r="G2106" s="3">
        <f>EUR!C2106/1</f>
        <v>1.2359</v>
      </c>
      <c r="H2106" s="3">
        <f>GBP!B2106/1</f>
        <v>1.3974</v>
      </c>
      <c r="I2106" s="3">
        <f>GBP!C2106/1</f>
        <v>1.3988</v>
      </c>
      <c r="J2106" s="4">
        <f>1/INR!B2106</f>
        <v>1.543328960567945E-2</v>
      </c>
      <c r="K2106" s="4">
        <f>1/INR!C2106</f>
        <v>1.5374562785870776E-2</v>
      </c>
      <c r="L2106" s="4">
        <f>1/JPY!B2106</f>
        <v>9.336196433572962E-3</v>
      </c>
      <c r="M2106" s="4">
        <f>1/JPY!C2106</f>
        <v>9.3498576484173021E-3</v>
      </c>
      <c r="N2106" s="5">
        <f>1/KRW!B2106</f>
        <v>9.3153237074988359E-4</v>
      </c>
      <c r="O2106" s="5">
        <f>1/KRW!C2106</f>
        <v>9.3153080879789863E-4</v>
      </c>
      <c r="P2106" s="3">
        <f>1/NOK!B2106</f>
        <v>0.12756566442576317</v>
      </c>
      <c r="Q2106" s="3">
        <f>1/NOK!C2106</f>
        <v>0.12765522875816995</v>
      </c>
      <c r="R2106" s="3">
        <f>NZD!B2106/1</f>
        <v>0.73609999999999998</v>
      </c>
      <c r="S2106" s="3">
        <f>NZD!C2106/1</f>
        <v>0.73580000000000001</v>
      </c>
      <c r="T2106" s="4">
        <f>1/PHP!B2106</f>
        <v>1.9138755980861243E-2</v>
      </c>
      <c r="U2106" s="4">
        <f>1/PHP!C2106</f>
        <v>1.911424584743009E-2</v>
      </c>
      <c r="V2106" s="4">
        <f>1/TWD!B2106</f>
        <v>3.4079678287836965E-2</v>
      </c>
      <c r="W2106" s="4">
        <f>1/TWD!C2106</f>
        <v>3.4080026718740948E-2</v>
      </c>
      <c r="X2106" s="4">
        <f>1/TWD!B2106</f>
        <v>3.4079678287836965E-2</v>
      </c>
      <c r="Y2106" s="4">
        <f>1/TWD!C2106</f>
        <v>3.4080026718740948E-2</v>
      </c>
      <c r="Z2106" s="4">
        <f>1/ZAR!B2106</f>
        <v>8.5017386055448341E-2</v>
      </c>
      <c r="AA2106" s="4">
        <f>1/ZAR!C2106</f>
        <v>8.4656084656084651E-2</v>
      </c>
    </row>
    <row r="2107" spans="1:27" x14ac:dyDescent="0.25">
      <c r="A2107" t="str">
        <f>"21/02/2018"</f>
        <v>21/02/2018</v>
      </c>
      <c r="B2107" s="3">
        <f>AUD!B2107</f>
        <v>0.78520000000000001</v>
      </c>
      <c r="C2107" s="3">
        <f>AUD!C2107</f>
        <v>0.78510000000000002</v>
      </c>
      <c r="D2107" s="3">
        <f>1/CAD!B2107</f>
        <v>0.78976465013426</v>
      </c>
      <c r="E2107" s="3">
        <f>1/CAD!C2107</f>
        <v>0.79007663743383105</v>
      </c>
      <c r="F2107" s="3">
        <f>EUR!B2107/1</f>
        <v>1.2319</v>
      </c>
      <c r="G2107" s="3">
        <f>EUR!C2107/1</f>
        <v>1.2341</v>
      </c>
      <c r="H2107" s="3">
        <f>GBP!B2107/1</f>
        <v>1.3927</v>
      </c>
      <c r="I2107" s="3">
        <f>GBP!C2107/1</f>
        <v>1.3940999999999999</v>
      </c>
      <c r="J2107" s="4">
        <f>1/INR!B2107</f>
        <v>1.5437458994249545E-2</v>
      </c>
      <c r="K2107" s="4">
        <f>1/INR!C2107</f>
        <v>1.5379883112888343E-2</v>
      </c>
      <c r="L2107" s="4">
        <f>1/JPY!B2107</f>
        <v>9.3057882002605622E-3</v>
      </c>
      <c r="M2107" s="4">
        <f>1/JPY!C2107</f>
        <v>9.3198208357642542E-3</v>
      </c>
      <c r="N2107" s="5">
        <f>1/KRW!B2107</f>
        <v>9.2910898448388005E-4</v>
      </c>
      <c r="O2107" s="5">
        <f>1/KRW!C2107</f>
        <v>9.2910812124117703E-4</v>
      </c>
      <c r="P2107" s="3">
        <f>1/NOK!B2107</f>
        <v>0.12743723716069835</v>
      </c>
      <c r="Q2107" s="3">
        <f>1/NOK!C2107</f>
        <v>0.12752336865730646</v>
      </c>
      <c r="R2107" s="3">
        <f>NZD!B2107/1</f>
        <v>0.73419999999999996</v>
      </c>
      <c r="S2107" s="3">
        <f>NZD!C2107/1</f>
        <v>0.7339</v>
      </c>
      <c r="T2107" s="4">
        <f>1/PHP!B2107</f>
        <v>1.9182812200268559E-2</v>
      </c>
      <c r="U2107" s="4">
        <f>1/PHP!C2107</f>
        <v>1.9157822138779264E-2</v>
      </c>
      <c r="V2107" s="4">
        <f>1/TWD!B2107</f>
        <v>3.4193879295606085E-2</v>
      </c>
      <c r="W2107" s="4">
        <f>1/TWD!C2107</f>
        <v>3.4194230065618725E-2</v>
      </c>
      <c r="X2107" s="4">
        <f>1/TWD!B2107</f>
        <v>3.4193879295606085E-2</v>
      </c>
      <c r="Y2107" s="4">
        <f>1/TWD!C2107</f>
        <v>3.4194230065618725E-2</v>
      </c>
      <c r="Z2107" s="4">
        <f>1/ZAR!B2107</f>
        <v>8.5204277254718186E-2</v>
      </c>
      <c r="AA2107" s="4">
        <f>1/ZAR!C2107</f>
        <v>8.4843548496572316E-2</v>
      </c>
    </row>
    <row r="2108" spans="1:27" x14ac:dyDescent="0.25">
      <c r="A2108" t="str">
        <f>"22/02/2018"</f>
        <v>22/02/2018</v>
      </c>
      <c r="B2108" s="3">
        <f>AUD!B2108</f>
        <v>0.78200000000000003</v>
      </c>
      <c r="C2108" s="3">
        <f>AUD!C2108</f>
        <v>0.78190000000000004</v>
      </c>
      <c r="D2108" s="3">
        <f>1/CAD!B2108</f>
        <v>0.78795997163344111</v>
      </c>
      <c r="E2108" s="3">
        <f>1/CAD!C2108</f>
        <v>0.78827053444742234</v>
      </c>
      <c r="F2108" s="3">
        <f>EUR!B2108/1</f>
        <v>1.2281</v>
      </c>
      <c r="G2108" s="3">
        <f>EUR!C2108/1</f>
        <v>1.2302999999999999</v>
      </c>
      <c r="H2108" s="3">
        <f>GBP!B2108/1</f>
        <v>1.3873</v>
      </c>
      <c r="I2108" s="3">
        <f>GBP!C2108/1</f>
        <v>1.3887</v>
      </c>
      <c r="J2108" s="4">
        <f>1/INR!B2108</f>
        <v>1.5372790161414298E-2</v>
      </c>
      <c r="K2108" s="4">
        <f>1/INR!C2108</f>
        <v>1.5316867700555238E-2</v>
      </c>
      <c r="L2108" s="4">
        <f>1/JPY!B2108</f>
        <v>9.3127211771279576E-3</v>
      </c>
      <c r="M2108" s="4">
        <f>1/JPY!C2108</f>
        <v>9.3268704339139925E-3</v>
      </c>
      <c r="N2108" s="5">
        <f>1/KRW!B2108</f>
        <v>9.2216894135005521E-4</v>
      </c>
      <c r="O2108" s="5">
        <f>1/KRW!C2108</f>
        <v>9.2216707048362685E-4</v>
      </c>
      <c r="P2108" s="3">
        <f>1/NOK!B2108</f>
        <v>0.12660631765525099</v>
      </c>
      <c r="Q2108" s="3">
        <f>1/NOK!C2108</f>
        <v>0.1266961446363187</v>
      </c>
      <c r="R2108" s="3">
        <f>NZD!B2108/1</f>
        <v>0.73319999999999996</v>
      </c>
      <c r="S2108" s="3">
        <f>NZD!C2108/1</f>
        <v>0.7329</v>
      </c>
      <c r="T2108" s="4">
        <f>1/PHP!B2108</f>
        <v>1.9179133103183737E-2</v>
      </c>
      <c r="U2108" s="4">
        <f>1/PHP!C2108</f>
        <v>1.9151218017465912E-2</v>
      </c>
      <c r="V2108" s="4">
        <f>1/TWD!B2108</f>
        <v>3.4128528036585781E-2</v>
      </c>
      <c r="W2108" s="4">
        <f>1/TWD!C2108</f>
        <v>3.4128877467091229E-2</v>
      </c>
      <c r="X2108" s="4">
        <f>1/TWD!B2108</f>
        <v>3.4128528036585781E-2</v>
      </c>
      <c r="Y2108" s="4">
        <f>1/TWD!C2108</f>
        <v>3.4128877467091229E-2</v>
      </c>
      <c r="Z2108" s="4">
        <f>1/ZAR!B2108</f>
        <v>8.5476660597823773E-2</v>
      </c>
      <c r="AA2108" s="4">
        <f>1/ZAR!C2108</f>
        <v>8.5119422549837412E-2</v>
      </c>
    </row>
    <row r="2109" spans="1:27" x14ac:dyDescent="0.25">
      <c r="A2109" t="str">
        <f>"23/02/2018"</f>
        <v>23/02/2018</v>
      </c>
      <c r="B2109" s="3">
        <f>AUD!B2109</f>
        <v>0.78139999999999998</v>
      </c>
      <c r="C2109" s="3">
        <f>AUD!C2109</f>
        <v>0.78129999999999999</v>
      </c>
      <c r="D2109" s="3">
        <f>1/CAD!B2109</f>
        <v>0.78684396884097885</v>
      </c>
      <c r="E2109" s="3">
        <f>1/CAD!C2109</f>
        <v>0.7871536523929471</v>
      </c>
      <c r="F2109" s="3">
        <f>EUR!B2109/1</f>
        <v>1.23</v>
      </c>
      <c r="G2109" s="3">
        <f>EUR!C2109/1</f>
        <v>1.2322</v>
      </c>
      <c r="H2109" s="3">
        <f>GBP!B2109/1</f>
        <v>1.3947000000000001</v>
      </c>
      <c r="I2109" s="3">
        <f>GBP!C2109/1</f>
        <v>1.3960999999999999</v>
      </c>
      <c r="J2109" s="4">
        <f>1/INR!B2109</f>
        <v>1.5448190630672383E-2</v>
      </c>
      <c r="K2109" s="4">
        <f>1/INR!C2109</f>
        <v>1.5391719255040789E-2</v>
      </c>
      <c r="L2109" s="4">
        <f>1/JPY!B2109</f>
        <v>9.3597903406963685E-3</v>
      </c>
      <c r="M2109" s="4">
        <f>1/JPY!C2109</f>
        <v>9.3742236971000835E-3</v>
      </c>
      <c r="N2109" s="5">
        <f>1/KRW!B2109</f>
        <v>9.2678405931417981E-4</v>
      </c>
      <c r="O2109" s="5">
        <f>1/KRW!C2109</f>
        <v>9.2678216967490902E-4</v>
      </c>
      <c r="P2109" s="3">
        <f>1/NOK!B2109</f>
        <v>0.12709225626882556</v>
      </c>
      <c r="Q2109" s="3">
        <f>1/NOK!C2109</f>
        <v>0.12718277436504</v>
      </c>
      <c r="R2109" s="3">
        <f>NZD!B2109/1</f>
        <v>0.72909999999999997</v>
      </c>
      <c r="S2109" s="3">
        <f>NZD!C2109/1</f>
        <v>0.72889999999999999</v>
      </c>
      <c r="T2109" s="4">
        <f>1/PHP!B2109</f>
        <v>1.9264110961279137E-2</v>
      </c>
      <c r="U2109" s="4">
        <f>1/PHP!C2109</f>
        <v>1.9234468166955183E-2</v>
      </c>
      <c r="V2109" s="4">
        <f>1/TWD!B2109</f>
        <v>3.41180484476288E-2</v>
      </c>
      <c r="W2109" s="4">
        <f>1/TWD!C2109</f>
        <v>3.4118514070475205E-2</v>
      </c>
      <c r="X2109" s="4">
        <f>1/TWD!B2109</f>
        <v>3.41180484476288E-2</v>
      </c>
      <c r="Y2109" s="4">
        <f>1/TWD!C2109</f>
        <v>3.4118514070475205E-2</v>
      </c>
      <c r="Z2109" s="4">
        <f>1/ZAR!B2109</f>
        <v>8.6120775775948191E-2</v>
      </c>
      <c r="AA2109" s="4">
        <f>1/ZAR!C2109</f>
        <v>8.5761086764491484E-2</v>
      </c>
    </row>
    <row r="2110" spans="1:27" x14ac:dyDescent="0.25">
      <c r="A2110" t="str">
        <f>"26/02/2018"</f>
        <v>26/02/2018</v>
      </c>
      <c r="B2110" s="3">
        <f>AUD!B2110</f>
        <v>0.78639999999999999</v>
      </c>
      <c r="C2110" s="3">
        <f>AUD!C2110</f>
        <v>0.78639999999999999</v>
      </c>
      <c r="D2110" s="3">
        <f>1/CAD!B2110</f>
        <v>0.79145231499802138</v>
      </c>
      <c r="E2110" s="3">
        <f>1/CAD!C2110</f>
        <v>0.79176563737133809</v>
      </c>
      <c r="F2110" s="3">
        <f>EUR!B2110/1</f>
        <v>1.2338</v>
      </c>
      <c r="G2110" s="3">
        <f>EUR!C2110/1</f>
        <v>1.2361</v>
      </c>
      <c r="H2110" s="3">
        <f>GBP!B2110/1</f>
        <v>1.4051</v>
      </c>
      <c r="I2110" s="3">
        <f>GBP!C2110/1</f>
        <v>1.4066000000000001</v>
      </c>
      <c r="J2110" s="4">
        <f>1/INR!B2110</f>
        <v>1.54320987654321E-2</v>
      </c>
      <c r="K2110" s="4">
        <f>1/INR!C2110</f>
        <v>1.5373971865631485E-2</v>
      </c>
      <c r="L2110" s="4">
        <f>1/JPY!B2110</f>
        <v>9.3755859741233832E-3</v>
      </c>
      <c r="M2110" s="4">
        <f>1/JPY!C2110</f>
        <v>9.3912850752758455E-3</v>
      </c>
      <c r="N2110" s="5">
        <f>1/KRW!B2110</f>
        <v>9.3153237074988359E-4</v>
      </c>
      <c r="O2110" s="5">
        <f>1/KRW!C2110</f>
        <v>9.3153046169816892E-4</v>
      </c>
      <c r="P2110" s="3">
        <f>1/NOK!B2110</f>
        <v>0.12817062073031618</v>
      </c>
      <c r="Q2110" s="3">
        <f>1/NOK!C2110</f>
        <v>0.12826597232020318</v>
      </c>
      <c r="R2110" s="3">
        <f>NZD!B2110/1</f>
        <v>0.73299999999999998</v>
      </c>
      <c r="S2110" s="3">
        <f>NZD!C2110/1</f>
        <v>0.73280000000000001</v>
      </c>
      <c r="T2110" s="4">
        <f>1/PHP!B2110</f>
        <v>1.9278966647387701E-2</v>
      </c>
      <c r="U2110" s="4">
        <f>1/PHP!C2110</f>
        <v>1.924761089029824E-2</v>
      </c>
      <c r="V2110" s="4">
        <f>1/TWD!B2110</f>
        <v>3.4203235626090227E-2</v>
      </c>
      <c r="W2110" s="4">
        <f>1/TWD!C2110</f>
        <v>3.420370357702332E-2</v>
      </c>
      <c r="X2110" s="4">
        <f>1/TWD!B2110</f>
        <v>3.4203235626090227E-2</v>
      </c>
      <c r="Y2110" s="4">
        <f>1/TWD!C2110</f>
        <v>3.420370357702332E-2</v>
      </c>
      <c r="Z2110" s="4">
        <f>1/ZAR!B2110</f>
        <v>8.6393088552915775E-2</v>
      </c>
      <c r="AA2110" s="4">
        <f>1/ZAR!C2110</f>
        <v>8.602076541277065E-2</v>
      </c>
    </row>
    <row r="2111" spans="1:27" x14ac:dyDescent="0.25">
      <c r="A2111" t="str">
        <f>"27/02/2018"</f>
        <v>27/02/2018</v>
      </c>
      <c r="B2111" s="3">
        <f>AUD!B2111</f>
        <v>0.7843</v>
      </c>
      <c r="C2111" s="3">
        <f>AUD!C2111</f>
        <v>0.7843</v>
      </c>
      <c r="D2111" s="3">
        <f>1/CAD!B2111</f>
        <v>0.78777375137860406</v>
      </c>
      <c r="E2111" s="3">
        <f>1/CAD!C2111</f>
        <v>0.78808416738907716</v>
      </c>
      <c r="F2111" s="3">
        <f>EUR!B2111/1</f>
        <v>1.2321</v>
      </c>
      <c r="G2111" s="3">
        <f>EUR!C2111/1</f>
        <v>1.2352000000000001</v>
      </c>
      <c r="H2111" s="3">
        <f>GBP!B2111/1</f>
        <v>1.3969</v>
      </c>
      <c r="I2111" s="3">
        <f>GBP!C2111/1</f>
        <v>1.3991</v>
      </c>
      <c r="J2111" s="4">
        <f>1/INR!B2111</f>
        <v>1.541010132141619E-2</v>
      </c>
      <c r="K2111" s="4">
        <f>1/INR!C2111</f>
        <v>1.5343895047757874E-2</v>
      </c>
      <c r="L2111" s="4">
        <f>1/JPY!B2111</f>
        <v>9.3475415965601043E-3</v>
      </c>
      <c r="M2111" s="4">
        <f>1/JPY!C2111</f>
        <v>9.3689365413821245E-3</v>
      </c>
      <c r="N2111" s="5">
        <f>1/KRW!B2111</f>
        <v>9.3335822288594355E-4</v>
      </c>
      <c r="O2111" s="5">
        <f>1/KRW!C2111</f>
        <v>9.3335578365111597E-4</v>
      </c>
      <c r="P2111" s="3">
        <f>1/NOK!B2111</f>
        <v>0.12789195687483215</v>
      </c>
      <c r="Q2111" s="3">
        <f>1/NOK!C2111</f>
        <v>0.1280278588620884</v>
      </c>
      <c r="R2111" s="3">
        <f>NZD!B2111/1</f>
        <v>0.72829999999999995</v>
      </c>
      <c r="S2111" s="3">
        <f>NZD!C2111/1</f>
        <v>0.72809999999999997</v>
      </c>
      <c r="T2111" s="4">
        <f>1/PHP!B2111</f>
        <v>1.9208605455243947E-2</v>
      </c>
      <c r="U2111" s="4">
        <f>1/PHP!C2111</f>
        <v>1.9179500949385295E-2</v>
      </c>
      <c r="V2111" s="4">
        <f>1/TWD!B2111</f>
        <v>3.4211426616489904E-2</v>
      </c>
      <c r="W2111" s="4">
        <f>1/TWD!C2111</f>
        <v>3.4211894791581134E-2</v>
      </c>
      <c r="X2111" s="4">
        <f>1/TWD!B2111</f>
        <v>3.4211426616489904E-2</v>
      </c>
      <c r="Y2111" s="4">
        <f>1/TWD!C2111</f>
        <v>3.4211894791581134E-2</v>
      </c>
      <c r="Z2111" s="4">
        <f>1/ZAR!B2111</f>
        <v>8.5971216836603109E-2</v>
      </c>
      <c r="AA2111" s="4">
        <f>1/ZAR!C2111</f>
        <v>8.5550517580631369E-2</v>
      </c>
    </row>
    <row r="2112" spans="1:27" x14ac:dyDescent="0.25">
      <c r="A2112" t="str">
        <f>"28/02/2018"</f>
        <v>28/02/2018</v>
      </c>
      <c r="B2112" s="3">
        <f>AUD!B2112</f>
        <v>0.77910000000000001</v>
      </c>
      <c r="C2112" s="3">
        <f>AUD!C2112</f>
        <v>0.78059999999999996</v>
      </c>
      <c r="D2112" s="3">
        <f>1/CAD!B2112</f>
        <v>0.78326936633508271</v>
      </c>
      <c r="E2112" s="3">
        <f>1/CAD!C2112</f>
        <v>0.78369905956112851</v>
      </c>
      <c r="F2112" s="3">
        <f>EUR!B2112/1</f>
        <v>1.2208000000000001</v>
      </c>
      <c r="G2112" s="3">
        <f>EUR!C2112/1</f>
        <v>1.2255</v>
      </c>
      <c r="H2112" s="3">
        <f>GBP!B2112/1</f>
        <v>1.3785000000000001</v>
      </c>
      <c r="I2112" s="3">
        <f>GBP!C2112/1</f>
        <v>1.3893</v>
      </c>
      <c r="J2112" s="4">
        <f>1/INR!B2112</f>
        <v>1.5342129487572874E-2</v>
      </c>
      <c r="K2112" s="4">
        <f>1/INR!C2112</f>
        <v>1.5283509093687909E-2</v>
      </c>
      <c r="L2112" s="4">
        <f>1/JPY!B2112</f>
        <v>9.3344534677494637E-3</v>
      </c>
      <c r="M2112" s="4">
        <f>1/JPY!C2112</f>
        <v>9.3556921902423883E-3</v>
      </c>
      <c r="N2112" s="5">
        <f>1/KRW!B2112</f>
        <v>9.231905465288035E-4</v>
      </c>
      <c r="O2112" s="5">
        <f>1/KRW!C2112</f>
        <v>9.2318730787318139E-4</v>
      </c>
      <c r="P2112" s="3">
        <f>1/NOK!B2112</f>
        <v>0.12702445220704986</v>
      </c>
      <c r="Q2112" s="3">
        <f>1/NOK!C2112</f>
        <v>0.1271601327551786</v>
      </c>
      <c r="R2112" s="3">
        <f>NZD!B2112/1</f>
        <v>0.72119999999999995</v>
      </c>
      <c r="S2112" s="3">
        <f>NZD!C2112/1</f>
        <v>0.72099999999999997</v>
      </c>
      <c r="T2112" s="4">
        <f>1/PHP!B2112</f>
        <v>1.9186492709132773E-2</v>
      </c>
      <c r="U2112" s="4">
        <f>1/PHP!C2112</f>
        <v>1.9152685206465944E-2</v>
      </c>
      <c r="V2112" s="4">
        <f>1/TWD!B2112</f>
        <v>3.4211426616489904E-2</v>
      </c>
      <c r="W2112" s="4">
        <f>1/TWD!C2112</f>
        <v>3.4211894791581134E-2</v>
      </c>
      <c r="X2112" s="4">
        <f>1/TWD!B2112</f>
        <v>3.4211426616489904E-2</v>
      </c>
      <c r="Y2112" s="4">
        <f>1/TWD!C2112</f>
        <v>3.4211894791581134E-2</v>
      </c>
      <c r="Z2112" s="4">
        <f>1/ZAR!B2112</f>
        <v>8.4808290858514337E-2</v>
      </c>
      <c r="AA2112" s="4">
        <f>1/ZAR!C2112</f>
        <v>8.4855787588992496E-2</v>
      </c>
    </row>
    <row r="2113" spans="1:27" x14ac:dyDescent="0.25">
      <c r="A2113" t="str">
        <f>"01/03/2018"</f>
        <v>01/03/2018</v>
      </c>
      <c r="B2113" s="3">
        <f>AUD!B2113</f>
        <v>0.7732</v>
      </c>
      <c r="C2113" s="3">
        <f>AUD!C2113</f>
        <v>0.7732</v>
      </c>
      <c r="D2113" s="3">
        <f>1/CAD!B2113</f>
        <v>0.77839184245349113</v>
      </c>
      <c r="E2113" s="3">
        <f>1/CAD!C2113</f>
        <v>0.77887685956850217</v>
      </c>
      <c r="F2113" s="3">
        <f>EUR!B2113/1</f>
        <v>1.2185999999999999</v>
      </c>
      <c r="G2113" s="3">
        <f>EUR!C2113/1</f>
        <v>1.2217</v>
      </c>
      <c r="H2113" s="3">
        <f>GBP!B2113/1</f>
        <v>1.3742000000000001</v>
      </c>
      <c r="I2113" s="3">
        <f>GBP!C2113/1</f>
        <v>1.3764000000000001</v>
      </c>
      <c r="J2113" s="4">
        <f>1/INR!B2113</f>
        <v>1.5344483658124904E-2</v>
      </c>
      <c r="K2113" s="4">
        <f>1/INR!C2113</f>
        <v>1.5282925151874068E-2</v>
      </c>
      <c r="L2113" s="4">
        <f>1/JPY!B2113</f>
        <v>9.3676814988290398E-3</v>
      </c>
      <c r="M2113" s="4">
        <f>1/JPY!C2113</f>
        <v>9.3899358667380306E-3</v>
      </c>
      <c r="N2113" s="5">
        <f>1/KRW!B2113</f>
        <v>9.231905465288035E-4</v>
      </c>
      <c r="O2113" s="5">
        <f>1/KRW!C2113</f>
        <v>9.2318730787318139E-4</v>
      </c>
      <c r="P2113" s="3">
        <f>1/NOK!B2113</f>
        <v>0.12612567161920138</v>
      </c>
      <c r="Q2113" s="3">
        <f>1/NOK!C2113</f>
        <v>0.12626262626262627</v>
      </c>
      <c r="R2113" s="3">
        <f>NZD!B2113/1</f>
        <v>0.72189999999999999</v>
      </c>
      <c r="S2113" s="3">
        <f>NZD!C2113/1</f>
        <v>0.72170000000000001</v>
      </c>
      <c r="T2113" s="4">
        <f>1/PHP!B2113</f>
        <v>1.9256691700365876E-2</v>
      </c>
      <c r="U2113" s="4">
        <f>1/PHP!C2113</f>
        <v>1.9223375624759707E-2</v>
      </c>
      <c r="V2113" s="4">
        <f>1/TWD!B2113</f>
        <v>3.4106412005457026E-2</v>
      </c>
      <c r="W2113" s="4">
        <f>1/TWD!C2113</f>
        <v>3.4106993639045687E-2</v>
      </c>
      <c r="X2113" s="4">
        <f>1/TWD!B2113</f>
        <v>3.4106412005457026E-2</v>
      </c>
      <c r="Y2113" s="4">
        <f>1/TWD!C2113</f>
        <v>3.4106993639045687E-2</v>
      </c>
      <c r="Z2113" s="4">
        <f>1/ZAR!B2113</f>
        <v>8.4185004966915292E-2</v>
      </c>
      <c r="AA2113" s="4">
        <f>1/ZAR!C2113</f>
        <v>8.3792797171155162E-2</v>
      </c>
    </row>
    <row r="2114" spans="1:27" x14ac:dyDescent="0.25">
      <c r="A2114" t="str">
        <f>"05/03/2018"</f>
        <v>05/03/2018</v>
      </c>
      <c r="B2114" s="3">
        <f>AUD!B2114</f>
        <v>0.77480000000000004</v>
      </c>
      <c r="C2114" s="3">
        <f>AUD!C2114</f>
        <v>0.77480000000000004</v>
      </c>
      <c r="D2114" s="3">
        <f>1/CAD!B2114</f>
        <v>0.77477337878670494</v>
      </c>
      <c r="E2114" s="3">
        <f>1/CAD!C2114</f>
        <v>0.7753140021708792</v>
      </c>
      <c r="F2114" s="3">
        <f>EUR!B2114/1</f>
        <v>1.2307999999999999</v>
      </c>
      <c r="G2114" s="3">
        <f>EUR!C2114/1</f>
        <v>1.2341</v>
      </c>
      <c r="H2114" s="3">
        <f>GBP!B2114/1</f>
        <v>1.3811</v>
      </c>
      <c r="I2114" s="3">
        <f>GBP!C2114/1</f>
        <v>1.3834</v>
      </c>
      <c r="J2114" s="4">
        <f>1/INR!B2114</f>
        <v>1.5356265356265355E-2</v>
      </c>
      <c r="K2114" s="4">
        <f>1/INR!C2114</f>
        <v>1.5288766578756259E-2</v>
      </c>
      <c r="L2114" s="4">
        <f>1/JPY!B2114</f>
        <v>9.4723879890120308E-3</v>
      </c>
      <c r="M2114" s="4">
        <f>1/JPY!C2114</f>
        <v>9.4959907926873283E-3</v>
      </c>
      <c r="N2114" s="5">
        <f>1/KRW!B2114</f>
        <v>9.2412900840957402E-4</v>
      </c>
      <c r="O2114" s="5">
        <f>1/KRW!C2114</f>
        <v>9.2412661717537379E-4</v>
      </c>
      <c r="P2114" s="3">
        <f>1/NOK!B2114</f>
        <v>0.1278069603670616</v>
      </c>
      <c r="Q2114" s="3">
        <f>1/NOK!C2114</f>
        <v>0.12795905310300704</v>
      </c>
      <c r="R2114" s="3">
        <f>NZD!B2114/1</f>
        <v>0.72309999999999997</v>
      </c>
      <c r="S2114" s="3">
        <f>NZD!C2114/1</f>
        <v>0.72289999999999999</v>
      </c>
      <c r="T2114" s="4">
        <f>1/PHP!B2114</f>
        <v>1.9223375624759707E-2</v>
      </c>
      <c r="U2114" s="4">
        <f>1/PHP!C2114</f>
        <v>1.9193305375085169E-2</v>
      </c>
      <c r="V2114" s="4">
        <f>1/TWD!B2114</f>
        <v>3.4139014065273796E-2</v>
      </c>
      <c r="W2114" s="4">
        <f>1/TWD!C2114</f>
        <v>3.413959681136166E-2</v>
      </c>
      <c r="X2114" s="4">
        <f>1/TWD!B2114</f>
        <v>3.4139014065273796E-2</v>
      </c>
      <c r="Y2114" s="4">
        <f>1/TWD!C2114</f>
        <v>3.413959681136166E-2</v>
      </c>
      <c r="Z2114" s="4">
        <f>1/ZAR!B2114</f>
        <v>8.3787882596418894E-2</v>
      </c>
      <c r="AA2114" s="4">
        <f>1/ZAR!C2114</f>
        <v>8.3370850215930506E-2</v>
      </c>
    </row>
    <row r="2115" spans="1:27" x14ac:dyDescent="0.25">
      <c r="A2115" t="str">
        <f>"06/03/2018"</f>
        <v>06/03/2018</v>
      </c>
      <c r="B2115" s="3">
        <f>AUD!B2115</f>
        <v>0.77900000000000003</v>
      </c>
      <c r="C2115" s="3">
        <f>AUD!C2115</f>
        <v>0.77900000000000003</v>
      </c>
      <c r="D2115" s="3">
        <f>1/CAD!B2115</f>
        <v>0.77208153180975914</v>
      </c>
      <c r="E2115" s="3">
        <f>1/CAD!C2115</f>
        <v>0.77267810230258072</v>
      </c>
      <c r="F2115" s="3">
        <f>EUR!B2115/1</f>
        <v>1.2386999999999999</v>
      </c>
      <c r="G2115" s="3">
        <f>EUR!C2115/1</f>
        <v>1.242</v>
      </c>
      <c r="H2115" s="3">
        <f>GBP!B2115/1</f>
        <v>1.3882000000000001</v>
      </c>
      <c r="I2115" s="3">
        <f>GBP!C2115/1</f>
        <v>1.3905000000000001</v>
      </c>
      <c r="J2115" s="4">
        <f>1/INR!B2115</f>
        <v>1.5393496247835288E-2</v>
      </c>
      <c r="K2115" s="4">
        <f>1/INR!C2115</f>
        <v>1.5328019619865114E-2</v>
      </c>
      <c r="L2115" s="4">
        <f>1/JPY!B2115</f>
        <v>9.4002632073698061E-3</v>
      </c>
      <c r="M2115" s="4">
        <f>1/JPY!C2115</f>
        <v>9.4234542236864179E-3</v>
      </c>
      <c r="N2115" s="5">
        <f>1/KRW!B2115</f>
        <v>9.2928166527274424E-4</v>
      </c>
      <c r="O2115" s="5">
        <f>1/KRW!C2115</f>
        <v>9.2928598311487365E-4</v>
      </c>
      <c r="P2115" s="3">
        <f>1/NOK!B2115</f>
        <v>0.12863390789812196</v>
      </c>
      <c r="Q2115" s="3">
        <f>1/NOK!C2115</f>
        <v>0.12879129370854531</v>
      </c>
      <c r="R2115" s="3">
        <f>NZD!B2115/1</f>
        <v>0.7268</v>
      </c>
      <c r="S2115" s="3">
        <f>NZD!C2115/1</f>
        <v>0.72660000000000002</v>
      </c>
      <c r="T2115" s="4">
        <f>1/PHP!B2115</f>
        <v>1.9227071716977504E-2</v>
      </c>
      <c r="U2115" s="4">
        <f>1/PHP!C2115</f>
        <v>1.9194042169310647E-2</v>
      </c>
      <c r="V2115" s="4">
        <f>1/TWD!B2115</f>
        <v>3.4144842421552225E-2</v>
      </c>
      <c r="W2115" s="4">
        <f>1/TWD!C2115</f>
        <v>3.4145425366636506E-2</v>
      </c>
      <c r="X2115" s="4">
        <f>1/TWD!B2115</f>
        <v>3.4144842421552225E-2</v>
      </c>
      <c r="Y2115" s="4">
        <f>1/TWD!C2115</f>
        <v>3.4145425366636506E-2</v>
      </c>
      <c r="Z2115" s="4">
        <f>1/ZAR!B2115</f>
        <v>8.5156389709701866E-2</v>
      </c>
      <c r="AA2115" s="4">
        <f>1/ZAR!C2115</f>
        <v>8.4747199105069587E-2</v>
      </c>
    </row>
    <row r="2116" spans="1:27" x14ac:dyDescent="0.25">
      <c r="A2116" t="str">
        <f>"07/03/2018"</f>
        <v>07/03/2018</v>
      </c>
      <c r="B2116" s="3">
        <f>AUD!B2116</f>
        <v>0.78080000000000005</v>
      </c>
      <c r="C2116" s="3">
        <f>AUD!C2116</f>
        <v>0.78080000000000005</v>
      </c>
      <c r="D2116" s="3">
        <f>1/CAD!B2116</f>
        <v>0.77303648732220154</v>
      </c>
      <c r="E2116" s="3">
        <f>1/CAD!C2116</f>
        <v>0.7736345350456445</v>
      </c>
      <c r="F2116" s="3">
        <f>EUR!B2116/1</f>
        <v>1.2423999999999999</v>
      </c>
      <c r="G2116" s="3">
        <f>EUR!C2116/1</f>
        <v>1.2456</v>
      </c>
      <c r="H2116" s="3">
        <f>GBP!B2116/1</f>
        <v>1.3865000000000001</v>
      </c>
      <c r="I2116" s="3">
        <f>GBP!C2116/1</f>
        <v>1.3887</v>
      </c>
      <c r="J2116" s="4">
        <f>1/INR!B2116</f>
        <v>1.541010132141619E-2</v>
      </c>
      <c r="K2116" s="4">
        <f>1/INR!C2116</f>
        <v>1.5345661014348191E-2</v>
      </c>
      <c r="L2116" s="4">
        <f>1/JPY!B2116</f>
        <v>9.4688003030016094E-3</v>
      </c>
      <c r="M2116" s="4">
        <f>1/JPY!C2116</f>
        <v>9.4915473025497139E-3</v>
      </c>
      <c r="N2116" s="5">
        <f>1/KRW!B2116</f>
        <v>9.3527871305649081E-4</v>
      </c>
      <c r="O2116" s="5">
        <f>1/KRW!C2116</f>
        <v>9.3528308680829978E-4</v>
      </c>
      <c r="P2116" s="3">
        <f>1/NOK!B2116</f>
        <v>0.12821827879782541</v>
      </c>
      <c r="Q2116" s="3">
        <f>1/NOK!C2116</f>
        <v>0.12837959277993172</v>
      </c>
      <c r="R2116" s="3">
        <f>NZD!B2116/1</f>
        <v>0.72819999999999996</v>
      </c>
      <c r="S2116" s="3">
        <f>NZD!C2116/1</f>
        <v>0.72799999999999998</v>
      </c>
      <c r="T2116" s="4">
        <f>1/PHP!B2116</f>
        <v>1.9238168526356292E-2</v>
      </c>
      <c r="U2116" s="4">
        <f>1/PHP!C2116</f>
        <v>1.9207129686539644E-2</v>
      </c>
      <c r="V2116" s="4">
        <f>1/TWD!B2116</f>
        <v>3.4181022696199069E-2</v>
      </c>
      <c r="W2116" s="4">
        <f>1/TWD!C2116</f>
        <v>3.4181606877339302E-2</v>
      </c>
      <c r="X2116" s="4">
        <f>1/TWD!B2116</f>
        <v>3.4181022696199069E-2</v>
      </c>
      <c r="Y2116" s="4">
        <f>1/TWD!C2116</f>
        <v>3.4181606877339302E-2</v>
      </c>
      <c r="Z2116" s="4">
        <f>1/ZAR!B2116</f>
        <v>8.3977158212966072E-2</v>
      </c>
      <c r="AA2116" s="4">
        <f>1/ZAR!C2116</f>
        <v>8.358618153246905E-2</v>
      </c>
    </row>
    <row r="2117" spans="1:27" x14ac:dyDescent="0.25">
      <c r="A2117" t="str">
        <f>"08/03/2018"</f>
        <v>08/03/2018</v>
      </c>
      <c r="B2117" s="3">
        <f>AUD!B2117</f>
        <v>0.77959999999999996</v>
      </c>
      <c r="C2117" s="3">
        <f>AUD!C2117</f>
        <v>0.77969999999999995</v>
      </c>
      <c r="D2117" s="3">
        <f>1/CAD!B2117</f>
        <v>0.77226040620897374</v>
      </c>
      <c r="E2117" s="3">
        <f>1/CAD!C2117</f>
        <v>0.77291698871541192</v>
      </c>
      <c r="F2117" s="3">
        <f>EUR!B2117/1</f>
        <v>1.2371000000000001</v>
      </c>
      <c r="G2117" s="3">
        <f>EUR!C2117/1</f>
        <v>1.2403</v>
      </c>
      <c r="H2117" s="3">
        <f>GBP!B2117/1</f>
        <v>1.3865000000000001</v>
      </c>
      <c r="I2117" s="3">
        <f>GBP!C2117/1</f>
        <v>1.3888</v>
      </c>
      <c r="J2117" s="4">
        <f>1/INR!B2117</f>
        <v>1.5348605195502858E-2</v>
      </c>
      <c r="K2117" s="4">
        <f>1/INR!C2117</f>
        <v>1.5282925151874068E-2</v>
      </c>
      <c r="L2117" s="4">
        <f>1/JPY!B2117</f>
        <v>9.4206311822892137E-3</v>
      </c>
      <c r="M2117" s="4">
        <f>1/JPY!C2117</f>
        <v>9.4431827303074218E-3</v>
      </c>
      <c r="N2117" s="5">
        <f>1/KRW!B2117</f>
        <v>9.3423019431988037E-4</v>
      </c>
      <c r="O2117" s="5">
        <f>1/KRW!C2117</f>
        <v>9.3423455827054496E-4</v>
      </c>
      <c r="P2117" s="3">
        <f>1/NOK!B2117</f>
        <v>0.12735933161822766</v>
      </c>
      <c r="Q2117" s="3">
        <f>1/NOK!C2117</f>
        <v>0.12752174245708894</v>
      </c>
      <c r="R2117" s="3">
        <f>NZD!B2117/1</f>
        <v>0.7258</v>
      </c>
      <c r="S2117" s="3">
        <f>NZD!C2117/1</f>
        <v>0.72560000000000002</v>
      </c>
      <c r="T2117" s="4">
        <f>1/PHP!B2117</f>
        <v>1.921229586935639E-2</v>
      </c>
      <c r="U2117" s="4">
        <f>1/PHP!C2117</f>
        <v>1.9178765271091847E-2</v>
      </c>
      <c r="V2117" s="4">
        <f>1/TWD!B2117</f>
        <v>3.4174014079693803E-2</v>
      </c>
      <c r="W2117" s="4">
        <f>1/TWD!C2117</f>
        <v>3.4174598021290775E-2</v>
      </c>
      <c r="X2117" s="4">
        <f>1/TWD!B2117</f>
        <v>3.4174014079693803E-2</v>
      </c>
      <c r="Y2117" s="4">
        <f>1/TWD!C2117</f>
        <v>3.4174598021290775E-2</v>
      </c>
      <c r="Z2117" s="4">
        <f>1/ZAR!B2117</f>
        <v>8.3822296730930432E-2</v>
      </c>
      <c r="AA2117" s="4">
        <f>1/ZAR!C2117</f>
        <v>8.3436238026899839E-2</v>
      </c>
    </row>
    <row r="2118" spans="1:27" x14ac:dyDescent="0.25">
      <c r="A2118" t="str">
        <f>"09/03/2018"</f>
        <v>09/03/2018</v>
      </c>
      <c r="B2118" s="3">
        <f>AUD!B2118</f>
        <v>0.78049999999999997</v>
      </c>
      <c r="C2118" s="3">
        <f>AUD!C2118</f>
        <v>0.78059999999999996</v>
      </c>
      <c r="D2118" s="3">
        <f>1/CAD!B2118</f>
        <v>0.77681970014759572</v>
      </c>
      <c r="E2118" s="3">
        <f>1/CAD!C2118</f>
        <v>0.77748406157673766</v>
      </c>
      <c r="F2118" s="3">
        <f>EUR!B2118/1</f>
        <v>1.2299</v>
      </c>
      <c r="G2118" s="3">
        <f>EUR!C2118/1</f>
        <v>1.2331000000000001</v>
      </c>
      <c r="H2118" s="3">
        <f>GBP!B2118/1</f>
        <v>1.3818999999999999</v>
      </c>
      <c r="I2118" s="3">
        <f>GBP!C2118/1</f>
        <v>1.3842000000000001</v>
      </c>
      <c r="J2118" s="4">
        <f>1/INR!B2118</f>
        <v>1.5344483658124904E-2</v>
      </c>
      <c r="K2118" s="4">
        <f>1/INR!C2118</f>
        <v>1.5277088186991561E-2</v>
      </c>
      <c r="L2118" s="4">
        <f>1/JPY!B2118</f>
        <v>9.3668040464593479E-3</v>
      </c>
      <c r="M2118" s="4">
        <f>1/JPY!C2118</f>
        <v>9.3893716069158358E-3</v>
      </c>
      <c r="N2118" s="5">
        <f>1/KRW!B2118</f>
        <v>9.3457943925233649E-4</v>
      </c>
      <c r="O2118" s="5">
        <f>1/KRW!C2118</f>
        <v>9.3458380646638543E-4</v>
      </c>
      <c r="P2118" s="3">
        <f>1/NOK!B2118</f>
        <v>0.12828571795102051</v>
      </c>
      <c r="Q2118" s="3">
        <f>1/NOK!C2118</f>
        <v>0.12844885166726611</v>
      </c>
      <c r="R2118" s="3">
        <f>NZD!B2118/1</f>
        <v>0.7278</v>
      </c>
      <c r="S2118" s="3">
        <f>NZD!C2118/1</f>
        <v>0.72760000000000002</v>
      </c>
      <c r="T2118" s="4">
        <f>1/PHP!B2118</f>
        <v>1.921229586935639E-2</v>
      </c>
      <c r="U2118" s="4">
        <f>1/PHP!C2118</f>
        <v>1.9179133103183737E-2</v>
      </c>
      <c r="V2118" s="4">
        <f>1/TWD!B2118</f>
        <v>3.4128528036585781E-2</v>
      </c>
      <c r="W2118" s="4">
        <f>1/TWD!C2118</f>
        <v>3.4129110424736778E-2</v>
      </c>
      <c r="X2118" s="4">
        <f>1/TWD!B2118</f>
        <v>3.4128528036585781E-2</v>
      </c>
      <c r="Y2118" s="4">
        <f>1/TWD!C2118</f>
        <v>3.4129110424736778E-2</v>
      </c>
      <c r="Z2118" s="4">
        <f>1/ZAR!B2118</f>
        <v>8.4035731993243531E-2</v>
      </c>
      <c r="AA2118" s="4">
        <f>1/ZAR!C2118</f>
        <v>8.3650508176837182E-2</v>
      </c>
    </row>
    <row r="2119" spans="1:27" x14ac:dyDescent="0.25">
      <c r="A2119" t="str">
        <f>"12/03/2018"</f>
        <v>12/03/2018</v>
      </c>
      <c r="B2119" s="3">
        <f>AUD!B2119</f>
        <v>0.78600000000000003</v>
      </c>
      <c r="C2119" s="3">
        <f>AUD!C2119</f>
        <v>0.78610000000000002</v>
      </c>
      <c r="D2119" s="3">
        <f>1/CAD!B2119</f>
        <v>0.77905889685260199</v>
      </c>
      <c r="E2119" s="3">
        <f>1/CAD!C2119</f>
        <v>0.77966630282239202</v>
      </c>
      <c r="F2119" s="3">
        <f>EUR!B2119/1</f>
        <v>1.2298</v>
      </c>
      <c r="G2119" s="3">
        <f>EUR!C2119/1</f>
        <v>1.2332000000000001</v>
      </c>
      <c r="H2119" s="3">
        <f>GBP!B2119/1</f>
        <v>1.3844000000000001</v>
      </c>
      <c r="I2119" s="3">
        <f>GBP!C2119/1</f>
        <v>1.3869</v>
      </c>
      <c r="J2119" s="4">
        <f>1/INR!B2119</f>
        <v>1.5373380990814405E-2</v>
      </c>
      <c r="K2119" s="4">
        <f>1/INR!C2119</f>
        <v>1.530163344937072E-2</v>
      </c>
      <c r="L2119" s="4">
        <f>1/JPY!B2119</f>
        <v>9.3843843843843845E-3</v>
      </c>
      <c r="M2119" s="4">
        <f>1/JPY!C2119</f>
        <v>9.4079572502422538E-3</v>
      </c>
      <c r="N2119" s="5">
        <f>1/KRW!B2119</f>
        <v>9.3870271285084023E-4</v>
      </c>
      <c r="O2119" s="5">
        <f>1/KRW!C2119</f>
        <v>9.3870711868543452E-4</v>
      </c>
      <c r="P2119" s="3">
        <f>1/NOK!B2119</f>
        <v>0.12836146588794045</v>
      </c>
      <c r="Q2119" s="3">
        <f>1/NOK!C2119</f>
        <v>0.12853470437017994</v>
      </c>
      <c r="R2119" s="3">
        <f>NZD!B2119/1</f>
        <v>0.73019999999999996</v>
      </c>
      <c r="S2119" s="3">
        <f>NZD!C2119/1</f>
        <v>0.73</v>
      </c>
      <c r="T2119" s="4">
        <f>1/PHP!B2119</f>
        <v>1.9208605455243947E-2</v>
      </c>
      <c r="U2119" s="4">
        <f>1/PHP!C2119</f>
        <v>1.9177294083804773E-2</v>
      </c>
      <c r="V2119" s="4">
        <f>1/TWD!B2119</f>
        <v>3.4151839076534275E-2</v>
      </c>
      <c r="W2119" s="4">
        <f>1/TWD!C2119</f>
        <v>3.4152422260548827E-2</v>
      </c>
      <c r="X2119" s="4">
        <f>1/TWD!B2119</f>
        <v>3.4151839076534275E-2</v>
      </c>
      <c r="Y2119" s="4">
        <f>1/TWD!C2119</f>
        <v>3.4152422260548827E-2</v>
      </c>
      <c r="Z2119" s="4">
        <f>1/ZAR!B2119</f>
        <v>8.4220455464223146E-2</v>
      </c>
      <c r="AA2119" s="4">
        <f>1/ZAR!C2119</f>
        <v>8.3814568648322443E-2</v>
      </c>
    </row>
    <row r="2120" spans="1:27" x14ac:dyDescent="0.25">
      <c r="A2120" t="str">
        <f>"13/03/2018"</f>
        <v>13/03/2018</v>
      </c>
      <c r="B2120" s="3">
        <f>AUD!B2120</f>
        <v>0.78639999999999999</v>
      </c>
      <c r="C2120" s="3">
        <f>AUD!C2120</f>
        <v>0.78649999999999998</v>
      </c>
      <c r="D2120" s="3">
        <f>1/CAD!B2120</f>
        <v>0.77700077700077708</v>
      </c>
      <c r="E2120" s="3">
        <f>1/CAD!C2120</f>
        <v>0.77760497667185069</v>
      </c>
      <c r="F2120" s="3">
        <f>EUR!B2120/1</f>
        <v>1.2339</v>
      </c>
      <c r="G2120" s="3">
        <f>EUR!C2120/1</f>
        <v>1.2373000000000001</v>
      </c>
      <c r="H2120" s="3">
        <f>GBP!B2120/1</f>
        <v>1.3887</v>
      </c>
      <c r="I2120" s="3">
        <f>GBP!C2120/1</f>
        <v>1.3912</v>
      </c>
      <c r="J2120" s="4">
        <f>1/INR!B2120</f>
        <v>1.5408914056781849E-2</v>
      </c>
      <c r="K2120" s="4">
        <f>1/INR!C2120</f>
        <v>1.5339187790006521E-2</v>
      </c>
      <c r="L2120" s="4">
        <f>1/JPY!B2120</f>
        <v>9.3309694877297747E-3</v>
      </c>
      <c r="M2120" s="4">
        <f>1/JPY!C2120</f>
        <v>9.3546944663240351E-3</v>
      </c>
      <c r="N2120" s="5">
        <f>1/KRW!B2120</f>
        <v>9.3676814988290398E-4</v>
      </c>
      <c r="O2120" s="5">
        <f>1/KRW!C2120</f>
        <v>9.3677253757628849E-4</v>
      </c>
      <c r="P2120" s="3">
        <f>1/NOK!B2120</f>
        <v>0.12896070567298146</v>
      </c>
      <c r="Q2120" s="3">
        <f>1/NOK!C2120</f>
        <v>0.1291305639131726</v>
      </c>
      <c r="R2120" s="3">
        <f>NZD!B2120/1</f>
        <v>0.73209999999999997</v>
      </c>
      <c r="S2120" s="3">
        <f>NZD!C2120/1</f>
        <v>0.7319</v>
      </c>
      <c r="T2120" s="4">
        <f>1/PHP!B2120</f>
        <v>1.9197542714532539E-2</v>
      </c>
      <c r="U2120" s="4">
        <f>1/PHP!C2120</f>
        <v>1.9164981745354887E-2</v>
      </c>
      <c r="V2120" s="4">
        <f>1/TWD!B2120</f>
        <v>3.4185696704498836E-2</v>
      </c>
      <c r="W2120" s="4">
        <f>1/TWD!C2120</f>
        <v>3.4186281045416475E-2</v>
      </c>
      <c r="X2120" s="4">
        <f>1/TWD!B2120</f>
        <v>3.4185696704498836E-2</v>
      </c>
      <c r="Y2120" s="4">
        <f>1/TWD!C2120</f>
        <v>3.4186281045416475E-2</v>
      </c>
      <c r="Z2120" s="4">
        <f>1/ZAR!B2120</f>
        <v>8.4357574888437106E-2</v>
      </c>
      <c r="AA2120" s="4">
        <f>1/ZAR!C2120</f>
        <v>8.3965876267884737E-2</v>
      </c>
    </row>
    <row r="2121" spans="1:27" x14ac:dyDescent="0.25">
      <c r="A2121" t="str">
        <f>"14/03/2018"</f>
        <v>14/03/2018</v>
      </c>
      <c r="B2121" s="3">
        <f>AUD!B2121</f>
        <v>0.78949999999999998</v>
      </c>
      <c r="C2121" s="3">
        <f>AUD!C2121</f>
        <v>0.78959999999999997</v>
      </c>
      <c r="D2121" s="3">
        <f>1/CAD!B2121</f>
        <v>0.77190274025472783</v>
      </c>
      <c r="E2121" s="3">
        <f>1/CAD!C2121</f>
        <v>0.77249903437620704</v>
      </c>
      <c r="F2121" s="3">
        <f>EUR!B2121/1</f>
        <v>1.2378</v>
      </c>
      <c r="G2121" s="3">
        <f>EUR!C2121/1</f>
        <v>1.2412000000000001</v>
      </c>
      <c r="H2121" s="3">
        <f>GBP!B2121/1</f>
        <v>1.3965000000000001</v>
      </c>
      <c r="I2121" s="3">
        <f>GBP!C2121/1</f>
        <v>1.399</v>
      </c>
      <c r="J2121" s="4">
        <f>1/INR!B2121</f>
        <v>1.5423173317910158E-2</v>
      </c>
      <c r="K2121" s="4">
        <f>1/INR!C2121</f>
        <v>1.5356265356265355E-2</v>
      </c>
      <c r="L2121" s="4">
        <f>1/JPY!B2121</f>
        <v>9.3958470356102601E-3</v>
      </c>
      <c r="M2121" s="4">
        <f>1/JPY!C2121</f>
        <v>9.4193977425471379E-3</v>
      </c>
      <c r="N2121" s="5">
        <f>1/KRW!B2121</f>
        <v>9.39319932368965E-4</v>
      </c>
      <c r="O2121" s="5">
        <f>1/KRW!C2121</f>
        <v>9.3932434399936128E-4</v>
      </c>
      <c r="P2121" s="3">
        <f>1/NOK!B2121</f>
        <v>0.12948168481568284</v>
      </c>
      <c r="Q2121" s="3">
        <f>1/NOK!C2121</f>
        <v>0.12966132462009233</v>
      </c>
      <c r="R2121" s="3">
        <f>NZD!B2121/1</f>
        <v>0.73319999999999996</v>
      </c>
      <c r="S2121" s="3">
        <f>NZD!C2121/1</f>
        <v>0.73309999999999997</v>
      </c>
      <c r="T2121" s="4">
        <f>1/PHP!B2121</f>
        <v>1.9197542714532539E-2</v>
      </c>
      <c r="U2121" s="4">
        <f>1/PHP!C2121</f>
        <v>1.9163879919128428E-2</v>
      </c>
      <c r="V2121" s="4">
        <f>1/TWD!B2121</f>
        <v>3.4179854393820278E-2</v>
      </c>
      <c r="W2121" s="4">
        <f>1/TWD!C2121</f>
        <v>3.4180438535026406E-2</v>
      </c>
      <c r="X2121" s="4">
        <f>1/TWD!B2121</f>
        <v>3.4179854393820278E-2</v>
      </c>
      <c r="Y2121" s="4">
        <f>1/TWD!C2121</f>
        <v>3.4180438535026406E-2</v>
      </c>
      <c r="Z2121" s="4">
        <f>1/ZAR!B2121</f>
        <v>8.4946611054951965E-2</v>
      </c>
      <c r="AA2121" s="4">
        <f>1/ZAR!C2121</f>
        <v>8.4565881049631711E-2</v>
      </c>
    </row>
    <row r="2122" spans="1:27" x14ac:dyDescent="0.25">
      <c r="A2122" t="str">
        <f>"15/03/2018"</f>
        <v>15/03/2018</v>
      </c>
      <c r="B2122" s="3">
        <f>AUD!B2122</f>
        <v>0.7843</v>
      </c>
      <c r="C2122" s="3">
        <f>AUD!C2122</f>
        <v>0.78439999999999999</v>
      </c>
      <c r="D2122" s="3">
        <f>1/CAD!B2122</f>
        <v>0.77053475111727532</v>
      </c>
      <c r="E2122" s="3">
        <f>1/CAD!C2122</f>
        <v>0.77112893275755712</v>
      </c>
      <c r="F2122" s="3">
        <f>EUR!B2122/1</f>
        <v>1.2347999999999999</v>
      </c>
      <c r="G2122" s="3">
        <f>EUR!C2122/1</f>
        <v>1.2383</v>
      </c>
      <c r="H2122" s="3">
        <f>GBP!B2122/1</f>
        <v>1.3926000000000001</v>
      </c>
      <c r="I2122" s="3">
        <f>GBP!C2122/1</f>
        <v>1.3952</v>
      </c>
      <c r="J2122" s="4">
        <f>1/INR!B2122</f>
        <v>1.5400015400015399E-2</v>
      </c>
      <c r="K2122" s="4">
        <f>1/INR!C2122</f>
        <v>1.5330369461904031E-2</v>
      </c>
      <c r="L2122" s="4">
        <f>1/JPY!B2122</f>
        <v>9.4357425929420639E-3</v>
      </c>
      <c r="M2122" s="4">
        <f>1/JPY!C2122</f>
        <v>9.4602456825803767E-3</v>
      </c>
      <c r="N2122" s="5">
        <f>1/KRW!B2122</f>
        <v>9.3843843843843854E-4</v>
      </c>
      <c r="O2122" s="5">
        <f>1/KRW!C2122</f>
        <v>9.3844284179261353E-4</v>
      </c>
      <c r="P2122" s="3">
        <f>1/NOK!B2122</f>
        <v>0.12990218365570724</v>
      </c>
      <c r="Q2122" s="3">
        <f>1/NOK!C2122</f>
        <v>0.13008976193573565</v>
      </c>
      <c r="R2122" s="3">
        <f>NZD!B2122/1</f>
        <v>0.72909999999999997</v>
      </c>
      <c r="S2122" s="3">
        <f>NZD!C2122/1</f>
        <v>0.72899999999999998</v>
      </c>
      <c r="T2122" s="4">
        <f>1/PHP!B2122</f>
        <v>1.921598770176787E-2</v>
      </c>
      <c r="U2122" s="4">
        <f>1/PHP!C2122</f>
        <v>1.9185756494378575E-2</v>
      </c>
      <c r="V2122" s="4">
        <f>1/TWD!B2122</f>
        <v>3.4243057220148615E-2</v>
      </c>
      <c r="W2122" s="4">
        <f>1/TWD!C2122</f>
        <v>3.4243760786784649E-2</v>
      </c>
      <c r="X2122" s="4">
        <f>1/TWD!B2122</f>
        <v>3.4243057220148615E-2</v>
      </c>
      <c r="Y2122" s="4">
        <f>1/TWD!C2122</f>
        <v>3.4243760786784649E-2</v>
      </c>
      <c r="Z2122" s="4">
        <f>1/ZAR!B2122</f>
        <v>8.4378928893876617E-2</v>
      </c>
      <c r="AA2122" s="4">
        <f>1/ZAR!C2122</f>
        <v>8.3997614467749115E-2</v>
      </c>
    </row>
    <row r="2123" spans="1:27" x14ac:dyDescent="0.25">
      <c r="A2123" t="str">
        <f>"16/03/2018"</f>
        <v>16/03/2018</v>
      </c>
      <c r="B2123" s="3">
        <f>AUD!B2123</f>
        <v>0.77649999999999997</v>
      </c>
      <c r="C2123" s="3">
        <f>AUD!C2123</f>
        <v>0.77659999999999996</v>
      </c>
      <c r="D2123" s="3">
        <f>1/CAD!B2123</f>
        <v>0.76388358414177682</v>
      </c>
      <c r="E2123" s="3">
        <f>1/CAD!C2123</f>
        <v>0.76446754835257236</v>
      </c>
      <c r="F2123" s="3">
        <f>EUR!B2123/1</f>
        <v>1.2319</v>
      </c>
      <c r="G2123" s="3">
        <f>EUR!C2123/1</f>
        <v>1.2351000000000001</v>
      </c>
      <c r="H2123" s="3">
        <f>GBP!B2123/1</f>
        <v>1.3957999999999999</v>
      </c>
      <c r="I2123" s="3">
        <f>GBP!C2123/1</f>
        <v>1.3982000000000001</v>
      </c>
      <c r="J2123" s="4">
        <f>1/INR!B2123</f>
        <v>1.5397644160443454E-2</v>
      </c>
      <c r="K2123" s="4">
        <f>1/INR!C2123</f>
        <v>1.532625771102341E-2</v>
      </c>
      <c r="L2123" s="4">
        <f>1/JPY!B2123</f>
        <v>9.463423866754991E-3</v>
      </c>
      <c r="M2123" s="4">
        <f>1/JPY!C2123</f>
        <v>9.4866129661128704E-3</v>
      </c>
      <c r="N2123" s="5">
        <f>1/KRW!B2123</f>
        <v>9.3773443360840197E-4</v>
      </c>
      <c r="O2123" s="5">
        <f>1/KRW!C2123</f>
        <v>9.3773839068150594E-4</v>
      </c>
      <c r="P2123" s="3">
        <f>1/NOK!B2123</f>
        <v>0.1296193080921334</v>
      </c>
      <c r="Q2123" s="3">
        <f>1/NOK!C2123</f>
        <v>0.12978922230297996</v>
      </c>
      <c r="R2123" s="3">
        <f>NZD!B2123/1</f>
        <v>0.7238</v>
      </c>
      <c r="S2123" s="3">
        <f>NZD!C2123/1</f>
        <v>0.72370000000000001</v>
      </c>
      <c r="T2123" s="4">
        <f>1/PHP!B2123</f>
        <v>1.9252984212552948E-2</v>
      </c>
      <c r="U2123" s="4">
        <f>1/PHP!C2123</f>
        <v>1.9224114729516704E-2</v>
      </c>
      <c r="V2123" s="4">
        <f>1/TWD!B2123</f>
        <v>3.42102562348192E-2</v>
      </c>
      <c r="W2123" s="4">
        <f>1/TWD!C2123</f>
        <v>3.4210958454212057E-2</v>
      </c>
      <c r="X2123" s="4">
        <f>1/TWD!B2123</f>
        <v>3.42102562348192E-2</v>
      </c>
      <c r="Y2123" s="4">
        <f>1/TWD!C2123</f>
        <v>3.4210958454212057E-2</v>
      </c>
      <c r="Z2123" s="4">
        <f>1/ZAR!B2123</f>
        <v>8.3602253916765595E-2</v>
      </c>
      <c r="AA2123" s="4">
        <f>1/ZAR!C2123</f>
        <v>8.3227218629580615E-2</v>
      </c>
    </row>
    <row r="2124" spans="1:27" x14ac:dyDescent="0.25">
      <c r="A2124" t="str">
        <f>"19/03/2018"</f>
        <v>19/03/2018</v>
      </c>
      <c r="B2124" s="3">
        <f>AUD!B2124</f>
        <v>0.76990000000000003</v>
      </c>
      <c r="C2124" s="3">
        <f>AUD!C2124</f>
        <v>0.77</v>
      </c>
      <c r="D2124" s="3">
        <f>1/CAD!B2124</f>
        <v>0.76365024818633065</v>
      </c>
      <c r="E2124" s="3">
        <f>1/CAD!C2124</f>
        <v>0.76423385555980128</v>
      </c>
      <c r="F2124" s="3">
        <f>EUR!B2124/1</f>
        <v>1.228</v>
      </c>
      <c r="G2124" s="3">
        <f>EUR!C2124/1</f>
        <v>1.2314000000000001</v>
      </c>
      <c r="H2124" s="3">
        <f>GBP!B2124/1</f>
        <v>1.4013</v>
      </c>
      <c r="I2124" s="3">
        <f>GBP!C2124/1</f>
        <v>1.4037999999999999</v>
      </c>
      <c r="J2124" s="4">
        <f>1/INR!B2124</f>
        <v>1.5341541057799255E-2</v>
      </c>
      <c r="K2124" s="4">
        <f>1/INR!C2124</f>
        <v>1.5264262545315779E-2</v>
      </c>
      <c r="L2124" s="4">
        <f>1/JPY!B2124</f>
        <v>9.4241824521722733E-3</v>
      </c>
      <c r="M2124" s="4">
        <f>1/JPY!C2124</f>
        <v>9.4475721156798524E-3</v>
      </c>
      <c r="N2124" s="5">
        <f>1/KRW!B2124</f>
        <v>9.3318402388951113E-4</v>
      </c>
      <c r="O2124" s="5">
        <f>1/KRW!C2124</f>
        <v>9.3318837807193948E-4</v>
      </c>
      <c r="P2124" s="3">
        <f>1/NOK!B2124</f>
        <v>0.12902393393974582</v>
      </c>
      <c r="Q2124" s="3">
        <f>1/NOK!C2124</f>
        <v>0.12920564370251691</v>
      </c>
      <c r="R2124" s="3">
        <f>NZD!B2124/1</f>
        <v>0.72130000000000005</v>
      </c>
      <c r="S2124" s="3">
        <f>NZD!C2124/1</f>
        <v>0.72119999999999995</v>
      </c>
      <c r="T2124" s="4">
        <f>1/PHP!B2124</f>
        <v>1.9190174630589137E-2</v>
      </c>
      <c r="U2124" s="4">
        <f>1/PHP!C2124</f>
        <v>1.9160758766047135E-2</v>
      </c>
      <c r="V2124" s="4">
        <f>1/TWD!B2124</f>
        <v>3.4246575342465752E-2</v>
      </c>
      <c r="W2124" s="4">
        <f>1/TWD!C2124</f>
        <v>3.4247279053679185E-2</v>
      </c>
      <c r="X2124" s="4">
        <f>1/TWD!B2124</f>
        <v>3.4246575342465752E-2</v>
      </c>
      <c r="Y2124" s="4">
        <f>1/TWD!C2124</f>
        <v>3.4247279053679185E-2</v>
      </c>
      <c r="Z2124" s="4">
        <f>1/ZAR!B2124</f>
        <v>8.2868578721006364E-2</v>
      </c>
      <c r="AA2124" s="4">
        <f>1/ZAR!C2124</f>
        <v>8.2486472218556151E-2</v>
      </c>
    </row>
    <row r="2125" spans="1:27" x14ac:dyDescent="0.25">
      <c r="A2125" t="str">
        <f>"20/03/2018"</f>
        <v>20/03/2018</v>
      </c>
      <c r="B2125" s="3">
        <f>AUD!B2125</f>
        <v>0.77139999999999997</v>
      </c>
      <c r="C2125" s="3">
        <f>AUD!C2125</f>
        <v>0.77149999999999996</v>
      </c>
      <c r="D2125" s="3">
        <f>1/CAD!B2125</f>
        <v>0.76552093699762691</v>
      </c>
      <c r="E2125" s="3">
        <f>1/CAD!C2125</f>
        <v>0.76610740825863788</v>
      </c>
      <c r="F2125" s="3">
        <f>EUR!B2125/1</f>
        <v>1.2305999999999999</v>
      </c>
      <c r="G2125" s="3">
        <f>EUR!C2125/1</f>
        <v>1.2339</v>
      </c>
      <c r="H2125" s="3">
        <f>GBP!B2125/1</f>
        <v>1.4016</v>
      </c>
      <c r="I2125" s="3">
        <f>GBP!C2125/1</f>
        <v>1.4039999999999999</v>
      </c>
      <c r="J2125" s="4">
        <f>1/INR!B2125</f>
        <v>1.5337423312883436E-2</v>
      </c>
      <c r="K2125" s="4">
        <f>1/INR!C2125</f>
        <v>1.5261350629530712E-2</v>
      </c>
      <c r="L2125" s="4">
        <f>1/JPY!B2125</f>
        <v>9.3923170846247767E-3</v>
      </c>
      <c r="M2125" s="4">
        <f>1/JPY!C2125</f>
        <v>9.4144672117643189E-3</v>
      </c>
      <c r="N2125" s="5">
        <f>1/KRW!B2125</f>
        <v>9.3562874251497006E-4</v>
      </c>
      <c r="O2125" s="5">
        <f>1/KRW!C2125</f>
        <v>9.3563443265701001E-4</v>
      </c>
      <c r="P2125" s="3">
        <f>1/NOK!B2125</f>
        <v>0.12959411124358508</v>
      </c>
      <c r="Q2125" s="3">
        <f>1/NOK!C2125</f>
        <v>0.12976732718236203</v>
      </c>
      <c r="R2125" s="3">
        <f>NZD!B2125/1</f>
        <v>0.72160000000000002</v>
      </c>
      <c r="S2125" s="3">
        <f>NZD!C2125/1</f>
        <v>0.72150000000000003</v>
      </c>
      <c r="T2125" s="4">
        <f>1/PHP!B2125</f>
        <v>1.9193857965451054E-2</v>
      </c>
      <c r="U2125" s="4">
        <f>1/PHP!C2125</f>
        <v>1.9162227417314989E-2</v>
      </c>
      <c r="V2125" s="4">
        <f>1/TWD!B2125</f>
        <v>3.4275921165381321E-2</v>
      </c>
      <c r="W2125" s="4">
        <f>1/TWD!C2125</f>
        <v>3.4276626083141387E-2</v>
      </c>
      <c r="X2125" s="4">
        <f>1/TWD!B2125</f>
        <v>3.4275921165381321E-2</v>
      </c>
      <c r="Y2125" s="4">
        <f>1/TWD!C2125</f>
        <v>3.4276626083141387E-2</v>
      </c>
      <c r="Z2125" s="4">
        <f>1/ZAR!B2125</f>
        <v>8.3588277579952186E-2</v>
      </c>
      <c r="AA2125" s="4">
        <f>1/ZAR!C2125</f>
        <v>8.3219599880163767E-2</v>
      </c>
    </row>
    <row r="2126" spans="1:27" x14ac:dyDescent="0.25">
      <c r="A2126" t="str">
        <f>"21/03/2018"</f>
        <v>21/03/2018</v>
      </c>
      <c r="B2126" s="3">
        <f>AUD!B2126</f>
        <v>0.76870000000000005</v>
      </c>
      <c r="C2126" s="3">
        <f>AUD!C2126</f>
        <v>0.76880000000000004</v>
      </c>
      <c r="D2126" s="3">
        <f>1/CAD!B2126</f>
        <v>0.76840325802981413</v>
      </c>
      <c r="E2126" s="3">
        <f>1/CAD!C2126</f>
        <v>0.76893502499038835</v>
      </c>
      <c r="F2126" s="3">
        <f>EUR!B2126/1</f>
        <v>1.2269000000000001</v>
      </c>
      <c r="G2126" s="3">
        <f>EUR!C2126/1</f>
        <v>1.2299</v>
      </c>
      <c r="H2126" s="3">
        <f>GBP!B2126/1</f>
        <v>1.4058999999999999</v>
      </c>
      <c r="I2126" s="3">
        <f>GBP!C2126/1</f>
        <v>1.4080999999999999</v>
      </c>
      <c r="J2126" s="4">
        <f>1/INR!B2126</f>
        <v>1.5334483419589802E-2</v>
      </c>
      <c r="K2126" s="4">
        <f>1/INR!C2126</f>
        <v>1.5260768379687916E-2</v>
      </c>
      <c r="L2126" s="4">
        <f>1/JPY!B2126</f>
        <v>9.4020308386611514E-3</v>
      </c>
      <c r="M2126" s="4">
        <f>1/JPY!C2126</f>
        <v>9.4231256696308691E-3</v>
      </c>
      <c r="N2126" s="5">
        <f>1/KRW!B2126</f>
        <v>9.324009324009324E-4</v>
      </c>
      <c r="O2126" s="5">
        <f>1/KRW!C2126</f>
        <v>9.3240701804114345E-4</v>
      </c>
      <c r="P2126" s="3">
        <f>1/NOK!B2126</f>
        <v>0.12913723413871922</v>
      </c>
      <c r="Q2126" s="3">
        <f>1/NOK!C2126</f>
        <v>0.12929083974400415</v>
      </c>
      <c r="R2126" s="3">
        <f>NZD!B2126/1</f>
        <v>0.71619999999999995</v>
      </c>
      <c r="S2126" s="3">
        <f>NZD!C2126/1</f>
        <v>0.71609999999999996</v>
      </c>
      <c r="T2126" s="4">
        <f>1/PHP!B2126</f>
        <v>1.9171779141104295E-2</v>
      </c>
      <c r="U2126" s="4">
        <f>1/PHP!C2126</f>
        <v>1.9140953985146619E-2</v>
      </c>
      <c r="V2126" s="4">
        <f>1/TWD!B2126</f>
        <v>3.4258307639602602E-2</v>
      </c>
      <c r="W2126" s="4">
        <f>1/TWD!C2126</f>
        <v>3.4259011833062687E-2</v>
      </c>
      <c r="X2126" s="4">
        <f>1/TWD!B2126</f>
        <v>3.4258307639602602E-2</v>
      </c>
      <c r="Y2126" s="4">
        <f>1/TWD!C2126</f>
        <v>3.4259011833062687E-2</v>
      </c>
      <c r="Z2126" s="4">
        <f>1/ZAR!B2126</f>
        <v>8.3370850215930506E-2</v>
      </c>
      <c r="AA2126" s="4">
        <f>1/ZAR!C2126</f>
        <v>8.3004772774434535E-2</v>
      </c>
    </row>
    <row r="2127" spans="1:27" x14ac:dyDescent="0.25">
      <c r="A2127" t="str">
        <f>"22/03/2018"</f>
        <v>22/03/2018</v>
      </c>
      <c r="B2127" s="3">
        <f>AUD!B2127</f>
        <v>0.77300000000000002</v>
      </c>
      <c r="C2127" s="3">
        <f>AUD!C2127</f>
        <v>0.77310000000000001</v>
      </c>
      <c r="D2127" s="3">
        <f>1/CAD!B2127</f>
        <v>0.77736318407960203</v>
      </c>
      <c r="E2127" s="3">
        <f>1/CAD!C2127</f>
        <v>0.77784691972619779</v>
      </c>
      <c r="F2127" s="3">
        <f>EUR!B2127/1</f>
        <v>1.2322</v>
      </c>
      <c r="G2127" s="3">
        <f>EUR!C2127/1</f>
        <v>1.2351000000000001</v>
      </c>
      <c r="H2127" s="3">
        <f>GBP!B2127/1</f>
        <v>1.4157</v>
      </c>
      <c r="I2127" s="3">
        <f>GBP!C2127/1</f>
        <v>1.4177</v>
      </c>
      <c r="J2127" s="4">
        <f>1/INR!B2127</f>
        <v>1.5358034171626032E-2</v>
      </c>
      <c r="K2127" s="4">
        <f>1/INR!C2127</f>
        <v>1.5285261186900531E-2</v>
      </c>
      <c r="L2127" s="4">
        <f>1/JPY!B2127</f>
        <v>9.4652153336488402E-3</v>
      </c>
      <c r="M2127" s="4">
        <f>1/JPY!C2127</f>
        <v>9.4860550248107769E-3</v>
      </c>
      <c r="N2127" s="5">
        <f>1/KRW!B2127</f>
        <v>9.3231400335633046E-4</v>
      </c>
      <c r="O2127" s="5">
        <f>1/KRW!C2127</f>
        <v>9.3232200015140913E-4</v>
      </c>
      <c r="P2127" s="3">
        <f>1/NOK!B2127</f>
        <v>0.12943978461219841</v>
      </c>
      <c r="Q2127" s="3">
        <f>1/NOK!C2127</f>
        <v>0.12959243180198277</v>
      </c>
      <c r="R2127" s="3">
        <f>NZD!B2127/1</f>
        <v>0.72409999999999997</v>
      </c>
      <c r="S2127" s="3">
        <f>NZD!C2127/1</f>
        <v>0.72399999999999998</v>
      </c>
      <c r="T2127" s="4">
        <f>1/PHP!B2127</f>
        <v>1.9157088122605363E-2</v>
      </c>
      <c r="U2127" s="4">
        <f>1/PHP!C2127</f>
        <v>1.9127041811713402E-2</v>
      </c>
      <c r="V2127" s="4">
        <f>1/TWD!B2127</f>
        <v>3.4301787123109113E-2</v>
      </c>
      <c r="W2127" s="4">
        <f>1/TWD!C2127</f>
        <v>3.4302610771705835E-2</v>
      </c>
      <c r="X2127" s="4">
        <f>1/TWD!B2127</f>
        <v>3.4301787123109113E-2</v>
      </c>
      <c r="Y2127" s="4">
        <f>1/TWD!C2127</f>
        <v>3.4302610771705835E-2</v>
      </c>
      <c r="Z2127" s="4">
        <f>1/ZAR!B2127</f>
        <v>8.4723504841948294E-2</v>
      </c>
      <c r="AA2127" s="4">
        <f>1/ZAR!C2127</f>
        <v>8.4354728504306309E-2</v>
      </c>
    </row>
    <row r="2128" spans="1:27" x14ac:dyDescent="0.25">
      <c r="A2128" t="str">
        <f>"23/03/2018"</f>
        <v>23/03/2018</v>
      </c>
      <c r="B2128" s="3">
        <f>AUD!B2128</f>
        <v>0.77180000000000004</v>
      </c>
      <c r="C2128" s="3">
        <f>AUD!C2128</f>
        <v>0.77190000000000003</v>
      </c>
      <c r="D2128" s="3">
        <f>1/CAD!B2128</f>
        <v>0.77417356971432993</v>
      </c>
      <c r="E2128" s="3">
        <f>1/CAD!C2128</f>
        <v>0.77471335605825853</v>
      </c>
      <c r="F2128" s="3">
        <f>EUR!B2128/1</f>
        <v>1.2334000000000001</v>
      </c>
      <c r="G2128" s="3">
        <f>EUR!C2128/1</f>
        <v>1.2363999999999999</v>
      </c>
      <c r="H2128" s="3">
        <f>GBP!B2128/1</f>
        <v>1.4116</v>
      </c>
      <c r="I2128" s="3">
        <f>GBP!C2128/1</f>
        <v>1.4137</v>
      </c>
      <c r="J2128" s="4">
        <f>1/INR!B2128</f>
        <v>1.5380474487637944E-2</v>
      </c>
      <c r="K2128" s="4">
        <f>1/INR!C2128</f>
        <v>1.5305731996632741E-2</v>
      </c>
      <c r="L2128" s="4">
        <f>1/JPY!B2128</f>
        <v>9.5201827875095197E-3</v>
      </c>
      <c r="M2128" s="4">
        <f>1/JPY!C2128</f>
        <v>9.5415295071800011E-3</v>
      </c>
      <c r="N2128" s="5">
        <f>1/KRW!B2128</f>
        <v>9.2404361485862131E-4</v>
      </c>
      <c r="O2128" s="5">
        <f>1/KRW!C2128</f>
        <v>9.2406154619522273E-4</v>
      </c>
      <c r="P2128" s="3">
        <f>1/NOK!B2128</f>
        <v>0.12871503777786358</v>
      </c>
      <c r="Q2128" s="3">
        <f>1/NOK!C2128</f>
        <v>0.1288626581789129</v>
      </c>
      <c r="R2128" s="3">
        <f>NZD!B2128/1</f>
        <v>0.72440000000000004</v>
      </c>
      <c r="S2128" s="3">
        <f>NZD!C2128/1</f>
        <v>0.72430000000000005</v>
      </c>
      <c r="T2128" s="4">
        <f>1/PHP!B2128</f>
        <v>1.9087612139721322E-2</v>
      </c>
      <c r="U2128" s="4">
        <f>1/PHP!C2128</f>
        <v>1.905850962454736E-2</v>
      </c>
      <c r="V2128" s="4">
        <f>1/TWD!B2128</f>
        <v>3.4284147010422379E-2</v>
      </c>
      <c r="W2128" s="4">
        <f>1/TWD!C2128</f>
        <v>3.4284969812084079E-2</v>
      </c>
      <c r="X2128" s="4">
        <f>1/TWD!B2128</f>
        <v>3.4284147010422379E-2</v>
      </c>
      <c r="Y2128" s="4">
        <f>1/TWD!C2128</f>
        <v>3.4284969812084079E-2</v>
      </c>
      <c r="Z2128" s="4">
        <f>1/ZAR!B2128</f>
        <v>8.4744326367349701E-2</v>
      </c>
      <c r="AA2128" s="4">
        <f>1/ZAR!C2128</f>
        <v>8.4340499464437835E-2</v>
      </c>
    </row>
    <row r="2129" spans="1:27" x14ac:dyDescent="0.25">
      <c r="A2129" t="str">
        <f>"26/03/2018"</f>
        <v>26/03/2018</v>
      </c>
      <c r="B2129" s="3">
        <f>AUD!B2129</f>
        <v>0.77359999999999995</v>
      </c>
      <c r="C2129" s="3">
        <f>AUD!C2129</f>
        <v>0.77370000000000005</v>
      </c>
      <c r="D2129" s="3">
        <f>1/CAD!B2129</f>
        <v>0.77639751552795033</v>
      </c>
      <c r="E2129" s="3">
        <f>1/CAD!C2129</f>
        <v>0.77694040867065506</v>
      </c>
      <c r="F2129" s="3">
        <f>EUR!B2129/1</f>
        <v>1.2406999999999999</v>
      </c>
      <c r="G2129" s="3">
        <f>EUR!C2129/1</f>
        <v>1.2438</v>
      </c>
      <c r="H2129" s="3">
        <f>GBP!B2129/1</f>
        <v>1.4220999999999999</v>
      </c>
      <c r="I2129" s="3">
        <f>GBP!C2129/1</f>
        <v>1.4242999999999999</v>
      </c>
      <c r="J2129" s="4">
        <f>1/INR!B2129</f>
        <v>1.5416634548678025E-2</v>
      </c>
      <c r="K2129" s="4">
        <f>1/INR!C2129</f>
        <v>1.5340952673161002E-2</v>
      </c>
      <c r="L2129" s="4">
        <f>1/JPY!B2129</f>
        <v>9.513842641042717E-3</v>
      </c>
      <c r="M2129" s="4">
        <f>1/JPY!C2129</f>
        <v>9.5335973504226245E-3</v>
      </c>
      <c r="N2129" s="5">
        <f>1/KRW!B2129</f>
        <v>9.2481272542310191E-4</v>
      </c>
      <c r="O2129" s="5">
        <f>1/KRW!C2129</f>
        <v>9.2483581852131707E-4</v>
      </c>
      <c r="P2129" s="3">
        <f>1/NOK!B2129</f>
        <v>0.12984820744549622</v>
      </c>
      <c r="Q2129" s="3">
        <f>1/NOK!C2129</f>
        <v>0.13000013000013</v>
      </c>
      <c r="R2129" s="3">
        <f>NZD!B2129/1</f>
        <v>0.72860000000000003</v>
      </c>
      <c r="S2129" s="3">
        <f>NZD!C2129/1</f>
        <v>0.72850000000000004</v>
      </c>
      <c r="T2129" s="4">
        <f>1/PHP!B2129</f>
        <v>1.9132164995790922E-2</v>
      </c>
      <c r="U2129" s="4">
        <f>1/PHP!C2129</f>
        <v>1.9103838916430256E-2</v>
      </c>
      <c r="V2129" s="4">
        <f>1/TWD!B2129</f>
        <v>3.4301787123109113E-2</v>
      </c>
      <c r="W2129" s="4">
        <f>1/TWD!C2129</f>
        <v>3.430272843902004E-2</v>
      </c>
      <c r="X2129" s="4">
        <f>1/TWD!B2129</f>
        <v>3.4301787123109113E-2</v>
      </c>
      <c r="Y2129" s="4">
        <f>1/TWD!C2129</f>
        <v>3.430272843902004E-2</v>
      </c>
      <c r="Z2129" s="4">
        <f>1/ZAR!B2129</f>
        <v>8.5748585148345047E-2</v>
      </c>
      <c r="AA2129" s="4">
        <f>1/ZAR!C2129</f>
        <v>8.5354819986684649E-2</v>
      </c>
    </row>
    <row r="2130" spans="1:27" x14ac:dyDescent="0.25">
      <c r="A2130" t="str">
        <f>"27/03/2018"</f>
        <v>27/03/2018</v>
      </c>
      <c r="B2130" s="3">
        <f>AUD!B2130</f>
        <v>0.77070000000000005</v>
      </c>
      <c r="C2130" s="3">
        <f>AUD!C2130</f>
        <v>0.77080000000000004</v>
      </c>
      <c r="D2130" s="3">
        <f>1/CAD!B2130</f>
        <v>0.77669902912621358</v>
      </c>
      <c r="E2130" s="3">
        <f>1/CAD!C2130</f>
        <v>0.77718193829175408</v>
      </c>
      <c r="F2130" s="3">
        <f>EUR!B2130/1</f>
        <v>1.2395</v>
      </c>
      <c r="G2130" s="3">
        <f>EUR!C2130/1</f>
        <v>1.2424999999999999</v>
      </c>
      <c r="H2130" s="3">
        <f>GBP!B2130/1</f>
        <v>1.41</v>
      </c>
      <c r="I2130" s="3">
        <f>GBP!C2130/1</f>
        <v>1.4119999999999999</v>
      </c>
      <c r="J2130" s="4">
        <f>1/INR!B2130</f>
        <v>1.5389942672463543E-2</v>
      </c>
      <c r="K2130" s="4">
        <f>1/INR!C2130</f>
        <v>1.5329781933851991E-2</v>
      </c>
      <c r="L2130" s="4">
        <f>1/JPY!B2130</f>
        <v>9.4535829079221024E-3</v>
      </c>
      <c r="M2130" s="4">
        <f>1/JPY!C2130</f>
        <v>9.4716971481667057E-3</v>
      </c>
      <c r="N2130" s="5">
        <f>1/KRW!B2130</f>
        <v>9.3414292386735165E-4</v>
      </c>
      <c r="O2130" s="5">
        <f>1/KRW!C2130</f>
        <v>9.3415601339579728E-4</v>
      </c>
      <c r="P2130" s="3">
        <f>1/NOK!B2130</f>
        <v>0.12966973119464723</v>
      </c>
      <c r="Q2130" s="3">
        <f>1/NOK!C2130</f>
        <v>0.12978248455588434</v>
      </c>
      <c r="R2130" s="3">
        <f>NZD!B2130/1</f>
        <v>0.7268</v>
      </c>
      <c r="S2130" s="3">
        <f>NZD!C2130/1</f>
        <v>0.72660000000000002</v>
      </c>
      <c r="T2130" s="4">
        <f>1/PHP!B2130</f>
        <v>1.9095266283488323E-2</v>
      </c>
      <c r="U2130" s="4">
        <f>1/PHP!C2130</f>
        <v>1.9067231056705946E-2</v>
      </c>
      <c r="V2130" s="4">
        <f>1/TWD!B2130</f>
        <v>3.4314734747100409E-2</v>
      </c>
      <c r="W2130" s="4">
        <f>1/TWD!C2130</f>
        <v>3.4315441262259189E-2</v>
      </c>
      <c r="X2130" s="4">
        <f>1/TWD!B2130</f>
        <v>3.4314734747100409E-2</v>
      </c>
      <c r="Y2130" s="4">
        <f>1/TWD!C2130</f>
        <v>3.4315441262259189E-2</v>
      </c>
      <c r="Z2130" s="4">
        <f>1/ZAR!B2130</f>
        <v>8.5611307541500078E-2</v>
      </c>
      <c r="AA2130" s="4">
        <f>1/ZAR!C2130</f>
        <v>8.5220977995943484E-2</v>
      </c>
    </row>
    <row r="2131" spans="1:27" x14ac:dyDescent="0.25">
      <c r="A2131" t="str">
        <f>"28/03/2018"</f>
        <v>28/03/2018</v>
      </c>
      <c r="B2131" s="3">
        <f>AUD!B2131</f>
        <v>0.76690000000000003</v>
      </c>
      <c r="C2131" s="3">
        <f>AUD!C2131</f>
        <v>0.76790000000000003</v>
      </c>
      <c r="D2131" s="3">
        <f>1/CAD!B2131</f>
        <v>0.77730275942479599</v>
      </c>
      <c r="E2131" s="3">
        <f>1/CAD!C2131</f>
        <v>0.77778641984910935</v>
      </c>
      <c r="F2131" s="3">
        <f>EUR!B2131/1</f>
        <v>1.2345999999999999</v>
      </c>
      <c r="G2131" s="3">
        <f>EUR!C2131/1</f>
        <v>1.2427999999999999</v>
      </c>
      <c r="H2131" s="3">
        <f>GBP!B2131/1</f>
        <v>1.4106000000000001</v>
      </c>
      <c r="I2131" s="3">
        <f>GBP!C2131/1</f>
        <v>1.4178999999999999</v>
      </c>
      <c r="J2131" s="4">
        <f>1/INR!B2131</f>
        <v>1.5341541057799255E-2</v>
      </c>
      <c r="K2131" s="4">
        <f>1/INR!C2131</f>
        <v>1.528117359413203E-2</v>
      </c>
      <c r="L2131" s="4">
        <f>1/JPY!B2131</f>
        <v>9.4384143463898066E-3</v>
      </c>
      <c r="M2131" s="4">
        <f>1/JPY!C2131</f>
        <v>9.4552633669058219E-3</v>
      </c>
      <c r="N2131" s="5">
        <f>1/KRW!B2131</f>
        <v>9.3388121031004858E-4</v>
      </c>
      <c r="O2131" s="5">
        <f>1/KRW!C2131</f>
        <v>9.3388557100098518E-4</v>
      </c>
      <c r="P2131" s="3">
        <f>1/NOK!B2131</f>
        <v>0.12878797635452754</v>
      </c>
      <c r="Q2131" s="3">
        <f>1/NOK!C2131</f>
        <v>0.12890252391141818</v>
      </c>
      <c r="R2131" s="3">
        <f>NZD!B2131/1</f>
        <v>0.72599999999999998</v>
      </c>
      <c r="S2131" s="3">
        <f>NZD!C2131/1</f>
        <v>0.72589999999999999</v>
      </c>
      <c r="T2131" s="4">
        <f>1/PHP!B2131</f>
        <v>1.9157088122605363E-2</v>
      </c>
      <c r="U2131" s="4">
        <f>1/PHP!C2131</f>
        <v>1.9127773527161437E-2</v>
      </c>
      <c r="V2131" s="4">
        <f>1/TWD!B2131</f>
        <v>3.4290025031718276E-2</v>
      </c>
      <c r="W2131" s="4">
        <f>1/TWD!C2131</f>
        <v>3.4290730529723201E-2</v>
      </c>
      <c r="X2131" s="4">
        <f>1/TWD!B2131</f>
        <v>3.4290025031718276E-2</v>
      </c>
      <c r="Y2131" s="4">
        <f>1/TWD!C2131</f>
        <v>3.4290730529723201E-2</v>
      </c>
      <c r="Z2131" s="4">
        <f>1/ZAR!B2131</f>
        <v>8.4993540490922698E-2</v>
      </c>
      <c r="AA2131" s="4">
        <f>1/ZAR!C2131</f>
        <v>8.5205729233233649E-2</v>
      </c>
    </row>
    <row r="2132" spans="1:27" x14ac:dyDescent="0.25">
      <c r="A2132" t="str">
        <f>"03/04/2018"</f>
        <v>03/04/2018</v>
      </c>
      <c r="B2132" s="3">
        <f>AUD!B2132</f>
        <v>0.7681</v>
      </c>
      <c r="C2132" s="3">
        <f>AUD!C2132</f>
        <v>0.7681</v>
      </c>
      <c r="D2132" s="3">
        <f>1/CAD!B2132</f>
        <v>0.77615647314498604</v>
      </c>
      <c r="E2132" s="3">
        <f>1/CAD!C2132</f>
        <v>0.77657839558903463</v>
      </c>
      <c r="F2132" s="3">
        <f>EUR!B2132/1</f>
        <v>1.2296</v>
      </c>
      <c r="G2132" s="3">
        <f>EUR!C2132/1</f>
        <v>1.2323999999999999</v>
      </c>
      <c r="H2132" s="3">
        <f>GBP!B2132/1</f>
        <v>1.4040999999999999</v>
      </c>
      <c r="I2132" s="3">
        <f>GBP!C2132/1</f>
        <v>1.4060999999999999</v>
      </c>
      <c r="J2132" s="4">
        <f>1/INR!B2132</f>
        <v>1.5380474487637944E-2</v>
      </c>
      <c r="K2132" s="4">
        <f>1/INR!C2132</f>
        <v>1.5317454239105462E-2</v>
      </c>
      <c r="L2132" s="4">
        <f>1/JPY!B2132</f>
        <v>9.4135366657253118E-3</v>
      </c>
      <c r="M2132" s="4">
        <f>1/JPY!C2132</f>
        <v>9.4320580562037484E-3</v>
      </c>
      <c r="N2132" s="5">
        <f>1/KRW!B2132</f>
        <v>9.4813691096994404E-4</v>
      </c>
      <c r="O2132" s="5">
        <f>1/KRW!C2132</f>
        <v>9.4814635018173601E-4</v>
      </c>
      <c r="P2132" s="3">
        <f>1/NOK!B2132</f>
        <v>0.12747947580439548</v>
      </c>
      <c r="Q2132" s="3">
        <f>1/NOK!C2132</f>
        <v>0.12760310330747243</v>
      </c>
      <c r="R2132" s="3">
        <f>NZD!B2132/1</f>
        <v>0.72440000000000004</v>
      </c>
      <c r="S2132" s="3">
        <f>NZD!C2132/1</f>
        <v>0.72430000000000005</v>
      </c>
      <c r="T2132" s="4">
        <f>1/PHP!B2132</f>
        <v>1.9201228878648235E-2</v>
      </c>
      <c r="U2132" s="4">
        <f>1/PHP!C2132</f>
        <v>1.9173249482322265E-2</v>
      </c>
      <c r="V2132" s="4">
        <f>1/TWD!B2132</f>
        <v>3.430531732418525E-2</v>
      </c>
      <c r="W2132" s="4">
        <f>1/TWD!C2132</f>
        <v>3.4305905761676872E-2</v>
      </c>
      <c r="X2132" s="4">
        <f>1/TWD!B2132</f>
        <v>3.430531732418525E-2</v>
      </c>
      <c r="Y2132" s="4">
        <f>1/TWD!C2132</f>
        <v>3.4305905761676872E-2</v>
      </c>
      <c r="Z2132" s="4">
        <f>1/ZAR!B2132</f>
        <v>8.4382488945893952E-2</v>
      </c>
      <c r="AA2132" s="4">
        <f>1/ZAR!C2132</f>
        <v>8.3991970367632854E-2</v>
      </c>
    </row>
    <row r="2133" spans="1:27" x14ac:dyDescent="0.25">
      <c r="A2133" t="str">
        <f>"04/04/2018"</f>
        <v>04/04/2018</v>
      </c>
      <c r="B2133" s="3">
        <f>AUD!B2133</f>
        <v>0.76790000000000003</v>
      </c>
      <c r="C2133" s="3">
        <f>AUD!C2133</f>
        <v>0.76790000000000003</v>
      </c>
      <c r="D2133" s="3">
        <f>1/CAD!B2133</f>
        <v>0.77954474586841294</v>
      </c>
      <c r="E2133" s="3">
        <f>1/CAD!C2133</f>
        <v>0.78003120124804992</v>
      </c>
      <c r="F2133" s="3">
        <f>EUR!B2133/1</f>
        <v>1.2282</v>
      </c>
      <c r="G2133" s="3">
        <f>EUR!C2133/1</f>
        <v>1.2310000000000001</v>
      </c>
      <c r="H2133" s="3">
        <f>GBP!B2133/1</f>
        <v>1.4039999999999999</v>
      </c>
      <c r="I2133" s="3">
        <f>GBP!C2133/1</f>
        <v>1.4060999999999999</v>
      </c>
      <c r="J2133" s="4">
        <f>1/INR!B2133</f>
        <v>1.5349194167306216E-2</v>
      </c>
      <c r="K2133" s="4">
        <f>1/INR!C2133</f>
        <v>1.5288766578756259E-2</v>
      </c>
      <c r="L2133" s="4">
        <f>1/JPY!B2133</f>
        <v>9.4135366657253118E-3</v>
      </c>
      <c r="M2133" s="4">
        <f>1/JPY!C2133</f>
        <v>9.4323427486978657E-3</v>
      </c>
      <c r="N2133" s="5">
        <f>1/KRW!B2133</f>
        <v>9.4357425929420652E-4</v>
      </c>
      <c r="O2133" s="5">
        <f>1/KRW!C2133</f>
        <v>9.4358271752766228E-4</v>
      </c>
      <c r="P2133" s="3">
        <f>1/NOK!B2133</f>
        <v>0.1273528437890018</v>
      </c>
      <c r="Q2133" s="3">
        <f>1/NOK!C2133</f>
        <v>0.12748435129587843</v>
      </c>
      <c r="R2133" s="3">
        <f>NZD!B2133/1</f>
        <v>0.72819999999999996</v>
      </c>
      <c r="S2133" s="3">
        <f>NZD!C2133/1</f>
        <v>0.72809999999999997</v>
      </c>
      <c r="T2133" s="4">
        <f>1/PHP!B2133</f>
        <v>1.9168104274487254E-2</v>
      </c>
      <c r="U2133" s="4">
        <f>1/PHP!C2133</f>
        <v>1.9138389695890989E-2</v>
      </c>
      <c r="V2133" s="4">
        <f>1/TWD!B2133</f>
        <v>3.430531732418525E-2</v>
      </c>
      <c r="W2133" s="4">
        <f>1/TWD!C2133</f>
        <v>3.4305905761676872E-2</v>
      </c>
      <c r="X2133" s="4">
        <f>1/TWD!B2133</f>
        <v>3.430531732418525E-2</v>
      </c>
      <c r="Y2133" s="4">
        <f>1/TWD!C2133</f>
        <v>3.4305905761676872E-2</v>
      </c>
      <c r="Z2133" s="4">
        <f>1/ZAR!B2133</f>
        <v>8.3749989531251304E-2</v>
      </c>
      <c r="AA2133" s="4">
        <f>1/ZAR!C2133</f>
        <v>8.3375020843755213E-2</v>
      </c>
    </row>
    <row r="2134" spans="1:27" x14ac:dyDescent="0.25">
      <c r="A2134" t="str">
        <f>"05/04/2018"</f>
        <v>05/04/2018</v>
      </c>
      <c r="B2134" s="3">
        <f>AUD!B2134</f>
        <v>0.76880000000000004</v>
      </c>
      <c r="C2134" s="3">
        <f>AUD!C2134</f>
        <v>0.76880000000000004</v>
      </c>
      <c r="D2134" s="3">
        <f>1/CAD!B2134</f>
        <v>0.78271759549154662</v>
      </c>
      <c r="E2134" s="3">
        <f>1/CAD!C2134</f>
        <v>0.783146683373796</v>
      </c>
      <c r="F2134" s="3">
        <f>EUR!B2134/1</f>
        <v>1.2263999999999999</v>
      </c>
      <c r="G2134" s="3">
        <f>EUR!C2134/1</f>
        <v>1.2291000000000001</v>
      </c>
      <c r="H2134" s="3">
        <f>GBP!B2134/1</f>
        <v>1.4044000000000001</v>
      </c>
      <c r="I2134" s="3">
        <f>GBP!C2134/1</f>
        <v>1.4063000000000001</v>
      </c>
      <c r="J2134" s="4">
        <f>1/INR!B2134</f>
        <v>1.5392311540385577E-2</v>
      </c>
      <c r="K2134" s="4">
        <f>1/INR!C2134</f>
        <v>1.5334483419589802E-2</v>
      </c>
      <c r="L2134" s="4">
        <f>1/JPY!B2134</f>
        <v>9.3405566971791511E-3</v>
      </c>
      <c r="M2134" s="4">
        <f>1/JPY!C2134</f>
        <v>9.3583625860150493E-3</v>
      </c>
      <c r="N2134" s="5">
        <f>1/KRW!B2134</f>
        <v>9.4339622641509435E-4</v>
      </c>
      <c r="O2134" s="5">
        <f>1/KRW!C2134</f>
        <v>9.4340201142742853E-4</v>
      </c>
      <c r="P2134" s="3">
        <f>1/NOK!B2134</f>
        <v>0.12797706650968146</v>
      </c>
      <c r="Q2134" s="3">
        <f>1/NOK!C2134</f>
        <v>0.12810658467845248</v>
      </c>
      <c r="R2134" s="3">
        <f>NZD!B2134/1</f>
        <v>0.7288</v>
      </c>
      <c r="S2134" s="3">
        <f>NZD!C2134/1</f>
        <v>0.72870000000000001</v>
      </c>
      <c r="T2134" s="4">
        <f>1/PHP!B2134</f>
        <v>1.9182812200268559E-2</v>
      </c>
      <c r="U2134" s="4">
        <f>1/PHP!C2134</f>
        <v>1.9152685206465944E-2</v>
      </c>
      <c r="V2134" s="4">
        <f>1/TWD!B2134</f>
        <v>3.430531732418525E-2</v>
      </c>
      <c r="W2134" s="4">
        <f>1/TWD!C2134</f>
        <v>3.4305905761676872E-2</v>
      </c>
      <c r="X2134" s="4">
        <f>1/TWD!B2134</f>
        <v>3.430531732418525E-2</v>
      </c>
      <c r="Y2134" s="4">
        <f>1/TWD!C2134</f>
        <v>3.4305905761676872E-2</v>
      </c>
      <c r="Z2134" s="4">
        <f>1/ZAR!B2134</f>
        <v>8.3903175735201577E-2</v>
      </c>
      <c r="AA2134" s="4">
        <f>1/ZAR!C2134</f>
        <v>8.3547074599182911E-2</v>
      </c>
    </row>
    <row r="2135" spans="1:27" x14ac:dyDescent="0.25">
      <c r="A2135" t="str">
        <f>"06/04/2018"</f>
        <v>06/04/2018</v>
      </c>
      <c r="B2135" s="3">
        <f>AUD!B2135</f>
        <v>0.76780000000000004</v>
      </c>
      <c r="C2135" s="3">
        <f>AUD!C2135</f>
        <v>0.76780000000000004</v>
      </c>
      <c r="D2135" s="3">
        <f>1/CAD!B2135</f>
        <v>0.7822277847309137</v>
      </c>
      <c r="E2135" s="3">
        <f>1/CAD!C2135</f>
        <v>0.78265633560303671</v>
      </c>
      <c r="F2135" s="3">
        <f>EUR!B2135/1</f>
        <v>1.2237</v>
      </c>
      <c r="G2135" s="3">
        <f>EUR!C2135/1</f>
        <v>1.2262999999999999</v>
      </c>
      <c r="H2135" s="3">
        <f>GBP!B2135/1</f>
        <v>1.4005000000000001</v>
      </c>
      <c r="I2135" s="3">
        <f>GBP!C2135/1</f>
        <v>1.4023000000000001</v>
      </c>
      <c r="J2135" s="4">
        <f>1/INR!B2135</f>
        <v>1.5388758511907052E-2</v>
      </c>
      <c r="K2135" s="4">
        <f>1/INR!C2135</f>
        <v>1.5331544653123804E-2</v>
      </c>
      <c r="L2135" s="4">
        <f>1/JPY!B2135</f>
        <v>9.3135885256589359E-3</v>
      </c>
      <c r="M2135" s="4">
        <f>1/JPY!C2135</f>
        <v>9.3311175039633917E-3</v>
      </c>
      <c r="N2135" s="5">
        <f>1/KRW!B2135</f>
        <v>9.3475415965601051E-4</v>
      </c>
      <c r="O2135" s="5">
        <f>1/KRW!C2135</f>
        <v>9.3475940227744775E-4</v>
      </c>
      <c r="P2135" s="3">
        <f>1/NOK!B2135</f>
        <v>0.12769435080192051</v>
      </c>
      <c r="Q2135" s="3">
        <f>1/NOK!C2135</f>
        <v>0.12782493097453729</v>
      </c>
      <c r="R2135" s="3">
        <f>NZD!B2135/1</f>
        <v>0.72450000000000003</v>
      </c>
      <c r="S2135" s="3">
        <f>NZD!C2135/1</f>
        <v>0.72440000000000004</v>
      </c>
      <c r="T2135" s="4">
        <f>1/PHP!B2135</f>
        <v>1.9180972475304498E-2</v>
      </c>
      <c r="U2135" s="4">
        <f>1/PHP!C2135</f>
        <v>1.9151584793641672E-2</v>
      </c>
      <c r="V2135" s="4">
        <f>1/TWD!B2135</f>
        <v>3.430531732418525E-2</v>
      </c>
      <c r="W2135" s="4">
        <f>1/TWD!C2135</f>
        <v>3.4305905761676872E-2</v>
      </c>
      <c r="X2135" s="4">
        <f>1/TWD!B2135</f>
        <v>3.430531732418525E-2</v>
      </c>
      <c r="Y2135" s="4">
        <f>1/TWD!C2135</f>
        <v>3.4305905761676872E-2</v>
      </c>
      <c r="Z2135" s="4">
        <f>1/ZAR!B2135</f>
        <v>8.2732146402806281E-2</v>
      </c>
      <c r="AA2135" s="4">
        <f>1/ZAR!C2135</f>
        <v>8.2384538069895041E-2</v>
      </c>
    </row>
    <row r="2136" spans="1:27" x14ac:dyDescent="0.25">
      <c r="A2136" t="str">
        <f>"09/04/2018"</f>
        <v>09/04/2018</v>
      </c>
      <c r="B2136" s="3">
        <f>AUD!B2136</f>
        <v>0.76919999999999999</v>
      </c>
      <c r="C2136" s="3">
        <f>AUD!C2136</f>
        <v>0.76919999999999999</v>
      </c>
      <c r="D2136" s="3">
        <f>1/CAD!B2136</f>
        <v>0.78302403883799243</v>
      </c>
      <c r="E2136" s="3">
        <f>1/CAD!C2136</f>
        <v>0.78345346286430584</v>
      </c>
      <c r="F2136" s="3">
        <f>EUR!B2136/1</f>
        <v>1.2274</v>
      </c>
      <c r="G2136" s="3">
        <f>EUR!C2136/1</f>
        <v>1.23</v>
      </c>
      <c r="H2136" s="3">
        <f>GBP!B2136/1</f>
        <v>1.4095</v>
      </c>
      <c r="I2136" s="3">
        <f>GBP!C2136/1</f>
        <v>1.4113</v>
      </c>
      <c r="J2136" s="4">
        <f>1/INR!B2136</f>
        <v>1.5411882561454881E-2</v>
      </c>
      <c r="K2136" s="4">
        <f>1/INR!C2136</f>
        <v>1.5354496948293732E-2</v>
      </c>
      <c r="L2136" s="4">
        <f>1/JPY!B2136</f>
        <v>9.3449210354172498E-3</v>
      </c>
      <c r="M2136" s="4">
        <f>1/JPY!C2136</f>
        <v>9.3624718423659346E-3</v>
      </c>
      <c r="N2136" s="5">
        <f>1/KRW!B2136</f>
        <v>9.3729496672602863E-4</v>
      </c>
      <c r="O2136" s="5">
        <f>1/KRW!C2136</f>
        <v>9.3729979862113813E-4</v>
      </c>
      <c r="P2136" s="3">
        <f>1/NOK!B2136</f>
        <v>0.12768782879615914</v>
      </c>
      <c r="Q2136" s="3">
        <f>1/NOK!C2136</f>
        <v>0.12781022737439451</v>
      </c>
      <c r="R2136" s="3">
        <f>NZD!B2136/1</f>
        <v>0.72970000000000002</v>
      </c>
      <c r="S2136" s="3">
        <f>NZD!C2136/1</f>
        <v>0.72960000000000003</v>
      </c>
      <c r="T2136" s="4">
        <f>1/PHP!B2136</f>
        <v>1.9180972475304498E-2</v>
      </c>
      <c r="U2136" s="4">
        <f>1/PHP!C2136</f>
        <v>1.9151584793641672E-2</v>
      </c>
      <c r="V2136" s="4">
        <f>1/TWD!B2136</f>
        <v>3.4244229847270734E-2</v>
      </c>
      <c r="W2136" s="4">
        <f>1/TWD!C2136</f>
        <v>3.4244933462094285E-2</v>
      </c>
      <c r="X2136" s="4">
        <f>1/TWD!B2136</f>
        <v>3.4244229847270734E-2</v>
      </c>
      <c r="Y2136" s="4">
        <f>1/TWD!C2136</f>
        <v>3.4244933462094285E-2</v>
      </c>
      <c r="Z2136" s="4">
        <f>1/ZAR!B2136</f>
        <v>8.3381972817476863E-2</v>
      </c>
      <c r="AA2136" s="4">
        <f>1/ZAR!C2136</f>
        <v>8.3028894055131183E-2</v>
      </c>
    </row>
    <row r="2137" spans="1:27" x14ac:dyDescent="0.25">
      <c r="A2137" t="str">
        <f>"10/04/2018"</f>
        <v>10/04/2018</v>
      </c>
      <c r="B2137" s="3">
        <f>AUD!B2137</f>
        <v>0.7742</v>
      </c>
      <c r="C2137" s="3">
        <f>AUD!C2137</f>
        <v>0.77429999999999999</v>
      </c>
      <c r="D2137" s="3">
        <f>1/CAD!B2137</f>
        <v>0.78901688496133815</v>
      </c>
      <c r="E2137" s="3">
        <f>1/CAD!C2137</f>
        <v>0.78945290913397015</v>
      </c>
      <c r="F2137" s="3">
        <f>EUR!B2137/1</f>
        <v>1.2367999999999999</v>
      </c>
      <c r="G2137" s="3">
        <f>EUR!C2137/1</f>
        <v>1.2396</v>
      </c>
      <c r="H2137" s="3">
        <f>GBP!B2137/1</f>
        <v>1.4178999999999999</v>
      </c>
      <c r="I2137" s="3">
        <f>GBP!C2137/1</f>
        <v>1.4198</v>
      </c>
      <c r="J2137" s="4">
        <f>1/INR!B2137</f>
        <v>1.5385798907608276E-2</v>
      </c>
      <c r="K2137" s="4">
        <f>1/INR!C2137</f>
        <v>1.532625771102341E-2</v>
      </c>
      <c r="L2137" s="4">
        <f>1/JPY!B2137</f>
        <v>9.3475415965601043E-3</v>
      </c>
      <c r="M2137" s="4">
        <f>1/JPY!C2137</f>
        <v>9.3660057076438794E-3</v>
      </c>
      <c r="N2137" s="5">
        <f>1/KRW!B2137</f>
        <v>9.3755859741233836E-4</v>
      </c>
      <c r="O2137" s="5">
        <f>1/KRW!C2137</f>
        <v>9.3756343202594809E-4</v>
      </c>
      <c r="P2137" s="3">
        <f>1/NOK!B2137</f>
        <v>0.12818212115774091</v>
      </c>
      <c r="Q2137" s="3">
        <f>1/NOK!C2137</f>
        <v>0.12831864084895614</v>
      </c>
      <c r="R2137" s="3">
        <f>NZD!B2137/1</f>
        <v>0.73529999999999995</v>
      </c>
      <c r="S2137" s="3">
        <f>NZD!C2137/1</f>
        <v>0.73519999999999996</v>
      </c>
      <c r="T2137" s="4">
        <f>1/PHP!B2137</f>
        <v>1.9214141608223653E-2</v>
      </c>
      <c r="U2137" s="4">
        <f>1/PHP!C2137</f>
        <v>1.9186124594693117E-2</v>
      </c>
      <c r="V2137" s="4">
        <f>1/TWD!B2137</f>
        <v>3.4255960537133458E-2</v>
      </c>
      <c r="W2137" s="4">
        <f>1/TWD!C2137</f>
        <v>3.4256547282599387E-2</v>
      </c>
      <c r="X2137" s="4">
        <f>1/TWD!B2137</f>
        <v>3.4255960537133458E-2</v>
      </c>
      <c r="Y2137" s="4">
        <f>1/TWD!C2137</f>
        <v>3.4256547282599387E-2</v>
      </c>
      <c r="Z2137" s="4">
        <f>1/ZAR!B2137</f>
        <v>8.2956572234435269E-2</v>
      </c>
      <c r="AA2137" s="4">
        <f>1/ZAR!C2137</f>
        <v>8.25872947705725E-2</v>
      </c>
    </row>
    <row r="2138" spans="1:27" x14ac:dyDescent="0.25">
      <c r="A2138" t="str">
        <f>"11/04/2018"</f>
        <v>11/04/2018</v>
      </c>
      <c r="B2138" s="3">
        <f>AUD!B2138</f>
        <v>0.77480000000000004</v>
      </c>
      <c r="C2138" s="3">
        <f>AUD!C2138</f>
        <v>0.77480000000000004</v>
      </c>
      <c r="D2138" s="3">
        <f>1/CAD!B2138</f>
        <v>0.79289565493181091</v>
      </c>
      <c r="E2138" s="3">
        <f>1/CAD!C2138</f>
        <v>0.79339892097746745</v>
      </c>
      <c r="F2138" s="3">
        <f>EUR!B2138/1</f>
        <v>1.2382</v>
      </c>
      <c r="G2138" s="3">
        <f>EUR!C2138/1</f>
        <v>1.2408999999999999</v>
      </c>
      <c r="H2138" s="3">
        <f>GBP!B2138/1</f>
        <v>1.4177999999999999</v>
      </c>
      <c r="I2138" s="3">
        <f>GBP!C2138/1</f>
        <v>1.4196</v>
      </c>
      <c r="J2138" s="4">
        <f>1/INR!B2138</f>
        <v>1.5310418739952538E-2</v>
      </c>
      <c r="K2138" s="4">
        <f>1/INR!C2138</f>
        <v>1.5252621544327931E-2</v>
      </c>
      <c r="L2138" s="4">
        <f>1/JPY!B2138</f>
        <v>9.3641726753441335E-3</v>
      </c>
      <c r="M2138" s="4">
        <f>1/JPY!C2138</f>
        <v>9.3817431278731579E-3</v>
      </c>
      <c r="N2138" s="5">
        <f>1/KRW!B2138</f>
        <v>9.3764650726676048E-4</v>
      </c>
      <c r="O2138" s="5">
        <f>1/KRW!C2138</f>
        <v>9.3765222197791172E-4</v>
      </c>
      <c r="P2138" s="3">
        <f>1/NOK!B2138</f>
        <v>0.12866204341057344</v>
      </c>
      <c r="Q2138" s="3">
        <f>1/NOK!C2138</f>
        <v>0.12878963501017437</v>
      </c>
      <c r="R2138" s="3">
        <f>NZD!B2138/1</f>
        <v>0.73660000000000003</v>
      </c>
      <c r="S2138" s="3">
        <f>NZD!C2138/1</f>
        <v>0.73650000000000004</v>
      </c>
      <c r="T2138" s="4">
        <f>1/PHP!B2138</f>
        <v>1.9230769230769232E-2</v>
      </c>
      <c r="U2138" s="4">
        <f>1/PHP!C2138</f>
        <v>1.9202703740686687E-2</v>
      </c>
      <c r="V2138" s="4">
        <f>1/TWD!B2138</f>
        <v>3.4245402554707031E-2</v>
      </c>
      <c r="W2138" s="4">
        <f>1/TWD!C2138</f>
        <v>3.4245988938545573E-2</v>
      </c>
      <c r="X2138" s="4">
        <f>1/TWD!B2138</f>
        <v>3.4245402554707031E-2</v>
      </c>
      <c r="Y2138" s="4">
        <f>1/TWD!C2138</f>
        <v>3.4245988938545573E-2</v>
      </c>
      <c r="Z2138" s="4">
        <f>1/ZAR!B2138</f>
        <v>8.2557976338883982E-2</v>
      </c>
      <c r="AA2138" s="4">
        <f>1/ZAR!C2138</f>
        <v>8.2209799408089451E-2</v>
      </c>
    </row>
    <row r="2139" spans="1:27" x14ac:dyDescent="0.25">
      <c r="A2139" t="str">
        <f>"12/04/2018"</f>
        <v>12/04/2018</v>
      </c>
      <c r="B2139" s="3">
        <f>AUD!B2139</f>
        <v>0.77569999999999995</v>
      </c>
      <c r="C2139" s="3">
        <f>AUD!C2139</f>
        <v>0.77569999999999995</v>
      </c>
      <c r="D2139" s="3">
        <f>1/CAD!B2139</f>
        <v>0.79465988556897649</v>
      </c>
      <c r="E2139" s="3">
        <f>1/CAD!C2139</f>
        <v>0.7951653944020356</v>
      </c>
      <c r="F2139" s="3">
        <f>EUR!B2139/1</f>
        <v>1.2341</v>
      </c>
      <c r="G2139" s="3">
        <f>EUR!C2139/1</f>
        <v>1.2366999999999999</v>
      </c>
      <c r="H2139" s="3">
        <f>GBP!B2139/1</f>
        <v>1.4197</v>
      </c>
      <c r="I2139" s="3">
        <f>GBP!C2139/1</f>
        <v>1.4215</v>
      </c>
      <c r="J2139" s="4">
        <f>1/INR!B2139</f>
        <v>1.5323322096230461E-2</v>
      </c>
      <c r="K2139" s="4">
        <f>1/INR!C2139</f>
        <v>1.5268341094740056E-2</v>
      </c>
      <c r="L2139" s="4">
        <f>1/JPY!B2139</f>
        <v>9.3318402388951113E-3</v>
      </c>
      <c r="M2139" s="4">
        <f>1/JPY!C2139</f>
        <v>9.3490097528869734E-3</v>
      </c>
      <c r="N2139" s="5">
        <f>1/KRW!B2139</f>
        <v>9.3492894540014968E-4</v>
      </c>
      <c r="O2139" s="5">
        <f>1/KRW!C2139</f>
        <v>9.349346270335413E-4</v>
      </c>
      <c r="P2139" s="3">
        <f>1/NOK!B2139</f>
        <v>0.12868025530162652</v>
      </c>
      <c r="Q2139" s="3">
        <f>1/NOK!C2139</f>
        <v>0.12880622391673965</v>
      </c>
      <c r="R2139" s="3">
        <f>NZD!B2139/1</f>
        <v>0.73819999999999997</v>
      </c>
      <c r="S2139" s="3">
        <f>NZD!C2139/1</f>
        <v>0.73809999999999998</v>
      </c>
      <c r="T2139" s="4">
        <f>1/PHP!B2139</f>
        <v>1.9214141608223653E-2</v>
      </c>
      <c r="U2139" s="4">
        <f>1/PHP!C2139</f>
        <v>1.9186124594693117E-2</v>
      </c>
      <c r="V2139" s="4">
        <f>1/TWD!B2139</f>
        <v>3.4174014079693803E-2</v>
      </c>
      <c r="W2139" s="4">
        <f>1/TWD!C2139</f>
        <v>3.4174598021290775E-2</v>
      </c>
      <c r="X2139" s="4">
        <f>1/TWD!B2139</f>
        <v>3.4174014079693803E-2</v>
      </c>
      <c r="Y2139" s="4">
        <f>1/TWD!C2139</f>
        <v>3.4174598021290775E-2</v>
      </c>
      <c r="Z2139" s="4">
        <f>1/ZAR!B2139</f>
        <v>8.3443200213614593E-2</v>
      </c>
      <c r="AA2139" s="4">
        <f>1/ZAR!C2139</f>
        <v>8.3102723276241755E-2</v>
      </c>
    </row>
    <row r="2140" spans="1:27" x14ac:dyDescent="0.25">
      <c r="A2140" t="str">
        <f>"13/04/2018"</f>
        <v>13/04/2018</v>
      </c>
      <c r="B2140" s="3">
        <f>AUD!B2140</f>
        <v>0.77990000000000004</v>
      </c>
      <c r="C2140" s="3">
        <f>AUD!C2140</f>
        <v>0.77990000000000004</v>
      </c>
      <c r="D2140" s="3">
        <f>1/CAD!B2140</f>
        <v>0.79579818558013693</v>
      </c>
      <c r="E2140" s="3">
        <f>1/CAD!C2140</f>
        <v>0.79624173899195794</v>
      </c>
      <c r="F2140" s="3">
        <f>EUR!B2140/1</f>
        <v>1.2316</v>
      </c>
      <c r="G2140" s="3">
        <f>EUR!C2140/1</f>
        <v>1.2342</v>
      </c>
      <c r="H2140" s="3">
        <f>GBP!B2140/1</f>
        <v>1.4252</v>
      </c>
      <c r="I2140" s="3">
        <f>GBP!C2140/1</f>
        <v>1.427</v>
      </c>
      <c r="J2140" s="4">
        <f>1/INR!B2140</f>
        <v>1.5333895576171125E-2</v>
      </c>
      <c r="K2140" s="4">
        <f>1/INR!C2140</f>
        <v>1.5278838808250572E-2</v>
      </c>
      <c r="L2140" s="4">
        <f>1/JPY!B2140</f>
        <v>9.2859132695700623E-3</v>
      </c>
      <c r="M2140" s="4">
        <f>1/JPY!C2140</f>
        <v>9.3031477200310724E-3</v>
      </c>
      <c r="N2140" s="5">
        <f>1/KRW!B2140</f>
        <v>9.3484154435823129E-4</v>
      </c>
      <c r="O2140" s="5">
        <f>1/KRW!C2140</f>
        <v>9.3484766189925518E-4</v>
      </c>
      <c r="P2140" s="3">
        <f>1/NOK!B2140</f>
        <v>0.12865542218276788</v>
      </c>
      <c r="Q2140" s="3">
        <f>1/NOK!C2140</f>
        <v>0.12878134215914797</v>
      </c>
      <c r="R2140" s="3">
        <f>NZD!B2140/1</f>
        <v>0.73819999999999997</v>
      </c>
      <c r="S2140" s="3">
        <f>NZD!C2140/1</f>
        <v>0.73809999999999998</v>
      </c>
      <c r="T2140" s="4">
        <f>1/PHP!B2140</f>
        <v>1.9236318168702509E-2</v>
      </c>
      <c r="U2140" s="4">
        <f>1/PHP!C2140</f>
        <v>1.9208236491807688E-2</v>
      </c>
      <c r="V2140" s="4">
        <f>1/TWD!B2140</f>
        <v>3.4127363319909905E-2</v>
      </c>
      <c r="W2140" s="4">
        <f>1/TWD!C2140</f>
        <v>3.4127945668310497E-2</v>
      </c>
      <c r="X2140" s="4">
        <f>1/TWD!B2140</f>
        <v>3.4127363319909905E-2</v>
      </c>
      <c r="Y2140" s="4">
        <f>1/TWD!C2140</f>
        <v>3.4127945668310497E-2</v>
      </c>
      <c r="Z2140" s="4">
        <f>1/ZAR!B2140</f>
        <v>8.2971714942376137E-2</v>
      </c>
      <c r="AA2140" s="4">
        <f>1/ZAR!C2140</f>
        <v>8.2630970087588823E-2</v>
      </c>
    </row>
    <row r="2141" spans="1:27" x14ac:dyDescent="0.25">
      <c r="A2141" t="str">
        <f>"16/04/2018"</f>
        <v>16/04/2018</v>
      </c>
      <c r="B2141" s="3">
        <f>AUD!B2141</f>
        <v>0.77680000000000005</v>
      </c>
      <c r="C2141" s="3">
        <f>AUD!C2141</f>
        <v>0.77680000000000005</v>
      </c>
      <c r="D2141" s="3">
        <f>1/CAD!B2141</f>
        <v>0.79321012136114866</v>
      </c>
      <c r="E2141" s="3">
        <f>1/CAD!C2141</f>
        <v>0.79365079365079361</v>
      </c>
      <c r="F2141" s="3">
        <f>EUR!B2141/1</f>
        <v>1.2366999999999999</v>
      </c>
      <c r="G2141" s="3">
        <f>EUR!C2141/1</f>
        <v>1.2393000000000001</v>
      </c>
      <c r="H2141" s="3">
        <f>GBP!B2141/1</f>
        <v>1.4307000000000001</v>
      </c>
      <c r="I2141" s="3">
        <f>GBP!C2141/1</f>
        <v>1.4325000000000001</v>
      </c>
      <c r="J2141" s="4">
        <f>1/INR!B2141</f>
        <v>1.526775831138593E-2</v>
      </c>
      <c r="K2141" s="4">
        <f>1/INR!C2141</f>
        <v>1.5213174609211576E-2</v>
      </c>
      <c r="L2141" s="4">
        <f>1/JPY!B2141</f>
        <v>9.3231400335633038E-3</v>
      </c>
      <c r="M2141" s="4">
        <f>1/JPY!C2141</f>
        <v>9.3404781764397649E-3</v>
      </c>
      <c r="N2141" s="5">
        <f>1/KRW!B2141</f>
        <v>9.3109869646182495E-4</v>
      </c>
      <c r="O2141" s="5">
        <f>1/KRW!C2141</f>
        <v>9.3110476511485644E-4</v>
      </c>
      <c r="P2141" s="3">
        <f>1/NOK!B2141</f>
        <v>0.12885767669608916</v>
      </c>
      <c r="Q2141" s="3">
        <f>1/NOK!C2141</f>
        <v>0.12897900221843883</v>
      </c>
      <c r="R2141" s="3">
        <f>NZD!B2141/1</f>
        <v>0.73380000000000001</v>
      </c>
      <c r="S2141" s="3">
        <f>NZD!C2141/1</f>
        <v>0.73370000000000002</v>
      </c>
      <c r="T2141" s="4">
        <f>1/PHP!B2141</f>
        <v>1.9179133103183737E-2</v>
      </c>
      <c r="U2141" s="4">
        <f>1/PHP!C2141</f>
        <v>1.9151768186997865E-2</v>
      </c>
      <c r="V2141" s="4">
        <f>1/TWD!B2141</f>
        <v>3.3983551960850948E-2</v>
      </c>
      <c r="W2141" s="4">
        <f>1/TWD!C2141</f>
        <v>3.3984129411564798E-2</v>
      </c>
      <c r="X2141" s="4">
        <f>1/TWD!B2141</f>
        <v>3.3983551960850948E-2</v>
      </c>
      <c r="Y2141" s="4">
        <f>1/TWD!C2141</f>
        <v>3.3984129411564798E-2</v>
      </c>
      <c r="Z2141" s="4">
        <f>1/ZAR!B2141</f>
        <v>8.2804077272764912E-2</v>
      </c>
      <c r="AA2141" s="4">
        <f>1/ZAR!C2141</f>
        <v>8.2461305032613452E-2</v>
      </c>
    </row>
    <row r="2142" spans="1:27" x14ac:dyDescent="0.25">
      <c r="A2142" t="str">
        <f>"17/04/2018"</f>
        <v>17/04/2018</v>
      </c>
      <c r="B2142" s="3">
        <f>AUD!B2142</f>
        <v>0.77710000000000001</v>
      </c>
      <c r="C2142" s="3">
        <f>AUD!C2142</f>
        <v>0.77710000000000001</v>
      </c>
      <c r="D2142" s="3">
        <f>1/CAD!B2142</f>
        <v>0.7963051441312311</v>
      </c>
      <c r="E2142" s="3">
        <f>1/CAD!C2142</f>
        <v>0.79674926300693161</v>
      </c>
      <c r="F2142" s="3">
        <f>EUR!B2142/1</f>
        <v>1.2374000000000001</v>
      </c>
      <c r="G2142" s="3">
        <f>EUR!C2142/1</f>
        <v>1.2401</v>
      </c>
      <c r="H2142" s="3">
        <f>GBP!B2142/1</f>
        <v>1.4332</v>
      </c>
      <c r="I2142" s="3">
        <f>GBP!C2142/1</f>
        <v>1.4351</v>
      </c>
      <c r="J2142" s="4">
        <f>1/INR!B2142</f>
        <v>1.523229246001523E-2</v>
      </c>
      <c r="K2142" s="4">
        <f>1/INR!C2142</f>
        <v>1.5174506828528072E-2</v>
      </c>
      <c r="L2142" s="4">
        <f>1/JPY!B2142</f>
        <v>9.3396843186700287E-3</v>
      </c>
      <c r="M2142" s="4">
        <f>1/JPY!C2142</f>
        <v>9.3579159546852281E-3</v>
      </c>
      <c r="N2142" s="5">
        <f>1/KRW!B2142</f>
        <v>9.3703148425787106E-4</v>
      </c>
      <c r="O2142" s="5">
        <f>1/KRW!C2142</f>
        <v>9.3703719147464814E-4</v>
      </c>
      <c r="P2142" s="3">
        <f>1/NOK!B2142</f>
        <v>0.1287846591713995</v>
      </c>
      <c r="Q2142" s="3">
        <f>1/NOK!C2142</f>
        <v>0.1289174799211025</v>
      </c>
      <c r="R2142" s="3">
        <f>NZD!B2142/1</f>
        <v>0.73409999999999997</v>
      </c>
      <c r="S2142" s="3">
        <f>NZD!C2142/1</f>
        <v>0.73399999999999999</v>
      </c>
      <c r="T2142" s="4">
        <f>1/PHP!B2142</f>
        <v>1.9193857965451054E-2</v>
      </c>
      <c r="U2142" s="4">
        <f>1/PHP!C2142</f>
        <v>1.9166634722275463E-2</v>
      </c>
      <c r="V2142" s="4">
        <f>1/TWD!B2142</f>
        <v>3.4057625502349975E-2</v>
      </c>
      <c r="W2142" s="4">
        <f>1/TWD!C2142</f>
        <v>3.4058205473153622E-2</v>
      </c>
      <c r="X2142" s="4">
        <f>1/TWD!B2142</f>
        <v>3.4057625502349975E-2</v>
      </c>
      <c r="Y2142" s="4">
        <f>1/TWD!C2142</f>
        <v>3.4058205473153622E-2</v>
      </c>
      <c r="Z2142" s="4">
        <f>1/ZAR!B2142</f>
        <v>8.3135885605021415E-2</v>
      </c>
      <c r="AA2142" s="4">
        <f>1/ZAR!C2142</f>
        <v>8.2769808884511284E-2</v>
      </c>
    </row>
    <row r="2143" spans="1:27" x14ac:dyDescent="0.25">
      <c r="A2143" t="str">
        <f>"18/04/2018"</f>
        <v>18/04/2018</v>
      </c>
      <c r="B2143" s="3">
        <f>AUD!B2143</f>
        <v>0.77580000000000005</v>
      </c>
      <c r="C2143" s="3">
        <f>AUD!C2143</f>
        <v>0.77580000000000005</v>
      </c>
      <c r="D2143" s="3">
        <f>1/CAD!B2143</f>
        <v>0.79510217062892574</v>
      </c>
      <c r="E2143" s="3">
        <f>1/CAD!C2143</f>
        <v>0.79554494828957845</v>
      </c>
      <c r="F2143" s="3">
        <f>EUR!B2143/1</f>
        <v>1.2381</v>
      </c>
      <c r="G2143" s="3">
        <f>EUR!C2143/1</f>
        <v>1.2406999999999999</v>
      </c>
      <c r="H2143" s="3">
        <f>GBP!B2143/1</f>
        <v>1.4212</v>
      </c>
      <c r="I2143" s="3">
        <f>GBP!C2143/1</f>
        <v>1.423</v>
      </c>
      <c r="J2143" s="4">
        <f>1/INR!B2143</f>
        <v>1.522881291403335E-2</v>
      </c>
      <c r="K2143" s="4">
        <f>1/INR!C2143</f>
        <v>1.5172780032621477E-2</v>
      </c>
      <c r="L2143" s="4">
        <f>1/JPY!B2143</f>
        <v>9.3300988990483291E-3</v>
      </c>
      <c r="M2143" s="4">
        <f>1/JPY!C2143</f>
        <v>9.3475590718995558E-3</v>
      </c>
      <c r="N2143" s="5">
        <f>1/KRW!B2143</f>
        <v>9.3571629082062318E-4</v>
      </c>
      <c r="O2143" s="5">
        <f>1/KRW!C2143</f>
        <v>9.3572066866598989E-4</v>
      </c>
      <c r="P2143" s="3">
        <f>1/NOK!B2143</f>
        <v>0.12871006770149562</v>
      </c>
      <c r="Q2143" s="3">
        <f>1/NOK!C2143</f>
        <v>0.12883775461561256</v>
      </c>
      <c r="R2143" s="3">
        <f>NZD!B2143/1</f>
        <v>0.7319</v>
      </c>
      <c r="S2143" s="3">
        <f>NZD!C2143/1</f>
        <v>0.73180000000000001</v>
      </c>
      <c r="T2143" s="4">
        <f>1/PHP!B2143</f>
        <v>1.9184652278177457E-2</v>
      </c>
      <c r="U2143" s="4">
        <f>1/PHP!C2143</f>
        <v>1.9157455123661373E-2</v>
      </c>
      <c r="V2143" s="4">
        <f>1/TWD!B2143</f>
        <v>3.4052986446911397E-2</v>
      </c>
      <c r="W2143" s="4">
        <f>1/TWD!C2143</f>
        <v>3.4053566259726546E-2</v>
      </c>
      <c r="X2143" s="4">
        <f>1/TWD!B2143</f>
        <v>3.4052986446911397E-2</v>
      </c>
      <c r="Y2143" s="4">
        <f>1/TWD!C2143</f>
        <v>3.4053566259726546E-2</v>
      </c>
      <c r="Z2143" s="4">
        <f>1/ZAR!B2143</f>
        <v>8.3478028582876979E-2</v>
      </c>
      <c r="AA2143" s="4">
        <f>1/ZAR!C2143</f>
        <v>8.3119301132916074E-2</v>
      </c>
    </row>
    <row r="2144" spans="1:27" x14ac:dyDescent="0.25">
      <c r="A2144" t="str">
        <f>"19/04/2018"</f>
        <v>19/04/2018</v>
      </c>
      <c r="B2144" s="3">
        <f>AUD!B2144</f>
        <v>0.7792</v>
      </c>
      <c r="C2144" s="3">
        <f>AUD!C2144</f>
        <v>0.7792</v>
      </c>
      <c r="D2144" s="3">
        <f>1/CAD!B2144</f>
        <v>0.79339892097746745</v>
      </c>
      <c r="E2144" s="3">
        <f>1/CAD!C2144</f>
        <v>0.79383980312772884</v>
      </c>
      <c r="F2144" s="3">
        <f>EUR!B2144/1</f>
        <v>1.2373000000000001</v>
      </c>
      <c r="G2144" s="3">
        <f>EUR!C2144/1</f>
        <v>1.2399</v>
      </c>
      <c r="H2144" s="3">
        <f>GBP!B2144/1</f>
        <v>1.4234</v>
      </c>
      <c r="I2144" s="3">
        <f>GBP!C2144/1</f>
        <v>1.4251</v>
      </c>
      <c r="J2144" s="4">
        <f>1/INR!B2144</f>
        <v>1.5197568389057751E-2</v>
      </c>
      <c r="K2144" s="4">
        <f>1/INR!C2144</f>
        <v>1.5142911224682946E-2</v>
      </c>
      <c r="L2144" s="4">
        <f>1/JPY!B2144</f>
        <v>9.3092533978774896E-3</v>
      </c>
      <c r="M2144" s="4">
        <f>1/JPY!C2144</f>
        <v>9.3261136778648411E-3</v>
      </c>
      <c r="N2144" s="5">
        <f>1/KRW!B2144</f>
        <v>9.4197437829691044E-4</v>
      </c>
      <c r="O2144" s="5">
        <f>1/KRW!C2144</f>
        <v>9.4197837123461813E-4</v>
      </c>
      <c r="P2144" s="3">
        <f>1/NOK!B2144</f>
        <v>0.12914890869172155</v>
      </c>
      <c r="Q2144" s="3">
        <f>1/NOK!C2144</f>
        <v>0.12926911243827399</v>
      </c>
      <c r="R2144" s="3">
        <f>NZD!B2144/1</f>
        <v>0.73040000000000005</v>
      </c>
      <c r="S2144" s="3">
        <f>NZD!C2144/1</f>
        <v>0.73029999999999995</v>
      </c>
      <c r="T2144" s="4">
        <f>1/PHP!B2144</f>
        <v>1.9175455417066157E-2</v>
      </c>
      <c r="U2144" s="4">
        <f>1/PHP!C2144</f>
        <v>1.9148650977538633E-2</v>
      </c>
      <c r="V2144" s="4">
        <f>1/TWD!B2144</f>
        <v>3.4080839751891488E-2</v>
      </c>
      <c r="W2144" s="4">
        <f>1/TWD!C2144</f>
        <v>3.4081420513607005E-2</v>
      </c>
      <c r="X2144" s="4">
        <f>1/TWD!B2144</f>
        <v>3.4080839751891488E-2</v>
      </c>
      <c r="Y2144" s="4">
        <f>1/TWD!C2144</f>
        <v>3.4081420513607005E-2</v>
      </c>
      <c r="Z2144" s="4">
        <f>1/ZAR!B2144</f>
        <v>8.3757004179474515E-2</v>
      </c>
      <c r="AA2144" s="4">
        <f>1/ZAR!C2144</f>
        <v>8.3409792309617148E-2</v>
      </c>
    </row>
    <row r="2145" spans="1:27" x14ac:dyDescent="0.25">
      <c r="A2145" t="str">
        <f>"20/04/2018"</f>
        <v>20/04/2018</v>
      </c>
      <c r="B2145" s="3">
        <f>AUD!B2145</f>
        <v>0.76959999999999995</v>
      </c>
      <c r="C2145" s="3">
        <f>AUD!C2145</f>
        <v>0.76959999999999995</v>
      </c>
      <c r="D2145" s="3">
        <f>1/CAD!B2145</f>
        <v>0.79007663743383105</v>
      </c>
      <c r="E2145" s="3">
        <f>1/CAD!C2145</f>
        <v>0.79051383399209496</v>
      </c>
      <c r="F2145" s="3">
        <f>EUR!B2145/1</f>
        <v>1.2311000000000001</v>
      </c>
      <c r="G2145" s="3">
        <f>EUR!C2145/1</f>
        <v>1.2337</v>
      </c>
      <c r="H2145" s="3">
        <f>GBP!B2145/1</f>
        <v>1.4064000000000001</v>
      </c>
      <c r="I2145" s="3">
        <f>GBP!C2145/1</f>
        <v>1.4080999999999999</v>
      </c>
      <c r="J2145" s="4">
        <f>1/INR!B2145</f>
        <v>1.512516070483249E-2</v>
      </c>
      <c r="K2145" s="4">
        <f>1/INR!C2145</f>
        <v>1.5070454374199382E-2</v>
      </c>
      <c r="L2145" s="4">
        <f>1/JPY!B2145</f>
        <v>9.2945441026117664E-3</v>
      </c>
      <c r="M2145" s="4">
        <f>1/JPY!C2145</f>
        <v>9.3115851949520032E-3</v>
      </c>
      <c r="N2145" s="5">
        <f>1/KRW!B2145</f>
        <v>9.3694368968425001E-4</v>
      </c>
      <c r="O2145" s="5">
        <f>1/KRW!C2145</f>
        <v>9.3694807902220095E-4</v>
      </c>
      <c r="P2145" s="3">
        <f>1/NOK!B2145</f>
        <v>0.12814762606522714</v>
      </c>
      <c r="Q2145" s="3">
        <f>1/NOK!C2145</f>
        <v>0.12826761755727151</v>
      </c>
      <c r="R2145" s="3">
        <f>NZD!B2145/1</f>
        <v>0.72260000000000002</v>
      </c>
      <c r="S2145" s="3">
        <f>NZD!C2145/1</f>
        <v>0.72250000000000003</v>
      </c>
      <c r="T2145" s="4">
        <f>1/PHP!B2145</f>
        <v>1.9193857965451054E-2</v>
      </c>
      <c r="U2145" s="4">
        <f>1/PHP!C2145</f>
        <v>1.9167002089203227E-2</v>
      </c>
      <c r="V2145" s="4">
        <f>1/TWD!B2145</f>
        <v>3.4004352557127311E-2</v>
      </c>
      <c r="W2145" s="4">
        <f>1/TWD!C2145</f>
        <v>3.4004930714953668E-2</v>
      </c>
      <c r="X2145" s="4">
        <f>1/TWD!B2145</f>
        <v>3.4004352557127311E-2</v>
      </c>
      <c r="Y2145" s="4">
        <f>1/TWD!C2145</f>
        <v>3.4004930714953668E-2</v>
      </c>
      <c r="Z2145" s="4">
        <f>1/ZAR!B2145</f>
        <v>8.3198828560493876E-2</v>
      </c>
      <c r="AA2145" s="4">
        <f>1/ZAR!C2145</f>
        <v>8.2851414273641649E-2</v>
      </c>
    </row>
    <row r="2146" spans="1:27" x14ac:dyDescent="0.25">
      <c r="A2146" t="str">
        <f>"23/04/2018"</f>
        <v>23/04/2018</v>
      </c>
      <c r="B2146" s="3">
        <f>AUD!B2146</f>
        <v>0.76429999999999998</v>
      </c>
      <c r="C2146" s="3">
        <f>AUD!C2146</f>
        <v>0.76429999999999998</v>
      </c>
      <c r="D2146" s="3">
        <f>1/CAD!B2146</f>
        <v>0.7816774798718048</v>
      </c>
      <c r="E2146" s="3">
        <f>1/CAD!C2146</f>
        <v>0.78210542781166903</v>
      </c>
      <c r="F2146" s="3">
        <f>EUR!B2146/1</f>
        <v>1.2231000000000001</v>
      </c>
      <c r="G2146" s="3">
        <f>EUR!C2146/1</f>
        <v>1.2257</v>
      </c>
      <c r="H2146" s="3">
        <f>GBP!B2146/1</f>
        <v>1.3948</v>
      </c>
      <c r="I2146" s="3">
        <f>GBP!C2146/1</f>
        <v>1.3966000000000001</v>
      </c>
      <c r="J2146" s="4">
        <f>1/INR!B2146</f>
        <v>1.5040986688726781E-2</v>
      </c>
      <c r="K2146" s="4">
        <f>1/INR!C2146</f>
        <v>1.498576352465158E-2</v>
      </c>
      <c r="L2146" s="4">
        <f>1/JPY!B2146</f>
        <v>9.2387287509238733E-3</v>
      </c>
      <c r="M2146" s="4">
        <f>1/JPY!C2146</f>
        <v>9.2561310297908581E-3</v>
      </c>
      <c r="N2146" s="5">
        <f>1/KRW!B2146</f>
        <v>9.3545369504209543E-4</v>
      </c>
      <c r="O2146" s="5">
        <f>1/KRW!C2146</f>
        <v>9.3545807043063822E-4</v>
      </c>
      <c r="P2146" s="3">
        <f>1/NOK!B2146</f>
        <v>0.12706480304955528</v>
      </c>
      <c r="Q2146" s="3">
        <f>1/NOK!C2146</f>
        <v>0.12718762718762719</v>
      </c>
      <c r="R2146" s="3">
        <f>NZD!B2146/1</f>
        <v>0.71750000000000003</v>
      </c>
      <c r="S2146" s="3">
        <f>NZD!C2146/1</f>
        <v>0.71740000000000004</v>
      </c>
      <c r="T2146" s="4">
        <f>1/PHP!B2146</f>
        <v>1.9120458891013385E-2</v>
      </c>
      <c r="U2146" s="4">
        <f>1/PHP!C2146</f>
        <v>1.9093078758949882E-2</v>
      </c>
      <c r="V2146" s="4">
        <f>1/TWD!B2146</f>
        <v>3.3858134416793632E-2</v>
      </c>
      <c r="W2146" s="4">
        <f>1/TWD!C2146</f>
        <v>3.3858707613130402E-2</v>
      </c>
      <c r="X2146" s="4">
        <f>1/TWD!B2146</f>
        <v>3.3858134416793632E-2</v>
      </c>
      <c r="Y2146" s="4">
        <f>1/TWD!C2146</f>
        <v>3.3858707613130402E-2</v>
      </c>
      <c r="Z2146" s="4">
        <f>1/ZAR!B2146</f>
        <v>8.1656650117585577E-2</v>
      </c>
      <c r="AA2146" s="4">
        <f>1/ZAR!C2146</f>
        <v>8.1313373610557724E-2</v>
      </c>
    </row>
    <row r="2147" spans="1:27" x14ac:dyDescent="0.25">
      <c r="A2147" t="str">
        <f>"24/04/2018"</f>
        <v>24/04/2018</v>
      </c>
      <c r="B2147" s="3">
        <f>AUD!B2147</f>
        <v>0.76100000000000001</v>
      </c>
      <c r="C2147" s="3">
        <f>AUD!C2147</f>
        <v>0.76100000000000001</v>
      </c>
      <c r="D2147" s="3">
        <f>1/CAD!B2147</f>
        <v>0.77924101924725309</v>
      </c>
      <c r="E2147" s="3">
        <f>1/CAD!C2147</f>
        <v>0.77966630282239202</v>
      </c>
      <c r="F2147" s="3">
        <f>EUR!B2147/1</f>
        <v>1.2214</v>
      </c>
      <c r="G2147" s="3">
        <f>EUR!C2147/1</f>
        <v>1.2242</v>
      </c>
      <c r="H2147" s="3">
        <f>GBP!B2147/1</f>
        <v>1.3951</v>
      </c>
      <c r="I2147" s="3">
        <f>GBP!C2147/1</f>
        <v>1.397</v>
      </c>
      <c r="J2147" s="4">
        <f>1/INR!B2147</f>
        <v>1.506194223745152E-2</v>
      </c>
      <c r="K2147" s="4">
        <f>1/INR!C2147</f>
        <v>1.5003188177487716E-2</v>
      </c>
      <c r="L2147" s="4">
        <f>1/JPY!B2147</f>
        <v>9.189487226612756E-3</v>
      </c>
      <c r="M2147" s="4">
        <f>1/JPY!C2147</f>
        <v>9.2082303162566697E-3</v>
      </c>
      <c r="N2147" s="5">
        <f>1/KRW!B2147</f>
        <v>9.2859132695700616E-4</v>
      </c>
      <c r="O2147" s="5">
        <f>1/KRW!C2147</f>
        <v>9.2859606953141639E-4</v>
      </c>
      <c r="P2147" s="3">
        <f>1/NOK!B2147</f>
        <v>0.12675877804537963</v>
      </c>
      <c r="Q2147" s="3">
        <f>1/NOK!C2147</f>
        <v>0.12689550155446991</v>
      </c>
      <c r="R2147" s="3">
        <f>NZD!B2147/1</f>
        <v>0.71230000000000004</v>
      </c>
      <c r="S2147" s="3">
        <f>NZD!C2147/1</f>
        <v>0.71220000000000006</v>
      </c>
      <c r="T2147" s="4">
        <f>1/PHP!B2147</f>
        <v>1.9104021396503964E-2</v>
      </c>
      <c r="U2147" s="4">
        <f>1/PHP!C2147</f>
        <v>1.9077416154756E-2</v>
      </c>
      <c r="V2147" s="4">
        <f>1/TWD!B2147</f>
        <v>3.37655321447866E-2</v>
      </c>
      <c r="W2147" s="4">
        <f>1/TWD!C2147</f>
        <v>3.3766102209991392E-2</v>
      </c>
      <c r="X2147" s="4">
        <f>1/TWD!B2147</f>
        <v>3.37655321447866E-2</v>
      </c>
      <c r="Y2147" s="4">
        <f>1/TWD!C2147</f>
        <v>3.3766102209991392E-2</v>
      </c>
      <c r="Z2147" s="4">
        <f>1/ZAR!B2147</f>
        <v>8.1178055947916161E-2</v>
      </c>
      <c r="AA2147" s="4">
        <f>1/ZAR!C2147</f>
        <v>8.0801551389786688E-2</v>
      </c>
    </row>
    <row r="2148" spans="1:27" x14ac:dyDescent="0.25">
      <c r="A2148" t="str">
        <f>"25/04/2018"</f>
        <v>25/04/2018</v>
      </c>
      <c r="B2148" s="3">
        <f>AUD!B2148</f>
        <v>0.75719999999999998</v>
      </c>
      <c r="C2148" s="3">
        <f>AUD!C2148</f>
        <v>0.75719999999999998</v>
      </c>
      <c r="D2148" s="3">
        <f>1/CAD!B2148</f>
        <v>0.77615647314498604</v>
      </c>
      <c r="E2148" s="3">
        <f>1/CAD!C2148</f>
        <v>0.77663870767319043</v>
      </c>
      <c r="F2148" s="3">
        <f>EUR!B2148/1</f>
        <v>1.2189000000000001</v>
      </c>
      <c r="G2148" s="3">
        <f>EUR!C2148/1</f>
        <v>1.2216</v>
      </c>
      <c r="H2148" s="3">
        <f>GBP!B2148/1</f>
        <v>1.3948</v>
      </c>
      <c r="I2148" s="3">
        <f>GBP!C2148/1</f>
        <v>1.3966000000000001</v>
      </c>
      <c r="J2148" s="4">
        <f>1/INR!B2148</f>
        <v>1.4948800358771209E-2</v>
      </c>
      <c r="K2148" s="4">
        <f>1/INR!C2148</f>
        <v>1.488981536628946E-2</v>
      </c>
      <c r="L2148" s="4">
        <f>1/JPY!B2148</f>
        <v>9.1659028414298807E-3</v>
      </c>
      <c r="M2148" s="4">
        <f>1/JPY!C2148</f>
        <v>9.1848956228461429E-3</v>
      </c>
      <c r="N2148" s="5">
        <f>1/KRW!B2148</f>
        <v>9.2532617747756083E-4</v>
      </c>
      <c r="O2148" s="5">
        <f>1/KRW!C2148</f>
        <v>9.2533045864004188E-4</v>
      </c>
      <c r="P2148" s="3">
        <f>1/NOK!B2148</f>
        <v>0.12567392643048347</v>
      </c>
      <c r="Q2148" s="3">
        <f>1/NOK!C2148</f>
        <v>0.12580515297906603</v>
      </c>
      <c r="R2148" s="3">
        <f>NZD!B2148/1</f>
        <v>0.70809999999999995</v>
      </c>
      <c r="S2148" s="3">
        <f>NZD!C2148/1</f>
        <v>0.70799999999999996</v>
      </c>
      <c r="T2148" s="4">
        <f>1/PHP!B2148</f>
        <v>1.910584638899503E-2</v>
      </c>
      <c r="U2148" s="4">
        <f>1/PHP!C2148</f>
        <v>1.9075596589283331E-2</v>
      </c>
      <c r="V2148" s="4">
        <f>1/TWD!B2148</f>
        <v>3.3715441672285906E-2</v>
      </c>
      <c r="W2148" s="4">
        <f>1/TWD!C2148</f>
        <v>3.3716010047370994E-2</v>
      </c>
      <c r="X2148" s="4">
        <f>1/TWD!B2148</f>
        <v>3.3715441672285906E-2</v>
      </c>
      <c r="Y2148" s="4">
        <f>1/TWD!C2148</f>
        <v>3.3716010047370994E-2</v>
      </c>
      <c r="Z2148" s="4">
        <f>1/ZAR!B2148</f>
        <v>8.0192461908580592E-2</v>
      </c>
      <c r="AA2148" s="4">
        <f>1/ZAR!C2148</f>
        <v>7.9841594276954517E-2</v>
      </c>
    </row>
    <row r="2149" spans="1:27" x14ac:dyDescent="0.25">
      <c r="A2149" t="str">
        <f>"26/04/2018"</f>
        <v>26/04/2018</v>
      </c>
      <c r="B2149" s="3">
        <f>AUD!B2149</f>
        <v>0.75800000000000001</v>
      </c>
      <c r="C2149" s="3">
        <f>AUD!C2149</f>
        <v>0.75800000000000001</v>
      </c>
      <c r="D2149" s="3">
        <f>1/CAD!B2149</f>
        <v>0.77924101924725309</v>
      </c>
      <c r="E2149" s="3">
        <f>1/CAD!C2149</f>
        <v>0.77972709551656927</v>
      </c>
      <c r="F2149" s="3">
        <f>EUR!B2149/1</f>
        <v>1.218</v>
      </c>
      <c r="G2149" s="3">
        <f>EUR!C2149/1</f>
        <v>1.2206999999999999</v>
      </c>
      <c r="H2149" s="3">
        <f>GBP!B2149/1</f>
        <v>1.3957999999999999</v>
      </c>
      <c r="I2149" s="3">
        <f>GBP!C2149/1</f>
        <v>1.3976</v>
      </c>
      <c r="J2149" s="4">
        <f>1/INR!B2149</f>
        <v>1.4979029358897542E-2</v>
      </c>
      <c r="K2149" s="4">
        <f>1/INR!C2149</f>
        <v>1.4924259383628088E-2</v>
      </c>
      <c r="L2149" s="4">
        <f>1/JPY!B2149</f>
        <v>9.1625435220817307E-3</v>
      </c>
      <c r="M2149" s="4">
        <f>1/JPY!C2149</f>
        <v>9.1802411832963681E-3</v>
      </c>
      <c r="N2149" s="5">
        <f>1/KRW!B2149</f>
        <v>9.2506938020351531E-4</v>
      </c>
      <c r="O2149" s="5">
        <f>1/KRW!C2149</f>
        <v>9.2507237534996648E-4</v>
      </c>
      <c r="P2149" s="3">
        <f>1/NOK!B2149</f>
        <v>0.1258748300689794</v>
      </c>
      <c r="Q2149" s="3">
        <f>1/NOK!C2149</f>
        <v>0.1260033012864937</v>
      </c>
      <c r="R2149" s="3">
        <f>NZD!B2149/1</f>
        <v>0.70809999999999995</v>
      </c>
      <c r="S2149" s="3">
        <f>NZD!C2149/1</f>
        <v>0.70799999999999996</v>
      </c>
      <c r="T2149" s="4">
        <f>1/PHP!B2149</f>
        <v>1.9161493063539509E-2</v>
      </c>
      <c r="U2149" s="4">
        <f>1/PHP!C2149</f>
        <v>1.913106693960322E-2</v>
      </c>
      <c r="V2149" s="4">
        <f>1/TWD!B2149</f>
        <v>3.3643979409884603E-2</v>
      </c>
      <c r="W2149" s="4">
        <f>1/TWD!C2149</f>
        <v>3.3644545378080579E-2</v>
      </c>
      <c r="X2149" s="4">
        <f>1/TWD!B2149</f>
        <v>3.3643979409884603E-2</v>
      </c>
      <c r="Y2149" s="4">
        <f>1/TWD!C2149</f>
        <v>3.3644545378080579E-2</v>
      </c>
      <c r="Z2149" s="4">
        <f>1/ZAR!B2149</f>
        <v>8.0710901621482006E-2</v>
      </c>
      <c r="AA2149" s="4">
        <f>1/ZAR!C2149</f>
        <v>8.0346453909256724E-2</v>
      </c>
    </row>
    <row r="2150" spans="1:27" x14ac:dyDescent="0.25">
      <c r="A2150" t="str">
        <f>"27/04/2018"</f>
        <v>27/04/2018</v>
      </c>
      <c r="B2150" s="3">
        <f>AUD!B2150</f>
        <v>0.75549999999999995</v>
      </c>
      <c r="C2150" s="3">
        <f>AUD!C2150</f>
        <v>0.75549999999999995</v>
      </c>
      <c r="D2150" s="3">
        <f>1/CAD!B2150</f>
        <v>0.77603600807077455</v>
      </c>
      <c r="E2150" s="3">
        <f>1/CAD!C2150</f>
        <v>0.77651809287156393</v>
      </c>
      <c r="F2150" s="3">
        <f>EUR!B2150/1</f>
        <v>1.2082999999999999</v>
      </c>
      <c r="G2150" s="3">
        <f>EUR!C2150/1</f>
        <v>1.2111000000000001</v>
      </c>
      <c r="H2150" s="3">
        <f>GBP!B2150/1</f>
        <v>1.3772</v>
      </c>
      <c r="I2150" s="3">
        <f>GBP!C2150/1</f>
        <v>1.379</v>
      </c>
      <c r="J2150" s="4">
        <f>1/INR!B2150</f>
        <v>1.499981250234372E-2</v>
      </c>
      <c r="K2150" s="4">
        <f>1/INR!C2150</f>
        <v>1.4946007547733812E-2</v>
      </c>
      <c r="L2150" s="4">
        <f>1/JPY!B2150</f>
        <v>9.1474570069520686E-3</v>
      </c>
      <c r="M2150" s="4">
        <f>1/JPY!C2150</f>
        <v>9.1664069518030324E-3</v>
      </c>
      <c r="N2150" s="5">
        <f>1/KRW!B2150</f>
        <v>9.2867756315007436E-4</v>
      </c>
      <c r="O2150" s="5">
        <f>1/KRW!C2150</f>
        <v>9.2868015048333161E-4</v>
      </c>
      <c r="P2150" s="3">
        <f>1/NOK!B2150</f>
        <v>0.1249750049990002</v>
      </c>
      <c r="Q2150" s="3">
        <f>1/NOK!C2150</f>
        <v>0.12510947078693857</v>
      </c>
      <c r="R2150" s="3">
        <f>NZD!B2150/1</f>
        <v>0.7056</v>
      </c>
      <c r="S2150" s="3">
        <f>NZD!C2150/1</f>
        <v>0.70550000000000002</v>
      </c>
      <c r="T2150" s="4">
        <f>1/PHP!B2150</f>
        <v>1.9234468166955183E-2</v>
      </c>
      <c r="U2150" s="4">
        <f>1/PHP!C2150</f>
        <v>1.9204916458613407E-2</v>
      </c>
      <c r="V2150" s="4">
        <f>1/TWD!B2150</f>
        <v>3.3742745309758404E-2</v>
      </c>
      <c r="W2150" s="4">
        <f>1/TWD!C2150</f>
        <v>3.3743428467305991E-2</v>
      </c>
      <c r="X2150" s="4">
        <f>1/TWD!B2150</f>
        <v>3.3742745309758404E-2</v>
      </c>
      <c r="Y2150" s="4">
        <f>1/TWD!C2150</f>
        <v>3.3743428467305991E-2</v>
      </c>
      <c r="Z2150" s="4">
        <f>1/ZAR!B2150</f>
        <v>8.0695270450198905E-2</v>
      </c>
      <c r="AA2150" s="4">
        <f>1/ZAR!C2150</f>
        <v>8.0331608881462679E-2</v>
      </c>
    </row>
    <row r="2151" spans="1:27" x14ac:dyDescent="0.25">
      <c r="A2151" t="str">
        <f>"02/05/2018"</f>
        <v>02/05/2018</v>
      </c>
      <c r="B2151" s="3">
        <f>AUD!B2151</f>
        <v>0.75049999999999994</v>
      </c>
      <c r="C2151" s="3">
        <f>AUD!C2151</f>
        <v>0.75049999999999994</v>
      </c>
      <c r="D2151" s="3">
        <f>1/CAD!B2151</f>
        <v>0.77918030232195723</v>
      </c>
      <c r="E2151" s="3">
        <f>1/CAD!C2151</f>
        <v>0.7796055196070788</v>
      </c>
      <c r="F2151" s="3">
        <f>EUR!B2151/1</f>
        <v>1.1998</v>
      </c>
      <c r="G2151" s="3">
        <f>EUR!C2151/1</f>
        <v>1.2023999999999999</v>
      </c>
      <c r="H2151" s="3">
        <f>GBP!B2151/1</f>
        <v>1.3638999999999999</v>
      </c>
      <c r="I2151" s="3">
        <f>GBP!C2151/1</f>
        <v>1.3656999999999999</v>
      </c>
      <c r="J2151" s="4">
        <f>1/INR!B2151</f>
        <v>1.499981250234372E-2</v>
      </c>
      <c r="K2151" s="4">
        <f>1/INR!C2151</f>
        <v>1.4945449110745778E-2</v>
      </c>
      <c r="L2151" s="4">
        <f>1/JPY!B2151</f>
        <v>9.1049804242920879E-3</v>
      </c>
      <c r="M2151" s="4">
        <f>1/JPY!C2151</f>
        <v>9.1222481598144892E-3</v>
      </c>
      <c r="N2151" s="5">
        <f>1/KRW!B2151</f>
        <v>9.2919531685560302E-4</v>
      </c>
      <c r="O2151" s="5">
        <f>1/KRW!C2151</f>
        <v>9.2919747537045945E-4</v>
      </c>
      <c r="P2151" s="3">
        <f>1/NOK!B2151</f>
        <v>0.12378075951874042</v>
      </c>
      <c r="Q2151" s="3">
        <f>1/NOK!C2151</f>
        <v>0.12390038409119068</v>
      </c>
      <c r="R2151" s="3">
        <f>NZD!B2151/1</f>
        <v>0.70169999999999999</v>
      </c>
      <c r="S2151" s="3">
        <f>NZD!C2151/1</f>
        <v>0.7016</v>
      </c>
      <c r="T2151" s="4">
        <f>1/PHP!B2151</f>
        <v>1.9277108433734941E-2</v>
      </c>
      <c r="U2151" s="4">
        <f>1/PHP!C2151</f>
        <v>1.9245943917319423E-2</v>
      </c>
      <c r="V2151" s="4">
        <f>1/TWD!B2151</f>
        <v>3.3602150537634407E-2</v>
      </c>
      <c r="W2151" s="4">
        <f>1/TWD!C2151</f>
        <v>3.360271509938003E-2</v>
      </c>
      <c r="X2151" s="4">
        <f>1/TWD!B2151</f>
        <v>3.3602150537634407E-2</v>
      </c>
      <c r="Y2151" s="4">
        <f>1/TWD!C2151</f>
        <v>3.360271509938003E-2</v>
      </c>
      <c r="Z2151" s="4">
        <f>1/ZAR!B2151</f>
        <v>7.9194747804325616E-2</v>
      </c>
      <c r="AA2151" s="4">
        <f>1/ZAR!C2151</f>
        <v>7.8868085240626537E-2</v>
      </c>
    </row>
    <row r="2152" spans="1:27" x14ac:dyDescent="0.25">
      <c r="A2152" t="str">
        <f>"03/05/2018"</f>
        <v>03/05/2018</v>
      </c>
      <c r="B2152" s="3">
        <f>AUD!B2152</f>
        <v>0.753</v>
      </c>
      <c r="C2152" s="3">
        <f>AUD!C2152</f>
        <v>0.75309999999999999</v>
      </c>
      <c r="D2152" s="3">
        <f>1/CAD!B2152</f>
        <v>0.77881619937694702</v>
      </c>
      <c r="E2152" s="3">
        <f>1/CAD!C2152</f>
        <v>0.77924101924725309</v>
      </c>
      <c r="F2152" s="3">
        <f>EUR!B2152/1</f>
        <v>1.1973</v>
      </c>
      <c r="G2152" s="3">
        <f>EUR!C2152/1</f>
        <v>1.1998</v>
      </c>
      <c r="H2152" s="3">
        <f>GBP!B2152/1</f>
        <v>1.3582000000000001</v>
      </c>
      <c r="I2152" s="3">
        <f>GBP!C2152/1</f>
        <v>1.36</v>
      </c>
      <c r="J2152" s="4">
        <f>1/INR!B2152</f>
        <v>1.5004313740200309E-2</v>
      </c>
      <c r="K2152" s="4">
        <f>1/INR!C2152</f>
        <v>1.4949359046230893E-2</v>
      </c>
      <c r="L2152" s="4">
        <f>1/JPY!B2152</f>
        <v>9.1382619025861273E-3</v>
      </c>
      <c r="M2152" s="4">
        <f>1/JPY!C2152</f>
        <v>9.1552790254388582E-3</v>
      </c>
      <c r="N2152" s="5">
        <f>1/KRW!B2152</f>
        <v>9.2902266815310288E-4</v>
      </c>
      <c r="O2152" s="5">
        <f>1/KRW!C2152</f>
        <v>9.2902525740967321E-4</v>
      </c>
      <c r="P2152" s="3">
        <f>1/NOK!B2152</f>
        <v>0.12412183799617706</v>
      </c>
      <c r="Q2152" s="3">
        <f>1/NOK!C2152</f>
        <v>0.12423903590508138</v>
      </c>
      <c r="R2152" s="3">
        <f>NZD!B2152/1</f>
        <v>0.70309999999999995</v>
      </c>
      <c r="S2152" s="3">
        <f>NZD!C2152/1</f>
        <v>0.70299999999999996</v>
      </c>
      <c r="T2152" s="4">
        <f>1/PHP!B2152</f>
        <v>1.9338619222587505E-2</v>
      </c>
      <c r="U2152" s="4">
        <f>1/PHP!C2152</f>
        <v>1.9308746862328634E-2</v>
      </c>
      <c r="V2152" s="4">
        <f>1/TWD!B2152</f>
        <v>3.3619095646327112E-2</v>
      </c>
      <c r="W2152" s="4">
        <f>1/TWD!C2152</f>
        <v>3.3619660777622754E-2</v>
      </c>
      <c r="X2152" s="4">
        <f>1/TWD!B2152</f>
        <v>3.3619095646327112E-2</v>
      </c>
      <c r="Y2152" s="4">
        <f>1/TWD!C2152</f>
        <v>3.3619660777622754E-2</v>
      </c>
      <c r="Z2152" s="4">
        <f>1/ZAR!B2152</f>
        <v>7.9199138313375148E-2</v>
      </c>
      <c r="AA2152" s="4">
        <f>1/ZAR!C2152</f>
        <v>7.8874305906108028E-2</v>
      </c>
    </row>
    <row r="2153" spans="1:27" x14ac:dyDescent="0.25">
      <c r="A2153" t="str">
        <f>"04/05/2018"</f>
        <v>04/05/2018</v>
      </c>
      <c r="B2153" s="3">
        <f>AUD!B2153</f>
        <v>0.75180000000000002</v>
      </c>
      <c r="C2153" s="3">
        <f>AUD!C2153</f>
        <v>0.75190000000000001</v>
      </c>
      <c r="D2153" s="3">
        <f>1/CAD!B2153</f>
        <v>0.77675935995028733</v>
      </c>
      <c r="E2153" s="3">
        <f>1/CAD!C2153</f>
        <v>0.77718193829175408</v>
      </c>
      <c r="F2153" s="3">
        <f>EUR!B2153/1</f>
        <v>1.1963999999999999</v>
      </c>
      <c r="G2153" s="3">
        <f>EUR!C2153/1</f>
        <v>1.1989000000000001</v>
      </c>
      <c r="H2153" s="3">
        <f>GBP!B2153/1</f>
        <v>1.3561000000000001</v>
      </c>
      <c r="I2153" s="3">
        <f>GBP!C2153/1</f>
        <v>1.3580000000000001</v>
      </c>
      <c r="J2153" s="4">
        <f>1/INR!B2153</f>
        <v>1.4953271028037384E-2</v>
      </c>
      <c r="K2153" s="4">
        <f>1/INR!C2153</f>
        <v>1.4899798852715489E-2</v>
      </c>
      <c r="L2153" s="4">
        <f>1/JPY!B2153</f>
        <v>9.1776798825256977E-3</v>
      </c>
      <c r="M2153" s="4">
        <f>1/JPY!C2153</f>
        <v>9.1946920881513516E-3</v>
      </c>
      <c r="N2153" s="5">
        <f>1/KRW!B2153</f>
        <v>9.2824654228163006E-4</v>
      </c>
      <c r="O2153" s="5">
        <f>1/KRW!C2153</f>
        <v>9.2824955803717921E-4</v>
      </c>
      <c r="P2153" s="3">
        <f>1/NOK!B2153</f>
        <v>0.12397872525074699</v>
      </c>
      <c r="Q2153" s="3">
        <f>1/NOK!C2153</f>
        <v>0.12410181312748979</v>
      </c>
      <c r="R2153" s="3">
        <f>NZD!B2153/1</f>
        <v>0.70120000000000005</v>
      </c>
      <c r="S2153" s="3">
        <f>NZD!C2153/1</f>
        <v>0.70120000000000005</v>
      </c>
      <c r="T2153" s="4">
        <f>1/PHP!B2153</f>
        <v>1.9346101760495261E-2</v>
      </c>
      <c r="U2153" s="4">
        <f>1/PHP!C2153</f>
        <v>1.9313035333198142E-2</v>
      </c>
      <c r="V2153" s="4">
        <f>1/TWD!B2153</f>
        <v>3.3651904697805893E-2</v>
      </c>
      <c r="W2153" s="4">
        <f>1/TWD!C2153</f>
        <v>3.365247093267823E-2</v>
      </c>
      <c r="X2153" s="4">
        <f>1/TWD!B2153</f>
        <v>3.3651904697805893E-2</v>
      </c>
      <c r="Y2153" s="4">
        <f>1/TWD!C2153</f>
        <v>3.365247093267823E-2</v>
      </c>
      <c r="Z2153" s="4">
        <f>1/ZAR!B2153</f>
        <v>7.9201020109139014E-2</v>
      </c>
      <c r="AA2153" s="4">
        <f>1/ZAR!C2153</f>
        <v>7.8871195450709447E-2</v>
      </c>
    </row>
    <row r="2154" spans="1:27" x14ac:dyDescent="0.25">
      <c r="A2154" t="str">
        <f>"07/05/2018"</f>
        <v>07/05/2018</v>
      </c>
      <c r="B2154" s="3">
        <f>AUD!B2154</f>
        <v>0.75039999999999996</v>
      </c>
      <c r="C2154" s="3">
        <f>AUD!C2154</f>
        <v>0.75039999999999996</v>
      </c>
      <c r="D2154" s="3">
        <f>1/CAD!B2154</f>
        <v>0.77681970014759572</v>
      </c>
      <c r="E2154" s="3">
        <f>1/CAD!C2154</f>
        <v>0.77724234416291005</v>
      </c>
      <c r="F2154" s="3">
        <f>EUR!B2154/1</f>
        <v>1.1915</v>
      </c>
      <c r="G2154" s="3">
        <f>EUR!C2154/1</f>
        <v>1.1941999999999999</v>
      </c>
      <c r="H2154" s="3">
        <f>GBP!B2154/1</f>
        <v>1.3532999999999999</v>
      </c>
      <c r="I2154" s="3">
        <f>GBP!C2154/1</f>
        <v>1.3552</v>
      </c>
      <c r="J2154" s="4">
        <f>1/INR!B2154</f>
        <v>1.4892587214713877E-2</v>
      </c>
      <c r="K2154" s="4">
        <f>1/INR!C2154</f>
        <v>1.4836244946404065E-2</v>
      </c>
      <c r="L2154" s="4">
        <f>1/JPY!B2154</f>
        <v>9.1482938431982439E-3</v>
      </c>
      <c r="M2154" s="4">
        <f>1/JPY!C2154</f>
        <v>9.1668859080213001E-3</v>
      </c>
      <c r="N2154" s="5">
        <f>1/KRW!B2154</f>
        <v>9.2824654228163006E-4</v>
      </c>
      <c r="O2154" s="5">
        <f>1/KRW!C2154</f>
        <v>9.2824955803717921E-4</v>
      </c>
      <c r="P2154" s="3">
        <f>1/NOK!B2154</f>
        <v>0.12379455056388418</v>
      </c>
      <c r="Q2154" s="3">
        <f>1/NOK!C2154</f>
        <v>0.12392648680802548</v>
      </c>
      <c r="R2154" s="3">
        <f>NZD!B2154/1</f>
        <v>0.70020000000000004</v>
      </c>
      <c r="S2154" s="3">
        <f>NZD!C2154/1</f>
        <v>0.70009999999999994</v>
      </c>
      <c r="T2154" s="4">
        <f>1/PHP!B2154</f>
        <v>1.9249278152069296E-2</v>
      </c>
      <c r="U2154" s="4">
        <f>1/PHP!C2154</f>
        <v>1.921931156425977E-2</v>
      </c>
      <c r="V2154" s="4">
        <f>1/TWD!B2154</f>
        <v>3.3595377276086816E-2</v>
      </c>
      <c r="W2154" s="4">
        <f>1/TWD!C2154</f>
        <v>3.3595941610253484E-2</v>
      </c>
      <c r="X2154" s="4">
        <f>1/TWD!B2154</f>
        <v>3.3595377276086816E-2</v>
      </c>
      <c r="Y2154" s="4">
        <f>1/TWD!C2154</f>
        <v>3.3595941610253484E-2</v>
      </c>
      <c r="Z2154" s="4">
        <f>1/ZAR!B2154</f>
        <v>7.9606425830693051E-2</v>
      </c>
      <c r="AA2154" s="4">
        <f>1/ZAR!C2154</f>
        <v>7.9253746720876234E-2</v>
      </c>
    </row>
    <row r="2155" spans="1:27" x14ac:dyDescent="0.25">
      <c r="A2155" t="str">
        <f>"08/05/2018"</f>
        <v>08/05/2018</v>
      </c>
      <c r="B2155" s="3">
        <f>AUD!B2155</f>
        <v>0.74529999999999996</v>
      </c>
      <c r="C2155" s="3">
        <f>AUD!C2155</f>
        <v>0.74529999999999996</v>
      </c>
      <c r="D2155" s="3">
        <f>1/CAD!B2155</f>
        <v>0.77136686207960503</v>
      </c>
      <c r="E2155" s="3">
        <f>1/CAD!C2155</f>
        <v>0.77178359188083656</v>
      </c>
      <c r="F2155" s="3">
        <f>EUR!B2155/1</f>
        <v>1.1867000000000001</v>
      </c>
      <c r="G2155" s="3">
        <f>EUR!C2155/1</f>
        <v>1.1893</v>
      </c>
      <c r="H2155" s="3">
        <f>GBP!B2155/1</f>
        <v>1.3504</v>
      </c>
      <c r="I2155" s="3">
        <f>GBP!C2155/1</f>
        <v>1.3522000000000001</v>
      </c>
      <c r="J2155" s="4">
        <f>1/INR!B2155</f>
        <v>1.490646195125587E-2</v>
      </c>
      <c r="K2155" s="4">
        <f>1/INR!C2155</f>
        <v>1.485222040695084E-2</v>
      </c>
      <c r="L2155" s="4">
        <f>1/JPY!B2155</f>
        <v>9.1759955955221136E-3</v>
      </c>
      <c r="M2155" s="4">
        <f>1/JPY!C2155</f>
        <v>9.1935847165847667E-3</v>
      </c>
      <c r="N2155" s="5">
        <f>1/KRW!B2155</f>
        <v>9.2885008359650759E-4</v>
      </c>
      <c r="O2155" s="5">
        <f>1/KRW!C2155</f>
        <v>9.2885267189115337E-4</v>
      </c>
      <c r="P2155" s="3">
        <f>1/NOK!B2155</f>
        <v>0.12331520599805162</v>
      </c>
      <c r="Q2155" s="3">
        <f>1/NOK!C2155</f>
        <v>0.12343697925024379</v>
      </c>
      <c r="R2155" s="3">
        <f>NZD!B2155/1</f>
        <v>0.6976</v>
      </c>
      <c r="S2155" s="3">
        <f>NZD!C2155/1</f>
        <v>0.69750000000000001</v>
      </c>
      <c r="T2155" s="4">
        <f>1/PHP!B2155</f>
        <v>1.926782273603083E-2</v>
      </c>
      <c r="U2155" s="4">
        <f>1/PHP!C2155</f>
        <v>1.9235948139883816E-2</v>
      </c>
      <c r="V2155" s="4">
        <f>1/TWD!B2155</f>
        <v>3.3573946617424875E-2</v>
      </c>
      <c r="W2155" s="4">
        <f>1/TWD!C2155</f>
        <v>3.3574510231831993E-2</v>
      </c>
      <c r="X2155" s="4">
        <f>1/TWD!B2155</f>
        <v>3.3573946617424875E-2</v>
      </c>
      <c r="Y2155" s="4">
        <f>1/TWD!C2155</f>
        <v>3.3574510231831993E-2</v>
      </c>
      <c r="Z2155" s="4">
        <f>1/ZAR!B2155</f>
        <v>7.9761990221179996E-2</v>
      </c>
      <c r="AA2155" s="4">
        <f>1/ZAR!C2155</f>
        <v>7.941802471488929E-2</v>
      </c>
    </row>
    <row r="2156" spans="1:27" x14ac:dyDescent="0.25">
      <c r="A2156" t="str">
        <f>"09/05/2018"</f>
        <v>09/05/2018</v>
      </c>
      <c r="B2156" s="3">
        <f>AUD!B2156</f>
        <v>0.74580000000000002</v>
      </c>
      <c r="C2156" s="3">
        <f>AUD!C2156</f>
        <v>0.74580000000000002</v>
      </c>
      <c r="D2156" s="3">
        <f>1/CAD!B2156</f>
        <v>0.77447335811648088</v>
      </c>
      <c r="E2156" s="3">
        <f>1/CAD!C2156</f>
        <v>0.77489345215032934</v>
      </c>
      <c r="F2156" s="3">
        <f>EUR!B2156/1</f>
        <v>1.1882999999999999</v>
      </c>
      <c r="G2156" s="3">
        <f>EUR!C2156/1</f>
        <v>1.1908000000000001</v>
      </c>
      <c r="H2156" s="3">
        <f>GBP!B2156/1</f>
        <v>1.3589</v>
      </c>
      <c r="I2156" s="3">
        <f>GBP!C2156/1</f>
        <v>1.3606</v>
      </c>
      <c r="J2156" s="4">
        <f>1/INR!B2156</f>
        <v>1.4863258026159334E-2</v>
      </c>
      <c r="K2156" s="4">
        <f>1/INR!C2156</f>
        <v>1.4809878188751898E-2</v>
      </c>
      <c r="L2156" s="4">
        <f>1/JPY!B2156</f>
        <v>9.1174325309992706E-3</v>
      </c>
      <c r="M2156" s="4">
        <f>1/JPY!C2156</f>
        <v>9.1342886581364593E-3</v>
      </c>
      <c r="N2156" s="5">
        <f>1/KRW!B2156</f>
        <v>9.2498381278327633E-4</v>
      </c>
      <c r="O2156" s="5">
        <f>1/KRW!C2156</f>
        <v>9.249863795755608E-4</v>
      </c>
      <c r="P2156" s="3">
        <f>1/NOK!B2156</f>
        <v>0.12362926057339252</v>
      </c>
      <c r="Q2156" s="3">
        <f>1/NOK!C2156</f>
        <v>0.12375012375012374</v>
      </c>
      <c r="R2156" s="3">
        <f>NZD!B2156/1</f>
        <v>0.69889999999999997</v>
      </c>
      <c r="S2156" s="3">
        <f>NZD!C2156/1</f>
        <v>0.69879999999999998</v>
      </c>
      <c r="T2156" s="4">
        <f>1/PHP!B2156</f>
        <v>1.9204916458613407E-2</v>
      </c>
      <c r="U2156" s="4">
        <f>1/PHP!C2156</f>
        <v>1.9173617102866455E-2</v>
      </c>
      <c r="V2156" s="4">
        <f>1/TWD!B2156</f>
        <v>3.3412409368839588E-2</v>
      </c>
      <c r="W2156" s="4">
        <f>1/TWD!C2156</f>
        <v>3.3412967572714974E-2</v>
      </c>
      <c r="X2156" s="4">
        <f>1/TWD!B2156</f>
        <v>3.3412409368839588E-2</v>
      </c>
      <c r="Y2156" s="4">
        <f>1/TWD!C2156</f>
        <v>3.3412967572714974E-2</v>
      </c>
      <c r="Z2156" s="4">
        <f>1/ZAR!B2156</f>
        <v>7.9474198701391593E-2</v>
      </c>
      <c r="AA2156" s="4">
        <f>1/ZAR!C2156</f>
        <v>7.9139594330439461E-2</v>
      </c>
    </row>
    <row r="2157" spans="1:27" x14ac:dyDescent="0.25">
      <c r="A2157" t="str">
        <f>"10/05/2018"</f>
        <v>10/05/2018</v>
      </c>
      <c r="B2157" s="3">
        <f>AUD!B2157</f>
        <v>0.74890000000000001</v>
      </c>
      <c r="C2157" s="3">
        <f>AUD!C2157</f>
        <v>0.74890000000000001</v>
      </c>
      <c r="D2157" s="3">
        <f>1/CAD!B2157</f>
        <v>0.78235017994054135</v>
      </c>
      <c r="E2157" s="3">
        <f>1/CAD!C2157</f>
        <v>0.78277886497064575</v>
      </c>
      <c r="F2157" s="3">
        <f>EUR!B2157/1</f>
        <v>1.1884999999999999</v>
      </c>
      <c r="G2157" s="3">
        <f>EUR!C2157/1</f>
        <v>1.1910000000000001</v>
      </c>
      <c r="H2157" s="3">
        <f>GBP!B2157/1</f>
        <v>1.3520000000000001</v>
      </c>
      <c r="I2157" s="3">
        <f>GBP!C2157/1</f>
        <v>1.3536999999999999</v>
      </c>
      <c r="J2157" s="4">
        <f>1/INR!B2157</f>
        <v>1.4853875004641835E-2</v>
      </c>
      <c r="K2157" s="4">
        <f>1/INR!C2157</f>
        <v>1.4800014800014801E-2</v>
      </c>
      <c r="L2157" s="4">
        <f>1/JPY!B2157</f>
        <v>9.1199270405836752E-3</v>
      </c>
      <c r="M2157" s="4">
        <f>1/JPY!C2157</f>
        <v>9.1369343209750202E-3</v>
      </c>
      <c r="N2157" s="5">
        <f>1/KRW!B2157</f>
        <v>9.3187960115553078E-4</v>
      </c>
      <c r="O2157" s="5">
        <f>1/KRW!C2157</f>
        <v>9.3188220636158709E-4</v>
      </c>
      <c r="P2157" s="3">
        <f>1/NOK!B2157</f>
        <v>0.12430389817024662</v>
      </c>
      <c r="Q2157" s="3">
        <f>1/NOK!C2157</f>
        <v>0.12442608468439324</v>
      </c>
      <c r="R2157" s="3">
        <f>NZD!B2157/1</f>
        <v>0.69310000000000005</v>
      </c>
      <c r="S2157" s="3">
        <f>NZD!C2157/1</f>
        <v>0.69299999999999995</v>
      </c>
      <c r="T2157" s="4">
        <f>1/PHP!B2157</f>
        <v>1.9241870309794112E-2</v>
      </c>
      <c r="U2157" s="4">
        <f>1/PHP!C2157</f>
        <v>1.9210081450745351E-2</v>
      </c>
      <c r="V2157" s="4">
        <f>1/TWD!B2157</f>
        <v>3.3476164970540977E-2</v>
      </c>
      <c r="W2157" s="4">
        <f>1/TWD!C2157</f>
        <v>3.3476725306730494E-2</v>
      </c>
      <c r="X2157" s="4">
        <f>1/TWD!B2157</f>
        <v>3.3476164970540977E-2</v>
      </c>
      <c r="Y2157" s="4">
        <f>1/TWD!C2157</f>
        <v>3.3476725306730494E-2</v>
      </c>
      <c r="Z2157" s="4">
        <f>1/ZAR!B2157</f>
        <v>8.077479180297413E-2</v>
      </c>
      <c r="AA2157" s="4">
        <f>1/ZAR!C2157</f>
        <v>8.0438227463219616E-2</v>
      </c>
    </row>
    <row r="2158" spans="1:27" x14ac:dyDescent="0.25">
      <c r="A2158" t="str">
        <f>"11/05/2018"</f>
        <v>11/05/2018</v>
      </c>
      <c r="B2158" s="3">
        <f>AUD!B2158</f>
        <v>0.75529999999999997</v>
      </c>
      <c r="C2158" s="3">
        <f>AUD!C2158</f>
        <v>0.75529999999999997</v>
      </c>
      <c r="D2158" s="3">
        <f>1/CAD!B2158</f>
        <v>0.78480615288023858</v>
      </c>
      <c r="E2158" s="3">
        <f>1/CAD!C2158</f>
        <v>0.78523753435414212</v>
      </c>
      <c r="F2158" s="3">
        <f>EUR!B2158/1</f>
        <v>1.1932</v>
      </c>
      <c r="G2158" s="3">
        <f>EUR!C2158/1</f>
        <v>1.1957</v>
      </c>
      <c r="H2158" s="3">
        <f>GBP!B2158/1</f>
        <v>1.3566</v>
      </c>
      <c r="I2158" s="3">
        <f>GBP!C2158/1</f>
        <v>1.3583000000000001</v>
      </c>
      <c r="J2158" s="4">
        <f>1/INR!B2158</f>
        <v>1.4850566177835528E-2</v>
      </c>
      <c r="K2158" s="4">
        <f>1/INR!C2158</f>
        <v>1.4797277300976621E-2</v>
      </c>
      <c r="L2158" s="4">
        <f>1/JPY!B2158</f>
        <v>9.1474570069520686E-3</v>
      </c>
      <c r="M2158" s="4">
        <f>1/JPY!C2158</f>
        <v>9.1645840149492692E-3</v>
      </c>
      <c r="N2158" s="5">
        <f>1/KRW!B2158</f>
        <v>9.3501636278634881E-4</v>
      </c>
      <c r="O2158" s="5">
        <f>1/KRW!C2158</f>
        <v>9.350185484304545E-4</v>
      </c>
      <c r="P2158" s="3">
        <f>1/NOK!B2158</f>
        <v>0.12514234942246805</v>
      </c>
      <c r="Q2158" s="3">
        <f>1/NOK!C2158</f>
        <v>0.12526462151294609</v>
      </c>
      <c r="R2158" s="3">
        <f>NZD!B2158/1</f>
        <v>0.69750000000000001</v>
      </c>
      <c r="S2158" s="3">
        <f>NZD!C2158/1</f>
        <v>0.69740000000000002</v>
      </c>
      <c r="T2158" s="4">
        <f>1/PHP!B2158</f>
        <v>1.9142419601837671E-2</v>
      </c>
      <c r="U2158" s="4">
        <f>1/PHP!C2158</f>
        <v>1.9110958223445322E-2</v>
      </c>
      <c r="V2158" s="4">
        <f>1/TWD!B2158</f>
        <v>3.3587478587982403E-2</v>
      </c>
      <c r="W2158" s="4">
        <f>1/TWD!C2158</f>
        <v>3.3588042656814171E-2</v>
      </c>
      <c r="X2158" s="4">
        <f>1/TWD!B2158</f>
        <v>3.3587478587982403E-2</v>
      </c>
      <c r="Y2158" s="4">
        <f>1/TWD!C2158</f>
        <v>3.3588042656814171E-2</v>
      </c>
      <c r="Z2158" s="4">
        <f>1/ZAR!B2158</f>
        <v>8.1244008254391237E-2</v>
      </c>
      <c r="AA2158" s="4">
        <f>1/ZAR!C2158</f>
        <v>8.0902876097245252E-2</v>
      </c>
    </row>
    <row r="2159" spans="1:27" x14ac:dyDescent="0.25">
      <c r="A2159" t="str">
        <f>"14/05/2018"</f>
        <v>14/05/2018</v>
      </c>
      <c r="B2159" s="3">
        <f>AUD!B2159</f>
        <v>0.75470000000000004</v>
      </c>
      <c r="C2159" s="3">
        <f>AUD!C2159</f>
        <v>0.75470000000000004</v>
      </c>
      <c r="D2159" s="3">
        <f>1/CAD!B2159</f>
        <v>0.78320802005012535</v>
      </c>
      <c r="E2159" s="3">
        <f>1/CAD!C2159</f>
        <v>0.78363764595251151</v>
      </c>
      <c r="F2159" s="3">
        <f>EUR!B2159/1</f>
        <v>1.1980999999999999</v>
      </c>
      <c r="G2159" s="3">
        <f>EUR!C2159/1</f>
        <v>1.2008000000000001</v>
      </c>
      <c r="H2159" s="3">
        <f>GBP!B2159/1</f>
        <v>1.3593</v>
      </c>
      <c r="I2159" s="3">
        <f>GBP!C2159/1</f>
        <v>1.3611</v>
      </c>
      <c r="J2159" s="4">
        <f>1/INR!B2159</f>
        <v>1.4810974932424927E-2</v>
      </c>
      <c r="K2159" s="4">
        <f>1/INR!C2159</f>
        <v>1.4757969303423848E-2</v>
      </c>
      <c r="L2159" s="4">
        <f>1/JPY!B2159</f>
        <v>9.1274187659729829E-3</v>
      </c>
      <c r="M2159" s="4">
        <f>1/JPY!C2159</f>
        <v>9.1456666916648229E-3</v>
      </c>
      <c r="N2159" s="5">
        <f>1/KRW!B2159</f>
        <v>9.3632958801498128E-4</v>
      </c>
      <c r="O2159" s="5">
        <f>1/KRW!C2159</f>
        <v>9.3633134144445961E-4</v>
      </c>
      <c r="P2159" s="3">
        <f>1/NOK!B2159</f>
        <v>0.12511573205214824</v>
      </c>
      <c r="Q2159" s="3">
        <f>1/NOK!C2159</f>
        <v>0.12524265764919532</v>
      </c>
      <c r="R2159" s="3">
        <f>NZD!B2159/1</f>
        <v>0.6946</v>
      </c>
      <c r="S2159" s="3">
        <f>NZD!C2159/1</f>
        <v>0.69450000000000001</v>
      </c>
      <c r="T2159" s="4">
        <f>1/PHP!B2159</f>
        <v>1.9142419601837671E-2</v>
      </c>
      <c r="U2159" s="4">
        <f>1/PHP!C2159</f>
        <v>1.9110958223445322E-2</v>
      </c>
      <c r="V2159" s="4">
        <f>1/TWD!B2159</f>
        <v>3.3622486719117745E-2</v>
      </c>
      <c r="W2159" s="4">
        <f>1/TWD!C2159</f>
        <v>3.3623165015769264E-2</v>
      </c>
      <c r="X2159" s="4">
        <f>1/TWD!B2159</f>
        <v>3.3622486719117745E-2</v>
      </c>
      <c r="Y2159" s="4">
        <f>1/TWD!C2159</f>
        <v>3.3623165015769264E-2</v>
      </c>
      <c r="Z2159" s="4">
        <f>1/ZAR!B2159</f>
        <v>8.135835916461237E-2</v>
      </c>
      <c r="AA2159" s="4">
        <f>1/ZAR!C2159</f>
        <v>8.0995925904926991E-2</v>
      </c>
    </row>
    <row r="2160" spans="1:27" x14ac:dyDescent="0.25">
      <c r="A2160" t="str">
        <f>"15/05/2018"</f>
        <v>15/05/2018</v>
      </c>
      <c r="B2160" s="3">
        <f>AUD!B2160</f>
        <v>0.74939999999999996</v>
      </c>
      <c r="C2160" s="3">
        <f>AUD!C2160</f>
        <v>0.74939999999999996</v>
      </c>
      <c r="D2160" s="3">
        <f>1/CAD!B2160</f>
        <v>0.77918030232195723</v>
      </c>
      <c r="E2160" s="3">
        <f>1/CAD!C2160</f>
        <v>0.7796055196070788</v>
      </c>
      <c r="F2160" s="3">
        <f>EUR!B2160/1</f>
        <v>1.1886000000000001</v>
      </c>
      <c r="G2160" s="3">
        <f>EUR!C2160/1</f>
        <v>1.1912</v>
      </c>
      <c r="H2160" s="3">
        <f>GBP!B2160/1</f>
        <v>1.3523000000000001</v>
      </c>
      <c r="I2160" s="3">
        <f>GBP!C2160/1</f>
        <v>1.3541000000000001</v>
      </c>
      <c r="J2160" s="4">
        <f>1/INR!B2160</f>
        <v>1.467997651203758E-2</v>
      </c>
      <c r="K2160" s="4">
        <f>1/INR!C2160</f>
        <v>1.4627367805163462E-2</v>
      </c>
      <c r="L2160" s="4">
        <f>1/JPY!B2160</f>
        <v>9.0966978986627856E-3</v>
      </c>
      <c r="M2160" s="4">
        <f>1/JPY!C2160</f>
        <v>9.1140671068761087E-3</v>
      </c>
      <c r="N2160" s="5">
        <f>1/KRW!B2160</f>
        <v>9.312721177127957E-4</v>
      </c>
      <c r="O2160" s="5">
        <f>1/KRW!C2160</f>
        <v>9.3127385225154076E-4</v>
      </c>
      <c r="P2160" s="3">
        <f>1/NOK!B2160</f>
        <v>0.12421897320596748</v>
      </c>
      <c r="Q2160" s="3">
        <f>1/NOK!C2160</f>
        <v>0.12434099273848602</v>
      </c>
      <c r="R2160" s="3">
        <f>NZD!B2160/1</f>
        <v>0.68989999999999996</v>
      </c>
      <c r="S2160" s="3">
        <f>NZD!C2160/1</f>
        <v>0.68979999999999997</v>
      </c>
      <c r="T2160" s="4">
        <f>1/PHP!B2160</f>
        <v>1.9102196752626553E-2</v>
      </c>
      <c r="U2160" s="4">
        <f>1/PHP!C2160</f>
        <v>1.9067958203035619E-2</v>
      </c>
      <c r="V2160" s="4">
        <f>1/TWD!B2160</f>
        <v>3.3498593059091517E-2</v>
      </c>
      <c r="W2160" s="4">
        <f>1/TWD!C2160</f>
        <v>3.349926636606658E-2</v>
      </c>
      <c r="X2160" s="4">
        <f>1/TWD!B2160</f>
        <v>3.3498593059091517E-2</v>
      </c>
      <c r="Y2160" s="4">
        <f>1/TWD!C2160</f>
        <v>3.349926636606658E-2</v>
      </c>
      <c r="Z2160" s="4">
        <f>1/ZAR!B2160</f>
        <v>8.0011521659118914E-2</v>
      </c>
      <c r="AA2160" s="4">
        <f>1/ZAR!C2160</f>
        <v>7.9662866747922792E-2</v>
      </c>
    </row>
    <row r="2161" spans="1:27" x14ac:dyDescent="0.25">
      <c r="A2161" t="str">
        <f>"16/05/2018"</f>
        <v>16/05/2018</v>
      </c>
      <c r="B2161" s="3">
        <f>AUD!B2161</f>
        <v>0.74880000000000002</v>
      </c>
      <c r="C2161" s="3">
        <f>AUD!C2161</f>
        <v>0.74890000000000001</v>
      </c>
      <c r="D2161" s="3">
        <f>1/CAD!B2161</f>
        <v>0.77760497667185069</v>
      </c>
      <c r="E2161" s="3">
        <f>1/CAD!C2161</f>
        <v>0.77802847584221579</v>
      </c>
      <c r="F2161" s="3">
        <f>EUR!B2161/1</f>
        <v>1.1783999999999999</v>
      </c>
      <c r="G2161" s="3">
        <f>EUR!C2161/1</f>
        <v>1.1809000000000001</v>
      </c>
      <c r="H2161" s="3">
        <f>GBP!B2161/1</f>
        <v>1.3486</v>
      </c>
      <c r="I2161" s="3">
        <f>GBP!C2161/1</f>
        <v>1.3504</v>
      </c>
      <c r="J2161" s="4">
        <f>1/INR!B2161</f>
        <v>1.4749262536873156E-2</v>
      </c>
      <c r="K2161" s="4">
        <f>1/INR!C2161</f>
        <v>1.4699397324709687E-2</v>
      </c>
      <c r="L2161" s="4">
        <f>1/JPY!B2161</f>
        <v>9.0785292782569211E-3</v>
      </c>
      <c r="M2161" s="4">
        <f>1/JPY!C2161</f>
        <v>9.0955809120138974E-3</v>
      </c>
      <c r="N2161" s="5">
        <f>1/KRW!B2161</f>
        <v>9.2772984506911578E-4</v>
      </c>
      <c r="O2161" s="5">
        <f>1/KRW!C2161</f>
        <v>9.2773242712429862E-4</v>
      </c>
      <c r="P2161" s="3">
        <f>1/NOK!B2161</f>
        <v>0.12311480455524776</v>
      </c>
      <c r="Q2161" s="3">
        <f>1/NOK!C2161</f>
        <v>0.12324225730518479</v>
      </c>
      <c r="R2161" s="3">
        <f>NZD!B2161/1</f>
        <v>0.68799999999999994</v>
      </c>
      <c r="S2161" s="3">
        <f>NZD!C2161/1</f>
        <v>0.68789999999999996</v>
      </c>
      <c r="T2161" s="4">
        <f>1/PHP!B2161</f>
        <v>1.9120458891013385E-2</v>
      </c>
      <c r="U2161" s="4">
        <f>1/PHP!C2161</f>
        <v>1.9083969465648856E-2</v>
      </c>
      <c r="V2161" s="4">
        <f>1/TWD!B2161</f>
        <v>3.3453766894152283E-2</v>
      </c>
      <c r="W2161" s="4">
        <f>1/TWD!C2161</f>
        <v>3.3454438400342575E-2</v>
      </c>
      <c r="X2161" s="4">
        <f>1/TWD!B2161</f>
        <v>3.3453766894152283E-2</v>
      </c>
      <c r="Y2161" s="4">
        <f>1/TWD!C2161</f>
        <v>3.3454438400342575E-2</v>
      </c>
      <c r="Z2161" s="4">
        <f>1/ZAR!B2161</f>
        <v>7.9717481246462538E-2</v>
      </c>
      <c r="AA2161" s="4">
        <f>1/ZAR!C2161</f>
        <v>7.9383980312772884E-2</v>
      </c>
    </row>
    <row r="2162" spans="1:27" x14ac:dyDescent="0.25">
      <c r="A2162" t="str">
        <f>"17/05/2018"</f>
        <v>17/05/2018</v>
      </c>
      <c r="B2162" s="3">
        <f>AUD!B2162</f>
        <v>0.75260000000000005</v>
      </c>
      <c r="C2162" s="3">
        <f>AUD!C2162</f>
        <v>0.75260000000000005</v>
      </c>
      <c r="D2162" s="3">
        <f>1/CAD!B2162</f>
        <v>0.78235017994054135</v>
      </c>
      <c r="E2162" s="3">
        <f>1/CAD!C2162</f>
        <v>0.78277886497064575</v>
      </c>
      <c r="F2162" s="3">
        <f>EUR!B2162/1</f>
        <v>1.1788000000000001</v>
      </c>
      <c r="G2162" s="3">
        <f>EUR!C2162/1</f>
        <v>1.1813</v>
      </c>
      <c r="H2162" s="3">
        <f>GBP!B2162/1</f>
        <v>1.3489</v>
      </c>
      <c r="I2162" s="3">
        <f>GBP!C2162/1</f>
        <v>1.3507</v>
      </c>
      <c r="J2162" s="4">
        <f>1/INR!B2162</f>
        <v>1.4770503304900115E-2</v>
      </c>
      <c r="K2162" s="4">
        <f>1/INR!C2162</f>
        <v>1.4718869590815425E-2</v>
      </c>
      <c r="L2162" s="4">
        <f>1/JPY!B2162</f>
        <v>9.0375056484410295E-3</v>
      </c>
      <c r="M2162" s="4">
        <f>1/JPY!C2162</f>
        <v>9.0546165415167756E-3</v>
      </c>
      <c r="N2162" s="5">
        <f>1/KRW!B2162</f>
        <v>9.2481272542310191E-4</v>
      </c>
      <c r="O2162" s="5">
        <f>1/KRW!C2162</f>
        <v>9.2481657419271612E-4</v>
      </c>
      <c r="P2162" s="3">
        <f>1/NOK!B2162</f>
        <v>0.12358647963912749</v>
      </c>
      <c r="Q2162" s="3">
        <f>1/NOK!C2162</f>
        <v>0.12371338083927158</v>
      </c>
      <c r="R2162" s="3">
        <f>NZD!B2162/1</f>
        <v>0.68889999999999996</v>
      </c>
      <c r="S2162" s="3">
        <f>NZD!C2162/1</f>
        <v>0.68879999999999997</v>
      </c>
      <c r="T2162" s="4">
        <f>1/PHP!B2162</f>
        <v>1.9124115509657678E-2</v>
      </c>
      <c r="U2162" s="4">
        <f>1/PHP!C2162</f>
        <v>1.9088705213125393E-2</v>
      </c>
      <c r="V2162" s="4">
        <f>1/TWD!B2162</f>
        <v>3.3438106065672442E-2</v>
      </c>
      <c r="W2162" s="4">
        <f>1/TWD!C2162</f>
        <v>3.3438665128488074E-2</v>
      </c>
      <c r="X2162" s="4">
        <f>1/TWD!B2162</f>
        <v>3.3438106065672442E-2</v>
      </c>
      <c r="Y2162" s="4">
        <f>1/TWD!C2162</f>
        <v>3.3438665128488074E-2</v>
      </c>
      <c r="Z2162" s="4">
        <f>1/ZAR!B2162</f>
        <v>7.9962897215691914E-2</v>
      </c>
      <c r="AA2162" s="4">
        <f>1/ZAR!C2162</f>
        <v>7.9626075947351244E-2</v>
      </c>
    </row>
    <row r="2163" spans="1:27" x14ac:dyDescent="0.25">
      <c r="A2163" t="str">
        <f>"18/05/2018"</f>
        <v>18/05/2018</v>
      </c>
      <c r="B2163" s="3">
        <f>AUD!B2163</f>
        <v>0.75109999999999999</v>
      </c>
      <c r="C2163" s="3">
        <f>AUD!C2163</f>
        <v>0.75119999999999998</v>
      </c>
      <c r="D2163" s="3">
        <f>1/CAD!B2163</f>
        <v>0.78021377857532959</v>
      </c>
      <c r="E2163" s="3">
        <f>1/CAD!C2163</f>
        <v>0.78064012490242007</v>
      </c>
      <c r="F2163" s="3">
        <f>EUR!B2163/1</f>
        <v>1.1776</v>
      </c>
      <c r="G2163" s="3">
        <f>EUR!C2163/1</f>
        <v>1.1800999999999999</v>
      </c>
      <c r="H2163" s="3">
        <f>GBP!B2163/1</f>
        <v>1.3484</v>
      </c>
      <c r="I2163" s="3">
        <f>GBP!C2163/1</f>
        <v>1.3502000000000001</v>
      </c>
      <c r="J2163" s="4">
        <f>1/INR!B2163</f>
        <v>1.4702639123722707E-2</v>
      </c>
      <c r="K2163" s="4">
        <f>1/INR!C2163</f>
        <v>1.4652014652014652E-2</v>
      </c>
      <c r="L2163" s="4">
        <f>1/JPY!B2163</f>
        <v>9.008197459688316E-3</v>
      </c>
      <c r="M2163" s="4">
        <f>1/JPY!C2163</f>
        <v>9.0253359230030548E-3</v>
      </c>
      <c r="N2163" s="5">
        <f>1/KRW!B2163</f>
        <v>9.2790201354736937E-4</v>
      </c>
      <c r="O2163" s="5">
        <f>1/KRW!C2163</f>
        <v>9.279063185780764E-4</v>
      </c>
      <c r="P2163" s="3">
        <f>1/NOK!B2163</f>
        <v>0.12294830023974919</v>
      </c>
      <c r="Q2163" s="3">
        <f>1/NOK!C2163</f>
        <v>0.12308298254683309</v>
      </c>
      <c r="R2163" s="3">
        <f>NZD!B2163/1</f>
        <v>0.69130000000000003</v>
      </c>
      <c r="S2163" s="3">
        <f>NZD!C2163/1</f>
        <v>0.69120000000000004</v>
      </c>
      <c r="T2163" s="4">
        <f>1/PHP!B2163</f>
        <v>1.9098548510313215E-2</v>
      </c>
      <c r="U2163" s="4">
        <f>1/PHP!C2163</f>
        <v>1.9061052551321882E-2</v>
      </c>
      <c r="V2163" s="4">
        <f>1/TWD!B2163</f>
        <v>3.3431398769724528E-2</v>
      </c>
      <c r="W2163" s="4">
        <f>1/TWD!C2163</f>
        <v>3.3431957608277753E-2</v>
      </c>
      <c r="X2163" s="4">
        <f>1/TWD!B2163</f>
        <v>3.3431398769724528E-2</v>
      </c>
      <c r="Y2163" s="4">
        <f>1/TWD!C2163</f>
        <v>3.3431957608277753E-2</v>
      </c>
      <c r="Z2163" s="4">
        <f>1/ZAR!B2163</f>
        <v>7.883016041937646E-2</v>
      </c>
      <c r="AA2163" s="4">
        <f>1/ZAR!C2163</f>
        <v>7.8497248671434067E-2</v>
      </c>
    </row>
    <row r="2164" spans="1:27" x14ac:dyDescent="0.25">
      <c r="A2164" t="str">
        <f>"21/05/2018"</f>
        <v>21/05/2018</v>
      </c>
      <c r="B2164" s="3">
        <f>AUD!B2164</f>
        <v>0.75319999999999998</v>
      </c>
      <c r="C2164" s="3">
        <f>AUD!C2164</f>
        <v>0.75329999999999997</v>
      </c>
      <c r="D2164" s="3">
        <f>1/CAD!B2164</f>
        <v>0.77730275942479599</v>
      </c>
      <c r="E2164" s="3">
        <f>1/CAD!C2164</f>
        <v>0.77772592938248553</v>
      </c>
      <c r="F2164" s="3">
        <f>EUR!B2164/1</f>
        <v>1.1756</v>
      </c>
      <c r="G2164" s="3">
        <f>EUR!C2164/1</f>
        <v>1.1782999999999999</v>
      </c>
      <c r="H2164" s="3">
        <f>GBP!B2164/1</f>
        <v>1.3420000000000001</v>
      </c>
      <c r="I2164" s="3">
        <f>GBP!C2164/1</f>
        <v>1.3439000000000001</v>
      </c>
      <c r="J2164" s="4">
        <f>1/INR!B2164</f>
        <v>1.4678360427140288E-2</v>
      </c>
      <c r="K2164" s="4">
        <f>1/INR!C2164</f>
        <v>1.4623624465323733E-2</v>
      </c>
      <c r="L2164" s="4">
        <f>1/JPY!B2164</f>
        <v>8.986340762041696E-3</v>
      </c>
      <c r="M2164" s="4">
        <f>1/JPY!C2164</f>
        <v>9.0050905777035763E-3</v>
      </c>
      <c r="N2164" s="5">
        <f>1/KRW!B2164</f>
        <v>9.2123445416858593E-4</v>
      </c>
      <c r="O2164" s="5">
        <f>1/KRW!C2164</f>
        <v>9.2123869755272945E-4</v>
      </c>
      <c r="P2164" s="3">
        <f>1/NOK!B2164</f>
        <v>0.12352999308232039</v>
      </c>
      <c r="Q2164" s="3">
        <f>1/NOK!C2164</f>
        <v>0.12366901225559912</v>
      </c>
      <c r="R2164" s="3">
        <f>NZD!B2164/1</f>
        <v>0.69030000000000002</v>
      </c>
      <c r="S2164" s="3">
        <f>NZD!C2164/1</f>
        <v>0.69020000000000004</v>
      </c>
      <c r="T2164" s="4">
        <f>1/PHP!B2164</f>
        <v>1.9054878048780487E-2</v>
      </c>
      <c r="U2164" s="4">
        <f>1/PHP!C2164</f>
        <v>1.9018638265500192E-2</v>
      </c>
      <c r="V2164" s="4">
        <f>1/TWD!B2164</f>
        <v>3.3342224593224862E-2</v>
      </c>
      <c r="W2164" s="4">
        <f>1/TWD!C2164</f>
        <v>3.3342891628933627E-2</v>
      </c>
      <c r="X2164" s="4">
        <f>1/TWD!B2164</f>
        <v>3.3342224593224862E-2</v>
      </c>
      <c r="Y2164" s="4">
        <f>1/TWD!C2164</f>
        <v>3.3342891628933627E-2</v>
      </c>
      <c r="Z2164" s="4">
        <f>1/ZAR!B2164</f>
        <v>7.7957513155330338E-2</v>
      </c>
      <c r="AA2164" s="4">
        <f>1/ZAR!C2164</f>
        <v>7.7605407544797722E-2</v>
      </c>
    </row>
    <row r="2165" spans="1:27" x14ac:dyDescent="0.25">
      <c r="A2165" t="str">
        <f>"22/05/2018"</f>
        <v>22/05/2018</v>
      </c>
      <c r="B2165" s="3">
        <f>AUD!B2165</f>
        <v>0.75919999999999999</v>
      </c>
      <c r="C2165" s="3">
        <f>AUD!C2165</f>
        <v>0.75929999999999997</v>
      </c>
      <c r="D2165" s="3">
        <f>1/CAD!B2165</f>
        <v>0.78271759549154662</v>
      </c>
      <c r="E2165" s="3">
        <f>1/CAD!C2165</f>
        <v>0.78320802005012535</v>
      </c>
      <c r="F2165" s="3">
        <f>EUR!B2165/1</f>
        <v>1.1808000000000001</v>
      </c>
      <c r="G2165" s="3">
        <f>EUR!C2165/1</f>
        <v>1.1835</v>
      </c>
      <c r="H2165" s="3">
        <f>GBP!B2165/1</f>
        <v>1.3451</v>
      </c>
      <c r="I2165" s="3">
        <f>GBP!C2165/1</f>
        <v>1.347</v>
      </c>
      <c r="J2165" s="4">
        <f>1/INR!B2165</f>
        <v>1.4695077149155033E-2</v>
      </c>
      <c r="K2165" s="4">
        <f>1/INR!C2165</f>
        <v>1.4640752534680284E-2</v>
      </c>
      <c r="L2165" s="4">
        <f>1/JPY!B2165</f>
        <v>9.0146939511403582E-3</v>
      </c>
      <c r="M2165" s="4">
        <f>1/JPY!C2165</f>
        <v>9.032942237044277E-3</v>
      </c>
      <c r="N2165" s="5">
        <f>1/KRW!B2165</f>
        <v>9.2123445416858593E-4</v>
      </c>
      <c r="O2165" s="5">
        <f>1/KRW!C2165</f>
        <v>9.2123827321255588E-4</v>
      </c>
      <c r="P2165" s="3">
        <f>1/NOK!B2165</f>
        <v>0.12440286624203822</v>
      </c>
      <c r="Q2165" s="3">
        <f>1/NOK!C2165</f>
        <v>0.12453765395967471</v>
      </c>
      <c r="R2165" s="3">
        <f>NZD!B2165/1</f>
        <v>0.69489999999999996</v>
      </c>
      <c r="S2165" s="3">
        <f>NZD!C2165/1</f>
        <v>0.69479999999999997</v>
      </c>
      <c r="T2165" s="4">
        <f>1/PHP!B2165</f>
        <v>1.9114976584153686E-2</v>
      </c>
      <c r="U2165" s="4">
        <f>1/PHP!C2165</f>
        <v>1.9077416154756E-2</v>
      </c>
      <c r="V2165" s="4">
        <f>1/TWD!B2165</f>
        <v>3.341910904655282E-2</v>
      </c>
      <c r="W2165" s="4">
        <f>1/TWD!C2165</f>
        <v>3.3419779162099296E-2</v>
      </c>
      <c r="X2165" s="4">
        <f>1/TWD!B2165</f>
        <v>3.341910904655282E-2</v>
      </c>
      <c r="Y2165" s="4">
        <f>1/TWD!C2165</f>
        <v>3.3419779162099296E-2</v>
      </c>
      <c r="Z2165" s="4">
        <f>1/ZAR!B2165</f>
        <v>7.9652079715801377E-2</v>
      </c>
      <c r="AA2165" s="4">
        <f>1/ZAR!C2165</f>
        <v>7.9306543582911032E-2</v>
      </c>
    </row>
    <row r="2166" spans="1:27" x14ac:dyDescent="0.25">
      <c r="A2166" t="str">
        <f>"23/05/2018"</f>
        <v>23/05/2018</v>
      </c>
      <c r="B2166" s="3">
        <f>AUD!B2166</f>
        <v>0.75329999999999997</v>
      </c>
      <c r="C2166" s="3">
        <f>AUD!C2166</f>
        <v>0.75339999999999996</v>
      </c>
      <c r="D2166" s="3">
        <f>1/CAD!B2166</f>
        <v>0.77513371056507241</v>
      </c>
      <c r="E2166" s="3">
        <f>1/CAD!C2166</f>
        <v>0.77561467462964406</v>
      </c>
      <c r="F2166" s="3">
        <f>EUR!B2166/1</f>
        <v>1.1709000000000001</v>
      </c>
      <c r="G2166" s="3">
        <f>EUR!C2166/1</f>
        <v>1.1735</v>
      </c>
      <c r="H2166" s="3">
        <f>GBP!B2166/1</f>
        <v>1.3322000000000001</v>
      </c>
      <c r="I2166" s="3">
        <f>GBP!C2166/1</f>
        <v>1.3340000000000001</v>
      </c>
      <c r="J2166" s="4">
        <f>1/INR!B2166</f>
        <v>1.4614007526213876E-2</v>
      </c>
      <c r="K2166" s="4">
        <f>1/INR!C2166</f>
        <v>1.4561339643247179E-2</v>
      </c>
      <c r="L2166" s="4">
        <f>1/JPY!B2166</f>
        <v>9.1116173120728925E-3</v>
      </c>
      <c r="M2166" s="4">
        <f>1/JPY!C2166</f>
        <v>9.1293769656689769E-3</v>
      </c>
      <c r="N2166" s="5">
        <f>1/KRW!B2166</f>
        <v>9.2532617747756083E-4</v>
      </c>
      <c r="O2166" s="5">
        <f>1/KRW!C2166</f>
        <v>9.2533174299651094E-4</v>
      </c>
      <c r="P2166" s="3">
        <f>1/NOK!B2166</f>
        <v>0.1231860848998497</v>
      </c>
      <c r="Q2166" s="3">
        <f>1/NOK!C2166</f>
        <v>0.12331824740106793</v>
      </c>
      <c r="R2166" s="3">
        <f>NZD!B2166/1</f>
        <v>0.69</v>
      </c>
      <c r="S2166" s="3">
        <f>NZD!C2166/1</f>
        <v>0.68989999999999996</v>
      </c>
      <c r="T2166" s="4">
        <f>1/PHP!B2166</f>
        <v>1.9065776930409912E-2</v>
      </c>
      <c r="U2166" s="4">
        <f>1/PHP!C2166</f>
        <v>1.9030944315456932E-2</v>
      </c>
      <c r="V2166" s="4">
        <f>1/TWD!B2166</f>
        <v>3.3377837116154871E-2</v>
      </c>
      <c r="W2166" s="4">
        <f>1/TWD!C2166</f>
        <v>3.3378394165456703E-2</v>
      </c>
      <c r="X2166" s="4">
        <f>1/TWD!B2166</f>
        <v>3.3377837116154871E-2</v>
      </c>
      <c r="Y2166" s="4">
        <f>1/TWD!C2166</f>
        <v>3.3378394165456703E-2</v>
      </c>
      <c r="Z2166" s="4">
        <f>1/ZAR!B2166</f>
        <v>7.9026394815868498E-2</v>
      </c>
      <c r="AA2166" s="4">
        <f>1/ZAR!C2166</f>
        <v>7.8695542684462355E-2</v>
      </c>
    </row>
    <row r="2167" spans="1:27" x14ac:dyDescent="0.25">
      <c r="A2167" t="str">
        <f>"24/05/2018"</f>
        <v>24/05/2018</v>
      </c>
      <c r="B2167" s="3">
        <f>AUD!B2167</f>
        <v>0.75560000000000005</v>
      </c>
      <c r="C2167" s="3">
        <f>AUD!C2167</f>
        <v>0.75570000000000004</v>
      </c>
      <c r="D2167" s="3">
        <f>1/CAD!B2167</f>
        <v>0.77681970014759572</v>
      </c>
      <c r="E2167" s="3">
        <f>1/CAD!C2167</f>
        <v>0.77730275942479599</v>
      </c>
      <c r="F2167" s="3">
        <f>EUR!B2167/1</f>
        <v>1.1718</v>
      </c>
      <c r="G2167" s="3">
        <f>EUR!C2167/1</f>
        <v>1.1742999999999999</v>
      </c>
      <c r="H2167" s="3">
        <f>GBP!B2167/1</f>
        <v>1.3399000000000001</v>
      </c>
      <c r="I2167" s="3">
        <f>GBP!C2167/1</f>
        <v>1.3416999999999999</v>
      </c>
      <c r="J2167" s="4">
        <f>1/INR!B2167</f>
        <v>1.4630577907827361E-2</v>
      </c>
      <c r="K2167" s="4">
        <f>1/INR!C2167</f>
        <v>1.457725947521866E-2</v>
      </c>
      <c r="L2167" s="4">
        <f>1/JPY!B2167</f>
        <v>9.1224229155263629E-3</v>
      </c>
      <c r="M2167" s="4">
        <f>1/JPY!C2167</f>
        <v>9.1399574260783087E-3</v>
      </c>
      <c r="N2167" s="5">
        <f>1/KRW!B2167</f>
        <v>9.2609742544915732E-4</v>
      </c>
      <c r="O2167" s="5">
        <f>1/KRW!C2167</f>
        <v>9.2610282871626319E-4</v>
      </c>
      <c r="P2167" s="3">
        <f>1/NOK!B2167</f>
        <v>0.12358037049395072</v>
      </c>
      <c r="Q2167" s="3">
        <f>1/NOK!C2167</f>
        <v>0.12371338083927158</v>
      </c>
      <c r="R2167" s="3">
        <f>NZD!B2167/1</f>
        <v>0.69210000000000005</v>
      </c>
      <c r="S2167" s="3">
        <f>NZD!C2167/1</f>
        <v>0.69210000000000005</v>
      </c>
      <c r="T2167" s="4">
        <f>1/PHP!B2167</f>
        <v>1.9011406844106463E-2</v>
      </c>
      <c r="U2167" s="4">
        <f>1/PHP!C2167</f>
        <v>1.8978753285696662E-2</v>
      </c>
      <c r="V2167" s="4">
        <f>1/TWD!B2167</f>
        <v>3.341129301703976E-2</v>
      </c>
      <c r="W2167" s="4">
        <f>1/TWD!C2167</f>
        <v>3.3411851183614824E-2</v>
      </c>
      <c r="X2167" s="4">
        <f>1/TWD!B2167</f>
        <v>3.341129301703976E-2</v>
      </c>
      <c r="Y2167" s="4">
        <f>1/TWD!C2167</f>
        <v>3.3411851183614824E-2</v>
      </c>
      <c r="Z2167" s="4">
        <f>1/ZAR!B2167</f>
        <v>8.0359367089624795E-2</v>
      </c>
      <c r="AA2167" s="4">
        <f>1/ZAR!C2167</f>
        <v>8.0024967789950469E-2</v>
      </c>
    </row>
    <row r="2168" spans="1:27" x14ac:dyDescent="0.25">
      <c r="A2168" t="str">
        <f>"25/05/2018"</f>
        <v>25/05/2018</v>
      </c>
      <c r="B2168" s="3">
        <f>AUD!B2168</f>
        <v>0.75749999999999995</v>
      </c>
      <c r="C2168" s="3">
        <f>AUD!C2168</f>
        <v>0.75760000000000005</v>
      </c>
      <c r="D2168" s="3">
        <f>1/CAD!B2168</f>
        <v>0.77339520494972935</v>
      </c>
      <c r="E2168" s="3">
        <f>1/CAD!C2168</f>
        <v>0.77387401331063299</v>
      </c>
      <c r="F2168" s="3">
        <f>EUR!B2168/1</f>
        <v>1.1698</v>
      </c>
      <c r="G2168" s="3">
        <f>EUR!C2168/1</f>
        <v>1.1724000000000001</v>
      </c>
      <c r="H2168" s="3">
        <f>GBP!B2168/1</f>
        <v>1.3343</v>
      </c>
      <c r="I2168" s="3">
        <f>GBP!C2168/1</f>
        <v>1.3361000000000001</v>
      </c>
      <c r="J2168" s="4">
        <f>1/INR!B2168</f>
        <v>1.4754703061600883E-2</v>
      </c>
      <c r="K2168" s="4">
        <f>1/INR!C2168</f>
        <v>1.4701558365186711E-2</v>
      </c>
      <c r="L2168" s="4">
        <f>1/JPY!B2168</f>
        <v>9.1382619025861273E-3</v>
      </c>
      <c r="M2168" s="4">
        <f>1/JPY!C2168</f>
        <v>9.1561508274413499E-3</v>
      </c>
      <c r="N2168" s="5">
        <f>1/KRW!B2168</f>
        <v>9.2764378478664194E-4</v>
      </c>
      <c r="O2168" s="5">
        <f>1/KRW!C2168</f>
        <v>9.2764782926233532E-4</v>
      </c>
      <c r="P2168" s="3">
        <f>1/NOK!B2168</f>
        <v>0.12311632029941888</v>
      </c>
      <c r="Q2168" s="3">
        <f>1/NOK!C2168</f>
        <v>0.12325137117150428</v>
      </c>
      <c r="R2168" s="3">
        <f>NZD!B2168/1</f>
        <v>0.69159999999999999</v>
      </c>
      <c r="S2168" s="3">
        <f>NZD!C2168/1</f>
        <v>0.69159999999999999</v>
      </c>
      <c r="T2168" s="4">
        <f>1/PHP!B2168</f>
        <v>1.8968133535660091E-2</v>
      </c>
      <c r="U2168" s="4">
        <f>1/PHP!C2168</f>
        <v>1.8934373461582155E-2</v>
      </c>
      <c r="V2168" s="4">
        <f>1/TWD!B2168</f>
        <v>3.3386752136752136E-2</v>
      </c>
      <c r="W2168" s="4">
        <f>1/TWD!C2168</f>
        <v>3.3387309483665258E-2</v>
      </c>
      <c r="X2168" s="4">
        <f>1/TWD!B2168</f>
        <v>3.3386752136752136E-2</v>
      </c>
      <c r="Y2168" s="4">
        <f>1/TWD!C2168</f>
        <v>3.3387309483665258E-2</v>
      </c>
      <c r="Z2168" s="4">
        <f>1/ZAR!B2168</f>
        <v>7.9943719621386536E-2</v>
      </c>
      <c r="AA2168" s="4">
        <f>1/ZAR!C2168</f>
        <v>7.9611495900007961E-2</v>
      </c>
    </row>
    <row r="2169" spans="1:27" x14ac:dyDescent="0.25">
      <c r="A2169" t="str">
        <f>"28/05/2018"</f>
        <v>28/05/2018</v>
      </c>
      <c r="B2169" s="3">
        <f>AUD!B2169</f>
        <v>0.75590000000000002</v>
      </c>
      <c r="C2169" s="3">
        <f>AUD!C2169</f>
        <v>0.75600000000000001</v>
      </c>
      <c r="D2169" s="3">
        <f>1/CAD!B2169</f>
        <v>0.77011936850211782</v>
      </c>
      <c r="E2169" s="3">
        <f>1/CAD!C2169</f>
        <v>0.77059412807274408</v>
      </c>
      <c r="F2169" s="3">
        <f>EUR!B2169/1</f>
        <v>1.1638999999999999</v>
      </c>
      <c r="G2169" s="3">
        <f>EUR!C2169/1</f>
        <v>1.1664000000000001</v>
      </c>
      <c r="H2169" s="3">
        <f>GBP!B2169/1</f>
        <v>1.3314999999999999</v>
      </c>
      <c r="I2169" s="3">
        <f>GBP!C2169/1</f>
        <v>1.3332999999999999</v>
      </c>
      <c r="J2169" s="4">
        <f>1/INR!B2169</f>
        <v>1.4829644459274089E-2</v>
      </c>
      <c r="K2169" s="4">
        <f>1/INR!C2169</f>
        <v>1.4775959513870934E-2</v>
      </c>
      <c r="L2169" s="4">
        <f>1/JPY!B2169</f>
        <v>9.1449474165523556E-3</v>
      </c>
      <c r="M2169" s="4">
        <f>1/JPY!C2169</f>
        <v>9.1619307119827978E-3</v>
      </c>
      <c r="N2169" s="5">
        <f>1/KRW!B2169</f>
        <v>9.3101201005492981E-4</v>
      </c>
      <c r="O2169" s="5">
        <f>1/KRW!C2169</f>
        <v>9.3101573723831119E-4</v>
      </c>
      <c r="P2169" s="3">
        <f>1/NOK!B2169</f>
        <v>0.12218814530614239</v>
      </c>
      <c r="Q2169" s="3">
        <f>1/NOK!C2169</f>
        <v>0.12231817403429802</v>
      </c>
      <c r="R2169" s="3">
        <f>NZD!B2169/1</f>
        <v>0.69530000000000003</v>
      </c>
      <c r="S2169" s="3">
        <f>NZD!C2169/1</f>
        <v>0.69530000000000003</v>
      </c>
      <c r="T2169" s="4">
        <f>1/PHP!B2169</f>
        <v>1.9036740909956214E-2</v>
      </c>
      <c r="U2169" s="4">
        <f>1/PHP!C2169</f>
        <v>1.9003819767773322E-2</v>
      </c>
      <c r="V2169" s="4">
        <f>1/TWD!B2169</f>
        <v>3.3407944409180504E-2</v>
      </c>
      <c r="W2169" s="4">
        <f>1/TWD!C2169</f>
        <v>3.3408502463877054E-2</v>
      </c>
      <c r="X2169" s="4">
        <f>1/TWD!B2169</f>
        <v>3.3407944409180504E-2</v>
      </c>
      <c r="Y2169" s="4">
        <f>1/TWD!C2169</f>
        <v>3.3408502463877054E-2</v>
      </c>
      <c r="Z2169" s="4">
        <f>1/ZAR!B2169</f>
        <v>8.0357429847963749E-2</v>
      </c>
      <c r="AA2169" s="4">
        <f>1/ZAR!C2169</f>
        <v>8.0035215494817721E-2</v>
      </c>
    </row>
    <row r="2170" spans="1:27" x14ac:dyDescent="0.25">
      <c r="A2170" t="str">
        <f>"29/05/2018"</f>
        <v>29/05/2018</v>
      </c>
      <c r="B2170" s="3">
        <f>AUD!B2170</f>
        <v>0.75160000000000005</v>
      </c>
      <c r="C2170" s="3">
        <f>AUD!C2170</f>
        <v>0.75170000000000003</v>
      </c>
      <c r="D2170" s="3">
        <f>1/CAD!B2170</f>
        <v>0.76663600122661757</v>
      </c>
      <c r="E2170" s="3">
        <f>1/CAD!C2170</f>
        <v>0.76710647437864365</v>
      </c>
      <c r="F2170" s="3">
        <f>EUR!B2170/1</f>
        <v>1.1541999999999999</v>
      </c>
      <c r="G2170" s="3">
        <f>EUR!C2170/1</f>
        <v>1.1566000000000001</v>
      </c>
      <c r="H2170" s="3">
        <f>GBP!B2170/1</f>
        <v>1.3250999999999999</v>
      </c>
      <c r="I2170" s="3">
        <f>GBP!C2170/1</f>
        <v>1.3268</v>
      </c>
      <c r="J2170" s="4">
        <f>1/INR!B2170</f>
        <v>1.4731879787860933E-2</v>
      </c>
      <c r="K2170" s="4">
        <f>1/INR!C2170</f>
        <v>1.4678899082568808E-2</v>
      </c>
      <c r="L2170" s="4">
        <f>1/JPY!B2170</f>
        <v>9.1869545245751045E-3</v>
      </c>
      <c r="M2170" s="4">
        <f>1/JPY!C2170</f>
        <v>9.2034590280410996E-3</v>
      </c>
      <c r="N2170" s="5">
        <f>1/KRW!B2170</f>
        <v>9.2859132695700616E-4</v>
      </c>
      <c r="O2170" s="5">
        <f>1/KRW!C2170</f>
        <v>9.2859693182287761E-4</v>
      </c>
      <c r="P2170" s="3">
        <f>1/NOK!B2170</f>
        <v>0.12043839576056846</v>
      </c>
      <c r="Q2170" s="3">
        <f>1/NOK!C2170</f>
        <v>0.12056472517270897</v>
      </c>
      <c r="R2170" s="3">
        <f>NZD!B2170/1</f>
        <v>0.69199999999999995</v>
      </c>
      <c r="S2170" s="3">
        <f>NZD!C2170/1</f>
        <v>0.69199999999999995</v>
      </c>
      <c r="T2170" s="4">
        <f>1/PHP!B2170</f>
        <v>1.8993352326685659E-2</v>
      </c>
      <c r="U2170" s="4">
        <f>1/PHP!C2170</f>
        <v>1.896129998672709E-2</v>
      </c>
      <c r="V2170" s="4">
        <f>1/TWD!B2170</f>
        <v>3.3346672002134189E-2</v>
      </c>
      <c r="W2170" s="4">
        <f>1/TWD!C2170</f>
        <v>3.3347228011671531E-2</v>
      </c>
      <c r="X2170" s="4">
        <f>1/TWD!B2170</f>
        <v>3.3346672002134189E-2</v>
      </c>
      <c r="Y2170" s="4">
        <f>1/TWD!C2170</f>
        <v>3.3347228011671531E-2</v>
      </c>
      <c r="Z2170" s="4">
        <f>1/ZAR!B2170</f>
        <v>7.8961498373393127E-2</v>
      </c>
      <c r="AA2170" s="4">
        <f>1/ZAR!C2170</f>
        <v>7.8653452886581723E-2</v>
      </c>
    </row>
    <row r="2171" spans="1:27" x14ac:dyDescent="0.25">
      <c r="A2171" t="str">
        <f>"30/05/2018"</f>
        <v>30/05/2018</v>
      </c>
      <c r="B2171" s="3">
        <f>AUD!B2171</f>
        <v>0.75</v>
      </c>
      <c r="C2171" s="3">
        <f>AUD!C2171</f>
        <v>0.75009999999999999</v>
      </c>
      <c r="D2171" s="3">
        <f>1/CAD!B2171</f>
        <v>0.76769537847382163</v>
      </c>
      <c r="E2171" s="3">
        <f>1/CAD!C2171</f>
        <v>0.76816715317253026</v>
      </c>
      <c r="F2171" s="3">
        <f>EUR!B2171/1</f>
        <v>1.1540999999999999</v>
      </c>
      <c r="G2171" s="3">
        <f>EUR!C2171/1</f>
        <v>1.157</v>
      </c>
      <c r="H2171" s="3">
        <f>GBP!B2171/1</f>
        <v>1.3253999999999999</v>
      </c>
      <c r="I2171" s="3">
        <f>GBP!C2171/1</f>
        <v>1.3275999999999999</v>
      </c>
      <c r="J2171" s="4">
        <f>1/INR!B2171</f>
        <v>1.4751438265230859E-2</v>
      </c>
      <c r="K2171" s="4">
        <f>1/INR!C2171</f>
        <v>1.4698317042698611E-2</v>
      </c>
      <c r="L2171" s="4">
        <f>1/JPY!B2171</f>
        <v>9.2064076597311723E-3</v>
      </c>
      <c r="M2171" s="4">
        <f>1/JPY!C2171</f>
        <v>9.2270585336912195E-3</v>
      </c>
      <c r="N2171" s="5">
        <f>1/KRW!B2171</f>
        <v>9.2524056254626209E-4</v>
      </c>
      <c r="O2171" s="5">
        <f>1/KRW!C2171</f>
        <v>9.2524612703536802E-4</v>
      </c>
      <c r="P2171" s="3">
        <f>1/NOK!B2171</f>
        <v>0.12057490112858107</v>
      </c>
      <c r="Q2171" s="3">
        <f>1/NOK!C2171</f>
        <v>0.12070734504194582</v>
      </c>
      <c r="R2171" s="3">
        <f>NZD!B2171/1</f>
        <v>0.69110000000000005</v>
      </c>
      <c r="S2171" s="3">
        <f>NZD!C2171/1</f>
        <v>0.69110000000000005</v>
      </c>
      <c r="T2171" s="4">
        <f>1/PHP!B2171</f>
        <v>1.8960940462646948E-2</v>
      </c>
      <c r="U2171" s="4">
        <f>1/PHP!C2171</f>
        <v>1.8930789035286992E-2</v>
      </c>
      <c r="V2171" s="4">
        <f>1/TWD!B2171</f>
        <v>3.3293381275802371E-2</v>
      </c>
      <c r="W2171" s="4">
        <f>1/TWD!C2171</f>
        <v>3.3294046358630147E-2</v>
      </c>
      <c r="X2171" s="4">
        <f>1/TWD!B2171</f>
        <v>3.3293381275802371E-2</v>
      </c>
      <c r="Y2171" s="4">
        <f>1/TWD!C2171</f>
        <v>3.3294046358630147E-2</v>
      </c>
      <c r="Z2171" s="4">
        <f>1/ZAR!B2171</f>
        <v>7.8864353312302835E-2</v>
      </c>
      <c r="AA2171" s="4">
        <f>1/ZAR!C2171</f>
        <v>7.8534237000620427E-2</v>
      </c>
    </row>
    <row r="2172" spans="1:27" x14ac:dyDescent="0.25">
      <c r="A2172" t="str">
        <f>"31/05/2018"</f>
        <v>31/05/2018</v>
      </c>
      <c r="B2172" s="3">
        <f>AUD!B2172</f>
        <v>0.75649999999999995</v>
      </c>
      <c r="C2172" s="3">
        <f>AUD!C2172</f>
        <v>0.75860000000000005</v>
      </c>
      <c r="D2172" s="3">
        <f>1/CAD!B2172</f>
        <v>0.77911959485781057</v>
      </c>
      <c r="E2172" s="3">
        <f>1/CAD!C2172</f>
        <v>0.77984870935038608</v>
      </c>
      <c r="F2172" s="3">
        <f>EUR!B2172/1</f>
        <v>1.167</v>
      </c>
      <c r="G2172" s="3">
        <f>EUR!C2172/1</f>
        <v>1.1720999999999999</v>
      </c>
      <c r="H2172" s="3">
        <f>GBP!B2172/1</f>
        <v>1.3291999999999999</v>
      </c>
      <c r="I2172" s="3">
        <f>GBP!C2172/1</f>
        <v>1.3357000000000001</v>
      </c>
      <c r="J2172" s="4">
        <f>1/INR!B2172</f>
        <v>1.4833494029518652E-2</v>
      </c>
      <c r="K2172" s="4">
        <f>1/INR!C2172</f>
        <v>1.4780873549626783E-2</v>
      </c>
      <c r="L2172" s="4">
        <f>1/JPY!B2172</f>
        <v>9.1827364554637279E-3</v>
      </c>
      <c r="M2172" s="4">
        <f>1/JPY!C2172</f>
        <v>9.2024342279019653E-3</v>
      </c>
      <c r="N2172" s="5">
        <f>1/KRW!B2172</f>
        <v>9.2781592132120988E-4</v>
      </c>
      <c r="O2172" s="5">
        <f>1/KRW!C2172</f>
        <v>9.2782194725703367E-4</v>
      </c>
      <c r="P2172" s="3">
        <f>1/NOK!B2172</f>
        <v>0.12243498702189137</v>
      </c>
      <c r="Q2172" s="3">
        <f>1/NOK!C2172</f>
        <v>0.12258807953514599</v>
      </c>
      <c r="R2172" s="3">
        <f>NZD!B2172/1</f>
        <v>0.70130000000000003</v>
      </c>
      <c r="S2172" s="3">
        <f>NZD!C2172/1</f>
        <v>0.70130000000000003</v>
      </c>
      <c r="T2172" s="4">
        <f>1/PHP!B2172</f>
        <v>1.9029495718363463E-2</v>
      </c>
      <c r="U2172" s="4">
        <f>1/PHP!C2172</f>
        <v>1.8996599608670048E-2</v>
      </c>
      <c r="V2172" s="4">
        <f>1/TWD!B2172</f>
        <v>3.3355570380253503E-2</v>
      </c>
      <c r="W2172" s="4">
        <f>1/TWD!C2172</f>
        <v>3.3356237950059042E-2</v>
      </c>
      <c r="X2172" s="4">
        <f>1/TWD!B2172</f>
        <v>3.3355570380253503E-2</v>
      </c>
      <c r="Y2172" s="4">
        <f>1/TWD!C2172</f>
        <v>3.3356237950059042E-2</v>
      </c>
      <c r="Z2172" s="4">
        <f>1/ZAR!B2172</f>
        <v>7.881028001292488E-2</v>
      </c>
      <c r="AA2172" s="4">
        <f>1/ZAR!C2172</f>
        <v>7.9256259263075307E-2</v>
      </c>
    </row>
    <row r="2173" spans="1:27" x14ac:dyDescent="0.25">
      <c r="A2173" t="str">
        <f>"01/06/2018"</f>
        <v>01/06/2018</v>
      </c>
      <c r="B2173" s="3">
        <f>AUD!B2173</f>
        <v>0.754</v>
      </c>
      <c r="C2173" s="3">
        <f>AUD!C2173</f>
        <v>0.75409999999999999</v>
      </c>
      <c r="D2173" s="3">
        <f>1/CAD!B2173</f>
        <v>0.77214114740174511</v>
      </c>
      <c r="E2173" s="3">
        <f>1/CAD!C2173</f>
        <v>0.77279752704791338</v>
      </c>
      <c r="F2173" s="3">
        <f>EUR!B2173/1</f>
        <v>1.1701999999999999</v>
      </c>
      <c r="G2173" s="3">
        <f>EUR!C2173/1</f>
        <v>1.1729000000000001</v>
      </c>
      <c r="H2173" s="3">
        <f>GBP!B2173/1</f>
        <v>1.3322000000000001</v>
      </c>
      <c r="I2173" s="3">
        <f>GBP!C2173/1</f>
        <v>1.3343</v>
      </c>
      <c r="J2173" s="4">
        <f>1/INR!B2173</f>
        <v>1.4911463187325256E-2</v>
      </c>
      <c r="K2173" s="4">
        <f>1/INR!C2173</f>
        <v>1.485884101040119E-2</v>
      </c>
      <c r="L2173" s="4">
        <f>1/JPY!B2173</f>
        <v>9.1524803221673078E-3</v>
      </c>
      <c r="M2173" s="4">
        <f>1/JPY!C2173</f>
        <v>9.17202312817352E-3</v>
      </c>
      <c r="N2173" s="5">
        <f>1/KRW!B2173</f>
        <v>9.3023255813953494E-4</v>
      </c>
      <c r="O2173" s="5">
        <f>1/KRW!C2173</f>
        <v>9.3023818283552407E-4</v>
      </c>
      <c r="P2173" s="3">
        <f>1/NOK!B2173</f>
        <v>0.12280486307257767</v>
      </c>
      <c r="Q2173" s="3">
        <f>1/NOK!C2173</f>
        <v>0.12295283529238184</v>
      </c>
      <c r="R2173" s="3">
        <f>NZD!B2173/1</f>
        <v>0.69810000000000005</v>
      </c>
      <c r="S2173" s="3">
        <f>NZD!C2173/1</f>
        <v>0.69810000000000005</v>
      </c>
      <c r="T2173" s="4">
        <f>1/PHP!B2173</f>
        <v>1.9018638265500192E-2</v>
      </c>
      <c r="U2173" s="4">
        <f>1/PHP!C2173</f>
        <v>1.8983797328979715E-2</v>
      </c>
      <c r="V2173" s="4">
        <f>1/TWD!B2173</f>
        <v>3.3484011384563875E-2</v>
      </c>
      <c r="W2173" s="4">
        <f>1/TWD!C2173</f>
        <v>3.3484684105490152E-2</v>
      </c>
      <c r="X2173" s="4">
        <f>1/TWD!B2173</f>
        <v>3.3484011384563875E-2</v>
      </c>
      <c r="Y2173" s="4">
        <f>1/TWD!C2173</f>
        <v>3.3484684105490152E-2</v>
      </c>
      <c r="Z2173" s="4">
        <f>1/ZAR!B2173</f>
        <v>7.9019525724806611E-2</v>
      </c>
      <c r="AA2173" s="4">
        <f>1/ZAR!C2173</f>
        <v>7.870297497245396E-2</v>
      </c>
    </row>
    <row r="2174" spans="1:27" x14ac:dyDescent="0.25">
      <c r="A2174" t="str">
        <f>"04/06/2018"</f>
        <v>04/06/2018</v>
      </c>
      <c r="B2174" s="3">
        <f>AUD!B2174</f>
        <v>0.76549999999999996</v>
      </c>
      <c r="C2174" s="3">
        <f>AUD!C2174</f>
        <v>0.76559999999999995</v>
      </c>
      <c r="D2174" s="3">
        <f>1/CAD!B2174</f>
        <v>0.7739339060444238</v>
      </c>
      <c r="E2174" s="3">
        <f>1/CAD!C2174</f>
        <v>0.77459333849728895</v>
      </c>
      <c r="F2174" s="3">
        <f>EUR!B2174/1</f>
        <v>1.1729000000000001</v>
      </c>
      <c r="G2174" s="3">
        <f>EUR!C2174/1</f>
        <v>1.1756</v>
      </c>
      <c r="H2174" s="3">
        <f>GBP!B2174/1</f>
        <v>1.3382000000000001</v>
      </c>
      <c r="I2174" s="3">
        <f>GBP!C2174/1</f>
        <v>1.3402000000000001</v>
      </c>
      <c r="J2174" s="4">
        <f>1/INR!B2174</f>
        <v>1.4899243863373933E-2</v>
      </c>
      <c r="K2174" s="4">
        <f>1/INR!C2174</f>
        <v>1.484560570071259E-2</v>
      </c>
      <c r="L2174" s="4">
        <f>1/JPY!B2174</f>
        <v>9.1307523739956181E-3</v>
      </c>
      <c r="M2174" s="4">
        <f>1/JPY!C2174</f>
        <v>9.1501689121181173E-3</v>
      </c>
      <c r="N2174" s="5">
        <f>1/KRW!B2174</f>
        <v>9.3283582089552237E-4</v>
      </c>
      <c r="O2174" s="5">
        <f>1/KRW!C2174</f>
        <v>9.3284278240882395E-4</v>
      </c>
      <c r="P2174" s="3">
        <f>1/NOK!B2174</f>
        <v>0.12326504449868106</v>
      </c>
      <c r="Q2174" s="3">
        <f>1/NOK!C2174</f>
        <v>0.12341412844942488</v>
      </c>
      <c r="R2174" s="3">
        <f>NZD!B2174/1</f>
        <v>0.70409999999999995</v>
      </c>
      <c r="S2174" s="3">
        <f>NZD!C2174/1</f>
        <v>0.70409999999999995</v>
      </c>
      <c r="T2174" s="4">
        <f>1/PHP!B2174</f>
        <v>1.9011406844106463E-2</v>
      </c>
      <c r="U2174" s="4">
        <f>1/PHP!C2174</f>
        <v>1.8977132555270899E-2</v>
      </c>
      <c r="V2174" s="4">
        <f>1/TWD!B2174</f>
        <v>3.3536789858474747E-2</v>
      </c>
      <c r="W2174" s="4">
        <f>1/TWD!C2174</f>
        <v>3.3537464701818405E-2</v>
      </c>
      <c r="X2174" s="4">
        <f>1/TWD!B2174</f>
        <v>3.3536789858474747E-2</v>
      </c>
      <c r="Y2174" s="4">
        <f>1/TWD!C2174</f>
        <v>3.3537464701818405E-2</v>
      </c>
      <c r="Z2174" s="4">
        <f>1/ZAR!B2174</f>
        <v>7.9548799210875917E-2</v>
      </c>
      <c r="AA2174" s="4">
        <f>1/ZAR!C2174</f>
        <v>7.9231141007661654E-2</v>
      </c>
    </row>
    <row r="2175" spans="1:27" x14ac:dyDescent="0.25">
      <c r="A2175" t="str">
        <f>"05/06/2018"</f>
        <v>05/06/2018</v>
      </c>
      <c r="B2175" s="3">
        <f>AUD!B2175</f>
        <v>0.76149999999999995</v>
      </c>
      <c r="C2175" s="3">
        <f>AUD!C2175</f>
        <v>0.76170000000000004</v>
      </c>
      <c r="D2175" s="3">
        <f>1/CAD!B2175</f>
        <v>0.7701786814540974</v>
      </c>
      <c r="E2175" s="3">
        <f>1/CAD!C2175</f>
        <v>0.77083172743390127</v>
      </c>
      <c r="F2175" s="3">
        <f>EUR!B2175/1</f>
        <v>1.1680999999999999</v>
      </c>
      <c r="G2175" s="3">
        <f>EUR!C2175/1</f>
        <v>1.171</v>
      </c>
      <c r="H2175" s="3">
        <f>GBP!B2175/1</f>
        <v>1.3355999999999999</v>
      </c>
      <c r="I2175" s="3">
        <f>GBP!C2175/1</f>
        <v>1.3378000000000001</v>
      </c>
      <c r="J2175" s="4">
        <f>1/INR!B2175</f>
        <v>1.4890923981833072E-2</v>
      </c>
      <c r="K2175" s="4">
        <f>1/INR!C2175</f>
        <v>1.4834594273846612E-2</v>
      </c>
      <c r="L2175" s="4">
        <f>1/JPY!B2175</f>
        <v>9.1082976591675014E-3</v>
      </c>
      <c r="M2175" s="4">
        <f>1/JPY!C2175</f>
        <v>9.1285852518576665E-3</v>
      </c>
      <c r="N2175" s="5">
        <f>1/KRW!B2175</f>
        <v>9.3370681605975728E-4</v>
      </c>
      <c r="O2175" s="5">
        <f>1/KRW!C2175</f>
        <v>9.3371204693957208E-4</v>
      </c>
      <c r="P2175" s="3">
        <f>1/NOK!B2175</f>
        <v>0.12299971710065066</v>
      </c>
      <c r="Q2175" s="3">
        <f>1/NOK!C2175</f>
        <v>0.12315574275228454</v>
      </c>
      <c r="R2175" s="3">
        <f>NZD!B2175/1</f>
        <v>0.70199999999999996</v>
      </c>
      <c r="S2175" s="3">
        <f>NZD!C2175/1</f>
        <v>0.70199999999999996</v>
      </c>
      <c r="T2175" s="4">
        <f>1/PHP!B2175</f>
        <v>1.9080328181644724E-2</v>
      </c>
      <c r="U2175" s="4">
        <f>1/PHP!C2175</f>
        <v>1.9047619047619049E-2</v>
      </c>
      <c r="V2175" s="4">
        <f>1/TWD!B2175</f>
        <v>3.3539039441910383E-2</v>
      </c>
      <c r="W2175" s="4">
        <f>1/TWD!C2175</f>
        <v>3.3539714375792375E-2</v>
      </c>
      <c r="X2175" s="4">
        <f>1/TWD!B2175</f>
        <v>3.3539039441910383E-2</v>
      </c>
      <c r="Y2175" s="4">
        <f>1/TWD!C2175</f>
        <v>3.3539714375792375E-2</v>
      </c>
      <c r="Z2175" s="4">
        <f>1/ZAR!B2175</f>
        <v>7.890293361107166E-2</v>
      </c>
      <c r="AA2175" s="4">
        <f>1/ZAR!C2175</f>
        <v>7.8569408215217323E-2</v>
      </c>
    </row>
    <row r="2176" spans="1:27" x14ac:dyDescent="0.25">
      <c r="A2176" t="str">
        <f>"06/06/2018"</f>
        <v>06/06/2018</v>
      </c>
      <c r="B2176" s="3">
        <f>AUD!B2176</f>
        <v>0.76559999999999995</v>
      </c>
      <c r="C2176" s="3">
        <f>AUD!C2176</f>
        <v>0.76570000000000005</v>
      </c>
      <c r="D2176" s="3">
        <f>1/CAD!B2176</f>
        <v>0.77483341081667445</v>
      </c>
      <c r="E2176" s="3">
        <f>1/CAD!C2176</f>
        <v>0.7754943776657619</v>
      </c>
      <c r="F2176" s="3">
        <f>EUR!B2176/1</f>
        <v>1.1776</v>
      </c>
      <c r="G2176" s="3">
        <f>EUR!C2176/1</f>
        <v>1.1803999999999999</v>
      </c>
      <c r="H2176" s="3">
        <f>GBP!B2176/1</f>
        <v>1.3426</v>
      </c>
      <c r="I2176" s="3">
        <f>GBP!C2176/1</f>
        <v>1.3447</v>
      </c>
      <c r="J2176" s="4">
        <f>1/INR!B2176</f>
        <v>1.4941541219976841E-2</v>
      </c>
      <c r="K2176" s="4">
        <f>1/INR!C2176</f>
        <v>1.4887044549480814E-2</v>
      </c>
      <c r="L2176" s="4">
        <f>1/JPY!B2176</f>
        <v>9.0752336872674481E-3</v>
      </c>
      <c r="M2176" s="4">
        <f>1/JPY!C2176</f>
        <v>9.0951259220183912E-3</v>
      </c>
      <c r="N2176" s="5">
        <f>1/KRW!B2176</f>
        <v>9.3370681605975728E-4</v>
      </c>
      <c r="O2176" s="5">
        <f>1/KRW!C2176</f>
        <v>9.3371248284886881E-4</v>
      </c>
      <c r="P2176" s="3">
        <f>1/NOK!B2176</f>
        <v>0.12354067576749644</v>
      </c>
      <c r="Q2176" s="3">
        <f>1/NOK!C2176</f>
        <v>0.12369195754892016</v>
      </c>
      <c r="R2176" s="3">
        <f>NZD!B2176/1</f>
        <v>0.70440000000000003</v>
      </c>
      <c r="S2176" s="3">
        <f>NZD!C2176/1</f>
        <v>0.70440000000000003</v>
      </c>
      <c r="T2176" s="4">
        <f>1/PHP!B2176</f>
        <v>1.9083969465648856E-2</v>
      </c>
      <c r="U2176" s="4">
        <f>1/PHP!C2176</f>
        <v>1.9051247856734614E-2</v>
      </c>
      <c r="V2176" s="4">
        <f>1/TWD!B2176</f>
        <v>3.3627009213800525E-2</v>
      </c>
      <c r="W2176" s="4">
        <f>1/TWD!C2176</f>
        <v>3.3627687692938855E-2</v>
      </c>
      <c r="X2176" s="4">
        <f>1/TWD!B2176</f>
        <v>3.3627009213800525E-2</v>
      </c>
      <c r="Y2176" s="4">
        <f>1/TWD!C2176</f>
        <v>3.3627687692938855E-2</v>
      </c>
      <c r="Z2176" s="4">
        <f>1/ZAR!B2176</f>
        <v>7.829811223251408E-2</v>
      </c>
      <c r="AA2176" s="4">
        <f>1/ZAR!C2176</f>
        <v>7.7977573649818319E-2</v>
      </c>
    </row>
    <row r="2177" spans="1:27" x14ac:dyDescent="0.25">
      <c r="A2177" t="str">
        <f>"07/06/2018"</f>
        <v>07/06/2018</v>
      </c>
      <c r="B2177" s="3">
        <f>AUD!B2177</f>
        <v>0.7651</v>
      </c>
      <c r="C2177" s="3">
        <f>AUD!C2177</f>
        <v>0.76519999999999999</v>
      </c>
      <c r="D2177" s="3">
        <f>1/CAD!B2177</f>
        <v>0.77160493827160492</v>
      </c>
      <c r="E2177" s="3">
        <f>1/CAD!C2177</f>
        <v>0.77226040620897374</v>
      </c>
      <c r="F2177" s="3">
        <f>EUR!B2177/1</f>
        <v>1.1818</v>
      </c>
      <c r="G2177" s="3">
        <f>EUR!C2177/1</f>
        <v>1.1847000000000001</v>
      </c>
      <c r="H2177" s="3">
        <f>GBP!B2177/1</f>
        <v>1.3411999999999999</v>
      </c>
      <c r="I2177" s="3">
        <f>GBP!C2177/1</f>
        <v>1.3432999999999999</v>
      </c>
      <c r="J2177" s="4">
        <f>1/INR!B2177</f>
        <v>1.4892032762472076E-2</v>
      </c>
      <c r="K2177" s="4">
        <f>1/INR!C2177</f>
        <v>1.4838996883810655E-2</v>
      </c>
      <c r="L2177" s="4">
        <f>1/JPY!B2177</f>
        <v>9.0876045074518349E-3</v>
      </c>
      <c r="M2177" s="4">
        <f>1/JPY!C2177</f>
        <v>9.1077916246569777E-3</v>
      </c>
      <c r="N2177" s="5">
        <f>1/KRW!B2177</f>
        <v>9.3527871305649081E-4</v>
      </c>
      <c r="O2177" s="5">
        <f>1/KRW!C2177</f>
        <v>9.3528483632047727E-4</v>
      </c>
      <c r="P2177" s="3">
        <f>1/NOK!B2177</f>
        <v>0.12436882819690073</v>
      </c>
      <c r="Q2177" s="3">
        <f>1/NOK!C2177</f>
        <v>0.12451284349980701</v>
      </c>
      <c r="R2177" s="3">
        <f>NZD!B2177/1</f>
        <v>0.70389999999999997</v>
      </c>
      <c r="S2177" s="3">
        <f>NZD!C2177/1</f>
        <v>0.70389999999999997</v>
      </c>
      <c r="T2177" s="4">
        <f>1/PHP!B2177</f>
        <v>1.9033117624666921E-2</v>
      </c>
      <c r="U2177" s="4">
        <f>1/PHP!C2177</f>
        <v>1.9001833676949825E-2</v>
      </c>
      <c r="V2177" s="4">
        <f>1/TWD!B2177</f>
        <v>3.3622486719117745E-2</v>
      </c>
      <c r="W2177" s="4">
        <f>1/TWD!C2177</f>
        <v>3.3623165015769264E-2</v>
      </c>
      <c r="X2177" s="4">
        <f>1/TWD!B2177</f>
        <v>3.3622486719117745E-2</v>
      </c>
      <c r="Y2177" s="4">
        <f>1/TWD!C2177</f>
        <v>3.3623165015769264E-2</v>
      </c>
      <c r="Z2177" s="4">
        <f>1/ZAR!B2177</f>
        <v>7.8018334308562504E-2</v>
      </c>
      <c r="AA2177" s="4">
        <f>1/ZAR!C2177</f>
        <v>7.7710946363904826E-2</v>
      </c>
    </row>
    <row r="2178" spans="1:27" x14ac:dyDescent="0.25">
      <c r="A2178" t="str">
        <f>"08/06/2018"</f>
        <v>08/06/2018</v>
      </c>
      <c r="B2178" s="3">
        <f>AUD!B2178</f>
        <v>0.75749999999999995</v>
      </c>
      <c r="C2178" s="3">
        <f>AUD!C2178</f>
        <v>0.75760000000000005</v>
      </c>
      <c r="D2178" s="3">
        <f>1/CAD!B2178</f>
        <v>0.76875768757687579</v>
      </c>
      <c r="E2178" s="3">
        <f>1/CAD!C2178</f>
        <v>0.76934913063548238</v>
      </c>
      <c r="F2178" s="3">
        <f>EUR!B2178/1</f>
        <v>1.1737</v>
      </c>
      <c r="G2178" s="3">
        <f>EUR!C2178/1</f>
        <v>1.1766000000000001</v>
      </c>
      <c r="H2178" s="3">
        <f>GBP!B2178/1</f>
        <v>1.3391</v>
      </c>
      <c r="I2178" s="3">
        <f>GBP!C2178/1</f>
        <v>1.3411999999999999</v>
      </c>
      <c r="J2178" s="4">
        <f>1/INR!B2178</f>
        <v>1.4812071838548416E-2</v>
      </c>
      <c r="K2178" s="4">
        <f>1/INR!C2178</f>
        <v>1.4759058372075862E-2</v>
      </c>
      <c r="L2178" s="4">
        <f>1/JPY!B2178</f>
        <v>9.1441111923920987E-3</v>
      </c>
      <c r="M2178" s="4">
        <f>1/JPY!C2178</f>
        <v>9.1647016018981935E-3</v>
      </c>
      <c r="N2178" s="5">
        <f>1/KRW!B2178</f>
        <v>9.2936802973977691E-4</v>
      </c>
      <c r="O2178" s="5">
        <f>1/KRW!C2178</f>
        <v>9.293745077219404E-4</v>
      </c>
      <c r="P2178" s="3">
        <f>1/NOK!B2178</f>
        <v>0.12348270624699011</v>
      </c>
      <c r="Q2178" s="3">
        <f>1/NOK!C2178</f>
        <v>0.12363384600168142</v>
      </c>
      <c r="R2178" s="3">
        <f>NZD!B2178/1</f>
        <v>0.70169999999999999</v>
      </c>
      <c r="S2178" s="3">
        <f>NZD!C2178/1</f>
        <v>0.70169999999999999</v>
      </c>
      <c r="T2178" s="4">
        <f>1/PHP!B2178</f>
        <v>1.8966334755808438E-2</v>
      </c>
      <c r="U2178" s="4">
        <f>1/PHP!C2178</f>
        <v>1.8936166183794428E-2</v>
      </c>
      <c r="V2178" s="4">
        <f>1/TWD!B2178</f>
        <v>3.3536789858474747E-2</v>
      </c>
      <c r="W2178" s="4">
        <f>1/TWD!C2178</f>
        <v>3.3537464701818405E-2</v>
      </c>
      <c r="X2178" s="4">
        <f>1/TWD!B2178</f>
        <v>3.3536789858474747E-2</v>
      </c>
      <c r="Y2178" s="4">
        <f>1/TWD!C2178</f>
        <v>3.3537464701818405E-2</v>
      </c>
      <c r="Z2178" s="4">
        <f>1/ZAR!B2178</f>
        <v>7.6137107703552559E-2</v>
      </c>
      <c r="AA2178" s="4">
        <f>1/ZAR!C2178</f>
        <v>7.5833984241698071E-2</v>
      </c>
    </row>
    <row r="2179" spans="1:27" x14ac:dyDescent="0.25">
      <c r="A2179" t="str">
        <f>"11/06/2018"</f>
        <v>11/06/2018</v>
      </c>
      <c r="B2179" s="3">
        <f>AUD!B2179</f>
        <v>0.7611</v>
      </c>
      <c r="C2179" s="3">
        <f>AUD!C2179</f>
        <v>0.76119999999999999</v>
      </c>
      <c r="D2179" s="3">
        <f>1/CAD!B2179</f>
        <v>0.76852136489394407</v>
      </c>
      <c r="E2179" s="3">
        <f>1/CAD!C2179</f>
        <v>0.76911244423934777</v>
      </c>
      <c r="F2179" s="3">
        <f>EUR!B2179/1</f>
        <v>1.1789000000000001</v>
      </c>
      <c r="G2179" s="3">
        <f>EUR!C2179/1</f>
        <v>1.1817</v>
      </c>
      <c r="H2179" s="3">
        <f>GBP!B2179/1</f>
        <v>1.3374999999999999</v>
      </c>
      <c r="I2179" s="3">
        <f>GBP!C2179/1</f>
        <v>1.3395999999999999</v>
      </c>
      <c r="J2179" s="4">
        <f>1/INR!B2179</f>
        <v>1.4830194275545008E-2</v>
      </c>
      <c r="K2179" s="4">
        <f>1/INR!C2179</f>
        <v>1.4777597162701344E-2</v>
      </c>
      <c r="L2179" s="4">
        <f>1/JPY!B2179</f>
        <v>9.0966978986627856E-3</v>
      </c>
      <c r="M2179" s="4">
        <f>1/JPY!C2179</f>
        <v>9.1173577167948123E-3</v>
      </c>
      <c r="N2179" s="5">
        <f>1/KRW!B2179</f>
        <v>9.2997303078210739E-4</v>
      </c>
      <c r="O2179" s="5">
        <f>1/KRW!C2179</f>
        <v>9.2998167936091667E-4</v>
      </c>
      <c r="P2179" s="3">
        <f>1/NOK!B2179</f>
        <v>0.1241495754084521</v>
      </c>
      <c r="Q2179" s="3">
        <f>1/NOK!C2179</f>
        <v>0.12430389817024662</v>
      </c>
      <c r="R2179" s="3">
        <f>NZD!B2179/1</f>
        <v>0.7046</v>
      </c>
      <c r="S2179" s="3">
        <f>NZD!C2179/1</f>
        <v>0.7046</v>
      </c>
      <c r="T2179" s="4">
        <f>1/PHP!B2179</f>
        <v>1.8885741265344664E-2</v>
      </c>
      <c r="U2179" s="4">
        <f>1/PHP!C2179</f>
        <v>1.8853695324283559E-2</v>
      </c>
      <c r="V2179" s="4">
        <f>1/TWD!B2179</f>
        <v>3.3533416049092921E-2</v>
      </c>
      <c r="W2179" s="4">
        <f>1/TWD!C2179</f>
        <v>3.3534090756663228E-2</v>
      </c>
      <c r="X2179" s="4">
        <f>1/TWD!B2179</f>
        <v>3.3533416049092921E-2</v>
      </c>
      <c r="Y2179" s="4">
        <f>1/TWD!C2179</f>
        <v>3.3534090756663228E-2</v>
      </c>
      <c r="Z2179" s="4">
        <f>1/ZAR!B2179</f>
        <v>7.6159722169333532E-2</v>
      </c>
      <c r="AA2179" s="4">
        <f>1/ZAR!C2179</f>
        <v>7.5856418970173256E-2</v>
      </c>
    </row>
    <row r="2180" spans="1:27" x14ac:dyDescent="0.25">
      <c r="A2180" t="str">
        <f>"12/06/2018"</f>
        <v>12/06/2018</v>
      </c>
      <c r="B2180" s="3">
        <f>AUD!B2180</f>
        <v>0.76060000000000005</v>
      </c>
      <c r="C2180" s="3">
        <f>AUD!C2180</f>
        <v>0.76070000000000004</v>
      </c>
      <c r="D2180" s="3">
        <f>1/CAD!B2180</f>
        <v>0.76852136489394407</v>
      </c>
      <c r="E2180" s="3">
        <f>1/CAD!C2180</f>
        <v>0.76911244423934777</v>
      </c>
      <c r="F2180" s="3">
        <f>EUR!B2180/1</f>
        <v>1.1778</v>
      </c>
      <c r="G2180" s="3">
        <f>EUR!C2180/1</f>
        <v>1.1808000000000001</v>
      </c>
      <c r="H2180" s="3">
        <f>GBP!B2180/1</f>
        <v>1.3382000000000001</v>
      </c>
      <c r="I2180" s="3">
        <f>GBP!C2180/1</f>
        <v>1.3404</v>
      </c>
      <c r="J2180" s="4">
        <f>1/INR!B2180</f>
        <v>1.4815912289799244E-2</v>
      </c>
      <c r="K2180" s="4">
        <f>1/INR!C2180</f>
        <v>1.4759602966680196E-2</v>
      </c>
      <c r="L2180" s="4">
        <f>1/JPY!B2180</f>
        <v>9.0686496780629372E-3</v>
      </c>
      <c r="M2180" s="4">
        <f>1/JPY!C2180</f>
        <v>9.0904628318246201E-3</v>
      </c>
      <c r="N2180" s="5">
        <f>1/KRW!B2180</f>
        <v>9.2824654228163006E-4</v>
      </c>
      <c r="O2180" s="5">
        <f>1/KRW!C2180</f>
        <v>9.2825472794942491E-4</v>
      </c>
      <c r="P2180" s="3">
        <f>1/NOK!B2180</f>
        <v>0.12474738654225195</v>
      </c>
      <c r="Q2180" s="3">
        <f>1/NOK!C2180</f>
        <v>0.12490788043817684</v>
      </c>
      <c r="R2180" s="3">
        <f>NZD!B2180/1</f>
        <v>0.70269999999999999</v>
      </c>
      <c r="S2180" s="3">
        <f>NZD!C2180/1</f>
        <v>0.70269999999999999</v>
      </c>
      <c r="T2180" s="4">
        <f>1/PHP!B2180</f>
        <v>1.8885741265344664E-2</v>
      </c>
      <c r="U2180" s="4">
        <f>1/PHP!C2180</f>
        <v>1.8853695324283559E-2</v>
      </c>
      <c r="V2180" s="4">
        <f>1/TWD!B2180</f>
        <v>3.3489618218352314E-2</v>
      </c>
      <c r="W2180" s="4">
        <f>1/TWD!C2180</f>
        <v>3.349040332492724E-2</v>
      </c>
      <c r="X2180" s="4">
        <f>1/TWD!B2180</f>
        <v>3.3489618218352314E-2</v>
      </c>
      <c r="Y2180" s="4">
        <f>1/TWD!C2180</f>
        <v>3.349040332492724E-2</v>
      </c>
      <c r="Z2180" s="4">
        <f>1/ZAR!B2180</f>
        <v>7.581328703668605E-2</v>
      </c>
      <c r="AA2180" s="4">
        <f>1/ZAR!C2180</f>
        <v>7.5492209204010147E-2</v>
      </c>
    </row>
    <row r="2181" spans="1:27" x14ac:dyDescent="0.25">
      <c r="A2181" t="str">
        <f>"13/06/2018"</f>
        <v>13/06/2018</v>
      </c>
      <c r="B2181" s="3">
        <f>AUD!B2181</f>
        <v>0.7581</v>
      </c>
      <c r="C2181" s="3">
        <f>AUD!C2181</f>
        <v>0.75819999999999999</v>
      </c>
      <c r="D2181" s="3">
        <f>1/CAD!B2181</f>
        <v>0.76781326781326786</v>
      </c>
      <c r="E2181" s="3">
        <f>1/CAD!C2181</f>
        <v>0.76840325802981413</v>
      </c>
      <c r="F2181" s="3">
        <f>EUR!B2181/1</f>
        <v>1.1753</v>
      </c>
      <c r="G2181" s="3">
        <f>EUR!C2181/1</f>
        <v>1.1780999999999999</v>
      </c>
      <c r="H2181" s="3">
        <f>GBP!B2181/1</f>
        <v>1.3328</v>
      </c>
      <c r="I2181" s="3">
        <f>GBP!C2181/1</f>
        <v>1.3349</v>
      </c>
      <c r="J2181" s="4">
        <f>1/INR!B2181</f>
        <v>1.4781966001478195E-2</v>
      </c>
      <c r="K2181" s="4">
        <f>1/INR!C2181</f>
        <v>1.4727540500736375E-2</v>
      </c>
      <c r="L2181" s="4">
        <f>1/JPY!B2181</f>
        <v>9.0448625180897246E-3</v>
      </c>
      <c r="M2181" s="4">
        <f>1/JPY!C2181</f>
        <v>9.0658132714440485E-3</v>
      </c>
      <c r="N2181" s="5">
        <f>1/KRW!B2181</f>
        <v>9.2824654228163006E-4</v>
      </c>
      <c r="O2181" s="5">
        <f>1/KRW!C2181</f>
        <v>9.2825429712120502E-4</v>
      </c>
      <c r="P2181" s="3">
        <f>1/NOK!B2181</f>
        <v>0.12460748641778398</v>
      </c>
      <c r="Q2181" s="3">
        <f>1/NOK!C2181</f>
        <v>0.12476450699305061</v>
      </c>
      <c r="R2181" s="3">
        <f>NZD!B2181/1</f>
        <v>0.70330000000000004</v>
      </c>
      <c r="S2181" s="3">
        <f>NZD!C2181/1</f>
        <v>0.70330000000000004</v>
      </c>
      <c r="T2181" s="4">
        <f>1/PHP!B2181</f>
        <v>1.8774054257016802E-2</v>
      </c>
      <c r="U2181" s="4">
        <f>1/PHP!C2181</f>
        <v>1.8743439796071376E-2</v>
      </c>
      <c r="V2181" s="4">
        <f>1/TWD!B2181</f>
        <v>3.3456005352960859E-2</v>
      </c>
      <c r="W2181" s="4">
        <f>1/TWD!C2181</f>
        <v>3.3456676949018715E-2</v>
      </c>
      <c r="X2181" s="4">
        <f>1/TWD!B2181</f>
        <v>3.3456005352960859E-2</v>
      </c>
      <c r="Y2181" s="4">
        <f>1/TWD!C2181</f>
        <v>3.3456676949018715E-2</v>
      </c>
      <c r="Z2181" s="4">
        <f>1/ZAR!B2181</f>
        <v>7.5258701787394175E-2</v>
      </c>
      <c r="AA2181" s="4">
        <f>1/ZAR!C2181</f>
        <v>7.4954090619495553E-2</v>
      </c>
    </row>
    <row r="2182" spans="1:27" x14ac:dyDescent="0.25">
      <c r="A2182" t="str">
        <f>"14/06/2018"</f>
        <v>14/06/2018</v>
      </c>
      <c r="B2182" s="3">
        <f>AUD!B2182</f>
        <v>0.75490000000000002</v>
      </c>
      <c r="C2182" s="3">
        <f>AUD!C2182</f>
        <v>0.755</v>
      </c>
      <c r="D2182" s="3">
        <f>1/CAD!B2182</f>
        <v>0.77118840132644406</v>
      </c>
      <c r="E2182" s="3">
        <f>1/CAD!C2182</f>
        <v>0.7716644802839725</v>
      </c>
      <c r="F2182" s="3">
        <f>EUR!B2182/1</f>
        <v>1.1815</v>
      </c>
      <c r="G2182" s="3">
        <f>EUR!C2182/1</f>
        <v>1.1841999999999999</v>
      </c>
      <c r="H2182" s="3">
        <f>GBP!B2182/1</f>
        <v>1.3419000000000001</v>
      </c>
      <c r="I2182" s="3">
        <f>GBP!C2182/1</f>
        <v>1.3439000000000001</v>
      </c>
      <c r="J2182" s="4">
        <f>1/INR!B2182</f>
        <v>1.4785244326162489E-2</v>
      </c>
      <c r="K2182" s="4">
        <f>1/INR!C2182</f>
        <v>1.4732965009208104E-2</v>
      </c>
      <c r="L2182" s="4">
        <f>1/JPY!B2182</f>
        <v>9.0876045074518349E-3</v>
      </c>
      <c r="M2182" s="4">
        <f>1/JPY!C2182</f>
        <v>9.1071695281393326E-3</v>
      </c>
      <c r="N2182" s="5">
        <f>1/KRW!B2182</f>
        <v>9.2327578247622573E-4</v>
      </c>
      <c r="O2182" s="5">
        <f>1/KRW!C2182</f>
        <v>9.2328413644588412E-4</v>
      </c>
      <c r="P2182" s="3">
        <f>1/NOK!B2182</f>
        <v>0.12501718986360624</v>
      </c>
      <c r="Q2182" s="3">
        <f>1/NOK!C2182</f>
        <v>0.12516584474428619</v>
      </c>
      <c r="R2182" s="3">
        <f>NZD!B2182/1</f>
        <v>0.70330000000000004</v>
      </c>
      <c r="S2182" s="3">
        <f>NZD!C2182/1</f>
        <v>0.70330000000000004</v>
      </c>
      <c r="T2182" s="4">
        <f>1/PHP!B2182</f>
        <v>1.8765246762994934E-2</v>
      </c>
      <c r="U2182" s="4">
        <f>1/PHP!C2182</f>
        <v>1.8736065051617859E-2</v>
      </c>
      <c r="V2182" s="4">
        <f>1/TWD!B2182</f>
        <v>3.3400133600534399E-2</v>
      </c>
      <c r="W2182" s="4">
        <f>1/TWD!C2182</f>
        <v>3.3400802955303045E-2</v>
      </c>
      <c r="X2182" s="4">
        <f>1/TWD!B2182</f>
        <v>3.3400133600534399E-2</v>
      </c>
      <c r="Y2182" s="4">
        <f>1/TWD!C2182</f>
        <v>3.3400802955303045E-2</v>
      </c>
      <c r="Z2182" s="4">
        <f>1/ZAR!B2182</f>
        <v>7.5716849270468151E-2</v>
      </c>
      <c r="AA2182" s="4">
        <f>1/ZAR!C2182</f>
        <v>7.54272956297425E-2</v>
      </c>
    </row>
    <row r="2183" spans="1:27" x14ac:dyDescent="0.25">
      <c r="A2183" t="str">
        <f>"15/06/2018"</f>
        <v>15/06/2018</v>
      </c>
      <c r="B2183" s="3">
        <f>AUD!B2183</f>
        <v>0.74719999999999998</v>
      </c>
      <c r="C2183" s="3">
        <f>AUD!C2183</f>
        <v>0.74729999999999996</v>
      </c>
      <c r="D2183" s="3">
        <f>1/CAD!B2183</f>
        <v>0.76173065204143819</v>
      </c>
      <c r="E2183" s="3">
        <f>1/CAD!C2183</f>
        <v>0.76219512195121952</v>
      </c>
      <c r="F2183" s="3">
        <f>EUR!B2183/1</f>
        <v>1.1593</v>
      </c>
      <c r="G2183" s="3">
        <f>EUR!C2183/1</f>
        <v>1.1618999999999999</v>
      </c>
      <c r="H2183" s="3">
        <f>GBP!B2183/1</f>
        <v>1.3283</v>
      </c>
      <c r="I2183" s="3">
        <f>GBP!C2183/1</f>
        <v>1.3302</v>
      </c>
      <c r="J2183" s="4">
        <f>1/INR!B2183</f>
        <v>1.4701018045499652E-2</v>
      </c>
      <c r="K2183" s="4">
        <f>1/INR!C2183</f>
        <v>1.4648795136600015E-2</v>
      </c>
      <c r="L2183" s="4">
        <f>1/JPY!B2183</f>
        <v>9.0334236675700084E-3</v>
      </c>
      <c r="M2183" s="4">
        <f>1/JPY!C2183</f>
        <v>9.0528869656533468E-3</v>
      </c>
      <c r="N2183" s="5">
        <f>1/KRW!B2183</f>
        <v>9.108297659167501E-4</v>
      </c>
      <c r="O2183" s="5">
        <f>1/KRW!C2183</f>
        <v>9.1083681766367629E-4</v>
      </c>
      <c r="P2183" s="3">
        <f>1/NOK!B2183</f>
        <v>0.12304512064574079</v>
      </c>
      <c r="Q2183" s="3">
        <f>1/NOK!C2183</f>
        <v>0.12319063751154913</v>
      </c>
      <c r="R2183" s="3">
        <f>NZD!B2183/1</f>
        <v>0.69530000000000003</v>
      </c>
      <c r="S2183" s="3">
        <f>NZD!C2183/1</f>
        <v>0.69530000000000003</v>
      </c>
      <c r="T2183" s="4">
        <f>1/PHP!B2183</f>
        <v>1.8765246762994934E-2</v>
      </c>
      <c r="U2183" s="4">
        <f>1/PHP!C2183</f>
        <v>1.8736065051617859E-2</v>
      </c>
      <c r="V2183" s="4">
        <f>1/TWD!B2183</f>
        <v>3.3327778703549409E-2</v>
      </c>
      <c r="W2183" s="4">
        <f>1/TWD!C2183</f>
        <v>3.3328445161376334E-2</v>
      </c>
      <c r="X2183" s="4">
        <f>1/TWD!B2183</f>
        <v>3.3327778703549409E-2</v>
      </c>
      <c r="Y2183" s="4">
        <f>1/TWD!C2183</f>
        <v>3.3328445161376334E-2</v>
      </c>
      <c r="Z2183" s="4">
        <f>1/ZAR!B2183</f>
        <v>7.4540087659143092E-2</v>
      </c>
      <c r="AA2183" s="4">
        <f>1/ZAR!C2183</f>
        <v>7.4254484970892237E-2</v>
      </c>
    </row>
    <row r="2184" spans="1:27" x14ac:dyDescent="0.25">
      <c r="A2184" t="str">
        <f>"18/06/2018"</f>
        <v>18/06/2018</v>
      </c>
      <c r="B2184" s="3">
        <f>AUD!B2184</f>
        <v>0.74419999999999997</v>
      </c>
      <c r="C2184" s="3">
        <f>AUD!C2184</f>
        <v>0.74419999999999997</v>
      </c>
      <c r="D2184" s="3">
        <f>1/CAD!B2184</f>
        <v>0.75866777937940977</v>
      </c>
      <c r="E2184" s="3">
        <f>1/CAD!C2184</f>
        <v>0.75907089722180054</v>
      </c>
      <c r="F2184" s="3">
        <f>EUR!B2184/1</f>
        <v>1.1614</v>
      </c>
      <c r="G2184" s="3">
        <f>EUR!C2184/1</f>
        <v>1.1639999999999999</v>
      </c>
      <c r="H2184" s="3">
        <f>GBP!B2184/1</f>
        <v>1.325</v>
      </c>
      <c r="I2184" s="3">
        <f>GBP!C2184/1</f>
        <v>1.3269</v>
      </c>
      <c r="J2184" s="4">
        <f>1/INR!B2184</f>
        <v>1.4707504504173253E-2</v>
      </c>
      <c r="K2184" s="4">
        <f>1/INR!C2184</f>
        <v>1.4655772542410142E-2</v>
      </c>
      <c r="L2184" s="4">
        <f>1/JPY!B2184</f>
        <v>9.0514120202751618E-3</v>
      </c>
      <c r="M2184" s="4">
        <f>1/JPY!C2184</f>
        <v>9.071224533671025E-3</v>
      </c>
      <c r="N2184" s="5">
        <f>1/KRW!B2184</f>
        <v>9.049773755656109E-4</v>
      </c>
      <c r="O2184" s="5">
        <f>1/KRW!C2184</f>
        <v>9.0498392748544786E-4</v>
      </c>
      <c r="P2184" s="3">
        <f>1/NOK!B2184</f>
        <v>0.12300274296116805</v>
      </c>
      <c r="Q2184" s="3">
        <f>1/NOK!C2184</f>
        <v>0.12315119271930147</v>
      </c>
      <c r="R2184" s="3">
        <f>NZD!B2184/1</f>
        <v>0.69489999999999996</v>
      </c>
      <c r="S2184" s="3">
        <f>NZD!C2184/1</f>
        <v>0.69489999999999996</v>
      </c>
      <c r="T2184" s="4">
        <f>1/PHP!B2184</f>
        <v>1.8691588785046728E-2</v>
      </c>
      <c r="U2184" s="4">
        <f>1/PHP!C2184</f>
        <v>1.8661938975459549E-2</v>
      </c>
      <c r="V2184" s="4">
        <f>1/TWD!B2184</f>
        <v>3.3327778703549409E-2</v>
      </c>
      <c r="W2184" s="4">
        <f>1/TWD!C2184</f>
        <v>3.3328445161376334E-2</v>
      </c>
      <c r="X2184" s="4">
        <f>1/TWD!B2184</f>
        <v>3.3327778703549409E-2</v>
      </c>
      <c r="Y2184" s="4">
        <f>1/TWD!C2184</f>
        <v>3.3328445161376334E-2</v>
      </c>
      <c r="Z2184" s="4">
        <f>1/ZAR!B2184</f>
        <v>7.426220499339066E-2</v>
      </c>
      <c r="AA2184" s="4">
        <f>1/ZAR!C2184</f>
        <v>7.3975987394491752E-2</v>
      </c>
    </row>
    <row r="2185" spans="1:27" x14ac:dyDescent="0.25">
      <c r="A2185" t="str">
        <f>"19/06/2018"</f>
        <v>19/06/2018</v>
      </c>
      <c r="B2185" s="3">
        <f>AUD!B2185</f>
        <v>0.73480000000000001</v>
      </c>
      <c r="C2185" s="3">
        <f>AUD!C2185</f>
        <v>0.73460000000000003</v>
      </c>
      <c r="D2185" s="3">
        <f>1/CAD!B2185</f>
        <v>0.7523888345496953</v>
      </c>
      <c r="E2185" s="3">
        <f>1/CAD!C2185</f>
        <v>0.75284197846871936</v>
      </c>
      <c r="F2185" s="3">
        <f>EUR!B2185/1</f>
        <v>1.1547000000000001</v>
      </c>
      <c r="G2185" s="3">
        <f>EUR!C2185/1</f>
        <v>1.1575</v>
      </c>
      <c r="H2185" s="3">
        <f>GBP!B2185/1</f>
        <v>1.3151999999999999</v>
      </c>
      <c r="I2185" s="3">
        <f>GBP!C2185/1</f>
        <v>1.3171999999999999</v>
      </c>
      <c r="J2185" s="4">
        <f>1/INR!B2185</f>
        <v>1.4622020763269484E-2</v>
      </c>
      <c r="K2185" s="4">
        <f>1/INR!C2185</f>
        <v>1.456664238892935E-2</v>
      </c>
      <c r="L2185" s="4">
        <f>1/JPY!B2185</f>
        <v>9.1058095064651245E-3</v>
      </c>
      <c r="M2185" s="4">
        <f>1/JPY!C2185</f>
        <v>9.1272354881519347E-3</v>
      </c>
      <c r="N2185" s="5">
        <f>1/KRW!B2185</f>
        <v>9.015506671474937E-4</v>
      </c>
      <c r="O2185" s="5">
        <f>1/KRW!C2185</f>
        <v>9.0155676314075325E-4</v>
      </c>
      <c r="P2185" s="3">
        <f>1/NOK!B2185</f>
        <v>0.12157906894749002</v>
      </c>
      <c r="Q2185" s="3">
        <f>1/NOK!C2185</f>
        <v>0.12173595471422485</v>
      </c>
      <c r="R2185" s="3">
        <f>NZD!B2185/1</f>
        <v>0.68879999999999997</v>
      </c>
      <c r="S2185" s="3">
        <f>NZD!C2185/1</f>
        <v>0.68879999999999997</v>
      </c>
      <c r="T2185" s="4">
        <f>1/PHP!B2185</f>
        <v>1.8702075930428278E-2</v>
      </c>
      <c r="U2185" s="4">
        <f>1/PHP!C2185</f>
        <v>1.8673438900507919E-2</v>
      </c>
      <c r="V2185" s="4">
        <f>1/TWD!B2185</f>
        <v>3.3125745329269908E-2</v>
      </c>
      <c r="W2185" s="4">
        <f>1/TWD!C2185</f>
        <v>3.3126403731358119E-2</v>
      </c>
      <c r="X2185" s="4">
        <f>1/TWD!B2185</f>
        <v>3.3125745329269908E-2</v>
      </c>
      <c r="Y2185" s="4">
        <f>1/TWD!C2185</f>
        <v>3.3126403731358119E-2</v>
      </c>
      <c r="Z2185" s="4">
        <f>1/ZAR!B2185</f>
        <v>7.1965744305710483E-2</v>
      </c>
      <c r="AA2185" s="4">
        <f>1/ZAR!C2185</f>
        <v>7.1667634179728087E-2</v>
      </c>
    </row>
    <row r="2186" spans="1:27" x14ac:dyDescent="0.25">
      <c r="A2186" t="str">
        <f>"20/06/2018"</f>
        <v>20/06/2018</v>
      </c>
      <c r="B2186" s="3">
        <f>AUD!B2186</f>
        <v>0.73929999999999996</v>
      </c>
      <c r="C2186" s="3">
        <f>AUD!C2186</f>
        <v>0.73909999999999998</v>
      </c>
      <c r="D2186" s="3">
        <f>1/CAD!B2186</f>
        <v>0.75227563379222151</v>
      </c>
      <c r="E2186" s="3">
        <f>1/CAD!C2186</f>
        <v>0.75267198554869785</v>
      </c>
      <c r="F2186" s="3">
        <f>EUR!B2186/1</f>
        <v>1.1565000000000001</v>
      </c>
      <c r="G2186" s="3">
        <f>EUR!C2186/1</f>
        <v>1.1591</v>
      </c>
      <c r="H2186" s="3">
        <f>GBP!B2186/1</f>
        <v>1.3172999999999999</v>
      </c>
      <c r="I2186" s="3">
        <f>GBP!C2186/1</f>
        <v>1.3191999999999999</v>
      </c>
      <c r="J2186" s="4">
        <f>1/INR!B2186</f>
        <v>1.4688601645123384E-2</v>
      </c>
      <c r="K2186" s="4">
        <f>1/INR!C2186</f>
        <v>1.4634324808839133E-2</v>
      </c>
      <c r="L2186" s="4">
        <f>1/JPY!B2186</f>
        <v>9.0851276460434272E-3</v>
      </c>
      <c r="M2186" s="4">
        <f>1/JPY!C2186</f>
        <v>9.1053203297218593E-3</v>
      </c>
      <c r="N2186" s="5">
        <f>1/KRW!B2186</f>
        <v>9.046499004885109E-4</v>
      </c>
      <c r="O2186" s="5">
        <f>1/KRW!C2186</f>
        <v>9.0465972129243316E-4</v>
      </c>
      <c r="P2186" s="3">
        <f>1/NOK!B2186</f>
        <v>0.12218814530614239</v>
      </c>
      <c r="Q2186" s="3">
        <f>1/NOK!C2186</f>
        <v>0.12233463415827654</v>
      </c>
      <c r="R2186" s="3">
        <f>NZD!B2186/1</f>
        <v>0.68840000000000001</v>
      </c>
      <c r="S2186" s="3">
        <f>NZD!C2186/1</f>
        <v>0.68830000000000002</v>
      </c>
      <c r="T2186" s="4">
        <f>1/PHP!B2186</f>
        <v>1.8698578908002993E-2</v>
      </c>
      <c r="U2186" s="4">
        <f>1/PHP!C2186</f>
        <v>1.8668906935498927E-2</v>
      </c>
      <c r="V2186" s="4">
        <f>1/TWD!B2186</f>
        <v>3.3145508783559825E-2</v>
      </c>
      <c r="W2186" s="4">
        <f>1/TWD!C2186</f>
        <v>3.3146167971520812E-2</v>
      </c>
      <c r="X2186" s="4">
        <f>1/TWD!B2186</f>
        <v>3.3145508783559825E-2</v>
      </c>
      <c r="Y2186" s="4">
        <f>1/TWD!C2186</f>
        <v>3.3146167971520812E-2</v>
      </c>
      <c r="Z2186" s="4">
        <f>1/ZAR!B2186</f>
        <v>7.3071105492755001E-2</v>
      </c>
      <c r="AA2186" s="4">
        <f>1/ZAR!C2186</f>
        <v>7.2782322629479757E-2</v>
      </c>
    </row>
    <row r="2187" spans="1:27" x14ac:dyDescent="0.25">
      <c r="A2187" t="str">
        <f>"21/06/2018"</f>
        <v>21/06/2018</v>
      </c>
      <c r="B2187" s="3">
        <f>AUD!B2187</f>
        <v>0.73670000000000002</v>
      </c>
      <c r="C2187" s="3">
        <f>AUD!C2187</f>
        <v>0.73670000000000002</v>
      </c>
      <c r="D2187" s="3">
        <f>1/CAD!B2187</f>
        <v>0.75080711765147534</v>
      </c>
      <c r="E2187" s="3">
        <f>1/CAD!C2187</f>
        <v>0.75114549688274623</v>
      </c>
      <c r="F2187" s="3">
        <f>EUR!B2187/1</f>
        <v>1.1537999999999999</v>
      </c>
      <c r="G2187" s="3">
        <f>EUR!C2187/1</f>
        <v>1.1564000000000001</v>
      </c>
      <c r="H2187" s="3">
        <f>GBP!B2187/1</f>
        <v>1.3219000000000001</v>
      </c>
      <c r="I2187" s="3">
        <f>GBP!C2187/1</f>
        <v>1.3237000000000001</v>
      </c>
      <c r="J2187" s="4">
        <f>1/INR!B2187</f>
        <v>1.4708045300779527E-2</v>
      </c>
      <c r="K2187" s="4">
        <f>1/INR!C2187</f>
        <v>1.4655772542410142E-2</v>
      </c>
      <c r="L2187" s="4">
        <f>1/JPY!B2187</f>
        <v>9.0456806874717327E-3</v>
      </c>
      <c r="M2187" s="4">
        <f>1/JPY!C2187</f>
        <v>9.0647695916865178E-3</v>
      </c>
      <c r="N2187" s="5">
        <f>1/KRW!B2187</f>
        <v>8.9887640449438206E-4</v>
      </c>
      <c r="O2187" s="5">
        <f>1/KRW!C2187</f>
        <v>8.9888690834140079E-4</v>
      </c>
      <c r="P2187" s="3">
        <f>1/NOK!B2187</f>
        <v>0.1223481048278562</v>
      </c>
      <c r="Q2187" s="3">
        <f>1/NOK!C2187</f>
        <v>0.12249197677552121</v>
      </c>
      <c r="R2187" s="3">
        <f>NZD!B2187/1</f>
        <v>0.68540000000000001</v>
      </c>
      <c r="S2187" s="3">
        <f>NZD!C2187/1</f>
        <v>0.68540000000000001</v>
      </c>
      <c r="T2187" s="4">
        <f>1/PHP!B2187</f>
        <v>1.8702075930428278E-2</v>
      </c>
      <c r="U2187" s="4">
        <f>1/PHP!C2187</f>
        <v>1.8674136321195144E-2</v>
      </c>
      <c r="V2187" s="4">
        <f>1/TWD!B2187</f>
        <v>3.3001122038149297E-2</v>
      </c>
      <c r="W2187" s="4">
        <f>1/TWD!C2187</f>
        <v>3.3001666584162502E-2</v>
      </c>
      <c r="X2187" s="4">
        <f>1/TWD!B2187</f>
        <v>3.3001122038149297E-2</v>
      </c>
      <c r="Y2187" s="4">
        <f>1/TWD!C2187</f>
        <v>3.3001666584162502E-2</v>
      </c>
      <c r="Z2187" s="4">
        <f>1/ZAR!B2187</f>
        <v>7.3018816949127791E-2</v>
      </c>
      <c r="AA2187" s="4">
        <f>1/ZAR!C2187</f>
        <v>7.2738910953025218E-2</v>
      </c>
    </row>
    <row r="2188" spans="1:27" x14ac:dyDescent="0.25">
      <c r="A2188" t="str">
        <f>"22/06/2018"</f>
        <v>22/06/2018</v>
      </c>
      <c r="B2188" s="3">
        <f>AUD!B2188</f>
        <v>0.74239999999999995</v>
      </c>
      <c r="C2188" s="3">
        <f>AUD!C2188</f>
        <v>0.74239999999999995</v>
      </c>
      <c r="D2188" s="3">
        <f>1/CAD!B2188</f>
        <v>0.75301204819277101</v>
      </c>
      <c r="E2188" s="3">
        <f>1/CAD!C2188</f>
        <v>0.75340917652377015</v>
      </c>
      <c r="F2188" s="3">
        <f>EUR!B2188/1</f>
        <v>1.1638999999999999</v>
      </c>
      <c r="G2188" s="3">
        <f>EUR!C2188/1</f>
        <v>1.1666000000000001</v>
      </c>
      <c r="H2188" s="3">
        <f>GBP!B2188/1</f>
        <v>1.3279000000000001</v>
      </c>
      <c r="I2188" s="3">
        <f>GBP!C2188/1</f>
        <v>1.3298000000000001</v>
      </c>
      <c r="J2188" s="4">
        <f>1/INR!B2188</f>
        <v>1.4740566037735848E-2</v>
      </c>
      <c r="K2188" s="4">
        <f>1/INR!C2188</f>
        <v>1.468752294925461E-2</v>
      </c>
      <c r="L2188" s="4">
        <f>1/JPY!B2188</f>
        <v>9.0777051561365292E-3</v>
      </c>
      <c r="M2188" s="4">
        <f>1/JPY!C2188</f>
        <v>9.0976578989504942E-3</v>
      </c>
      <c r="N2188" s="5">
        <f>1/KRW!B2188</f>
        <v>9.027715085311907E-4</v>
      </c>
      <c r="O2188" s="5">
        <f>1/KRW!C2188</f>
        <v>9.0277843605372082E-4</v>
      </c>
      <c r="P2188" s="3">
        <f>1/NOK!B2188</f>
        <v>0.12327872085999235</v>
      </c>
      <c r="Q2188" s="3">
        <f>1/NOK!C2188</f>
        <v>0.12342936137648422</v>
      </c>
      <c r="R2188" s="3">
        <f>NZD!B2188/1</f>
        <v>0.68959999999999999</v>
      </c>
      <c r="S2188" s="3">
        <f>NZD!C2188/1</f>
        <v>0.68959999999999999</v>
      </c>
      <c r="T2188" s="4">
        <f>1/PHP!B2188</f>
        <v>1.8761726078799251E-2</v>
      </c>
      <c r="U2188" s="4">
        <f>1/PHP!C2188</f>
        <v>1.8733959047565522E-2</v>
      </c>
      <c r="V2188" s="4">
        <f>1/TWD!B2188</f>
        <v>3.299458888742246E-2</v>
      </c>
      <c r="W2188" s="4">
        <f>1/TWD!C2188</f>
        <v>3.2995242086091184E-2</v>
      </c>
      <c r="X2188" s="4">
        <f>1/TWD!B2188</f>
        <v>3.299458888742246E-2</v>
      </c>
      <c r="Y2188" s="4">
        <f>1/TWD!C2188</f>
        <v>3.2995242086091184E-2</v>
      </c>
      <c r="Z2188" s="4">
        <f>1/ZAR!B2188</f>
        <v>7.3907645006799499E-2</v>
      </c>
      <c r="AA2188" s="4">
        <f>1/ZAR!C2188</f>
        <v>7.362685907819172E-2</v>
      </c>
    </row>
    <row r="2189" spans="1:27" x14ac:dyDescent="0.25">
      <c r="A2189" t="str">
        <f>"25/06/2018"</f>
        <v>25/06/2018</v>
      </c>
      <c r="B2189" s="3">
        <f>AUD!B2189</f>
        <v>0.74239999999999995</v>
      </c>
      <c r="C2189" s="3">
        <f>AUD!C2189</f>
        <v>0.74239999999999995</v>
      </c>
      <c r="D2189" s="3">
        <f>1/CAD!B2189</f>
        <v>0.75182317119013609</v>
      </c>
      <c r="E2189" s="3">
        <f>1/CAD!C2189</f>
        <v>0.75227563379222151</v>
      </c>
      <c r="F2189" s="3">
        <f>EUR!B2189/1</f>
        <v>1.1684000000000001</v>
      </c>
      <c r="G2189" s="3">
        <f>EUR!C2189/1</f>
        <v>1.171</v>
      </c>
      <c r="H2189" s="3">
        <f>GBP!B2189/1</f>
        <v>1.3272999999999999</v>
      </c>
      <c r="I2189" s="3">
        <f>GBP!C2189/1</f>
        <v>1.3291999999999999</v>
      </c>
      <c r="J2189" s="4">
        <f>1/INR!B2189</f>
        <v>1.4677821811243212E-2</v>
      </c>
      <c r="K2189" s="4">
        <f>1/INR!C2189</f>
        <v>1.4625228519195612E-2</v>
      </c>
      <c r="L2189" s="4">
        <f>1/JPY!B2189</f>
        <v>9.1240875912408769E-3</v>
      </c>
      <c r="M2189" s="4">
        <f>1/JPY!C2189</f>
        <v>9.1439272435997077E-3</v>
      </c>
      <c r="N2189" s="5">
        <f>1/KRW!B2189</f>
        <v>8.9501476774366776E-4</v>
      </c>
      <c r="O2189" s="5">
        <f>1/KRW!C2189</f>
        <v>8.9501837248964137E-4</v>
      </c>
      <c r="P2189" s="3">
        <f>1/NOK!B2189</f>
        <v>0.12328936012822092</v>
      </c>
      <c r="Q2189" s="3">
        <f>1/NOK!C2189</f>
        <v>0.12344155042587333</v>
      </c>
      <c r="R2189" s="3">
        <f>NZD!B2189/1</f>
        <v>0.69</v>
      </c>
      <c r="S2189" s="3">
        <f>NZD!C2189/1</f>
        <v>0.69</v>
      </c>
      <c r="T2189" s="4">
        <f>1/PHP!B2189</f>
        <v>1.8705574261129815E-2</v>
      </c>
      <c r="U2189" s="4">
        <f>1/PHP!C2189</f>
        <v>1.8679543098375814E-2</v>
      </c>
      <c r="V2189" s="4">
        <f>1/TWD!B2189</f>
        <v>3.2891490971285728E-2</v>
      </c>
      <c r="W2189" s="4">
        <f>1/TWD!C2189</f>
        <v>3.289214009420309E-2</v>
      </c>
      <c r="X2189" s="4">
        <f>1/TWD!B2189</f>
        <v>3.2891490971285728E-2</v>
      </c>
      <c r="Y2189" s="4">
        <f>1/TWD!C2189</f>
        <v>3.289214009420309E-2</v>
      </c>
      <c r="Z2189" s="4">
        <f>1/ZAR!B2189</f>
        <v>7.3859607657764129E-2</v>
      </c>
      <c r="AA2189" s="4">
        <f>1/ZAR!C2189</f>
        <v>7.3577561786757506E-2</v>
      </c>
    </row>
    <row r="2190" spans="1:27" x14ac:dyDescent="0.25">
      <c r="A2190" t="str">
        <f>"26/06/2018"</f>
        <v>26/06/2018</v>
      </c>
      <c r="B2190" s="3">
        <f>AUD!B2190</f>
        <v>0.73970000000000002</v>
      </c>
      <c r="C2190" s="3">
        <f>AUD!C2190</f>
        <v>0.73980000000000001</v>
      </c>
      <c r="D2190" s="3">
        <f>1/CAD!B2190</f>
        <v>0.75080711765147534</v>
      </c>
      <c r="E2190" s="3">
        <f>1/CAD!C2190</f>
        <v>0.75125835774923</v>
      </c>
      <c r="F2190" s="3">
        <f>EUR!B2190/1</f>
        <v>1.1675</v>
      </c>
      <c r="G2190" s="3">
        <f>EUR!C2190/1</f>
        <v>1.1702999999999999</v>
      </c>
      <c r="H2190" s="3">
        <f>GBP!B2190/1</f>
        <v>1.3243</v>
      </c>
      <c r="I2190" s="3">
        <f>GBP!C2190/1</f>
        <v>1.3263</v>
      </c>
      <c r="J2190" s="4">
        <f>1/INR!B2190</f>
        <v>1.4650941322980003E-2</v>
      </c>
      <c r="K2190" s="4">
        <f>1/INR!C2190</f>
        <v>1.4598540145985401E-2</v>
      </c>
      <c r="L2190" s="4">
        <f>1/JPY!B2190</f>
        <v>9.1207588471360814E-3</v>
      </c>
      <c r="M2190" s="4">
        <f>1/JPY!C2190</f>
        <v>9.1411020512633008E-3</v>
      </c>
      <c r="N2190" s="5">
        <f>1/KRW!B2190</f>
        <v>8.9694142972463896E-4</v>
      </c>
      <c r="O2190" s="5">
        <f>1/KRW!C2190</f>
        <v>8.9694505000692884E-4</v>
      </c>
      <c r="P2190" s="3">
        <f>1/NOK!B2190</f>
        <v>0.12319215512356173</v>
      </c>
      <c r="Q2190" s="3">
        <f>1/NOK!C2190</f>
        <v>0.12335323432180392</v>
      </c>
      <c r="R2190" s="3">
        <f>NZD!B2190/1</f>
        <v>0.68679999999999997</v>
      </c>
      <c r="S2190" s="3">
        <f>NZD!C2190/1</f>
        <v>0.68679999999999997</v>
      </c>
      <c r="T2190" s="4">
        <f>1/PHP!B2190</f>
        <v>1.8684603886397606E-2</v>
      </c>
      <c r="U2190" s="4">
        <f>1/PHP!C2190</f>
        <v>1.8660546007576183E-2</v>
      </c>
      <c r="V2190" s="4">
        <f>1/TWD!B2190</f>
        <v>3.2880676026699106E-2</v>
      </c>
      <c r="W2190" s="4">
        <f>1/TWD!C2190</f>
        <v>3.2881324722810433E-2</v>
      </c>
      <c r="X2190" s="4">
        <f>1/TWD!B2190</f>
        <v>3.2880676026699106E-2</v>
      </c>
      <c r="Y2190" s="4">
        <f>1/TWD!C2190</f>
        <v>3.2881324722810433E-2</v>
      </c>
      <c r="Z2190" s="4">
        <f>1/ZAR!B2190</f>
        <v>7.3733262549401282E-2</v>
      </c>
      <c r="AA2190" s="4">
        <f>1/ZAR!C2190</f>
        <v>7.3432761292122867E-2</v>
      </c>
    </row>
    <row r="2191" spans="1:27" x14ac:dyDescent="0.25">
      <c r="A2191" t="str">
        <f>"27/06/2018"</f>
        <v>27/06/2018</v>
      </c>
      <c r="B2191" s="3">
        <f>AUD!B2191</f>
        <v>0.73699999999999999</v>
      </c>
      <c r="C2191" s="3">
        <f>AUD!C2191</f>
        <v>0.73699999999999999</v>
      </c>
      <c r="D2191" s="3">
        <f>1/CAD!B2191</f>
        <v>0.75108907916478895</v>
      </c>
      <c r="E2191" s="3">
        <f>1/CAD!C2191</f>
        <v>0.7515406583496167</v>
      </c>
      <c r="F2191" s="3">
        <f>EUR!B2191/1</f>
        <v>1.1616</v>
      </c>
      <c r="G2191" s="3">
        <f>EUR!C2191/1</f>
        <v>1.1644000000000001</v>
      </c>
      <c r="H2191" s="3">
        <f>GBP!B2191/1</f>
        <v>1.3186</v>
      </c>
      <c r="I2191" s="3">
        <f>GBP!C2191/1</f>
        <v>1.3206</v>
      </c>
      <c r="J2191" s="4">
        <f>1/INR!B2191</f>
        <v>1.4568764568764568E-2</v>
      </c>
      <c r="K2191" s="4">
        <f>1/INR!C2191</f>
        <v>1.4516948537417433E-2</v>
      </c>
      <c r="L2191" s="4">
        <f>1/JPY!B2191</f>
        <v>9.0950432014552073E-3</v>
      </c>
      <c r="M2191" s="4">
        <f>1/JPY!C2191</f>
        <v>9.1155126883378859E-3</v>
      </c>
      <c r="N2191" s="5">
        <f>1/KRW!B2191</f>
        <v>8.9469446184128117E-4</v>
      </c>
      <c r="O2191" s="5">
        <f>1/KRW!C2191</f>
        <v>8.9469646304120754E-4</v>
      </c>
      <c r="P2191" s="3">
        <f>1/NOK!B2191</f>
        <v>0.12239602457712175</v>
      </c>
      <c r="Q2191" s="3">
        <f>1/NOK!C2191</f>
        <v>0.12255652919909309</v>
      </c>
      <c r="R2191" s="3">
        <f>NZD!B2191/1</f>
        <v>0.68100000000000005</v>
      </c>
      <c r="S2191" s="3">
        <f>NZD!C2191/1</f>
        <v>0.68100000000000005</v>
      </c>
      <c r="T2191" s="4">
        <f>1/PHP!B2191</f>
        <v>1.8693335825778111E-2</v>
      </c>
      <c r="U2191" s="4">
        <f>1/PHP!C2191</f>
        <v>1.8665422305179653E-2</v>
      </c>
      <c r="V2191" s="4">
        <f>1/TWD!B2191</f>
        <v>3.2835330815957971E-2</v>
      </c>
      <c r="W2191" s="4">
        <f>1/TWD!C2191</f>
        <v>3.2835869904283436E-2</v>
      </c>
      <c r="X2191" s="4">
        <f>1/TWD!B2191</f>
        <v>3.2835330815957971E-2</v>
      </c>
      <c r="Y2191" s="4">
        <f>1/TWD!C2191</f>
        <v>3.2835869904283436E-2</v>
      </c>
      <c r="Z2191" s="4">
        <f>1/ZAR!B2191</f>
        <v>7.2980981156310673E-2</v>
      </c>
      <c r="AA2191" s="4">
        <f>1/ZAR!C2191</f>
        <v>7.268603991917312E-2</v>
      </c>
    </row>
    <row r="2192" spans="1:27" x14ac:dyDescent="0.25">
      <c r="A2192" t="str">
        <f>"28/06/2018"</f>
        <v>28/06/2018</v>
      </c>
      <c r="B2192" s="3">
        <f>AUD!B2192</f>
        <v>0.73470000000000002</v>
      </c>
      <c r="C2192" s="3">
        <f>AUD!C2192</f>
        <v>0.73480000000000001</v>
      </c>
      <c r="D2192" s="3">
        <f>1/CAD!B2192</f>
        <v>0.75221904618624946</v>
      </c>
      <c r="E2192" s="3">
        <f>1/CAD!C2192</f>
        <v>0.75267198554869785</v>
      </c>
      <c r="F2192" s="3">
        <f>EUR!B2192/1</f>
        <v>1.1581999999999999</v>
      </c>
      <c r="G2192" s="3">
        <f>EUR!C2192/1</f>
        <v>1.1608000000000001</v>
      </c>
      <c r="H2192" s="3">
        <f>GBP!B2192/1</f>
        <v>1.3089</v>
      </c>
      <c r="I2192" s="3">
        <f>GBP!C2192/1</f>
        <v>1.3108</v>
      </c>
      <c r="J2192" s="4">
        <f>1/INR!B2192</f>
        <v>1.4535411897234639E-2</v>
      </c>
      <c r="K2192" s="4">
        <f>1/INR!C2192</f>
        <v>1.4483832422058876E-2</v>
      </c>
      <c r="L2192" s="4">
        <f>1/JPY!B2192</f>
        <v>9.0719404880703972E-3</v>
      </c>
      <c r="M2192" s="4">
        <f>1/JPY!C2192</f>
        <v>9.0908016541622685E-3</v>
      </c>
      <c r="N2192" s="5">
        <f>1/KRW!B2192</f>
        <v>8.8960056934436445E-4</v>
      </c>
      <c r="O2192" s="5">
        <f>1/KRW!C2192</f>
        <v>8.8960215212552645E-4</v>
      </c>
      <c r="P2192" s="3">
        <f>1/NOK!B2192</f>
        <v>0.12233613075285654</v>
      </c>
      <c r="Q2192" s="3">
        <f>1/NOK!C2192</f>
        <v>0.12248597535582177</v>
      </c>
      <c r="R2192" s="3">
        <f>NZD!B2192/1</f>
        <v>0.67610000000000003</v>
      </c>
      <c r="S2192" s="3">
        <f>NZD!C2192/1</f>
        <v>0.67610000000000003</v>
      </c>
      <c r="T2192" s="4">
        <f>1/PHP!B2192</f>
        <v>1.8674136321195144E-2</v>
      </c>
      <c r="U2192" s="4">
        <f>1/PHP!C2192</f>
        <v>1.8646280067126608E-2</v>
      </c>
      <c r="V2192" s="4">
        <f>1/TWD!B2192</f>
        <v>3.2690421706440015E-2</v>
      </c>
      <c r="W2192" s="4">
        <f>1/TWD!C2192</f>
        <v>3.2690956047009591E-2</v>
      </c>
      <c r="X2192" s="4">
        <f>1/TWD!B2192</f>
        <v>3.2690421706440015E-2</v>
      </c>
      <c r="Y2192" s="4">
        <f>1/TWD!C2192</f>
        <v>3.2690956047009591E-2</v>
      </c>
      <c r="Z2192" s="4">
        <f>1/ZAR!B2192</f>
        <v>7.221050807313481E-2</v>
      </c>
      <c r="AA2192" s="4">
        <f>1/ZAR!C2192</f>
        <v>7.1925887565452554E-2</v>
      </c>
    </row>
    <row r="2193" spans="1:27" x14ac:dyDescent="0.25">
      <c r="A2193" t="str">
        <f>"29/06/2018"</f>
        <v>29/06/2018</v>
      </c>
      <c r="B2193" s="3">
        <f>AUD!B2193</f>
        <v>0.73970000000000002</v>
      </c>
      <c r="C2193" s="3">
        <f>AUD!C2193</f>
        <v>0.73809999999999998</v>
      </c>
      <c r="D2193" s="3">
        <f>1/CAD!B2193</f>
        <v>0.75483091787439616</v>
      </c>
      <c r="E2193" s="3">
        <f>1/CAD!C2193</f>
        <v>0.7552299675251114</v>
      </c>
      <c r="F2193" s="3">
        <f>EUR!B2193/1</f>
        <v>1.1675</v>
      </c>
      <c r="G2193" s="3">
        <f>EUR!C2193/1</f>
        <v>1.1678999999999999</v>
      </c>
      <c r="H2193" s="3">
        <f>GBP!B2193/1</f>
        <v>1.3196000000000001</v>
      </c>
      <c r="I2193" s="3">
        <f>GBP!C2193/1</f>
        <v>1.3161</v>
      </c>
      <c r="J2193" s="4">
        <f>1/INR!B2193</f>
        <v>1.4603870025556773E-2</v>
      </c>
      <c r="K2193" s="4">
        <f>1/INR!C2193</f>
        <v>1.4551804423748545E-2</v>
      </c>
      <c r="L2193" s="4">
        <f>1/JPY!B2193</f>
        <v>9.0383224873463487E-3</v>
      </c>
      <c r="M2193" s="4">
        <f>1/JPY!C2193</f>
        <v>9.0568963284247978E-3</v>
      </c>
      <c r="N2193" s="5">
        <f>1/KRW!B2193</f>
        <v>8.971023593792051E-4</v>
      </c>
      <c r="O2193" s="5">
        <f>1/KRW!C2193</f>
        <v>8.9710356656979445E-4</v>
      </c>
      <c r="P2193" s="3">
        <f>1/NOK!B2193</f>
        <v>0.12261964611970129</v>
      </c>
      <c r="Q2193" s="3">
        <f>1/NOK!C2193</f>
        <v>0.12276867925454857</v>
      </c>
      <c r="R2193" s="3">
        <f>NZD!B2193/1</f>
        <v>0.67579999999999996</v>
      </c>
      <c r="S2193" s="3">
        <f>NZD!C2193/1</f>
        <v>0.67579999999999996</v>
      </c>
      <c r="T2193" s="4">
        <f>1/PHP!B2193</f>
        <v>1.8740629685157422E-2</v>
      </c>
      <c r="U2193" s="4">
        <f>1/PHP!C2193</f>
        <v>1.8712925017309454E-2</v>
      </c>
      <c r="V2193" s="4">
        <f>1/TWD!B2193</f>
        <v>3.2783660623545222E-2</v>
      </c>
      <c r="W2193" s="4">
        <f>1/TWD!C2193</f>
        <v>3.2784198016556021E-2</v>
      </c>
      <c r="X2193" s="4">
        <f>1/TWD!B2193</f>
        <v>3.2783660623545222E-2</v>
      </c>
      <c r="Y2193" s="4">
        <f>1/TWD!C2193</f>
        <v>3.2784198016556021E-2</v>
      </c>
      <c r="Z2193" s="4">
        <f>1/ZAR!B2193</f>
        <v>7.2736265574652861E-2</v>
      </c>
      <c r="AA2193" s="4">
        <f>1/ZAR!C2193</f>
        <v>7.224859295865213E-2</v>
      </c>
    </row>
    <row r="2194" spans="1:27" x14ac:dyDescent="0.25">
      <c r="A2194" t="str">
        <f>"02/07/2018"</f>
        <v>02/07/2018</v>
      </c>
      <c r="B2194" s="3">
        <f>AUD!B2194</f>
        <v>0.73560000000000003</v>
      </c>
      <c r="C2194" s="3">
        <f>AUD!C2194</f>
        <v>0.73570000000000002</v>
      </c>
      <c r="D2194" s="3">
        <f>1/CAD!B2194</f>
        <v>0.75872534142640358</v>
      </c>
      <c r="E2194" s="3">
        <f>1/CAD!C2194</f>
        <v>0.75912852045851364</v>
      </c>
      <c r="F2194" s="3">
        <f>EUR!B2194/1</f>
        <v>1.1632</v>
      </c>
      <c r="G2194" s="3">
        <f>EUR!C2194/1</f>
        <v>1.1658999999999999</v>
      </c>
      <c r="H2194" s="3">
        <f>GBP!B2194/1</f>
        <v>1.3149</v>
      </c>
      <c r="I2194" s="3">
        <f>GBP!C2194/1</f>
        <v>1.3168</v>
      </c>
      <c r="J2194" s="4">
        <f>1/INR!B2194</f>
        <v>1.453382748346777E-2</v>
      </c>
      <c r="K2194" s="4">
        <f>1/INR!C2194</f>
        <v>1.4482259232440261E-2</v>
      </c>
      <c r="L2194" s="4">
        <f>1/JPY!B2194</f>
        <v>9.0269001624842023E-3</v>
      </c>
      <c r="M2194" s="4">
        <f>1/JPY!C2194</f>
        <v>9.0458443391106119E-3</v>
      </c>
      <c r="N2194" s="5">
        <f>1/KRW!B2194</f>
        <v>8.9269773254775934E-4</v>
      </c>
      <c r="O2194" s="5">
        <f>1/KRW!C2194</f>
        <v>8.9269972482530985E-4</v>
      </c>
      <c r="P2194" s="3">
        <f>1/NOK!B2194</f>
        <v>0.1223496017520463</v>
      </c>
      <c r="Q2194" s="3">
        <f>1/NOK!C2194</f>
        <v>0.12250098000784007</v>
      </c>
      <c r="R2194" s="3">
        <f>NZD!B2194/1</f>
        <v>0.6724</v>
      </c>
      <c r="S2194" s="3">
        <f>NZD!C2194/1</f>
        <v>0.6724</v>
      </c>
      <c r="T2194" s="4">
        <f>1/PHP!B2194</f>
        <v>1.8698578908002993E-2</v>
      </c>
      <c r="U2194" s="4">
        <f>1/PHP!C2194</f>
        <v>1.8669081201168683E-2</v>
      </c>
      <c r="V2194" s="4">
        <f>1/TWD!B2194</f>
        <v>3.2762179340169707E-2</v>
      </c>
      <c r="W2194" s="4">
        <f>1/TWD!C2194</f>
        <v>3.2762716029158818E-2</v>
      </c>
      <c r="X2194" s="4">
        <f>1/TWD!B2194</f>
        <v>3.2762179340169707E-2</v>
      </c>
      <c r="Y2194" s="4">
        <f>1/TWD!C2194</f>
        <v>3.2762716029158818E-2</v>
      </c>
      <c r="Z2194" s="4">
        <f>1/ZAR!B2194</f>
        <v>7.2374087181825419E-2</v>
      </c>
      <c r="AA2194" s="4">
        <f>1/ZAR!C2194</f>
        <v>7.2081942752521055E-2</v>
      </c>
    </row>
    <row r="2195" spans="1:27" x14ac:dyDescent="0.25">
      <c r="A2195" t="str">
        <f>"03/07/2018"</f>
        <v>03/07/2018</v>
      </c>
      <c r="B2195" s="3">
        <f>AUD!B2195</f>
        <v>0.73929999999999996</v>
      </c>
      <c r="C2195" s="3">
        <f>AUD!C2195</f>
        <v>0.73929999999999996</v>
      </c>
      <c r="D2195" s="3">
        <f>1/CAD!B2195</f>
        <v>0.76039844878716456</v>
      </c>
      <c r="E2195" s="3">
        <f>1/CAD!C2195</f>
        <v>0.76080340839926963</v>
      </c>
      <c r="F2195" s="3">
        <f>EUR!B2195/1</f>
        <v>1.1657999999999999</v>
      </c>
      <c r="G2195" s="3">
        <f>EUR!C2195/1</f>
        <v>1.1684000000000001</v>
      </c>
      <c r="H2195" s="3">
        <f>GBP!B2195/1</f>
        <v>1.319</v>
      </c>
      <c r="I2195" s="3">
        <f>GBP!C2195/1</f>
        <v>1.3208</v>
      </c>
      <c r="J2195" s="4">
        <f>1/INR!B2195</f>
        <v>1.4581510644502771E-2</v>
      </c>
      <c r="K2195" s="4">
        <f>1/INR!C2195</f>
        <v>1.4529604068289138E-2</v>
      </c>
      <c r="L2195" s="4">
        <f>1/JPY!B2195</f>
        <v>9.0203860725239036E-3</v>
      </c>
      <c r="M2195" s="4">
        <f>1/JPY!C2195</f>
        <v>9.0391803271279367E-3</v>
      </c>
      <c r="N2195" s="5">
        <f>1/KRW!B2195</f>
        <v>8.9381480157311414E-4</v>
      </c>
      <c r="O2195" s="5">
        <f>1/KRW!C2195</f>
        <v>8.9381560047872767E-4</v>
      </c>
      <c r="P2195" s="3">
        <f>1/NOK!B2195</f>
        <v>0.12313147979412417</v>
      </c>
      <c r="Q2195" s="3">
        <f>1/NOK!C2195</f>
        <v>0.1232832803215228</v>
      </c>
      <c r="R2195" s="3">
        <f>NZD!B2195/1</f>
        <v>0.67359999999999998</v>
      </c>
      <c r="S2195" s="3">
        <f>NZD!C2195/1</f>
        <v>0.67349999999999999</v>
      </c>
      <c r="T2195" s="4">
        <f>1/PHP!B2195</f>
        <v>1.8730099269526127E-2</v>
      </c>
      <c r="U2195" s="4">
        <f>1/PHP!C2195</f>
        <v>1.8700676964506117E-2</v>
      </c>
      <c r="V2195" s="4">
        <f>1/TWD!B2195</f>
        <v>3.2690421706440015E-2</v>
      </c>
      <c r="W2195" s="4">
        <f>1/TWD!C2195</f>
        <v>3.2690956047009591E-2</v>
      </c>
      <c r="X2195" s="4">
        <f>1/TWD!B2195</f>
        <v>3.2690421706440015E-2</v>
      </c>
      <c r="Y2195" s="4">
        <f>1/TWD!C2195</f>
        <v>3.2690956047009591E-2</v>
      </c>
      <c r="Z2195" s="4">
        <f>1/ZAR!B2195</f>
        <v>7.2857090816363698E-2</v>
      </c>
      <c r="AA2195" s="4">
        <f>1/ZAR!C2195</f>
        <v>7.25578830512041E-2</v>
      </c>
    </row>
    <row r="2196" spans="1:27" x14ac:dyDescent="0.25">
      <c r="A2196" t="str">
        <f>"04/07/2018"</f>
        <v>04/07/2018</v>
      </c>
      <c r="B2196" s="3">
        <f>AUD!B2196</f>
        <v>0.73860000000000003</v>
      </c>
      <c r="C2196" s="3">
        <f>AUD!C2196</f>
        <v>0.73860000000000003</v>
      </c>
      <c r="D2196" s="3">
        <f>1/CAD!B2196</f>
        <v>0.76068766164612811</v>
      </c>
      <c r="E2196" s="3">
        <f>1/CAD!C2196</f>
        <v>0.76115086010047184</v>
      </c>
      <c r="F2196" s="3">
        <f>EUR!B2196/1</f>
        <v>1.1638999999999999</v>
      </c>
      <c r="G2196" s="3">
        <f>EUR!C2196/1</f>
        <v>1.1665000000000001</v>
      </c>
      <c r="H2196" s="3">
        <f>GBP!B2196/1</f>
        <v>1.3202</v>
      </c>
      <c r="I2196" s="3">
        <f>GBP!C2196/1</f>
        <v>1.3220000000000001</v>
      </c>
      <c r="J2196" s="4">
        <f>1/INR!B2196</f>
        <v>1.4545983490308738E-2</v>
      </c>
      <c r="K2196" s="4">
        <f>1/INR!C2196</f>
        <v>1.4494329093742072E-2</v>
      </c>
      <c r="L2196" s="4">
        <f>1/JPY!B2196</f>
        <v>9.0489548457153186E-3</v>
      </c>
      <c r="M2196" s="4">
        <f>1/JPY!C2196</f>
        <v>9.0670133892586709E-3</v>
      </c>
      <c r="N2196" s="5">
        <f>1/KRW!B2196</f>
        <v>8.971828458639872E-4</v>
      </c>
      <c r="O2196" s="5">
        <f>1/KRW!C2196</f>
        <v>8.9718469722304284E-4</v>
      </c>
      <c r="P2196" s="3">
        <f>1/NOK!B2196</f>
        <v>0.12319063751154913</v>
      </c>
      <c r="Q2196" s="3">
        <f>1/NOK!C2196</f>
        <v>0.12333802017810011</v>
      </c>
      <c r="R2196" s="3">
        <f>NZD!B2196/1</f>
        <v>0.67610000000000003</v>
      </c>
      <c r="S2196" s="3">
        <f>NZD!C2196/1</f>
        <v>0.67600000000000005</v>
      </c>
      <c r="T2196" s="4">
        <f>1/PHP!B2196</f>
        <v>1.872308556450103E-2</v>
      </c>
      <c r="U2196" s="4">
        <f>1/PHP!C2196</f>
        <v>1.8693335825778111E-2</v>
      </c>
      <c r="V2196" s="4">
        <f>1/TWD!B2196</f>
        <v>3.2784735427185102E-2</v>
      </c>
      <c r="W2196" s="4">
        <f>1/TWD!C2196</f>
        <v>3.2785272855433339E-2</v>
      </c>
      <c r="X2196" s="4">
        <f>1/TWD!B2196</f>
        <v>3.2784735427185102E-2</v>
      </c>
      <c r="Y2196" s="4">
        <f>1/TWD!C2196</f>
        <v>3.2785272855433339E-2</v>
      </c>
      <c r="Z2196" s="4">
        <f>1/ZAR!B2196</f>
        <v>7.291393239420188E-2</v>
      </c>
      <c r="AA2196" s="4">
        <f>1/ZAR!C2196</f>
        <v>7.2623223454396243E-2</v>
      </c>
    </row>
    <row r="2197" spans="1:27" x14ac:dyDescent="0.25">
      <c r="A2197" t="str">
        <f>"05/07/2018"</f>
        <v>05/07/2018</v>
      </c>
      <c r="B2197" s="3">
        <f>AUD!B2197</f>
        <v>0.73960000000000004</v>
      </c>
      <c r="C2197" s="3">
        <f>AUD!C2197</f>
        <v>0.73960000000000004</v>
      </c>
      <c r="D2197" s="3">
        <f>1/CAD!B2197</f>
        <v>0.76109292944668538</v>
      </c>
      <c r="E2197" s="3">
        <f>1/CAD!C2197</f>
        <v>0.76155662173482608</v>
      </c>
      <c r="F2197" s="3">
        <f>EUR!B2197/1</f>
        <v>1.1698</v>
      </c>
      <c r="G2197" s="3">
        <f>EUR!C2197/1</f>
        <v>1.1724000000000001</v>
      </c>
      <c r="H2197" s="3">
        <f>GBP!B2197/1</f>
        <v>1.3254999999999999</v>
      </c>
      <c r="I2197" s="3">
        <f>GBP!C2197/1</f>
        <v>1.3272999999999999</v>
      </c>
      <c r="J2197" s="4">
        <f>1/INR!B2197</f>
        <v>1.45032632342277E-2</v>
      </c>
      <c r="K2197" s="4">
        <f>1/INR!C2197</f>
        <v>1.4448779078167896E-2</v>
      </c>
      <c r="L2197" s="4">
        <f>1/JPY!B2197</f>
        <v>9.0391394739220837E-3</v>
      </c>
      <c r="M2197" s="4">
        <f>1/JPY!C2197</f>
        <v>9.057167026840009E-3</v>
      </c>
      <c r="N2197" s="5">
        <f>1/KRW!B2197</f>
        <v>8.9405453732677696E-4</v>
      </c>
      <c r="O2197" s="5">
        <f>1/KRW!C2197</f>
        <v>8.940561359966669E-4</v>
      </c>
      <c r="P2197" s="3">
        <f>1/NOK!B2197</f>
        <v>0.12396335643183874</v>
      </c>
      <c r="Q2197" s="3">
        <f>1/NOK!C2197</f>
        <v>0.1241110545716307</v>
      </c>
      <c r="R2197" s="3">
        <f>NZD!B2197/1</f>
        <v>0.67820000000000003</v>
      </c>
      <c r="S2197" s="3">
        <f>NZD!C2197/1</f>
        <v>0.67820000000000003</v>
      </c>
      <c r="T2197" s="4">
        <f>1/PHP!B2197</f>
        <v>1.8712574850299403E-2</v>
      </c>
      <c r="U2197" s="4">
        <f>1/PHP!C2197</f>
        <v>1.8681811388432223E-2</v>
      </c>
      <c r="V2197" s="4">
        <f>1/TWD!B2197</f>
        <v>3.2745014571531485E-2</v>
      </c>
      <c r="W2197" s="4">
        <f>1/TWD!C2197</f>
        <v>3.2745550698298868E-2</v>
      </c>
      <c r="X2197" s="4">
        <f>1/TWD!B2197</f>
        <v>3.2745014571531485E-2</v>
      </c>
      <c r="Y2197" s="4">
        <f>1/TWD!C2197</f>
        <v>3.2745550698298868E-2</v>
      </c>
      <c r="Z2197" s="4">
        <f>1/ZAR!B2197</f>
        <v>7.3388570464035935E-2</v>
      </c>
      <c r="AA2197" s="4">
        <f>1/ZAR!C2197</f>
        <v>7.3086592995380936E-2</v>
      </c>
    </row>
    <row r="2198" spans="1:27" x14ac:dyDescent="0.25">
      <c r="A2198" t="str">
        <f>"06/07/2018"</f>
        <v>06/07/2018</v>
      </c>
      <c r="B2198" s="3">
        <f>AUD!B2198</f>
        <v>0.74129999999999996</v>
      </c>
      <c r="C2198" s="3">
        <f>AUD!C2198</f>
        <v>0.74129999999999996</v>
      </c>
      <c r="D2198" s="3">
        <f>1/CAD!B2198</f>
        <v>0.76132470498667693</v>
      </c>
      <c r="E2198" s="3">
        <f>1/CAD!C2198</f>
        <v>0.76178867982021792</v>
      </c>
      <c r="F2198" s="3">
        <f>EUR!B2198/1</f>
        <v>1.1717</v>
      </c>
      <c r="G2198" s="3">
        <f>EUR!C2198/1</f>
        <v>1.1742999999999999</v>
      </c>
      <c r="H2198" s="3">
        <f>GBP!B2198/1</f>
        <v>1.3231999999999999</v>
      </c>
      <c r="I2198" s="3">
        <f>GBP!C2198/1</f>
        <v>1.325</v>
      </c>
      <c r="J2198" s="4">
        <f>1/INR!B2198</f>
        <v>1.4516948537417433E-2</v>
      </c>
      <c r="K2198" s="4">
        <f>1/INR!C2198</f>
        <v>1.446236170366621E-2</v>
      </c>
      <c r="L2198" s="4">
        <f>1/JPY!B2198</f>
        <v>9.0407738902450047E-3</v>
      </c>
      <c r="M2198" s="4">
        <f>1/JPY!C2198</f>
        <v>9.0591280226913033E-3</v>
      </c>
      <c r="N2198" s="5">
        <f>1/KRW!B2198</f>
        <v>8.9597706298718757E-4</v>
      </c>
      <c r="O2198" s="5">
        <f>1/KRW!C2198</f>
        <v>8.9597987270813935E-4</v>
      </c>
      <c r="P2198" s="3">
        <f>1/NOK!B2198</f>
        <v>0.12408641377855539</v>
      </c>
      <c r="Q2198" s="3">
        <f>1/NOK!C2198</f>
        <v>0.12423440547625259</v>
      </c>
      <c r="R2198" s="3">
        <f>NZD!B2198/1</f>
        <v>0.68210000000000004</v>
      </c>
      <c r="S2198" s="3">
        <f>NZD!C2198/1</f>
        <v>0.68210000000000004</v>
      </c>
      <c r="T2198" s="4">
        <f>1/PHP!B2198</f>
        <v>1.8716077110237695E-2</v>
      </c>
      <c r="U2198" s="4">
        <f>1/PHP!C2198</f>
        <v>1.8685651288375654E-2</v>
      </c>
      <c r="V2198" s="4">
        <f>1/TWD!B2198</f>
        <v>3.2784735427185102E-2</v>
      </c>
      <c r="W2198" s="4">
        <f>1/TWD!C2198</f>
        <v>3.2785272855433339E-2</v>
      </c>
      <c r="X2198" s="4">
        <f>1/TWD!B2198</f>
        <v>3.2784735427185102E-2</v>
      </c>
      <c r="Y2198" s="4">
        <f>1/TWD!C2198</f>
        <v>3.2785272855433339E-2</v>
      </c>
      <c r="Z2198" s="4">
        <f>1/ZAR!B2198</f>
        <v>7.3390186264292737E-2</v>
      </c>
      <c r="AA2198" s="4">
        <f>1/ZAR!C2198</f>
        <v>7.3096209230589307E-2</v>
      </c>
    </row>
    <row r="2199" spans="1:27" x14ac:dyDescent="0.25">
      <c r="A2199" t="str">
        <f>"09/07/2018"</f>
        <v>09/07/2018</v>
      </c>
      <c r="B2199" s="3">
        <f>AUD!B2199</f>
        <v>0.74770000000000003</v>
      </c>
      <c r="C2199" s="3">
        <f>AUD!C2199</f>
        <v>0.74760000000000004</v>
      </c>
      <c r="D2199" s="3">
        <f>1/CAD!B2199</f>
        <v>0.76470138410950517</v>
      </c>
      <c r="E2199" s="3">
        <f>1/CAD!C2199</f>
        <v>0.76511094108645761</v>
      </c>
      <c r="F2199" s="3">
        <f>EUR!B2199/1</f>
        <v>1.1783999999999999</v>
      </c>
      <c r="G2199" s="3">
        <f>EUR!C2199/1</f>
        <v>1.1812</v>
      </c>
      <c r="H2199" s="3">
        <f>GBP!B2199/1</f>
        <v>1.3345</v>
      </c>
      <c r="I2199" s="3">
        <f>GBP!C2199/1</f>
        <v>1.3365</v>
      </c>
      <c r="J2199" s="4">
        <f>1/INR!B2199</f>
        <v>1.4550745725718444E-2</v>
      </c>
      <c r="K2199" s="4">
        <f>1/INR!C2199</f>
        <v>1.4493803898833249E-2</v>
      </c>
      <c r="L2199" s="4">
        <f>1/JPY!B2199</f>
        <v>9.0555102780041658E-3</v>
      </c>
      <c r="M2199" s="4">
        <f>1/JPY!C2199</f>
        <v>9.0749866143947436E-3</v>
      </c>
      <c r="N2199" s="5">
        <f>1/KRW!B2199</f>
        <v>8.9903802930863983E-4</v>
      </c>
      <c r="O2199" s="5">
        <f>1/KRW!C2199</f>
        <v>8.9904045412331419E-4</v>
      </c>
      <c r="P2199" s="3">
        <f>1/NOK!B2199</f>
        <v>0.12507660942327176</v>
      </c>
      <c r="Q2199" s="3">
        <f>1/NOK!C2199</f>
        <v>0.12523795210900712</v>
      </c>
      <c r="R2199" s="3">
        <f>NZD!B2199/1</f>
        <v>0.6855</v>
      </c>
      <c r="S2199" s="3">
        <f>NZD!C2199/1</f>
        <v>0.6855</v>
      </c>
      <c r="T2199" s="4">
        <f>1/PHP!B2199</f>
        <v>1.8709073900841908E-2</v>
      </c>
      <c r="U2199" s="4">
        <f>1/PHP!C2199</f>
        <v>1.8680764416879939E-2</v>
      </c>
      <c r="V2199" s="4">
        <f>1/TWD!B2199</f>
        <v>3.2909892713749757E-2</v>
      </c>
      <c r="W2199" s="4">
        <f>1/TWD!C2199</f>
        <v>3.2910434253179972E-2</v>
      </c>
      <c r="X2199" s="4">
        <f>1/TWD!B2199</f>
        <v>3.2909892713749757E-2</v>
      </c>
      <c r="Y2199" s="4">
        <f>1/TWD!C2199</f>
        <v>3.2910434253179972E-2</v>
      </c>
      <c r="Z2199" s="4">
        <f>1/ZAR!B2199</f>
        <v>7.5004687792987065E-2</v>
      </c>
      <c r="AA2199" s="4">
        <f>1/ZAR!C2199</f>
        <v>7.4681483472987711E-2</v>
      </c>
    </row>
    <row r="2200" spans="1:27" x14ac:dyDescent="0.25">
      <c r="A2200" t="str">
        <f>"10/07/2018"</f>
        <v>10/07/2018</v>
      </c>
      <c r="B2200" s="3">
        <f>AUD!B2200</f>
        <v>0.74350000000000005</v>
      </c>
      <c r="C2200" s="3">
        <f>AUD!C2200</f>
        <v>0.74339999999999995</v>
      </c>
      <c r="D2200" s="3">
        <f>1/CAD!B2200</f>
        <v>0.76138267093040968</v>
      </c>
      <c r="E2200" s="3">
        <f>1/CAD!C2200</f>
        <v>0.76184671644065216</v>
      </c>
      <c r="F2200" s="3">
        <f>EUR!B2200/1</f>
        <v>1.1704000000000001</v>
      </c>
      <c r="G2200" s="3">
        <f>EUR!C2200/1</f>
        <v>1.1731</v>
      </c>
      <c r="H2200" s="3">
        <f>GBP!B2200/1</f>
        <v>1.3237000000000001</v>
      </c>
      <c r="I2200" s="3">
        <f>GBP!C2200/1</f>
        <v>1.3255999999999999</v>
      </c>
      <c r="J2200" s="4">
        <f>1/INR!B2200</f>
        <v>1.4529076313973339E-2</v>
      </c>
      <c r="K2200" s="4">
        <f>1/INR!C2200</f>
        <v>1.4473350942576979E-2</v>
      </c>
      <c r="L2200" s="4">
        <f>1/JPY!B2200</f>
        <v>8.9847259658580418E-3</v>
      </c>
      <c r="M2200" s="4">
        <f>1/JPY!C2200</f>
        <v>9.0033069146297426E-3</v>
      </c>
      <c r="N2200" s="5">
        <f>1/KRW!B2200</f>
        <v>8.9573629523468279E-4</v>
      </c>
      <c r="O2200" s="5">
        <f>1/KRW!C2200</f>
        <v>8.9573870227168295E-4</v>
      </c>
      <c r="P2200" s="3">
        <f>1/NOK!B2200</f>
        <v>0.12427300293284288</v>
      </c>
      <c r="Q2200" s="3">
        <f>1/NOK!C2200</f>
        <v>0.12442763288871193</v>
      </c>
      <c r="R2200" s="3">
        <f>NZD!B2200/1</f>
        <v>0.68100000000000005</v>
      </c>
      <c r="S2200" s="3">
        <f>NZD!C2200/1</f>
        <v>0.68100000000000005</v>
      </c>
      <c r="T2200" s="4">
        <f>1/PHP!B2200</f>
        <v>1.8698578908002993E-2</v>
      </c>
      <c r="U2200" s="4">
        <f>1/PHP!C2200</f>
        <v>1.8667861409796895E-2</v>
      </c>
      <c r="V2200" s="4">
        <f>1/TWD!B2200</f>
        <v>3.2889327413254399E-2</v>
      </c>
      <c r="W2200" s="4">
        <f>1/TWD!C2200</f>
        <v>3.2889868276077552E-2</v>
      </c>
      <c r="X2200" s="4">
        <f>1/TWD!B2200</f>
        <v>3.2889327413254399E-2</v>
      </c>
      <c r="Y2200" s="4">
        <f>1/TWD!C2200</f>
        <v>3.2889868276077552E-2</v>
      </c>
      <c r="Z2200" s="4">
        <f>1/ZAR!B2200</f>
        <v>7.4261102034754195E-2</v>
      </c>
      <c r="AA2200" s="4">
        <f>1/ZAR!C2200</f>
        <v>7.3950275834528859E-2</v>
      </c>
    </row>
    <row r="2201" spans="1:27" x14ac:dyDescent="0.25">
      <c r="A2201" t="str">
        <f>"11/07/2018"</f>
        <v>11/07/2018</v>
      </c>
      <c r="B2201" s="3">
        <f>AUD!B2201</f>
        <v>0.73970000000000002</v>
      </c>
      <c r="C2201" s="3">
        <f>AUD!C2201</f>
        <v>0.73970000000000002</v>
      </c>
      <c r="D2201" s="3">
        <f>1/CAD!B2201</f>
        <v>0.76028282521097856</v>
      </c>
      <c r="E2201" s="3">
        <f>1/CAD!C2201</f>
        <v>0.76068766164612811</v>
      </c>
      <c r="F2201" s="3">
        <f>EUR!B2201/1</f>
        <v>1.1715</v>
      </c>
      <c r="G2201" s="3">
        <f>EUR!C2201/1</f>
        <v>1.1740999999999999</v>
      </c>
      <c r="H2201" s="3">
        <f>GBP!B2201/1</f>
        <v>1.3251999999999999</v>
      </c>
      <c r="I2201" s="3">
        <f>GBP!C2201/1</f>
        <v>1.327</v>
      </c>
      <c r="J2201" s="4">
        <f>1/INR!B2201</f>
        <v>1.4540167211922935E-2</v>
      </c>
      <c r="K2201" s="4">
        <f>1/INR!C2201</f>
        <v>1.4485405953501848E-2</v>
      </c>
      <c r="L2201" s="4">
        <f>1/JPY!B2201</f>
        <v>8.9919971225609213E-3</v>
      </c>
      <c r="M2201" s="4">
        <f>1/JPY!C2201</f>
        <v>9.009642118995749E-3</v>
      </c>
      <c r="N2201" s="5">
        <f>1/KRW!B2201</f>
        <v>8.9269773254775934E-4</v>
      </c>
      <c r="O2201" s="5">
        <f>1/KRW!C2201</f>
        <v>8.9270012328188716E-4</v>
      </c>
      <c r="P2201" s="3">
        <f>1/NOK!B2201</f>
        <v>0.12408179471907881</v>
      </c>
      <c r="Q2201" s="3">
        <f>1/NOK!C2201</f>
        <v>0.12423131871544817</v>
      </c>
      <c r="R2201" s="3">
        <f>NZD!B2201/1</f>
        <v>0.67949999999999999</v>
      </c>
      <c r="S2201" s="3">
        <f>NZD!C2201/1</f>
        <v>0.67949999999999999</v>
      </c>
      <c r="T2201" s="4">
        <f>1/PHP!B2201</f>
        <v>1.8686349621601421E-2</v>
      </c>
      <c r="U2201" s="4">
        <f>1/PHP!C2201</f>
        <v>1.8656716417910446E-2</v>
      </c>
      <c r="V2201" s="4">
        <f>1/TWD!B2201</f>
        <v>3.2805170094806942E-2</v>
      </c>
      <c r="W2201" s="4">
        <f>1/TWD!C2201</f>
        <v>3.2805708193225619E-2</v>
      </c>
      <c r="X2201" s="4">
        <f>1/TWD!B2201</f>
        <v>3.2805170094806942E-2</v>
      </c>
      <c r="Y2201" s="4">
        <f>1/TWD!C2201</f>
        <v>3.2805708193225619E-2</v>
      </c>
      <c r="Z2201" s="4">
        <f>1/ZAR!B2201</f>
        <v>7.4374879140821401E-2</v>
      </c>
      <c r="AA2201" s="4">
        <f>1/ZAR!C2201</f>
        <v>7.407407407407407E-2</v>
      </c>
    </row>
    <row r="2202" spans="1:27" x14ac:dyDescent="0.25">
      <c r="A2202" t="str">
        <f>"12/07/2018"</f>
        <v>12/07/2018</v>
      </c>
      <c r="B2202" s="3">
        <f>AUD!B2202</f>
        <v>0.73750000000000004</v>
      </c>
      <c r="C2202" s="3">
        <f>AUD!C2202</f>
        <v>0.73750000000000004</v>
      </c>
      <c r="D2202" s="3">
        <f>1/CAD!B2202</f>
        <v>0.7578053955744164</v>
      </c>
      <c r="E2202" s="3">
        <f>1/CAD!C2202</f>
        <v>0.75820759724012432</v>
      </c>
      <c r="F2202" s="3">
        <f>EUR!B2202/1</f>
        <v>1.1654</v>
      </c>
      <c r="G2202" s="3">
        <f>EUR!C2202/1</f>
        <v>1.1679999999999999</v>
      </c>
      <c r="H2202" s="3">
        <f>GBP!B2202/1</f>
        <v>1.3190999999999999</v>
      </c>
      <c r="I2202" s="3">
        <f>GBP!C2202/1</f>
        <v>1.3208</v>
      </c>
      <c r="J2202" s="4">
        <f>1/INR!B2202</f>
        <v>1.4582573824279984E-2</v>
      </c>
      <c r="K2202" s="4">
        <f>1/INR!C2202</f>
        <v>1.452854859799506E-2</v>
      </c>
      <c r="L2202" s="4">
        <f>1/JPY!B2202</f>
        <v>8.88336146397797E-3</v>
      </c>
      <c r="M2202" s="4">
        <f>1/JPY!C2202</f>
        <v>8.9007565643079659E-3</v>
      </c>
      <c r="N2202" s="5">
        <f>1/KRW!B2202</f>
        <v>8.8809946714031975E-4</v>
      </c>
      <c r="O2202" s="5">
        <f>1/KRW!C2202</f>
        <v>8.8810183330861447E-4</v>
      </c>
      <c r="P2202" s="3">
        <f>1/NOK!B2202</f>
        <v>0.12318456743739144</v>
      </c>
      <c r="Q2202" s="3">
        <f>1/NOK!C2202</f>
        <v>0.12333193557139685</v>
      </c>
      <c r="R2202" s="3">
        <f>NZD!B2202/1</f>
        <v>0.67520000000000002</v>
      </c>
      <c r="S2202" s="3">
        <f>NZD!C2202/1</f>
        <v>0.67520000000000002</v>
      </c>
      <c r="T2202" s="4">
        <f>1/PHP!B2202</f>
        <v>1.8684603886397606E-2</v>
      </c>
      <c r="U2202" s="4">
        <f>1/PHP!C2202</f>
        <v>1.8655672257149786E-2</v>
      </c>
      <c r="V2202" s="4">
        <f>1/TWD!B2202</f>
        <v>3.2741798179556018E-2</v>
      </c>
      <c r="W2202" s="4">
        <f>1/TWD!C2202</f>
        <v>3.274233420100519E-2</v>
      </c>
      <c r="X2202" s="4">
        <f>1/TWD!B2202</f>
        <v>3.2741798179556018E-2</v>
      </c>
      <c r="Y2202" s="4">
        <f>1/TWD!C2202</f>
        <v>3.274233420100519E-2</v>
      </c>
      <c r="Z2202" s="4">
        <f>1/ZAR!B2202</f>
        <v>7.4334520207839316E-2</v>
      </c>
      <c r="AA2202" s="4">
        <f>1/ZAR!C2202</f>
        <v>7.4036781473035801E-2</v>
      </c>
    </row>
    <row r="2203" spans="1:27" x14ac:dyDescent="0.25">
      <c r="A2203" t="str">
        <f>"13/07/2018"</f>
        <v>13/07/2018</v>
      </c>
      <c r="B2203" s="3">
        <f>AUD!B2203</f>
        <v>0.73760000000000003</v>
      </c>
      <c r="C2203" s="3">
        <f>AUD!C2203</f>
        <v>0.73740000000000006</v>
      </c>
      <c r="D2203" s="3">
        <f>1/CAD!B2203</f>
        <v>0.75740362038930542</v>
      </c>
      <c r="E2203" s="3">
        <f>1/CAD!C2203</f>
        <v>0.75774797302417207</v>
      </c>
      <c r="F2203" s="3">
        <f>EUR!B2203/1</f>
        <v>1.1621999999999999</v>
      </c>
      <c r="G2203" s="3">
        <f>EUR!C2203/1</f>
        <v>1.1648000000000001</v>
      </c>
      <c r="H2203" s="3">
        <f>GBP!B2203/1</f>
        <v>1.3121</v>
      </c>
      <c r="I2203" s="3">
        <f>GBP!C2203/1</f>
        <v>1.3138000000000001</v>
      </c>
      <c r="J2203" s="4">
        <f>1/INR!B2203</f>
        <v>1.4590552617180378E-2</v>
      </c>
      <c r="K2203" s="4">
        <f>1/INR!C2203</f>
        <v>1.4531715469011117E-2</v>
      </c>
      <c r="L2203" s="4">
        <f>1/JPY!B2203</f>
        <v>8.8778409090909099E-3</v>
      </c>
      <c r="M2203" s="4">
        <f>1/JPY!C2203</f>
        <v>8.8966942553155518E-3</v>
      </c>
      <c r="N2203" s="5">
        <f>1/KRW!B2203</f>
        <v>8.9007565643079659E-4</v>
      </c>
      <c r="O2203" s="5">
        <f>1/KRW!C2203</f>
        <v>8.9007906305293386E-4</v>
      </c>
      <c r="P2203" s="3">
        <f>1/NOK!B2203</f>
        <v>0.12245447754797155</v>
      </c>
      <c r="Q2203" s="3">
        <f>1/NOK!C2203</f>
        <v>0.12260010298408652</v>
      </c>
      <c r="R2203" s="3">
        <f>NZD!B2203/1</f>
        <v>0.67279999999999995</v>
      </c>
      <c r="S2203" s="3">
        <f>NZD!C2203/1</f>
        <v>0.67269999999999996</v>
      </c>
      <c r="T2203" s="4">
        <f>1/PHP!B2203</f>
        <v>1.867762420620097E-2</v>
      </c>
      <c r="U2203" s="4">
        <f>1/PHP!C2203</f>
        <v>1.8648540285509153E-2</v>
      </c>
      <c r="V2203" s="4">
        <f>1/TWD!B2203</f>
        <v>3.2726796701138892E-2</v>
      </c>
      <c r="W2203" s="4">
        <f>1/TWD!C2203</f>
        <v>3.2727332231513147E-2</v>
      </c>
      <c r="X2203" s="4">
        <f>1/TWD!B2203</f>
        <v>3.2726796701138892E-2</v>
      </c>
      <c r="Y2203" s="4">
        <f>1/TWD!C2203</f>
        <v>3.2727332231513147E-2</v>
      </c>
      <c r="Z2203" s="4">
        <f>1/ZAR!B2203</f>
        <v>7.4838535858884461E-2</v>
      </c>
      <c r="AA2203" s="4">
        <f>1/ZAR!C2203</f>
        <v>7.4540087659143092E-2</v>
      </c>
    </row>
    <row r="2204" spans="1:27" x14ac:dyDescent="0.25">
      <c r="A2204" t="str">
        <f>"16/07/2018"</f>
        <v>16/07/2018</v>
      </c>
      <c r="B2204" s="3">
        <f>AUD!B2204</f>
        <v>0.74329999999999996</v>
      </c>
      <c r="C2204" s="3">
        <f>AUD!C2204</f>
        <v>0.74309999999999998</v>
      </c>
      <c r="D2204" s="3">
        <f>1/CAD!B2204</f>
        <v>0.76086129498592403</v>
      </c>
      <c r="E2204" s="3">
        <f>1/CAD!C2204</f>
        <v>0.76120879957372301</v>
      </c>
      <c r="F2204" s="3">
        <f>EUR!B2204/1</f>
        <v>1.1720999999999999</v>
      </c>
      <c r="G2204" s="3">
        <f>EUR!C2204/1</f>
        <v>1.1749000000000001</v>
      </c>
      <c r="H2204" s="3">
        <f>GBP!B2204/1</f>
        <v>1.3284</v>
      </c>
      <c r="I2204" s="3">
        <f>GBP!C2204/1</f>
        <v>1.3302</v>
      </c>
      <c r="J2204" s="4">
        <f>1/INR!B2204</f>
        <v>1.4582573824279984E-2</v>
      </c>
      <c r="K2204" s="4">
        <f>1/INR!C2204</f>
        <v>1.4524328249818447E-2</v>
      </c>
      <c r="L2204" s="4">
        <f>1/JPY!B2204</f>
        <v>8.9007565643079659E-3</v>
      </c>
      <c r="M2204" s="4">
        <f>1/JPY!C2204</f>
        <v>8.9193812803593439E-3</v>
      </c>
      <c r="N2204" s="5">
        <f>1/KRW!B2204</f>
        <v>8.8558271342543385E-4</v>
      </c>
      <c r="O2204" s="5">
        <f>1/KRW!C2204</f>
        <v>8.8558702685852611E-4</v>
      </c>
      <c r="P2204" s="3">
        <f>1/NOK!B2204</f>
        <v>0.12365983652169611</v>
      </c>
      <c r="Q2204" s="3">
        <f>1/NOK!C2204</f>
        <v>0.12381447638857937</v>
      </c>
      <c r="R2204" s="3">
        <f>NZD!B2204/1</f>
        <v>0.67849999999999999</v>
      </c>
      <c r="S2204" s="3">
        <f>NZD!C2204/1</f>
        <v>0.6784</v>
      </c>
      <c r="T2204" s="4">
        <f>1/PHP!B2204</f>
        <v>1.867762420620097E-2</v>
      </c>
      <c r="U2204" s="4">
        <f>1/PHP!C2204</f>
        <v>1.8648714171157901E-2</v>
      </c>
      <c r="V2204" s="4">
        <f>1/TWD!B2204</f>
        <v>3.2698973252239881E-2</v>
      </c>
      <c r="W2204" s="4">
        <f>1/TWD!C2204</f>
        <v>3.2699507872406525E-2</v>
      </c>
      <c r="X2204" s="4">
        <f>1/TWD!B2204</f>
        <v>3.2698973252239881E-2</v>
      </c>
      <c r="Y2204" s="4">
        <f>1/TWD!C2204</f>
        <v>3.2699507872406525E-2</v>
      </c>
      <c r="Z2204" s="4">
        <f>1/ZAR!B2204</f>
        <v>7.5809838600853621E-2</v>
      </c>
      <c r="AA2204" s="4">
        <f>1/ZAR!C2204</f>
        <v>7.5485940743536512E-2</v>
      </c>
    </row>
    <row r="2205" spans="1:27" x14ac:dyDescent="0.25">
      <c r="A2205" t="str">
        <f>"17/07/2018"</f>
        <v>17/07/2018</v>
      </c>
      <c r="B2205" s="3">
        <f>AUD!B2205</f>
        <v>0.74060000000000004</v>
      </c>
      <c r="C2205" s="3">
        <f>AUD!C2205</f>
        <v>0.74050000000000005</v>
      </c>
      <c r="D2205" s="3">
        <f>1/CAD!B2205</f>
        <v>0.76028282521097856</v>
      </c>
      <c r="E2205" s="3">
        <f>1/CAD!C2205</f>
        <v>0.76068766164612811</v>
      </c>
      <c r="F2205" s="3">
        <f>EUR!B2205/1</f>
        <v>1.1711</v>
      </c>
      <c r="G2205" s="3">
        <f>EUR!C2205/1</f>
        <v>1.1738</v>
      </c>
      <c r="H2205" s="3">
        <f>GBP!B2205/1</f>
        <v>1.3205</v>
      </c>
      <c r="I2205" s="3">
        <f>GBP!C2205/1</f>
        <v>1.3223</v>
      </c>
      <c r="J2205" s="4">
        <f>1/INR!B2205</f>
        <v>1.4606003067260643E-2</v>
      </c>
      <c r="K2205" s="4">
        <f>1/INR!C2205</f>
        <v>1.4550745725718444E-2</v>
      </c>
      <c r="L2205" s="4">
        <f>1/JPY!B2205</f>
        <v>8.8880988356590529E-3</v>
      </c>
      <c r="M2205" s="4">
        <f>1/JPY!C2205</f>
        <v>8.9061628865942655E-3</v>
      </c>
      <c r="N2205" s="5">
        <f>1/KRW!B2205</f>
        <v>8.8952143746664288E-4</v>
      </c>
      <c r="O2205" s="5">
        <f>1/KRW!C2205</f>
        <v>8.8952460247145526E-4</v>
      </c>
      <c r="P2205" s="3">
        <f>1/NOK!B2205</f>
        <v>0.12349643095314544</v>
      </c>
      <c r="Q2205" s="3">
        <f>1/NOK!C2205</f>
        <v>0.12364607547356447</v>
      </c>
      <c r="R2205" s="3">
        <f>NZD!B2205/1</f>
        <v>0.68130000000000002</v>
      </c>
      <c r="S2205" s="3">
        <f>NZD!C2205/1</f>
        <v>0.68120000000000003</v>
      </c>
      <c r="T2205" s="4">
        <f>1/PHP!B2205</f>
        <v>1.8726591760299626E-2</v>
      </c>
      <c r="U2205" s="4">
        <f>1/PHP!C2205</f>
        <v>1.8695083193120209E-2</v>
      </c>
      <c r="V2205" s="4">
        <f>1/TWD!B2205</f>
        <v>3.2769694586446456E-2</v>
      </c>
      <c r="W2205" s="4">
        <f>1/TWD!C2205</f>
        <v>3.2770231521685698E-2</v>
      </c>
      <c r="X2205" s="4">
        <f>1/TWD!B2205</f>
        <v>3.2769694586446456E-2</v>
      </c>
      <c r="Y2205" s="4">
        <f>1/TWD!C2205</f>
        <v>3.2770231521685698E-2</v>
      </c>
      <c r="Z2205" s="4">
        <f>1/ZAR!B2205</f>
        <v>7.5397154511388745E-2</v>
      </c>
      <c r="AA2205" s="4">
        <f>1/ZAR!C2205</f>
        <v>7.5082966678179389E-2</v>
      </c>
    </row>
    <row r="2206" spans="1:27" x14ac:dyDescent="0.25">
      <c r="A2206" t="str">
        <f>"18/07/2018"</f>
        <v>18/07/2018</v>
      </c>
      <c r="B2206" s="3">
        <f>AUD!B2206</f>
        <v>0.73550000000000004</v>
      </c>
      <c r="C2206" s="3">
        <f>AUD!C2206</f>
        <v>0.73550000000000004</v>
      </c>
      <c r="D2206" s="3">
        <f>1/CAD!B2206</f>
        <v>0.7552299675251114</v>
      </c>
      <c r="E2206" s="3">
        <f>1/CAD!C2206</f>
        <v>0.75562943932295612</v>
      </c>
      <c r="F2206" s="3">
        <f>EUR!B2206/1</f>
        <v>1.1618999999999999</v>
      </c>
      <c r="G2206" s="3">
        <f>EUR!C2206/1</f>
        <v>1.1645000000000001</v>
      </c>
      <c r="H2206" s="3">
        <f>GBP!B2206/1</f>
        <v>1.3027</v>
      </c>
      <c r="I2206" s="3">
        <f>GBP!C2206/1</f>
        <v>1.3044</v>
      </c>
      <c r="J2206" s="4">
        <f>1/INR!B2206</f>
        <v>1.4571418163272742E-2</v>
      </c>
      <c r="K2206" s="4">
        <f>1/INR!C2206</f>
        <v>1.4518529272984648E-2</v>
      </c>
      <c r="L2206" s="4">
        <f>1/JPY!B2206</f>
        <v>8.8503407381184188E-3</v>
      </c>
      <c r="M2206" s="4">
        <f>1/JPY!C2206</f>
        <v>8.8679211819165348E-3</v>
      </c>
      <c r="N2206" s="5">
        <f>1/KRW!B2206</f>
        <v>8.8300220750551876E-4</v>
      </c>
      <c r="O2206" s="5">
        <f>1/KRW!C2206</f>
        <v>8.8300454659041036E-4</v>
      </c>
      <c r="P2206" s="3">
        <f>1/NOK!B2206</f>
        <v>0.1223615784643622</v>
      </c>
      <c r="Q2206" s="3">
        <f>1/NOK!C2206</f>
        <v>0.12250548212032487</v>
      </c>
      <c r="R2206" s="3">
        <f>NZD!B2206/1</f>
        <v>0.67610000000000003</v>
      </c>
      <c r="S2206" s="3">
        <f>NZD!C2206/1</f>
        <v>0.67600000000000005</v>
      </c>
      <c r="T2206" s="4">
        <f>1/PHP!B2206</f>
        <v>1.8688095683049896E-2</v>
      </c>
      <c r="U2206" s="4">
        <f>1/PHP!C2206</f>
        <v>1.8659153247625623E-2</v>
      </c>
      <c r="V2206" s="4">
        <f>1/TWD!B2206</f>
        <v>3.2700042510055261E-2</v>
      </c>
      <c r="W2206" s="4">
        <f>1/TWD!C2206</f>
        <v>3.2700470232761944E-2</v>
      </c>
      <c r="X2206" s="4">
        <f>1/TWD!B2206</f>
        <v>3.2700042510055261E-2</v>
      </c>
      <c r="Y2206" s="4">
        <f>1/TWD!C2206</f>
        <v>3.2700470232761944E-2</v>
      </c>
      <c r="Z2206" s="4">
        <f>1/ZAR!B2206</f>
        <v>7.5019880268271083E-2</v>
      </c>
      <c r="AA2206" s="4">
        <f>1/ZAR!C2206</f>
        <v>7.4718311963896111E-2</v>
      </c>
    </row>
    <row r="2207" spans="1:27" x14ac:dyDescent="0.25">
      <c r="A2207" t="str">
        <f>"19/07/2018"</f>
        <v>19/07/2018</v>
      </c>
      <c r="B2207" s="3">
        <f>AUD!B2207</f>
        <v>0.73429999999999995</v>
      </c>
      <c r="C2207" s="3">
        <f>AUD!C2207</f>
        <v>0.73429999999999995</v>
      </c>
      <c r="D2207" s="3">
        <f>1/CAD!B2207</f>
        <v>0.75540111799365461</v>
      </c>
      <c r="E2207" s="3">
        <f>1/CAD!C2207</f>
        <v>0.75574365175332536</v>
      </c>
      <c r="F2207" s="3">
        <f>EUR!B2207/1</f>
        <v>1.1593</v>
      </c>
      <c r="G2207" s="3">
        <f>EUR!C2207/1</f>
        <v>1.1618999999999999</v>
      </c>
      <c r="H2207" s="3">
        <f>GBP!B2207/1</f>
        <v>1.2988999999999999</v>
      </c>
      <c r="I2207" s="3">
        <f>GBP!C2207/1</f>
        <v>1.3006</v>
      </c>
      <c r="J2207" s="4">
        <f>1/INR!B2207</f>
        <v>1.4480686384534626E-2</v>
      </c>
      <c r="K2207" s="4">
        <f>1/INR!C2207</f>
        <v>1.4427412082957619E-2</v>
      </c>
      <c r="L2207" s="4">
        <f>1/JPY!B2207</f>
        <v>8.8503407381184188E-3</v>
      </c>
      <c r="M2207" s="4">
        <f>1/JPY!C2207</f>
        <v>8.8677324498707081E-3</v>
      </c>
      <c r="N2207" s="5">
        <f>1/KRW!B2207</f>
        <v>8.823788934968676E-4</v>
      </c>
      <c r="O2207" s="5">
        <f>1/KRW!C2207</f>
        <v>8.8238107356128652E-4</v>
      </c>
      <c r="P2207" s="3">
        <f>1/NOK!B2207</f>
        <v>0.12121946784653616</v>
      </c>
      <c r="Q2207" s="3">
        <f>1/NOK!C2207</f>
        <v>0.12136216898468409</v>
      </c>
      <c r="R2207" s="3">
        <f>NZD!B2207/1</f>
        <v>0.67310000000000003</v>
      </c>
      <c r="S2207" s="3">
        <f>NZD!C2207/1</f>
        <v>0.67300000000000004</v>
      </c>
      <c r="T2207" s="4">
        <f>1/PHP!B2207</f>
        <v>1.8670649738610903E-2</v>
      </c>
      <c r="U2207" s="4">
        <f>1/PHP!C2207</f>
        <v>1.8639676415217431E-2</v>
      </c>
      <c r="V2207" s="4">
        <f>1/TWD!B2207</f>
        <v>3.2642402480822584E-2</v>
      </c>
      <c r="W2207" s="4">
        <f>1/TWD!C2207</f>
        <v>3.2642935252737926E-2</v>
      </c>
      <c r="X2207" s="4">
        <f>1/TWD!B2207</f>
        <v>3.2642402480822584E-2</v>
      </c>
      <c r="Y2207" s="4">
        <f>1/TWD!C2207</f>
        <v>3.2642935252737926E-2</v>
      </c>
      <c r="Z2207" s="4">
        <f>1/ZAR!B2207</f>
        <v>7.434944237918216E-2</v>
      </c>
      <c r="AA2207" s="4">
        <f>1/ZAR!C2207</f>
        <v>7.4047745986612165E-2</v>
      </c>
    </row>
    <row r="2208" spans="1:27" x14ac:dyDescent="0.25">
      <c r="A2208" t="str">
        <f>"20/07/2018"</f>
        <v>20/07/2018</v>
      </c>
      <c r="B2208" s="3">
        <f>AUD!B2208</f>
        <v>0.73709999999999998</v>
      </c>
      <c r="C2208" s="3">
        <f>AUD!C2208</f>
        <v>0.73709999999999998</v>
      </c>
      <c r="D2208" s="3">
        <f>1/CAD!B2208</f>
        <v>0.75505889459377828</v>
      </c>
      <c r="E2208" s="3">
        <f>1/CAD!C2208</f>
        <v>0.75540111799365461</v>
      </c>
      <c r="F2208" s="3">
        <f>EUR!B2208/1</f>
        <v>1.1657</v>
      </c>
      <c r="G2208" s="3">
        <f>EUR!C2208/1</f>
        <v>1.1682999999999999</v>
      </c>
      <c r="H2208" s="3">
        <f>GBP!B2208/1</f>
        <v>1.304</v>
      </c>
      <c r="I2208" s="3">
        <f>GBP!C2208/1</f>
        <v>1.3056000000000001</v>
      </c>
      <c r="J2208" s="4">
        <f>1/INR!B2208</f>
        <v>1.4523273545857236E-2</v>
      </c>
      <c r="K2208" s="4">
        <f>1/INR!C2208</f>
        <v>1.4470732942623543E-2</v>
      </c>
      <c r="L2208" s="4">
        <f>1/JPY!B2208</f>
        <v>8.8991723769689408E-3</v>
      </c>
      <c r="M2208" s="4">
        <f>1/JPY!C2208</f>
        <v>8.9166215634225929E-3</v>
      </c>
      <c r="N2208" s="5">
        <f>1/KRW!B2208</f>
        <v>8.8191198518387858E-4</v>
      </c>
      <c r="O2208" s="5">
        <f>1/KRW!C2208</f>
        <v>8.8191416294175517E-4</v>
      </c>
      <c r="P2208" s="3">
        <f>1/NOK!B2208</f>
        <v>0.12167226359079185</v>
      </c>
      <c r="Q2208" s="3">
        <f>1/NOK!C2208</f>
        <v>0.12181603342631958</v>
      </c>
      <c r="R2208" s="3">
        <f>NZD!B2208/1</f>
        <v>0.67600000000000005</v>
      </c>
      <c r="S2208" s="3">
        <f>NZD!C2208/1</f>
        <v>0.67589999999999995</v>
      </c>
      <c r="T2208" s="4">
        <f>1/PHP!B2208</f>
        <v>1.8684603886397606E-2</v>
      </c>
      <c r="U2208" s="4">
        <f>1/PHP!C2208</f>
        <v>1.8656716417910446E-2</v>
      </c>
      <c r="V2208" s="4">
        <f>1/TWD!B2208</f>
        <v>3.2554202747574715E-2</v>
      </c>
      <c r="W2208" s="4">
        <f>1/TWD!C2208</f>
        <v>3.2554732644258157E-2</v>
      </c>
      <c r="X2208" s="4">
        <f>1/TWD!B2208</f>
        <v>3.2554202747574715E-2</v>
      </c>
      <c r="Y2208" s="4">
        <f>1/TWD!C2208</f>
        <v>3.2554732644258157E-2</v>
      </c>
      <c r="Z2208" s="4">
        <f>1/ZAR!B2208</f>
        <v>7.4134479946623172E-2</v>
      </c>
      <c r="AA2208" s="4">
        <f>1/ZAR!C2208</f>
        <v>7.383561239256918E-2</v>
      </c>
    </row>
    <row r="2209" spans="1:27" x14ac:dyDescent="0.25">
      <c r="A2209" t="str">
        <f>"23/07/2018"</f>
        <v>23/07/2018</v>
      </c>
      <c r="B2209" s="3">
        <f>AUD!B2209</f>
        <v>0.74080000000000001</v>
      </c>
      <c r="C2209" s="3">
        <f>AUD!C2209</f>
        <v>0.7409</v>
      </c>
      <c r="D2209" s="3">
        <f>1/CAD!B2209</f>
        <v>0.76103500761035003</v>
      </c>
      <c r="E2209" s="3">
        <f>1/CAD!C2209</f>
        <v>0.76138267093040968</v>
      </c>
      <c r="F2209" s="3">
        <f>EUR!B2209/1</f>
        <v>1.1717</v>
      </c>
      <c r="G2209" s="3">
        <f>EUR!C2209/1</f>
        <v>1.1745000000000001</v>
      </c>
      <c r="H2209" s="3">
        <f>GBP!B2209/1</f>
        <v>1.3140000000000001</v>
      </c>
      <c r="I2209" s="3">
        <f>GBP!C2209/1</f>
        <v>1.3158000000000001</v>
      </c>
      <c r="J2209" s="4">
        <f>1/INR!B2209</f>
        <v>1.4520637455984316E-2</v>
      </c>
      <c r="K2209" s="4">
        <f>1/INR!C2209</f>
        <v>1.4468115889608274E-2</v>
      </c>
      <c r="L2209" s="4">
        <f>1/JPY!B2209</f>
        <v>9.0025207057976234E-3</v>
      </c>
      <c r="M2209" s="4">
        <f>1/JPY!C2209</f>
        <v>9.0213951407157218E-3</v>
      </c>
      <c r="N2209" s="5">
        <f>1/KRW!B2209</f>
        <v>8.8378258948298722E-4</v>
      </c>
      <c r="O2209" s="5">
        <f>1/KRW!C2209</f>
        <v>8.8378532324227257E-4</v>
      </c>
      <c r="P2209" s="3">
        <f>1/NOK!B2209</f>
        <v>0.12262566064574673</v>
      </c>
      <c r="Q2209" s="3">
        <f>1/NOK!C2209</f>
        <v>0.1227807381577978</v>
      </c>
      <c r="R2209" s="3">
        <f>NZD!B2209/1</f>
        <v>0.68100000000000005</v>
      </c>
      <c r="S2209" s="3">
        <f>NZD!C2209/1</f>
        <v>0.68089999999999995</v>
      </c>
      <c r="T2209" s="4">
        <f>1/PHP!B2209</f>
        <v>1.8695083193120209E-2</v>
      </c>
      <c r="U2209" s="4">
        <f>1/PHP!C2209</f>
        <v>1.8668209905352177E-2</v>
      </c>
      <c r="V2209" s="4">
        <f>1/TWD!B2209</f>
        <v>3.2631750693424701E-2</v>
      </c>
      <c r="W2209" s="4">
        <f>1/TWD!C2209</f>
        <v>3.2632283117688329E-2</v>
      </c>
      <c r="X2209" s="4">
        <f>1/TWD!B2209</f>
        <v>3.2631750693424701E-2</v>
      </c>
      <c r="Y2209" s="4">
        <f>1/TWD!C2209</f>
        <v>3.2632283117688329E-2</v>
      </c>
      <c r="Z2209" s="4">
        <f>1/ZAR!B2209</f>
        <v>7.3984744345715919E-2</v>
      </c>
      <c r="AA2209" s="4">
        <f>1/ZAR!C2209</f>
        <v>7.3665910363320278E-2</v>
      </c>
    </row>
    <row r="2210" spans="1:27" x14ac:dyDescent="0.25">
      <c r="A2210" t="str">
        <f>"24/07/2018"</f>
        <v>24/07/2018</v>
      </c>
      <c r="B2210" s="3">
        <f>AUD!B2210</f>
        <v>0.74029999999999996</v>
      </c>
      <c r="C2210" s="3">
        <f>AUD!C2210</f>
        <v>0.74039999999999995</v>
      </c>
      <c r="D2210" s="3">
        <f>1/CAD!B2210</f>
        <v>0.76005168351447894</v>
      </c>
      <c r="E2210" s="3">
        <f>1/CAD!C2210</f>
        <v>0.76039844878716456</v>
      </c>
      <c r="F2210" s="3">
        <f>EUR!B2210/1</f>
        <v>1.1705000000000001</v>
      </c>
      <c r="G2210" s="3">
        <f>EUR!C2210/1</f>
        <v>1.1732</v>
      </c>
      <c r="H2210" s="3">
        <f>GBP!B2210/1</f>
        <v>1.3128</v>
      </c>
      <c r="I2210" s="3">
        <f>GBP!C2210/1</f>
        <v>1.3146</v>
      </c>
      <c r="J2210" s="4">
        <f>1/INR!B2210</f>
        <v>1.4502737391682679E-2</v>
      </c>
      <c r="K2210" s="4">
        <f>1/INR!C2210</f>
        <v>1.4447213493697403E-2</v>
      </c>
      <c r="L2210" s="4">
        <f>1/JPY!B2210</f>
        <v>9.0017103249617429E-3</v>
      </c>
      <c r="M2210" s="4">
        <f>1/JPY!C2210</f>
        <v>9.0200036621214865E-3</v>
      </c>
      <c r="N2210" s="5">
        <f>1/KRW!B2210</f>
        <v>8.808244516867789E-4</v>
      </c>
      <c r="O2210" s="5">
        <f>1/KRW!C2210</f>
        <v>8.8082677924807343E-4</v>
      </c>
      <c r="P2210" s="3">
        <f>1/NOK!B2210</f>
        <v>0.12239003255574865</v>
      </c>
      <c r="Q2210" s="3">
        <f>1/NOK!C2210</f>
        <v>0.1225400093130407</v>
      </c>
      <c r="R2210" s="3">
        <f>NZD!B2210/1</f>
        <v>0.6804</v>
      </c>
      <c r="S2210" s="3">
        <f>NZD!C2210/1</f>
        <v>0.6804</v>
      </c>
      <c r="T2210" s="4">
        <f>1/PHP!B2210</f>
        <v>1.8712574850299403E-2</v>
      </c>
      <c r="U2210" s="4">
        <f>1/PHP!C2210</f>
        <v>1.8683033003577799E-2</v>
      </c>
      <c r="V2210" s="4">
        <f>1/TWD!B2210</f>
        <v>3.2549964195039381E-2</v>
      </c>
      <c r="W2210" s="4">
        <f>1/TWD!C2210</f>
        <v>3.2550493953745749E-2</v>
      </c>
      <c r="X2210" s="4">
        <f>1/TWD!B2210</f>
        <v>3.2549964195039381E-2</v>
      </c>
      <c r="Y2210" s="4">
        <f>1/TWD!C2210</f>
        <v>3.2550493953745749E-2</v>
      </c>
      <c r="Z2210" s="4">
        <f>1/ZAR!B2210</f>
        <v>7.4986127566400218E-2</v>
      </c>
      <c r="AA2210" s="4">
        <f>1/ZAR!C2210</f>
        <v>7.4672003225830536E-2</v>
      </c>
    </row>
    <row r="2211" spans="1:27" x14ac:dyDescent="0.25">
      <c r="A2211" t="str">
        <f>"25/07/2018"</f>
        <v>25/07/2018</v>
      </c>
      <c r="B2211" s="3">
        <f>AUD!B2211</f>
        <v>0.74099999999999999</v>
      </c>
      <c r="C2211" s="3">
        <f>AUD!C2211</f>
        <v>0.74109999999999998</v>
      </c>
      <c r="D2211" s="3">
        <f>1/CAD!B2211</f>
        <v>0.76167263310229261</v>
      </c>
      <c r="E2211" s="3">
        <f>1/CAD!C2211</f>
        <v>0.76202087937209473</v>
      </c>
      <c r="F2211" s="3">
        <f>EUR!B2211/1</f>
        <v>1.1694</v>
      </c>
      <c r="G2211" s="3">
        <f>EUR!C2211/1</f>
        <v>1.1719999999999999</v>
      </c>
      <c r="H2211" s="3">
        <f>GBP!B2211/1</f>
        <v>1.3158000000000001</v>
      </c>
      <c r="I2211" s="3">
        <f>GBP!C2211/1</f>
        <v>1.3174999999999999</v>
      </c>
      <c r="J2211" s="4">
        <f>1/INR!B2211</f>
        <v>1.4536996656490768E-2</v>
      </c>
      <c r="K2211" s="4">
        <f>1/INR!C2211</f>
        <v>1.4483307987544354E-2</v>
      </c>
      <c r="L2211" s="4">
        <f>1/JPY!B2211</f>
        <v>9.0025207057976234E-3</v>
      </c>
      <c r="M2211" s="4">
        <f>1/JPY!C2211</f>
        <v>9.0201338407459291E-3</v>
      </c>
      <c r="N2211" s="5">
        <f>1/KRW!B2211</f>
        <v>8.8770528184642697E-4</v>
      </c>
      <c r="O2211" s="5">
        <f>1/KRW!C2211</f>
        <v>8.8770646387900209E-4</v>
      </c>
      <c r="P2211" s="3">
        <f>1/NOK!B2211</f>
        <v>0.12236906510034262</v>
      </c>
      <c r="Q2211" s="3">
        <f>1/NOK!C2211</f>
        <v>0.12251598833647791</v>
      </c>
      <c r="R2211" s="3">
        <f>NZD!B2211/1</f>
        <v>0.68079999999999996</v>
      </c>
      <c r="S2211" s="3">
        <f>NZD!C2211/1</f>
        <v>0.68079999999999996</v>
      </c>
      <c r="T2211" s="4">
        <f>1/PHP!B2211</f>
        <v>1.8719580681392737E-2</v>
      </c>
      <c r="U2211" s="4">
        <f>1/PHP!C2211</f>
        <v>1.86898420708345E-2</v>
      </c>
      <c r="V2211" s="4">
        <f>1/TWD!B2211</f>
        <v>3.2644533672836484E-2</v>
      </c>
      <c r="W2211" s="4">
        <f>1/TWD!C2211</f>
        <v>3.2645066514323022E-2</v>
      </c>
      <c r="X2211" s="4">
        <f>1/TWD!B2211</f>
        <v>3.2644533672836484E-2</v>
      </c>
      <c r="Y2211" s="4">
        <f>1/TWD!C2211</f>
        <v>3.2645066514323022E-2</v>
      </c>
      <c r="Z2211" s="4">
        <f>1/ZAR!B2211</f>
        <v>7.5501328823387295E-2</v>
      </c>
      <c r="AA2211" s="4">
        <f>1/ZAR!C2211</f>
        <v>7.5193623580720362E-2</v>
      </c>
    </row>
    <row r="2212" spans="1:27" x14ac:dyDescent="0.25">
      <c r="A2212" t="str">
        <f>"26/07/2018"</f>
        <v>26/07/2018</v>
      </c>
      <c r="B2212" s="3">
        <f>AUD!B2212</f>
        <v>0.74209999999999998</v>
      </c>
      <c r="C2212" s="3">
        <f>AUD!C2212</f>
        <v>0.74219999999999997</v>
      </c>
      <c r="D2212" s="3">
        <f>1/CAD!B2212</f>
        <v>0.76645972254158046</v>
      </c>
      <c r="E2212" s="3">
        <f>1/CAD!C2212</f>
        <v>0.76681236101525951</v>
      </c>
      <c r="F2212" s="3">
        <f>EUR!B2212/1</f>
        <v>1.1713</v>
      </c>
      <c r="G2212" s="3">
        <f>EUR!C2212/1</f>
        <v>1.1738999999999999</v>
      </c>
      <c r="H2212" s="3">
        <f>GBP!B2212/1</f>
        <v>1.3179000000000001</v>
      </c>
      <c r="I2212" s="3">
        <f>GBP!C2212/1</f>
        <v>1.3196000000000001</v>
      </c>
      <c r="J2212" s="4">
        <f>1/INR!B2212</f>
        <v>1.45623998835008E-2</v>
      </c>
      <c r="K2212" s="4">
        <f>1/INR!C2212</f>
        <v>1.4507471347744086E-2</v>
      </c>
      <c r="L2212" s="4">
        <f>1/JPY!B2212</f>
        <v>9.0211998195760049E-3</v>
      </c>
      <c r="M2212" s="4">
        <f>1/JPY!C2212</f>
        <v>9.0389760647913795E-3</v>
      </c>
      <c r="N2212" s="5">
        <f>1/KRW!B2212</f>
        <v>8.9325591782045551E-4</v>
      </c>
      <c r="O2212" s="5">
        <f>1/KRW!C2212</f>
        <v>8.9325671572730299E-4</v>
      </c>
      <c r="P2212" s="3">
        <f>1/NOK!B2212</f>
        <v>0.12271745533084627</v>
      </c>
      <c r="Q2212" s="3">
        <f>1/NOK!C2212</f>
        <v>0.12286521685710776</v>
      </c>
      <c r="R2212" s="3">
        <f>NZD!B2212/1</f>
        <v>0.68159999999999998</v>
      </c>
      <c r="S2212" s="3">
        <f>NZD!C2212/1</f>
        <v>0.68159999999999998</v>
      </c>
      <c r="T2212" s="4">
        <f>1/PHP!B2212</f>
        <v>1.8709073900841908E-2</v>
      </c>
      <c r="U2212" s="4">
        <f>1/PHP!C2212</f>
        <v>1.8681113394358302E-2</v>
      </c>
      <c r="V2212" s="4">
        <f>1/TWD!B2212</f>
        <v>3.2708599090700945E-2</v>
      </c>
      <c r="W2212" s="4">
        <f>1/TWD!C2212</f>
        <v>3.270913402567667E-2</v>
      </c>
      <c r="X2212" s="4">
        <f>1/TWD!B2212</f>
        <v>3.2708599090700945E-2</v>
      </c>
      <c r="Y2212" s="4">
        <f>1/TWD!C2212</f>
        <v>3.270913402567667E-2</v>
      </c>
      <c r="Z2212" s="4">
        <f>1/ZAR!B2212</f>
        <v>7.573577303503537E-2</v>
      </c>
      <c r="AA2212" s="4">
        <f>1/ZAR!C2212</f>
        <v>7.5429002451442573E-2</v>
      </c>
    </row>
    <row r="2213" spans="1:27" x14ac:dyDescent="0.25">
      <c r="A2213" t="str">
        <f>"27/07/2018"</f>
        <v>27/07/2018</v>
      </c>
      <c r="B2213" s="3">
        <f>AUD!B2213</f>
        <v>0.73760000000000003</v>
      </c>
      <c r="C2213" s="3">
        <f>AUD!C2213</f>
        <v>0.73760000000000003</v>
      </c>
      <c r="D2213" s="3">
        <f>1/CAD!B2213</f>
        <v>0.76534517067197305</v>
      </c>
      <c r="E2213" s="3">
        <f>1/CAD!C2213</f>
        <v>0.76569678407350683</v>
      </c>
      <c r="F2213" s="3">
        <f>EUR!B2213/1</f>
        <v>1.1628000000000001</v>
      </c>
      <c r="G2213" s="3">
        <f>EUR!C2213/1</f>
        <v>1.1654</v>
      </c>
      <c r="H2213" s="3">
        <f>GBP!B2213/1</f>
        <v>1.3103</v>
      </c>
      <c r="I2213" s="3">
        <f>GBP!C2213/1</f>
        <v>1.3119000000000001</v>
      </c>
      <c r="J2213" s="4">
        <f>1/INR!B2213</f>
        <v>1.45623998835008E-2</v>
      </c>
      <c r="K2213" s="4">
        <f>1/INR!C2213</f>
        <v>1.450799753364042E-2</v>
      </c>
      <c r="L2213" s="4">
        <f>1/JPY!B2213</f>
        <v>8.9944234574563763E-3</v>
      </c>
      <c r="M2213" s="4">
        <f>1/JPY!C2213</f>
        <v>9.0120698651704224E-3</v>
      </c>
      <c r="N2213" s="5">
        <f>1/KRW!B2213</f>
        <v>8.9421443262094249E-4</v>
      </c>
      <c r="O2213" s="5">
        <f>1/KRW!C2213</f>
        <v>8.9421483243084696E-4</v>
      </c>
      <c r="P2213" s="3">
        <f>1/NOK!B2213</f>
        <v>0.12185611230259309</v>
      </c>
      <c r="Q2213" s="3">
        <f>1/NOK!C2213</f>
        <v>0.12200478258747742</v>
      </c>
      <c r="R2213" s="3">
        <f>NZD!B2213/1</f>
        <v>0.67669999999999997</v>
      </c>
      <c r="S2213" s="3">
        <f>NZD!C2213/1</f>
        <v>0.67669999999999997</v>
      </c>
      <c r="T2213" s="4">
        <f>1/PHP!B2213</f>
        <v>1.8752930145335207E-2</v>
      </c>
      <c r="U2213" s="4">
        <f>1/PHP!C2213</f>
        <v>1.872308556450103E-2</v>
      </c>
      <c r="V2213" s="4">
        <f>1/TWD!B2213</f>
        <v>3.2686147610642612E-2</v>
      </c>
      <c r="W2213" s="4">
        <f>1/TWD!C2213</f>
        <v>3.2686681811495907E-2</v>
      </c>
      <c r="X2213" s="4">
        <f>1/TWD!B2213</f>
        <v>3.2686147610642612E-2</v>
      </c>
      <c r="Y2213" s="4">
        <f>1/TWD!C2213</f>
        <v>3.2686681811495907E-2</v>
      </c>
      <c r="Z2213" s="4">
        <f>1/ZAR!B2213</f>
        <v>7.5490499520635329E-2</v>
      </c>
      <c r="AA2213" s="4">
        <f>1/ZAR!C2213</f>
        <v>7.5184012871503003E-2</v>
      </c>
    </row>
    <row r="2214" spans="1:27" x14ac:dyDescent="0.25">
      <c r="A2214" t="str">
        <f>"30/07/2018"</f>
        <v>30/07/2018</v>
      </c>
      <c r="B2214" s="3">
        <f>AUD!B2214</f>
        <v>0.74009999999999998</v>
      </c>
      <c r="C2214" s="3">
        <f>AUD!C2214</f>
        <v>0.74019999999999997</v>
      </c>
      <c r="D2214" s="3">
        <f>1/CAD!B2214</f>
        <v>0.76663600122661757</v>
      </c>
      <c r="E2214" s="3">
        <f>1/CAD!C2214</f>
        <v>0.76698880196349128</v>
      </c>
      <c r="F2214" s="3">
        <f>EUR!B2214/1</f>
        <v>1.1682999999999999</v>
      </c>
      <c r="G2214" s="3">
        <f>EUR!C2214/1</f>
        <v>1.1712</v>
      </c>
      <c r="H2214" s="3">
        <f>GBP!B2214/1</f>
        <v>1.3119000000000001</v>
      </c>
      <c r="I2214" s="3">
        <f>GBP!C2214/1</f>
        <v>1.3137000000000001</v>
      </c>
      <c r="J2214" s="4">
        <f>1/INR!B2214</f>
        <v>1.4559219625828054E-2</v>
      </c>
      <c r="K2214" s="4">
        <f>1/INR!C2214</f>
        <v>1.4504840990680641E-2</v>
      </c>
      <c r="L2214" s="4">
        <f>1/JPY!B2214</f>
        <v>9.0033312325560454E-3</v>
      </c>
      <c r="M2214" s="4">
        <f>1/JPY!C2214</f>
        <v>9.023023145858974E-3</v>
      </c>
      <c r="N2214" s="5">
        <f>1/KRW!B2214</f>
        <v>8.9245872378402495E-4</v>
      </c>
      <c r="O2214" s="5">
        <f>1/KRW!C2214</f>
        <v>8.9245912202548961E-4</v>
      </c>
      <c r="P2214" s="3">
        <f>1/NOK!B2214</f>
        <v>0.12262566064574673</v>
      </c>
      <c r="Q2214" s="3">
        <f>1/NOK!C2214</f>
        <v>0.12278978388998035</v>
      </c>
      <c r="R2214" s="3">
        <f>NZD!B2214/1</f>
        <v>0.68079999999999996</v>
      </c>
      <c r="S2214" s="3">
        <f>NZD!C2214/1</f>
        <v>0.68079999999999996</v>
      </c>
      <c r="T2214" s="4">
        <f>1/PHP!B2214</f>
        <v>1.8786398647379299E-2</v>
      </c>
      <c r="U2214" s="4">
        <f>1/PHP!C2214</f>
        <v>1.8758206715438003E-2</v>
      </c>
      <c r="V2214" s="4">
        <f>1/TWD!B2214</f>
        <v>3.2670129700414906E-2</v>
      </c>
      <c r="W2214" s="4">
        <f>1/TWD!C2214</f>
        <v>3.2670663377819889E-2</v>
      </c>
      <c r="X2214" s="4">
        <f>1/TWD!B2214</f>
        <v>3.2670129700414906E-2</v>
      </c>
      <c r="Y2214" s="4">
        <f>1/TWD!C2214</f>
        <v>3.2670663377819889E-2</v>
      </c>
      <c r="Z2214" s="4">
        <f>1/ZAR!B2214</f>
        <v>7.592322643343051E-2</v>
      </c>
      <c r="AA2214" s="4">
        <f>1/ZAR!C2214</f>
        <v>7.558807522525246E-2</v>
      </c>
    </row>
    <row r="2215" spans="1:27" x14ac:dyDescent="0.25">
      <c r="A2215" t="str">
        <f>"31/07/2018"</f>
        <v>31/07/2018</v>
      </c>
      <c r="B2215" s="3">
        <f>AUD!B2215</f>
        <v>0.74280000000000002</v>
      </c>
      <c r="C2215" s="3">
        <f>AUD!C2215</f>
        <v>0.7429</v>
      </c>
      <c r="D2215" s="3">
        <f>1/CAD!B2215</f>
        <v>0.76710647437864365</v>
      </c>
      <c r="E2215" s="3">
        <f>1/CAD!C2215</f>
        <v>0.76751861232634899</v>
      </c>
      <c r="F2215" s="3">
        <f>EUR!B2215/1</f>
        <v>1.1739999999999999</v>
      </c>
      <c r="G2215" s="3">
        <f>EUR!C2215/1</f>
        <v>1.1768000000000001</v>
      </c>
      <c r="H2215" s="3">
        <f>GBP!B2215/1</f>
        <v>1.3162</v>
      </c>
      <c r="I2215" s="3">
        <f>GBP!C2215/1</f>
        <v>1.3180000000000001</v>
      </c>
      <c r="J2215" s="4">
        <f>1/INR!B2215</f>
        <v>1.4587360052514497E-2</v>
      </c>
      <c r="K2215" s="4">
        <f>1/INR!C2215</f>
        <v>1.4532771399505885E-2</v>
      </c>
      <c r="L2215" s="4">
        <f>1/JPY!B2215</f>
        <v>8.9726334679228349E-3</v>
      </c>
      <c r="M2215" s="4">
        <f>1/JPY!C2215</f>
        <v>8.9917949870742947E-3</v>
      </c>
      <c r="N2215" s="5">
        <f>1/KRW!B2215</f>
        <v>8.9381480157311414E-4</v>
      </c>
      <c r="O2215" s="5">
        <f>1/KRW!C2215</f>
        <v>8.9381639938576932E-4</v>
      </c>
      <c r="P2215" s="3">
        <f>1/NOK!B2215</f>
        <v>0.12311480455524776</v>
      </c>
      <c r="Q2215" s="3">
        <f>1/NOK!C2215</f>
        <v>0.12327872085999235</v>
      </c>
      <c r="R2215" s="3">
        <f>NZD!B2215/1</f>
        <v>0.68189999999999995</v>
      </c>
      <c r="S2215" s="3">
        <f>NZD!C2215/1</f>
        <v>0.68179999999999996</v>
      </c>
      <c r="T2215" s="4">
        <f>1/PHP!B2215</f>
        <v>1.8822466496009636E-2</v>
      </c>
      <c r="U2215" s="4">
        <f>1/PHP!C2215</f>
        <v>1.8792930099696493E-2</v>
      </c>
      <c r="V2215" s="4">
        <f>1/TWD!B2215</f>
        <v>3.2664793885150582E-2</v>
      </c>
      <c r="W2215" s="4">
        <f>1/TWD!C2215</f>
        <v>3.2665327388243751E-2</v>
      </c>
      <c r="X2215" s="4">
        <f>1/TWD!B2215</f>
        <v>3.2664793885150582E-2</v>
      </c>
      <c r="Y2215" s="4">
        <f>1/TWD!C2215</f>
        <v>3.2665327388243751E-2</v>
      </c>
      <c r="Z2215" s="4">
        <f>1/ZAR!B2215</f>
        <v>7.6253221698616772E-2</v>
      </c>
      <c r="AA2215" s="4">
        <f>1/ZAR!C2215</f>
        <v>7.5930144267274111E-2</v>
      </c>
    </row>
    <row r="2216" spans="1:27" x14ac:dyDescent="0.25">
      <c r="A2216" t="str">
        <f>"01/08/2018"</f>
        <v>01/08/2018</v>
      </c>
      <c r="B2216" s="3">
        <f>AUD!B2216</f>
        <v>0.74170000000000003</v>
      </c>
      <c r="C2216" s="3">
        <f>AUD!C2216</f>
        <v>0.74180000000000001</v>
      </c>
      <c r="D2216" s="3">
        <f>1/CAD!B2216</f>
        <v>0.76804915514592931</v>
      </c>
      <c r="E2216" s="3">
        <f>1/CAD!C2216</f>
        <v>0.76846230692384543</v>
      </c>
      <c r="F2216" s="3">
        <f>EUR!B2216/1</f>
        <v>1.1686000000000001</v>
      </c>
      <c r="G2216" s="3">
        <f>EUR!C2216/1</f>
        <v>1.1713</v>
      </c>
      <c r="H2216" s="3">
        <f>GBP!B2216/1</f>
        <v>1.3136000000000001</v>
      </c>
      <c r="I2216" s="3">
        <f>GBP!C2216/1</f>
        <v>1.3152999999999999</v>
      </c>
      <c r="J2216" s="4">
        <f>1/INR!B2216</f>
        <v>1.4612405932636808E-2</v>
      </c>
      <c r="K2216" s="4">
        <f>1/INR!C2216</f>
        <v>1.4557630017833098E-2</v>
      </c>
      <c r="L2216" s="4">
        <f>1/JPY!B2216</f>
        <v>8.9405453732677703E-3</v>
      </c>
      <c r="M2216" s="4">
        <f>1/JPY!C2216</f>
        <v>8.9588876645075744E-3</v>
      </c>
      <c r="N2216" s="5">
        <f>1/KRW!B2216</f>
        <v>8.9221984296930772E-4</v>
      </c>
      <c r="O2216" s="5">
        <f>1/KRW!C2216</f>
        <v>8.9222063902626614E-4</v>
      </c>
      <c r="P2216" s="3">
        <f>1/NOK!B2216</f>
        <v>0.12253100034308681</v>
      </c>
      <c r="Q2216" s="3">
        <f>1/NOK!C2216</f>
        <v>0.12268734357363693</v>
      </c>
      <c r="R2216" s="3">
        <f>NZD!B2216/1</f>
        <v>0.68069999999999997</v>
      </c>
      <c r="S2216" s="3">
        <f>NZD!C2216/1</f>
        <v>0.68059999999999998</v>
      </c>
      <c r="T2216" s="4">
        <f>1/PHP!B2216</f>
        <v>1.8821757952192732E-2</v>
      </c>
      <c r="U2216" s="4">
        <f>1/PHP!C2216</f>
        <v>1.8795226012592803E-2</v>
      </c>
      <c r="V2216" s="4">
        <f>1/TWD!B2216</f>
        <v>3.2662660047034234E-2</v>
      </c>
      <c r="W2216" s="4">
        <f>1/TWD!C2216</f>
        <v>3.2663193480426581E-2</v>
      </c>
      <c r="X2216" s="4">
        <f>1/TWD!B2216</f>
        <v>3.2662660047034234E-2</v>
      </c>
      <c r="Y2216" s="4">
        <f>1/TWD!C2216</f>
        <v>3.2663193480426581E-2</v>
      </c>
      <c r="Z2216" s="4">
        <f>1/ZAR!B2216</f>
        <v>7.5440952366582673E-2</v>
      </c>
      <c r="AA2216" s="4">
        <f>1/ZAR!C2216</f>
        <v>7.5129786706535542E-2</v>
      </c>
    </row>
    <row r="2217" spans="1:27" x14ac:dyDescent="0.25">
      <c r="A2217" t="str">
        <f>"02/08/2018"</f>
        <v>02/08/2018</v>
      </c>
      <c r="B2217" s="3">
        <f>AUD!B2217</f>
        <v>0.7369</v>
      </c>
      <c r="C2217" s="3">
        <f>AUD!C2217</f>
        <v>0.73699999999999999</v>
      </c>
      <c r="D2217" s="3">
        <f>1/CAD!B2217</f>
        <v>0.76810814962746754</v>
      </c>
      <c r="E2217" s="3">
        <f>1/CAD!C2217</f>
        <v>0.76852136489394407</v>
      </c>
      <c r="F2217" s="3">
        <f>EUR!B2217/1</f>
        <v>1.1617</v>
      </c>
      <c r="G2217" s="3">
        <f>EUR!C2217/1</f>
        <v>1.1642999999999999</v>
      </c>
      <c r="H2217" s="3">
        <f>GBP!B2217/1</f>
        <v>1.3093999999999999</v>
      </c>
      <c r="I2217" s="3">
        <f>GBP!C2217/1</f>
        <v>1.3109999999999999</v>
      </c>
      <c r="J2217" s="4">
        <f>1/INR!B2217</f>
        <v>1.4552863275849523E-2</v>
      </c>
      <c r="K2217" s="4">
        <f>1/INR!C2217</f>
        <v>1.4498532023632608E-2</v>
      </c>
      <c r="L2217" s="4">
        <f>1/JPY!B2217</f>
        <v>8.9678055779750694E-3</v>
      </c>
      <c r="M2217" s="4">
        <f>1/JPY!C2217</f>
        <v>8.9854767738903607E-3</v>
      </c>
      <c r="N2217" s="5">
        <f>1/KRW!B2217</f>
        <v>8.8794175102113293E-4</v>
      </c>
      <c r="O2217" s="5">
        <f>1/KRW!C2217</f>
        <v>8.87942933683538E-4</v>
      </c>
      <c r="P2217" s="3">
        <f>1/NOK!B2217</f>
        <v>0.12173595471422485</v>
      </c>
      <c r="Q2217" s="3">
        <f>1/NOK!C2217</f>
        <v>0.12188433176915109</v>
      </c>
      <c r="R2217" s="3">
        <f>NZD!B2217/1</f>
        <v>0.67579999999999996</v>
      </c>
      <c r="S2217" s="3">
        <f>NZD!C2217/1</f>
        <v>0.67569999999999997</v>
      </c>
      <c r="T2217" s="4">
        <f>1/PHP!B2217</f>
        <v>1.8828845791752966E-2</v>
      </c>
      <c r="U2217" s="4">
        <f>1/PHP!C2217</f>
        <v>1.8802647412755717E-2</v>
      </c>
      <c r="V2217" s="4">
        <f>1/TWD!B2217</f>
        <v>3.2592399452447691E-2</v>
      </c>
      <c r="W2217" s="4">
        <f>1/TWD!C2217</f>
        <v>3.2592930593354302E-2</v>
      </c>
      <c r="X2217" s="4">
        <f>1/TWD!B2217</f>
        <v>3.2592399452447691E-2</v>
      </c>
      <c r="Y2217" s="4">
        <f>1/TWD!C2217</f>
        <v>3.2592930593354302E-2</v>
      </c>
      <c r="Z2217" s="4">
        <f>1/ZAR!B2217</f>
        <v>7.4385390709264698E-2</v>
      </c>
      <c r="AA2217" s="4">
        <f>1/ZAR!C2217</f>
        <v>7.4087245139876717E-2</v>
      </c>
    </row>
    <row r="2218" spans="1:27" x14ac:dyDescent="0.25">
      <c r="A2218" t="str">
        <f>"03/08/2018"</f>
        <v>03/08/2018</v>
      </c>
      <c r="B2218" s="3">
        <f>AUD!B2218</f>
        <v>0.74029999999999996</v>
      </c>
      <c r="C2218" s="3">
        <f>AUD!C2218</f>
        <v>0.74039999999999995</v>
      </c>
      <c r="D2218" s="3">
        <f>1/CAD!B2218</f>
        <v>0.77011936850211782</v>
      </c>
      <c r="E2218" s="3">
        <f>1/CAD!C2218</f>
        <v>0.77047538331150311</v>
      </c>
      <c r="F2218" s="3">
        <f>EUR!B2218/1</f>
        <v>1.1605000000000001</v>
      </c>
      <c r="G2218" s="3">
        <f>EUR!C2218/1</f>
        <v>1.1631</v>
      </c>
      <c r="H2218" s="3">
        <f>GBP!B2218/1</f>
        <v>1.3038000000000001</v>
      </c>
      <c r="I2218" s="3">
        <f>GBP!C2218/1</f>
        <v>1.3053999999999999</v>
      </c>
      <c r="J2218" s="4">
        <f>1/INR!B2218</f>
        <v>1.4574072724622897E-2</v>
      </c>
      <c r="K2218" s="4">
        <f>1/INR!C2218</f>
        <v>1.4519583287959634E-2</v>
      </c>
      <c r="L2218" s="4">
        <f>1/JPY!B2218</f>
        <v>8.9613764674253971E-3</v>
      </c>
      <c r="M2218" s="4">
        <f>1/JPY!C2218</f>
        <v>8.9790787465206072E-3</v>
      </c>
      <c r="N2218" s="5">
        <f>1/KRW!B2218</f>
        <v>8.8668203582195431E-4</v>
      </c>
      <c r="O2218" s="5">
        <f>1/KRW!C2218</f>
        <v>8.8668360823480799E-4</v>
      </c>
      <c r="P2218" s="3">
        <f>1/NOK!B2218</f>
        <v>0.12163970319912419</v>
      </c>
      <c r="Q2218" s="3">
        <f>1/NOK!C2218</f>
        <v>0.12178784557301181</v>
      </c>
      <c r="R2218" s="3">
        <f>NZD!B2218/1</f>
        <v>0.67610000000000003</v>
      </c>
      <c r="S2218" s="3">
        <f>NZD!C2218/1</f>
        <v>0.67600000000000005</v>
      </c>
      <c r="T2218" s="4">
        <f>1/PHP!B2218</f>
        <v>1.8796992481203006E-2</v>
      </c>
      <c r="U2218" s="4">
        <f>1/PHP!C2218</f>
        <v>1.8767359807822237E-2</v>
      </c>
      <c r="V2218" s="4">
        <f>1/TWD!B2218</f>
        <v>3.2564803959880165E-2</v>
      </c>
      <c r="W2218" s="4">
        <f>1/TWD!C2218</f>
        <v>3.2565334201742249E-2</v>
      </c>
      <c r="X2218" s="4">
        <f>1/TWD!B2218</f>
        <v>3.2564803959880165E-2</v>
      </c>
      <c r="Y2218" s="4">
        <f>1/TWD!C2218</f>
        <v>3.2565334201742249E-2</v>
      </c>
      <c r="Z2218" s="4">
        <f>1/ZAR!B2218</f>
        <v>7.5001875046876165E-2</v>
      </c>
      <c r="AA2218" s="4">
        <f>1/ZAR!C2218</f>
        <v>7.4703799435239276E-2</v>
      </c>
    </row>
    <row r="2219" spans="1:27" x14ac:dyDescent="0.25">
      <c r="A2219" t="str">
        <f>"06/08/2018"</f>
        <v>06/08/2018</v>
      </c>
      <c r="B2219" s="3">
        <f>AUD!B2219</f>
        <v>0.73829999999999996</v>
      </c>
      <c r="C2219" s="3">
        <f>AUD!C2219</f>
        <v>0.73829999999999996</v>
      </c>
      <c r="D2219" s="3">
        <f>1/CAD!B2219</f>
        <v>0.76775431861804222</v>
      </c>
      <c r="E2219" s="3">
        <f>1/CAD!C2219</f>
        <v>0.76816715317253026</v>
      </c>
      <c r="F2219" s="3">
        <f>EUR!B2219/1</f>
        <v>1.1533</v>
      </c>
      <c r="G2219" s="3">
        <f>EUR!C2219/1</f>
        <v>1.1559999999999999</v>
      </c>
      <c r="H2219" s="3">
        <f>GBP!B2219/1</f>
        <v>1.2928999999999999</v>
      </c>
      <c r="I2219" s="3">
        <f>GBP!C2219/1</f>
        <v>1.2945</v>
      </c>
      <c r="J2219" s="4">
        <f>1/INR!B2219</f>
        <v>1.4514841425357429E-2</v>
      </c>
      <c r="K2219" s="4">
        <f>1/INR!C2219</f>
        <v>1.4460793174505621E-2</v>
      </c>
      <c r="L2219" s="4">
        <f>1/JPY!B2219</f>
        <v>8.9702188733405096E-3</v>
      </c>
      <c r="M2219" s="4">
        <f>1/JPY!C2219</f>
        <v>8.9891680524967418E-3</v>
      </c>
      <c r="N2219" s="5">
        <f>1/KRW!B2219</f>
        <v>8.8967971530249106E-4</v>
      </c>
      <c r="O2219" s="5">
        <f>1/KRW!C2219</f>
        <v>8.8968169413188199E-4</v>
      </c>
      <c r="P2219" s="3">
        <f>1/NOK!B2219</f>
        <v>0.12099652739966364</v>
      </c>
      <c r="Q2219" s="3">
        <f>1/NOK!C2219</f>
        <v>0.12115044462213174</v>
      </c>
      <c r="R2219" s="3">
        <f>NZD!B2219/1</f>
        <v>0.67259999999999998</v>
      </c>
      <c r="S2219" s="3">
        <f>NZD!C2219/1</f>
        <v>0.67249999999999999</v>
      </c>
      <c r="T2219" s="4">
        <f>1/PHP!B2219</f>
        <v>1.8917896329928113E-2</v>
      </c>
      <c r="U2219" s="4">
        <f>1/PHP!C2219</f>
        <v>1.8891092849721354E-2</v>
      </c>
      <c r="V2219" s="4">
        <f>1/TWD!B2219</f>
        <v>3.2645599373204492E-2</v>
      </c>
      <c r="W2219" s="4">
        <f>1/TWD!C2219</f>
        <v>3.2646132249481742E-2</v>
      </c>
      <c r="X2219" s="4">
        <f>1/TWD!B2219</f>
        <v>3.2645599373204492E-2</v>
      </c>
      <c r="Y2219" s="4">
        <f>1/TWD!C2219</f>
        <v>3.2646132249481742E-2</v>
      </c>
      <c r="Z2219" s="4">
        <f>1/ZAR!B2219</f>
        <v>7.4387050702213769E-2</v>
      </c>
      <c r="AA2219" s="4">
        <f>1/ZAR!C2219</f>
        <v>7.407352538129347E-2</v>
      </c>
    </row>
    <row r="2220" spans="1:27" x14ac:dyDescent="0.25">
      <c r="A2220" t="str">
        <f>"07/08/2018"</f>
        <v>07/08/2018</v>
      </c>
      <c r="B2220" s="3">
        <f>AUD!B2220</f>
        <v>0.74329999999999996</v>
      </c>
      <c r="C2220" s="3">
        <f>AUD!C2220</f>
        <v>0.74339999999999995</v>
      </c>
      <c r="D2220" s="3">
        <f>1/CAD!B2220</f>
        <v>0.77089115016959608</v>
      </c>
      <c r="E2220" s="3">
        <f>1/CAD!C2220</f>
        <v>0.77130736598534522</v>
      </c>
      <c r="F2220" s="3">
        <f>EUR!B2220/1</f>
        <v>1.1593</v>
      </c>
      <c r="G2220" s="3">
        <f>EUR!C2220/1</f>
        <v>1.1618999999999999</v>
      </c>
      <c r="H2220" s="3">
        <f>GBP!B2220/1</f>
        <v>1.2958000000000001</v>
      </c>
      <c r="I2220" s="3">
        <f>GBP!C2220/1</f>
        <v>1.2974000000000001</v>
      </c>
      <c r="J2220" s="4">
        <f>1/INR!B2220</f>
        <v>1.4558159848595138E-2</v>
      </c>
      <c r="K2220" s="4">
        <f>1/INR!C2220</f>
        <v>1.4501160092807426E-2</v>
      </c>
      <c r="L2220" s="4">
        <f>1/JPY!B2220</f>
        <v>8.9960417416336813E-3</v>
      </c>
      <c r="M2220" s="4">
        <f>1/JPY!C2220</f>
        <v>9.0145151723304874E-3</v>
      </c>
      <c r="N2220" s="5">
        <f>1/KRW!B2220</f>
        <v>8.8975887534478151E-4</v>
      </c>
      <c r="O2220" s="5">
        <f>1/KRW!C2220</f>
        <v>8.8976006285265078E-4</v>
      </c>
      <c r="P2220" s="3">
        <f>1/NOK!B2220</f>
        <v>0.12200180562672328</v>
      </c>
      <c r="Q2220" s="3">
        <f>1/NOK!C2220</f>
        <v>0.1221523239479631</v>
      </c>
      <c r="R2220" s="3">
        <f>NZD!B2220/1</f>
        <v>0.67469999999999997</v>
      </c>
      <c r="S2220" s="3">
        <f>NZD!C2220/1</f>
        <v>0.67459999999999998</v>
      </c>
      <c r="T2220" s="4">
        <f>1/PHP!B2220</f>
        <v>1.8850141376060323E-2</v>
      </c>
      <c r="U2220" s="4">
        <f>1/PHP!C2220</f>
        <v>1.8823529411764704E-2</v>
      </c>
      <c r="V2220" s="4">
        <f>1/TWD!B2220</f>
        <v>3.2657326671238697E-2</v>
      </c>
      <c r="W2220" s="4">
        <f>1/TWD!C2220</f>
        <v>3.2657859930438758E-2</v>
      </c>
      <c r="X2220" s="4">
        <f>1/TWD!B2220</f>
        <v>3.2657326671238697E-2</v>
      </c>
      <c r="Y2220" s="4">
        <f>1/TWD!C2220</f>
        <v>3.2657859930438758E-2</v>
      </c>
      <c r="Z2220" s="4">
        <f>1/ZAR!B2220</f>
        <v>7.4922081035722843E-2</v>
      </c>
      <c r="AA2220" s="4">
        <f>1/ZAR!C2220</f>
        <v>7.4625751854449932E-2</v>
      </c>
    </row>
    <row r="2221" spans="1:27" x14ac:dyDescent="0.25">
      <c r="A2221" t="str">
        <f>"08/08/2018"</f>
        <v>08/08/2018</v>
      </c>
      <c r="B2221" s="3">
        <f>AUD!B2221</f>
        <v>0.74139999999999995</v>
      </c>
      <c r="C2221" s="3">
        <f>AUD!C2221</f>
        <v>0.74150000000000005</v>
      </c>
      <c r="D2221" s="3">
        <f>1/CAD!B2221</f>
        <v>0.76440911175661208</v>
      </c>
      <c r="E2221" s="3">
        <f>1/CAD!C2221</f>
        <v>0.76481835564053535</v>
      </c>
      <c r="F2221" s="3">
        <f>EUR!B2221/1</f>
        <v>1.1597</v>
      </c>
      <c r="G2221" s="3">
        <f>EUR!C2221/1</f>
        <v>1.1623000000000001</v>
      </c>
      <c r="H2221" s="3">
        <f>GBP!B2221/1</f>
        <v>1.2867</v>
      </c>
      <c r="I2221" s="3">
        <f>GBP!C2221/1</f>
        <v>1.2882</v>
      </c>
      <c r="J2221" s="4">
        <f>1/INR!B2221</f>
        <v>1.4570356609478018E-2</v>
      </c>
      <c r="K2221" s="4">
        <f>1/INR!C2221</f>
        <v>1.4515894904920888E-2</v>
      </c>
      <c r="L2221" s="4">
        <f>1/JPY!B2221</f>
        <v>9.0033312325560454E-3</v>
      </c>
      <c r="M2221" s="4">
        <f>1/JPY!C2221</f>
        <v>9.0211672668749961E-3</v>
      </c>
      <c r="N2221" s="5">
        <f>1/KRW!B2221</f>
        <v>8.9285714285714283E-4</v>
      </c>
      <c r="O2221" s="5">
        <f>1/KRW!C2221</f>
        <v>8.928581792103865E-4</v>
      </c>
      <c r="P2221" s="3">
        <f>1/NOK!B2221</f>
        <v>0.1217478115830868</v>
      </c>
      <c r="Q2221" s="3">
        <f>1/NOK!C2221</f>
        <v>0.12189473170969552</v>
      </c>
      <c r="R2221" s="3">
        <f>NZD!B2221/1</f>
        <v>0.67400000000000004</v>
      </c>
      <c r="S2221" s="3">
        <f>NZD!C2221/1</f>
        <v>0.67390000000000005</v>
      </c>
      <c r="T2221" s="4">
        <f>1/PHP!B2221</f>
        <v>1.883593897155773E-2</v>
      </c>
      <c r="U2221" s="4">
        <f>1/PHP!C2221</f>
        <v>1.8809720863742382E-2</v>
      </c>
      <c r="V2221" s="4">
        <f>1/TWD!B2221</f>
        <v>3.2661593232517883E-2</v>
      </c>
      <c r="W2221" s="4">
        <f>1/TWD!C2221</f>
        <v>3.266212663106495E-2</v>
      </c>
      <c r="X2221" s="4">
        <f>1/TWD!B2221</f>
        <v>3.2661593232517883E-2</v>
      </c>
      <c r="Y2221" s="4">
        <f>1/TWD!C2221</f>
        <v>3.266212663106495E-2</v>
      </c>
      <c r="Z2221" s="4">
        <f>1/ZAR!B2221</f>
        <v>7.4545644298003672E-2</v>
      </c>
      <c r="AA2221" s="4">
        <f>1/ZAR!C2221</f>
        <v>7.4248420364856738E-2</v>
      </c>
    </row>
    <row r="2222" spans="1:27" x14ac:dyDescent="0.25">
      <c r="A2222" t="str">
        <f>"09/08/2018"</f>
        <v>09/08/2018</v>
      </c>
      <c r="B2222" s="3">
        <f>AUD!B2222</f>
        <v>0.74180000000000001</v>
      </c>
      <c r="C2222" s="3">
        <f>AUD!C2222</f>
        <v>0.74180000000000001</v>
      </c>
      <c r="D2222" s="3">
        <f>1/CAD!B2222</f>
        <v>0.76716532412734939</v>
      </c>
      <c r="E2222" s="3">
        <f>1/CAD!C2222</f>
        <v>0.76757752533005841</v>
      </c>
      <c r="F2222" s="3">
        <f>EUR!B2222/1</f>
        <v>1.1592</v>
      </c>
      <c r="G2222" s="3">
        <f>EUR!C2222/1</f>
        <v>1.1617</v>
      </c>
      <c r="H2222" s="3">
        <f>GBP!B2222/1</f>
        <v>1.2889999999999999</v>
      </c>
      <c r="I2222" s="3">
        <f>GBP!C2222/1</f>
        <v>1.2905</v>
      </c>
      <c r="J2222" s="4">
        <f>1/INR!B2222</f>
        <v>1.4558689717925387E-2</v>
      </c>
      <c r="K2222" s="4">
        <f>1/INR!C2222</f>
        <v>1.450168582097669E-2</v>
      </c>
      <c r="L2222" s="4">
        <f>1/JPY!B2222</f>
        <v>8.9992800575953921E-3</v>
      </c>
      <c r="M2222" s="4">
        <f>1/JPY!C2222</f>
        <v>9.0169780680042447E-3</v>
      </c>
      <c r="N2222" s="5">
        <f>1/KRW!B2222</f>
        <v>8.9509488005728608E-4</v>
      </c>
      <c r="O2222" s="5">
        <f>1/KRW!C2222</f>
        <v>8.9509592161179572E-4</v>
      </c>
      <c r="P2222" s="3">
        <f>1/NOK!B2222</f>
        <v>0.12143438293118314</v>
      </c>
      <c r="Q2222" s="3">
        <f>1/NOK!C2222</f>
        <v>0.12157906894749002</v>
      </c>
      <c r="R2222" s="3">
        <f>NZD!B2222/1</f>
        <v>0.66490000000000005</v>
      </c>
      <c r="S2222" s="3">
        <f>NZD!C2222/1</f>
        <v>0.66479999999999995</v>
      </c>
      <c r="T2222" s="4">
        <f>1/PHP!B2222</f>
        <v>1.8818216033120061E-2</v>
      </c>
      <c r="U2222" s="4">
        <f>1/PHP!C2222</f>
        <v>1.8788516458740419E-2</v>
      </c>
      <c r="V2222" s="4">
        <f>1/TWD!B2222</f>
        <v>3.2651995036896753E-2</v>
      </c>
      <c r="W2222" s="4">
        <f>1/TWD!C2222</f>
        <v>3.2652528121989849E-2</v>
      </c>
      <c r="X2222" s="4">
        <f>1/TWD!B2222</f>
        <v>3.2651995036896753E-2</v>
      </c>
      <c r="Y2222" s="4">
        <f>1/TWD!C2222</f>
        <v>3.2652528121989849E-2</v>
      </c>
      <c r="Z2222" s="4">
        <f>1/ZAR!B2222</f>
        <v>7.4136128759628425E-2</v>
      </c>
      <c r="AA2222" s="4">
        <f>1/ZAR!C2222</f>
        <v>7.3839974008329146E-2</v>
      </c>
    </row>
    <row r="2223" spans="1:27" x14ac:dyDescent="0.25">
      <c r="A2223" t="str">
        <f>"10/08/2018"</f>
        <v>10/08/2018</v>
      </c>
      <c r="B2223" s="3">
        <f>AUD!B2223</f>
        <v>0.73099999999999998</v>
      </c>
      <c r="C2223" s="3">
        <f>AUD!C2223</f>
        <v>0.73099999999999998</v>
      </c>
      <c r="D2223" s="3">
        <f>1/CAD!B2223</f>
        <v>0.76347533974652615</v>
      </c>
      <c r="E2223" s="3">
        <f>1/CAD!C2223</f>
        <v>0.76382523678582348</v>
      </c>
      <c r="F2223" s="3">
        <f>EUR!B2223/1</f>
        <v>1.1456999999999999</v>
      </c>
      <c r="G2223" s="3">
        <f>EUR!C2223/1</f>
        <v>1.1482000000000001</v>
      </c>
      <c r="H2223" s="3">
        <f>GBP!B2223/1</f>
        <v>1.2766</v>
      </c>
      <c r="I2223" s="3">
        <f>GBP!C2223/1</f>
        <v>1.2781</v>
      </c>
      <c r="J2223" s="4">
        <f>1/INR!B2223</f>
        <v>1.4526438117373619E-2</v>
      </c>
      <c r="K2223" s="4">
        <f>1/INR!C2223</f>
        <v>1.4471256466842733E-2</v>
      </c>
      <c r="L2223" s="4">
        <f>1/JPY!B2223</f>
        <v>9.0106325464047576E-3</v>
      </c>
      <c r="M2223" s="4">
        <f>1/JPY!C2223</f>
        <v>9.0284323391223633E-3</v>
      </c>
      <c r="N2223" s="5">
        <f>1/KRW!B2223</f>
        <v>8.8573959255978745E-4</v>
      </c>
      <c r="O2223" s="5">
        <f>1/KRW!C2223</f>
        <v>8.8574076936328975E-4</v>
      </c>
      <c r="P2223" s="3">
        <f>1/NOK!B2223</f>
        <v>0.12002064355069073</v>
      </c>
      <c r="Q2223" s="3">
        <f>1/NOK!C2223</f>
        <v>0.1201648661964215</v>
      </c>
      <c r="R2223" s="3">
        <f>NZD!B2223/1</f>
        <v>0.65980000000000005</v>
      </c>
      <c r="S2223" s="3">
        <f>NZD!C2223/1</f>
        <v>0.65969999999999995</v>
      </c>
      <c r="T2223" s="4">
        <f>1/PHP!B2223</f>
        <v>1.8802293879853341E-2</v>
      </c>
      <c r="U2223" s="4">
        <f>1/PHP!C2223</f>
        <v>1.8772292096865026E-2</v>
      </c>
      <c r="V2223" s="4">
        <f>1/TWD!B2223</f>
        <v>3.2564803959880165E-2</v>
      </c>
      <c r="W2223" s="4">
        <f>1/TWD!C2223</f>
        <v>3.2565334201742249E-2</v>
      </c>
      <c r="X2223" s="4">
        <f>1/TWD!B2223</f>
        <v>3.2564803959880165E-2</v>
      </c>
      <c r="Y2223" s="4">
        <f>1/TWD!C2223</f>
        <v>3.2565334201742249E-2</v>
      </c>
      <c r="Z2223" s="4">
        <f>1/ZAR!B2223</f>
        <v>7.1889175646822859E-2</v>
      </c>
      <c r="AA2223" s="4">
        <f>1/ZAR!C2223</f>
        <v>7.1601950437129899E-2</v>
      </c>
    </row>
    <row r="2224" spans="1:27" x14ac:dyDescent="0.25">
      <c r="A2224" t="str">
        <f>"13/08/2018"</f>
        <v>13/08/2018</v>
      </c>
      <c r="B2224" s="3">
        <f>AUD!B2224</f>
        <v>0.7268</v>
      </c>
      <c r="C2224" s="3">
        <f>AUD!C2224</f>
        <v>0.7268</v>
      </c>
      <c r="D2224" s="3">
        <f>1/CAD!B2224</f>
        <v>0.75964752354907317</v>
      </c>
      <c r="E2224" s="3">
        <f>1/CAD!C2224</f>
        <v>0.75999392004863953</v>
      </c>
      <c r="F2224" s="3">
        <f>EUR!B2224/1</f>
        <v>1.1372</v>
      </c>
      <c r="G2224" s="3">
        <f>EUR!C2224/1</f>
        <v>1.1398999999999999</v>
      </c>
      <c r="H2224" s="3">
        <f>GBP!B2224/1</f>
        <v>1.2746</v>
      </c>
      <c r="I2224" s="3">
        <f>GBP!C2224/1</f>
        <v>1.2762</v>
      </c>
      <c r="J2224" s="4">
        <f>1/INR!B2224</f>
        <v>1.4296947601687041E-2</v>
      </c>
      <c r="K2224" s="4">
        <f>1/INR!C2224</f>
        <v>1.4240956992309883E-2</v>
      </c>
      <c r="L2224" s="4">
        <f>1/JPY!B2224</f>
        <v>9.0612540775643347E-3</v>
      </c>
      <c r="M2224" s="4">
        <f>1/JPY!C2224</f>
        <v>9.0813076719795348E-3</v>
      </c>
      <c r="N2224" s="5">
        <f>1/KRW!B2224</f>
        <v>8.8167871627578911E-4</v>
      </c>
      <c r="O2224" s="5">
        <f>1/KRW!C2224</f>
        <v>8.8168089288176692E-4</v>
      </c>
      <c r="P2224" s="3">
        <f>1/NOK!B2224</f>
        <v>0.1192989990813977</v>
      </c>
      <c r="Q2224" s="3">
        <f>1/NOK!C2224</f>
        <v>0.11945290569193097</v>
      </c>
      <c r="R2224" s="3">
        <f>NZD!B2224/1</f>
        <v>0.65710000000000002</v>
      </c>
      <c r="S2224" s="3">
        <f>NZD!C2224/1</f>
        <v>0.65700000000000003</v>
      </c>
      <c r="T2224" s="4">
        <f>1/PHP!B2224</f>
        <v>1.8719580681392737E-2</v>
      </c>
      <c r="U2224" s="4">
        <f>1/PHP!C2224</f>
        <v>1.8692986391505906E-2</v>
      </c>
      <c r="V2224" s="4">
        <f>1/TWD!B2224</f>
        <v>3.2453834420536787E-2</v>
      </c>
      <c r="W2224" s="4">
        <f>1/TWD!C2224</f>
        <v>3.2454361054766734E-2</v>
      </c>
      <c r="X2224" s="4">
        <f>1/TWD!B2224</f>
        <v>3.2453834420536787E-2</v>
      </c>
      <c r="Y2224" s="4">
        <f>1/TWD!C2224</f>
        <v>3.2454361054766734E-2</v>
      </c>
      <c r="Z2224" s="4">
        <f>1/ZAR!B2224</f>
        <v>6.8927963385465849E-2</v>
      </c>
      <c r="AA2224" s="4">
        <f>1/ZAR!C2224</f>
        <v>6.8633237704355463E-2</v>
      </c>
    </row>
    <row r="2225" spans="1:27" x14ac:dyDescent="0.25">
      <c r="A2225" t="str">
        <f>"14/08/2018"</f>
        <v>14/08/2018</v>
      </c>
      <c r="B2225" s="3">
        <f>AUD!B2225</f>
        <v>0.72619999999999996</v>
      </c>
      <c r="C2225" s="3">
        <f>AUD!C2225</f>
        <v>0.72629999999999995</v>
      </c>
      <c r="D2225" s="3">
        <f>1/CAD!B2225</f>
        <v>0.76405867970660146</v>
      </c>
      <c r="E2225" s="3">
        <f>1/CAD!C2225</f>
        <v>0.76446754835257236</v>
      </c>
      <c r="F2225" s="3">
        <f>EUR!B2225/1</f>
        <v>1.1403000000000001</v>
      </c>
      <c r="G2225" s="3">
        <f>EUR!C2225/1</f>
        <v>1.1429</v>
      </c>
      <c r="H2225" s="3">
        <f>GBP!B2225/1</f>
        <v>1.2768999999999999</v>
      </c>
      <c r="I2225" s="3">
        <f>GBP!C2225/1</f>
        <v>1.2785</v>
      </c>
      <c r="J2225" s="4">
        <f>1/INR!B2225</f>
        <v>1.4306151645207437E-2</v>
      </c>
      <c r="K2225" s="4">
        <f>1/INR!C2225</f>
        <v>1.4250596743738644E-2</v>
      </c>
      <c r="L2225" s="4">
        <f>1/JPY!B2225</f>
        <v>9.0187590187590198E-3</v>
      </c>
      <c r="M2225" s="4">
        <f>1/JPY!C2225</f>
        <v>9.0376363327440805E-3</v>
      </c>
      <c r="N2225" s="5">
        <f>1/KRW!B2225</f>
        <v>8.8636766530756955E-4</v>
      </c>
      <c r="O2225" s="5">
        <f>1/KRW!C2225</f>
        <v>8.86368686650676E-4</v>
      </c>
      <c r="P2225" s="3">
        <f>1/NOK!B2225</f>
        <v>0.11961865572554696</v>
      </c>
      <c r="Q2225" s="3">
        <f>1/NOK!C2225</f>
        <v>0.11976908520372723</v>
      </c>
      <c r="R2225" s="3">
        <f>NZD!B2225/1</f>
        <v>0.65959999999999996</v>
      </c>
      <c r="S2225" s="3">
        <f>NZD!C2225/1</f>
        <v>0.65949999999999998</v>
      </c>
      <c r="T2225" s="4">
        <f>1/PHP!B2225</f>
        <v>1.8716077110237695E-2</v>
      </c>
      <c r="U2225" s="4">
        <f>1/PHP!C2225</f>
        <v>1.868652421306375E-2</v>
      </c>
      <c r="V2225" s="4">
        <f>1/TWD!B2225</f>
        <v>3.2456994482310937E-2</v>
      </c>
      <c r="W2225" s="4">
        <f>1/TWD!C2225</f>
        <v>3.2457521219104495E-2</v>
      </c>
      <c r="X2225" s="4">
        <f>1/TWD!B2225</f>
        <v>3.2456994482310937E-2</v>
      </c>
      <c r="Y2225" s="4">
        <f>1/TWD!C2225</f>
        <v>3.2457521219104495E-2</v>
      </c>
      <c r="Z2225" s="4">
        <f>1/ZAR!B2225</f>
        <v>7.0697858561864155E-2</v>
      </c>
      <c r="AA2225" s="4">
        <f>1/ZAR!C2225</f>
        <v>7.0407164633073061E-2</v>
      </c>
    </row>
    <row r="2226" spans="1:27" x14ac:dyDescent="0.25">
      <c r="A2226" t="str">
        <f>"16/08/2018"</f>
        <v>16/08/2018</v>
      </c>
      <c r="B2226" s="3">
        <f>AUD!B2226</f>
        <v>0.72699999999999998</v>
      </c>
      <c r="C2226" s="3">
        <f>AUD!C2226</f>
        <v>0.72709999999999997</v>
      </c>
      <c r="D2226" s="3">
        <f>1/CAD!B2226</f>
        <v>0.76109292944668538</v>
      </c>
      <c r="E2226" s="3">
        <f>1/CAD!C2226</f>
        <v>0.76144064570166758</v>
      </c>
      <c r="F2226" s="3">
        <f>EUR!B2226/1</f>
        <v>1.1375</v>
      </c>
      <c r="G2226" s="3">
        <f>EUR!C2226/1</f>
        <v>1.1399999999999999</v>
      </c>
      <c r="H2226" s="3">
        <f>GBP!B2226/1</f>
        <v>1.2707999999999999</v>
      </c>
      <c r="I2226" s="3">
        <f>GBP!C2226/1</f>
        <v>1.2723</v>
      </c>
      <c r="J2226" s="4">
        <f>1/INR!B2226</f>
        <v>1.4252627828255836E-2</v>
      </c>
      <c r="K2226" s="4">
        <f>1/INR!C2226</f>
        <v>1.4197990984275724E-2</v>
      </c>
      <c r="L2226" s="4">
        <f>1/JPY!B2226</f>
        <v>9.0195724722648141E-3</v>
      </c>
      <c r="M2226" s="4">
        <f>1/JPY!C2226</f>
        <v>9.0373586331175815E-3</v>
      </c>
      <c r="N2226" s="5">
        <f>1/KRW!B2226</f>
        <v>8.8487744447394046E-4</v>
      </c>
      <c r="O2226" s="5">
        <f>1/KRW!C2226</f>
        <v>8.8487846238563051E-4</v>
      </c>
      <c r="P2226" s="3">
        <f>1/NOK!B2226</f>
        <v>0.11830679317606417</v>
      </c>
      <c r="Q2226" s="3">
        <f>1/NOK!C2226</f>
        <v>0.11844972993461576</v>
      </c>
      <c r="R2226" s="3">
        <f>NZD!B2226/1</f>
        <v>0.65869999999999995</v>
      </c>
      <c r="S2226" s="3">
        <f>NZD!C2226/1</f>
        <v>0.65859999999999996</v>
      </c>
      <c r="T2226" s="4">
        <f>1/PHP!B2226</f>
        <v>1.8709073900841908E-2</v>
      </c>
      <c r="U2226" s="4">
        <f>1/PHP!C2226</f>
        <v>1.8681811388432223E-2</v>
      </c>
      <c r="V2226" s="4">
        <f>1/TWD!B2226</f>
        <v>3.2414910858995137E-2</v>
      </c>
      <c r="W2226" s="4">
        <f>1/TWD!C2226</f>
        <v>3.2415436230733077E-2</v>
      </c>
      <c r="X2226" s="4">
        <f>1/TWD!B2226</f>
        <v>3.2414910858995137E-2</v>
      </c>
      <c r="Y2226" s="4">
        <f>1/TWD!C2226</f>
        <v>3.2415436230733077E-2</v>
      </c>
      <c r="Z2226" s="4">
        <f>1/ZAR!B2226</f>
        <v>6.87616035205941E-2</v>
      </c>
      <c r="AA2226" s="4">
        <f>1/ZAR!C2226</f>
        <v>6.8481893387388373E-2</v>
      </c>
    </row>
    <row r="2227" spans="1:27" x14ac:dyDescent="0.25">
      <c r="A2227" t="str">
        <f>"20/08/2018"</f>
        <v>20/08/2018</v>
      </c>
      <c r="B2227" s="3">
        <f>AUD!B2227</f>
        <v>0.73050000000000004</v>
      </c>
      <c r="C2227" s="3">
        <f>AUD!C2227</f>
        <v>0.73050000000000004</v>
      </c>
      <c r="D2227" s="3">
        <f>1/CAD!B2227</f>
        <v>0.76487685482637302</v>
      </c>
      <c r="E2227" s="3">
        <f>1/CAD!C2227</f>
        <v>0.76522803795531069</v>
      </c>
      <c r="F2227" s="3">
        <f>EUR!B2227/1</f>
        <v>1.1417999999999999</v>
      </c>
      <c r="G2227" s="3">
        <f>EUR!C2227/1</f>
        <v>1.1445000000000001</v>
      </c>
      <c r="H2227" s="3">
        <f>GBP!B2227/1</f>
        <v>1.2762</v>
      </c>
      <c r="I2227" s="3">
        <f>GBP!C2227/1</f>
        <v>1.2778</v>
      </c>
      <c r="J2227" s="4">
        <f>1/INR!B2227</f>
        <v>1.4320492624946298E-2</v>
      </c>
      <c r="K2227" s="4">
        <f>1/INR!C2227</f>
        <v>1.4262791941522553E-2</v>
      </c>
      <c r="L2227" s="4">
        <f>1/JPY!B2227</f>
        <v>9.0432266232591783E-3</v>
      </c>
      <c r="M2227" s="4">
        <f>1/JPY!C2227</f>
        <v>9.06321684380724E-3</v>
      </c>
      <c r="N2227" s="5">
        <f>1/KRW!B2227</f>
        <v>8.902341315766047E-4</v>
      </c>
      <c r="O2227" s="5">
        <f>1/KRW!C2227</f>
        <v>8.9023666763761802E-4</v>
      </c>
      <c r="P2227" s="3">
        <f>1/NOK!B2227</f>
        <v>0.1180163806736375</v>
      </c>
      <c r="Q2227" s="3">
        <f>1/NOK!C2227</f>
        <v>0.11816838995568685</v>
      </c>
      <c r="R2227" s="3">
        <f>NZD!B2227/1</f>
        <v>0.66180000000000005</v>
      </c>
      <c r="S2227" s="3">
        <f>NZD!C2227/1</f>
        <v>0.66169999999999995</v>
      </c>
      <c r="T2227" s="4">
        <f>1/PHP!B2227</f>
        <v>1.8726591760299626E-2</v>
      </c>
      <c r="U2227" s="4">
        <f>1/PHP!C2227</f>
        <v>1.8699278207861176E-2</v>
      </c>
      <c r="V2227" s="4">
        <f>1/TWD!B2227</f>
        <v>3.2506582582973051E-2</v>
      </c>
      <c r="W2227" s="4">
        <f>1/TWD!C2227</f>
        <v>3.2507110930516052E-2</v>
      </c>
      <c r="X2227" s="4">
        <f>1/TWD!B2227</f>
        <v>3.2506582582973051E-2</v>
      </c>
      <c r="Y2227" s="4">
        <f>1/TWD!C2227</f>
        <v>3.2507110930516052E-2</v>
      </c>
      <c r="Z2227" s="4">
        <f>1/ZAR!B2227</f>
        <v>6.8699248430222168E-2</v>
      </c>
      <c r="AA2227" s="4">
        <f>1/ZAR!C2227</f>
        <v>6.8379808810054565E-2</v>
      </c>
    </row>
    <row r="2228" spans="1:27" x14ac:dyDescent="0.25">
      <c r="A2228" t="str">
        <f>"21/08/2018"</f>
        <v>21/08/2018</v>
      </c>
      <c r="B2228" s="3">
        <f>AUD!B2228</f>
        <v>0.73599999999999999</v>
      </c>
      <c r="C2228" s="3">
        <f>AUD!C2228</f>
        <v>0.73599999999999999</v>
      </c>
      <c r="D2228" s="3">
        <f>1/CAD!B2228</f>
        <v>0.76822616578320657</v>
      </c>
      <c r="E2228" s="3">
        <f>1/CAD!C2228</f>
        <v>0.76863950807071491</v>
      </c>
      <c r="F2228" s="3">
        <f>EUR!B2228/1</f>
        <v>1.1526000000000001</v>
      </c>
      <c r="G2228" s="3">
        <f>EUR!C2228/1</f>
        <v>1.1552</v>
      </c>
      <c r="H2228" s="3">
        <f>GBP!B2228/1</f>
        <v>1.2839</v>
      </c>
      <c r="I2228" s="3">
        <f>GBP!C2228/1</f>
        <v>1.2854000000000001</v>
      </c>
      <c r="J2228" s="4">
        <f>1/INR!B2228</f>
        <v>1.4320492624946298E-2</v>
      </c>
      <c r="K2228" s="4">
        <f>1/INR!C2228</f>
        <v>1.4264317809000783E-2</v>
      </c>
      <c r="L2228" s="4">
        <f>1/JPY!B2228</f>
        <v>9.0727635637815277E-3</v>
      </c>
      <c r="M2228" s="4">
        <f>1/JPY!C2228</f>
        <v>9.0918596035040027E-3</v>
      </c>
      <c r="N2228" s="5">
        <f>1/KRW!B2228</f>
        <v>8.9389469920443372E-4</v>
      </c>
      <c r="O2228" s="5">
        <f>1/KRW!C2228</f>
        <v>8.9389749588024989E-4</v>
      </c>
      <c r="P2228" s="3">
        <f>1/NOK!B2228</f>
        <v>0.11864929640967228</v>
      </c>
      <c r="Q2228" s="3">
        <f>1/NOK!C2228</f>
        <v>0.1187958849105467</v>
      </c>
      <c r="R2228" s="3">
        <f>NZD!B2228/1</f>
        <v>0.66659999999999997</v>
      </c>
      <c r="S2228" s="3">
        <f>NZD!C2228/1</f>
        <v>0.66649999999999998</v>
      </c>
      <c r="T2228" s="4">
        <f>1/PHP!B2228</f>
        <v>1.8726591760299626E-2</v>
      </c>
      <c r="U2228" s="4">
        <f>1/PHP!C2228</f>
        <v>1.8699278207861176E-2</v>
      </c>
      <c r="V2228" s="4">
        <f>1/TWD!B2228</f>
        <v>3.2541490400260331E-2</v>
      </c>
      <c r="W2228" s="4">
        <f>1/TWD!C2228</f>
        <v>3.254201988317415E-2</v>
      </c>
      <c r="X2228" s="4">
        <f>1/TWD!B2228</f>
        <v>3.2541490400260331E-2</v>
      </c>
      <c r="Y2228" s="4">
        <f>1/TWD!C2228</f>
        <v>3.254201988317415E-2</v>
      </c>
      <c r="Z2228" s="4">
        <f>1/ZAR!B2228</f>
        <v>6.9367369589345168E-2</v>
      </c>
      <c r="AA2228" s="4">
        <f>1/ZAR!C2228</f>
        <v>6.9057435068746675E-2</v>
      </c>
    </row>
    <row r="2229" spans="1:27" x14ac:dyDescent="0.25">
      <c r="A2229" t="str">
        <f>"23/08/2018"</f>
        <v>23/08/2018</v>
      </c>
      <c r="B2229" s="3">
        <f>AUD!B2229</f>
        <v>0.72929999999999995</v>
      </c>
      <c r="C2229" s="3">
        <f>AUD!C2229</f>
        <v>0.72940000000000005</v>
      </c>
      <c r="D2229" s="3">
        <f>1/CAD!B2229</f>
        <v>0.76722418290624528</v>
      </c>
      <c r="E2229" s="3">
        <f>1/CAD!C2229</f>
        <v>0.76757752533005841</v>
      </c>
      <c r="F2229" s="3">
        <f>EUR!B2229/1</f>
        <v>1.1583000000000001</v>
      </c>
      <c r="G2229" s="3">
        <f>EUR!C2229/1</f>
        <v>1.1608000000000001</v>
      </c>
      <c r="H2229" s="3">
        <f>GBP!B2229/1</f>
        <v>1.2892999999999999</v>
      </c>
      <c r="I2229" s="3">
        <f>GBP!C2229/1</f>
        <v>1.2907999999999999</v>
      </c>
      <c r="J2229" s="4">
        <f>1/INR!B2229</f>
        <v>1.4260757959285535E-2</v>
      </c>
      <c r="K2229" s="4">
        <f>1/INR!C2229</f>
        <v>1.4204041049678633E-2</v>
      </c>
      <c r="L2229" s="4">
        <f>1/JPY!B2229</f>
        <v>9.0277150853119072E-3</v>
      </c>
      <c r="M2229" s="4">
        <f>1/JPY!C2229</f>
        <v>9.0452388576225135E-3</v>
      </c>
      <c r="N2229" s="5">
        <f>1/KRW!B2229</f>
        <v>8.9166295140436912E-4</v>
      </c>
      <c r="O2229" s="5">
        <f>1/KRW!C2229</f>
        <v>8.9166613166698759E-4</v>
      </c>
      <c r="P2229" s="3">
        <f>1/NOK!B2229</f>
        <v>0.11993283761093788</v>
      </c>
      <c r="Q2229" s="3">
        <f>1/NOK!C2229</f>
        <v>0.12007684918347744</v>
      </c>
      <c r="R2229" s="3">
        <f>NZD!B2229/1</f>
        <v>0.66759999999999997</v>
      </c>
      <c r="S2229" s="3">
        <f>NZD!C2229/1</f>
        <v>0.66749999999999998</v>
      </c>
      <c r="T2229" s="4">
        <f>1/PHP!B2229</f>
        <v>1.86898420708345E-2</v>
      </c>
      <c r="U2229" s="4">
        <f>1/PHP!C2229</f>
        <v>1.8668209905352177E-2</v>
      </c>
      <c r="V2229" s="4">
        <f>1/TWD!B2229</f>
        <v>3.2478077297823968E-2</v>
      </c>
      <c r="W2229" s="4">
        <f>1/TWD!C2229</f>
        <v>3.2478604719141269E-2</v>
      </c>
      <c r="X2229" s="4">
        <f>1/TWD!B2229</f>
        <v>3.2478077297823968E-2</v>
      </c>
      <c r="Y2229" s="4">
        <f>1/TWD!C2229</f>
        <v>3.2478604719141269E-2</v>
      </c>
      <c r="Z2229" s="4">
        <f>1/ZAR!B2229</f>
        <v>7.0208941810829026E-2</v>
      </c>
      <c r="AA2229" s="4">
        <f>1/ZAR!C2229</f>
        <v>6.9915402363140602E-2</v>
      </c>
    </row>
    <row r="2230" spans="1:27" x14ac:dyDescent="0.25">
      <c r="A2230" t="str">
        <f>"24/08/2018"</f>
        <v>24/08/2018</v>
      </c>
      <c r="B2230" s="3">
        <f>AUD!B2230</f>
        <v>0.7298</v>
      </c>
      <c r="C2230" s="3">
        <f>AUD!C2230</f>
        <v>0.72989999999999999</v>
      </c>
      <c r="D2230" s="3">
        <f>1/CAD!B2230</f>
        <v>0.76511094108645761</v>
      </c>
      <c r="E2230" s="3">
        <f>1/CAD!C2230</f>
        <v>0.76546233925290874</v>
      </c>
      <c r="F2230" s="3">
        <f>EUR!B2230/1</f>
        <v>1.1583000000000001</v>
      </c>
      <c r="G2230" s="3">
        <f>EUR!C2230/1</f>
        <v>1.1608000000000001</v>
      </c>
      <c r="H2230" s="3">
        <f>GBP!B2230/1</f>
        <v>1.2854000000000001</v>
      </c>
      <c r="I2230" s="3">
        <f>GBP!C2230/1</f>
        <v>1.2868999999999999</v>
      </c>
      <c r="J2230" s="4">
        <f>1/INR!B2230</f>
        <v>1.4303082314238717E-2</v>
      </c>
      <c r="K2230" s="4">
        <f>1/INR!C2230</f>
        <v>1.4246028919438708E-2</v>
      </c>
      <c r="L2230" s="4">
        <f>1/JPY!B2230</f>
        <v>8.9798850574712638E-3</v>
      </c>
      <c r="M2230" s="4">
        <f>1/JPY!C2230</f>
        <v>8.9973286931110154E-3</v>
      </c>
      <c r="N2230" s="5">
        <f>1/KRW!B2230</f>
        <v>8.9357519435260483E-4</v>
      </c>
      <c r="O2230" s="5">
        <f>1/KRW!C2230</f>
        <v>8.9357774948512045E-4</v>
      </c>
      <c r="P2230" s="3">
        <f>1/NOK!B2230</f>
        <v>0.11954858454475897</v>
      </c>
      <c r="Q2230" s="3">
        <f>1/NOK!C2230</f>
        <v>0.11969167424713938</v>
      </c>
      <c r="R2230" s="3">
        <f>NZD!B2230/1</f>
        <v>0.66649999999999998</v>
      </c>
      <c r="S2230" s="3">
        <f>NZD!C2230/1</f>
        <v>0.66649999999999998</v>
      </c>
      <c r="T2230" s="4">
        <f>1/PHP!B2230</f>
        <v>1.8686349621601421E-2</v>
      </c>
      <c r="U2230" s="4">
        <f>1/PHP!C2230</f>
        <v>1.8663680477790223E-2</v>
      </c>
      <c r="V2230" s="4">
        <f>1/TWD!B2230</f>
        <v>3.2485462755416951E-2</v>
      </c>
      <c r="W2230" s="4">
        <f>1/TWD!C2230</f>
        <v>3.2485990416632832E-2</v>
      </c>
      <c r="X2230" s="4">
        <f>1/TWD!B2230</f>
        <v>3.2485462755416951E-2</v>
      </c>
      <c r="Y2230" s="4">
        <f>1/TWD!C2230</f>
        <v>3.2485990416632832E-2</v>
      </c>
      <c r="Z2230" s="4">
        <f>1/ZAR!B2230</f>
        <v>7.0183318828780775E-2</v>
      </c>
      <c r="AA2230" s="4">
        <f>1/ZAR!C2230</f>
        <v>6.9894878103332586E-2</v>
      </c>
    </row>
    <row r="2231" spans="1:27" x14ac:dyDescent="0.25">
      <c r="A2231" t="str">
        <f>"27/08/2018"</f>
        <v>27/08/2018</v>
      </c>
      <c r="B2231" s="3">
        <f>AUD!B2231</f>
        <v>0.73170000000000002</v>
      </c>
      <c r="C2231" s="3">
        <f>AUD!C2231</f>
        <v>0.73180000000000001</v>
      </c>
      <c r="D2231" s="3">
        <f>1/CAD!B2231</f>
        <v>0.76616610481152314</v>
      </c>
      <c r="E2231" s="3">
        <f>1/CAD!C2231</f>
        <v>0.7665184730952016</v>
      </c>
      <c r="F2231" s="3">
        <f>EUR!B2231/1</f>
        <v>1.1620999999999999</v>
      </c>
      <c r="G2231" s="3">
        <f>EUR!C2231/1</f>
        <v>1.1646000000000001</v>
      </c>
      <c r="H2231" s="3">
        <f>GBP!B2231/1</f>
        <v>1.2856000000000001</v>
      </c>
      <c r="I2231" s="3">
        <f>GBP!C2231/1</f>
        <v>1.2870999999999999</v>
      </c>
      <c r="J2231" s="4">
        <f>1/INR!B2231</f>
        <v>1.4252120002850423E-2</v>
      </c>
      <c r="K2231" s="4">
        <f>1/INR!C2231</f>
        <v>1.4198494959534288E-2</v>
      </c>
      <c r="L2231" s="4">
        <f>1/JPY!B2231</f>
        <v>9.0017103249617429E-3</v>
      </c>
      <c r="M2231" s="4">
        <f>1/JPY!C2231</f>
        <v>9.01864514697686E-3</v>
      </c>
      <c r="N2231" s="5">
        <f>1/KRW!B2231</f>
        <v>8.9766606822262122E-4</v>
      </c>
      <c r="O2231" s="5">
        <f>1/KRW!C2231</f>
        <v>8.9766767983425464E-4</v>
      </c>
      <c r="P2231" s="3">
        <f>1/NOK!B2231</f>
        <v>0.11973466797576569</v>
      </c>
      <c r="Q2231" s="3">
        <f>1/NOK!C2231</f>
        <v>0.11987245570712761</v>
      </c>
      <c r="R2231" s="3">
        <f>NZD!B2231/1</f>
        <v>0.66749999999999998</v>
      </c>
      <c r="S2231" s="3">
        <f>NZD!C2231/1</f>
        <v>0.66749999999999998</v>
      </c>
      <c r="T2231" s="4">
        <f>1/PHP!B2231</f>
        <v>1.8686349621601421E-2</v>
      </c>
      <c r="U2231" s="4">
        <f>1/PHP!C2231</f>
        <v>1.8663680477790223E-2</v>
      </c>
      <c r="V2231" s="4">
        <f>1/TWD!B2231</f>
        <v>3.2497075263226309E-2</v>
      </c>
      <c r="W2231" s="4">
        <f>1/TWD!C2231</f>
        <v>3.2497603301756495E-2</v>
      </c>
      <c r="X2231" s="4">
        <f>1/TWD!B2231</f>
        <v>3.2497075263226309E-2</v>
      </c>
      <c r="Y2231" s="4">
        <f>1/TWD!C2231</f>
        <v>3.2497603301756495E-2</v>
      </c>
      <c r="Z2231" s="4">
        <f>1/ZAR!B2231</f>
        <v>6.9754464285714288E-2</v>
      </c>
      <c r="AA2231" s="4">
        <f>1/ZAR!C2231</f>
        <v>6.9476770441802782E-2</v>
      </c>
    </row>
    <row r="2232" spans="1:27" x14ac:dyDescent="0.25">
      <c r="A2232" t="str">
        <f>"28/08/2018"</f>
        <v>28/08/2018</v>
      </c>
      <c r="B2232" s="3">
        <f>AUD!B2232</f>
        <v>0.73440000000000005</v>
      </c>
      <c r="C2232" s="3">
        <f>AUD!C2232</f>
        <v>0.73450000000000004</v>
      </c>
      <c r="D2232" s="3">
        <f>1/CAD!B2232</f>
        <v>0.77297673340032458</v>
      </c>
      <c r="E2232" s="3">
        <f>1/CAD!C2232</f>
        <v>0.77339520494972935</v>
      </c>
      <c r="F2232" s="3">
        <f>EUR!B2232/1</f>
        <v>1.1696</v>
      </c>
      <c r="G2232" s="3">
        <f>EUR!C2232/1</f>
        <v>1.1719999999999999</v>
      </c>
      <c r="H2232" s="3">
        <f>GBP!B2232/1</f>
        <v>1.2895000000000001</v>
      </c>
      <c r="I2232" s="3">
        <f>GBP!C2232/1</f>
        <v>1.2908999999999999</v>
      </c>
      <c r="J2232" s="4">
        <f>1/INR!B2232</f>
        <v>1.426330052774212E-2</v>
      </c>
      <c r="K2232" s="4">
        <f>1/INR!C2232</f>
        <v>1.4210096273402252E-2</v>
      </c>
      <c r="L2232" s="4">
        <f>1/JPY!B2232</f>
        <v>9.0000900009000098E-3</v>
      </c>
      <c r="M2232" s="4">
        <f>1/JPY!C2232</f>
        <v>9.0164496106697051E-3</v>
      </c>
      <c r="N2232" s="5">
        <f>1/KRW!B2232</f>
        <v>9.0090090090090091E-4</v>
      </c>
      <c r="O2232" s="5">
        <f>1/KRW!C2232</f>
        <v>9.0090171252406532E-4</v>
      </c>
      <c r="P2232" s="3">
        <f>1/NOK!B2232</f>
        <v>0.12026892130804478</v>
      </c>
      <c r="Q2232" s="3">
        <f>1/NOK!C2232</f>
        <v>0.12040359284321044</v>
      </c>
      <c r="R2232" s="3">
        <f>NZD!B2232/1</f>
        <v>0.67059999999999997</v>
      </c>
      <c r="S2232" s="3">
        <f>NZD!C2232/1</f>
        <v>0.67059999999999997</v>
      </c>
      <c r="T2232" s="4">
        <f>1/PHP!B2232</f>
        <v>1.8747656542932131E-2</v>
      </c>
      <c r="U2232" s="4">
        <f>1/PHP!C2232</f>
        <v>1.8728345350688267E-2</v>
      </c>
      <c r="V2232" s="4">
        <f>1/TWD!B2232</f>
        <v>3.2547845332638978E-2</v>
      </c>
      <c r="W2232" s="4">
        <f>1/TWD!C2232</f>
        <v>3.2548375022377007E-2</v>
      </c>
      <c r="X2232" s="4">
        <f>1/TWD!B2232</f>
        <v>3.2547845332638978E-2</v>
      </c>
      <c r="Y2232" s="4">
        <f>1/TWD!C2232</f>
        <v>3.2548375022377007E-2</v>
      </c>
      <c r="Z2232" s="4">
        <f>1/ZAR!B2232</f>
        <v>7.0577607136807635E-2</v>
      </c>
      <c r="AA2232" s="4">
        <f>1/ZAR!C2232</f>
        <v>7.0302229283690593E-2</v>
      </c>
    </row>
    <row r="2233" spans="1:27" x14ac:dyDescent="0.25">
      <c r="A2233" t="str">
        <f>"29/08/2018"</f>
        <v>29/08/2018</v>
      </c>
      <c r="B2233" s="3">
        <f>AUD!B2233</f>
        <v>0.72989999999999999</v>
      </c>
      <c r="C2233" s="3">
        <f>AUD!C2233</f>
        <v>0.72989999999999999</v>
      </c>
      <c r="D2233" s="3">
        <f>1/CAD!B2233</f>
        <v>0.77273781006104625</v>
      </c>
      <c r="E2233" s="3">
        <f>1/CAD!C2233</f>
        <v>0.77315602288541818</v>
      </c>
      <c r="F2233" s="3">
        <f>EUR!B2233/1</f>
        <v>1.1664000000000001</v>
      </c>
      <c r="G2233" s="3">
        <f>EUR!C2233/1</f>
        <v>1.1687000000000001</v>
      </c>
      <c r="H2233" s="3">
        <f>GBP!B2233/1</f>
        <v>1.2887999999999999</v>
      </c>
      <c r="I2233" s="3">
        <f>GBP!C2233/1</f>
        <v>1.2902</v>
      </c>
      <c r="J2233" s="4">
        <f>1/INR!B2233</f>
        <v>1.416480753567761E-2</v>
      </c>
      <c r="K2233" s="4">
        <f>1/INR!C2233</f>
        <v>1.4114326040931546E-2</v>
      </c>
      <c r="L2233" s="4">
        <f>1/JPY!B2233</f>
        <v>8.9903802930863964E-3</v>
      </c>
      <c r="M2233" s="4">
        <f>1/JPY!C2233</f>
        <v>9.0060881155661233E-3</v>
      </c>
      <c r="N2233" s="5">
        <f>1/KRW!B2233</f>
        <v>9.0057636887608066E-4</v>
      </c>
      <c r="O2233" s="5">
        <f>1/KRW!C2233</f>
        <v>9.0057742322645015E-4</v>
      </c>
      <c r="P2233" s="3">
        <f>1/NOK!B2233</f>
        <v>0.11965300628178283</v>
      </c>
      <c r="Q2233" s="3">
        <f>1/NOK!C2233</f>
        <v>0.11978056201039697</v>
      </c>
      <c r="R2233" s="3">
        <f>NZD!B2233/1</f>
        <v>0.67010000000000003</v>
      </c>
      <c r="S2233" s="3">
        <f>NZD!C2233/1</f>
        <v>0.67010000000000003</v>
      </c>
      <c r="T2233" s="4">
        <f>1/PHP!B2233</f>
        <v>1.8688095683049896E-2</v>
      </c>
      <c r="U2233" s="4">
        <f>1/PHP!C2233</f>
        <v>1.8667861409796895E-2</v>
      </c>
      <c r="V2233" s="4">
        <f>1/TWD!B2233</f>
        <v>3.2564803959880165E-2</v>
      </c>
      <c r="W2233" s="4">
        <f>1/TWD!C2233</f>
        <v>3.256522815198843E-2</v>
      </c>
      <c r="X2233" s="4">
        <f>1/TWD!B2233</f>
        <v>3.2564803959880165E-2</v>
      </c>
      <c r="Y2233" s="4">
        <f>1/TWD!C2233</f>
        <v>3.256522815198843E-2</v>
      </c>
      <c r="Z2233" s="4">
        <f>1/ZAR!B2233</f>
        <v>6.9524107484270167E-2</v>
      </c>
      <c r="AA2233" s="4">
        <f>1/ZAR!C2233</f>
        <v>6.926167059149467E-2</v>
      </c>
    </row>
    <row r="2234" spans="1:27" x14ac:dyDescent="0.25">
      <c r="A2234" t="str">
        <f>"30/08/2018"</f>
        <v>30/08/2018</v>
      </c>
      <c r="B2234" s="3">
        <f>AUD!B2234</f>
        <v>0.7298</v>
      </c>
      <c r="C2234" s="3">
        <f>AUD!C2234</f>
        <v>0.72970000000000002</v>
      </c>
      <c r="D2234" s="3">
        <f>1/CAD!B2234</f>
        <v>0.77339520494972935</v>
      </c>
      <c r="E2234" s="3">
        <f>1/CAD!C2234</f>
        <v>0.77375425564840605</v>
      </c>
      <c r="F2234" s="3">
        <f>EUR!B2234/1</f>
        <v>1.1691</v>
      </c>
      <c r="G2234" s="3">
        <f>EUR!C2234/1</f>
        <v>1.1717</v>
      </c>
      <c r="H2234" s="3">
        <f>GBP!B2234/1</f>
        <v>1.3013999999999999</v>
      </c>
      <c r="I2234" s="3">
        <f>GBP!C2234/1</f>
        <v>1.3029999999999999</v>
      </c>
      <c r="J2234" s="4">
        <f>1/INR!B2234</f>
        <v>1.4136273678258413E-2</v>
      </c>
      <c r="K2234" s="4">
        <f>1/INR!C2234</f>
        <v>1.4083019399359223E-2</v>
      </c>
      <c r="L2234" s="4">
        <f>1/JPY!B2234</f>
        <v>8.9678055779750694E-3</v>
      </c>
      <c r="M2234" s="4">
        <f>1/JPY!C2234</f>
        <v>8.986534576590436E-3</v>
      </c>
      <c r="N2234" s="5">
        <f>1/KRW!B2234</f>
        <v>9.0187590187590188E-4</v>
      </c>
      <c r="O2234" s="5">
        <f>1/KRW!C2234</f>
        <v>9.0187793533084276E-4</v>
      </c>
      <c r="P2234" s="3">
        <f>1/NOK!B2234</f>
        <v>0.12008117487421496</v>
      </c>
      <c r="Q2234" s="3">
        <f>1/NOK!C2234</f>
        <v>0.12022409771814663</v>
      </c>
      <c r="R2234" s="3">
        <f>NZD!B2234/1</f>
        <v>0.66620000000000001</v>
      </c>
      <c r="S2234" s="3">
        <f>NZD!C2234/1</f>
        <v>0.66620000000000001</v>
      </c>
      <c r="T2234" s="4">
        <f>1/PHP!B2234</f>
        <v>1.8698578908002993E-2</v>
      </c>
      <c r="U2234" s="4">
        <f>1/PHP!C2234</f>
        <v>1.8676577703901538E-2</v>
      </c>
      <c r="V2234" s="4">
        <f>1/TWD!B2234</f>
        <v>3.2561622871283905E-2</v>
      </c>
      <c r="W2234" s="4">
        <f>1/TWD!C2234</f>
        <v>3.2562153009556991E-2</v>
      </c>
      <c r="X2234" s="4">
        <f>1/TWD!B2234</f>
        <v>3.2561622871283905E-2</v>
      </c>
      <c r="Y2234" s="4">
        <f>1/TWD!C2234</f>
        <v>3.2562153009556991E-2</v>
      </c>
      <c r="Z2234" s="4">
        <f>1/ZAR!B2234</f>
        <v>6.835269993164729E-2</v>
      </c>
      <c r="AA2234" s="4">
        <f>1/ZAR!C2234</f>
        <v>6.8073982804511948E-2</v>
      </c>
    </row>
    <row r="2235" spans="1:27" x14ac:dyDescent="0.25">
      <c r="A2235" t="str">
        <f>"31/08/2018"</f>
        <v>31/08/2018</v>
      </c>
      <c r="B2235" s="3">
        <f>AUD!B2235</f>
        <v>0.71779999999999999</v>
      </c>
      <c r="C2235" s="3">
        <f>AUD!C2235</f>
        <v>0.72260000000000002</v>
      </c>
      <c r="D2235" s="3">
        <f>1/CAD!B2235</f>
        <v>0.76905329539337075</v>
      </c>
      <c r="E2235" s="3">
        <f>1/CAD!C2235</f>
        <v>0.76946752847029853</v>
      </c>
      <c r="F2235" s="3">
        <f>EUR!B2235/1</f>
        <v>1.1596</v>
      </c>
      <c r="G2235" s="3">
        <f>EUR!C2235/1</f>
        <v>1.1676</v>
      </c>
      <c r="H2235" s="3">
        <f>GBP!B2235/1</f>
        <v>1.2950999999999999</v>
      </c>
      <c r="I2235" s="3">
        <f>GBP!C2235/1</f>
        <v>1.3007</v>
      </c>
      <c r="J2235" s="4">
        <f>1/INR!B2235</f>
        <v>1.4084507042253521E-2</v>
      </c>
      <c r="K2235" s="4">
        <f>1/INR!C2235</f>
        <v>1.4029672757882921E-2</v>
      </c>
      <c r="L2235" s="4">
        <f>1/JPY!B2235</f>
        <v>9.0236419418877473E-3</v>
      </c>
      <c r="M2235" s="4">
        <f>1/JPY!C2235</f>
        <v>9.0425560774115132E-3</v>
      </c>
      <c r="N2235" s="5">
        <f>1/KRW!B2235</f>
        <v>8.9847259658580418E-4</v>
      </c>
      <c r="O2235" s="5">
        <f>1/KRW!C2235</f>
        <v>8.9847542198021285E-4</v>
      </c>
      <c r="P2235" s="3">
        <f>1/NOK!B2235</f>
        <v>0.11980639286912349</v>
      </c>
      <c r="Q2235" s="3">
        <f>1/NOK!C2235</f>
        <v>0.1199486619726757</v>
      </c>
      <c r="R2235" s="3">
        <f>NZD!B2235/1</f>
        <v>0.66339999999999999</v>
      </c>
      <c r="S2235" s="3">
        <f>NZD!C2235/1</f>
        <v>0.66339999999999999</v>
      </c>
      <c r="T2235" s="4">
        <f>1/PHP!B2235</f>
        <v>1.8682858477347034E-2</v>
      </c>
      <c r="U2235" s="4">
        <f>1/PHP!C2235</f>
        <v>1.8657412590022016E-2</v>
      </c>
      <c r="V2235" s="4">
        <f>1/TWD!B2235</f>
        <v>3.2540431486121506E-2</v>
      </c>
      <c r="W2235" s="4">
        <f>1/TWD!C2235</f>
        <v>3.2540960934576396E-2</v>
      </c>
      <c r="X2235" s="4">
        <f>1/TWD!B2235</f>
        <v>3.2540431486121506E-2</v>
      </c>
      <c r="Y2235" s="4">
        <f>1/TWD!C2235</f>
        <v>3.2540960934576396E-2</v>
      </c>
      <c r="Z2235" s="4">
        <f>1/ZAR!B2235</f>
        <v>6.7970799744429794E-2</v>
      </c>
      <c r="AA2235" s="4">
        <f>1/ZAR!C2235</f>
        <v>6.7576242896047467E-2</v>
      </c>
    </row>
    <row r="2236" spans="1:27" x14ac:dyDescent="0.25">
      <c r="A2236" t="str">
        <f>"03/09/2018"</f>
        <v>03/09/2018</v>
      </c>
      <c r="B2236" s="3">
        <f>AUD!B2236</f>
        <v>0.72070000000000001</v>
      </c>
      <c r="C2236" s="3">
        <f>AUD!C2236</f>
        <v>0.72060000000000002</v>
      </c>
      <c r="D2236" s="3">
        <f>1/CAD!B2236</f>
        <v>0.76552093699762691</v>
      </c>
      <c r="E2236" s="3">
        <f>1/CAD!C2236</f>
        <v>0.76593137254901955</v>
      </c>
      <c r="F2236" s="3">
        <f>EUR!B2236/1</f>
        <v>1.1614</v>
      </c>
      <c r="G2236" s="3">
        <f>EUR!C2236/1</f>
        <v>1.1639999999999999</v>
      </c>
      <c r="H2236" s="3">
        <f>GBP!B2236/1</f>
        <v>1.2867999999999999</v>
      </c>
      <c r="I2236" s="3">
        <f>GBP!C2236/1</f>
        <v>1.2884</v>
      </c>
      <c r="J2236" s="4">
        <f>1/INR!B2236</f>
        <v>1.4039028499227852E-2</v>
      </c>
      <c r="K2236" s="4">
        <f>1/INR!C2236</f>
        <v>1.3986503024581279E-2</v>
      </c>
      <c r="L2236" s="4">
        <f>1/JPY!B2236</f>
        <v>8.9992800575953921E-3</v>
      </c>
      <c r="M2236" s="4">
        <f>1/JPY!C2236</f>
        <v>9.0182954159102567E-3</v>
      </c>
      <c r="N2236" s="5">
        <f>1/KRW!B2236</f>
        <v>9.0057636887608066E-4</v>
      </c>
      <c r="O2236" s="5">
        <f>1/KRW!C2236</f>
        <v>9.0057758543441834E-4</v>
      </c>
      <c r="P2236" s="3">
        <f>1/NOK!B2236</f>
        <v>0.11965157461472194</v>
      </c>
      <c r="Q2236" s="3">
        <f>1/NOK!C2236</f>
        <v>0.11979347604729447</v>
      </c>
      <c r="R2236" s="3">
        <f>NZD!B2236/1</f>
        <v>0.66090000000000004</v>
      </c>
      <c r="S2236" s="3">
        <f>NZD!C2236/1</f>
        <v>0.66090000000000004</v>
      </c>
      <c r="T2236" s="4">
        <f>1/PHP!B2236</f>
        <v>1.8698578908002993E-2</v>
      </c>
      <c r="U2236" s="4">
        <f>1/PHP!C2236</f>
        <v>1.8674136321195144E-2</v>
      </c>
      <c r="V2236" s="4">
        <f>1/TWD!B2236</f>
        <v>3.2559502490801938E-2</v>
      </c>
      <c r="W2236" s="4">
        <f>1/TWD!C2236</f>
        <v>3.2560032560032565E-2</v>
      </c>
      <c r="X2236" s="4">
        <f>1/TWD!B2236</f>
        <v>3.2559502490801938E-2</v>
      </c>
      <c r="Y2236" s="4">
        <f>1/TWD!C2236</f>
        <v>3.2560032560032565E-2</v>
      </c>
      <c r="Z2236" s="4">
        <f>1/ZAR!B2236</f>
        <v>6.7430883344571813E-2</v>
      </c>
      <c r="AA2236" s="4">
        <f>1/ZAR!C2236</f>
        <v>6.7146991479046778E-2</v>
      </c>
    </row>
    <row r="2237" spans="1:27" x14ac:dyDescent="0.25">
      <c r="A2237" t="str">
        <f>"04/09/2018"</f>
        <v>04/09/2018</v>
      </c>
      <c r="B2237" s="3">
        <f>AUD!B2237</f>
        <v>0.71830000000000005</v>
      </c>
      <c r="C2237" s="3">
        <f>AUD!C2237</f>
        <v>0.71830000000000005</v>
      </c>
      <c r="D2237" s="3">
        <f>1/CAD!B2237</f>
        <v>0.76028282521097856</v>
      </c>
      <c r="E2237" s="3">
        <f>1/CAD!C2237</f>
        <v>0.76068766164612811</v>
      </c>
      <c r="F2237" s="3">
        <f>EUR!B2237/1</f>
        <v>1.1556999999999999</v>
      </c>
      <c r="G2237" s="3">
        <f>EUR!C2237/1</f>
        <v>1.1586000000000001</v>
      </c>
      <c r="H2237" s="3">
        <f>GBP!B2237/1</f>
        <v>1.2821</v>
      </c>
      <c r="I2237" s="3">
        <f>GBP!C2237/1</f>
        <v>1.2839</v>
      </c>
      <c r="J2237" s="4">
        <f>1/INR!B2237</f>
        <v>1.3968431345159939E-2</v>
      </c>
      <c r="K2237" s="4">
        <f>1/INR!C2237</f>
        <v>1.3912075681691709E-2</v>
      </c>
      <c r="L2237" s="4">
        <f>1/JPY!B2237</f>
        <v>8.9871483778197186E-3</v>
      </c>
      <c r="M2237" s="4">
        <f>1/JPY!C2237</f>
        <v>9.0081812301932625E-3</v>
      </c>
      <c r="N2237" s="5">
        <f>1/KRW!B2237</f>
        <v>8.9686098654708521E-4</v>
      </c>
      <c r="O2237" s="5">
        <f>1/KRW!C2237</f>
        <v>8.9686299745066699E-4</v>
      </c>
      <c r="P2237" s="3">
        <f>1/NOK!B2237</f>
        <v>0.11894000666064036</v>
      </c>
      <c r="Q2237" s="3">
        <f>1/NOK!C2237</f>
        <v>0.11909440613574382</v>
      </c>
      <c r="R2237" s="3">
        <f>NZD!B2237/1</f>
        <v>0.65510000000000002</v>
      </c>
      <c r="S2237" s="3">
        <f>NZD!C2237/1</f>
        <v>0.65510000000000002</v>
      </c>
      <c r="T2237" s="4">
        <f>1/PHP!B2237</f>
        <v>1.8661938975459549E-2</v>
      </c>
      <c r="U2237" s="4">
        <f>1/PHP!C2237</f>
        <v>1.8637939389421106E-2</v>
      </c>
      <c r="V2237" s="4">
        <f>1/TWD!B2237</f>
        <v>3.2503412858350129E-2</v>
      </c>
      <c r="W2237" s="4">
        <f>1/TWD!C2237</f>
        <v>3.2504046753820848E-2</v>
      </c>
      <c r="X2237" s="4">
        <f>1/TWD!B2237</f>
        <v>3.2503412858350129E-2</v>
      </c>
      <c r="Y2237" s="4">
        <f>1/TWD!C2237</f>
        <v>3.2504046753820848E-2</v>
      </c>
      <c r="Z2237" s="4">
        <f>1/ZAR!B2237</f>
        <v>6.5846656306792747E-2</v>
      </c>
      <c r="AA2237" s="4">
        <f>1/ZAR!C2237</f>
        <v>6.5535094042859954E-2</v>
      </c>
    </row>
    <row r="2238" spans="1:27" x14ac:dyDescent="0.25">
      <c r="A2238" t="str">
        <f>"05/09/2018"</f>
        <v>05/09/2018</v>
      </c>
      <c r="B2238" s="3">
        <f>AUD!B2238</f>
        <v>0.71760000000000002</v>
      </c>
      <c r="C2238" s="3">
        <f>AUD!C2238</f>
        <v>0.71760000000000002</v>
      </c>
      <c r="D2238" s="3">
        <f>1/CAD!B2238</f>
        <v>0.75901328273244784</v>
      </c>
      <c r="E2238" s="3">
        <f>1/CAD!C2238</f>
        <v>0.75953212820902327</v>
      </c>
      <c r="F2238" s="3">
        <f>EUR!B2238/1</f>
        <v>1.1586000000000001</v>
      </c>
      <c r="G2238" s="3">
        <f>EUR!C2238/1</f>
        <v>1.1614</v>
      </c>
      <c r="H2238" s="3">
        <f>GBP!B2238/1</f>
        <v>1.2821</v>
      </c>
      <c r="I2238" s="3">
        <f>GBP!C2238/1</f>
        <v>1.2838000000000001</v>
      </c>
      <c r="J2238" s="4">
        <f>1/INR!B2238</f>
        <v>1.3933398355858995E-2</v>
      </c>
      <c r="K2238" s="4">
        <f>1/INR!C2238</f>
        <v>1.3877324451845684E-2</v>
      </c>
      <c r="L2238" s="4">
        <f>1/JPY!B2238</f>
        <v>8.9597706298718757E-3</v>
      </c>
      <c r="M2238" s="4">
        <f>1/JPY!C2238</f>
        <v>8.9804173020311909E-3</v>
      </c>
      <c r="N2238" s="5">
        <f>1/KRW!B2238</f>
        <v>8.9182199233033086E-4</v>
      </c>
      <c r="O2238" s="5">
        <f>1/KRW!C2238</f>
        <v>8.9182318535162579E-4</v>
      </c>
      <c r="P2238" s="3">
        <f>1/NOK!B2238</f>
        <v>0.11901361515757403</v>
      </c>
      <c r="Q2238" s="3">
        <f>1/NOK!C2238</f>
        <v>0.1191639457565719</v>
      </c>
      <c r="R2238" s="3">
        <f>NZD!B2238/1</f>
        <v>0.65649999999999997</v>
      </c>
      <c r="S2238" s="3">
        <f>NZD!C2238/1</f>
        <v>0.65649999999999997</v>
      </c>
      <c r="T2238" s="4">
        <f>1/PHP!B2238</f>
        <v>1.8665422305179653E-2</v>
      </c>
      <c r="U2238" s="4">
        <f>1/PHP!C2238</f>
        <v>1.8634813558690348E-2</v>
      </c>
      <c r="V2238" s="4">
        <f>1/TWD!B2238</f>
        <v>3.2463316452408783E-2</v>
      </c>
      <c r="W2238" s="4">
        <f>1/TWD!C2238</f>
        <v>3.2463948784874394E-2</v>
      </c>
      <c r="X2238" s="4">
        <f>1/TWD!B2238</f>
        <v>3.2463316452408783E-2</v>
      </c>
      <c r="Y2238" s="4">
        <f>1/TWD!C2238</f>
        <v>3.2463948784874394E-2</v>
      </c>
      <c r="Z2238" s="4">
        <f>1/ZAR!B2238</f>
        <v>6.4418462331304147E-2</v>
      </c>
      <c r="AA2238" s="4">
        <f>1/ZAR!C2238</f>
        <v>6.4129284637829867E-2</v>
      </c>
    </row>
    <row r="2239" spans="1:27" x14ac:dyDescent="0.25">
      <c r="A2239" t="str">
        <f>"06/09/2018"</f>
        <v>06/09/2018</v>
      </c>
      <c r="B2239" s="3">
        <f>AUD!B2239</f>
        <v>0.7198</v>
      </c>
      <c r="C2239" s="3">
        <f>AUD!C2239</f>
        <v>0.7198</v>
      </c>
      <c r="D2239" s="3">
        <f>1/CAD!B2239</f>
        <v>0.75861022606584738</v>
      </c>
      <c r="E2239" s="3">
        <f>1/CAD!C2239</f>
        <v>0.75907089722180054</v>
      </c>
      <c r="F2239" s="3">
        <f>EUR!B2239/1</f>
        <v>1.163</v>
      </c>
      <c r="G2239" s="3">
        <f>EUR!C2239/1</f>
        <v>1.1656</v>
      </c>
      <c r="H2239" s="3">
        <f>GBP!B2239/1</f>
        <v>1.2936000000000001</v>
      </c>
      <c r="I2239" s="3">
        <f>GBP!C2239/1</f>
        <v>1.2951999999999999</v>
      </c>
      <c r="J2239" s="4">
        <f>1/INR!B2239</f>
        <v>1.3890335798867936E-2</v>
      </c>
      <c r="K2239" s="4">
        <f>1/INR!C2239</f>
        <v>1.3837000138370002E-2</v>
      </c>
      <c r="L2239" s="4">
        <f>1/JPY!B2239</f>
        <v>8.9847259658580418E-3</v>
      </c>
      <c r="M2239" s="4">
        <f>1/JPY!C2239</f>
        <v>9.004271626459592E-3</v>
      </c>
      <c r="N2239" s="5">
        <f>1/KRW!B2239</f>
        <v>8.8967971530249106E-4</v>
      </c>
      <c r="O2239" s="5">
        <f>1/KRW!C2239</f>
        <v>8.8968090259906939E-4</v>
      </c>
      <c r="P2239" s="3">
        <f>1/NOK!B2239</f>
        <v>0.11900653345868688</v>
      </c>
      <c r="Q2239" s="3">
        <f>1/NOK!C2239</f>
        <v>0.11914832775322</v>
      </c>
      <c r="R2239" s="3">
        <f>NZD!B2239/1</f>
        <v>0.65949999999999998</v>
      </c>
      <c r="S2239" s="3">
        <f>NZD!C2239/1</f>
        <v>0.65949999999999998</v>
      </c>
      <c r="T2239" s="4">
        <f>1/PHP!B2239</f>
        <v>1.8577691907557405E-2</v>
      </c>
      <c r="U2239" s="4">
        <f>1/PHP!C2239</f>
        <v>1.8532933021980058E-2</v>
      </c>
      <c r="V2239" s="4">
        <f>1/TWD!B2239</f>
        <v>3.2465424323095904E-2</v>
      </c>
      <c r="W2239" s="4">
        <f>1/TWD!C2239</f>
        <v>3.2466056737680757E-2</v>
      </c>
      <c r="X2239" s="4">
        <f>1/TWD!B2239</f>
        <v>3.2465424323095904E-2</v>
      </c>
      <c r="Y2239" s="4">
        <f>1/TWD!C2239</f>
        <v>3.2466056737680757E-2</v>
      </c>
      <c r="Z2239" s="4">
        <f>1/ZAR!B2239</f>
        <v>6.5338124795818367E-2</v>
      </c>
      <c r="AA2239" s="4">
        <f>1/ZAR!C2239</f>
        <v>6.5063925306613743E-2</v>
      </c>
    </row>
    <row r="2240" spans="1:27" x14ac:dyDescent="0.25">
      <c r="A2240" t="str">
        <f>"07/09/2018"</f>
        <v>07/09/2018</v>
      </c>
      <c r="B2240" s="3">
        <f>AUD!B2240</f>
        <v>0.71630000000000005</v>
      </c>
      <c r="C2240" s="3">
        <f>AUD!C2240</f>
        <v>0.71630000000000005</v>
      </c>
      <c r="D2240" s="3">
        <f>1/CAD!B2240</f>
        <v>0.76178867982021792</v>
      </c>
      <c r="E2240" s="3">
        <f>1/CAD!C2240</f>
        <v>0.76225322051985667</v>
      </c>
      <c r="F2240" s="3">
        <f>EUR!B2240/1</f>
        <v>1.1606000000000001</v>
      </c>
      <c r="G2240" s="3">
        <f>EUR!C2240/1</f>
        <v>1.1632</v>
      </c>
      <c r="H2240" s="3">
        <f>GBP!B2240/1</f>
        <v>1.2989999999999999</v>
      </c>
      <c r="I2240" s="3">
        <f>GBP!C2240/1</f>
        <v>1.3006</v>
      </c>
      <c r="J2240" s="4">
        <f>1/INR!B2240</f>
        <v>1.3939224979091164E-2</v>
      </c>
      <c r="K2240" s="4">
        <f>1/INR!C2240</f>
        <v>1.3885995973061168E-2</v>
      </c>
      <c r="L2240" s="4">
        <f>1/JPY!B2240</f>
        <v>9.0203860725239036E-3</v>
      </c>
      <c r="M2240" s="4">
        <f>1/JPY!C2240</f>
        <v>9.0401118804246325E-3</v>
      </c>
      <c r="N2240" s="5">
        <f>1/KRW!B2240</f>
        <v>8.9047195013357077E-4</v>
      </c>
      <c r="O2240" s="5">
        <f>1/KRW!C2240</f>
        <v>8.9047274307457085E-4</v>
      </c>
      <c r="P2240" s="3">
        <f>1/NOK!B2240</f>
        <v>0.11875356260687821</v>
      </c>
      <c r="Q2240" s="3">
        <f>1/NOK!C2240</f>
        <v>0.11889475436343748</v>
      </c>
      <c r="R2240" s="3">
        <f>NZD!B2240/1</f>
        <v>0.65769999999999995</v>
      </c>
      <c r="S2240" s="3">
        <f>NZD!C2240/1</f>
        <v>0.65769999999999995</v>
      </c>
      <c r="T2240" s="4">
        <f>1/PHP!B2240</f>
        <v>1.859427296392711E-2</v>
      </c>
      <c r="U2240" s="4">
        <f>1/PHP!C2240</f>
        <v>1.8556318426424197E-2</v>
      </c>
      <c r="V2240" s="4">
        <f>1/TWD!B2240</f>
        <v>3.2490740139060371E-2</v>
      </c>
      <c r="W2240" s="4">
        <f>1/TWD!C2240</f>
        <v>3.2491373540325046E-2</v>
      </c>
      <c r="X2240" s="4">
        <f>1/TWD!B2240</f>
        <v>3.2490740139060371E-2</v>
      </c>
      <c r="Y2240" s="4">
        <f>1/TWD!C2240</f>
        <v>3.2491373540325046E-2</v>
      </c>
      <c r="Z2240" s="4">
        <f>1/ZAR!B2240</f>
        <v>6.6053252131868717E-2</v>
      </c>
      <c r="AA2240" s="4">
        <f>1/ZAR!C2240</f>
        <v>6.5778654826508798E-2</v>
      </c>
    </row>
    <row r="2241" spans="1:27" x14ac:dyDescent="0.25">
      <c r="A2241" t="str">
        <f>"10/09/2018"</f>
        <v>10/09/2018</v>
      </c>
      <c r="B2241" s="3">
        <f>AUD!B2241</f>
        <v>0.71209999999999996</v>
      </c>
      <c r="C2241" s="3">
        <f>AUD!C2241</f>
        <v>0.71209999999999996</v>
      </c>
      <c r="D2241" s="3">
        <f>1/CAD!B2241</f>
        <v>0.75832259042996897</v>
      </c>
      <c r="E2241" s="3">
        <f>1/CAD!C2241</f>
        <v>0.758782912208817</v>
      </c>
      <c r="F2241" s="3">
        <f>EUR!B2241/1</f>
        <v>1.1572</v>
      </c>
      <c r="G2241" s="3">
        <f>EUR!C2241/1</f>
        <v>1.1597999999999999</v>
      </c>
      <c r="H2241" s="3">
        <f>GBP!B2241/1</f>
        <v>1.2926</v>
      </c>
      <c r="I2241" s="3">
        <f>GBP!C2241/1</f>
        <v>1.2942</v>
      </c>
      <c r="J2241" s="4">
        <f>1/INR!B2241</f>
        <v>1.3800241504226323E-2</v>
      </c>
      <c r="K2241" s="4">
        <f>1/INR!C2241</f>
        <v>1.3747121696394816E-2</v>
      </c>
      <c r="L2241" s="4">
        <f>1/JPY!B2241</f>
        <v>9.0000900009000098E-3</v>
      </c>
      <c r="M2241" s="4">
        <f>1/JPY!C2241</f>
        <v>9.0196131487920474E-3</v>
      </c>
      <c r="N2241" s="5">
        <f>1/KRW!B2241</f>
        <v>8.8613203367301726E-4</v>
      </c>
      <c r="O2241" s="5">
        <f>1/KRW!C2241</f>
        <v>8.8613321151955458E-4</v>
      </c>
      <c r="P2241" s="3">
        <f>1/NOK!B2241</f>
        <v>0.1192293017932087</v>
      </c>
      <c r="Q2241" s="3">
        <f>1/NOK!C2241</f>
        <v>0.11937162775151601</v>
      </c>
      <c r="R2241" s="3">
        <f>NZD!B2241/1</f>
        <v>0.65349999999999997</v>
      </c>
      <c r="S2241" s="3">
        <f>NZD!C2241/1</f>
        <v>0.65349999999999997</v>
      </c>
      <c r="T2241" s="4">
        <f>1/PHP!B2241</f>
        <v>1.8542555164101613E-2</v>
      </c>
      <c r="U2241" s="4">
        <f>1/PHP!C2241</f>
        <v>1.8494544109487702E-2</v>
      </c>
      <c r="V2241" s="4">
        <f>1/TWD!B2241</f>
        <v>3.2435939020434644E-2</v>
      </c>
      <c r="W2241" s="4">
        <f>1/TWD!C2241</f>
        <v>3.2436570286804155E-2</v>
      </c>
      <c r="X2241" s="4">
        <f>1/TWD!B2241</f>
        <v>3.2435939020434644E-2</v>
      </c>
      <c r="Y2241" s="4">
        <f>1/TWD!C2241</f>
        <v>3.2436570286804155E-2</v>
      </c>
      <c r="Z2241" s="4">
        <f>1/ZAR!B2241</f>
        <v>6.5881360845389619E-2</v>
      </c>
      <c r="AA2241" s="4">
        <f>1/ZAR!C2241</f>
        <v>6.5605605342920495E-2</v>
      </c>
    </row>
    <row r="2242" spans="1:27" x14ac:dyDescent="0.25">
      <c r="A2242" t="str">
        <f>"11/09/2018"</f>
        <v>11/09/2018</v>
      </c>
      <c r="B2242" s="3">
        <f>AUD!B2242</f>
        <v>0.71250000000000002</v>
      </c>
      <c r="C2242" s="3">
        <f>AUD!C2242</f>
        <v>0.71260000000000001</v>
      </c>
      <c r="D2242" s="3">
        <f>1/CAD!B2242</f>
        <v>0.76068766164612811</v>
      </c>
      <c r="E2242" s="3">
        <f>1/CAD!C2242</f>
        <v>0.76115086010047184</v>
      </c>
      <c r="F2242" s="3">
        <f>EUR!B2242/1</f>
        <v>1.1601999999999999</v>
      </c>
      <c r="G2242" s="3">
        <f>EUR!C2242/1</f>
        <v>1.163</v>
      </c>
      <c r="H2242" s="3">
        <f>GBP!B2242/1</f>
        <v>1.304</v>
      </c>
      <c r="I2242" s="3">
        <f>GBP!C2242/1</f>
        <v>1.3058000000000001</v>
      </c>
      <c r="J2242" s="4">
        <f>1/INR!B2242</f>
        <v>1.3821700069108501E-2</v>
      </c>
      <c r="K2242" s="4">
        <f>1/INR!C2242</f>
        <v>1.3765572303668526E-2</v>
      </c>
      <c r="L2242" s="4">
        <f>1/JPY!B2242</f>
        <v>8.9766606822262122E-3</v>
      </c>
      <c r="M2242" s="4">
        <f>1/JPY!C2242</f>
        <v>8.9973448835248722E-3</v>
      </c>
      <c r="N2242" s="5">
        <f>1/KRW!B2242</f>
        <v>8.8944231966556968E-4</v>
      </c>
      <c r="O2242" s="5">
        <f>1/KRW!C2242</f>
        <v>8.894442974390676E-4</v>
      </c>
      <c r="P2242" s="3">
        <f>1/NOK!B2242</f>
        <v>0.11925489541345671</v>
      </c>
      <c r="Q2242" s="3">
        <f>1/NOK!C2242</f>
        <v>0.11939585696376336</v>
      </c>
      <c r="R2242" s="3">
        <f>NZD!B2242/1</f>
        <v>0.65290000000000004</v>
      </c>
      <c r="S2242" s="3">
        <f>NZD!C2242/1</f>
        <v>0.65290000000000004</v>
      </c>
      <c r="T2242" s="4">
        <f>1/PHP!B2242</f>
        <v>1.8525379770285292E-2</v>
      </c>
      <c r="U2242" s="4">
        <f>1/PHP!C2242</f>
        <v>1.8484288354898334E-2</v>
      </c>
      <c r="V2242" s="4">
        <f>1/TWD!B2242</f>
        <v>3.2441200324412001E-2</v>
      </c>
      <c r="W2242" s="4">
        <f>1/TWD!C2242</f>
        <v>3.2441831795590508E-2</v>
      </c>
      <c r="X2242" s="4">
        <f>1/TWD!B2242</f>
        <v>3.2441200324412001E-2</v>
      </c>
      <c r="Y2242" s="4">
        <f>1/TWD!C2242</f>
        <v>3.2441831795590508E-2</v>
      </c>
      <c r="Z2242" s="4">
        <f>1/ZAR!B2242</f>
        <v>6.5811988311790873E-2</v>
      </c>
      <c r="AA2242" s="4">
        <f>1/ZAR!C2242</f>
        <v>6.5518777681683571E-2</v>
      </c>
    </row>
    <row r="2243" spans="1:27" x14ac:dyDescent="0.25">
      <c r="A2243" t="str">
        <f>"12/09/2018"</f>
        <v>12/09/2018</v>
      </c>
      <c r="B2243" s="3">
        <f>AUD!B2243</f>
        <v>0.71150000000000002</v>
      </c>
      <c r="C2243" s="3">
        <f>AUD!C2243</f>
        <v>0.71160000000000001</v>
      </c>
      <c r="D2243" s="3">
        <f>1/CAD!B2243</f>
        <v>0.76516948504093663</v>
      </c>
      <c r="E2243" s="3">
        <f>1/CAD!C2243</f>
        <v>0.76569678407350683</v>
      </c>
      <c r="F2243" s="3">
        <f>EUR!B2243/1</f>
        <v>1.1578999999999999</v>
      </c>
      <c r="G2243" s="3">
        <f>EUR!C2243/1</f>
        <v>1.1606000000000001</v>
      </c>
      <c r="H2243" s="3">
        <f>GBP!B2243/1</f>
        <v>1.2988</v>
      </c>
      <c r="I2243" s="3">
        <f>GBP!C2243/1</f>
        <v>1.3005</v>
      </c>
      <c r="J2243" s="4">
        <f>1/INR!B2243</f>
        <v>1.3852334118298934E-2</v>
      </c>
      <c r="K2243" s="4">
        <f>1/INR!C2243</f>
        <v>1.379690949227373E-2</v>
      </c>
      <c r="L2243" s="4">
        <f>1/JPY!B2243</f>
        <v>8.9702188733405096E-3</v>
      </c>
      <c r="M2243" s="4">
        <f>1/JPY!C2243</f>
        <v>8.9905096180471905E-3</v>
      </c>
      <c r="N2243" s="5">
        <f>1/KRW!B2243</f>
        <v>8.8605351763246503E-4</v>
      </c>
      <c r="O2243" s="5">
        <f>1/KRW!C2243</f>
        <v>8.8605587291123403E-4</v>
      </c>
      <c r="P2243" s="3">
        <f>1/NOK!B2243</f>
        <v>0.12015620306398318</v>
      </c>
      <c r="Q2243" s="3">
        <f>1/NOK!C2243</f>
        <v>0.12030364640352248</v>
      </c>
      <c r="R2243" s="3">
        <f>NZD!B2243/1</f>
        <v>0.65129999999999999</v>
      </c>
      <c r="S2243" s="3">
        <f>NZD!C2243/1</f>
        <v>0.65129999999999999</v>
      </c>
      <c r="T2243" s="4">
        <f>1/PHP!B2243</f>
        <v>1.8456995201181249E-2</v>
      </c>
      <c r="U2243" s="4">
        <f>1/PHP!C2243</f>
        <v>1.8402649981597349E-2</v>
      </c>
      <c r="V2243" s="4">
        <f>1/TWD!B2243</f>
        <v>3.2440147927074545E-2</v>
      </c>
      <c r="W2243" s="4">
        <f>1/TWD!C2243</f>
        <v>3.2440779357283282E-2</v>
      </c>
      <c r="X2243" s="4">
        <f>1/TWD!B2243</f>
        <v>3.2440147927074545E-2</v>
      </c>
      <c r="Y2243" s="4">
        <f>1/TWD!C2243</f>
        <v>3.2440779357283282E-2</v>
      </c>
      <c r="Z2243" s="4">
        <f>1/ZAR!B2243</f>
        <v>6.6376821214032058E-2</v>
      </c>
      <c r="AA2243" s="4">
        <f>1/ZAR!C2243</f>
        <v>6.6092105958864278E-2</v>
      </c>
    </row>
    <row r="2244" spans="1:27" x14ac:dyDescent="0.25">
      <c r="A2244" t="str">
        <f>"14/09/2018"</f>
        <v>14/09/2018</v>
      </c>
      <c r="B2244" s="3">
        <f>AUD!B2244</f>
        <v>0.71919999999999995</v>
      </c>
      <c r="C2244" s="3">
        <f>AUD!C2244</f>
        <v>0.71919999999999995</v>
      </c>
      <c r="D2244" s="3">
        <f>1/CAD!B2244</f>
        <v>0.76958596275203939</v>
      </c>
      <c r="E2244" s="3">
        <f>1/CAD!C2244</f>
        <v>0.77011936850211782</v>
      </c>
      <c r="F2244" s="3">
        <f>EUR!B2244/1</f>
        <v>1.1698999999999999</v>
      </c>
      <c r="G2244" s="3">
        <f>EUR!C2244/1</f>
        <v>1.1726000000000001</v>
      </c>
      <c r="H2244" s="3">
        <f>GBP!B2244/1</f>
        <v>1.3123</v>
      </c>
      <c r="I2244" s="3">
        <f>GBP!C2244/1</f>
        <v>1.3140000000000001</v>
      </c>
      <c r="J2244" s="4">
        <f>1/INR!B2244</f>
        <v>1.3915947676036738E-2</v>
      </c>
      <c r="K2244" s="4">
        <f>1/INR!C2244</f>
        <v>1.3859053426650959E-2</v>
      </c>
      <c r="L2244" s="4">
        <f>1/JPY!B2244</f>
        <v>8.9381480157311403E-3</v>
      </c>
      <c r="M2244" s="4">
        <f>1/JPY!C2244</f>
        <v>8.9580449962600155E-3</v>
      </c>
      <c r="N2244" s="5">
        <f>1/KRW!B2244</f>
        <v>8.9541547277936968E-4</v>
      </c>
      <c r="O2244" s="5">
        <f>1/KRW!C2244</f>
        <v>8.9541747720602895E-4</v>
      </c>
      <c r="P2244" s="3">
        <f>1/NOK!B2244</f>
        <v>0.12159237372631988</v>
      </c>
      <c r="Q2244" s="3">
        <f>1/NOK!C2244</f>
        <v>0.12173150898378536</v>
      </c>
      <c r="R2244" s="3">
        <f>NZD!B2244/1</f>
        <v>0.65790000000000004</v>
      </c>
      <c r="S2244" s="3">
        <f>NZD!C2244/1</f>
        <v>0.65790000000000004</v>
      </c>
      <c r="T2244" s="4">
        <f>1/PHP!B2244</f>
        <v>1.8511662347278784E-2</v>
      </c>
      <c r="U2244" s="4">
        <f>1/PHP!C2244</f>
        <v>1.846892603195124E-2</v>
      </c>
      <c r="V2244" s="4">
        <f>1/TWD!B2244</f>
        <v>3.2509752925877759E-2</v>
      </c>
      <c r="W2244" s="4">
        <f>1/TWD!C2244</f>
        <v>3.2510387068668441E-2</v>
      </c>
      <c r="X2244" s="4">
        <f>1/TWD!B2244</f>
        <v>3.2509752925877759E-2</v>
      </c>
      <c r="Y2244" s="4">
        <f>1/TWD!C2244</f>
        <v>3.2510387068668441E-2</v>
      </c>
      <c r="Z2244" s="4">
        <f>1/ZAR!B2244</f>
        <v>6.7400886995672857E-2</v>
      </c>
      <c r="AA2244" s="4">
        <f>1/ZAR!C2244</f>
        <v>6.7125356603456948E-2</v>
      </c>
    </row>
    <row r="2245" spans="1:27" x14ac:dyDescent="0.25">
      <c r="A2245" t="str">
        <f>"17/09/2018"</f>
        <v>17/09/2018</v>
      </c>
      <c r="B2245" s="3">
        <f>AUD!B2245</f>
        <v>0.71719999999999995</v>
      </c>
      <c r="C2245" s="3">
        <f>AUD!C2245</f>
        <v>0.71719999999999995</v>
      </c>
      <c r="D2245" s="3">
        <f>1/CAD!B2245</f>
        <v>0.76769537847382163</v>
      </c>
      <c r="E2245" s="3">
        <f>1/CAD!C2245</f>
        <v>0.76822616578320657</v>
      </c>
      <c r="F2245" s="3">
        <f>EUR!B2245/1</f>
        <v>1.1662999999999999</v>
      </c>
      <c r="G2245" s="3">
        <f>EUR!C2245/1</f>
        <v>1.169</v>
      </c>
      <c r="H2245" s="3">
        <f>GBP!B2245/1</f>
        <v>1.3113999999999999</v>
      </c>
      <c r="I2245" s="3">
        <f>GBP!C2245/1</f>
        <v>1.3130999999999999</v>
      </c>
      <c r="J2245" s="4">
        <f>1/INR!B2245</f>
        <v>1.3790250293042818E-2</v>
      </c>
      <c r="K2245" s="4">
        <f>1/INR!C2245</f>
        <v>1.3734377145996429E-2</v>
      </c>
      <c r="L2245" s="4">
        <f>1/JPY!B2245</f>
        <v>8.9245872378402504E-3</v>
      </c>
      <c r="M2245" s="4">
        <f>1/JPY!C2245</f>
        <v>8.9441838208658853E-3</v>
      </c>
      <c r="N2245" s="5">
        <f>1/KRW!B2245</f>
        <v>8.874689385871495E-4</v>
      </c>
      <c r="O2245" s="5">
        <f>1/KRW!C2245</f>
        <v>8.8747130139679102E-4</v>
      </c>
      <c r="P2245" s="3">
        <f>1/NOK!B2245</f>
        <v>0.12185611230259309</v>
      </c>
      <c r="Q2245" s="3">
        <f>1/NOK!C2245</f>
        <v>0.12199436386038964</v>
      </c>
      <c r="R2245" s="3">
        <f>NZD!B2245/1</f>
        <v>0.65680000000000005</v>
      </c>
      <c r="S2245" s="3">
        <f>NZD!C2245/1</f>
        <v>0.65680000000000005</v>
      </c>
      <c r="T2245" s="4">
        <f>1/PHP!B2245</f>
        <v>1.8463810930576072E-2</v>
      </c>
      <c r="U2245" s="4">
        <f>1/PHP!C2245</f>
        <v>1.8417902200939314E-2</v>
      </c>
      <c r="V2245" s="4">
        <f>1/TWD!B2245</f>
        <v>3.2461208855417777E-2</v>
      </c>
      <c r="W2245" s="4">
        <f>1/TWD!C2245</f>
        <v>3.2461841105780154E-2</v>
      </c>
      <c r="X2245" s="4">
        <f>1/TWD!B2245</f>
        <v>3.2461208855417777E-2</v>
      </c>
      <c r="Y2245" s="4">
        <f>1/TWD!C2245</f>
        <v>3.2461841105780154E-2</v>
      </c>
      <c r="Z2245" s="4">
        <f>1/ZAR!B2245</f>
        <v>6.6823925638335543E-2</v>
      </c>
      <c r="AA2245" s="4">
        <f>1/ZAR!C2245</f>
        <v>6.6551753971475919E-2</v>
      </c>
    </row>
    <row r="2246" spans="1:27" x14ac:dyDescent="0.25">
      <c r="A2246" t="str">
        <f>"18/09/2018"</f>
        <v>18/09/2018</v>
      </c>
      <c r="B2246" s="3">
        <f>AUD!B2246</f>
        <v>0.71960000000000002</v>
      </c>
      <c r="C2246" s="3">
        <f>AUD!C2246</f>
        <v>0.71960000000000002</v>
      </c>
      <c r="D2246" s="3">
        <f>1/CAD!B2246</f>
        <v>0.76710647437864365</v>
      </c>
      <c r="E2246" s="3">
        <f>1/CAD!C2246</f>
        <v>0.76763644737852155</v>
      </c>
      <c r="F2246" s="3">
        <f>EUR!B2246/1</f>
        <v>1.1681999999999999</v>
      </c>
      <c r="G2246" s="3">
        <f>EUR!C2246/1</f>
        <v>1.1711</v>
      </c>
      <c r="H2246" s="3">
        <f>GBP!B2246/1</f>
        <v>1.3130999999999999</v>
      </c>
      <c r="I2246" s="3">
        <f>GBP!C2246/1</f>
        <v>1.3149</v>
      </c>
      <c r="J2246" s="4">
        <f>1/INR!B2246</f>
        <v>1.3701445502500515E-2</v>
      </c>
      <c r="K2246" s="4">
        <f>1/INR!C2246</f>
        <v>1.3644426251876108E-2</v>
      </c>
      <c r="L2246" s="4">
        <f>1/JPY!B2246</f>
        <v>8.92299455697332E-3</v>
      </c>
      <c r="M2246" s="4">
        <f>1/JPY!C2246</f>
        <v>8.9439038351459641E-3</v>
      </c>
      <c r="N2246" s="5">
        <f>1/KRW!B2246</f>
        <v>8.9015488695032925E-4</v>
      </c>
      <c r="O2246" s="5">
        <f>1/KRW!C2246</f>
        <v>8.9015805646450587E-4</v>
      </c>
      <c r="P2246" s="3">
        <f>1/NOK!B2246</f>
        <v>0.12233463415827654</v>
      </c>
      <c r="Q2246" s="3">
        <f>1/NOK!C2246</f>
        <v>0.12248447509278197</v>
      </c>
      <c r="R2246" s="3">
        <f>NZD!B2246/1</f>
        <v>0.65869999999999995</v>
      </c>
      <c r="S2246" s="3">
        <f>NZD!C2246/1</f>
        <v>0.65869999999999995</v>
      </c>
      <c r="T2246" s="4">
        <f>1/PHP!B2246</f>
        <v>1.8475750577367205E-2</v>
      </c>
      <c r="U2246" s="4">
        <f>1/PHP!C2246</f>
        <v>1.8436578171091445E-2</v>
      </c>
      <c r="V2246" s="4">
        <f>1/TWD!B2246</f>
        <v>3.2452781203349129E-2</v>
      </c>
      <c r="W2246" s="4">
        <f>1/TWD!C2246</f>
        <v>3.2453413125458401E-2</v>
      </c>
      <c r="X2246" s="4">
        <f>1/TWD!B2246</f>
        <v>3.2452781203349129E-2</v>
      </c>
      <c r="Y2246" s="4">
        <f>1/TWD!C2246</f>
        <v>3.2453413125458401E-2</v>
      </c>
      <c r="Z2246" s="4">
        <f>1/ZAR!B2246</f>
        <v>6.6835984494051592E-2</v>
      </c>
      <c r="AA2246" s="4">
        <f>1/ZAR!C2246</f>
        <v>6.6545996592844978E-2</v>
      </c>
    </row>
    <row r="2247" spans="1:27" x14ac:dyDescent="0.25">
      <c r="A2247" t="str">
        <f>"19/09/2018"</f>
        <v>19/09/2018</v>
      </c>
      <c r="B2247" s="3">
        <f>AUD!B2247</f>
        <v>0.72460000000000002</v>
      </c>
      <c r="C2247" s="3">
        <f>AUD!C2247</f>
        <v>0.72460000000000002</v>
      </c>
      <c r="D2247" s="3">
        <f>1/CAD!B2247</f>
        <v>0.7716644802839725</v>
      </c>
      <c r="E2247" s="3">
        <f>1/CAD!C2247</f>
        <v>0.77220077220077221</v>
      </c>
      <c r="F2247" s="3">
        <f>EUR!B2247/1</f>
        <v>1.1676</v>
      </c>
      <c r="G2247" s="3">
        <f>EUR!C2247/1</f>
        <v>1.1704000000000001</v>
      </c>
      <c r="H2247" s="3">
        <f>GBP!B2247/1</f>
        <v>1.3137000000000001</v>
      </c>
      <c r="I2247" s="3">
        <f>GBP!C2247/1</f>
        <v>1.3154999999999999</v>
      </c>
      <c r="J2247" s="4">
        <f>1/INR!B2247</f>
        <v>1.3815016923395731E-2</v>
      </c>
      <c r="K2247" s="4">
        <f>1/INR!C2247</f>
        <v>1.3759889920880633E-2</v>
      </c>
      <c r="L2247" s="4">
        <f>1/JPY!B2247</f>
        <v>8.9015488695032927E-3</v>
      </c>
      <c r="M2247" s="4">
        <f>1/JPY!C2247</f>
        <v>8.9219277787790166E-3</v>
      </c>
      <c r="N2247" s="5">
        <f>1/KRW!B2247</f>
        <v>8.9206066012488853E-4</v>
      </c>
      <c r="O2247" s="5">
        <f>1/KRW!C2247</f>
        <v>8.9206344533635927E-4</v>
      </c>
      <c r="P2247" s="3">
        <f>1/NOK!B2247</f>
        <v>0.1223496017520463</v>
      </c>
      <c r="Q2247" s="3">
        <f>1/NOK!C2247</f>
        <v>0.12249647822625098</v>
      </c>
      <c r="R2247" s="3">
        <f>NZD!B2247/1</f>
        <v>0.66020000000000001</v>
      </c>
      <c r="S2247" s="3">
        <f>NZD!C2247/1</f>
        <v>0.66020000000000001</v>
      </c>
      <c r="T2247" s="4">
        <f>1/PHP!B2247</f>
        <v>1.8504811250925242E-2</v>
      </c>
      <c r="U2247" s="4">
        <f>1/PHP!C2247</f>
        <v>1.846892603195124E-2</v>
      </c>
      <c r="V2247" s="4">
        <f>1/TWD!B2247</f>
        <v>3.2470695197584179E-2</v>
      </c>
      <c r="W2247" s="4">
        <f>1/TWD!C2247</f>
        <v>3.2471327817537116E-2</v>
      </c>
      <c r="X2247" s="4">
        <f>1/TWD!B2247</f>
        <v>3.2470695197584179E-2</v>
      </c>
      <c r="Y2247" s="4">
        <f>1/TWD!C2247</f>
        <v>3.2471327817537116E-2</v>
      </c>
      <c r="Z2247" s="4">
        <f>1/ZAR!B2247</f>
        <v>6.8257056073171563E-2</v>
      </c>
      <c r="AA2247" s="4">
        <f>1/ZAR!C2247</f>
        <v>6.7972185781578182E-2</v>
      </c>
    </row>
    <row r="2248" spans="1:27" x14ac:dyDescent="0.25">
      <c r="A2248" t="str">
        <f>"21/09/2018"</f>
        <v>21/09/2018</v>
      </c>
      <c r="B2248" s="3">
        <f>AUD!B2248</f>
        <v>0.72840000000000005</v>
      </c>
      <c r="C2248" s="3">
        <f>AUD!C2248</f>
        <v>0.72840000000000005</v>
      </c>
      <c r="D2248" s="3">
        <f>1/CAD!B2248</f>
        <v>0.77447335811648088</v>
      </c>
      <c r="E2248" s="3">
        <f>1/CAD!C2248</f>
        <v>0.77501356273734789</v>
      </c>
      <c r="F2248" s="3">
        <f>EUR!B2248/1</f>
        <v>1.1768000000000001</v>
      </c>
      <c r="G2248" s="3">
        <f>EUR!C2248/1</f>
        <v>1.1796</v>
      </c>
      <c r="H2248" s="3">
        <f>GBP!B2248/1</f>
        <v>1.3194999999999999</v>
      </c>
      <c r="I2248" s="3">
        <f>GBP!C2248/1</f>
        <v>1.3211999999999999</v>
      </c>
      <c r="J2248" s="4">
        <f>1/INR!B2248</f>
        <v>1.3848497438027975E-2</v>
      </c>
      <c r="K2248" s="4">
        <f>1/INR!C2248</f>
        <v>1.3794054762397406E-2</v>
      </c>
      <c r="L2248" s="4">
        <f>1/JPY!B2248</f>
        <v>8.8731144631765749E-3</v>
      </c>
      <c r="M2248" s="4">
        <f>1/JPY!C2248</f>
        <v>8.8927226404272065E-3</v>
      </c>
      <c r="N2248" s="5">
        <f>1/KRW!B2248</f>
        <v>8.9645898700134474E-4</v>
      </c>
      <c r="O2248" s="5">
        <f>1/KRW!C2248</f>
        <v>8.9646300521293242E-4</v>
      </c>
      <c r="P2248" s="3">
        <f>1/NOK!B2248</f>
        <v>0.12274908858801725</v>
      </c>
      <c r="Q2248" s="3">
        <f>1/NOK!C2248</f>
        <v>0.12289088518304597</v>
      </c>
      <c r="R2248" s="3">
        <f>NZD!B2248/1</f>
        <v>0.66830000000000001</v>
      </c>
      <c r="S2248" s="3">
        <f>NZD!C2248/1</f>
        <v>0.66830000000000001</v>
      </c>
      <c r="T2248" s="4">
        <f>1/PHP!B2248</f>
        <v>1.8487705675725642E-2</v>
      </c>
      <c r="U2248" s="4">
        <f>1/PHP!C2248</f>
        <v>1.8445930366612868E-2</v>
      </c>
      <c r="V2248" s="4">
        <f>1/TWD!B2248</f>
        <v>3.255632243781742E-2</v>
      </c>
      <c r="W2248" s="4">
        <f>1/TWD!C2248</f>
        <v>3.2556852403509633E-2</v>
      </c>
      <c r="X2248" s="4">
        <f>1/TWD!B2248</f>
        <v>3.255632243781742E-2</v>
      </c>
      <c r="Y2248" s="4">
        <f>1/TWD!C2248</f>
        <v>3.2556852403509633E-2</v>
      </c>
      <c r="Z2248" s="4">
        <f>1/ZAR!B2248</f>
        <v>6.9553121196313683E-2</v>
      </c>
      <c r="AA2248" s="4">
        <f>1/ZAR!C2248</f>
        <v>6.9278944743113677E-2</v>
      </c>
    </row>
    <row r="2249" spans="1:27" x14ac:dyDescent="0.25">
      <c r="A2249" t="str">
        <f>"24/09/2018"</f>
        <v>24/09/2018</v>
      </c>
      <c r="B2249" s="3">
        <f>AUD!B2249</f>
        <v>0.72709999999999997</v>
      </c>
      <c r="C2249" s="3">
        <f>AUD!C2249</f>
        <v>0.72709999999999997</v>
      </c>
      <c r="D2249" s="3">
        <f>1/CAD!B2249</f>
        <v>0.77261840377037783</v>
      </c>
      <c r="E2249" s="3">
        <f>1/CAD!C2249</f>
        <v>0.77315602288541818</v>
      </c>
      <c r="F2249" s="3">
        <f>EUR!B2249/1</f>
        <v>1.1765000000000001</v>
      </c>
      <c r="G2249" s="3">
        <f>EUR!C2249/1</f>
        <v>1.1793</v>
      </c>
      <c r="H2249" s="3">
        <f>GBP!B2249/1</f>
        <v>1.3140000000000001</v>
      </c>
      <c r="I2249" s="3">
        <f>GBP!C2249/1</f>
        <v>1.3158000000000001</v>
      </c>
      <c r="J2249" s="4">
        <f>1/INR!B2249</f>
        <v>1.3766046047424029E-2</v>
      </c>
      <c r="K2249" s="4">
        <f>1/INR!C2249</f>
        <v>1.3712248465942203E-2</v>
      </c>
      <c r="L2249" s="4">
        <f>1/JPY!B2249</f>
        <v>8.8802060207796817E-3</v>
      </c>
      <c r="M2249" s="4">
        <f>1/JPY!C2249</f>
        <v>8.8998851914810304E-3</v>
      </c>
      <c r="N2249" s="5">
        <f>1/KRW!B2249</f>
        <v>8.9645898700134474E-4</v>
      </c>
      <c r="O2249" s="5">
        <f>1/KRW!C2249</f>
        <v>8.9646220156773299E-4</v>
      </c>
      <c r="P2249" s="3">
        <f>1/NOK!B2249</f>
        <v>0.12297249105375127</v>
      </c>
      <c r="Q2249" s="3">
        <f>1/NOK!C2249</f>
        <v>0.12311480455524776</v>
      </c>
      <c r="R2249" s="3">
        <f>NZD!B2249/1</f>
        <v>0.66720000000000002</v>
      </c>
      <c r="S2249" s="3">
        <f>NZD!C2249/1</f>
        <v>0.66720000000000002</v>
      </c>
      <c r="T2249" s="4">
        <f>1/PHP!B2249</f>
        <v>1.8422991893883568E-2</v>
      </c>
      <c r="U2249" s="4">
        <f>1/PHP!C2249</f>
        <v>1.8382352941176471E-2</v>
      </c>
      <c r="V2249" s="4">
        <f>1/TWD!B2249</f>
        <v>3.255632243781742E-2</v>
      </c>
      <c r="W2249" s="4">
        <f>1/TWD!C2249</f>
        <v>3.2556852403509633E-2</v>
      </c>
      <c r="X2249" s="4">
        <f>1/TWD!B2249</f>
        <v>3.255632243781742E-2</v>
      </c>
      <c r="Y2249" s="4">
        <f>1/TWD!C2249</f>
        <v>3.2556852403509633E-2</v>
      </c>
      <c r="Z2249" s="4">
        <f>1/ZAR!B2249</f>
        <v>7.0273575027582372E-2</v>
      </c>
      <c r="AA2249" s="4">
        <f>1/ZAR!C2249</f>
        <v>6.9999090011829843E-2</v>
      </c>
    </row>
    <row r="2250" spans="1:27" x14ac:dyDescent="0.25">
      <c r="A2250" t="str">
        <f>"25/09/2018"</f>
        <v>25/09/2018</v>
      </c>
      <c r="B2250" s="3">
        <f>AUD!B2250</f>
        <v>0.72519999999999996</v>
      </c>
      <c r="C2250" s="3">
        <f>AUD!C2250</f>
        <v>0.72529999999999994</v>
      </c>
      <c r="D2250" s="3">
        <f>1/CAD!B2250</f>
        <v>0.77142636735323611</v>
      </c>
      <c r="E2250" s="3">
        <f>1/CAD!C2250</f>
        <v>0.77190274025472783</v>
      </c>
      <c r="F2250" s="3">
        <f>EUR!B2250/1</f>
        <v>1.1785000000000001</v>
      </c>
      <c r="G2250" s="3">
        <f>EUR!C2250/1</f>
        <v>1.1814</v>
      </c>
      <c r="H2250" s="3">
        <f>GBP!B2250/1</f>
        <v>1.3166</v>
      </c>
      <c r="I2250" s="3">
        <f>GBP!C2250/1</f>
        <v>1.3185</v>
      </c>
      <c r="J2250" s="4">
        <f>1/INR!B2250</f>
        <v>1.3755158184319119E-2</v>
      </c>
      <c r="K2250" s="4">
        <f>1/INR!C2250</f>
        <v>1.3701445502500515E-2</v>
      </c>
      <c r="L2250" s="4">
        <f>1/JPY!B2250</f>
        <v>8.8660342228921007E-3</v>
      </c>
      <c r="M2250" s="4">
        <f>1/JPY!C2250</f>
        <v>8.8872536342201915E-3</v>
      </c>
      <c r="N2250" s="5">
        <f>1/KRW!B2250</f>
        <v>8.9645898700134474E-4</v>
      </c>
      <c r="O2250" s="5">
        <f>1/KRW!C2250</f>
        <v>8.9646621980813833E-4</v>
      </c>
      <c r="P2250" s="3">
        <f>1/NOK!B2250</f>
        <v>0.12309661853588882</v>
      </c>
      <c r="Q2250" s="3">
        <f>1/NOK!C2250</f>
        <v>0.12324985210017748</v>
      </c>
      <c r="R2250" s="3">
        <f>NZD!B2250/1</f>
        <v>0.66520000000000001</v>
      </c>
      <c r="S2250" s="3">
        <f>NZD!C2250/1</f>
        <v>0.66520000000000001</v>
      </c>
      <c r="T2250" s="4">
        <f>1/PHP!B2250</f>
        <v>1.8409425625920472E-2</v>
      </c>
      <c r="U2250" s="4">
        <f>1/PHP!C2250</f>
        <v>1.8365472910927456E-2</v>
      </c>
      <c r="V2250" s="4">
        <f>1/TWD!B2250</f>
        <v>3.2599837000814993E-2</v>
      </c>
      <c r="W2250" s="4">
        <f>1/TWD!C2250</f>
        <v>3.2600474662911091E-2</v>
      </c>
      <c r="X2250" s="4">
        <f>1/TWD!B2250</f>
        <v>3.2599837000814993E-2</v>
      </c>
      <c r="Y2250" s="4">
        <f>1/TWD!C2250</f>
        <v>3.2600474662911091E-2</v>
      </c>
      <c r="Z2250" s="4">
        <f>1/ZAR!B2250</f>
        <v>6.9616552031410983E-2</v>
      </c>
      <c r="AA2250" s="4">
        <f>1/ZAR!C2250</f>
        <v>6.9323128968749134E-2</v>
      </c>
    </row>
    <row r="2251" spans="1:27" x14ac:dyDescent="0.25">
      <c r="A2251" t="str">
        <f>"26/09/2018"</f>
        <v>26/09/2018</v>
      </c>
      <c r="B2251" s="3">
        <f>AUD!B2251</f>
        <v>0.72540000000000004</v>
      </c>
      <c r="C2251" s="3">
        <f>AUD!C2251</f>
        <v>0.72550000000000003</v>
      </c>
      <c r="D2251" s="3">
        <f>1/CAD!B2251</f>
        <v>0.7717240314863405</v>
      </c>
      <c r="E2251" s="3">
        <f>1/CAD!C2251</f>
        <v>0.77226040620897374</v>
      </c>
      <c r="F2251" s="3">
        <f>EUR!B2251/1</f>
        <v>1.1742999999999999</v>
      </c>
      <c r="G2251" s="3">
        <f>EUR!C2251/1</f>
        <v>1.1773</v>
      </c>
      <c r="H2251" s="3">
        <f>GBP!B2251/1</f>
        <v>1.3147</v>
      </c>
      <c r="I2251" s="3">
        <f>GBP!C2251/1</f>
        <v>1.3166</v>
      </c>
      <c r="J2251" s="4">
        <f>1/INR!B2251</f>
        <v>1.3769363166953529E-2</v>
      </c>
      <c r="K2251" s="4">
        <f>1/INR!C2251</f>
        <v>1.3715539706487451E-2</v>
      </c>
      <c r="L2251" s="4">
        <f>1/JPY!B2251</f>
        <v>8.8534749889331559E-3</v>
      </c>
      <c r="M2251" s="4">
        <f>1/JPY!C2251</f>
        <v>8.8753982834979712E-3</v>
      </c>
      <c r="N2251" s="5">
        <f>1/KRW!B2251</f>
        <v>8.9645898700134474E-4</v>
      </c>
      <c r="O2251" s="5">
        <f>1/KRW!C2251</f>
        <v>8.9646621980813833E-4</v>
      </c>
      <c r="P2251" s="3">
        <f>1/NOK!B2251</f>
        <v>0.1230935880549982</v>
      </c>
      <c r="Q2251" s="3">
        <f>1/NOK!C2251</f>
        <v>0.12325440942649722</v>
      </c>
      <c r="R2251" s="3">
        <f>NZD!B2251/1</f>
        <v>0.66510000000000002</v>
      </c>
      <c r="S2251" s="3">
        <f>NZD!C2251/1</f>
        <v>0.66520000000000001</v>
      </c>
      <c r="T2251" s="4">
        <f>1/PHP!B2251</f>
        <v>1.8406037180195105E-2</v>
      </c>
      <c r="U2251" s="4">
        <f>1/PHP!C2251</f>
        <v>1.8362100624311421E-2</v>
      </c>
      <c r="V2251" s="4">
        <f>1/TWD!B2251</f>
        <v>3.25754120789628E-2</v>
      </c>
      <c r="W2251" s="4">
        <f>1/TWD!C2251</f>
        <v>3.2576048785890661E-2</v>
      </c>
      <c r="X2251" s="4">
        <f>1/TWD!B2251</f>
        <v>3.25754120789628E-2</v>
      </c>
      <c r="Y2251" s="4">
        <f>1/TWD!C2251</f>
        <v>3.2576048785890661E-2</v>
      </c>
      <c r="Z2251" s="4">
        <f>1/ZAR!B2251</f>
        <v>6.9931537025252274E-2</v>
      </c>
      <c r="AA2251" s="4">
        <f>1/ZAR!C2251</f>
        <v>6.9626731094601838E-2</v>
      </c>
    </row>
    <row r="2252" spans="1:27" x14ac:dyDescent="0.25">
      <c r="A2252" t="str">
        <f>"27/09/2018"</f>
        <v>27/09/2018</v>
      </c>
      <c r="B2252" s="3">
        <f>AUD!B2252</f>
        <v>0.72309999999999997</v>
      </c>
      <c r="C2252" s="3">
        <f>AUD!C2252</f>
        <v>0.72319999999999995</v>
      </c>
      <c r="D2252" s="3">
        <f>1/CAD!B2252</f>
        <v>0.76557954371459191</v>
      </c>
      <c r="E2252" s="3">
        <f>1/CAD!C2252</f>
        <v>0.76610740825863788</v>
      </c>
      <c r="F2252" s="3">
        <f>EUR!B2252/1</f>
        <v>1.1706000000000001</v>
      </c>
      <c r="G2252" s="3">
        <f>EUR!C2252/1</f>
        <v>1.1734</v>
      </c>
      <c r="H2252" s="3">
        <f>GBP!B2252/1</f>
        <v>1.3129</v>
      </c>
      <c r="I2252" s="3">
        <f>GBP!C2252/1</f>
        <v>1.3147</v>
      </c>
      <c r="J2252" s="4">
        <f>1/INR!B2252</f>
        <v>1.3773630384628628E-2</v>
      </c>
      <c r="K2252" s="4">
        <f>1/INR!C2252</f>
        <v>1.3717891560067219E-2</v>
      </c>
      <c r="L2252" s="4">
        <f>1/JPY!B2252</f>
        <v>8.864462370357238E-3</v>
      </c>
      <c r="M2252" s="4">
        <f>1/JPY!C2252</f>
        <v>8.8843085342667771E-3</v>
      </c>
      <c r="N2252" s="5">
        <f>1/KRW!B2252</f>
        <v>8.987956138774044E-4</v>
      </c>
      <c r="O2252" s="5">
        <f>1/KRW!C2252</f>
        <v>8.9879763346583101E-4</v>
      </c>
      <c r="P2252" s="3">
        <f>1/NOK!B2252</f>
        <v>0.12307540830266704</v>
      </c>
      <c r="Q2252" s="3">
        <f>1/NOK!C2252</f>
        <v>0.12322403361551638</v>
      </c>
      <c r="R2252" s="3">
        <f>NZD!B2252/1</f>
        <v>0.66410000000000002</v>
      </c>
      <c r="S2252" s="3">
        <f>NZD!C2252/1</f>
        <v>0.66420000000000001</v>
      </c>
      <c r="T2252" s="4">
        <f>1/PHP!B2252</f>
        <v>1.8422991893883568E-2</v>
      </c>
      <c r="U2252" s="4">
        <f>1/PHP!C2252</f>
        <v>1.8376610250473196E-2</v>
      </c>
      <c r="V2252" s="4">
        <f>1/TWD!B2252</f>
        <v>3.2677602771060715E-2</v>
      </c>
      <c r="W2252" s="4">
        <f>1/TWD!C2252</f>
        <v>3.2678243479056512E-2</v>
      </c>
      <c r="X2252" s="4">
        <f>1/TWD!B2252</f>
        <v>3.2677602771060715E-2</v>
      </c>
      <c r="Y2252" s="4">
        <f>1/TWD!C2252</f>
        <v>3.2678243479056512E-2</v>
      </c>
      <c r="Z2252" s="4">
        <f>1/ZAR!B2252</f>
        <v>7.0857661130321409E-2</v>
      </c>
      <c r="AA2252" s="4">
        <f>1/ZAR!C2252</f>
        <v>7.0566650201114953E-2</v>
      </c>
    </row>
    <row r="2253" spans="1:27" x14ac:dyDescent="0.25">
      <c r="A2253" t="str">
        <f>"28/09/2018"</f>
        <v>28/09/2018</v>
      </c>
      <c r="B2253" s="3">
        <f>AUD!B2253</f>
        <v>0.72150000000000003</v>
      </c>
      <c r="C2253" s="3">
        <f>AUD!C2253</f>
        <v>0.72140000000000004</v>
      </c>
      <c r="D2253" s="3">
        <f>1/CAD!B2253</f>
        <v>0.76834421820975796</v>
      </c>
      <c r="E2253" s="3">
        <f>1/CAD!C2253</f>
        <v>0.76881679095871458</v>
      </c>
      <c r="F2253" s="3">
        <f>EUR!B2253/1</f>
        <v>1.1600999999999999</v>
      </c>
      <c r="G2253" s="3">
        <f>EUR!C2253/1</f>
        <v>1.1611</v>
      </c>
      <c r="H2253" s="3">
        <f>GBP!B2253/1</f>
        <v>1.3024</v>
      </c>
      <c r="I2253" s="3">
        <f>GBP!C2253/1</f>
        <v>1.3066</v>
      </c>
      <c r="J2253" s="4">
        <f>1/INR!B2253</f>
        <v>1.3794054762397406E-2</v>
      </c>
      <c r="K2253" s="4">
        <f>1/INR!C2253</f>
        <v>1.3734848744978195E-2</v>
      </c>
      <c r="L2253" s="4">
        <f>1/JPY!B2253</f>
        <v>8.8160098739310591E-3</v>
      </c>
      <c r="M2253" s="4">
        <f>1/JPY!C2253</f>
        <v>8.8357409254731754E-3</v>
      </c>
      <c r="N2253" s="5">
        <f>1/KRW!B2253</f>
        <v>9.0138813773210733E-4</v>
      </c>
      <c r="O2253" s="5">
        <f>1/KRW!C2253</f>
        <v>9.0139016898812185E-4</v>
      </c>
      <c r="P2253" s="3">
        <f>1/NOK!B2253</f>
        <v>0.12227330529198865</v>
      </c>
      <c r="Q2253" s="3">
        <f>1/NOK!C2253</f>
        <v>0.12242449469289815</v>
      </c>
      <c r="R2253" s="3">
        <f>NZD!B2253/1</f>
        <v>0.66120000000000001</v>
      </c>
      <c r="S2253" s="3">
        <f>NZD!C2253/1</f>
        <v>0.6613</v>
      </c>
      <c r="T2253" s="4">
        <f>1/PHP!B2253</f>
        <v>1.8494544109487702E-2</v>
      </c>
      <c r="U2253" s="4">
        <f>1/PHP!C2253</f>
        <v>1.8450184501845018E-2</v>
      </c>
      <c r="V2253" s="4">
        <f>1/TWD!B2253</f>
        <v>3.2731081434930608E-2</v>
      </c>
      <c r="W2253" s="4">
        <f>1/TWD!C2253</f>
        <v>3.2731724241769608E-2</v>
      </c>
      <c r="X2253" s="4">
        <f>1/TWD!B2253</f>
        <v>3.2731081434930608E-2</v>
      </c>
      <c r="Y2253" s="4">
        <f>1/TWD!C2253</f>
        <v>3.2731724241769608E-2</v>
      </c>
      <c r="Z2253" s="4">
        <f>1/ZAR!B2253</f>
        <v>7.0456771248000788E-2</v>
      </c>
      <c r="AA2253" s="4">
        <f>1/ZAR!C2253</f>
        <v>7.0082487087301748E-2</v>
      </c>
    </row>
    <row r="2254" spans="1:27" x14ac:dyDescent="0.25">
      <c r="A2254" t="str">
        <f>"01/10/2018"</f>
        <v>01/10/2018</v>
      </c>
      <c r="B2254" s="3">
        <f>AUD!B2254</f>
        <v>0.72189999999999999</v>
      </c>
      <c r="C2254" s="3">
        <f>AUD!C2254</f>
        <v>0.72199999999999998</v>
      </c>
      <c r="D2254" s="3">
        <f>1/CAD!B2254</f>
        <v>0.78118896961174911</v>
      </c>
      <c r="E2254" s="3">
        <f>1/CAD!C2254</f>
        <v>0.7816774798718048</v>
      </c>
      <c r="F2254" s="3">
        <f>EUR!B2254/1</f>
        <v>1.1605000000000001</v>
      </c>
      <c r="G2254" s="3">
        <f>EUR!C2254/1</f>
        <v>1.1635</v>
      </c>
      <c r="H2254" s="3">
        <f>GBP!B2254/1</f>
        <v>1.3046</v>
      </c>
      <c r="I2254" s="3">
        <f>GBP!C2254/1</f>
        <v>1.3065</v>
      </c>
      <c r="J2254" s="4">
        <f>1/INR!B2254</f>
        <v>1.3714128981383069E-2</v>
      </c>
      <c r="K2254" s="4">
        <f>1/INR!C2254</f>
        <v>1.3655605626109518E-2</v>
      </c>
      <c r="L2254" s="4">
        <f>1/JPY!B2254</f>
        <v>8.7726993595929476E-3</v>
      </c>
      <c r="M2254" s="4">
        <f>1/JPY!C2254</f>
        <v>8.7931800095845652E-3</v>
      </c>
      <c r="N2254" s="5">
        <f>1/KRW!B2254</f>
        <v>8.9944234574563771E-4</v>
      </c>
      <c r="O2254" s="5">
        <f>1/KRW!C2254</f>
        <v>8.9944436824151888E-4</v>
      </c>
      <c r="P2254" s="3">
        <f>1/NOK!B2254</f>
        <v>0.12282447154771116</v>
      </c>
      <c r="Q2254" s="3">
        <f>1/NOK!C2254</f>
        <v>0.12298610257040954</v>
      </c>
      <c r="R2254" s="3">
        <f>NZD!B2254/1</f>
        <v>0.66039999999999999</v>
      </c>
      <c r="S2254" s="3">
        <f>NZD!C2254/1</f>
        <v>0.66049999999999998</v>
      </c>
      <c r="T2254" s="4">
        <f>1/PHP!B2254</f>
        <v>1.8463810930576072E-2</v>
      </c>
      <c r="U2254" s="4">
        <f>1/PHP!C2254</f>
        <v>1.8419598452753729E-2</v>
      </c>
      <c r="V2254" s="4">
        <f>1/TWD!B2254</f>
        <v>3.2726796701138892E-2</v>
      </c>
      <c r="W2254" s="4">
        <f>1/TWD!C2254</f>
        <v>3.2727439339691182E-2</v>
      </c>
      <c r="X2254" s="4">
        <f>1/TWD!B2254</f>
        <v>3.2726796701138892E-2</v>
      </c>
      <c r="Y2254" s="4">
        <f>1/TWD!C2254</f>
        <v>3.2727439339691182E-2</v>
      </c>
      <c r="Z2254" s="4">
        <f>1/ZAR!B2254</f>
        <v>7.0903379964122895E-2</v>
      </c>
      <c r="AA2254" s="4">
        <f>1/ZAR!C2254</f>
        <v>7.0593052231799347E-2</v>
      </c>
    </row>
    <row r="2255" spans="1:27" x14ac:dyDescent="0.25">
      <c r="A2255" t="str">
        <f>"03/10/2018"</f>
        <v>03/10/2018</v>
      </c>
      <c r="B2255" s="3">
        <f>AUD!B2255</f>
        <v>0.71479999999999999</v>
      </c>
      <c r="C2255" s="3">
        <f>AUD!C2255</f>
        <v>0.71499999999999997</v>
      </c>
      <c r="D2255" s="3">
        <f>1/CAD!B2255</f>
        <v>0.77924101924725309</v>
      </c>
      <c r="E2255" s="3">
        <f>1/CAD!C2255</f>
        <v>0.77978789769182788</v>
      </c>
      <c r="F2255" s="3">
        <f>EUR!B2255/1</f>
        <v>1.1547000000000001</v>
      </c>
      <c r="G2255" s="3">
        <f>EUR!C2255/1</f>
        <v>1.1574</v>
      </c>
      <c r="H2255" s="3">
        <f>GBP!B2255/1</f>
        <v>1.2972999999999999</v>
      </c>
      <c r="I2255" s="3">
        <f>GBP!C2255/1</f>
        <v>1.2989999999999999</v>
      </c>
      <c r="J2255" s="4">
        <f>1/INR!B2255</f>
        <v>1.3633729847643069E-2</v>
      </c>
      <c r="K2255" s="4">
        <f>1/INR!C2255</f>
        <v>1.3575889220743959E-2</v>
      </c>
      <c r="L2255" s="4">
        <f>1/JPY!B2255</f>
        <v>8.7842586085734361E-3</v>
      </c>
      <c r="M2255" s="4">
        <f>1/JPY!C2255</f>
        <v>8.8032121160369001E-3</v>
      </c>
      <c r="N2255" s="5">
        <f>1/KRW!B2255</f>
        <v>8.933357155619081E-4</v>
      </c>
      <c r="O2255" s="5">
        <f>1/KRW!C2255</f>
        <v>8.9333890776811787E-4</v>
      </c>
      <c r="P2255" s="3">
        <f>1/NOK!B2255</f>
        <v>0.12216575449569975</v>
      </c>
      <c r="Q2255" s="3">
        <f>1/NOK!C2255</f>
        <v>0.12231667787902881</v>
      </c>
      <c r="R2255" s="3">
        <f>NZD!B2255/1</f>
        <v>0.65529999999999999</v>
      </c>
      <c r="S2255" s="3">
        <f>NZD!C2255/1</f>
        <v>0.65549999999999997</v>
      </c>
      <c r="T2255" s="4">
        <f>1/PHP!B2255</f>
        <v>1.8450184501845018E-2</v>
      </c>
      <c r="U2255" s="4">
        <f>1/PHP!C2255</f>
        <v>1.8397571520559288E-2</v>
      </c>
      <c r="V2255" s="4">
        <f>1/TWD!B2255</f>
        <v>3.2605151613955004E-2</v>
      </c>
      <c r="W2255" s="4">
        <f>1/TWD!C2255</f>
        <v>3.2605789483980775E-2</v>
      </c>
      <c r="X2255" s="4">
        <f>1/TWD!B2255</f>
        <v>3.2605151613955004E-2</v>
      </c>
      <c r="Y2255" s="4">
        <f>1/TWD!C2255</f>
        <v>3.2605789483980775E-2</v>
      </c>
      <c r="Z2255" s="4">
        <f>1/ZAR!B2255</f>
        <v>6.9469048065634351E-2</v>
      </c>
      <c r="AA2255" s="4">
        <f>1/ZAR!C2255</f>
        <v>6.9181171652323098E-2</v>
      </c>
    </row>
    <row r="2256" spans="1:27" x14ac:dyDescent="0.25">
      <c r="A2256" t="str">
        <f>"04/10/2018"</f>
        <v>04/10/2018</v>
      </c>
      <c r="B2256" s="3">
        <f>AUD!B2256</f>
        <v>0.70879999999999999</v>
      </c>
      <c r="C2256" s="3">
        <f>AUD!C2256</f>
        <v>0.70899999999999996</v>
      </c>
      <c r="D2256" s="3">
        <f>1/CAD!B2256</f>
        <v>0.77712154180913895</v>
      </c>
      <c r="E2256" s="3">
        <f>1/CAD!C2256</f>
        <v>0.77766544832413098</v>
      </c>
      <c r="F2256" s="3">
        <f>EUR!B2256/1</f>
        <v>1.1501999999999999</v>
      </c>
      <c r="G2256" s="3">
        <f>EUR!C2256/1</f>
        <v>1.1529</v>
      </c>
      <c r="H2256" s="3">
        <f>GBP!B2256/1</f>
        <v>1.2991999999999999</v>
      </c>
      <c r="I2256" s="3">
        <f>GBP!C2256/1</f>
        <v>1.3009999999999999</v>
      </c>
      <c r="J2256" s="4">
        <f>1/INR!B2256</f>
        <v>1.3588802826470988E-2</v>
      </c>
      <c r="K2256" s="4">
        <f>1/INR!C2256</f>
        <v>1.3531341970839958E-2</v>
      </c>
      <c r="L2256" s="4">
        <f>1/JPY!B2256</f>
        <v>8.7496718873042254E-3</v>
      </c>
      <c r="M2256" s="4">
        <f>1/JPY!C2256</f>
        <v>8.7686531173438702E-3</v>
      </c>
      <c r="N2256" s="5">
        <f>1/KRW!B2256</f>
        <v>8.8495575221238937E-4</v>
      </c>
      <c r="O2256" s="5">
        <f>1/KRW!C2256</f>
        <v>8.8495911975594252E-4</v>
      </c>
      <c r="P2256" s="3">
        <f>1/NOK!B2256</f>
        <v>0.12163822359538262</v>
      </c>
      <c r="Q2256" s="3">
        <f>1/NOK!C2256</f>
        <v>0.12178932881900888</v>
      </c>
      <c r="R2256" s="3">
        <f>NZD!B2256/1</f>
        <v>0.6492</v>
      </c>
      <c r="S2256" s="3">
        <f>NZD!C2256/1</f>
        <v>0.64939999999999998</v>
      </c>
      <c r="T2256" s="4">
        <f>1/PHP!B2256</f>
        <v>1.8402649981597349E-2</v>
      </c>
      <c r="U2256" s="4">
        <f>1/PHP!C2256</f>
        <v>1.8350307367648408E-2</v>
      </c>
      <c r="V2256" s="4">
        <f>1/TWD!B2256</f>
        <v>3.2474913129607381E-2</v>
      </c>
      <c r="W2256" s="4">
        <f>1/TWD!C2256</f>
        <v>3.2475545913926811E-2</v>
      </c>
      <c r="X2256" s="4">
        <f>1/TWD!B2256</f>
        <v>3.2474913129607381E-2</v>
      </c>
      <c r="Y2256" s="4">
        <f>1/TWD!C2256</f>
        <v>3.2475545913926811E-2</v>
      </c>
      <c r="Z2256" s="4">
        <f>1/ZAR!B2256</f>
        <v>6.8139850228609189E-2</v>
      </c>
      <c r="AA2256" s="4">
        <f>1/ZAR!C2256</f>
        <v>6.7855955377923743E-2</v>
      </c>
    </row>
    <row r="2257" spans="1:27" x14ac:dyDescent="0.25">
      <c r="A2257" t="str">
        <f>"05/10/2018"</f>
        <v>05/10/2018</v>
      </c>
      <c r="B2257" s="3">
        <f>AUD!B2257</f>
        <v>0.70750000000000002</v>
      </c>
      <c r="C2257" s="3">
        <f>AUD!C2257</f>
        <v>0.7077</v>
      </c>
      <c r="D2257" s="3">
        <f>1/CAD!B2257</f>
        <v>0.77375425564840605</v>
      </c>
      <c r="E2257" s="3">
        <f>1/CAD!C2257</f>
        <v>0.77423350882626196</v>
      </c>
      <c r="F2257" s="3">
        <f>EUR!B2257/1</f>
        <v>1.1508</v>
      </c>
      <c r="G2257" s="3">
        <f>EUR!C2257/1</f>
        <v>1.1535</v>
      </c>
      <c r="H2257" s="3">
        <f>GBP!B2257/1</f>
        <v>1.3047</v>
      </c>
      <c r="I2257" s="3">
        <f>GBP!C2257/1</f>
        <v>1.3065</v>
      </c>
      <c r="J2257" s="4">
        <f>1/INR!B2257</f>
        <v>1.355518655325494E-2</v>
      </c>
      <c r="K2257" s="4">
        <f>1/INR!C2257</f>
        <v>1.349800904366606E-2</v>
      </c>
      <c r="L2257" s="4">
        <f>1/JPY!B2257</f>
        <v>8.7804021424181221E-3</v>
      </c>
      <c r="M2257" s="4">
        <f>1/JPY!C2257</f>
        <v>8.8014920289287441E-3</v>
      </c>
      <c r="N2257" s="5">
        <f>1/KRW!B2257</f>
        <v>8.8432967810399721E-4</v>
      </c>
      <c r="O2257" s="5">
        <f>1/KRW!C2257</f>
        <v>8.8433241524889759E-4</v>
      </c>
      <c r="P2257" s="3">
        <f>1/NOK!B2257</f>
        <v>0.12097310767816316</v>
      </c>
      <c r="Q2257" s="3">
        <f>1/NOK!C2257</f>
        <v>0.1211225639224331</v>
      </c>
      <c r="R2257" s="3">
        <f>NZD!B2257/1</f>
        <v>0.64690000000000003</v>
      </c>
      <c r="S2257" s="3">
        <f>NZD!C2257/1</f>
        <v>0.64700000000000002</v>
      </c>
      <c r="T2257" s="4">
        <f>1/PHP!B2257</f>
        <v>1.8433179723502304E-2</v>
      </c>
      <c r="U2257" s="4">
        <f>1/PHP!C2257</f>
        <v>1.8380663541953866E-2</v>
      </c>
      <c r="V2257" s="4">
        <f>1/TWD!B2257</f>
        <v>3.2425421530479899E-2</v>
      </c>
      <c r="W2257" s="4">
        <f>1/TWD!C2257</f>
        <v>3.2425947242983838E-2</v>
      </c>
      <c r="X2257" s="4">
        <f>1/TWD!B2257</f>
        <v>3.2425421530479899E-2</v>
      </c>
      <c r="Y2257" s="4">
        <f>1/TWD!C2257</f>
        <v>3.2425947242983838E-2</v>
      </c>
      <c r="Z2257" s="4">
        <f>1/ZAR!B2257</f>
        <v>6.7748841494810433E-2</v>
      </c>
      <c r="AA2257" s="4">
        <f>1/ZAR!C2257</f>
        <v>6.7466823189696462E-2</v>
      </c>
    </row>
    <row r="2258" spans="1:27" x14ac:dyDescent="0.25">
      <c r="A2258" t="str">
        <f>"08/10/2018"</f>
        <v>08/10/2018</v>
      </c>
      <c r="B2258" s="3">
        <f>AUD!B2258</f>
        <v>0.70650000000000002</v>
      </c>
      <c r="C2258" s="3">
        <f>AUD!C2258</f>
        <v>0.70669999999999999</v>
      </c>
      <c r="D2258" s="3">
        <f>1/CAD!B2258</f>
        <v>0.76934913063548238</v>
      </c>
      <c r="E2258" s="3">
        <f>1/CAD!C2258</f>
        <v>0.76982294072363355</v>
      </c>
      <c r="F2258" s="3">
        <f>EUR!B2258/1</f>
        <v>1.1479999999999999</v>
      </c>
      <c r="G2258" s="3">
        <f>EUR!C2258/1</f>
        <v>1.151</v>
      </c>
      <c r="H2258" s="3">
        <f>GBP!B2258/1</f>
        <v>1.3039000000000001</v>
      </c>
      <c r="I2258" s="3">
        <f>GBP!C2258/1</f>
        <v>1.3058000000000001</v>
      </c>
      <c r="J2258" s="4">
        <f>1/INR!B2258</f>
        <v>1.3499831252109348E-2</v>
      </c>
      <c r="K2258" s="4">
        <f>1/INR!C2258</f>
        <v>1.3443118803562425E-2</v>
      </c>
      <c r="L2258" s="4">
        <f>1/JPY!B2258</f>
        <v>8.82223202470225E-3</v>
      </c>
      <c r="M2258" s="4">
        <f>1/JPY!C2258</f>
        <v>8.8435470405954179E-3</v>
      </c>
      <c r="N2258" s="5">
        <f>1/KRW!B2258</f>
        <v>8.827683615819209E-4</v>
      </c>
      <c r="O2258" s="5">
        <f>1/KRW!C2258</f>
        <v>8.8277108907027879E-4</v>
      </c>
      <c r="P2258" s="3">
        <f>1/NOK!B2258</f>
        <v>0.12074815557192363</v>
      </c>
      <c r="Q2258" s="3">
        <f>1/NOK!C2258</f>
        <v>0.12091167402212684</v>
      </c>
      <c r="R2258" s="3">
        <f>NZD!B2258/1</f>
        <v>0.64510000000000001</v>
      </c>
      <c r="S2258" s="3">
        <f>NZD!C2258/1</f>
        <v>0.64529999999999998</v>
      </c>
      <c r="T2258" s="4">
        <f>1/PHP!B2258</f>
        <v>1.8445079774970025E-2</v>
      </c>
      <c r="U2258" s="4">
        <f>1/PHP!C2258</f>
        <v>1.8397571520559288E-2</v>
      </c>
      <c r="V2258" s="4">
        <f>1/TWD!B2258</f>
        <v>3.2333160889808588E-2</v>
      </c>
      <c r="W2258" s="4">
        <f>1/TWD!C2258</f>
        <v>3.2333788161953481E-2</v>
      </c>
      <c r="X2258" s="4">
        <f>1/TWD!B2258</f>
        <v>3.2333160889808588E-2</v>
      </c>
      <c r="Y2258" s="4">
        <f>1/TWD!C2258</f>
        <v>3.2333788161953481E-2</v>
      </c>
      <c r="Z2258" s="4">
        <f>1/ZAR!B2258</f>
        <v>6.7220112257587464E-2</v>
      </c>
      <c r="AA2258" s="4">
        <f>1/ZAR!C2258</f>
        <v>6.6912906161340394E-2</v>
      </c>
    </row>
    <row r="2259" spans="1:27" x14ac:dyDescent="0.25">
      <c r="A2259" t="str">
        <f>"09/10/2018"</f>
        <v>09/10/2018</v>
      </c>
      <c r="B2259" s="3">
        <f>AUD!B2259</f>
        <v>0.70569999999999999</v>
      </c>
      <c r="C2259" s="3">
        <f>AUD!C2259</f>
        <v>0.70589999999999997</v>
      </c>
      <c r="D2259" s="3">
        <f>1/CAD!B2259</f>
        <v>0.76940832499807643</v>
      </c>
      <c r="E2259" s="3">
        <f>1/CAD!C2259</f>
        <v>0.76988220802217266</v>
      </c>
      <c r="F2259" s="3">
        <f>EUR!B2259/1</f>
        <v>1.1438999999999999</v>
      </c>
      <c r="G2259" s="3">
        <f>EUR!C2259/1</f>
        <v>1.1468</v>
      </c>
      <c r="H2259" s="3">
        <f>GBP!B2259/1</f>
        <v>1.3041</v>
      </c>
      <c r="I2259" s="3">
        <f>GBP!C2259/1</f>
        <v>1.306</v>
      </c>
      <c r="J2259" s="4">
        <f>1/INR!B2259</f>
        <v>1.3440860215053762E-2</v>
      </c>
      <c r="K2259" s="4">
        <f>1/INR!C2259</f>
        <v>1.3384641124309853E-2</v>
      </c>
      <c r="L2259" s="4">
        <f>1/JPY!B2259</f>
        <v>8.8323617735382443E-3</v>
      </c>
      <c r="M2259" s="4">
        <f>1/JPY!C2259</f>
        <v>8.8531379504808577E-3</v>
      </c>
      <c r="N2259" s="5">
        <f>1/KRW!B2259</f>
        <v>8.827683615819209E-4</v>
      </c>
      <c r="O2259" s="5">
        <f>1/KRW!C2259</f>
        <v>8.8277186835576237E-4</v>
      </c>
      <c r="P2259" s="3">
        <f>1/NOK!B2259</f>
        <v>0.12059380389035612</v>
      </c>
      <c r="Q2259" s="3">
        <f>1/NOK!C2259</f>
        <v>0.12075252976549859</v>
      </c>
      <c r="R2259" s="3">
        <f>NZD!B2259/1</f>
        <v>0.64300000000000002</v>
      </c>
      <c r="S2259" s="3">
        <f>NZD!C2259/1</f>
        <v>0.64319999999999999</v>
      </c>
      <c r="T2259" s="4">
        <f>1/PHP!B2259</f>
        <v>1.8419598452753729E-2</v>
      </c>
      <c r="U2259" s="4">
        <f>1/PHP!C2259</f>
        <v>1.8370533664002937E-2</v>
      </c>
      <c r="V2259" s="4">
        <f>1/TWD!B2259</f>
        <v>3.2289312237649338E-2</v>
      </c>
      <c r="W2259" s="4">
        <f>1/TWD!C2259</f>
        <v>3.2289833545908073E-2</v>
      </c>
      <c r="X2259" s="4">
        <f>1/TWD!B2259</f>
        <v>3.2289312237649338E-2</v>
      </c>
      <c r="Y2259" s="4">
        <f>1/TWD!C2259</f>
        <v>3.2289833545908073E-2</v>
      </c>
      <c r="Z2259" s="4">
        <f>1/ZAR!B2259</f>
        <v>6.6509703765779429E-2</v>
      </c>
      <c r="AA2259" s="4">
        <f>1/ZAR!C2259</f>
        <v>6.6218149070297189E-2</v>
      </c>
    </row>
    <row r="2260" spans="1:27" x14ac:dyDescent="0.25">
      <c r="A2260" t="str">
        <f>"10/10/2018"</f>
        <v>10/10/2018</v>
      </c>
      <c r="B2260" s="3">
        <f>AUD!B2260</f>
        <v>0.70989999999999998</v>
      </c>
      <c r="C2260" s="3">
        <f>AUD!C2260</f>
        <v>0.71009999999999995</v>
      </c>
      <c r="D2260" s="3">
        <f>1/CAD!B2260</f>
        <v>0.77190274025472783</v>
      </c>
      <c r="E2260" s="3">
        <f>1/CAD!C2260</f>
        <v>0.77237970186143512</v>
      </c>
      <c r="F2260" s="3">
        <f>EUR!B2260/1</f>
        <v>1.1503000000000001</v>
      </c>
      <c r="G2260" s="3">
        <f>EUR!C2260/1</f>
        <v>1.1532</v>
      </c>
      <c r="H2260" s="3">
        <f>GBP!B2260/1</f>
        <v>1.3164</v>
      </c>
      <c r="I2260" s="3">
        <f>GBP!C2260/1</f>
        <v>1.3183</v>
      </c>
      <c r="J2260" s="4">
        <f>1/INR!B2260</f>
        <v>1.3473003469298394E-2</v>
      </c>
      <c r="K2260" s="4">
        <f>1/INR!C2260</f>
        <v>1.3416515730864696E-2</v>
      </c>
      <c r="L2260" s="4">
        <f>1/JPY!B2260</f>
        <v>8.8308018368067828E-3</v>
      </c>
      <c r="M2260" s="4">
        <f>1/JPY!C2260</f>
        <v>8.8510379169613324E-3</v>
      </c>
      <c r="N2260" s="5">
        <f>1/KRW!B2260</f>
        <v>8.8183421516754845E-4</v>
      </c>
      <c r="O2260" s="5">
        <f>1/KRW!C2260</f>
        <v>8.8183654806846929E-4</v>
      </c>
      <c r="P2260" s="3">
        <f>1/NOK!B2260</f>
        <v>0.12174040076939933</v>
      </c>
      <c r="Q2260" s="3">
        <f>1/NOK!C2260</f>
        <v>0.12189473170969552</v>
      </c>
      <c r="R2260" s="3">
        <f>NZD!B2260/1</f>
        <v>0.64639999999999997</v>
      </c>
      <c r="S2260" s="3">
        <f>NZD!C2260/1</f>
        <v>0.64659999999999995</v>
      </c>
      <c r="T2260" s="4">
        <f>1/PHP!B2260</f>
        <v>1.8453589223103896E-2</v>
      </c>
      <c r="U2260" s="4">
        <f>1/PHP!C2260</f>
        <v>1.840773124712379E-2</v>
      </c>
      <c r="V2260" s="4">
        <f>1/TWD!B2260</f>
        <v>3.2289312237649338E-2</v>
      </c>
      <c r="W2260" s="4">
        <f>1/TWD!C2260</f>
        <v>3.2289833545908073E-2</v>
      </c>
      <c r="X2260" s="4">
        <f>1/TWD!B2260</f>
        <v>3.2289312237649338E-2</v>
      </c>
      <c r="Y2260" s="4">
        <f>1/TWD!C2260</f>
        <v>3.2289833545908073E-2</v>
      </c>
      <c r="Z2260" s="4">
        <f>1/ZAR!B2260</f>
        <v>6.8291083916083919E-2</v>
      </c>
      <c r="AA2260" s="4">
        <f>1/ZAR!C2260</f>
        <v>6.8004080244814691E-2</v>
      </c>
    </row>
    <row r="2261" spans="1:27" x14ac:dyDescent="0.25">
      <c r="A2261" t="str">
        <f>"11/10/2018"</f>
        <v>11/10/2018</v>
      </c>
      <c r="B2261" s="3">
        <f>AUD!B2261</f>
        <v>0.7097</v>
      </c>
      <c r="C2261" s="3">
        <f>AUD!C2261</f>
        <v>0.70989999999999998</v>
      </c>
      <c r="D2261" s="3">
        <f>1/CAD!B2261</f>
        <v>0.76675356540407913</v>
      </c>
      <c r="E2261" s="3">
        <f>1/CAD!C2261</f>
        <v>0.76722418290624528</v>
      </c>
      <c r="F2261" s="3">
        <f>EUR!B2261/1</f>
        <v>1.1576</v>
      </c>
      <c r="G2261" s="3">
        <f>EUR!C2261/1</f>
        <v>1.1604000000000001</v>
      </c>
      <c r="H2261" s="3">
        <f>GBP!B2261/1</f>
        <v>1.3223</v>
      </c>
      <c r="I2261" s="3">
        <f>GBP!C2261/1</f>
        <v>1.3241000000000001</v>
      </c>
      <c r="J2261" s="4">
        <f>1/INR!B2261</f>
        <v>1.3489815189531905E-2</v>
      </c>
      <c r="K2261" s="4">
        <f>1/INR!C2261</f>
        <v>1.3433186687711993E-2</v>
      </c>
      <c r="L2261" s="4">
        <f>1/JPY!B2261</f>
        <v>8.9094796863863155E-3</v>
      </c>
      <c r="M2261" s="4">
        <f>1/JPY!C2261</f>
        <v>8.9292969339473116E-3</v>
      </c>
      <c r="N2261" s="5">
        <f>1/KRW!B2261</f>
        <v>8.7359133397396692E-4</v>
      </c>
      <c r="O2261" s="5">
        <f>1/KRW!C2261</f>
        <v>8.7359362346542369E-4</v>
      </c>
      <c r="P2261" s="3">
        <f>1/NOK!B2261</f>
        <v>0.12173299085785237</v>
      </c>
      <c r="Q2261" s="3">
        <f>1/NOK!C2261</f>
        <v>0.12188284620822466</v>
      </c>
      <c r="R2261" s="3">
        <f>NZD!B2261/1</f>
        <v>0.64880000000000004</v>
      </c>
      <c r="S2261" s="3">
        <f>NZD!C2261/1</f>
        <v>0.64900000000000002</v>
      </c>
      <c r="T2261" s="4">
        <f>1/PHP!B2261</f>
        <v>1.8439977872026555E-2</v>
      </c>
      <c r="U2261" s="4">
        <f>1/PHP!C2261</f>
        <v>1.8394187436769981E-2</v>
      </c>
      <c r="V2261" s="4">
        <f>1/TWD!B2261</f>
        <v>3.2148138622773742E-2</v>
      </c>
      <c r="W2261" s="4">
        <f>1/TWD!C2261</f>
        <v>3.2148655382488629E-2</v>
      </c>
      <c r="X2261" s="4">
        <f>1/TWD!B2261</f>
        <v>3.2148138622773742E-2</v>
      </c>
      <c r="Y2261" s="4">
        <f>1/TWD!C2261</f>
        <v>3.2148655382488629E-2</v>
      </c>
      <c r="Z2261" s="4">
        <f>1/ZAR!B2261</f>
        <v>6.8435964468047256E-2</v>
      </c>
      <c r="AA2261" s="4">
        <f>1/ZAR!C2261</f>
        <v>6.8157962894804996E-2</v>
      </c>
    </row>
    <row r="2262" spans="1:27" x14ac:dyDescent="0.25">
      <c r="A2262" t="str">
        <f>"12/10/2018"</f>
        <v>12/10/2018</v>
      </c>
      <c r="B2262" s="3">
        <f>AUD!B2262</f>
        <v>0.71279999999999999</v>
      </c>
      <c r="C2262" s="3">
        <f>AUD!C2262</f>
        <v>0.71299999999999997</v>
      </c>
      <c r="D2262" s="3">
        <f>1/CAD!B2262</f>
        <v>0.76852136489394407</v>
      </c>
      <c r="E2262" s="3">
        <f>1/CAD!C2262</f>
        <v>0.76899415564441709</v>
      </c>
      <c r="F2262" s="3">
        <f>EUR!B2262/1</f>
        <v>1.1578999999999999</v>
      </c>
      <c r="G2262" s="3">
        <f>EUR!C2262/1</f>
        <v>1.1607000000000001</v>
      </c>
      <c r="H2262" s="3">
        <f>GBP!B2262/1</f>
        <v>1.321</v>
      </c>
      <c r="I2262" s="3">
        <f>GBP!C2262/1</f>
        <v>1.3228</v>
      </c>
      <c r="J2262" s="4">
        <f>1/INR!B2262</f>
        <v>1.359111141313581E-2</v>
      </c>
      <c r="K2262" s="4">
        <f>1/INR!C2262</f>
        <v>1.3533631073216944E-2</v>
      </c>
      <c r="L2262" s="4">
        <f>1/JPY!B2262</f>
        <v>8.9055125122450788E-3</v>
      </c>
      <c r="M2262" s="4">
        <f>1/JPY!C2262</f>
        <v>8.9256387187067101E-3</v>
      </c>
      <c r="N2262" s="5">
        <f>1/KRW!B2262</f>
        <v>8.8378258948298722E-4</v>
      </c>
      <c r="O2262" s="5">
        <f>1/KRW!C2262</f>
        <v>8.8378532324227257E-4</v>
      </c>
      <c r="P2262" s="3">
        <f>1/NOK!B2262</f>
        <v>0.12217470983506414</v>
      </c>
      <c r="Q2262" s="3">
        <f>1/NOK!C2262</f>
        <v>0.12232715173459902</v>
      </c>
      <c r="R2262" s="3">
        <f>NZD!B2262/1</f>
        <v>0.6512</v>
      </c>
      <c r="S2262" s="3">
        <f>NZD!C2262/1</f>
        <v>0.65139999999999998</v>
      </c>
      <c r="T2262" s="4">
        <f>1/PHP!B2262</f>
        <v>1.8456995201181249E-2</v>
      </c>
      <c r="U2262" s="4">
        <f>1/PHP!C2262</f>
        <v>1.8412137280895566E-2</v>
      </c>
      <c r="V2262" s="4">
        <f>1/TWD!B2262</f>
        <v>3.2349896480331264E-2</v>
      </c>
      <c r="W2262" s="4">
        <f>1/TWD!C2262</f>
        <v>3.235041974669621E-2</v>
      </c>
      <c r="X2262" s="4">
        <f>1/TWD!B2262</f>
        <v>3.2349896480331264E-2</v>
      </c>
      <c r="Y2262" s="4">
        <f>1/TWD!C2262</f>
        <v>3.235041974669621E-2</v>
      </c>
      <c r="Z2262" s="4">
        <f>1/ZAR!B2262</f>
        <v>6.9167294936262336E-2</v>
      </c>
      <c r="AA2262" s="4">
        <f>1/ZAR!C2262</f>
        <v>6.8888552100411962E-2</v>
      </c>
    </row>
    <row r="2263" spans="1:27" x14ac:dyDescent="0.25">
      <c r="A2263" t="str">
        <f>"15/10/2018"</f>
        <v>15/10/2018</v>
      </c>
      <c r="B2263" s="3">
        <f>AUD!B2263</f>
        <v>0.71350000000000002</v>
      </c>
      <c r="C2263" s="3">
        <f>AUD!C2263</f>
        <v>0.7137</v>
      </c>
      <c r="D2263" s="3">
        <f>1/CAD!B2263</f>
        <v>0.76816715317253026</v>
      </c>
      <c r="E2263" s="3">
        <f>1/CAD!C2263</f>
        <v>0.76858043194220282</v>
      </c>
      <c r="F2263" s="3">
        <f>EUR!B2263/1</f>
        <v>1.1593</v>
      </c>
      <c r="G2263" s="3">
        <f>EUR!C2263/1</f>
        <v>1.1623000000000001</v>
      </c>
      <c r="H2263" s="3">
        <f>GBP!B2263/1</f>
        <v>1.3169999999999999</v>
      </c>
      <c r="I2263" s="3">
        <f>GBP!C2263/1</f>
        <v>1.3189</v>
      </c>
      <c r="J2263" s="4">
        <f>1/INR!B2263</f>
        <v>1.3543712331550078E-2</v>
      </c>
      <c r="K2263" s="4">
        <f>1/INR!C2263</f>
        <v>1.3485267345425123E-2</v>
      </c>
      <c r="L2263" s="4">
        <f>1/JPY!B2263</f>
        <v>8.9421443262094249E-3</v>
      </c>
      <c r="M2263" s="4">
        <f>1/JPY!C2263</f>
        <v>8.9637782683952404E-3</v>
      </c>
      <c r="N2263" s="5">
        <f>1/KRW!B2263</f>
        <v>8.8144557073600708E-4</v>
      </c>
      <c r="O2263" s="5">
        <f>1/KRW!C2263</f>
        <v>8.8144867853214102E-4</v>
      </c>
      <c r="P2263" s="3">
        <f>1/NOK!B2263</f>
        <v>0.12266476945156581</v>
      </c>
      <c r="Q2263" s="3">
        <f>1/NOK!C2263</f>
        <v>0.12282899746972264</v>
      </c>
      <c r="R2263" s="3">
        <f>NZD!B2263/1</f>
        <v>0.65349999999999997</v>
      </c>
      <c r="S2263" s="3">
        <f>NZD!C2263/1</f>
        <v>0.65369999999999995</v>
      </c>
      <c r="T2263" s="4">
        <f>1/PHP!B2263</f>
        <v>1.8484288354898334E-2</v>
      </c>
      <c r="U2263" s="4">
        <f>1/PHP!C2263</f>
        <v>1.8439977872026555E-2</v>
      </c>
      <c r="V2263" s="4">
        <f>1/TWD!B2263</f>
        <v>3.2318531445931095E-2</v>
      </c>
      <c r="W2263" s="4">
        <f>1/TWD!C2263</f>
        <v>3.2319158150568496E-2</v>
      </c>
      <c r="X2263" s="4">
        <f>1/TWD!B2263</f>
        <v>3.2318531445931095E-2</v>
      </c>
      <c r="Y2263" s="4">
        <f>1/TWD!C2263</f>
        <v>3.2319158150568496E-2</v>
      </c>
      <c r="Z2263" s="4">
        <f>1/ZAR!B2263</f>
        <v>6.9170165524206101E-2</v>
      </c>
      <c r="AA2263" s="4">
        <f>1/ZAR!C2263</f>
        <v>6.8874792514687547E-2</v>
      </c>
    </row>
    <row r="2264" spans="1:27" x14ac:dyDescent="0.25">
      <c r="A2264" t="str">
        <f>"16/10/2018"</f>
        <v>16/10/2018</v>
      </c>
      <c r="B2264" s="3">
        <f>AUD!B2264</f>
        <v>0.71289999999999998</v>
      </c>
      <c r="C2264" s="3">
        <f>AUD!C2264</f>
        <v>0.71309999999999996</v>
      </c>
      <c r="D2264" s="3">
        <f>1/CAD!B2264</f>
        <v>0.77142636735323611</v>
      </c>
      <c r="E2264" s="3">
        <f>1/CAD!C2264</f>
        <v>0.77184316146958931</v>
      </c>
      <c r="F2264" s="3">
        <f>EUR!B2264/1</f>
        <v>1.1584000000000001</v>
      </c>
      <c r="G2264" s="3">
        <f>EUR!C2264/1</f>
        <v>1.1613</v>
      </c>
      <c r="H2264" s="3">
        <f>GBP!B2264/1</f>
        <v>1.3220000000000001</v>
      </c>
      <c r="I2264" s="3">
        <f>GBP!C2264/1</f>
        <v>1.3239000000000001</v>
      </c>
      <c r="J2264" s="4">
        <f>1/INR!B2264</f>
        <v>1.3608682339332493E-2</v>
      </c>
      <c r="K2264" s="4">
        <f>1/INR!C2264</f>
        <v>1.3552890153825305E-2</v>
      </c>
      <c r="L2264" s="4">
        <f>1/JPY!B2264</f>
        <v>8.9261804873694544E-3</v>
      </c>
      <c r="M2264" s="4">
        <f>1/JPY!C2264</f>
        <v>8.9466564555494323E-3</v>
      </c>
      <c r="N2264" s="5">
        <f>1/KRW!B2264</f>
        <v>8.8652482269503544E-4</v>
      </c>
      <c r="O2264" s="5">
        <f>1/KRW!C2264</f>
        <v>8.8652757344548502E-4</v>
      </c>
      <c r="P2264" s="3">
        <f>1/NOK!B2264</f>
        <v>0.12283201493637302</v>
      </c>
      <c r="Q2264" s="3">
        <f>1/NOK!C2264</f>
        <v>0.12299064041226464</v>
      </c>
      <c r="R2264" s="3">
        <f>NZD!B2264/1</f>
        <v>0.65790000000000004</v>
      </c>
      <c r="S2264" s="3">
        <f>NZD!C2264/1</f>
        <v>0.65810000000000002</v>
      </c>
      <c r="T2264" s="4">
        <f>1/PHP!B2264</f>
        <v>1.8525379770285292E-2</v>
      </c>
      <c r="U2264" s="4">
        <f>1/PHP!C2264</f>
        <v>1.8484288354898334E-2</v>
      </c>
      <c r="V2264" s="4">
        <f>1/TWD!B2264</f>
        <v>3.2339434706681325E-2</v>
      </c>
      <c r="W2264" s="4">
        <f>1/TWD!C2264</f>
        <v>3.2340062222279718E-2</v>
      </c>
      <c r="X2264" s="4">
        <f>1/TWD!B2264</f>
        <v>3.2339434706681325E-2</v>
      </c>
      <c r="Y2264" s="4">
        <f>1/TWD!C2264</f>
        <v>3.2340062222279718E-2</v>
      </c>
      <c r="Z2264" s="4">
        <f>1/ZAR!B2264</f>
        <v>7.009673349221926E-2</v>
      </c>
      <c r="AA2264" s="4">
        <f>1/ZAR!C2264</f>
        <v>6.9809977241947416E-2</v>
      </c>
    </row>
    <row r="2265" spans="1:27" x14ac:dyDescent="0.25">
      <c r="A2265" t="str">
        <f>"17/10/2018"</f>
        <v>17/10/2018</v>
      </c>
      <c r="B2265" s="3">
        <f>AUD!B2265</f>
        <v>0.71260000000000001</v>
      </c>
      <c r="C2265" s="3">
        <f>AUD!C2265</f>
        <v>0.71279999999999999</v>
      </c>
      <c r="D2265" s="3">
        <f>1/CAD!B2265</f>
        <v>0.77112893275755712</v>
      </c>
      <c r="E2265" s="3">
        <f>1/CAD!C2265</f>
        <v>0.77154540544711059</v>
      </c>
      <c r="F2265" s="3">
        <f>EUR!B2265/1</f>
        <v>1.1538999999999999</v>
      </c>
      <c r="G2265" s="3">
        <f>EUR!C2265/1</f>
        <v>1.1567000000000001</v>
      </c>
      <c r="H2265" s="3">
        <f>GBP!B2265/1</f>
        <v>1.3111999999999999</v>
      </c>
      <c r="I2265" s="3">
        <f>GBP!C2265/1</f>
        <v>1.3129999999999999</v>
      </c>
      <c r="J2265" s="4">
        <f>1/INR!B2265</f>
        <v>1.3583726695418886E-2</v>
      </c>
      <c r="K2265" s="4">
        <f>1/INR!C2265</f>
        <v>1.3521279113004091E-2</v>
      </c>
      <c r="L2265" s="4">
        <f>1/JPY!B2265</f>
        <v>8.9078923926598965E-3</v>
      </c>
      <c r="M2265" s="4">
        <f>1/JPY!C2265</f>
        <v>8.9275112866061442E-3</v>
      </c>
      <c r="N2265" s="5">
        <f>1/KRW!B2265</f>
        <v>8.8754770568918073E-4</v>
      </c>
      <c r="O2265" s="5">
        <f>1/KRW!C2265</f>
        <v>8.8755148686175272E-4</v>
      </c>
      <c r="P2265" s="3">
        <f>1/NOK!B2265</f>
        <v>0.12233912405187179</v>
      </c>
      <c r="Q2265" s="3">
        <f>1/NOK!C2265</f>
        <v>0.12249197677552121</v>
      </c>
      <c r="R2265" s="3">
        <f>NZD!B2265/1</f>
        <v>0.65659999999999996</v>
      </c>
      <c r="S2265" s="3">
        <f>NZD!C2265/1</f>
        <v>0.65680000000000005</v>
      </c>
      <c r="T2265" s="4">
        <f>1/PHP!B2265</f>
        <v>1.8549434242255611E-2</v>
      </c>
      <c r="U2265" s="4">
        <f>1/PHP!C2265</f>
        <v>1.8508236165093468E-2</v>
      </c>
      <c r="V2265" s="4">
        <f>1/TWD!B2265</f>
        <v>3.2414910858995137E-2</v>
      </c>
      <c r="W2265" s="4">
        <f>1/TWD!C2265</f>
        <v>3.241554130712429E-2</v>
      </c>
      <c r="X2265" s="4">
        <f>1/TWD!B2265</f>
        <v>3.2414910858995137E-2</v>
      </c>
      <c r="Y2265" s="4">
        <f>1/TWD!C2265</f>
        <v>3.241554130712429E-2</v>
      </c>
      <c r="Z2265" s="4">
        <f>1/ZAR!B2265</f>
        <v>7.0108528001346079E-2</v>
      </c>
      <c r="AA2265" s="4">
        <f>1/ZAR!C2265</f>
        <v>6.9831426935377999E-2</v>
      </c>
    </row>
    <row r="2266" spans="1:27" x14ac:dyDescent="0.25">
      <c r="A2266" t="str">
        <f>"19/10/2018"</f>
        <v>19/10/2018</v>
      </c>
      <c r="B2266" s="3">
        <f>AUD!B2266</f>
        <v>0.7137</v>
      </c>
      <c r="C2266" s="3">
        <f>AUD!C2266</f>
        <v>0.71389999999999998</v>
      </c>
      <c r="D2266" s="3">
        <f>1/CAD!B2266</f>
        <v>0.76740081344486233</v>
      </c>
      <c r="E2266" s="3">
        <f>1/CAD!C2266</f>
        <v>0.76781326781326786</v>
      </c>
      <c r="F2266" s="3">
        <f>EUR!B2266/1</f>
        <v>1.1472</v>
      </c>
      <c r="G2266" s="3">
        <f>EUR!C2266/1</f>
        <v>1.1499999999999999</v>
      </c>
      <c r="H2266" s="3">
        <f>GBP!B2266/1</f>
        <v>1.3030999999999999</v>
      </c>
      <c r="I2266" s="3">
        <f>GBP!C2266/1</f>
        <v>1.3048999999999999</v>
      </c>
      <c r="J2266" s="4">
        <f>1/INR!B2266</f>
        <v>1.3636983499249966E-2</v>
      </c>
      <c r="K2266" s="4">
        <f>1/INR!C2266</f>
        <v>1.3576810807141402E-2</v>
      </c>
      <c r="L2266" s="4">
        <f>1/JPY!B2266</f>
        <v>8.8873089228581597E-3</v>
      </c>
      <c r="M2266" s="4">
        <f>1/JPY!C2266</f>
        <v>8.909043124223243E-3</v>
      </c>
      <c r="N2266" s="5">
        <f>1/KRW!B2266</f>
        <v>8.8323617735382436E-4</v>
      </c>
      <c r="O2266" s="5">
        <f>1/KRW!C2266</f>
        <v>8.8324046795846471E-4</v>
      </c>
      <c r="P2266" s="3">
        <f>1/NOK!B2266</f>
        <v>0.12147421102499939</v>
      </c>
      <c r="Q2266" s="3">
        <f>1/NOK!C2266</f>
        <v>0.12162786737697341</v>
      </c>
      <c r="R2266" s="3">
        <f>NZD!B2266/1</f>
        <v>0.65969999999999995</v>
      </c>
      <c r="S2266" s="3">
        <f>NZD!C2266/1</f>
        <v>0.65990000000000004</v>
      </c>
      <c r="T2266" s="4">
        <f>1/PHP!B2266</f>
        <v>1.8604651162790697E-2</v>
      </c>
      <c r="U2266" s="4">
        <f>1/PHP!C2266</f>
        <v>1.8566654288897141E-2</v>
      </c>
      <c r="V2266" s="4">
        <f>1/TWD!B2266</f>
        <v>3.2283057851239673E-2</v>
      </c>
      <c r="W2266" s="4">
        <f>1/TWD!C2266</f>
        <v>3.2283683180846734E-2</v>
      </c>
      <c r="X2266" s="4">
        <f>1/TWD!B2266</f>
        <v>3.2283057851239673E-2</v>
      </c>
      <c r="Y2266" s="4">
        <f>1/TWD!C2266</f>
        <v>3.2283683180846734E-2</v>
      </c>
      <c r="Z2266" s="4">
        <f>1/ZAR!B2266</f>
        <v>6.9748139468379683E-2</v>
      </c>
      <c r="AA2266" s="4">
        <f>1/ZAR!C2266</f>
        <v>6.9470978498732155E-2</v>
      </c>
    </row>
    <row r="2267" spans="1:27" x14ac:dyDescent="0.25">
      <c r="A2267" t="str">
        <f>"22/10/2018"</f>
        <v>22/10/2018</v>
      </c>
      <c r="B2267" s="3">
        <f>AUD!B2267</f>
        <v>0.71</v>
      </c>
      <c r="C2267" s="3">
        <f>AUD!C2267</f>
        <v>0.71020000000000005</v>
      </c>
      <c r="D2267" s="3">
        <f>1/CAD!B2267</f>
        <v>0.76365024818633065</v>
      </c>
      <c r="E2267" s="3">
        <f>1/CAD!C2267</f>
        <v>0.76405867970660146</v>
      </c>
      <c r="F2267" s="3">
        <f>EUR!B2267/1</f>
        <v>1.1496</v>
      </c>
      <c r="G2267" s="3">
        <f>EUR!C2267/1</f>
        <v>1.1525000000000001</v>
      </c>
      <c r="H2267" s="3">
        <f>GBP!B2267/1</f>
        <v>1.302</v>
      </c>
      <c r="I2267" s="3">
        <f>GBP!C2267/1</f>
        <v>1.3039000000000001</v>
      </c>
      <c r="J2267" s="4">
        <f>1/INR!B2267</f>
        <v>1.359295884731709E-2</v>
      </c>
      <c r="K2267" s="4">
        <f>1/INR!C2267</f>
        <v>1.3534088986635086E-2</v>
      </c>
      <c r="L2267" s="4">
        <f>1/JPY!B2267</f>
        <v>8.8621056362991838E-3</v>
      </c>
      <c r="M2267" s="4">
        <f>1/JPY!C2267</f>
        <v>8.8831799652312332E-3</v>
      </c>
      <c r="N2267" s="5">
        <f>1/KRW!B2267</f>
        <v>8.8605351763246503E-4</v>
      </c>
      <c r="O2267" s="5">
        <f>1/KRW!C2267</f>
        <v>8.8605924883263919E-4</v>
      </c>
      <c r="P2267" s="3">
        <f>1/NOK!B2267</f>
        <v>0.12142258702963926</v>
      </c>
      <c r="Q2267" s="3">
        <f>1/NOK!C2267</f>
        <v>0.12158498182304521</v>
      </c>
      <c r="R2267" s="3">
        <f>NZD!B2267/1</f>
        <v>0.65759999999999996</v>
      </c>
      <c r="S2267" s="3">
        <f>NZD!C2267/1</f>
        <v>0.65780000000000005</v>
      </c>
      <c r="T2267" s="4">
        <f>1/PHP!B2267</f>
        <v>1.8582179689677601E-2</v>
      </c>
      <c r="U2267" s="4">
        <f>1/PHP!C2267</f>
        <v>1.8542555164101613E-2</v>
      </c>
      <c r="V2267" s="4">
        <f>1/TWD!B2267</f>
        <v>3.2338388901464933E-2</v>
      </c>
      <c r="W2267" s="4">
        <f>1/TWD!C2267</f>
        <v>3.2339120958014118E-2</v>
      </c>
      <c r="X2267" s="4">
        <f>1/TWD!B2267</f>
        <v>3.2338388901464933E-2</v>
      </c>
      <c r="Y2267" s="4">
        <f>1/TWD!C2267</f>
        <v>3.2339120958014118E-2</v>
      </c>
      <c r="Z2267" s="4">
        <f>1/ZAR!B2267</f>
        <v>6.9816800714924035E-2</v>
      </c>
      <c r="AA2267" s="4">
        <f>1/ZAR!C2267</f>
        <v>6.952265743405775E-2</v>
      </c>
    </row>
    <row r="2268" spans="1:27" x14ac:dyDescent="0.25">
      <c r="A2268" t="str">
        <f>"23/10/2018"</f>
        <v>23/10/2018</v>
      </c>
      <c r="B2268" s="3">
        <f>AUD!B2268</f>
        <v>0.70660000000000001</v>
      </c>
      <c r="C2268" s="3">
        <f>AUD!C2268</f>
        <v>0.70679999999999998</v>
      </c>
      <c r="D2268" s="3">
        <f>1/CAD!B2268</f>
        <v>0.76283469372187052</v>
      </c>
      <c r="E2268" s="3">
        <f>1/CAD!C2268</f>
        <v>0.76324225309113114</v>
      </c>
      <c r="F2268" s="3">
        <f>EUR!B2268/1</f>
        <v>1.1465000000000001</v>
      </c>
      <c r="G2268" s="3">
        <f>EUR!C2268/1</f>
        <v>1.1493</v>
      </c>
      <c r="H2268" s="3">
        <f>GBP!B2268/1</f>
        <v>1.2983</v>
      </c>
      <c r="I2268" s="3">
        <f>GBP!C2268/1</f>
        <v>1.3001</v>
      </c>
      <c r="J2268" s="4">
        <f>1/INR!B2268</f>
        <v>1.3592035067450473E-2</v>
      </c>
      <c r="K2268" s="4">
        <f>1/INR!C2268</f>
        <v>1.3534088986635086E-2</v>
      </c>
      <c r="L2268" s="4">
        <f>1/JPY!B2268</f>
        <v>8.9086859688195987E-3</v>
      </c>
      <c r="M2268" s="4">
        <f>1/JPY!C2268</f>
        <v>8.9291055804231138E-3</v>
      </c>
      <c r="N2268" s="5">
        <f>1/KRW!B2268</f>
        <v>8.7904360056258797E-4</v>
      </c>
      <c r="O2268" s="5">
        <f>1/KRW!C2268</f>
        <v>8.7904823689295122E-4</v>
      </c>
      <c r="P2268" s="3">
        <f>1/NOK!B2268</f>
        <v>0.1207175450880031</v>
      </c>
      <c r="Q2268" s="3">
        <f>1/NOK!C2268</f>
        <v>0.12087075290391983</v>
      </c>
      <c r="R2268" s="3">
        <f>NZD!B2268/1</f>
        <v>0.65529999999999999</v>
      </c>
      <c r="S2268" s="3">
        <f>NZD!C2268/1</f>
        <v>0.65549999999999997</v>
      </c>
      <c r="T2268" s="4">
        <f>1/PHP!B2268</f>
        <v>1.858045336306206E-2</v>
      </c>
      <c r="U2268" s="4">
        <f>1/PHP!C2268</f>
        <v>1.8539117538005193E-2</v>
      </c>
      <c r="V2268" s="4">
        <f>1/TWD!B2268</f>
        <v>3.2273680813296755E-2</v>
      </c>
      <c r="W2268" s="4">
        <f>1/TWD!C2268</f>
        <v>3.2274305779682676E-2</v>
      </c>
      <c r="X2268" s="4">
        <f>1/TWD!B2268</f>
        <v>3.2273680813296755E-2</v>
      </c>
      <c r="Y2268" s="4">
        <f>1/TWD!C2268</f>
        <v>3.2274305779682676E-2</v>
      </c>
      <c r="Z2268" s="4">
        <f>1/ZAR!B2268</f>
        <v>6.9616552031410983E-2</v>
      </c>
      <c r="AA2268" s="4">
        <f>1/ZAR!C2268</f>
        <v>6.9334183832655008E-2</v>
      </c>
    </row>
    <row r="2269" spans="1:27" x14ac:dyDescent="0.25">
      <c r="A2269" t="str">
        <f>"24/10/2018"</f>
        <v>24/10/2018</v>
      </c>
      <c r="B2269" s="3">
        <f>AUD!B2269</f>
        <v>0.7097</v>
      </c>
      <c r="C2269" s="3">
        <f>AUD!C2269</f>
        <v>0.70989999999999998</v>
      </c>
      <c r="D2269" s="3">
        <f>1/CAD!B2269</f>
        <v>0.76400030560012222</v>
      </c>
      <c r="E2269" s="3">
        <f>1/CAD!C2269</f>
        <v>0.76440911175661208</v>
      </c>
      <c r="F2269" s="3">
        <f>EUR!B2269/1</f>
        <v>1.1404000000000001</v>
      </c>
      <c r="G2269" s="3">
        <f>EUR!C2269/1</f>
        <v>1.1431</v>
      </c>
      <c r="H2269" s="3">
        <f>GBP!B2269/1</f>
        <v>1.2914000000000001</v>
      </c>
      <c r="I2269" s="3">
        <f>GBP!C2269/1</f>
        <v>1.2930999999999999</v>
      </c>
      <c r="J2269" s="4">
        <f>1/INR!B2269</f>
        <v>1.3668671405139421E-2</v>
      </c>
      <c r="K2269" s="4">
        <f>1/INR!C2269</f>
        <v>1.3612850530901171E-2</v>
      </c>
      <c r="L2269" s="4">
        <f>1/JPY!B2269</f>
        <v>8.8746893858714943E-3</v>
      </c>
      <c r="M2269" s="4">
        <f>1/JPY!C2269</f>
        <v>8.8943757304506075E-3</v>
      </c>
      <c r="N2269" s="5">
        <f>1/KRW!B2269</f>
        <v>8.8315817362889695E-4</v>
      </c>
      <c r="O2269" s="5">
        <f>1/KRW!C2269</f>
        <v>8.8316363344116764E-4</v>
      </c>
      <c r="P2269" s="3">
        <f>1/NOK!B2269</f>
        <v>0.12017641898306715</v>
      </c>
      <c r="Q2269" s="3">
        <f>1/NOK!C2269</f>
        <v>0.12032535977282571</v>
      </c>
      <c r="R2269" s="3">
        <f>NZD!B2269/1</f>
        <v>0.65469999999999995</v>
      </c>
      <c r="S2269" s="3">
        <f>NZD!C2269/1</f>
        <v>0.65490000000000004</v>
      </c>
      <c r="T2269" s="4">
        <f>1/PHP!B2269</f>
        <v>1.8596001859600187E-2</v>
      </c>
      <c r="U2269" s="4">
        <f>1/PHP!C2269</f>
        <v>1.8558040270947387E-2</v>
      </c>
      <c r="V2269" s="4">
        <f>1/TWD!B2269</f>
        <v>3.231226573607341E-2</v>
      </c>
      <c r="W2269" s="4">
        <f>1/TWD!C2269</f>
        <v>3.2312892197729051E-2</v>
      </c>
      <c r="X2269" s="4">
        <f>1/TWD!B2269</f>
        <v>3.231226573607341E-2</v>
      </c>
      <c r="Y2269" s="4">
        <f>1/TWD!C2269</f>
        <v>3.2312892197729051E-2</v>
      </c>
      <c r="Z2269" s="4">
        <f>1/ZAR!B2269</f>
        <v>7.0555198859827986E-2</v>
      </c>
      <c r="AA2269" s="4">
        <f>1/ZAR!C2269</f>
        <v>7.0279007660411841E-2</v>
      </c>
    </row>
    <row r="2270" spans="1:27" x14ac:dyDescent="0.25">
      <c r="A2270" t="str">
        <f>"25/10/2018"</f>
        <v>25/10/2018</v>
      </c>
      <c r="B2270" s="3">
        <f>AUD!B2270</f>
        <v>0.70879999999999999</v>
      </c>
      <c r="C2270" s="3">
        <f>AUD!C2270</f>
        <v>0.70899999999999996</v>
      </c>
      <c r="D2270" s="3">
        <f>1/CAD!B2270</f>
        <v>0.76640098099325571</v>
      </c>
      <c r="E2270" s="3">
        <f>1/CAD!C2270</f>
        <v>0.76681236101525951</v>
      </c>
      <c r="F2270" s="3">
        <f>EUR!B2270/1</f>
        <v>1.141</v>
      </c>
      <c r="G2270" s="3">
        <f>EUR!C2270/1</f>
        <v>1.1436999999999999</v>
      </c>
      <c r="H2270" s="3">
        <f>GBP!B2270/1</f>
        <v>1.2899</v>
      </c>
      <c r="I2270" s="3">
        <f>GBP!C2270/1</f>
        <v>1.2916000000000001</v>
      </c>
      <c r="J2270" s="4">
        <f>1/INR!B2270</f>
        <v>1.3646753778444952E-2</v>
      </c>
      <c r="K2270" s="4">
        <f>1/INR!C2270</f>
        <v>1.359249694168819E-2</v>
      </c>
      <c r="L2270" s="4">
        <f>1/JPY!B2270</f>
        <v>8.8991723769689408E-3</v>
      </c>
      <c r="M2270" s="4">
        <f>1/JPY!C2270</f>
        <v>8.9189357925812292E-3</v>
      </c>
      <c r="N2270" s="5">
        <f>1/KRW!B2270</f>
        <v>8.7865741147526589E-4</v>
      </c>
      <c r="O2270" s="5">
        <f>1/KRW!C2270</f>
        <v>8.7866320180477419E-4</v>
      </c>
      <c r="P2270" s="3">
        <f>1/NOK!B2270</f>
        <v>0.12019230769230768</v>
      </c>
      <c r="Q2270" s="3">
        <f>1/NOK!C2270</f>
        <v>0.12034128789246304</v>
      </c>
      <c r="R2270" s="3">
        <f>NZD!B2270/1</f>
        <v>0.65269999999999995</v>
      </c>
      <c r="S2270" s="3">
        <f>NZD!C2270/1</f>
        <v>0.65290000000000004</v>
      </c>
      <c r="T2270" s="4">
        <f>1/PHP!B2270</f>
        <v>1.8570102135561744E-2</v>
      </c>
      <c r="U2270" s="4">
        <f>1/PHP!C2270</f>
        <v>1.8537399202891835E-2</v>
      </c>
      <c r="V2270" s="4">
        <f>1/TWD!B2270</f>
        <v>3.2260145815859086E-2</v>
      </c>
      <c r="W2270" s="4">
        <f>1/TWD!C2270</f>
        <v>3.2260770258150682E-2</v>
      </c>
      <c r="X2270" s="4">
        <f>1/TWD!B2270</f>
        <v>3.2260145815859086E-2</v>
      </c>
      <c r="Y2270" s="4">
        <f>1/TWD!C2270</f>
        <v>3.2260770258150682E-2</v>
      </c>
      <c r="Z2270" s="4">
        <f>1/ZAR!B2270</f>
        <v>6.9131432679810853E-2</v>
      </c>
      <c r="AA2270" s="4">
        <f>1/ZAR!C2270</f>
        <v>6.8853926395152684E-2</v>
      </c>
    </row>
    <row r="2271" spans="1:27" x14ac:dyDescent="0.25">
      <c r="A2271" t="str">
        <f>"26/10/2018"</f>
        <v>26/10/2018</v>
      </c>
      <c r="B2271" s="3">
        <f>AUD!B2271</f>
        <v>0.70330000000000004</v>
      </c>
      <c r="C2271" s="3">
        <f>AUD!C2271</f>
        <v>0.70350000000000001</v>
      </c>
      <c r="D2271" s="3">
        <f>1/CAD!B2271</f>
        <v>0.76103500761035003</v>
      </c>
      <c r="E2271" s="3">
        <f>1/CAD!C2271</f>
        <v>0.76144064570166758</v>
      </c>
      <c r="F2271" s="3">
        <f>EUR!B2271/1</f>
        <v>1.1347</v>
      </c>
      <c r="G2271" s="3">
        <f>EUR!C2271/1</f>
        <v>1.1374</v>
      </c>
      <c r="H2271" s="3">
        <f>GBP!B2271/1</f>
        <v>1.2794000000000001</v>
      </c>
      <c r="I2271" s="3">
        <f>GBP!C2271/1</f>
        <v>1.2810999999999999</v>
      </c>
      <c r="J2271" s="4">
        <f>1/INR!B2271</f>
        <v>1.3610534553744599E-2</v>
      </c>
      <c r="K2271" s="4">
        <f>1/INR!C2271</f>
        <v>1.3556564766488172E-2</v>
      </c>
      <c r="L2271" s="4">
        <f>1/JPY!B2271</f>
        <v>8.9245872378402504E-3</v>
      </c>
      <c r="M2271" s="4">
        <f>1/JPY!C2271</f>
        <v>8.9444238225784081E-3</v>
      </c>
      <c r="N2271" s="5">
        <f>1/KRW!B2271</f>
        <v>8.7573342674489882E-4</v>
      </c>
      <c r="O2271" s="5">
        <f>1/KRW!C2271</f>
        <v>8.7573971544414268E-4</v>
      </c>
      <c r="P2271" s="3">
        <f>1/NOK!B2271</f>
        <v>0.11925205113527952</v>
      </c>
      <c r="Q2271" s="3">
        <f>1/NOK!C2271</f>
        <v>0.11940013372814978</v>
      </c>
      <c r="R2271" s="3">
        <f>NZD!B2271/1</f>
        <v>0.64729999999999999</v>
      </c>
      <c r="S2271" s="3">
        <f>NZD!C2271/1</f>
        <v>0.64749999999999996</v>
      </c>
      <c r="T2271" s="4">
        <f>1/PHP!B2271</f>
        <v>1.8625442354255915E-2</v>
      </c>
      <c r="U2271" s="4">
        <f>1/PHP!C2271</f>
        <v>1.8589088205223533E-2</v>
      </c>
      <c r="V2271" s="4">
        <f>1/TWD!B2271</f>
        <v>3.2251822227955876E-2</v>
      </c>
      <c r="W2271" s="4">
        <f>1/TWD!C2271</f>
        <v>3.2252446348055498E-2</v>
      </c>
      <c r="X2271" s="4">
        <f>1/TWD!B2271</f>
        <v>3.2251822227955876E-2</v>
      </c>
      <c r="Y2271" s="4">
        <f>1/TWD!C2271</f>
        <v>3.2252446348055498E-2</v>
      </c>
      <c r="Z2271" s="4">
        <f>1/ZAR!B2271</f>
        <v>6.795463348668429E-2</v>
      </c>
      <c r="AA2271" s="4">
        <f>1/ZAR!C2271</f>
        <v>6.7685101832235708E-2</v>
      </c>
    </row>
    <row r="2272" spans="1:27" x14ac:dyDescent="0.25">
      <c r="A2272" t="str">
        <f>"29/10/2018"</f>
        <v>29/10/2018</v>
      </c>
      <c r="B2272" s="3">
        <f>AUD!B2272</f>
        <v>0.70960000000000001</v>
      </c>
      <c r="C2272" s="3">
        <f>AUD!C2272</f>
        <v>0.70979999999999999</v>
      </c>
      <c r="D2272" s="3">
        <f>1/CAD!B2272</f>
        <v>0.76312576312576308</v>
      </c>
      <c r="E2272" s="3">
        <f>1/CAD!C2272</f>
        <v>0.76353363365656257</v>
      </c>
      <c r="F2272" s="3">
        <f>EUR!B2272/1</f>
        <v>1.1389</v>
      </c>
      <c r="G2272" s="3">
        <f>EUR!C2272/1</f>
        <v>1.1415999999999999</v>
      </c>
      <c r="H2272" s="3">
        <f>GBP!B2272/1</f>
        <v>1.2833000000000001</v>
      </c>
      <c r="I2272" s="3">
        <f>GBP!C2272/1</f>
        <v>1.2849999999999999</v>
      </c>
      <c r="J2272" s="4">
        <f>1/INR!B2272</f>
        <v>1.3635124079629125E-2</v>
      </c>
      <c r="K2272" s="4">
        <f>1/INR!C2272</f>
        <v>1.3584188005161993E-2</v>
      </c>
      <c r="L2272" s="4">
        <f>1/JPY!B2272</f>
        <v>8.9333571556190813E-3</v>
      </c>
      <c r="M2272" s="4">
        <f>1/JPY!C2272</f>
        <v>8.9525675068352854E-3</v>
      </c>
      <c r="N2272" s="5">
        <f>1/KRW!B2272</f>
        <v>8.7865741147526589E-4</v>
      </c>
      <c r="O2272" s="5">
        <f>1/KRW!C2272</f>
        <v>8.7866127168645847E-4</v>
      </c>
      <c r="P2272" s="3">
        <f>1/NOK!B2272</f>
        <v>0.11964871138337842</v>
      </c>
      <c r="Q2272" s="3">
        <f>1/NOK!C2272</f>
        <v>0.11979491111217595</v>
      </c>
      <c r="R2272" s="3">
        <f>NZD!B2272/1</f>
        <v>0.65310000000000001</v>
      </c>
      <c r="S2272" s="3">
        <f>NZD!C2272/1</f>
        <v>0.65329999999999999</v>
      </c>
      <c r="T2272" s="4">
        <f>1/PHP!B2272</f>
        <v>1.8649757553151809E-2</v>
      </c>
      <c r="U2272" s="4">
        <f>1/PHP!C2272</f>
        <v>1.8616773713115514E-2</v>
      </c>
      <c r="V2272" s="4">
        <f>1/TWD!B2272</f>
        <v>3.2285142377477885E-2</v>
      </c>
      <c r="W2272" s="4">
        <f>1/TWD!C2272</f>
        <v>3.2285767787843762E-2</v>
      </c>
      <c r="X2272" s="4">
        <f>1/TWD!B2272</f>
        <v>3.2285142377477885E-2</v>
      </c>
      <c r="Y2272" s="4">
        <f>1/TWD!C2272</f>
        <v>3.2285767787843762E-2</v>
      </c>
      <c r="Z2272" s="4">
        <f>1/ZAR!B2272</f>
        <v>6.8404599525272086E-2</v>
      </c>
      <c r="AA2272" s="4">
        <f>1/ZAR!C2272</f>
        <v>6.8133350593782158E-2</v>
      </c>
    </row>
    <row r="2273" spans="1:27" x14ac:dyDescent="0.25">
      <c r="A2273" t="str">
        <f>"30/10/2018"</f>
        <v>30/10/2018</v>
      </c>
      <c r="B2273" s="3">
        <f>AUD!B2273</f>
        <v>0.7087</v>
      </c>
      <c r="C2273" s="3">
        <f>AUD!C2273</f>
        <v>0.70889999999999997</v>
      </c>
      <c r="D2273" s="3">
        <f>1/CAD!B2273</f>
        <v>0.76254384627116067</v>
      </c>
      <c r="E2273" s="3">
        <f>1/CAD!C2273</f>
        <v>0.76295109483482115</v>
      </c>
      <c r="F2273" s="3">
        <f>EUR!B2273/1</f>
        <v>1.1379999999999999</v>
      </c>
      <c r="G2273" s="3">
        <f>EUR!C2273/1</f>
        <v>1.1408</v>
      </c>
      <c r="H2273" s="3">
        <f>GBP!B2273/1</f>
        <v>1.2804</v>
      </c>
      <c r="I2273" s="3">
        <f>GBP!C2273/1</f>
        <v>1.2822</v>
      </c>
      <c r="J2273" s="4">
        <f>1/INR!B2273</f>
        <v>1.3586033557502887E-2</v>
      </c>
      <c r="K2273" s="4">
        <f>1/INR!C2273</f>
        <v>1.3532715339332839E-2</v>
      </c>
      <c r="L2273" s="4">
        <f>1/JPY!B2273</f>
        <v>8.8707531269404775E-3</v>
      </c>
      <c r="M2273" s="4">
        <f>1/JPY!C2273</f>
        <v>8.8911017853332396E-3</v>
      </c>
      <c r="N2273" s="5">
        <f>1/KRW!B2273</f>
        <v>8.7673154480098206E-4</v>
      </c>
      <c r="O2273" s="5">
        <f>1/KRW!C2273</f>
        <v>8.7673461944457105E-4</v>
      </c>
      <c r="P2273" s="3">
        <f>1/NOK!B2273</f>
        <v>0.11934028689404969</v>
      </c>
      <c r="Q2273" s="3">
        <f>1/NOK!C2273</f>
        <v>0.11949001660911231</v>
      </c>
      <c r="R2273" s="3">
        <f>NZD!B2273/1</f>
        <v>0.65449999999999997</v>
      </c>
      <c r="S2273" s="3">
        <f>NZD!C2273/1</f>
        <v>0.65469999999999995</v>
      </c>
      <c r="T2273" s="4">
        <f>1/PHP!B2273</f>
        <v>1.8635855385762207E-2</v>
      </c>
      <c r="U2273" s="4">
        <f>1/PHP!C2273</f>
        <v>1.8599460615642147E-2</v>
      </c>
      <c r="V2273" s="4">
        <f>1/TWD!B2273</f>
        <v>3.2274722437387035E-2</v>
      </c>
      <c r="W2273" s="4">
        <f>1/TWD!C2273</f>
        <v>3.2275451614256712E-2</v>
      </c>
      <c r="X2273" s="4">
        <f>1/TWD!B2273</f>
        <v>3.2274722437387035E-2</v>
      </c>
      <c r="Y2273" s="4">
        <f>1/TWD!C2273</f>
        <v>3.2275451614256712E-2</v>
      </c>
      <c r="Z2273" s="4">
        <f>1/ZAR!B2273</f>
        <v>6.8207706106635929E-2</v>
      </c>
      <c r="AA2273" s="4">
        <f>1/ZAR!C2273</f>
        <v>6.7952786404006496E-2</v>
      </c>
    </row>
    <row r="2274" spans="1:27" x14ac:dyDescent="0.25">
      <c r="A2274" t="str">
        <f>"31/10/2018"</f>
        <v>31/10/2018</v>
      </c>
      <c r="B2274" s="3">
        <f>AUD!B2274</f>
        <v>0.71030000000000004</v>
      </c>
      <c r="C2274" s="3">
        <f>AUD!C2274</f>
        <v>0.71050000000000002</v>
      </c>
      <c r="D2274" s="3">
        <f>1/CAD!B2274</f>
        <v>0.76167263310229261</v>
      </c>
      <c r="E2274" s="3">
        <f>1/CAD!C2274</f>
        <v>0.76207895137936288</v>
      </c>
      <c r="F2274" s="3">
        <f>EUR!B2274/1</f>
        <v>1.1353</v>
      </c>
      <c r="G2274" s="3">
        <f>EUR!C2274/1</f>
        <v>1.1379999999999999</v>
      </c>
      <c r="H2274" s="3">
        <f>GBP!B2274/1</f>
        <v>1.2776000000000001</v>
      </c>
      <c r="I2274" s="3">
        <f>GBP!C2274/1</f>
        <v>1.2793000000000001</v>
      </c>
      <c r="J2274" s="4">
        <f>1/INR!B2274</f>
        <v>1.3520822065981613E-2</v>
      </c>
      <c r="K2274" s="4">
        <f>1/INR!C2274</f>
        <v>1.3468466951749216E-2</v>
      </c>
      <c r="L2274" s="4">
        <f>1/JPY!B2274</f>
        <v>8.843296781039971E-3</v>
      </c>
      <c r="M2274" s="4">
        <f>1/JPY!C2274</f>
        <v>8.862592591936105E-3</v>
      </c>
      <c r="N2274" s="5">
        <f>1/KRW!B2274</f>
        <v>8.7726993595929463E-4</v>
      </c>
      <c r="O2274" s="5">
        <f>1/KRW!C2274</f>
        <v>8.7727262957645706E-4</v>
      </c>
      <c r="P2274" s="3">
        <f>1/NOK!B2274</f>
        <v>0.11878459601358897</v>
      </c>
      <c r="Q2274" s="3">
        <f>1/NOK!C2274</f>
        <v>0.11893151923122665</v>
      </c>
      <c r="R2274" s="3">
        <f>NZD!B2274/1</f>
        <v>0.65469999999999995</v>
      </c>
      <c r="S2274" s="3">
        <f>NZD!C2274/1</f>
        <v>0.65490000000000004</v>
      </c>
      <c r="T2274" s="4">
        <f>1/PHP!B2274</f>
        <v>1.8661938975459549E-2</v>
      </c>
      <c r="U2274" s="4">
        <f>1/PHP!C2274</f>
        <v>1.8621973929236497E-2</v>
      </c>
      <c r="V2274" s="4">
        <f>1/TWD!B2274</f>
        <v>3.2287227172930387E-2</v>
      </c>
      <c r="W2274" s="4">
        <f>1/TWD!C2274</f>
        <v>3.2287852664070721E-2</v>
      </c>
      <c r="X2274" s="4">
        <f>1/TWD!B2274</f>
        <v>3.2287227172930387E-2</v>
      </c>
      <c r="Y2274" s="4">
        <f>1/TWD!C2274</f>
        <v>3.2287852664070721E-2</v>
      </c>
      <c r="Z2274" s="4">
        <f>1/ZAR!B2274</f>
        <v>6.7925092208312679E-2</v>
      </c>
      <c r="AA2274" s="4">
        <f>1/ZAR!C2274</f>
        <v>6.7665865953919546E-2</v>
      </c>
    </row>
    <row r="2275" spans="1:27" x14ac:dyDescent="0.25">
      <c r="A2275" t="str">
        <f>"01/11/2018"</f>
        <v>01/11/2018</v>
      </c>
      <c r="B2275" s="3">
        <f>AUD!B2275</f>
        <v>0.71579999999999999</v>
      </c>
      <c r="C2275" s="3">
        <f>AUD!C2275</f>
        <v>0.71599999999999997</v>
      </c>
      <c r="D2275" s="3">
        <f>1/CAD!B2275</f>
        <v>0.76266015863331305</v>
      </c>
      <c r="E2275" s="3">
        <f>1/CAD!C2275</f>
        <v>0.76300930871356631</v>
      </c>
      <c r="F2275" s="3">
        <f>EUR!B2275/1</f>
        <v>1.1388</v>
      </c>
      <c r="G2275" s="3">
        <f>EUR!C2275/1</f>
        <v>1.1414</v>
      </c>
      <c r="H2275" s="3">
        <f>GBP!B2275/1</f>
        <v>1.2895000000000001</v>
      </c>
      <c r="I2275" s="3">
        <f>GBP!C2275/1</f>
        <v>1.2910999999999999</v>
      </c>
      <c r="J2275" s="4">
        <f>1/INR!B2275</f>
        <v>1.3612850530901171E-2</v>
      </c>
      <c r="K2275" s="4">
        <f>1/INR!C2275</f>
        <v>1.356208042313691E-2</v>
      </c>
      <c r="L2275" s="4">
        <f>1/JPY!B2275</f>
        <v>8.8534749889331559E-3</v>
      </c>
      <c r="M2275" s="4">
        <f>1/JPY!C2275</f>
        <v>8.872091063142672E-3</v>
      </c>
      <c r="N2275" s="5">
        <f>1/KRW!B2275</f>
        <v>8.7858021437357229E-4</v>
      </c>
      <c r="O2275" s="5">
        <f>1/KRW!C2275</f>
        <v>8.7858291604305579E-4</v>
      </c>
      <c r="P2275" s="3">
        <f>1/NOK!B2275</f>
        <v>0.11958432488669386</v>
      </c>
      <c r="Q2275" s="3">
        <f>1/NOK!C2275</f>
        <v>0.11972893369411652</v>
      </c>
      <c r="R2275" s="3">
        <f>NZD!B2275/1</f>
        <v>0.66090000000000004</v>
      </c>
      <c r="S2275" s="3">
        <f>NZD!C2275/1</f>
        <v>0.66110000000000002</v>
      </c>
      <c r="T2275" s="4">
        <f>1/PHP!B2275</f>
        <v>1.8661938975459549E-2</v>
      </c>
      <c r="U2275" s="4">
        <f>1/PHP!C2275</f>
        <v>1.8621973929236497E-2</v>
      </c>
      <c r="V2275" s="4">
        <f>1/TWD!B2275</f>
        <v>3.2335251891612238E-2</v>
      </c>
      <c r="W2275" s="4">
        <f>1/TWD!C2275</f>
        <v>3.2335879244892549E-2</v>
      </c>
      <c r="X2275" s="4">
        <f>1/TWD!B2275</f>
        <v>3.2335251891612238E-2</v>
      </c>
      <c r="Y2275" s="4">
        <f>1/TWD!C2275</f>
        <v>3.2335879244892549E-2</v>
      </c>
      <c r="Z2275" s="4">
        <f>1/ZAR!B2275</f>
        <v>6.8721909919320479E-2</v>
      </c>
      <c r="AA2275" s="4">
        <f>1/ZAR!C2275</f>
        <v>6.8472046287103294E-2</v>
      </c>
    </row>
    <row r="2276" spans="1:27" x14ac:dyDescent="0.25">
      <c r="A2276" t="str">
        <f>"02/11/2018"</f>
        <v>02/11/2018</v>
      </c>
      <c r="B2276" s="3">
        <f>AUD!B2276</f>
        <v>0.72450000000000003</v>
      </c>
      <c r="C2276" s="3">
        <f>AUD!C2276</f>
        <v>0.72470000000000001</v>
      </c>
      <c r="D2276" s="3">
        <f>1/CAD!B2276</f>
        <v>0.76563815940586477</v>
      </c>
      <c r="E2276" s="3">
        <f>1/CAD!C2276</f>
        <v>0.7660487206986365</v>
      </c>
      <c r="F2276" s="3">
        <f>EUR!B2276/1</f>
        <v>1.1447000000000001</v>
      </c>
      <c r="G2276" s="3">
        <f>EUR!C2276/1</f>
        <v>1.1473</v>
      </c>
      <c r="H2276" s="3">
        <f>GBP!B2276/1</f>
        <v>1.3023</v>
      </c>
      <c r="I2276" s="3">
        <f>GBP!C2276/1</f>
        <v>1.3039000000000001</v>
      </c>
      <c r="J2276" s="4">
        <f>1/INR!B2276</f>
        <v>1.3804051489112056E-2</v>
      </c>
      <c r="K2276" s="4">
        <f>1/INR!C2276</f>
        <v>1.375373929787161E-2</v>
      </c>
      <c r="L2276" s="4">
        <f>1/JPY!B2276</f>
        <v>8.8573959255978732E-3</v>
      </c>
      <c r="M2276" s="4">
        <f>1/JPY!C2276</f>
        <v>8.8758315544687598E-3</v>
      </c>
      <c r="N2276" s="5">
        <f>1/KRW!B2276</f>
        <v>8.9142449634515956E-4</v>
      </c>
      <c r="O2276" s="5">
        <f>1/KRW!C2276</f>
        <v>8.9142727758555142E-4</v>
      </c>
      <c r="P2276" s="3">
        <f>1/NOK!B2276</f>
        <v>0.12031812111222072</v>
      </c>
      <c r="Q2276" s="3">
        <f>1/NOK!C2276</f>
        <v>0.1204630600026502</v>
      </c>
      <c r="R2276" s="3">
        <f>NZD!B2276/1</f>
        <v>0.66810000000000003</v>
      </c>
      <c r="S2276" s="3">
        <f>NZD!C2276/1</f>
        <v>0.66830000000000001</v>
      </c>
      <c r="T2276" s="4">
        <f>1/PHP!B2276</f>
        <v>1.8661938975459549E-2</v>
      </c>
      <c r="U2276" s="4">
        <f>1/PHP!C2276</f>
        <v>1.8621973929236497E-2</v>
      </c>
      <c r="V2276" s="4">
        <f>1/TWD!B2276</f>
        <v>3.2530904359141188E-2</v>
      </c>
      <c r="W2276" s="4">
        <f>1/TWD!C2276</f>
        <v>3.2531539327377894E-2</v>
      </c>
      <c r="X2276" s="4">
        <f>1/TWD!B2276</f>
        <v>3.2530904359141188E-2</v>
      </c>
      <c r="Y2276" s="4">
        <f>1/TWD!C2276</f>
        <v>3.2531539327377894E-2</v>
      </c>
      <c r="Z2276" s="4">
        <f>1/ZAR!B2276</f>
        <v>6.9834352914885892E-2</v>
      </c>
      <c r="AA2276" s="4">
        <f>1/ZAR!C2276</f>
        <v>6.9574413313759728E-2</v>
      </c>
    </row>
    <row r="2277" spans="1:27" x14ac:dyDescent="0.25">
      <c r="A2277" t="str">
        <f>"05/11/2018"</f>
        <v>05/11/2018</v>
      </c>
      <c r="B2277" s="3">
        <f>AUD!B2277</f>
        <v>0.71960000000000002</v>
      </c>
      <c r="C2277" s="3">
        <f>AUD!C2277</f>
        <v>0.71989999999999998</v>
      </c>
      <c r="D2277" s="3">
        <f>1/CAD!B2277</f>
        <v>0.76300930871356631</v>
      </c>
      <c r="E2277" s="3">
        <f>1/CAD!C2277</f>
        <v>0.76341705473700283</v>
      </c>
      <c r="F2277" s="3">
        <f>EUR!B2277/1</f>
        <v>1.1373</v>
      </c>
      <c r="G2277" s="3">
        <f>EUR!C2277/1</f>
        <v>1.1398999999999999</v>
      </c>
      <c r="H2277" s="3">
        <f>GBP!B2277/1</f>
        <v>1.3008</v>
      </c>
      <c r="I2277" s="3">
        <f>GBP!C2277/1</f>
        <v>1.3024</v>
      </c>
      <c r="J2277" s="4">
        <f>1/INR!B2277</f>
        <v>1.3673811233035928E-2</v>
      </c>
      <c r="K2277" s="4">
        <f>1/INR!C2277</f>
        <v>1.3623514185484145E-2</v>
      </c>
      <c r="L2277" s="4">
        <f>1/JPY!B2277</f>
        <v>8.8292424509977038E-3</v>
      </c>
      <c r="M2277" s="4">
        <f>1/JPY!C2277</f>
        <v>8.8476079164856586E-3</v>
      </c>
      <c r="N2277" s="5">
        <f>1/KRW!B2277</f>
        <v>8.9007565643079659E-4</v>
      </c>
      <c r="O2277" s="5">
        <f>1/KRW!C2277</f>
        <v>8.9007882538077565E-4</v>
      </c>
      <c r="P2277" s="3">
        <f>1/NOK!B2277</f>
        <v>0.11937875296954649</v>
      </c>
      <c r="Q2277" s="3">
        <f>1/NOK!C2277</f>
        <v>0.11952286472402171</v>
      </c>
      <c r="R2277" s="3">
        <f>NZD!B2277/1</f>
        <v>0.66590000000000005</v>
      </c>
      <c r="S2277" s="3">
        <f>NZD!C2277/1</f>
        <v>0.66610000000000003</v>
      </c>
      <c r="T2277" s="4">
        <f>1/PHP!B2277</f>
        <v>1.8772292096865026E-2</v>
      </c>
      <c r="U2277" s="4">
        <f>1/PHP!C2277</f>
        <v>1.873536299765808E-2</v>
      </c>
      <c r="V2277" s="4">
        <f>1/TWD!B2277</f>
        <v>3.2498131357446947E-2</v>
      </c>
      <c r="W2277" s="4">
        <f>1/TWD!C2277</f>
        <v>3.2498765046928217E-2</v>
      </c>
      <c r="X2277" s="4">
        <f>1/TWD!B2277</f>
        <v>3.2498131357446947E-2</v>
      </c>
      <c r="Y2277" s="4">
        <f>1/TWD!C2277</f>
        <v>3.2498765046928217E-2</v>
      </c>
      <c r="Z2277" s="4">
        <f>1/ZAR!B2277</f>
        <v>6.9494152067103562E-2</v>
      </c>
      <c r="AA2277" s="4">
        <f>1/ZAR!C2277</f>
        <v>6.92444050520718E-2</v>
      </c>
    </row>
    <row r="2278" spans="1:27" x14ac:dyDescent="0.25">
      <c r="A2278" t="str">
        <f>"06/11/2018"</f>
        <v>06/11/2018</v>
      </c>
      <c r="B2278" s="3">
        <f>AUD!B2278</f>
        <v>0.72309999999999997</v>
      </c>
      <c r="C2278" s="3">
        <f>AUD!C2278</f>
        <v>0.72330000000000005</v>
      </c>
      <c r="D2278" s="3">
        <f>1/CAD!B2278</f>
        <v>0.76190476190476186</v>
      </c>
      <c r="E2278" s="3">
        <f>1/CAD!C2278</f>
        <v>0.76231132794633327</v>
      </c>
      <c r="F2278" s="3">
        <f>EUR!B2278/1</f>
        <v>1.1396999999999999</v>
      </c>
      <c r="G2278" s="3">
        <f>EUR!C2278/1</f>
        <v>1.1425000000000001</v>
      </c>
      <c r="H2278" s="3">
        <f>GBP!B2278/1</f>
        <v>1.3061</v>
      </c>
      <c r="I2278" s="3">
        <f>GBP!C2278/1</f>
        <v>1.3079000000000001</v>
      </c>
      <c r="J2278" s="4">
        <f>1/INR!B2278</f>
        <v>1.3697691938908295E-2</v>
      </c>
      <c r="K2278" s="4">
        <f>1/INR!C2278</f>
        <v>1.3648616371515338E-2</v>
      </c>
      <c r="L2278" s="4">
        <f>1/JPY!B2278</f>
        <v>8.8386070355311996E-3</v>
      </c>
      <c r="M2278" s="4">
        <f>1/JPY!C2278</f>
        <v>8.8582746915548752E-3</v>
      </c>
      <c r="N2278" s="5">
        <f>1/KRW!B2278</f>
        <v>8.8967971530249106E-4</v>
      </c>
      <c r="O2278" s="5">
        <f>1/KRW!C2278</f>
        <v>8.8968327720173254E-4</v>
      </c>
      <c r="P2278" s="3">
        <f>1/NOK!B2278</f>
        <v>0.11948287810356775</v>
      </c>
      <c r="Q2278" s="3">
        <f>1/NOK!C2278</f>
        <v>0.1196386911527188</v>
      </c>
      <c r="R2278" s="3">
        <f>NZD!B2278/1</f>
        <v>0.66720000000000002</v>
      </c>
      <c r="S2278" s="3">
        <f>NZD!C2278/1</f>
        <v>0.66739999999999999</v>
      </c>
      <c r="T2278" s="4">
        <f>1/PHP!B2278</f>
        <v>1.8841262364578427E-2</v>
      </c>
      <c r="U2278" s="4">
        <f>1/PHP!C2278</f>
        <v>1.8802293879853341E-2</v>
      </c>
      <c r="V2278" s="4">
        <f>1/TWD!B2278</f>
        <v>3.2486518094990577E-2</v>
      </c>
      <c r="W2278" s="4">
        <f>1/TWD!C2278</f>
        <v>3.2487151331648333E-2</v>
      </c>
      <c r="X2278" s="4">
        <f>1/TWD!B2278</f>
        <v>3.2486518094990577E-2</v>
      </c>
      <c r="Y2278" s="4">
        <f>1/TWD!C2278</f>
        <v>3.2487151331648333E-2</v>
      </c>
      <c r="Z2278" s="4">
        <f>1/ZAR!B2278</f>
        <v>7.022422595346943E-2</v>
      </c>
      <c r="AA2278" s="4">
        <f>1/ZAR!C2278</f>
        <v>6.9964318197719172E-2</v>
      </c>
    </row>
    <row r="2279" spans="1:27" x14ac:dyDescent="0.25">
      <c r="A2279" t="str">
        <f>"09/11/2018"</f>
        <v>09/11/2018</v>
      </c>
      <c r="B2279" s="3">
        <f>AUD!B2279</f>
        <v>0.72430000000000005</v>
      </c>
      <c r="C2279" s="3">
        <f>AUD!C2279</f>
        <v>0.72450000000000003</v>
      </c>
      <c r="D2279" s="3">
        <f>1/CAD!B2279</f>
        <v>0.758782912208817</v>
      </c>
      <c r="E2279" s="3">
        <f>1/CAD!C2279</f>
        <v>0.75918615244457943</v>
      </c>
      <c r="F2279" s="3">
        <f>EUR!B2279/1</f>
        <v>1.1342000000000001</v>
      </c>
      <c r="G2279" s="3">
        <f>EUR!C2279/1</f>
        <v>1.1368</v>
      </c>
      <c r="H2279" s="3">
        <f>GBP!B2279/1</f>
        <v>1.3048</v>
      </c>
      <c r="I2279" s="3">
        <f>GBP!C2279/1</f>
        <v>1.3065</v>
      </c>
      <c r="J2279" s="4">
        <f>1/INR!B2279</f>
        <v>1.3735320376347776E-2</v>
      </c>
      <c r="K2279" s="4">
        <f>1/INR!C2279</f>
        <v>1.3686443577636351E-2</v>
      </c>
      <c r="L2279" s="4">
        <f>1/JPY!B2279</f>
        <v>8.7765490609092514E-3</v>
      </c>
      <c r="M2279" s="4">
        <f>1/JPY!C2279</f>
        <v>8.7952836171131601E-3</v>
      </c>
      <c r="N2279" s="5">
        <f>1/KRW!B2279</f>
        <v>8.8739018546454872E-4</v>
      </c>
      <c r="O2279" s="5">
        <f>1/KRW!C2279</f>
        <v>8.8739396529508691E-4</v>
      </c>
      <c r="P2279" s="3">
        <f>1/NOK!B2279</f>
        <v>0.11909440613574382</v>
      </c>
      <c r="Q2279" s="3">
        <f>1/NOK!C2279</f>
        <v>0.11923783177926693</v>
      </c>
      <c r="R2279" s="3">
        <f>NZD!B2279/1</f>
        <v>0.67400000000000004</v>
      </c>
      <c r="S2279" s="3">
        <f>NZD!C2279/1</f>
        <v>0.67430000000000001</v>
      </c>
      <c r="T2279" s="4">
        <f>1/PHP!B2279</f>
        <v>1.8889308651303362E-2</v>
      </c>
      <c r="U2279" s="4">
        <f>1/PHP!C2279</f>
        <v>1.884570082449941E-2</v>
      </c>
      <c r="V2279" s="4">
        <f>1/TWD!B2279</f>
        <v>3.2506582582973051E-2</v>
      </c>
      <c r="W2279" s="4">
        <f>1/TWD!C2279</f>
        <v>3.2507216602085665E-2</v>
      </c>
      <c r="X2279" s="4">
        <f>1/TWD!B2279</f>
        <v>3.2506582582973051E-2</v>
      </c>
      <c r="Y2279" s="4">
        <f>1/TWD!C2279</f>
        <v>3.2507216602085665E-2</v>
      </c>
      <c r="Z2279" s="4">
        <f>1/ZAR!B2279</f>
        <v>7.0497500863594381E-2</v>
      </c>
      <c r="AA2279" s="4">
        <f>1/ZAR!C2279</f>
        <v>7.0240010114561449E-2</v>
      </c>
    </row>
    <row r="2280" spans="1:27" x14ac:dyDescent="0.25">
      <c r="A2280" t="str">
        <f>"12/11/2018"</f>
        <v>12/11/2018</v>
      </c>
      <c r="B2280" s="3">
        <f>AUD!B2280</f>
        <v>0.72050000000000003</v>
      </c>
      <c r="C2280" s="3">
        <f>AUD!C2280</f>
        <v>0.72070000000000001</v>
      </c>
      <c r="D2280" s="3">
        <f>1/CAD!B2280</f>
        <v>0.75734625870948191</v>
      </c>
      <c r="E2280" s="3">
        <f>1/CAD!C2280</f>
        <v>0.75769055917563266</v>
      </c>
      <c r="F2280" s="3">
        <f>EUR!B2280/1</f>
        <v>1.1256999999999999</v>
      </c>
      <c r="G2280" s="3">
        <f>EUR!C2280/1</f>
        <v>1.1283000000000001</v>
      </c>
      <c r="H2280" s="3">
        <f>GBP!B2280/1</f>
        <v>1.2867</v>
      </c>
      <c r="I2280" s="3">
        <f>GBP!C2280/1</f>
        <v>1.2884</v>
      </c>
      <c r="J2280" s="4">
        <f>1/INR!B2280</f>
        <v>1.3717891560067219E-2</v>
      </c>
      <c r="K2280" s="4">
        <f>1/INR!C2280</f>
        <v>1.3668204339654879E-2</v>
      </c>
      <c r="L2280" s="4">
        <f>1/JPY!B2280</f>
        <v>8.7780898876404501E-3</v>
      </c>
      <c r="M2280" s="4">
        <f>1/JPY!C2280</f>
        <v>8.7966607875650405E-3</v>
      </c>
      <c r="N2280" s="5">
        <f>1/KRW!B2280</f>
        <v>8.8183421516754845E-4</v>
      </c>
      <c r="O2280" s="5">
        <f>1/KRW!C2280</f>
        <v>8.8183654806846929E-4</v>
      </c>
      <c r="P2280" s="3">
        <f>1/NOK!B2280</f>
        <v>0.11809582295074222</v>
      </c>
      <c r="Q2280" s="3">
        <f>1/NOK!C2280</f>
        <v>0.11823545408326139</v>
      </c>
      <c r="R2280" s="3">
        <f>NZD!B2280/1</f>
        <v>0.67290000000000005</v>
      </c>
      <c r="S2280" s="3">
        <f>NZD!C2280/1</f>
        <v>0.67320000000000002</v>
      </c>
      <c r="T2280" s="4">
        <f>1/PHP!B2280</f>
        <v>1.8745899334520574E-2</v>
      </c>
      <c r="U2280" s="4">
        <f>1/PHP!C2280</f>
        <v>1.8702950390424088E-2</v>
      </c>
      <c r="V2280" s="4">
        <f>1/TWD!B2280</f>
        <v>3.2375032375032371E-2</v>
      </c>
      <c r="W2280" s="4">
        <f>1/TWD!C2280</f>
        <v>3.2375661272881502E-2</v>
      </c>
      <c r="X2280" s="4">
        <f>1/TWD!B2280</f>
        <v>3.2375032375032371E-2</v>
      </c>
      <c r="Y2280" s="4">
        <f>1/TWD!C2280</f>
        <v>3.2375661272881502E-2</v>
      </c>
      <c r="Z2280" s="4">
        <f>1/ZAR!B2280</f>
        <v>6.9531358642747884E-2</v>
      </c>
      <c r="AA2280" s="4">
        <f>1/ZAR!C2280</f>
        <v>6.9274145503415221E-2</v>
      </c>
    </row>
    <row r="2281" spans="1:27" x14ac:dyDescent="0.25">
      <c r="A2281" t="str">
        <f>"13/11/2018"</f>
        <v>13/11/2018</v>
      </c>
      <c r="B2281" s="3">
        <f>AUD!B2281</f>
        <v>0.71970000000000001</v>
      </c>
      <c r="C2281" s="3">
        <f>AUD!C2281</f>
        <v>0.71989999999999998</v>
      </c>
      <c r="D2281" s="3">
        <f>1/CAD!B2281</f>
        <v>0.75534405921897418</v>
      </c>
      <c r="E2281" s="3">
        <f>1/CAD!C2281</f>
        <v>0.75568654122270085</v>
      </c>
      <c r="F2281" s="3">
        <f>EUR!B2281/1</f>
        <v>1.1248</v>
      </c>
      <c r="G2281" s="3">
        <f>EUR!C2281/1</f>
        <v>1.1275999999999999</v>
      </c>
      <c r="H2281" s="3">
        <f>GBP!B2281/1</f>
        <v>1.2918000000000001</v>
      </c>
      <c r="I2281" s="3">
        <f>GBP!C2281/1</f>
        <v>1.2936000000000001</v>
      </c>
      <c r="J2281" s="4">
        <f>1/INR!B2281</f>
        <v>1.3758943313153549E-2</v>
      </c>
      <c r="K2281" s="4">
        <f>1/INR!C2281</f>
        <v>1.3707549432850142E-2</v>
      </c>
      <c r="L2281" s="4">
        <f>1/JPY!B2281</f>
        <v>8.7673154480098197E-3</v>
      </c>
      <c r="M2281" s="4">
        <f>1/JPY!C2281</f>
        <v>8.787075968665287E-3</v>
      </c>
      <c r="N2281" s="5">
        <f>1/KRW!B2281</f>
        <v>8.823788934968676E-4</v>
      </c>
      <c r="O2281" s="5">
        <f>1/KRW!C2281</f>
        <v>8.8238200787790658E-4</v>
      </c>
      <c r="P2281" s="3">
        <f>1/NOK!B2281</f>
        <v>0.11765259541625489</v>
      </c>
      <c r="Q2281" s="3">
        <f>1/NOK!C2281</f>
        <v>0.11780089293076842</v>
      </c>
      <c r="R2281" s="3">
        <f>NZD!B2281/1</f>
        <v>0.67449999999999999</v>
      </c>
      <c r="S2281" s="3">
        <f>NZD!C2281/1</f>
        <v>0.67479999999999996</v>
      </c>
      <c r="T2281" s="4">
        <f>1/PHP!B2281</f>
        <v>1.8828845791752966E-2</v>
      </c>
      <c r="U2281" s="4">
        <f>1/PHP!C2281</f>
        <v>1.8788163457022077E-2</v>
      </c>
      <c r="V2281" s="4">
        <f>1/TWD!B2281</f>
        <v>3.236036502491748E-2</v>
      </c>
      <c r="W2281" s="4">
        <f>1/TWD!C2281</f>
        <v>3.2360993353051967E-2</v>
      </c>
      <c r="X2281" s="4">
        <f>1/TWD!B2281</f>
        <v>3.236036502491748E-2</v>
      </c>
      <c r="Y2281" s="4">
        <f>1/TWD!C2281</f>
        <v>3.2360993353051967E-2</v>
      </c>
      <c r="Z2281" s="4">
        <f>1/ZAR!B2281</f>
        <v>6.9176864489440146E-2</v>
      </c>
      <c r="AA2281" s="4">
        <f>1/ZAR!C2281</f>
        <v>6.8901842435266716E-2</v>
      </c>
    </row>
    <row r="2282" spans="1:27" x14ac:dyDescent="0.25">
      <c r="A2282" t="str">
        <f>"14/11/2018"</f>
        <v>14/11/2018</v>
      </c>
      <c r="B2282" s="3">
        <f>AUD!B2282</f>
        <v>0.71919999999999995</v>
      </c>
      <c r="C2282" s="3">
        <f>AUD!C2282</f>
        <v>0.71950000000000003</v>
      </c>
      <c r="D2282" s="3">
        <f>1/CAD!B2282</f>
        <v>0.7555152614082804</v>
      </c>
      <c r="E2282" s="3">
        <f>1/CAD!C2282</f>
        <v>0.75591503515004921</v>
      </c>
      <c r="F2282" s="3">
        <f>EUR!B2282/1</f>
        <v>1.1265000000000001</v>
      </c>
      <c r="G2282" s="3">
        <f>EUR!C2282/1</f>
        <v>1.1292</v>
      </c>
      <c r="H2282" s="3">
        <f>GBP!B2282/1</f>
        <v>1.2904</v>
      </c>
      <c r="I2282" s="3">
        <f>GBP!C2282/1</f>
        <v>1.2921</v>
      </c>
      <c r="J2282" s="4">
        <f>1/INR!B2282</f>
        <v>1.3827911639644624E-2</v>
      </c>
      <c r="K2282" s="4">
        <f>1/INR!C2282</f>
        <v>1.3776951160708137E-2</v>
      </c>
      <c r="L2282" s="4">
        <f>1/JPY!B2282</f>
        <v>8.7780898876404501E-3</v>
      </c>
      <c r="M2282" s="4">
        <f>1/JPY!C2282</f>
        <v>8.7973804919847069E-3</v>
      </c>
      <c r="N2282" s="5">
        <f>1/KRW!B2282</f>
        <v>8.8160098739310593E-4</v>
      </c>
      <c r="O2282" s="5">
        <f>1/KRW!C2282</f>
        <v>8.8160331906017553E-4</v>
      </c>
      <c r="P2282" s="3">
        <f>1/NOK!B2282</f>
        <v>0.1172415410228152</v>
      </c>
      <c r="Q2282" s="3">
        <f>1/NOK!C2282</f>
        <v>0.11738191379472251</v>
      </c>
      <c r="R2282" s="3">
        <f>NZD!B2282/1</f>
        <v>0.67730000000000001</v>
      </c>
      <c r="S2282" s="3">
        <f>NZD!C2282/1</f>
        <v>0.67749999999999999</v>
      </c>
      <c r="T2282" s="4">
        <f>1/PHP!B2282</f>
        <v>1.8825301204819279E-2</v>
      </c>
      <c r="U2282" s="4">
        <f>1/PHP!C2282</f>
        <v>1.8778461105112436E-2</v>
      </c>
      <c r="V2282" s="4">
        <f>1/TWD!B2282</f>
        <v>3.2327934568260434E-2</v>
      </c>
      <c r="W2282" s="4">
        <f>1/TWD!C2282</f>
        <v>3.2328561637635617E-2</v>
      </c>
      <c r="X2282" s="4">
        <f>1/TWD!B2282</f>
        <v>3.2327934568260434E-2</v>
      </c>
      <c r="Y2282" s="4">
        <f>1/TWD!C2282</f>
        <v>3.2328561637635617E-2</v>
      </c>
      <c r="Z2282" s="4">
        <f>1/ZAR!B2282</f>
        <v>6.9392400144336189E-2</v>
      </c>
      <c r="AA2282" s="4">
        <f>1/ZAR!C2282</f>
        <v>6.912904318491328E-2</v>
      </c>
    </row>
    <row r="2283" spans="1:27" x14ac:dyDescent="0.25">
      <c r="A2283" t="str">
        <f>"15/11/2018"</f>
        <v>15/11/2018</v>
      </c>
      <c r="B2283" s="3">
        <f>AUD!B2283</f>
        <v>0.72629999999999995</v>
      </c>
      <c r="C2283" s="3">
        <f>AUD!C2283</f>
        <v>0.72660000000000002</v>
      </c>
      <c r="D2283" s="3">
        <f>1/CAD!B2283</f>
        <v>0.75591503515004921</v>
      </c>
      <c r="E2283" s="3">
        <f>1/CAD!C2283</f>
        <v>0.75625803524162438</v>
      </c>
      <c r="F2283" s="3">
        <f>EUR!B2283/1</f>
        <v>1.1309</v>
      </c>
      <c r="G2283" s="3">
        <f>EUR!C2283/1</f>
        <v>1.1335</v>
      </c>
      <c r="H2283" s="3">
        <f>GBP!B2283/1</f>
        <v>1.2830999999999999</v>
      </c>
      <c r="I2283" s="3">
        <f>GBP!C2283/1</f>
        <v>1.2847</v>
      </c>
      <c r="J2283" s="4">
        <f>1/INR!B2283</f>
        <v>1.3891300573016149E-2</v>
      </c>
      <c r="K2283" s="4">
        <f>1/INR!C2283</f>
        <v>1.3841788359055989E-2</v>
      </c>
      <c r="L2283" s="4">
        <f>1/JPY!B2283</f>
        <v>8.8113490175345845E-3</v>
      </c>
      <c r="M2283" s="4">
        <f>1/JPY!C2283</f>
        <v>8.8302403944644989E-3</v>
      </c>
      <c r="N2283" s="5">
        <f>1/KRW!B2283</f>
        <v>8.8550429469582933E-4</v>
      </c>
      <c r="O2283" s="5">
        <f>1/KRW!C2283</f>
        <v>8.8550625499480879E-4</v>
      </c>
      <c r="P2283" s="3">
        <f>1/NOK!B2283</f>
        <v>0.11763460339493466</v>
      </c>
      <c r="Q2283" s="3">
        <f>1/NOK!C2283</f>
        <v>0.1177717583323519</v>
      </c>
      <c r="R2283" s="3">
        <f>NZD!B2283/1</f>
        <v>0.68049999999999999</v>
      </c>
      <c r="S2283" s="3">
        <f>NZD!C2283/1</f>
        <v>0.68069999999999997</v>
      </c>
      <c r="T2283" s="4">
        <f>1/PHP!B2283</f>
        <v>1.8919685933213509E-2</v>
      </c>
      <c r="U2283" s="4">
        <f>1/PHP!C2283</f>
        <v>1.887575974932991E-2</v>
      </c>
      <c r="V2283" s="4">
        <f>1/TWD!B2283</f>
        <v>3.2417012448132783E-2</v>
      </c>
      <c r="W2283" s="4">
        <f>1/TWD!C2283</f>
        <v>3.2417642978014354E-2</v>
      </c>
      <c r="X2283" s="4">
        <f>1/TWD!B2283</f>
        <v>3.2417012448132783E-2</v>
      </c>
      <c r="Y2283" s="4">
        <f>1/TWD!C2283</f>
        <v>3.2417642978014354E-2</v>
      </c>
      <c r="Z2283" s="4">
        <f>1/ZAR!B2283</f>
        <v>6.9904161394727826E-2</v>
      </c>
      <c r="AA2283" s="4">
        <f>1/ZAR!C2283</f>
        <v>6.9661653349680594E-2</v>
      </c>
    </row>
    <row r="2284" spans="1:27" x14ac:dyDescent="0.25">
      <c r="A2284" t="str">
        <f>"16/11/2018"</f>
        <v>16/11/2018</v>
      </c>
      <c r="B2284" s="3">
        <f>AUD!B2284</f>
        <v>0.72540000000000004</v>
      </c>
      <c r="C2284" s="3">
        <f>AUD!C2284</f>
        <v>0.72570000000000001</v>
      </c>
      <c r="D2284" s="3">
        <f>1/CAD!B2284</f>
        <v>0.75930144267274113</v>
      </c>
      <c r="E2284" s="3">
        <f>1/CAD!C2284</f>
        <v>0.75964752354907317</v>
      </c>
      <c r="F2284" s="3">
        <f>EUR!B2284/1</f>
        <v>1.1328</v>
      </c>
      <c r="G2284" s="3">
        <f>EUR!C2284/1</f>
        <v>1.1354</v>
      </c>
      <c r="H2284" s="3">
        <f>GBP!B2284/1</f>
        <v>1.2806999999999999</v>
      </c>
      <c r="I2284" s="3">
        <f>GBP!C2284/1</f>
        <v>1.2823</v>
      </c>
      <c r="J2284" s="4">
        <f>1/INR!B2284</f>
        <v>1.3901438798915687E-2</v>
      </c>
      <c r="K2284" s="4">
        <f>1/INR!C2284</f>
        <v>1.3851374748943834E-2</v>
      </c>
      <c r="L2284" s="4">
        <f>1/JPY!B2284</f>
        <v>8.8261253309797009E-3</v>
      </c>
      <c r="M2284" s="4">
        <f>1/JPY!C2284</f>
        <v>8.8450176015850267E-3</v>
      </c>
      <c r="N2284" s="5">
        <f>1/KRW!B2284</f>
        <v>8.8597501550456269E-4</v>
      </c>
      <c r="O2284" s="5">
        <f>1/KRW!C2284</f>
        <v>8.8597839080985252E-4</v>
      </c>
      <c r="P2284" s="3">
        <f>1/NOK!B2284</f>
        <v>0.11782587691908897</v>
      </c>
      <c r="Q2284" s="3">
        <f>1/NOK!C2284</f>
        <v>0.11796208698524295</v>
      </c>
      <c r="R2284" s="3">
        <f>NZD!B2284/1</f>
        <v>0.6804</v>
      </c>
      <c r="S2284" s="3">
        <f>NZD!C2284/1</f>
        <v>0.68059999999999998</v>
      </c>
      <c r="T2284" s="4">
        <f>1/PHP!B2284</f>
        <v>1.895195678953852E-2</v>
      </c>
      <c r="U2284" s="4">
        <f>1/PHP!C2284</f>
        <v>1.8912529550827423E-2</v>
      </c>
      <c r="V2284" s="4">
        <f>1/TWD!B2284</f>
        <v>3.2373984266243647E-2</v>
      </c>
      <c r="W2284" s="4">
        <f>1/TWD!C2284</f>
        <v>3.2374613123373176E-2</v>
      </c>
      <c r="X2284" s="4">
        <f>1/TWD!B2284</f>
        <v>3.2373984266243647E-2</v>
      </c>
      <c r="Y2284" s="4">
        <f>1/TWD!C2284</f>
        <v>3.2374613123373176E-2</v>
      </c>
      <c r="Z2284" s="4">
        <f>1/ZAR!B2284</f>
        <v>7.0237543371683031E-2</v>
      </c>
      <c r="AA2284" s="4">
        <f>1/ZAR!C2284</f>
        <v>6.9995170333247009E-2</v>
      </c>
    </row>
    <row r="2285" spans="1:27" x14ac:dyDescent="0.25">
      <c r="A2285" t="str">
        <f>"19/11/2018"</f>
        <v>19/11/2018</v>
      </c>
      <c r="B2285" s="3">
        <f>AUD!B2285</f>
        <v>0.7298</v>
      </c>
      <c r="C2285" s="3">
        <f>AUD!C2285</f>
        <v>0.73009999999999997</v>
      </c>
      <c r="D2285" s="3">
        <f>1/CAD!B2285</f>
        <v>0.75930144267274113</v>
      </c>
      <c r="E2285" s="3">
        <f>1/CAD!C2285</f>
        <v>0.75964752354907317</v>
      </c>
      <c r="F2285" s="3">
        <f>EUR!B2285/1</f>
        <v>1.1420999999999999</v>
      </c>
      <c r="G2285" s="3">
        <f>EUR!C2285/1</f>
        <v>1.1447000000000001</v>
      </c>
      <c r="H2285" s="3">
        <f>GBP!B2285/1</f>
        <v>1.2878000000000001</v>
      </c>
      <c r="I2285" s="3">
        <f>GBP!C2285/1</f>
        <v>1.2894000000000001</v>
      </c>
      <c r="J2285" s="4">
        <f>1/INR!B2285</f>
        <v>1.3953326124114835E-2</v>
      </c>
      <c r="K2285" s="4">
        <f>1/INR!C2285</f>
        <v>1.3902405116085082E-2</v>
      </c>
      <c r="L2285" s="4">
        <f>1/JPY!B2285</f>
        <v>8.8676066329697618E-3</v>
      </c>
      <c r="M2285" s="4">
        <f>1/JPY!C2285</f>
        <v>8.8864401809279209E-3</v>
      </c>
      <c r="N2285" s="5">
        <f>1/KRW!B2285</f>
        <v>8.8597501550456269E-4</v>
      </c>
      <c r="O2285" s="5">
        <f>1/KRW!C2285</f>
        <v>8.8597878328888074E-4</v>
      </c>
      <c r="P2285" s="3">
        <f>1/NOK!B2285</f>
        <v>0.11835019823658204</v>
      </c>
      <c r="Q2285" s="3">
        <f>1/NOK!C2285</f>
        <v>0.11848762396767658</v>
      </c>
      <c r="R2285" s="3">
        <f>NZD!B2285/1</f>
        <v>0.68300000000000005</v>
      </c>
      <c r="S2285" s="3">
        <f>NZD!C2285/1</f>
        <v>0.68320000000000003</v>
      </c>
      <c r="T2285" s="4">
        <f>1/PHP!B2285</f>
        <v>1.9004180919802358E-2</v>
      </c>
      <c r="U2285" s="4">
        <f>1/PHP!C2285</f>
        <v>1.8966694484485246E-2</v>
      </c>
      <c r="V2285" s="4">
        <f>1/TWD!B2285</f>
        <v>3.2356176794150003E-2</v>
      </c>
      <c r="W2285" s="4">
        <f>1/TWD!C2285</f>
        <v>3.2356804959651063E-2</v>
      </c>
      <c r="X2285" s="4">
        <f>1/TWD!B2285</f>
        <v>3.2356176794150003E-2</v>
      </c>
      <c r="Y2285" s="4">
        <f>1/TWD!C2285</f>
        <v>3.2356804959651063E-2</v>
      </c>
      <c r="Z2285" s="4">
        <f>1/ZAR!B2285</f>
        <v>7.1513365848077007E-2</v>
      </c>
      <c r="AA2285" s="4">
        <f>1/ZAR!C2285</f>
        <v>7.1266694223121763E-2</v>
      </c>
    </row>
    <row r="2286" spans="1:27" x14ac:dyDescent="0.25">
      <c r="A2286" t="str">
        <f>"20/11/2018"</f>
        <v>20/11/2018</v>
      </c>
      <c r="B2286" s="3">
        <f>AUD!B2286</f>
        <v>0.72729999999999995</v>
      </c>
      <c r="C2286" s="3">
        <f>AUD!C2286</f>
        <v>0.72760000000000002</v>
      </c>
      <c r="D2286" s="3">
        <f>1/CAD!B2286</f>
        <v>0.75872534142640358</v>
      </c>
      <c r="E2286" s="3">
        <f>1/CAD!C2286</f>
        <v>0.75907089722180054</v>
      </c>
      <c r="F2286" s="3">
        <f>EUR!B2286/1</f>
        <v>1.1434</v>
      </c>
      <c r="G2286" s="3">
        <f>EUR!C2286/1</f>
        <v>1.1460999999999999</v>
      </c>
      <c r="H2286" s="3">
        <f>GBP!B2286/1</f>
        <v>1.2857000000000001</v>
      </c>
      <c r="I2286" s="3">
        <f>GBP!C2286/1</f>
        <v>1.2874000000000001</v>
      </c>
      <c r="J2286" s="4">
        <f>1/INR!B2286</f>
        <v>1.3992374156084933E-2</v>
      </c>
      <c r="K2286" s="4">
        <f>1/INR!C2286</f>
        <v>1.3940682396403304E-2</v>
      </c>
      <c r="L2286" s="4">
        <f>1/JPY!B2286</f>
        <v>8.8928412627834585E-3</v>
      </c>
      <c r="M2286" s="4">
        <f>1/JPY!C2286</f>
        <v>8.912028475713386E-3</v>
      </c>
      <c r="N2286" s="5">
        <f>1/KRW!B2286</f>
        <v>8.882572392965003E-4</v>
      </c>
      <c r="O2286" s="5">
        <f>1/KRW!C2286</f>
        <v>8.8826102651707879E-4</v>
      </c>
      <c r="P2286" s="3">
        <f>1/NOK!B2286</f>
        <v>0.11778424282399501</v>
      </c>
      <c r="Q2286" s="3">
        <f>1/NOK!C2286</f>
        <v>0.11794260912639909</v>
      </c>
      <c r="R2286" s="3">
        <f>NZD!B2286/1</f>
        <v>0.68540000000000001</v>
      </c>
      <c r="S2286" s="3">
        <f>NZD!C2286/1</f>
        <v>0.68569999999999998</v>
      </c>
      <c r="T2286" s="4">
        <f>1/PHP!B2286</f>
        <v>1.9069412662090009E-2</v>
      </c>
      <c r="U2286" s="4">
        <f>1/PHP!C2286</f>
        <v>1.9033117624666921E-2</v>
      </c>
      <c r="V2286" s="4">
        <f>1/TWD!B2286</f>
        <v>3.2354083085285361E-2</v>
      </c>
      <c r="W2286" s="4">
        <f>1/TWD!C2286</f>
        <v>3.2354711169493393E-2</v>
      </c>
      <c r="X2286" s="4">
        <f>1/TWD!B2286</f>
        <v>3.2354083085285361E-2</v>
      </c>
      <c r="Y2286" s="4">
        <f>1/TWD!C2286</f>
        <v>3.2354711169493393E-2</v>
      </c>
      <c r="Z2286" s="4">
        <f>1/ZAR!B2286</f>
        <v>7.1126790616953775E-2</v>
      </c>
      <c r="AA2286" s="4">
        <f>1/ZAR!C2286</f>
        <v>7.0865695334202616E-2</v>
      </c>
    </row>
    <row r="2287" spans="1:27" x14ac:dyDescent="0.25">
      <c r="A2287" t="str">
        <f>"22/11/2018"</f>
        <v>22/11/2018</v>
      </c>
      <c r="B2287" s="3">
        <f>AUD!B2287</f>
        <v>0.72529999999999994</v>
      </c>
      <c r="C2287" s="3">
        <f>AUD!C2287</f>
        <v>0.72560000000000002</v>
      </c>
      <c r="D2287" s="3">
        <f>1/CAD!B2287</f>
        <v>0.75585789871504161</v>
      </c>
      <c r="E2287" s="3">
        <f>1/CAD!C2287</f>
        <v>0.75625803524162438</v>
      </c>
      <c r="F2287" s="3">
        <f>EUR!B2287/1</f>
        <v>1.141</v>
      </c>
      <c r="G2287" s="3">
        <f>EUR!C2287/1</f>
        <v>1.1436999999999999</v>
      </c>
      <c r="H2287" s="3">
        <f>GBP!B2287/1</f>
        <v>1.2869999999999999</v>
      </c>
      <c r="I2287" s="3">
        <f>GBP!C2287/1</f>
        <v>1.2887</v>
      </c>
      <c r="J2287" s="4">
        <f>1/INR!B2287</f>
        <v>1.4143771436653584E-2</v>
      </c>
      <c r="K2287" s="4">
        <f>1/INR!C2287</f>
        <v>1.4091453533431973E-2</v>
      </c>
      <c r="L2287" s="4">
        <f>1/JPY!B2287</f>
        <v>8.8519075860848014E-3</v>
      </c>
      <c r="M2287" s="4">
        <f>1/JPY!C2287</f>
        <v>8.8709341182335848E-3</v>
      </c>
      <c r="N2287" s="5">
        <f>1/KRW!B2287</f>
        <v>8.8558271342543385E-4</v>
      </c>
      <c r="O2287" s="5">
        <f>1/KRW!C2287</f>
        <v>8.8558585046351573E-4</v>
      </c>
      <c r="P2287" s="3">
        <f>1/NOK!B2287</f>
        <v>0.11699327288680901</v>
      </c>
      <c r="Q2287" s="3">
        <f>1/NOK!C2287</f>
        <v>0.11713716762328685</v>
      </c>
      <c r="R2287" s="3">
        <f>NZD!B2287/1</f>
        <v>0.68089999999999995</v>
      </c>
      <c r="S2287" s="3">
        <f>NZD!C2287/1</f>
        <v>0.68120000000000003</v>
      </c>
      <c r="T2287" s="4">
        <f>1/PHP!B2287</f>
        <v>1.9073049780659927E-2</v>
      </c>
      <c r="U2287" s="4">
        <f>1/PHP!C2287</f>
        <v>1.9033842171380717E-2</v>
      </c>
      <c r="V2287" s="4">
        <f>1/TWD!B2287</f>
        <v>3.2367697038355722E-2</v>
      </c>
      <c r="W2287" s="4">
        <f>1/TWD!C2287</f>
        <v>3.2368325651250709E-2</v>
      </c>
      <c r="X2287" s="4">
        <f>1/TWD!B2287</f>
        <v>3.2367697038355722E-2</v>
      </c>
      <c r="Y2287" s="4">
        <f>1/TWD!C2287</f>
        <v>3.2368325651250709E-2</v>
      </c>
      <c r="Z2287" s="4">
        <f>1/ZAR!B2287</f>
        <v>7.2027428044599384E-2</v>
      </c>
      <c r="AA2287" s="4">
        <f>1/ZAR!C2287</f>
        <v>7.175866127041533E-2</v>
      </c>
    </row>
    <row r="2288" spans="1:27" x14ac:dyDescent="0.25">
      <c r="A2288" t="str">
        <f>"26/11/2018"</f>
        <v>26/11/2018</v>
      </c>
      <c r="B2288" s="3">
        <f>AUD!B2288</f>
        <v>0.72609999999999997</v>
      </c>
      <c r="C2288" s="3">
        <f>AUD!C2288</f>
        <v>0.72640000000000005</v>
      </c>
      <c r="D2288" s="3">
        <f>1/CAD!B2288</f>
        <v>0.75700227100681305</v>
      </c>
      <c r="E2288" s="3">
        <f>1/CAD!C2288</f>
        <v>0.75740362038930542</v>
      </c>
      <c r="F2288" s="3">
        <f>EUR!B2288/1</f>
        <v>1.1367</v>
      </c>
      <c r="G2288" s="3">
        <f>EUR!C2288/1</f>
        <v>1.1393</v>
      </c>
      <c r="H2288" s="3">
        <f>GBP!B2288/1</f>
        <v>1.2851999999999999</v>
      </c>
      <c r="I2288" s="3">
        <f>GBP!C2288/1</f>
        <v>1.2868999999999999</v>
      </c>
      <c r="J2288" s="4">
        <f>1/INR!B2288</f>
        <v>1.410884977602201E-2</v>
      </c>
      <c r="K2288" s="4">
        <f>1/INR!C2288</f>
        <v>1.4057777465382722E-2</v>
      </c>
      <c r="L2288" s="4">
        <f>1/JPY!B2288</f>
        <v>8.8354833009365603E-3</v>
      </c>
      <c r="M2288" s="4">
        <f>1/JPY!C2288</f>
        <v>8.8546195435620714E-3</v>
      </c>
      <c r="N2288" s="5">
        <f>1/KRW!B2288</f>
        <v>8.8573959255978745E-4</v>
      </c>
      <c r="O2288" s="5">
        <f>1/KRW!C2288</f>
        <v>8.8574390752125013E-4</v>
      </c>
      <c r="P2288" s="3">
        <f>1/NOK!B2288</f>
        <v>0.1168415395041245</v>
      </c>
      <c r="Q2288" s="3">
        <f>1/NOK!C2288</f>
        <v>0.11697958706205766</v>
      </c>
      <c r="R2288" s="3">
        <f>NZD!B2288/1</f>
        <v>0.6804</v>
      </c>
      <c r="S2288" s="3">
        <f>NZD!C2288/1</f>
        <v>0.68069999999999997</v>
      </c>
      <c r="T2288" s="4">
        <f>1/PHP!B2288</f>
        <v>1.9083969465648856E-2</v>
      </c>
      <c r="U2288" s="4">
        <f>1/PHP!C2288</f>
        <v>1.9043991620643689E-2</v>
      </c>
      <c r="V2288" s="4">
        <f>1/TWD!B2288</f>
        <v>3.2375032375032371E-2</v>
      </c>
      <c r="W2288" s="4">
        <f>1/TWD!C2288</f>
        <v>3.2375661272881502E-2</v>
      </c>
      <c r="X2288" s="4">
        <f>1/TWD!B2288</f>
        <v>3.2375032375032371E-2</v>
      </c>
      <c r="Y2288" s="4">
        <f>1/TWD!C2288</f>
        <v>3.2375661272881502E-2</v>
      </c>
      <c r="Z2288" s="4">
        <f>1/ZAR!B2288</f>
        <v>7.2370944513196839E-2</v>
      </c>
      <c r="AA2288" s="4">
        <f>1/ZAR!C2288</f>
        <v>7.2109491051212157E-2</v>
      </c>
    </row>
    <row r="2289" spans="1:27" x14ac:dyDescent="0.25">
      <c r="A2289" t="str">
        <f>"27/11/2018"</f>
        <v>27/11/2018</v>
      </c>
      <c r="B2289" s="3">
        <f>AUD!B2289</f>
        <v>0.72419999999999995</v>
      </c>
      <c r="C2289" s="3">
        <f>AUD!C2289</f>
        <v>0.72460000000000002</v>
      </c>
      <c r="D2289" s="3">
        <f>1/CAD!B2289</f>
        <v>0.75466002565844092</v>
      </c>
      <c r="E2289" s="3">
        <f>1/CAD!C2289</f>
        <v>0.75505889459377828</v>
      </c>
      <c r="F2289" s="3">
        <f>EUR!B2289/1</f>
        <v>1.1322000000000001</v>
      </c>
      <c r="G2289" s="3">
        <f>EUR!C2289/1</f>
        <v>1.135</v>
      </c>
      <c r="H2289" s="3">
        <f>GBP!B2289/1</f>
        <v>1.2756000000000001</v>
      </c>
      <c r="I2289" s="3">
        <f>GBP!C2289/1</f>
        <v>1.2774000000000001</v>
      </c>
      <c r="J2289" s="4">
        <f>1/INR!B2289</f>
        <v>1.4125291334133766E-2</v>
      </c>
      <c r="K2289" s="4">
        <f>1/INR!C2289</f>
        <v>1.4072119613016711E-2</v>
      </c>
      <c r="L2289" s="4">
        <f>1/JPY!B2289</f>
        <v>8.8035918654811168E-3</v>
      </c>
      <c r="M2289" s="4">
        <f>1/JPY!C2289</f>
        <v>8.8218506654763051E-3</v>
      </c>
      <c r="N2289" s="5">
        <f>1/KRW!B2289</f>
        <v>8.8534749889331564E-4</v>
      </c>
      <c r="O2289" s="5">
        <f>1/KRW!C2289</f>
        <v>8.8535141811163401E-4</v>
      </c>
      <c r="P2289" s="3">
        <f>1/NOK!B2289</f>
        <v>0.11639004632323845</v>
      </c>
      <c r="Q2289" s="3">
        <f>1/NOK!C2289</f>
        <v>0.11654060857505798</v>
      </c>
      <c r="R2289" s="3">
        <f>NZD!B2289/1</f>
        <v>0.67959999999999998</v>
      </c>
      <c r="S2289" s="3">
        <f>NZD!C2289/1</f>
        <v>0.67989999999999995</v>
      </c>
      <c r="T2289" s="4">
        <f>1/PHP!B2289</f>
        <v>1.8991548760801443E-2</v>
      </c>
      <c r="U2289" s="4">
        <f>1/PHP!C2289</f>
        <v>1.895195678953852E-2</v>
      </c>
      <c r="V2289" s="4">
        <f>1/TWD!B2289</f>
        <v>3.236141225203068E-2</v>
      </c>
      <c r="W2289" s="4">
        <f>1/TWD!C2289</f>
        <v>3.2361935891005E-2</v>
      </c>
      <c r="X2289" s="4">
        <f>1/TWD!B2289</f>
        <v>3.236141225203068E-2</v>
      </c>
      <c r="Y2289" s="4">
        <f>1/TWD!C2289</f>
        <v>3.2361935891005E-2</v>
      </c>
      <c r="Z2289" s="4">
        <f>1/ZAR!B2289</f>
        <v>7.2249636945574347E-2</v>
      </c>
      <c r="AA2289" s="4">
        <f>1/ZAR!C2289</f>
        <v>7.1971441731920771E-2</v>
      </c>
    </row>
    <row r="2290" spans="1:27" x14ac:dyDescent="0.25">
      <c r="A2290" t="str">
        <f>"28/11/2018"</f>
        <v>28/11/2018</v>
      </c>
      <c r="B2290" s="3">
        <f>AUD!B2290</f>
        <v>0.72340000000000004</v>
      </c>
      <c r="C2290" s="3">
        <f>AUD!C2290</f>
        <v>0.7238</v>
      </c>
      <c r="D2290" s="3">
        <f>1/CAD!B2290</f>
        <v>0.75052536775743017</v>
      </c>
      <c r="E2290" s="3">
        <f>1/CAD!C2290</f>
        <v>0.7509762691498949</v>
      </c>
      <c r="F2290" s="3">
        <f>EUR!B2290/1</f>
        <v>1.1284000000000001</v>
      </c>
      <c r="G2290" s="3">
        <f>EUR!C2290/1</f>
        <v>1.1312</v>
      </c>
      <c r="H2290" s="3">
        <f>GBP!B2290/1</f>
        <v>1.2783</v>
      </c>
      <c r="I2290" s="3">
        <f>GBP!C2290/1</f>
        <v>1.2801</v>
      </c>
      <c r="J2290" s="4">
        <f>1/INR!B2290</f>
        <v>1.41597932670183E-2</v>
      </c>
      <c r="K2290" s="4">
        <f>1/INR!C2290</f>
        <v>1.4108352144469528E-2</v>
      </c>
      <c r="L2290" s="4">
        <f>1/JPY!B2290</f>
        <v>8.7927547700694629E-3</v>
      </c>
      <c r="M2290" s="4">
        <f>1/JPY!C2290</f>
        <v>8.8103320526047302E-3</v>
      </c>
      <c r="N2290" s="5">
        <f>1/KRW!B2290</f>
        <v>8.8762648677436537E-4</v>
      </c>
      <c r="O2290" s="5">
        <f>1/KRW!C2290</f>
        <v>8.8763042619574909E-4</v>
      </c>
      <c r="P2290" s="3">
        <f>1/NOK!B2290</f>
        <v>0.11617910170318563</v>
      </c>
      <c r="Q2290" s="3">
        <f>1/NOK!C2290</f>
        <v>0.11632641191182456</v>
      </c>
      <c r="R2290" s="3">
        <f>NZD!B2290/1</f>
        <v>0.67930000000000001</v>
      </c>
      <c r="S2290" s="3">
        <f>NZD!C2290/1</f>
        <v>0.67959999999999998</v>
      </c>
      <c r="T2290" s="4">
        <f>1/PHP!B2290</f>
        <v>1.8998765080269785E-2</v>
      </c>
      <c r="U2290" s="4">
        <f>1/PHP!C2290</f>
        <v>1.8958244466562395E-2</v>
      </c>
      <c r="V2290" s="4">
        <f>1/TWD!B2290</f>
        <v>3.2350943029989324E-2</v>
      </c>
      <c r="W2290" s="4">
        <f>1/TWD!C2290</f>
        <v>3.2351466330211416E-2</v>
      </c>
      <c r="X2290" s="4">
        <f>1/TWD!B2290</f>
        <v>3.2350943029989324E-2</v>
      </c>
      <c r="Y2290" s="4">
        <f>1/TWD!C2290</f>
        <v>3.2351466330211416E-2</v>
      </c>
      <c r="Z2290" s="4">
        <f>1/ZAR!B2290</f>
        <v>7.1624515639212988E-2</v>
      </c>
      <c r="AA2290" s="4">
        <f>1/ZAR!C2290</f>
        <v>7.1358741802664535E-2</v>
      </c>
    </row>
    <row r="2291" spans="1:27" x14ac:dyDescent="0.25">
      <c r="A2291" t="str">
        <f>"29/11/2018"</f>
        <v>29/11/2018</v>
      </c>
      <c r="B2291" s="3">
        <f>AUD!B2291</f>
        <v>0.73109999999999997</v>
      </c>
      <c r="C2291" s="3">
        <f>AUD!C2291</f>
        <v>0.73150000000000004</v>
      </c>
      <c r="D2291" s="3">
        <f>1/CAD!B2291</f>
        <v>0.75199278086930366</v>
      </c>
      <c r="E2291" s="3">
        <f>1/CAD!C2291</f>
        <v>0.7524454477050414</v>
      </c>
      <c r="F2291" s="3">
        <f>EUR!B2291/1</f>
        <v>1.1354</v>
      </c>
      <c r="G2291" s="3">
        <f>EUR!C2291/1</f>
        <v>1.1389</v>
      </c>
      <c r="H2291" s="3">
        <f>GBP!B2291/1</f>
        <v>1.2762</v>
      </c>
      <c r="I2291" s="3">
        <f>GBP!C2291/1</f>
        <v>1.2784</v>
      </c>
      <c r="J2291" s="4">
        <f>1/INR!B2291</f>
        <v>1.4316392269148177E-2</v>
      </c>
      <c r="K2291" s="4">
        <f>1/INR!C2291</f>
        <v>1.4265335235378032E-2</v>
      </c>
      <c r="L2291" s="4">
        <f>1/JPY!B2291</f>
        <v>8.8191198518387873E-3</v>
      </c>
      <c r="M2291" s="4">
        <f>1/JPY!C2291</f>
        <v>8.8479288768085178E-3</v>
      </c>
      <c r="N2291" s="5">
        <f>1/KRW!B2291</f>
        <v>8.933357155619081E-4</v>
      </c>
      <c r="O2291" s="5">
        <f>1/KRW!C2291</f>
        <v>8.9334329708890686E-4</v>
      </c>
      <c r="P2291" s="3">
        <f>1/NOK!B2291</f>
        <v>0.11656913715524678</v>
      </c>
      <c r="Q2291" s="3">
        <f>1/NOK!C2291</f>
        <v>0.11674469103517518</v>
      </c>
      <c r="R2291" s="3">
        <f>NZD!B2291/1</f>
        <v>0.68579999999999997</v>
      </c>
      <c r="S2291" s="3">
        <f>NZD!C2291/1</f>
        <v>0.68610000000000004</v>
      </c>
      <c r="T2291" s="4">
        <f>1/PHP!B2291</f>
        <v>1.9047619047619049E-2</v>
      </c>
      <c r="U2291" s="4">
        <f>1/PHP!C2291</f>
        <v>1.9006889997624139E-2</v>
      </c>
      <c r="V2291" s="4">
        <f>1/TWD!B2291</f>
        <v>3.2425421530479899E-2</v>
      </c>
      <c r="W2291" s="4">
        <f>1/TWD!C2291</f>
        <v>3.2426262678668709E-2</v>
      </c>
      <c r="X2291" s="4">
        <f>1/TWD!B2291</f>
        <v>3.2425421530479899E-2</v>
      </c>
      <c r="Y2291" s="4">
        <f>1/TWD!C2291</f>
        <v>3.2426262678668709E-2</v>
      </c>
      <c r="Z2291" s="4">
        <f>1/ZAR!B2291</f>
        <v>7.2864522992400232E-2</v>
      </c>
      <c r="AA2291" s="4">
        <f>1/ZAR!C2291</f>
        <v>7.2593700318686352E-2</v>
      </c>
    </row>
    <row r="2292" spans="1:27" x14ac:dyDescent="0.25">
      <c r="A2292" t="str">
        <f>"30/11/2018"</f>
        <v>30/11/2018</v>
      </c>
      <c r="B2292" s="3">
        <f>AUD!B2292</f>
        <v>0.73040000000000005</v>
      </c>
      <c r="C2292" s="3">
        <f>AUD!C2292</f>
        <v>0.73080000000000001</v>
      </c>
      <c r="D2292" s="3">
        <f>1/CAD!B2292</f>
        <v>0.75120192307692313</v>
      </c>
      <c r="E2292" s="3">
        <f>1/CAD!C2292</f>
        <v>0.75187969924812026</v>
      </c>
      <c r="F2292" s="3">
        <f>EUR!B2292/1</f>
        <v>1.1374</v>
      </c>
      <c r="G2292" s="3">
        <f>EUR!C2292/1</f>
        <v>1.1409</v>
      </c>
      <c r="H2292" s="3">
        <f>GBP!B2292/1</f>
        <v>1.2751999999999999</v>
      </c>
      <c r="I2292" s="3">
        <f>GBP!C2292/1</f>
        <v>1.2775000000000001</v>
      </c>
      <c r="J2292" s="4">
        <f>1/INR!B2292</f>
        <v>1.436988072998994E-2</v>
      </c>
      <c r="K2292" s="4">
        <f>1/INR!C2292</f>
        <v>1.4317417137948315E-2</v>
      </c>
      <c r="L2292" s="4">
        <f>1/JPY!B2292</f>
        <v>8.809796493700995E-3</v>
      </c>
      <c r="M2292" s="4">
        <f>1/JPY!C2292</f>
        <v>8.8380446003082716E-3</v>
      </c>
      <c r="N2292" s="5">
        <f>1/KRW!B2292</f>
        <v>8.9206066012488853E-4</v>
      </c>
      <c r="O2292" s="5">
        <f>1/KRW!C2292</f>
        <v>8.9206623056522214E-4</v>
      </c>
      <c r="P2292" s="3">
        <f>1/NOK!B2292</f>
        <v>0.11671607647237331</v>
      </c>
      <c r="Q2292" s="3">
        <f>1/NOK!C2292</f>
        <v>0.11688934086100689</v>
      </c>
      <c r="R2292" s="3">
        <f>NZD!B2292/1</f>
        <v>0.68620000000000003</v>
      </c>
      <c r="S2292" s="3">
        <f>NZD!C2292/1</f>
        <v>0.6865</v>
      </c>
      <c r="T2292" s="4">
        <f>1/PHP!B2292</f>
        <v>1.9047619047619049E-2</v>
      </c>
      <c r="U2292" s="4">
        <f>1/PHP!C2292</f>
        <v>1.9006889997624139E-2</v>
      </c>
      <c r="V2292" s="4">
        <f>1/TWD!B2292</f>
        <v>3.2414910858995137E-2</v>
      </c>
      <c r="W2292" s="4">
        <f>1/TWD!C2292</f>
        <v>3.2415646384196722E-2</v>
      </c>
      <c r="X2292" s="4">
        <f>1/TWD!B2292</f>
        <v>3.2414910858995137E-2</v>
      </c>
      <c r="Y2292" s="4">
        <f>1/TWD!C2292</f>
        <v>3.2415646384196722E-2</v>
      </c>
      <c r="Z2292" s="4">
        <f>1/ZAR!B2292</f>
        <v>7.2763257465510212E-2</v>
      </c>
      <c r="AA2292" s="4">
        <f>1/ZAR!C2292</f>
        <v>7.2493185640549795E-2</v>
      </c>
    </row>
    <row r="2293" spans="1:27" x14ac:dyDescent="0.25">
      <c r="A2293" t="str">
        <f>"03/12/2018"</f>
        <v>03/12/2018</v>
      </c>
      <c r="B2293" s="3">
        <f>AUD!B2293</f>
        <v>0.73699999999999999</v>
      </c>
      <c r="C2293" s="3">
        <f>AUD!C2293</f>
        <v>0.73740000000000006</v>
      </c>
      <c r="D2293" s="3">
        <f>1/CAD!B2293</f>
        <v>0.7578053955744164</v>
      </c>
      <c r="E2293" s="3">
        <f>1/CAD!C2293</f>
        <v>0.7584951456310679</v>
      </c>
      <c r="F2293" s="3">
        <f>EUR!B2293/1</f>
        <v>1.1325000000000001</v>
      </c>
      <c r="G2293" s="3">
        <f>EUR!C2293/1</f>
        <v>1.1364000000000001</v>
      </c>
      <c r="H2293" s="3">
        <f>GBP!B2293/1</f>
        <v>1.2724</v>
      </c>
      <c r="I2293" s="3">
        <f>GBP!C2293/1</f>
        <v>1.2751999999999999</v>
      </c>
      <c r="J2293" s="4">
        <f>1/INR!B2293</f>
        <v>1.4191442560136236E-2</v>
      </c>
      <c r="K2293" s="4">
        <f>1/INR!C2293</f>
        <v>1.4135774110329716E-2</v>
      </c>
      <c r="L2293" s="4">
        <f>1/JPY!B2293</f>
        <v>8.8059175766114824E-3</v>
      </c>
      <c r="M2293" s="4">
        <f>1/JPY!C2293</f>
        <v>8.8373026077996266E-3</v>
      </c>
      <c r="N2293" s="5">
        <f>1/KRW!B2293</f>
        <v>9.0025207057976234E-4</v>
      </c>
      <c r="O2293" s="5">
        <f>1/KRW!C2293</f>
        <v>9.0025993205018089E-4</v>
      </c>
      <c r="P2293" s="3">
        <f>1/NOK!B2293</f>
        <v>0.11695085724978364</v>
      </c>
      <c r="Q2293" s="3">
        <f>1/NOK!C2293</f>
        <v>0.11714951792973373</v>
      </c>
      <c r="R2293" s="3">
        <f>NZD!B2293/1</f>
        <v>0.69130000000000003</v>
      </c>
      <c r="S2293" s="3">
        <f>NZD!C2293/1</f>
        <v>0.69159999999999999</v>
      </c>
      <c r="T2293" s="4">
        <f>1/PHP!B2293</f>
        <v>1.9094901661256446E-2</v>
      </c>
      <c r="U2293" s="4">
        <f>1/PHP!C2293</f>
        <v>1.9055785812967463E-2</v>
      </c>
      <c r="V2293" s="4">
        <f>1/TWD!B2293</f>
        <v>3.2515038205169891E-2</v>
      </c>
      <c r="W2293" s="4">
        <f>1/TWD!C2293</f>
        <v>3.251588400933856E-2</v>
      </c>
      <c r="X2293" s="4">
        <f>1/TWD!B2293</f>
        <v>3.2515038205169891E-2</v>
      </c>
      <c r="Y2293" s="4">
        <f>1/TWD!C2293</f>
        <v>3.251588400933856E-2</v>
      </c>
      <c r="Z2293" s="4">
        <f>1/ZAR!B2293</f>
        <v>7.3147003533000271E-2</v>
      </c>
      <c r="AA2293" s="4">
        <f>1/ZAR!C2293</f>
        <v>7.286399207239766E-2</v>
      </c>
    </row>
    <row r="2294" spans="1:27" x14ac:dyDescent="0.25">
      <c r="A2294" t="str">
        <f>"04/12/2018"</f>
        <v>04/12/2018</v>
      </c>
      <c r="B2294" s="3">
        <f>AUD!B2294</f>
        <v>0.73829999999999996</v>
      </c>
      <c r="C2294" s="3">
        <f>AUD!C2294</f>
        <v>0.73870000000000002</v>
      </c>
      <c r="D2294" s="3">
        <f>1/CAD!B2294</f>
        <v>0.75901328273244784</v>
      </c>
      <c r="E2294" s="3">
        <f>1/CAD!C2294</f>
        <v>0.75976295395836502</v>
      </c>
      <c r="F2294" s="3">
        <f>EUR!B2294/1</f>
        <v>1.1397999999999999</v>
      </c>
      <c r="G2294" s="3">
        <f>EUR!C2294/1</f>
        <v>1.1435999999999999</v>
      </c>
      <c r="H2294" s="3">
        <f>GBP!B2294/1</f>
        <v>1.2816000000000001</v>
      </c>
      <c r="I2294" s="3">
        <f>GBP!C2294/1</f>
        <v>1.2843</v>
      </c>
      <c r="J2294" s="4">
        <f>1/INR!B2294</f>
        <v>1.4182385477237271E-2</v>
      </c>
      <c r="K2294" s="4">
        <f>1/INR!C2294</f>
        <v>1.4129782048111909E-2</v>
      </c>
      <c r="L2294" s="4">
        <f>1/JPY!B2294</f>
        <v>8.8660342228921007E-3</v>
      </c>
      <c r="M2294" s="4">
        <f>1/JPY!C2294</f>
        <v>8.8978816813081313E-3</v>
      </c>
      <c r="N2294" s="5">
        <f>1/KRW!B2294</f>
        <v>9.0448625180897257E-4</v>
      </c>
      <c r="O2294" s="5">
        <f>1/KRW!C2294</f>
        <v>9.0449320567316234E-4</v>
      </c>
      <c r="P2294" s="3">
        <f>1/NOK!B2294</f>
        <v>0.11821588585074064</v>
      </c>
      <c r="Q2294" s="3">
        <f>1/NOK!C2294</f>
        <v>0.11841186013191081</v>
      </c>
      <c r="R2294" s="3">
        <f>NZD!B2294/1</f>
        <v>0.6956</v>
      </c>
      <c r="S2294" s="3">
        <f>NZD!C2294/1</f>
        <v>0.69589999999999996</v>
      </c>
      <c r="T2294" s="4">
        <f>1/PHP!B2294</f>
        <v>1.9033117624666921E-2</v>
      </c>
      <c r="U2294" s="4">
        <f>1/PHP!C2294</f>
        <v>1.8998765080269785E-2</v>
      </c>
      <c r="V2294" s="4">
        <f>1/TWD!B2294</f>
        <v>3.2567985670086307E-2</v>
      </c>
      <c r="W2294" s="4">
        <f>1/TWD!C2294</f>
        <v>3.256883423114753E-2</v>
      </c>
      <c r="X2294" s="4">
        <f>1/TWD!B2294</f>
        <v>3.2567985670086307E-2</v>
      </c>
      <c r="Y2294" s="4">
        <f>1/TWD!C2294</f>
        <v>3.256883423114753E-2</v>
      </c>
      <c r="Z2294" s="4">
        <f>1/ZAR!B2294</f>
        <v>7.3578644534210397E-2</v>
      </c>
      <c r="AA2294" s="4">
        <f>1/ZAR!C2294</f>
        <v>7.3314320486220566E-2</v>
      </c>
    </row>
    <row r="2295" spans="1:27" x14ac:dyDescent="0.25">
      <c r="A2295" t="str">
        <f>"05/12/2018"</f>
        <v>05/12/2018</v>
      </c>
      <c r="B2295" s="3">
        <f>AUD!B2295</f>
        <v>0.72929999999999995</v>
      </c>
      <c r="C2295" s="3">
        <f>AUD!C2295</f>
        <v>0.72970000000000002</v>
      </c>
      <c r="D2295" s="3">
        <f>1/CAD!B2295</f>
        <v>0.75272864132480244</v>
      </c>
      <c r="E2295" s="3">
        <f>1/CAD!C2295</f>
        <v>0.75340917652377015</v>
      </c>
      <c r="F2295" s="3">
        <f>EUR!B2295/1</f>
        <v>1.1352</v>
      </c>
      <c r="G2295" s="3">
        <f>EUR!C2295/1</f>
        <v>1.1388</v>
      </c>
      <c r="H2295" s="3">
        <f>GBP!B2295/1</f>
        <v>1.2783</v>
      </c>
      <c r="I2295" s="3">
        <f>GBP!C2295/1</f>
        <v>1.2807999999999999</v>
      </c>
      <c r="J2295" s="4">
        <f>1/INR!B2295</f>
        <v>1.4190435646374344E-2</v>
      </c>
      <c r="K2295" s="4">
        <f>1/INR!C2295</f>
        <v>1.4141271300289896E-2</v>
      </c>
      <c r="L2295" s="4">
        <f>1/JPY!B2295</f>
        <v>8.8526912181303118E-3</v>
      </c>
      <c r="M2295" s="4">
        <f>1/JPY!C2295</f>
        <v>8.8837876206196258E-3</v>
      </c>
      <c r="N2295" s="5">
        <f>1/KRW!B2295</f>
        <v>8.9750493627714948E-4</v>
      </c>
      <c r="O2295" s="5">
        <f>1/KRW!C2295</f>
        <v>8.9751258873594785E-4</v>
      </c>
      <c r="P2295" s="3">
        <f>1/NOK!B2295</f>
        <v>0.11764844292285791</v>
      </c>
      <c r="Q2295" s="3">
        <f>1/NOK!C2295</f>
        <v>0.11783004194749493</v>
      </c>
      <c r="R2295" s="3">
        <f>NZD!B2295/1</f>
        <v>0.6915</v>
      </c>
      <c r="S2295" s="3">
        <f>NZD!C2295/1</f>
        <v>0.69179999999999997</v>
      </c>
      <c r="T2295" s="4">
        <f>1/PHP!B2295</f>
        <v>1.8957345971563982E-2</v>
      </c>
      <c r="U2295" s="4">
        <f>1/PHP!C2295</f>
        <v>1.8920580861832459E-2</v>
      </c>
      <c r="V2295" s="4">
        <f>1/TWD!B2295</f>
        <v>3.2461208855417777E-2</v>
      </c>
      <c r="W2295" s="4">
        <f>1/TWD!C2295</f>
        <v>3.2462051861374054E-2</v>
      </c>
      <c r="X2295" s="4">
        <f>1/TWD!B2295</f>
        <v>3.2461208855417777E-2</v>
      </c>
      <c r="Y2295" s="4">
        <f>1/TWD!C2295</f>
        <v>3.2462051861374054E-2</v>
      </c>
      <c r="Z2295" s="4">
        <f>1/ZAR!B2295</f>
        <v>7.2602133050669024E-2</v>
      </c>
      <c r="AA2295" s="4">
        <f>1/ZAR!C2295</f>
        <v>7.2334823430695999E-2</v>
      </c>
    </row>
    <row r="2296" spans="1:27" x14ac:dyDescent="0.25">
      <c r="A2296" t="str">
        <f>"06/12/2018"</f>
        <v>06/12/2018</v>
      </c>
      <c r="B2296" s="3">
        <f>AUD!B2296</f>
        <v>0.72</v>
      </c>
      <c r="C2296" s="3">
        <f>AUD!C2296</f>
        <v>0.72040000000000004</v>
      </c>
      <c r="D2296" s="3">
        <f>1/CAD!B2296</f>
        <v>0.74454619909165365</v>
      </c>
      <c r="E2296" s="3">
        <f>1/CAD!C2296</f>
        <v>0.7452120128176466</v>
      </c>
      <c r="F2296" s="3">
        <f>EUR!B2296/1</f>
        <v>1.1336999999999999</v>
      </c>
      <c r="G2296" s="3">
        <f>EUR!C2296/1</f>
        <v>1.1373</v>
      </c>
      <c r="H2296" s="3">
        <f>GBP!B2296/1</f>
        <v>1.2739</v>
      </c>
      <c r="I2296" s="3">
        <f>GBP!C2296/1</f>
        <v>1.2764</v>
      </c>
      <c r="J2296" s="4">
        <f>1/INR!B2296</f>
        <v>1.4101886127269524E-2</v>
      </c>
      <c r="K2296" s="4">
        <f>1/INR!C2296</f>
        <v>1.4052838673412029E-2</v>
      </c>
      <c r="L2296" s="4">
        <f>1/JPY!B2296</f>
        <v>8.8660342228921007E-3</v>
      </c>
      <c r="M2296" s="4">
        <f>1/JPY!C2296</f>
        <v>8.8978895985450165E-3</v>
      </c>
      <c r="N2296" s="5">
        <f>1/KRW!B2296</f>
        <v>8.9221984296930772E-4</v>
      </c>
      <c r="O2296" s="5">
        <f>1/KRW!C2296</f>
        <v>8.9222899771009424E-4</v>
      </c>
      <c r="P2296" s="3">
        <f>1/NOK!B2296</f>
        <v>0.11691667348680594</v>
      </c>
      <c r="Q2296" s="3">
        <f>1/NOK!C2296</f>
        <v>0.117090534401199</v>
      </c>
      <c r="R2296" s="3">
        <f>NZD!B2296/1</f>
        <v>0.68589999999999995</v>
      </c>
      <c r="S2296" s="3">
        <f>NZD!C2296/1</f>
        <v>0.68620000000000003</v>
      </c>
      <c r="T2296" s="4">
        <f>1/PHP!B2296</f>
        <v>1.8935807612194658E-2</v>
      </c>
      <c r="U2296" s="4">
        <f>1/PHP!C2296</f>
        <v>1.8898233015213078E-2</v>
      </c>
      <c r="V2296" s="4">
        <f>1/TWD!B2296</f>
        <v>3.2407557442395568E-2</v>
      </c>
      <c r="W2296" s="4">
        <f>1/TWD!C2296</f>
        <v>3.2408397664002699E-2</v>
      </c>
      <c r="X2296" s="4">
        <f>1/TWD!B2296</f>
        <v>3.2407557442395568E-2</v>
      </c>
      <c r="Y2296" s="4">
        <f>1/TWD!C2296</f>
        <v>3.2408397664002699E-2</v>
      </c>
      <c r="Z2296" s="4">
        <f>1/ZAR!B2296</f>
        <v>7.1170831346480959E-2</v>
      </c>
      <c r="AA2296" s="4">
        <f>1/ZAR!C2296</f>
        <v>7.0906396466025201E-2</v>
      </c>
    </row>
    <row r="2297" spans="1:27" x14ac:dyDescent="0.25">
      <c r="A2297" t="str">
        <f>"07/12/2018"</f>
        <v>07/12/2018</v>
      </c>
      <c r="B2297" s="3">
        <f>AUD!B2297</f>
        <v>0.72219999999999995</v>
      </c>
      <c r="C2297" s="3">
        <f>AUD!C2297</f>
        <v>0.72260000000000002</v>
      </c>
      <c r="D2297" s="3">
        <f>1/CAD!B2297</f>
        <v>0.74654721911160882</v>
      </c>
      <c r="E2297" s="3">
        <f>1/CAD!C2297</f>
        <v>0.74721661809758644</v>
      </c>
      <c r="F2297" s="3">
        <f>EUR!B2297/1</f>
        <v>1.1378999999999999</v>
      </c>
      <c r="G2297" s="3">
        <f>EUR!C2297/1</f>
        <v>1.1415</v>
      </c>
      <c r="H2297" s="3">
        <f>GBP!B2297/1</f>
        <v>1.2765</v>
      </c>
      <c r="I2297" s="3">
        <f>GBP!C2297/1</f>
        <v>1.2789999999999999</v>
      </c>
      <c r="J2297" s="4">
        <f>1/INR!B2297</f>
        <v>1.4120803473717655E-2</v>
      </c>
      <c r="K2297" s="4">
        <f>1/INR!C2297</f>
        <v>1.4071129559925424E-2</v>
      </c>
      <c r="L2297" s="4">
        <f>1/JPY!B2297</f>
        <v>8.8660342228921007E-3</v>
      </c>
      <c r="M2297" s="4">
        <f>1/JPY!C2297</f>
        <v>8.8975650033855241E-3</v>
      </c>
      <c r="N2297" s="5">
        <f>1/KRW!B2297</f>
        <v>8.9301661010894801E-4</v>
      </c>
      <c r="O2297" s="5">
        <f>1/KRW!C2297</f>
        <v>8.930257812077905E-4</v>
      </c>
      <c r="P2297" s="3">
        <f>1/NOK!B2297</f>
        <v>0.11726766344180592</v>
      </c>
      <c r="Q2297" s="3">
        <f>1/NOK!C2297</f>
        <v>0.11743981209630064</v>
      </c>
      <c r="R2297" s="3">
        <f>NZD!B2297/1</f>
        <v>0.68799999999999994</v>
      </c>
      <c r="S2297" s="3">
        <f>NZD!C2297/1</f>
        <v>0.68830000000000002</v>
      </c>
      <c r="T2297" s="4">
        <f>1/PHP!B2297</f>
        <v>1.8953752843062926E-2</v>
      </c>
      <c r="U2297" s="4">
        <f>1/PHP!C2297</f>
        <v>1.8912529550827423E-2</v>
      </c>
      <c r="V2297" s="4">
        <f>1/TWD!B2297</f>
        <v>3.242121644404098E-2</v>
      </c>
      <c r="W2297" s="4">
        <f>1/TWD!C2297</f>
        <v>3.2422057374072728E-2</v>
      </c>
      <c r="X2297" s="4">
        <f>1/TWD!B2297</f>
        <v>3.242121644404098E-2</v>
      </c>
      <c r="Y2297" s="4">
        <f>1/TWD!C2297</f>
        <v>3.2422057374072728E-2</v>
      </c>
      <c r="Z2297" s="4">
        <f>1/ZAR!B2297</f>
        <v>7.0806987233500207E-2</v>
      </c>
      <c r="AA2297" s="4">
        <f>1/ZAR!C2297</f>
        <v>7.0548230297642983E-2</v>
      </c>
    </row>
    <row r="2298" spans="1:27" x14ac:dyDescent="0.25">
      <c r="A2298" t="str">
        <f>"10/12/2018"</f>
        <v>10/12/2018</v>
      </c>
      <c r="B2298" s="3">
        <f>AUD!B2298</f>
        <v>0.72219999999999995</v>
      </c>
      <c r="C2298" s="3">
        <f>AUD!C2298</f>
        <v>0.72260000000000002</v>
      </c>
      <c r="D2298" s="3">
        <f>1/CAD!B2298</f>
        <v>0.75125835774923</v>
      </c>
      <c r="E2298" s="3">
        <f>1/CAD!C2298</f>
        <v>0.75193623580720348</v>
      </c>
      <c r="F2298" s="3">
        <f>EUR!B2298/1</f>
        <v>1.1419999999999999</v>
      </c>
      <c r="G2298" s="3">
        <f>EUR!C2298/1</f>
        <v>1.1458999999999999</v>
      </c>
      <c r="H2298" s="3">
        <f>GBP!B2298/1</f>
        <v>1.2713000000000001</v>
      </c>
      <c r="I2298" s="3">
        <f>GBP!C2298/1</f>
        <v>1.2739</v>
      </c>
      <c r="J2298" s="4">
        <f>1/INR!B2298</f>
        <v>1.4016399187048847E-2</v>
      </c>
      <c r="K2298" s="4">
        <f>1/INR!C2298</f>
        <v>1.3964042590329901E-2</v>
      </c>
      <c r="L2298" s="4">
        <f>1/JPY!B2298</f>
        <v>8.8770528184642702E-3</v>
      </c>
      <c r="M2298" s="4">
        <f>1/JPY!C2298</f>
        <v>8.9100591895231972E-3</v>
      </c>
      <c r="N2298" s="5">
        <f>1/KRW!B2298</f>
        <v>8.8739018546454872E-4</v>
      </c>
      <c r="O2298" s="5">
        <f>1/KRW!C2298</f>
        <v>8.8740042258008127E-4</v>
      </c>
      <c r="P2298" s="3">
        <f>1/NOK!B2298</f>
        <v>0.11804563644304888</v>
      </c>
      <c r="Q2298" s="3">
        <f>1/NOK!C2298</f>
        <v>0.11822986249866992</v>
      </c>
      <c r="R2298" s="3">
        <f>NZD!B2298/1</f>
        <v>0.6895</v>
      </c>
      <c r="S2298" s="3">
        <f>NZD!C2298/1</f>
        <v>0.68979999999999997</v>
      </c>
      <c r="T2298" s="4">
        <f>1/PHP!B2298</f>
        <v>1.8935807612194658E-2</v>
      </c>
      <c r="U2298" s="4">
        <f>1/PHP!C2298</f>
        <v>1.8894662257912139E-2</v>
      </c>
      <c r="V2298" s="4">
        <f>1/TWD!B2298</f>
        <v>3.2386566052401464E-2</v>
      </c>
      <c r="W2298" s="4">
        <f>1/TWD!C2298</f>
        <v>3.2387405185871319E-2</v>
      </c>
      <c r="X2298" s="4">
        <f>1/TWD!B2298</f>
        <v>3.2386566052401464E-2</v>
      </c>
      <c r="Y2298" s="4">
        <f>1/TWD!C2298</f>
        <v>3.2387405185871319E-2</v>
      </c>
      <c r="Z2298" s="4">
        <f>1/ZAR!B2298</f>
        <v>7.0278019846512801E-2</v>
      </c>
      <c r="AA2298" s="4">
        <f>1/ZAR!C2298</f>
        <v>7.0006930686137933E-2</v>
      </c>
    </row>
    <row r="2299" spans="1:27" x14ac:dyDescent="0.25">
      <c r="A2299" t="str">
        <f>"11/12/2018"</f>
        <v>11/12/2018</v>
      </c>
      <c r="B2299" s="3">
        <f>AUD!B2299</f>
        <v>0.72109999999999996</v>
      </c>
      <c r="C2299" s="3">
        <f>AUD!C2299</f>
        <v>0.72150000000000003</v>
      </c>
      <c r="D2299" s="3">
        <f>1/CAD!B2299</f>
        <v>0.74660295654770792</v>
      </c>
      <c r="E2299" s="3">
        <f>1/CAD!C2299</f>
        <v>0.74732830132277106</v>
      </c>
      <c r="F2299" s="3">
        <f>EUR!B2299/1</f>
        <v>1.1389</v>
      </c>
      <c r="G2299" s="3">
        <f>EUR!C2299/1</f>
        <v>1.1427</v>
      </c>
      <c r="H2299" s="3">
        <f>GBP!B2299/1</f>
        <v>1.2623</v>
      </c>
      <c r="I2299" s="3">
        <f>GBP!C2299/1</f>
        <v>1.2648999999999999</v>
      </c>
      <c r="J2299" s="4">
        <f>1/INR!B2299</f>
        <v>1.3914011409489354E-2</v>
      </c>
      <c r="K2299" s="4">
        <f>1/INR!C2299</f>
        <v>1.3861454759677028E-2</v>
      </c>
      <c r="L2299" s="4">
        <f>1/JPY!B2299</f>
        <v>8.8409512863584123E-3</v>
      </c>
      <c r="M2299" s="4">
        <f>1/JPY!C2299</f>
        <v>8.873602629425931E-3</v>
      </c>
      <c r="N2299" s="5">
        <f>1/KRW!B2299</f>
        <v>8.8487744447394046E-4</v>
      </c>
      <c r="O2299" s="5">
        <f>1/KRW!C2299</f>
        <v>8.8488762369622867E-4</v>
      </c>
      <c r="P2299" s="3">
        <f>1/NOK!B2299</f>
        <v>0.11736400445983217</v>
      </c>
      <c r="Q2299" s="3">
        <f>1/NOK!C2299</f>
        <v>0.11754196248060557</v>
      </c>
      <c r="R2299" s="3">
        <f>NZD!B2299/1</f>
        <v>0.68759999999999999</v>
      </c>
      <c r="S2299" s="3">
        <f>NZD!C2299/1</f>
        <v>0.68789999999999996</v>
      </c>
      <c r="T2299" s="4">
        <f>1/PHP!B2299</f>
        <v>1.8941187612463301E-2</v>
      </c>
      <c r="U2299" s="4">
        <f>1/PHP!C2299</f>
        <v>1.889644746787604E-2</v>
      </c>
      <c r="V2299" s="4">
        <f>1/TWD!B2299</f>
        <v>3.2368744740078982E-2</v>
      </c>
      <c r="W2299" s="4">
        <f>1/TWD!C2299</f>
        <v>3.2369582950293269E-2</v>
      </c>
      <c r="X2299" s="4">
        <f>1/TWD!B2299</f>
        <v>3.2368744740078982E-2</v>
      </c>
      <c r="Y2299" s="4">
        <f>1/TWD!C2299</f>
        <v>3.2369582950293269E-2</v>
      </c>
      <c r="Z2299" s="4">
        <f>1/ZAR!B2299</f>
        <v>6.9680098667019713E-2</v>
      </c>
      <c r="AA2299" s="4">
        <f>1/ZAR!C2299</f>
        <v>6.9420340159666791E-2</v>
      </c>
    </row>
    <row r="2300" spans="1:27" x14ac:dyDescent="0.25">
      <c r="A2300" t="str">
        <f>"12/12/2018"</f>
        <v>12/12/2018</v>
      </c>
      <c r="B2300" s="3">
        <f>AUD!B2300</f>
        <v>0.72160000000000002</v>
      </c>
      <c r="C2300" s="3">
        <f>AUD!C2300</f>
        <v>0.72189999999999999</v>
      </c>
      <c r="D2300" s="3">
        <f>1/CAD!B2300</f>
        <v>0.74744001793856041</v>
      </c>
      <c r="E2300" s="3">
        <f>1/CAD!C2300</f>
        <v>0.74816699087236271</v>
      </c>
      <c r="F2300" s="3">
        <f>EUR!B2300/1</f>
        <v>1.1324000000000001</v>
      </c>
      <c r="G2300" s="3">
        <f>EUR!C2300/1</f>
        <v>1.1359999999999999</v>
      </c>
      <c r="H2300" s="3">
        <f>GBP!B2300/1</f>
        <v>1.2506999999999999</v>
      </c>
      <c r="I2300" s="3">
        <f>GBP!C2300/1</f>
        <v>1.2532000000000001</v>
      </c>
      <c r="J2300" s="4">
        <f>1/INR!B2300</f>
        <v>1.3887924449690994E-2</v>
      </c>
      <c r="K2300" s="4">
        <f>1/INR!C2300</f>
        <v>1.3837000138370002E-2</v>
      </c>
      <c r="L2300" s="4">
        <f>1/JPY!B2300</f>
        <v>8.8121254846669009E-3</v>
      </c>
      <c r="M2300" s="4">
        <f>1/JPY!C2300</f>
        <v>8.8439224564879019E-3</v>
      </c>
      <c r="N2300" s="5">
        <f>1/KRW!B2300</f>
        <v>8.8613203367301726E-4</v>
      </c>
      <c r="O2300" s="5">
        <f>1/KRW!C2300</f>
        <v>8.8614381227929487E-4</v>
      </c>
      <c r="P2300" s="3">
        <f>1/NOK!B2300</f>
        <v>0.11663983950358085</v>
      </c>
      <c r="Q2300" s="3">
        <f>1/NOK!C2300</f>
        <v>0.11680605522590291</v>
      </c>
      <c r="R2300" s="3">
        <f>NZD!B2300/1</f>
        <v>0.68869999999999998</v>
      </c>
      <c r="S2300" s="3">
        <f>NZD!C2300/1</f>
        <v>0.68899999999999995</v>
      </c>
      <c r="T2300" s="4">
        <f>1/PHP!B2300</f>
        <v>1.8982536066818528E-2</v>
      </c>
      <c r="U2300" s="4">
        <f>1/PHP!C2300</f>
        <v>1.8937600606003219E-2</v>
      </c>
      <c r="V2300" s="4">
        <f>1/TWD!B2300</f>
        <v>3.2430679422733907E-2</v>
      </c>
      <c r="W2300" s="4">
        <f>1/TWD!C2300</f>
        <v>3.2431520843738446E-2</v>
      </c>
      <c r="X2300" s="4">
        <f>1/TWD!B2300</f>
        <v>3.2430679422733907E-2</v>
      </c>
      <c r="Y2300" s="4">
        <f>1/TWD!C2300</f>
        <v>3.2431520843738446E-2</v>
      </c>
      <c r="Z2300" s="4">
        <f>1/ZAR!B2300</f>
        <v>6.99711718771866E-2</v>
      </c>
      <c r="AA2300" s="4">
        <f>1/ZAR!C2300</f>
        <v>6.9716046542432672E-2</v>
      </c>
    </row>
    <row r="2301" spans="1:27" x14ac:dyDescent="0.25">
      <c r="A2301" t="str">
        <f>"13/12/2018"</f>
        <v>13/12/2018</v>
      </c>
      <c r="B2301" s="3">
        <f>AUD!B2301</f>
        <v>0.72250000000000003</v>
      </c>
      <c r="C2301" s="3">
        <f>AUD!C2301</f>
        <v>0.72270000000000001</v>
      </c>
      <c r="D2301" s="3">
        <f>1/CAD!B2301</f>
        <v>0.74794315632011965</v>
      </c>
      <c r="E2301" s="3">
        <f>1/CAD!C2301</f>
        <v>0.74850299401197595</v>
      </c>
      <c r="F2301" s="3">
        <f>EUR!B2301/1</f>
        <v>1.1375999999999999</v>
      </c>
      <c r="G2301" s="3">
        <f>EUR!C2301/1</f>
        <v>1.141</v>
      </c>
      <c r="H2301" s="3">
        <f>GBP!B2301/1</f>
        <v>1.2648999999999999</v>
      </c>
      <c r="I2301" s="3">
        <f>GBP!C2301/1</f>
        <v>1.2672000000000001</v>
      </c>
      <c r="J2301" s="4">
        <f>1/INR!B2301</f>
        <v>1.3947974056768255E-2</v>
      </c>
      <c r="K2301" s="4">
        <f>1/INR!C2301</f>
        <v>1.3896609227348528E-2</v>
      </c>
      <c r="L2301" s="4">
        <f>1/JPY!B2301</f>
        <v>8.8144557073600704E-3</v>
      </c>
      <c r="M2301" s="4">
        <f>1/JPY!C2301</f>
        <v>8.8438989920608321E-3</v>
      </c>
      <c r="N2301" s="5">
        <f>1/KRW!B2301</f>
        <v>8.9007565643079659E-4</v>
      </c>
      <c r="O2301" s="5">
        <f>1/KRW!C2301</f>
        <v>8.9008793623766055E-4</v>
      </c>
      <c r="P2301" s="3">
        <f>1/NOK!B2301</f>
        <v>0.11686748395993783</v>
      </c>
      <c r="Q2301" s="3">
        <f>1/NOK!C2301</f>
        <v>0.11702887102248125</v>
      </c>
      <c r="R2301" s="3">
        <f>NZD!B2301/1</f>
        <v>0.68640000000000001</v>
      </c>
      <c r="S2301" s="3">
        <f>NZD!C2301/1</f>
        <v>0.68659999999999999</v>
      </c>
      <c r="T2301" s="4">
        <f>1/PHP!B2301</f>
        <v>1.8982536066818528E-2</v>
      </c>
      <c r="U2301" s="4">
        <f>1/PHP!C2301</f>
        <v>1.893939393939394E-2</v>
      </c>
      <c r="V2301" s="4">
        <f>1/TWD!B2301</f>
        <v>3.2413860166607245E-2</v>
      </c>
      <c r="W2301" s="4">
        <f>1/TWD!C2301</f>
        <v>3.2414700715068294E-2</v>
      </c>
      <c r="X2301" s="4">
        <f>1/TWD!B2301</f>
        <v>3.2413860166607245E-2</v>
      </c>
      <c r="Y2301" s="4">
        <f>1/TWD!C2301</f>
        <v>3.2414700715068294E-2</v>
      </c>
      <c r="Z2301" s="4">
        <f>1/ZAR!B2301</f>
        <v>7.0565156337103863E-2</v>
      </c>
      <c r="AA2301" s="4">
        <f>1/ZAR!C2301</f>
        <v>7.0299758168831897E-2</v>
      </c>
    </row>
    <row r="2302" spans="1:27" x14ac:dyDescent="0.25">
      <c r="A2302" t="str">
        <f>"14/12/2018"</f>
        <v>14/12/2018</v>
      </c>
      <c r="B2302" s="3">
        <f>AUD!B2302</f>
        <v>0.71630000000000005</v>
      </c>
      <c r="C2302" s="3">
        <f>AUD!C2302</f>
        <v>0.71660000000000001</v>
      </c>
      <c r="D2302" s="3">
        <f>1/CAD!B2302</f>
        <v>0.74682598954443613</v>
      </c>
      <c r="E2302" s="3">
        <f>1/CAD!C2302</f>
        <v>0.74738415545590431</v>
      </c>
      <c r="F2302" s="3">
        <f>EUR!B2302/1</f>
        <v>1.1296999999999999</v>
      </c>
      <c r="G2302" s="3">
        <f>EUR!C2302/1</f>
        <v>1.1331</v>
      </c>
      <c r="H2302" s="3">
        <f>GBP!B2302/1</f>
        <v>1.2573000000000001</v>
      </c>
      <c r="I2302" s="3">
        <f>GBP!C2302/1</f>
        <v>1.2596000000000001</v>
      </c>
      <c r="J2302" s="4">
        <f>1/INR!B2302</f>
        <v>1.3908205841446452E-2</v>
      </c>
      <c r="K2302" s="4">
        <f>1/INR!C2302</f>
        <v>1.385809312638581E-2</v>
      </c>
      <c r="L2302" s="4">
        <f>1/JPY!B2302</f>
        <v>8.8051422030465797E-3</v>
      </c>
      <c r="M2302" s="4">
        <f>1/JPY!C2302</f>
        <v>8.8340237122864484E-3</v>
      </c>
      <c r="N2302" s="5">
        <f>1/KRW!B2302</f>
        <v>8.8425148112123082E-4</v>
      </c>
      <c r="O2302" s="5">
        <f>1/KRW!C2302</f>
        <v>8.8426532097991102E-4</v>
      </c>
      <c r="P2302" s="3">
        <f>1/NOK!B2302</f>
        <v>0.11601870221479701</v>
      </c>
      <c r="Q2302" s="3">
        <f>1/NOK!C2302</f>
        <v>0.11618180128264707</v>
      </c>
      <c r="R2302" s="3">
        <f>NZD!B2302/1</f>
        <v>0.67910000000000004</v>
      </c>
      <c r="S2302" s="3">
        <f>NZD!C2302/1</f>
        <v>0.67930000000000001</v>
      </c>
      <c r="T2302" s="4">
        <f>1/PHP!B2302</f>
        <v>1.890359168241966E-2</v>
      </c>
      <c r="U2302" s="4">
        <f>1/PHP!C2302</f>
        <v>1.8857961831485255E-2</v>
      </c>
      <c r="V2302" s="4">
        <f>1/TWD!B2302</f>
        <v>3.2393909944930355E-2</v>
      </c>
      <c r="W2302" s="4">
        <f>1/TWD!C2302</f>
        <v>3.2394749459007686E-2</v>
      </c>
      <c r="X2302" s="4">
        <f>1/TWD!B2302</f>
        <v>3.2393909944930355E-2</v>
      </c>
      <c r="Y2302" s="4">
        <f>1/TWD!C2302</f>
        <v>3.2394749459007686E-2</v>
      </c>
      <c r="Z2302" s="4">
        <f>1/ZAR!B2302</f>
        <v>6.9642247773189128E-2</v>
      </c>
      <c r="AA2302" s="4">
        <f>1/ZAR!C2302</f>
        <v>6.935341808321023E-2</v>
      </c>
    </row>
    <row r="2303" spans="1:27" x14ac:dyDescent="0.25">
      <c r="A2303" t="str">
        <f>"17/12/2018"</f>
        <v>17/12/2018</v>
      </c>
      <c r="B2303" s="3">
        <f>AUD!B2303</f>
        <v>0.7177</v>
      </c>
      <c r="C2303" s="3">
        <f>AUD!C2303</f>
        <v>0.71799999999999997</v>
      </c>
      <c r="D2303" s="3">
        <f>1/CAD!B2303</f>
        <v>0.74704915583445386</v>
      </c>
      <c r="E2303" s="3">
        <f>1/CAD!C2303</f>
        <v>0.74766355140186924</v>
      </c>
      <c r="F2303" s="3">
        <f>EUR!B2303/1</f>
        <v>1.1339999999999999</v>
      </c>
      <c r="G2303" s="3">
        <f>EUR!C2303/1</f>
        <v>1.1376999999999999</v>
      </c>
      <c r="H2303" s="3">
        <f>GBP!B2303/1</f>
        <v>1.2625999999999999</v>
      </c>
      <c r="I2303" s="3">
        <f>GBP!C2303/1</f>
        <v>1.2650999999999999</v>
      </c>
      <c r="J2303" s="4">
        <f>1/INR!B2303</f>
        <v>1.3973310976035772E-2</v>
      </c>
      <c r="K2303" s="4">
        <f>1/INR!C2303</f>
        <v>1.3920306246737428E-2</v>
      </c>
      <c r="L2303" s="4">
        <f>1/JPY!B2303</f>
        <v>8.8269044046252968E-3</v>
      </c>
      <c r="M2303" s="4">
        <f>1/JPY!C2303</f>
        <v>8.8583453142453712E-3</v>
      </c>
      <c r="N2303" s="5">
        <f>1/KRW!B2303</f>
        <v>8.8378258948298722E-4</v>
      </c>
      <c r="O2303" s="5">
        <f>1/KRW!C2303</f>
        <v>8.8379703954505654E-4</v>
      </c>
      <c r="P2303" s="3">
        <f>1/NOK!B2303</f>
        <v>0.11609412911989041</v>
      </c>
      <c r="Q2303" s="3">
        <f>1/NOK!C2303</f>
        <v>0.11627906976744186</v>
      </c>
      <c r="R2303" s="3">
        <f>NZD!B2303/1</f>
        <v>0.68079999999999996</v>
      </c>
      <c r="S2303" s="3">
        <f>NZD!C2303/1</f>
        <v>0.68110000000000004</v>
      </c>
      <c r="T2303" s="4">
        <f>1/PHP!B2303</f>
        <v>1.8869704689121615E-2</v>
      </c>
      <c r="U2303" s="4">
        <f>1/PHP!C2303</f>
        <v>1.8768768768768769E-2</v>
      </c>
      <c r="V2303" s="4">
        <f>1/TWD!B2303</f>
        <v>3.2393909944930355E-2</v>
      </c>
      <c r="W2303" s="4">
        <f>1/TWD!C2303</f>
        <v>3.2394749459007686E-2</v>
      </c>
      <c r="X2303" s="4">
        <f>1/TWD!B2303</f>
        <v>3.2393909944930355E-2</v>
      </c>
      <c r="Y2303" s="4">
        <f>1/TWD!C2303</f>
        <v>3.2394749459007686E-2</v>
      </c>
      <c r="Z2303" s="4">
        <f>1/ZAR!B2303</f>
        <v>6.9653889821477077E-2</v>
      </c>
      <c r="AA2303" s="4">
        <f>1/ZAR!C2303</f>
        <v>6.9364001470516828E-2</v>
      </c>
    </row>
    <row r="2304" spans="1:27" x14ac:dyDescent="0.25">
      <c r="A2304" t="str">
        <f>"18/12/2018"</f>
        <v>18/12/2018</v>
      </c>
      <c r="B2304" s="3">
        <f>AUD!B2304</f>
        <v>0.71970000000000001</v>
      </c>
      <c r="C2304" s="3">
        <f>AUD!C2304</f>
        <v>0.72</v>
      </c>
      <c r="D2304" s="3">
        <f>1/CAD!B2304</f>
        <v>0.74638005672488428</v>
      </c>
      <c r="E2304" s="3">
        <f>1/CAD!C2304</f>
        <v>0.74704915583445386</v>
      </c>
      <c r="F2304" s="3">
        <f>EUR!B2304/1</f>
        <v>1.1395999999999999</v>
      </c>
      <c r="G2304" s="3">
        <f>EUR!C2304/1</f>
        <v>1.1432</v>
      </c>
      <c r="H2304" s="3">
        <f>GBP!B2304/1</f>
        <v>1.2684</v>
      </c>
      <c r="I2304" s="3">
        <f>GBP!C2304/1</f>
        <v>1.2707999999999999</v>
      </c>
      <c r="J2304" s="4">
        <f>1/INR!B2304</f>
        <v>1.4198494959534288E-2</v>
      </c>
      <c r="K2304" s="4">
        <f>1/INR!C2304</f>
        <v>1.4146272457207527E-2</v>
      </c>
      <c r="L2304" s="4">
        <f>1/JPY!B2304</f>
        <v>8.9055125122450788E-3</v>
      </c>
      <c r="M2304" s="4">
        <f>1/JPY!C2304</f>
        <v>8.936270983481303E-3</v>
      </c>
      <c r="N2304" s="5">
        <f>1/KRW!B2304</f>
        <v>8.8487744447394046E-4</v>
      </c>
      <c r="O2304" s="5">
        <f>1/KRW!C2304</f>
        <v>8.8489075581174115E-4</v>
      </c>
      <c r="P2304" s="3">
        <f>1/NOK!B2304</f>
        <v>0.11523658070017748</v>
      </c>
      <c r="Q2304" s="3">
        <f>1/NOK!C2304</f>
        <v>0.11541213674029961</v>
      </c>
      <c r="R2304" s="3">
        <f>NZD!B2304/1</f>
        <v>0.68700000000000006</v>
      </c>
      <c r="S2304" s="3">
        <f>NZD!C2304/1</f>
        <v>0.68730000000000002</v>
      </c>
      <c r="T2304" s="4">
        <f>1/PHP!B2304</f>
        <v>1.8839487565938208E-2</v>
      </c>
      <c r="U2304" s="4">
        <f>1/PHP!C2304</f>
        <v>1.8761726078799251E-2</v>
      </c>
      <c r="V2304" s="4">
        <f>1/TWD!B2304</f>
        <v>3.2393909944930355E-2</v>
      </c>
      <c r="W2304" s="4">
        <f>1/TWD!C2304</f>
        <v>3.2394749459007686E-2</v>
      </c>
      <c r="X2304" s="4">
        <f>1/TWD!B2304</f>
        <v>3.2393909944930355E-2</v>
      </c>
      <c r="Y2304" s="4">
        <f>1/TWD!C2304</f>
        <v>3.2394749459007686E-2</v>
      </c>
      <c r="Z2304" s="4">
        <f>1/ZAR!B2304</f>
        <v>6.9954529555788736E-2</v>
      </c>
      <c r="AA2304" s="4">
        <f>1/ZAR!C2304</f>
        <v>6.967572915650562E-2</v>
      </c>
    </row>
    <row r="2305" spans="1:27" x14ac:dyDescent="0.25">
      <c r="A2305" t="str">
        <f>"19/12/2018"</f>
        <v>19/12/2018</v>
      </c>
      <c r="B2305" s="3">
        <f>AUD!B2305</f>
        <v>0.71889999999999998</v>
      </c>
      <c r="C2305" s="3">
        <f>AUD!C2305</f>
        <v>0.71930000000000005</v>
      </c>
      <c r="D2305" s="3">
        <f>1/CAD!B2305</f>
        <v>0.74316290130796681</v>
      </c>
      <c r="E2305" s="3">
        <f>1/CAD!C2305</f>
        <v>0.74388157405341071</v>
      </c>
      <c r="F2305" s="3">
        <f>EUR!B2305/1</f>
        <v>1.1398999999999999</v>
      </c>
      <c r="G2305" s="3">
        <f>EUR!C2305/1</f>
        <v>1.1435</v>
      </c>
      <c r="H2305" s="3">
        <f>GBP!B2305/1</f>
        <v>1.2636000000000001</v>
      </c>
      <c r="I2305" s="3">
        <f>GBP!C2305/1</f>
        <v>1.2659</v>
      </c>
      <c r="J2305" s="4">
        <f>1/INR!B2305</f>
        <v>1.4203536680633478E-2</v>
      </c>
      <c r="K2305" s="4">
        <f>1/INR!C2305</f>
        <v>1.4153280022645248E-2</v>
      </c>
      <c r="L2305" s="4">
        <f>1/JPY!B2305</f>
        <v>8.8991723769689408E-3</v>
      </c>
      <c r="M2305" s="4">
        <f>1/JPY!C2305</f>
        <v>8.9294324809892391E-3</v>
      </c>
      <c r="N2305" s="5">
        <f>1/KRW!B2305</f>
        <v>8.9007565643079659E-4</v>
      </c>
      <c r="O2305" s="5">
        <f>1/KRW!C2305</f>
        <v>8.9008714398183158E-4</v>
      </c>
      <c r="P2305" s="3">
        <f>1/NOK!B2305</f>
        <v>0.11483429411359408</v>
      </c>
      <c r="Q2305" s="3">
        <f>1/NOK!C2305</f>
        <v>0.11500994836053317</v>
      </c>
      <c r="R2305" s="3">
        <f>NZD!B2305/1</f>
        <v>0.68579999999999997</v>
      </c>
      <c r="S2305" s="3">
        <f>NZD!C2305/1</f>
        <v>0.68620000000000003</v>
      </c>
      <c r="T2305" s="4">
        <f>1/PHP!B2305</f>
        <v>1.8837713101629461E-2</v>
      </c>
      <c r="U2305" s="4">
        <f>1/PHP!C2305</f>
        <v>1.8774054257016802E-2</v>
      </c>
      <c r="V2305" s="4">
        <f>1/TWD!B2305</f>
        <v>3.2453834420536787E-2</v>
      </c>
      <c r="W2305" s="4">
        <f>1/TWD!C2305</f>
        <v>3.2454677043508739E-2</v>
      </c>
      <c r="X2305" s="4">
        <f>1/TWD!B2305</f>
        <v>3.2453834420536787E-2</v>
      </c>
      <c r="Y2305" s="4">
        <f>1/TWD!C2305</f>
        <v>3.2454677043508739E-2</v>
      </c>
      <c r="Z2305" s="4">
        <f>1/ZAR!B2305</f>
        <v>6.9987822118951298E-2</v>
      </c>
      <c r="AA2305" s="4">
        <f>1/ZAR!C2305</f>
        <v>6.9717504671072808E-2</v>
      </c>
    </row>
    <row r="2306" spans="1:27" x14ac:dyDescent="0.25">
      <c r="A2306" t="str">
        <f>"20/12/2018"</f>
        <v>20/12/2018</v>
      </c>
      <c r="B2306" s="3">
        <f>AUD!B2306</f>
        <v>0.71419999999999995</v>
      </c>
      <c r="C2306" s="3">
        <f>AUD!C2306</f>
        <v>0.71450000000000002</v>
      </c>
      <c r="D2306" s="3">
        <f>1/CAD!B2306</f>
        <v>0.74288685833147605</v>
      </c>
      <c r="E2306" s="3">
        <f>1/CAD!C2306</f>
        <v>0.74371560315335417</v>
      </c>
      <c r="F2306" s="3">
        <f>EUR!B2306/1</f>
        <v>1.1464000000000001</v>
      </c>
      <c r="G2306" s="3">
        <f>EUR!C2306/1</f>
        <v>1.1498999999999999</v>
      </c>
      <c r="H2306" s="3">
        <f>GBP!B2306/1</f>
        <v>1.2694000000000001</v>
      </c>
      <c r="I2306" s="3">
        <f>GBP!C2306/1</f>
        <v>1.2717000000000001</v>
      </c>
      <c r="J2306" s="4">
        <f>1/INR!B2306</f>
        <v>1.4344115326687225E-2</v>
      </c>
      <c r="K2306" s="4">
        <f>1/INR!C2306</f>
        <v>1.429337144899053E-2</v>
      </c>
      <c r="L2306" s="4">
        <f>1/JPY!B2306</f>
        <v>8.95094880057286E-3</v>
      </c>
      <c r="M2306" s="4">
        <f>1/JPY!C2306</f>
        <v>8.9804173020311909E-3</v>
      </c>
      <c r="N2306" s="5">
        <f>1/KRW!B2306</f>
        <v>8.8660342228920992E-4</v>
      </c>
      <c r="O2306" s="5">
        <f>1/KRW!C2306</f>
        <v>8.866136412601618E-4</v>
      </c>
      <c r="P2306" s="3">
        <f>1/NOK!B2306</f>
        <v>0.11597968036000093</v>
      </c>
      <c r="Q2306" s="3">
        <f>1/NOK!C2306</f>
        <v>0.11616020815909302</v>
      </c>
      <c r="R2306" s="3">
        <f>NZD!B2306/1</f>
        <v>0.6784</v>
      </c>
      <c r="S2306" s="3">
        <f>NZD!C2306/1</f>
        <v>0.67869999999999997</v>
      </c>
      <c r="T2306" s="4">
        <f>1/PHP!B2306</f>
        <v>1.8814675446848544E-2</v>
      </c>
      <c r="U2306" s="4">
        <f>1/PHP!C2306</f>
        <v>1.8733608092918696E-2</v>
      </c>
      <c r="V2306" s="4">
        <f>1/TWD!B2306</f>
        <v>3.242226761339688E-2</v>
      </c>
      <c r="W2306" s="4">
        <f>1/TWD!C2306</f>
        <v>3.2423213724097906E-2</v>
      </c>
      <c r="X2306" s="4">
        <f>1/TWD!B2306</f>
        <v>3.242226761339688E-2</v>
      </c>
      <c r="Y2306" s="4">
        <f>1/TWD!C2306</f>
        <v>3.2423213724097906E-2</v>
      </c>
      <c r="Z2306" s="4">
        <f>1/ZAR!B2306</f>
        <v>7.0260243943566975E-2</v>
      </c>
      <c r="AA2306" s="4">
        <f>1/ZAR!C2306</f>
        <v>6.9997130117665174E-2</v>
      </c>
    </row>
    <row r="2307" spans="1:27" x14ac:dyDescent="0.25">
      <c r="A2307" t="str">
        <f>"21/12/2018"</f>
        <v>21/12/2018</v>
      </c>
      <c r="B2307" s="3">
        <f>AUD!B2307</f>
        <v>0.70899999999999996</v>
      </c>
      <c r="C2307" s="3">
        <f>AUD!C2307</f>
        <v>0.70930000000000004</v>
      </c>
      <c r="D2307" s="3">
        <f>1/CAD!B2307</f>
        <v>0.73860698722209905</v>
      </c>
      <c r="E2307" s="3">
        <f>1/CAD!C2307</f>
        <v>0.73931687121100098</v>
      </c>
      <c r="F2307" s="3">
        <f>EUR!B2307/1</f>
        <v>1.1422000000000001</v>
      </c>
      <c r="G2307" s="3">
        <f>EUR!C2307/1</f>
        <v>1.1456</v>
      </c>
      <c r="H2307" s="3">
        <f>GBP!B2307/1</f>
        <v>1.2666999999999999</v>
      </c>
      <c r="I2307" s="3">
        <f>GBP!C2307/1</f>
        <v>1.2688999999999999</v>
      </c>
      <c r="J2307" s="4">
        <f>1/INR!B2307</f>
        <v>1.4248566238022299E-2</v>
      </c>
      <c r="K2307" s="4">
        <f>1/INR!C2307</f>
        <v>1.4194967883885162E-2</v>
      </c>
      <c r="L2307" s="4">
        <f>1/JPY!B2307</f>
        <v>8.9928057553956831E-3</v>
      </c>
      <c r="M2307" s="4">
        <f>1/JPY!C2307</f>
        <v>9.0204511668855632E-3</v>
      </c>
      <c r="N2307" s="5">
        <f>1/KRW!B2307</f>
        <v>8.9078923926598974E-4</v>
      </c>
      <c r="O2307" s="5">
        <f>1/KRW!C2307</f>
        <v>8.9080034848109627E-4</v>
      </c>
      <c r="P2307" s="3">
        <f>1/NOK!B2307</f>
        <v>0.11498878859311217</v>
      </c>
      <c r="Q2307" s="3">
        <f>1/NOK!C2307</f>
        <v>0.11515563283778027</v>
      </c>
      <c r="R2307" s="3">
        <f>NZD!B2307/1</f>
        <v>0.67359999999999998</v>
      </c>
      <c r="S2307" s="3">
        <f>NZD!C2307/1</f>
        <v>0.67400000000000004</v>
      </c>
      <c r="T2307" s="4">
        <f>1/PHP!B2307</f>
        <v>1.8900018900018901E-2</v>
      </c>
      <c r="U2307" s="4">
        <f>1/PHP!C2307</f>
        <v>1.8800526414739612E-2</v>
      </c>
      <c r="V2307" s="4">
        <f>1/TWD!B2307</f>
        <v>3.2467532467532464E-2</v>
      </c>
      <c r="W2307" s="4">
        <f>1/TWD!C2307</f>
        <v>3.2468586642423455E-2</v>
      </c>
      <c r="X2307" s="4">
        <f>1/TWD!B2307</f>
        <v>3.2467532467532464E-2</v>
      </c>
      <c r="Y2307" s="4">
        <f>1/TWD!C2307</f>
        <v>3.2468586642423455E-2</v>
      </c>
      <c r="Z2307" s="4">
        <f>1/ZAR!B2307</f>
        <v>6.9240090012117006E-2</v>
      </c>
      <c r="AA2307" s="4">
        <f>1/ZAR!C2307</f>
        <v>6.8971700911116166E-2</v>
      </c>
    </row>
    <row r="2308" spans="1:27" x14ac:dyDescent="0.25">
      <c r="A2308" t="str">
        <f>"24/12/2018"</f>
        <v>24/12/2018</v>
      </c>
      <c r="B2308" s="3">
        <f>AUD!B2308</f>
        <v>0.70569999999999999</v>
      </c>
      <c r="C2308" s="3">
        <f>AUD!C2308</f>
        <v>0.70589999999999997</v>
      </c>
      <c r="D2308" s="3">
        <f>1/CAD!B2308</f>
        <v>0.73659398939304654</v>
      </c>
      <c r="E2308" s="3">
        <f>1/CAD!C2308</f>
        <v>0.73724565025066346</v>
      </c>
      <c r="F2308" s="3">
        <f>EUR!B2308/1</f>
        <v>1.1403000000000001</v>
      </c>
      <c r="G2308" s="3">
        <f>EUR!C2308/1</f>
        <v>1.1435999999999999</v>
      </c>
      <c r="H2308" s="3">
        <f>GBP!B2308/1</f>
        <v>1.2645999999999999</v>
      </c>
      <c r="I2308" s="3">
        <f>GBP!C2308/1</f>
        <v>1.2666999999999999</v>
      </c>
      <c r="J2308" s="4">
        <f>1/INR!B2308</f>
        <v>1.4255167498218103E-2</v>
      </c>
      <c r="K2308" s="4">
        <f>1/INR!C2308</f>
        <v>1.4202528049992899E-2</v>
      </c>
      <c r="L2308" s="4">
        <f>1/JPY!B2308</f>
        <v>9.0017103249617429E-3</v>
      </c>
      <c r="M2308" s="4">
        <f>1/JPY!C2308</f>
        <v>9.0282937698453174E-3</v>
      </c>
      <c r="N2308" s="5">
        <f>1/KRW!B2308</f>
        <v>8.8865191504487696E-4</v>
      </c>
      <c r="O2308" s="5">
        <f>1/KRW!C2308</f>
        <v>8.8865902242175583E-4</v>
      </c>
      <c r="P2308" s="3">
        <f>1/NOK!B2308</f>
        <v>0.11425176518977219</v>
      </c>
      <c r="Q2308" s="3">
        <f>1/NOK!C2308</f>
        <v>0.11441385780645752</v>
      </c>
      <c r="R2308" s="3">
        <f>NZD!B2308/1</f>
        <v>0.67300000000000004</v>
      </c>
      <c r="S2308" s="3">
        <f>NZD!C2308/1</f>
        <v>0.6734</v>
      </c>
      <c r="T2308" s="4">
        <f>1/PHP!B2308</f>
        <v>1.8900018900018901E-2</v>
      </c>
      <c r="U2308" s="4">
        <f>1/PHP!C2308</f>
        <v>1.8800526414739612E-2</v>
      </c>
      <c r="V2308" s="4">
        <f>1/TWD!B2308</f>
        <v>3.2427524482780981E-2</v>
      </c>
      <c r="W2308" s="4">
        <f>1/TWD!C2308</f>
        <v>3.2428365740080164E-2</v>
      </c>
      <c r="X2308" s="4">
        <f>1/TWD!B2308</f>
        <v>3.2427524482780981E-2</v>
      </c>
      <c r="Y2308" s="4">
        <f>1/TWD!C2308</f>
        <v>3.2428365740080164E-2</v>
      </c>
      <c r="Z2308" s="4">
        <f>1/ZAR!B2308</f>
        <v>6.8743641213187781E-2</v>
      </c>
      <c r="AA2308" s="4">
        <f>1/ZAR!C2308</f>
        <v>6.848517638357178E-2</v>
      </c>
    </row>
    <row r="2309" spans="1:27" x14ac:dyDescent="0.25">
      <c r="A2309" t="str">
        <f>"26/12/2018"</f>
        <v>26/12/2018</v>
      </c>
      <c r="B2309" s="3">
        <f>AUD!B2309</f>
        <v>0.70550000000000002</v>
      </c>
      <c r="C2309" s="3">
        <f>AUD!C2309</f>
        <v>0.70569999999999999</v>
      </c>
      <c r="D2309" s="3">
        <f>1/CAD!B2309</f>
        <v>0.7351860020585208</v>
      </c>
      <c r="E2309" s="3">
        <f>1/CAD!C2309</f>
        <v>0.73583517292126566</v>
      </c>
      <c r="F2309" s="3">
        <f>EUR!B2309/1</f>
        <v>1.1383000000000001</v>
      </c>
      <c r="G2309" s="3">
        <f>EUR!C2309/1</f>
        <v>1.1415</v>
      </c>
      <c r="H2309" s="3">
        <f>GBP!B2309/1</f>
        <v>1.2685</v>
      </c>
      <c r="I2309" s="3">
        <f>GBP!C2309/1</f>
        <v>1.2705</v>
      </c>
      <c r="J2309" s="4">
        <f>1/INR!B2309</f>
        <v>1.4269406392694065E-2</v>
      </c>
      <c r="K2309" s="4">
        <f>1/INR!C2309</f>
        <v>1.4217672567000784E-2</v>
      </c>
      <c r="L2309" s="4">
        <f>1/JPY!B2309</f>
        <v>9.0415913200723331E-3</v>
      </c>
      <c r="M2309" s="4">
        <f>1/JPY!C2309</f>
        <v>9.0670627159660996E-3</v>
      </c>
      <c r="N2309" s="5">
        <f>1/KRW!B2309</f>
        <v>8.8849400266548197E-4</v>
      </c>
      <c r="O2309" s="5">
        <f>1/KRW!C2309</f>
        <v>8.8849913393546911E-4</v>
      </c>
      <c r="P2309" s="3">
        <f>1/NOK!B2309</f>
        <v>0.11355120023618651</v>
      </c>
      <c r="Q2309" s="3">
        <f>1/NOK!C2309</f>
        <v>0.11370743078060153</v>
      </c>
      <c r="R2309" s="3">
        <f>NZD!B2309/1</f>
        <v>0.67300000000000004</v>
      </c>
      <c r="S2309" s="3">
        <f>NZD!C2309/1</f>
        <v>0.6734</v>
      </c>
      <c r="T2309" s="4">
        <f>1/PHP!B2309</f>
        <v>1.8900018900018901E-2</v>
      </c>
      <c r="U2309" s="4">
        <f>1/PHP!C2309</f>
        <v>1.8800526414739612E-2</v>
      </c>
      <c r="V2309" s="4">
        <f>1/TWD!B2309</f>
        <v>3.2451728054518902E-2</v>
      </c>
      <c r="W2309" s="4">
        <f>1/TWD!C2309</f>
        <v>3.245267588539013E-2</v>
      </c>
      <c r="X2309" s="4">
        <f>1/TWD!B2309</f>
        <v>3.2451728054518902E-2</v>
      </c>
      <c r="Y2309" s="4">
        <f>1/TWD!C2309</f>
        <v>3.245267588539013E-2</v>
      </c>
      <c r="Z2309" s="4">
        <f>1/ZAR!B2309</f>
        <v>6.8396645828488575E-2</v>
      </c>
      <c r="AA2309" s="4">
        <f>1/ZAR!C2309</f>
        <v>6.8140314535691901E-2</v>
      </c>
    </row>
    <row r="2310" spans="1:27" x14ac:dyDescent="0.25">
      <c r="A2310" t="str">
        <f>"27/12/2018"</f>
        <v>27/12/2018</v>
      </c>
      <c r="B2310" s="3">
        <f>AUD!B2310</f>
        <v>0.70499999999999996</v>
      </c>
      <c r="C2310" s="3">
        <f>AUD!C2310</f>
        <v>0.70530000000000004</v>
      </c>
      <c r="D2310" s="3">
        <f>1/CAD!B2310</f>
        <v>0.73545635066558801</v>
      </c>
      <c r="E2310" s="3">
        <f>1/CAD!C2310</f>
        <v>0.73610599926389397</v>
      </c>
      <c r="F2310" s="3">
        <f>EUR!B2310/1</f>
        <v>1.1408</v>
      </c>
      <c r="G2310" s="3">
        <f>EUR!C2310/1</f>
        <v>1.1438999999999999</v>
      </c>
      <c r="H2310" s="3">
        <f>GBP!B2310/1</f>
        <v>1.2634000000000001</v>
      </c>
      <c r="I2310" s="3">
        <f>GBP!C2310/1</f>
        <v>1.2654000000000001</v>
      </c>
      <c r="J2310" s="4">
        <f>1/INR!B2310</f>
        <v>1.4213125821696336E-2</v>
      </c>
      <c r="K2310" s="4">
        <f>1/INR!C2310</f>
        <v>1.4161798548415649E-2</v>
      </c>
      <c r="L2310" s="4">
        <f>1/JPY!B2310</f>
        <v>9.0277150853119072E-3</v>
      </c>
      <c r="M2310" s="4">
        <f>1/JPY!C2310</f>
        <v>9.0497737556561094E-3</v>
      </c>
      <c r="N2310" s="5">
        <f>1/KRW!B2310</f>
        <v>8.925383791503034E-4</v>
      </c>
      <c r="O2310" s="5">
        <f>1/KRW!C2310</f>
        <v>8.9254196397611373E-4</v>
      </c>
      <c r="P2310" s="3">
        <f>1/NOK!B2310</f>
        <v>0.11432752549503818</v>
      </c>
      <c r="Q2310" s="3">
        <f>1/NOK!C2310</f>
        <v>0.1144859010612843</v>
      </c>
      <c r="R2310" s="3">
        <f>NZD!B2310/1</f>
        <v>0.67110000000000003</v>
      </c>
      <c r="S2310" s="3">
        <f>NZD!C2310/1</f>
        <v>0.6714</v>
      </c>
      <c r="T2310" s="4">
        <f>1/PHP!B2310</f>
        <v>1.8982536066818528E-2</v>
      </c>
      <c r="U2310" s="4">
        <f>1/PHP!C2310</f>
        <v>1.8883958077613068E-2</v>
      </c>
      <c r="V2310" s="4">
        <f>1/TWD!B2310</f>
        <v>3.2465424323095904E-2</v>
      </c>
      <c r="W2310" s="4">
        <f>1/TWD!C2310</f>
        <v>3.2466372954212674E-2</v>
      </c>
      <c r="X2310" s="4">
        <f>1/TWD!B2310</f>
        <v>3.2465424323095904E-2</v>
      </c>
      <c r="Y2310" s="4">
        <f>1/TWD!C2310</f>
        <v>3.2466372954212674E-2</v>
      </c>
      <c r="Z2310" s="4">
        <f>1/ZAR!B2310</f>
        <v>6.8921787555482034E-2</v>
      </c>
      <c r="AA2310" s="4">
        <f>1/ZAR!C2310</f>
        <v>6.8663398288908106E-2</v>
      </c>
    </row>
    <row r="2311" spans="1:27" x14ac:dyDescent="0.25">
      <c r="A2311" t="str">
        <f>"28/12/2018"</f>
        <v>28/12/2018</v>
      </c>
      <c r="B2311" s="3">
        <f>AUD!B2311</f>
        <v>0.70489999999999997</v>
      </c>
      <c r="C2311" s="3">
        <f>AUD!C2311</f>
        <v>0.70530000000000004</v>
      </c>
      <c r="D2311" s="3">
        <f>1/CAD!B2311</f>
        <v>0.7343761474627305</v>
      </c>
      <c r="E2311" s="3">
        <f>1/CAD!C2311</f>
        <v>0.73496986623548433</v>
      </c>
      <c r="F2311" s="3">
        <f>EUR!B2311/1</f>
        <v>1.1452</v>
      </c>
      <c r="G2311" s="3">
        <f>EUR!C2311/1</f>
        <v>1.1484000000000001</v>
      </c>
      <c r="H2311" s="3">
        <f>GBP!B2311/1</f>
        <v>1.2664</v>
      </c>
      <c r="I2311" s="3">
        <f>GBP!C2311/1</f>
        <v>1.2685</v>
      </c>
      <c r="J2311" s="4">
        <f>1/INR!B2311</f>
        <v>1.4287755393627663E-2</v>
      </c>
      <c r="K2311" s="4">
        <f>1/INR!C2311</f>
        <v>1.4233355869480128E-2</v>
      </c>
      <c r="L2311" s="4">
        <f>1/JPY!B2311</f>
        <v>9.0383224873463487E-3</v>
      </c>
      <c r="M2311" s="4">
        <f>1/JPY!C2311</f>
        <v>9.06074504694372E-3</v>
      </c>
      <c r="N2311" s="5">
        <f>1/KRW!B2311</f>
        <v>8.9485458612975394E-4</v>
      </c>
      <c r="O2311" s="5">
        <f>1/KRW!C2311</f>
        <v>8.9485979113077614E-4</v>
      </c>
      <c r="P2311" s="3">
        <f>1/NOK!B2311</f>
        <v>0.1142543759425986</v>
      </c>
      <c r="Q2311" s="3">
        <f>1/NOK!C2311</f>
        <v>0.11440731291544155</v>
      </c>
      <c r="R2311" s="3">
        <f>NZD!B2311/1</f>
        <v>0.67090000000000005</v>
      </c>
      <c r="S2311" s="3">
        <f>NZD!C2311/1</f>
        <v>0.67120000000000002</v>
      </c>
      <c r="T2311" s="4">
        <f>1/PHP!B2311</f>
        <v>1.9015021867275148E-2</v>
      </c>
      <c r="U2311" s="4">
        <f>1/PHP!C2311</f>
        <v>1.8942981625307824E-2</v>
      </c>
      <c r="V2311" s="4">
        <f>1/TWD!B2311</f>
        <v>3.252984613382779E-2</v>
      </c>
      <c r="W2311" s="4">
        <f>1/TWD!C2311</f>
        <v>3.2530798533511603E-2</v>
      </c>
      <c r="X2311" s="4">
        <f>1/TWD!B2311</f>
        <v>3.252984613382779E-2</v>
      </c>
      <c r="Y2311" s="4">
        <f>1/TWD!C2311</f>
        <v>3.2530798533511603E-2</v>
      </c>
      <c r="Z2311" s="4">
        <f>1/ZAR!B2311</f>
        <v>6.8970749505134862E-2</v>
      </c>
      <c r="AA2311" s="4">
        <f>1/ZAR!C2311</f>
        <v>6.8697360647403935E-2</v>
      </c>
    </row>
    <row r="2312" spans="1:27" x14ac:dyDescent="0.25">
      <c r="A2312" t="str">
        <f>"31/12/2018"</f>
        <v>31/12/2018</v>
      </c>
      <c r="B2312" s="3">
        <f>AUD!B2312</f>
        <v>0.70620000000000005</v>
      </c>
      <c r="C2312" s="3">
        <f>AUD!C2312</f>
        <v>0.70660000000000001</v>
      </c>
      <c r="D2312" s="3">
        <f>1/CAD!B2312</f>
        <v>0.7343761474627305</v>
      </c>
      <c r="E2312" s="3">
        <f>1/CAD!C2312</f>
        <v>0.73491585213493049</v>
      </c>
      <c r="F2312" s="3">
        <f>EUR!B2312/1</f>
        <v>1.1463000000000001</v>
      </c>
      <c r="G2312" s="3">
        <f>EUR!C2312/1</f>
        <v>1.1493</v>
      </c>
      <c r="H2312" s="3">
        <f>GBP!B2312/1</f>
        <v>1.2764</v>
      </c>
      <c r="I2312" s="3">
        <f>GBP!C2312/1</f>
        <v>1.2784</v>
      </c>
      <c r="J2312" s="4">
        <f>1/INR!B2312</f>
        <v>1.4331267242305901E-2</v>
      </c>
      <c r="K2312" s="4">
        <f>1/INR!C2312</f>
        <v>1.4278574998215179E-2</v>
      </c>
      <c r="L2312" s="4">
        <f>1/JPY!B2312</f>
        <v>9.0900827197527498E-3</v>
      </c>
      <c r="M2312" s="4">
        <f>1/JPY!C2312</f>
        <v>9.1123811745494852E-3</v>
      </c>
      <c r="N2312" s="5">
        <f>1/KRW!B2312</f>
        <v>8.960573476702509E-4</v>
      </c>
      <c r="O2312" s="5">
        <f>1/KRW!C2312</f>
        <v>8.9606216520877362E-4</v>
      </c>
      <c r="P2312" s="3">
        <f>1/NOK!B2312</f>
        <v>0.11523259699703851</v>
      </c>
      <c r="Q2312" s="3">
        <f>1/NOK!C2312</f>
        <v>0.11539615500011538</v>
      </c>
      <c r="R2312" s="3">
        <f>NZD!B2312/1</f>
        <v>0.67149999999999999</v>
      </c>
      <c r="S2312" s="3">
        <f>NZD!C2312/1</f>
        <v>0.67190000000000005</v>
      </c>
      <c r="T2312" s="4">
        <f>1/PHP!B2312</f>
        <v>1.9000570017100513E-2</v>
      </c>
      <c r="U2312" s="4">
        <f>1/PHP!C2312</f>
        <v>1.8935807612194658E-2</v>
      </c>
      <c r="V2312" s="4">
        <f>1/TWD!B2312</f>
        <v>3.2536196518626971E-2</v>
      </c>
      <c r="W2312" s="4">
        <f>1/TWD!C2312</f>
        <v>3.2537149290202086E-2</v>
      </c>
      <c r="X2312" s="4">
        <f>1/TWD!B2312</f>
        <v>3.2536196518626971E-2</v>
      </c>
      <c r="Y2312" s="4">
        <f>1/TWD!C2312</f>
        <v>3.2537149290202086E-2</v>
      </c>
      <c r="Z2312" s="4">
        <f>1/ZAR!B2312</f>
        <v>6.9519757515085795E-2</v>
      </c>
      <c r="AA2312" s="4">
        <f>1/ZAR!C2312</f>
        <v>6.9252557150672786E-2</v>
      </c>
    </row>
    <row r="2313" spans="1:27" x14ac:dyDescent="0.25">
      <c r="A2313" t="str">
        <f>"01/01/2019"</f>
        <v>01/01/2019</v>
      </c>
      <c r="B2313" s="3">
        <f>AUD!B2313</f>
        <v>0.70330000000000004</v>
      </c>
      <c r="C2313" s="3">
        <f>AUD!C2313</f>
        <v>0.70369999999999999</v>
      </c>
      <c r="D2313" s="3">
        <f>1/CAD!B2313</f>
        <v>0.73046018991964934</v>
      </c>
      <c r="E2313" s="3">
        <f>1/CAD!C2313</f>
        <v>0.73099415204678353</v>
      </c>
      <c r="F2313" s="3">
        <f>EUR!B2313/1</f>
        <v>1.1425000000000001</v>
      </c>
      <c r="G2313" s="3">
        <f>EUR!C2313/1</f>
        <v>1.1455</v>
      </c>
      <c r="H2313" s="3">
        <f>GBP!B2313/1</f>
        <v>1.2558</v>
      </c>
      <c r="I2313" s="3">
        <f>GBP!C2313/1</f>
        <v>1.2578</v>
      </c>
      <c r="J2313" s="4">
        <f>1/INR!B2313</f>
        <v>1.4343086632243259E-2</v>
      </c>
      <c r="K2313" s="4">
        <f>1/INR!C2313</f>
        <v>1.4291839359725597E-2</v>
      </c>
      <c r="L2313" s="4">
        <f>1/JPY!B2313</f>
        <v>9.0645395213923147E-3</v>
      </c>
      <c r="M2313" s="4">
        <f>1/JPY!C2313</f>
        <v>9.0865227785496272E-3</v>
      </c>
      <c r="N2313" s="5">
        <f>1/KRW!B2313</f>
        <v>8.960573476702509E-4</v>
      </c>
      <c r="O2313" s="5">
        <f>1/KRW!C2313</f>
        <v>8.9606617986377995E-4</v>
      </c>
      <c r="P2313" s="3">
        <f>1/NOK!B2313</f>
        <v>0.11411747252621848</v>
      </c>
      <c r="Q2313" s="3">
        <f>1/NOK!C2313</f>
        <v>0.11427134874472925</v>
      </c>
      <c r="R2313" s="3">
        <f>NZD!B2313/1</f>
        <v>0.66800000000000004</v>
      </c>
      <c r="S2313" s="3">
        <f>NZD!C2313/1</f>
        <v>0.66839999999999999</v>
      </c>
      <c r="T2313" s="4">
        <f>1/PHP!B2313</f>
        <v>1.9000570017100513E-2</v>
      </c>
      <c r="U2313" s="4">
        <f>1/PHP!C2313</f>
        <v>1.8935807612194658E-2</v>
      </c>
      <c r="V2313" s="4">
        <f>1/TWD!B2313</f>
        <v>3.2536196518626971E-2</v>
      </c>
      <c r="W2313" s="4">
        <f>1/TWD!C2313</f>
        <v>3.2537149290202086E-2</v>
      </c>
      <c r="X2313" s="4">
        <f>1/TWD!B2313</f>
        <v>3.2536196518626971E-2</v>
      </c>
      <c r="Y2313" s="4">
        <f>1/TWD!C2313</f>
        <v>3.2537149290202086E-2</v>
      </c>
      <c r="Z2313" s="4">
        <f>1/ZAR!B2313</f>
        <v>6.8085106382978725E-2</v>
      </c>
      <c r="AA2313" s="4">
        <f>1/ZAR!C2313</f>
        <v>6.7827879971783606E-2</v>
      </c>
    </row>
    <row r="2314" spans="1:27" x14ac:dyDescent="0.25">
      <c r="A2314" t="str">
        <f>"02/01/2019"</f>
        <v>02/01/2019</v>
      </c>
      <c r="B2314" s="3">
        <f>AUD!B2314</f>
        <v>0.70109999999999995</v>
      </c>
      <c r="C2314" s="3">
        <f>AUD!C2314</f>
        <v>0.70150000000000001</v>
      </c>
      <c r="D2314" s="3">
        <f>1/CAD!B2314</f>
        <v>0.73378338714411506</v>
      </c>
      <c r="E2314" s="3">
        <f>1/CAD!C2314</f>
        <v>0.7343761474627305</v>
      </c>
      <c r="F2314" s="3">
        <f>EUR!B2314/1</f>
        <v>1.1434</v>
      </c>
      <c r="G2314" s="3">
        <f>EUR!C2314/1</f>
        <v>1.1463000000000001</v>
      </c>
      <c r="H2314" s="3">
        <f>GBP!B2314/1</f>
        <v>1.2667999999999999</v>
      </c>
      <c r="I2314" s="3">
        <f>GBP!C2314/1</f>
        <v>1.2686999999999999</v>
      </c>
      <c r="J2314" s="4">
        <f>1/INR!B2314</f>
        <v>1.4249073810202335E-2</v>
      </c>
      <c r="K2314" s="4">
        <f>1/INR!C2314</f>
        <v>1.4198998970572576E-2</v>
      </c>
      <c r="L2314" s="4">
        <f>1/JPY!B2314</f>
        <v>9.1650627806800482E-3</v>
      </c>
      <c r="M2314" s="4">
        <f>1/JPY!C2314</f>
        <v>9.1872161724403725E-3</v>
      </c>
      <c r="N2314" s="5">
        <f>1/KRW!B2314</f>
        <v>8.9349535382416008E-4</v>
      </c>
      <c r="O2314" s="5">
        <f>1/KRW!C2314</f>
        <v>8.9349974468244794E-4</v>
      </c>
      <c r="P2314" s="3">
        <f>1/NOK!B2314</f>
        <v>0.11540680900173111</v>
      </c>
      <c r="Q2314" s="3">
        <f>1/NOK!C2314</f>
        <v>0.11556819101110609</v>
      </c>
      <c r="R2314" s="3">
        <f>NZD!B2314/1</f>
        <v>0.6704</v>
      </c>
      <c r="S2314" s="3">
        <f>NZD!C2314/1</f>
        <v>0.67079999999999995</v>
      </c>
      <c r="T2314" s="4">
        <f>1/PHP!B2314</f>
        <v>1.9024065442785124E-2</v>
      </c>
      <c r="U2314" s="4">
        <f>1/PHP!C2314</f>
        <v>1.8973531922967461E-2</v>
      </c>
      <c r="V2314" s="4">
        <f>1/TWD!B2314</f>
        <v>3.2472804026627694E-2</v>
      </c>
      <c r="W2314" s="4">
        <f>1/TWD!C2314</f>
        <v>3.2473753089065763E-2</v>
      </c>
      <c r="X2314" s="4">
        <f>1/TWD!B2314</f>
        <v>3.2472804026627694E-2</v>
      </c>
      <c r="Y2314" s="4">
        <f>1/TWD!C2314</f>
        <v>3.2473753089065763E-2</v>
      </c>
      <c r="Z2314" s="4">
        <f>1/ZAR!B2314</f>
        <v>6.8823124569855468E-2</v>
      </c>
      <c r="AA2314" s="4">
        <f>1/ZAR!C2314</f>
        <v>6.8574406659946366E-2</v>
      </c>
    </row>
    <row r="2315" spans="1:27" x14ac:dyDescent="0.25">
      <c r="A2315" t="str">
        <f>"03/01/2019"</f>
        <v>03/01/2019</v>
      </c>
      <c r="B2315" s="3">
        <f>AUD!B2315</f>
        <v>0.69610000000000005</v>
      </c>
      <c r="C2315" s="3">
        <f>AUD!C2315</f>
        <v>0.69650000000000001</v>
      </c>
      <c r="D2315" s="3">
        <f>1/CAD!B2315</f>
        <v>0.7342683016374183</v>
      </c>
      <c r="E2315" s="3">
        <f>1/CAD!C2315</f>
        <v>0.73480784774781394</v>
      </c>
      <c r="F2315" s="3">
        <f>EUR!B2315/1</f>
        <v>1.1357999999999999</v>
      </c>
      <c r="G2315" s="3">
        <f>EUR!C2315/1</f>
        <v>1.1387</v>
      </c>
      <c r="H2315" s="3">
        <f>GBP!B2315/1</f>
        <v>1.2564</v>
      </c>
      <c r="I2315" s="3">
        <f>GBP!C2315/1</f>
        <v>1.2583</v>
      </c>
      <c r="J2315" s="4">
        <f>1/INR!B2315</f>
        <v>1.4245521564158268E-2</v>
      </c>
      <c r="K2315" s="4">
        <f>1/INR!C2315</f>
        <v>1.4195975440962488E-2</v>
      </c>
      <c r="L2315" s="4">
        <f>1/JPY!B2315</f>
        <v>9.2928166527274422E-3</v>
      </c>
      <c r="M2315" s="4">
        <f>1/JPY!C2315</f>
        <v>9.315705534274344E-3</v>
      </c>
      <c r="N2315" s="5">
        <f>1/KRW!B2315</f>
        <v>8.8660342228920992E-4</v>
      </c>
      <c r="O2315" s="5">
        <f>1/KRW!C2315</f>
        <v>8.8660735263477541E-4</v>
      </c>
      <c r="P2315" s="3">
        <f>1/NOK!B2315</f>
        <v>0.11428702042309055</v>
      </c>
      <c r="Q2315" s="3">
        <f>1/NOK!C2315</f>
        <v>0.11444659349714456</v>
      </c>
      <c r="R2315" s="3">
        <f>NZD!B2315/1</f>
        <v>0.66320000000000001</v>
      </c>
      <c r="S2315" s="3">
        <f>NZD!C2315/1</f>
        <v>0.66359999999999997</v>
      </c>
      <c r="T2315" s="4">
        <f>1/PHP!B2315</f>
        <v>1.8975332068311195E-2</v>
      </c>
      <c r="U2315" s="4">
        <f>1/PHP!C2315</f>
        <v>1.8928639030853681E-2</v>
      </c>
      <c r="V2315" s="4">
        <f>1/TWD!B2315</f>
        <v>3.2378177108628781E-2</v>
      </c>
      <c r="W2315" s="4">
        <f>1/TWD!C2315</f>
        <v>3.2379015807435518E-2</v>
      </c>
      <c r="X2315" s="4">
        <f>1/TWD!B2315</f>
        <v>3.2378177108628781E-2</v>
      </c>
      <c r="Y2315" s="4">
        <f>1/TWD!C2315</f>
        <v>3.2379015807435518E-2</v>
      </c>
      <c r="Z2315" s="4">
        <f>1/ZAR!B2315</f>
        <v>6.87682235792485E-2</v>
      </c>
      <c r="AA2315" s="4">
        <f>1/ZAR!C2315</f>
        <v>6.8526475203694953E-2</v>
      </c>
    </row>
    <row r="2316" spans="1:27" x14ac:dyDescent="0.25">
      <c r="A2316" t="str">
        <f>"04/01/2019"</f>
        <v>04/01/2019</v>
      </c>
      <c r="B2316" s="3">
        <f>AUD!B2316</f>
        <v>0.7046</v>
      </c>
      <c r="C2316" s="3">
        <f>AUD!C2316</f>
        <v>0.70499999999999996</v>
      </c>
      <c r="D2316" s="3">
        <f>1/CAD!B2316</f>
        <v>0.74360499702558003</v>
      </c>
      <c r="E2316" s="3">
        <f>1/CAD!C2316</f>
        <v>0.74415835689834786</v>
      </c>
      <c r="F2316" s="3">
        <f>EUR!B2316/1</f>
        <v>1.1413</v>
      </c>
      <c r="G2316" s="3">
        <f>EUR!C2316/1</f>
        <v>1.1442000000000001</v>
      </c>
      <c r="H2316" s="3">
        <f>GBP!B2316/1</f>
        <v>1.2674000000000001</v>
      </c>
      <c r="I2316" s="3">
        <f>GBP!C2316/1</f>
        <v>1.2693000000000001</v>
      </c>
      <c r="J2316" s="4">
        <f>1/INR!B2316</f>
        <v>1.4339487363326762E-2</v>
      </c>
      <c r="K2316" s="4">
        <f>1/INR!C2316</f>
        <v>1.4288776166321356E-2</v>
      </c>
      <c r="L2316" s="4">
        <f>1/JPY!B2316</f>
        <v>9.2592592592592587E-3</v>
      </c>
      <c r="M2316" s="4">
        <f>1/JPY!C2316</f>
        <v>9.2819312357406338E-3</v>
      </c>
      <c r="N2316" s="5">
        <f>1/KRW!B2316</f>
        <v>8.8928412627834591E-4</v>
      </c>
      <c r="O2316" s="5">
        <f>1/KRW!C2316</f>
        <v>8.8928910851167949E-4</v>
      </c>
      <c r="P2316" s="3">
        <f>1/NOK!B2316</f>
        <v>0.11562698733884488</v>
      </c>
      <c r="Q2316" s="3">
        <f>1/NOK!C2316</f>
        <v>0.11579032687609277</v>
      </c>
      <c r="R2316" s="3">
        <f>NZD!B2316/1</f>
        <v>0.6694</v>
      </c>
      <c r="S2316" s="3">
        <f>NZD!C2316/1</f>
        <v>0.66979999999999995</v>
      </c>
      <c r="T2316" s="4">
        <f>1/PHP!B2316</f>
        <v>1.9038553069966681E-2</v>
      </c>
      <c r="U2316" s="4">
        <f>1/PHP!C2316</f>
        <v>1.8990647106300149E-2</v>
      </c>
      <c r="V2316" s="4">
        <f>1/TWD!B2316</f>
        <v>3.2401257168778147E-2</v>
      </c>
      <c r="W2316" s="4">
        <f>1/TWD!C2316</f>
        <v>3.2401992074472738E-2</v>
      </c>
      <c r="X2316" s="4">
        <f>1/TWD!B2316</f>
        <v>3.2401257168778147E-2</v>
      </c>
      <c r="Y2316" s="4">
        <f>1/TWD!C2316</f>
        <v>3.2401992074472738E-2</v>
      </c>
      <c r="Z2316" s="4">
        <f>1/ZAR!B2316</f>
        <v>7.0854648773506029E-2</v>
      </c>
      <c r="AA2316" s="4">
        <f>1/ZAR!C2316</f>
        <v>7.0606509920214638E-2</v>
      </c>
    </row>
    <row r="2317" spans="1:27" x14ac:dyDescent="0.25">
      <c r="A2317" t="str">
        <f>"07/01/2019"</f>
        <v>07/01/2019</v>
      </c>
      <c r="B2317" s="3">
        <f>AUD!B2317</f>
        <v>0.71230000000000004</v>
      </c>
      <c r="C2317" s="3">
        <f>AUD!C2317</f>
        <v>0.7127</v>
      </c>
      <c r="D2317" s="3">
        <f>1/CAD!B2317</f>
        <v>0.74816699087236271</v>
      </c>
      <c r="E2317" s="3">
        <f>1/CAD!C2317</f>
        <v>0.74872716382150351</v>
      </c>
      <c r="F2317" s="3">
        <f>EUR!B2317/1</f>
        <v>1.1436999999999999</v>
      </c>
      <c r="G2317" s="3">
        <f>EUR!C2317/1</f>
        <v>1.1469</v>
      </c>
      <c r="H2317" s="3">
        <f>GBP!B2317/1</f>
        <v>1.2736000000000001</v>
      </c>
      <c r="I2317" s="3">
        <f>GBP!C2317/1</f>
        <v>1.2757000000000001</v>
      </c>
      <c r="J2317" s="4">
        <f>1/INR!B2317</f>
        <v>1.4349261013057828E-2</v>
      </c>
      <c r="K2317" s="4">
        <f>1/INR!C2317</f>
        <v>1.4295925661186561E-2</v>
      </c>
      <c r="L2317" s="4">
        <f>1/JPY!B2317</f>
        <v>9.2293493308721747E-3</v>
      </c>
      <c r="M2317" s="4">
        <f>1/JPY!C2317</f>
        <v>9.2539468083137465E-3</v>
      </c>
      <c r="N2317" s="5">
        <f>1/KRW!B2317</f>
        <v>8.9381480157311414E-4</v>
      </c>
      <c r="O2317" s="5">
        <f>1/KRW!C2317</f>
        <v>8.9381839665962192E-4</v>
      </c>
      <c r="P2317" s="3">
        <f>1/NOK!B2317</f>
        <v>0.1164727395553071</v>
      </c>
      <c r="Q2317" s="3">
        <f>1/NOK!C2317</f>
        <v>0.11664800298618887</v>
      </c>
      <c r="R2317" s="3">
        <f>NZD!B2317/1</f>
        <v>0.67559999999999998</v>
      </c>
      <c r="S2317" s="3">
        <f>NZD!C2317/1</f>
        <v>0.67600000000000005</v>
      </c>
      <c r="T2317" s="4">
        <f>1/PHP!B2317</f>
        <v>1.9073049780659927E-2</v>
      </c>
      <c r="U2317" s="4">
        <f>1/PHP!C2317</f>
        <v>1.9026780193121821E-2</v>
      </c>
      <c r="V2317" s="4">
        <f>1/TWD!B2317</f>
        <v>3.2452781203349129E-2</v>
      </c>
      <c r="W2317" s="4">
        <f>1/TWD!C2317</f>
        <v>3.2453518448202559E-2</v>
      </c>
      <c r="X2317" s="4">
        <f>1/TWD!B2317</f>
        <v>3.2452781203349129E-2</v>
      </c>
      <c r="Y2317" s="4">
        <f>1/TWD!C2317</f>
        <v>3.2453518448202559E-2</v>
      </c>
      <c r="Z2317" s="4">
        <f>1/ZAR!B2317</f>
        <v>7.1780810118222987E-2</v>
      </c>
      <c r="AA2317" s="4">
        <f>1/ZAR!C2317</f>
        <v>7.1516945940340568E-2</v>
      </c>
    </row>
    <row r="2318" spans="1:27" x14ac:dyDescent="0.25">
      <c r="A2318" t="str">
        <f>"08/01/2019"</f>
        <v>08/01/2019</v>
      </c>
      <c r="B2318" s="3">
        <f>AUD!B2318</f>
        <v>0.71319999999999995</v>
      </c>
      <c r="C2318" s="3">
        <f>AUD!C2318</f>
        <v>0.71360000000000001</v>
      </c>
      <c r="D2318" s="3">
        <f>1/CAD!B2318</f>
        <v>0.75301204819277101</v>
      </c>
      <c r="E2318" s="3">
        <f>1/CAD!C2318</f>
        <v>0.75357950263752826</v>
      </c>
      <c r="F2318" s="3">
        <f>EUR!B2318/1</f>
        <v>1.1449</v>
      </c>
      <c r="G2318" s="3">
        <f>EUR!C2318/1</f>
        <v>1.1478999999999999</v>
      </c>
      <c r="H2318" s="3">
        <f>GBP!B2318/1</f>
        <v>1.2757000000000001</v>
      </c>
      <c r="I2318" s="3">
        <f>GBP!C2318/1</f>
        <v>1.2777000000000001</v>
      </c>
      <c r="J2318" s="4">
        <f>1/INR!B2318</f>
        <v>1.4243492504362071E-2</v>
      </c>
      <c r="K2318" s="4">
        <f>1/INR!C2318</f>
        <v>1.4192449616803861E-2</v>
      </c>
      <c r="L2318" s="4">
        <f>1/JPY!B2318</f>
        <v>9.1945568223611614E-3</v>
      </c>
      <c r="M2318" s="4">
        <f>1/JPY!C2318</f>
        <v>9.2180086704589555E-3</v>
      </c>
      <c r="N2318" s="5">
        <f>1/KRW!B2318</f>
        <v>8.8967971530249106E-4</v>
      </c>
      <c r="O2318" s="5">
        <f>1/KRW!C2318</f>
        <v>8.8968367297007555E-4</v>
      </c>
      <c r="P2318" s="3">
        <f>1/NOK!B2318</f>
        <v>0.11716873469483402</v>
      </c>
      <c r="Q2318" s="3">
        <f>1/NOK!C2318</f>
        <v>0.11733783910635502</v>
      </c>
      <c r="R2318" s="3">
        <f>NZD!B2318/1</f>
        <v>0.67359999999999998</v>
      </c>
      <c r="S2318" s="3">
        <f>NZD!C2318/1</f>
        <v>0.67400000000000004</v>
      </c>
      <c r="T2318" s="4">
        <f>1/PHP!B2318</f>
        <v>1.9040365575019039E-2</v>
      </c>
      <c r="U2318" s="4">
        <f>1/PHP!C2318</f>
        <v>1.8992991586104725E-2</v>
      </c>
      <c r="V2318" s="4">
        <f>1/TWD!B2318</f>
        <v>3.2428576061225151E-2</v>
      </c>
      <c r="W2318" s="4">
        <f>1/TWD!C2318</f>
        <v>3.2429207041029431E-2</v>
      </c>
      <c r="X2318" s="4">
        <f>1/TWD!B2318</f>
        <v>3.2428576061225151E-2</v>
      </c>
      <c r="Y2318" s="4">
        <f>1/TWD!C2318</f>
        <v>3.2429207041029431E-2</v>
      </c>
      <c r="Z2318" s="4">
        <f>1/ZAR!B2318</f>
        <v>7.1519503368568604E-2</v>
      </c>
      <c r="AA2318" s="4">
        <f>1/ZAR!C2318</f>
        <v>7.1253491421079632E-2</v>
      </c>
    </row>
    <row r="2319" spans="1:27" x14ac:dyDescent="0.25">
      <c r="A2319" t="str">
        <f>"09/01/2019"</f>
        <v>09/01/2019</v>
      </c>
      <c r="B2319" s="3">
        <f>AUD!B2319</f>
        <v>0.71650000000000003</v>
      </c>
      <c r="C2319" s="3">
        <f>AUD!C2319</f>
        <v>0.71689999999999998</v>
      </c>
      <c r="D2319" s="3">
        <f>1/CAD!B2319</f>
        <v>0.7552299675251114</v>
      </c>
      <c r="E2319" s="3">
        <f>1/CAD!C2319</f>
        <v>0.75580077091678632</v>
      </c>
      <c r="F2319" s="3">
        <f>EUR!B2319/1</f>
        <v>1.1451</v>
      </c>
      <c r="G2319" s="3">
        <f>EUR!C2319/1</f>
        <v>1.1479999999999999</v>
      </c>
      <c r="H2319" s="3">
        <f>GBP!B2319/1</f>
        <v>1.2729999999999999</v>
      </c>
      <c r="I2319" s="3">
        <f>GBP!C2319/1</f>
        <v>1.2748999999999999</v>
      </c>
      <c r="J2319" s="4">
        <f>1/INR!B2319</f>
        <v>1.4190435646374344E-2</v>
      </c>
      <c r="K2319" s="4">
        <f>1/INR!C2319</f>
        <v>1.414027149321267E-2</v>
      </c>
      <c r="L2319" s="4">
        <f>1/JPY!B2319</f>
        <v>9.1835797593902094E-3</v>
      </c>
      <c r="M2319" s="4">
        <f>1/JPY!C2319</f>
        <v>9.20618729435679E-3</v>
      </c>
      <c r="N2319" s="5">
        <f>1/KRW!B2319</f>
        <v>8.9094796863863144E-4</v>
      </c>
      <c r="O2319" s="5">
        <f>1/KRW!C2319</f>
        <v>8.909520963568256E-4</v>
      </c>
      <c r="P2319" s="3">
        <f>1/NOK!B2319</f>
        <v>0.11714951792973373</v>
      </c>
      <c r="Q2319" s="3">
        <f>1/NOK!C2319</f>
        <v>0.11731168541698438</v>
      </c>
      <c r="R2319" s="3">
        <f>NZD!B2319/1</f>
        <v>0.67730000000000001</v>
      </c>
      <c r="S2319" s="3">
        <f>NZD!C2319/1</f>
        <v>0.67769999999999997</v>
      </c>
      <c r="T2319" s="4">
        <f>1/PHP!B2319</f>
        <v>1.9102196752626553E-2</v>
      </c>
      <c r="U2319" s="4">
        <f>1/PHP!C2319</f>
        <v>1.9057601600838536E-2</v>
      </c>
      <c r="V2319" s="4">
        <f>1/TWD!B2319</f>
        <v>3.2462262619704592E-2</v>
      </c>
      <c r="W2319" s="4">
        <f>1/TWD!C2319</f>
        <v>3.2462894911116591E-2</v>
      </c>
      <c r="X2319" s="4">
        <f>1/TWD!B2319</f>
        <v>3.2462262619704592E-2</v>
      </c>
      <c r="Y2319" s="4">
        <f>1/TWD!C2319</f>
        <v>3.2462894911116591E-2</v>
      </c>
      <c r="Z2319" s="4">
        <f>1/ZAR!B2319</f>
        <v>7.1437756282950668E-2</v>
      </c>
      <c r="AA2319" s="4">
        <f>1/ZAR!C2319</f>
        <v>7.1176910210327765E-2</v>
      </c>
    </row>
    <row r="2320" spans="1:27" x14ac:dyDescent="0.25">
      <c r="A2320" t="str">
        <f>"10/01/2019"</f>
        <v>10/01/2019</v>
      </c>
      <c r="B2320" s="3">
        <f>AUD!B2320</f>
        <v>0.71850000000000003</v>
      </c>
      <c r="C2320" s="3">
        <f>AUD!C2320</f>
        <v>0.71879999999999999</v>
      </c>
      <c r="D2320" s="3">
        <f>1/CAD!B2320</f>
        <v>0.75671585319712453</v>
      </c>
      <c r="E2320" s="3">
        <f>1/CAD!C2320</f>
        <v>0.75723156141147963</v>
      </c>
      <c r="F2320" s="3">
        <f>EUR!B2320/1</f>
        <v>1.1533</v>
      </c>
      <c r="G2320" s="3">
        <f>EUR!C2320/1</f>
        <v>1.1563000000000001</v>
      </c>
      <c r="H2320" s="3">
        <f>GBP!B2320/1</f>
        <v>1.2742</v>
      </c>
      <c r="I2320" s="3">
        <f>GBP!C2320/1</f>
        <v>1.2761</v>
      </c>
      <c r="J2320" s="4">
        <f>1/INR!B2320</f>
        <v>1.4201519562593197E-2</v>
      </c>
      <c r="K2320" s="4">
        <f>1/INR!C2320</f>
        <v>1.4151277152763035E-2</v>
      </c>
      <c r="L2320" s="4">
        <f>1/JPY!B2320</f>
        <v>9.2584019998148311E-3</v>
      </c>
      <c r="M2320" s="4">
        <f>1/JPY!C2320</f>
        <v>9.2806304889128943E-3</v>
      </c>
      <c r="N2320" s="5">
        <f>1/KRW!B2320</f>
        <v>8.9397461112104425E-4</v>
      </c>
      <c r="O2320" s="5">
        <f>1/KRW!C2320</f>
        <v>8.9397820749323605E-4</v>
      </c>
      <c r="P2320" s="3">
        <f>1/NOK!B2320</f>
        <v>0.11811674659233186</v>
      </c>
      <c r="Q2320" s="3">
        <f>1/NOK!C2320</f>
        <v>0.11828020580755812</v>
      </c>
      <c r="R2320" s="3">
        <f>NZD!B2320/1</f>
        <v>0.67830000000000001</v>
      </c>
      <c r="S2320" s="3">
        <f>NZD!C2320/1</f>
        <v>0.67869999999999997</v>
      </c>
      <c r="T2320" s="4">
        <f>1/PHP!B2320</f>
        <v>1.9129603060736491E-2</v>
      </c>
      <c r="U2320" s="4">
        <f>1/PHP!C2320</f>
        <v>1.9089433998281953E-2</v>
      </c>
      <c r="V2320" s="4">
        <f>1/TWD!B2320</f>
        <v>3.2485462755416951E-2</v>
      </c>
      <c r="W2320" s="4">
        <f>1/TWD!C2320</f>
        <v>3.2486095950932999E-2</v>
      </c>
      <c r="X2320" s="4">
        <f>1/TWD!B2320</f>
        <v>3.2485462755416951E-2</v>
      </c>
      <c r="Y2320" s="4">
        <f>1/TWD!C2320</f>
        <v>3.2486095950932999E-2</v>
      </c>
      <c r="Z2320" s="4">
        <f>1/ZAR!B2320</f>
        <v>7.2032616368691738E-2</v>
      </c>
      <c r="AA2320" s="4">
        <f>1/ZAR!C2320</f>
        <v>7.1761750986724077E-2</v>
      </c>
    </row>
    <row r="2321" spans="1:27" x14ac:dyDescent="0.25">
      <c r="A2321" t="str">
        <f>"11/01/2019"</f>
        <v>11/01/2019</v>
      </c>
      <c r="B2321" s="3">
        <f>AUD!B2321</f>
        <v>0.7228</v>
      </c>
      <c r="C2321" s="3">
        <f>AUD!C2321</f>
        <v>0.72309999999999997</v>
      </c>
      <c r="D2321" s="3">
        <f>1/CAD!B2321</f>
        <v>0.75751836982046816</v>
      </c>
      <c r="E2321" s="3">
        <f>1/CAD!C2321</f>
        <v>0.75803517283201949</v>
      </c>
      <c r="F2321" s="3">
        <f>EUR!B2321/1</f>
        <v>1.1523000000000001</v>
      </c>
      <c r="G2321" s="3">
        <f>EUR!C2321/1</f>
        <v>1.1553</v>
      </c>
      <c r="H2321" s="3">
        <f>GBP!B2321/1</f>
        <v>1.2786999999999999</v>
      </c>
      <c r="I2321" s="3">
        <f>GBP!C2321/1</f>
        <v>1.2806</v>
      </c>
      <c r="J2321" s="4">
        <f>1/INR!B2321</f>
        <v>1.4184397163120567E-2</v>
      </c>
      <c r="K2321" s="4">
        <f>1/INR!C2321</f>
        <v>1.4133776191654006E-2</v>
      </c>
      <c r="L2321" s="4">
        <f>1/JPY!B2321</f>
        <v>9.2319054652880359E-3</v>
      </c>
      <c r="M2321" s="4">
        <f>1/JPY!C2321</f>
        <v>9.2564908828193047E-3</v>
      </c>
      <c r="N2321" s="5">
        <f>1/KRW!B2321</f>
        <v>8.9565606806986115E-4</v>
      </c>
      <c r="O2321" s="5">
        <f>1/KRW!C2321</f>
        <v>8.9566007908678503E-4</v>
      </c>
      <c r="P2321" s="3">
        <f>1/NOK!B2321</f>
        <v>0.11815721999692791</v>
      </c>
      <c r="Q2321" s="3">
        <f>1/NOK!C2321</f>
        <v>0.11832079132945242</v>
      </c>
      <c r="R2321" s="3">
        <f>NZD!B2321/1</f>
        <v>0.68340000000000001</v>
      </c>
      <c r="S2321" s="3">
        <f>NZD!C2321/1</f>
        <v>0.68379999999999996</v>
      </c>
      <c r="T2321" s="4">
        <f>1/PHP!B2321</f>
        <v>1.9160758766047135E-2</v>
      </c>
      <c r="U2321" s="4">
        <f>1/PHP!C2321</f>
        <v>1.9115890083632018E-2</v>
      </c>
      <c r="V2321" s="4">
        <f>1/TWD!B2321</f>
        <v>3.2462262619704592E-2</v>
      </c>
      <c r="W2321" s="4">
        <f>1/TWD!C2321</f>
        <v>3.2462894911116591E-2</v>
      </c>
      <c r="X2321" s="4">
        <f>1/TWD!B2321</f>
        <v>3.2462262619704592E-2</v>
      </c>
      <c r="Y2321" s="4">
        <f>1/TWD!C2321</f>
        <v>3.2462894911116591E-2</v>
      </c>
      <c r="Z2321" s="4">
        <f>1/ZAR!B2321</f>
        <v>7.2331684170934232E-2</v>
      </c>
      <c r="AA2321" s="4">
        <f>1/ZAR!C2321</f>
        <v>7.2061684802190676E-2</v>
      </c>
    </row>
    <row r="2322" spans="1:27" x14ac:dyDescent="0.25">
      <c r="A2322" t="str">
        <f>"14/01/2019"</f>
        <v>14/01/2019</v>
      </c>
      <c r="B2322" s="3">
        <f>AUD!B2322</f>
        <v>0.71960000000000002</v>
      </c>
      <c r="C2322" s="3">
        <f>AUD!C2322</f>
        <v>0.72</v>
      </c>
      <c r="D2322" s="3">
        <f>1/CAD!B2322</f>
        <v>0.75318219477291548</v>
      </c>
      <c r="E2322" s="3">
        <f>1/CAD!C2322</f>
        <v>0.75369309617123903</v>
      </c>
      <c r="F2322" s="3">
        <f>EUR!B2322/1</f>
        <v>1.1469</v>
      </c>
      <c r="G2322" s="3">
        <f>EUR!C2322/1</f>
        <v>1.1501999999999999</v>
      </c>
      <c r="H2322" s="3">
        <f>GBP!B2322/1</f>
        <v>1.2867</v>
      </c>
      <c r="I2322" s="3">
        <f>GBP!C2322/1</f>
        <v>1.2888999999999999</v>
      </c>
      <c r="J2322" s="4">
        <f>1/INR!B2322</f>
        <v>1.4097413124691619E-2</v>
      </c>
      <c r="K2322" s="4">
        <f>1/INR!C2322</f>
        <v>1.4041492610664513E-2</v>
      </c>
      <c r="L2322" s="4">
        <f>1/JPY!B2322</f>
        <v>9.2549745488199903E-3</v>
      </c>
      <c r="M2322" s="4">
        <f>1/JPY!C2322</f>
        <v>9.2797951021241446E-3</v>
      </c>
      <c r="N2322" s="5">
        <f>1/KRW!B2322</f>
        <v>8.902341315766047E-4</v>
      </c>
      <c r="O2322" s="5">
        <f>1/KRW!C2322</f>
        <v>8.9023967922883889E-4</v>
      </c>
      <c r="P2322" s="3">
        <f>1/NOK!B2322</f>
        <v>0.11704667821527226</v>
      </c>
      <c r="Q2322" s="3">
        <f>1/NOK!C2322</f>
        <v>0.1172250486483952</v>
      </c>
      <c r="R2322" s="3">
        <f>NZD!B2322/1</f>
        <v>0.68200000000000005</v>
      </c>
      <c r="S2322" s="3">
        <f>NZD!C2322/1</f>
        <v>0.68240000000000001</v>
      </c>
      <c r="T2322" s="4">
        <f>1/PHP!B2322</f>
        <v>1.9116803670426303E-2</v>
      </c>
      <c r="U2322" s="4">
        <f>1/PHP!C2322</f>
        <v>1.9069412662090009E-2</v>
      </c>
      <c r="V2322" s="4">
        <f>1/TWD!B2322</f>
        <v>3.2410708498087769E-2</v>
      </c>
      <c r="W2322" s="4">
        <f>1/TWD!C2322</f>
        <v>3.2411443832588406E-2</v>
      </c>
      <c r="X2322" s="4">
        <f>1/TWD!B2322</f>
        <v>3.2410708498087769E-2</v>
      </c>
      <c r="Y2322" s="4">
        <f>1/TWD!C2322</f>
        <v>3.2411443832588406E-2</v>
      </c>
      <c r="Z2322" s="4">
        <f>1/ZAR!B2322</f>
        <v>7.1961083446072369E-2</v>
      </c>
      <c r="AA2322" s="4">
        <f>1/ZAR!C2322</f>
        <v>7.1668661444410212E-2</v>
      </c>
    </row>
    <row r="2323" spans="1:27" x14ac:dyDescent="0.25">
      <c r="A2323" t="str">
        <f>"15/01/2019"</f>
        <v>15/01/2019</v>
      </c>
      <c r="B2323" s="3">
        <f>AUD!B2323</f>
        <v>0.72019999999999995</v>
      </c>
      <c r="C2323" s="3">
        <f>AUD!C2323</f>
        <v>0.72060000000000002</v>
      </c>
      <c r="D2323" s="3">
        <f>1/CAD!B2323</f>
        <v>0.7542046911531789</v>
      </c>
      <c r="E2323" s="3">
        <f>1/CAD!C2323</f>
        <v>0.75477394520341157</v>
      </c>
      <c r="F2323" s="3">
        <f>EUR!B2323/1</f>
        <v>1.1431</v>
      </c>
      <c r="G2323" s="3">
        <f>EUR!C2323/1</f>
        <v>1.1463000000000001</v>
      </c>
      <c r="H2323" s="3">
        <f>GBP!B2323/1</f>
        <v>1.2851999999999999</v>
      </c>
      <c r="I2323" s="3">
        <f>GBP!C2323/1</f>
        <v>1.2873000000000001</v>
      </c>
      <c r="J2323" s="4">
        <f>1/INR!B2323</f>
        <v>1.4075585896262932E-2</v>
      </c>
      <c r="K2323" s="4">
        <f>1/INR!C2323</f>
        <v>1.4021312394840158E-2</v>
      </c>
      <c r="L2323" s="4">
        <f>1/JPY!B2323</f>
        <v>9.2174393953359766E-3</v>
      </c>
      <c r="M2323" s="4">
        <f>1/JPY!C2323</f>
        <v>9.2415206737438225E-3</v>
      </c>
      <c r="N2323" s="5">
        <f>1/KRW!B2323</f>
        <v>8.9214024444642689E-4</v>
      </c>
      <c r="O2323" s="5">
        <f>1/KRW!C2323</f>
        <v>8.9214541791882997E-4</v>
      </c>
      <c r="P2323" s="3">
        <f>1/NOK!B2323</f>
        <v>0.11706997272269636</v>
      </c>
      <c r="Q2323" s="3">
        <f>1/NOK!C2323</f>
        <v>0.1172415410228152</v>
      </c>
      <c r="R2323" s="3">
        <f>NZD!B2323/1</f>
        <v>0.68240000000000001</v>
      </c>
      <c r="S2323" s="3">
        <f>NZD!C2323/1</f>
        <v>0.68279999999999996</v>
      </c>
      <c r="T2323" s="4">
        <f>1/PHP!B2323</f>
        <v>1.9201228878648235E-2</v>
      </c>
      <c r="U2323" s="4">
        <f>1/PHP!C2323</f>
        <v>1.9152501795547044E-2</v>
      </c>
      <c r="V2323" s="4">
        <f>1/TWD!B2323</f>
        <v>3.2444357926156644E-2</v>
      </c>
      <c r="W2323" s="4">
        <f>1/TWD!C2323</f>
        <v>3.2444989520268384E-2</v>
      </c>
      <c r="X2323" s="4">
        <f>1/TWD!B2323</f>
        <v>3.2444357926156644E-2</v>
      </c>
      <c r="Y2323" s="4">
        <f>1/TWD!C2323</f>
        <v>3.2444989520268384E-2</v>
      </c>
      <c r="Z2323" s="4">
        <f>1/ZAR!B2323</f>
        <v>7.2404480389246489E-2</v>
      </c>
      <c r="AA2323" s="4">
        <f>1/ZAR!C2323</f>
        <v>7.2120412240276363E-2</v>
      </c>
    </row>
    <row r="2324" spans="1:27" x14ac:dyDescent="0.25">
      <c r="A2324" t="str">
        <f>"16/01/2019"</f>
        <v>16/01/2019</v>
      </c>
      <c r="B2324" s="3">
        <f>AUD!B2324</f>
        <v>0.71709999999999996</v>
      </c>
      <c r="C2324" s="3">
        <f>AUD!C2324</f>
        <v>0.71740000000000004</v>
      </c>
      <c r="D2324" s="3">
        <f>1/CAD!B2324</f>
        <v>0.75340917652377015</v>
      </c>
      <c r="E2324" s="3">
        <f>1/CAD!C2324</f>
        <v>0.75397722988765736</v>
      </c>
      <c r="F2324" s="3">
        <f>EUR!B2324/1</f>
        <v>1.139</v>
      </c>
      <c r="G2324" s="3">
        <f>EUR!C2324/1</f>
        <v>1.1420999999999999</v>
      </c>
      <c r="H2324" s="3">
        <f>GBP!B2324/1</f>
        <v>1.2856000000000001</v>
      </c>
      <c r="I2324" s="3">
        <f>GBP!C2324/1</f>
        <v>1.2877000000000001</v>
      </c>
      <c r="J2324" s="4">
        <f>1/INR!B2324</f>
        <v>1.4036565252482716E-2</v>
      </c>
      <c r="K2324" s="4">
        <f>1/INR!C2324</f>
        <v>1.3983569306065372E-2</v>
      </c>
      <c r="L2324" s="4">
        <f>1/JPY!B2324</f>
        <v>9.1886428374529077E-3</v>
      </c>
      <c r="M2324" s="4">
        <f>1/JPY!C2324</f>
        <v>9.2117929373183548E-3</v>
      </c>
      <c r="N2324" s="5">
        <f>1/KRW!B2324</f>
        <v>8.9261804873694555E-4</v>
      </c>
      <c r="O2324" s="5">
        <f>1/KRW!C2324</f>
        <v>8.9262386517380689E-4</v>
      </c>
      <c r="P2324" s="3">
        <f>1/NOK!B2324</f>
        <v>0.11702339297625597</v>
      </c>
      <c r="Q2324" s="3">
        <f>1/NOK!C2324</f>
        <v>0.11719070443332436</v>
      </c>
      <c r="R2324" s="3">
        <f>NZD!B2324/1</f>
        <v>0.67589999999999995</v>
      </c>
      <c r="S2324" s="3">
        <f>NZD!C2324/1</f>
        <v>0.67630000000000001</v>
      </c>
      <c r="T2324" s="4">
        <f>1/PHP!B2324</f>
        <v>1.9164430816404752E-2</v>
      </c>
      <c r="U2324" s="4">
        <f>1/PHP!C2324</f>
        <v>1.9121190102872002E-2</v>
      </c>
      <c r="V2324" s="4">
        <f>1/TWD!B2324</f>
        <v>3.243488696441893E-2</v>
      </c>
      <c r="W2324" s="4">
        <f>1/TWD!C2324</f>
        <v>3.24355181898386E-2</v>
      </c>
      <c r="X2324" s="4">
        <f>1/TWD!B2324</f>
        <v>3.243488696441893E-2</v>
      </c>
      <c r="Y2324" s="4">
        <f>1/TWD!C2324</f>
        <v>3.24355181898386E-2</v>
      </c>
      <c r="Z2324" s="4">
        <f>1/ZAR!B2324</f>
        <v>7.2876736288242067E-2</v>
      </c>
      <c r="AA2324" s="4">
        <f>1/ZAR!C2324</f>
        <v>7.260107885203175E-2</v>
      </c>
    </row>
    <row r="2325" spans="1:27" x14ac:dyDescent="0.25">
      <c r="A2325" t="str">
        <f>"17/01/2019"</f>
        <v>17/01/2019</v>
      </c>
      <c r="B2325" s="3">
        <f>AUD!B2325</f>
        <v>0.7167</v>
      </c>
      <c r="C2325" s="3">
        <f>AUD!C2325</f>
        <v>0.71699999999999997</v>
      </c>
      <c r="D2325" s="3">
        <f>1/CAD!B2325</f>
        <v>0.75278530563083412</v>
      </c>
      <c r="E2325" s="3">
        <f>1/CAD!C2325</f>
        <v>0.75329566854990593</v>
      </c>
      <c r="F2325" s="3">
        <f>EUR!B2325/1</f>
        <v>1.1399999999999999</v>
      </c>
      <c r="G2325" s="3">
        <f>EUR!C2325/1</f>
        <v>1.143</v>
      </c>
      <c r="H2325" s="3">
        <f>GBP!B2325/1</f>
        <v>1.2898000000000001</v>
      </c>
      <c r="I2325" s="3">
        <f>GBP!C2325/1</f>
        <v>1.2918000000000001</v>
      </c>
      <c r="J2325" s="4">
        <f>1/INR!B2325</f>
        <v>1.4075585896262932E-2</v>
      </c>
      <c r="K2325" s="4">
        <f>1/INR!C2325</f>
        <v>1.4025245441795233E-2</v>
      </c>
      <c r="L2325" s="4">
        <f>1/JPY!B2325</f>
        <v>9.1903317709769328E-3</v>
      </c>
      <c r="M2325" s="4">
        <f>1/JPY!C2325</f>
        <v>9.2130405060538885E-3</v>
      </c>
      <c r="N2325" s="5">
        <f>1/KRW!B2325</f>
        <v>8.9086859688195994E-4</v>
      </c>
      <c r="O2325" s="5">
        <f>1/KRW!C2325</f>
        <v>8.9087335878855489E-4</v>
      </c>
      <c r="P2325" s="3">
        <f>1/NOK!B2325</f>
        <v>0.11680059801906185</v>
      </c>
      <c r="Q2325" s="3">
        <f>1/NOK!C2325</f>
        <v>0.11696316829830287</v>
      </c>
      <c r="R2325" s="3">
        <f>NZD!B2325/1</f>
        <v>0.67379999999999995</v>
      </c>
      <c r="S2325" s="3">
        <f>NZD!C2325/1</f>
        <v>0.67420000000000002</v>
      </c>
      <c r="T2325" s="4">
        <f>1/PHP!B2325</f>
        <v>1.9062142584826535E-2</v>
      </c>
      <c r="U2325" s="4">
        <f>1/PHP!C2325</f>
        <v>1.9015021867275148E-2</v>
      </c>
      <c r="V2325" s="4">
        <f>1/TWD!B2325</f>
        <v>3.241175898616018E-2</v>
      </c>
      <c r="W2325" s="4">
        <f>1/TWD!C2325</f>
        <v>3.24123893116905E-2</v>
      </c>
      <c r="X2325" s="4">
        <f>1/TWD!B2325</f>
        <v>3.241175898616018E-2</v>
      </c>
      <c r="Y2325" s="4">
        <f>1/TWD!C2325</f>
        <v>3.24123893116905E-2</v>
      </c>
      <c r="Z2325" s="4">
        <f>1/ZAR!B2325</f>
        <v>7.2908084777520976E-2</v>
      </c>
      <c r="AA2325" s="4">
        <f>1/ZAR!C2325</f>
        <v>7.2640104601750619E-2</v>
      </c>
    </row>
    <row r="2326" spans="1:27" x14ac:dyDescent="0.25">
      <c r="A2326" t="str">
        <f>"18/01/2019"</f>
        <v>18/01/2019</v>
      </c>
      <c r="B2326" s="3">
        <f>AUD!B2326</f>
        <v>0.71919999999999995</v>
      </c>
      <c r="C2326" s="3">
        <f>AUD!C2326</f>
        <v>0.71950000000000003</v>
      </c>
      <c r="D2326" s="3">
        <f>1/CAD!B2326</f>
        <v>0.75431847325941004</v>
      </c>
      <c r="E2326" s="3">
        <f>1/CAD!C2326</f>
        <v>0.75483091787439616</v>
      </c>
      <c r="F2326" s="3">
        <f>EUR!B2326/1</f>
        <v>1.1406000000000001</v>
      </c>
      <c r="G2326" s="3">
        <f>EUR!C2326/1</f>
        <v>1.1435999999999999</v>
      </c>
      <c r="H2326" s="3">
        <f>GBP!B2326/1</f>
        <v>1.2946</v>
      </c>
      <c r="I2326" s="3">
        <f>GBP!C2326/1</f>
        <v>1.2966</v>
      </c>
      <c r="J2326" s="4">
        <f>1/INR!B2326</f>
        <v>1.404642342943428E-2</v>
      </c>
      <c r="K2326" s="4">
        <f>1/INR!C2326</f>
        <v>1.3993353157250305E-2</v>
      </c>
      <c r="L2326" s="4">
        <f>1/JPY!B2326</f>
        <v>9.1357573542846706E-3</v>
      </c>
      <c r="M2326" s="4">
        <f>1/JPY!C2326</f>
        <v>9.1580207319273323E-3</v>
      </c>
      <c r="N2326" s="5">
        <f>1/KRW!B2326</f>
        <v>8.9126559714795004E-4</v>
      </c>
      <c r="O2326" s="5">
        <f>1/KRW!C2326</f>
        <v>8.9127036329962551E-4</v>
      </c>
      <c r="P2326" s="3">
        <f>1/NOK!B2326</f>
        <v>0.1172346686362091</v>
      </c>
      <c r="Q2326" s="3">
        <f>1/NOK!C2326</f>
        <v>0.1173984503404555</v>
      </c>
      <c r="R2326" s="3">
        <f>NZD!B2326/1</f>
        <v>0.67689999999999995</v>
      </c>
      <c r="S2326" s="3">
        <f>NZD!C2326/1</f>
        <v>0.67730000000000001</v>
      </c>
      <c r="T2326" s="4">
        <f>1/PHP!B2326</f>
        <v>1.9024065442785124E-2</v>
      </c>
      <c r="U2326" s="4">
        <f>1/PHP!C2326</f>
        <v>1.8977132555270899E-2</v>
      </c>
      <c r="V2326" s="4">
        <f>1/TWD!B2326</f>
        <v>3.2420165342843248E-2</v>
      </c>
      <c r="W2326" s="4">
        <f>1/TWD!C2326</f>
        <v>3.2420795995383278E-2</v>
      </c>
      <c r="X2326" s="4">
        <f>1/TWD!B2326</f>
        <v>3.2420165342843248E-2</v>
      </c>
      <c r="Y2326" s="4">
        <f>1/TWD!C2326</f>
        <v>3.2420795995383278E-2</v>
      </c>
      <c r="Z2326" s="4">
        <f>1/ZAR!B2326</f>
        <v>7.2384040766691762E-2</v>
      </c>
      <c r="AA2326" s="4">
        <f>1/ZAR!C2326</f>
        <v>7.2118851867878267E-2</v>
      </c>
    </row>
    <row r="2327" spans="1:27" x14ac:dyDescent="0.25">
      <c r="A2327" t="str">
        <f>"21/01/2019"</f>
        <v>21/01/2019</v>
      </c>
      <c r="B2327" s="3">
        <f>AUD!B2327</f>
        <v>0.71560000000000001</v>
      </c>
      <c r="C2327" s="3">
        <f>AUD!C2327</f>
        <v>0.71589999999999998</v>
      </c>
      <c r="D2327" s="3">
        <f>1/CAD!B2327</f>
        <v>0.75221904618624946</v>
      </c>
      <c r="E2327" s="3">
        <f>1/CAD!C2327</f>
        <v>0.75272864132480244</v>
      </c>
      <c r="F2327" s="3">
        <f>EUR!B2327/1</f>
        <v>1.137</v>
      </c>
      <c r="G2327" s="3">
        <f>EUR!C2327/1</f>
        <v>1.1400999999999999</v>
      </c>
      <c r="H2327" s="3">
        <f>GBP!B2327/1</f>
        <v>1.2869999999999999</v>
      </c>
      <c r="I2327" s="3">
        <f>GBP!C2327/1</f>
        <v>1.2890999999999999</v>
      </c>
      <c r="J2327" s="4">
        <f>1/INR!B2327</f>
        <v>1.4027704716815713E-2</v>
      </c>
      <c r="K2327" s="4">
        <f>1/INR!C2327</f>
        <v>1.3973799126637555E-2</v>
      </c>
      <c r="L2327" s="4">
        <f>1/JPY!B2327</f>
        <v>9.1257528746121561E-3</v>
      </c>
      <c r="M2327" s="4">
        <f>1/JPY!C2327</f>
        <v>9.1491057206613338E-3</v>
      </c>
      <c r="N2327" s="5">
        <f>1/KRW!B2327</f>
        <v>8.8636766530756955E-4</v>
      </c>
      <c r="O2327" s="5">
        <f>1/KRW!C2327</f>
        <v>8.8637340057243761E-4</v>
      </c>
      <c r="P2327" s="3">
        <f>1/NOK!B2327</f>
        <v>0.11676650202589882</v>
      </c>
      <c r="Q2327" s="3">
        <f>1/NOK!C2327</f>
        <v>0.11693991627101996</v>
      </c>
      <c r="R2327" s="3">
        <f>NZD!B2327/1</f>
        <v>0.67259999999999998</v>
      </c>
      <c r="S2327" s="3">
        <f>NZD!C2327/1</f>
        <v>0.67300000000000004</v>
      </c>
      <c r="T2327" s="4">
        <f>1/PHP!B2327</f>
        <v>1.8935807612194658E-2</v>
      </c>
      <c r="U2327" s="4">
        <f>1/PHP!C2327</f>
        <v>1.8883958077613068E-2</v>
      </c>
      <c r="V2327" s="4">
        <f>1/TWD!B2327</f>
        <v>3.2410708498087769E-2</v>
      </c>
      <c r="W2327" s="4">
        <f>1/TWD!C2327</f>
        <v>3.2411338782759758E-2</v>
      </c>
      <c r="X2327" s="4">
        <f>1/TWD!B2327</f>
        <v>3.2410708498087769E-2</v>
      </c>
      <c r="Y2327" s="4">
        <f>1/TWD!C2327</f>
        <v>3.2411338782759758E-2</v>
      </c>
      <c r="Z2327" s="4">
        <f>1/ZAR!B2327</f>
        <v>7.2128215115188757E-2</v>
      </c>
      <c r="AA2327" s="4">
        <f>1/ZAR!C2327</f>
        <v>7.1844757847243673E-2</v>
      </c>
    </row>
    <row r="2328" spans="1:27" x14ac:dyDescent="0.25">
      <c r="A2328" t="str">
        <f>"22/01/2019"</f>
        <v>22/01/2019</v>
      </c>
      <c r="B2328" s="3">
        <f>AUD!B2328</f>
        <v>0.71250000000000002</v>
      </c>
      <c r="C2328" s="3">
        <f>AUD!C2328</f>
        <v>0.71289999999999998</v>
      </c>
      <c r="D2328" s="3">
        <f>1/CAD!B2328</f>
        <v>0.75030012004801927</v>
      </c>
      <c r="E2328" s="3">
        <f>1/CAD!C2328</f>
        <v>0.75086349301696942</v>
      </c>
      <c r="F2328" s="3">
        <f>EUR!B2328/1</f>
        <v>1.1361000000000001</v>
      </c>
      <c r="G2328" s="3">
        <f>EUR!C2328/1</f>
        <v>1.1392</v>
      </c>
      <c r="H2328" s="3">
        <f>GBP!B2328/1</f>
        <v>1.2912999999999999</v>
      </c>
      <c r="I2328" s="3">
        <f>GBP!C2328/1</f>
        <v>1.2934000000000001</v>
      </c>
      <c r="J2328" s="4">
        <f>1/INR!B2328</f>
        <v>1.3996290982889533E-2</v>
      </c>
      <c r="K2328" s="4">
        <f>1/INR!C2328</f>
        <v>1.3944570332926615E-2</v>
      </c>
      <c r="L2328" s="4">
        <f>1/JPY!B2328</f>
        <v>9.140767824497258E-3</v>
      </c>
      <c r="M2328" s="4">
        <f>1/JPY!C2328</f>
        <v>9.1635678534708852E-3</v>
      </c>
      <c r="N2328" s="5">
        <f>1/KRW!B2328</f>
        <v>8.8417329796640137E-4</v>
      </c>
      <c r="O2328" s="5">
        <f>1/KRW!C2328</f>
        <v>8.8417877033721698E-4</v>
      </c>
      <c r="P2328" s="3">
        <f>1/NOK!B2328</f>
        <v>0.11633723838663516</v>
      </c>
      <c r="Q2328" s="3">
        <f>1/NOK!C2328</f>
        <v>0.11650666418119117</v>
      </c>
      <c r="R2328" s="3">
        <f>NZD!B2328/1</f>
        <v>0.67120000000000002</v>
      </c>
      <c r="S2328" s="3">
        <f>NZD!C2328/1</f>
        <v>0.67159999999999997</v>
      </c>
      <c r="T2328" s="4">
        <f>1/PHP!B2328</f>
        <v>1.8875047187617969E-2</v>
      </c>
      <c r="U2328" s="4">
        <f>1/PHP!C2328</f>
        <v>1.8823529411764704E-2</v>
      </c>
      <c r="V2328" s="4">
        <f>1/TWD!B2328</f>
        <v>3.2366649404453648E-2</v>
      </c>
      <c r="W2328" s="4">
        <f>1/TWD!C2328</f>
        <v>3.2367277976656721E-2</v>
      </c>
      <c r="X2328" s="4">
        <f>1/TWD!B2328</f>
        <v>3.2366649404453648E-2</v>
      </c>
      <c r="Y2328" s="4">
        <f>1/TWD!C2328</f>
        <v>3.2367277976656721E-2</v>
      </c>
      <c r="Z2328" s="4">
        <f>1/ZAR!B2328</f>
        <v>7.1790601174494234E-2</v>
      </c>
      <c r="AA2328" s="4">
        <f>1/ZAR!C2328</f>
        <v>7.1520014876163093E-2</v>
      </c>
    </row>
    <row r="2329" spans="1:27" x14ac:dyDescent="0.25">
      <c r="A2329" t="str">
        <f>"23/01/2019"</f>
        <v>23/01/2019</v>
      </c>
      <c r="B2329" s="3">
        <f>AUD!B2329</f>
        <v>0.71360000000000001</v>
      </c>
      <c r="C2329" s="3">
        <f>AUD!C2329</f>
        <v>0.71399999999999997</v>
      </c>
      <c r="D2329" s="3">
        <f>1/CAD!B2329</f>
        <v>0.75069439231288937</v>
      </c>
      <c r="E2329" s="3">
        <f>1/CAD!C2329</f>
        <v>0.75125835774923</v>
      </c>
      <c r="F2329" s="3">
        <f>EUR!B2329/1</f>
        <v>1.1361000000000001</v>
      </c>
      <c r="G2329" s="3">
        <f>EUR!C2329/1</f>
        <v>1.1391</v>
      </c>
      <c r="H2329" s="3">
        <f>GBP!B2329/1</f>
        <v>1.3021</v>
      </c>
      <c r="I2329" s="3">
        <f>GBP!C2329/1</f>
        <v>1.3042</v>
      </c>
      <c r="J2329" s="4">
        <f>1/INR!B2329</f>
        <v>1.4017872787804449E-2</v>
      </c>
      <c r="K2329" s="4">
        <f>1/INR!C2329</f>
        <v>1.3967943569507979E-2</v>
      </c>
      <c r="L2329" s="4">
        <f>1/JPY!B2329</f>
        <v>9.1199270405836752E-3</v>
      </c>
      <c r="M2329" s="4">
        <f>1/JPY!C2329</f>
        <v>9.1421884570728543E-3</v>
      </c>
      <c r="N2329" s="5">
        <f>1/KRW!B2329</f>
        <v>8.869179600886918E-4</v>
      </c>
      <c r="O2329" s="5">
        <f>1/KRW!C2329</f>
        <v>8.8692228653887005E-4</v>
      </c>
      <c r="P2329" s="3">
        <f>1/NOK!B2329</f>
        <v>0.11632099943002711</v>
      </c>
      <c r="Q2329" s="3">
        <f>1/NOK!C2329</f>
        <v>0.11648495014444134</v>
      </c>
      <c r="R2329" s="3">
        <f>NZD!B2329/1</f>
        <v>0.67930000000000001</v>
      </c>
      <c r="S2329" s="3">
        <f>NZD!C2329/1</f>
        <v>0.67969999999999997</v>
      </c>
      <c r="T2329" s="4">
        <f>1/PHP!B2329</f>
        <v>1.893939393939394E-2</v>
      </c>
      <c r="U2329" s="4">
        <f>1/PHP!C2329</f>
        <v>1.8886632985504508E-2</v>
      </c>
      <c r="V2329" s="4">
        <f>1/TWD!B2329</f>
        <v>3.2370840347015407E-2</v>
      </c>
      <c r="W2329" s="4">
        <f>1/TWD!C2329</f>
        <v>3.2371469082009878E-2</v>
      </c>
      <c r="X2329" s="4">
        <f>1/TWD!B2329</f>
        <v>3.2370840347015407E-2</v>
      </c>
      <c r="Y2329" s="4">
        <f>1/TWD!C2329</f>
        <v>3.2371469082009878E-2</v>
      </c>
      <c r="Z2329" s="4">
        <f>1/ZAR!B2329</f>
        <v>7.2154236896790583E-2</v>
      </c>
      <c r="AA2329" s="4">
        <f>1/ZAR!C2329</f>
        <v>7.1892793466382929E-2</v>
      </c>
    </row>
    <row r="2330" spans="1:27" x14ac:dyDescent="0.25">
      <c r="A2330" t="str">
        <f>"24/01/2019"</f>
        <v>24/01/2019</v>
      </c>
      <c r="B2330" s="3">
        <f>AUD!B2330</f>
        <v>0.70950000000000002</v>
      </c>
      <c r="C2330" s="3">
        <f>AUD!C2330</f>
        <v>0.70989999999999998</v>
      </c>
      <c r="D2330" s="3">
        <f>1/CAD!B2330</f>
        <v>0.74850299401197595</v>
      </c>
      <c r="E2330" s="3">
        <f>1/CAD!C2330</f>
        <v>0.74906367041198507</v>
      </c>
      <c r="F2330" s="3">
        <f>EUR!B2330/1</f>
        <v>1.1342000000000001</v>
      </c>
      <c r="G2330" s="3">
        <f>EUR!C2330/1</f>
        <v>1.1372</v>
      </c>
      <c r="H2330" s="3">
        <f>GBP!B2330/1</f>
        <v>1.3025</v>
      </c>
      <c r="I2330" s="3">
        <f>GBP!C2330/1</f>
        <v>1.3045</v>
      </c>
      <c r="J2330" s="4">
        <f>1/INR!B2330</f>
        <v>1.4068655036578503E-2</v>
      </c>
      <c r="K2330" s="4">
        <f>1/INR!C2330</f>
        <v>1.401836405691456E-2</v>
      </c>
      <c r="L2330" s="4">
        <f>1/JPY!B2330</f>
        <v>9.1107871720116605E-3</v>
      </c>
      <c r="M2330" s="4">
        <f>1/JPY!C2330</f>
        <v>9.1328371158500392E-3</v>
      </c>
      <c r="N2330" s="5">
        <f>1/KRW!B2330</f>
        <v>8.8589652728561312E-4</v>
      </c>
      <c r="O2330" s="5">
        <f>1/KRW!C2330</f>
        <v>8.8590060833022984E-4</v>
      </c>
      <c r="P2330" s="3">
        <f>1/NOK!B2330</f>
        <v>0.11665208515602217</v>
      </c>
      <c r="Q2330" s="3">
        <f>1/NOK!C2330</f>
        <v>0.11681697116957152</v>
      </c>
      <c r="R2330" s="3">
        <f>NZD!B2330/1</f>
        <v>0.67679999999999996</v>
      </c>
      <c r="S2330" s="3">
        <f>NZD!C2330/1</f>
        <v>0.67720000000000002</v>
      </c>
      <c r="T2330" s="4">
        <f>1/PHP!B2330</f>
        <v>1.8910741301058999E-2</v>
      </c>
      <c r="U2330" s="4">
        <f>1/PHP!C2330</f>
        <v>1.8864365214110546E-2</v>
      </c>
      <c r="V2330" s="4">
        <f>1/TWD!B2330</f>
        <v>3.2377128796218353E-2</v>
      </c>
      <c r="W2330" s="4">
        <f>1/TWD!C2330</f>
        <v>3.2377757775518531E-2</v>
      </c>
      <c r="X2330" s="4">
        <f>1/TWD!B2330</f>
        <v>3.2377128796218353E-2</v>
      </c>
      <c r="Y2330" s="4">
        <f>1/TWD!C2330</f>
        <v>3.2377757775518531E-2</v>
      </c>
      <c r="Z2330" s="4">
        <f>1/ZAR!B2330</f>
        <v>7.2298215680037012E-2</v>
      </c>
      <c r="AA2330" s="4">
        <f>1/ZAR!C2330</f>
        <v>7.2037286499492134E-2</v>
      </c>
    </row>
    <row r="2331" spans="1:27" x14ac:dyDescent="0.25">
      <c r="A2331" t="str">
        <f>"25/01/2019"</f>
        <v>25/01/2019</v>
      </c>
      <c r="B2331" s="3">
        <f>AUD!B2331</f>
        <v>0.71099999999999997</v>
      </c>
      <c r="C2331" s="3">
        <f>AUD!C2331</f>
        <v>0.71130000000000004</v>
      </c>
      <c r="D2331" s="3">
        <f>1/CAD!B2331</f>
        <v>0.75091987684914019</v>
      </c>
      <c r="E2331" s="3">
        <f>1/CAD!C2331</f>
        <v>0.75142771265404273</v>
      </c>
      <c r="F2331" s="3">
        <f>EUR!B2331/1</f>
        <v>1.1344000000000001</v>
      </c>
      <c r="G2331" s="3">
        <f>EUR!C2331/1</f>
        <v>1.1372</v>
      </c>
      <c r="H2331" s="3">
        <f>GBP!B2331/1</f>
        <v>1.3092999999999999</v>
      </c>
      <c r="I2331" s="3">
        <f>GBP!C2331/1</f>
        <v>1.3112999999999999</v>
      </c>
      <c r="J2331" s="4">
        <f>1/INR!B2331</f>
        <v>1.4048890137679121E-2</v>
      </c>
      <c r="K2331" s="4">
        <f>1/INR!C2331</f>
        <v>1.4000210003150049E-2</v>
      </c>
      <c r="L2331" s="4">
        <f>1/JPY!B2331</f>
        <v>9.109957183201239E-3</v>
      </c>
      <c r="M2331" s="4">
        <f>1/JPY!C2331</f>
        <v>9.1312359493106836E-3</v>
      </c>
      <c r="N2331" s="5">
        <f>1/KRW!B2331</f>
        <v>8.9174246477617257E-4</v>
      </c>
      <c r="O2331" s="5">
        <f>1/KRW!C2331</f>
        <v>8.917464408170181E-4</v>
      </c>
      <c r="P2331" s="3">
        <f>1/NOK!B2331</f>
        <v>0.11686611817501869</v>
      </c>
      <c r="Q2331" s="3">
        <f>1/NOK!C2331</f>
        <v>0.11702613193526115</v>
      </c>
      <c r="R2331" s="3">
        <f>NZD!B2331/1</f>
        <v>0.67749999999999999</v>
      </c>
      <c r="S2331" s="3">
        <f>NZD!C2331/1</f>
        <v>0.67789999999999995</v>
      </c>
      <c r="T2331" s="4">
        <f>1/PHP!B2331</f>
        <v>1.9029495718363463E-2</v>
      </c>
      <c r="U2331" s="4">
        <f>1/PHP!C2331</f>
        <v>1.8980734554427257E-2</v>
      </c>
      <c r="V2331" s="4">
        <f>1/TWD!B2331</f>
        <v>3.2440147927074545E-2</v>
      </c>
      <c r="W2331" s="4">
        <f>1/TWD!C2331</f>
        <v>3.2440674117208156E-2</v>
      </c>
      <c r="X2331" s="4">
        <f>1/TWD!B2331</f>
        <v>3.2440147927074545E-2</v>
      </c>
      <c r="Y2331" s="4">
        <f>1/TWD!C2331</f>
        <v>3.2440674117208156E-2</v>
      </c>
      <c r="Z2331" s="4">
        <f>1/ZAR!B2331</f>
        <v>7.2984709703317163E-2</v>
      </c>
      <c r="AA2331" s="4">
        <f>1/ZAR!C2331</f>
        <v>7.2727801656739324E-2</v>
      </c>
    </row>
    <row r="2332" spans="1:27" x14ac:dyDescent="0.25">
      <c r="A2332" t="str">
        <f>"28/01/2019"</f>
        <v>28/01/2019</v>
      </c>
      <c r="B2332" s="3">
        <f>AUD!B2332</f>
        <v>0.71830000000000005</v>
      </c>
      <c r="C2332" s="3">
        <f>AUD!C2332</f>
        <v>0.71860000000000002</v>
      </c>
      <c r="D2332" s="3">
        <f>1/CAD!B2332</f>
        <v>0.7562008469449486</v>
      </c>
      <c r="E2332" s="3">
        <f>1/CAD!C2332</f>
        <v>0.75671585319712453</v>
      </c>
      <c r="F2332" s="3">
        <f>EUR!B2332/1</f>
        <v>1.1416999999999999</v>
      </c>
      <c r="G2332" s="3">
        <f>EUR!C2332/1</f>
        <v>1.1445000000000001</v>
      </c>
      <c r="H2332" s="3">
        <f>GBP!B2332/1</f>
        <v>1.3173999999999999</v>
      </c>
      <c r="I2332" s="3">
        <f>GBP!C2332/1</f>
        <v>1.3193999999999999</v>
      </c>
      <c r="J2332" s="4">
        <f>1/INR!B2332</f>
        <v>1.4061730999085989E-2</v>
      </c>
      <c r="K2332" s="4">
        <f>1/INR!C2332</f>
        <v>1.4014925896079323E-2</v>
      </c>
      <c r="L2332" s="4">
        <f>1/JPY!B2332</f>
        <v>9.1382619025861273E-3</v>
      </c>
      <c r="M2332" s="4">
        <f>1/JPY!C2332</f>
        <v>9.1589433876550271E-3</v>
      </c>
      <c r="N2332" s="5">
        <f>1/KRW!B2332</f>
        <v>8.9445438282647585E-4</v>
      </c>
      <c r="O2332" s="5">
        <f>1/KRW!C2332</f>
        <v>8.9445838308758097E-4</v>
      </c>
      <c r="P2332" s="3">
        <f>1/NOK!B2332</f>
        <v>0.11738604749439481</v>
      </c>
      <c r="Q2332" s="3">
        <f>1/NOK!C2332</f>
        <v>0.11754196248060557</v>
      </c>
      <c r="R2332" s="3">
        <f>NZD!B2332/1</f>
        <v>0.68479999999999996</v>
      </c>
      <c r="S2332" s="3">
        <f>NZD!C2332/1</f>
        <v>0.68520000000000003</v>
      </c>
      <c r="T2332" s="4">
        <f>1/PHP!B2332</f>
        <v>1.9018638265500192E-2</v>
      </c>
      <c r="U2332" s="4">
        <f>1/PHP!C2332</f>
        <v>1.8966334755808438E-2</v>
      </c>
      <c r="V2332" s="4">
        <f>1/TWD!B2332</f>
        <v>3.247596778383996E-2</v>
      </c>
      <c r="W2332" s="4">
        <f>1/TWD!C2332</f>
        <v>3.2476495136644856E-2</v>
      </c>
      <c r="X2332" s="4">
        <f>1/TWD!B2332</f>
        <v>3.247596778383996E-2</v>
      </c>
      <c r="Y2332" s="4">
        <f>1/TWD!C2332</f>
        <v>3.2476495136644856E-2</v>
      </c>
      <c r="Z2332" s="4">
        <f>1/ZAR!B2332</f>
        <v>7.3354116999816615E-2</v>
      </c>
      <c r="AA2332" s="4">
        <f>1/ZAR!C2332</f>
        <v>7.3104224693145023E-2</v>
      </c>
    </row>
    <row r="2333" spans="1:27" x14ac:dyDescent="0.25">
      <c r="A2333" t="str">
        <f>"29/01/2019"</f>
        <v>29/01/2019</v>
      </c>
      <c r="B2333" s="3">
        <f>AUD!B2333</f>
        <v>0.71599999999999997</v>
      </c>
      <c r="C2333" s="3">
        <f>AUD!C2333</f>
        <v>0.71630000000000005</v>
      </c>
      <c r="D2333" s="3">
        <f>1/CAD!B2333</f>
        <v>0.75392038600723765</v>
      </c>
      <c r="E2333" s="3">
        <f>1/CAD!C2333</f>
        <v>0.75443228970199927</v>
      </c>
      <c r="F2333" s="3">
        <f>EUR!B2333/1</f>
        <v>1.1431</v>
      </c>
      <c r="G2333" s="3">
        <f>EUR!C2333/1</f>
        <v>1.1457999999999999</v>
      </c>
      <c r="H2333" s="3">
        <f>GBP!B2333/1</f>
        <v>1.3149999999999999</v>
      </c>
      <c r="I2333" s="3">
        <f>GBP!C2333/1</f>
        <v>1.3169</v>
      </c>
      <c r="J2333" s="4">
        <f>1/INR!B2333</f>
        <v>1.4061730999085989E-2</v>
      </c>
      <c r="K2333" s="4">
        <f>1/INR!C2333</f>
        <v>1.4016399187048847E-2</v>
      </c>
      <c r="L2333" s="4">
        <f>1/JPY!B2333</f>
        <v>9.136592051164915E-3</v>
      </c>
      <c r="M2333" s="4">
        <f>1/JPY!C2333</f>
        <v>9.1564526437425721E-3</v>
      </c>
      <c r="N2333" s="5">
        <f>1/KRW!B2333</f>
        <v>8.9565606806986115E-4</v>
      </c>
      <c r="O2333" s="5">
        <f>1/KRW!C2333</f>
        <v>8.9565967798347593E-4</v>
      </c>
      <c r="P2333" s="3">
        <f>1/NOK!B2333</f>
        <v>0.11767613175019712</v>
      </c>
      <c r="Q2333" s="3">
        <f>1/NOK!C2333</f>
        <v>0.11782726522917403</v>
      </c>
      <c r="R2333" s="3">
        <f>NZD!B2333/1</f>
        <v>0.68410000000000004</v>
      </c>
      <c r="S2333" s="3">
        <f>NZD!C2333/1</f>
        <v>0.6845</v>
      </c>
      <c r="T2333" s="4">
        <f>1/PHP!B2333</f>
        <v>1.9062142584826535E-2</v>
      </c>
      <c r="U2333" s="4">
        <f>1/PHP!C2333</f>
        <v>1.901321418385778E-2</v>
      </c>
      <c r="V2333" s="4">
        <f>1/TWD!B2333</f>
        <v>3.2455941060011033E-2</v>
      </c>
      <c r="W2333" s="4">
        <f>1/TWD!C2333</f>
        <v>3.2456467762613392E-2</v>
      </c>
      <c r="X2333" s="4">
        <f>1/TWD!B2333</f>
        <v>3.2455941060011033E-2</v>
      </c>
      <c r="Y2333" s="4">
        <f>1/TWD!C2333</f>
        <v>3.2456467762613392E-2</v>
      </c>
      <c r="Z2333" s="4">
        <f>1/ZAR!B2333</f>
        <v>7.3227348950285945E-2</v>
      </c>
      <c r="AA2333" s="4">
        <f>1/ZAR!C2333</f>
        <v>7.2982046416581528E-2</v>
      </c>
    </row>
    <row r="2334" spans="1:27" x14ac:dyDescent="0.25">
      <c r="A2334" t="str">
        <f>"30/01/2019"</f>
        <v>30/01/2019</v>
      </c>
      <c r="B2334" s="3">
        <f>AUD!B2334</f>
        <v>0.72009999999999996</v>
      </c>
      <c r="C2334" s="3">
        <f>AUD!C2334</f>
        <v>0.72040000000000004</v>
      </c>
      <c r="D2334" s="3">
        <f>1/CAD!B2334</f>
        <v>0.7555152614082804</v>
      </c>
      <c r="E2334" s="3">
        <f>1/CAD!C2334</f>
        <v>0.75602933393815686</v>
      </c>
      <c r="F2334" s="3">
        <f>EUR!B2334/1</f>
        <v>1.1429</v>
      </c>
      <c r="G2334" s="3">
        <f>EUR!C2334/1</f>
        <v>1.1456</v>
      </c>
      <c r="H2334" s="3">
        <f>GBP!B2334/1</f>
        <v>1.3098000000000001</v>
      </c>
      <c r="I2334" s="3">
        <f>GBP!C2334/1</f>
        <v>1.3117000000000001</v>
      </c>
      <c r="J2334" s="4">
        <f>1/INR!B2334</f>
        <v>1.4059259779972584E-2</v>
      </c>
      <c r="K2334" s="4">
        <f>1/INR!C2334</f>
        <v>1.4013452914798207E-2</v>
      </c>
      <c r="L2334" s="4">
        <f>1/JPY!B2334</f>
        <v>9.140767824497258E-3</v>
      </c>
      <c r="M2334" s="4">
        <f>1/JPY!C2334</f>
        <v>9.1607808649609296E-3</v>
      </c>
      <c r="N2334" s="5">
        <f>1/KRW!B2334</f>
        <v>8.9565606806986115E-4</v>
      </c>
      <c r="O2334" s="5">
        <f>1/KRW!C2334</f>
        <v>8.9566007908678503E-4</v>
      </c>
      <c r="P2334" s="3">
        <f>1/NOK!B2334</f>
        <v>0.1177523432716311</v>
      </c>
      <c r="Q2334" s="3">
        <f>1/NOK!C2334</f>
        <v>0.11790506284339848</v>
      </c>
      <c r="R2334" s="3">
        <f>NZD!B2334/1</f>
        <v>0.68410000000000004</v>
      </c>
      <c r="S2334" s="3">
        <f>NZD!C2334/1</f>
        <v>0.6845</v>
      </c>
      <c r="T2334" s="4">
        <f>1/PHP!B2334</f>
        <v>1.9073049780659927E-2</v>
      </c>
      <c r="U2334" s="4">
        <f>1/PHP!C2334</f>
        <v>1.9027685282085434E-2</v>
      </c>
      <c r="V2334" s="4">
        <f>1/TWD!B2334</f>
        <v>3.2492851572654018E-2</v>
      </c>
      <c r="W2334" s="4">
        <f>1/TWD!C2334</f>
        <v>3.2493379473932188E-2</v>
      </c>
      <c r="X2334" s="4">
        <f>1/TWD!B2334</f>
        <v>3.2492851572654018E-2</v>
      </c>
      <c r="Y2334" s="4">
        <f>1/TWD!C2334</f>
        <v>3.2493379473932188E-2</v>
      </c>
      <c r="Z2334" s="4">
        <f>1/ZAR!B2334</f>
        <v>7.3499147409890039E-2</v>
      </c>
      <c r="AA2334" s="4">
        <f>1/ZAR!C2334</f>
        <v>7.3254706614900009E-2</v>
      </c>
    </row>
    <row r="2335" spans="1:27" x14ac:dyDescent="0.25">
      <c r="A2335" t="str">
        <f>"31/01/2019"</f>
        <v>31/01/2019</v>
      </c>
      <c r="B2335" s="3">
        <f>AUD!B2335</f>
        <v>0.72760000000000002</v>
      </c>
      <c r="C2335" s="3">
        <f>AUD!C2335</f>
        <v>0.72789999999999999</v>
      </c>
      <c r="D2335" s="3">
        <f>1/CAD!B2335</f>
        <v>0.76132470498667693</v>
      </c>
      <c r="E2335" s="3">
        <f>1/CAD!C2335</f>
        <v>0.76178867982021792</v>
      </c>
      <c r="F2335" s="3">
        <f>EUR!B2335/1</f>
        <v>1.1482000000000001</v>
      </c>
      <c r="G2335" s="3">
        <f>EUR!C2335/1</f>
        <v>1.1509</v>
      </c>
      <c r="H2335" s="3">
        <f>GBP!B2335/1</f>
        <v>1.3130999999999999</v>
      </c>
      <c r="I2335" s="3">
        <f>GBP!C2335/1</f>
        <v>1.3149999999999999</v>
      </c>
      <c r="J2335" s="4">
        <f>1/INR!B2335</f>
        <v>1.4066676044450695E-2</v>
      </c>
      <c r="K2335" s="4">
        <f>1/INR!C2335</f>
        <v>1.4018855360459818E-2</v>
      </c>
      <c r="L2335" s="4">
        <f>1/JPY!B2335</f>
        <v>9.2047128129602359E-3</v>
      </c>
      <c r="M2335" s="4">
        <f>1/JPY!C2335</f>
        <v>9.2246922873270246E-3</v>
      </c>
      <c r="N2335" s="5">
        <f>1/KRW!B2335</f>
        <v>8.985533291400844E-4</v>
      </c>
      <c r="O2335" s="5">
        <f>1/KRW!C2335</f>
        <v>8.9855575134086983E-4</v>
      </c>
      <c r="P2335" s="3">
        <f>1/NOK!B2335</f>
        <v>0.11888203335829857</v>
      </c>
      <c r="Q2335" s="3">
        <f>1/NOK!C2335</f>
        <v>0.11903628225883249</v>
      </c>
      <c r="R2335" s="3">
        <f>NZD!B2335/1</f>
        <v>0.69120000000000004</v>
      </c>
      <c r="S2335" s="3">
        <f>NZD!C2335/1</f>
        <v>0.69159999999999999</v>
      </c>
      <c r="T2335" s="4">
        <f>1/PHP!B2335</f>
        <v>1.9186492709132773E-2</v>
      </c>
      <c r="U2335" s="4">
        <f>1/PHP!C2335</f>
        <v>1.9143518961655531E-2</v>
      </c>
      <c r="V2335" s="4">
        <f>1/TWD!B2335</f>
        <v>3.2533021016331577E-2</v>
      </c>
      <c r="W2335" s="4">
        <f>1/TWD!C2335</f>
        <v>3.2533550223668155E-2</v>
      </c>
      <c r="X2335" s="4">
        <f>1/TWD!B2335</f>
        <v>3.2533021016331577E-2</v>
      </c>
      <c r="Y2335" s="4">
        <f>1/TWD!C2335</f>
        <v>3.2533550223668155E-2</v>
      </c>
      <c r="Z2335" s="4">
        <f>1/ZAR!B2335</f>
        <v>7.502044307073677E-2</v>
      </c>
      <c r="AA2335" s="4">
        <f>1/ZAR!C2335</f>
        <v>7.4774741092458963E-2</v>
      </c>
    </row>
    <row r="2336" spans="1:27" x14ac:dyDescent="0.25">
      <c r="A2336" t="str">
        <f>"01/02/2019"</f>
        <v>01/02/2019</v>
      </c>
      <c r="B2336" s="3">
        <f>AUD!B2336</f>
        <v>0.72609999999999997</v>
      </c>
      <c r="C2336" s="3">
        <f>AUD!C2336</f>
        <v>0.72640000000000005</v>
      </c>
      <c r="D2336" s="3">
        <f>1/CAD!B2336</f>
        <v>0.76091919038198141</v>
      </c>
      <c r="E2336" s="3">
        <f>1/CAD!C2336</f>
        <v>0.76138267093040968</v>
      </c>
      <c r="F2336" s="3">
        <f>EUR!B2336/1</f>
        <v>1.1472</v>
      </c>
      <c r="G2336" s="3">
        <f>EUR!C2336/1</f>
        <v>1.1498999999999999</v>
      </c>
      <c r="H2336" s="3">
        <f>GBP!B2336/1</f>
        <v>1.3066</v>
      </c>
      <c r="I2336" s="3">
        <f>GBP!C2336/1</f>
        <v>1.3084</v>
      </c>
      <c r="J2336" s="4">
        <f>1/INR!B2336</f>
        <v>1.4033118158854897E-2</v>
      </c>
      <c r="K2336" s="4">
        <f>1/INR!C2336</f>
        <v>1.3986503024581279E-2</v>
      </c>
      <c r="L2336" s="4">
        <f>1/JPY!B2336</f>
        <v>9.184423218221896E-3</v>
      </c>
      <c r="M2336" s="4">
        <f>1/JPY!C2336</f>
        <v>9.204331558431398E-3</v>
      </c>
      <c r="N2336" s="5">
        <f>1/KRW!B2336</f>
        <v>8.9349535382416008E-4</v>
      </c>
      <c r="O2336" s="5">
        <f>1/KRW!C2336</f>
        <v>8.9349854717136242E-4</v>
      </c>
      <c r="P2336" s="3">
        <f>1/NOK!B2336</f>
        <v>0.11865492773914901</v>
      </c>
      <c r="Q2336" s="3">
        <f>1/NOK!C2336</f>
        <v>0.11880999904952</v>
      </c>
      <c r="R2336" s="3">
        <f>NZD!B2336/1</f>
        <v>0.69230000000000003</v>
      </c>
      <c r="S2336" s="3">
        <f>NZD!C2336/1</f>
        <v>0.69269999999999998</v>
      </c>
      <c r="T2336" s="4">
        <f>1/PHP!B2336</f>
        <v>1.9142419601837671E-2</v>
      </c>
      <c r="U2336" s="4">
        <f>1/PHP!C2336</f>
        <v>1.9098548510313215E-2</v>
      </c>
      <c r="V2336" s="4">
        <f>1/TWD!B2336</f>
        <v>3.2524556039810061E-2</v>
      </c>
      <c r="W2336" s="4">
        <f>1/TWD!C2336</f>
        <v>3.2525084971784489E-2</v>
      </c>
      <c r="X2336" s="4">
        <f>1/TWD!B2336</f>
        <v>3.2524556039810061E-2</v>
      </c>
      <c r="Y2336" s="4">
        <f>1/TWD!C2336</f>
        <v>3.2525084971784489E-2</v>
      </c>
      <c r="Z2336" s="4">
        <f>1/ZAR!B2336</f>
        <v>7.5328431963360254E-2</v>
      </c>
      <c r="AA2336" s="4">
        <f>1/ZAR!C2336</f>
        <v>7.5089732230014875E-2</v>
      </c>
    </row>
    <row r="2337" spans="1:27" x14ac:dyDescent="0.25">
      <c r="A2337" t="str">
        <f>"04/02/2019"</f>
        <v>04/02/2019</v>
      </c>
      <c r="B2337" s="3">
        <f>AUD!B2337</f>
        <v>0.7228</v>
      </c>
      <c r="C2337" s="3">
        <f>AUD!C2337</f>
        <v>0.72309999999999997</v>
      </c>
      <c r="D2337" s="3">
        <f>1/CAD!B2337</f>
        <v>0.76341705473700283</v>
      </c>
      <c r="E2337" s="3">
        <f>1/CAD!C2337</f>
        <v>0.76388358414177682</v>
      </c>
      <c r="F2337" s="3">
        <f>EUR!B2337/1</f>
        <v>1.1448</v>
      </c>
      <c r="G2337" s="3">
        <f>EUR!C2337/1</f>
        <v>1.1475</v>
      </c>
      <c r="H2337" s="3">
        <f>GBP!B2337/1</f>
        <v>1.3057000000000001</v>
      </c>
      <c r="I2337" s="3">
        <f>GBP!C2337/1</f>
        <v>1.3076000000000001</v>
      </c>
      <c r="J2337" s="4">
        <f>1/INR!B2337</f>
        <v>1.3925637097897228E-2</v>
      </c>
      <c r="K2337" s="4">
        <f>1/INR!C2337</f>
        <v>1.3878287419332454E-2</v>
      </c>
      <c r="L2337" s="4">
        <f>1/JPY!B2337</f>
        <v>9.1008372770294867E-3</v>
      </c>
      <c r="M2337" s="4">
        <f>1/JPY!C2337</f>
        <v>9.1206007922153848E-3</v>
      </c>
      <c r="N2337" s="5">
        <f>1/KRW!B2337</f>
        <v>8.9349535382416008E-4</v>
      </c>
      <c r="O2337" s="5">
        <f>1/KRW!C2337</f>
        <v>8.9349950517997399E-4</v>
      </c>
      <c r="P2337" s="3">
        <f>1/NOK!B2337</f>
        <v>0.11811814176539373</v>
      </c>
      <c r="Q2337" s="3">
        <f>1/NOK!C2337</f>
        <v>0.11827181227897955</v>
      </c>
      <c r="R2337" s="3">
        <f>NZD!B2337/1</f>
        <v>0.68859999999999999</v>
      </c>
      <c r="S2337" s="3">
        <f>NZD!C2337/1</f>
        <v>0.68899999999999995</v>
      </c>
      <c r="T2337" s="4">
        <f>1/PHP!B2337</f>
        <v>1.9080328181644724E-2</v>
      </c>
      <c r="U2337" s="4">
        <f>1/PHP!C2337</f>
        <v>1.9034929094889123E-2</v>
      </c>
      <c r="V2337" s="4">
        <f>1/TWD!B2337</f>
        <v>3.2524556039810061E-2</v>
      </c>
      <c r="W2337" s="4">
        <f>1/TWD!C2337</f>
        <v>3.2525084971784489E-2</v>
      </c>
      <c r="X2337" s="4">
        <f>1/TWD!B2337</f>
        <v>3.2524556039810061E-2</v>
      </c>
      <c r="Y2337" s="4">
        <f>1/TWD!C2337</f>
        <v>3.2525084971784489E-2</v>
      </c>
      <c r="Z2337" s="4">
        <f>1/ZAR!B2337</f>
        <v>7.4786484586505525E-2</v>
      </c>
      <c r="AA2337" s="4">
        <f>1/ZAR!C2337</f>
        <v>7.4548978678992101E-2</v>
      </c>
    </row>
    <row r="2338" spans="1:27" x14ac:dyDescent="0.25">
      <c r="A2338" t="str">
        <f>"05/02/2019"</f>
        <v>05/02/2019</v>
      </c>
      <c r="B2338" s="3">
        <f>AUD!B2338</f>
        <v>0.72470000000000001</v>
      </c>
      <c r="C2338" s="3">
        <f>AUD!C2338</f>
        <v>0.72499999999999998</v>
      </c>
      <c r="D2338" s="3">
        <f>1/CAD!B2338</f>
        <v>0.76289288983826675</v>
      </c>
      <c r="E2338" s="3">
        <f>1/CAD!C2338</f>
        <v>0.76335877862595414</v>
      </c>
      <c r="F2338" s="3">
        <f>EUR!B2338/1</f>
        <v>1.1415</v>
      </c>
      <c r="G2338" s="3">
        <f>EUR!C2338/1</f>
        <v>1.1442000000000001</v>
      </c>
      <c r="H2338" s="3">
        <f>GBP!B2338/1</f>
        <v>1.3005</v>
      </c>
      <c r="I2338" s="3">
        <f>GBP!C2338/1</f>
        <v>1.3024</v>
      </c>
      <c r="J2338" s="4">
        <f>1/INR!B2338</f>
        <v>1.3971846728841384E-2</v>
      </c>
      <c r="K2338" s="4">
        <f>1/INR!C2338</f>
        <v>1.3925637097897228E-2</v>
      </c>
      <c r="L2338" s="4">
        <f>1/JPY!B2338</f>
        <v>9.0933891061198511E-3</v>
      </c>
      <c r="M2338" s="4">
        <f>1/JPY!C2338</f>
        <v>9.1129126326840084E-3</v>
      </c>
      <c r="N2338" s="5">
        <f>1/KRW!B2338</f>
        <v>8.9349535382416008E-4</v>
      </c>
      <c r="O2338" s="5">
        <f>1/KRW!C2338</f>
        <v>8.9350277839156443E-4</v>
      </c>
      <c r="P2338" s="3">
        <f>1/NOK!B2338</f>
        <v>0.11806654230324212</v>
      </c>
      <c r="Q2338" s="3">
        <f>1/NOK!C2338</f>
        <v>0.11821868091595834</v>
      </c>
      <c r="R2338" s="3">
        <f>NZD!B2338/1</f>
        <v>0.68940000000000001</v>
      </c>
      <c r="S2338" s="3">
        <f>NZD!C2338/1</f>
        <v>0.68979999999999997</v>
      </c>
      <c r="T2338" s="4">
        <f>1/PHP!B2338</f>
        <v>1.9080328181644724E-2</v>
      </c>
      <c r="U2338" s="4">
        <f>1/PHP!C2338</f>
        <v>1.9034929094889123E-2</v>
      </c>
      <c r="V2338" s="4">
        <f>1/TWD!B2338</f>
        <v>3.2524556039810061E-2</v>
      </c>
      <c r="W2338" s="4">
        <f>1/TWD!C2338</f>
        <v>3.2525084971784489E-2</v>
      </c>
      <c r="X2338" s="4">
        <f>1/TWD!B2338</f>
        <v>3.2524556039810061E-2</v>
      </c>
      <c r="Y2338" s="4">
        <f>1/TWD!C2338</f>
        <v>3.2525084971784489E-2</v>
      </c>
      <c r="Z2338" s="4">
        <f>1/ZAR!B2338</f>
        <v>7.4716637153594986E-2</v>
      </c>
      <c r="AA2338" s="4">
        <f>1/ZAR!C2338</f>
        <v>7.4484566797759513E-2</v>
      </c>
    </row>
    <row r="2339" spans="1:27" x14ac:dyDescent="0.25">
      <c r="A2339" t="str">
        <f>"06/02/2019"</f>
        <v>06/02/2019</v>
      </c>
      <c r="B2339" s="3">
        <f>AUD!B2339</f>
        <v>0.71530000000000005</v>
      </c>
      <c r="C2339" s="3">
        <f>AUD!C2339</f>
        <v>0.71560000000000001</v>
      </c>
      <c r="D2339" s="3">
        <f>1/CAD!B2339</f>
        <v>0.76051410753669479</v>
      </c>
      <c r="E2339" s="3">
        <f>1/CAD!C2339</f>
        <v>0.76097709458945284</v>
      </c>
      <c r="F2339" s="3">
        <f>EUR!B2339/1</f>
        <v>1.1400999999999999</v>
      </c>
      <c r="G2339" s="3">
        <f>EUR!C2339/1</f>
        <v>1.1428</v>
      </c>
      <c r="H2339" s="3">
        <f>GBP!B2339/1</f>
        <v>1.2956000000000001</v>
      </c>
      <c r="I2339" s="3">
        <f>GBP!C2339/1</f>
        <v>1.2974000000000001</v>
      </c>
      <c r="J2339" s="4">
        <f>1/INR!B2339</f>
        <v>1.3979659595288855E-2</v>
      </c>
      <c r="K2339" s="4">
        <f>1/INR!C2339</f>
        <v>1.3933398355858995E-2</v>
      </c>
      <c r="L2339" s="4">
        <f>1/JPY!B2339</f>
        <v>9.1074681238615673E-3</v>
      </c>
      <c r="M2339" s="4">
        <f>1/JPY!C2339</f>
        <v>9.1269439249692195E-3</v>
      </c>
      <c r="N2339" s="5">
        <f>1/KRW!B2339</f>
        <v>8.9349535382416008E-4</v>
      </c>
      <c r="O2339" s="5">
        <f>1/KRW!C2339</f>
        <v>8.9350277839156443E-4</v>
      </c>
      <c r="P2339" s="3">
        <f>1/NOK!B2339</f>
        <v>0.11776482364717658</v>
      </c>
      <c r="Q2339" s="3">
        <f>1/NOK!C2339</f>
        <v>0.11791618517557718</v>
      </c>
      <c r="R2339" s="3">
        <f>NZD!B2339/1</f>
        <v>0.68679999999999997</v>
      </c>
      <c r="S2339" s="3">
        <f>NZD!C2339/1</f>
        <v>0.68720000000000003</v>
      </c>
      <c r="T2339" s="4">
        <f>1/PHP!B2339</f>
        <v>1.91131498470948E-2</v>
      </c>
      <c r="U2339" s="4">
        <f>1/PHP!C2339</f>
        <v>1.9069412662090009E-2</v>
      </c>
      <c r="V2339" s="4">
        <f>1/TWD!B2339</f>
        <v>3.2524556039810061E-2</v>
      </c>
      <c r="W2339" s="4">
        <f>1/TWD!C2339</f>
        <v>3.2525084971784489E-2</v>
      </c>
      <c r="X2339" s="4">
        <f>1/TWD!B2339</f>
        <v>3.2524556039810061E-2</v>
      </c>
      <c r="Y2339" s="4">
        <f>1/TWD!C2339</f>
        <v>3.2525084971784489E-2</v>
      </c>
      <c r="Z2339" s="4">
        <f>1/ZAR!B2339</f>
        <v>7.4571215510812819E-2</v>
      </c>
      <c r="AA2339" s="4">
        <f>1/ZAR!C2339</f>
        <v>7.4340046239508753E-2</v>
      </c>
    </row>
    <row r="2340" spans="1:27" x14ac:dyDescent="0.25">
      <c r="A2340" t="str">
        <f>"07/02/2019"</f>
        <v>07/02/2019</v>
      </c>
      <c r="B2340" s="3">
        <f>AUD!B2340</f>
        <v>0.71020000000000005</v>
      </c>
      <c r="C2340" s="3">
        <f>AUD!C2340</f>
        <v>0.71050000000000002</v>
      </c>
      <c r="D2340" s="3">
        <f>1/CAD!B2340</f>
        <v>0.75454614049649138</v>
      </c>
      <c r="E2340" s="3">
        <f>1/CAD!C2340</f>
        <v>0.75500188750471875</v>
      </c>
      <c r="F2340" s="3">
        <f>EUR!B2340/1</f>
        <v>1.1333</v>
      </c>
      <c r="G2340" s="3">
        <f>EUR!C2340/1</f>
        <v>1.1358999999999999</v>
      </c>
      <c r="H2340" s="3">
        <f>GBP!B2340/1</f>
        <v>1.2901</v>
      </c>
      <c r="I2340" s="3">
        <f>GBP!C2340/1</f>
        <v>1.2919</v>
      </c>
      <c r="J2340" s="4">
        <f>1/INR!B2340</f>
        <v>1.3992374156084933E-2</v>
      </c>
      <c r="K2340" s="4">
        <f>1/INR!C2340</f>
        <v>1.3947001394700139E-2</v>
      </c>
      <c r="L2340" s="4">
        <f>1/JPY!B2340</f>
        <v>9.1041514930808448E-3</v>
      </c>
      <c r="M2340" s="4">
        <f>1/JPY!C2340</f>
        <v>9.1237712561060835E-3</v>
      </c>
      <c r="N2340" s="5">
        <f>1/KRW!B2340</f>
        <v>8.8952143746664288E-4</v>
      </c>
      <c r="O2340" s="5">
        <f>1/KRW!C2340</f>
        <v>8.8952523547512026E-4</v>
      </c>
      <c r="P2340" s="3">
        <f>1/NOK!B2340</f>
        <v>0.11648766395638702</v>
      </c>
      <c r="Q2340" s="3">
        <f>1/NOK!C2340</f>
        <v>0.11663575819074611</v>
      </c>
      <c r="R2340" s="3">
        <f>NZD!B2340/1</f>
        <v>0.67530000000000001</v>
      </c>
      <c r="S2340" s="3">
        <f>NZD!C2340/1</f>
        <v>0.67569999999999997</v>
      </c>
      <c r="T2340" s="4">
        <f>1/PHP!B2340</f>
        <v>1.9135093761959435E-2</v>
      </c>
      <c r="U2340" s="4">
        <f>1/PHP!C2340</f>
        <v>1.9093078758949882E-2</v>
      </c>
      <c r="V2340" s="4">
        <f>1/TWD!B2340</f>
        <v>3.2524556039810061E-2</v>
      </c>
      <c r="W2340" s="4">
        <f>1/TWD!C2340</f>
        <v>3.2525084971784489E-2</v>
      </c>
      <c r="X2340" s="4">
        <f>1/TWD!B2340</f>
        <v>3.2524556039810061E-2</v>
      </c>
      <c r="Y2340" s="4">
        <f>1/TWD!C2340</f>
        <v>3.2525084971784489E-2</v>
      </c>
      <c r="Z2340" s="4">
        <f>1/ZAR!B2340</f>
        <v>7.3395034091993341E-2</v>
      </c>
      <c r="AA2340" s="4">
        <f>1/ZAR!C2340</f>
        <v>7.3157706066968559E-2</v>
      </c>
    </row>
    <row r="2341" spans="1:27" x14ac:dyDescent="0.25">
      <c r="A2341" t="str">
        <f>"08/02/2019"</f>
        <v>08/02/2019</v>
      </c>
      <c r="B2341" s="3">
        <f>AUD!B2341</f>
        <v>0.70850000000000002</v>
      </c>
      <c r="C2341" s="3">
        <f>AUD!C2341</f>
        <v>0.70879999999999999</v>
      </c>
      <c r="D2341" s="3">
        <f>1/CAD!B2341</f>
        <v>0.75086349301696942</v>
      </c>
      <c r="E2341" s="3">
        <f>1/CAD!C2341</f>
        <v>0.75131480090157776</v>
      </c>
      <c r="F2341" s="3">
        <f>EUR!B2341/1</f>
        <v>1.1339999999999999</v>
      </c>
      <c r="G2341" s="3">
        <f>EUR!C2341/1</f>
        <v>1.1366000000000001</v>
      </c>
      <c r="H2341" s="3">
        <f>GBP!B2341/1</f>
        <v>1.2962</v>
      </c>
      <c r="I2341" s="3">
        <f>GBP!C2341/1</f>
        <v>1.298</v>
      </c>
      <c r="J2341" s="4">
        <f>1/INR!B2341</f>
        <v>1.4022787028921999E-2</v>
      </c>
      <c r="K2341" s="4">
        <f>1/INR!C2341</f>
        <v>1.397672874663685E-2</v>
      </c>
      <c r="L2341" s="4">
        <f>1/JPY!B2341</f>
        <v>9.1033227127901694E-3</v>
      </c>
      <c r="M2341" s="4">
        <f>1/JPY!C2341</f>
        <v>9.1229971600109844E-3</v>
      </c>
      <c r="N2341" s="5">
        <f>1/KRW!B2341</f>
        <v>8.8967971530249106E-4</v>
      </c>
      <c r="O2341" s="5">
        <f>1/KRW!C2341</f>
        <v>8.8968248566610307E-4</v>
      </c>
      <c r="P2341" s="3">
        <f>1/NOK!B2341</f>
        <v>0.11611300117274131</v>
      </c>
      <c r="Q2341" s="3">
        <f>1/NOK!C2341</f>
        <v>0.11626014369753761</v>
      </c>
      <c r="R2341" s="3">
        <f>NZD!B2341/1</f>
        <v>0.67479999999999996</v>
      </c>
      <c r="S2341" s="3">
        <f>NZD!C2341/1</f>
        <v>0.67520000000000002</v>
      </c>
      <c r="T2341" s="4">
        <f>1/PHP!B2341</f>
        <v>1.9201228878648235E-2</v>
      </c>
      <c r="U2341" s="4">
        <f>1/PHP!C2341</f>
        <v>1.9160758766047135E-2</v>
      </c>
      <c r="V2341" s="4">
        <f>1/TWD!B2341</f>
        <v>3.2524556039810061E-2</v>
      </c>
      <c r="W2341" s="4">
        <f>1/TWD!C2341</f>
        <v>3.2525084971784489E-2</v>
      </c>
      <c r="X2341" s="4">
        <f>1/TWD!B2341</f>
        <v>3.2524556039810061E-2</v>
      </c>
      <c r="Y2341" s="4">
        <f>1/TWD!C2341</f>
        <v>3.2525084971784489E-2</v>
      </c>
      <c r="Z2341" s="4">
        <f>1/ZAR!B2341</f>
        <v>7.3367033257276171E-2</v>
      </c>
      <c r="AA2341" s="4">
        <f>1/ZAR!C2341</f>
        <v>7.3128816410106406E-2</v>
      </c>
    </row>
    <row r="2342" spans="1:27" x14ac:dyDescent="0.25">
      <c r="A2342" t="str">
        <f>"11/02/2019"</f>
        <v>11/02/2019</v>
      </c>
      <c r="B2342" s="3">
        <f>AUD!B2342</f>
        <v>0.7087</v>
      </c>
      <c r="C2342" s="3">
        <f>AUD!C2342</f>
        <v>0.70899999999999996</v>
      </c>
      <c r="D2342" s="3">
        <f>1/CAD!B2342</f>
        <v>0.75374990578126178</v>
      </c>
      <c r="E2342" s="3">
        <f>1/CAD!C2342</f>
        <v>0.7542046911531789</v>
      </c>
      <c r="F2342" s="3">
        <f>EUR!B2342/1</f>
        <v>1.1315999999999999</v>
      </c>
      <c r="G2342" s="3">
        <f>EUR!C2342/1</f>
        <v>1.1342000000000001</v>
      </c>
      <c r="H2342" s="3">
        <f>GBP!B2342/1</f>
        <v>1.2924</v>
      </c>
      <c r="I2342" s="3">
        <f>GBP!C2342/1</f>
        <v>1.2942</v>
      </c>
      <c r="J2342" s="4">
        <f>1/INR!B2342</f>
        <v>1.4047903350424948E-2</v>
      </c>
      <c r="K2342" s="4">
        <f>1/INR!C2342</f>
        <v>1.4000700035001751E-2</v>
      </c>
      <c r="L2342" s="4">
        <f>1/JPY!B2342</f>
        <v>9.0777051561365292E-3</v>
      </c>
      <c r="M2342" s="4">
        <f>1/JPY!C2342</f>
        <v>9.0972523568706547E-3</v>
      </c>
      <c r="N2342" s="5">
        <f>1/KRW!B2342</f>
        <v>8.8904694167852064E-4</v>
      </c>
      <c r="O2342" s="5">
        <f>1/KRW!C2342</f>
        <v>8.8905010330762196E-4</v>
      </c>
      <c r="P2342" s="3">
        <f>1/NOK!B2342</f>
        <v>0.11529371072807977</v>
      </c>
      <c r="Q2342" s="3">
        <f>1/NOK!C2342</f>
        <v>0.11543878281347403</v>
      </c>
      <c r="R2342" s="3">
        <f>NZD!B2342/1</f>
        <v>0.67500000000000004</v>
      </c>
      <c r="S2342" s="3">
        <f>NZD!C2342/1</f>
        <v>0.6754</v>
      </c>
      <c r="T2342" s="4">
        <f>1/PHP!B2342</f>
        <v>1.9175455417066157E-2</v>
      </c>
      <c r="U2342" s="4">
        <f>1/PHP!C2342</f>
        <v>1.9133263178035015E-2</v>
      </c>
      <c r="V2342" s="4">
        <f>1/TWD!B2342</f>
        <v>3.2456994482310937E-2</v>
      </c>
      <c r="W2342" s="4">
        <f>1/TWD!C2342</f>
        <v>3.2457521219104495E-2</v>
      </c>
      <c r="X2342" s="4">
        <f>1/TWD!B2342</f>
        <v>3.2456994482310937E-2</v>
      </c>
      <c r="Y2342" s="4">
        <f>1/TWD!C2342</f>
        <v>3.2457521219104495E-2</v>
      </c>
      <c r="Z2342" s="4">
        <f>1/ZAR!B2342</f>
        <v>7.2824195110583537E-2</v>
      </c>
      <c r="AA2342" s="4">
        <f>1/ZAR!C2342</f>
        <v>7.2590011614401859E-2</v>
      </c>
    </row>
    <row r="2343" spans="1:27" x14ac:dyDescent="0.25">
      <c r="A2343" t="str">
        <f>"12/02/2019"</f>
        <v>12/02/2019</v>
      </c>
      <c r="B2343" s="3">
        <f>AUD!B2343</f>
        <v>0.70750000000000002</v>
      </c>
      <c r="C2343" s="3">
        <f>AUD!C2343</f>
        <v>0.70779999999999998</v>
      </c>
      <c r="D2343" s="3">
        <f>1/CAD!B2343</f>
        <v>0.75250206938069086</v>
      </c>
      <c r="E2343" s="3">
        <f>1/CAD!C2343</f>
        <v>0.75295534974775991</v>
      </c>
      <c r="F2343" s="3">
        <f>EUR!B2343/1</f>
        <v>1.1276999999999999</v>
      </c>
      <c r="G2343" s="3">
        <f>EUR!C2343/1</f>
        <v>1.1303000000000001</v>
      </c>
      <c r="H2343" s="3">
        <f>GBP!B2343/1</f>
        <v>1.2863</v>
      </c>
      <c r="I2343" s="3">
        <f>GBP!C2343/1</f>
        <v>1.2881</v>
      </c>
      <c r="J2343" s="4">
        <f>1/INR!B2343</f>
        <v>1.4072614691809739E-2</v>
      </c>
      <c r="K2343" s="4">
        <f>1/INR!C2343</f>
        <v>1.4024753690263316E-2</v>
      </c>
      <c r="L2343" s="4">
        <f>1/JPY!B2343</f>
        <v>9.0424088977303554E-3</v>
      </c>
      <c r="M2343" s="4">
        <f>1/JPY!C2343</f>
        <v>9.0619109757865742E-3</v>
      </c>
      <c r="N2343" s="5">
        <f>1/KRW!B2343</f>
        <v>8.8944231966556968E-4</v>
      </c>
      <c r="O2343" s="5">
        <f>1/KRW!C2343</f>
        <v>8.8944469299482253E-4</v>
      </c>
      <c r="P2343" s="3">
        <f>1/NOK!B2343</f>
        <v>0.11482901958983073</v>
      </c>
      <c r="Q2343" s="3">
        <f>1/NOK!C2343</f>
        <v>0.11497292387642712</v>
      </c>
      <c r="R2343" s="3">
        <f>NZD!B2343/1</f>
        <v>0.67249999999999999</v>
      </c>
      <c r="S2343" s="3">
        <f>NZD!C2343/1</f>
        <v>0.67290000000000005</v>
      </c>
      <c r="T2343" s="4">
        <f>1/PHP!B2343</f>
        <v>1.9147917663954045E-2</v>
      </c>
      <c r="U2343" s="4">
        <f>1/PHP!C2343</f>
        <v>1.910584638899503E-2</v>
      </c>
      <c r="V2343" s="4">
        <f>1/TWD!B2343</f>
        <v>3.2425421530479899E-2</v>
      </c>
      <c r="W2343" s="4">
        <f>1/TWD!C2343</f>
        <v>3.2425947242983838E-2</v>
      </c>
      <c r="X2343" s="4">
        <f>1/TWD!B2343</f>
        <v>3.2425421530479899E-2</v>
      </c>
      <c r="Y2343" s="4">
        <f>1/TWD!C2343</f>
        <v>3.2425947242983838E-2</v>
      </c>
      <c r="Z2343" s="4">
        <f>1/ZAR!B2343</f>
        <v>7.2482676640282975E-2</v>
      </c>
      <c r="AA2343" s="4">
        <f>1/ZAR!C2343</f>
        <v>7.224911494834188E-2</v>
      </c>
    </row>
    <row r="2344" spans="1:27" x14ac:dyDescent="0.25">
      <c r="A2344" t="str">
        <f>"13/02/2019"</f>
        <v>13/02/2019</v>
      </c>
      <c r="B2344" s="3">
        <f>AUD!B2344</f>
        <v>0.71140000000000003</v>
      </c>
      <c r="C2344" s="3">
        <f>AUD!C2344</f>
        <v>0.7117</v>
      </c>
      <c r="D2344" s="3">
        <f>1/CAD!B2344</f>
        <v>0.75545818538943865</v>
      </c>
      <c r="E2344" s="3">
        <f>1/CAD!C2344</f>
        <v>0.75591503515004921</v>
      </c>
      <c r="F2344" s="3">
        <f>EUR!B2344/1</f>
        <v>1.1315999999999999</v>
      </c>
      <c r="G2344" s="3">
        <f>EUR!C2344/1</f>
        <v>1.1342000000000001</v>
      </c>
      <c r="H2344" s="3">
        <f>GBP!B2344/1</f>
        <v>1.2917000000000001</v>
      </c>
      <c r="I2344" s="3">
        <f>GBP!C2344/1</f>
        <v>1.2935000000000001</v>
      </c>
      <c r="J2344" s="4">
        <f>1/INR!B2344</f>
        <v>1.4122797726229566E-2</v>
      </c>
      <c r="K2344" s="4">
        <f>1/INR!C2344</f>
        <v>1.4075090608395792E-2</v>
      </c>
      <c r="L2344" s="4">
        <f>1/JPY!B2344</f>
        <v>9.0350560173473073E-3</v>
      </c>
      <c r="M2344" s="4">
        <f>1/JPY!C2344</f>
        <v>9.0542148275443695E-3</v>
      </c>
      <c r="N2344" s="5">
        <f>1/KRW!B2344</f>
        <v>8.9134503966485418E-4</v>
      </c>
      <c r="O2344" s="5">
        <f>1/KRW!C2344</f>
        <v>8.9134742315916712E-4</v>
      </c>
      <c r="P2344" s="3">
        <f>1/NOK!B2344</f>
        <v>0.11588291190581036</v>
      </c>
      <c r="Q2344" s="3">
        <f>1/NOK!C2344</f>
        <v>0.11602812521755272</v>
      </c>
      <c r="R2344" s="3">
        <f>NZD!B2344/1</f>
        <v>0.68140000000000001</v>
      </c>
      <c r="S2344" s="3">
        <f>NZD!C2344/1</f>
        <v>0.68179999999999996</v>
      </c>
      <c r="T2344" s="4">
        <f>1/PHP!B2344</f>
        <v>1.9182812200268559E-2</v>
      </c>
      <c r="U2344" s="4">
        <f>1/PHP!C2344</f>
        <v>1.9143152494352771E-2</v>
      </c>
      <c r="V2344" s="4">
        <f>1/TWD!B2344</f>
        <v>3.2433834976647639E-2</v>
      </c>
      <c r="W2344" s="4">
        <f>1/TWD!C2344</f>
        <v>3.2434360962003146E-2</v>
      </c>
      <c r="X2344" s="4">
        <f>1/TWD!B2344</f>
        <v>3.2433834976647639E-2</v>
      </c>
      <c r="Y2344" s="4">
        <f>1/TWD!C2344</f>
        <v>3.2434360962003146E-2</v>
      </c>
      <c r="Z2344" s="4">
        <f>1/ZAR!B2344</f>
        <v>7.2083501528170238E-2</v>
      </c>
      <c r="AA2344" s="4">
        <f>1/ZAR!C2344</f>
        <v>7.1838564378129466E-2</v>
      </c>
    </row>
    <row r="2345" spans="1:27" x14ac:dyDescent="0.25">
      <c r="A2345" t="str">
        <f>"14/02/2019"</f>
        <v>14/02/2019</v>
      </c>
      <c r="B2345" s="3">
        <f>AUD!B2345</f>
        <v>0.71020000000000005</v>
      </c>
      <c r="C2345" s="3">
        <f>AUD!C2345</f>
        <v>0.71050000000000002</v>
      </c>
      <c r="D2345" s="3">
        <f>1/CAD!B2345</f>
        <v>0.75374990578126178</v>
      </c>
      <c r="E2345" s="3">
        <f>1/CAD!C2345</f>
        <v>0.7542046911531789</v>
      </c>
      <c r="F2345" s="3">
        <f>EUR!B2345/1</f>
        <v>1.127</v>
      </c>
      <c r="G2345" s="3">
        <f>EUR!C2345/1</f>
        <v>1.1295999999999999</v>
      </c>
      <c r="H2345" s="3">
        <f>GBP!B2345/1</f>
        <v>1.2824</v>
      </c>
      <c r="I2345" s="3">
        <f>GBP!C2345/1</f>
        <v>1.2842</v>
      </c>
      <c r="J2345" s="4">
        <f>1/INR!B2345</f>
        <v>1.4049383583295284E-2</v>
      </c>
      <c r="K2345" s="4">
        <f>1/INR!C2345</f>
        <v>1.4000700035001751E-2</v>
      </c>
      <c r="L2345" s="4">
        <f>1/JPY!B2345</f>
        <v>9.0025207057976234E-3</v>
      </c>
      <c r="M2345" s="4">
        <f>1/JPY!C2345</f>
        <v>9.0215334983071091E-3</v>
      </c>
      <c r="N2345" s="5">
        <f>1/KRW!B2345</f>
        <v>8.8857295183934596E-4</v>
      </c>
      <c r="O2345" s="5">
        <f>1/KRW!C2345</f>
        <v>8.8857650488206137E-4</v>
      </c>
      <c r="P2345" s="3">
        <f>1/NOK!B2345</f>
        <v>0.11547344110854503</v>
      </c>
      <c r="Q2345" s="3">
        <f>1/NOK!C2345</f>
        <v>0.11561762937612727</v>
      </c>
      <c r="R2345" s="3">
        <f>NZD!B2345/1</f>
        <v>0.68289999999999995</v>
      </c>
      <c r="S2345" s="3">
        <f>NZD!C2345/1</f>
        <v>0.68330000000000002</v>
      </c>
      <c r="T2345" s="4">
        <f>1/PHP!B2345</f>
        <v>1.9091256204658267E-2</v>
      </c>
      <c r="U2345" s="4">
        <f>1/PHP!C2345</f>
        <v>1.9049433279359939E-2</v>
      </c>
      <c r="V2345" s="4">
        <f>1/TWD!B2345</f>
        <v>3.2432783057114133E-2</v>
      </c>
      <c r="W2345" s="4">
        <f>1/TWD!C2345</f>
        <v>3.2433309008351577E-2</v>
      </c>
      <c r="X2345" s="4">
        <f>1/TWD!B2345</f>
        <v>3.2432783057114133E-2</v>
      </c>
      <c r="Y2345" s="4">
        <f>1/TWD!C2345</f>
        <v>3.2433309008351577E-2</v>
      </c>
      <c r="Z2345" s="4">
        <f>1/ZAR!B2345</f>
        <v>7.0809494136973877E-2</v>
      </c>
      <c r="AA2345" s="4">
        <f>1/ZAR!C2345</f>
        <v>7.0569140115027698E-2</v>
      </c>
    </row>
    <row r="2346" spans="1:27" x14ac:dyDescent="0.25">
      <c r="A2346" t="str">
        <f>"15/02/2019"</f>
        <v>15/02/2019</v>
      </c>
      <c r="B2346" s="3">
        <f>AUD!B2346</f>
        <v>0.71099999999999997</v>
      </c>
      <c r="C2346" s="3">
        <f>AUD!C2346</f>
        <v>0.71130000000000004</v>
      </c>
      <c r="D2346" s="3">
        <f>1/CAD!B2346</f>
        <v>0.7524454477050414</v>
      </c>
      <c r="E2346" s="3">
        <f>1/CAD!C2346</f>
        <v>0.75289865984038551</v>
      </c>
      <c r="F2346" s="3">
        <f>EUR!B2346/1</f>
        <v>1.1274999999999999</v>
      </c>
      <c r="G2346" s="3">
        <f>EUR!C2346/1</f>
        <v>1.1301000000000001</v>
      </c>
      <c r="H2346" s="3">
        <f>GBP!B2346/1</f>
        <v>1.2817000000000001</v>
      </c>
      <c r="I2346" s="3">
        <f>GBP!C2346/1</f>
        <v>1.2835000000000001</v>
      </c>
      <c r="J2346" s="4">
        <f>1/INR!B2346</f>
        <v>1.4038043096792307E-2</v>
      </c>
      <c r="K2346" s="4">
        <f>1/INR!C2346</f>
        <v>1.3985036011467731E-2</v>
      </c>
      <c r="L2346" s="4">
        <f>1/JPY!B2346</f>
        <v>9.0555102780041658E-3</v>
      </c>
      <c r="M2346" s="4">
        <f>1/JPY!C2346</f>
        <v>9.0747395549747728E-3</v>
      </c>
      <c r="N2346" s="5">
        <f>1/KRW!B2346</f>
        <v>8.8581805297191952E-4</v>
      </c>
      <c r="O2346" s="5">
        <f>1/KRW!C2346</f>
        <v>8.8582040699904422E-4</v>
      </c>
      <c r="P2346" s="3">
        <f>1/NOK!B2346</f>
        <v>0.11538550296540742</v>
      </c>
      <c r="Q2346" s="3">
        <f>1/NOK!C2346</f>
        <v>0.11552947156819705</v>
      </c>
      <c r="R2346" s="3">
        <f>NZD!B2346/1</f>
        <v>0.68530000000000002</v>
      </c>
      <c r="S2346" s="3">
        <f>NZD!C2346/1</f>
        <v>0.68569999999999998</v>
      </c>
      <c r="T2346" s="4">
        <f>1/PHP!B2346</f>
        <v>1.9067594622938316E-2</v>
      </c>
      <c r="U2346" s="4">
        <f>1/PHP!C2346</f>
        <v>1.9027685282085434E-2</v>
      </c>
      <c r="V2346" s="4">
        <f>1/TWD!B2346</f>
        <v>3.2414910858995137E-2</v>
      </c>
      <c r="W2346" s="4">
        <f>1/TWD!C2346</f>
        <v>3.2415436230733077E-2</v>
      </c>
      <c r="X2346" s="4">
        <f>1/TWD!B2346</f>
        <v>3.2414910858995137E-2</v>
      </c>
      <c r="Y2346" s="4">
        <f>1/TWD!C2346</f>
        <v>3.2415436230733077E-2</v>
      </c>
      <c r="Z2346" s="4">
        <f>1/ZAR!B2346</f>
        <v>7.0770907495346813E-2</v>
      </c>
      <c r="AA2346" s="4">
        <f>1/ZAR!C2346</f>
        <v>7.0530814913035506E-2</v>
      </c>
    </row>
    <row r="2347" spans="1:27" x14ac:dyDescent="0.25">
      <c r="A2347" t="str">
        <f>"18/02/2019"</f>
        <v>18/02/2019</v>
      </c>
      <c r="B2347" s="3">
        <f>AUD!B2347</f>
        <v>0.71509999999999996</v>
      </c>
      <c r="C2347" s="3">
        <f>AUD!C2347</f>
        <v>0.71540000000000004</v>
      </c>
      <c r="D2347" s="3">
        <f>1/CAD!B2347</f>
        <v>0.75568654122270085</v>
      </c>
      <c r="E2347" s="3">
        <f>1/CAD!C2347</f>
        <v>0.75614366729678639</v>
      </c>
      <c r="F2347" s="3">
        <f>EUR!B2347/1</f>
        <v>1.1314</v>
      </c>
      <c r="G2347" s="3">
        <f>EUR!C2347/1</f>
        <v>1.1339999999999999</v>
      </c>
      <c r="H2347" s="3">
        <f>GBP!B2347/1</f>
        <v>1.2911999999999999</v>
      </c>
      <c r="I2347" s="3">
        <f>GBP!C2347/1</f>
        <v>1.2929999999999999</v>
      </c>
      <c r="J2347" s="4">
        <f>1/INR!B2347</f>
        <v>1.4003150708909506E-2</v>
      </c>
      <c r="K2347" s="4">
        <f>1/INR!C2347</f>
        <v>1.3950892857142856E-2</v>
      </c>
      <c r="L2347" s="4">
        <f>1/JPY!B2347</f>
        <v>9.0473174703700355E-3</v>
      </c>
      <c r="M2347" s="4">
        <f>1/JPY!C2347</f>
        <v>9.0664872711051954E-3</v>
      </c>
      <c r="N2347" s="5">
        <f>1/KRW!B2347</f>
        <v>8.8936321593738874E-4</v>
      </c>
      <c r="O2347" s="5">
        <f>1/KRW!C2347</f>
        <v>8.8936598433026067E-4</v>
      </c>
      <c r="P2347" s="3">
        <f>1/NOK!B2347</f>
        <v>0.11595547309833024</v>
      </c>
      <c r="Q2347" s="3">
        <f>1/NOK!C2347</f>
        <v>0.11609682475184303</v>
      </c>
      <c r="R2347" s="3">
        <f>NZD!B2347/1</f>
        <v>0.68840000000000001</v>
      </c>
      <c r="S2347" s="3">
        <f>NZD!C2347/1</f>
        <v>0.68879999999999997</v>
      </c>
      <c r="T2347" s="4">
        <f>1/PHP!B2347</f>
        <v>1.9102196752626553E-2</v>
      </c>
      <c r="U2347" s="4">
        <f>1/PHP!C2347</f>
        <v>1.9060325931573429E-2</v>
      </c>
      <c r="V2347" s="4">
        <f>1/TWD!B2347</f>
        <v>3.2448569018106298E-2</v>
      </c>
      <c r="W2347" s="4">
        <f>1/TWD!C2347</f>
        <v>3.2449095481463457E-2</v>
      </c>
      <c r="X2347" s="4">
        <f>1/TWD!B2347</f>
        <v>3.2448569018106298E-2</v>
      </c>
      <c r="Y2347" s="4">
        <f>1/TWD!C2347</f>
        <v>3.2449095481463457E-2</v>
      </c>
      <c r="Z2347" s="4">
        <f>1/ZAR!B2347</f>
        <v>7.1078762376589499E-2</v>
      </c>
      <c r="AA2347" s="4">
        <f>1/ZAR!C2347</f>
        <v>7.0836580009917119E-2</v>
      </c>
    </row>
    <row r="2348" spans="1:27" x14ac:dyDescent="0.25">
      <c r="A2348" t="str">
        <f>"20/02/2019"</f>
        <v>20/02/2019</v>
      </c>
      <c r="B2348" s="3">
        <f>AUD!B2348</f>
        <v>0.71519999999999995</v>
      </c>
      <c r="C2348" s="3">
        <f>AUD!C2348</f>
        <v>0.71550000000000002</v>
      </c>
      <c r="D2348" s="3">
        <f>1/CAD!B2348</f>
        <v>0.75866777937940977</v>
      </c>
      <c r="E2348" s="3">
        <f>1/CAD!C2348</f>
        <v>0.75912852045851364</v>
      </c>
      <c r="F2348" s="3">
        <f>EUR!B2348/1</f>
        <v>1.1332</v>
      </c>
      <c r="G2348" s="3">
        <f>EUR!C2348/1</f>
        <v>1.1357999999999999</v>
      </c>
      <c r="H2348" s="3">
        <f>GBP!B2348/1</f>
        <v>1.3023</v>
      </c>
      <c r="I2348" s="3">
        <f>GBP!C2348/1</f>
        <v>1.3041</v>
      </c>
      <c r="J2348" s="4">
        <f>1/INR!B2348</f>
        <v>1.4062225347161188E-2</v>
      </c>
      <c r="K2348" s="4">
        <f>1/INR!C2348</f>
        <v>1.4010017162271024E-2</v>
      </c>
      <c r="L2348" s="4">
        <f>1/JPY!B2348</f>
        <v>9.0220137134608448E-3</v>
      </c>
      <c r="M2348" s="4">
        <f>1/JPY!C2348</f>
        <v>9.0408883215229198E-3</v>
      </c>
      <c r="N2348" s="5">
        <f>1/KRW!B2348</f>
        <v>8.8983804947499561E-4</v>
      </c>
      <c r="O2348" s="5">
        <f>1/KRW!C2348</f>
        <v>8.898408208247668E-4</v>
      </c>
      <c r="P2348" s="3">
        <f>1/NOK!B2348</f>
        <v>0.11642934485207651</v>
      </c>
      <c r="Q2348" s="3">
        <f>1/NOK!C2348</f>
        <v>0.11657457275419085</v>
      </c>
      <c r="R2348" s="3">
        <f>NZD!B2348/1</f>
        <v>0.68600000000000005</v>
      </c>
      <c r="S2348" s="3">
        <f>NZD!C2348/1</f>
        <v>0.68640000000000001</v>
      </c>
      <c r="T2348" s="4">
        <f>1/PHP!B2348</f>
        <v>1.9201228878648235E-2</v>
      </c>
      <c r="U2348" s="4">
        <f>1/PHP!C2348</f>
        <v>1.9157088122605363E-2</v>
      </c>
      <c r="V2348" s="4">
        <f>1/TWD!B2348</f>
        <v>3.2440147927074545E-2</v>
      </c>
      <c r="W2348" s="4">
        <f>1/TWD!C2348</f>
        <v>3.2440674117208156E-2</v>
      </c>
      <c r="X2348" s="4">
        <f>1/TWD!B2348</f>
        <v>3.2440147927074545E-2</v>
      </c>
      <c r="Y2348" s="4">
        <f>1/TWD!C2348</f>
        <v>3.2440674117208156E-2</v>
      </c>
      <c r="Z2348" s="4">
        <f>1/ZAR!B2348</f>
        <v>7.0719357302480843E-2</v>
      </c>
      <c r="AA2348" s="4">
        <f>1/ZAR!C2348</f>
        <v>7.0486568784318152E-2</v>
      </c>
    </row>
    <row r="2349" spans="1:27" x14ac:dyDescent="0.25">
      <c r="A2349" t="str">
        <f>"21/02/2019"</f>
        <v>21/02/2019</v>
      </c>
      <c r="B2349" s="3">
        <f>AUD!B2349</f>
        <v>0.71609999999999996</v>
      </c>
      <c r="C2349" s="3">
        <f>AUD!C2349</f>
        <v>0.71640000000000004</v>
      </c>
      <c r="D2349" s="3">
        <f>1/CAD!B2349</f>
        <v>0.75935910091882453</v>
      </c>
      <c r="E2349" s="3">
        <f>1/CAD!C2349</f>
        <v>0.75982068231897271</v>
      </c>
      <c r="F2349" s="3">
        <f>EUR!B2349/1</f>
        <v>1.1349</v>
      </c>
      <c r="G2349" s="3">
        <f>EUR!C2349/1</f>
        <v>1.1375</v>
      </c>
      <c r="H2349" s="3">
        <f>GBP!B2349/1</f>
        <v>1.3045</v>
      </c>
      <c r="I2349" s="3">
        <f>GBP!C2349/1</f>
        <v>1.3063</v>
      </c>
      <c r="J2349" s="4">
        <f>1/INR!B2349</f>
        <v>1.4088475626937165E-2</v>
      </c>
      <c r="K2349" s="4">
        <f>1/INR!C2349</f>
        <v>1.4037057832678272E-2</v>
      </c>
      <c r="L2349" s="4">
        <f>1/JPY!B2349</f>
        <v>9.0269001624842023E-3</v>
      </c>
      <c r="M2349" s="4">
        <f>1/JPY!C2349</f>
        <v>9.045827973680259E-3</v>
      </c>
      <c r="N2349" s="5">
        <f>1/KRW!B2349</f>
        <v>8.9039266316445558E-4</v>
      </c>
      <c r="O2349" s="5">
        <f>1/KRW!C2349</f>
        <v>8.9039646861637379E-4</v>
      </c>
      <c r="P2349" s="3">
        <f>1/NOK!B2349</f>
        <v>0.11642527825641504</v>
      </c>
      <c r="Q2349" s="3">
        <f>1/NOK!C2349</f>
        <v>0.11656641954585724</v>
      </c>
      <c r="R2349" s="3">
        <f>NZD!B2349/1</f>
        <v>0.68479999999999996</v>
      </c>
      <c r="S2349" s="3">
        <f>NZD!C2349/1</f>
        <v>0.68520000000000003</v>
      </c>
      <c r="T2349" s="4">
        <f>1/PHP!B2349</f>
        <v>1.9230769230769232E-2</v>
      </c>
      <c r="U2349" s="4">
        <f>1/PHP!C2349</f>
        <v>1.918833349323611E-2</v>
      </c>
      <c r="V2349" s="4">
        <f>1/TWD!B2349</f>
        <v>3.2472804026627694E-2</v>
      </c>
      <c r="W2349" s="4">
        <f>1/TWD!C2349</f>
        <v>3.247333127668902E-2</v>
      </c>
      <c r="X2349" s="4">
        <f>1/TWD!B2349</f>
        <v>3.2472804026627694E-2</v>
      </c>
      <c r="Y2349" s="4">
        <f>1/TWD!C2349</f>
        <v>3.247333127668902E-2</v>
      </c>
      <c r="Z2349" s="4">
        <f>1/ZAR!B2349</f>
        <v>7.136281569125591E-2</v>
      </c>
      <c r="AA2349" s="4">
        <f>1/ZAR!C2349</f>
        <v>7.1127296522586467E-2</v>
      </c>
    </row>
    <row r="2350" spans="1:27" x14ac:dyDescent="0.25">
      <c r="A2350" t="str">
        <f>"22/02/2019"</f>
        <v>22/02/2019</v>
      </c>
      <c r="B2350" s="3">
        <f>AUD!B2350</f>
        <v>0.71109999999999995</v>
      </c>
      <c r="C2350" s="3">
        <f>AUD!C2350</f>
        <v>0.71140000000000003</v>
      </c>
      <c r="D2350" s="3">
        <f>1/CAD!B2350</f>
        <v>0.75705958058899236</v>
      </c>
      <c r="E2350" s="3">
        <f>1/CAD!C2350</f>
        <v>0.75751836982046816</v>
      </c>
      <c r="F2350" s="3">
        <f>EUR!B2350/1</f>
        <v>1.1338999999999999</v>
      </c>
      <c r="G2350" s="3">
        <f>EUR!C2350/1</f>
        <v>1.1365000000000001</v>
      </c>
      <c r="H2350" s="3">
        <f>GBP!B2350/1</f>
        <v>1.3013999999999999</v>
      </c>
      <c r="I2350" s="3">
        <f>GBP!C2350/1</f>
        <v>1.3031999999999999</v>
      </c>
      <c r="J2350" s="4">
        <f>1/INR!B2350</f>
        <v>1.4055801532082367E-2</v>
      </c>
      <c r="K2350" s="4">
        <f>1/INR!C2350</f>
        <v>1.4005602240896357E-2</v>
      </c>
      <c r="L2350" s="4">
        <f>1/JPY!B2350</f>
        <v>9.0195724722648141E-3</v>
      </c>
      <c r="M2350" s="4">
        <f>1/JPY!C2350</f>
        <v>9.0383551639738394E-3</v>
      </c>
      <c r="N2350" s="5">
        <f>1/KRW!B2350</f>
        <v>8.8857295183934596E-4</v>
      </c>
      <c r="O2350" s="5">
        <f>1/KRW!C2350</f>
        <v>8.8857571531455798E-4</v>
      </c>
      <c r="P2350" s="3">
        <f>1/NOK!B2350</f>
        <v>0.1160012064125467</v>
      </c>
      <c r="Q2350" s="3">
        <f>1/NOK!C2350</f>
        <v>0.11614536754201558</v>
      </c>
      <c r="R2350" s="3">
        <f>NZD!B2350/1</f>
        <v>0.68069999999999997</v>
      </c>
      <c r="S2350" s="3">
        <f>NZD!C2350/1</f>
        <v>0.68100000000000005</v>
      </c>
      <c r="T2350" s="4">
        <f>1/PHP!B2350</f>
        <v>1.9214141608223653E-2</v>
      </c>
      <c r="U2350" s="4">
        <f>1/PHP!C2350</f>
        <v>1.9173617102866455E-2</v>
      </c>
      <c r="V2350" s="4">
        <f>1/TWD!B2350</f>
        <v>3.2444357926156644E-2</v>
      </c>
      <c r="W2350" s="4">
        <f>1/TWD!C2350</f>
        <v>3.2444884252875429E-2</v>
      </c>
      <c r="X2350" s="4">
        <f>1/TWD!B2350</f>
        <v>3.2444357926156644E-2</v>
      </c>
      <c r="Y2350" s="4">
        <f>1/TWD!C2350</f>
        <v>3.2444884252875429E-2</v>
      </c>
      <c r="Z2350" s="4">
        <f>1/ZAR!B2350</f>
        <v>7.1417858749758964E-2</v>
      </c>
      <c r="AA2350" s="4">
        <f>1/ZAR!C2350</f>
        <v>7.1179950031675085E-2</v>
      </c>
    </row>
    <row r="2351" spans="1:27" x14ac:dyDescent="0.25">
      <c r="A2351" t="str">
        <f>"25/02/2019"</f>
        <v>25/02/2019</v>
      </c>
      <c r="B2351" s="3">
        <f>AUD!B2351</f>
        <v>0.71789999999999998</v>
      </c>
      <c r="C2351" s="3">
        <f>AUD!C2351</f>
        <v>0.71819999999999995</v>
      </c>
      <c r="D2351" s="3">
        <f>1/CAD!B2351</f>
        <v>0.76236944423267505</v>
      </c>
      <c r="E2351" s="3">
        <f>1/CAD!C2351</f>
        <v>0.76283469372187052</v>
      </c>
      <c r="F2351" s="3">
        <f>EUR!B2351/1</f>
        <v>1.1365000000000001</v>
      </c>
      <c r="G2351" s="3">
        <f>EUR!C2351/1</f>
        <v>1.1391</v>
      </c>
      <c r="H2351" s="3">
        <f>GBP!B2351/1</f>
        <v>1.3080000000000001</v>
      </c>
      <c r="I2351" s="3">
        <f>GBP!C2351/1</f>
        <v>1.3099000000000001</v>
      </c>
      <c r="J2351" s="4">
        <f>1/INR!B2351</f>
        <v>1.4087483271113616E-2</v>
      </c>
      <c r="K2351" s="4">
        <f>1/INR!C2351</f>
        <v>1.4038043096792307E-2</v>
      </c>
      <c r="L2351" s="4">
        <f>1/JPY!B2351</f>
        <v>9.0293453724604959E-3</v>
      </c>
      <c r="M2351" s="4">
        <f>1/JPY!C2351</f>
        <v>9.0483161988385592E-3</v>
      </c>
      <c r="N2351" s="5">
        <f>1/KRW!B2351</f>
        <v>8.9198109000089207E-4</v>
      </c>
      <c r="O2351" s="5">
        <f>1/KRW!C2351</f>
        <v>8.9198363602500691E-4</v>
      </c>
      <c r="P2351" s="3">
        <f>1/NOK!B2351</f>
        <v>0.11669700788871773</v>
      </c>
      <c r="Q2351" s="3">
        <f>1/NOK!C2351</f>
        <v>0.1168415395041245</v>
      </c>
      <c r="R2351" s="3">
        <f>NZD!B2351/1</f>
        <v>0.68989999999999996</v>
      </c>
      <c r="S2351" s="3">
        <f>NZD!C2351/1</f>
        <v>0.69020000000000004</v>
      </c>
      <c r="T2351" s="4">
        <f>1/PHP!B2351</f>
        <v>1.9214141608223653E-2</v>
      </c>
      <c r="U2351" s="4">
        <f>1/PHP!C2351</f>
        <v>1.9173617102866455E-2</v>
      </c>
      <c r="V2351" s="4">
        <f>1/TWD!B2351</f>
        <v>3.2472804026627694E-2</v>
      </c>
      <c r="W2351" s="4">
        <f>1/TWD!C2351</f>
        <v>3.2473436728755876E-2</v>
      </c>
      <c r="X2351" s="4">
        <f>1/TWD!B2351</f>
        <v>3.2472804026627694E-2</v>
      </c>
      <c r="Y2351" s="4">
        <f>1/TWD!C2351</f>
        <v>3.2473436728755876E-2</v>
      </c>
      <c r="Z2351" s="4">
        <f>1/ZAR!B2351</f>
        <v>7.2130296166996066E-2</v>
      </c>
      <c r="AA2351" s="4">
        <f>1/ZAR!C2351</f>
        <v>7.1890726096333568E-2</v>
      </c>
    </row>
    <row r="2352" spans="1:27" x14ac:dyDescent="0.25">
      <c r="A2352" t="str">
        <f>"26/02/2019"</f>
        <v>26/02/2019</v>
      </c>
      <c r="B2352" s="3">
        <f>AUD!B2352</f>
        <v>0.71489999999999998</v>
      </c>
      <c r="C2352" s="3">
        <f>AUD!C2352</f>
        <v>0.71530000000000005</v>
      </c>
      <c r="D2352" s="3">
        <f>1/CAD!B2352</f>
        <v>0.75631523218877628</v>
      </c>
      <c r="E2352" s="3">
        <f>1/CAD!C2352</f>
        <v>0.75677311941879832</v>
      </c>
      <c r="F2352" s="3">
        <f>EUR!B2352/1</f>
        <v>1.1363000000000001</v>
      </c>
      <c r="G2352" s="3">
        <f>EUR!C2352/1</f>
        <v>1.139</v>
      </c>
      <c r="H2352" s="3">
        <f>GBP!B2352/1</f>
        <v>1.3199000000000001</v>
      </c>
      <c r="I2352" s="3">
        <f>GBP!C2352/1</f>
        <v>1.3218000000000001</v>
      </c>
      <c r="J2352" s="4">
        <f>1/INR!B2352</f>
        <v>1.4070139646135987E-2</v>
      </c>
      <c r="K2352" s="4">
        <f>1/INR!C2352</f>
        <v>1.4017872787804449E-2</v>
      </c>
      <c r="L2352" s="4">
        <f>1/JPY!B2352</f>
        <v>9.0187590187590198E-3</v>
      </c>
      <c r="M2352" s="4">
        <f>1/JPY!C2352</f>
        <v>9.038379671599513E-3</v>
      </c>
      <c r="N2352" s="5">
        <f>1/KRW!B2352</f>
        <v>8.9381480157311414E-4</v>
      </c>
      <c r="O2352" s="5">
        <f>1/KRW!C2352</f>
        <v>8.9381799720413728E-4</v>
      </c>
      <c r="P2352" s="3">
        <f>1/NOK!B2352</f>
        <v>0.11618990077382474</v>
      </c>
      <c r="Q2352" s="3">
        <f>1/NOK!C2352</f>
        <v>0.11633723838663516</v>
      </c>
      <c r="R2352" s="3">
        <f>NZD!B2352/1</f>
        <v>0.68779999999999997</v>
      </c>
      <c r="S2352" s="3">
        <f>NZD!C2352/1</f>
        <v>0.68810000000000004</v>
      </c>
      <c r="T2352" s="4">
        <f>1/PHP!B2352</f>
        <v>1.9219680953296174E-2</v>
      </c>
      <c r="U2352" s="4">
        <f>1/PHP!C2352</f>
        <v>1.9177294083804773E-2</v>
      </c>
      <c r="V2352" s="4">
        <f>1/TWD!B2352</f>
        <v>3.2485462755416951E-2</v>
      </c>
      <c r="W2352" s="4">
        <f>1/TWD!C2352</f>
        <v>3.248620148591886E-2</v>
      </c>
      <c r="X2352" s="4">
        <f>1/TWD!B2352</f>
        <v>3.2485462755416951E-2</v>
      </c>
      <c r="Y2352" s="4">
        <f>1/TWD!C2352</f>
        <v>3.248620148591886E-2</v>
      </c>
      <c r="Z2352" s="4">
        <f>1/ZAR!B2352</f>
        <v>7.2124053371799487E-2</v>
      </c>
      <c r="AA2352" s="4">
        <f>1/ZAR!C2352</f>
        <v>7.1877807726864335E-2</v>
      </c>
    </row>
    <row r="2353" spans="1:27" x14ac:dyDescent="0.25">
      <c r="A2353" t="str">
        <f>"27/02/2019"</f>
        <v>27/02/2019</v>
      </c>
      <c r="B2353" s="3">
        <f>AUD!B2353</f>
        <v>0.71640000000000004</v>
      </c>
      <c r="C2353" s="3">
        <f>AUD!C2353</f>
        <v>0.7167</v>
      </c>
      <c r="D2353" s="3">
        <f>1/CAD!B2353</f>
        <v>0.7607455306200076</v>
      </c>
      <c r="E2353" s="3">
        <f>1/CAD!C2353</f>
        <v>0.76120879957372301</v>
      </c>
      <c r="F2353" s="3">
        <f>EUR!B2353/1</f>
        <v>1.1395</v>
      </c>
      <c r="G2353" s="3">
        <f>EUR!C2353/1</f>
        <v>1.1425000000000001</v>
      </c>
      <c r="H2353" s="3">
        <f>GBP!B2353/1</f>
        <v>1.3314999999999999</v>
      </c>
      <c r="I2353" s="3">
        <f>GBP!C2353/1</f>
        <v>1.3335999999999999</v>
      </c>
      <c r="J2353" s="4">
        <f>1/INR!B2353</f>
        <v>1.4034102869974037E-2</v>
      </c>
      <c r="K2353" s="4">
        <f>1/INR!C2353</f>
        <v>1.3972822859538199E-2</v>
      </c>
      <c r="L2353" s="4">
        <f>1/JPY!B2353</f>
        <v>9.0514120202751618E-3</v>
      </c>
      <c r="M2353" s="4">
        <f>1/JPY!C2353</f>
        <v>9.0741466672474118E-3</v>
      </c>
      <c r="N2353" s="5">
        <f>1/KRW!B2353</f>
        <v>8.9357519435260483E-4</v>
      </c>
      <c r="O2353" s="5">
        <f>1/KRW!C2353</f>
        <v>8.9357878751187907E-4</v>
      </c>
      <c r="P2353" s="3">
        <f>1/NOK!B2353</f>
        <v>0.11726353807547082</v>
      </c>
      <c r="Q2353" s="3">
        <f>1/NOK!C2353</f>
        <v>0.11742464273552448</v>
      </c>
      <c r="R2353" s="3">
        <f>NZD!B2353/1</f>
        <v>0.68640000000000001</v>
      </c>
      <c r="S2353" s="3">
        <f>NZD!C2353/1</f>
        <v>0.68679999999999997</v>
      </c>
      <c r="T2353" s="4">
        <f>1/PHP!B2353</f>
        <v>1.9260400616332819E-2</v>
      </c>
      <c r="U2353" s="4">
        <f>1/PHP!C2353</f>
        <v>1.921229586935639E-2</v>
      </c>
      <c r="V2353" s="4">
        <f>1/TWD!B2353</f>
        <v>3.2493907392363935E-2</v>
      </c>
      <c r="W2353" s="4">
        <f>1/TWD!C2353</f>
        <v>3.2494540917125926E-2</v>
      </c>
      <c r="X2353" s="4">
        <f>1/TWD!B2353</f>
        <v>3.2493907392363935E-2</v>
      </c>
      <c r="Y2353" s="4">
        <f>1/TWD!C2353</f>
        <v>3.2494540917125926E-2</v>
      </c>
      <c r="Z2353" s="4">
        <f>1/ZAR!B2353</f>
        <v>7.2134978972653627E-2</v>
      </c>
      <c r="AA2353" s="4">
        <f>1/ZAR!C2353</f>
        <v>7.1871092009371987E-2</v>
      </c>
    </row>
    <row r="2354" spans="1:27" x14ac:dyDescent="0.25">
      <c r="A2354" t="str">
        <f>"28/02/2019"</f>
        <v>28/02/2019</v>
      </c>
      <c r="B2354" s="3">
        <f>AUD!B2354</f>
        <v>0.71399999999999997</v>
      </c>
      <c r="C2354" s="3">
        <f>AUD!C2354</f>
        <v>0.71440000000000003</v>
      </c>
      <c r="D2354" s="3">
        <f>1/CAD!B2354</f>
        <v>0.75970523436906479</v>
      </c>
      <c r="E2354" s="3">
        <f>1/CAD!C2354</f>
        <v>0.76028282521097856</v>
      </c>
      <c r="F2354" s="3">
        <f>EUR!B2354/1</f>
        <v>1.1415999999999999</v>
      </c>
      <c r="G2354" s="3">
        <f>EUR!C2354/1</f>
        <v>1.1446000000000001</v>
      </c>
      <c r="H2354" s="3">
        <f>GBP!B2354/1</f>
        <v>1.33</v>
      </c>
      <c r="I2354" s="3">
        <f>GBP!C2354/1</f>
        <v>1.3321000000000001</v>
      </c>
      <c r="J2354" s="4">
        <f>1/INR!B2354</f>
        <v>1.4134275618374558E-2</v>
      </c>
      <c r="K2354" s="4">
        <f>1/INR!C2354</f>
        <v>1.4074595355383534E-2</v>
      </c>
      <c r="L2354" s="4">
        <f>1/JPY!B2354</f>
        <v>9.0269001624842023E-3</v>
      </c>
      <c r="M2354" s="4">
        <f>1/JPY!C2354</f>
        <v>9.0493888495240468E-3</v>
      </c>
      <c r="N2354" s="5">
        <f>1/KRW!B2354</f>
        <v>8.8928412627834591E-4</v>
      </c>
      <c r="O2354" s="5">
        <f>1/KRW!C2354</f>
        <v>8.8928808042721406E-4</v>
      </c>
      <c r="P2354" s="3">
        <f>1/NOK!B2354</f>
        <v>0.1173584949946602</v>
      </c>
      <c r="Q2354" s="3">
        <f>1/NOK!C2354</f>
        <v>0.11751986085648475</v>
      </c>
      <c r="R2354" s="3">
        <f>NZD!B2354/1</f>
        <v>0.68389999999999995</v>
      </c>
      <c r="S2354" s="3">
        <f>NZD!C2354/1</f>
        <v>0.68430000000000002</v>
      </c>
      <c r="T2354" s="4">
        <f>1/PHP!B2354</f>
        <v>1.9334880123743233E-2</v>
      </c>
      <c r="U2354" s="4">
        <f>1/PHP!C2354</f>
        <v>1.9286403085824494E-2</v>
      </c>
      <c r="V2354" s="4">
        <f>1/TWD!B2354</f>
        <v>3.2493907392363935E-2</v>
      </c>
      <c r="W2354" s="4">
        <f>1/TWD!C2354</f>
        <v>3.2494540917125926E-2</v>
      </c>
      <c r="X2354" s="4">
        <f>1/TWD!B2354</f>
        <v>3.2493907392363935E-2</v>
      </c>
      <c r="Y2354" s="4">
        <f>1/TWD!C2354</f>
        <v>3.2494540917125926E-2</v>
      </c>
      <c r="Z2354" s="4">
        <f>1/ZAR!B2354</f>
        <v>7.1684073949290689E-2</v>
      </c>
      <c r="AA2354" s="4">
        <f>1/ZAR!C2354</f>
        <v>7.1421429285642865E-2</v>
      </c>
    </row>
    <row r="2355" spans="1:27" x14ac:dyDescent="0.25">
      <c r="A2355" t="str">
        <f>"01/03/2019"</f>
        <v>01/03/2019</v>
      </c>
      <c r="B2355" s="3">
        <f>AUD!B2355</f>
        <v>0.71130000000000004</v>
      </c>
      <c r="C2355" s="3">
        <f>AUD!C2355</f>
        <v>0.7117</v>
      </c>
      <c r="D2355" s="3">
        <f>1/CAD!B2355</f>
        <v>0.76144064570166758</v>
      </c>
      <c r="E2355" s="3">
        <f>1/CAD!C2355</f>
        <v>0.76202087937209473</v>
      </c>
      <c r="F2355" s="3">
        <f>EUR!B2355/1</f>
        <v>1.1377999999999999</v>
      </c>
      <c r="G2355" s="3">
        <f>EUR!C2355/1</f>
        <v>1.1408</v>
      </c>
      <c r="H2355" s="3">
        <f>GBP!B2355/1</f>
        <v>1.3238000000000001</v>
      </c>
      <c r="I2355" s="3">
        <f>GBP!C2355/1</f>
        <v>1.3259000000000001</v>
      </c>
      <c r="J2355" s="4">
        <f>1/INR!B2355</f>
        <v>1.4100891881411498E-2</v>
      </c>
      <c r="K2355" s="4">
        <f>1/INR!C2355</f>
        <v>1.4039028499227852E-2</v>
      </c>
      <c r="L2355" s="4">
        <f>1/JPY!B2355</f>
        <v>8.939746111210442E-3</v>
      </c>
      <c r="M2355" s="4">
        <f>1/JPY!C2355</f>
        <v>8.9618904570205656E-3</v>
      </c>
      <c r="N2355" s="5">
        <f>1/KRW!B2355</f>
        <v>8.8928412627834591E-4</v>
      </c>
      <c r="O2355" s="5">
        <f>1/KRW!C2355</f>
        <v>8.8928808042721406E-4</v>
      </c>
      <c r="P2355" s="3">
        <f>1/NOK!B2355</f>
        <v>0.1169864295741694</v>
      </c>
      <c r="Q2355" s="3">
        <f>1/NOK!C2355</f>
        <v>0.11714540087156178</v>
      </c>
      <c r="R2355" s="3">
        <f>NZD!B2355/1</f>
        <v>0.68300000000000005</v>
      </c>
      <c r="S2355" s="3">
        <f>NZD!C2355/1</f>
        <v>0.68340000000000001</v>
      </c>
      <c r="T2355" s="4">
        <f>1/PHP!B2355</f>
        <v>1.9334880123743233E-2</v>
      </c>
      <c r="U2355" s="4">
        <f>1/PHP!C2355</f>
        <v>1.9290123456790122E-2</v>
      </c>
      <c r="V2355" s="4">
        <f>1/TWD!B2355</f>
        <v>3.2493907392363935E-2</v>
      </c>
      <c r="W2355" s="4">
        <f>1/TWD!C2355</f>
        <v>3.2494540917125926E-2</v>
      </c>
      <c r="X2355" s="4">
        <f>1/TWD!B2355</f>
        <v>3.2493907392363935E-2</v>
      </c>
      <c r="Y2355" s="4">
        <f>1/TWD!C2355</f>
        <v>3.2494540917125926E-2</v>
      </c>
      <c r="Z2355" s="4">
        <f>1/ZAR!B2355</f>
        <v>7.0883276508573331E-2</v>
      </c>
      <c r="AA2355" s="4">
        <f>1/ZAR!C2355</f>
        <v>7.0623962710547689E-2</v>
      </c>
    </row>
    <row r="2356" spans="1:27" x14ac:dyDescent="0.25">
      <c r="A2356" t="str">
        <f>"05/03/2019"</f>
        <v>05/03/2019</v>
      </c>
      <c r="B2356" s="3">
        <f>AUD!B2356</f>
        <v>0.70789999999999997</v>
      </c>
      <c r="C2356" s="3">
        <f>AUD!C2356</f>
        <v>0.70820000000000005</v>
      </c>
      <c r="D2356" s="3">
        <f>1/CAD!B2356</f>
        <v>0.74968138541120022</v>
      </c>
      <c r="E2356" s="3">
        <f>1/CAD!C2356</f>
        <v>0.7502438292445045</v>
      </c>
      <c r="F2356" s="3">
        <f>EUR!B2356/1</f>
        <v>1.1331</v>
      </c>
      <c r="G2356" s="3">
        <f>EUR!C2356/1</f>
        <v>1.1361000000000001</v>
      </c>
      <c r="H2356" s="3">
        <f>GBP!B2356/1</f>
        <v>1.3165</v>
      </c>
      <c r="I2356" s="3">
        <f>GBP!C2356/1</f>
        <v>1.3186</v>
      </c>
      <c r="J2356" s="4">
        <f>1/INR!B2356</f>
        <v>1.4184900173765027E-2</v>
      </c>
      <c r="K2356" s="4">
        <f>1/INR!C2356</f>
        <v>1.4124792542109538E-2</v>
      </c>
      <c r="L2356" s="4">
        <f>1/JPY!B2356</f>
        <v>8.9325591782045549E-3</v>
      </c>
      <c r="M2356" s="4">
        <f>1/JPY!C2356</f>
        <v>8.955044779701422E-3</v>
      </c>
      <c r="N2356" s="5">
        <f>1/KRW!B2356</f>
        <v>8.8849400266548197E-4</v>
      </c>
      <c r="O2356" s="5">
        <f>1/KRW!C2356</f>
        <v>8.8849794979098092E-4</v>
      </c>
      <c r="P2356" s="3">
        <f>1/NOK!B2356</f>
        <v>0.11558422044222523</v>
      </c>
      <c r="Q2356" s="3">
        <f>1/NOK!C2356</f>
        <v>0.11574341998657377</v>
      </c>
      <c r="R2356" s="3">
        <f>NZD!B2356/1</f>
        <v>0.67949999999999999</v>
      </c>
      <c r="S2356" s="3">
        <f>NZD!C2356/1</f>
        <v>0.67989999999999995</v>
      </c>
      <c r="T2356" s="4">
        <f>1/PHP!B2356</f>
        <v>1.9135093761959435E-2</v>
      </c>
      <c r="U2356" s="4">
        <f>1/PHP!C2356</f>
        <v>1.9083969465648856E-2</v>
      </c>
      <c r="V2356" s="4">
        <f>1/TWD!B2356</f>
        <v>3.2418063344895776E-2</v>
      </c>
      <c r="W2356" s="4">
        <f>1/TWD!C2356</f>
        <v>3.2418693915659526E-2</v>
      </c>
      <c r="X2356" s="4">
        <f>1/TWD!B2356</f>
        <v>3.2418063344895776E-2</v>
      </c>
      <c r="Y2356" s="4">
        <f>1/TWD!C2356</f>
        <v>3.2418693915659526E-2</v>
      </c>
      <c r="Z2356" s="4">
        <f>1/ZAR!B2356</f>
        <v>7.0727860411494689E-2</v>
      </c>
      <c r="AA2356" s="4">
        <f>1/ZAR!C2356</f>
        <v>7.0461239272276321E-2</v>
      </c>
    </row>
    <row r="2357" spans="1:27" x14ac:dyDescent="0.25">
      <c r="A2357" t="str">
        <f>"06/03/2019"</f>
        <v>06/03/2019</v>
      </c>
      <c r="B2357" s="3">
        <f>AUD!B2357</f>
        <v>0.70350000000000001</v>
      </c>
      <c r="C2357" s="3">
        <f>AUD!C2357</f>
        <v>0.70379999999999998</v>
      </c>
      <c r="D2357" s="3">
        <f>1/CAD!B2357</f>
        <v>0.74794315632011965</v>
      </c>
      <c r="E2357" s="3">
        <f>1/CAD!C2357</f>
        <v>0.7484469725319961</v>
      </c>
      <c r="F2357" s="3">
        <f>EUR!B2357/1</f>
        <v>1.1296999999999999</v>
      </c>
      <c r="G2357" s="3">
        <f>EUR!C2357/1</f>
        <v>1.1326000000000001</v>
      </c>
      <c r="H2357" s="3">
        <f>GBP!B2357/1</f>
        <v>1.3139000000000001</v>
      </c>
      <c r="I2357" s="3">
        <f>GBP!C2357/1</f>
        <v>1.3160000000000001</v>
      </c>
      <c r="J2357" s="4">
        <f>1/INR!B2357</f>
        <v>1.4179871672161368E-2</v>
      </c>
      <c r="K2357" s="4">
        <f>1/INR!C2357</f>
        <v>1.412180052956752E-2</v>
      </c>
      <c r="L2357" s="4">
        <f>1/JPY!B2357</f>
        <v>8.9477451682176082E-3</v>
      </c>
      <c r="M2357" s="4">
        <f>1/JPY!C2357</f>
        <v>8.9696395640037601E-3</v>
      </c>
      <c r="N2357" s="5">
        <f>1/KRW!B2357</f>
        <v>8.8597501550456269E-4</v>
      </c>
      <c r="O2357" s="5">
        <f>1/KRW!C2357</f>
        <v>8.85979489752008E-4</v>
      </c>
      <c r="P2357" s="3">
        <f>1/NOK!B2357</f>
        <v>0.11512514102829777</v>
      </c>
      <c r="Q2357" s="3">
        <f>1/NOK!C2357</f>
        <v>0.11527909067853273</v>
      </c>
      <c r="R2357" s="3">
        <f>NZD!B2357/1</f>
        <v>0.6764</v>
      </c>
      <c r="S2357" s="3">
        <f>NZD!C2357/1</f>
        <v>0.67679999999999996</v>
      </c>
      <c r="T2357" s="4">
        <f>1/PHP!B2357</f>
        <v>1.9124115509657678E-2</v>
      </c>
      <c r="U2357" s="4">
        <f>1/PHP!C2357</f>
        <v>1.9079236067387862E-2</v>
      </c>
      <c r="V2357" s="4">
        <f>1/TWD!B2357</f>
        <v>3.2415961619501443E-2</v>
      </c>
      <c r="W2357" s="4">
        <f>1/TWD!C2357</f>
        <v>3.2416592108504817E-2</v>
      </c>
      <c r="X2357" s="4">
        <f>1/TWD!B2357</f>
        <v>3.2415961619501443E-2</v>
      </c>
      <c r="Y2357" s="4">
        <f>1/TWD!C2357</f>
        <v>3.2416592108504817E-2</v>
      </c>
      <c r="Z2357" s="4">
        <f>1/ZAR!B2357</f>
        <v>7.0421047442659659E-2</v>
      </c>
      <c r="AA2357" s="4">
        <f>1/ZAR!C2357</f>
        <v>7.0163621565490719E-2</v>
      </c>
    </row>
    <row r="2358" spans="1:27" x14ac:dyDescent="0.25">
      <c r="A2358" t="str">
        <f>"07/03/2019"</f>
        <v>07/03/2019</v>
      </c>
      <c r="B2358" s="3">
        <f>AUD!B2358</f>
        <v>0.70450000000000002</v>
      </c>
      <c r="C2358" s="3">
        <f>AUD!C2358</f>
        <v>0.70479999999999998</v>
      </c>
      <c r="D2358" s="3">
        <f>1/CAD!B2358</f>
        <v>0.74504544777231407</v>
      </c>
      <c r="E2358" s="3">
        <f>1/CAD!C2358</f>
        <v>0.74554536643554759</v>
      </c>
      <c r="F2358" s="3">
        <f>EUR!B2358/1</f>
        <v>1.1308</v>
      </c>
      <c r="G2358" s="3">
        <f>EUR!C2358/1</f>
        <v>1.1336999999999999</v>
      </c>
      <c r="H2358" s="3">
        <f>GBP!B2358/1</f>
        <v>1.3138000000000001</v>
      </c>
      <c r="I2358" s="3">
        <f>GBP!C2358/1</f>
        <v>1.3158000000000001</v>
      </c>
      <c r="J2358" s="4">
        <f>1/INR!B2358</f>
        <v>1.42836737608913E-2</v>
      </c>
      <c r="K2358" s="4">
        <f>1/INR!C2358</f>
        <v>1.4223739421093805E-2</v>
      </c>
      <c r="L2358" s="4">
        <f>1/JPY!B2358</f>
        <v>8.9517500671381263E-3</v>
      </c>
      <c r="M2358" s="4">
        <f>1/JPY!C2358</f>
        <v>8.9736560379693343E-3</v>
      </c>
      <c r="N2358" s="5">
        <f>1/KRW!B2358</f>
        <v>8.8573959255978745E-4</v>
      </c>
      <c r="O2358" s="5">
        <f>1/KRW!C2358</f>
        <v>8.8574351525028908E-4</v>
      </c>
      <c r="P2358" s="3">
        <f>1/NOK!B2358</f>
        <v>0.11539881831610045</v>
      </c>
      <c r="Q2358" s="3">
        <f>1/NOK!C2358</f>
        <v>0.11554682535097348</v>
      </c>
      <c r="R2358" s="3">
        <f>NZD!B2358/1</f>
        <v>0.6784</v>
      </c>
      <c r="S2358" s="3">
        <f>NZD!C2358/1</f>
        <v>0.67879999999999996</v>
      </c>
      <c r="T2358" s="4">
        <f>1/PHP!B2358</f>
        <v>1.9168104274487254E-2</v>
      </c>
      <c r="U2358" s="4">
        <f>1/PHP!C2358</f>
        <v>1.9122652694381764E-2</v>
      </c>
      <c r="V2358" s="4">
        <f>1/TWD!B2358</f>
        <v>3.2393909944930355E-2</v>
      </c>
      <c r="W2358" s="4">
        <f>1/TWD!C2358</f>
        <v>3.2394539576409004E-2</v>
      </c>
      <c r="X2358" s="4">
        <f>1/TWD!B2358</f>
        <v>3.2393909944930355E-2</v>
      </c>
      <c r="Y2358" s="4">
        <f>1/TWD!C2358</f>
        <v>3.2394539576409004E-2</v>
      </c>
      <c r="Z2358" s="4">
        <f>1/ZAR!B2358</f>
        <v>6.9758843677407201E-2</v>
      </c>
      <c r="AA2358" s="4">
        <f>1/ZAR!C2358</f>
        <v>6.9502363080344728E-2</v>
      </c>
    </row>
    <row r="2359" spans="1:27" x14ac:dyDescent="0.25">
      <c r="A2359" t="str">
        <f>"08/03/2019"</f>
        <v>08/03/2019</v>
      </c>
      <c r="B2359" s="3">
        <f>AUD!B2359</f>
        <v>0.70240000000000002</v>
      </c>
      <c r="C2359" s="3">
        <f>AUD!C2359</f>
        <v>0.70269999999999999</v>
      </c>
      <c r="D2359" s="3">
        <f>1/CAD!B2359</f>
        <v>0.74294205052005935</v>
      </c>
      <c r="E2359" s="3">
        <f>1/CAD!C2359</f>
        <v>0.74343914950561296</v>
      </c>
      <c r="F2359" s="3">
        <f>EUR!B2359/1</f>
        <v>1.1220000000000001</v>
      </c>
      <c r="G2359" s="3">
        <f>EUR!C2359/1</f>
        <v>1.1249</v>
      </c>
      <c r="H2359" s="3">
        <f>GBP!B2359/1</f>
        <v>1.3075000000000001</v>
      </c>
      <c r="I2359" s="3">
        <f>GBP!C2359/1</f>
        <v>1.3095000000000001</v>
      </c>
      <c r="J2359" s="4">
        <f>1/INR!B2359</f>
        <v>1.4254151521630674E-2</v>
      </c>
      <c r="K2359" s="4">
        <f>1/INR!C2359</f>
        <v>1.4194967883885162E-2</v>
      </c>
      <c r="L2359" s="4">
        <f>1/JPY!B2359</f>
        <v>8.9936145336810859E-3</v>
      </c>
      <c r="M2359" s="4">
        <f>1/JPY!C2359</f>
        <v>9.0157749013448831E-3</v>
      </c>
      <c r="N2359" s="5">
        <f>1/KRW!B2359</f>
        <v>8.8012673825030806E-4</v>
      </c>
      <c r="O2359" s="5">
        <f>1/KRW!C2359</f>
        <v>8.8013099869784612E-4</v>
      </c>
      <c r="P2359" s="3">
        <f>1/NOK!B2359</f>
        <v>0.11377340887887682</v>
      </c>
      <c r="Q2359" s="3">
        <f>1/NOK!C2359</f>
        <v>0.11391597557641485</v>
      </c>
      <c r="R2359" s="3">
        <f>NZD!B2359/1</f>
        <v>0.67879999999999996</v>
      </c>
      <c r="S2359" s="3">
        <f>NZD!C2359/1</f>
        <v>0.67920000000000003</v>
      </c>
      <c r="T2359" s="4">
        <f>1/PHP!B2359</f>
        <v>1.9135093761959435E-2</v>
      </c>
      <c r="U2359" s="4">
        <f>1/PHP!C2359</f>
        <v>1.9087612139721322E-2</v>
      </c>
      <c r="V2359" s="4">
        <f>1/TWD!B2359</f>
        <v>3.2359317865579398E-2</v>
      </c>
      <c r="W2359" s="4">
        <f>1/TWD!C2359</f>
        <v>3.2359946153049601E-2</v>
      </c>
      <c r="X2359" s="4">
        <f>1/TWD!B2359</f>
        <v>3.2359317865579398E-2</v>
      </c>
      <c r="Y2359" s="4">
        <f>1/TWD!C2359</f>
        <v>3.2359946153049601E-2</v>
      </c>
      <c r="Z2359" s="4">
        <f>1/ZAR!B2359</f>
        <v>6.8844919933358117E-2</v>
      </c>
      <c r="AA2359" s="4">
        <f>1/ZAR!C2359</f>
        <v>6.8596515297022917E-2</v>
      </c>
    </row>
    <row r="2360" spans="1:27" x14ac:dyDescent="0.25">
      <c r="A2360" t="str">
        <f>"11/03/2019"</f>
        <v>11/03/2019</v>
      </c>
      <c r="B2360" s="3">
        <f>AUD!B2360</f>
        <v>0.7046</v>
      </c>
      <c r="C2360" s="3">
        <f>AUD!C2360</f>
        <v>0.70489999999999997</v>
      </c>
      <c r="D2360" s="3">
        <f>1/CAD!B2360</f>
        <v>0.74437993151704629</v>
      </c>
      <c r="E2360" s="3">
        <f>1/CAD!C2360</f>
        <v>0.74487895716945995</v>
      </c>
      <c r="F2360" s="3">
        <f>EUR!B2360/1</f>
        <v>1.1237999999999999</v>
      </c>
      <c r="G2360" s="3">
        <f>EUR!C2360/1</f>
        <v>1.1269</v>
      </c>
      <c r="H2360" s="3">
        <f>GBP!B2360/1</f>
        <v>1.3018000000000001</v>
      </c>
      <c r="I2360" s="3">
        <f>GBP!C2360/1</f>
        <v>1.304</v>
      </c>
      <c r="J2360" s="4">
        <f>1/INR!B2360</f>
        <v>1.4307686804735844E-2</v>
      </c>
      <c r="K2360" s="4">
        <f>1/INR!C2360</f>
        <v>1.4245521564158268E-2</v>
      </c>
      <c r="L2360" s="4">
        <f>1/JPY!B2360</f>
        <v>8.9992800575953921E-3</v>
      </c>
      <c r="M2360" s="4">
        <f>1/JPY!C2360</f>
        <v>9.0228358953675855E-3</v>
      </c>
      <c r="N2360" s="5">
        <f>1/KRW!B2360</f>
        <v>8.8206756637558429E-4</v>
      </c>
      <c r="O2360" s="5">
        <f>1/KRW!C2360</f>
        <v>8.8207145660869997E-4</v>
      </c>
      <c r="P2360" s="3">
        <f>1/NOK!B2360</f>
        <v>0.11506817789540302</v>
      </c>
      <c r="Q2360" s="3">
        <f>1/NOK!C2360</f>
        <v>0.11522197513509776</v>
      </c>
      <c r="R2360" s="3">
        <f>NZD!B2360/1</f>
        <v>0.68079999999999996</v>
      </c>
      <c r="S2360" s="3">
        <f>NZD!C2360/1</f>
        <v>0.68120000000000003</v>
      </c>
      <c r="T2360" s="4">
        <f>1/PHP!B2360</f>
        <v>1.9149751053236307E-2</v>
      </c>
      <c r="U2360" s="4">
        <f>1/PHP!C2360</f>
        <v>1.9100372457262919E-2</v>
      </c>
      <c r="V2360" s="4">
        <f>1/TWD!B2360</f>
        <v>3.2351989647363313E-2</v>
      </c>
      <c r="W2360" s="4">
        <f>1/TWD!C2360</f>
        <v>3.2352617650294083E-2</v>
      </c>
      <c r="X2360" s="4">
        <f>1/TWD!B2360</f>
        <v>3.2351989647363313E-2</v>
      </c>
      <c r="Y2360" s="4">
        <f>1/TWD!C2360</f>
        <v>3.2352617650294083E-2</v>
      </c>
      <c r="Z2360" s="4">
        <f>1/ZAR!B2360</f>
        <v>6.9520240818114198E-2</v>
      </c>
      <c r="AA2360" s="4">
        <f>1/ZAR!C2360</f>
        <v>6.9254955192043999E-2</v>
      </c>
    </row>
    <row r="2361" spans="1:27" x14ac:dyDescent="0.25">
      <c r="A2361" t="str">
        <f>"12/03/2019"</f>
        <v>12/03/2019</v>
      </c>
      <c r="B2361" s="3">
        <f>AUD!B2361</f>
        <v>0.70640000000000003</v>
      </c>
      <c r="C2361" s="3">
        <f>AUD!C2361</f>
        <v>0.70669999999999999</v>
      </c>
      <c r="D2361" s="3">
        <f>1/CAD!B2361</f>
        <v>0.74565655059279701</v>
      </c>
      <c r="E2361" s="3">
        <f>1/CAD!C2361</f>
        <v>0.74621296918140434</v>
      </c>
      <c r="F2361" s="3">
        <f>EUR!B2361/1</f>
        <v>1.1254999999999999</v>
      </c>
      <c r="G2361" s="3">
        <f>EUR!C2361/1</f>
        <v>1.1285000000000001</v>
      </c>
      <c r="H2361" s="3">
        <f>GBP!B2361/1</f>
        <v>1.3044</v>
      </c>
      <c r="I2361" s="3">
        <f>GBP!C2361/1</f>
        <v>1.3065</v>
      </c>
      <c r="J2361" s="4">
        <f>1/INR!B2361</f>
        <v>1.4344115326687225E-2</v>
      </c>
      <c r="K2361" s="4">
        <f>1/INR!C2361</f>
        <v>1.4284693950432113E-2</v>
      </c>
      <c r="L2361" s="4">
        <f>1/JPY!B2361</f>
        <v>8.988764044943821E-3</v>
      </c>
      <c r="M2361" s="4">
        <f>1/JPY!C2361</f>
        <v>9.0116962806025946E-3</v>
      </c>
      <c r="N2361" s="5">
        <f>1/KRW!B2361</f>
        <v>8.8511240927597809E-4</v>
      </c>
      <c r="O2361" s="5">
        <f>1/KRW!C2361</f>
        <v>8.851163264131988E-4</v>
      </c>
      <c r="P2361" s="3">
        <f>1/NOK!B2361</f>
        <v>0.11546144165156047</v>
      </c>
      <c r="Q2361" s="3">
        <f>1/NOK!C2361</f>
        <v>0.1156096094707392</v>
      </c>
      <c r="R2361" s="3">
        <f>NZD!B2361/1</f>
        <v>0.68379999999999996</v>
      </c>
      <c r="S2361" s="3">
        <f>NZD!C2361/1</f>
        <v>0.68420000000000003</v>
      </c>
      <c r="T2361" s="4">
        <f>1/PHP!B2361</f>
        <v>1.8968133535660091E-2</v>
      </c>
      <c r="U2361" s="4">
        <f>1/PHP!C2361</f>
        <v>1.8917001655237645E-2</v>
      </c>
      <c r="V2361" s="4">
        <f>1/TWD!B2361</f>
        <v>3.2354083085285361E-2</v>
      </c>
      <c r="W2361" s="4">
        <f>1/TWD!C2361</f>
        <v>3.2354711169493393E-2</v>
      </c>
      <c r="X2361" s="4">
        <f>1/TWD!B2361</f>
        <v>3.2354083085285361E-2</v>
      </c>
      <c r="Y2361" s="4">
        <f>1/TWD!C2361</f>
        <v>3.2354711169493393E-2</v>
      </c>
      <c r="Z2361" s="4">
        <f>1/ZAR!B2361</f>
        <v>6.9931537025252274E-2</v>
      </c>
      <c r="AA2361" s="4">
        <f>1/ZAR!C2361</f>
        <v>6.9673301887449746E-2</v>
      </c>
    </row>
    <row r="2362" spans="1:27" x14ac:dyDescent="0.25">
      <c r="A2362" t="str">
        <f>"13/03/2019"</f>
        <v>13/03/2019</v>
      </c>
      <c r="B2362" s="3">
        <f>AUD!B2362</f>
        <v>0.70569999999999999</v>
      </c>
      <c r="C2362" s="3">
        <f>AUD!C2362</f>
        <v>0.70599999999999996</v>
      </c>
      <c r="D2362" s="3">
        <f>1/CAD!B2362</f>
        <v>0.74833495472573519</v>
      </c>
      <c r="E2362" s="3">
        <f>1/CAD!C2362</f>
        <v>0.74889537931550965</v>
      </c>
      <c r="F2362" s="3">
        <f>EUR!B2362/1</f>
        <v>1.1285000000000001</v>
      </c>
      <c r="G2362" s="3">
        <f>EUR!C2362/1</f>
        <v>1.1314</v>
      </c>
      <c r="H2362" s="3">
        <f>GBP!B2362/1</f>
        <v>1.3089</v>
      </c>
      <c r="I2362" s="3">
        <f>GBP!C2362/1</f>
        <v>1.3109</v>
      </c>
      <c r="J2362" s="4">
        <f>1/INR!B2362</f>
        <v>1.4349261013057828E-2</v>
      </c>
      <c r="K2362" s="4">
        <f>1/INR!C2362</f>
        <v>1.4290307598871064E-2</v>
      </c>
      <c r="L2362" s="4">
        <f>1/JPY!B2362</f>
        <v>8.9839187853741793E-3</v>
      </c>
      <c r="M2362" s="4">
        <f>1/JPY!C2362</f>
        <v>9.0060881155661233E-3</v>
      </c>
      <c r="N2362" s="5">
        <f>1/KRW!B2362</f>
        <v>8.8370448921880535E-4</v>
      </c>
      <c r="O2362" s="5">
        <f>1/KRW!C2362</f>
        <v>8.8370878437461482E-4</v>
      </c>
      <c r="P2362" s="3">
        <f>1/NOK!B2362</f>
        <v>0.11574341998657377</v>
      </c>
      <c r="Q2362" s="3">
        <f>1/NOK!C2362</f>
        <v>0.11588828369451849</v>
      </c>
      <c r="R2362" s="3">
        <f>NZD!B2362/1</f>
        <v>0.68410000000000004</v>
      </c>
      <c r="S2362" s="3">
        <f>NZD!C2362/1</f>
        <v>0.68440000000000001</v>
      </c>
      <c r="T2362" s="4">
        <f>1/PHP!B2362</f>
        <v>1.8925056775170323E-2</v>
      </c>
      <c r="U2362" s="4">
        <f>1/PHP!C2362</f>
        <v>1.8871485185884128E-2</v>
      </c>
      <c r="V2362" s="4">
        <f>1/TWD!B2362</f>
        <v>3.2357223750202231E-2</v>
      </c>
      <c r="W2362" s="4">
        <f>1/TWD!C2362</f>
        <v>3.2357851956355731E-2</v>
      </c>
      <c r="X2362" s="4">
        <f>1/TWD!B2362</f>
        <v>3.2357223750202231E-2</v>
      </c>
      <c r="Y2362" s="4">
        <f>1/TWD!C2362</f>
        <v>3.2357851956355731E-2</v>
      </c>
      <c r="Z2362" s="4">
        <f>1/ZAR!B2362</f>
        <v>6.9480149521281773E-2</v>
      </c>
      <c r="AA2362" s="4">
        <f>1/ZAR!C2362</f>
        <v>6.9229065130704467E-2</v>
      </c>
    </row>
    <row r="2363" spans="1:27" x14ac:dyDescent="0.25">
      <c r="A2363" t="str">
        <f>"14/03/2019"</f>
        <v>14/03/2019</v>
      </c>
      <c r="B2363" s="3">
        <f>AUD!B2363</f>
        <v>0.70479999999999998</v>
      </c>
      <c r="C2363" s="3">
        <f>AUD!C2363</f>
        <v>0.70509999999999995</v>
      </c>
      <c r="D2363" s="3">
        <f>1/CAD!B2363</f>
        <v>0.75013127297277027</v>
      </c>
      <c r="E2363" s="3">
        <f>1/CAD!C2363</f>
        <v>0.75069439231288937</v>
      </c>
      <c r="F2363" s="3">
        <f>EUR!B2363/1</f>
        <v>1.1299999999999999</v>
      </c>
      <c r="G2363" s="3">
        <f>EUR!C2363/1</f>
        <v>1.133</v>
      </c>
      <c r="H2363" s="3">
        <f>GBP!B2363/1</f>
        <v>1.3228</v>
      </c>
      <c r="I2363" s="3">
        <f>GBP!C2363/1</f>
        <v>1.3249</v>
      </c>
      <c r="J2363" s="4">
        <f>1/INR!B2363</f>
        <v>1.4418051400353241E-2</v>
      </c>
      <c r="K2363" s="4">
        <f>1/INR!C2363</f>
        <v>1.4363172824877014E-2</v>
      </c>
      <c r="L2363" s="4">
        <f>1/JPY!B2363</f>
        <v>8.9589679268948213E-3</v>
      </c>
      <c r="M2363" s="4">
        <f>1/JPY!C2363</f>
        <v>8.9813448486149427E-3</v>
      </c>
      <c r="N2363" s="5">
        <f>1/KRW!B2363</f>
        <v>8.81057268722467E-4</v>
      </c>
      <c r="O2363" s="5">
        <f>1/KRW!C2363</f>
        <v>8.8106115004911922E-4</v>
      </c>
      <c r="P2363" s="3">
        <f>1/NOK!B2363</f>
        <v>0.1161588588553706</v>
      </c>
      <c r="Q2363" s="3">
        <f>1/NOK!C2363</f>
        <v>0.11632099943002711</v>
      </c>
      <c r="R2363" s="3">
        <f>NZD!B2363/1</f>
        <v>0.68169999999999997</v>
      </c>
      <c r="S2363" s="3">
        <f>NZD!C2363/1</f>
        <v>0.68210000000000004</v>
      </c>
      <c r="T2363" s="4">
        <f>1/PHP!B2363</f>
        <v>1.9004180919802358E-2</v>
      </c>
      <c r="U2363" s="4">
        <f>1/PHP!C2363</f>
        <v>1.8944775978024062E-2</v>
      </c>
      <c r="V2363" s="4">
        <f>1/TWD!B2363</f>
        <v>3.236036502491748E-2</v>
      </c>
      <c r="W2363" s="4">
        <f>1/TWD!C2363</f>
        <v>3.2360993353051967E-2</v>
      </c>
      <c r="X2363" s="4">
        <f>1/TWD!B2363</f>
        <v>3.236036502491748E-2</v>
      </c>
      <c r="Y2363" s="4">
        <f>1/TWD!C2363</f>
        <v>3.2360993353051967E-2</v>
      </c>
      <c r="Z2363" s="4">
        <f>1/ZAR!B2363</f>
        <v>6.9174950366973117E-2</v>
      </c>
      <c r="AA2363" s="4">
        <f>1/ZAR!C2363</f>
        <v>6.8921787555482034E-2</v>
      </c>
    </row>
    <row r="2364" spans="1:27" x14ac:dyDescent="0.25">
      <c r="A2364" t="str">
        <f>"18/03/2019"</f>
        <v>18/03/2019</v>
      </c>
      <c r="B2364" s="3">
        <f>AUD!B2364</f>
        <v>0.71099999999999997</v>
      </c>
      <c r="C2364" s="3">
        <f>AUD!C2364</f>
        <v>0.71130000000000004</v>
      </c>
      <c r="D2364" s="3">
        <f>1/CAD!B2364</f>
        <v>0.75086349301696942</v>
      </c>
      <c r="E2364" s="3">
        <f>1/CAD!C2364</f>
        <v>0.75148418125798455</v>
      </c>
      <c r="F2364" s="3">
        <f>EUR!B2364/1</f>
        <v>1.1356999999999999</v>
      </c>
      <c r="G2364" s="3">
        <f>EUR!C2364/1</f>
        <v>1.139</v>
      </c>
      <c r="H2364" s="3">
        <f>GBP!B2364/1</f>
        <v>1.327</v>
      </c>
      <c r="I2364" s="3">
        <f>GBP!C2364/1</f>
        <v>1.3292999999999999</v>
      </c>
      <c r="J2364" s="4">
        <f>1/INR!B2364</f>
        <v>1.4590020426028595E-2</v>
      </c>
      <c r="K2364" s="4">
        <f>1/INR!C2364</f>
        <v>1.452696568004358E-2</v>
      </c>
      <c r="L2364" s="4">
        <f>1/JPY!B2364</f>
        <v>8.9702188733405096E-3</v>
      </c>
      <c r="M2364" s="4">
        <f>1/JPY!C2364</f>
        <v>8.9944962677337738E-3</v>
      </c>
      <c r="N2364" s="5">
        <f>1/KRW!B2364</f>
        <v>8.8323617735382436E-4</v>
      </c>
      <c r="O2364" s="5">
        <f>1/KRW!C2364</f>
        <v>8.8324085801549912E-4</v>
      </c>
      <c r="P2364" s="3">
        <f>1/NOK!B2364</f>
        <v>0.11740672036067344</v>
      </c>
      <c r="Q2364" s="3">
        <f>1/NOK!C2364</f>
        <v>0.11755992617236637</v>
      </c>
      <c r="R2364" s="3">
        <f>NZD!B2364/1</f>
        <v>0.68689999999999996</v>
      </c>
      <c r="S2364" s="3">
        <f>NZD!C2364/1</f>
        <v>0.68730000000000002</v>
      </c>
      <c r="T2364" s="4">
        <f>1/PHP!B2364</f>
        <v>1.898614011771407E-2</v>
      </c>
      <c r="U2364" s="4">
        <f>1/PHP!C2364</f>
        <v>1.8925056775170323E-2</v>
      </c>
      <c r="V2364" s="4">
        <f>1/TWD!B2364</f>
        <v>3.2433834976647639E-2</v>
      </c>
      <c r="W2364" s="4">
        <f>1/TWD!C2364</f>
        <v>3.2434571360922183E-2</v>
      </c>
      <c r="X2364" s="4">
        <f>1/TWD!B2364</f>
        <v>3.2433834976647639E-2</v>
      </c>
      <c r="Y2364" s="4">
        <f>1/TWD!C2364</f>
        <v>3.2434571360922183E-2</v>
      </c>
      <c r="Z2364" s="4">
        <f>1/ZAR!B2364</f>
        <v>6.9389029594421114E-2</v>
      </c>
      <c r="AA2364" s="4">
        <f>1/ZAR!C2364</f>
        <v>6.9112321344649327E-2</v>
      </c>
    </row>
    <row r="2365" spans="1:27" x14ac:dyDescent="0.25">
      <c r="A2365" t="str">
        <f>"19/03/2019"</f>
        <v>19/03/2019</v>
      </c>
      <c r="B2365" s="3">
        <f>AUD!B2365</f>
        <v>0.70989999999999998</v>
      </c>
      <c r="C2365" s="3">
        <f>AUD!C2365</f>
        <v>0.71030000000000004</v>
      </c>
      <c r="D2365" s="3">
        <f>1/CAD!B2365</f>
        <v>0.75131480090157776</v>
      </c>
      <c r="E2365" s="3">
        <f>1/CAD!C2365</f>
        <v>0.75193623580720348</v>
      </c>
      <c r="F2365" s="3">
        <f>EUR!B2365/1</f>
        <v>1.1355999999999999</v>
      </c>
      <c r="G2365" s="3">
        <f>EUR!C2365/1</f>
        <v>1.1388</v>
      </c>
      <c r="H2365" s="3">
        <f>GBP!B2365/1</f>
        <v>1.3278000000000001</v>
      </c>
      <c r="I2365" s="3">
        <f>GBP!C2365/1</f>
        <v>1.33</v>
      </c>
      <c r="J2365" s="4">
        <f>1/INR!B2365</f>
        <v>1.4498532023632608E-2</v>
      </c>
      <c r="K2365" s="4">
        <f>1/INR!C2365</f>
        <v>1.444043321299639E-2</v>
      </c>
      <c r="L2365" s="4">
        <f>1/JPY!B2365</f>
        <v>8.9855332914008448E-3</v>
      </c>
      <c r="M2365" s="4">
        <f>1/JPY!C2365</f>
        <v>9.008668140484774E-3</v>
      </c>
      <c r="N2365" s="5">
        <f>1/KRW!B2365</f>
        <v>8.8440788891836907E-4</v>
      </c>
      <c r="O2365" s="5">
        <f>1/KRW!C2365</f>
        <v>8.8441219091452193E-4</v>
      </c>
      <c r="P2365" s="3">
        <f>1/NOK!B2365</f>
        <v>0.1172332942555686</v>
      </c>
      <c r="Q2365" s="3">
        <f>1/NOK!C2365</f>
        <v>0.1173832916622648</v>
      </c>
      <c r="R2365" s="3">
        <f>NZD!B2365/1</f>
        <v>0.68600000000000005</v>
      </c>
      <c r="S2365" s="3">
        <f>NZD!C2365/1</f>
        <v>0.68630000000000002</v>
      </c>
      <c r="T2365" s="4">
        <f>1/PHP!B2365</f>
        <v>1.8914318138831095E-2</v>
      </c>
      <c r="U2365" s="4">
        <f>1/PHP!C2365</f>
        <v>1.884303749764462E-2</v>
      </c>
      <c r="V2365" s="4">
        <f>1/TWD!B2365</f>
        <v>3.2428576061225151E-2</v>
      </c>
      <c r="W2365" s="4">
        <f>1/TWD!C2365</f>
        <v>3.2429207041029431E-2</v>
      </c>
      <c r="X2365" s="4">
        <f>1/TWD!B2365</f>
        <v>3.2428576061225151E-2</v>
      </c>
      <c r="Y2365" s="4">
        <f>1/TWD!C2365</f>
        <v>3.2429207041029431E-2</v>
      </c>
      <c r="Z2365" s="4">
        <f>1/ZAR!B2365</f>
        <v>6.9495600928461229E-2</v>
      </c>
      <c r="AA2365" s="4">
        <f>1/ZAR!C2365</f>
        <v>6.9236254872501429E-2</v>
      </c>
    </row>
    <row r="2366" spans="1:27" x14ac:dyDescent="0.25">
      <c r="A2366" t="str">
        <f>"20/03/2019"</f>
        <v>20/03/2019</v>
      </c>
      <c r="B2366" s="3">
        <f>AUD!B2366</f>
        <v>0.70889999999999997</v>
      </c>
      <c r="C2366" s="3">
        <f>AUD!C2366</f>
        <v>0.70930000000000004</v>
      </c>
      <c r="D2366" s="3">
        <f>1/CAD!B2366</f>
        <v>0.7498500299940013</v>
      </c>
      <c r="E2366" s="3">
        <f>1/CAD!C2366</f>
        <v>0.75046904315196994</v>
      </c>
      <c r="F2366" s="3">
        <f>EUR!B2366/1</f>
        <v>1.1351</v>
      </c>
      <c r="G2366" s="3">
        <f>EUR!C2366/1</f>
        <v>1.1382000000000001</v>
      </c>
      <c r="H2366" s="3">
        <f>GBP!B2366/1</f>
        <v>1.3226</v>
      </c>
      <c r="I2366" s="3">
        <f>GBP!C2366/1</f>
        <v>1.3247</v>
      </c>
      <c r="J2366" s="4">
        <f>1/INR!B2366</f>
        <v>1.452696568004358E-2</v>
      </c>
      <c r="K2366" s="4">
        <f>1/INR!C2366</f>
        <v>1.4468115889608274E-2</v>
      </c>
      <c r="L2366" s="4">
        <f>1/JPY!B2366</f>
        <v>8.9661974356675337E-3</v>
      </c>
      <c r="M2366" s="4">
        <f>1/JPY!C2366</f>
        <v>8.988675168155642E-3</v>
      </c>
      <c r="N2366" s="5">
        <f>1/KRW!B2366</f>
        <v>8.8456435205661217E-4</v>
      </c>
      <c r="O2366" s="5">
        <f>1/KRW!C2366</f>
        <v>8.8456982926917729E-4</v>
      </c>
      <c r="P2366" s="3">
        <f>1/NOK!B2366</f>
        <v>0.11714402858314298</v>
      </c>
      <c r="Q2366" s="3">
        <f>1/NOK!C2366</f>
        <v>0.11728829462819611</v>
      </c>
      <c r="R2366" s="3">
        <f>NZD!B2366/1</f>
        <v>0.68459999999999999</v>
      </c>
      <c r="S2366" s="3">
        <f>NZD!C2366/1</f>
        <v>0.68489999999999995</v>
      </c>
      <c r="T2366" s="4">
        <f>1/PHP!B2366</f>
        <v>1.8921475875118259E-2</v>
      </c>
      <c r="U2366" s="4">
        <f>1/PHP!C2366</f>
        <v>1.8832391713747645E-2</v>
      </c>
      <c r="V2366" s="4">
        <f>1/TWD!B2366</f>
        <v>3.2430679422733907E-2</v>
      </c>
      <c r="W2366" s="4">
        <f>1/TWD!C2366</f>
        <v>3.2431310484394058E-2</v>
      </c>
      <c r="X2366" s="4">
        <f>1/TWD!B2366</f>
        <v>3.2430679422733907E-2</v>
      </c>
      <c r="Y2366" s="4">
        <f>1/TWD!C2366</f>
        <v>3.2431310484394058E-2</v>
      </c>
      <c r="Z2366" s="4">
        <f>1/ZAR!B2366</f>
        <v>6.9103247161584128E-2</v>
      </c>
      <c r="AA2366" s="4">
        <f>1/ZAR!C2366</f>
        <v>6.8851556045166629E-2</v>
      </c>
    </row>
    <row r="2367" spans="1:27" x14ac:dyDescent="0.25">
      <c r="A2367" t="str">
        <f>"22/03/2019"</f>
        <v>22/03/2019</v>
      </c>
      <c r="B2367" s="3">
        <f>AUD!B2367</f>
        <v>0.70909999999999995</v>
      </c>
      <c r="C2367" s="3">
        <f>AUD!C2367</f>
        <v>0.70950000000000002</v>
      </c>
      <c r="D2367" s="3">
        <f>1/CAD!B2367</f>
        <v>0.74677021880367411</v>
      </c>
      <c r="E2367" s="3">
        <f>1/CAD!C2367</f>
        <v>0.74738415545590431</v>
      </c>
      <c r="F2367" s="3">
        <f>EUR!B2367/1</f>
        <v>1.1304000000000001</v>
      </c>
      <c r="G2367" s="3">
        <f>EUR!C2367/1</f>
        <v>1.1334</v>
      </c>
      <c r="H2367" s="3">
        <f>GBP!B2367/1</f>
        <v>1.3151999999999999</v>
      </c>
      <c r="I2367" s="3">
        <f>GBP!C2367/1</f>
        <v>1.3172999999999999</v>
      </c>
      <c r="J2367" s="4">
        <f>1/INR!B2367</f>
        <v>1.4495379597753216E-2</v>
      </c>
      <c r="K2367" s="4">
        <f>1/INR!C2367</f>
        <v>1.4432617716038248E-2</v>
      </c>
      <c r="L2367" s="4">
        <f>1/JPY!B2367</f>
        <v>9.057971014492754E-3</v>
      </c>
      <c r="M2367" s="4">
        <f>1/JPY!C2367</f>
        <v>9.0807469095948081E-3</v>
      </c>
      <c r="N2367" s="5">
        <f>1/KRW!B2367</f>
        <v>8.847208705653367E-4</v>
      </c>
      <c r="O2367" s="5">
        <f>1/KRW!C2367</f>
        <v>8.8472674108693104E-4</v>
      </c>
      <c r="P2367" s="3">
        <f>1/NOK!B2367</f>
        <v>0.11726903862842132</v>
      </c>
      <c r="Q2367" s="3">
        <f>1/NOK!C2367</f>
        <v>0.11741223435481977</v>
      </c>
      <c r="R2367" s="3">
        <f>NZD!B2367/1</f>
        <v>0.68710000000000004</v>
      </c>
      <c r="S2367" s="3">
        <f>NZD!C2367/1</f>
        <v>0.68740000000000001</v>
      </c>
      <c r="T2367" s="4">
        <f>1/PHP!B2367</f>
        <v>1.910584638899503E-2</v>
      </c>
      <c r="U2367" s="4">
        <f>1/PHP!C2367</f>
        <v>1.9033117624666921E-2</v>
      </c>
      <c r="V2367" s="4">
        <f>1/TWD!B2367</f>
        <v>3.2461208855417777E-2</v>
      </c>
      <c r="W2367" s="4">
        <f>1/TWD!C2367</f>
        <v>3.2461841105780154E-2</v>
      </c>
      <c r="X2367" s="4">
        <f>1/TWD!B2367</f>
        <v>3.2461208855417777E-2</v>
      </c>
      <c r="Y2367" s="4">
        <f>1/TWD!C2367</f>
        <v>3.2461841105780154E-2</v>
      </c>
      <c r="Z2367" s="4">
        <f>1/ZAR!B2367</f>
        <v>6.9541512806069586E-2</v>
      </c>
      <c r="AA2367" s="4">
        <f>1/ZAR!C2367</f>
        <v>6.928758505051065E-2</v>
      </c>
    </row>
    <row r="2368" spans="1:27" x14ac:dyDescent="0.25">
      <c r="A2368" t="str">
        <f>"25/03/2019"</f>
        <v>25/03/2019</v>
      </c>
      <c r="B2368" s="3">
        <f>AUD!B2368</f>
        <v>0.70930000000000004</v>
      </c>
      <c r="C2368" s="3">
        <f>AUD!C2368</f>
        <v>0.7097</v>
      </c>
      <c r="D2368" s="3">
        <f>1/CAD!B2368</f>
        <v>0.74487895716945995</v>
      </c>
      <c r="E2368" s="3">
        <f>1/CAD!C2368</f>
        <v>0.74548978678992106</v>
      </c>
      <c r="F2368" s="3">
        <f>EUR!B2368/1</f>
        <v>1.1307</v>
      </c>
      <c r="G2368" s="3">
        <f>EUR!C2368/1</f>
        <v>1.1338999999999999</v>
      </c>
      <c r="H2368" s="3">
        <f>GBP!B2368/1</f>
        <v>1.3176000000000001</v>
      </c>
      <c r="I2368" s="3">
        <f>GBP!C2368/1</f>
        <v>1.3198000000000001</v>
      </c>
      <c r="J2368" s="4">
        <f>1/INR!B2368</f>
        <v>1.4504315033722534E-2</v>
      </c>
      <c r="K2368" s="4">
        <f>1/INR!C2368</f>
        <v>1.443105563171946E-2</v>
      </c>
      <c r="L2368" s="4">
        <f>1/JPY!B2368</f>
        <v>9.0793535500272374E-3</v>
      </c>
      <c r="M2368" s="4">
        <f>1/JPY!C2368</f>
        <v>9.1012597053558193E-3</v>
      </c>
      <c r="N2368" s="5">
        <f>1/KRW!B2368</f>
        <v>8.8160098739310593E-4</v>
      </c>
      <c r="O2368" s="5">
        <f>1/KRW!C2368</f>
        <v>8.816068165839058E-4</v>
      </c>
      <c r="P2368" s="3">
        <f>1/NOK!B2368</f>
        <v>0.11711110330370422</v>
      </c>
      <c r="Q2368" s="3">
        <f>1/NOK!C2368</f>
        <v>0.11726216301785902</v>
      </c>
      <c r="R2368" s="3">
        <f>NZD!B2368/1</f>
        <v>0.68789999999999996</v>
      </c>
      <c r="S2368" s="3">
        <f>NZD!C2368/1</f>
        <v>0.68820000000000003</v>
      </c>
      <c r="T2368" s="4">
        <f>1/PHP!B2368</f>
        <v>1.9036740909956214E-2</v>
      </c>
      <c r="U2368" s="4">
        <f>1/PHP!C2368</f>
        <v>1.8971732119142479E-2</v>
      </c>
      <c r="V2368" s="4">
        <f>1/TWD!B2368</f>
        <v>3.2435939020434644E-2</v>
      </c>
      <c r="W2368" s="4">
        <f>1/TWD!C2368</f>
        <v>3.2436570286804155E-2</v>
      </c>
      <c r="X2368" s="4">
        <f>1/TWD!B2368</f>
        <v>3.2435939020434644E-2</v>
      </c>
      <c r="Y2368" s="4">
        <f>1/TWD!C2368</f>
        <v>3.2436570286804155E-2</v>
      </c>
      <c r="Z2368" s="4">
        <f>1/ZAR!B2368</f>
        <v>6.9131432679810853E-2</v>
      </c>
      <c r="AA2368" s="4">
        <f>1/ZAR!C2368</f>
        <v>6.8859615901062501E-2</v>
      </c>
    </row>
    <row r="2369" spans="1:27" x14ac:dyDescent="0.25">
      <c r="A2369" t="str">
        <f>"26/03/2019"</f>
        <v>26/03/2019</v>
      </c>
      <c r="B2369" s="3">
        <f>AUD!B2369</f>
        <v>0.71250000000000002</v>
      </c>
      <c r="C2369" s="3">
        <f>AUD!C2369</f>
        <v>0.71289999999999998</v>
      </c>
      <c r="D2369" s="3">
        <f>1/CAD!B2369</f>
        <v>0.74649148999701409</v>
      </c>
      <c r="E2369" s="3">
        <f>1/CAD!C2369</f>
        <v>0.74716078900179317</v>
      </c>
      <c r="F2369" s="3">
        <f>EUR!B2369/1</f>
        <v>1.1315</v>
      </c>
      <c r="G2369" s="3">
        <f>EUR!C2369/1</f>
        <v>1.1347</v>
      </c>
      <c r="H2369" s="3">
        <f>GBP!B2369/1</f>
        <v>1.3233999999999999</v>
      </c>
      <c r="I2369" s="3">
        <f>GBP!C2369/1</f>
        <v>1.3255999999999999</v>
      </c>
      <c r="J2369" s="4">
        <f>1/INR!B2369</f>
        <v>1.4521164597400712E-2</v>
      </c>
      <c r="K2369" s="4">
        <f>1/INR!C2369</f>
        <v>1.445138913978106E-2</v>
      </c>
      <c r="L2369" s="4">
        <f>1/JPY!B2369</f>
        <v>9.057971014492754E-3</v>
      </c>
      <c r="M2369" s="4">
        <f>1/JPY!C2369</f>
        <v>9.0796750565890743E-3</v>
      </c>
      <c r="N2369" s="5">
        <f>1/KRW!B2369</f>
        <v>8.8214537755822164E-4</v>
      </c>
      <c r="O2369" s="5">
        <f>1/KRW!C2369</f>
        <v>8.8214926847771905E-4</v>
      </c>
      <c r="P2369" s="3">
        <f>1/NOK!B2369</f>
        <v>0.11728554338392251</v>
      </c>
      <c r="Q2369" s="3">
        <f>1/NOK!C2369</f>
        <v>0.11743567460923279</v>
      </c>
      <c r="R2369" s="3">
        <f>NZD!B2369/1</f>
        <v>0.69020000000000004</v>
      </c>
      <c r="S2369" s="3">
        <f>NZD!C2369/1</f>
        <v>0.6905</v>
      </c>
      <c r="T2369" s="4">
        <f>1/PHP!B2369</f>
        <v>1.9062142584826535E-2</v>
      </c>
      <c r="U2369" s="4">
        <f>1/PHP!C2369</f>
        <v>1.8996960486322188E-2</v>
      </c>
      <c r="V2369" s="4">
        <f>1/TWD!B2369</f>
        <v>3.2430679422733907E-2</v>
      </c>
      <c r="W2369" s="4">
        <f>1/TWD!C2369</f>
        <v>3.2431310484394058E-2</v>
      </c>
      <c r="X2369" s="4">
        <f>1/TWD!B2369</f>
        <v>3.2430679422733907E-2</v>
      </c>
      <c r="Y2369" s="4">
        <f>1/TWD!C2369</f>
        <v>3.2431310484394058E-2</v>
      </c>
      <c r="Z2369" s="4">
        <f>1/ZAR!B2369</f>
        <v>6.9609283093993418E-2</v>
      </c>
      <c r="AA2369" s="4">
        <f>1/ZAR!C2369</f>
        <v>6.9340914606663667E-2</v>
      </c>
    </row>
    <row r="2370" spans="1:27" x14ac:dyDescent="0.25">
      <c r="A2370" t="str">
        <f>"27/03/2019"</f>
        <v>27/03/2019</v>
      </c>
      <c r="B2370" s="3">
        <f>AUD!B2370</f>
        <v>0.70960000000000001</v>
      </c>
      <c r="C2370" s="3">
        <f>AUD!C2370</f>
        <v>0.71</v>
      </c>
      <c r="D2370" s="3">
        <f>1/CAD!B2370</f>
        <v>0.7458790184232118</v>
      </c>
      <c r="E2370" s="3">
        <f>1/CAD!C2370</f>
        <v>0.74654721911160882</v>
      </c>
      <c r="F2370" s="3">
        <f>EUR!B2370/1</f>
        <v>1.1279999999999999</v>
      </c>
      <c r="G2370" s="3">
        <f>EUR!C2370/1</f>
        <v>1.1311</v>
      </c>
      <c r="H2370" s="3">
        <f>GBP!B2370/1</f>
        <v>1.3223</v>
      </c>
      <c r="I2370" s="3">
        <f>GBP!C2370/1</f>
        <v>1.3244</v>
      </c>
      <c r="J2370" s="4">
        <f>1/INR!B2370</f>
        <v>1.4518002322880372E-2</v>
      </c>
      <c r="K2370" s="4">
        <f>1/INR!C2370</f>
        <v>1.443834825295986E-2</v>
      </c>
      <c r="L2370" s="4">
        <f>1/JPY!B2370</f>
        <v>9.0645395213923147E-3</v>
      </c>
      <c r="M2370" s="4">
        <f>1/JPY!C2370</f>
        <v>9.0852101863376604E-3</v>
      </c>
      <c r="N2370" s="5">
        <f>1/KRW!B2370</f>
        <v>8.8136788295434525E-4</v>
      </c>
      <c r="O2370" s="5">
        <f>1/KRW!C2370</f>
        <v>8.813735536990499E-4</v>
      </c>
      <c r="P2370" s="3">
        <f>1/NOK!B2370</f>
        <v>0.11652023956561254</v>
      </c>
      <c r="Q2370" s="3">
        <f>1/NOK!C2370</f>
        <v>0.11666705555685185</v>
      </c>
      <c r="R2370" s="3">
        <f>NZD!B2370/1</f>
        <v>0.68069999999999997</v>
      </c>
      <c r="S2370" s="3">
        <f>NZD!C2370/1</f>
        <v>0.68100000000000005</v>
      </c>
      <c r="T2370" s="4">
        <f>1/PHP!B2370</f>
        <v>1.9000570017100513E-2</v>
      </c>
      <c r="U2370" s="4">
        <f>1/PHP!C2370</f>
        <v>1.8928639030853681E-2</v>
      </c>
      <c r="V2370" s="4">
        <f>1/TWD!B2370</f>
        <v>3.2407557442395568E-2</v>
      </c>
      <c r="W2370" s="4">
        <f>1/TWD!C2370</f>
        <v>3.2408187604516407E-2</v>
      </c>
      <c r="X2370" s="4">
        <f>1/TWD!B2370</f>
        <v>3.2407557442395568E-2</v>
      </c>
      <c r="Y2370" s="4">
        <f>1/TWD!C2370</f>
        <v>3.2408187604516407E-2</v>
      </c>
      <c r="Z2370" s="4">
        <f>1/ZAR!B2370</f>
        <v>6.8414427234415195E-2</v>
      </c>
      <c r="AA2370" s="4">
        <f>1/ZAR!C2370</f>
        <v>6.815145980426901E-2</v>
      </c>
    </row>
    <row r="2371" spans="1:27" x14ac:dyDescent="0.25">
      <c r="A2371" t="str">
        <f>"28/03/2019"</f>
        <v>28/03/2019</v>
      </c>
      <c r="B2371" s="3">
        <f>AUD!B2371</f>
        <v>0.70830000000000004</v>
      </c>
      <c r="C2371" s="3">
        <f>AUD!C2371</f>
        <v>0.7087</v>
      </c>
      <c r="D2371" s="3">
        <f>1/CAD!B2371</f>
        <v>0.74421373818560699</v>
      </c>
      <c r="E2371" s="3">
        <f>1/CAD!C2371</f>
        <v>0.74482347683598982</v>
      </c>
      <c r="F2371" s="3">
        <f>EUR!B2371/1</f>
        <v>1.1229</v>
      </c>
      <c r="G2371" s="3">
        <f>EUR!C2371/1</f>
        <v>1.1257999999999999</v>
      </c>
      <c r="H2371" s="3">
        <f>GBP!B2371/1</f>
        <v>1.3115000000000001</v>
      </c>
      <c r="I2371" s="3">
        <f>GBP!C2371/1</f>
        <v>1.3133999999999999</v>
      </c>
      <c r="J2371" s="4">
        <f>1/INR!B2371</f>
        <v>1.4420650371331747E-2</v>
      </c>
      <c r="K2371" s="4">
        <f>1/INR!C2371</f>
        <v>1.436162573603332E-2</v>
      </c>
      <c r="L2371" s="4">
        <f>1/JPY!B2371</f>
        <v>9.0670051681929452E-3</v>
      </c>
      <c r="M2371" s="4">
        <f>1/JPY!C2371</f>
        <v>9.0923059997399611E-3</v>
      </c>
      <c r="N2371" s="5">
        <f>1/KRW!B2371</f>
        <v>8.7966220971147087E-4</v>
      </c>
      <c r="O2371" s="5">
        <f>1/KRW!C2371</f>
        <v>8.7966530494477458E-4</v>
      </c>
      <c r="P2371" s="3">
        <f>1/NOK!B2371</f>
        <v>0.11534158410131605</v>
      </c>
      <c r="Q2371" s="3">
        <f>1/NOK!C2371</f>
        <v>0.11548010855130204</v>
      </c>
      <c r="R2371" s="3">
        <f>NZD!B2371/1</f>
        <v>0.6804</v>
      </c>
      <c r="S2371" s="3">
        <f>NZD!C2371/1</f>
        <v>0.68079999999999996</v>
      </c>
      <c r="T2371" s="4">
        <f>1/PHP!B2371</f>
        <v>1.8950161076369147E-2</v>
      </c>
      <c r="U2371" s="4">
        <f>1/PHP!C2371</f>
        <v>1.8875047187617969E-2</v>
      </c>
      <c r="V2371" s="4">
        <f>1/TWD!B2371</f>
        <v>3.2408607726212083E-2</v>
      </c>
      <c r="W2371" s="4">
        <f>1/TWD!C2371</f>
        <v>3.2409132893649432E-2</v>
      </c>
      <c r="X2371" s="4">
        <f>1/TWD!B2371</f>
        <v>3.2408607726212083E-2</v>
      </c>
      <c r="Y2371" s="4">
        <f>1/TWD!C2371</f>
        <v>3.2409132893649432E-2</v>
      </c>
      <c r="Z2371" s="4">
        <f>1/ZAR!B2371</f>
        <v>6.7903414183665148E-2</v>
      </c>
      <c r="AA2371" s="4">
        <f>1/ZAR!C2371</f>
        <v>6.7650759718031625E-2</v>
      </c>
    </row>
    <row r="2372" spans="1:27" x14ac:dyDescent="0.25">
      <c r="A2372" t="str">
        <f>"29/03/2019"</f>
        <v>29/03/2019</v>
      </c>
      <c r="B2372" s="3">
        <f>AUD!B2372</f>
        <v>0.70889999999999997</v>
      </c>
      <c r="C2372" s="3">
        <f>AUD!C2372</f>
        <v>0.70930000000000004</v>
      </c>
      <c r="D2372" s="3">
        <f>1/CAD!B2372</f>
        <v>0.7452120128176466</v>
      </c>
      <c r="E2372" s="3">
        <f>1/CAD!C2372</f>
        <v>0.74576776791707067</v>
      </c>
      <c r="F2372" s="3">
        <f>EUR!B2372/1</f>
        <v>1.1232</v>
      </c>
      <c r="G2372" s="3">
        <f>EUR!C2372/1</f>
        <v>1.1261000000000001</v>
      </c>
      <c r="H2372" s="3">
        <f>GBP!B2372/1</f>
        <v>1.3088</v>
      </c>
      <c r="I2372" s="3">
        <f>GBP!C2372/1</f>
        <v>1.3108</v>
      </c>
      <c r="J2372" s="4">
        <f>1/INR!B2372</f>
        <v>1.445974767740303E-2</v>
      </c>
      <c r="K2372" s="4">
        <f>1/INR!C2372</f>
        <v>1.4385384449399409E-2</v>
      </c>
      <c r="L2372" s="4">
        <f>1/JPY!B2372</f>
        <v>9.0252707581227436E-3</v>
      </c>
      <c r="M2372" s="4">
        <f>1/JPY!C2372</f>
        <v>9.0499211751865639E-3</v>
      </c>
      <c r="N2372" s="5">
        <f>1/KRW!B2372</f>
        <v>8.808244516867789E-4</v>
      </c>
      <c r="O2372" s="5">
        <f>1/KRW!C2372</f>
        <v>8.8082833096243698E-4</v>
      </c>
      <c r="P2372" s="3">
        <f>1/NOK!B2372</f>
        <v>0.11595547309833024</v>
      </c>
      <c r="Q2372" s="3">
        <f>1/NOK!C2372</f>
        <v>0.11609008590666356</v>
      </c>
      <c r="R2372" s="3">
        <f>NZD!B2372/1</f>
        <v>0.67969999999999997</v>
      </c>
      <c r="S2372" s="3">
        <f>NZD!C2372/1</f>
        <v>0.68010000000000004</v>
      </c>
      <c r="T2372" s="4">
        <f>1/PHP!B2372</f>
        <v>1.9040365575019039E-2</v>
      </c>
      <c r="U2372" s="4">
        <f>1/PHP!C2372</f>
        <v>1.8973531922967461E-2</v>
      </c>
      <c r="V2372" s="4">
        <f>1/TWD!B2372</f>
        <v>3.24380433372259E-2</v>
      </c>
      <c r="W2372" s="4">
        <f>1/TWD!C2372</f>
        <v>3.2438569459086852E-2</v>
      </c>
      <c r="X2372" s="4">
        <f>1/TWD!B2372</f>
        <v>3.24380433372259E-2</v>
      </c>
      <c r="Y2372" s="4">
        <f>1/TWD!C2372</f>
        <v>3.2438569459086852E-2</v>
      </c>
      <c r="Z2372" s="4">
        <f>1/ZAR!B2372</f>
        <v>6.8963139202096471E-2</v>
      </c>
      <c r="AA2372" s="4">
        <f>1/ZAR!C2372</f>
        <v>6.871482659813509E-2</v>
      </c>
    </row>
    <row r="2373" spans="1:27" x14ac:dyDescent="0.25">
      <c r="A2373" t="str">
        <f>"02/04/2019"</f>
        <v>02/04/2019</v>
      </c>
      <c r="B2373" s="3">
        <f>AUD!B2373</f>
        <v>0.7087</v>
      </c>
      <c r="C2373" s="3">
        <f>AUD!C2373</f>
        <v>0.70920000000000005</v>
      </c>
      <c r="D2373" s="3">
        <f>1/CAD!B2373</f>
        <v>0.75086349301696942</v>
      </c>
      <c r="E2373" s="3">
        <f>1/CAD!C2373</f>
        <v>0.75142771265404273</v>
      </c>
      <c r="F2373" s="3">
        <f>EUR!B2373/1</f>
        <v>1.1203000000000001</v>
      </c>
      <c r="G2373" s="3">
        <f>EUR!C2373/1</f>
        <v>1.1233</v>
      </c>
      <c r="H2373" s="3">
        <f>GBP!B2373/1</f>
        <v>1.3044</v>
      </c>
      <c r="I2373" s="3">
        <f>GBP!C2373/1</f>
        <v>1.3066</v>
      </c>
      <c r="J2373" s="4">
        <f>1/INR!B2373</f>
        <v>1.4545983490308738E-2</v>
      </c>
      <c r="K2373" s="4">
        <f>1/INR!C2373</f>
        <v>1.444669170759896E-2</v>
      </c>
      <c r="L2373" s="4">
        <f>1/JPY!B2373</f>
        <v>8.9823048594269289E-3</v>
      </c>
      <c r="M2373" s="4">
        <f>1/JPY!C2373</f>
        <v>9.005171670090132E-3</v>
      </c>
      <c r="N2373" s="5">
        <f>1/KRW!B2373</f>
        <v>8.7989441267047959E-4</v>
      </c>
      <c r="O2373" s="5">
        <f>1/KRW!C2373</f>
        <v>8.7990021931512962E-4</v>
      </c>
      <c r="P2373" s="3">
        <f>1/NOK!B2373</f>
        <v>0.11621555661440841</v>
      </c>
      <c r="Q2373" s="3">
        <f>1/NOK!C2373</f>
        <v>0.1163602513381429</v>
      </c>
      <c r="R2373" s="3">
        <f>NZD!B2373/1</f>
        <v>0.67730000000000001</v>
      </c>
      <c r="S2373" s="3">
        <f>NZD!C2373/1</f>
        <v>0.67759999999999998</v>
      </c>
      <c r="T2373" s="4">
        <f>1/PHP!B2373</f>
        <v>1.9062142584826535E-2</v>
      </c>
      <c r="U2373" s="4">
        <f>1/PHP!C2373</f>
        <v>1.9002375296912115E-2</v>
      </c>
      <c r="V2373" s="4">
        <f>1/TWD!B2373</f>
        <v>3.2420165342843248E-2</v>
      </c>
      <c r="W2373" s="4">
        <f>1/TWD!C2373</f>
        <v>3.2420690884922755E-2</v>
      </c>
      <c r="X2373" s="4">
        <f>1/TWD!B2373</f>
        <v>3.2420165342843248E-2</v>
      </c>
      <c r="Y2373" s="4">
        <f>1/TWD!C2373</f>
        <v>3.2420690884922755E-2</v>
      </c>
      <c r="Z2373" s="4">
        <f>1/ZAR!B2373</f>
        <v>7.0920476869286472E-2</v>
      </c>
      <c r="AA2373" s="4">
        <f>1/ZAR!C2373</f>
        <v>7.0649409370937652E-2</v>
      </c>
    </row>
    <row r="2374" spans="1:27" x14ac:dyDescent="0.25">
      <c r="A2374" t="str">
        <f>"03/04/2019"</f>
        <v>03/04/2019</v>
      </c>
      <c r="B2374" s="3">
        <f>AUD!B2374</f>
        <v>0.71160000000000001</v>
      </c>
      <c r="C2374" s="3">
        <f>AUD!C2374</f>
        <v>0.71199999999999997</v>
      </c>
      <c r="D2374" s="3">
        <f>1/CAD!B2374</f>
        <v>0.751371252535878</v>
      </c>
      <c r="E2374" s="3">
        <f>1/CAD!C2374</f>
        <v>0.75199278086930366</v>
      </c>
      <c r="F2374" s="3">
        <f>EUR!B2374/1</f>
        <v>1.1247</v>
      </c>
      <c r="G2374" s="3">
        <f>EUR!C2374/1</f>
        <v>1.1275999999999999</v>
      </c>
      <c r="H2374" s="3">
        <f>GBP!B2374/1</f>
        <v>1.3158000000000001</v>
      </c>
      <c r="I2374" s="3">
        <f>GBP!C2374/1</f>
        <v>1.3179000000000001</v>
      </c>
      <c r="J2374" s="4">
        <f>1/INR!B2374</f>
        <v>1.4614541468761419E-2</v>
      </c>
      <c r="K2374" s="4">
        <f>1/INR!C2374</f>
        <v>1.4516948537417433E-2</v>
      </c>
      <c r="L2374" s="4">
        <f>1/JPY!B2374</f>
        <v>8.9678055779750694E-3</v>
      </c>
      <c r="M2374" s="4">
        <f>1/JPY!C2374</f>
        <v>8.9898307035081917E-3</v>
      </c>
      <c r="N2374" s="5">
        <f>1/KRW!B2374</f>
        <v>8.8144557073600708E-4</v>
      </c>
      <c r="O2374" s="5">
        <f>1/KRW!C2374</f>
        <v>8.8145062091585366E-4</v>
      </c>
      <c r="P2374" s="3">
        <f>1/NOK!B2374</f>
        <v>0.11688524206933631</v>
      </c>
      <c r="Q2374" s="3">
        <f>1/NOK!C2374</f>
        <v>0.11702613193526115</v>
      </c>
      <c r="R2374" s="3">
        <f>NZD!B2374/1</f>
        <v>0.67930000000000001</v>
      </c>
      <c r="S2374" s="3">
        <f>NZD!C2374/1</f>
        <v>0.67959999999999998</v>
      </c>
      <c r="T2374" s="4">
        <f>1/PHP!B2374</f>
        <v>1.9193857965451054E-2</v>
      </c>
      <c r="U2374" s="4">
        <f>1/PHP!C2374</f>
        <v>1.9127773527161437E-2</v>
      </c>
      <c r="V2374" s="4">
        <f>1/TWD!B2374</f>
        <v>3.2449621961904145E-2</v>
      </c>
      <c r="W2374" s="4">
        <f>1/TWD!C2374</f>
        <v>3.2450148459429201E-2</v>
      </c>
      <c r="X2374" s="4">
        <f>1/TWD!B2374</f>
        <v>3.2449621961904145E-2</v>
      </c>
      <c r="Y2374" s="4">
        <f>1/TWD!C2374</f>
        <v>3.2450148459429201E-2</v>
      </c>
      <c r="Z2374" s="4">
        <f>1/ZAR!B2374</f>
        <v>7.0621468926553674E-2</v>
      </c>
      <c r="AA2374" s="4">
        <f>1/ZAR!C2374</f>
        <v>7.0358617875310461E-2</v>
      </c>
    </row>
    <row r="2375" spans="1:27" x14ac:dyDescent="0.25">
      <c r="A2375" t="str">
        <f>"04/04/2019"</f>
        <v>04/04/2019</v>
      </c>
      <c r="B2375" s="3">
        <f>AUD!B2375</f>
        <v>0.71099999999999997</v>
      </c>
      <c r="C2375" s="3">
        <f>AUD!C2375</f>
        <v>0.71140000000000003</v>
      </c>
      <c r="D2375" s="3">
        <f>1/CAD!B2375</f>
        <v>0.7490075649764063</v>
      </c>
      <c r="E2375" s="3">
        <f>1/CAD!C2375</f>
        <v>0.74951281666916503</v>
      </c>
      <c r="F2375" s="3">
        <f>EUR!B2375/1</f>
        <v>1.1226</v>
      </c>
      <c r="G2375" s="3">
        <f>EUR!C2375/1</f>
        <v>1.1254</v>
      </c>
      <c r="H2375" s="3">
        <f>GBP!B2375/1</f>
        <v>1.3139000000000001</v>
      </c>
      <c r="I2375" s="3">
        <f>GBP!C2375/1</f>
        <v>1.3159000000000001</v>
      </c>
      <c r="J2375" s="4">
        <f>1/INR!B2375</f>
        <v>1.4458179715173857E-2</v>
      </c>
      <c r="K2375" s="4">
        <f>1/INR!C2375</f>
        <v>1.4387971655695839E-2</v>
      </c>
      <c r="L2375" s="4">
        <f>1/JPY!B2375</f>
        <v>8.9750493627714957E-3</v>
      </c>
      <c r="M2375" s="4">
        <f>1/JPY!C2375</f>
        <v>8.9956937613964189E-3</v>
      </c>
      <c r="N2375" s="5">
        <f>1/KRW!B2375</f>
        <v>8.7989441267047959E-4</v>
      </c>
      <c r="O2375" s="5">
        <f>1/KRW!C2375</f>
        <v>8.7989828375839758E-4</v>
      </c>
      <c r="P2375" s="3">
        <f>1/NOK!B2375</f>
        <v>0.11651209395535256</v>
      </c>
      <c r="Q2375" s="3">
        <f>1/NOK!C2375</f>
        <v>0.11664528169835529</v>
      </c>
      <c r="R2375" s="3">
        <f>NZD!B2375/1</f>
        <v>0.67669999999999997</v>
      </c>
      <c r="S2375" s="3">
        <f>NZD!C2375/1</f>
        <v>0.67710000000000004</v>
      </c>
      <c r="T2375" s="4">
        <f>1/PHP!B2375</f>
        <v>1.9144251938355509E-2</v>
      </c>
      <c r="U2375" s="4">
        <f>1/PHP!C2375</f>
        <v>1.9071231047964144E-2</v>
      </c>
      <c r="V2375" s="4">
        <f>1/TWD!B2375</f>
        <v>3.2449621961904145E-2</v>
      </c>
      <c r="W2375" s="4">
        <f>1/TWD!C2375</f>
        <v>3.2450148459429201E-2</v>
      </c>
      <c r="X2375" s="4">
        <f>1/TWD!B2375</f>
        <v>3.2449621961904145E-2</v>
      </c>
      <c r="Y2375" s="4">
        <f>1/TWD!C2375</f>
        <v>3.2450148459429201E-2</v>
      </c>
      <c r="Z2375" s="4">
        <f>1/ZAR!B2375</f>
        <v>7.063693322690702E-2</v>
      </c>
      <c r="AA2375" s="4">
        <f>1/ZAR!C2375</f>
        <v>7.0373472015988855E-2</v>
      </c>
    </row>
    <row r="2376" spans="1:27" x14ac:dyDescent="0.25">
      <c r="A2376" t="str">
        <f>"05/04/2019"</f>
        <v>05/04/2019</v>
      </c>
      <c r="B2376" s="3">
        <f>AUD!B2376</f>
        <v>0.7117</v>
      </c>
      <c r="C2376" s="3">
        <f>AUD!C2376</f>
        <v>0.71209999999999996</v>
      </c>
      <c r="D2376" s="3">
        <f>1/CAD!B2376</f>
        <v>0.74760765550239239</v>
      </c>
      <c r="E2376" s="3">
        <f>1/CAD!C2376</f>
        <v>0.74811101967531979</v>
      </c>
      <c r="F2376" s="3">
        <f>EUR!B2376/1</f>
        <v>1.1228</v>
      </c>
      <c r="G2376" s="3">
        <f>EUR!C2376/1</f>
        <v>1.1255999999999999</v>
      </c>
      <c r="H2376" s="3">
        <f>GBP!B2376/1</f>
        <v>1.3062</v>
      </c>
      <c r="I2376" s="3">
        <f>GBP!C2376/1</f>
        <v>1.3082</v>
      </c>
      <c r="J2376" s="4">
        <f>1/INR!B2376</f>
        <v>1.4442518775274409E-2</v>
      </c>
      <c r="K2376" s="4">
        <f>1/INR!C2376</f>
        <v>1.4381763923345198E-2</v>
      </c>
      <c r="L2376" s="4">
        <f>1/JPY!B2376</f>
        <v>8.9517500671381263E-3</v>
      </c>
      <c r="M2376" s="4">
        <f>1/JPY!C2376</f>
        <v>8.9724724545095641E-3</v>
      </c>
      <c r="N2376" s="5">
        <f>1/KRW!B2376</f>
        <v>8.7997184090109106E-4</v>
      </c>
      <c r="O2376" s="5">
        <f>1/KRW!C2376</f>
        <v>8.7997571267033026E-4</v>
      </c>
      <c r="P2376" s="3">
        <f>1/NOK!B2376</f>
        <v>0.11619395094291392</v>
      </c>
      <c r="Q2376" s="3">
        <f>1/NOK!C2376</f>
        <v>0.11632911834161209</v>
      </c>
      <c r="R2376" s="3">
        <f>NZD!B2376/1</f>
        <v>0.67400000000000004</v>
      </c>
      <c r="S2376" s="3">
        <f>NZD!C2376/1</f>
        <v>0.6744</v>
      </c>
      <c r="T2376" s="4">
        <f>1/PHP!B2376</f>
        <v>1.9179133103183737E-2</v>
      </c>
      <c r="U2376" s="4">
        <f>1/PHP!C2376</f>
        <v>1.9100372457262919E-2</v>
      </c>
      <c r="V2376" s="4">
        <f>1/TWD!B2376</f>
        <v>3.2449621961904145E-2</v>
      </c>
      <c r="W2376" s="4">
        <f>1/TWD!C2376</f>
        <v>3.2450148459429201E-2</v>
      </c>
      <c r="X2376" s="4">
        <f>1/TWD!B2376</f>
        <v>3.2449621961904145E-2</v>
      </c>
      <c r="Y2376" s="4">
        <f>1/TWD!C2376</f>
        <v>3.2450148459429201E-2</v>
      </c>
      <c r="Z2376" s="4">
        <f>1/ZAR!B2376</f>
        <v>7.0929028414168788E-2</v>
      </c>
      <c r="AA2376" s="4">
        <f>1/ZAR!C2376</f>
        <v>7.0673875401957673E-2</v>
      </c>
    </row>
    <row r="2377" spans="1:27" x14ac:dyDescent="0.25">
      <c r="A2377" t="str">
        <f>"08/04/2019"</f>
        <v>08/04/2019</v>
      </c>
      <c r="B2377" s="3">
        <f>AUD!B2377</f>
        <v>0.7107</v>
      </c>
      <c r="C2377" s="3">
        <f>AUD!C2377</f>
        <v>0.71109999999999995</v>
      </c>
      <c r="D2377" s="3">
        <f>1/CAD!B2377</f>
        <v>0.74794315632011965</v>
      </c>
      <c r="E2377" s="3">
        <f>1/CAD!C2377</f>
        <v>0.7484469725319961</v>
      </c>
      <c r="F2377" s="3">
        <f>EUR!B2377/1</f>
        <v>1.1245000000000001</v>
      </c>
      <c r="G2377" s="3">
        <f>EUR!C2377/1</f>
        <v>1.1274</v>
      </c>
      <c r="H2377" s="3">
        <f>GBP!B2377/1</f>
        <v>1.3051999999999999</v>
      </c>
      <c r="I2377" s="3">
        <f>GBP!C2377/1</f>
        <v>1.3071999999999999</v>
      </c>
      <c r="J2377" s="4">
        <f>1/INR!B2377</f>
        <v>1.435080543895526E-2</v>
      </c>
      <c r="K2377" s="4">
        <f>1/INR!C2377</f>
        <v>1.429337144899053E-2</v>
      </c>
      <c r="L2377" s="4">
        <f>1/JPY!B2377</f>
        <v>8.9734386216798277E-3</v>
      </c>
      <c r="M2377" s="4">
        <f>1/JPY!C2377</f>
        <v>8.9945690791899853E-3</v>
      </c>
      <c r="N2377" s="5">
        <f>1/KRW!B2377</f>
        <v>8.7343872827321152E-4</v>
      </c>
      <c r="O2377" s="5">
        <f>1/KRW!C2377</f>
        <v>8.734425427659305E-4</v>
      </c>
      <c r="P2377" s="3">
        <f>1/NOK!B2377</f>
        <v>0.11669156086631816</v>
      </c>
      <c r="Q2377" s="3">
        <f>1/NOK!C2377</f>
        <v>0.11682515946634268</v>
      </c>
      <c r="R2377" s="3">
        <f>NZD!B2377/1</f>
        <v>0.67369999999999997</v>
      </c>
      <c r="S2377" s="3">
        <f>NZD!C2377/1</f>
        <v>0.67410000000000003</v>
      </c>
      <c r="T2377" s="4">
        <f>1/PHP!B2377</f>
        <v>1.9171779141104295E-2</v>
      </c>
      <c r="U2377" s="4">
        <f>1/PHP!C2377</f>
        <v>1.9104021396503964E-2</v>
      </c>
      <c r="V2377" s="4">
        <f>1/TWD!B2377</f>
        <v>3.2420165342843248E-2</v>
      </c>
      <c r="W2377" s="4">
        <f>1/TWD!C2377</f>
        <v>3.2420795995383278E-2</v>
      </c>
      <c r="X2377" s="4">
        <f>1/TWD!B2377</f>
        <v>3.2420165342843248E-2</v>
      </c>
      <c r="Y2377" s="4">
        <f>1/TWD!C2377</f>
        <v>3.2420795995383278E-2</v>
      </c>
      <c r="Z2377" s="4">
        <f>1/ZAR!B2377</f>
        <v>7.0943117808141429E-2</v>
      </c>
      <c r="AA2377" s="4">
        <f>1/ZAR!C2377</f>
        <v>7.0688363281636579E-2</v>
      </c>
    </row>
    <row r="2378" spans="1:27" x14ac:dyDescent="0.25">
      <c r="A2378" t="str">
        <f>"09/04/2019"</f>
        <v>09/04/2019</v>
      </c>
      <c r="B2378" s="3">
        <f>AUD!B2378</f>
        <v>0.71419999999999995</v>
      </c>
      <c r="C2378" s="3">
        <f>AUD!C2378</f>
        <v>0.7147</v>
      </c>
      <c r="D2378" s="3">
        <f>1/CAD!B2378</f>
        <v>0.75216246709289214</v>
      </c>
      <c r="E2378" s="3">
        <f>1/CAD!C2378</f>
        <v>0.75267198554869785</v>
      </c>
      <c r="F2378" s="3">
        <f>EUR!B2378/1</f>
        <v>1.1274</v>
      </c>
      <c r="G2378" s="3">
        <f>EUR!C2378/1</f>
        <v>1.1305000000000001</v>
      </c>
      <c r="H2378" s="3">
        <f>GBP!B2378/1</f>
        <v>1.3072999999999999</v>
      </c>
      <c r="I2378" s="3">
        <f>GBP!C2378/1</f>
        <v>1.3095000000000001</v>
      </c>
      <c r="J2378" s="4">
        <f>1/INR!B2378</f>
        <v>1.4427932477276006E-2</v>
      </c>
      <c r="K2378" s="4">
        <f>1/INR!C2378</f>
        <v>1.4365236128568864E-2</v>
      </c>
      <c r="L2378" s="4">
        <f>1/JPY!B2378</f>
        <v>8.9798850574712638E-3</v>
      </c>
      <c r="M2378" s="4">
        <f>1/JPY!C2378</f>
        <v>9.0026990091629476E-3</v>
      </c>
      <c r="N2378" s="5">
        <f>1/KRW!B2378</f>
        <v>8.7542677055064348E-4</v>
      </c>
      <c r="O2378" s="5">
        <f>1/KRW!C2378</f>
        <v>8.7543175199718813E-4</v>
      </c>
      <c r="P2378" s="3">
        <f>1/NOK!B2378</f>
        <v>0.11720169239243816</v>
      </c>
      <c r="Q2378" s="3">
        <f>1/NOK!C2378</f>
        <v>0.11734885467517837</v>
      </c>
      <c r="R2378" s="3">
        <f>NZD!B2378/1</f>
        <v>0.67420000000000002</v>
      </c>
      <c r="S2378" s="3">
        <f>NZD!C2378/1</f>
        <v>0.67459999999999998</v>
      </c>
      <c r="T2378" s="4">
        <f>1/PHP!B2378</f>
        <v>1.9171779141104295E-2</v>
      </c>
      <c r="U2378" s="4">
        <f>1/PHP!C2378</f>
        <v>1.9104021396503964E-2</v>
      </c>
      <c r="V2378" s="4">
        <f>1/TWD!B2378</f>
        <v>3.2423318850917579E-2</v>
      </c>
      <c r="W2378" s="4">
        <f>1/TWD!C2378</f>
        <v>3.242394962615186E-2</v>
      </c>
      <c r="X2378" s="4">
        <f>1/TWD!B2378</f>
        <v>3.2423318850917579E-2</v>
      </c>
      <c r="Y2378" s="4">
        <f>1/TWD!C2378</f>
        <v>3.242394962615186E-2</v>
      </c>
      <c r="Z2378" s="4">
        <f>1/ZAR!B2378</f>
        <v>7.1205799000270589E-2</v>
      </c>
      <c r="AA2378" s="4">
        <f>1/ZAR!C2378</f>
        <v>7.0940601434418965E-2</v>
      </c>
    </row>
    <row r="2379" spans="1:27" x14ac:dyDescent="0.25">
      <c r="A2379" t="str">
        <f>"10/04/2019"</f>
        <v>10/04/2019</v>
      </c>
      <c r="B2379" s="3">
        <f>AUD!B2379</f>
        <v>0.71489999999999998</v>
      </c>
      <c r="C2379" s="3">
        <f>AUD!C2379</f>
        <v>0.71530000000000005</v>
      </c>
      <c r="D2379" s="3">
        <f>1/CAD!B2379</f>
        <v>0.75058170081813402</v>
      </c>
      <c r="E2379" s="3">
        <f>1/CAD!C2379</f>
        <v>0.75114549688274623</v>
      </c>
      <c r="F2379" s="3">
        <f>EUR!B2379/1</f>
        <v>1.1278999999999999</v>
      </c>
      <c r="G2379" s="3">
        <f>EUR!C2379/1</f>
        <v>1.1309</v>
      </c>
      <c r="H2379" s="3">
        <f>GBP!B2379/1</f>
        <v>1.3096000000000001</v>
      </c>
      <c r="I2379" s="3">
        <f>GBP!C2379/1</f>
        <v>1.3117000000000001</v>
      </c>
      <c r="J2379" s="4">
        <f>1/INR!B2379</f>
        <v>1.4467592592592591E-2</v>
      </c>
      <c r="K2379" s="4">
        <f>1/INR!C2379</f>
        <v>1.4394702749388226E-2</v>
      </c>
      <c r="L2379" s="4">
        <f>1/JPY!B2379</f>
        <v>8.9944234574563763E-3</v>
      </c>
      <c r="M2379" s="4">
        <f>1/JPY!C2379</f>
        <v>9.016189469811994E-3</v>
      </c>
      <c r="N2379" s="5">
        <f>1/KRW!B2379</f>
        <v>8.7796312554872696E-4</v>
      </c>
      <c r="O2379" s="5">
        <f>1/KRW!C2379</f>
        <v>8.7796798173686119E-4</v>
      </c>
      <c r="P2379" s="3">
        <f>1/NOK!B2379</f>
        <v>0.11756821895905101</v>
      </c>
      <c r="Q2379" s="3">
        <f>1/NOK!C2379</f>
        <v>0.11770660451757949</v>
      </c>
      <c r="R2379" s="3">
        <f>NZD!B2379/1</f>
        <v>0.67549999999999999</v>
      </c>
      <c r="S2379" s="3">
        <f>NZD!C2379/1</f>
        <v>0.67579999999999996</v>
      </c>
      <c r="T2379" s="4">
        <f>1/PHP!B2379</f>
        <v>1.9260400616332819E-2</v>
      </c>
      <c r="U2379" s="4">
        <f>1/PHP!C2379</f>
        <v>1.918833349323611E-2</v>
      </c>
      <c r="V2379" s="4">
        <f>1/TWD!B2379</f>
        <v>3.2419114309797055E-2</v>
      </c>
      <c r="W2379" s="4">
        <f>1/TWD!C2379</f>
        <v>3.2419639817801625E-2</v>
      </c>
      <c r="X2379" s="4">
        <f>1/TWD!B2379</f>
        <v>3.2419114309797055E-2</v>
      </c>
      <c r="Y2379" s="4">
        <f>1/TWD!C2379</f>
        <v>3.2419639817801625E-2</v>
      </c>
      <c r="Z2379" s="4">
        <f>1/ZAR!B2379</f>
        <v>7.158093656497401E-2</v>
      </c>
      <c r="AA2379" s="4">
        <f>1/ZAR!C2379</f>
        <v>7.1320571705702787E-2</v>
      </c>
    </row>
    <row r="2380" spans="1:27" x14ac:dyDescent="0.25">
      <c r="A2380" t="str">
        <f>"11/04/2019"</f>
        <v>11/04/2019</v>
      </c>
      <c r="B2380" s="3">
        <f>AUD!B2380</f>
        <v>0.71530000000000005</v>
      </c>
      <c r="C2380" s="3">
        <f>AUD!C2380</f>
        <v>0.7157</v>
      </c>
      <c r="D2380" s="3">
        <f>1/CAD!B2380</f>
        <v>0.74872716382150351</v>
      </c>
      <c r="E2380" s="3">
        <f>1/CAD!C2380</f>
        <v>0.749232037161909</v>
      </c>
      <c r="F2380" s="3">
        <f>EUR!B2380/1</f>
        <v>1.1273</v>
      </c>
      <c r="G2380" s="3">
        <f>EUR!C2380/1</f>
        <v>1.1301000000000001</v>
      </c>
      <c r="H2380" s="3">
        <f>GBP!B2380/1</f>
        <v>1.3080000000000001</v>
      </c>
      <c r="I2380" s="3">
        <f>GBP!C2380/1</f>
        <v>1.31</v>
      </c>
      <c r="J2380" s="4">
        <f>1/INR!B2380</f>
        <v>1.4502737391682679E-2</v>
      </c>
      <c r="K2380" s="4">
        <f>1/INR!C2380</f>
        <v>1.4432096983691729E-2</v>
      </c>
      <c r="L2380" s="4">
        <f>1/JPY!B2380</f>
        <v>8.9952325267608161E-3</v>
      </c>
      <c r="M2380" s="4">
        <f>1/JPY!C2380</f>
        <v>9.0162788915386736E-3</v>
      </c>
      <c r="N2380" s="5">
        <f>1/KRW!B2380</f>
        <v>8.7773194066532089E-4</v>
      </c>
      <c r="O2380" s="5">
        <f>1/KRW!C2380</f>
        <v>8.7773617795925459E-4</v>
      </c>
      <c r="P2380" s="3">
        <f>1/NOK!B2380</f>
        <v>0.11753643629525154</v>
      </c>
      <c r="Q2380" s="3">
        <f>1/NOK!C2380</f>
        <v>0.11767197759525545</v>
      </c>
      <c r="R2380" s="3">
        <f>NZD!B2380/1</f>
        <v>0.67500000000000004</v>
      </c>
      <c r="S2380" s="3">
        <f>NZD!C2380/1</f>
        <v>0.67530000000000001</v>
      </c>
      <c r="T2380" s="4">
        <f>1/PHP!B2380</f>
        <v>1.9288263091908574E-2</v>
      </c>
      <c r="U2380" s="4">
        <f>1/PHP!C2380</f>
        <v>1.921229586935639E-2</v>
      </c>
      <c r="V2380" s="4">
        <f>1/TWD!B2380</f>
        <v>3.2398107950495691E-2</v>
      </c>
      <c r="W2380" s="4">
        <f>1/TWD!C2380</f>
        <v>3.2398632777696779E-2</v>
      </c>
      <c r="X2380" s="4">
        <f>1/TWD!B2380</f>
        <v>3.2398107950495691E-2</v>
      </c>
      <c r="Y2380" s="4">
        <f>1/TWD!C2380</f>
        <v>3.2398632777696779E-2</v>
      </c>
      <c r="Z2380" s="4">
        <f>1/ZAR!B2380</f>
        <v>7.143214303572322E-2</v>
      </c>
      <c r="AA2380" s="4">
        <f>1/ZAR!C2380</f>
        <v>7.1181976723493606E-2</v>
      </c>
    </row>
    <row r="2381" spans="1:27" x14ac:dyDescent="0.25">
      <c r="A2381" t="str">
        <f>"12/04/2019"</f>
        <v>12/04/2019</v>
      </c>
      <c r="B2381" s="3">
        <f>AUD!B2381</f>
        <v>0.71740000000000004</v>
      </c>
      <c r="C2381" s="3">
        <f>AUD!C2381</f>
        <v>0.71789999999999998</v>
      </c>
      <c r="D2381" s="3">
        <f>1/CAD!B2381</f>
        <v>0.75013127297277027</v>
      </c>
      <c r="E2381" s="3">
        <f>1/CAD!C2381</f>
        <v>0.75063804233598552</v>
      </c>
      <c r="F2381" s="3">
        <f>EUR!B2381/1</f>
        <v>1.1315</v>
      </c>
      <c r="G2381" s="3">
        <f>EUR!C2381/1</f>
        <v>1.1344000000000001</v>
      </c>
      <c r="H2381" s="3">
        <f>GBP!B2381/1</f>
        <v>1.3089</v>
      </c>
      <c r="I2381" s="3">
        <f>GBP!C2381/1</f>
        <v>1.3109</v>
      </c>
      <c r="J2381" s="4">
        <f>1/INR!B2381</f>
        <v>1.4458179715173857E-2</v>
      </c>
      <c r="K2381" s="4">
        <f>1/INR!C2381</f>
        <v>1.4391077531930203E-2</v>
      </c>
      <c r="L2381" s="4">
        <f>1/JPY!B2381</f>
        <v>8.9309636509779401E-3</v>
      </c>
      <c r="M2381" s="4">
        <f>1/JPY!C2381</f>
        <v>8.952046572127087E-3</v>
      </c>
      <c r="N2381" s="5">
        <f>1/KRW!B2381</f>
        <v>8.7750087750087754E-4</v>
      </c>
      <c r="O2381" s="5">
        <f>1/KRW!C2381</f>
        <v>8.7750588258006035E-4</v>
      </c>
      <c r="P2381" s="3">
        <f>1/NOK!B2381</f>
        <v>0.1177717583323519</v>
      </c>
      <c r="Q2381" s="3">
        <f>1/NOK!C2381</f>
        <v>0.1179092334720732</v>
      </c>
      <c r="R2381" s="3">
        <f>NZD!B2381/1</f>
        <v>0.67549999999999999</v>
      </c>
      <c r="S2381" s="3">
        <f>NZD!C2381/1</f>
        <v>0.67579999999999996</v>
      </c>
      <c r="T2381" s="4">
        <f>1/PHP!B2381</f>
        <v>1.9312475859405175E-2</v>
      </c>
      <c r="U2381" s="4">
        <f>1/PHP!C2381</f>
        <v>1.9230769230769232E-2</v>
      </c>
      <c r="V2381" s="4">
        <f>1/TWD!B2381</f>
        <v>3.2383419689119175E-2</v>
      </c>
      <c r="W2381" s="4">
        <f>1/TWD!C2381</f>
        <v>3.2383944040544697E-2</v>
      </c>
      <c r="X2381" s="4">
        <f>1/TWD!B2381</f>
        <v>3.2383419689119175E-2</v>
      </c>
      <c r="Y2381" s="4">
        <f>1/TWD!C2381</f>
        <v>3.2383944040544697E-2</v>
      </c>
      <c r="Z2381" s="4">
        <f>1/ZAR!B2381</f>
        <v>7.1649661813596249E-2</v>
      </c>
      <c r="AA2381" s="4">
        <f>1/ZAR!C2381</f>
        <v>7.1398482068271221E-2</v>
      </c>
    </row>
    <row r="2382" spans="1:27" x14ac:dyDescent="0.25">
      <c r="A2382" t="str">
        <f>"15/04/2019"</f>
        <v>15/04/2019</v>
      </c>
      <c r="B2382" s="3">
        <f>AUD!B2382</f>
        <v>0.71760000000000002</v>
      </c>
      <c r="C2382" s="3">
        <f>AUD!C2382</f>
        <v>0.71809999999999996</v>
      </c>
      <c r="D2382" s="3">
        <f>1/CAD!B2382</f>
        <v>0.75086349301696942</v>
      </c>
      <c r="E2382" s="3">
        <f>1/CAD!C2382</f>
        <v>0.751371252535878</v>
      </c>
      <c r="F2382" s="3">
        <f>EUR!B2382/1</f>
        <v>1.1315</v>
      </c>
      <c r="G2382" s="3">
        <f>EUR!C2382/1</f>
        <v>1.1344000000000001</v>
      </c>
      <c r="H2382" s="3">
        <f>GBP!B2382/1</f>
        <v>1.3109</v>
      </c>
      <c r="I2382" s="3">
        <f>GBP!C2382/1</f>
        <v>1.3129</v>
      </c>
      <c r="J2382" s="4">
        <f>1/INR!B2382</f>
        <v>1.4402477226082885E-2</v>
      </c>
      <c r="K2382" s="4">
        <f>1/INR!C2382</f>
        <v>1.4334348683031715E-2</v>
      </c>
      <c r="L2382" s="4">
        <f>1/JPY!B2382</f>
        <v>8.9317613433369074E-3</v>
      </c>
      <c r="M2382" s="4">
        <f>1/JPY!C2382</f>
        <v>8.9530243763994693E-3</v>
      </c>
      <c r="N2382" s="5">
        <f>1/KRW!B2382</f>
        <v>8.8253463948459985E-4</v>
      </c>
      <c r="O2382" s="5">
        <f>1/KRW!C2382</f>
        <v>8.8253931271368481E-4</v>
      </c>
      <c r="P2382" s="3">
        <f>1/NOK!B2382</f>
        <v>0.1177412518249894</v>
      </c>
      <c r="Q2382" s="3">
        <f>1/NOK!C2382</f>
        <v>0.11788977306218686</v>
      </c>
      <c r="R2382" s="3">
        <f>NZD!B2382/1</f>
        <v>0.67630000000000001</v>
      </c>
      <c r="S2382" s="3">
        <f>NZD!C2382/1</f>
        <v>0.67659999999999998</v>
      </c>
      <c r="T2382" s="4">
        <f>1/PHP!B2382</f>
        <v>1.9357336430507164E-2</v>
      </c>
      <c r="U2382" s="4">
        <f>1/PHP!C2382</f>
        <v>1.9286403085824494E-2</v>
      </c>
      <c r="V2382" s="4">
        <f>1/TWD!B2382</f>
        <v>3.2398107950495691E-2</v>
      </c>
      <c r="W2382" s="4">
        <f>1/TWD!C2382</f>
        <v>3.2398632777696779E-2</v>
      </c>
      <c r="X2382" s="4">
        <f>1/TWD!B2382</f>
        <v>3.2398107950495691E-2</v>
      </c>
      <c r="Y2382" s="4">
        <f>1/TWD!C2382</f>
        <v>3.2398632777696779E-2</v>
      </c>
      <c r="Z2382" s="4">
        <f>1/ZAR!B2382</f>
        <v>7.161630846576382E-2</v>
      </c>
      <c r="AA2382" s="4">
        <f>1/ZAR!C2382</f>
        <v>7.1365871412972889E-2</v>
      </c>
    </row>
    <row r="2383" spans="1:27" x14ac:dyDescent="0.25">
      <c r="A2383" t="str">
        <f>"16/04/2019"</f>
        <v>16/04/2019</v>
      </c>
      <c r="B2383" s="3">
        <f>AUD!B2383</f>
        <v>0.71519999999999995</v>
      </c>
      <c r="C2383" s="3">
        <f>AUD!C2383</f>
        <v>0.7157</v>
      </c>
      <c r="D2383" s="3">
        <f>1/CAD!B2383</f>
        <v>0.74749588877261175</v>
      </c>
      <c r="E2383" s="3">
        <f>1/CAD!C2383</f>
        <v>0.74799910240107714</v>
      </c>
      <c r="F2383" s="3">
        <f>EUR!B2383/1</f>
        <v>1.1303000000000001</v>
      </c>
      <c r="G2383" s="3">
        <f>EUR!C2383/1</f>
        <v>1.1334</v>
      </c>
      <c r="H2383" s="3">
        <f>GBP!B2383/1</f>
        <v>1.3089999999999999</v>
      </c>
      <c r="I2383" s="3">
        <f>GBP!C2383/1</f>
        <v>1.3111999999999999</v>
      </c>
      <c r="J2383" s="4">
        <f>1/INR!B2383</f>
        <v>1.4365752047119667E-2</v>
      </c>
      <c r="K2383" s="4">
        <f>1/INR!C2383</f>
        <v>1.4304616815077066E-2</v>
      </c>
      <c r="L2383" s="4">
        <f>1/JPY!B2383</f>
        <v>8.9349535382416013E-3</v>
      </c>
      <c r="M2383" s="4">
        <f>1/JPY!C2383</f>
        <v>8.9572506256639563E-3</v>
      </c>
      <c r="N2383" s="5">
        <f>1/KRW!B2383</f>
        <v>8.8035918654811153E-4</v>
      </c>
      <c r="O2383" s="5">
        <f>1/KRW!C2383</f>
        <v>8.8036344924638684E-4</v>
      </c>
      <c r="P2383" s="3">
        <f>1/NOK!B2383</f>
        <v>0.11778285552754941</v>
      </c>
      <c r="Q2383" s="3">
        <f>1/NOK!C2383</f>
        <v>0.11791201405511208</v>
      </c>
      <c r="R2383" s="3">
        <f>NZD!B2383/1</f>
        <v>0.6754</v>
      </c>
      <c r="S2383" s="3">
        <f>NZD!C2383/1</f>
        <v>0.67579999999999996</v>
      </c>
      <c r="T2383" s="4">
        <f>1/PHP!B2383</f>
        <v>1.9308746862328634E-2</v>
      </c>
      <c r="U2383" s="4">
        <f>1/PHP!C2383</f>
        <v>1.924557351809084E-2</v>
      </c>
      <c r="V2383" s="4">
        <f>1/TWD!B2383</f>
        <v>3.238971302714258E-2</v>
      </c>
      <c r="W2383" s="4">
        <f>1/TWD!C2383</f>
        <v>3.2390342495481547E-2</v>
      </c>
      <c r="X2383" s="4">
        <f>1/TWD!B2383</f>
        <v>3.238971302714258E-2</v>
      </c>
      <c r="Y2383" s="4">
        <f>1/TWD!C2383</f>
        <v>3.2390342495481547E-2</v>
      </c>
      <c r="Z2383" s="4">
        <f>1/ZAR!B2383</f>
        <v>7.1126284718517729E-2</v>
      </c>
      <c r="AA2383" s="4">
        <f>1/ZAR!C2383</f>
        <v>7.0860171623335674E-2</v>
      </c>
    </row>
    <row r="2384" spans="1:27" x14ac:dyDescent="0.25">
      <c r="A2384" t="str">
        <f>"18/04/2019"</f>
        <v>18/04/2019</v>
      </c>
      <c r="B2384" s="3">
        <f>AUD!B2384</f>
        <v>0.71589999999999998</v>
      </c>
      <c r="C2384" s="3">
        <f>AUD!C2384</f>
        <v>0.71630000000000005</v>
      </c>
      <c r="D2384" s="3">
        <f>1/CAD!B2384</f>
        <v>0.74766355140186924</v>
      </c>
      <c r="E2384" s="3">
        <f>1/CAD!C2384</f>
        <v>0.74816699087236271</v>
      </c>
      <c r="F2384" s="3">
        <f>EUR!B2384/1</f>
        <v>1.1253</v>
      </c>
      <c r="G2384" s="3">
        <f>EUR!C2384/1</f>
        <v>1.1282000000000001</v>
      </c>
      <c r="H2384" s="3">
        <f>GBP!B2384/1</f>
        <v>1.3008999999999999</v>
      </c>
      <c r="I2384" s="3">
        <f>GBP!C2384/1</f>
        <v>1.3028999999999999</v>
      </c>
      <c r="J2384" s="4">
        <f>1/INR!B2384</f>
        <v>1.4418051400353241E-2</v>
      </c>
      <c r="K2384" s="4">
        <f>1/INR!C2384</f>
        <v>1.4355955927215303E-2</v>
      </c>
      <c r="L2384" s="4">
        <f>1/JPY!B2384</f>
        <v>8.9333571556190813E-3</v>
      </c>
      <c r="M2384" s="4">
        <f>1/JPY!C2384</f>
        <v>8.9544513921037856E-3</v>
      </c>
      <c r="N2384" s="5">
        <f>1/KRW!B2384</f>
        <v>8.794301292762291E-4</v>
      </c>
      <c r="O2384" s="5">
        <f>1/KRW!C2384</f>
        <v>8.7943554309102237E-4</v>
      </c>
      <c r="P2384" s="3">
        <f>1/NOK!B2384</f>
        <v>0.11714402858314298</v>
      </c>
      <c r="Q2384" s="3">
        <f>1/NOK!C2384</f>
        <v>0.11727729042548202</v>
      </c>
      <c r="R2384" s="3">
        <f>NZD!B2384/1</f>
        <v>0.66930000000000001</v>
      </c>
      <c r="S2384" s="3">
        <f>NZD!C2384/1</f>
        <v>0.66969999999999996</v>
      </c>
      <c r="T2384" s="4">
        <f>1/PHP!B2384</f>
        <v>1.9308746862328634E-2</v>
      </c>
      <c r="U2384" s="4">
        <f>1/PHP!C2384</f>
        <v>1.9252984212552948E-2</v>
      </c>
      <c r="V2384" s="4">
        <f>1/TWD!B2384</f>
        <v>3.2424370156609705E-2</v>
      </c>
      <c r="W2384" s="4">
        <f>1/TWD!C2384</f>
        <v>3.242489583502213E-2</v>
      </c>
      <c r="X2384" s="4">
        <f>1/TWD!B2384</f>
        <v>3.2424370156609705E-2</v>
      </c>
      <c r="Y2384" s="4">
        <f>1/TWD!C2384</f>
        <v>3.242489583502213E-2</v>
      </c>
      <c r="Z2384" s="4">
        <f>1/ZAR!B2384</f>
        <v>7.0921985815602842E-2</v>
      </c>
      <c r="AA2384" s="4">
        <f>1/ZAR!C2384</f>
        <v>7.0672376994727837E-2</v>
      </c>
    </row>
    <row r="2385" spans="1:27" x14ac:dyDescent="0.25">
      <c r="A2385" t="str">
        <f>"22/04/2019"</f>
        <v>22/04/2019</v>
      </c>
      <c r="B2385" s="3">
        <f>AUD!B2385</f>
        <v>0.71360000000000001</v>
      </c>
      <c r="C2385" s="3">
        <f>AUD!C2385</f>
        <v>0.71399999999999997</v>
      </c>
      <c r="D2385" s="3">
        <f>1/CAD!B2385</f>
        <v>0.7482229704451927</v>
      </c>
      <c r="E2385" s="3">
        <f>1/CAD!C2385</f>
        <v>0.74872716382150351</v>
      </c>
      <c r="F2385" s="3">
        <f>EUR!B2385/1</f>
        <v>1.1249</v>
      </c>
      <c r="G2385" s="3">
        <f>EUR!C2385/1</f>
        <v>1.1277999999999999</v>
      </c>
      <c r="H2385" s="3">
        <f>GBP!B2385/1</f>
        <v>1.2988</v>
      </c>
      <c r="I2385" s="3">
        <f>GBP!C2385/1</f>
        <v>1.3008</v>
      </c>
      <c r="J2385" s="4">
        <f>1/INR!B2385</f>
        <v>1.4352350197344816E-2</v>
      </c>
      <c r="K2385" s="4">
        <f>1/INR!C2385</f>
        <v>1.42836737608913E-2</v>
      </c>
      <c r="L2385" s="4">
        <f>1/JPY!B2385</f>
        <v>8.9341552756186902E-3</v>
      </c>
      <c r="M2385" s="4">
        <f>1/JPY!C2385</f>
        <v>8.9554537817985776E-3</v>
      </c>
      <c r="N2385" s="5">
        <f>1/KRW!B2385</f>
        <v>8.7596355991590759E-4</v>
      </c>
      <c r="O2385" s="5">
        <f>1/KRW!C2385</f>
        <v>8.7597008211781537E-4</v>
      </c>
      <c r="P2385" s="3">
        <f>1/NOK!B2385</f>
        <v>0.11759587003304443</v>
      </c>
      <c r="Q2385" s="3">
        <f>1/NOK!C2385</f>
        <v>0.11772600449713336</v>
      </c>
      <c r="R2385" s="3">
        <f>NZD!B2385/1</f>
        <v>0.66749999999999998</v>
      </c>
      <c r="S2385" s="3">
        <f>NZD!C2385/1</f>
        <v>0.66790000000000005</v>
      </c>
      <c r="T2385" s="4">
        <f>1/PHP!B2385</f>
        <v>1.921229586935639E-2</v>
      </c>
      <c r="U2385" s="4">
        <f>1/PHP!C2385</f>
        <v>1.9155253328225267E-2</v>
      </c>
      <c r="V2385" s="4">
        <f>1/TWD!B2385</f>
        <v>3.2407557442395568E-2</v>
      </c>
      <c r="W2385" s="4">
        <f>1/TWD!C2385</f>
        <v>3.2408187604516407E-2</v>
      </c>
      <c r="X2385" s="4">
        <f>1/TWD!B2385</f>
        <v>3.2407557442395568E-2</v>
      </c>
      <c r="Y2385" s="4">
        <f>1/TWD!C2385</f>
        <v>3.2408187604516407E-2</v>
      </c>
      <c r="Z2385" s="4">
        <f>1/ZAR!B2385</f>
        <v>7.0786938394127516E-2</v>
      </c>
      <c r="AA2385" s="4">
        <f>1/ZAR!C2385</f>
        <v>7.0537282480655147E-2</v>
      </c>
    </row>
    <row r="2386" spans="1:27" x14ac:dyDescent="0.25">
      <c r="A2386" t="str">
        <f>"23/04/2019"</f>
        <v>23/04/2019</v>
      </c>
      <c r="B2386" s="3">
        <f>AUD!B2386</f>
        <v>0.71099999999999997</v>
      </c>
      <c r="C2386" s="3">
        <f>AUD!C2386</f>
        <v>0.71150000000000002</v>
      </c>
      <c r="D2386" s="3">
        <f>1/CAD!B2386</f>
        <v>0.74766355140186924</v>
      </c>
      <c r="E2386" s="3">
        <f>1/CAD!C2386</f>
        <v>0.7482229704451927</v>
      </c>
      <c r="F2386" s="3">
        <f>EUR!B2386/1</f>
        <v>1.1249</v>
      </c>
      <c r="G2386" s="3">
        <f>EUR!C2386/1</f>
        <v>1.1281000000000001</v>
      </c>
      <c r="H2386" s="3">
        <f>GBP!B2386/1</f>
        <v>1.3003</v>
      </c>
      <c r="I2386" s="3">
        <f>GBP!C2386/1</f>
        <v>1.3025</v>
      </c>
      <c r="J2386" s="4">
        <f>1/INR!B2386</f>
        <v>1.4360594528613484E-2</v>
      </c>
      <c r="K2386" s="4">
        <f>1/INR!C2386</f>
        <v>1.42836737608913E-2</v>
      </c>
      <c r="L2386" s="4">
        <f>1/JPY!B2386</f>
        <v>8.9365504915102766E-3</v>
      </c>
      <c r="M2386" s="4">
        <f>1/JPY!C2386</f>
        <v>8.9599311877284777E-3</v>
      </c>
      <c r="N2386" s="5">
        <f>1/KRW!B2386</f>
        <v>8.7565674255691769E-4</v>
      </c>
      <c r="O2386" s="5">
        <f>1/KRW!C2386</f>
        <v>8.7566364358388112E-4</v>
      </c>
      <c r="P2386" s="3">
        <f>1/NOK!B2386</f>
        <v>0.11737364726871523</v>
      </c>
      <c r="Q2386" s="3">
        <f>1/NOK!C2386</f>
        <v>0.11752400427787375</v>
      </c>
      <c r="R2386" s="3">
        <f>NZD!B2386/1</f>
        <v>0.66590000000000005</v>
      </c>
      <c r="S2386" s="3">
        <f>NZD!C2386/1</f>
        <v>0.6663</v>
      </c>
      <c r="T2386" s="4">
        <f>1/PHP!B2386</f>
        <v>1.921229586935639E-2</v>
      </c>
      <c r="U2386" s="4">
        <f>1/PHP!C2386</f>
        <v>1.9155253328225267E-2</v>
      </c>
      <c r="V2386" s="4">
        <f>1/TWD!B2386</f>
        <v>3.2406507226651109E-2</v>
      </c>
      <c r="W2386" s="4">
        <f>1/TWD!C2386</f>
        <v>3.2407137347929507E-2</v>
      </c>
      <c r="X2386" s="4">
        <f>1/TWD!B2386</f>
        <v>3.2406507226651109E-2</v>
      </c>
      <c r="Y2386" s="4">
        <f>1/TWD!C2386</f>
        <v>3.2407137347929507E-2</v>
      </c>
      <c r="Z2386" s="4">
        <f>1/ZAR!B2386</f>
        <v>7.0470177021084671E-2</v>
      </c>
      <c r="AA2386" s="4">
        <f>1/ZAR!C2386</f>
        <v>7.0196620734677834E-2</v>
      </c>
    </row>
    <row r="2387" spans="1:27" x14ac:dyDescent="0.25">
      <c r="A2387" t="str">
        <f>"24/04/2019"</f>
        <v>24/04/2019</v>
      </c>
      <c r="B2387" s="3">
        <f>AUD!B2387</f>
        <v>0.70299999999999996</v>
      </c>
      <c r="C2387" s="3">
        <f>AUD!C2387</f>
        <v>0.70350000000000001</v>
      </c>
      <c r="D2387" s="3">
        <f>1/CAD!B2387</f>
        <v>0.74332862558537127</v>
      </c>
      <c r="E2387" s="3">
        <f>1/CAD!C2387</f>
        <v>0.74393691414968011</v>
      </c>
      <c r="F2387" s="3">
        <f>EUR!B2387/1</f>
        <v>1.1205000000000001</v>
      </c>
      <c r="G2387" s="3">
        <f>EUR!C2387/1</f>
        <v>1.1235999999999999</v>
      </c>
      <c r="H2387" s="3">
        <f>GBP!B2387/1</f>
        <v>1.2941</v>
      </c>
      <c r="I2387" s="3">
        <f>GBP!C2387/1</f>
        <v>1.2963</v>
      </c>
      <c r="J2387" s="4">
        <f>1/INR!B2387</f>
        <v>1.4311782174675301E-2</v>
      </c>
      <c r="K2387" s="4">
        <f>1/INR!C2387</f>
        <v>1.4245014245014245E-2</v>
      </c>
      <c r="L2387" s="4">
        <f>1/JPY!B2387</f>
        <v>8.9413447782546486E-3</v>
      </c>
      <c r="M2387" s="4">
        <f>1/JPY!C2387</f>
        <v>8.9663099868553895E-3</v>
      </c>
      <c r="N2387" s="5">
        <f>1/KRW!B2387</f>
        <v>8.6888522026240327E-4</v>
      </c>
      <c r="O2387" s="5">
        <f>1/KRW!C2387</f>
        <v>8.6889163748276883E-4</v>
      </c>
      <c r="P2387" s="3">
        <f>1/NOK!B2387</f>
        <v>0.1165813679657717</v>
      </c>
      <c r="Q2387" s="3">
        <f>1/NOK!C2387</f>
        <v>0.11672833813864991</v>
      </c>
      <c r="R2387" s="3">
        <f>NZD!B2387/1</f>
        <v>0.66169999999999995</v>
      </c>
      <c r="S2387" s="3">
        <f>NZD!C2387/1</f>
        <v>0.66210000000000002</v>
      </c>
      <c r="T2387" s="4">
        <f>1/PHP!B2387</f>
        <v>1.9142419601837671E-2</v>
      </c>
      <c r="U2387" s="4">
        <f>1/PHP!C2387</f>
        <v>1.9077598130395383E-2</v>
      </c>
      <c r="V2387" s="4">
        <f>1/TWD!B2387</f>
        <v>3.2388663967611336E-2</v>
      </c>
      <c r="W2387" s="4">
        <f>1/TWD!C2387</f>
        <v>3.2389293395175288E-2</v>
      </c>
      <c r="X2387" s="4">
        <f>1/TWD!B2387</f>
        <v>3.2388663967611336E-2</v>
      </c>
      <c r="Y2387" s="4">
        <f>1/TWD!C2387</f>
        <v>3.2389293395175288E-2</v>
      </c>
      <c r="Z2387" s="4">
        <f>1/ZAR!B2387</f>
        <v>6.9621398833145359E-2</v>
      </c>
      <c r="AA2387" s="4">
        <f>1/ZAR!C2387</f>
        <v>6.9356785174293598E-2</v>
      </c>
    </row>
    <row r="2388" spans="1:27" x14ac:dyDescent="0.25">
      <c r="A2388" t="str">
        <f>"25/04/2019"</f>
        <v>25/04/2019</v>
      </c>
      <c r="B2388" s="3">
        <f>AUD!B2388</f>
        <v>0.70020000000000004</v>
      </c>
      <c r="C2388" s="3">
        <f>AUD!C2388</f>
        <v>0.70069999999999999</v>
      </c>
      <c r="D2388" s="3">
        <f>1/CAD!B2388</f>
        <v>0.74035685200266532</v>
      </c>
      <c r="E2388" s="3">
        <f>1/CAD!C2388</f>
        <v>0.74090538638215908</v>
      </c>
      <c r="F2388" s="3">
        <f>EUR!B2388/1</f>
        <v>1.1128</v>
      </c>
      <c r="G2388" s="3">
        <f>EUR!C2388/1</f>
        <v>1.1155999999999999</v>
      </c>
      <c r="H2388" s="3">
        <f>GBP!B2388/1</f>
        <v>1.2875000000000001</v>
      </c>
      <c r="I2388" s="3">
        <f>GBP!C2388/1</f>
        <v>1.2895000000000001</v>
      </c>
      <c r="J2388" s="4">
        <f>1/INR!B2388</f>
        <v>1.4230823964707557E-2</v>
      </c>
      <c r="K2388" s="4">
        <f>1/INR!C2388</f>
        <v>1.4166814237648307E-2</v>
      </c>
      <c r="L2388" s="4">
        <f>1/JPY!B2388</f>
        <v>8.939746111210442E-3</v>
      </c>
      <c r="M2388" s="4">
        <f>1/JPY!C2388</f>
        <v>8.961424651445388E-3</v>
      </c>
      <c r="N2388" s="5">
        <f>1/KRW!B2388</f>
        <v>8.6169754416199913E-4</v>
      </c>
      <c r="O2388" s="5">
        <f>1/KRW!C2388</f>
        <v>8.6170348438420951E-4</v>
      </c>
      <c r="P2388" s="3">
        <f>1/NOK!B2388</f>
        <v>0.1151012891344383</v>
      </c>
      <c r="Q2388" s="3">
        <f>1/NOK!C2388</f>
        <v>0.1152392366552964</v>
      </c>
      <c r="R2388" s="3">
        <f>NZD!B2388/1</f>
        <v>0.65910000000000002</v>
      </c>
      <c r="S2388" s="3">
        <f>NZD!C2388/1</f>
        <v>0.65949999999999998</v>
      </c>
      <c r="T2388" s="4">
        <f>1/PHP!B2388</f>
        <v>1.9175455417066157E-2</v>
      </c>
      <c r="U2388" s="4">
        <f>1/PHP!C2388</f>
        <v>1.9120458891013385E-2</v>
      </c>
      <c r="V2388" s="4">
        <f>1/TWD!B2388</f>
        <v>3.2356176794150003E-2</v>
      </c>
      <c r="W2388" s="4">
        <f>1/TWD!C2388</f>
        <v>3.2356804959651063E-2</v>
      </c>
      <c r="X2388" s="4">
        <f>1/TWD!B2388</f>
        <v>3.2356176794150003E-2</v>
      </c>
      <c r="Y2388" s="4">
        <f>1/TWD!C2388</f>
        <v>3.2356804959651063E-2</v>
      </c>
      <c r="Z2388" s="4">
        <f>1/ZAR!B2388</f>
        <v>6.8932239608464882E-2</v>
      </c>
      <c r="AA2388" s="4">
        <f>1/ZAR!C2388</f>
        <v>6.8683677324083939E-2</v>
      </c>
    </row>
    <row r="2389" spans="1:27" x14ac:dyDescent="0.25">
      <c r="A2389" t="str">
        <f>"26/04/2019"</f>
        <v>26/04/2019</v>
      </c>
      <c r="B2389" s="3">
        <f>AUD!B2389</f>
        <v>0.70389999999999997</v>
      </c>
      <c r="C2389" s="3">
        <f>AUD!C2389</f>
        <v>0.70440000000000003</v>
      </c>
      <c r="D2389" s="3">
        <f>1/CAD!B2389</f>
        <v>0.74145473418847774</v>
      </c>
      <c r="E2389" s="3">
        <f>1/CAD!C2389</f>
        <v>0.74194984419053267</v>
      </c>
      <c r="F2389" s="3">
        <f>EUR!B2389/1</f>
        <v>1.1140000000000001</v>
      </c>
      <c r="G2389" s="3">
        <f>EUR!C2389/1</f>
        <v>1.117</v>
      </c>
      <c r="H2389" s="3">
        <f>GBP!B2389/1</f>
        <v>1.2909999999999999</v>
      </c>
      <c r="I2389" s="3">
        <f>GBP!C2389/1</f>
        <v>1.2930999999999999</v>
      </c>
      <c r="J2389" s="4">
        <f>1/INR!B2389</f>
        <v>1.4280104244760986E-2</v>
      </c>
      <c r="K2389" s="4">
        <f>1/INR!C2389</f>
        <v>1.4217672567000784E-2</v>
      </c>
      <c r="L2389" s="4">
        <f>1/JPY!B2389</f>
        <v>8.948545861297539E-3</v>
      </c>
      <c r="M2389" s="4">
        <f>1/JPY!C2389</f>
        <v>8.9720618964606123E-3</v>
      </c>
      <c r="N2389" s="5">
        <f>1/KRW!B2389</f>
        <v>8.6132644272179156E-4</v>
      </c>
      <c r="O2389" s="5">
        <f>1/KRW!C2389</f>
        <v>8.613316359357895E-4</v>
      </c>
      <c r="P2389" s="3">
        <f>1/NOK!B2389</f>
        <v>0.11527643288606078</v>
      </c>
      <c r="Q2389" s="3">
        <f>1/NOK!C2389</f>
        <v>0.11542012927054479</v>
      </c>
      <c r="R2389" s="3">
        <f>NZD!B2389/1</f>
        <v>0.66510000000000002</v>
      </c>
      <c r="S2389" s="3">
        <f>NZD!C2389/1</f>
        <v>0.66539999999999999</v>
      </c>
      <c r="T2389" s="4">
        <f>1/PHP!B2389</f>
        <v>1.9157088122605363E-2</v>
      </c>
      <c r="U2389" s="4">
        <f>1/PHP!C2389</f>
        <v>1.9100372457262919E-2</v>
      </c>
      <c r="V2389" s="4">
        <f>1/TWD!B2389</f>
        <v>3.2354083085285361E-2</v>
      </c>
      <c r="W2389" s="4">
        <f>1/TWD!C2389</f>
        <v>3.2354711169493393E-2</v>
      </c>
      <c r="X2389" s="4">
        <f>1/TWD!B2389</f>
        <v>3.2354083085285361E-2</v>
      </c>
      <c r="Y2389" s="4">
        <f>1/TWD!C2389</f>
        <v>3.2354711169493393E-2</v>
      </c>
      <c r="Z2389" s="4">
        <f>1/ZAR!B2389</f>
        <v>6.9445408964013383E-2</v>
      </c>
      <c r="AA2389" s="4">
        <f>1/ZAR!C2389</f>
        <v>6.918595801796068E-2</v>
      </c>
    </row>
    <row r="2390" spans="1:27" x14ac:dyDescent="0.25">
      <c r="A2390" t="str">
        <f>"30/04/2019"</f>
        <v>30/04/2019</v>
      </c>
      <c r="B2390" s="3">
        <f>AUD!B2390</f>
        <v>0.70550000000000002</v>
      </c>
      <c r="C2390" s="3">
        <f>AUD!C2390</f>
        <v>0.70599999999999996</v>
      </c>
      <c r="D2390" s="3">
        <f>1/CAD!B2390</f>
        <v>0.74388157405341071</v>
      </c>
      <c r="E2390" s="3">
        <f>1/CAD!C2390</f>
        <v>0.74449076831447292</v>
      </c>
      <c r="F2390" s="3">
        <f>EUR!B2390/1</f>
        <v>1.1214</v>
      </c>
      <c r="G2390" s="3">
        <f>EUR!C2390/1</f>
        <v>1.1244000000000001</v>
      </c>
      <c r="H2390" s="3">
        <f>GBP!B2390/1</f>
        <v>1.3004</v>
      </c>
      <c r="I2390" s="3">
        <f>GBP!C2390/1</f>
        <v>1.3026</v>
      </c>
      <c r="J2390" s="4">
        <f>1/INR!B2390</f>
        <v>1.4375561545372867E-2</v>
      </c>
      <c r="K2390" s="4">
        <f>1/INR!C2390</f>
        <v>1.4316392269148177E-2</v>
      </c>
      <c r="L2390" s="4">
        <f>1/JPY!B2390</f>
        <v>8.9879561387740427E-3</v>
      </c>
      <c r="M2390" s="4">
        <f>1/JPY!C2390</f>
        <v>9.0115419829717904E-3</v>
      </c>
      <c r="N2390" s="5">
        <f>1/KRW!B2390</f>
        <v>8.5601780517034754E-4</v>
      </c>
      <c r="O2390" s="5">
        <f>1/KRW!C2390</f>
        <v>8.5602403373077115E-4</v>
      </c>
      <c r="P2390" s="3">
        <f>1/NOK!B2390</f>
        <v>0.11597161014983533</v>
      </c>
      <c r="Q2390" s="3">
        <f>1/NOK!C2390</f>
        <v>0.1161170459823502</v>
      </c>
      <c r="R2390" s="3">
        <f>NZD!B2390/1</f>
        <v>0.66759999999999997</v>
      </c>
      <c r="S2390" s="3">
        <f>NZD!C2390/1</f>
        <v>0.66800000000000004</v>
      </c>
      <c r="T2390" s="4">
        <f>1/PHP!B2390</f>
        <v>1.9249278152069296E-2</v>
      </c>
      <c r="U2390" s="4">
        <f>1/PHP!C2390</f>
        <v>1.9197542714532539E-2</v>
      </c>
      <c r="V2390" s="4">
        <f>1/TWD!B2390</f>
        <v>3.2356176794150003E-2</v>
      </c>
      <c r="W2390" s="4">
        <f>1/TWD!C2390</f>
        <v>3.2356804959651063E-2</v>
      </c>
      <c r="X2390" s="4">
        <f>1/TWD!B2390</f>
        <v>3.2356176794150003E-2</v>
      </c>
      <c r="Y2390" s="4">
        <f>1/TWD!C2390</f>
        <v>3.2356804959651063E-2</v>
      </c>
      <c r="Z2390" s="4">
        <f>1/ZAR!B2390</f>
        <v>6.9886085680341048E-2</v>
      </c>
      <c r="AA2390" s="4">
        <f>1/ZAR!C2390</f>
        <v>6.9629639945131841E-2</v>
      </c>
    </row>
    <row r="2391" spans="1:27" x14ac:dyDescent="0.25">
      <c r="A2391" t="str">
        <f>"02/05/2019"</f>
        <v>02/05/2019</v>
      </c>
      <c r="B2391" s="3">
        <f>AUD!B2391</f>
        <v>0.70230000000000004</v>
      </c>
      <c r="C2391" s="3">
        <f>AUD!C2391</f>
        <v>0.70279999999999998</v>
      </c>
      <c r="D2391" s="3">
        <f>1/CAD!B2391</f>
        <v>0.74437993151704629</v>
      </c>
      <c r="E2391" s="3">
        <f>1/CAD!C2391</f>
        <v>0.74493444576877232</v>
      </c>
      <c r="F2391" s="3">
        <f>EUR!B2391/1</f>
        <v>1.1206</v>
      </c>
      <c r="G2391" s="3">
        <f>EUR!C2391/1</f>
        <v>1.1235999999999999</v>
      </c>
      <c r="H2391" s="3">
        <f>GBP!B2391/1</f>
        <v>1.3042</v>
      </c>
      <c r="I2391" s="3">
        <f>GBP!C2391/1</f>
        <v>1.3063</v>
      </c>
      <c r="J2391" s="4">
        <f>1/INR!B2391</f>
        <v>1.4414933871490863E-2</v>
      </c>
      <c r="K2391" s="4">
        <f>1/INR!C2391</f>
        <v>1.4353895288333871E-2</v>
      </c>
      <c r="L2391" s="4">
        <f>1/JPY!B2391</f>
        <v>8.9702188733405096E-3</v>
      </c>
      <c r="M2391" s="4">
        <f>1/JPY!C2391</f>
        <v>8.9934527663860717E-3</v>
      </c>
      <c r="N2391" s="5">
        <f>1/KRW!B2391</f>
        <v>8.5770649283815068E-4</v>
      </c>
      <c r="O2391" s="5">
        <f>1/KRW!C2391</f>
        <v>8.5771127465759098E-4</v>
      </c>
      <c r="P2391" s="3">
        <f>1/NOK!B2391</f>
        <v>0.11509069146487431</v>
      </c>
      <c r="Q2391" s="3">
        <f>1/NOK!C2391</f>
        <v>0.11523126915719849</v>
      </c>
      <c r="R2391" s="3">
        <f>NZD!B2391/1</f>
        <v>0.66300000000000003</v>
      </c>
      <c r="S2391" s="3">
        <f>NZD!C2391/1</f>
        <v>0.66339999999999999</v>
      </c>
      <c r="T2391" s="4">
        <f>1/PHP!B2391</f>
        <v>1.9275250578257516E-2</v>
      </c>
      <c r="U2391" s="4">
        <f>1/PHP!C2391</f>
        <v>1.9225223493223108E-2</v>
      </c>
      <c r="V2391" s="4">
        <f>1/TWD!B2391</f>
        <v>3.2357223750202231E-2</v>
      </c>
      <c r="W2391" s="4">
        <f>1/TWD!C2391</f>
        <v>3.2357851956355731E-2</v>
      </c>
      <c r="X2391" s="4">
        <f>1/TWD!B2391</f>
        <v>3.2357223750202231E-2</v>
      </c>
      <c r="Y2391" s="4">
        <f>1/TWD!C2391</f>
        <v>3.2357851956355731E-2</v>
      </c>
      <c r="Z2391" s="4">
        <f>1/ZAR!B2391</f>
        <v>6.9128565305755646E-2</v>
      </c>
      <c r="AA2391" s="4">
        <f>1/ZAR!C2391</f>
        <v>6.8872420727843733E-2</v>
      </c>
    </row>
    <row r="2392" spans="1:27" x14ac:dyDescent="0.25">
      <c r="A2392" t="str">
        <f>"03/05/2019"</f>
        <v>03/05/2019</v>
      </c>
      <c r="B2392" s="3">
        <f>AUD!B2392</f>
        <v>0.69930000000000003</v>
      </c>
      <c r="C2392" s="3">
        <f>AUD!C2392</f>
        <v>0.69979999999999998</v>
      </c>
      <c r="D2392" s="3">
        <f>1/CAD!B2392</f>
        <v>0.74228028503562948</v>
      </c>
      <c r="E2392" s="3">
        <f>1/CAD!C2392</f>
        <v>0.7428316743425939</v>
      </c>
      <c r="F2392" s="3">
        <f>EUR!B2392/1</f>
        <v>1.1147</v>
      </c>
      <c r="G2392" s="3">
        <f>EUR!C2392/1</f>
        <v>1.1175999999999999</v>
      </c>
      <c r="H2392" s="3">
        <f>GBP!B2392/1</f>
        <v>1.3</v>
      </c>
      <c r="I2392" s="3">
        <f>GBP!C2392/1</f>
        <v>1.3022</v>
      </c>
      <c r="J2392" s="4">
        <f>1/INR!B2392</f>
        <v>1.4445126575421616E-2</v>
      </c>
      <c r="K2392" s="4">
        <f>1/INR!C2392</f>
        <v>1.4384867119789981E-2</v>
      </c>
      <c r="L2392" s="4">
        <f>1/JPY!B2392</f>
        <v>8.9661974356675337E-3</v>
      </c>
      <c r="M2392" s="4">
        <f>1/JPY!C2392</f>
        <v>8.989402393518281E-3</v>
      </c>
      <c r="N2392" s="5">
        <f>1/KRW!B2392</f>
        <v>8.5477391230019651E-4</v>
      </c>
      <c r="O2392" s="5">
        <f>1/KRW!C2392</f>
        <v>8.547786614764507E-4</v>
      </c>
      <c r="P2392" s="3">
        <f>1/NOK!B2392</f>
        <v>0.11390559504282852</v>
      </c>
      <c r="Q2392" s="3">
        <f>1/NOK!C2392</f>
        <v>0.11404199026081402</v>
      </c>
      <c r="R2392" s="3">
        <f>NZD!B2392/1</f>
        <v>0.66149999999999998</v>
      </c>
      <c r="S2392" s="3">
        <f>NZD!C2392/1</f>
        <v>0.66190000000000004</v>
      </c>
      <c r="T2392" s="4">
        <f>1/PHP!B2392</f>
        <v>1.9278966647387701E-2</v>
      </c>
      <c r="U2392" s="4">
        <f>1/PHP!C2392</f>
        <v>1.9227071716977504E-2</v>
      </c>
      <c r="V2392" s="4">
        <f>1/TWD!B2392</f>
        <v>3.2354083085285361E-2</v>
      </c>
      <c r="W2392" s="4">
        <f>1/TWD!C2392</f>
        <v>3.2354711169493393E-2</v>
      </c>
      <c r="X2392" s="4">
        <f>1/TWD!B2392</f>
        <v>3.2354083085285361E-2</v>
      </c>
      <c r="Y2392" s="4">
        <f>1/TWD!C2392</f>
        <v>3.2354711169493393E-2</v>
      </c>
      <c r="Z2392" s="4">
        <f>1/ZAR!B2392</f>
        <v>6.8732301432381154E-2</v>
      </c>
      <c r="AA2392" s="4">
        <f>1/ZAR!C2392</f>
        <v>6.8475328339199393E-2</v>
      </c>
    </row>
    <row r="2393" spans="1:27" x14ac:dyDescent="0.25">
      <c r="A2393" t="str">
        <f>"06/05/2019"</f>
        <v>06/05/2019</v>
      </c>
      <c r="B2393" s="3">
        <f>AUD!B2393</f>
        <v>0.69899999999999995</v>
      </c>
      <c r="C2393" s="3">
        <f>AUD!C2393</f>
        <v>0.6996</v>
      </c>
      <c r="D2393" s="3">
        <f>1/CAD!B2393</f>
        <v>0.74222519112298679</v>
      </c>
      <c r="E2393" s="3">
        <f>1/CAD!C2393</f>
        <v>0.74277649855158578</v>
      </c>
      <c r="F2393" s="3">
        <f>EUR!B2393/1</f>
        <v>1.1200000000000001</v>
      </c>
      <c r="G2393" s="3">
        <f>EUR!C2393/1</f>
        <v>1.1231</v>
      </c>
      <c r="H2393" s="3">
        <f>GBP!B2393/1</f>
        <v>1.31</v>
      </c>
      <c r="I2393" s="3">
        <f>GBP!C2393/1</f>
        <v>1.3123</v>
      </c>
      <c r="J2393" s="4">
        <f>1/INR!B2393</f>
        <v>1.4407145944388418E-2</v>
      </c>
      <c r="K2393" s="4">
        <f>1/INR!C2393</f>
        <v>1.4343600961021264E-2</v>
      </c>
      <c r="L2393" s="4">
        <f>1/JPY!B2393</f>
        <v>9.0252707581227436E-3</v>
      </c>
      <c r="M2393" s="4">
        <f>1/JPY!C2393</f>
        <v>9.0487173895536181E-3</v>
      </c>
      <c r="N2393" s="5">
        <f>1/KRW!B2393</f>
        <v>8.5477391230019651E-4</v>
      </c>
      <c r="O2393" s="5">
        <f>1/KRW!C2393</f>
        <v>8.547786614764507E-4</v>
      </c>
      <c r="P2393" s="3">
        <f>1/NOK!B2393</f>
        <v>0.11433406126019002</v>
      </c>
      <c r="Q2393" s="3">
        <f>1/NOK!C2393</f>
        <v>0.11448327971699734</v>
      </c>
      <c r="R2393" s="3">
        <f>NZD!B2393/1</f>
        <v>0.6613</v>
      </c>
      <c r="S2393" s="3">
        <f>NZD!C2393/1</f>
        <v>0.66169999999999995</v>
      </c>
      <c r="T2393" s="4">
        <f>1/PHP!B2393</f>
        <v>1.9249278152069296E-2</v>
      </c>
      <c r="U2393" s="4">
        <f>1/PHP!C2393</f>
        <v>1.9195700163163451E-2</v>
      </c>
      <c r="V2393" s="4">
        <f>1/TWD!B2393</f>
        <v>3.2334206356904968E-2</v>
      </c>
      <c r="W2393" s="4">
        <f>1/TWD!C2393</f>
        <v>3.2334833669615599E-2</v>
      </c>
      <c r="X2393" s="4">
        <f>1/TWD!B2393</f>
        <v>3.2334206356904968E-2</v>
      </c>
      <c r="Y2393" s="4">
        <f>1/TWD!C2393</f>
        <v>3.2334833669615599E-2</v>
      </c>
      <c r="Z2393" s="4">
        <f>1/ZAR!B2393</f>
        <v>6.8918462566937053E-2</v>
      </c>
      <c r="AA2393" s="4">
        <f>1/ZAR!C2393</f>
        <v>6.8653027598517088E-2</v>
      </c>
    </row>
    <row r="2394" spans="1:27" x14ac:dyDescent="0.25">
      <c r="A2394" t="str">
        <f>"07/05/2019"</f>
        <v>07/05/2019</v>
      </c>
      <c r="B2394" s="3">
        <f>AUD!B2394</f>
        <v>0.70189999999999997</v>
      </c>
      <c r="C2394" s="3">
        <f>AUD!C2394</f>
        <v>0.70240000000000002</v>
      </c>
      <c r="D2394" s="3">
        <f>1/CAD!B2394</f>
        <v>0.74255587732976902</v>
      </c>
      <c r="E2394" s="3">
        <f>1/CAD!C2394</f>
        <v>0.74310767630229624</v>
      </c>
      <c r="F2394" s="3">
        <f>EUR!B2394/1</f>
        <v>1.1196999999999999</v>
      </c>
      <c r="G2394" s="3">
        <f>EUR!C2394/1</f>
        <v>1.1227</v>
      </c>
      <c r="H2394" s="3">
        <f>GBP!B2394/1</f>
        <v>1.3083</v>
      </c>
      <c r="I2394" s="3">
        <f>GBP!C2394/1</f>
        <v>1.3104</v>
      </c>
      <c r="J2394" s="4">
        <f>1/INR!B2394</f>
        <v>1.4401958666378627E-2</v>
      </c>
      <c r="K2394" s="4">
        <f>1/INR!C2394</f>
        <v>1.4343086632243259E-2</v>
      </c>
      <c r="L2394" s="4">
        <f>1/JPY!B2394</f>
        <v>9.0391394739220837E-3</v>
      </c>
      <c r="M2394" s="4">
        <f>1/JPY!C2394</f>
        <v>9.0613197631008568E-3</v>
      </c>
      <c r="N2394" s="5">
        <f>1/KRW!B2394</f>
        <v>8.5741232958929953E-4</v>
      </c>
      <c r="O2394" s="5">
        <f>1/KRW!C2394</f>
        <v>8.574174757115065E-4</v>
      </c>
      <c r="P2394" s="3">
        <f>1/NOK!B2394</f>
        <v>0.11475127660795227</v>
      </c>
      <c r="Q2394" s="3">
        <f>1/NOK!C2394</f>
        <v>0.11489894637666172</v>
      </c>
      <c r="R2394" s="3">
        <f>NZD!B2394/1</f>
        <v>0.65939999999999999</v>
      </c>
      <c r="S2394" s="3">
        <f>NZD!C2394/1</f>
        <v>0.65980000000000005</v>
      </c>
      <c r="T2394" s="4">
        <f>1/PHP!B2394</f>
        <v>1.9275250578257516E-2</v>
      </c>
      <c r="U2394" s="4">
        <f>1/PHP!C2394</f>
        <v>1.9221528111484865E-2</v>
      </c>
      <c r="V2394" s="4">
        <f>1/TWD!B2394</f>
        <v>3.2351989647363313E-2</v>
      </c>
      <c r="W2394" s="4">
        <f>1/TWD!C2394</f>
        <v>3.2352617650294083E-2</v>
      </c>
      <c r="X2394" s="4">
        <f>1/TWD!B2394</f>
        <v>3.2351989647363313E-2</v>
      </c>
      <c r="Y2394" s="4">
        <f>1/TWD!C2394</f>
        <v>3.2352617650294083E-2</v>
      </c>
      <c r="Z2394" s="4">
        <f>1/ZAR!B2394</f>
        <v>6.9207983833014977E-2</v>
      </c>
      <c r="AA2394" s="4">
        <f>1/ZAR!C2394</f>
        <v>6.895267777724147E-2</v>
      </c>
    </row>
    <row r="2395" spans="1:27" x14ac:dyDescent="0.25">
      <c r="A2395" t="str">
        <f>"08/05/2019"</f>
        <v>08/05/2019</v>
      </c>
      <c r="B2395" s="3">
        <f>AUD!B2395</f>
        <v>0.70030000000000003</v>
      </c>
      <c r="C2395" s="3">
        <f>AUD!C2395</f>
        <v>0.70079999999999998</v>
      </c>
      <c r="D2395" s="3">
        <f>1/CAD!B2395</f>
        <v>0.74272133095662507</v>
      </c>
      <c r="E2395" s="3">
        <f>1/CAD!C2395</f>
        <v>0.74327337594767362</v>
      </c>
      <c r="F2395" s="3">
        <f>EUR!B2395/1</f>
        <v>1.1204000000000001</v>
      </c>
      <c r="G2395" s="3">
        <f>EUR!C2395/1</f>
        <v>1.1233</v>
      </c>
      <c r="H2395" s="3">
        <f>GBP!B2395/1</f>
        <v>1.3010999999999999</v>
      </c>
      <c r="I2395" s="3">
        <f>GBP!C2395/1</f>
        <v>1.3030999999999999</v>
      </c>
      <c r="J2395" s="4">
        <f>1/INR!B2395</f>
        <v>1.4343600961021264E-2</v>
      </c>
      <c r="K2395" s="4">
        <f>1/INR!C2395</f>
        <v>1.4290307598871064E-2</v>
      </c>
      <c r="L2395" s="4">
        <f>1/JPY!B2395</f>
        <v>9.0826521344232521E-3</v>
      </c>
      <c r="M2395" s="4">
        <f>1/JPY!C2395</f>
        <v>9.1040271664170648E-3</v>
      </c>
      <c r="N2395" s="5">
        <f>1/KRW!B2395</f>
        <v>8.549200649739249E-4</v>
      </c>
      <c r="O2395" s="5">
        <f>1/KRW!C2395</f>
        <v>8.5492481577438865E-4</v>
      </c>
      <c r="P2395" s="3">
        <f>1/NOK!B2395</f>
        <v>0.11398089680169603</v>
      </c>
      <c r="Q2395" s="3">
        <f>1/NOK!C2395</f>
        <v>0.11412007714517214</v>
      </c>
      <c r="R2395" s="3">
        <f>NZD!B2395/1</f>
        <v>0.65880000000000005</v>
      </c>
      <c r="S2395" s="3">
        <f>NZD!C2395/1</f>
        <v>0.65920000000000001</v>
      </c>
      <c r="T2395" s="4">
        <f>1/PHP!B2395</f>
        <v>1.9186492709132773E-2</v>
      </c>
      <c r="U2395" s="4">
        <f>1/PHP!C2395</f>
        <v>1.9135093761959435E-2</v>
      </c>
      <c r="V2395" s="4">
        <f>1/TWD!B2395</f>
        <v>3.2341526520051747E-2</v>
      </c>
      <c r="W2395" s="4">
        <f>1/TWD!C2395</f>
        <v>3.2342154116832798E-2</v>
      </c>
      <c r="X2395" s="4">
        <f>1/TWD!B2395</f>
        <v>3.2341526520051747E-2</v>
      </c>
      <c r="Y2395" s="4">
        <f>1/TWD!C2395</f>
        <v>3.2342154116832798E-2</v>
      </c>
      <c r="Z2395" s="4">
        <f>1/ZAR!B2395</f>
        <v>6.9612675075877817E-2</v>
      </c>
      <c r="AA2395" s="4">
        <f>1/ZAR!C2395</f>
        <v>6.9355342095224884E-2</v>
      </c>
    </row>
    <row r="2396" spans="1:27" x14ac:dyDescent="0.25">
      <c r="A2396" t="str">
        <f>"09/05/2019"</f>
        <v>09/05/2019</v>
      </c>
      <c r="B2396" s="3">
        <f>AUD!B2396</f>
        <v>0.69699999999999995</v>
      </c>
      <c r="C2396" s="3">
        <f>AUD!C2396</f>
        <v>0.69750000000000001</v>
      </c>
      <c r="D2396" s="3">
        <f>1/CAD!B2396</f>
        <v>0.74178473407017276</v>
      </c>
      <c r="E2396" s="3">
        <f>1/CAD!C2396</f>
        <v>0.74233538712790437</v>
      </c>
      <c r="F2396" s="3">
        <f>EUR!B2396/1</f>
        <v>1.1187</v>
      </c>
      <c r="G2396" s="3">
        <f>EUR!C2396/1</f>
        <v>1.1215999999999999</v>
      </c>
      <c r="H2396" s="3">
        <f>GBP!B2396/1</f>
        <v>1.2987</v>
      </c>
      <c r="I2396" s="3">
        <f>GBP!C2396/1</f>
        <v>1.3007</v>
      </c>
      <c r="J2396" s="4">
        <f>1/INR!B2396</f>
        <v>1.4295925661186561E-2</v>
      </c>
      <c r="K2396" s="4">
        <f>1/INR!C2396</f>
        <v>1.424197108879869E-2</v>
      </c>
      <c r="L2396" s="4">
        <f>1/JPY!B2396</f>
        <v>9.1041514930808448E-3</v>
      </c>
      <c r="M2396" s="4">
        <f>1/JPY!C2396</f>
        <v>9.1256113018870853E-3</v>
      </c>
      <c r="N2396" s="5">
        <f>1/KRW!B2396</f>
        <v>8.4767313723828092E-4</v>
      </c>
      <c r="O2396" s="5">
        <f>1/KRW!C2396</f>
        <v>8.476786701074509E-4</v>
      </c>
      <c r="P2396" s="3">
        <f>1/NOK!B2396</f>
        <v>0.11409403630472235</v>
      </c>
      <c r="Q2396" s="3">
        <f>1/NOK!C2396</f>
        <v>0.1142282737823266</v>
      </c>
      <c r="R2396" s="3">
        <f>NZD!B2396/1</f>
        <v>0.65720000000000001</v>
      </c>
      <c r="S2396" s="3">
        <f>NZD!C2396/1</f>
        <v>0.65769999999999995</v>
      </c>
      <c r="T2396" s="4">
        <f>1/PHP!B2396</f>
        <v>1.91131498470948E-2</v>
      </c>
      <c r="U2396" s="4">
        <f>1/PHP!C2396</f>
        <v>1.9065776930409912E-2</v>
      </c>
      <c r="V2396" s="4">
        <f>1/TWD!B2396</f>
        <v>3.2303915234526429E-2</v>
      </c>
      <c r="W2396" s="4">
        <f>1/TWD!C2396</f>
        <v>3.2304541372426138E-2</v>
      </c>
      <c r="X2396" s="4">
        <f>1/TWD!B2396</f>
        <v>3.2303915234526429E-2</v>
      </c>
      <c r="Y2396" s="4">
        <f>1/TWD!C2396</f>
        <v>3.2304541372426138E-2</v>
      </c>
      <c r="Z2396" s="4">
        <f>1/ZAR!B2396</f>
        <v>6.9653889821477077E-2</v>
      </c>
      <c r="AA2396" s="4">
        <f>1/ZAR!C2396</f>
        <v>6.9398660605850315E-2</v>
      </c>
    </row>
    <row r="2397" spans="1:27" x14ac:dyDescent="0.25">
      <c r="A2397" t="str">
        <f>"10/05/2019"</f>
        <v>10/05/2019</v>
      </c>
      <c r="B2397" s="3">
        <f>AUD!B2397</f>
        <v>0.69920000000000004</v>
      </c>
      <c r="C2397" s="3">
        <f>AUD!C2397</f>
        <v>0.69969999999999999</v>
      </c>
      <c r="D2397" s="3">
        <f>1/CAD!B2397</f>
        <v>0.74228028503562948</v>
      </c>
      <c r="E2397" s="3">
        <f>1/CAD!C2397</f>
        <v>0.7428316743425939</v>
      </c>
      <c r="F2397" s="3">
        <f>EUR!B2397/1</f>
        <v>1.1229</v>
      </c>
      <c r="G2397" s="3">
        <f>EUR!C2397/1</f>
        <v>1.1257999999999999</v>
      </c>
      <c r="H2397" s="3">
        <f>GBP!B2397/1</f>
        <v>1.3009999999999999</v>
      </c>
      <c r="I2397" s="3">
        <f>GBP!C2397/1</f>
        <v>1.3029999999999999</v>
      </c>
      <c r="J2397" s="4">
        <f>1/INR!B2397</f>
        <v>1.4304105278214848E-2</v>
      </c>
      <c r="K2397" s="4">
        <f>1/INR!C2397</f>
        <v>1.4247043738424277E-2</v>
      </c>
      <c r="L2397" s="4">
        <f>1/JPY!B2397</f>
        <v>9.1107871720116605E-3</v>
      </c>
      <c r="M2397" s="4">
        <f>1/JPY!C2397</f>
        <v>9.1323283510393958E-3</v>
      </c>
      <c r="N2397" s="5">
        <f>1/KRW!B2397</f>
        <v>8.4925690021231425E-4</v>
      </c>
      <c r="O2397" s="5">
        <f>1/KRW!C2397</f>
        <v>8.4926267014977599E-4</v>
      </c>
      <c r="P2397" s="3">
        <f>1/NOK!B2397</f>
        <v>0.11433013971143072</v>
      </c>
      <c r="Q2397" s="3">
        <f>1/NOK!C2397</f>
        <v>0.11446362346046426</v>
      </c>
      <c r="R2397" s="3">
        <f>NZD!B2397/1</f>
        <v>0.65969999999999995</v>
      </c>
      <c r="S2397" s="3">
        <f>NZD!C2397/1</f>
        <v>0.66020000000000001</v>
      </c>
      <c r="T2397" s="4">
        <f>1/PHP!B2397</f>
        <v>1.9180972475304498E-2</v>
      </c>
      <c r="U2397" s="4">
        <f>1/PHP!C2397</f>
        <v>1.9133263178035015E-2</v>
      </c>
      <c r="V2397" s="4">
        <f>1/TWD!B2397</f>
        <v>3.2301828283480848E-2</v>
      </c>
      <c r="W2397" s="4">
        <f>1/TWD!C2397</f>
        <v>3.2302454340480791E-2</v>
      </c>
      <c r="X2397" s="4">
        <f>1/TWD!B2397</f>
        <v>3.2301828283480848E-2</v>
      </c>
      <c r="Y2397" s="4">
        <f>1/TWD!C2397</f>
        <v>3.2302454340480791E-2</v>
      </c>
      <c r="Z2397" s="4">
        <f>1/ZAR!B2397</f>
        <v>7.0345254509130817E-2</v>
      </c>
      <c r="AA2397" s="4">
        <f>1/ZAR!C2397</f>
        <v>7.0084942950856433E-2</v>
      </c>
    </row>
    <row r="2398" spans="1:27" x14ac:dyDescent="0.25">
      <c r="A2398" t="str">
        <f>"13/05/2019"</f>
        <v>13/05/2019</v>
      </c>
      <c r="B2398" s="3">
        <f>AUD!B2398</f>
        <v>0.69789999999999996</v>
      </c>
      <c r="C2398" s="3">
        <f>AUD!C2398</f>
        <v>0.69840000000000002</v>
      </c>
      <c r="D2398" s="3">
        <f>1/CAD!B2398</f>
        <v>0.74410298385296525</v>
      </c>
      <c r="E2398" s="3">
        <f>1/CAD!C2398</f>
        <v>0.74460163812360391</v>
      </c>
      <c r="F2398" s="3">
        <f>EUR!B2398/1</f>
        <v>1.1229</v>
      </c>
      <c r="G2398" s="3">
        <f>EUR!C2398/1</f>
        <v>1.1258999999999999</v>
      </c>
      <c r="H2398" s="3">
        <f>GBP!B2398/1</f>
        <v>1.3008999999999999</v>
      </c>
      <c r="I2398" s="3">
        <f>GBP!C2398/1</f>
        <v>1.3029999999999999</v>
      </c>
      <c r="J2398" s="4">
        <f>1/INR!B2398</f>
        <v>1.4259741185697479E-2</v>
      </c>
      <c r="K2398" s="4">
        <f>1/INR!C2398</f>
        <v>1.4200007100003549E-2</v>
      </c>
      <c r="L2398" s="4">
        <f>1/JPY!B2398</f>
        <v>9.109957183201239E-3</v>
      </c>
      <c r="M2398" s="4">
        <f>1/JPY!C2398</f>
        <v>9.132762048624652E-3</v>
      </c>
      <c r="N2398" s="5">
        <f>1/KRW!B2398</f>
        <v>8.4473728670383518E-4</v>
      </c>
      <c r="O2398" s="5">
        <f>1/KRW!C2398</f>
        <v>8.4474299539108227E-4</v>
      </c>
      <c r="P2398" s="3">
        <f>1/NOK!B2398</f>
        <v>0.11451605515093216</v>
      </c>
      <c r="Q2398" s="3">
        <f>1/NOK!C2398</f>
        <v>0.11465391715107948</v>
      </c>
      <c r="R2398" s="3">
        <f>NZD!B2398/1</f>
        <v>0.65820000000000001</v>
      </c>
      <c r="S2398" s="3">
        <f>NZD!C2398/1</f>
        <v>0.65869999999999995</v>
      </c>
      <c r="T2398" s="4">
        <f>1/PHP!B2398</f>
        <v>1.9180972475304498E-2</v>
      </c>
      <c r="U2398" s="4">
        <f>1/PHP!C2398</f>
        <v>1.9133263178035015E-2</v>
      </c>
      <c r="V2398" s="4">
        <f>1/TWD!B2398</f>
        <v>3.2258064516129031E-2</v>
      </c>
      <c r="W2398" s="4">
        <f>1/TWD!C2398</f>
        <v>3.2258688877849245E-2</v>
      </c>
      <c r="X2398" s="4">
        <f>1/TWD!B2398</f>
        <v>3.2258064516129031E-2</v>
      </c>
      <c r="Y2398" s="4">
        <f>1/TWD!C2398</f>
        <v>3.2258688877849245E-2</v>
      </c>
      <c r="Z2398" s="4">
        <f>1/ZAR!B2398</f>
        <v>7.0272587366394246E-2</v>
      </c>
      <c r="AA2398" s="4">
        <f>1/ZAR!C2398</f>
        <v>7.0014282913714393E-2</v>
      </c>
    </row>
    <row r="2399" spans="1:27" x14ac:dyDescent="0.25">
      <c r="A2399" t="str">
        <f>"14/05/2019"</f>
        <v>14/05/2019</v>
      </c>
      <c r="B2399" s="3">
        <f>AUD!B2399</f>
        <v>0.69440000000000002</v>
      </c>
      <c r="C2399" s="3">
        <f>AUD!C2399</f>
        <v>0.69489999999999996</v>
      </c>
      <c r="D2399" s="3">
        <f>1/CAD!B2399</f>
        <v>0.74272133095662507</v>
      </c>
      <c r="E2399" s="3">
        <f>1/CAD!C2399</f>
        <v>0.74327337594767362</v>
      </c>
      <c r="F2399" s="3">
        <f>EUR!B2399/1</f>
        <v>1.1233</v>
      </c>
      <c r="G2399" s="3">
        <f>EUR!C2399/1</f>
        <v>1.1263000000000001</v>
      </c>
      <c r="H2399" s="3">
        <f>GBP!B2399/1</f>
        <v>1.2946</v>
      </c>
      <c r="I2399" s="3">
        <f>GBP!C2399/1</f>
        <v>1.2967</v>
      </c>
      <c r="J2399" s="4">
        <f>1/INR!B2399</f>
        <v>1.419194607060493E-2</v>
      </c>
      <c r="K2399" s="4">
        <f>1/INR!C2399</f>
        <v>1.4134275618374558E-2</v>
      </c>
      <c r="L2399" s="4">
        <f>1/JPY!B2399</f>
        <v>9.1174325309992706E-3</v>
      </c>
      <c r="M2399" s="4">
        <f>1/JPY!C2399</f>
        <v>9.1397151699164451E-3</v>
      </c>
      <c r="N2399" s="5">
        <f>1/KRW!B2399</f>
        <v>8.4068936527952921E-4</v>
      </c>
      <c r="O2399" s="5">
        <f>1/KRW!C2399</f>
        <v>8.406946660025178E-4</v>
      </c>
      <c r="P2399" s="3">
        <f>1/NOK!B2399</f>
        <v>0.11460923979691241</v>
      </c>
      <c r="Q2399" s="3">
        <f>1/NOK!C2399</f>
        <v>0.11474864309729536</v>
      </c>
      <c r="R2399" s="3">
        <f>NZD!B2399/1</f>
        <v>0.65790000000000004</v>
      </c>
      <c r="S2399" s="3">
        <f>NZD!C2399/1</f>
        <v>0.6583</v>
      </c>
      <c r="T2399" s="4">
        <f>1/PHP!B2399</f>
        <v>1.906504995043087E-2</v>
      </c>
      <c r="U2399" s="4">
        <f>1/PHP!C2399</f>
        <v>1.9012491206722815E-2</v>
      </c>
      <c r="V2399" s="4">
        <f>1/TWD!B2399</f>
        <v>3.2125417630429198E-2</v>
      </c>
      <c r="W2399" s="4">
        <f>1/TWD!C2399</f>
        <v>3.2126036867839908E-2</v>
      </c>
      <c r="X2399" s="4">
        <f>1/TWD!B2399</f>
        <v>3.2125417630429198E-2</v>
      </c>
      <c r="Y2399" s="4">
        <f>1/TWD!C2399</f>
        <v>3.2126036867839908E-2</v>
      </c>
      <c r="Z2399" s="4">
        <f>1/ZAR!B2399</f>
        <v>7.018184115042074E-2</v>
      </c>
      <c r="AA2399" s="4">
        <f>1/ZAR!C2399</f>
        <v>6.9905138726747806E-2</v>
      </c>
    </row>
    <row r="2400" spans="1:27" x14ac:dyDescent="0.25">
      <c r="A2400" t="str">
        <f>"15/05/2019"</f>
        <v>15/05/2019</v>
      </c>
      <c r="B2400" s="3">
        <f>AUD!B2400</f>
        <v>0.69179999999999997</v>
      </c>
      <c r="C2400" s="3">
        <f>AUD!C2400</f>
        <v>0.69230000000000003</v>
      </c>
      <c r="D2400" s="3">
        <f>1/CAD!B2400</f>
        <v>0.7421150278293136</v>
      </c>
      <c r="E2400" s="3">
        <f>1/CAD!C2400</f>
        <v>0.74266617155588566</v>
      </c>
      <c r="F2400" s="3">
        <f>EUR!B2400/1</f>
        <v>1.1186</v>
      </c>
      <c r="G2400" s="3">
        <f>EUR!C2400/1</f>
        <v>1.1214999999999999</v>
      </c>
      <c r="H2400" s="3">
        <f>GBP!B2400/1</f>
        <v>1.2897000000000001</v>
      </c>
      <c r="I2400" s="3">
        <f>GBP!C2400/1</f>
        <v>1.2917000000000001</v>
      </c>
      <c r="J2400" s="4">
        <f>1/INR!B2400</f>
        <v>1.4215651432226882E-2</v>
      </c>
      <c r="K2400" s="4">
        <f>1/INR!C2400</f>
        <v>1.416029453412631E-2</v>
      </c>
      <c r="L2400" s="4">
        <f>1/JPY!B2400</f>
        <v>9.1416034372428928E-3</v>
      </c>
      <c r="M2400" s="4">
        <f>1/JPY!C2400</f>
        <v>9.1630304707415264E-3</v>
      </c>
      <c r="N2400" s="5">
        <f>1/KRW!B2400</f>
        <v>8.4132592966515234E-4</v>
      </c>
      <c r="O2400" s="5">
        <f>1/KRW!C2400</f>
        <v>8.4133088449957216E-4</v>
      </c>
      <c r="P2400" s="3">
        <f>1/NOK!B2400</f>
        <v>0.1141865351237782</v>
      </c>
      <c r="Q2400" s="3">
        <f>1/NOK!C2400</f>
        <v>0.1143209904770615</v>
      </c>
      <c r="R2400" s="3">
        <f>NZD!B2400/1</f>
        <v>0.65549999999999997</v>
      </c>
      <c r="S2400" s="3">
        <f>NZD!C2400/1</f>
        <v>0.65590000000000004</v>
      </c>
      <c r="T2400" s="4">
        <f>1/PHP!B2400</f>
        <v>1.9083969465648856E-2</v>
      </c>
      <c r="U2400" s="4">
        <f>1/PHP!C2400</f>
        <v>1.9034929094889123E-2</v>
      </c>
      <c r="V2400" s="4">
        <f>1/TWD!B2400</f>
        <v>3.2144005143040826E-2</v>
      </c>
      <c r="W2400" s="4">
        <f>1/TWD!C2400</f>
        <v>3.2144625097237492E-2</v>
      </c>
      <c r="X2400" s="4">
        <f>1/TWD!B2400</f>
        <v>3.2144005143040826E-2</v>
      </c>
      <c r="Y2400" s="4">
        <f>1/TWD!C2400</f>
        <v>3.2144625097237492E-2</v>
      </c>
      <c r="Z2400" s="4">
        <f>1/ZAR!B2400</f>
        <v>7.0088381449007198E-2</v>
      </c>
      <c r="AA2400" s="4">
        <f>1/ZAR!C2400</f>
        <v>6.9817775605669208E-2</v>
      </c>
    </row>
    <row r="2401" spans="1:27" x14ac:dyDescent="0.25">
      <c r="A2401" t="str">
        <f>"16/05/2019"</f>
        <v>16/05/2019</v>
      </c>
      <c r="B2401" s="3">
        <f>AUD!B2401</f>
        <v>0.69220000000000004</v>
      </c>
      <c r="C2401" s="3">
        <f>AUD!C2401</f>
        <v>0.69269999999999998</v>
      </c>
      <c r="D2401" s="3">
        <f>1/CAD!B2401</f>
        <v>0.74593465612412357</v>
      </c>
      <c r="E2401" s="3">
        <f>1/CAD!C2401</f>
        <v>0.74649148999701409</v>
      </c>
      <c r="F2401" s="3">
        <f>EUR!B2401/1</f>
        <v>1.1204000000000001</v>
      </c>
      <c r="G2401" s="3">
        <f>EUR!C2401/1</f>
        <v>1.1233</v>
      </c>
      <c r="H2401" s="3">
        <f>GBP!B2401/1</f>
        <v>1.2813000000000001</v>
      </c>
      <c r="I2401" s="3">
        <f>GBP!C2401/1</f>
        <v>1.2833000000000001</v>
      </c>
      <c r="J2401" s="4">
        <f>1/INR!B2401</f>
        <v>1.4278065322148851E-2</v>
      </c>
      <c r="K2401" s="4">
        <f>1/INR!C2401</f>
        <v>1.4222222222222223E-2</v>
      </c>
      <c r="L2401" s="4">
        <f>1/JPY!B2401</f>
        <v>9.1190953857377358E-3</v>
      </c>
      <c r="M2401" s="4">
        <f>1/JPY!C2401</f>
        <v>9.140492105813993E-3</v>
      </c>
      <c r="N2401" s="5">
        <f>1/KRW!B2401</f>
        <v>8.3927822073017204E-4</v>
      </c>
      <c r="O2401" s="5">
        <f>1/KRW!C2401</f>
        <v>8.3928315147466248E-4</v>
      </c>
      <c r="P2401" s="3">
        <f>1/NOK!B2401</f>
        <v>0.11497292387642712</v>
      </c>
      <c r="Q2401" s="3">
        <f>1/NOK!C2401</f>
        <v>0.11510791366906475</v>
      </c>
      <c r="R2401" s="3">
        <f>NZD!B2401/1</f>
        <v>0.6573</v>
      </c>
      <c r="S2401" s="3">
        <f>NZD!C2401/1</f>
        <v>0.65769999999999995</v>
      </c>
      <c r="T2401" s="4">
        <f>1/PHP!B2401</f>
        <v>1.9047619047619049E-2</v>
      </c>
      <c r="U2401" s="4">
        <f>1/PHP!C2401</f>
        <v>1.9000570017100513E-2</v>
      </c>
      <c r="V2401" s="4">
        <f>1/TWD!B2401</f>
        <v>3.2087277394513079E-2</v>
      </c>
      <c r="W2401" s="4">
        <f>1/TWD!C2401</f>
        <v>3.2087895162428923E-2</v>
      </c>
      <c r="X2401" s="4">
        <f>1/TWD!B2401</f>
        <v>3.2087277394513079E-2</v>
      </c>
      <c r="Y2401" s="4">
        <f>1/TWD!C2401</f>
        <v>3.2087895162428923E-2</v>
      </c>
      <c r="Z2401" s="4">
        <f>1/ZAR!B2401</f>
        <v>7.0683366790126947E-2</v>
      </c>
      <c r="AA2401" s="4">
        <f>1/ZAR!C2401</f>
        <v>7.0421047442659659E-2</v>
      </c>
    </row>
    <row r="2402" spans="1:27" x14ac:dyDescent="0.25">
      <c r="A2402" t="str">
        <f>"17/05/2019"</f>
        <v>17/05/2019</v>
      </c>
      <c r="B2402" s="3">
        <f>AUD!B2402</f>
        <v>0.68789999999999996</v>
      </c>
      <c r="C2402" s="3">
        <f>AUD!C2402</f>
        <v>0.68840000000000001</v>
      </c>
      <c r="D2402" s="3">
        <f>1/CAD!B2402</f>
        <v>0.7412898443291327</v>
      </c>
      <c r="E2402" s="3">
        <f>1/CAD!C2402</f>
        <v>0.74183976261127593</v>
      </c>
      <c r="F2402" s="3">
        <f>EUR!B2402/1</f>
        <v>1.1164000000000001</v>
      </c>
      <c r="G2402" s="3">
        <f>EUR!C2402/1</f>
        <v>1.1193</v>
      </c>
      <c r="H2402" s="3">
        <f>GBP!B2402/1</f>
        <v>1.2753000000000001</v>
      </c>
      <c r="I2402" s="3">
        <f>GBP!C2402/1</f>
        <v>1.2773000000000001</v>
      </c>
      <c r="J2402" s="4">
        <f>1/INR!B2402</f>
        <v>1.4226268805349076E-2</v>
      </c>
      <c r="K2402" s="4">
        <f>1/INR!C2402</f>
        <v>1.417133139658471E-2</v>
      </c>
      <c r="L2402" s="4">
        <f>1/JPY!B2402</f>
        <v>9.1240875912408769E-3</v>
      </c>
      <c r="M2402" s="4">
        <f>1/JPY!C2402</f>
        <v>9.1456750559943956E-3</v>
      </c>
      <c r="N2402" s="5">
        <f>1/KRW!B2402</f>
        <v>8.3633018315631003E-4</v>
      </c>
      <c r="O2402" s="5">
        <f>1/KRW!C2402</f>
        <v>8.3633577877915044E-4</v>
      </c>
      <c r="P2402" s="3">
        <f>1/NOK!B2402</f>
        <v>0.11396141266567139</v>
      </c>
      <c r="Q2402" s="3">
        <f>1/NOK!C2402</f>
        <v>0.11409533806448668</v>
      </c>
      <c r="R2402" s="3">
        <f>NZD!B2402/1</f>
        <v>0.65290000000000004</v>
      </c>
      <c r="S2402" s="3">
        <f>NZD!C2402/1</f>
        <v>0.65329999999999999</v>
      </c>
      <c r="T2402" s="4">
        <f>1/PHP!B2402</f>
        <v>1.8993352326685659E-2</v>
      </c>
      <c r="U2402" s="4">
        <f>1/PHP!C2402</f>
        <v>1.8944775978024062E-2</v>
      </c>
      <c r="V2402" s="4">
        <f>1/TWD!B2402</f>
        <v>3.1948881789137379E-2</v>
      </c>
      <c r="W2402" s="4">
        <f>1/TWD!C2402</f>
        <v>3.1949392162814103E-2</v>
      </c>
      <c r="X2402" s="4">
        <f>1/TWD!B2402</f>
        <v>3.1948881789137379E-2</v>
      </c>
      <c r="Y2402" s="4">
        <f>1/TWD!C2402</f>
        <v>3.1949392162814103E-2</v>
      </c>
      <c r="Z2402" s="4">
        <f>1/ZAR!B2402</f>
        <v>6.9549251302309739E-2</v>
      </c>
      <c r="AA2402" s="4">
        <f>1/ZAR!C2402</f>
        <v>6.9289985518393021E-2</v>
      </c>
    </row>
    <row r="2403" spans="1:27" x14ac:dyDescent="0.25">
      <c r="A2403" t="str">
        <f>"20/05/2019"</f>
        <v>20/05/2019</v>
      </c>
      <c r="B2403" s="3">
        <f>AUD!B2403</f>
        <v>0.69169999999999998</v>
      </c>
      <c r="C2403" s="3">
        <f>AUD!C2403</f>
        <v>0.69230000000000003</v>
      </c>
      <c r="D2403" s="3">
        <f>1/CAD!B2403</f>
        <v>0.74410298385296525</v>
      </c>
      <c r="E2403" s="3">
        <f>1/CAD!C2403</f>
        <v>0.74465708541216769</v>
      </c>
      <c r="F2403" s="3">
        <f>EUR!B2403/1</f>
        <v>1.1158999999999999</v>
      </c>
      <c r="G2403" s="3">
        <f>EUR!C2403/1</f>
        <v>1.1189</v>
      </c>
      <c r="H2403" s="3">
        <f>GBP!B2403/1</f>
        <v>1.2742</v>
      </c>
      <c r="I2403" s="3">
        <f>GBP!C2403/1</f>
        <v>1.2763</v>
      </c>
      <c r="J2403" s="4">
        <f>1/INR!B2403</f>
        <v>1.4337431449155884E-2</v>
      </c>
      <c r="K2403" s="4">
        <f>1/INR!C2403</f>
        <v>1.4280104244760986E-2</v>
      </c>
      <c r="L2403" s="4">
        <f>1/JPY!B2403</f>
        <v>9.0966978986627856E-3</v>
      </c>
      <c r="M2403" s="4">
        <f>1/JPY!C2403</f>
        <v>9.1195527771318098E-3</v>
      </c>
      <c r="N2403" s="5">
        <f>1/KRW!B2403</f>
        <v>8.3738067325406132E-4</v>
      </c>
      <c r="O2403" s="5">
        <f>1/KRW!C2403</f>
        <v>8.373866335508167E-4</v>
      </c>
      <c r="P2403" s="3">
        <f>1/NOK!B2403</f>
        <v>0.11384983207149769</v>
      </c>
      <c r="Q2403" s="3">
        <f>1/NOK!C2403</f>
        <v>0.1139912910653626</v>
      </c>
      <c r="R2403" s="3">
        <f>NZD!B2403/1</f>
        <v>0.65380000000000005</v>
      </c>
      <c r="S2403" s="3">
        <f>NZD!C2403/1</f>
        <v>0.65429999999999999</v>
      </c>
      <c r="T2403" s="4">
        <f>1/PHP!B2403</f>
        <v>1.9015021867275148E-2</v>
      </c>
      <c r="U2403" s="4">
        <f>1/PHP!C2403</f>
        <v>1.8964536317087048E-2</v>
      </c>
      <c r="V2403" s="4">
        <f>1/TWD!B2403</f>
        <v>3.1859309290174588E-2</v>
      </c>
      <c r="W2403" s="4">
        <f>1/TWD!C2403</f>
        <v>3.1859918311169452E-2</v>
      </c>
      <c r="X2403" s="4">
        <f>1/TWD!B2403</f>
        <v>3.1859309290174588E-2</v>
      </c>
      <c r="Y2403" s="4">
        <f>1/TWD!C2403</f>
        <v>3.1859918311169452E-2</v>
      </c>
      <c r="Z2403" s="4">
        <f>1/ZAR!B2403</f>
        <v>6.9525074218016722E-2</v>
      </c>
      <c r="AA2403" s="4">
        <f>1/ZAR!C2403</f>
        <v>6.9249200171738023E-2</v>
      </c>
    </row>
    <row r="2404" spans="1:27" x14ac:dyDescent="0.25">
      <c r="A2404" t="str">
        <f>"21/05/2019"</f>
        <v>21/05/2019</v>
      </c>
      <c r="B2404" s="3">
        <f>AUD!B2404</f>
        <v>0.6875</v>
      </c>
      <c r="C2404" s="3">
        <f>AUD!C2404</f>
        <v>0.68810000000000004</v>
      </c>
      <c r="D2404" s="3">
        <f>1/CAD!B2404</f>
        <v>0.74548978678992106</v>
      </c>
      <c r="E2404" s="3">
        <f>1/CAD!C2404</f>
        <v>0.74604595643091609</v>
      </c>
      <c r="F2404" s="3">
        <f>EUR!B2404/1</f>
        <v>1.1147</v>
      </c>
      <c r="G2404" s="3">
        <f>EUR!C2404/1</f>
        <v>1.1176999999999999</v>
      </c>
      <c r="H2404" s="3">
        <f>GBP!B2404/1</f>
        <v>1.2693000000000001</v>
      </c>
      <c r="I2404" s="3">
        <f>GBP!C2404/1</f>
        <v>1.2713000000000001</v>
      </c>
      <c r="J2404" s="4">
        <f>1/INR!B2404</f>
        <v>1.4341543867197302E-2</v>
      </c>
      <c r="K2404" s="4">
        <f>1/INR!C2404</f>
        <v>1.4286224508018143E-2</v>
      </c>
      <c r="L2404" s="4">
        <f>1/JPY!B2404</f>
        <v>9.0604330887016395E-3</v>
      </c>
      <c r="M2404" s="4">
        <f>1/JPY!C2404</f>
        <v>9.0823304169970372E-3</v>
      </c>
      <c r="N2404" s="5">
        <f>1/KRW!B2404</f>
        <v>8.3717036416910843E-4</v>
      </c>
      <c r="O2404" s="5">
        <f>1/KRW!C2404</f>
        <v>8.3717562060875222E-4</v>
      </c>
      <c r="P2404" s="3">
        <f>1/NOK!B2404</f>
        <v>0.11379023907329229</v>
      </c>
      <c r="Q2404" s="3">
        <f>1/NOK!C2404</f>
        <v>0.11392765593847906</v>
      </c>
      <c r="R2404" s="3">
        <f>NZD!B2404/1</f>
        <v>0.65029999999999999</v>
      </c>
      <c r="S2404" s="3">
        <f>NZD!C2404/1</f>
        <v>0.65080000000000005</v>
      </c>
      <c r="T2404" s="4">
        <f>1/PHP!B2404</f>
        <v>1.9040365575019039E-2</v>
      </c>
      <c r="U2404" s="4">
        <f>1/PHP!C2404</f>
        <v>1.8987942656413178E-2</v>
      </c>
      <c r="V2404" s="4">
        <f>1/TWD!B2404</f>
        <v>3.1779324371563861E-2</v>
      </c>
      <c r="W2404" s="4">
        <f>1/TWD!C2404</f>
        <v>3.1779930338392701E-2</v>
      </c>
      <c r="X2404" s="4">
        <f>1/TWD!B2404</f>
        <v>3.1779324371563861E-2</v>
      </c>
      <c r="Y2404" s="4">
        <f>1/TWD!C2404</f>
        <v>3.1779930338392701E-2</v>
      </c>
      <c r="Z2404" s="4">
        <f>1/ZAR!B2404</f>
        <v>6.9277504901383472E-2</v>
      </c>
      <c r="AA2404" s="4">
        <f>1/ZAR!C2404</f>
        <v>6.90093024539708E-2</v>
      </c>
    </row>
    <row r="2405" spans="1:27" x14ac:dyDescent="0.25">
      <c r="A2405" t="str">
        <f>"22/05/2019"</f>
        <v>22/05/2019</v>
      </c>
      <c r="B2405" s="3">
        <f>AUD!B2405</f>
        <v>0.68859999999999999</v>
      </c>
      <c r="C2405" s="3">
        <f>AUD!C2405</f>
        <v>0.68920000000000003</v>
      </c>
      <c r="D2405" s="3">
        <f>1/CAD!B2405</f>
        <v>0.74699335175916937</v>
      </c>
      <c r="E2405" s="3">
        <f>1/CAD!C2405</f>
        <v>0.74755176795993128</v>
      </c>
      <c r="F2405" s="3">
        <f>EUR!B2405/1</f>
        <v>1.1168</v>
      </c>
      <c r="G2405" s="3">
        <f>EUR!C2405/1</f>
        <v>1.1196999999999999</v>
      </c>
      <c r="H2405" s="3">
        <f>GBP!B2405/1</f>
        <v>1.2650999999999999</v>
      </c>
      <c r="I2405" s="3">
        <f>GBP!C2405/1</f>
        <v>1.2670999999999999</v>
      </c>
      <c r="J2405" s="4">
        <f>1/INR!B2405</f>
        <v>1.4352350197344816E-2</v>
      </c>
      <c r="K2405" s="4">
        <f>1/INR!C2405</f>
        <v>1.4298480786416443E-2</v>
      </c>
      <c r="L2405" s="4">
        <f>1/JPY!B2405</f>
        <v>9.0555102780041658E-3</v>
      </c>
      <c r="M2405" s="4">
        <f>1/JPY!C2405</f>
        <v>9.0768152722863048E-3</v>
      </c>
      <c r="N2405" s="5">
        <f>1/KRW!B2405</f>
        <v>8.380122349786307E-4</v>
      </c>
      <c r="O2405" s="5">
        <f>1/KRW!C2405</f>
        <v>8.3801785313234324E-4</v>
      </c>
      <c r="P2405" s="3">
        <f>1/NOK!B2405</f>
        <v>0.11440469516868973</v>
      </c>
      <c r="Q2405" s="3">
        <f>1/NOK!C2405</f>
        <v>0.11453835316755814</v>
      </c>
      <c r="R2405" s="3">
        <f>NZD!B2405/1</f>
        <v>0.6502</v>
      </c>
      <c r="S2405" s="3">
        <f>NZD!C2405/1</f>
        <v>0.65069999999999995</v>
      </c>
      <c r="T2405" s="4">
        <f>1/PHP!B2405</f>
        <v>1.9029495718363463E-2</v>
      </c>
      <c r="U2405" s="4">
        <f>1/PHP!C2405</f>
        <v>1.8977132555270899E-2</v>
      </c>
      <c r="V2405" s="4">
        <f>1/TWD!B2405</f>
        <v>3.1699740062131491E-2</v>
      </c>
      <c r="W2405" s="4">
        <f>1/TWD!C2405</f>
        <v>3.1700242506855179E-2</v>
      </c>
      <c r="X2405" s="4">
        <f>1/TWD!B2405</f>
        <v>3.1699740062131491E-2</v>
      </c>
      <c r="Y2405" s="4">
        <f>1/TWD!C2405</f>
        <v>3.1700242506855179E-2</v>
      </c>
      <c r="Z2405" s="4">
        <f>1/ZAR!B2405</f>
        <v>6.9512508775954232E-2</v>
      </c>
      <c r="AA2405" s="4">
        <f>1/ZAR!C2405</f>
        <v>6.92515979806234E-2</v>
      </c>
    </row>
    <row r="2406" spans="1:27" x14ac:dyDescent="0.25">
      <c r="A2406" t="str">
        <f>"23/05/2019"</f>
        <v>23/05/2019</v>
      </c>
      <c r="B2406" s="3">
        <f>AUD!B2406</f>
        <v>0.6875</v>
      </c>
      <c r="C2406" s="3">
        <f>AUD!C2406</f>
        <v>0.68810000000000004</v>
      </c>
      <c r="D2406" s="3">
        <f>1/CAD!B2406</f>
        <v>0.74266617155588566</v>
      </c>
      <c r="E2406" s="3">
        <f>1/CAD!C2406</f>
        <v>0.74316290130796681</v>
      </c>
      <c r="F2406" s="3">
        <f>EUR!B2406/1</f>
        <v>1.1135999999999999</v>
      </c>
      <c r="G2406" s="3">
        <f>EUR!C2406/1</f>
        <v>1.1165</v>
      </c>
      <c r="H2406" s="3">
        <f>GBP!B2406/1</f>
        <v>1.2643</v>
      </c>
      <c r="I2406" s="3">
        <f>GBP!C2406/1</f>
        <v>1.2663</v>
      </c>
      <c r="J2406" s="4">
        <f>1/INR!B2406</f>
        <v>1.4280614066404854E-2</v>
      </c>
      <c r="K2406" s="4">
        <f>1/INR!C2406</f>
        <v>1.4228292960552058E-2</v>
      </c>
      <c r="L2406" s="4">
        <f>1/JPY!B2406</f>
        <v>9.0793535500272374E-3</v>
      </c>
      <c r="M2406" s="4">
        <f>1/JPY!C2406</f>
        <v>9.1009366684019124E-3</v>
      </c>
      <c r="N2406" s="5">
        <f>1/KRW!B2406</f>
        <v>8.4090144635048773E-4</v>
      </c>
      <c r="O2406" s="5">
        <f>1/KRW!C2406</f>
        <v>8.4090710331048311E-4</v>
      </c>
      <c r="P2406" s="3">
        <f>1/NOK!B2406</f>
        <v>0.11421914084362257</v>
      </c>
      <c r="Q2406" s="3">
        <f>1/NOK!C2406</f>
        <v>0.11434975014579592</v>
      </c>
      <c r="R2406" s="3">
        <f>NZD!B2406/1</f>
        <v>0.64910000000000001</v>
      </c>
      <c r="S2406" s="3">
        <f>NZD!C2406/1</f>
        <v>0.64949999999999997</v>
      </c>
      <c r="T2406" s="4">
        <f>1/PHP!B2406</f>
        <v>1.9043991620643689E-2</v>
      </c>
      <c r="U2406" s="4">
        <f>1/PHP!C2406</f>
        <v>1.8995697474522021E-2</v>
      </c>
      <c r="V2406" s="4">
        <f>1/TWD!B2406</f>
        <v>3.1698735220464701E-2</v>
      </c>
      <c r="W2406" s="4">
        <f>1/TWD!C2406</f>
        <v>3.1699237633334917E-2</v>
      </c>
      <c r="X2406" s="4">
        <f>1/TWD!B2406</f>
        <v>3.1698735220464701E-2</v>
      </c>
      <c r="Y2406" s="4">
        <f>1/TWD!C2406</f>
        <v>3.1699237633334917E-2</v>
      </c>
      <c r="Z2406" s="4">
        <f>1/ZAR!B2406</f>
        <v>6.9186915370565122E-2</v>
      </c>
      <c r="AA2406" s="4">
        <f>1/ZAR!C2406</f>
        <v>6.8926538095697598E-2</v>
      </c>
    </row>
    <row r="2407" spans="1:27" x14ac:dyDescent="0.25">
      <c r="A2407" t="str">
        <f>"24/05/2019"</f>
        <v>24/05/2019</v>
      </c>
      <c r="B2407" s="3">
        <f>AUD!B2407</f>
        <v>0.69059999999999999</v>
      </c>
      <c r="C2407" s="3">
        <f>AUD!C2407</f>
        <v>0.69120000000000004</v>
      </c>
      <c r="D2407" s="3">
        <f>1/CAD!B2407</f>
        <v>0.74360499702558003</v>
      </c>
      <c r="E2407" s="3">
        <f>1/CAD!C2407</f>
        <v>0.74410298385296525</v>
      </c>
      <c r="F2407" s="3">
        <f>EUR!B2407/1</f>
        <v>1.1186</v>
      </c>
      <c r="G2407" s="3">
        <f>EUR!C2407/1</f>
        <v>1.1214999999999999</v>
      </c>
      <c r="H2407" s="3">
        <f>GBP!B2407/1</f>
        <v>1.2686999999999999</v>
      </c>
      <c r="I2407" s="3">
        <f>GBP!C2407/1</f>
        <v>1.2706</v>
      </c>
      <c r="J2407" s="4">
        <f>1/INR!B2407</f>
        <v>1.4381763923345198E-2</v>
      </c>
      <c r="K2407" s="4">
        <f>1/INR!C2407</f>
        <v>1.4329727018700295E-2</v>
      </c>
      <c r="L2407" s="4">
        <f>1/JPY!B2407</f>
        <v>9.1149393856530866E-3</v>
      </c>
      <c r="M2407" s="4">
        <f>1/JPY!C2407</f>
        <v>9.1366588335044935E-3</v>
      </c>
      <c r="N2407" s="5">
        <f>1/KRW!B2407</f>
        <v>8.4146751935375286E-4</v>
      </c>
      <c r="O2407" s="5">
        <f>1/KRW!C2407</f>
        <v>8.4147353797128311E-4</v>
      </c>
      <c r="P2407" s="3">
        <f>1/NOK!B2407</f>
        <v>0.11467758397266085</v>
      </c>
      <c r="Q2407" s="3">
        <f>1/NOK!C2407</f>
        <v>0.11481056257175659</v>
      </c>
      <c r="R2407" s="3">
        <f>NZD!B2407/1</f>
        <v>0.65400000000000003</v>
      </c>
      <c r="S2407" s="3">
        <f>NZD!C2407/1</f>
        <v>0.65439999999999998</v>
      </c>
      <c r="T2407" s="4">
        <f>1/PHP!B2407</f>
        <v>1.9162594615310911E-2</v>
      </c>
      <c r="U2407" s="4">
        <f>1/PHP!C2407</f>
        <v>1.91131498470948E-2</v>
      </c>
      <c r="V2407" s="4">
        <f>1/TWD!B2407</f>
        <v>3.1723875388617477E-2</v>
      </c>
      <c r="W2407" s="4">
        <f>1/TWD!C2407</f>
        <v>3.1724378598734199E-2</v>
      </c>
      <c r="X2407" s="4">
        <f>1/TWD!B2407</f>
        <v>3.1723875388617477E-2</v>
      </c>
      <c r="Y2407" s="4">
        <f>1/TWD!C2407</f>
        <v>3.1724378598734199E-2</v>
      </c>
      <c r="Z2407" s="4">
        <f>1/ZAR!B2407</f>
        <v>6.9315921173934439E-2</v>
      </c>
      <c r="AA2407" s="4">
        <f>1/ZAR!C2407</f>
        <v>6.9055050686407202E-2</v>
      </c>
    </row>
    <row r="2408" spans="1:27" x14ac:dyDescent="0.25">
      <c r="A2408" t="str">
        <f>"27/05/2019"</f>
        <v>27/05/2019</v>
      </c>
      <c r="B2408" s="3">
        <f>AUD!B2408</f>
        <v>0.69240000000000002</v>
      </c>
      <c r="C2408" s="3">
        <f>AUD!C2408</f>
        <v>0.69289999999999996</v>
      </c>
      <c r="D2408" s="3">
        <f>1/CAD!B2408</f>
        <v>0.74354970629786599</v>
      </c>
      <c r="E2408" s="3">
        <f>1/CAD!C2408</f>
        <v>0.74404761904761896</v>
      </c>
      <c r="F2408" s="3">
        <f>EUR!B2408/1</f>
        <v>1.1195999999999999</v>
      </c>
      <c r="G2408" s="3">
        <f>EUR!C2408/1</f>
        <v>1.1224000000000001</v>
      </c>
      <c r="H2408" s="3">
        <f>GBP!B2408/1</f>
        <v>1.2692000000000001</v>
      </c>
      <c r="I2408" s="3">
        <f>GBP!C2408/1</f>
        <v>1.2710999999999999</v>
      </c>
      <c r="J2408" s="4">
        <f>1/INR!B2408</f>
        <v>1.4386419220256077E-2</v>
      </c>
      <c r="K2408" s="4">
        <f>1/INR!C2408</f>
        <v>1.4336403713128562E-2</v>
      </c>
      <c r="L2408" s="4">
        <f>1/JPY!B2408</f>
        <v>9.1324200913242004E-3</v>
      </c>
      <c r="M2408" s="4">
        <f>1/JPY!C2408</f>
        <v>9.153385104879487E-3</v>
      </c>
      <c r="N2408" s="5">
        <f>1/KRW!B2408</f>
        <v>8.4423807513718866E-4</v>
      </c>
      <c r="O2408" s="5">
        <f>1/KRW!C2408</f>
        <v>8.4424413345304708E-4</v>
      </c>
      <c r="P2408" s="3">
        <f>1/NOK!B2408</f>
        <v>0.11479474699237763</v>
      </c>
      <c r="Q2408" s="3">
        <f>1/NOK!C2408</f>
        <v>0.11492271447451589</v>
      </c>
      <c r="R2408" s="3">
        <f>NZD!B2408/1</f>
        <v>0.65459999999999996</v>
      </c>
      <c r="S2408" s="3">
        <f>NZD!C2408/1</f>
        <v>0.65500000000000003</v>
      </c>
      <c r="T2408" s="4">
        <f>1/PHP!B2408</f>
        <v>1.9146084625694046E-2</v>
      </c>
      <c r="U2408" s="4">
        <f>1/PHP!C2408</f>
        <v>1.9098548510313215E-2</v>
      </c>
      <c r="V2408" s="4">
        <f>1/TWD!B2408</f>
        <v>3.1794480478188981E-2</v>
      </c>
      <c r="W2408" s="4">
        <f>1/TWD!C2408</f>
        <v>3.1794985930718729E-2</v>
      </c>
      <c r="X2408" s="4">
        <f>1/TWD!B2408</f>
        <v>3.1794480478188981E-2</v>
      </c>
      <c r="Y2408" s="4">
        <f>1/TWD!C2408</f>
        <v>3.1794985930718729E-2</v>
      </c>
      <c r="Z2408" s="4">
        <f>1/ZAR!B2408</f>
        <v>6.9134300291746748E-2</v>
      </c>
      <c r="AA2408" s="4">
        <f>1/ZAR!C2408</f>
        <v>6.8881434386989682E-2</v>
      </c>
    </row>
    <row r="2409" spans="1:27" x14ac:dyDescent="0.25">
      <c r="A2409" t="str">
        <f>"28/05/2019"</f>
        <v>28/05/2019</v>
      </c>
      <c r="B2409" s="3">
        <f>AUD!B2409</f>
        <v>0.69259999999999999</v>
      </c>
      <c r="C2409" s="3">
        <f>AUD!C2409</f>
        <v>0.69310000000000005</v>
      </c>
      <c r="D2409" s="3">
        <f>1/CAD!B2409</f>
        <v>0.74404761904761896</v>
      </c>
      <c r="E2409" s="3">
        <f>1/CAD!C2409</f>
        <v>0.74454619909165365</v>
      </c>
      <c r="F2409" s="3">
        <f>EUR!B2409/1</f>
        <v>1.1180000000000001</v>
      </c>
      <c r="G2409" s="3">
        <f>EUR!C2409/1</f>
        <v>1.1207</v>
      </c>
      <c r="H2409" s="3">
        <f>GBP!B2409/1</f>
        <v>1.2669999999999999</v>
      </c>
      <c r="I2409" s="3">
        <f>GBP!C2409/1</f>
        <v>1.2687999999999999</v>
      </c>
      <c r="J2409" s="4">
        <f>1/INR!B2409</f>
        <v>1.4354410392593123E-2</v>
      </c>
      <c r="K2409" s="4">
        <f>1/INR!C2409</f>
        <v>1.4305639998569436E-2</v>
      </c>
      <c r="L2409" s="4">
        <f>1/JPY!B2409</f>
        <v>9.1332541784637875E-3</v>
      </c>
      <c r="M2409" s="4">
        <f>1/JPY!C2409</f>
        <v>9.1535778131919543E-3</v>
      </c>
      <c r="N2409" s="5">
        <f>1/KRW!B2409</f>
        <v>8.4167999326656016E-4</v>
      </c>
      <c r="O2409" s="5">
        <f>1/KRW!C2409</f>
        <v>8.4168566070640983E-4</v>
      </c>
      <c r="P2409" s="3">
        <f>1/NOK!B2409</f>
        <v>0.11478288816703207</v>
      </c>
      <c r="Q2409" s="3">
        <f>1/NOK!C2409</f>
        <v>0.11490026656861843</v>
      </c>
      <c r="R2409" s="3">
        <f>NZD!B2409/1</f>
        <v>0.65500000000000003</v>
      </c>
      <c r="S2409" s="3">
        <f>NZD!C2409/1</f>
        <v>0.65539999999999998</v>
      </c>
      <c r="T2409" s="4">
        <f>1/PHP!B2409</f>
        <v>1.911863110601281E-2</v>
      </c>
      <c r="U2409" s="4">
        <f>1/PHP!C2409</f>
        <v>1.9075596589283331E-2</v>
      </c>
      <c r="V2409" s="4">
        <f>1/TWD!B2409</f>
        <v>3.1779324371563861E-2</v>
      </c>
      <c r="W2409" s="4">
        <f>1/TWD!C2409</f>
        <v>3.1779829342316435E-2</v>
      </c>
      <c r="X2409" s="4">
        <f>1/TWD!B2409</f>
        <v>3.1779324371563861E-2</v>
      </c>
      <c r="Y2409" s="4">
        <f>1/TWD!C2409</f>
        <v>3.1779829342316435E-2</v>
      </c>
      <c r="Z2409" s="4">
        <f>1/ZAR!B2409</f>
        <v>6.9161076146344841E-2</v>
      </c>
      <c r="AA2409" s="4">
        <f>1/ZAR!C2409</f>
        <v>6.8916562717517893E-2</v>
      </c>
    </row>
    <row r="2410" spans="1:27" x14ac:dyDescent="0.25">
      <c r="A2410" t="str">
        <f>"29/05/2019"</f>
        <v>29/05/2019</v>
      </c>
      <c r="B2410" s="3">
        <f>AUD!B2410</f>
        <v>0.69220000000000004</v>
      </c>
      <c r="C2410" s="3">
        <f>AUD!C2410</f>
        <v>0.69279999999999997</v>
      </c>
      <c r="D2410" s="3">
        <f>1/CAD!B2410</f>
        <v>0.74030204323363935</v>
      </c>
      <c r="E2410" s="3">
        <f>1/CAD!C2410</f>
        <v>0.74079561448996212</v>
      </c>
      <c r="F2410" s="3">
        <f>EUR!B2410/1</f>
        <v>1.1153</v>
      </c>
      <c r="G2410" s="3">
        <f>EUR!C2410/1</f>
        <v>1.1178999999999999</v>
      </c>
      <c r="H2410" s="3">
        <f>GBP!B2410/1</f>
        <v>1.2639</v>
      </c>
      <c r="I2410" s="3">
        <f>GBP!C2410/1</f>
        <v>1.2657</v>
      </c>
      <c r="J2410" s="4">
        <f>1/INR!B2410</f>
        <v>1.4318954716305709E-2</v>
      </c>
      <c r="K2410" s="4">
        <f>1/INR!C2410</f>
        <v>1.4273479874393376E-2</v>
      </c>
      <c r="L2410" s="4">
        <f>1/JPY!B2410</f>
        <v>9.1466203237903602E-3</v>
      </c>
      <c r="M2410" s="4">
        <f>1/JPY!C2410</f>
        <v>9.1659784544510445E-3</v>
      </c>
      <c r="N2410" s="5">
        <f>1/KRW!B2410</f>
        <v>8.373105584861425E-4</v>
      </c>
      <c r="O2410" s="5">
        <f>1/KRW!C2410</f>
        <v>8.373154661377066E-4</v>
      </c>
      <c r="P2410" s="3">
        <f>1/NOK!B2410</f>
        <v>0.11423479820422898</v>
      </c>
      <c r="Q2410" s="3">
        <f>1/NOK!C2410</f>
        <v>0.11436413540713633</v>
      </c>
      <c r="R2410" s="3">
        <f>NZD!B2410/1</f>
        <v>0.65200000000000002</v>
      </c>
      <c r="S2410" s="3">
        <f>NZD!C2410/1</f>
        <v>0.65239999999999998</v>
      </c>
      <c r="T2410" s="4">
        <f>1/PHP!B2410</f>
        <v>1.9098548510313215E-2</v>
      </c>
      <c r="U2410" s="4">
        <f>1/PHP!C2410</f>
        <v>1.905850962454736E-2</v>
      </c>
      <c r="V2410" s="4">
        <f>1/TWD!B2410</f>
        <v>3.1665611146295125E-2</v>
      </c>
      <c r="W2410" s="4">
        <f>1/TWD!C2410</f>
        <v>3.166601223574713E-2</v>
      </c>
      <c r="X2410" s="4">
        <f>1/TWD!B2410</f>
        <v>3.1665611146295125E-2</v>
      </c>
      <c r="Y2410" s="4">
        <f>1/TWD!C2410</f>
        <v>3.166601223574713E-2</v>
      </c>
      <c r="Z2410" s="4">
        <f>1/ZAR!B2410</f>
        <v>6.7497789447395595E-2</v>
      </c>
      <c r="AA2410" s="4">
        <f>1/ZAR!C2410</f>
        <v>6.7264875627244966E-2</v>
      </c>
    </row>
    <row r="2411" spans="1:27" x14ac:dyDescent="0.25">
      <c r="A2411" t="str">
        <f>"30/05/2019"</f>
        <v>30/05/2019</v>
      </c>
      <c r="B2411" s="3">
        <f>AUD!B2411</f>
        <v>0.69199999999999995</v>
      </c>
      <c r="C2411" s="3">
        <f>AUD!C2411</f>
        <v>0.69259999999999999</v>
      </c>
      <c r="D2411" s="3">
        <f>1/CAD!B2411</f>
        <v>0.74123489733896675</v>
      </c>
      <c r="E2411" s="3">
        <f>1/CAD!C2411</f>
        <v>0.74172971369233043</v>
      </c>
      <c r="F2411" s="3">
        <f>EUR!B2411/1</f>
        <v>1.1135999999999999</v>
      </c>
      <c r="G2411" s="3">
        <f>EUR!C2411/1</f>
        <v>1.1165</v>
      </c>
      <c r="H2411" s="3">
        <f>GBP!B2411/1</f>
        <v>1.2628999999999999</v>
      </c>
      <c r="I2411" s="3">
        <f>GBP!C2411/1</f>
        <v>1.2648999999999999</v>
      </c>
      <c r="J2411" s="4">
        <f>1/INR!B2411</f>
        <v>1.4310246136233544E-2</v>
      </c>
      <c r="K2411" s="4">
        <f>1/INR!C2411</f>
        <v>1.4262283391570992E-2</v>
      </c>
      <c r="L2411" s="4">
        <f>1/JPY!B2411</f>
        <v>9.1149393856530866E-3</v>
      </c>
      <c r="M2411" s="4">
        <f>1/JPY!C2411</f>
        <v>9.137351757889418E-3</v>
      </c>
      <c r="N2411" s="5">
        <f>1/KRW!B2411</f>
        <v>8.4104289318755253E-4</v>
      </c>
      <c r="O2411" s="5">
        <f>1/KRW!C2411</f>
        <v>8.4104805689723741E-4</v>
      </c>
      <c r="P2411" s="3">
        <f>1/NOK!B2411</f>
        <v>0.11415134184902342</v>
      </c>
      <c r="Q2411" s="3">
        <f>1/NOK!C2411</f>
        <v>0.11428049003474126</v>
      </c>
      <c r="R2411" s="3">
        <f>NZD!B2411/1</f>
        <v>0.65149999999999997</v>
      </c>
      <c r="S2411" s="3">
        <f>NZD!C2411/1</f>
        <v>0.65190000000000003</v>
      </c>
      <c r="T2411" s="4">
        <f>1/PHP!B2411</f>
        <v>1.9154152620288079E-2</v>
      </c>
      <c r="U2411" s="4">
        <f>1/PHP!C2411</f>
        <v>1.9112784541579865E-2</v>
      </c>
      <c r="V2411" s="4">
        <f>1/TWD!B2411</f>
        <v>3.163555836760519E-2</v>
      </c>
      <c r="W2411" s="4">
        <f>1/TWD!C2411</f>
        <v>3.1635958696092328E-2</v>
      </c>
      <c r="X2411" s="4">
        <f>1/TWD!B2411</f>
        <v>3.163555836760519E-2</v>
      </c>
      <c r="Y2411" s="4">
        <f>1/TWD!C2411</f>
        <v>3.1635958696092328E-2</v>
      </c>
      <c r="Z2411" s="4">
        <f>1/ZAR!B2411</f>
        <v>6.8403663700227782E-2</v>
      </c>
      <c r="AA2411" s="4">
        <f>1/ZAR!C2411</f>
        <v>6.8150995345287027E-2</v>
      </c>
    </row>
    <row r="2412" spans="1:27" x14ac:dyDescent="0.25">
      <c r="A2412" t="str">
        <f>"31/05/2019"</f>
        <v>31/05/2019</v>
      </c>
      <c r="B2412" s="3">
        <f>AUD!B2412</f>
        <v>0.69159999999999999</v>
      </c>
      <c r="C2412" s="3">
        <f>AUD!C2412</f>
        <v>0.69220000000000004</v>
      </c>
      <c r="D2412" s="3">
        <f>1/CAD!B2412</f>
        <v>0.73866154527995276</v>
      </c>
      <c r="E2412" s="3">
        <f>1/CAD!C2412</f>
        <v>0.7392622163081245</v>
      </c>
      <c r="F2412" s="3">
        <f>EUR!B2412/1</f>
        <v>1.113</v>
      </c>
      <c r="G2412" s="3">
        <f>EUR!C2412/1</f>
        <v>1.1158999999999999</v>
      </c>
      <c r="H2412" s="3">
        <f>GBP!B2412/1</f>
        <v>1.2607999999999999</v>
      </c>
      <c r="I2412" s="3">
        <f>GBP!C2412/1</f>
        <v>1.2627999999999999</v>
      </c>
      <c r="J2412" s="4">
        <f>1/INR!B2412</f>
        <v>1.4334348683031715E-2</v>
      </c>
      <c r="K2412" s="4">
        <f>1/INR!C2412</f>
        <v>1.4286224508018143E-2</v>
      </c>
      <c r="L2412" s="4">
        <f>1/JPY!B2412</f>
        <v>9.1650627806800482E-3</v>
      </c>
      <c r="M2412" s="4">
        <f>1/JPY!C2412</f>
        <v>9.1883811083209067E-3</v>
      </c>
      <c r="N2412" s="5">
        <f>1/KRW!B2412</f>
        <v>8.4005376344086012E-4</v>
      </c>
      <c r="O2412" s="5">
        <f>1/KRW!C2412</f>
        <v>8.400597618514581E-4</v>
      </c>
      <c r="P2412" s="3">
        <f>1/NOK!B2412</f>
        <v>0.11381095999544756</v>
      </c>
      <c r="Q2412" s="3">
        <f>1/NOK!C2412</f>
        <v>0.11393933869607821</v>
      </c>
      <c r="R2412" s="3">
        <f>NZD!B2412/1</f>
        <v>0.65100000000000002</v>
      </c>
      <c r="S2412" s="3">
        <f>NZD!C2412/1</f>
        <v>0.65139999999999998</v>
      </c>
      <c r="T2412" s="4">
        <f>1/PHP!B2412</f>
        <v>1.913143294432753E-2</v>
      </c>
      <c r="U2412" s="4">
        <f>1/PHP!C2412</f>
        <v>1.9086154903233194E-2</v>
      </c>
      <c r="V2412" s="4">
        <f>1/TWD!B2412</f>
        <v>3.1652581268002404E-2</v>
      </c>
      <c r="W2412" s="4">
        <f>1/TWD!C2412</f>
        <v>3.1653082218881065E-2</v>
      </c>
      <c r="X2412" s="4">
        <f>1/TWD!B2412</f>
        <v>3.1652581268002404E-2</v>
      </c>
      <c r="Y2412" s="4">
        <f>1/TWD!C2412</f>
        <v>3.1653082218881065E-2</v>
      </c>
      <c r="Z2412" s="4">
        <f>1/ZAR!B2412</f>
        <v>6.7427246001564314E-2</v>
      </c>
      <c r="AA2412" s="4">
        <f>1/ZAR!C2412</f>
        <v>6.7173603460784048E-2</v>
      </c>
    </row>
    <row r="2413" spans="1:27" x14ac:dyDescent="0.25">
      <c r="A2413" t="str">
        <f>"03/06/2019"</f>
        <v>03/06/2019</v>
      </c>
      <c r="B2413" s="3">
        <f>AUD!B2413</f>
        <v>0.69599999999999995</v>
      </c>
      <c r="C2413" s="3">
        <f>AUD!C2413</f>
        <v>0.6966</v>
      </c>
      <c r="D2413" s="3">
        <f>1/CAD!B2413</f>
        <v>0.74134479946623177</v>
      </c>
      <c r="E2413" s="3">
        <f>1/CAD!C2413</f>
        <v>0.74194984419053267</v>
      </c>
      <c r="F2413" s="3">
        <f>EUR!B2413/1</f>
        <v>1.1187</v>
      </c>
      <c r="G2413" s="3">
        <f>EUR!C2413/1</f>
        <v>1.1214999999999999</v>
      </c>
      <c r="H2413" s="3">
        <f>GBP!B2413/1</f>
        <v>1.2637</v>
      </c>
      <c r="I2413" s="3">
        <f>GBP!C2413/1</f>
        <v>1.2656000000000001</v>
      </c>
      <c r="J2413" s="4">
        <f>1/INR!B2413</f>
        <v>1.4436263894903999E-2</v>
      </c>
      <c r="K2413" s="4">
        <f>1/INR!C2413</f>
        <v>1.4384349827387804E-2</v>
      </c>
      <c r="L2413" s="4">
        <f>1/JPY!B2413</f>
        <v>9.2267946115519479E-3</v>
      </c>
      <c r="M2413" s="4">
        <f>1/JPY!C2413</f>
        <v>9.2492392500716815E-3</v>
      </c>
      <c r="N2413" s="5">
        <f>1/KRW!B2413</f>
        <v>8.4580901632411404E-4</v>
      </c>
      <c r="O2413" s="5">
        <f>1/KRW!C2413</f>
        <v>8.4581438180484096E-4</v>
      </c>
      <c r="P2413" s="3">
        <f>1/NOK!B2413</f>
        <v>0.1144976985962582</v>
      </c>
      <c r="Q2413" s="3">
        <f>1/NOK!C2413</f>
        <v>0.11462763213700294</v>
      </c>
      <c r="R2413" s="3">
        <f>NZD!B2413/1</f>
        <v>0.65649999999999997</v>
      </c>
      <c r="S2413" s="3">
        <f>NZD!C2413/1</f>
        <v>0.65690000000000004</v>
      </c>
      <c r="T2413" s="4">
        <f>1/PHP!B2413</f>
        <v>1.9256691700365876E-2</v>
      </c>
      <c r="U2413" s="4">
        <f>1/PHP!C2413</f>
        <v>1.9214880003074381E-2</v>
      </c>
      <c r="V2413" s="4">
        <f>1/TWD!B2413</f>
        <v>3.1743008602355328E-2</v>
      </c>
      <c r="W2413" s="4">
        <f>1/TWD!C2413</f>
        <v>3.1743512419649234E-2</v>
      </c>
      <c r="X2413" s="4">
        <f>1/TWD!B2413</f>
        <v>3.1743008602355328E-2</v>
      </c>
      <c r="Y2413" s="4">
        <f>1/TWD!C2413</f>
        <v>3.1743512419649234E-2</v>
      </c>
      <c r="Z2413" s="4">
        <f>1/ZAR!B2413</f>
        <v>6.8828335249055336E-2</v>
      </c>
      <c r="AA2413" s="4">
        <f>1/ZAR!C2413</f>
        <v>6.8571115103473815E-2</v>
      </c>
    </row>
    <row r="2414" spans="1:27" x14ac:dyDescent="0.25">
      <c r="A2414" t="str">
        <f>"04/06/2019"</f>
        <v>04/06/2019</v>
      </c>
      <c r="B2414" s="3">
        <f>AUD!B2414</f>
        <v>0.69869999999999999</v>
      </c>
      <c r="C2414" s="3">
        <f>AUD!C2414</f>
        <v>0.69930000000000003</v>
      </c>
      <c r="D2414" s="3">
        <f>1/CAD!B2414</f>
        <v>0.74426912771658238</v>
      </c>
      <c r="E2414" s="3">
        <f>1/CAD!C2414</f>
        <v>0.74482347683598982</v>
      </c>
      <c r="F2414" s="3">
        <f>EUR!B2414/1</f>
        <v>1.1254</v>
      </c>
      <c r="G2414" s="3">
        <f>EUR!C2414/1</f>
        <v>1.1284000000000001</v>
      </c>
      <c r="H2414" s="3">
        <f>GBP!B2414/1</f>
        <v>1.2667999999999999</v>
      </c>
      <c r="I2414" s="3">
        <f>GBP!C2414/1</f>
        <v>1.2687999999999999</v>
      </c>
      <c r="J2414" s="4">
        <f>1/INR!B2414</f>
        <v>1.4459224985540775E-2</v>
      </c>
      <c r="K2414" s="4">
        <f>1/INR!C2414</f>
        <v>1.4408702856525341E-2</v>
      </c>
      <c r="L2414" s="4">
        <f>1/JPY!B2414</f>
        <v>9.262689885142646E-3</v>
      </c>
      <c r="M2414" s="4">
        <f>1/JPY!C2414</f>
        <v>9.2867756315007429E-3</v>
      </c>
      <c r="N2414" s="5">
        <f>1/KRW!B2414</f>
        <v>8.468834688346884E-4</v>
      </c>
      <c r="O2414" s="5">
        <f>1/KRW!C2414</f>
        <v>8.468884893457194E-4</v>
      </c>
      <c r="P2414" s="3">
        <f>1/NOK!B2414</f>
        <v>0.11512646642336608</v>
      </c>
      <c r="Q2414" s="3">
        <f>1/NOK!C2414</f>
        <v>0.11525916022175862</v>
      </c>
      <c r="R2414" s="3">
        <f>NZD!B2414/1</f>
        <v>0.65880000000000005</v>
      </c>
      <c r="S2414" s="3">
        <f>NZD!C2414/1</f>
        <v>0.65920000000000001</v>
      </c>
      <c r="T2414" s="4">
        <f>1/PHP!B2414</f>
        <v>1.9305019305019305E-2</v>
      </c>
      <c r="U2414" s="4">
        <f>1/PHP!C2414</f>
        <v>1.9264110961279137E-2</v>
      </c>
      <c r="V2414" s="4">
        <f>1/TWD!B2414</f>
        <v>3.1808639226413894E-2</v>
      </c>
      <c r="W2414" s="4">
        <f>1/TWD!C2414</f>
        <v>3.1809145129224649E-2</v>
      </c>
      <c r="X2414" s="4">
        <f>1/TWD!B2414</f>
        <v>3.1808639226413894E-2</v>
      </c>
      <c r="Y2414" s="4">
        <f>1/TWD!C2414</f>
        <v>3.1809145129224649E-2</v>
      </c>
      <c r="Z2414" s="4">
        <f>1/ZAR!B2414</f>
        <v>6.9157728030318749E-2</v>
      </c>
      <c r="AA2414" s="4">
        <f>1/ZAR!C2414</f>
        <v>6.888190885545821E-2</v>
      </c>
    </row>
    <row r="2415" spans="1:27" x14ac:dyDescent="0.25">
      <c r="A2415" t="str">
        <f>"06/06/2019"</f>
        <v>06/06/2019</v>
      </c>
      <c r="B2415" s="3">
        <f>AUD!B2415</f>
        <v>0.69740000000000002</v>
      </c>
      <c r="C2415" s="3">
        <f>AUD!C2415</f>
        <v>0.69789999999999996</v>
      </c>
      <c r="D2415" s="3">
        <f>1/CAD!B2415</f>
        <v>0.74560095436922158</v>
      </c>
      <c r="E2415" s="3">
        <f>1/CAD!C2415</f>
        <v>0.74615728995672281</v>
      </c>
      <c r="F2415" s="3">
        <f>EUR!B2415/1</f>
        <v>1.1228</v>
      </c>
      <c r="G2415" s="3">
        <f>EUR!C2415/1</f>
        <v>1.1255999999999999</v>
      </c>
      <c r="H2415" s="3">
        <f>GBP!B2415/1</f>
        <v>1.2695000000000001</v>
      </c>
      <c r="I2415" s="3">
        <f>GBP!C2415/1</f>
        <v>1.2714000000000001</v>
      </c>
      <c r="J2415" s="4">
        <f>1/INR!B2415</f>
        <v>1.4432096983691729E-2</v>
      </c>
      <c r="K2415" s="4">
        <f>1/INR!C2415</f>
        <v>1.4382798173384632E-2</v>
      </c>
      <c r="L2415" s="4">
        <f>1/JPY!B2415</f>
        <v>9.2387287509238733E-3</v>
      </c>
      <c r="M2415" s="4">
        <f>1/JPY!C2415</f>
        <v>9.260948524869814E-3</v>
      </c>
      <c r="N2415" s="5">
        <f>1/KRW!B2415</f>
        <v>8.4846427965382663E-4</v>
      </c>
      <c r="O2415" s="5">
        <f>1/KRW!C2415</f>
        <v>8.4846931892519292E-4</v>
      </c>
      <c r="P2415" s="3">
        <f>1/NOK!B2415</f>
        <v>0.11465654631551188</v>
      </c>
      <c r="Q2415" s="3">
        <f>1/NOK!C2415</f>
        <v>0.11477893576970753</v>
      </c>
      <c r="R2415" s="3">
        <f>NZD!B2415/1</f>
        <v>0.66239999999999999</v>
      </c>
      <c r="S2415" s="3">
        <f>NZD!C2415/1</f>
        <v>0.66279999999999994</v>
      </c>
      <c r="T2415" s="4">
        <f>1/PHP!B2415</f>
        <v>1.932367149758454E-2</v>
      </c>
      <c r="U2415" s="4">
        <f>1/PHP!C2415</f>
        <v>1.928268414963363E-2</v>
      </c>
      <c r="V2415" s="4">
        <f>1/TWD!B2415</f>
        <v>3.1842063365706094E-2</v>
      </c>
      <c r="W2415" s="4">
        <f>1/TWD!C2415</f>
        <v>3.184257033227722E-2</v>
      </c>
      <c r="X2415" s="4">
        <f>1/TWD!B2415</f>
        <v>3.1842063365706094E-2</v>
      </c>
      <c r="Y2415" s="4">
        <f>1/TWD!C2415</f>
        <v>3.184257033227722E-2</v>
      </c>
      <c r="Z2415" s="4">
        <f>1/ZAR!B2415</f>
        <v>6.7136172298272595E-2</v>
      </c>
      <c r="AA2415" s="4">
        <f>1/ZAR!C2415</f>
        <v>6.6887395070398981E-2</v>
      </c>
    </row>
    <row r="2416" spans="1:27" x14ac:dyDescent="0.25">
      <c r="A2416" t="str">
        <f>"07/06/2019"</f>
        <v>07/06/2019</v>
      </c>
      <c r="B2416" s="3">
        <f>AUD!B2416</f>
        <v>0.69710000000000005</v>
      </c>
      <c r="C2416" s="3">
        <f>AUD!C2416</f>
        <v>0.6976</v>
      </c>
      <c r="D2416" s="3">
        <f>1/CAD!B2416</f>
        <v>0.74889537931550965</v>
      </c>
      <c r="E2416" s="3">
        <f>1/CAD!C2416</f>
        <v>0.74945664393314848</v>
      </c>
      <c r="F2416" s="3">
        <f>EUR!B2416/1</f>
        <v>1.1266</v>
      </c>
      <c r="G2416" s="3">
        <f>EUR!C2416/1</f>
        <v>1.1294</v>
      </c>
      <c r="H2416" s="3">
        <f>GBP!B2416/1</f>
        <v>1.2708999999999999</v>
      </c>
      <c r="I2416" s="3">
        <f>GBP!C2416/1</f>
        <v>1.2727999999999999</v>
      </c>
      <c r="J2416" s="4">
        <f>1/INR!B2416</f>
        <v>1.4393666786613891E-2</v>
      </c>
      <c r="K2416" s="4">
        <f>1/INR!C2416</f>
        <v>1.4344115326687225E-2</v>
      </c>
      <c r="L2416" s="4">
        <f>1/JPY!B2416</f>
        <v>9.2182890855457226E-3</v>
      </c>
      <c r="M2416" s="4">
        <f>1/JPY!C2416</f>
        <v>9.240658156636548E-3</v>
      </c>
      <c r="N2416" s="5">
        <f>1/KRW!B2416</f>
        <v>8.4638171815488788E-4</v>
      </c>
      <c r="O2416" s="5">
        <f>1/KRW!C2416</f>
        <v>8.4638709090408947E-4</v>
      </c>
      <c r="P2416" s="3">
        <f>1/NOK!B2416</f>
        <v>0.11499540018399264</v>
      </c>
      <c r="Q2416" s="3">
        <f>1/NOK!C2416</f>
        <v>0.11511453896627145</v>
      </c>
      <c r="R2416" s="3">
        <f>NZD!B2416/1</f>
        <v>0.66249999999999998</v>
      </c>
      <c r="S2416" s="3">
        <f>NZD!C2416/1</f>
        <v>0.66290000000000004</v>
      </c>
      <c r="T2416" s="4">
        <f>1/PHP!B2416</f>
        <v>1.921229586935639E-2</v>
      </c>
      <c r="U2416" s="4">
        <f>1/PHP!C2416</f>
        <v>1.9171779141104295E-2</v>
      </c>
      <c r="V2416" s="4">
        <f>1/TWD!B2416</f>
        <v>3.1842063365706094E-2</v>
      </c>
      <c r="W2416" s="4">
        <f>1/TWD!C2416</f>
        <v>3.184257033227722E-2</v>
      </c>
      <c r="X2416" s="4">
        <f>1/TWD!B2416</f>
        <v>3.1842063365706094E-2</v>
      </c>
      <c r="Y2416" s="4">
        <f>1/TWD!C2416</f>
        <v>3.184257033227722E-2</v>
      </c>
      <c r="Z2416" s="4">
        <f>1/ZAR!B2416</f>
        <v>6.6402826104279E-2</v>
      </c>
      <c r="AA2416" s="4">
        <f>1/ZAR!C2416</f>
        <v>6.6148503390110802E-2</v>
      </c>
    </row>
    <row r="2417" spans="1:27" x14ac:dyDescent="0.25">
      <c r="A2417" t="str">
        <f>"10/06/2019"</f>
        <v>10/06/2019</v>
      </c>
      <c r="B2417" s="3">
        <f>AUD!B2417</f>
        <v>0.69610000000000005</v>
      </c>
      <c r="C2417" s="3">
        <f>AUD!C2417</f>
        <v>0.6966</v>
      </c>
      <c r="D2417" s="3">
        <f>1/CAD!B2417</f>
        <v>0.75329566854990593</v>
      </c>
      <c r="E2417" s="3">
        <f>1/CAD!C2417</f>
        <v>0.7538635506973238</v>
      </c>
      <c r="F2417" s="3">
        <f>EUR!B2417/1</f>
        <v>1.1303000000000001</v>
      </c>
      <c r="G2417" s="3">
        <f>EUR!C2417/1</f>
        <v>1.1332</v>
      </c>
      <c r="H2417" s="3">
        <f>GBP!B2417/1</f>
        <v>1.2672000000000001</v>
      </c>
      <c r="I2417" s="3">
        <f>GBP!C2417/1</f>
        <v>1.2690999999999999</v>
      </c>
      <c r="J2417" s="4">
        <f>1/INR!B2417</f>
        <v>1.4355440712029859E-2</v>
      </c>
      <c r="K2417" s="4">
        <f>1/INR!C2417</f>
        <v>1.4305639998569436E-2</v>
      </c>
      <c r="L2417" s="4">
        <f>1/JPY!B2417</f>
        <v>9.2038656235618951E-3</v>
      </c>
      <c r="M2417" s="4">
        <f>1/JPY!C2417</f>
        <v>9.2262668125646981E-3</v>
      </c>
      <c r="N2417" s="5">
        <f>1/KRW!B2417</f>
        <v>8.4366826963637898E-4</v>
      </c>
      <c r="O2417" s="5">
        <f>1/KRW!C2417</f>
        <v>8.4367360799127644E-4</v>
      </c>
      <c r="P2417" s="3">
        <f>1/NOK!B2417</f>
        <v>0.1155001155001155</v>
      </c>
      <c r="Q2417" s="3">
        <f>1/NOK!C2417</f>
        <v>0.11562030292519368</v>
      </c>
      <c r="R2417" s="3">
        <f>NZD!B2417/1</f>
        <v>0.66169999999999995</v>
      </c>
      <c r="S2417" s="3">
        <f>NZD!C2417/1</f>
        <v>0.66210000000000002</v>
      </c>
      <c r="T2417" s="4">
        <f>1/PHP!B2417</f>
        <v>1.9186492709132773E-2</v>
      </c>
      <c r="U2417" s="4">
        <f>1/PHP!C2417</f>
        <v>1.9149751053236307E-2</v>
      </c>
      <c r="V2417" s="4">
        <f>1/TWD!B2417</f>
        <v>3.1808639226413894E-2</v>
      </c>
      <c r="W2417" s="4">
        <f>1/TWD!C2417</f>
        <v>3.1809145129224649E-2</v>
      </c>
      <c r="X2417" s="4">
        <f>1/TWD!B2417</f>
        <v>3.1808639226413894E-2</v>
      </c>
      <c r="Y2417" s="4">
        <f>1/TWD!C2417</f>
        <v>3.1809145129224649E-2</v>
      </c>
      <c r="Z2417" s="4">
        <f>1/ZAR!B2417</f>
        <v>6.7149696819118865E-2</v>
      </c>
      <c r="AA2417" s="4">
        <f>1/ZAR!C2417</f>
        <v>6.6893659150049162E-2</v>
      </c>
    </row>
    <row r="2418" spans="1:27" x14ac:dyDescent="0.25">
      <c r="A2418" t="str">
        <f>"11/06/2019"</f>
        <v>11/06/2019</v>
      </c>
      <c r="B2418" s="3">
        <f>AUD!B2418</f>
        <v>0.6956</v>
      </c>
      <c r="C2418" s="3">
        <f>AUD!C2418</f>
        <v>0.69620000000000004</v>
      </c>
      <c r="D2418" s="3">
        <f>1/CAD!B2418</f>
        <v>0.7542046911531789</v>
      </c>
      <c r="E2418" s="3">
        <f>1/CAD!C2418</f>
        <v>0.75477394520341157</v>
      </c>
      <c r="F2418" s="3">
        <f>EUR!B2418/1</f>
        <v>1.1312</v>
      </c>
      <c r="G2418" s="3">
        <f>EUR!C2418/1</f>
        <v>1.1342000000000001</v>
      </c>
      <c r="H2418" s="3">
        <f>GBP!B2418/1</f>
        <v>1.2699</v>
      </c>
      <c r="I2418" s="3">
        <f>GBP!C2418/1</f>
        <v>1.2719</v>
      </c>
      <c r="J2418" s="4">
        <f>1/INR!B2418</f>
        <v>1.439625697318697E-2</v>
      </c>
      <c r="K2418" s="4">
        <f>1/INR!C2418</f>
        <v>1.4342058085335247E-2</v>
      </c>
      <c r="L2418" s="4">
        <f>1/JPY!B2418</f>
        <v>9.19793966151582E-3</v>
      </c>
      <c r="M2418" s="4">
        <f>1/JPY!C2418</f>
        <v>9.2224548330274558E-3</v>
      </c>
      <c r="N2418" s="5">
        <f>1/KRW!B2418</f>
        <v>8.468834688346884E-4</v>
      </c>
      <c r="O2418" s="5">
        <f>1/KRW!C2418</f>
        <v>8.4688884795592787E-4</v>
      </c>
      <c r="P2418" s="3">
        <f>1/NOK!B2418</f>
        <v>0.1157193112386595</v>
      </c>
      <c r="Q2418" s="3">
        <f>1/NOK!C2418</f>
        <v>0.11584532332429741</v>
      </c>
      <c r="R2418" s="3">
        <f>NZD!B2418/1</f>
        <v>0.6583</v>
      </c>
      <c r="S2418" s="3">
        <f>NZD!C2418/1</f>
        <v>0.65869999999999995</v>
      </c>
      <c r="T2418" s="4">
        <f>1/PHP!B2418</f>
        <v>1.9278966647387701E-2</v>
      </c>
      <c r="U2418" s="4">
        <f>1/PHP!C2418</f>
        <v>1.9240019240019241E-2</v>
      </c>
      <c r="V2418" s="4">
        <f>1/TWD!B2418</f>
        <v>3.1811674884682679E-2</v>
      </c>
      <c r="W2418" s="4">
        <f>1/TWD!C2418</f>
        <v>3.1812180884060508E-2</v>
      </c>
      <c r="X2418" s="4">
        <f>1/TWD!B2418</f>
        <v>3.1811674884682679E-2</v>
      </c>
      <c r="Y2418" s="4">
        <f>1/TWD!C2418</f>
        <v>3.1812180884060508E-2</v>
      </c>
      <c r="Z2418" s="4">
        <f>1/ZAR!B2418</f>
        <v>6.7591315867737312E-2</v>
      </c>
      <c r="AA2418" s="4">
        <f>1/ZAR!C2418</f>
        <v>6.7316495233992135E-2</v>
      </c>
    </row>
    <row r="2419" spans="1:27" x14ac:dyDescent="0.25">
      <c r="A2419" t="str">
        <f>"12/06/2019"</f>
        <v>12/06/2019</v>
      </c>
      <c r="B2419" s="3">
        <f>AUD!B2419</f>
        <v>0.69499999999999995</v>
      </c>
      <c r="C2419" s="3">
        <f>AUD!C2419</f>
        <v>0.6956</v>
      </c>
      <c r="D2419" s="3">
        <f>1/CAD!B2419</f>
        <v>0.75221904618624946</v>
      </c>
      <c r="E2419" s="3">
        <f>1/CAD!C2419</f>
        <v>0.75278530563083412</v>
      </c>
      <c r="F2419" s="3">
        <f>EUR!B2419/1</f>
        <v>1.1323000000000001</v>
      </c>
      <c r="G2419" s="3">
        <f>EUR!C2419/1</f>
        <v>1.1352</v>
      </c>
      <c r="H2419" s="3">
        <f>GBP!B2419/1</f>
        <v>1.2733000000000001</v>
      </c>
      <c r="I2419" s="3">
        <f>GBP!C2419/1</f>
        <v>1.2751999999999999</v>
      </c>
      <c r="J2419" s="4">
        <f>1/INR!B2419</f>
        <v>1.4418571119602047E-2</v>
      </c>
      <c r="K2419" s="4">
        <f>1/INR!C2419</f>
        <v>1.4366268002729591E-2</v>
      </c>
      <c r="L2419" s="4">
        <f>1/JPY!B2419</f>
        <v>9.2276460274983846E-3</v>
      </c>
      <c r="M2419" s="4">
        <f>1/JPY!C2419</f>
        <v>9.2514383673801687E-3</v>
      </c>
      <c r="N2419" s="5">
        <f>1/KRW!B2419</f>
        <v>8.4537999830923991E-4</v>
      </c>
      <c r="O2419" s="5">
        <f>1/KRW!C2419</f>
        <v>8.4538535834828609E-4</v>
      </c>
      <c r="P2419" s="3">
        <f>1/NOK!B2419</f>
        <v>0.11573806161894401</v>
      </c>
      <c r="Q2419" s="3">
        <f>1/NOK!C2419</f>
        <v>0.11586008735850586</v>
      </c>
      <c r="R2419" s="3">
        <f>NZD!B2419/1</f>
        <v>0.65769999999999995</v>
      </c>
      <c r="S2419" s="3">
        <f>NZD!C2419/1</f>
        <v>0.65810000000000002</v>
      </c>
      <c r="T2419" s="4">
        <f>1/PHP!B2419</f>
        <v>1.9278966647387701E-2</v>
      </c>
      <c r="U2419" s="4">
        <f>1/PHP!C2419</f>
        <v>1.9240019240019241E-2</v>
      </c>
      <c r="V2419" s="4">
        <f>1/TWD!B2419</f>
        <v>3.1816735602927138E-2</v>
      </c>
      <c r="W2419" s="4">
        <f>1/TWD!C2419</f>
        <v>3.1817241763311535E-2</v>
      </c>
      <c r="X2419" s="4">
        <f>1/TWD!B2419</f>
        <v>3.1816735602927138E-2</v>
      </c>
      <c r="Y2419" s="4">
        <f>1/TWD!C2419</f>
        <v>3.1817241763311535E-2</v>
      </c>
      <c r="Z2419" s="4">
        <f>1/ZAR!B2419</f>
        <v>6.7684185590036888E-2</v>
      </c>
      <c r="AA2419" s="4">
        <f>1/ZAR!C2419</f>
        <v>6.7421336156039943E-2</v>
      </c>
    </row>
    <row r="2420" spans="1:27" x14ac:dyDescent="0.25">
      <c r="A2420" t="str">
        <f>"13/06/2019"</f>
        <v>13/06/2019</v>
      </c>
      <c r="B2420" s="3">
        <f>AUD!B2420</f>
        <v>0.6905</v>
      </c>
      <c r="C2420" s="3">
        <f>AUD!C2420</f>
        <v>0.69110000000000005</v>
      </c>
      <c r="D2420" s="3">
        <f>1/CAD!B2420</f>
        <v>0.74973759184285493</v>
      </c>
      <c r="E2420" s="3">
        <f>1/CAD!C2420</f>
        <v>0.75030012004801927</v>
      </c>
      <c r="F2420" s="3">
        <f>EUR!B2420/1</f>
        <v>1.1295999999999999</v>
      </c>
      <c r="G2420" s="3">
        <f>EUR!C2420/1</f>
        <v>1.1324000000000001</v>
      </c>
      <c r="H2420" s="3">
        <f>GBP!B2420/1</f>
        <v>1.2685</v>
      </c>
      <c r="I2420" s="3">
        <f>GBP!C2420/1</f>
        <v>1.2704</v>
      </c>
      <c r="J2420" s="4">
        <f>1/INR!B2420</f>
        <v>1.441597289797095E-2</v>
      </c>
      <c r="K2420" s="4">
        <f>1/INR!C2420</f>
        <v>1.4365236128568864E-2</v>
      </c>
      <c r="L2420" s="4">
        <f>1/JPY!B2420</f>
        <v>9.2310532631773284E-3</v>
      </c>
      <c r="M2420" s="4">
        <f>1/JPY!C2420</f>
        <v>9.2534330236517751E-3</v>
      </c>
      <c r="N2420" s="5">
        <f>1/KRW!B2420</f>
        <v>8.4416680736113458E-4</v>
      </c>
      <c r="O2420" s="5">
        <f>1/KRW!C2420</f>
        <v>8.441728646541867E-4</v>
      </c>
      <c r="P2420" s="3">
        <f>1/NOK!B2420</f>
        <v>0.11537884644229328</v>
      </c>
      <c r="Q2420" s="3">
        <f>1/NOK!C2420</f>
        <v>0.11549211188875801</v>
      </c>
      <c r="R2420" s="3">
        <f>NZD!B2420/1</f>
        <v>0.65680000000000005</v>
      </c>
      <c r="S2420" s="3">
        <f>NZD!C2420/1</f>
        <v>0.65720000000000001</v>
      </c>
      <c r="T2420" s="4">
        <f>1/PHP!B2420</f>
        <v>1.924557351809084E-2</v>
      </c>
      <c r="U2420" s="4">
        <f>1/PHP!C2420</f>
        <v>1.921229586935639E-2</v>
      </c>
      <c r="V2420" s="4">
        <f>1/TWD!B2420</f>
        <v>3.1743008602355328E-2</v>
      </c>
      <c r="W2420" s="4">
        <f>1/TWD!C2420</f>
        <v>3.1743512419649234E-2</v>
      </c>
      <c r="X2420" s="4">
        <f>1/TWD!B2420</f>
        <v>3.1743008602355328E-2</v>
      </c>
      <c r="Y2420" s="4">
        <f>1/TWD!C2420</f>
        <v>3.1743512419649234E-2</v>
      </c>
      <c r="Z2420" s="4">
        <f>1/ZAR!B2420</f>
        <v>6.7015594528846853E-2</v>
      </c>
      <c r="AA2420" s="4">
        <f>1/ZAR!C2420</f>
        <v>6.6763250836209709E-2</v>
      </c>
    </row>
    <row r="2421" spans="1:27" x14ac:dyDescent="0.25">
      <c r="A2421" t="str">
        <f>"14/06/2019"</f>
        <v>14/06/2019</v>
      </c>
      <c r="B2421" s="3">
        <f>AUD!B2421</f>
        <v>0.69010000000000005</v>
      </c>
      <c r="C2421" s="3">
        <f>AUD!C2421</f>
        <v>0.69069999999999998</v>
      </c>
      <c r="D2421" s="3">
        <f>1/CAD!B2421</f>
        <v>0.74956899782624986</v>
      </c>
      <c r="E2421" s="3">
        <f>1/CAD!C2421</f>
        <v>0.75007500750075007</v>
      </c>
      <c r="F2421" s="3">
        <f>EUR!B2421/1</f>
        <v>1.1261000000000001</v>
      </c>
      <c r="G2421" s="3">
        <f>EUR!C2421/1</f>
        <v>1.1289</v>
      </c>
      <c r="H2421" s="3">
        <f>GBP!B2421/1</f>
        <v>1.2644</v>
      </c>
      <c r="I2421" s="3">
        <f>GBP!C2421/1</f>
        <v>1.2663</v>
      </c>
      <c r="J2421" s="4">
        <f>1/INR!B2421</f>
        <v>1.4325108333631773E-2</v>
      </c>
      <c r="K2421" s="4">
        <f>1/INR!C2421</f>
        <v>1.4271442842871416E-2</v>
      </c>
      <c r="L2421" s="4">
        <f>1/JPY!B2421</f>
        <v>9.2395823708768358E-3</v>
      </c>
      <c r="M2421" s="4">
        <f>1/JPY!C2421</f>
        <v>9.2623724455534583E-3</v>
      </c>
      <c r="N2421" s="5">
        <f>1/KRW!B2421</f>
        <v>8.4366826963637898E-4</v>
      </c>
      <c r="O2421" s="5">
        <f>1/KRW!C2421</f>
        <v>8.4367396388400503E-4</v>
      </c>
      <c r="P2421" s="3">
        <f>1/NOK!B2421</f>
        <v>0.11510261398036348</v>
      </c>
      <c r="Q2421" s="3">
        <f>1/NOK!C2421</f>
        <v>0.11521401002361886</v>
      </c>
      <c r="R2421" s="3">
        <f>NZD!B2421/1</f>
        <v>0.65329999999999999</v>
      </c>
      <c r="S2421" s="3">
        <f>NZD!C2421/1</f>
        <v>0.65369999999999995</v>
      </c>
      <c r="T2421" s="4">
        <f>1/PHP!B2421</f>
        <v>1.9219680953296174E-2</v>
      </c>
      <c r="U2421" s="4">
        <f>1/PHP!C2421</f>
        <v>1.9184652278177457E-2</v>
      </c>
      <c r="V2421" s="4">
        <f>1/TWD!B2421</f>
        <v>3.1713814537612586E-2</v>
      </c>
      <c r="W2421" s="4">
        <f>1/TWD!C2421</f>
        <v>3.1714317428603145E-2</v>
      </c>
      <c r="X2421" s="4">
        <f>1/TWD!B2421</f>
        <v>3.1713814537612586E-2</v>
      </c>
      <c r="Y2421" s="4">
        <f>1/TWD!C2421</f>
        <v>3.1714317428603145E-2</v>
      </c>
      <c r="Z2421" s="4">
        <f>1/ZAR!B2421</f>
        <v>6.7595884762535655E-2</v>
      </c>
      <c r="AA2421" s="4">
        <f>1/ZAR!C2421</f>
        <v>6.733961387465405E-2</v>
      </c>
    </row>
    <row r="2422" spans="1:27" x14ac:dyDescent="0.25">
      <c r="A2422" t="str">
        <f>"17/06/2019"</f>
        <v>17/06/2019</v>
      </c>
      <c r="B2422" s="3">
        <f>AUD!B2422</f>
        <v>0.68689999999999996</v>
      </c>
      <c r="C2422" s="3">
        <f>AUD!C2422</f>
        <v>0.6875</v>
      </c>
      <c r="D2422" s="3">
        <f>1/CAD!B2422</f>
        <v>0.74565655059279701</v>
      </c>
      <c r="E2422" s="3">
        <f>1/CAD!C2422</f>
        <v>0.74621296918140434</v>
      </c>
      <c r="F2422" s="3">
        <f>EUR!B2422/1</f>
        <v>1.1225000000000001</v>
      </c>
      <c r="G2422" s="3">
        <f>EUR!C2422/1</f>
        <v>1.1253</v>
      </c>
      <c r="H2422" s="3">
        <f>GBP!B2422/1</f>
        <v>1.2586999999999999</v>
      </c>
      <c r="I2422" s="3">
        <f>GBP!C2422/1</f>
        <v>1.2605999999999999</v>
      </c>
      <c r="J2422" s="4">
        <f>1/INR!B2422</f>
        <v>1.4303593777936708E-2</v>
      </c>
      <c r="K2422" s="4">
        <f>1/INR!C2422</f>
        <v>1.4244506962002778E-2</v>
      </c>
      <c r="L2422" s="4">
        <f>1/JPY!B2422</f>
        <v>9.1996320147194107E-3</v>
      </c>
      <c r="M2422" s="4">
        <f>1/JPY!C2422</f>
        <v>9.2223357594224606E-3</v>
      </c>
      <c r="N2422" s="5">
        <f>1/KRW!B2422</f>
        <v>8.4281500210703754E-4</v>
      </c>
      <c r="O2422" s="5">
        <f>1/KRW!C2422</f>
        <v>8.4282047173841763E-4</v>
      </c>
      <c r="P2422" s="3">
        <f>1/NOK!B2422</f>
        <v>0.11463814469626622</v>
      </c>
      <c r="Q2422" s="3">
        <f>1/NOK!C2422</f>
        <v>0.11475391023949141</v>
      </c>
      <c r="R2422" s="3">
        <f>NZD!B2422/1</f>
        <v>0.65090000000000003</v>
      </c>
      <c r="S2422" s="3">
        <f>NZD!C2422/1</f>
        <v>0.65129999999999999</v>
      </c>
      <c r="T2422" s="4">
        <f>1/PHP!B2422</f>
        <v>1.9171779141104295E-2</v>
      </c>
      <c r="U2422" s="4">
        <f>1/PHP!C2422</f>
        <v>1.9138755980861243E-2</v>
      </c>
      <c r="V2422" s="4">
        <f>1/TWD!B2422</f>
        <v>3.1725888324873094E-2</v>
      </c>
      <c r="W2422" s="4">
        <f>1/TWD!C2422</f>
        <v>3.1726391598851503E-2</v>
      </c>
      <c r="X2422" s="4">
        <f>1/TWD!B2422</f>
        <v>3.1725888324873094E-2</v>
      </c>
      <c r="Y2422" s="4">
        <f>1/TWD!C2422</f>
        <v>3.1726391598851503E-2</v>
      </c>
      <c r="Z2422" s="4">
        <f>1/ZAR!B2422</f>
        <v>6.7499156260546742E-2</v>
      </c>
      <c r="AA2422" s="4">
        <f>1/ZAR!C2422</f>
        <v>6.7242260415826136E-2</v>
      </c>
    </row>
    <row r="2423" spans="1:27" x14ac:dyDescent="0.25">
      <c r="A2423" t="str">
        <f>"18/06/2019"</f>
        <v>18/06/2019</v>
      </c>
      <c r="B2423" s="3">
        <f>AUD!B2423</f>
        <v>0.68430000000000002</v>
      </c>
      <c r="C2423" s="3">
        <f>AUD!C2423</f>
        <v>0.68489999999999995</v>
      </c>
      <c r="D2423" s="3">
        <f>1/CAD!B2423</f>
        <v>0.74493444576877232</v>
      </c>
      <c r="E2423" s="3">
        <f>1/CAD!C2423</f>
        <v>0.74548978678992106</v>
      </c>
      <c r="F2423" s="3">
        <f>EUR!B2423/1</f>
        <v>1.1191</v>
      </c>
      <c r="G2423" s="3">
        <f>EUR!C2423/1</f>
        <v>1.1221000000000001</v>
      </c>
      <c r="H2423" s="3">
        <f>GBP!B2423/1</f>
        <v>1.2516</v>
      </c>
      <c r="I2423" s="3">
        <f>GBP!C2423/1</f>
        <v>1.2536</v>
      </c>
      <c r="J2423" s="4">
        <f>1/INR!B2423</f>
        <v>1.4348746278293936E-2</v>
      </c>
      <c r="K2423" s="4">
        <f>1/INR!C2423</f>
        <v>1.4284693950432113E-2</v>
      </c>
      <c r="L2423" s="4">
        <f>1/JPY!B2423</f>
        <v>9.2353158478019944E-3</v>
      </c>
      <c r="M2423" s="4">
        <f>1/JPY!C2423</f>
        <v>9.2593278468729393E-3</v>
      </c>
      <c r="N2423" s="5">
        <f>1/KRW!B2423</f>
        <v>8.432414200185513E-4</v>
      </c>
      <c r="O2423" s="5">
        <f>1/KRW!C2423</f>
        <v>8.4324710850566494E-4</v>
      </c>
      <c r="P2423" s="3">
        <f>1/NOK!B2423</f>
        <v>0.11437983254792514</v>
      </c>
      <c r="Q2423" s="3">
        <f>1/NOK!C2423</f>
        <v>0.11450294272562805</v>
      </c>
      <c r="R2423" s="3">
        <f>NZD!B2423/1</f>
        <v>0.65069999999999995</v>
      </c>
      <c r="S2423" s="3">
        <f>NZD!C2423/1</f>
        <v>0.65110000000000001</v>
      </c>
      <c r="T2423" s="4">
        <f>1/PHP!B2423</f>
        <v>1.9227071716977504E-2</v>
      </c>
      <c r="U2423" s="4">
        <f>1/PHP!C2423</f>
        <v>1.9193857965451054E-2</v>
      </c>
      <c r="V2423" s="4">
        <f>1/TWD!B2423</f>
        <v>3.1717838112154277E-2</v>
      </c>
      <c r="W2423" s="4">
        <f>1/TWD!C2423</f>
        <v>3.1718341130758859E-2</v>
      </c>
      <c r="X2423" s="4">
        <f>1/TWD!B2423</f>
        <v>3.1717838112154277E-2</v>
      </c>
      <c r="Y2423" s="4">
        <f>1/TWD!C2423</f>
        <v>3.1718341130758859E-2</v>
      </c>
      <c r="Z2423" s="4">
        <f>1/ZAR!B2423</f>
        <v>6.8273366559705062E-2</v>
      </c>
      <c r="AA2423" s="4">
        <f>1/ZAR!C2423</f>
        <v>6.7993907745865972E-2</v>
      </c>
    </row>
    <row r="2424" spans="1:27" x14ac:dyDescent="0.25">
      <c r="A2424" t="str">
        <f>"19/06/2019"</f>
        <v>19/06/2019</v>
      </c>
      <c r="B2424" s="3">
        <f>AUD!B2424</f>
        <v>0.68730000000000002</v>
      </c>
      <c r="C2424" s="3">
        <f>AUD!C2424</f>
        <v>0.68789999999999996</v>
      </c>
      <c r="D2424" s="3">
        <f>1/CAD!B2424</f>
        <v>0.74760765550239239</v>
      </c>
      <c r="E2424" s="3">
        <f>1/CAD!C2424</f>
        <v>0.74816699087236271</v>
      </c>
      <c r="F2424" s="3">
        <f>EUR!B2424/1</f>
        <v>1.1206</v>
      </c>
      <c r="G2424" s="3">
        <f>EUR!C2424/1</f>
        <v>1.1234999999999999</v>
      </c>
      <c r="H2424" s="3">
        <f>GBP!B2424/1</f>
        <v>1.258</v>
      </c>
      <c r="I2424" s="3">
        <f>GBP!C2424/1</f>
        <v>1.2599</v>
      </c>
      <c r="J2424" s="4">
        <f>1/INR!B2424</f>
        <v>1.4349261013057828E-2</v>
      </c>
      <c r="K2424" s="4">
        <f>1/INR!C2424</f>
        <v>1.4284693950432113E-2</v>
      </c>
      <c r="L2424" s="4">
        <f>1/JPY!B2424</f>
        <v>9.2242413061525697E-3</v>
      </c>
      <c r="M2424" s="4">
        <f>1/JPY!C2424</f>
        <v>9.2475799083379887E-3</v>
      </c>
      <c r="N2424" s="5">
        <f>1/KRW!B2424</f>
        <v>8.5012326787384175E-4</v>
      </c>
      <c r="O2424" s="5">
        <f>1/KRW!C2424</f>
        <v>8.5012919413363249E-4</v>
      </c>
      <c r="P2424" s="3">
        <f>1/NOK!B2424</f>
        <v>0.11452261248983613</v>
      </c>
      <c r="Q2424" s="3">
        <f>1/NOK!C2424</f>
        <v>0.11464077313737404</v>
      </c>
      <c r="R2424" s="3">
        <f>NZD!B2424/1</f>
        <v>0.65259999999999996</v>
      </c>
      <c r="S2424" s="3">
        <f>NZD!C2424/1</f>
        <v>0.65300000000000002</v>
      </c>
      <c r="T2424" s="4">
        <f>1/PHP!B2424</f>
        <v>1.928268414963363E-2</v>
      </c>
      <c r="U2424" s="4">
        <f>1/PHP!C2424</f>
        <v>1.924557351809084E-2</v>
      </c>
      <c r="V2424" s="4">
        <f>1/TWD!B2424</f>
        <v>3.1897926634768738E-2</v>
      </c>
      <c r="W2424" s="4">
        <f>1/TWD!C2424</f>
        <v>3.1898435381744528E-2</v>
      </c>
      <c r="X2424" s="4">
        <f>1/TWD!B2424</f>
        <v>3.1897926634768738E-2</v>
      </c>
      <c r="Y2424" s="4">
        <f>1/TWD!C2424</f>
        <v>3.1898435381744528E-2</v>
      </c>
      <c r="Z2424" s="4">
        <f>1/ZAR!B2424</f>
        <v>6.8816967511509633E-2</v>
      </c>
      <c r="AA2424" s="4">
        <f>1/ZAR!C2424</f>
        <v>6.8544794022893957E-2</v>
      </c>
    </row>
    <row r="2425" spans="1:27" x14ac:dyDescent="0.25">
      <c r="A2425" t="str">
        <f>"20/06/2019"</f>
        <v>20/06/2019</v>
      </c>
      <c r="B2425" s="3">
        <f>AUD!B2425</f>
        <v>0.69259999999999999</v>
      </c>
      <c r="C2425" s="3">
        <f>AUD!C2425</f>
        <v>0.69330000000000003</v>
      </c>
      <c r="D2425" s="3">
        <f>1/CAD!B2425</f>
        <v>0.75855268148372901</v>
      </c>
      <c r="E2425" s="3">
        <f>1/CAD!C2425</f>
        <v>0.75912852045851364</v>
      </c>
      <c r="F2425" s="3">
        <f>EUR!B2425/1</f>
        <v>1.1312</v>
      </c>
      <c r="G2425" s="3">
        <f>EUR!C2425/1</f>
        <v>1.1339999999999999</v>
      </c>
      <c r="H2425" s="3">
        <f>GBP!B2425/1</f>
        <v>1.2690999999999999</v>
      </c>
      <c r="I2425" s="3">
        <f>GBP!C2425/1</f>
        <v>1.2709999999999999</v>
      </c>
      <c r="J2425" s="4">
        <f>1/INR!B2425</f>
        <v>1.4400403211289917E-2</v>
      </c>
      <c r="K2425" s="4">
        <f>1/INR!C2425</f>
        <v>1.4340515541533717E-2</v>
      </c>
      <c r="L2425" s="4">
        <f>1/JPY!B2425</f>
        <v>9.2816038611472067E-3</v>
      </c>
      <c r="M2425" s="4">
        <f>1/JPY!C2425</f>
        <v>9.3045586754774631E-3</v>
      </c>
      <c r="N2425" s="5">
        <f>1/KRW!B2425</f>
        <v>8.6058519793459555E-4</v>
      </c>
      <c r="O2425" s="5">
        <f>1/KRW!C2425</f>
        <v>8.6059075252206869E-4</v>
      </c>
      <c r="P2425" s="3">
        <f>1/NOK!B2425</f>
        <v>0.11692761011657682</v>
      </c>
      <c r="Q2425" s="3">
        <f>1/NOK!C2425</f>
        <v>0.11704256838212057</v>
      </c>
      <c r="R2425" s="3">
        <f>NZD!B2425/1</f>
        <v>0.65910000000000002</v>
      </c>
      <c r="S2425" s="3">
        <f>NZD!C2425/1</f>
        <v>0.65949999999999998</v>
      </c>
      <c r="T2425" s="4">
        <f>1/PHP!B2425</f>
        <v>1.9357336430507164E-2</v>
      </c>
      <c r="U2425" s="4">
        <f>1/PHP!C2425</f>
        <v>1.9325538699391246E-2</v>
      </c>
      <c r="V2425" s="4">
        <f>1/TWD!B2425</f>
        <v>3.2076984763432237E-2</v>
      </c>
      <c r="W2425" s="4">
        <f>1/TWD!C2425</f>
        <v>3.2077499238159397E-2</v>
      </c>
      <c r="X2425" s="4">
        <f>1/TWD!B2425</f>
        <v>3.2076984763432237E-2</v>
      </c>
      <c r="Y2425" s="4">
        <f>1/TWD!C2425</f>
        <v>3.2077499238159397E-2</v>
      </c>
      <c r="Z2425" s="4">
        <f>1/ZAR!B2425</f>
        <v>7.0337832610025949E-2</v>
      </c>
      <c r="AA2425" s="4">
        <f>1/ZAR!C2425</f>
        <v>7.0067755519587438E-2</v>
      </c>
    </row>
    <row r="2426" spans="1:27" x14ac:dyDescent="0.25">
      <c r="A2426" t="str">
        <f>"21/06/2019"</f>
        <v>21/06/2019</v>
      </c>
      <c r="B2426" s="3">
        <f>AUD!B2426</f>
        <v>0.69040000000000001</v>
      </c>
      <c r="C2426" s="3">
        <f>AUD!C2426</f>
        <v>0.69110000000000005</v>
      </c>
      <c r="D2426" s="3">
        <f>1/CAD!B2426</f>
        <v>0.75815011372251706</v>
      </c>
      <c r="E2426" s="3">
        <f>1/CAD!C2426</f>
        <v>0.75872534142640358</v>
      </c>
      <c r="F2426" s="3">
        <f>EUR!B2426/1</f>
        <v>1.131</v>
      </c>
      <c r="G2426" s="3">
        <f>EUR!C2426/1</f>
        <v>1.1337999999999999</v>
      </c>
      <c r="H2426" s="3">
        <f>GBP!B2426/1</f>
        <v>1.2652000000000001</v>
      </c>
      <c r="I2426" s="3">
        <f>GBP!C2426/1</f>
        <v>1.2670999999999999</v>
      </c>
      <c r="J2426" s="4">
        <f>1/INR!B2426</f>
        <v>1.4368848336805806E-2</v>
      </c>
      <c r="K2426" s="4">
        <f>1/INR!C2426</f>
        <v>1.4308198597796537E-2</v>
      </c>
      <c r="L2426" s="4">
        <f>1/JPY!B2426</f>
        <v>9.3023255813953487E-3</v>
      </c>
      <c r="M2426" s="4">
        <f>1/JPY!C2426</f>
        <v>9.3249744262576366E-3</v>
      </c>
      <c r="N2426" s="5">
        <f>1/KRW!B2426</f>
        <v>8.5910652920962198E-4</v>
      </c>
      <c r="O2426" s="5">
        <f>1/KRW!C2426</f>
        <v>8.5911280279967676E-4</v>
      </c>
      <c r="P2426" s="3">
        <f>1/NOK!B2426</f>
        <v>0.11669564608544455</v>
      </c>
      <c r="Q2426" s="3">
        <f>1/NOK!C2426</f>
        <v>0.11681151294271563</v>
      </c>
      <c r="R2426" s="3">
        <f>NZD!B2426/1</f>
        <v>0.65559999999999996</v>
      </c>
      <c r="S2426" s="3">
        <f>NZD!C2426/1</f>
        <v>0.65600000000000003</v>
      </c>
      <c r="T2426" s="4">
        <f>1/PHP!B2426</f>
        <v>1.9392999127315041E-2</v>
      </c>
      <c r="U2426" s="4">
        <f>1/PHP!C2426</f>
        <v>1.9361084220716359E-2</v>
      </c>
      <c r="V2426" s="4">
        <f>1/TWD!B2426</f>
        <v>3.2101698179833715E-2</v>
      </c>
      <c r="W2426" s="4">
        <f>1/TWD!C2426</f>
        <v>3.2102213447617212E-2</v>
      </c>
      <c r="X2426" s="4">
        <f>1/TWD!B2426</f>
        <v>3.2101698179833715E-2</v>
      </c>
      <c r="Y2426" s="4">
        <f>1/TWD!C2426</f>
        <v>3.2102213447617212E-2</v>
      </c>
      <c r="Z2426" s="4">
        <f>1/ZAR!B2426</f>
        <v>6.9637398068258582E-2</v>
      </c>
      <c r="AA2426" s="4">
        <f>1/ZAR!C2426</f>
        <v>6.9374106808374844E-2</v>
      </c>
    </row>
    <row r="2427" spans="1:27" x14ac:dyDescent="0.25">
      <c r="A2427" t="str">
        <f>"24/06/2019"</f>
        <v>24/06/2019</v>
      </c>
      <c r="B2427" s="3">
        <f>AUD!B2427</f>
        <v>0.69540000000000002</v>
      </c>
      <c r="C2427" s="3">
        <f>AUD!C2427</f>
        <v>0.69610000000000005</v>
      </c>
      <c r="D2427" s="3">
        <f>1/CAD!B2427</f>
        <v>0.758782912208817</v>
      </c>
      <c r="E2427" s="3">
        <f>1/CAD!C2427</f>
        <v>0.75935910091882453</v>
      </c>
      <c r="F2427" s="3">
        <f>EUR!B2427/1</f>
        <v>1.1396999999999999</v>
      </c>
      <c r="G2427" s="3">
        <f>EUR!C2427/1</f>
        <v>1.1426000000000001</v>
      </c>
      <c r="H2427" s="3">
        <f>GBP!B2427/1</f>
        <v>1.2755000000000001</v>
      </c>
      <c r="I2427" s="3">
        <f>GBP!C2427/1</f>
        <v>1.2774000000000001</v>
      </c>
      <c r="J2427" s="4">
        <f>1/INR!B2427</f>
        <v>1.4418571119602047E-2</v>
      </c>
      <c r="K2427" s="4">
        <f>1/INR!C2427</f>
        <v>1.4352865190713696E-2</v>
      </c>
      <c r="L2427" s="4">
        <f>1/JPY!B2427</f>
        <v>9.3205331344952923E-3</v>
      </c>
      <c r="M2427" s="4">
        <f>1/JPY!C2427</f>
        <v>9.3429914950748424E-3</v>
      </c>
      <c r="N2427" s="5">
        <f>1/KRW!B2427</f>
        <v>8.6467790747946386E-4</v>
      </c>
      <c r="O2427" s="5">
        <f>1/KRW!C2427</f>
        <v>8.6468426270318451E-4</v>
      </c>
      <c r="P2427" s="3">
        <f>1/NOK!B2427</f>
        <v>0.11804981702278361</v>
      </c>
      <c r="Q2427" s="3">
        <f>1/NOK!C2427</f>
        <v>0.11816699359534895</v>
      </c>
      <c r="R2427" s="3">
        <f>NZD!B2427/1</f>
        <v>0.66110000000000002</v>
      </c>
      <c r="S2427" s="3">
        <f>NZD!C2427/1</f>
        <v>0.66149999999999998</v>
      </c>
      <c r="T2427" s="4">
        <f>1/PHP!B2427</f>
        <v>1.9451468585878234E-2</v>
      </c>
      <c r="U2427" s="4">
        <f>1/PHP!C2427</f>
        <v>1.9423132951345051E-2</v>
      </c>
      <c r="V2427" s="4">
        <f>1/TWD!B2427</f>
        <v>3.2141938801748524E-2</v>
      </c>
      <c r="W2427" s="4">
        <f>1/TWD!C2427</f>
        <v>3.2142455362165118E-2</v>
      </c>
      <c r="X2427" s="4">
        <f>1/TWD!B2427</f>
        <v>3.2141938801748524E-2</v>
      </c>
      <c r="Y2427" s="4">
        <f>1/TWD!C2427</f>
        <v>3.2142455362165118E-2</v>
      </c>
      <c r="Z2427" s="4">
        <f>1/ZAR!B2427</f>
        <v>6.9731603059822747E-2</v>
      </c>
      <c r="AA2427" s="4">
        <f>1/ZAR!C2427</f>
        <v>6.9467117739817855E-2</v>
      </c>
    </row>
    <row r="2428" spans="1:27" x14ac:dyDescent="0.25">
      <c r="A2428" t="str">
        <f>"25/06/2019"</f>
        <v>25/06/2019</v>
      </c>
      <c r="B2428" s="3">
        <f>AUD!B2428</f>
        <v>0.69710000000000005</v>
      </c>
      <c r="C2428" s="3">
        <f>AUD!C2428</f>
        <v>0.69779999999999998</v>
      </c>
      <c r="D2428" s="3">
        <f>1/CAD!B2428</f>
        <v>0.75895567698846378</v>
      </c>
      <c r="E2428" s="3">
        <f>1/CAD!C2428</f>
        <v>0.75953212820902327</v>
      </c>
      <c r="F2428" s="3">
        <f>EUR!B2428/1</f>
        <v>1.1384000000000001</v>
      </c>
      <c r="G2428" s="3">
        <f>EUR!C2428/1</f>
        <v>1.1414</v>
      </c>
      <c r="H2428" s="3">
        <f>GBP!B2428/1</f>
        <v>1.2743</v>
      </c>
      <c r="I2428" s="3">
        <f>GBP!C2428/1</f>
        <v>1.2764</v>
      </c>
      <c r="J2428" s="4">
        <f>1/INR!B2428</f>
        <v>1.4419090876320246E-2</v>
      </c>
      <c r="K2428" s="4">
        <f>1/INR!C2428</f>
        <v>1.4346173158310022E-2</v>
      </c>
      <c r="L2428" s="4">
        <f>1/JPY!B2428</f>
        <v>9.3440478415249481E-3</v>
      </c>
      <c r="M2428" s="4">
        <f>1/JPY!C2428</f>
        <v>9.3676902741829261E-3</v>
      </c>
      <c r="N2428" s="5">
        <f>1/KRW!B2428</f>
        <v>8.6475268073331021E-4</v>
      </c>
      <c r="O2428" s="5">
        <f>1/KRW!C2428</f>
        <v>8.6475828924867642E-4</v>
      </c>
      <c r="P2428" s="3">
        <f>1/NOK!B2428</f>
        <v>0.11758342544034993</v>
      </c>
      <c r="Q2428" s="3">
        <f>1/NOK!C2428</f>
        <v>0.11771214671641966</v>
      </c>
      <c r="R2428" s="3">
        <f>NZD!B2428/1</f>
        <v>0.66459999999999997</v>
      </c>
      <c r="S2428" s="3">
        <f>NZD!C2428/1</f>
        <v>0.66500000000000004</v>
      </c>
      <c r="T2428" s="4">
        <f>1/PHP!B2428</f>
        <v>1.9464720194647202E-2</v>
      </c>
      <c r="U2428" s="4">
        <f>1/PHP!C2428</f>
        <v>1.9438990727601423E-2</v>
      </c>
      <c r="V2428" s="4">
        <f>1/TWD!B2428</f>
        <v>3.2138839787883657E-2</v>
      </c>
      <c r="W2428" s="4">
        <f>1/TWD!C2428</f>
        <v>3.2139356248694337E-2</v>
      </c>
      <c r="X2428" s="4">
        <f>1/TWD!B2428</f>
        <v>3.2138839787883657E-2</v>
      </c>
      <c r="Y2428" s="4">
        <f>1/TWD!C2428</f>
        <v>3.2139356248694337E-2</v>
      </c>
      <c r="Z2428" s="4">
        <f>1/ZAR!B2428</f>
        <v>6.9955508296723284E-2</v>
      </c>
      <c r="AA2428" s="4">
        <f>1/ZAR!C2428</f>
        <v>6.9670389387806286E-2</v>
      </c>
    </row>
    <row r="2429" spans="1:27" x14ac:dyDescent="0.25">
      <c r="A2429" t="str">
        <f>"26/06/2019"</f>
        <v>26/06/2019</v>
      </c>
      <c r="B2429" s="3">
        <f>AUD!B2429</f>
        <v>0.69830000000000003</v>
      </c>
      <c r="C2429" s="3">
        <f>AUD!C2429</f>
        <v>0.69910000000000005</v>
      </c>
      <c r="D2429" s="3">
        <f>1/CAD!B2429</f>
        <v>0.76039844878716456</v>
      </c>
      <c r="E2429" s="3">
        <f>1/CAD!C2429</f>
        <v>0.76103500761035003</v>
      </c>
      <c r="F2429" s="3">
        <f>EUR!B2429/1</f>
        <v>1.1364000000000001</v>
      </c>
      <c r="G2429" s="3">
        <f>EUR!C2429/1</f>
        <v>1.1395999999999999</v>
      </c>
      <c r="H2429" s="3">
        <f>GBP!B2429/1</f>
        <v>1.2686999999999999</v>
      </c>
      <c r="I2429" s="3">
        <f>GBP!C2429/1</f>
        <v>1.2708999999999999</v>
      </c>
      <c r="J2429" s="4">
        <f>1/INR!B2429</f>
        <v>1.4459224985540775E-2</v>
      </c>
      <c r="K2429" s="4">
        <f>1/INR!C2429</f>
        <v>1.4378662065494806E-2</v>
      </c>
      <c r="L2429" s="4">
        <f>1/JPY!B2429</f>
        <v>9.2833271444485704E-3</v>
      </c>
      <c r="M2429" s="4">
        <f>1/JPY!C2429</f>
        <v>9.3079103275919041E-3</v>
      </c>
      <c r="N2429" s="5">
        <f>1/KRW!B2429</f>
        <v>8.6445366528354088E-4</v>
      </c>
      <c r="O2429" s="5">
        <f>1/KRW!C2429</f>
        <v>8.6445852263174021E-4</v>
      </c>
      <c r="P2429" s="3">
        <f>1/NOK!B2429</f>
        <v>0.11750052875237939</v>
      </c>
      <c r="Q2429" s="3">
        <f>1/NOK!C2429</f>
        <v>0.11763460339493466</v>
      </c>
      <c r="R2429" s="3">
        <f>NZD!B2429/1</f>
        <v>0.66830000000000001</v>
      </c>
      <c r="S2429" s="3">
        <f>NZD!C2429/1</f>
        <v>0.66879999999999995</v>
      </c>
      <c r="T2429" s="4">
        <f>1/PHP!B2429</f>
        <v>1.9409937888198756E-2</v>
      </c>
      <c r="U2429" s="4">
        <f>1/PHP!C2429</f>
        <v>1.9382098693646547E-2</v>
      </c>
      <c r="V2429" s="4">
        <f>1/TWD!B2429</f>
        <v>3.211303789338471E-2</v>
      </c>
      <c r="W2429" s="4">
        <f>1/TWD!C2429</f>
        <v>3.2113553525265334E-2</v>
      </c>
      <c r="X2429" s="4">
        <f>1/TWD!B2429</f>
        <v>3.211303789338471E-2</v>
      </c>
      <c r="Y2429" s="4">
        <f>1/TWD!C2429</f>
        <v>3.2113553525265334E-2</v>
      </c>
      <c r="Z2429" s="4">
        <f>1/ZAR!B2429</f>
        <v>6.975933031042901E-2</v>
      </c>
      <c r="AA2429" s="4">
        <f>1/ZAR!C2429</f>
        <v>6.9470978498732155E-2</v>
      </c>
    </row>
    <row r="2430" spans="1:27" x14ac:dyDescent="0.25">
      <c r="A2430" t="str">
        <f>"27/06/2019"</f>
        <v>27/06/2019</v>
      </c>
      <c r="B2430" s="3">
        <f>AUD!B2430</f>
        <v>0.69910000000000005</v>
      </c>
      <c r="C2430" s="3">
        <f>AUD!C2430</f>
        <v>0.69979999999999998</v>
      </c>
      <c r="D2430" s="3">
        <f>1/CAD!B2430</f>
        <v>0.76144064570166758</v>
      </c>
      <c r="E2430" s="3">
        <f>1/CAD!C2430</f>
        <v>0.76207895137936288</v>
      </c>
      <c r="F2430" s="3">
        <f>EUR!B2430/1</f>
        <v>1.1373</v>
      </c>
      <c r="G2430" s="3">
        <f>EUR!C2430/1</f>
        <v>1.1402000000000001</v>
      </c>
      <c r="H2430" s="3">
        <f>GBP!B2430/1</f>
        <v>1.2702</v>
      </c>
      <c r="I2430" s="3">
        <f>GBP!C2430/1</f>
        <v>1.2722</v>
      </c>
      <c r="J2430" s="4">
        <f>1/INR!B2430</f>
        <v>1.4477017734346724E-2</v>
      </c>
      <c r="K2430" s="4">
        <f>1/INR!C2430</f>
        <v>1.4418571119602047E-2</v>
      </c>
      <c r="L2430" s="4">
        <f>1/JPY!B2430</f>
        <v>9.2738569971251052E-3</v>
      </c>
      <c r="M2430" s="4">
        <f>1/JPY!C2430</f>
        <v>9.2960820732494089E-3</v>
      </c>
      <c r="N2430" s="5">
        <f>1/KRW!B2430</f>
        <v>8.6333419666753002E-4</v>
      </c>
      <c r="O2430" s="5">
        <f>1/KRW!C2430</f>
        <v>8.6333755073726877E-4</v>
      </c>
      <c r="P2430" s="3">
        <f>1/NOK!B2430</f>
        <v>0.11746188361876569</v>
      </c>
      <c r="Q2430" s="3">
        <f>1/NOK!C2430</f>
        <v>0.11758342544034993</v>
      </c>
      <c r="R2430" s="3">
        <f>NZD!B2430/1</f>
        <v>0.66890000000000005</v>
      </c>
      <c r="S2430" s="3">
        <f>NZD!C2430/1</f>
        <v>0.6694</v>
      </c>
      <c r="T2430" s="4">
        <f>1/PHP!B2430</f>
        <v>1.9496977968414896E-2</v>
      </c>
      <c r="U2430" s="4">
        <f>1/PHP!C2430</f>
        <v>1.9474196689386561E-2</v>
      </c>
      <c r="V2430" s="4">
        <f>1/TWD!B2430</f>
        <v>3.2153306967621621E-2</v>
      </c>
      <c r="W2430" s="4">
        <f>1/TWD!C2430</f>
        <v>3.2153823893506538E-2</v>
      </c>
      <c r="X2430" s="4">
        <f>1/TWD!B2430</f>
        <v>3.2153306967621621E-2</v>
      </c>
      <c r="Y2430" s="4">
        <f>1/TWD!C2430</f>
        <v>3.2153823893506538E-2</v>
      </c>
      <c r="Z2430" s="4">
        <f>1/ZAR!B2430</f>
        <v>7.065739641625686E-2</v>
      </c>
      <c r="AA2430" s="4">
        <f>1/ZAR!C2430</f>
        <v>7.0387341540497361E-2</v>
      </c>
    </row>
    <row r="2431" spans="1:27" x14ac:dyDescent="0.25">
      <c r="A2431" t="str">
        <f>"28/06/2019"</f>
        <v>28/06/2019</v>
      </c>
      <c r="B2431" s="3">
        <f>AUD!B2431</f>
        <v>0.70030000000000003</v>
      </c>
      <c r="C2431" s="3">
        <f>AUD!C2431</f>
        <v>0.70099999999999996</v>
      </c>
      <c r="D2431" s="3">
        <f>1/CAD!B2431</f>
        <v>0.76370856881014215</v>
      </c>
      <c r="E2431" s="3">
        <f>1/CAD!C2431</f>
        <v>0.76423385555980128</v>
      </c>
      <c r="F2431" s="3">
        <f>EUR!B2431/1</f>
        <v>1.1376999999999999</v>
      </c>
      <c r="G2431" s="3">
        <f>EUR!C2431/1</f>
        <v>1.1406000000000001</v>
      </c>
      <c r="H2431" s="3">
        <f>GBP!B2431/1</f>
        <v>1.2686999999999999</v>
      </c>
      <c r="I2431" s="3">
        <f>GBP!C2431/1</f>
        <v>1.2706</v>
      </c>
      <c r="J2431" s="4">
        <f>1/INR!B2431</f>
        <v>1.4485405953501848E-2</v>
      </c>
      <c r="K2431" s="4">
        <f>1/INR!C2431</f>
        <v>1.4427932477276006E-2</v>
      </c>
      <c r="L2431" s="4">
        <f>1/JPY!B2431</f>
        <v>9.2841890260885723E-3</v>
      </c>
      <c r="M2431" s="4">
        <f>1/JPY!C2431</f>
        <v>9.3064550502874304E-3</v>
      </c>
      <c r="N2431" s="5">
        <f>1/KRW!B2431</f>
        <v>8.6595081399376517E-4</v>
      </c>
      <c r="O2431" s="5">
        <f>1/KRW!C2431</f>
        <v>8.6595493830287555E-4</v>
      </c>
      <c r="P2431" s="3">
        <f>1/NOK!B2431</f>
        <v>0.11735436323522508</v>
      </c>
      <c r="Q2431" s="3">
        <f>1/NOK!C2431</f>
        <v>0.11747292249136573</v>
      </c>
      <c r="R2431" s="3">
        <f>NZD!B2431/1</f>
        <v>0.67069999999999996</v>
      </c>
      <c r="S2431" s="3">
        <f>NZD!C2431/1</f>
        <v>0.67120000000000002</v>
      </c>
      <c r="T2431" s="4">
        <f>1/PHP!B2431</f>
        <v>1.95160031225605E-2</v>
      </c>
      <c r="U2431" s="4">
        <f>1/PHP!C2431</f>
        <v>1.9491277653250171E-2</v>
      </c>
      <c r="V2431" s="4">
        <f>1/TWD!B2431</f>
        <v>3.2183316168898045E-2</v>
      </c>
      <c r="W2431" s="4">
        <f>1/TWD!C2431</f>
        <v>3.2183834060151587E-2</v>
      </c>
      <c r="X2431" s="4">
        <f>1/TWD!B2431</f>
        <v>3.2183316168898045E-2</v>
      </c>
      <c r="Y2431" s="4">
        <f>1/TWD!C2431</f>
        <v>3.2183834060151587E-2</v>
      </c>
      <c r="Z2431" s="4">
        <f>1/ZAR!B2431</f>
        <v>7.0483091106443574E-2</v>
      </c>
      <c r="AA2431" s="4">
        <f>1/ZAR!C2431</f>
        <v>7.0211899512729423E-2</v>
      </c>
    </row>
    <row r="2432" spans="1:27" x14ac:dyDescent="0.25">
      <c r="A2432" t="str">
        <f>"01/07/2019"</f>
        <v>01/07/2019</v>
      </c>
      <c r="B2432" s="3">
        <f>AUD!B2432</f>
        <v>0.69969999999999999</v>
      </c>
      <c r="C2432" s="3">
        <f>AUD!C2432</f>
        <v>0.70050000000000001</v>
      </c>
      <c r="D2432" s="3">
        <f>1/CAD!B2432</f>
        <v>0.7635919364691508</v>
      </c>
      <c r="E2432" s="3">
        <f>1/CAD!C2432</f>
        <v>0.76411706273401081</v>
      </c>
      <c r="F2432" s="3">
        <f>EUR!B2432/1</f>
        <v>1.135</v>
      </c>
      <c r="G2432" s="3">
        <f>EUR!C2432/1</f>
        <v>1.1380999999999999</v>
      </c>
      <c r="H2432" s="3">
        <f>GBP!B2432/1</f>
        <v>1.2645999999999999</v>
      </c>
      <c r="I2432" s="3">
        <f>GBP!C2432/1</f>
        <v>1.2666999999999999</v>
      </c>
      <c r="J2432" s="4">
        <f>1/INR!B2432</f>
        <v>1.4502211587267059E-2</v>
      </c>
      <c r="K2432" s="4">
        <f>1/INR!C2432</f>
        <v>1.4444083342360884E-2</v>
      </c>
      <c r="L2432" s="4">
        <f>1/JPY!B2432</f>
        <v>9.2361688371663444E-3</v>
      </c>
      <c r="M2432" s="4">
        <f>1/JPY!C2432</f>
        <v>9.2591820994084306E-3</v>
      </c>
      <c r="N2432" s="5">
        <f>1/KRW!B2432</f>
        <v>8.6296168450120819E-4</v>
      </c>
      <c r="O2432" s="5">
        <f>1/KRW!C2432</f>
        <v>8.6296578038642751E-4</v>
      </c>
      <c r="P2432" s="3">
        <f>1/NOK!B2432</f>
        <v>0.11708230886313077</v>
      </c>
      <c r="Q2432" s="3">
        <f>1/NOK!C2432</f>
        <v>0.11720993471406635</v>
      </c>
      <c r="R2432" s="3">
        <f>NZD!B2432/1</f>
        <v>0.67010000000000003</v>
      </c>
      <c r="S2432" s="3">
        <f>NZD!C2432/1</f>
        <v>0.67059999999999997</v>
      </c>
      <c r="T2432" s="4">
        <f>1/PHP!B2432</f>
        <v>1.9588638589618023E-2</v>
      </c>
      <c r="U2432" s="4">
        <f>1/PHP!C2432</f>
        <v>1.9565642731363724E-2</v>
      </c>
      <c r="V2432" s="4">
        <f>1/TWD!B2432</f>
        <v>3.2253902722229388E-2</v>
      </c>
      <c r="W2432" s="4">
        <f>1/TWD!C2432</f>
        <v>3.2254526922853625E-2</v>
      </c>
      <c r="X2432" s="4">
        <f>1/TWD!B2432</f>
        <v>3.2253902722229388E-2</v>
      </c>
      <c r="Y2432" s="4">
        <f>1/TWD!C2432</f>
        <v>3.2254526922853625E-2</v>
      </c>
      <c r="Z2432" s="4">
        <f>1/ZAR!B2432</f>
        <v>7.0884783872293966E-2</v>
      </c>
      <c r="AA2432" s="4">
        <f>1/ZAR!C2432</f>
        <v>7.0594048921675909E-2</v>
      </c>
    </row>
    <row r="2433" spans="1:27" x14ac:dyDescent="0.25">
      <c r="A2433" t="str">
        <f>"02/07/2019"</f>
        <v>02/07/2019</v>
      </c>
      <c r="B2433" s="3">
        <f>AUD!B2433</f>
        <v>0.69840000000000002</v>
      </c>
      <c r="C2433" s="3">
        <f>AUD!C2433</f>
        <v>0.69920000000000004</v>
      </c>
      <c r="D2433" s="3">
        <f>1/CAD!B2433</f>
        <v>0.76196281621456874</v>
      </c>
      <c r="E2433" s="3">
        <f>1/CAD!C2433</f>
        <v>0.76254384627116067</v>
      </c>
      <c r="F2433" s="3">
        <f>EUR!B2433/1</f>
        <v>1.1289</v>
      </c>
      <c r="G2433" s="3">
        <f>EUR!C2433/1</f>
        <v>1.1317999999999999</v>
      </c>
      <c r="H2433" s="3">
        <f>GBP!B2433/1</f>
        <v>1.2633000000000001</v>
      </c>
      <c r="I2433" s="3">
        <f>GBP!C2433/1</f>
        <v>1.2653000000000001</v>
      </c>
      <c r="J2433" s="4">
        <f>1/INR!B2433</f>
        <v>1.4503789114906268E-2</v>
      </c>
      <c r="K2433" s="4">
        <f>1/INR!C2433</f>
        <v>1.4449301015063398E-2</v>
      </c>
      <c r="L2433" s="4">
        <f>1/JPY!B2433</f>
        <v>9.2276460274983846E-3</v>
      </c>
      <c r="M2433" s="4">
        <f>1/JPY!C2433</f>
        <v>9.2493504643636395E-3</v>
      </c>
      <c r="N2433" s="5">
        <f>1/KRW!B2433</f>
        <v>8.5689802913453304E-4</v>
      </c>
      <c r="O2433" s="5">
        <f>1/KRW!C2433</f>
        <v>8.569017005214248E-4</v>
      </c>
      <c r="P2433" s="3">
        <f>1/NOK!B2433</f>
        <v>0.11657864978607818</v>
      </c>
      <c r="Q2433" s="3">
        <f>1/NOK!C2433</f>
        <v>0.11669836972377495</v>
      </c>
      <c r="R2433" s="3">
        <f>NZD!B2433/1</f>
        <v>0.66759999999999997</v>
      </c>
      <c r="S2433" s="3">
        <f>NZD!C2433/1</f>
        <v>0.66810000000000003</v>
      </c>
      <c r="T2433" s="4">
        <f>1/PHP!B2433</f>
        <v>1.9550342130987292E-2</v>
      </c>
      <c r="U2433" s="4">
        <f>1/PHP!C2433</f>
        <v>1.9525529629991212E-2</v>
      </c>
      <c r="V2433" s="4">
        <f>1/TWD!B2433</f>
        <v>3.2244542611163059E-2</v>
      </c>
      <c r="W2433" s="4">
        <f>1/TWD!C2433</f>
        <v>3.2245062474808545E-2</v>
      </c>
      <c r="X2433" s="4">
        <f>1/TWD!B2433</f>
        <v>3.2244542611163059E-2</v>
      </c>
      <c r="Y2433" s="4">
        <f>1/TWD!C2433</f>
        <v>3.2245062474808545E-2</v>
      </c>
      <c r="Z2433" s="4">
        <f>1/ZAR!B2433</f>
        <v>7.0694859776745625E-2</v>
      </c>
      <c r="AA2433" s="4">
        <f>1/ZAR!C2433</f>
        <v>7.0422039281413509E-2</v>
      </c>
    </row>
    <row r="2434" spans="1:27" x14ac:dyDescent="0.25">
      <c r="A2434" t="str">
        <f>"03/07/2019"</f>
        <v>03/07/2019</v>
      </c>
      <c r="B2434" s="3">
        <f>AUD!B2434</f>
        <v>0.70199999999999996</v>
      </c>
      <c r="C2434" s="3">
        <f>AUD!C2434</f>
        <v>0.70279999999999998</v>
      </c>
      <c r="D2434" s="3">
        <f>1/CAD!B2434</f>
        <v>0.76341705473700283</v>
      </c>
      <c r="E2434" s="3">
        <f>1/CAD!C2434</f>
        <v>0.76394194041252872</v>
      </c>
      <c r="F2434" s="3">
        <f>EUR!B2434/1</f>
        <v>1.1294</v>
      </c>
      <c r="G2434" s="3">
        <f>EUR!C2434/1</f>
        <v>1.1323000000000001</v>
      </c>
      <c r="H2434" s="3">
        <f>GBP!B2434/1</f>
        <v>1.2578</v>
      </c>
      <c r="I2434" s="3">
        <f>GBP!C2434/1</f>
        <v>1.2597</v>
      </c>
      <c r="J2434" s="4">
        <f>1/INR!B2434</f>
        <v>1.4513788098693758E-2</v>
      </c>
      <c r="K2434" s="4">
        <f>1/INR!C2434</f>
        <v>1.4459224985540775E-2</v>
      </c>
      <c r="L2434" s="4">
        <f>1/JPY!B2434</f>
        <v>9.2876381536175345E-3</v>
      </c>
      <c r="M2434" s="4">
        <f>1/JPY!C2434</f>
        <v>9.3094440586197081E-3</v>
      </c>
      <c r="N2434" s="5">
        <f>1/KRW!B2434</f>
        <v>8.5367935803312266E-4</v>
      </c>
      <c r="O2434" s="5">
        <f>1/KRW!C2434</f>
        <v>8.5368300189090783E-4</v>
      </c>
      <c r="P2434" s="3">
        <f>1/NOK!B2434</f>
        <v>0.11692077448321019</v>
      </c>
      <c r="Q2434" s="3">
        <f>1/NOK!C2434</f>
        <v>0.11704393829443574</v>
      </c>
      <c r="R2434" s="3">
        <f>NZD!B2434/1</f>
        <v>0.66900000000000004</v>
      </c>
      <c r="S2434" s="3">
        <f>NZD!C2434/1</f>
        <v>0.66949999999999998</v>
      </c>
      <c r="T2434" s="4">
        <f>1/PHP!B2434</f>
        <v>1.952362358453729E-2</v>
      </c>
      <c r="U2434" s="4">
        <f>1/PHP!C2434</f>
        <v>1.9500780031201249E-2</v>
      </c>
      <c r="V2434" s="4">
        <f>1/TWD!B2434</f>
        <v>3.2123353678123995E-2</v>
      </c>
      <c r="W2434" s="4">
        <f>1/TWD!C2434</f>
        <v>3.2123869641336997E-2</v>
      </c>
      <c r="X2434" s="4">
        <f>1/TWD!B2434</f>
        <v>3.2123353678123995E-2</v>
      </c>
      <c r="Y2434" s="4">
        <f>1/TWD!C2434</f>
        <v>3.2123869641336997E-2</v>
      </c>
      <c r="Z2434" s="4">
        <f>1/ZAR!B2434</f>
        <v>7.0924500868825138E-2</v>
      </c>
      <c r="AA2434" s="4">
        <f>1/ZAR!C2434</f>
        <v>7.0652903481068549E-2</v>
      </c>
    </row>
    <row r="2435" spans="1:27" x14ac:dyDescent="0.25">
      <c r="A2435" t="str">
        <f>"04/07/2019"</f>
        <v>04/07/2019</v>
      </c>
      <c r="B2435" s="3">
        <f>AUD!B2435</f>
        <v>0.70350000000000001</v>
      </c>
      <c r="C2435" s="3">
        <f>AUD!C2435</f>
        <v>0.70420000000000005</v>
      </c>
      <c r="D2435" s="3">
        <f>1/CAD!B2435</f>
        <v>0.76522803795531069</v>
      </c>
      <c r="E2435" s="3">
        <f>1/CAD!C2435</f>
        <v>0.76575541771958033</v>
      </c>
      <c r="F2435" s="3">
        <f>EUR!B2435/1</f>
        <v>1.1286</v>
      </c>
      <c r="G2435" s="3">
        <f>EUR!C2435/1</f>
        <v>1.1314</v>
      </c>
      <c r="H2435" s="3">
        <f>GBP!B2435/1</f>
        <v>1.2583</v>
      </c>
      <c r="I2435" s="3">
        <f>GBP!C2435/1</f>
        <v>1.2602</v>
      </c>
      <c r="J2435" s="4">
        <f>1/INR!B2435</f>
        <v>1.4520637455984316E-2</v>
      </c>
      <c r="K2435" s="4">
        <f>1/INR!C2435</f>
        <v>1.4467592592592591E-2</v>
      </c>
      <c r="L2435" s="4">
        <f>1/JPY!B2435</f>
        <v>9.2772984506911578E-3</v>
      </c>
      <c r="M2435" s="4">
        <f>1/JPY!C2435</f>
        <v>9.2989606551675714E-3</v>
      </c>
      <c r="N2435" s="5">
        <f>1/KRW!B2435</f>
        <v>8.5440874914559123E-4</v>
      </c>
      <c r="O2435" s="5">
        <f>1/KRW!C2435</f>
        <v>8.5441203422261956E-4</v>
      </c>
      <c r="P2435" s="3">
        <f>1/NOK!B2435</f>
        <v>0.1172332942555686</v>
      </c>
      <c r="Q2435" s="3">
        <f>1/NOK!C2435</f>
        <v>0.11735160889055789</v>
      </c>
      <c r="R2435" s="3">
        <f>NZD!B2435/1</f>
        <v>0.67059999999999997</v>
      </c>
      <c r="S2435" s="3">
        <f>NZD!C2435/1</f>
        <v>0.67100000000000004</v>
      </c>
      <c r="T2435" s="4">
        <f>1/PHP!B2435</f>
        <v>1.9559902200488997E-2</v>
      </c>
      <c r="U2435" s="4">
        <f>1/PHP!C2435</f>
        <v>1.9535065442469232E-2</v>
      </c>
      <c r="V2435" s="4">
        <f>1/TWD!B2435</f>
        <v>3.2149172158816908E-2</v>
      </c>
      <c r="W2435" s="4">
        <f>1/TWD!C2435</f>
        <v>3.2149688951759389E-2</v>
      </c>
      <c r="X2435" s="4">
        <f>1/TWD!B2435</f>
        <v>3.2149172158816908E-2</v>
      </c>
      <c r="Y2435" s="4">
        <f>1/TWD!C2435</f>
        <v>3.2149688951759389E-2</v>
      </c>
      <c r="Z2435" s="4">
        <f>1/ZAR!B2435</f>
        <v>7.1014657425292588E-2</v>
      </c>
      <c r="AA2435" s="4">
        <f>1/ZAR!C2435</f>
        <v>7.0742870887186338E-2</v>
      </c>
    </row>
    <row r="2436" spans="1:27" x14ac:dyDescent="0.25">
      <c r="A2436" t="str">
        <f>"05/07/2019"</f>
        <v>05/07/2019</v>
      </c>
      <c r="B2436" s="3">
        <f>AUD!B2436</f>
        <v>0.70150000000000001</v>
      </c>
      <c r="C2436" s="3">
        <f>AUD!C2436</f>
        <v>0.70230000000000004</v>
      </c>
      <c r="D2436" s="3">
        <f>1/CAD!B2436</f>
        <v>0.76540375047837739</v>
      </c>
      <c r="E2436" s="3">
        <f>1/CAD!C2436</f>
        <v>0.76593137254901955</v>
      </c>
      <c r="F2436" s="3">
        <f>EUR!B2436/1</f>
        <v>1.1263000000000001</v>
      </c>
      <c r="G2436" s="3">
        <f>EUR!C2436/1</f>
        <v>1.1292</v>
      </c>
      <c r="H2436" s="3">
        <f>GBP!B2436/1</f>
        <v>1.256</v>
      </c>
      <c r="I2436" s="3">
        <f>GBP!C2436/1</f>
        <v>1.2579</v>
      </c>
      <c r="J2436" s="4">
        <f>1/INR!B2436</f>
        <v>1.4615075450327012E-2</v>
      </c>
      <c r="K2436" s="4">
        <f>1/INR!C2436</f>
        <v>1.4560809581012706E-2</v>
      </c>
      <c r="L2436" s="4">
        <f>1/JPY!B2436</f>
        <v>9.2506938020351526E-3</v>
      </c>
      <c r="M2436" s="4">
        <f>1/JPY!C2436</f>
        <v>9.2725241201533672E-3</v>
      </c>
      <c r="N2436" s="5">
        <f>1/KRW!B2436</f>
        <v>8.5433575395130288E-4</v>
      </c>
      <c r="O2436" s="5">
        <f>1/KRW!C2436</f>
        <v>8.5433903846704234E-4</v>
      </c>
      <c r="P2436" s="3">
        <f>1/NOK!B2436</f>
        <v>0.11695632850693551</v>
      </c>
      <c r="Q2436" s="3">
        <f>1/NOK!C2436</f>
        <v>0.11707271386258004</v>
      </c>
      <c r="R2436" s="3">
        <f>NZD!B2436/1</f>
        <v>0.66610000000000003</v>
      </c>
      <c r="S2436" s="3">
        <f>NZD!C2436/1</f>
        <v>0.66649999999999998</v>
      </c>
      <c r="T2436" s="4">
        <f>1/PHP!B2436</f>
        <v>1.953125E-2</v>
      </c>
      <c r="U2436" s="4">
        <f>1/PHP!C2436</f>
        <v>1.9502681618722574E-2</v>
      </c>
      <c r="V2436" s="4">
        <f>1/TWD!B2436</f>
        <v>3.2146071750032146E-2</v>
      </c>
      <c r="W2436" s="4">
        <f>1/TWD!C2436</f>
        <v>3.2146588443301455E-2</v>
      </c>
      <c r="X2436" s="4">
        <f>1/TWD!B2436</f>
        <v>3.2146071750032146E-2</v>
      </c>
      <c r="Y2436" s="4">
        <f>1/TWD!C2436</f>
        <v>3.2146588443301455E-2</v>
      </c>
      <c r="Z2436" s="4">
        <f>1/ZAR!B2436</f>
        <v>7.087373136020865E-2</v>
      </c>
      <c r="AA2436" s="4">
        <f>1/ZAR!C2436</f>
        <v>7.0578105260186194E-2</v>
      </c>
    </row>
    <row r="2437" spans="1:27" x14ac:dyDescent="0.25">
      <c r="A2437" t="str">
        <f>"08/07/2019"</f>
        <v>08/07/2019</v>
      </c>
      <c r="B2437" s="3">
        <f>AUD!B2437</f>
        <v>0.69869999999999999</v>
      </c>
      <c r="C2437" s="3">
        <f>AUD!C2437</f>
        <v>0.69950000000000001</v>
      </c>
      <c r="D2437" s="3">
        <f>1/CAD!B2437</f>
        <v>0.76499388004895963</v>
      </c>
      <c r="E2437" s="3">
        <f>1/CAD!C2437</f>
        <v>0.76552093699762691</v>
      </c>
      <c r="F2437" s="3">
        <f>EUR!B2437/1</f>
        <v>1.1226</v>
      </c>
      <c r="G2437" s="3">
        <f>EUR!C2437/1</f>
        <v>1.1255999999999999</v>
      </c>
      <c r="H2437" s="3">
        <f>GBP!B2437/1</f>
        <v>1.2525999999999999</v>
      </c>
      <c r="I2437" s="3">
        <f>GBP!C2437/1</f>
        <v>1.2546999999999999</v>
      </c>
      <c r="J2437" s="4">
        <f>1/INR!B2437</f>
        <v>1.4579916165482047E-2</v>
      </c>
      <c r="K2437" s="4">
        <f>1/INR!C2437</f>
        <v>1.4522218995062446E-2</v>
      </c>
      <c r="L2437" s="4">
        <f>1/JPY!B2437</f>
        <v>9.2310532631773284E-3</v>
      </c>
      <c r="M2437" s="4">
        <f>1/JPY!C2437</f>
        <v>9.2549060256842154E-3</v>
      </c>
      <c r="N2437" s="5">
        <f>1/KRW!B2437</f>
        <v>8.4796065462562544E-4</v>
      </c>
      <c r="O2437" s="5">
        <f>1/KRW!C2437</f>
        <v>8.4796403411427151E-4</v>
      </c>
      <c r="P2437" s="3">
        <f>1/NOK!B2437</f>
        <v>0.11604832252149794</v>
      </c>
      <c r="Q2437" s="3">
        <f>1/NOK!C2437</f>
        <v>0.11616830463976209</v>
      </c>
      <c r="R2437" s="3">
        <f>NZD!B2437/1</f>
        <v>0.66400000000000003</v>
      </c>
      <c r="S2437" s="3">
        <f>NZD!C2437/1</f>
        <v>0.66449999999999998</v>
      </c>
      <c r="T2437" s="4">
        <f>1/PHP!B2437</f>
        <v>1.9481784531463084E-2</v>
      </c>
      <c r="U2437" s="4">
        <f>1/PHP!C2437</f>
        <v>1.9447685725398678E-2</v>
      </c>
      <c r="V2437" s="4">
        <f>1/TWD!B2437</f>
        <v>3.2065670493170009E-2</v>
      </c>
      <c r="W2437" s="4">
        <f>1/TWD!C2437</f>
        <v>3.2066287429374001E-2</v>
      </c>
      <c r="X2437" s="4">
        <f>1/TWD!B2437</f>
        <v>3.2065670493170009E-2</v>
      </c>
      <c r="Y2437" s="4">
        <f>1/TWD!C2437</f>
        <v>3.2066287429374001E-2</v>
      </c>
      <c r="Z2437" s="4">
        <f>1/ZAR!B2437</f>
        <v>7.0383378261389781E-2</v>
      </c>
      <c r="AA2437" s="4">
        <f>1/ZAR!C2437</f>
        <v>7.0098698968147161E-2</v>
      </c>
    </row>
    <row r="2438" spans="1:27" x14ac:dyDescent="0.25">
      <c r="A2438" t="str">
        <f>"09/07/2019"</f>
        <v>09/07/2019</v>
      </c>
      <c r="B2438" s="3">
        <f>AUD!B2438</f>
        <v>0.69630000000000003</v>
      </c>
      <c r="C2438" s="3">
        <f>AUD!C2438</f>
        <v>0.69710000000000005</v>
      </c>
      <c r="D2438" s="3">
        <f>1/CAD!B2438</f>
        <v>0.76330051141134259</v>
      </c>
      <c r="E2438" s="3">
        <f>1/CAD!C2438</f>
        <v>0.76382523678582348</v>
      </c>
      <c r="F2438" s="3">
        <f>EUR!B2438/1</f>
        <v>1.1216999999999999</v>
      </c>
      <c r="G2438" s="3">
        <f>EUR!C2438/1</f>
        <v>1.1247</v>
      </c>
      <c r="H2438" s="3">
        <f>GBP!B2438/1</f>
        <v>1.2511000000000001</v>
      </c>
      <c r="I2438" s="3">
        <f>GBP!C2438/1</f>
        <v>1.2531000000000001</v>
      </c>
      <c r="J2438" s="4">
        <f>1/INR!B2438</f>
        <v>1.4531715469011117E-2</v>
      </c>
      <c r="K2438" s="4">
        <f>1/INR!C2438</f>
        <v>1.4477541713417062E-2</v>
      </c>
      <c r="L2438" s="4">
        <f>1/JPY!B2438</f>
        <v>9.1962479308442154E-3</v>
      </c>
      <c r="M2438" s="4">
        <f>1/JPY!C2438</f>
        <v>9.2194789150517216E-3</v>
      </c>
      <c r="N2438" s="5">
        <f>1/KRW!B2438</f>
        <v>8.4752945164844474E-4</v>
      </c>
      <c r="O2438" s="5">
        <f>1/KRW!C2438</f>
        <v>8.4753340235080331E-4</v>
      </c>
      <c r="P2438" s="3">
        <f>1/NOK!B2438</f>
        <v>0.11570993832660287</v>
      </c>
      <c r="Q2438" s="3">
        <f>1/NOK!C2438</f>
        <v>0.11583324645839849</v>
      </c>
      <c r="R2438" s="3">
        <f>NZD!B2438/1</f>
        <v>0.66290000000000004</v>
      </c>
      <c r="S2438" s="3">
        <f>NZD!C2438/1</f>
        <v>0.66339999999999999</v>
      </c>
      <c r="T2438" s="4">
        <f>1/PHP!B2438</f>
        <v>1.9474196689386561E-2</v>
      </c>
      <c r="U2438" s="4">
        <f>1/PHP!C2438</f>
        <v>1.9443904335990667E-2</v>
      </c>
      <c r="V2438" s="4">
        <f>1/TWD!B2438</f>
        <v>3.2059502436522183E-2</v>
      </c>
      <c r="W2438" s="4">
        <f>1/TWD!C2438</f>
        <v>3.2060016350608338E-2</v>
      </c>
      <c r="X2438" s="4">
        <f>1/TWD!B2438</f>
        <v>3.2059502436522183E-2</v>
      </c>
      <c r="Y2438" s="4">
        <f>1/TWD!C2438</f>
        <v>3.2060016350608338E-2</v>
      </c>
      <c r="Z2438" s="4">
        <f>1/ZAR!B2438</f>
        <v>7.040171216963996E-2</v>
      </c>
      <c r="AA2438" s="4">
        <f>1/ZAR!C2438</f>
        <v>7.0129177945776125E-2</v>
      </c>
    </row>
    <row r="2439" spans="1:27" x14ac:dyDescent="0.25">
      <c r="A2439" t="str">
        <f>"10/07/2019"</f>
        <v>10/07/2019</v>
      </c>
      <c r="B2439" s="3">
        <f>AUD!B2439</f>
        <v>0.69199999999999995</v>
      </c>
      <c r="C2439" s="3">
        <f>AUD!C2439</f>
        <v>0.69269999999999998</v>
      </c>
      <c r="D2439" s="3">
        <f>1/CAD!B2439</f>
        <v>0.76155662173482608</v>
      </c>
      <c r="E2439" s="3">
        <f>1/CAD!C2439</f>
        <v>0.76207895137936288</v>
      </c>
      <c r="F2439" s="3">
        <f>EUR!B2439/1</f>
        <v>1.1207</v>
      </c>
      <c r="G2439" s="3">
        <f>EUR!C2439/1</f>
        <v>1.1234999999999999</v>
      </c>
      <c r="H2439" s="3">
        <f>GBP!B2439/1</f>
        <v>1.2452000000000001</v>
      </c>
      <c r="I2439" s="3">
        <f>GBP!C2439/1</f>
        <v>1.2471000000000001</v>
      </c>
      <c r="J2439" s="4">
        <f>1/INR!B2439</f>
        <v>1.4573010784027979E-2</v>
      </c>
      <c r="K2439" s="4">
        <f>1/INR!C2439</f>
        <v>1.4521691777092031E-2</v>
      </c>
      <c r="L2439" s="4">
        <f>1/JPY!B2439</f>
        <v>9.184423218221896E-3</v>
      </c>
      <c r="M2439" s="4">
        <f>1/JPY!C2439</f>
        <v>9.2068314689499609E-3</v>
      </c>
      <c r="N2439" s="5">
        <f>1/KRW!B2439</f>
        <v>8.463100880162492E-4</v>
      </c>
      <c r="O2439" s="5">
        <f>1/KRW!C2439</f>
        <v>8.4631366923522866E-4</v>
      </c>
      <c r="P2439" s="3">
        <f>1/NOK!B2439</f>
        <v>0.11557353366079168</v>
      </c>
      <c r="Q2439" s="3">
        <f>1/NOK!C2439</f>
        <v>0.11568985862699276</v>
      </c>
      <c r="R2439" s="3">
        <f>NZD!B2439/1</f>
        <v>0.65969999999999995</v>
      </c>
      <c r="S2439" s="3">
        <f>NZD!C2439/1</f>
        <v>0.66010000000000002</v>
      </c>
      <c r="T2439" s="4">
        <f>1/PHP!B2439</f>
        <v>1.9436345966958212E-2</v>
      </c>
      <c r="U2439" s="4">
        <f>1/PHP!C2439</f>
        <v>1.9406171162429653E-2</v>
      </c>
      <c r="V2439" s="4">
        <f>1/TWD!B2439</f>
        <v>3.2109944449796105E-2</v>
      </c>
      <c r="W2439" s="4">
        <f>1/TWD!C2439</f>
        <v>3.2110459982339246E-2</v>
      </c>
      <c r="X2439" s="4">
        <f>1/TWD!B2439</f>
        <v>3.2109944449796105E-2</v>
      </c>
      <c r="Y2439" s="4">
        <f>1/TWD!C2439</f>
        <v>3.2110459982339246E-2</v>
      </c>
      <c r="Z2439" s="4">
        <f>1/ZAR!B2439</f>
        <v>7.0436424083622121E-2</v>
      </c>
      <c r="AA2439" s="4">
        <f>1/ZAR!C2439</f>
        <v>7.0173961249938605E-2</v>
      </c>
    </row>
    <row r="2440" spans="1:27" x14ac:dyDescent="0.25">
      <c r="A2440" t="str">
        <f>"11/07/2019"</f>
        <v>11/07/2019</v>
      </c>
      <c r="B2440" s="3">
        <f>AUD!B2440</f>
        <v>0.69850000000000001</v>
      </c>
      <c r="C2440" s="3">
        <f>AUD!C2440</f>
        <v>0.69920000000000004</v>
      </c>
      <c r="D2440" s="3">
        <f>1/CAD!B2440</f>
        <v>0.76599004212945221</v>
      </c>
      <c r="E2440" s="3">
        <f>1/CAD!C2440</f>
        <v>0.76645972254158046</v>
      </c>
      <c r="F2440" s="3">
        <f>EUR!B2440/1</f>
        <v>1.1279999999999999</v>
      </c>
      <c r="G2440" s="3">
        <f>EUR!C2440/1</f>
        <v>1.1308</v>
      </c>
      <c r="H2440" s="3">
        <f>GBP!B2440/1</f>
        <v>1.2565</v>
      </c>
      <c r="I2440" s="3">
        <f>GBP!C2440/1</f>
        <v>1.2584</v>
      </c>
      <c r="J2440" s="4">
        <f>1/INR!B2440</f>
        <v>1.460706982179375E-2</v>
      </c>
      <c r="K2440" s="4">
        <f>1/INR!C2440</f>
        <v>1.4554981442398661E-2</v>
      </c>
      <c r="L2440" s="4">
        <f>1/JPY!B2440</f>
        <v>9.2532617747756087E-3</v>
      </c>
      <c r="M2440" s="4">
        <f>1/JPY!C2440</f>
        <v>9.2749579844403299E-3</v>
      </c>
      <c r="N2440" s="5">
        <f>1/KRW!B2440</f>
        <v>8.5200647524921182E-4</v>
      </c>
      <c r="O2440" s="5">
        <f>1/KRW!C2440</f>
        <v>8.5201010483984345E-4</v>
      </c>
      <c r="P2440" s="3">
        <f>1/NOK!B2440</f>
        <v>0.11708916339792752</v>
      </c>
      <c r="Q2440" s="3">
        <f>1/NOK!C2440</f>
        <v>0.11720169239243816</v>
      </c>
      <c r="R2440" s="3">
        <f>NZD!B2440/1</f>
        <v>0.66849999999999998</v>
      </c>
      <c r="S2440" s="3">
        <f>NZD!C2440/1</f>
        <v>0.66890000000000005</v>
      </c>
      <c r="T2440" s="4">
        <f>1/PHP!B2440</f>
        <v>1.953125E-2</v>
      </c>
      <c r="U2440" s="4">
        <f>1/PHP!C2440</f>
        <v>1.9496977968414896E-2</v>
      </c>
      <c r="V2440" s="4">
        <f>1/TWD!B2440</f>
        <v>3.2231032037645845E-2</v>
      </c>
      <c r="W2440" s="4">
        <f>1/TWD!C2440</f>
        <v>3.2231551465729799E-2</v>
      </c>
      <c r="X2440" s="4">
        <f>1/TWD!B2440</f>
        <v>3.2231032037645845E-2</v>
      </c>
      <c r="Y2440" s="4">
        <f>1/TWD!C2440</f>
        <v>3.2231551465729799E-2</v>
      </c>
      <c r="Z2440" s="4">
        <f>1/ZAR!B2440</f>
        <v>7.2085060371238061E-2</v>
      </c>
      <c r="AA2440" s="4">
        <f>1/ZAR!C2440</f>
        <v>7.1813801176310074E-2</v>
      </c>
    </row>
    <row r="2441" spans="1:27" x14ac:dyDescent="0.25">
      <c r="A2441" t="str">
        <f>"12/07/2019"</f>
        <v>12/07/2019</v>
      </c>
      <c r="B2441" s="3">
        <f>AUD!B2441</f>
        <v>0.69950000000000001</v>
      </c>
      <c r="C2441" s="3">
        <f>AUD!C2441</f>
        <v>0.70020000000000004</v>
      </c>
      <c r="D2441" s="3">
        <f>1/CAD!B2441</f>
        <v>0.76698880196349128</v>
      </c>
      <c r="E2441" s="3">
        <f>1/CAD!C2441</f>
        <v>0.76745970836531086</v>
      </c>
      <c r="F2441" s="3">
        <f>EUR!B2441/1</f>
        <v>1.1271</v>
      </c>
      <c r="G2441" s="3">
        <f>EUR!C2441/1</f>
        <v>1.1298999999999999</v>
      </c>
      <c r="H2441" s="3">
        <f>GBP!B2441/1</f>
        <v>1.254</v>
      </c>
      <c r="I2441" s="3">
        <f>GBP!C2441/1</f>
        <v>1.2559</v>
      </c>
      <c r="J2441" s="4">
        <f>1/INR!B2441</f>
        <v>1.4592681770092299E-2</v>
      </c>
      <c r="K2441" s="4">
        <f>1/INR!C2441</f>
        <v>1.454228168399622E-2</v>
      </c>
      <c r="L2441" s="4">
        <f>1/JPY!B2441</f>
        <v>9.2259433527078147E-3</v>
      </c>
      <c r="M2441" s="4">
        <f>1/JPY!C2441</f>
        <v>9.2489740575526658E-3</v>
      </c>
      <c r="N2441" s="5">
        <f>1/KRW!B2441</f>
        <v>8.4947332653754668E-4</v>
      </c>
      <c r="O2441" s="5">
        <f>1/KRW!C2441</f>
        <v>8.494769345775339E-4</v>
      </c>
      <c r="P2441" s="3">
        <f>1/NOK!B2441</f>
        <v>0.11730893307525368</v>
      </c>
      <c r="Q2441" s="3">
        <f>1/NOK!C2441</f>
        <v>0.11741637019033194</v>
      </c>
      <c r="R2441" s="3">
        <f>NZD!B2441/1</f>
        <v>0.66820000000000002</v>
      </c>
      <c r="S2441" s="3">
        <f>NZD!C2441/1</f>
        <v>0.66859999999999997</v>
      </c>
      <c r="T2441" s="4">
        <f>1/PHP!B2441</f>
        <v>1.9535065442469232E-2</v>
      </c>
      <c r="U2441" s="4">
        <f>1/PHP!C2441</f>
        <v>1.9496977968414896E-2</v>
      </c>
      <c r="V2441" s="4">
        <f>1/TWD!B2441</f>
        <v>3.2225838677451581E-2</v>
      </c>
      <c r="W2441" s="4">
        <f>1/TWD!C2441</f>
        <v>3.2226357938157618E-2</v>
      </c>
      <c r="X2441" s="4">
        <f>1/TWD!B2441</f>
        <v>3.2225838677451581E-2</v>
      </c>
      <c r="Y2441" s="4">
        <f>1/TWD!C2441</f>
        <v>3.2226357938157618E-2</v>
      </c>
      <c r="Z2441" s="4">
        <f>1/ZAR!B2441</f>
        <v>7.1699493084583885E-2</v>
      </c>
      <c r="AA2441" s="4">
        <f>1/ZAR!C2441</f>
        <v>7.1427551034985215E-2</v>
      </c>
    </row>
    <row r="2442" spans="1:27" x14ac:dyDescent="0.25">
      <c r="A2442" t="str">
        <f>"15/07/2019"</f>
        <v>15/07/2019</v>
      </c>
      <c r="B2442" s="3">
        <f>AUD!B2442</f>
        <v>0.70289999999999997</v>
      </c>
      <c r="C2442" s="3">
        <f>AUD!C2442</f>
        <v>0.70369999999999999</v>
      </c>
      <c r="D2442" s="3">
        <f>1/CAD!B2442</f>
        <v>0.76722418290624528</v>
      </c>
      <c r="E2442" s="3">
        <f>1/CAD!C2442</f>
        <v>0.76769537847382163</v>
      </c>
      <c r="F2442" s="3">
        <f>EUR!B2442/1</f>
        <v>1.1274999999999999</v>
      </c>
      <c r="G2442" s="3">
        <f>EUR!C2442/1</f>
        <v>1.1305000000000001</v>
      </c>
      <c r="H2442" s="3">
        <f>GBP!B2442/1</f>
        <v>1.2542</v>
      </c>
      <c r="I2442" s="3">
        <f>GBP!C2442/1</f>
        <v>1.2562</v>
      </c>
      <c r="J2442" s="4">
        <f>1/INR!B2442</f>
        <v>1.4586828094230907E-2</v>
      </c>
      <c r="K2442" s="4">
        <f>1/INR!C2442</f>
        <v>1.4534355583009339E-2</v>
      </c>
      <c r="L2442" s="4">
        <f>1/JPY!B2442</f>
        <v>9.2669817440459643E-3</v>
      </c>
      <c r="M2442" s="4">
        <f>1/JPY!C2442</f>
        <v>9.2902266815310299E-3</v>
      </c>
      <c r="N2442" s="5">
        <f>1/KRW!B2442</f>
        <v>8.4788875699508216E-4</v>
      </c>
      <c r="O2442" s="5">
        <f>1/KRW!C2442</f>
        <v>8.4789328618594447E-4</v>
      </c>
      <c r="P2442" s="3">
        <f>1/NOK!B2442</f>
        <v>0.11712344811431248</v>
      </c>
      <c r="Q2442" s="3">
        <f>1/NOK!C2442</f>
        <v>0.11724291559682508</v>
      </c>
      <c r="R2442" s="3">
        <f>NZD!B2442/1</f>
        <v>0.67259999999999998</v>
      </c>
      <c r="S2442" s="3">
        <f>NZD!C2442/1</f>
        <v>0.67300000000000004</v>
      </c>
      <c r="T2442" s="4">
        <f>1/PHP!B2442</f>
        <v>1.9597083953907659E-2</v>
      </c>
      <c r="U2442" s="4">
        <f>1/PHP!C2442</f>
        <v>1.9562198008568243E-2</v>
      </c>
      <c r="V2442" s="4">
        <f>1/TWD!B2442</f>
        <v>3.2204044828030402E-2</v>
      </c>
      <c r="W2442" s="4">
        <f>1/TWD!C2442</f>
        <v>3.2204563386631885E-2</v>
      </c>
      <c r="X2442" s="4">
        <f>1/TWD!B2442</f>
        <v>3.2204044828030402E-2</v>
      </c>
      <c r="Y2442" s="4">
        <f>1/TWD!C2442</f>
        <v>3.2204563386631885E-2</v>
      </c>
      <c r="Z2442" s="4">
        <f>1/ZAR!B2442</f>
        <v>7.2074149885402103E-2</v>
      </c>
      <c r="AA2442" s="4">
        <f>1/ZAR!C2442</f>
        <v>7.1779779636076513E-2</v>
      </c>
    </row>
    <row r="2443" spans="1:27" x14ac:dyDescent="0.25">
      <c r="A2443" t="str">
        <f>"16/07/2019"</f>
        <v>16/07/2019</v>
      </c>
      <c r="B2443" s="3">
        <f>AUD!B2443</f>
        <v>0.70299999999999996</v>
      </c>
      <c r="C2443" s="3">
        <f>AUD!C2443</f>
        <v>0.70369999999999999</v>
      </c>
      <c r="D2443" s="3">
        <f>1/CAD!B2443</f>
        <v>0.76640098099325571</v>
      </c>
      <c r="E2443" s="3">
        <f>1/CAD!C2443</f>
        <v>0.76687116564417179</v>
      </c>
      <c r="F2443" s="3">
        <f>EUR!B2443/1</f>
        <v>1.1225000000000001</v>
      </c>
      <c r="G2443" s="3">
        <f>EUR!C2443/1</f>
        <v>1.1254</v>
      </c>
      <c r="H2443" s="3">
        <f>GBP!B2443/1</f>
        <v>1.2428999999999999</v>
      </c>
      <c r="I2443" s="3">
        <f>GBP!C2443/1</f>
        <v>1.2447999999999999</v>
      </c>
      <c r="J2443" s="4">
        <f>1/INR!B2443</f>
        <v>1.4552863275849523E-2</v>
      </c>
      <c r="K2443" s="4">
        <f>1/INR!C2443</f>
        <v>1.45032632342277E-2</v>
      </c>
      <c r="L2443" s="4">
        <f>1/JPY!B2443</f>
        <v>9.26526452330214E-3</v>
      </c>
      <c r="M2443" s="4">
        <f>1/JPY!C2443</f>
        <v>9.2875260166822536E-3</v>
      </c>
      <c r="N2443" s="5">
        <f>1/KRW!B2443</f>
        <v>8.4904058413992189E-4</v>
      </c>
      <c r="O2443" s="5">
        <f>1/KRW!C2443</f>
        <v>8.4904454894296083E-4</v>
      </c>
      <c r="P2443" s="3">
        <f>1/NOK!B2443</f>
        <v>0.1169453865045024</v>
      </c>
      <c r="Q2443" s="3">
        <f>1/NOK!C2443</f>
        <v>0.11706175007316359</v>
      </c>
      <c r="R2443" s="3">
        <f>NZD!B2443/1</f>
        <v>0.67220000000000002</v>
      </c>
      <c r="S2443" s="3">
        <f>NZD!C2443/1</f>
        <v>0.67259999999999998</v>
      </c>
      <c r="T2443" s="4">
        <f>1/PHP!B2443</f>
        <v>1.9638648860958365E-2</v>
      </c>
      <c r="U2443" s="4">
        <f>1/PHP!C2443</f>
        <v>1.9605920988138417E-2</v>
      </c>
      <c r="V2443" s="4">
        <f>1/TWD!B2443</f>
        <v>3.2214419174022291E-2</v>
      </c>
      <c r="W2443" s="4">
        <f>1/TWD!C2443</f>
        <v>3.2214938066781565E-2</v>
      </c>
      <c r="X2443" s="4">
        <f>1/TWD!B2443</f>
        <v>3.2214419174022291E-2</v>
      </c>
      <c r="Y2443" s="4">
        <f>1/TWD!C2443</f>
        <v>3.2214938066781565E-2</v>
      </c>
      <c r="Z2443" s="4">
        <f>1/ZAR!B2443</f>
        <v>7.2076747320546919E-2</v>
      </c>
      <c r="AA2443" s="4">
        <f>1/ZAR!C2443</f>
        <v>7.1792147374920137E-2</v>
      </c>
    </row>
    <row r="2444" spans="1:27" x14ac:dyDescent="0.25">
      <c r="A2444" t="str">
        <f>"17/07/2019"</f>
        <v>17/07/2019</v>
      </c>
      <c r="B2444" s="3">
        <f>AUD!B2444</f>
        <v>0.70050000000000001</v>
      </c>
      <c r="C2444" s="3">
        <f>AUD!C2444</f>
        <v>0.70120000000000005</v>
      </c>
      <c r="D2444" s="3">
        <f>1/CAD!B2444</f>
        <v>0.76563815940586477</v>
      </c>
      <c r="E2444" s="3">
        <f>1/CAD!C2444</f>
        <v>0.76610740825863788</v>
      </c>
      <c r="F2444" s="3">
        <f>EUR!B2444/1</f>
        <v>1.1218999999999999</v>
      </c>
      <c r="G2444" s="3">
        <f>EUR!C2444/1</f>
        <v>1.1247</v>
      </c>
      <c r="H2444" s="3">
        <f>GBP!B2444/1</f>
        <v>1.2408999999999999</v>
      </c>
      <c r="I2444" s="3">
        <f>GBP!C2444/1</f>
        <v>1.2427999999999999</v>
      </c>
      <c r="J2444" s="4">
        <f>1/INR!B2444</f>
        <v>1.4530131860946637E-2</v>
      </c>
      <c r="K2444" s="4">
        <f>1/INR!C2444</f>
        <v>1.448173491184244E-2</v>
      </c>
      <c r="L2444" s="4">
        <f>1/JPY!B2444</f>
        <v>9.2370219841123209E-3</v>
      </c>
      <c r="M2444" s="4">
        <f>1/JPY!C2444</f>
        <v>9.2582562814954306E-3</v>
      </c>
      <c r="N2444" s="5">
        <f>1/KRW!B2444</f>
        <v>8.4652501481418784E-4</v>
      </c>
      <c r="O2444" s="5">
        <f>1/KRW!C2444</f>
        <v>8.4652895615784207E-4</v>
      </c>
      <c r="P2444" s="3">
        <f>1/NOK!B2444</f>
        <v>0.11656234336935109</v>
      </c>
      <c r="Q2444" s="3">
        <f>1/NOK!C2444</f>
        <v>0.11667658417632165</v>
      </c>
      <c r="R2444" s="3">
        <f>NZD!B2444/1</f>
        <v>0.67249999999999999</v>
      </c>
      <c r="S2444" s="3">
        <f>NZD!C2444/1</f>
        <v>0.67290000000000005</v>
      </c>
      <c r="T2444" s="4">
        <f>1/PHP!B2444</f>
        <v>1.9550342130987292E-2</v>
      </c>
      <c r="U2444" s="4">
        <f>1/PHP!C2444</f>
        <v>1.9517907680296671E-2</v>
      </c>
      <c r="V2444" s="4">
        <f>1/TWD!B2444</f>
        <v>3.2179173638820953E-2</v>
      </c>
      <c r="W2444" s="4">
        <f>1/TWD!C2444</f>
        <v>3.2179691396759504E-2</v>
      </c>
      <c r="X2444" s="4">
        <f>1/TWD!B2444</f>
        <v>3.2179173638820953E-2</v>
      </c>
      <c r="Y2444" s="4">
        <f>1/TWD!C2444</f>
        <v>3.2179691396759504E-2</v>
      </c>
      <c r="Z2444" s="4">
        <f>1/ZAR!B2444</f>
        <v>7.1595798758528853E-2</v>
      </c>
      <c r="AA2444" s="4">
        <f>1/ZAR!C2444</f>
        <v>7.1326167431045431E-2</v>
      </c>
    </row>
    <row r="2445" spans="1:27" x14ac:dyDescent="0.25">
      <c r="A2445" t="str">
        <f>"18/07/2019"</f>
        <v>18/07/2019</v>
      </c>
      <c r="B2445" s="3">
        <f>AUD!B2445</f>
        <v>0.7036</v>
      </c>
      <c r="C2445" s="3">
        <f>AUD!C2445</f>
        <v>0.70420000000000005</v>
      </c>
      <c r="D2445" s="3">
        <f>1/CAD!B2445</f>
        <v>0.76557954371459191</v>
      </c>
      <c r="E2445" s="3">
        <f>1/CAD!C2445</f>
        <v>0.7660487206986365</v>
      </c>
      <c r="F2445" s="3">
        <f>EUR!B2445/1</f>
        <v>1.1215999999999999</v>
      </c>
      <c r="G2445" s="3">
        <f>EUR!C2445/1</f>
        <v>1.1244000000000001</v>
      </c>
      <c r="H2445" s="3">
        <f>GBP!B2445/1</f>
        <v>1.2482</v>
      </c>
      <c r="I2445" s="3">
        <f>GBP!C2445/1</f>
        <v>1.25</v>
      </c>
      <c r="J2445" s="4">
        <f>1/INR!B2445</f>
        <v>1.4499583136984812E-2</v>
      </c>
      <c r="K2445" s="4">
        <f>1/INR!C2445</f>
        <v>1.4449822989668376E-2</v>
      </c>
      <c r="L2445" s="4">
        <f>1/JPY!B2445</f>
        <v>9.2704180958561224E-3</v>
      </c>
      <c r="M2445" s="4">
        <f>1/JPY!C2445</f>
        <v>9.2917373225858899E-3</v>
      </c>
      <c r="N2445" s="5">
        <f>1/KRW!B2445</f>
        <v>8.4824836712189323E-4</v>
      </c>
      <c r="O2445" s="5">
        <f>1/KRW!C2445</f>
        <v>8.4825232452946371E-4</v>
      </c>
      <c r="P2445" s="3">
        <f>1/NOK!B2445</f>
        <v>0.11630070710829922</v>
      </c>
      <c r="Q2445" s="3">
        <f>1/NOK!C2445</f>
        <v>0.11641714591725069</v>
      </c>
      <c r="R2445" s="3">
        <f>NZD!B2445/1</f>
        <v>0.67400000000000004</v>
      </c>
      <c r="S2445" s="3">
        <f>NZD!C2445/1</f>
        <v>0.6744</v>
      </c>
      <c r="T2445" s="4">
        <f>1/PHP!B2445</f>
        <v>1.9615535504119264E-2</v>
      </c>
      <c r="U2445" s="4">
        <f>1/PHP!C2445</f>
        <v>1.9584418636532774E-2</v>
      </c>
      <c r="V2445" s="4">
        <f>1/TWD!B2445</f>
        <v>3.2178138172925315E-2</v>
      </c>
      <c r="W2445" s="4">
        <f>1/TWD!C2445</f>
        <v>3.2178655897543158E-2</v>
      </c>
      <c r="X2445" s="4">
        <f>1/TWD!B2445</f>
        <v>3.2178138172925315E-2</v>
      </c>
      <c r="Y2445" s="4">
        <f>1/TWD!C2445</f>
        <v>3.2178655897543158E-2</v>
      </c>
      <c r="Z2445" s="4">
        <f>1/ZAR!B2445</f>
        <v>7.1489337365331959E-2</v>
      </c>
      <c r="AA2445" s="4">
        <f>1/ZAR!C2445</f>
        <v>7.1222027548680261E-2</v>
      </c>
    </row>
    <row r="2446" spans="1:27" x14ac:dyDescent="0.25">
      <c r="A2446" t="str">
        <f>"19/07/2019"</f>
        <v>19/07/2019</v>
      </c>
      <c r="B2446" s="3">
        <f>AUD!B2446</f>
        <v>0.70679999999999998</v>
      </c>
      <c r="C2446" s="3">
        <f>AUD!C2446</f>
        <v>0.70740000000000003</v>
      </c>
      <c r="D2446" s="3">
        <f>1/CAD!B2446</f>
        <v>0.76740081344486233</v>
      </c>
      <c r="E2446" s="3">
        <f>1/CAD!C2446</f>
        <v>0.76781326781326786</v>
      </c>
      <c r="F2446" s="3">
        <f>EUR!B2446/1</f>
        <v>1.1262000000000001</v>
      </c>
      <c r="G2446" s="3">
        <f>EUR!C2446/1</f>
        <v>1.129</v>
      </c>
      <c r="H2446" s="3">
        <f>GBP!B2446/1</f>
        <v>1.2543</v>
      </c>
      <c r="I2446" s="3">
        <f>GBP!C2446/1</f>
        <v>1.2561</v>
      </c>
      <c r="J2446" s="4">
        <f>1/INR!B2446</f>
        <v>1.4536996656490768E-2</v>
      </c>
      <c r="K2446" s="4">
        <f>1/INR!C2446</f>
        <v>1.4488029265819118E-2</v>
      </c>
      <c r="L2446" s="4">
        <f>1/JPY!B2446</f>
        <v>9.2962721948498649E-3</v>
      </c>
      <c r="M2446" s="4">
        <f>1/JPY!C2446</f>
        <v>9.3174935942231529E-3</v>
      </c>
      <c r="N2446" s="5">
        <f>1/KRW!B2446</f>
        <v>8.5258760337624689E-4</v>
      </c>
      <c r="O2446" s="5">
        <f>1/KRW!C2446</f>
        <v>8.5259218290625991E-4</v>
      </c>
      <c r="P2446" s="3">
        <f>1/NOK!B2446</f>
        <v>0.11703708905352106</v>
      </c>
      <c r="Q2446" s="3">
        <f>1/NOK!C2446</f>
        <v>0.11714814554485603</v>
      </c>
      <c r="R2446" s="3">
        <f>NZD!B2446/1</f>
        <v>0.67800000000000005</v>
      </c>
      <c r="S2446" s="3">
        <f>NZD!C2446/1</f>
        <v>0.6784</v>
      </c>
      <c r="T2446" s="4">
        <f>1/PHP!B2446</f>
        <v>1.9609765663300326E-2</v>
      </c>
      <c r="U2446" s="4">
        <f>1/PHP!C2446</f>
        <v>1.9577133907595929E-2</v>
      </c>
      <c r="V2446" s="4">
        <f>1/TWD!B2446</f>
        <v>3.219471362802228E-2</v>
      </c>
      <c r="W2446" s="4">
        <f>1/TWD!C2446</f>
        <v>3.2195231886157659E-2</v>
      </c>
      <c r="X2446" s="4">
        <f>1/TWD!B2446</f>
        <v>3.219471362802228E-2</v>
      </c>
      <c r="Y2446" s="4">
        <f>1/TWD!C2446</f>
        <v>3.2195231886157659E-2</v>
      </c>
      <c r="Z2446" s="4">
        <f>1/ZAR!B2446</f>
        <v>7.2171421560490473E-2</v>
      </c>
      <c r="AA2446" s="4">
        <f>1/ZAR!C2446</f>
        <v>7.1892276612723488E-2</v>
      </c>
    </row>
    <row r="2447" spans="1:27" x14ac:dyDescent="0.25">
      <c r="A2447" t="str">
        <f>"22/07/2019"</f>
        <v>22/07/2019</v>
      </c>
      <c r="B2447" s="3">
        <f>AUD!B2447</f>
        <v>0.70409999999999995</v>
      </c>
      <c r="C2447" s="3">
        <f>AUD!C2447</f>
        <v>0.70479999999999998</v>
      </c>
      <c r="D2447" s="3">
        <f>1/CAD!B2447</f>
        <v>0.76552093699762691</v>
      </c>
      <c r="E2447" s="3">
        <f>1/CAD!C2447</f>
        <v>0.76593137254901955</v>
      </c>
      <c r="F2447" s="3">
        <f>EUR!B2447/1</f>
        <v>1.1216999999999999</v>
      </c>
      <c r="G2447" s="3">
        <f>EUR!C2447/1</f>
        <v>1.1246</v>
      </c>
      <c r="H2447" s="3">
        <f>GBP!B2447/1</f>
        <v>1.2501</v>
      </c>
      <c r="I2447" s="3">
        <f>GBP!C2447/1</f>
        <v>1.2521</v>
      </c>
      <c r="J2447" s="4">
        <f>1/INR!B2447</f>
        <v>1.4493803898833249E-2</v>
      </c>
      <c r="K2447" s="4">
        <f>1/INR!C2447</f>
        <v>1.444043321299639E-2</v>
      </c>
      <c r="L2447" s="4">
        <f>1/JPY!B2447</f>
        <v>9.261831990367694E-3</v>
      </c>
      <c r="M2447" s="4">
        <f>1/JPY!C2447</f>
        <v>9.2840338755828047E-3</v>
      </c>
      <c r="N2447" s="5">
        <f>1/KRW!B2447</f>
        <v>8.4961767204757861E-4</v>
      </c>
      <c r="O2447" s="5">
        <f>1/KRW!C2447</f>
        <v>8.4962200317078933E-4</v>
      </c>
      <c r="P2447" s="3">
        <f>1/NOK!B2447</f>
        <v>0.11662079582031068</v>
      </c>
      <c r="Q2447" s="3">
        <f>1/NOK!C2447</f>
        <v>0.11673242593327575</v>
      </c>
      <c r="R2447" s="3">
        <f>NZD!B2447/1</f>
        <v>0.67769999999999997</v>
      </c>
      <c r="S2447" s="3">
        <f>NZD!C2447/1</f>
        <v>0.67810000000000004</v>
      </c>
      <c r="T2447" s="4">
        <f>1/PHP!B2447</f>
        <v>1.9561815336463225E-2</v>
      </c>
      <c r="U2447" s="4">
        <f>1/PHP!C2447</f>
        <v>1.9529342837613515E-2</v>
      </c>
      <c r="V2447" s="4">
        <f>1/TWD!B2447</f>
        <v>3.2178138172925315E-2</v>
      </c>
      <c r="W2447" s="4">
        <f>1/TWD!C2447</f>
        <v>3.2178655897543158E-2</v>
      </c>
      <c r="X2447" s="4">
        <f>1/TWD!B2447</f>
        <v>3.2178138172925315E-2</v>
      </c>
      <c r="Y2447" s="4">
        <f>1/TWD!C2447</f>
        <v>3.2178655897543158E-2</v>
      </c>
      <c r="Z2447" s="4">
        <f>1/ZAR!B2447</f>
        <v>7.1732409419900001E-2</v>
      </c>
      <c r="AA2447" s="4">
        <f>1/ZAR!C2447</f>
        <v>7.1455111898705237E-2</v>
      </c>
    </row>
    <row r="2448" spans="1:27" x14ac:dyDescent="0.25">
      <c r="A2448" t="str">
        <f>"23/07/2019"</f>
        <v>23/07/2019</v>
      </c>
      <c r="B2448" s="3">
        <f>AUD!B2448</f>
        <v>0.70330000000000004</v>
      </c>
      <c r="C2448" s="3">
        <f>AUD!C2448</f>
        <v>0.70399999999999996</v>
      </c>
      <c r="D2448" s="3">
        <f>1/CAD!B2448</f>
        <v>0.76126674786845305</v>
      </c>
      <c r="E2448" s="3">
        <f>1/CAD!C2448</f>
        <v>0.76173065204143819</v>
      </c>
      <c r="F2448" s="3">
        <f>EUR!B2448/1</f>
        <v>1.1184000000000001</v>
      </c>
      <c r="G2448" s="3">
        <f>EUR!C2448/1</f>
        <v>1.1213</v>
      </c>
      <c r="H2448" s="3">
        <f>GBP!B2448/1</f>
        <v>1.2479</v>
      </c>
      <c r="I2448" s="3">
        <f>GBP!C2448/1</f>
        <v>1.2498</v>
      </c>
      <c r="J2448" s="4">
        <f>1/INR!B2448</f>
        <v>1.45032632342277E-2</v>
      </c>
      <c r="K2448" s="4">
        <f>1/INR!C2448</f>
        <v>1.4451911265264832E-2</v>
      </c>
      <c r="L2448" s="4">
        <f>1/JPY!B2448</f>
        <v>9.24898261191269E-3</v>
      </c>
      <c r="M2448" s="4">
        <f>1/JPY!C2448</f>
        <v>9.2703579377903366E-3</v>
      </c>
      <c r="N2448" s="5">
        <f>1/KRW!B2448</f>
        <v>8.4810448647273354E-4</v>
      </c>
      <c r="O2448" s="5">
        <f>1/KRW!C2448</f>
        <v>8.4810916182643701E-4</v>
      </c>
      <c r="P2448" s="3">
        <f>1/NOK!B2448</f>
        <v>0.11554549025951517</v>
      </c>
      <c r="Q2448" s="3">
        <f>1/NOK!C2448</f>
        <v>0.11565507031828276</v>
      </c>
      <c r="R2448" s="3">
        <f>NZD!B2448/1</f>
        <v>0.67349999999999999</v>
      </c>
      <c r="S2448" s="3">
        <f>NZD!C2448/1</f>
        <v>0.67390000000000005</v>
      </c>
      <c r="T2448" s="4">
        <f>1/PHP!B2448</f>
        <v>1.9546520719311965E-2</v>
      </c>
      <c r="U2448" s="4">
        <f>1/PHP!C2448</f>
        <v>1.9512195121951219E-2</v>
      </c>
      <c r="V2448" s="4">
        <f>1/TWD!B2448</f>
        <v>3.2163648644302212E-2</v>
      </c>
      <c r="W2448" s="4">
        <f>1/TWD!C2448</f>
        <v>3.216416590276773E-2</v>
      </c>
      <c r="X2448" s="4">
        <f>1/TWD!B2448</f>
        <v>3.2163648644302212E-2</v>
      </c>
      <c r="Y2448" s="4">
        <f>1/TWD!C2448</f>
        <v>3.216416590276773E-2</v>
      </c>
      <c r="Z2448" s="4">
        <f>1/ZAR!B2448</f>
        <v>7.2125613969288918E-2</v>
      </c>
      <c r="AA2448" s="4">
        <f>1/ZAR!C2448</f>
        <v>7.1835468043992046E-2</v>
      </c>
    </row>
    <row r="2449" spans="1:27" x14ac:dyDescent="0.25">
      <c r="A2449" t="str">
        <f>"24/07/2019"</f>
        <v>24/07/2019</v>
      </c>
      <c r="B2449" s="3">
        <f>AUD!B2449</f>
        <v>0.69810000000000005</v>
      </c>
      <c r="C2449" s="3">
        <f>AUD!C2449</f>
        <v>0.69879999999999998</v>
      </c>
      <c r="D2449" s="3">
        <f>1/CAD!B2449</f>
        <v>0.76109292944668538</v>
      </c>
      <c r="E2449" s="3">
        <f>1/CAD!C2449</f>
        <v>0.76155662173482608</v>
      </c>
      <c r="F2449" s="3">
        <f>EUR!B2449/1</f>
        <v>1.1144000000000001</v>
      </c>
      <c r="G2449" s="3">
        <f>EUR!C2449/1</f>
        <v>1.1171</v>
      </c>
      <c r="H2449" s="3">
        <f>GBP!B2449/1</f>
        <v>1.2434000000000001</v>
      </c>
      <c r="I2449" s="3">
        <f>GBP!C2449/1</f>
        <v>1.2452000000000001</v>
      </c>
      <c r="J2449" s="4">
        <f>1/INR!B2449</f>
        <v>1.4495379597753216E-2</v>
      </c>
      <c r="K2449" s="4">
        <f>1/INR!C2449</f>
        <v>1.4445648248465151E-2</v>
      </c>
      <c r="L2449" s="4">
        <f>1/JPY!B2449</f>
        <v>9.2455621301775152E-3</v>
      </c>
      <c r="M2449" s="4">
        <f>1/JPY!C2449</f>
        <v>9.2661230541141587E-3</v>
      </c>
      <c r="N2449" s="5">
        <f>1/KRW!B2449</f>
        <v>8.4925690021231425E-4</v>
      </c>
      <c r="O2449" s="5">
        <f>1/KRW!C2449</f>
        <v>8.4926194890330568E-4</v>
      </c>
      <c r="P2449" s="3">
        <f>1/NOK!B2449</f>
        <v>0.11508936689339272</v>
      </c>
      <c r="Q2449" s="3">
        <f>1/NOK!C2449</f>
        <v>0.11519144818688661</v>
      </c>
      <c r="R2449" s="3">
        <f>NZD!B2449/1</f>
        <v>0.66959999999999997</v>
      </c>
      <c r="S2449" s="3">
        <f>NZD!C2449/1</f>
        <v>0.67</v>
      </c>
      <c r="T2449" s="4">
        <f>1/PHP!B2449</f>
        <v>1.9504583577140626E-2</v>
      </c>
      <c r="U2449" s="4">
        <f>1/PHP!C2449</f>
        <v>1.9473059022841896E-2</v>
      </c>
      <c r="V2449" s="4">
        <f>1/TWD!B2449</f>
        <v>3.2170891777120063E-2</v>
      </c>
      <c r="W2449" s="4">
        <f>1/TWD!C2449</f>
        <v>3.2171409268583008E-2</v>
      </c>
      <c r="X2449" s="4">
        <f>1/TWD!B2449</f>
        <v>3.2170891777120063E-2</v>
      </c>
      <c r="Y2449" s="4">
        <f>1/TWD!C2449</f>
        <v>3.2171409268583008E-2</v>
      </c>
      <c r="Z2449" s="4">
        <f>1/ZAR!B2449</f>
        <v>7.1691268720382548E-2</v>
      </c>
      <c r="AA2449" s="4">
        <f>1/ZAR!C2449</f>
        <v>7.1410718748884203E-2</v>
      </c>
    </row>
    <row r="2450" spans="1:27" x14ac:dyDescent="0.25">
      <c r="A2450" t="str">
        <f>"25/07/2019"</f>
        <v>25/07/2019</v>
      </c>
      <c r="B2450" s="3">
        <f>AUD!B2450</f>
        <v>0.6966</v>
      </c>
      <c r="C2450" s="3">
        <f>AUD!C2450</f>
        <v>0.69730000000000003</v>
      </c>
      <c r="D2450" s="3">
        <f>1/CAD!B2450</f>
        <v>0.76161462300076166</v>
      </c>
      <c r="E2450" s="3">
        <f>1/CAD!C2450</f>
        <v>0.76207895137936288</v>
      </c>
      <c r="F2450" s="3">
        <f>EUR!B2450/1</f>
        <v>1.1141000000000001</v>
      </c>
      <c r="G2450" s="3">
        <f>EUR!C2450/1</f>
        <v>1.1168</v>
      </c>
      <c r="H2450" s="3">
        <f>GBP!B2450/1</f>
        <v>1.2498</v>
      </c>
      <c r="I2450" s="3">
        <f>GBP!C2450/1</f>
        <v>1.2516</v>
      </c>
      <c r="J2450" s="4">
        <f>1/INR!B2450</f>
        <v>1.4482783591006191E-2</v>
      </c>
      <c r="K2450" s="4">
        <f>1/INR!C2450</f>
        <v>1.4433138485963774E-2</v>
      </c>
      <c r="L2450" s="4">
        <f>1/JPY!B2450</f>
        <v>9.2515496345637899E-3</v>
      </c>
      <c r="M2450" s="4">
        <f>1/JPY!C2450</f>
        <v>9.272042658813864E-3</v>
      </c>
      <c r="N2450" s="5">
        <f>1/KRW!B2450</f>
        <v>8.4638171815488788E-4</v>
      </c>
      <c r="O2450" s="5">
        <f>1/KRW!C2450</f>
        <v>8.4638673271868734E-4</v>
      </c>
      <c r="P2450" s="3">
        <f>1/NOK!B2450</f>
        <v>0.11550945444884665</v>
      </c>
      <c r="Q2450" s="3">
        <f>1/NOK!C2450</f>
        <v>0.11561629264795995</v>
      </c>
      <c r="R2450" s="3">
        <f>NZD!B2450/1</f>
        <v>0.66930000000000001</v>
      </c>
      <c r="S2450" s="3">
        <f>NZD!C2450/1</f>
        <v>0.66969999999999996</v>
      </c>
      <c r="T2450" s="4">
        <f>1/PHP!B2450</f>
        <v>1.9546520719311965E-2</v>
      </c>
      <c r="U2450" s="4">
        <f>1/PHP!C2450</f>
        <v>1.9517907680296671E-2</v>
      </c>
      <c r="V2450" s="4">
        <f>1/TWD!B2450</f>
        <v>3.2169856844137042E-2</v>
      </c>
      <c r="W2450" s="4">
        <f>1/TWD!C2450</f>
        <v>3.2170374302305009E-2</v>
      </c>
      <c r="X2450" s="4">
        <f>1/TWD!B2450</f>
        <v>3.2169856844137042E-2</v>
      </c>
      <c r="Y2450" s="4">
        <f>1/TWD!C2450</f>
        <v>3.2170374302305009E-2</v>
      </c>
      <c r="Z2450" s="4">
        <f>1/ZAR!B2450</f>
        <v>7.1799879376202649E-2</v>
      </c>
      <c r="AA2450" s="4">
        <f>1/ZAR!C2450</f>
        <v>7.1519503368568604E-2</v>
      </c>
    </row>
    <row r="2451" spans="1:27" x14ac:dyDescent="0.25">
      <c r="A2451" t="str">
        <f>"26/07/2019"</f>
        <v>26/07/2019</v>
      </c>
      <c r="B2451" s="3">
        <f>AUD!B2451</f>
        <v>0.69289999999999996</v>
      </c>
      <c r="C2451" s="3">
        <f>AUD!C2451</f>
        <v>0.69359999999999999</v>
      </c>
      <c r="D2451" s="3">
        <f>1/CAD!B2451</f>
        <v>0.75861022606584738</v>
      </c>
      <c r="E2451" s="3">
        <f>1/CAD!C2451</f>
        <v>0.75907089722180054</v>
      </c>
      <c r="F2451" s="3">
        <f>EUR!B2451/1</f>
        <v>1.1132</v>
      </c>
      <c r="G2451" s="3">
        <f>EUR!C2451/1</f>
        <v>1.1158999999999999</v>
      </c>
      <c r="H2451" s="3">
        <f>GBP!B2451/1</f>
        <v>1.2430000000000001</v>
      </c>
      <c r="I2451" s="3">
        <f>GBP!C2451/1</f>
        <v>1.2447999999999999</v>
      </c>
      <c r="J2451" s="4">
        <f>1/INR!B2451</f>
        <v>1.4511681903932667E-2</v>
      </c>
      <c r="K2451" s="4">
        <f>1/INR!C2451</f>
        <v>1.446236170366621E-2</v>
      </c>
      <c r="L2451" s="4">
        <f>1/JPY!B2451</f>
        <v>9.2021717125241563E-3</v>
      </c>
      <c r="M2451" s="4">
        <f>1/JPY!C2451</f>
        <v>9.2224548330274558E-3</v>
      </c>
      <c r="N2451" s="5">
        <f>1/KRW!B2451</f>
        <v>8.4381064889038908E-4</v>
      </c>
      <c r="O2451" s="5">
        <f>1/KRW!C2451</f>
        <v>8.4381634506013026E-4</v>
      </c>
      <c r="P2451" s="3">
        <f>1/NOK!B2451</f>
        <v>0.11492139376666362</v>
      </c>
      <c r="Q2451" s="3">
        <f>1/NOK!C2451</f>
        <v>0.11502582329733026</v>
      </c>
      <c r="R2451" s="3">
        <f>NZD!B2451/1</f>
        <v>0.6643</v>
      </c>
      <c r="S2451" s="3">
        <f>NZD!C2451/1</f>
        <v>0.66469999999999996</v>
      </c>
      <c r="T2451" s="4">
        <f>1/PHP!B2451</f>
        <v>1.9567556990509737E-2</v>
      </c>
      <c r="U2451" s="4">
        <f>1/PHP!C2451</f>
        <v>1.9541173252042052E-2</v>
      </c>
      <c r="V2451" s="4">
        <f>1/TWD!B2451</f>
        <v>3.2162614177280328E-2</v>
      </c>
      <c r="W2451" s="4">
        <f>1/TWD!C2451</f>
        <v>3.2163131402473344E-2</v>
      </c>
      <c r="X2451" s="4">
        <f>1/TWD!B2451</f>
        <v>3.2162614177280328E-2</v>
      </c>
      <c r="Y2451" s="4">
        <f>1/TWD!C2451</f>
        <v>3.2163131402473344E-2</v>
      </c>
      <c r="Z2451" s="4">
        <f>1/ZAR!B2451</f>
        <v>7.0591557249752926E-2</v>
      </c>
      <c r="AA2451" s="4">
        <f>1/ZAR!C2451</f>
        <v>7.031508188191285E-2</v>
      </c>
    </row>
    <row r="2452" spans="1:27" x14ac:dyDescent="0.25">
      <c r="A2452" t="str">
        <f>"29/07/2019"</f>
        <v>29/07/2019</v>
      </c>
      <c r="B2452" s="3">
        <f>AUD!B2452</f>
        <v>0.69020000000000004</v>
      </c>
      <c r="C2452" s="3">
        <f>AUD!C2452</f>
        <v>0.69089999999999996</v>
      </c>
      <c r="D2452" s="3">
        <f>1/CAD!B2452</f>
        <v>0.75953212820902327</v>
      </c>
      <c r="E2452" s="3">
        <f>1/CAD!C2452</f>
        <v>0.75999392004863953</v>
      </c>
      <c r="F2452" s="3">
        <f>EUR!B2452/1</f>
        <v>1.1119000000000001</v>
      </c>
      <c r="G2452" s="3">
        <f>EUR!C2452/1</f>
        <v>1.1145</v>
      </c>
      <c r="H2452" s="3">
        <f>GBP!B2452/1</f>
        <v>1.2305999999999999</v>
      </c>
      <c r="I2452" s="3">
        <f>GBP!C2452/1</f>
        <v>1.2323</v>
      </c>
      <c r="J2452" s="4">
        <f>1/INR!B2452</f>
        <v>1.4549157967482632E-2</v>
      </c>
      <c r="K2452" s="4">
        <f>1/INR!C2452</f>
        <v>1.4503789114906268E-2</v>
      </c>
      <c r="L2452" s="4">
        <f>1/JPY!B2452</f>
        <v>9.2038656235618951E-3</v>
      </c>
      <c r="M2452" s="4">
        <f>1/JPY!C2452</f>
        <v>9.2234840973298947E-3</v>
      </c>
      <c r="N2452" s="5">
        <f>1/KRW!B2452</f>
        <v>8.4488002703616096E-4</v>
      </c>
      <c r="O2452" s="5">
        <f>1/KRW!C2452</f>
        <v>8.4488488105541662E-4</v>
      </c>
      <c r="P2452" s="3">
        <f>1/NOK!B2452</f>
        <v>0.11474205984945843</v>
      </c>
      <c r="Q2452" s="3">
        <f>1/NOK!C2452</f>
        <v>0.11484220680784603</v>
      </c>
      <c r="R2452" s="3">
        <f>NZD!B2452/1</f>
        <v>0.66220000000000001</v>
      </c>
      <c r="S2452" s="3">
        <f>NZD!C2452/1</f>
        <v>0.66259999999999997</v>
      </c>
      <c r="T2452" s="4">
        <f>1/PHP!B2452</f>
        <v>1.9561815336463225E-2</v>
      </c>
      <c r="U2452" s="4">
        <f>1/PHP!C2452</f>
        <v>1.9536973722770343E-2</v>
      </c>
      <c r="V2452" s="4">
        <f>1/TWD!B2452</f>
        <v>3.2153306967621621E-2</v>
      </c>
      <c r="W2452" s="4">
        <f>1/TWD!C2452</f>
        <v>3.2153823893506538E-2</v>
      </c>
      <c r="X2452" s="4">
        <f>1/TWD!B2452</f>
        <v>3.2153306967621621E-2</v>
      </c>
      <c r="Y2452" s="4">
        <f>1/TWD!C2452</f>
        <v>3.2153823893506538E-2</v>
      </c>
      <c r="Z2452" s="4">
        <f>1/ZAR!B2452</f>
        <v>7.0264687076216109E-2</v>
      </c>
      <c r="AA2452" s="4">
        <f>1/ZAR!C2452</f>
        <v>6.9999090011829843E-2</v>
      </c>
    </row>
    <row r="2453" spans="1:27" x14ac:dyDescent="0.25">
      <c r="A2453" t="str">
        <f>"30/07/2019"</f>
        <v>30/07/2019</v>
      </c>
      <c r="B2453" s="3">
        <f>AUD!B2453</f>
        <v>0.68830000000000002</v>
      </c>
      <c r="C2453" s="3">
        <f>AUD!C2453</f>
        <v>0.68910000000000005</v>
      </c>
      <c r="D2453" s="3">
        <f>1/CAD!B2453</f>
        <v>0.75884049172863854</v>
      </c>
      <c r="E2453" s="3">
        <f>1/CAD!C2453</f>
        <v>0.75930144267274113</v>
      </c>
      <c r="F2453" s="3">
        <f>EUR!B2453/1</f>
        <v>1.1149</v>
      </c>
      <c r="G2453" s="3">
        <f>EUR!C2453/1</f>
        <v>1.1177999999999999</v>
      </c>
      <c r="H2453" s="3">
        <f>GBP!B2453/1</f>
        <v>1.2161999999999999</v>
      </c>
      <c r="I2453" s="3">
        <f>GBP!C2453/1</f>
        <v>1.2181999999999999</v>
      </c>
      <c r="J2453" s="4">
        <f>1/INR!B2453</f>
        <v>1.4521691777092031E-2</v>
      </c>
      <c r="K2453" s="4">
        <f>1/INR!C2453</f>
        <v>1.4472827266806571E-2</v>
      </c>
      <c r="L2453" s="4">
        <f>1/JPY!B2453</f>
        <v>9.2165898617511521E-3</v>
      </c>
      <c r="M2453" s="4">
        <f>1/JPY!C2453</f>
        <v>9.2388141058213757E-3</v>
      </c>
      <c r="N2453" s="5">
        <f>1/KRW!B2453</f>
        <v>8.4602368866328254E-4</v>
      </c>
      <c r="O2453" s="5">
        <f>1/KRW!C2453</f>
        <v>8.4602834110339864E-4</v>
      </c>
      <c r="P2453" s="3">
        <f>1/NOK!B2453</f>
        <v>0.11442694983522519</v>
      </c>
      <c r="Q2453" s="3">
        <f>1/NOK!C2453</f>
        <v>0.11453572942079282</v>
      </c>
      <c r="R2453" s="3">
        <f>NZD!B2453/1</f>
        <v>0.66149999999999998</v>
      </c>
      <c r="S2453" s="3">
        <f>NZD!C2453/1</f>
        <v>0.66190000000000004</v>
      </c>
      <c r="T2453" s="4">
        <f>1/PHP!B2453</f>
        <v>1.9650225977598742E-2</v>
      </c>
      <c r="U2453" s="4">
        <f>1/PHP!C2453</f>
        <v>1.9627085377821391E-2</v>
      </c>
      <c r="V2453" s="4">
        <f>1/TWD!B2453</f>
        <v>3.2180209171359615E-2</v>
      </c>
      <c r="W2453" s="4">
        <f>1/TWD!C2453</f>
        <v>3.2180726962622086E-2</v>
      </c>
      <c r="X2453" s="4">
        <f>1/TWD!B2453</f>
        <v>3.2180209171359615E-2</v>
      </c>
      <c r="Y2453" s="4">
        <f>1/TWD!C2453</f>
        <v>3.2180726962622086E-2</v>
      </c>
      <c r="Z2453" s="4">
        <f>1/ZAR!B2453</f>
        <v>7.0294322327585604E-2</v>
      </c>
      <c r="AA2453" s="4">
        <f>1/ZAR!C2453</f>
        <v>7.0003990227442969E-2</v>
      </c>
    </row>
    <row r="2454" spans="1:27" x14ac:dyDescent="0.25">
      <c r="A2454" t="str">
        <f>"31/07/2019"</f>
        <v>31/07/2019</v>
      </c>
      <c r="B2454" s="3">
        <f>AUD!B2454</f>
        <v>0.68930000000000002</v>
      </c>
      <c r="C2454" s="3">
        <f>AUD!C2454</f>
        <v>0.69010000000000005</v>
      </c>
      <c r="D2454" s="3">
        <f>1/CAD!B2454</f>
        <v>0.76057195010648004</v>
      </c>
      <c r="E2454" s="3">
        <f>1/CAD!C2454</f>
        <v>0.76103500761035003</v>
      </c>
      <c r="F2454" s="3">
        <f>EUR!B2454/1</f>
        <v>1.1146</v>
      </c>
      <c r="G2454" s="3">
        <f>EUR!C2454/1</f>
        <v>1.1173999999999999</v>
      </c>
      <c r="H2454" s="3">
        <f>GBP!B2454/1</f>
        <v>1.2170000000000001</v>
      </c>
      <c r="I2454" s="3">
        <f>GBP!C2454/1</f>
        <v>1.2188000000000001</v>
      </c>
      <c r="J2454" s="4">
        <f>1/INR!B2454</f>
        <v>1.4533299422301346E-2</v>
      </c>
      <c r="K2454" s="4">
        <f>1/INR!C2454</f>
        <v>1.4484881405033498E-2</v>
      </c>
      <c r="L2454" s="4">
        <f>1/JPY!B2454</f>
        <v>9.2097992263768646E-3</v>
      </c>
      <c r="M2454" s="4">
        <f>1/JPY!C2454</f>
        <v>9.2310021360538941E-3</v>
      </c>
      <c r="N2454" s="5">
        <f>1/KRW!B2454</f>
        <v>8.452370890034655E-4</v>
      </c>
      <c r="O2454" s="5">
        <f>1/KRW!C2454</f>
        <v>8.4524101836328381E-4</v>
      </c>
      <c r="P2454" s="3">
        <f>1/NOK!B2454</f>
        <v>0.11393284797940093</v>
      </c>
      <c r="Q2454" s="3">
        <f>1/NOK!C2454</f>
        <v>0.11403678826789522</v>
      </c>
      <c r="R2454" s="3">
        <f>NZD!B2454/1</f>
        <v>0.66069999999999995</v>
      </c>
      <c r="S2454" s="3">
        <f>NZD!C2454/1</f>
        <v>0.66110000000000002</v>
      </c>
      <c r="T2454" s="4">
        <f>1/PHP!B2454</f>
        <v>1.9642506383814574E-2</v>
      </c>
      <c r="U2454" s="4">
        <f>1/PHP!C2454</f>
        <v>1.9621308741293041E-2</v>
      </c>
      <c r="V2454" s="4">
        <f>1/TWD!B2454</f>
        <v>3.2158476974530489E-2</v>
      </c>
      <c r="W2454" s="4">
        <f>1/TWD!C2454</f>
        <v>3.2158994066665593E-2</v>
      </c>
      <c r="X2454" s="4">
        <f>1/TWD!B2454</f>
        <v>3.2158476974530489E-2</v>
      </c>
      <c r="Y2454" s="4">
        <f>1/TWD!C2454</f>
        <v>3.2158994066665593E-2</v>
      </c>
      <c r="Z2454" s="4">
        <f>1/ZAR!B2454</f>
        <v>7.0273575027582372E-2</v>
      </c>
      <c r="AA2454" s="4">
        <f>1/ZAR!C2454</f>
        <v>6.9997620080917256E-2</v>
      </c>
    </row>
    <row r="2455" spans="1:27" x14ac:dyDescent="0.25">
      <c r="A2455" t="str">
        <f>"01/08/2019"</f>
        <v>01/08/2019</v>
      </c>
      <c r="B2455" s="3">
        <f>AUD!B2455</f>
        <v>0.68420000000000003</v>
      </c>
      <c r="C2455" s="3">
        <f>AUD!C2455</f>
        <v>0.68489999999999995</v>
      </c>
      <c r="D2455" s="3">
        <f>1/CAD!B2455</f>
        <v>0.7562008469449486</v>
      </c>
      <c r="E2455" s="3">
        <f>1/CAD!C2455</f>
        <v>0.75665859564164639</v>
      </c>
      <c r="F2455" s="3">
        <f>EUR!B2455/1</f>
        <v>1.1035999999999999</v>
      </c>
      <c r="G2455" s="3">
        <f>EUR!C2455/1</f>
        <v>1.1063000000000001</v>
      </c>
      <c r="H2455" s="3">
        <f>GBP!B2455/1</f>
        <v>1.2116</v>
      </c>
      <c r="I2455" s="3">
        <f>GBP!C2455/1</f>
        <v>1.2133</v>
      </c>
      <c r="J2455" s="4">
        <f>1/INR!B2455</f>
        <v>1.4479113878230653E-2</v>
      </c>
      <c r="K2455" s="4">
        <f>1/INR!C2455</f>
        <v>1.4432096983691729E-2</v>
      </c>
      <c r="L2455" s="4">
        <f>1/JPY!B2455</f>
        <v>9.1827364554637279E-3</v>
      </c>
      <c r="M2455" s="4">
        <f>1/JPY!C2455</f>
        <v>9.2031710446151323E-3</v>
      </c>
      <c r="N2455" s="5">
        <f>1/KRW!B2455</f>
        <v>8.4132592966515234E-4</v>
      </c>
      <c r="O2455" s="5">
        <f>1/KRW!C2455</f>
        <v>8.4133017666251041E-4</v>
      </c>
      <c r="P2455" s="3">
        <f>1/NOK!B2455</f>
        <v>0.11249732818845554</v>
      </c>
      <c r="Q2455" s="3">
        <f>1/NOK!C2455</f>
        <v>0.11259739674818718</v>
      </c>
      <c r="R2455" s="3">
        <f>NZD!B2455/1</f>
        <v>0.65510000000000002</v>
      </c>
      <c r="S2455" s="3">
        <f>NZD!C2455/1</f>
        <v>0.65549999999999997</v>
      </c>
      <c r="T2455" s="4">
        <f>1/PHP!B2455</f>
        <v>1.952362358453729E-2</v>
      </c>
      <c r="U2455" s="4">
        <f>1/PHP!C2455</f>
        <v>1.950344235757611E-2</v>
      </c>
      <c r="V2455" s="4">
        <f>1/TWD!B2455</f>
        <v>3.2069783849656856E-2</v>
      </c>
      <c r="W2455" s="4">
        <f>1/TWD!C2455</f>
        <v>3.2070298093420775E-2</v>
      </c>
      <c r="X2455" s="4">
        <f>1/TWD!B2455</f>
        <v>3.2069783849656856E-2</v>
      </c>
      <c r="Y2455" s="4">
        <f>1/TWD!C2455</f>
        <v>3.2070298093420775E-2</v>
      </c>
      <c r="Z2455" s="4">
        <f>1/ZAR!B2455</f>
        <v>6.901311249137336E-2</v>
      </c>
      <c r="AA2455" s="4">
        <f>1/ZAR!C2455</f>
        <v>6.8753093889225014E-2</v>
      </c>
    </row>
    <row r="2456" spans="1:27" x14ac:dyDescent="0.25">
      <c r="A2456" t="str">
        <f>"02/08/2019"</f>
        <v>02/08/2019</v>
      </c>
      <c r="B2456" s="3">
        <f>AUD!B2456</f>
        <v>0.67900000000000005</v>
      </c>
      <c r="C2456" s="3">
        <f>AUD!C2456</f>
        <v>0.67969999999999997</v>
      </c>
      <c r="D2456" s="3">
        <f>1/CAD!B2456</f>
        <v>0.75631523218877628</v>
      </c>
      <c r="E2456" s="3">
        <f>1/CAD!C2456</f>
        <v>0.75671585319712453</v>
      </c>
      <c r="F2456" s="3">
        <f>EUR!B2456/1</f>
        <v>1.1099000000000001</v>
      </c>
      <c r="G2456" s="3">
        <f>EUR!C2456/1</f>
        <v>1.1126</v>
      </c>
      <c r="H2456" s="3">
        <f>GBP!B2456/1</f>
        <v>1.2122999999999999</v>
      </c>
      <c r="I2456" s="3">
        <f>GBP!C2456/1</f>
        <v>1.214</v>
      </c>
      <c r="J2456" s="4">
        <f>1/INR!B2456</f>
        <v>1.4363688595231254E-2</v>
      </c>
      <c r="K2456" s="4">
        <f>1/INR!C2456</f>
        <v>1.431536754706177E-2</v>
      </c>
      <c r="L2456" s="4">
        <f>1/JPY!B2456</f>
        <v>9.358914365933552E-3</v>
      </c>
      <c r="M2456" s="4">
        <f>1/JPY!C2456</f>
        <v>9.3797895550415435E-3</v>
      </c>
      <c r="N2456" s="5">
        <f>1/KRW!B2456</f>
        <v>8.3472454090150253E-4</v>
      </c>
      <c r="O2456" s="5">
        <f>1/KRW!C2456</f>
        <v>8.3472802474133872E-4</v>
      </c>
      <c r="P2456" s="3">
        <f>1/NOK!B2456</f>
        <v>0.11204481792717086</v>
      </c>
      <c r="Q2456" s="3">
        <f>1/NOK!C2456</f>
        <v>0.11214282510204998</v>
      </c>
      <c r="R2456" s="3">
        <f>NZD!B2456/1</f>
        <v>0.65229999999999999</v>
      </c>
      <c r="S2456" s="3">
        <f>NZD!C2456/1</f>
        <v>0.65269999999999995</v>
      </c>
      <c r="T2456" s="4">
        <f>1/PHP!B2456</f>
        <v>1.9436345966958212E-2</v>
      </c>
      <c r="U2456" s="4">
        <f>1/PHP!C2456</f>
        <v>1.9411821799475881E-2</v>
      </c>
      <c r="V2456" s="4">
        <f>1/TWD!B2456</f>
        <v>3.1869462680859204E-2</v>
      </c>
      <c r="W2456" s="4">
        <f>1/TWD!C2456</f>
        <v>3.186997052027727E-2</v>
      </c>
      <c r="X2456" s="4">
        <f>1/TWD!B2456</f>
        <v>3.1869462680859204E-2</v>
      </c>
      <c r="Y2456" s="4">
        <f>1/TWD!C2456</f>
        <v>3.186997052027727E-2</v>
      </c>
      <c r="Z2456" s="4">
        <f>1/ZAR!B2456</f>
        <v>6.8095769890774385E-2</v>
      </c>
      <c r="AA2456" s="4">
        <f>1/ZAR!C2456</f>
        <v>6.7835701929925718E-2</v>
      </c>
    </row>
    <row r="2457" spans="1:27" x14ac:dyDescent="0.25">
      <c r="A2457" t="str">
        <f>"05/08/2019"</f>
        <v>05/08/2019</v>
      </c>
      <c r="B2457" s="3">
        <f>AUD!B2457</f>
        <v>0.67649999999999999</v>
      </c>
      <c r="C2457" s="3">
        <f>AUD!C2457</f>
        <v>0.67730000000000001</v>
      </c>
      <c r="D2457" s="3">
        <f>1/CAD!B2457</f>
        <v>0.75648687495271949</v>
      </c>
      <c r="E2457" s="3">
        <f>1/CAD!C2457</f>
        <v>0.75688767786860434</v>
      </c>
      <c r="F2457" s="3">
        <f>EUR!B2457/1</f>
        <v>1.1175999999999999</v>
      </c>
      <c r="G2457" s="3">
        <f>EUR!C2457/1</f>
        <v>1.1204000000000001</v>
      </c>
      <c r="H2457" s="3">
        <f>GBP!B2457/1</f>
        <v>1.2164999999999999</v>
      </c>
      <c r="I2457" s="3">
        <f>GBP!C2457/1</f>
        <v>1.2182999999999999</v>
      </c>
      <c r="J2457" s="4">
        <f>1/INR!B2457</f>
        <v>1.4136773281498498E-2</v>
      </c>
      <c r="K2457" s="4">
        <f>1/INR!C2457</f>
        <v>1.408252358822701E-2</v>
      </c>
      <c r="L2457" s="4">
        <f>1/JPY!B2457</f>
        <v>9.4250706880301613E-3</v>
      </c>
      <c r="M2457" s="4">
        <f>1/JPY!C2457</f>
        <v>9.4474025311480862E-3</v>
      </c>
      <c r="N2457" s="5">
        <f>1/KRW!B2457</f>
        <v>8.2304526748971192E-4</v>
      </c>
      <c r="O2457" s="5">
        <f>1/KRW!C2457</f>
        <v>8.2304967063609805E-4</v>
      </c>
      <c r="P2457" s="3">
        <f>1/NOK!B2457</f>
        <v>0.1120322652924042</v>
      </c>
      <c r="Q2457" s="3">
        <f>1/NOK!C2457</f>
        <v>0.11213528000179417</v>
      </c>
      <c r="R2457" s="3">
        <f>NZD!B2457/1</f>
        <v>0.65180000000000005</v>
      </c>
      <c r="S2457" s="3">
        <f>NZD!C2457/1</f>
        <v>0.65229999999999999</v>
      </c>
      <c r="T2457" s="4">
        <f>1/PHP!B2457</f>
        <v>1.9305019305019305E-2</v>
      </c>
      <c r="U2457" s="4">
        <f>1/PHP!C2457</f>
        <v>1.9277108433734941E-2</v>
      </c>
      <c r="V2457" s="4">
        <f>1/TWD!B2457</f>
        <v>3.1617554066017454E-2</v>
      </c>
      <c r="W2457" s="4">
        <f>1/TWD!C2457</f>
        <v>3.1618053908781911E-2</v>
      </c>
      <c r="X2457" s="4">
        <f>1/TWD!B2457</f>
        <v>3.1617554066017454E-2</v>
      </c>
      <c r="Y2457" s="4">
        <f>1/TWD!C2457</f>
        <v>3.1618053908781911E-2</v>
      </c>
      <c r="Z2457" s="4">
        <f>1/ZAR!B2457</f>
        <v>6.7013798141037237E-2</v>
      </c>
      <c r="AA2457" s="4">
        <f>1/ZAR!C2457</f>
        <v>6.6736962934290794E-2</v>
      </c>
    </row>
    <row r="2458" spans="1:27" x14ac:dyDescent="0.25">
      <c r="A2458" t="str">
        <f>"06/08/2019"</f>
        <v>06/08/2019</v>
      </c>
      <c r="B2458" s="3">
        <f>AUD!B2458</f>
        <v>0.67900000000000005</v>
      </c>
      <c r="C2458" s="3">
        <f>AUD!C2458</f>
        <v>0.67969999999999997</v>
      </c>
      <c r="D2458" s="3">
        <f>1/CAD!B2458</f>
        <v>0.75671585319712453</v>
      </c>
      <c r="E2458" s="3">
        <f>1/CAD!C2458</f>
        <v>0.75717422578935412</v>
      </c>
      <c r="F2458" s="3">
        <f>EUR!B2458/1</f>
        <v>1.1187</v>
      </c>
      <c r="G2458" s="3">
        <f>EUR!C2458/1</f>
        <v>1.1214</v>
      </c>
      <c r="H2458" s="3">
        <f>GBP!B2458/1</f>
        <v>1.2177</v>
      </c>
      <c r="I2458" s="3">
        <f>GBP!C2458/1</f>
        <v>1.2194</v>
      </c>
      <c r="J2458" s="4">
        <f>1/INR!B2458</f>
        <v>1.4118311449950587E-2</v>
      </c>
      <c r="K2458" s="4">
        <f>1/INR!C2458</f>
        <v>1.4070634585619813E-2</v>
      </c>
      <c r="L2458" s="4">
        <f>1/JPY!B2458</f>
        <v>9.3817431278731579E-3</v>
      </c>
      <c r="M2458" s="4">
        <f>1/JPY!C2458</f>
        <v>9.4029944776213431E-3</v>
      </c>
      <c r="N2458" s="5">
        <f>1/KRW!B2458</f>
        <v>8.2277439526081938E-4</v>
      </c>
      <c r="O2458" s="5">
        <f>1/KRW!C2458</f>
        <v>8.2277744158177311E-4</v>
      </c>
      <c r="P2458" s="3">
        <f>1/NOK!B2458</f>
        <v>0.11233430689732646</v>
      </c>
      <c r="Q2458" s="3">
        <f>1/NOK!C2458</f>
        <v>0.11243282138921995</v>
      </c>
      <c r="R2458" s="3">
        <f>NZD!B2458/1</f>
        <v>0.65500000000000003</v>
      </c>
      <c r="S2458" s="3">
        <f>NZD!C2458/1</f>
        <v>0.65549999999999997</v>
      </c>
      <c r="T2458" s="4">
        <f>1/PHP!B2458</f>
        <v>1.92437217357837E-2</v>
      </c>
      <c r="U2458" s="4">
        <f>1/PHP!C2458</f>
        <v>1.9213587849327043E-2</v>
      </c>
      <c r="V2458" s="4">
        <f>1/TWD!B2458</f>
        <v>3.1735956839098696E-2</v>
      </c>
      <c r="W2458" s="4">
        <f>1/TWD!C2458</f>
        <v>3.1736460432567955E-2</v>
      </c>
      <c r="X2458" s="4">
        <f>1/TWD!B2458</f>
        <v>3.1735956839098696E-2</v>
      </c>
      <c r="Y2458" s="4">
        <f>1/TWD!C2458</f>
        <v>3.1736460432567955E-2</v>
      </c>
      <c r="Z2458" s="4">
        <f>1/ZAR!B2458</f>
        <v>6.7666781700195563E-2</v>
      </c>
      <c r="AA2458" s="4">
        <f>1/ZAR!C2458</f>
        <v>6.7399069892835478E-2</v>
      </c>
    </row>
    <row r="2459" spans="1:27" x14ac:dyDescent="0.25">
      <c r="A2459" t="str">
        <f>"07/08/2019"</f>
        <v>07/08/2019</v>
      </c>
      <c r="B2459" s="3">
        <f>AUD!B2459</f>
        <v>0.67</v>
      </c>
      <c r="C2459" s="3">
        <f>AUD!C2459</f>
        <v>0.67059999999999997</v>
      </c>
      <c r="D2459" s="3">
        <f>1/CAD!B2459</f>
        <v>0.75210589651022874</v>
      </c>
      <c r="E2459" s="3">
        <f>1/CAD!C2459</f>
        <v>0.75250206938069086</v>
      </c>
      <c r="F2459" s="3">
        <f>EUR!B2459/1</f>
        <v>1.1213</v>
      </c>
      <c r="G2459" s="3">
        <f>EUR!C2459/1</f>
        <v>1.1238999999999999</v>
      </c>
      <c r="H2459" s="3">
        <f>GBP!B2459/1</f>
        <v>1.2161999999999999</v>
      </c>
      <c r="I2459" s="3">
        <f>GBP!C2459/1</f>
        <v>1.2178</v>
      </c>
      <c r="J2459" s="4">
        <f>1/INR!B2459</f>
        <v>1.4094929349166636E-2</v>
      </c>
      <c r="K2459" s="4">
        <f>1/INR!C2459</f>
        <v>1.4047903350424948E-2</v>
      </c>
      <c r="L2459" s="4">
        <f>1/JPY!B2459</f>
        <v>9.4259590913375428E-3</v>
      </c>
      <c r="M2459" s="4">
        <f>1/JPY!C2459</f>
        <v>9.4465100813155584E-3</v>
      </c>
      <c r="N2459" s="5">
        <f>1/KRW!B2459</f>
        <v>8.2284209660166217E-4</v>
      </c>
      <c r="O2459" s="5">
        <f>1/KRW!C2459</f>
        <v>8.2284548196116987E-4</v>
      </c>
      <c r="P2459" s="3">
        <f>1/NOK!B2459</f>
        <v>0.11219944573473808</v>
      </c>
      <c r="Q2459" s="3">
        <f>1/NOK!C2459</f>
        <v>0.11229141868978372</v>
      </c>
      <c r="R2459" s="3">
        <f>NZD!B2459/1</f>
        <v>0.63980000000000004</v>
      </c>
      <c r="S2459" s="3">
        <f>NZD!C2459/1</f>
        <v>0.64039999999999997</v>
      </c>
      <c r="T2459" s="4">
        <f>1/PHP!B2459</f>
        <v>1.9136924696201318E-2</v>
      </c>
      <c r="U2459" s="4">
        <f>1/PHP!C2459</f>
        <v>1.910584638899503E-2</v>
      </c>
      <c r="V2459" s="4">
        <f>1/TWD!B2459</f>
        <v>3.1764182707578935E-2</v>
      </c>
      <c r="W2459" s="4">
        <f>1/TWD!C2459</f>
        <v>3.1764687197242826E-2</v>
      </c>
      <c r="X2459" s="4">
        <f>1/TWD!B2459</f>
        <v>3.1764182707578935E-2</v>
      </c>
      <c r="Y2459" s="4">
        <f>1/TWD!C2459</f>
        <v>3.1764687197242826E-2</v>
      </c>
      <c r="Z2459" s="4">
        <f>1/ZAR!B2459</f>
        <v>6.671648163962425E-2</v>
      </c>
      <c r="AA2459" s="4">
        <f>1/ZAR!C2459</f>
        <v>6.6458871927107907E-2</v>
      </c>
    </row>
    <row r="2460" spans="1:27" x14ac:dyDescent="0.25">
      <c r="A2460" t="str">
        <f>"08/08/2019"</f>
        <v>08/08/2019</v>
      </c>
      <c r="B2460" s="3">
        <f>AUD!B2460</f>
        <v>0.6784</v>
      </c>
      <c r="C2460" s="3">
        <f>AUD!C2460</f>
        <v>0.67910000000000004</v>
      </c>
      <c r="D2460" s="3">
        <f>1/CAD!B2460</f>
        <v>0.7517666516313336</v>
      </c>
      <c r="E2460" s="3">
        <f>1/CAD!C2460</f>
        <v>0.75210589651022874</v>
      </c>
      <c r="F2460" s="3">
        <f>EUR!B2460/1</f>
        <v>1.1191</v>
      </c>
      <c r="G2460" s="3">
        <f>EUR!C2460/1</f>
        <v>1.1216999999999999</v>
      </c>
      <c r="H2460" s="3">
        <f>GBP!B2460/1</f>
        <v>1.2138</v>
      </c>
      <c r="I2460" s="3">
        <f>GBP!C2460/1</f>
        <v>1.2154</v>
      </c>
      <c r="J2460" s="4">
        <f>1/INR!B2460</f>
        <v>1.414277127603154E-2</v>
      </c>
      <c r="K2460" s="4">
        <f>1/INR!C2460</f>
        <v>1.4097413124691619E-2</v>
      </c>
      <c r="L2460" s="4">
        <f>1/JPY!B2460</f>
        <v>9.4375235938089844E-3</v>
      </c>
      <c r="M2460" s="4">
        <f>1/JPY!C2460</f>
        <v>9.458339796532194E-3</v>
      </c>
      <c r="N2460" s="5">
        <f>1/KRW!B2460</f>
        <v>8.2706145066578456E-4</v>
      </c>
      <c r="O2460" s="5">
        <f>1/KRW!C2460</f>
        <v>8.2706521285143557E-4</v>
      </c>
      <c r="P2460" s="3">
        <f>1/NOK!B2460</f>
        <v>0.11168192986374804</v>
      </c>
      <c r="Q2460" s="3">
        <f>1/NOK!C2460</f>
        <v>0.11177305598712374</v>
      </c>
      <c r="R2460" s="3">
        <f>NZD!B2460/1</f>
        <v>0.64500000000000002</v>
      </c>
      <c r="S2460" s="3">
        <f>NZD!C2460/1</f>
        <v>0.64559999999999995</v>
      </c>
      <c r="T2460" s="4">
        <f>1/PHP!B2460</f>
        <v>1.9208605455243947E-2</v>
      </c>
      <c r="U2460" s="4">
        <f>1/PHP!C2460</f>
        <v>1.9180604572656128E-2</v>
      </c>
      <c r="V2460" s="4">
        <f>1/TWD!B2460</f>
        <v>3.1884704907056083E-2</v>
      </c>
      <c r="W2460" s="4">
        <f>1/TWD!C2460</f>
        <v>3.1885213232363492E-2</v>
      </c>
      <c r="X2460" s="4">
        <f>1/TWD!B2460</f>
        <v>3.1884704907056083E-2</v>
      </c>
      <c r="Y2460" s="4">
        <f>1/TWD!C2460</f>
        <v>3.1885213232363492E-2</v>
      </c>
      <c r="Z2460" s="4">
        <f>1/ZAR!B2460</f>
        <v>6.6065034419882929E-2</v>
      </c>
      <c r="AA2460" s="4">
        <f>1/ZAR!C2460</f>
        <v>6.5805059092943069E-2</v>
      </c>
    </row>
    <row r="2461" spans="1:27" x14ac:dyDescent="0.25">
      <c r="A2461" t="str">
        <f>"09/08/2019"</f>
        <v>09/08/2019</v>
      </c>
      <c r="B2461" s="3">
        <f>AUD!B2461</f>
        <v>0.68059999999999998</v>
      </c>
      <c r="C2461" s="3">
        <f>AUD!C2461</f>
        <v>0.68130000000000002</v>
      </c>
      <c r="D2461" s="3">
        <f>1/CAD!B2461</f>
        <v>0.75648687495271949</v>
      </c>
      <c r="E2461" s="3">
        <f>1/CAD!C2461</f>
        <v>0.75688767786860434</v>
      </c>
      <c r="F2461" s="3">
        <f>EUR!B2461/1</f>
        <v>1.1203000000000001</v>
      </c>
      <c r="G2461" s="3">
        <f>EUR!C2461/1</f>
        <v>1.1229</v>
      </c>
      <c r="H2461" s="3">
        <f>GBP!B2461/1</f>
        <v>1.2072000000000001</v>
      </c>
      <c r="I2461" s="3">
        <f>GBP!C2461/1</f>
        <v>1.2088000000000001</v>
      </c>
      <c r="J2461" s="4">
        <f>1/INR!B2461</f>
        <v>1.4125291334133766E-2</v>
      </c>
      <c r="K2461" s="4">
        <f>1/INR!C2461</f>
        <v>1.4076576576576575E-2</v>
      </c>
      <c r="L2461" s="4">
        <f>1/JPY!B2461</f>
        <v>9.4535829079221024E-3</v>
      </c>
      <c r="M2461" s="4">
        <f>1/JPY!C2461</f>
        <v>9.4767147641530002E-3</v>
      </c>
      <c r="N2461" s="5">
        <f>1/KRW!B2461</f>
        <v>8.2637798529047192E-4</v>
      </c>
      <c r="O2461" s="5">
        <f>1/KRW!C2461</f>
        <v>8.2638174126070326E-4</v>
      </c>
      <c r="P2461" s="3">
        <f>1/NOK!B2461</f>
        <v>0.11232925952552121</v>
      </c>
      <c r="Q2461" s="3">
        <f>1/NOK!C2461</f>
        <v>0.11242523721725053</v>
      </c>
      <c r="R2461" s="3">
        <f>NZD!B2461/1</f>
        <v>0.64890000000000003</v>
      </c>
      <c r="S2461" s="3">
        <f>NZD!C2461/1</f>
        <v>0.64949999999999997</v>
      </c>
      <c r="T2461" s="4">
        <f>1/PHP!B2461</f>
        <v>1.926782273603083E-2</v>
      </c>
      <c r="U2461" s="4">
        <f>1/PHP!C2461</f>
        <v>1.9238908769094617E-2</v>
      </c>
      <c r="V2461" s="4">
        <f>1/TWD!B2461</f>
        <v>3.1884704907056083E-2</v>
      </c>
      <c r="W2461" s="4">
        <f>1/TWD!C2461</f>
        <v>3.1885213232363492E-2</v>
      </c>
      <c r="X2461" s="4">
        <f>1/TWD!B2461</f>
        <v>3.1884704907056083E-2</v>
      </c>
      <c r="Y2461" s="4">
        <f>1/TWD!C2461</f>
        <v>3.1885213232363492E-2</v>
      </c>
      <c r="Z2461" s="4">
        <f>1/ZAR!B2461</f>
        <v>6.5789473684210523E-2</v>
      </c>
      <c r="AA2461" s="4">
        <f>1/ZAR!C2461</f>
        <v>6.5531228907135697E-2</v>
      </c>
    </row>
    <row r="2462" spans="1:27" x14ac:dyDescent="0.25">
      <c r="A2462" t="str">
        <f>"13/08/2019"</f>
        <v>13/08/2019</v>
      </c>
      <c r="B2462" s="3">
        <f>AUD!B2462</f>
        <v>0.67679999999999996</v>
      </c>
      <c r="C2462" s="3">
        <f>AUD!C2462</f>
        <v>0.67749999999999999</v>
      </c>
      <c r="D2462" s="3">
        <f>1/CAD!B2462</f>
        <v>0.75363629512397323</v>
      </c>
      <c r="E2462" s="3">
        <f>1/CAD!C2462</f>
        <v>0.75409094336777016</v>
      </c>
      <c r="F2462" s="3">
        <f>EUR!B2462/1</f>
        <v>1.1217999999999999</v>
      </c>
      <c r="G2462" s="3">
        <f>EUR!C2462/1</f>
        <v>1.1246</v>
      </c>
      <c r="H2462" s="3">
        <f>GBP!B2462/1</f>
        <v>1.2081999999999999</v>
      </c>
      <c r="I2462" s="3">
        <f>GBP!C2462/1</f>
        <v>1.2099</v>
      </c>
      <c r="J2462" s="4">
        <f>1/INR!B2462</f>
        <v>1.4005111865831027E-2</v>
      </c>
      <c r="K2462" s="4">
        <f>1/INR!C2462</f>
        <v>1.3959169429418949E-2</v>
      </c>
      <c r="L2462" s="4">
        <f>1/JPY!B2462</f>
        <v>9.5084149472282973E-3</v>
      </c>
      <c r="M2462" s="4">
        <f>1/JPY!C2462</f>
        <v>9.5311530503025665E-3</v>
      </c>
      <c r="N2462" s="5">
        <f>1/KRW!B2462</f>
        <v>8.1806282722513078E-4</v>
      </c>
      <c r="O2462" s="5">
        <f>1/KRW!C2462</f>
        <v>8.1806617337276417E-4</v>
      </c>
      <c r="P2462" s="3">
        <f>1/NOK!B2462</f>
        <v>0.11201846064231386</v>
      </c>
      <c r="Q2462" s="3">
        <f>1/NOK!C2462</f>
        <v>0.11211893576706169</v>
      </c>
      <c r="R2462" s="3">
        <f>NZD!B2462/1</f>
        <v>0.64470000000000005</v>
      </c>
      <c r="S2462" s="3">
        <f>NZD!C2462/1</f>
        <v>0.64529999999999998</v>
      </c>
      <c r="T2462" s="4">
        <f>1/PHP!B2462</f>
        <v>1.905850962454736E-2</v>
      </c>
      <c r="U2462" s="4">
        <f>1/PHP!C2462</f>
        <v>1.9026418181645213E-2</v>
      </c>
      <c r="V2462" s="4">
        <f>1/TWD!B2462</f>
        <v>3.1738978639667376E-2</v>
      </c>
      <c r="W2462" s="4">
        <f>1/TWD!C2462</f>
        <v>3.1739482329043216E-2</v>
      </c>
      <c r="X2462" s="4">
        <f>1/TWD!B2462</f>
        <v>3.1738978639667376E-2</v>
      </c>
      <c r="Y2462" s="4">
        <f>1/TWD!C2462</f>
        <v>3.1739482329043216E-2</v>
      </c>
      <c r="Z2462" s="4">
        <f>1/ZAR!B2462</f>
        <v>6.5164834448738079E-2</v>
      </c>
      <c r="AA2462" s="4">
        <f>1/ZAR!C2462</f>
        <v>6.4899665117727989E-2</v>
      </c>
    </row>
    <row r="2463" spans="1:27" x14ac:dyDescent="0.25">
      <c r="A2463" t="str">
        <f>"14/08/2019"</f>
        <v>14/08/2019</v>
      </c>
      <c r="B2463" s="3">
        <f>AUD!B2463</f>
        <v>0.67490000000000006</v>
      </c>
      <c r="C2463" s="3">
        <f>AUD!C2463</f>
        <v>0.67559999999999998</v>
      </c>
      <c r="D2463" s="3">
        <f>1/CAD!B2463</f>
        <v>0.75210589651022874</v>
      </c>
      <c r="E2463" s="3">
        <f>1/CAD!C2463</f>
        <v>0.75255869957856714</v>
      </c>
      <c r="F2463" s="3">
        <f>EUR!B2463/1</f>
        <v>1.1181000000000001</v>
      </c>
      <c r="G2463" s="3">
        <f>EUR!C2463/1</f>
        <v>1.1208</v>
      </c>
      <c r="H2463" s="3">
        <f>GBP!B2463/1</f>
        <v>1.2065999999999999</v>
      </c>
      <c r="I2463" s="3">
        <f>GBP!C2463/1</f>
        <v>1.2082999999999999</v>
      </c>
      <c r="J2463" s="4">
        <f>1/INR!B2463</f>
        <v>1.4029180695847363E-2</v>
      </c>
      <c r="K2463" s="4">
        <f>1/INR!C2463</f>
        <v>1.3983080472628119E-2</v>
      </c>
      <c r="L2463" s="4">
        <f>1/JPY!B2463</f>
        <v>9.4410876132930508E-3</v>
      </c>
      <c r="M2463" s="4">
        <f>1/JPY!C2463</f>
        <v>9.4629850607854844E-3</v>
      </c>
      <c r="N2463" s="5">
        <f>1/KRW!B2463</f>
        <v>8.2460625051537892E-4</v>
      </c>
      <c r="O2463" s="5">
        <f>1/KRW!C2463</f>
        <v>8.2460978640297629E-4</v>
      </c>
      <c r="P2463" s="3">
        <f>1/NOK!B2463</f>
        <v>0.11177305598712374</v>
      </c>
      <c r="Q2463" s="3">
        <f>1/NOK!C2463</f>
        <v>0.11187309116538198</v>
      </c>
      <c r="R2463" s="3">
        <f>NZD!B2463/1</f>
        <v>0.64270000000000005</v>
      </c>
      <c r="S2463" s="3">
        <f>NZD!C2463/1</f>
        <v>0.64329999999999998</v>
      </c>
      <c r="T2463" s="4">
        <f>1/PHP!B2463</f>
        <v>1.910949742021785E-2</v>
      </c>
      <c r="U2463" s="4">
        <f>1/PHP!C2463</f>
        <v>1.9079236067387862E-2</v>
      </c>
      <c r="V2463" s="4">
        <f>1/TWD!B2463</f>
        <v>3.1842063365706094E-2</v>
      </c>
      <c r="W2463" s="4">
        <f>1/TWD!C2463</f>
        <v>3.184257033227722E-2</v>
      </c>
      <c r="X2463" s="4">
        <f>1/TWD!B2463</f>
        <v>3.1842063365706094E-2</v>
      </c>
      <c r="Y2463" s="4">
        <f>1/TWD!C2463</f>
        <v>3.184257033227722E-2</v>
      </c>
      <c r="Z2463" s="4">
        <f>1/ZAR!B2463</f>
        <v>6.5169930594023914E-2</v>
      </c>
      <c r="AA2463" s="4">
        <f>1/ZAR!C2463</f>
        <v>6.4918203064139188E-2</v>
      </c>
    </row>
    <row r="2464" spans="1:27" x14ac:dyDescent="0.25">
      <c r="A2464" t="str">
        <f>"16/08/2019"</f>
        <v>16/08/2019</v>
      </c>
      <c r="B2464" s="3">
        <f>AUD!B2464</f>
        <v>0.6784</v>
      </c>
      <c r="C2464" s="3">
        <f>AUD!C2464</f>
        <v>0.67910000000000004</v>
      </c>
      <c r="D2464" s="3">
        <f>1/CAD!B2464</f>
        <v>0.75069439231288937</v>
      </c>
      <c r="E2464" s="3">
        <f>1/CAD!C2464</f>
        <v>0.75108907916478895</v>
      </c>
      <c r="F2464" s="3">
        <f>EUR!B2464/1</f>
        <v>1.1097999999999999</v>
      </c>
      <c r="G2464" s="3">
        <f>EUR!C2464/1</f>
        <v>1.1124000000000001</v>
      </c>
      <c r="H2464" s="3">
        <f>GBP!B2464/1</f>
        <v>1.2088000000000001</v>
      </c>
      <c r="I2464" s="3">
        <f>GBP!C2464/1</f>
        <v>1.2104999999999999</v>
      </c>
      <c r="J2464" s="4">
        <f>1/INR!B2464</f>
        <v>1.402082091906481E-2</v>
      </c>
      <c r="K2464" s="4">
        <f>1/INR!C2464</f>
        <v>1.3975263783103905E-2</v>
      </c>
      <c r="L2464" s="4">
        <f>1/JPY!B2464</f>
        <v>9.419743782969104E-3</v>
      </c>
      <c r="M2464" s="4">
        <f>1/JPY!C2464</f>
        <v>9.4408023926769585E-3</v>
      </c>
      <c r="N2464" s="5">
        <f>1/KRW!B2464</f>
        <v>8.2467425366980051E-4</v>
      </c>
      <c r="O2464" s="5">
        <f>1/KRW!C2464</f>
        <v>8.2467813018748321E-4</v>
      </c>
      <c r="P2464" s="3">
        <f>1/NOK!B2464</f>
        <v>0.11073216104885504</v>
      </c>
      <c r="Q2464" s="3">
        <f>1/NOK!C2464</f>
        <v>0.11082665602730769</v>
      </c>
      <c r="R2464" s="3">
        <f>NZD!B2464/1</f>
        <v>0.64380000000000004</v>
      </c>
      <c r="S2464" s="3">
        <f>NZD!C2464/1</f>
        <v>0.64439999999999997</v>
      </c>
      <c r="T2464" s="4">
        <f>1/PHP!B2464</f>
        <v>1.907668828691339E-2</v>
      </c>
      <c r="U2464" s="4">
        <f>1/PHP!C2464</f>
        <v>1.9047619047619049E-2</v>
      </c>
      <c r="V2464" s="4">
        <f>1/TWD!B2464</f>
        <v>3.1895891809134984E-2</v>
      </c>
      <c r="W2464" s="4">
        <f>1/TWD!C2464</f>
        <v>3.1896400491204568E-2</v>
      </c>
      <c r="X2464" s="4">
        <f>1/TWD!B2464</f>
        <v>3.1895891809134984E-2</v>
      </c>
      <c r="Y2464" s="4">
        <f>1/TWD!C2464</f>
        <v>3.1896400491204568E-2</v>
      </c>
      <c r="Z2464" s="4">
        <f>1/ZAR!B2464</f>
        <v>6.563488625474212E-2</v>
      </c>
      <c r="AA2464" s="4">
        <f>1/ZAR!C2464</f>
        <v>6.5378278720677835E-2</v>
      </c>
    </row>
    <row r="2465" spans="1:27" x14ac:dyDescent="0.25">
      <c r="A2465" t="str">
        <f>"19/08/2019"</f>
        <v>19/08/2019</v>
      </c>
      <c r="B2465" s="3">
        <f>AUD!B2465</f>
        <v>0.67830000000000001</v>
      </c>
      <c r="C2465" s="3">
        <f>AUD!C2465</f>
        <v>0.67900000000000005</v>
      </c>
      <c r="D2465" s="3">
        <f>1/CAD!B2465</f>
        <v>0.75323892738776743</v>
      </c>
      <c r="E2465" s="3">
        <f>1/CAD!C2465</f>
        <v>0.75363629512397323</v>
      </c>
      <c r="F2465" s="3">
        <f>EUR!B2465/1</f>
        <v>1.1091</v>
      </c>
      <c r="G2465" s="3">
        <f>EUR!C2465/1</f>
        <v>1.1119000000000001</v>
      </c>
      <c r="H2465" s="3">
        <f>GBP!B2465/1</f>
        <v>1.2156</v>
      </c>
      <c r="I2465" s="3">
        <f>GBP!C2465/1</f>
        <v>1.2173</v>
      </c>
      <c r="J2465" s="4">
        <f>1/INR!B2465</f>
        <v>1.4068655036578503E-2</v>
      </c>
      <c r="K2465" s="4">
        <f>1/INR!C2465</f>
        <v>1.4020329477742727E-2</v>
      </c>
      <c r="L2465" s="4">
        <f>1/JPY!B2465</f>
        <v>9.4011469399266703E-3</v>
      </c>
      <c r="M2465" s="4">
        <f>1/JPY!C2465</f>
        <v>9.4234897444161105E-3</v>
      </c>
      <c r="N2465" s="5">
        <f>1/KRW!B2465</f>
        <v>8.2521868295098208E-4</v>
      </c>
      <c r="O2465" s="5">
        <f>1/KRW!C2465</f>
        <v>8.2522208789440456E-4</v>
      </c>
      <c r="P2465" s="3">
        <f>1/NOK!B2465</f>
        <v>0.11108148938060962</v>
      </c>
      <c r="Q2465" s="3">
        <f>1/NOK!C2465</f>
        <v>0.1111790538662516</v>
      </c>
      <c r="R2465" s="3">
        <f>NZD!B2465/1</f>
        <v>0.64190000000000003</v>
      </c>
      <c r="S2465" s="3">
        <f>NZD!C2465/1</f>
        <v>0.64249999999999996</v>
      </c>
      <c r="T2465" s="4">
        <f>1/PHP!B2465</f>
        <v>1.9107671730199675E-2</v>
      </c>
      <c r="U2465" s="4">
        <f>1/PHP!C2465</f>
        <v>1.9080328181644724E-2</v>
      </c>
      <c r="V2465" s="4">
        <f>1/TWD!B2465</f>
        <v>3.1897926634768738E-2</v>
      </c>
      <c r="W2465" s="4">
        <f>1/TWD!C2465</f>
        <v>3.1898435381744528E-2</v>
      </c>
      <c r="X2465" s="4">
        <f>1/TWD!B2465</f>
        <v>3.1897926634768738E-2</v>
      </c>
      <c r="Y2465" s="4">
        <f>1/TWD!C2465</f>
        <v>3.1898435381744528E-2</v>
      </c>
      <c r="Z2465" s="4">
        <f>1/ZAR!B2465</f>
        <v>6.5438174013192338E-2</v>
      </c>
      <c r="AA2465" s="4">
        <f>1/ZAR!C2465</f>
        <v>6.5166108410337958E-2</v>
      </c>
    </row>
    <row r="2466" spans="1:27" x14ac:dyDescent="0.25">
      <c r="A2466" t="str">
        <f>"20/08/2019"</f>
        <v>20/08/2019</v>
      </c>
      <c r="B2466" s="3">
        <f>AUD!B2466</f>
        <v>0.67800000000000005</v>
      </c>
      <c r="C2466" s="3">
        <f>AUD!C2466</f>
        <v>0.67869999999999997</v>
      </c>
      <c r="D2466" s="3">
        <f>1/CAD!B2466</f>
        <v>0.75080711765147534</v>
      </c>
      <c r="E2466" s="3">
        <f>1/CAD!C2466</f>
        <v>0.75120192307692313</v>
      </c>
      <c r="F2466" s="3">
        <f>EUR!B2466/1</f>
        <v>1.1086</v>
      </c>
      <c r="G2466" s="3">
        <f>EUR!C2466/1</f>
        <v>1.1113</v>
      </c>
      <c r="H2466" s="3">
        <f>GBP!B2466/1</f>
        <v>1.2132000000000001</v>
      </c>
      <c r="I2466" s="3">
        <f>GBP!C2466/1</f>
        <v>1.2149000000000001</v>
      </c>
      <c r="J2466" s="4">
        <f>1/INR!B2466</f>
        <v>1.3959169429418949E-2</v>
      </c>
      <c r="K2466" s="4">
        <f>1/INR!C2466</f>
        <v>1.3911591833895594E-2</v>
      </c>
      <c r="L2466" s="4">
        <f>1/JPY!B2466</f>
        <v>9.3835038003190398E-3</v>
      </c>
      <c r="M2466" s="4">
        <f>1/JPY!C2466</f>
        <v>9.4048338965261359E-3</v>
      </c>
      <c r="N2466" s="5">
        <f>1/KRW!B2466</f>
        <v>8.2610491532424622E-4</v>
      </c>
      <c r="O2466" s="5">
        <f>1/KRW!C2466</f>
        <v>8.2610798635765275E-4</v>
      </c>
      <c r="P2466" s="3">
        <f>1/NOK!B2466</f>
        <v>0.11141316457952671</v>
      </c>
      <c r="Q2466" s="3">
        <f>1/NOK!C2466</f>
        <v>0.11151131282268585</v>
      </c>
      <c r="R2466" s="3">
        <f>NZD!B2466/1</f>
        <v>0.64200000000000002</v>
      </c>
      <c r="S2466" s="3">
        <f>NZD!C2466/1</f>
        <v>0.64259999999999995</v>
      </c>
      <c r="T2466" s="4">
        <f>1/PHP!B2466</f>
        <v>1.9080328181644724E-2</v>
      </c>
      <c r="U2466" s="4">
        <f>1/PHP!C2466</f>
        <v>1.9052881271970353E-2</v>
      </c>
      <c r="V2466" s="4">
        <f>1/TWD!B2466</f>
        <v>3.1847133757961783E-2</v>
      </c>
      <c r="W2466" s="4">
        <f>1/TWD!C2466</f>
        <v>3.1847640886001373E-2</v>
      </c>
      <c r="X2466" s="4">
        <f>1/TWD!B2466</f>
        <v>3.1847133757961783E-2</v>
      </c>
      <c r="Y2466" s="4">
        <f>1/TWD!C2466</f>
        <v>3.1847640886001373E-2</v>
      </c>
      <c r="Z2466" s="4">
        <f>1/ZAR!B2466</f>
        <v>6.4806713975567865E-2</v>
      </c>
      <c r="AA2466" s="4">
        <f>1/ZAR!C2466</f>
        <v>6.454527851287678E-2</v>
      </c>
    </row>
    <row r="2467" spans="1:27" x14ac:dyDescent="0.25">
      <c r="A2467" t="str">
        <f>"21/08/2019"</f>
        <v>21/08/2019</v>
      </c>
      <c r="B2467" s="3">
        <f>AUD!B2467</f>
        <v>0.67800000000000005</v>
      </c>
      <c r="C2467" s="3">
        <f>AUD!C2467</f>
        <v>0.67869999999999997</v>
      </c>
      <c r="D2467" s="3">
        <f>1/CAD!B2467</f>
        <v>0.75125835774923</v>
      </c>
      <c r="E2467" s="3">
        <f>1/CAD!C2467</f>
        <v>0.75159714393085308</v>
      </c>
      <c r="F2467" s="3">
        <f>EUR!B2467/1</f>
        <v>1.1093999999999999</v>
      </c>
      <c r="G2467" s="3">
        <f>EUR!C2467/1</f>
        <v>1.1119000000000001</v>
      </c>
      <c r="H2467" s="3">
        <f>GBP!B2467/1</f>
        <v>1.2156</v>
      </c>
      <c r="I2467" s="3">
        <f>GBP!C2467/1</f>
        <v>1.2172000000000001</v>
      </c>
      <c r="J2467" s="4">
        <f>1/INR!B2467</f>
        <v>1.3971846728841384E-2</v>
      </c>
      <c r="K2467" s="4">
        <f>1/INR!C2467</f>
        <v>1.3926606782257501E-2</v>
      </c>
      <c r="L2467" s="4">
        <f>1/JPY!B2467</f>
        <v>9.3923170846247767E-3</v>
      </c>
      <c r="M2467" s="4">
        <f>1/JPY!C2467</f>
        <v>9.4128898230659095E-3</v>
      </c>
      <c r="N2467" s="5">
        <f>1/KRW!B2467</f>
        <v>8.3194675540765393E-4</v>
      </c>
      <c r="O2467" s="5">
        <f>1/KRW!C2467</f>
        <v>8.319495239584823E-4</v>
      </c>
      <c r="P2467" s="3">
        <f>1/NOK!B2467</f>
        <v>0.11122851899226961</v>
      </c>
      <c r="Q2467" s="3">
        <f>1/NOK!C2467</f>
        <v>0.11131890640306349</v>
      </c>
      <c r="R2467" s="3">
        <f>NZD!B2467/1</f>
        <v>0.64090000000000003</v>
      </c>
      <c r="S2467" s="3">
        <f>NZD!C2467/1</f>
        <v>0.64149999999999996</v>
      </c>
      <c r="T2467" s="4">
        <f>1/PHP!B2467</f>
        <v>1.9116803670426303E-2</v>
      </c>
      <c r="U2467" s="4">
        <f>1/PHP!C2467</f>
        <v>1.9089433998281953E-2</v>
      </c>
      <c r="V2467" s="4">
        <f>1/TWD!B2467</f>
        <v>3.1894874493668866E-2</v>
      </c>
      <c r="W2467" s="4">
        <f>1/TWD!C2467</f>
        <v>3.1895383143290011E-2</v>
      </c>
      <c r="X2467" s="4">
        <f>1/TWD!B2467</f>
        <v>3.1894874493668866E-2</v>
      </c>
      <c r="Y2467" s="4">
        <f>1/TWD!C2467</f>
        <v>3.1895383143290011E-2</v>
      </c>
      <c r="Z2467" s="4">
        <f>1/ZAR!B2467</f>
        <v>6.514148731043827E-2</v>
      </c>
      <c r="AA2467" s="4">
        <f>1/ZAR!C2467</f>
        <v>6.4887452713268831E-2</v>
      </c>
    </row>
    <row r="2468" spans="1:27" x14ac:dyDescent="0.25">
      <c r="A2468" t="str">
        <f>"22/08/2019"</f>
        <v>22/08/2019</v>
      </c>
      <c r="B2468" s="3">
        <f>AUD!B2468</f>
        <v>0.67589999999999995</v>
      </c>
      <c r="C2468" s="3">
        <f>AUD!C2468</f>
        <v>0.67659999999999998</v>
      </c>
      <c r="D2468" s="3">
        <f>1/CAD!B2468</f>
        <v>0.75108907916478895</v>
      </c>
      <c r="E2468" s="3">
        <f>1/CAD!C2468</f>
        <v>0.75142771265404273</v>
      </c>
      <c r="F2468" s="3">
        <f>EUR!B2468/1</f>
        <v>1.1082000000000001</v>
      </c>
      <c r="G2468" s="3">
        <f>EUR!C2468/1</f>
        <v>1.1108</v>
      </c>
      <c r="H2468" s="3">
        <f>GBP!B2468/1</f>
        <v>1.2118</v>
      </c>
      <c r="I2468" s="3">
        <f>GBP!C2468/1</f>
        <v>1.2134</v>
      </c>
      <c r="J2468" s="4">
        <f>1/INR!B2468</f>
        <v>1.3942140118508192E-2</v>
      </c>
      <c r="K2468" s="4">
        <f>1/INR!C2468</f>
        <v>1.3894678338196471E-2</v>
      </c>
      <c r="L2468" s="4">
        <f>1/JPY!B2468</f>
        <v>9.3949642991356629E-3</v>
      </c>
      <c r="M2468" s="4">
        <f>1/JPY!C2468</f>
        <v>9.414821753887144E-3</v>
      </c>
      <c r="N2468" s="5">
        <f>1/KRW!B2468</f>
        <v>8.2870638932626168E-4</v>
      </c>
      <c r="O2468" s="5">
        <f>1/KRW!C2468</f>
        <v>8.2870947973204506E-4</v>
      </c>
      <c r="P2468" s="3">
        <f>1/NOK!B2468</f>
        <v>0.11157352137190803</v>
      </c>
      <c r="Q2468" s="3">
        <f>1/NOK!C2468</f>
        <v>0.1116582364698132</v>
      </c>
      <c r="R2468" s="3">
        <f>NZD!B2468/1</f>
        <v>0.6371</v>
      </c>
      <c r="S2468" s="3">
        <f>NZD!C2468/1</f>
        <v>0.63770000000000004</v>
      </c>
      <c r="T2468" s="4">
        <f>1/PHP!B2468</f>
        <v>1.9127773527161437E-2</v>
      </c>
      <c r="U2468" s="4">
        <f>1/PHP!C2468</f>
        <v>1.9100372457262919E-2</v>
      </c>
      <c r="V2468" s="4">
        <f>1/TWD!B2468</f>
        <v>3.1880638888003313E-2</v>
      </c>
      <c r="W2468" s="4">
        <f>1/TWD!C2468</f>
        <v>3.1881147083672075E-2</v>
      </c>
      <c r="X2468" s="4">
        <f>1/TWD!B2468</f>
        <v>3.1880638888003313E-2</v>
      </c>
      <c r="Y2468" s="4">
        <f>1/TWD!C2468</f>
        <v>3.1881147083672075E-2</v>
      </c>
      <c r="Z2468" s="4">
        <f>1/ZAR!B2468</f>
        <v>6.5513197633663312E-2</v>
      </c>
      <c r="AA2468" s="4">
        <f>1/ZAR!C2468</f>
        <v>6.5252429021670333E-2</v>
      </c>
    </row>
    <row r="2469" spans="1:27" x14ac:dyDescent="0.25">
      <c r="A2469" t="str">
        <f>"23/08/2019"</f>
        <v>23/08/2019</v>
      </c>
      <c r="B2469" s="3">
        <f>AUD!B2469</f>
        <v>0.67479999999999996</v>
      </c>
      <c r="C2469" s="3">
        <f>AUD!C2469</f>
        <v>0.67549999999999999</v>
      </c>
      <c r="D2469" s="3">
        <f>1/CAD!B2469</f>
        <v>0.74990626171728536</v>
      </c>
      <c r="E2469" s="3">
        <f>1/CAD!C2469</f>
        <v>0.7502438292445045</v>
      </c>
      <c r="F2469" s="3">
        <f>EUR!B2469/1</f>
        <v>1.1063000000000001</v>
      </c>
      <c r="G2469" s="3">
        <f>EUR!C2469/1</f>
        <v>1.1089</v>
      </c>
      <c r="H2469" s="3">
        <f>GBP!B2469/1</f>
        <v>1.2222999999999999</v>
      </c>
      <c r="I2469" s="3">
        <f>GBP!C2469/1</f>
        <v>1.224</v>
      </c>
      <c r="J2469" s="4">
        <f>1/INR!B2469</f>
        <v>1.3952839402818473E-2</v>
      </c>
      <c r="K2469" s="4">
        <f>1/INR!C2469</f>
        <v>1.3904821496854033E-2</v>
      </c>
      <c r="L2469" s="4">
        <f>1/JPY!B2469</f>
        <v>9.387027128508401E-3</v>
      </c>
      <c r="M2469" s="4">
        <f>1/JPY!C2469</f>
        <v>9.4068687073927647E-3</v>
      </c>
      <c r="N2469" s="5">
        <f>1/KRW!B2469</f>
        <v>8.2590023125206477E-4</v>
      </c>
      <c r="O2469" s="5">
        <f>1/KRW!C2469</f>
        <v>8.259033007638367E-4</v>
      </c>
      <c r="P2469" s="3">
        <f>1/NOK!B2469</f>
        <v>0.11115928013250186</v>
      </c>
      <c r="Q2469" s="3">
        <f>1/NOK!C2469</f>
        <v>0.11124955500177999</v>
      </c>
      <c r="R2469" s="3">
        <f>NZD!B2469/1</f>
        <v>0.63749999999999996</v>
      </c>
      <c r="S2469" s="3">
        <f>NZD!C2469/1</f>
        <v>0.6381</v>
      </c>
      <c r="T2469" s="4">
        <f>1/PHP!B2469</f>
        <v>1.91131498470948E-2</v>
      </c>
      <c r="U2469" s="4">
        <f>1/PHP!C2469</f>
        <v>1.9086883493663154E-2</v>
      </c>
      <c r="V2469" s="4">
        <f>1/TWD!B2469</f>
        <v>3.1845105407298895E-2</v>
      </c>
      <c r="W2469" s="4">
        <f>1/TWD!C2469</f>
        <v>3.1845612470741844E-2</v>
      </c>
      <c r="X2469" s="4">
        <f>1/TWD!B2469</f>
        <v>3.1845105407298895E-2</v>
      </c>
      <c r="Y2469" s="4">
        <f>1/TWD!C2469</f>
        <v>3.1845612470741844E-2</v>
      </c>
      <c r="Z2469" s="4">
        <f>1/ZAR!B2469</f>
        <v>6.5621534362716477E-2</v>
      </c>
      <c r="AA2469" s="4">
        <f>1/ZAR!C2469</f>
        <v>6.5355632675202113E-2</v>
      </c>
    </row>
    <row r="2470" spans="1:27" x14ac:dyDescent="0.25">
      <c r="A2470" t="str">
        <f>"26/08/2019"</f>
        <v>26/08/2019</v>
      </c>
      <c r="B2470" s="3">
        <f>AUD!B2470</f>
        <v>0.67330000000000001</v>
      </c>
      <c r="C2470" s="3">
        <f>AUD!C2470</f>
        <v>0.67400000000000004</v>
      </c>
      <c r="D2470" s="3">
        <f>1/CAD!B2470</f>
        <v>0.75193623580720348</v>
      </c>
      <c r="E2470" s="3">
        <f>1/CAD!C2470</f>
        <v>0.75227563379222151</v>
      </c>
      <c r="F2470" s="3">
        <f>EUR!B2470/1</f>
        <v>1.1143000000000001</v>
      </c>
      <c r="G2470" s="3">
        <f>EUR!C2470/1</f>
        <v>1.1171</v>
      </c>
      <c r="H2470" s="3">
        <f>GBP!B2470/1</f>
        <v>1.2266999999999999</v>
      </c>
      <c r="I2470" s="3">
        <f>GBP!C2470/1</f>
        <v>1.2283999999999999</v>
      </c>
      <c r="J2470" s="4">
        <f>1/INR!B2470</f>
        <v>1.3866740622616655E-2</v>
      </c>
      <c r="K2470" s="4">
        <f>1/INR!C2470</f>
        <v>1.3815016923395731E-2</v>
      </c>
      <c r="L2470" s="4">
        <f>1/JPY!B2470</f>
        <v>9.4921689606074985E-3</v>
      </c>
      <c r="M2470" s="4">
        <f>1/JPY!C2470</f>
        <v>9.5134443996255508E-3</v>
      </c>
      <c r="N2470" s="5">
        <f>1/KRW!B2470</f>
        <v>8.2101806239737272E-4</v>
      </c>
      <c r="O2470" s="5">
        <f>1/KRW!C2470</f>
        <v>8.2102143276450241E-4</v>
      </c>
      <c r="P2470" s="3">
        <f>1/NOK!B2470</f>
        <v>0.11111481493827571</v>
      </c>
      <c r="Q2470" s="3">
        <f>1/NOK!C2470</f>
        <v>0.11120130772737888</v>
      </c>
      <c r="R2470" s="3">
        <f>NZD!B2470/1</f>
        <v>0.63759999999999994</v>
      </c>
      <c r="S2470" s="3">
        <f>NZD!C2470/1</f>
        <v>0.63819999999999999</v>
      </c>
      <c r="T2470" s="4">
        <f>1/PHP!B2470</f>
        <v>1.91131498470948E-2</v>
      </c>
      <c r="U2470" s="4">
        <f>1/PHP!C2470</f>
        <v>1.9086883493663154E-2</v>
      </c>
      <c r="V2470" s="4">
        <f>1/TWD!B2470</f>
        <v>3.1752079761224364E-2</v>
      </c>
      <c r="W2470" s="4">
        <f>1/TWD!C2470</f>
        <v>3.1752583866512134E-2</v>
      </c>
      <c r="X2470" s="4">
        <f>1/TWD!B2470</f>
        <v>3.1752079761224364E-2</v>
      </c>
      <c r="Y2470" s="4">
        <f>1/TWD!C2470</f>
        <v>3.1752583866512134E-2</v>
      </c>
      <c r="Z2470" s="4">
        <f>1/ZAR!B2470</f>
        <v>6.5151673094965071E-2</v>
      </c>
      <c r="AA2470" s="4">
        <f>1/ZAR!C2470</f>
        <v>6.4887873754152822E-2</v>
      </c>
    </row>
    <row r="2471" spans="1:27" x14ac:dyDescent="0.25">
      <c r="A2471" t="str">
        <f>"27/08/2019"</f>
        <v>27/08/2019</v>
      </c>
      <c r="B2471" s="3">
        <f>AUD!B2471</f>
        <v>0.67589999999999995</v>
      </c>
      <c r="C2471" s="3">
        <f>AUD!C2471</f>
        <v>0.67659999999999998</v>
      </c>
      <c r="D2471" s="3">
        <f>1/CAD!B2471</f>
        <v>0.7552299675251114</v>
      </c>
      <c r="E2471" s="3">
        <f>1/CAD!C2471</f>
        <v>0.75557234605213452</v>
      </c>
      <c r="F2471" s="3">
        <f>EUR!B2471/1</f>
        <v>1.1100000000000001</v>
      </c>
      <c r="G2471" s="3">
        <f>EUR!C2471/1</f>
        <v>1.1127</v>
      </c>
      <c r="H2471" s="3">
        <f>GBP!B2471/1</f>
        <v>1.2217</v>
      </c>
      <c r="I2471" s="3">
        <f>GBP!C2471/1</f>
        <v>1.2233000000000001</v>
      </c>
      <c r="J2471" s="4">
        <f>1/INR!B2471</f>
        <v>1.3914979475405275E-2</v>
      </c>
      <c r="K2471" s="4">
        <f>1/INR!C2471</f>
        <v>1.3864818024263431E-2</v>
      </c>
      <c r="L2471" s="4">
        <f>1/JPY!B2471</f>
        <v>9.4598429666067543E-3</v>
      </c>
      <c r="M2471" s="4">
        <f>1/JPY!C2471</f>
        <v>9.4802545258735101E-3</v>
      </c>
      <c r="N2471" s="5">
        <f>1/KRW!B2471</f>
        <v>8.2385895534684461E-4</v>
      </c>
      <c r="O2471" s="5">
        <f>1/KRW!C2471</f>
        <v>8.2386200970427067E-4</v>
      </c>
      <c r="P2471" s="3">
        <f>1/NOK!B2471</f>
        <v>0.11081560283687944</v>
      </c>
      <c r="Q2471" s="3">
        <f>1/NOK!C2471</f>
        <v>0.11090040035044528</v>
      </c>
      <c r="R2471" s="3">
        <f>NZD!B2471/1</f>
        <v>0.63680000000000003</v>
      </c>
      <c r="S2471" s="3">
        <f>NZD!C2471/1</f>
        <v>0.63739999999999997</v>
      </c>
      <c r="T2471" s="4">
        <f>1/PHP!B2471</f>
        <v>1.90857906288768E-2</v>
      </c>
      <c r="U2471" s="4">
        <f>1/PHP!C2471</f>
        <v>1.905850962454736E-2</v>
      </c>
      <c r="V2471" s="4">
        <f>1/TWD!B2471</f>
        <v>3.1859309290174588E-2</v>
      </c>
      <c r="W2471" s="4">
        <f>1/TWD!C2471</f>
        <v>3.1859816806053369E-2</v>
      </c>
      <c r="X2471" s="4">
        <f>1/TWD!B2471</f>
        <v>3.1859309290174588E-2</v>
      </c>
      <c r="Y2471" s="4">
        <f>1/TWD!C2471</f>
        <v>3.1859816806053369E-2</v>
      </c>
      <c r="Z2471" s="4">
        <f>1/ZAR!B2471</f>
        <v>6.5416342310636047E-2</v>
      </c>
      <c r="AA2471" s="4">
        <f>1/ZAR!C2471</f>
        <v>6.5135122812274057E-2</v>
      </c>
    </row>
    <row r="2472" spans="1:27" x14ac:dyDescent="0.25">
      <c r="A2472" t="str">
        <f>"28/08/2019"</f>
        <v>28/08/2019</v>
      </c>
      <c r="B2472" s="3">
        <f>AUD!B2472</f>
        <v>0.67449999999999999</v>
      </c>
      <c r="C2472" s="3">
        <f>AUD!C2472</f>
        <v>0.67520000000000002</v>
      </c>
      <c r="D2472" s="3">
        <f>1/CAD!B2472</f>
        <v>0.75142771265404273</v>
      </c>
      <c r="E2472" s="3">
        <f>1/CAD!C2472</f>
        <v>0.7517666516313336</v>
      </c>
      <c r="F2472" s="3">
        <f>EUR!B2472/1</f>
        <v>1.1086</v>
      </c>
      <c r="G2472" s="3">
        <f>EUR!C2472/1</f>
        <v>1.1112</v>
      </c>
      <c r="H2472" s="3">
        <f>GBP!B2472/1</f>
        <v>1.2219</v>
      </c>
      <c r="I2472" s="3">
        <f>GBP!C2472/1</f>
        <v>1.2234</v>
      </c>
      <c r="J2472" s="4">
        <f>1/INR!B2472</f>
        <v>1.3931457230426303E-2</v>
      </c>
      <c r="K2472" s="4">
        <f>1/INR!C2472</f>
        <v>1.388165885823356E-2</v>
      </c>
      <c r="L2472" s="4">
        <f>1/JPY!B2472</f>
        <v>9.4580535325829943E-3</v>
      </c>
      <c r="M2472" s="4">
        <f>1/JPY!C2472</f>
        <v>9.4779452951953454E-3</v>
      </c>
      <c r="N2472" s="5">
        <f>1/KRW!B2472</f>
        <v>8.2365538258792528E-4</v>
      </c>
      <c r="O2472" s="5">
        <f>1/KRW!C2472</f>
        <v>8.2365877464284098E-4</v>
      </c>
      <c r="P2472" s="3">
        <f>1/NOK!B2472</f>
        <v>0.11072603058252965</v>
      </c>
      <c r="Q2472" s="3">
        <f>1/NOK!C2472</f>
        <v>0.11081314687174486</v>
      </c>
      <c r="R2472" s="3">
        <f>NZD!B2472/1</f>
        <v>0.6351</v>
      </c>
      <c r="S2472" s="3">
        <f>NZD!C2472/1</f>
        <v>0.63570000000000004</v>
      </c>
      <c r="T2472" s="4">
        <f>1/PHP!B2472</f>
        <v>1.909453705294915E-2</v>
      </c>
      <c r="U2472" s="4">
        <f>1/PHP!C2472</f>
        <v>1.9065413433490306E-2</v>
      </c>
      <c r="V2472" s="4">
        <f>1/TWD!B2472</f>
        <v>3.1826861871419476E-2</v>
      </c>
      <c r="W2472" s="4">
        <f>1/TWD!C2472</f>
        <v>3.1827368354047647E-2</v>
      </c>
      <c r="X2472" s="4">
        <f>1/TWD!B2472</f>
        <v>3.1826861871419476E-2</v>
      </c>
      <c r="Y2472" s="4">
        <f>1/TWD!C2472</f>
        <v>3.1827368354047647E-2</v>
      </c>
      <c r="Z2472" s="4">
        <f>1/ZAR!B2472</f>
        <v>6.5071969598375801E-2</v>
      </c>
      <c r="AA2472" s="4">
        <f>1/ZAR!C2472</f>
        <v>6.4809234019663126E-2</v>
      </c>
    </row>
    <row r="2473" spans="1:27" x14ac:dyDescent="0.25">
      <c r="A2473" t="str">
        <f>"29/08/2019"</f>
        <v>29/08/2019</v>
      </c>
      <c r="B2473" s="3">
        <f>AUD!B2473</f>
        <v>0.67459999999999998</v>
      </c>
      <c r="C2473" s="3">
        <f>AUD!C2473</f>
        <v>0.67520000000000002</v>
      </c>
      <c r="D2473" s="3">
        <f>1/CAD!B2473</f>
        <v>0.75255869957856714</v>
      </c>
      <c r="E2473" s="3">
        <f>1/CAD!C2473</f>
        <v>0.75289865984038551</v>
      </c>
      <c r="F2473" s="3">
        <f>EUR!B2473/1</f>
        <v>1.1072</v>
      </c>
      <c r="G2473" s="3">
        <f>EUR!C2473/1</f>
        <v>1.1097999999999999</v>
      </c>
      <c r="H2473" s="3">
        <f>GBP!B2473/1</f>
        <v>1.2208000000000001</v>
      </c>
      <c r="I2473" s="3">
        <f>GBP!C2473/1</f>
        <v>1.2223999999999999</v>
      </c>
      <c r="J2473" s="4">
        <f>1/INR!B2473</f>
        <v>1.3928061562032105E-2</v>
      </c>
      <c r="K2473" s="4">
        <f>1/INR!C2473</f>
        <v>1.3879250520471896E-2</v>
      </c>
      <c r="L2473" s="4">
        <f>1/JPY!B2473</f>
        <v>9.4108789760963662E-3</v>
      </c>
      <c r="M2473" s="4">
        <f>1/JPY!C2473</f>
        <v>9.4319335086415369E-3</v>
      </c>
      <c r="N2473" s="5">
        <f>1/KRW!B2473</f>
        <v>8.2203041512535961E-4</v>
      </c>
      <c r="O2473" s="5">
        <f>1/KRW!C2473</f>
        <v>8.2203379380926356E-4</v>
      </c>
      <c r="P2473" s="3">
        <f>1/NOK!B2473</f>
        <v>0.11023656767422889</v>
      </c>
      <c r="Q2473" s="3">
        <f>1/NOK!C2473</f>
        <v>0.11032169807157673</v>
      </c>
      <c r="R2473" s="3">
        <f>NZD!B2473/1</f>
        <v>0.63439999999999996</v>
      </c>
      <c r="S2473" s="3">
        <f>NZD!C2473/1</f>
        <v>0.63490000000000002</v>
      </c>
      <c r="T2473" s="4">
        <f>1/PHP!B2473</f>
        <v>1.9146084625694046E-2</v>
      </c>
      <c r="U2473" s="4">
        <f>1/PHP!C2473</f>
        <v>1.910858453160082E-2</v>
      </c>
      <c r="V2473" s="4">
        <f>1/TWD!B2473</f>
        <v>3.1804592583169013E-2</v>
      </c>
      <c r="W2473" s="4">
        <f>1/TWD!C2473</f>
        <v>3.1805098357266672E-2</v>
      </c>
      <c r="X2473" s="4">
        <f>1/TWD!B2473</f>
        <v>3.1804592583169013E-2</v>
      </c>
      <c r="Y2473" s="4">
        <f>1/TWD!C2473</f>
        <v>3.1805098357266672E-2</v>
      </c>
      <c r="Z2473" s="4">
        <f>1/ZAR!B2473</f>
        <v>6.5275003590125197E-2</v>
      </c>
      <c r="AA2473" s="4">
        <f>1/ZAR!C2473</f>
        <v>6.5017814881277475E-2</v>
      </c>
    </row>
    <row r="2474" spans="1:27" x14ac:dyDescent="0.25">
      <c r="A2474" t="str">
        <f>"30/08/2019"</f>
        <v>30/08/2019</v>
      </c>
      <c r="B2474" s="3">
        <f>AUD!B2474</f>
        <v>0.67279999999999995</v>
      </c>
      <c r="C2474" s="3">
        <f>AUD!C2474</f>
        <v>0.6734</v>
      </c>
      <c r="D2474" s="3">
        <f>1/CAD!B2474</f>
        <v>0.7523888345496953</v>
      </c>
      <c r="E2474" s="3">
        <f>1/CAD!C2474</f>
        <v>0.75272864132480244</v>
      </c>
      <c r="F2474" s="3">
        <f>EUR!B2474/1</f>
        <v>1.1040000000000001</v>
      </c>
      <c r="G2474" s="3">
        <f>EUR!C2474/1</f>
        <v>1.1066</v>
      </c>
      <c r="H2474" s="3">
        <f>GBP!B2474/1</f>
        <v>1.2174</v>
      </c>
      <c r="I2474" s="3">
        <f>GBP!C2474/1</f>
        <v>1.2190000000000001</v>
      </c>
      <c r="J2474" s="4">
        <f>1/INR!B2474</f>
        <v>1.4003640946646129E-2</v>
      </c>
      <c r="K2474" s="4">
        <f>1/INR!C2474</f>
        <v>1.3956247165137294E-2</v>
      </c>
      <c r="L2474" s="4">
        <f>1/JPY!B2474</f>
        <v>9.4029149036201232E-3</v>
      </c>
      <c r="M2474" s="4">
        <f>1/JPY!C2474</f>
        <v>9.4240225874973379E-3</v>
      </c>
      <c r="N2474" s="5">
        <f>1/KRW!B2474</f>
        <v>8.2549116724451037E-4</v>
      </c>
      <c r="O2474" s="5">
        <f>1/KRW!C2474</f>
        <v>8.2549457443690957E-4</v>
      </c>
      <c r="P2474" s="3">
        <f>1/NOK!B2474</f>
        <v>0.10990460280476545</v>
      </c>
      <c r="Q2474" s="3">
        <f>1/NOK!C2474</f>
        <v>0.10998680158380994</v>
      </c>
      <c r="R2474" s="3">
        <f>NZD!B2474/1</f>
        <v>0.63070000000000004</v>
      </c>
      <c r="S2474" s="3">
        <f>NZD!C2474/1</f>
        <v>0.63119999999999998</v>
      </c>
      <c r="T2474" s="4">
        <f>1/PHP!B2474</f>
        <v>1.9193857965451054E-2</v>
      </c>
      <c r="U2474" s="4">
        <f>1/PHP!C2474</f>
        <v>1.9162594615310911E-2</v>
      </c>
      <c r="V2474" s="4">
        <f>1/TWD!B2474</f>
        <v>3.1836994587710922E-2</v>
      </c>
      <c r="W2474" s="4">
        <f>1/TWD!C2474</f>
        <v>3.1837501392890682E-2</v>
      </c>
      <c r="X2474" s="4">
        <f>1/TWD!B2474</f>
        <v>3.1836994587710922E-2</v>
      </c>
      <c r="Y2474" s="4">
        <f>1/TWD!C2474</f>
        <v>3.1837501392890682E-2</v>
      </c>
      <c r="Z2474" s="4">
        <f>1/ZAR!B2474</f>
        <v>6.572029442691904E-2</v>
      </c>
      <c r="AA2474" s="4">
        <f>1/ZAR!C2474</f>
        <v>6.5457877855599922E-2</v>
      </c>
    </row>
    <row r="2475" spans="1:27" x14ac:dyDescent="0.25">
      <c r="A2475" t="str">
        <f>"03/09/2019"</f>
        <v>03/09/2019</v>
      </c>
      <c r="B2475" s="3">
        <f>AUD!B2475</f>
        <v>0.67320000000000002</v>
      </c>
      <c r="C2475" s="3">
        <f>AUD!C2475</f>
        <v>0.67390000000000005</v>
      </c>
      <c r="D2475" s="3">
        <f>1/CAD!B2475</f>
        <v>0.74827895839568992</v>
      </c>
      <c r="E2475" s="3">
        <f>1/CAD!C2475</f>
        <v>0.74861506213505014</v>
      </c>
      <c r="F2475" s="3">
        <f>EUR!B2475/1</f>
        <v>1.0933999999999999</v>
      </c>
      <c r="G2475" s="3">
        <f>EUR!C2475/1</f>
        <v>1.0962000000000001</v>
      </c>
      <c r="H2475" s="3">
        <f>GBP!B2475/1</f>
        <v>1.2036</v>
      </c>
      <c r="I2475" s="3">
        <f>GBP!C2475/1</f>
        <v>1.2053</v>
      </c>
      <c r="J2475" s="4">
        <f>1/INR!B2475</f>
        <v>1.3812154696132596E-2</v>
      </c>
      <c r="K2475" s="4">
        <f>1/INR!C2475</f>
        <v>1.3761310076719303E-2</v>
      </c>
      <c r="L2475" s="4">
        <f>1/JPY!B2475</f>
        <v>9.4232943837165468E-3</v>
      </c>
      <c r="M2475" s="4">
        <f>1/JPY!C2475</f>
        <v>9.4459033117337016E-3</v>
      </c>
      <c r="N2475" s="5">
        <f>1/KRW!B2475</f>
        <v>8.2250370126665578E-4</v>
      </c>
      <c r="O2475" s="5">
        <f>1/KRW!C2475</f>
        <v>8.2250708384225951E-4</v>
      </c>
      <c r="P2475" s="3">
        <f>1/NOK!B2475</f>
        <v>0.10922396373764404</v>
      </c>
      <c r="Q2475" s="3">
        <f>1/NOK!C2475</f>
        <v>0.10930753675465923</v>
      </c>
      <c r="R2475" s="3">
        <f>NZD!B2475/1</f>
        <v>0.62919999999999998</v>
      </c>
      <c r="S2475" s="3">
        <f>NZD!C2475/1</f>
        <v>0.62970000000000004</v>
      </c>
      <c r="T2475" s="4">
        <f>1/PHP!B2475</f>
        <v>1.9102196752626553E-2</v>
      </c>
      <c r="U2475" s="4">
        <f>1/PHP!C2475</f>
        <v>1.9073049780659927E-2</v>
      </c>
      <c r="V2475" s="4">
        <f>1/TWD!B2475</f>
        <v>3.1814711122423012E-2</v>
      </c>
      <c r="W2475" s="4">
        <f>1/TWD!C2475</f>
        <v>3.1815217218395558E-2</v>
      </c>
      <c r="X2475" s="4">
        <f>1/TWD!B2475</f>
        <v>3.1814711122423012E-2</v>
      </c>
      <c r="Y2475" s="4">
        <f>1/TWD!C2475</f>
        <v>3.1815217218395558E-2</v>
      </c>
      <c r="Z2475" s="4">
        <f>1/ZAR!B2475</f>
        <v>6.5985694301475439E-2</v>
      </c>
      <c r="AA2475" s="4">
        <f>1/ZAR!C2475</f>
        <v>6.571640741543941E-2</v>
      </c>
    </row>
    <row r="2476" spans="1:27" x14ac:dyDescent="0.25">
      <c r="A2476" t="str">
        <f>"04/09/2019"</f>
        <v>04/09/2019</v>
      </c>
      <c r="B2476" s="3">
        <f>AUD!B2476</f>
        <v>0.6784</v>
      </c>
      <c r="C2476" s="3">
        <f>AUD!C2476</f>
        <v>0.67910000000000004</v>
      </c>
      <c r="D2476" s="3">
        <f>1/CAD!B2476</f>
        <v>0.75069439231288937</v>
      </c>
      <c r="E2476" s="3">
        <f>1/CAD!C2476</f>
        <v>0.75108907916478895</v>
      </c>
      <c r="F2476" s="3">
        <f>EUR!B2476/1</f>
        <v>1.0994999999999999</v>
      </c>
      <c r="G2476" s="3">
        <f>EUR!C2476/1</f>
        <v>1.1022000000000001</v>
      </c>
      <c r="H2476" s="3">
        <f>GBP!B2476/1</f>
        <v>1.2151000000000001</v>
      </c>
      <c r="I2476" s="3">
        <f>GBP!C2476/1</f>
        <v>1.2168000000000001</v>
      </c>
      <c r="J2476" s="4">
        <f>1/INR!B2476</f>
        <v>1.3886960144424384E-2</v>
      </c>
      <c r="K2476" s="4">
        <f>1/INR!C2476</f>
        <v>1.3837478811360571E-2</v>
      </c>
      <c r="L2476" s="4">
        <f>1/JPY!B2476</f>
        <v>9.4135366657253118E-3</v>
      </c>
      <c r="M2476" s="4">
        <f>1/JPY!C2476</f>
        <v>9.4359562775529933E-3</v>
      </c>
      <c r="N2476" s="5">
        <f>1/KRW!B2476</f>
        <v>8.2774604751262315E-4</v>
      </c>
      <c r="O2476" s="5">
        <f>1/KRW!C2476</f>
        <v>8.2774947334439755E-4</v>
      </c>
      <c r="P2476" s="3">
        <f>1/NOK!B2476</f>
        <v>0.11020741034627168</v>
      </c>
      <c r="Q2476" s="3">
        <f>1/NOK!C2476</f>
        <v>0.11029127926854823</v>
      </c>
      <c r="R2476" s="3">
        <f>NZD!B2476/1</f>
        <v>0.63500000000000001</v>
      </c>
      <c r="S2476" s="3">
        <f>NZD!C2476/1</f>
        <v>0.63560000000000005</v>
      </c>
      <c r="T2476" s="4">
        <f>1/PHP!B2476</f>
        <v>1.9252984212552948E-2</v>
      </c>
      <c r="U2476" s="4" t="e">
        <f>1/PHP!C2476</f>
        <v>#DIV/0!</v>
      </c>
      <c r="V2476" s="4">
        <f>1/TWD!B2476</f>
        <v>3.1881655295542946E-2</v>
      </c>
      <c r="W2476" s="4">
        <f>1/TWD!C2476</f>
        <v>3.1882163523616711E-2</v>
      </c>
      <c r="X2476" s="4">
        <f>1/TWD!B2476</f>
        <v>3.1881655295542946E-2</v>
      </c>
      <c r="Y2476" s="4">
        <f>1/TWD!C2476</f>
        <v>3.1882163523616711E-2</v>
      </c>
      <c r="Z2476" s="4">
        <f>1/ZAR!B2476</f>
        <v>6.6903505074630859E-2</v>
      </c>
      <c r="AA2476" s="4">
        <f>1/ZAR!C2476</f>
        <v>6.6638234353342582E-2</v>
      </c>
    </row>
    <row r="2477" spans="1:27" x14ac:dyDescent="0.25">
      <c r="A2477" t="str">
        <f>"05/09/2019"</f>
        <v>05/09/2019</v>
      </c>
      <c r="B2477" s="3">
        <f>AUD!B2477</f>
        <v>0.6825</v>
      </c>
      <c r="C2477" s="3">
        <f>AUD!C2477</f>
        <v>0.68310000000000004</v>
      </c>
      <c r="D2477" s="3">
        <f>1/CAD!B2477</f>
        <v>0.75774797302417207</v>
      </c>
      <c r="E2477" s="3">
        <f>1/CAD!C2477</f>
        <v>0.75809263892047607</v>
      </c>
      <c r="F2477" s="3">
        <f>EUR!B2477/1</f>
        <v>1.1065</v>
      </c>
      <c r="G2477" s="3">
        <f>EUR!C2477/1</f>
        <v>1.1091</v>
      </c>
      <c r="H2477" s="3">
        <f>GBP!B2477/1</f>
        <v>1.2335</v>
      </c>
      <c r="I2477" s="3">
        <f>GBP!C2477/1</f>
        <v>1.2351000000000001</v>
      </c>
      <c r="J2477" s="4">
        <f>1/INR!B2477</f>
        <v>1.3918853086505673E-2</v>
      </c>
      <c r="K2477" s="4">
        <f>1/INR!C2477</f>
        <v>1.3869625520110958E-2</v>
      </c>
      <c r="L2477" s="4">
        <f>1/JPY!B2477</f>
        <v>9.3764650726676033E-3</v>
      </c>
      <c r="M2477" s="4">
        <f>1/JPY!C2477</f>
        <v>9.3977984717300133E-3</v>
      </c>
      <c r="N2477" s="5">
        <f>1/KRW!B2477</f>
        <v>8.3312505207031582E-4</v>
      </c>
      <c r="O2477" s="5">
        <f>1/KRW!C2477</f>
        <v>8.3312852257153448E-4</v>
      </c>
      <c r="P2477" s="3">
        <f>1/NOK!B2477</f>
        <v>0.11139454835080372</v>
      </c>
      <c r="Q2477" s="3">
        <f>1/NOK!C2477</f>
        <v>0.11147402097941074</v>
      </c>
      <c r="R2477" s="3">
        <f>NZD!B2477/1</f>
        <v>0.63949999999999996</v>
      </c>
      <c r="S2477" s="3">
        <f>NZD!C2477/1</f>
        <v>0.64</v>
      </c>
      <c r="T2477" s="4">
        <f>1/PHP!B2477</f>
        <v>1.9208605455243947E-2</v>
      </c>
      <c r="U2477" s="4">
        <f>1/PHP!C2477</f>
        <v>1.9179133103183737E-2</v>
      </c>
      <c r="V2477" s="4">
        <f>1/TWD!B2477</f>
        <v>3.1969309462915603E-2</v>
      </c>
      <c r="W2477" s="4">
        <f>1/TWD!C2477</f>
        <v>3.1969820489457956E-2</v>
      </c>
      <c r="X2477" s="4">
        <f>1/TWD!B2477</f>
        <v>3.1969309462915603E-2</v>
      </c>
      <c r="Y2477" s="4">
        <f>1/TWD!C2477</f>
        <v>3.1969820489457956E-2</v>
      </c>
      <c r="Z2477" s="4">
        <f>1/ZAR!B2477</f>
        <v>6.7467278369990558E-2</v>
      </c>
      <c r="AA2477" s="4">
        <f>1/ZAR!C2477</f>
        <v>6.7208366097411806E-2</v>
      </c>
    </row>
    <row r="2478" spans="1:27" x14ac:dyDescent="0.25">
      <c r="A2478" t="str">
        <f>"06/09/2019"</f>
        <v>06/09/2019</v>
      </c>
      <c r="B2478" s="3">
        <f>AUD!B2478</f>
        <v>0.68189999999999995</v>
      </c>
      <c r="C2478" s="3">
        <f>AUD!C2478</f>
        <v>0.6825</v>
      </c>
      <c r="D2478" s="3">
        <f>1/CAD!B2478</f>
        <v>0.75665859564164639</v>
      </c>
      <c r="E2478" s="3">
        <f>1/CAD!C2478</f>
        <v>0.75700227100681305</v>
      </c>
      <c r="F2478" s="3">
        <f>EUR!B2478/1</f>
        <v>1.1036999999999999</v>
      </c>
      <c r="G2478" s="3">
        <f>EUR!C2478/1</f>
        <v>1.1063000000000001</v>
      </c>
      <c r="H2478" s="3">
        <f>GBP!B2478/1</f>
        <v>1.2326999999999999</v>
      </c>
      <c r="I2478" s="3">
        <f>GBP!C2478/1</f>
        <v>1.2343</v>
      </c>
      <c r="J2478" s="4">
        <f>1/INR!B2478</f>
        <v>1.3936311058462826E-2</v>
      </c>
      <c r="K2478" s="4">
        <f>1/INR!C2478</f>
        <v>1.3886478042006595E-2</v>
      </c>
      <c r="L2478" s="4">
        <f>1/JPY!B2478</f>
        <v>9.3475415965601043E-3</v>
      </c>
      <c r="M2478" s="4">
        <f>1/JPY!C2478</f>
        <v>9.3687083268142735E-3</v>
      </c>
      <c r="N2478" s="5">
        <f>1/KRW!B2478</f>
        <v>8.3542188805346695E-4</v>
      </c>
      <c r="O2478" s="5">
        <f>1/KRW!C2478</f>
        <v>8.3542537771669895E-4</v>
      </c>
      <c r="P2478" s="3">
        <f>1/NOK!B2478</f>
        <v>0.11099025505560611</v>
      </c>
      <c r="Q2478" s="3">
        <f>1/NOK!C2478</f>
        <v>0.1110654508701978</v>
      </c>
      <c r="R2478" s="3">
        <f>NZD!B2478/1</f>
        <v>0.63849999999999996</v>
      </c>
      <c r="S2478" s="3">
        <f>NZD!C2478/1</f>
        <v>0.63900000000000001</v>
      </c>
      <c r="T2478" s="4">
        <f>1/PHP!B2478</f>
        <v>1.9234838138837064E-2</v>
      </c>
      <c r="U2478" s="4">
        <f>1/PHP!C2478</f>
        <v>1.9204178829313259E-2</v>
      </c>
      <c r="V2478" s="4">
        <f>1/TWD!B2478</f>
        <v>3.1986693535489233E-2</v>
      </c>
      <c r="W2478" s="4">
        <f>1/TWD!C2478</f>
        <v>3.1987205117952819E-2</v>
      </c>
      <c r="X2478" s="4">
        <f>1/TWD!B2478</f>
        <v>3.1986693535489233E-2</v>
      </c>
      <c r="Y2478" s="4">
        <f>1/TWD!C2478</f>
        <v>3.1987205117952819E-2</v>
      </c>
      <c r="Z2478" s="4">
        <f>1/ZAR!B2478</f>
        <v>6.7194366424318988E-2</v>
      </c>
      <c r="AA2478" s="4">
        <f>1/ZAR!C2478</f>
        <v>6.6937092520449284E-2</v>
      </c>
    </row>
    <row r="2479" spans="1:27" x14ac:dyDescent="0.25">
      <c r="A2479" t="str">
        <f>"09/09/2019"</f>
        <v>09/09/2019</v>
      </c>
      <c r="B2479" s="3">
        <f>AUD!B2479</f>
        <v>0.68669999999999998</v>
      </c>
      <c r="C2479" s="3">
        <f>AUD!C2479</f>
        <v>0.68740000000000001</v>
      </c>
      <c r="D2479" s="3">
        <f>1/CAD!B2479</f>
        <v>0.75987841945288748</v>
      </c>
      <c r="E2479" s="3">
        <f>1/CAD!C2479</f>
        <v>0.76022502660787594</v>
      </c>
      <c r="F2479" s="3">
        <f>EUR!B2479/1</f>
        <v>1.1031</v>
      </c>
      <c r="G2479" s="3">
        <f>EUR!C2479/1</f>
        <v>1.1056999999999999</v>
      </c>
      <c r="H2479" s="3">
        <f>GBP!B2479/1</f>
        <v>1.2357</v>
      </c>
      <c r="I2479" s="3">
        <f>GBP!C2479/1</f>
        <v>1.2373000000000001</v>
      </c>
      <c r="J2479" s="4">
        <f>1/INR!B2479</f>
        <v>1.3944570332926615E-2</v>
      </c>
      <c r="K2479" s="4">
        <f>1/INR!C2479</f>
        <v>1.3890335798867936E-2</v>
      </c>
      <c r="L2479" s="4">
        <f>1/JPY!B2479</f>
        <v>9.3492894540014963E-3</v>
      </c>
      <c r="M2479" s="4">
        <f>1/JPY!C2479</f>
        <v>9.370639724203331E-3</v>
      </c>
      <c r="N2479" s="5">
        <f>1/KRW!B2479</f>
        <v>8.380122349786307E-4</v>
      </c>
      <c r="O2479" s="5">
        <f>1/KRW!C2479</f>
        <v>8.3801715085900957E-4</v>
      </c>
      <c r="P2479" s="3">
        <f>1/NOK!B2479</f>
        <v>0.11179429849077696</v>
      </c>
      <c r="Q2479" s="3">
        <f>1/NOK!C2479</f>
        <v>0.11187183962053071</v>
      </c>
      <c r="R2479" s="3">
        <f>NZD!B2479/1</f>
        <v>0.64410000000000001</v>
      </c>
      <c r="S2479" s="3">
        <f>NZD!C2479/1</f>
        <v>0.64459999999999995</v>
      </c>
      <c r="T2479" s="4">
        <f>1/PHP!B2479</f>
        <v>1.9262255610131947E-2</v>
      </c>
      <c r="U2479" s="4">
        <f>1/PHP!C2479</f>
        <v>1.9233358336699171E-2</v>
      </c>
      <c r="V2479" s="4">
        <f>1/TWD!B2479</f>
        <v>3.2000000000000001E-2</v>
      </c>
      <c r="W2479" s="4">
        <f>1/TWD!C2479</f>
        <v>3.2000512008192129E-2</v>
      </c>
      <c r="X2479" s="4">
        <f>1/TWD!B2479</f>
        <v>3.2000000000000001E-2</v>
      </c>
      <c r="Y2479" s="4">
        <f>1/TWD!C2479</f>
        <v>3.2000512008192129E-2</v>
      </c>
      <c r="Z2479" s="4">
        <f>1/ZAR!B2479</f>
        <v>6.803183890060549E-2</v>
      </c>
      <c r="AA2479" s="4">
        <f>1/ZAR!C2479</f>
        <v>6.7775932766274694E-2</v>
      </c>
    </row>
    <row r="2480" spans="1:27" x14ac:dyDescent="0.25">
      <c r="A2480" t="str">
        <f>"11/09/2019"</f>
        <v>11/09/2019</v>
      </c>
      <c r="B2480" s="3">
        <f>AUD!B2480</f>
        <v>0.68659999999999999</v>
      </c>
      <c r="C2480" s="3">
        <f>AUD!C2480</f>
        <v>0.68720000000000003</v>
      </c>
      <c r="D2480" s="3">
        <f>1/CAD!B2480</f>
        <v>0.76068766164612811</v>
      </c>
      <c r="E2480" s="3">
        <f>1/CAD!C2480</f>
        <v>0.76103500761035003</v>
      </c>
      <c r="F2480" s="3">
        <f>EUR!B2480/1</f>
        <v>1.1005</v>
      </c>
      <c r="G2480" s="3">
        <f>EUR!C2480/1</f>
        <v>1.1032</v>
      </c>
      <c r="H2480" s="3">
        <f>GBP!B2480/1</f>
        <v>1.2349000000000001</v>
      </c>
      <c r="I2480" s="3">
        <f>GBP!C2480/1</f>
        <v>1.2366999999999999</v>
      </c>
      <c r="J2480" s="4">
        <f>1/INR!B2480</f>
        <v>1.3952839402818473E-2</v>
      </c>
      <c r="K2480" s="4">
        <f>1/INR!C2480</f>
        <v>1.3899023593592548E-2</v>
      </c>
      <c r="L2480" s="4">
        <f>1/JPY!B2480</f>
        <v>9.2859132695700623E-3</v>
      </c>
      <c r="M2480" s="4">
        <f>1/JPY!C2480</f>
        <v>9.3081789106452054E-3</v>
      </c>
      <c r="N2480" s="5">
        <f>1/KRW!B2480</f>
        <v>8.3977158212966078E-4</v>
      </c>
      <c r="O2480" s="5">
        <f>1/KRW!C2480</f>
        <v>8.3977602501592009E-4</v>
      </c>
      <c r="P2480" s="3">
        <f>1/NOK!B2480</f>
        <v>0.11142061281337048</v>
      </c>
      <c r="Q2480" s="3">
        <f>1/NOK!C2480</f>
        <v>0.11150260916105435</v>
      </c>
      <c r="R2480" s="3">
        <f>NZD!B2480/1</f>
        <v>0.64159999999999995</v>
      </c>
      <c r="S2480" s="3">
        <f>NZD!C2480/1</f>
        <v>0.6421</v>
      </c>
      <c r="T2480" s="4">
        <f>1/PHP!B2480</f>
        <v>1.9179133103183737E-2</v>
      </c>
      <c r="U2480" s="4">
        <f>1/PHP!C2480</f>
        <v>1.9148834314711094E-2</v>
      </c>
      <c r="V2480" s="4">
        <f>1/TWD!B2480</f>
        <v>3.2030749519538756E-2</v>
      </c>
      <c r="W2480" s="4">
        <f>1/TWD!C2480</f>
        <v>3.2031262512211917E-2</v>
      </c>
      <c r="X2480" s="4">
        <f>1/TWD!B2480</f>
        <v>3.2030749519538756E-2</v>
      </c>
      <c r="Y2480" s="4">
        <f>1/TWD!C2480</f>
        <v>3.2031262512211917E-2</v>
      </c>
      <c r="Z2480" s="4">
        <f>1/ZAR!B2480</f>
        <v>6.8049431106755945E-2</v>
      </c>
      <c r="AA2480" s="4">
        <f>1/ZAR!C2480</f>
        <v>6.7773636055574377E-2</v>
      </c>
    </row>
    <row r="2481" spans="1:27" x14ac:dyDescent="0.25">
      <c r="A2481" t="str">
        <f>"12/09/2019"</f>
        <v>12/09/2019</v>
      </c>
      <c r="B2481" s="3">
        <f>AUD!B2481</f>
        <v>0.68799999999999994</v>
      </c>
      <c r="C2481" s="3">
        <f>AUD!C2481</f>
        <v>0.68859999999999999</v>
      </c>
      <c r="D2481" s="3">
        <f>1/CAD!B2481</f>
        <v>0.75820759724012432</v>
      </c>
      <c r="E2481" s="3">
        <f>1/CAD!C2481</f>
        <v>0.75855268148372901</v>
      </c>
      <c r="F2481" s="3">
        <f>EUR!B2481/1</f>
        <v>1.1023000000000001</v>
      </c>
      <c r="G2481" s="3">
        <f>EUR!C2481/1</f>
        <v>1.1049</v>
      </c>
      <c r="H2481" s="3">
        <f>GBP!B2481/1</f>
        <v>1.2317</v>
      </c>
      <c r="I2481" s="3">
        <f>GBP!C2481/1</f>
        <v>1.2333000000000001</v>
      </c>
      <c r="J2481" s="4">
        <f>1/INR!B2481</f>
        <v>1.4055801532082367E-2</v>
      </c>
      <c r="K2481" s="4">
        <f>1/INR!C2481</f>
        <v>1.4003150708909506E-2</v>
      </c>
      <c r="L2481" s="4">
        <f>1/JPY!B2481</f>
        <v>9.2695587690025966E-3</v>
      </c>
      <c r="M2481" s="4">
        <f>1/JPY!C2481</f>
        <v>9.2903388836914607E-3</v>
      </c>
      <c r="N2481" s="5">
        <f>1/KRW!B2481</f>
        <v>8.3977158212966078E-4</v>
      </c>
      <c r="O2481" s="5">
        <f>1/KRW!C2481</f>
        <v>8.3977602501592009E-4</v>
      </c>
      <c r="P2481" s="3">
        <f>1/NOK!B2481</f>
        <v>0.11167694094523363</v>
      </c>
      <c r="Q2481" s="3">
        <f>1/NOK!C2481</f>
        <v>0.1117505727216852</v>
      </c>
      <c r="R2481" s="3">
        <f>NZD!B2481/1</f>
        <v>0.64349999999999996</v>
      </c>
      <c r="S2481" s="3">
        <f>NZD!C2481/1</f>
        <v>0.64400000000000002</v>
      </c>
      <c r="T2481" s="4">
        <f>1/PHP!B2481</f>
        <v>1.9232618521011637E-2</v>
      </c>
      <c r="U2481" s="4">
        <f>1/PHP!C2481</f>
        <v>1.9202335003936481E-2</v>
      </c>
      <c r="V2481" s="4">
        <f>1/TWD!B2481</f>
        <v>3.2200933827080988E-2</v>
      </c>
      <c r="W2481" s="4">
        <f>1/TWD!C2481</f>
        <v>3.2201452285498075E-2</v>
      </c>
      <c r="X2481" s="4">
        <f>1/TWD!B2481</f>
        <v>3.2200933827080988E-2</v>
      </c>
      <c r="Y2481" s="4">
        <f>1/TWD!C2481</f>
        <v>3.2201452285498075E-2</v>
      </c>
      <c r="Z2481" s="4">
        <f>1/ZAR!B2481</f>
        <v>6.8259851603082608E-2</v>
      </c>
      <c r="AA2481" s="4">
        <f>1/ZAR!C2481</f>
        <v>6.8000843210455811E-2</v>
      </c>
    </row>
    <row r="2482" spans="1:27" x14ac:dyDescent="0.25">
      <c r="A2482" t="str">
        <f>"16/09/2019"</f>
        <v>16/09/2019</v>
      </c>
      <c r="B2482" s="3">
        <f>AUD!B2482</f>
        <v>0.68769999999999998</v>
      </c>
      <c r="C2482" s="3">
        <f>AUD!C2482</f>
        <v>0.68830000000000002</v>
      </c>
      <c r="D2482" s="3">
        <f>1/CAD!B2482</f>
        <v>0.7555152614082804</v>
      </c>
      <c r="E2482" s="3">
        <f>1/CAD!C2482</f>
        <v>0.75580077091678632</v>
      </c>
      <c r="F2482" s="3">
        <f>EUR!B2482/1</f>
        <v>1.1073</v>
      </c>
      <c r="G2482" s="3">
        <f>EUR!C2482/1</f>
        <v>1.1097999999999999</v>
      </c>
      <c r="H2482" s="3">
        <f>GBP!B2482/1</f>
        <v>1.2464999999999999</v>
      </c>
      <c r="I2482" s="3">
        <f>GBP!C2482/1</f>
        <v>1.248</v>
      </c>
      <c r="J2482" s="4">
        <f>1/INR!B2482</f>
        <v>1.3990905911157748E-2</v>
      </c>
      <c r="K2482" s="4">
        <f>1/INR!C2482</f>
        <v>1.3935825523464448E-2</v>
      </c>
      <c r="L2482" s="4">
        <f>1/JPY!B2482</f>
        <v>9.2747171211278057E-3</v>
      </c>
      <c r="M2482" s="4">
        <f>1/JPY!C2482</f>
        <v>9.2950624628197493E-3</v>
      </c>
      <c r="N2482" s="5">
        <f>1/KRW!B2482</f>
        <v>8.4402430790006761E-4</v>
      </c>
      <c r="O2482" s="5">
        <f>1/KRW!C2482</f>
        <v>8.4402879589923555E-4</v>
      </c>
      <c r="P2482" s="3">
        <f>1/NOK!B2482</f>
        <v>0.11181804966957767</v>
      </c>
      <c r="Q2482" s="3">
        <f>1/NOK!C2482</f>
        <v>0.11188060102258869</v>
      </c>
      <c r="R2482" s="3">
        <f>NZD!B2482/1</f>
        <v>0.63890000000000002</v>
      </c>
      <c r="S2482" s="3">
        <f>NZD!C2482/1</f>
        <v>0.63939999999999997</v>
      </c>
      <c r="T2482" s="4">
        <f>1/PHP!B2482</f>
        <v>1.9124115509657678E-2</v>
      </c>
      <c r="U2482" s="4">
        <f>1/PHP!C2482</f>
        <v>1.9097819029066879E-2</v>
      </c>
      <c r="V2482" s="4">
        <f>1/TWD!B2482</f>
        <v>3.2318531445931095E-2</v>
      </c>
      <c r="W2482" s="4">
        <f>1/TWD!C2482</f>
        <v>3.2319053698107718E-2</v>
      </c>
      <c r="X2482" s="4">
        <f>1/TWD!B2482</f>
        <v>3.2318531445931095E-2</v>
      </c>
      <c r="Y2482" s="4">
        <f>1/TWD!C2482</f>
        <v>3.2319053698107718E-2</v>
      </c>
      <c r="Z2482" s="4">
        <f>1/ZAR!B2482</f>
        <v>6.8257521978922084E-2</v>
      </c>
      <c r="AA2482" s="4">
        <f>1/ZAR!C2482</f>
        <v>6.8001305625067995E-2</v>
      </c>
    </row>
    <row r="2483" spans="1:27" x14ac:dyDescent="0.25">
      <c r="A2483" t="str">
        <f>"17/09/2019"</f>
        <v>17/09/2019</v>
      </c>
      <c r="B2483" s="3">
        <f>AUD!B2483</f>
        <v>0.68389999999999995</v>
      </c>
      <c r="C2483" s="3">
        <f>AUD!C2483</f>
        <v>0.68459999999999999</v>
      </c>
      <c r="D2483" s="3">
        <f>1/CAD!B2483</f>
        <v>0.75426157791522097</v>
      </c>
      <c r="E2483" s="3">
        <f>1/CAD!C2483</f>
        <v>0.75466002565844092</v>
      </c>
      <c r="F2483" s="3">
        <f>EUR!B2483/1</f>
        <v>1.1020000000000001</v>
      </c>
      <c r="G2483" s="3">
        <f>EUR!C2483/1</f>
        <v>1.1049</v>
      </c>
      <c r="H2483" s="3">
        <f>GBP!B2483/1</f>
        <v>1.2411000000000001</v>
      </c>
      <c r="I2483" s="3">
        <f>GBP!C2483/1</f>
        <v>1.2430000000000001</v>
      </c>
      <c r="J2483" s="4">
        <f>1/INR!B2483</f>
        <v>1.3930001741250218E-2</v>
      </c>
      <c r="K2483" s="4">
        <f>1/INR!C2483</f>
        <v>1.3872511618228481E-2</v>
      </c>
      <c r="L2483" s="4">
        <f>1/JPY!B2483</f>
        <v>9.2455621301775152E-3</v>
      </c>
      <c r="M2483" s="4">
        <f>1/JPY!C2483</f>
        <v>9.2690002919735091E-3</v>
      </c>
      <c r="N2483" s="5">
        <f>1/KRW!B2483</f>
        <v>8.3977158212966078E-4</v>
      </c>
      <c r="O2483" s="5">
        <f>1/KRW!C2483</f>
        <v>8.3977651867285085E-4</v>
      </c>
      <c r="P2483" s="3">
        <f>1/NOK!B2483</f>
        <v>0.11158846175305474</v>
      </c>
      <c r="Q2483" s="3">
        <f>1/NOK!C2483</f>
        <v>0.11167319954884027</v>
      </c>
      <c r="R2483" s="3">
        <f>NZD!B2483/1</f>
        <v>0.63280000000000003</v>
      </c>
      <c r="S2483" s="3">
        <f>NZD!C2483/1</f>
        <v>0.63329999999999997</v>
      </c>
      <c r="T2483" s="4">
        <f>1/PHP!B2483</f>
        <v>1.9133263178035015E-2</v>
      </c>
      <c r="U2483" s="4">
        <f>1/PHP!C2483</f>
        <v>1.9107671730199675E-2</v>
      </c>
      <c r="V2483" s="4">
        <f>1/TWD!B2483</f>
        <v>3.2221685194135652E-2</v>
      </c>
      <c r="W2483" s="4">
        <f>1/TWD!C2483</f>
        <v>3.2222204320997601E-2</v>
      </c>
      <c r="X2483" s="4">
        <f>1/TWD!B2483</f>
        <v>3.2221685194135652E-2</v>
      </c>
      <c r="Y2483" s="4">
        <f>1/TWD!C2483</f>
        <v>3.2222204320997601E-2</v>
      </c>
      <c r="Z2483" s="4">
        <f>1/ZAR!B2483</f>
        <v>6.7801206861482138E-2</v>
      </c>
      <c r="AA2483" s="4">
        <f>1/ZAR!C2483</f>
        <v>6.752832813365206E-2</v>
      </c>
    </row>
    <row r="2484" spans="1:27" x14ac:dyDescent="0.25">
      <c r="A2484" t="str">
        <f>"18/09/2019"</f>
        <v>18/09/2019</v>
      </c>
      <c r="B2484" s="3">
        <f>AUD!B2484</f>
        <v>0.68459999999999999</v>
      </c>
      <c r="C2484" s="3">
        <f>AUD!C2484</f>
        <v>0.68530000000000002</v>
      </c>
      <c r="D2484" s="3">
        <f>1/CAD!B2484</f>
        <v>0.75437537718768866</v>
      </c>
      <c r="E2484" s="3">
        <f>1/CAD!C2484</f>
        <v>0.75477394520341157</v>
      </c>
      <c r="F2484" s="3">
        <f>EUR!B2484/1</f>
        <v>1.1065</v>
      </c>
      <c r="G2484" s="3">
        <f>EUR!C2484/1</f>
        <v>1.1091</v>
      </c>
      <c r="H2484" s="3">
        <f>GBP!B2484/1</f>
        <v>1.2484999999999999</v>
      </c>
      <c r="I2484" s="3">
        <f>GBP!C2484/1</f>
        <v>1.2501</v>
      </c>
      <c r="J2484" s="4">
        <f>1/INR!B2484</f>
        <v>1.398748120432213E-2</v>
      </c>
      <c r="K2484" s="4">
        <f>1/INR!C2484</f>
        <v>1.3931942461077635E-2</v>
      </c>
      <c r="L2484" s="4">
        <f>1/JPY!B2484</f>
        <v>9.2421441774491672E-3</v>
      </c>
      <c r="M2484" s="4">
        <f>1/JPY!C2484</f>
        <v>9.2639770253369769E-3</v>
      </c>
      <c r="N2484" s="5">
        <f>1/KRW!B2484</f>
        <v>8.3871508848444186E-4</v>
      </c>
      <c r="O2484" s="5">
        <f>1/KRW!C2484</f>
        <v>8.3872001261434907E-4</v>
      </c>
      <c r="P2484" s="3">
        <f>1/NOK!B2484</f>
        <v>0.11182555213866367</v>
      </c>
      <c r="Q2484" s="3">
        <f>1/NOK!C2484</f>
        <v>0.11190313664492017</v>
      </c>
      <c r="R2484" s="3">
        <f>NZD!B2484/1</f>
        <v>0.63370000000000004</v>
      </c>
      <c r="S2484" s="3">
        <f>NZD!C2484/1</f>
        <v>0.63419999999999999</v>
      </c>
      <c r="T2484" s="4">
        <f>1/PHP!B2484</f>
        <v>1.913143294432753E-2</v>
      </c>
      <c r="U2484" s="4">
        <f>1/PHP!C2484</f>
        <v>1.9104386367109889E-2</v>
      </c>
      <c r="V2484" s="4">
        <f>1/TWD!B2484</f>
        <v>3.2290354871000029E-2</v>
      </c>
      <c r="W2484" s="4">
        <f>1/TWD!C2484</f>
        <v>3.2290876212926041E-2</v>
      </c>
      <c r="X2484" s="4">
        <f>1/TWD!B2484</f>
        <v>3.2290354871000029E-2</v>
      </c>
      <c r="Y2484" s="4">
        <f>1/TWD!C2484</f>
        <v>3.2290876212926041E-2</v>
      </c>
      <c r="Z2484" s="4">
        <f>1/ZAR!B2484</f>
        <v>6.8000843210455811E-2</v>
      </c>
      <c r="AA2484" s="4">
        <f>1/ZAR!C2484</f>
        <v>6.7735533383457627E-2</v>
      </c>
    </row>
    <row r="2485" spans="1:27" x14ac:dyDescent="0.25">
      <c r="A2485" t="str">
        <f>"19/09/2019"</f>
        <v>19/09/2019</v>
      </c>
      <c r="B2485" s="3">
        <f>AUD!B2485</f>
        <v>0.67869999999999997</v>
      </c>
      <c r="C2485" s="3">
        <f>AUD!C2485</f>
        <v>0.6794</v>
      </c>
      <c r="D2485" s="3">
        <f>1/CAD!B2485</f>
        <v>0.75216246709289214</v>
      </c>
      <c r="E2485" s="3">
        <f>1/CAD!C2485</f>
        <v>0.75255869957856714</v>
      </c>
      <c r="F2485" s="3">
        <f>EUR!B2485/1</f>
        <v>1.1036999999999999</v>
      </c>
      <c r="G2485" s="3">
        <f>EUR!C2485/1</f>
        <v>1.1063000000000001</v>
      </c>
      <c r="H2485" s="3">
        <f>GBP!B2485/1</f>
        <v>1.2474000000000001</v>
      </c>
      <c r="I2485" s="3">
        <f>GBP!C2485/1</f>
        <v>1.2490000000000001</v>
      </c>
      <c r="J2485" s="4">
        <f>1/INR!B2485</f>
        <v>1.403607270685662E-2</v>
      </c>
      <c r="K2485" s="4">
        <f>1/INR!C2485</f>
        <v>1.3981614177356777E-2</v>
      </c>
      <c r="L2485" s="4">
        <f>1/JPY!B2485</f>
        <v>9.2695587690025966E-3</v>
      </c>
      <c r="M2485" s="4">
        <f>1/JPY!C2485</f>
        <v>9.2917718572672336E-3</v>
      </c>
      <c r="N2485" s="5">
        <f>1/KRW!B2485</f>
        <v>8.3577099874634355E-4</v>
      </c>
      <c r="O2485" s="5">
        <f>1/KRW!C2485</f>
        <v>8.3577518984633448E-4</v>
      </c>
      <c r="P2485" s="3">
        <f>1/NOK!B2485</f>
        <v>0.1116968992940756</v>
      </c>
      <c r="Q2485" s="3">
        <f>1/NOK!C2485</f>
        <v>0.11176805892412066</v>
      </c>
      <c r="R2485" s="3">
        <f>NZD!B2485/1</f>
        <v>0.63100000000000001</v>
      </c>
      <c r="S2485" s="3">
        <f>NZD!C2485/1</f>
        <v>0.63139999999999996</v>
      </c>
      <c r="T2485" s="4">
        <f>1/PHP!B2485</f>
        <v>1.9130334972165361E-2</v>
      </c>
      <c r="U2485" s="4">
        <f>1/PHP!C2485</f>
        <v>1.9103838916430256E-2</v>
      </c>
      <c r="V2485" s="4">
        <f>1/TWD!B2485</f>
        <v>3.2248701989744916E-2</v>
      </c>
      <c r="W2485" s="4">
        <f>1/TWD!C2485</f>
        <v>3.2249221987519547E-2</v>
      </c>
      <c r="X2485" s="4">
        <f>1/TWD!B2485</f>
        <v>3.2248701989744916E-2</v>
      </c>
      <c r="Y2485" s="4">
        <f>1/TWD!C2485</f>
        <v>3.2249221987519547E-2</v>
      </c>
      <c r="Z2485" s="4">
        <f>1/ZAR!B2485</f>
        <v>6.7882671590423119E-2</v>
      </c>
      <c r="AA2485" s="4">
        <f>1/ZAR!C2485</f>
        <v>6.7628341685433538E-2</v>
      </c>
    </row>
    <row r="2486" spans="1:27" x14ac:dyDescent="0.25">
      <c r="A2486" t="str">
        <f>"20/09/2019"</f>
        <v>20/09/2019</v>
      </c>
      <c r="B2486" s="3">
        <f>AUD!B2486</f>
        <v>0.6794</v>
      </c>
      <c r="C2486" s="3">
        <f>AUD!C2486</f>
        <v>0.68010000000000004</v>
      </c>
      <c r="D2486" s="3">
        <f>1/CAD!B2486</f>
        <v>0.75363629512397323</v>
      </c>
      <c r="E2486" s="3">
        <f>1/CAD!C2486</f>
        <v>0.75403408234052172</v>
      </c>
      <c r="F2486" s="3">
        <f>EUR!B2486/1</f>
        <v>1.1057999999999999</v>
      </c>
      <c r="G2486" s="3">
        <f>EUR!C2486/1</f>
        <v>1.1084000000000001</v>
      </c>
      <c r="H2486" s="3">
        <f>GBP!B2486/1</f>
        <v>1.2549999999999999</v>
      </c>
      <c r="I2486" s="3">
        <f>GBP!C2486/1</f>
        <v>1.2566999999999999</v>
      </c>
      <c r="J2486" s="4">
        <f>1/INR!B2486</f>
        <v>1.4079549454417457E-2</v>
      </c>
      <c r="K2486" s="4">
        <f>1/INR!C2486</f>
        <v>1.4025245441795233E-2</v>
      </c>
      <c r="L2486" s="4">
        <f>1/JPY!B2486</f>
        <v>9.2721372276309694E-3</v>
      </c>
      <c r="M2486" s="4">
        <f>1/JPY!C2486</f>
        <v>9.2951575017962904E-3</v>
      </c>
      <c r="N2486" s="5">
        <f>1/KRW!B2486</f>
        <v>8.4012433840208352E-4</v>
      </c>
      <c r="O2486" s="5">
        <f>1/KRW!C2486</f>
        <v>8.4012892618501236E-4</v>
      </c>
      <c r="P2486" s="3">
        <f>1/NOK!B2486</f>
        <v>0.11149390685799022</v>
      </c>
      <c r="Q2486" s="3">
        <f>1/NOK!C2486</f>
        <v>0.11155982953658046</v>
      </c>
      <c r="R2486" s="3">
        <f>NZD!B2486/1</f>
        <v>0.62949999999999995</v>
      </c>
      <c r="S2486" s="3">
        <f>NZD!C2486/1</f>
        <v>0.63</v>
      </c>
      <c r="T2486" s="4">
        <f>1/PHP!B2486</f>
        <v>1.9160758766047135E-2</v>
      </c>
      <c r="U2486" s="4">
        <f>1/PHP!C2486</f>
        <v>1.9135093761959435E-2</v>
      </c>
      <c r="V2486" s="4">
        <f>1/TWD!B2486</f>
        <v>3.2284100080710247E-2</v>
      </c>
      <c r="W2486" s="4">
        <f>1/TWD!C2486</f>
        <v>3.2284725450694766E-2</v>
      </c>
      <c r="X2486" s="4">
        <f>1/TWD!B2486</f>
        <v>3.2284100080710247E-2</v>
      </c>
      <c r="Y2486" s="4">
        <f>1/TWD!C2486</f>
        <v>3.2284725450694766E-2</v>
      </c>
      <c r="Z2486" s="4">
        <f>1/ZAR!B2486</f>
        <v>6.7707557517570113E-2</v>
      </c>
      <c r="AA2486" s="4">
        <f>1/ZAR!C2486</f>
        <v>6.7449075947659518E-2</v>
      </c>
    </row>
    <row r="2487" spans="1:27" x14ac:dyDescent="0.25">
      <c r="A2487" t="str">
        <f>"23/09/2019"</f>
        <v>23/09/2019</v>
      </c>
      <c r="B2487" s="3">
        <f>AUD!B2487</f>
        <v>0.67710000000000004</v>
      </c>
      <c r="C2487" s="3">
        <f>AUD!C2487</f>
        <v>0.67769999999999997</v>
      </c>
      <c r="D2487" s="3">
        <f>1/CAD!B2487</f>
        <v>0.75284197846871936</v>
      </c>
      <c r="E2487" s="3">
        <f>1/CAD!C2487</f>
        <v>0.75318219477291548</v>
      </c>
      <c r="F2487" s="3">
        <f>EUR!B2487/1</f>
        <v>1.0984</v>
      </c>
      <c r="G2487" s="3">
        <f>EUR!C2487/1</f>
        <v>1.1009</v>
      </c>
      <c r="H2487" s="3">
        <f>GBP!B2487/1</f>
        <v>1.2439</v>
      </c>
      <c r="I2487" s="3">
        <f>GBP!C2487/1</f>
        <v>1.2453000000000001</v>
      </c>
      <c r="J2487" s="4">
        <f>1/INR!B2487</f>
        <v>1.4095922754343307E-2</v>
      </c>
      <c r="K2487" s="4">
        <f>1/INR!C2487</f>
        <v>1.40424784974548E-2</v>
      </c>
      <c r="L2487" s="4">
        <f>1/JPY!B2487</f>
        <v>9.3057882002605622E-3</v>
      </c>
      <c r="M2487" s="4">
        <f>1/JPY!C2487</f>
        <v>9.3258962419435903E-3</v>
      </c>
      <c r="N2487" s="5">
        <f>1/KRW!B2487</f>
        <v>8.375209380234506E-4</v>
      </c>
      <c r="O2487" s="5">
        <f>1/KRW!C2487</f>
        <v>8.3752514669252953E-4</v>
      </c>
      <c r="P2487" s="3">
        <f>1/NOK!B2487</f>
        <v>0.11021348351757354</v>
      </c>
      <c r="Q2487" s="3">
        <f>1/NOK!C2487</f>
        <v>0.11027060406236905</v>
      </c>
      <c r="R2487" s="3">
        <f>NZD!B2487/1</f>
        <v>0.627</v>
      </c>
      <c r="S2487" s="3">
        <f>NZD!C2487/1</f>
        <v>0.62739999999999996</v>
      </c>
      <c r="T2487" s="4">
        <f>1/PHP!B2487</f>
        <v>1.9144251938355509E-2</v>
      </c>
      <c r="U2487" s="4">
        <f>1/PHP!C2487</f>
        <v>1.911863110601281E-2</v>
      </c>
      <c r="V2487" s="4">
        <f>1/TWD!B2487</f>
        <v>3.2197823427136327E-2</v>
      </c>
      <c r="W2487" s="4">
        <f>1/TWD!C2487</f>
        <v>3.2198341785398051E-2</v>
      </c>
      <c r="X2487" s="4">
        <f>1/TWD!B2487</f>
        <v>3.2197823427136327E-2</v>
      </c>
      <c r="Y2487" s="4">
        <f>1/TWD!C2487</f>
        <v>3.2198341785398051E-2</v>
      </c>
      <c r="Z2487" s="4">
        <f>1/ZAR!B2487</f>
        <v>6.7232314539660346E-2</v>
      </c>
      <c r="AA2487" s="4">
        <f>1/ZAR!C2487</f>
        <v>6.6952329941081953E-2</v>
      </c>
    </row>
    <row r="2488" spans="1:27" x14ac:dyDescent="0.25">
      <c r="A2488" t="str">
        <f>"24/09/2019"</f>
        <v>24/09/2019</v>
      </c>
      <c r="B2488" s="3">
        <f>AUD!B2488</f>
        <v>0.67749999999999999</v>
      </c>
      <c r="C2488" s="3">
        <f>AUD!C2488</f>
        <v>0.67820000000000003</v>
      </c>
      <c r="D2488" s="3">
        <f>1/CAD!B2488</f>
        <v>0.75414781297134237</v>
      </c>
      <c r="E2488" s="3">
        <f>1/CAD!C2488</f>
        <v>0.75448921080428555</v>
      </c>
      <c r="F2488" s="3">
        <f>EUR!B2488/1</f>
        <v>1.0991</v>
      </c>
      <c r="G2488" s="3">
        <f>EUR!C2488/1</f>
        <v>1.1016999999999999</v>
      </c>
      <c r="H2488" s="3">
        <f>GBP!B2488/1</f>
        <v>1.2427999999999999</v>
      </c>
      <c r="I2488" s="3">
        <f>GBP!C2488/1</f>
        <v>1.2444</v>
      </c>
      <c r="J2488" s="4">
        <f>1/INR!B2488</f>
        <v>1.4124792542109538E-2</v>
      </c>
      <c r="K2488" s="4">
        <f>1/INR!C2488</f>
        <v>1.4065686757155919E-2</v>
      </c>
      <c r="L2488" s="4">
        <f>1/JPY!B2488</f>
        <v>9.2988655384043141E-3</v>
      </c>
      <c r="M2488" s="4">
        <f>1/JPY!C2488</f>
        <v>9.319994557123179E-3</v>
      </c>
      <c r="N2488" s="5">
        <f>1/KRW!B2488</f>
        <v>8.3682008368200832E-4</v>
      </c>
      <c r="O2488" s="5">
        <f>1/KRW!C2488</f>
        <v>8.3682463544780788E-4</v>
      </c>
      <c r="P2488" s="3">
        <f>1/NOK!B2488</f>
        <v>0.11051799785595084</v>
      </c>
      <c r="Q2488" s="3">
        <f>1/NOK!C2488</f>
        <v>0.11057543456145782</v>
      </c>
      <c r="R2488" s="3">
        <f>NZD!B2488/1</f>
        <v>0.62990000000000002</v>
      </c>
      <c r="S2488" s="3">
        <f>NZD!C2488/1</f>
        <v>0.63039999999999996</v>
      </c>
      <c r="T2488" s="4">
        <f>1/PHP!B2488</f>
        <v>1.9136924696201318E-2</v>
      </c>
      <c r="U2488" s="4">
        <f>1/PHP!C2488</f>
        <v>1.9110775610828166E-2</v>
      </c>
      <c r="V2488" s="4">
        <f>1/TWD!B2488</f>
        <v>3.2257023966968806E-2</v>
      </c>
      <c r="W2488" s="4">
        <f>1/TWD!C2488</f>
        <v>3.2257544233157534E-2</v>
      </c>
      <c r="X2488" s="4">
        <f>1/TWD!B2488</f>
        <v>3.2257023966968806E-2</v>
      </c>
      <c r="Y2488" s="4">
        <f>1/TWD!C2488</f>
        <v>3.2257544233157534E-2</v>
      </c>
      <c r="Z2488" s="4">
        <f>1/ZAR!B2488</f>
        <v>6.7042551907695813E-2</v>
      </c>
      <c r="AA2488" s="4">
        <f>1/ZAR!C2488</f>
        <v>6.6761467951157311E-2</v>
      </c>
    </row>
    <row r="2489" spans="1:27" x14ac:dyDescent="0.25">
      <c r="A2489" t="str">
        <f>"25/09/2019"</f>
        <v>25/09/2019</v>
      </c>
      <c r="B2489" s="3">
        <f>AUD!B2489</f>
        <v>0.67710000000000004</v>
      </c>
      <c r="C2489" s="3">
        <f>AUD!C2489</f>
        <v>0.67789999999999995</v>
      </c>
      <c r="D2489" s="3">
        <f>1/CAD!B2489</f>
        <v>0.7538067239559777</v>
      </c>
      <c r="E2489" s="3">
        <f>1/CAD!C2489</f>
        <v>0.75426157791522097</v>
      </c>
      <c r="F2489" s="3">
        <f>EUR!B2489/1</f>
        <v>1.099</v>
      </c>
      <c r="G2489" s="3">
        <f>EUR!C2489/1</f>
        <v>1.1017999999999999</v>
      </c>
      <c r="H2489" s="3">
        <f>GBP!B2489/1</f>
        <v>1.2399</v>
      </c>
      <c r="I2489" s="3">
        <f>GBP!C2489/1</f>
        <v>1.2418</v>
      </c>
      <c r="J2489" s="4">
        <f>1/INR!B2489</f>
        <v>1.4075585896262932E-2</v>
      </c>
      <c r="K2489" s="4">
        <f>1/INR!C2489</f>
        <v>1.4021803905072388E-2</v>
      </c>
      <c r="L2489" s="4">
        <f>1/JPY!B2489</f>
        <v>9.314456035767511E-3</v>
      </c>
      <c r="M2489" s="4">
        <f>1/JPY!C2489</f>
        <v>9.3372076520284158E-3</v>
      </c>
      <c r="N2489" s="5">
        <f>1/KRW!B2489</f>
        <v>8.3402835696413675E-4</v>
      </c>
      <c r="O2489" s="5">
        <f>1/KRW!C2489</f>
        <v>8.3403253060482382E-4</v>
      </c>
      <c r="P2489" s="3">
        <f>1/NOK!B2489</f>
        <v>0.11070519207350825</v>
      </c>
      <c r="Q2489" s="3">
        <f>1/NOK!C2489</f>
        <v>0.11078491109510884</v>
      </c>
      <c r="R2489" s="3">
        <f>NZD!B2489/1</f>
        <v>0.63070000000000004</v>
      </c>
      <c r="S2489" s="3">
        <f>NZD!C2489/1</f>
        <v>0.63109999999999999</v>
      </c>
      <c r="T2489" s="4">
        <f>1/PHP!B2489</f>
        <v>1.9146084625694046E-2</v>
      </c>
      <c r="U2489" s="4">
        <f>1/PHP!C2489</f>
        <v>1.9119727735077054E-2</v>
      </c>
      <c r="V2489" s="4">
        <f>1/TWD!B2489</f>
        <v>3.2223761801952758E-2</v>
      </c>
      <c r="W2489" s="4">
        <f>1/TWD!C2489</f>
        <v>3.2224280995730284E-2</v>
      </c>
      <c r="X2489" s="4">
        <f>1/TWD!B2489</f>
        <v>3.2223761801952758E-2</v>
      </c>
      <c r="Y2489" s="4">
        <f>1/TWD!C2489</f>
        <v>3.2224280995730284E-2</v>
      </c>
      <c r="Z2489" s="4">
        <f>1/ZAR!B2489</f>
        <v>6.6534927510196476E-2</v>
      </c>
      <c r="AA2489" s="4">
        <f>1/ZAR!C2489</f>
        <v>6.6260709387154698E-2</v>
      </c>
    </row>
    <row r="2490" spans="1:27" x14ac:dyDescent="0.25">
      <c r="A2490" t="str">
        <f>"26/09/2019"</f>
        <v>26/09/2019</v>
      </c>
      <c r="B2490" s="3">
        <f>AUD!B2490</f>
        <v>0.67620000000000002</v>
      </c>
      <c r="C2490" s="3">
        <f>AUD!C2490</f>
        <v>0.67700000000000005</v>
      </c>
      <c r="D2490" s="3">
        <f>1/CAD!B2490</f>
        <v>0.75466002565844092</v>
      </c>
      <c r="E2490" s="3">
        <f>1/CAD!C2490</f>
        <v>0.75505889459377828</v>
      </c>
      <c r="F2490" s="3">
        <f>EUR!B2490/1</f>
        <v>1.0963000000000001</v>
      </c>
      <c r="G2490" s="3">
        <f>EUR!C2490/1</f>
        <v>1.0989</v>
      </c>
      <c r="H2490" s="3">
        <f>GBP!B2490/1</f>
        <v>1.2374000000000001</v>
      </c>
      <c r="I2490" s="3">
        <f>GBP!C2490/1</f>
        <v>1.2391000000000001</v>
      </c>
      <c r="J2490" s="4">
        <f>1/INR!B2490</f>
        <v>1.409343950391093E-2</v>
      </c>
      <c r="K2490" s="4">
        <f>1/INR!C2490</f>
        <v>1.4041985536754896E-2</v>
      </c>
      <c r="L2490" s="4">
        <f>1/JPY!B2490</f>
        <v>9.2876381536175345E-3</v>
      </c>
      <c r="M2490" s="4">
        <f>1/JPY!C2490</f>
        <v>9.3081269256187569E-3</v>
      </c>
      <c r="N2490" s="5">
        <f>1/KRW!B2490</f>
        <v>8.3388925950633752E-4</v>
      </c>
      <c r="O2490" s="5">
        <f>1/KRW!C2490</f>
        <v>8.3389308406601255E-4</v>
      </c>
      <c r="P2490" s="3">
        <f>1/NOK!B2490</f>
        <v>0.11055343047294756</v>
      </c>
      <c r="Q2490" s="3">
        <f>1/NOK!C2490</f>
        <v>0.11062803535672008</v>
      </c>
      <c r="R2490" s="3">
        <f>NZD!B2490/1</f>
        <v>0.63070000000000004</v>
      </c>
      <c r="S2490" s="3">
        <f>NZD!C2490/1</f>
        <v>0.63109999999999999</v>
      </c>
      <c r="T2490" s="4">
        <f>1/PHP!B2490</f>
        <v>1.9175455417066157E-2</v>
      </c>
      <c r="U2490" s="4">
        <f>1/PHP!C2490</f>
        <v>1.9149384347293234E-2</v>
      </c>
      <c r="V2490" s="4">
        <f>1/TWD!B2490</f>
        <v>3.2242463324197966E-2</v>
      </c>
      <c r="W2490" s="4">
        <f>1/TWD!C2490</f>
        <v>3.2242983120798333E-2</v>
      </c>
      <c r="X2490" s="4">
        <f>1/TWD!B2490</f>
        <v>3.2242463324197966E-2</v>
      </c>
      <c r="Y2490" s="4">
        <f>1/TWD!C2490</f>
        <v>3.2242983120798333E-2</v>
      </c>
      <c r="Z2490" s="4">
        <f>1/ZAR!B2490</f>
        <v>6.6730282869669089E-2</v>
      </c>
      <c r="AA2490" s="4">
        <f>1/ZAR!C2490</f>
        <v>6.6454897061364454E-2</v>
      </c>
    </row>
    <row r="2491" spans="1:27" x14ac:dyDescent="0.25">
      <c r="A2491" t="str">
        <f>"27/09/2019"</f>
        <v>27/09/2019</v>
      </c>
      <c r="B2491" s="3">
        <f>AUD!B2491</f>
        <v>0.67520000000000002</v>
      </c>
      <c r="C2491" s="3">
        <f>AUD!C2491</f>
        <v>0.67589999999999995</v>
      </c>
      <c r="D2491" s="3">
        <f>1/CAD!B2491</f>
        <v>0.75443228970199927</v>
      </c>
      <c r="E2491" s="3">
        <f>1/CAD!C2491</f>
        <v>0.75483091787439616</v>
      </c>
      <c r="F2491" s="3">
        <f>EUR!B2491/1</f>
        <v>1.0934999999999999</v>
      </c>
      <c r="G2491" s="3">
        <f>EUR!C2491/1</f>
        <v>1.0960000000000001</v>
      </c>
      <c r="H2491" s="3">
        <f>GBP!B2491/1</f>
        <v>1.23</v>
      </c>
      <c r="I2491" s="3">
        <f>GBP!C2491/1</f>
        <v>1.2315</v>
      </c>
      <c r="J2491" s="4">
        <f>1/INR!B2491</f>
        <v>1.4170829347787579E-2</v>
      </c>
      <c r="K2491" s="4">
        <f>1/INR!C2491</f>
        <v>1.412180052956752E-2</v>
      </c>
      <c r="L2491" s="4">
        <f>1/JPY!B2491</f>
        <v>9.2515496345637899E-3</v>
      </c>
      <c r="M2491" s="4">
        <f>1/JPY!C2491</f>
        <v>9.2704095017989239E-3</v>
      </c>
      <c r="N2491" s="5">
        <f>1/KRW!B2491</f>
        <v>8.3333333333333339E-4</v>
      </c>
      <c r="O2491" s="5">
        <f>1/KRW!C2491</f>
        <v>8.3333680557002329E-4</v>
      </c>
      <c r="P2491" s="3">
        <f>1/NOK!B2491</f>
        <v>0.11022563186843468</v>
      </c>
      <c r="Q2491" s="3">
        <f>1/NOK!C2491</f>
        <v>0.11028884648895457</v>
      </c>
      <c r="R2491" s="3">
        <f>NZD!B2491/1</f>
        <v>0.62929999999999997</v>
      </c>
      <c r="S2491" s="3">
        <f>NZD!C2491/1</f>
        <v>0.62970000000000004</v>
      </c>
      <c r="T2491" s="4">
        <f>1/PHP!B2491</f>
        <v>1.9258545979778528E-2</v>
      </c>
      <c r="U2491" s="4">
        <f>1/PHP!C2491</f>
        <v>1.9237058269049499E-2</v>
      </c>
      <c r="V2491" s="4">
        <f>1/TWD!B2491</f>
        <v>3.2213381438649616E-2</v>
      </c>
      <c r="W2491" s="4">
        <f>1/TWD!C2491</f>
        <v>3.2213900297978576E-2</v>
      </c>
      <c r="X2491" s="4">
        <f>1/TWD!B2491</f>
        <v>3.2213381438649616E-2</v>
      </c>
      <c r="Y2491" s="4">
        <f>1/TWD!C2491</f>
        <v>3.2213900297978576E-2</v>
      </c>
      <c r="Z2491" s="4">
        <f>1/ZAR!B2491</f>
        <v>6.63799054750146E-2</v>
      </c>
      <c r="AA2491" s="4">
        <f>1/ZAR!C2491</f>
        <v>6.6112642720667469E-2</v>
      </c>
    </row>
    <row r="2492" spans="1:27" x14ac:dyDescent="0.25">
      <c r="A2492" t="str">
        <f>"30/09/2019"</f>
        <v>30/09/2019</v>
      </c>
      <c r="B2492" s="3">
        <f>AUD!B2492</f>
        <v>0.6754</v>
      </c>
      <c r="C2492" s="3">
        <f>AUD!C2492</f>
        <v>0.67610000000000003</v>
      </c>
      <c r="D2492" s="3">
        <f>1/CAD!B2492</f>
        <v>0.75488789914697663</v>
      </c>
      <c r="E2492" s="3">
        <f>1/CAD!C2492</f>
        <v>0.7552299675251114</v>
      </c>
      <c r="F2492" s="3">
        <f>EUR!B2492/1</f>
        <v>1.091</v>
      </c>
      <c r="G2492" s="3">
        <f>EUR!C2492/1</f>
        <v>1.0935999999999999</v>
      </c>
      <c r="H2492" s="3">
        <f>GBP!B2492/1</f>
        <v>1.2314000000000001</v>
      </c>
      <c r="I2492" s="3">
        <f>GBP!C2492/1</f>
        <v>1.2330000000000001</v>
      </c>
      <c r="J2492" s="4">
        <f>1/INR!B2492</f>
        <v>1.4109845144449538E-2</v>
      </c>
      <c r="K2492" s="4">
        <f>1/INR!C2492</f>
        <v>1.4059753954305799E-2</v>
      </c>
      <c r="L2492" s="4">
        <f>1/JPY!B2492</f>
        <v>9.262689885142646E-3</v>
      </c>
      <c r="M2492" s="4">
        <f>1/JPY!C2492</f>
        <v>9.2830082887981023E-3</v>
      </c>
      <c r="N2492" s="5">
        <f>1/KRW!B2492</f>
        <v>8.3584085590103637E-4</v>
      </c>
      <c r="O2492" s="5">
        <f>1/KRW!C2492</f>
        <v>8.3584469838335091E-4</v>
      </c>
      <c r="P2492" s="3">
        <f>1/NOK!B2492</f>
        <v>0.11018069634200088</v>
      </c>
      <c r="Q2492" s="3">
        <f>1/NOK!C2492</f>
        <v>0.11024142872891633</v>
      </c>
      <c r="R2492" s="3">
        <f>NZD!B2492/1</f>
        <v>0.62660000000000005</v>
      </c>
      <c r="S2492" s="3">
        <f>NZD!C2492/1</f>
        <v>0.62709999999999999</v>
      </c>
      <c r="T2492" s="4">
        <f>1/PHP!B2492</f>
        <v>1.9275250578257516E-2</v>
      </c>
      <c r="U2492" s="4">
        <f>1/PHP!C2492</f>
        <v>1.9252984212552948E-2</v>
      </c>
      <c r="V2492" s="4">
        <f>1/TWD!B2492</f>
        <v>3.2213381438649616E-2</v>
      </c>
      <c r="W2492" s="4">
        <f>1/TWD!C2492</f>
        <v>3.2213900297978576E-2</v>
      </c>
      <c r="X2492" s="4">
        <f>1/TWD!B2492</f>
        <v>3.2213381438649616E-2</v>
      </c>
      <c r="Y2492" s="4">
        <f>1/TWD!C2492</f>
        <v>3.2213900297978576E-2</v>
      </c>
      <c r="Z2492" s="4">
        <f>1/ZAR!B2492</f>
        <v>6.5768704619593804E-2</v>
      </c>
      <c r="AA2492" s="4">
        <f>1/ZAR!C2492</f>
        <v>6.5484882814802206E-2</v>
      </c>
    </row>
    <row r="2493" spans="1:27" x14ac:dyDescent="0.25">
      <c r="A2493" t="str">
        <f>"01/10/2019"</f>
        <v>01/10/2019</v>
      </c>
      <c r="B2493" s="3">
        <f>AUD!B2493</f>
        <v>0.67</v>
      </c>
      <c r="C2493" s="3">
        <f>AUD!C2493</f>
        <v>0.67079999999999995</v>
      </c>
      <c r="D2493" s="3">
        <f>1/CAD!B2493</f>
        <v>0.75340917652377015</v>
      </c>
      <c r="E2493" s="3">
        <f>1/CAD!C2493</f>
        <v>0.7538067239559777</v>
      </c>
      <c r="F2493" s="3">
        <f>EUR!B2493/1</f>
        <v>1.0901000000000001</v>
      </c>
      <c r="G2493" s="3">
        <f>EUR!C2493/1</f>
        <v>1.0927</v>
      </c>
      <c r="H2493" s="3">
        <f>GBP!B2493/1</f>
        <v>1.2275</v>
      </c>
      <c r="I2493" s="3">
        <f>GBP!C2493/1</f>
        <v>1.2291000000000001</v>
      </c>
      <c r="J2493" s="4">
        <f>1/INR!B2493</f>
        <v>1.4065686757155919E-2</v>
      </c>
      <c r="K2493" s="4">
        <f>1/INR!C2493</f>
        <v>1.4017872787804449E-2</v>
      </c>
      <c r="L2493" s="4">
        <f>1/JPY!B2493</f>
        <v>9.2327578247622562E-3</v>
      </c>
      <c r="M2493" s="4">
        <f>1/JPY!C2493</f>
        <v>9.2529449810638473E-3</v>
      </c>
      <c r="N2493" s="5">
        <f>1/KRW!B2493</f>
        <v>8.338197281747686E-4</v>
      </c>
      <c r="O2493" s="5">
        <f>1/KRW!C2493</f>
        <v>8.33823204465957E-4</v>
      </c>
      <c r="P2493" s="3">
        <f>1/NOK!B2493</f>
        <v>0.10967557963543836</v>
      </c>
      <c r="Q2493" s="3">
        <f>1/NOK!C2493</f>
        <v>0.10973455211842553</v>
      </c>
      <c r="R2493" s="3">
        <f>NZD!B2493/1</f>
        <v>0.62219999999999998</v>
      </c>
      <c r="S2493" s="3">
        <f>NZD!C2493/1</f>
        <v>0.62260000000000004</v>
      </c>
      <c r="T2493" s="4">
        <f>1/PHP!B2493</f>
        <v>1.9238168526356292E-2</v>
      </c>
      <c r="U2493" s="4">
        <f>1/PHP!C2493</f>
        <v>1.9217464832039358E-2</v>
      </c>
      <c r="V2493" s="4">
        <f>1/TWD!B2493</f>
        <v>3.2208193764493687E-2</v>
      </c>
      <c r="W2493" s="4">
        <f>1/TWD!C2493</f>
        <v>3.2208712456719545E-2</v>
      </c>
      <c r="X2493" s="4">
        <f>1/TWD!B2493</f>
        <v>3.2208193764493687E-2</v>
      </c>
      <c r="Y2493" s="4">
        <f>1/TWD!C2493</f>
        <v>3.2208712456719545E-2</v>
      </c>
      <c r="Z2493" s="4">
        <f>1/ZAR!B2493</f>
        <v>6.5417626125183162E-2</v>
      </c>
      <c r="AA2493" s="4">
        <f>1/ZAR!C2493</f>
        <v>6.514573100024755E-2</v>
      </c>
    </row>
    <row r="2494" spans="1:27" x14ac:dyDescent="0.25">
      <c r="A2494" t="str">
        <f>"03/10/2019"</f>
        <v>03/10/2019</v>
      </c>
      <c r="B2494" s="3">
        <f>AUD!B2494</f>
        <v>0.67159999999999997</v>
      </c>
      <c r="C2494" s="3">
        <f>AUD!C2494</f>
        <v>0.67230000000000001</v>
      </c>
      <c r="D2494" s="3">
        <f>1/CAD!B2494</f>
        <v>0.75075075075075071</v>
      </c>
      <c r="E2494" s="3">
        <f>1/CAD!C2494</f>
        <v>0.75103266992114159</v>
      </c>
      <c r="F2494" s="3">
        <f>EUR!B2494/1</f>
        <v>1.0956999999999999</v>
      </c>
      <c r="G2494" s="3">
        <f>EUR!C2494/1</f>
        <v>1.0982000000000001</v>
      </c>
      <c r="H2494" s="3">
        <f>GBP!B2494/1</f>
        <v>1.2302999999999999</v>
      </c>
      <c r="I2494" s="3">
        <f>GBP!C2494/1</f>
        <v>1.2318</v>
      </c>
      <c r="J2494" s="4">
        <f>1/INR!B2494</f>
        <v>1.4029180695847363E-2</v>
      </c>
      <c r="K2494" s="4">
        <f>1/INR!C2494</f>
        <v>1.3981125480601188E-2</v>
      </c>
      <c r="L2494" s="4">
        <f>1/JPY!B2494</f>
        <v>9.3309694877297747E-3</v>
      </c>
      <c r="M2494" s="4">
        <f>1/JPY!C2494</f>
        <v>9.3496303623636229E-3</v>
      </c>
      <c r="N2494" s="5">
        <f>1/KRW!B2494</f>
        <v>8.2918739635157548E-4</v>
      </c>
      <c r="O2494" s="5">
        <f>1/KRW!C2494</f>
        <v>8.2918980278964328E-4</v>
      </c>
      <c r="P2494" s="3">
        <f>1/NOK!B2494</f>
        <v>0.10952542632772198</v>
      </c>
      <c r="Q2494" s="3">
        <f>1/NOK!C2494</f>
        <v>0.10957343063453973</v>
      </c>
      <c r="R2494" s="3">
        <f>NZD!B2494/1</f>
        <v>0.62670000000000003</v>
      </c>
      <c r="S2494" s="3">
        <f>NZD!C2494/1</f>
        <v>0.62709999999999999</v>
      </c>
      <c r="T2494" s="4">
        <f>1/PHP!B2494</f>
        <v>1.9230769230769232E-2</v>
      </c>
      <c r="U2494" s="4">
        <f>1/PHP!C2494</f>
        <v>1.921598770176787E-2</v>
      </c>
      <c r="V2494" s="4">
        <f>1/TWD!B2494</f>
        <v>3.2197823427136327E-2</v>
      </c>
      <c r="W2494" s="4">
        <f>1/TWD!C2494</f>
        <v>3.2198341785398051E-2</v>
      </c>
      <c r="X2494" s="4">
        <f>1/TWD!B2494</f>
        <v>3.2197823427136327E-2</v>
      </c>
      <c r="Y2494" s="4">
        <f>1/TWD!C2494</f>
        <v>3.2198341785398051E-2</v>
      </c>
      <c r="Z2494" s="4">
        <f>1/ZAR!B2494</f>
        <v>6.5493460477971277E-2</v>
      </c>
      <c r="AA2494" s="4">
        <f>1/ZAR!C2494</f>
        <v>6.5226040844546779E-2</v>
      </c>
    </row>
    <row r="2495" spans="1:27" x14ac:dyDescent="0.25">
      <c r="A2495" t="str">
        <f>"04/10/2019"</f>
        <v>04/10/2019</v>
      </c>
      <c r="B2495" s="3">
        <f>AUD!B2495</f>
        <v>0.67620000000000002</v>
      </c>
      <c r="C2495" s="3">
        <f>AUD!C2495</f>
        <v>0.67689999999999995</v>
      </c>
      <c r="D2495" s="3">
        <f>1/CAD!B2495</f>
        <v>0.75080711765147534</v>
      </c>
      <c r="E2495" s="3">
        <f>1/CAD!C2495</f>
        <v>0.75108907916478895</v>
      </c>
      <c r="F2495" s="3">
        <f>EUR!B2495/1</f>
        <v>1.0985</v>
      </c>
      <c r="G2495" s="3">
        <f>EUR!C2495/1</f>
        <v>1.101</v>
      </c>
      <c r="H2495" s="3">
        <f>GBP!B2495/1</f>
        <v>1.2335</v>
      </c>
      <c r="I2495" s="3">
        <f>GBP!C2495/1</f>
        <v>1.2350000000000001</v>
      </c>
      <c r="J2495" s="4">
        <f>1/INR!B2495</f>
        <v>1.4106859460412626E-2</v>
      </c>
      <c r="K2495" s="4">
        <f>1/INR!C2495</f>
        <v>1.4054813773717497E-2</v>
      </c>
      <c r="L2495" s="4">
        <f>1/JPY!B2495</f>
        <v>9.3711929528629001E-3</v>
      </c>
      <c r="M2495" s="4">
        <f>1/JPY!C2495</f>
        <v>9.390412013717514E-3</v>
      </c>
      <c r="N2495" s="5">
        <f>1/KRW!B2495</f>
        <v>8.3563131946185344E-4</v>
      </c>
      <c r="O2495" s="5">
        <f>1/KRW!C2495</f>
        <v>8.3563432207536131E-4</v>
      </c>
      <c r="P2495" s="3">
        <f>1/NOK!B2495</f>
        <v>0.10987803538072738</v>
      </c>
      <c r="Q2495" s="3">
        <f>1/NOK!C2495</f>
        <v>0.10992514097899331</v>
      </c>
      <c r="R2495" s="3">
        <f>NZD!B2495/1</f>
        <v>0.63290000000000002</v>
      </c>
      <c r="S2495" s="3">
        <f>NZD!C2495/1</f>
        <v>0.63329999999999997</v>
      </c>
      <c r="T2495" s="4">
        <f>1/PHP!B2495</f>
        <v>1.932367149758454E-2</v>
      </c>
      <c r="U2495" s="4">
        <f>1/PHP!C2495</f>
        <v>1.9303156066016795E-2</v>
      </c>
      <c r="V2495" s="4">
        <f>1/TWD!B2495</f>
        <v>3.2284100080710247E-2</v>
      </c>
      <c r="W2495" s="4">
        <f>1/TWD!C2495</f>
        <v>3.2284516991341293E-2</v>
      </c>
      <c r="X2495" s="4">
        <f>1/TWD!B2495</f>
        <v>3.2284100080710247E-2</v>
      </c>
      <c r="Y2495" s="4">
        <f>1/TWD!C2495</f>
        <v>3.2284516991341293E-2</v>
      </c>
      <c r="Z2495" s="4">
        <f>1/ZAR!B2495</f>
        <v>6.6009650610919318E-2</v>
      </c>
      <c r="AA2495" s="4">
        <f>1/ZAR!C2495</f>
        <v>6.5740600737609539E-2</v>
      </c>
    </row>
    <row r="2496" spans="1:27" x14ac:dyDescent="0.25">
      <c r="A2496" t="str">
        <f>"07/10/2019"</f>
        <v>07/10/2019</v>
      </c>
      <c r="B2496" s="3">
        <f>AUD!B2496</f>
        <v>0.67369999999999997</v>
      </c>
      <c r="C2496" s="3">
        <f>AUD!C2496</f>
        <v>0.6744</v>
      </c>
      <c r="D2496" s="3">
        <f>1/CAD!B2496</f>
        <v>0.75108907916478895</v>
      </c>
      <c r="E2496" s="3">
        <f>1/CAD!C2496</f>
        <v>0.75125835774923</v>
      </c>
      <c r="F2496" s="3">
        <f>EUR!B2496/1</f>
        <v>1.0976999999999999</v>
      </c>
      <c r="G2496" s="3">
        <f>EUR!C2496/1</f>
        <v>1.1003000000000001</v>
      </c>
      <c r="H2496" s="3">
        <f>GBP!B2496/1</f>
        <v>1.2321</v>
      </c>
      <c r="I2496" s="3">
        <f>GBP!C2496/1</f>
        <v>1.2336</v>
      </c>
      <c r="J2496" s="4">
        <f>1/INR!B2496</f>
        <v>1.4079053887578755E-2</v>
      </c>
      <c r="K2496" s="4">
        <f>1/INR!C2496</f>
        <v>1.4030164854437038E-2</v>
      </c>
      <c r="L2496" s="4">
        <f>1/JPY!B2496</f>
        <v>9.3580385551188475E-3</v>
      </c>
      <c r="M2496" s="4">
        <f>1/JPY!C2496</f>
        <v>9.3780742499650679E-3</v>
      </c>
      <c r="N2496" s="5">
        <f>1/KRW!B2496</f>
        <v>8.3563131946185344E-4</v>
      </c>
      <c r="O2496" s="5">
        <f>1/KRW!C2496</f>
        <v>8.3563306516475555E-4</v>
      </c>
      <c r="P2496" s="3">
        <f>1/NOK!B2496</f>
        <v>0.10943193880565982</v>
      </c>
      <c r="Q2496" s="3">
        <f>1/NOK!C2496</f>
        <v>0.10947866260865757</v>
      </c>
      <c r="R2496" s="3">
        <f>NZD!B2496/1</f>
        <v>0.62890000000000001</v>
      </c>
      <c r="S2496" s="3">
        <f>NZD!C2496/1</f>
        <v>0.62939999999999996</v>
      </c>
      <c r="T2496" s="4">
        <f>1/PHP!B2496</f>
        <v>1.9264110961279137E-2</v>
      </c>
      <c r="U2496" s="4">
        <f>1/PHP!C2496</f>
        <v>1.92437217357837E-2</v>
      </c>
      <c r="V2496" s="4">
        <f>1/TWD!B2496</f>
        <v>3.2359317865579398E-2</v>
      </c>
      <c r="W2496" s="4">
        <f>1/TWD!C2496</f>
        <v>3.2359736721182038E-2</v>
      </c>
      <c r="X2496" s="4">
        <f>1/TWD!B2496</f>
        <v>3.2359317865579398E-2</v>
      </c>
      <c r="Y2496" s="4">
        <f>1/TWD!C2496</f>
        <v>3.2359736721182038E-2</v>
      </c>
      <c r="Z2496" s="4">
        <f>1/ZAR!B2496</f>
        <v>6.5996145825083813E-2</v>
      </c>
      <c r="AA2496" s="4">
        <f>1/ZAR!C2496</f>
        <v>6.5699569010827283E-2</v>
      </c>
    </row>
    <row r="2497" spans="1:27" x14ac:dyDescent="0.25">
      <c r="A2497" t="str">
        <f>"09/10/2019"</f>
        <v>09/10/2019</v>
      </c>
      <c r="B2497" s="3">
        <f>AUD!B2497</f>
        <v>0.67430000000000001</v>
      </c>
      <c r="C2497" s="3">
        <f>AUD!C2497</f>
        <v>0.67490000000000006</v>
      </c>
      <c r="D2497" s="3">
        <f>1/CAD!B2497</f>
        <v>0.75125835774923</v>
      </c>
      <c r="E2497" s="3">
        <f>1/CAD!C2497</f>
        <v>0.75148418125798455</v>
      </c>
      <c r="F2497" s="3">
        <f>EUR!B2497/1</f>
        <v>1.0976999999999999</v>
      </c>
      <c r="G2497" s="3">
        <f>EUR!C2497/1</f>
        <v>1.1002000000000001</v>
      </c>
      <c r="H2497" s="3">
        <f>GBP!B2497/1</f>
        <v>1.2216</v>
      </c>
      <c r="I2497" s="3">
        <f>GBP!C2497/1</f>
        <v>1.2230000000000001</v>
      </c>
      <c r="J2497" s="4">
        <f>1/INR!B2497</f>
        <v>1.4069149871619007E-2</v>
      </c>
      <c r="K2497" s="4">
        <f>1/INR!C2497</f>
        <v>1.4021803905072388E-2</v>
      </c>
      <c r="L2497" s="4">
        <f>1/JPY!B2497</f>
        <v>9.3127211771279576E-3</v>
      </c>
      <c r="M2497" s="4">
        <f>1/JPY!C2497</f>
        <v>9.3318141139955742E-3</v>
      </c>
      <c r="N2497" s="5">
        <f>1/KRW!B2497</f>
        <v>8.380122349786307E-4</v>
      </c>
      <c r="O2497" s="5">
        <f>1/KRW!C2497</f>
        <v>8.3801420132386133E-4</v>
      </c>
      <c r="P2497" s="3">
        <f>1/NOK!B2497</f>
        <v>0.10912503546563652</v>
      </c>
      <c r="Q2497" s="3">
        <f>1/NOK!C2497</f>
        <v>0.10916673034725938</v>
      </c>
      <c r="R2497" s="3">
        <f>NZD!B2497/1</f>
        <v>0.63160000000000005</v>
      </c>
      <c r="S2497" s="3">
        <f>NZD!C2497/1</f>
        <v>0.6321</v>
      </c>
      <c r="T2497" s="4">
        <f>1/PHP!B2497</f>
        <v>1.930688290375519E-2</v>
      </c>
      <c r="U2497" s="4">
        <f>1/PHP!C2497</f>
        <v>1.9284915339221661E-2</v>
      </c>
      <c r="V2497" s="4">
        <f>1/TWD!B2497</f>
        <v>3.2412809542331132E-2</v>
      </c>
      <c r="W2497" s="4">
        <f>1/TWD!C2497</f>
        <v>3.2413229783868583E-2</v>
      </c>
      <c r="X2497" s="4">
        <f>1/TWD!B2497</f>
        <v>3.2412809542331132E-2</v>
      </c>
      <c r="Y2497" s="4">
        <f>1/TWD!C2497</f>
        <v>3.2413229783868583E-2</v>
      </c>
      <c r="Z2497" s="4">
        <f>1/ZAR!B2497</f>
        <v>6.5990484172182368E-2</v>
      </c>
      <c r="AA2497" s="4">
        <f>1/ZAR!C2497</f>
        <v>6.5710361866962802E-2</v>
      </c>
    </row>
    <row r="2498" spans="1:27" x14ac:dyDescent="0.25">
      <c r="A2498" t="str">
        <f>"10/10/2019"</f>
        <v>10/10/2019</v>
      </c>
      <c r="B2498" s="3">
        <f>AUD!B2498</f>
        <v>0.6764</v>
      </c>
      <c r="C2498" s="3">
        <f>AUD!C2498</f>
        <v>0.67700000000000005</v>
      </c>
      <c r="D2498" s="3">
        <f>1/CAD!B2498</f>
        <v>0.75108907916478895</v>
      </c>
      <c r="E2498" s="3">
        <f>1/CAD!C2498</f>
        <v>0.75125835774923</v>
      </c>
      <c r="F2498" s="3">
        <f>EUR!B2498/1</f>
        <v>1.1026</v>
      </c>
      <c r="G2498" s="3">
        <f>EUR!C2498/1</f>
        <v>1.105</v>
      </c>
      <c r="H2498" s="3">
        <f>GBP!B2498/1</f>
        <v>1.2239</v>
      </c>
      <c r="I2498" s="3">
        <f>GBP!C2498/1</f>
        <v>1.2253000000000001</v>
      </c>
      <c r="J2498" s="4">
        <f>1/INR!B2498</f>
        <v>1.4069644741470277E-2</v>
      </c>
      <c r="K2498" s="4">
        <f>1/INR!C2498</f>
        <v>1.4023770290642638E-2</v>
      </c>
      <c r="L2498" s="4">
        <f>1/JPY!B2498</f>
        <v>9.3083868565577571E-3</v>
      </c>
      <c r="M2498" s="4">
        <f>1/JPY!C2498</f>
        <v>9.3270705163839319E-3</v>
      </c>
      <c r="N2498" s="5">
        <f>1/KRW!B2498</f>
        <v>8.3598060524995817E-4</v>
      </c>
      <c r="O2498" s="5">
        <f>1/KRW!C2498</f>
        <v>8.3598340071359544E-4</v>
      </c>
      <c r="P2498" s="3">
        <f>1/NOK!B2498</f>
        <v>0.10968279735006362</v>
      </c>
      <c r="Q2498" s="3">
        <f>1/NOK!C2498</f>
        <v>0.10972130787798989</v>
      </c>
      <c r="R2498" s="3">
        <f>NZD!B2498/1</f>
        <v>0.63280000000000003</v>
      </c>
      <c r="S2498" s="3">
        <f>NZD!C2498/1</f>
        <v>0.63319999999999999</v>
      </c>
      <c r="T2498" s="4">
        <f>1/PHP!B2498</f>
        <v>1.9357336430507164E-2</v>
      </c>
      <c r="U2498" s="4">
        <f>1/PHP!C2498</f>
        <v>1.9335627827835569E-2</v>
      </c>
      <c r="V2498" s="4">
        <f>1/TWD!B2498</f>
        <v>3.2412809542331132E-2</v>
      </c>
      <c r="W2498" s="4">
        <f>1/TWD!C2498</f>
        <v>3.2413229783868583E-2</v>
      </c>
      <c r="X2498" s="4">
        <f>1/TWD!B2498</f>
        <v>3.2412809542331132E-2</v>
      </c>
      <c r="Y2498" s="4">
        <f>1/TWD!C2498</f>
        <v>3.2413229783868583E-2</v>
      </c>
      <c r="Z2498" s="4">
        <f>1/ZAR!B2498</f>
        <v>6.5947835262307505E-2</v>
      </c>
      <c r="AA2498" s="4">
        <f>1/ZAR!C2498</f>
        <v>6.5678856662463217E-2</v>
      </c>
    </row>
    <row r="2499" spans="1:27" x14ac:dyDescent="0.25">
      <c r="A2499" t="str">
        <f>"11/10/2019"</f>
        <v>11/10/2019</v>
      </c>
      <c r="B2499" s="3">
        <f>AUD!B2499</f>
        <v>0.68010000000000004</v>
      </c>
      <c r="C2499" s="3">
        <f>AUD!C2499</f>
        <v>0.68069999999999997</v>
      </c>
      <c r="D2499" s="3">
        <f>1/CAD!B2499</f>
        <v>0.75340917652377015</v>
      </c>
      <c r="E2499" s="3">
        <f>1/CAD!C2499</f>
        <v>0.75357950263752826</v>
      </c>
      <c r="F2499" s="3">
        <f>EUR!B2499/1</f>
        <v>1.1056999999999999</v>
      </c>
      <c r="G2499" s="3">
        <f>EUR!C2499/1</f>
        <v>1.1081000000000001</v>
      </c>
      <c r="H2499" s="3">
        <f>GBP!B2499/1</f>
        <v>1.2636000000000001</v>
      </c>
      <c r="I2499" s="3">
        <f>GBP!C2499/1</f>
        <v>1.2649999999999999</v>
      </c>
      <c r="J2499" s="4">
        <f>1/INR!B2499</f>
        <v>1.4080045056144181E-2</v>
      </c>
      <c r="K2499" s="4">
        <f>1/INR!C2499</f>
        <v>1.4033610497140653E-2</v>
      </c>
      <c r="L2499" s="4">
        <f>1/JPY!B2499</f>
        <v>9.2242413061525697E-3</v>
      </c>
      <c r="M2499" s="4">
        <f>1/JPY!C2499</f>
        <v>9.243946832515398E-3</v>
      </c>
      <c r="N2499" s="5">
        <f>1/KRW!B2499</f>
        <v>8.4104289318755253E-4</v>
      </c>
      <c r="O2499" s="5">
        <f>1/KRW!C2499</f>
        <v>8.4104501525235126E-4</v>
      </c>
      <c r="P2499" s="3">
        <f>1/NOK!B2499</f>
        <v>0.11005822079880256</v>
      </c>
      <c r="Q2499" s="3">
        <f>1/NOK!C2499</f>
        <v>0.11010063197762755</v>
      </c>
      <c r="R2499" s="3">
        <f>NZD!B2499/1</f>
        <v>0.6341</v>
      </c>
      <c r="S2499" s="3">
        <f>NZD!C2499/1</f>
        <v>0.63449999999999995</v>
      </c>
      <c r="T2499" s="4">
        <f>1/PHP!B2499</f>
        <v>1.937984496124031E-2</v>
      </c>
      <c r="U2499" s="4">
        <f>1/PHP!C2499</f>
        <v>1.9360334546580964E-2</v>
      </c>
      <c r="V2499" s="4">
        <f>1/TWD!B2499</f>
        <v>3.2412809542331132E-2</v>
      </c>
      <c r="W2499" s="4">
        <f>1/TWD!C2499</f>
        <v>3.2413229783868583E-2</v>
      </c>
      <c r="X2499" s="4">
        <f>1/TWD!B2499</f>
        <v>3.2412809542331132E-2</v>
      </c>
      <c r="Y2499" s="4">
        <f>1/TWD!C2499</f>
        <v>3.2413229783868583E-2</v>
      </c>
      <c r="Z2499" s="4">
        <f>1/ZAR!B2499</f>
        <v>6.7294298154117402E-2</v>
      </c>
      <c r="AA2499" s="4">
        <f>1/ZAR!C2499</f>
        <v>6.7020085919750144E-2</v>
      </c>
    </row>
    <row r="2500" spans="1:27" x14ac:dyDescent="0.25">
      <c r="A2500" t="str">
        <f>"14/10/2019"</f>
        <v>14/10/2019</v>
      </c>
      <c r="B2500" s="3">
        <f>AUD!B2500</f>
        <v>0.6754</v>
      </c>
      <c r="C2500" s="3">
        <f>AUD!C2500</f>
        <v>0.67600000000000005</v>
      </c>
      <c r="D2500" s="3">
        <f>1/CAD!B2500</f>
        <v>0.75688767786860434</v>
      </c>
      <c r="E2500" s="3">
        <f>1/CAD!C2500</f>
        <v>0.75700227100681305</v>
      </c>
      <c r="F2500" s="3">
        <f>EUR!B2500/1</f>
        <v>1.1026</v>
      </c>
      <c r="G2500" s="3">
        <f>EUR!C2500/1</f>
        <v>1.1051</v>
      </c>
      <c r="H2500" s="3">
        <f>GBP!B2500/1</f>
        <v>1.2554000000000001</v>
      </c>
      <c r="I2500" s="3">
        <f>GBP!C2500/1</f>
        <v>1.2567999999999999</v>
      </c>
      <c r="J2500" s="4">
        <f>1/INR!B2500</f>
        <v>1.4038535780718071E-2</v>
      </c>
      <c r="K2500" s="4">
        <f>1/INR!C2500</f>
        <v>1.3991884706870015E-2</v>
      </c>
      <c r="L2500" s="4">
        <f>1/JPY!B2500</f>
        <v>9.24129008409574E-3</v>
      </c>
      <c r="M2500" s="4">
        <f>1/JPY!C2500</f>
        <v>9.2604168113606788E-3</v>
      </c>
      <c r="N2500" s="5">
        <f>1/KRW!B2500</f>
        <v>8.438818565400844E-4</v>
      </c>
      <c r="O2500" s="5">
        <f>1/KRW!C2500</f>
        <v>8.4388434902550353E-4</v>
      </c>
      <c r="P2500" s="3">
        <f>1/NOK!B2500</f>
        <v>0.10971769636724707</v>
      </c>
      <c r="Q2500" s="3">
        <f>1/NOK!C2500</f>
        <v>0.10975261759992976</v>
      </c>
      <c r="R2500" s="3">
        <f>NZD!B2500/1</f>
        <v>0.62870000000000004</v>
      </c>
      <c r="S2500" s="3">
        <f>NZD!C2500/1</f>
        <v>0.62919999999999998</v>
      </c>
      <c r="T2500" s="4">
        <f>1/PHP!B2500</f>
        <v>1.9389238972370333E-2</v>
      </c>
      <c r="U2500" s="4">
        <f>1/PHP!C2500</f>
        <v>1.9370460048426151E-2</v>
      </c>
      <c r="V2500" s="4">
        <f>1/TWD!B2500</f>
        <v>3.2656260205081312E-2</v>
      </c>
      <c r="W2500" s="4">
        <f>1/TWD!C2500</f>
        <v>3.2656686783185722E-2</v>
      </c>
      <c r="X2500" s="4">
        <f>1/TWD!B2500</f>
        <v>3.2656260205081312E-2</v>
      </c>
      <c r="Y2500" s="4">
        <f>1/TWD!C2500</f>
        <v>3.2656686783185722E-2</v>
      </c>
      <c r="Z2500" s="4">
        <f>1/ZAR!B2500</f>
        <v>6.7478204539933598E-2</v>
      </c>
      <c r="AA2500" s="4">
        <f>1/ZAR!C2500</f>
        <v>6.7185788861939919E-2</v>
      </c>
    </row>
    <row r="2501" spans="1:27" x14ac:dyDescent="0.25">
      <c r="A2501" t="str">
        <f>"15/10/2019"</f>
        <v>15/10/2019</v>
      </c>
      <c r="B2501" s="3">
        <f>AUD!B2501</f>
        <v>0.67530000000000001</v>
      </c>
      <c r="C2501" s="3">
        <f>AUD!C2501</f>
        <v>0.67600000000000005</v>
      </c>
      <c r="D2501" s="3">
        <f>1/CAD!B2501</f>
        <v>0.75591503515004921</v>
      </c>
      <c r="E2501" s="3">
        <f>1/CAD!C2501</f>
        <v>0.75608649629517621</v>
      </c>
      <c r="F2501" s="3">
        <f>EUR!B2501/1</f>
        <v>1.1008</v>
      </c>
      <c r="G2501" s="3">
        <f>EUR!C2501/1</f>
        <v>1.1032</v>
      </c>
      <c r="H2501" s="3">
        <f>GBP!B2501/1</f>
        <v>1.2638</v>
      </c>
      <c r="I2501" s="3">
        <f>GBP!C2501/1</f>
        <v>1.2650999999999999</v>
      </c>
      <c r="J2501" s="4">
        <f>1/INR!B2501</f>
        <v>1.397672874663685E-2</v>
      </c>
      <c r="K2501" s="4">
        <f>1/INR!C2501</f>
        <v>1.3931942461077635E-2</v>
      </c>
      <c r="L2501" s="4">
        <f>1/JPY!B2501</f>
        <v>9.2310532631773284E-3</v>
      </c>
      <c r="M2501" s="4">
        <f>1/JPY!C2501</f>
        <v>9.2490767109173321E-3</v>
      </c>
      <c r="N2501" s="5">
        <f>1/KRW!B2501</f>
        <v>8.435970980259827E-4</v>
      </c>
      <c r="O2501" s="5">
        <f>1/KRW!C2501</f>
        <v>8.4359980232769441E-4</v>
      </c>
      <c r="P2501" s="3">
        <f>1/NOK!B2501</f>
        <v>0.10924424829032751</v>
      </c>
      <c r="Q2501" s="3">
        <f>1/NOK!C2501</f>
        <v>0.10927886874515075</v>
      </c>
      <c r="R2501" s="3">
        <f>NZD!B2501/1</f>
        <v>0.62680000000000002</v>
      </c>
      <c r="S2501" s="3">
        <f>NZD!C2501/1</f>
        <v>0.62729999999999997</v>
      </c>
      <c r="T2501" s="4">
        <f>1/PHP!B2501</f>
        <v>1.9357336430507164E-2</v>
      </c>
      <c r="U2501" s="4">
        <f>1/PHP!C2501</f>
        <v>1.9337123409521598E-2</v>
      </c>
      <c r="V2501" s="4">
        <f>1/TWD!B2501</f>
        <v>3.2586027111574559E-2</v>
      </c>
      <c r="W2501" s="4">
        <f>1/TWD!C2501</f>
        <v>3.2586451856776028E-2</v>
      </c>
      <c r="X2501" s="4">
        <f>1/TWD!B2501</f>
        <v>3.2586027111574559E-2</v>
      </c>
      <c r="Y2501" s="4">
        <f>1/TWD!C2501</f>
        <v>3.2586451856776028E-2</v>
      </c>
      <c r="Z2501" s="4">
        <f>1/ZAR!B2501</f>
        <v>6.7306074373212177E-2</v>
      </c>
      <c r="AA2501" s="4">
        <f>1/ZAR!C2501</f>
        <v>6.7023679465955319E-2</v>
      </c>
    </row>
    <row r="2502" spans="1:27" x14ac:dyDescent="0.25">
      <c r="A2502" t="str">
        <f>"16/10/2019"</f>
        <v>16/10/2019</v>
      </c>
      <c r="B2502" s="3">
        <f>AUD!B2502</f>
        <v>0.6734</v>
      </c>
      <c r="C2502" s="3">
        <f>AUD!C2502</f>
        <v>0.67400000000000004</v>
      </c>
      <c r="D2502" s="3">
        <f>1/CAD!B2502</f>
        <v>0.75734625870948191</v>
      </c>
      <c r="E2502" s="3">
        <f>1/CAD!C2502</f>
        <v>0.75751836982046816</v>
      </c>
      <c r="F2502" s="3">
        <f>EUR!B2502/1</f>
        <v>1.1029</v>
      </c>
      <c r="G2502" s="3">
        <f>EUR!C2502/1</f>
        <v>1.1052999999999999</v>
      </c>
      <c r="H2502" s="3">
        <f>GBP!B2502/1</f>
        <v>1.2736000000000001</v>
      </c>
      <c r="I2502" s="3">
        <f>GBP!C2502/1</f>
        <v>1.2748999999999999</v>
      </c>
      <c r="J2502" s="4">
        <f>1/INR!B2502</f>
        <v>1.3997270532246213E-2</v>
      </c>
      <c r="K2502" s="4">
        <f>1/INR!C2502</f>
        <v>1.3954786491766676E-2</v>
      </c>
      <c r="L2502" s="4">
        <f>1/JPY!B2502</f>
        <v>9.1937115013330881E-3</v>
      </c>
      <c r="M2502" s="4">
        <f>1/JPY!C2502</f>
        <v>9.2112668531641149E-3</v>
      </c>
      <c r="N2502" s="5">
        <f>1/KRW!B2502</f>
        <v>8.4175084175084171E-4</v>
      </c>
      <c r="O2502" s="5">
        <f>1/KRW!C2502</f>
        <v>8.4175332166382642E-4</v>
      </c>
      <c r="P2502" s="3">
        <f>1/NOK!B2502</f>
        <v>0.10869210786604784</v>
      </c>
      <c r="Q2502" s="3">
        <f>1/NOK!C2502</f>
        <v>0.10872874353063976</v>
      </c>
      <c r="R2502" s="3">
        <f>NZD!B2502/1</f>
        <v>0.62509999999999999</v>
      </c>
      <c r="S2502" s="3">
        <f>NZD!C2502/1</f>
        <v>0.62560000000000004</v>
      </c>
      <c r="T2502" s="4">
        <f>1/PHP!B2502</f>
        <v>1.937608990505716E-2</v>
      </c>
      <c r="U2502" s="4">
        <f>1/PHP!C2502</f>
        <v>1.9358085872468931E-2</v>
      </c>
      <c r="V2502" s="4">
        <f>1/TWD!B2502</f>
        <v>3.2549964195039381E-2</v>
      </c>
      <c r="W2502" s="4">
        <f>1/TWD!C2502</f>
        <v>3.2550388000624972E-2</v>
      </c>
      <c r="X2502" s="4">
        <f>1/TWD!B2502</f>
        <v>3.2549964195039381E-2</v>
      </c>
      <c r="Y2502" s="4">
        <f>1/TWD!C2502</f>
        <v>3.2550388000624972E-2</v>
      </c>
      <c r="Z2502" s="4">
        <f>1/ZAR!B2502</f>
        <v>6.6768600062762487E-2</v>
      </c>
      <c r="AA2502" s="4">
        <f>1/ZAR!C2502</f>
        <v>6.6494224976560781E-2</v>
      </c>
    </row>
    <row r="2503" spans="1:27" x14ac:dyDescent="0.25">
      <c r="A2503" t="str">
        <f>"17/10/2019"</f>
        <v>17/10/2019</v>
      </c>
      <c r="B2503" s="3">
        <f>AUD!B2503</f>
        <v>0.68279999999999996</v>
      </c>
      <c r="C2503" s="3">
        <f>AUD!C2503</f>
        <v>0.68330000000000002</v>
      </c>
      <c r="D2503" s="3">
        <f>1/CAD!B2503</f>
        <v>0.75924379318199076</v>
      </c>
      <c r="E2503" s="3">
        <f>1/CAD!C2503</f>
        <v>0.75941676792223578</v>
      </c>
      <c r="F2503" s="3">
        <f>EUR!B2503/1</f>
        <v>1.1120000000000001</v>
      </c>
      <c r="G2503" s="3">
        <f>EUR!C2503/1</f>
        <v>1.1144000000000001</v>
      </c>
      <c r="H2503" s="3">
        <f>GBP!B2503/1</f>
        <v>1.2858000000000001</v>
      </c>
      <c r="I2503" s="3">
        <f>GBP!C2503/1</f>
        <v>1.2870999999999999</v>
      </c>
      <c r="J2503" s="4">
        <f>1/INR!B2503</f>
        <v>1.4049877063575694E-2</v>
      </c>
      <c r="K2503" s="4">
        <f>1/INR!C2503</f>
        <v>1.4006092650302882E-2</v>
      </c>
      <c r="L2503" s="4">
        <f>1/JPY!B2503</f>
        <v>9.1928663357234777E-3</v>
      </c>
      <c r="M2503" s="4">
        <f>1/JPY!C2503</f>
        <v>9.2104439065545194E-3</v>
      </c>
      <c r="N2503" s="5">
        <f>1/KRW!B2503</f>
        <v>8.4245998315080029E-4</v>
      </c>
      <c r="O2503" s="5">
        <f>1/KRW!C2503</f>
        <v>8.4246211237265132E-4</v>
      </c>
      <c r="P2503" s="3">
        <f>1/NOK!B2503</f>
        <v>0.10919653191814628</v>
      </c>
      <c r="Q2503" s="3">
        <f>1/NOK!C2503</f>
        <v>0.10923350847105859</v>
      </c>
      <c r="R2503" s="3">
        <f>NZD!B2503/1</f>
        <v>0.6331</v>
      </c>
      <c r="S2503" s="3">
        <f>NZD!C2503/1</f>
        <v>0.63360000000000005</v>
      </c>
      <c r="T2503" s="4">
        <f>1/PHP!B2503</f>
        <v>1.945336056803813E-2</v>
      </c>
      <c r="U2503" s="4">
        <f>1/PHP!C2503</f>
        <v>1.9438235008261251E-2</v>
      </c>
      <c r="V2503" s="4">
        <f>1/TWD!B2503</f>
        <v>3.2591337222566241E-2</v>
      </c>
      <c r="W2503" s="4">
        <f>1/TWD!C2503</f>
        <v>3.259176210621003E-2</v>
      </c>
      <c r="X2503" s="4">
        <f>1/TWD!B2503</f>
        <v>3.2591337222566241E-2</v>
      </c>
      <c r="Y2503" s="4">
        <f>1/TWD!C2503</f>
        <v>3.259176210621003E-2</v>
      </c>
      <c r="Z2503" s="4">
        <f>1/ZAR!B2503</f>
        <v>6.7468643947725296E-2</v>
      </c>
      <c r="AA2503" s="4">
        <f>1/ZAR!C2503</f>
        <v>6.7191657483806816E-2</v>
      </c>
    </row>
    <row r="2504" spans="1:27" x14ac:dyDescent="0.25">
      <c r="A2504" t="str">
        <f>"18/10/2019"</f>
        <v>18/10/2019</v>
      </c>
      <c r="B2504" s="3">
        <f>AUD!B2504</f>
        <v>0.68430000000000002</v>
      </c>
      <c r="C2504" s="3">
        <f>AUD!C2504</f>
        <v>0.68489999999999995</v>
      </c>
      <c r="D2504" s="3">
        <f>1/CAD!B2504</f>
        <v>0.76120879957372301</v>
      </c>
      <c r="E2504" s="3">
        <f>1/CAD!C2504</f>
        <v>0.76138267093040968</v>
      </c>
      <c r="F2504" s="3">
        <f>EUR!B2504/1</f>
        <v>1.1142000000000001</v>
      </c>
      <c r="G2504" s="3">
        <f>EUR!C2504/1</f>
        <v>1.1165</v>
      </c>
      <c r="H2504" s="3">
        <f>GBP!B2504/1</f>
        <v>1.2887999999999999</v>
      </c>
      <c r="I2504" s="3">
        <f>GBP!C2504/1</f>
        <v>1.2901</v>
      </c>
      <c r="J2504" s="4">
        <f>1/INR!B2504</f>
        <v>1.4054319946593584E-2</v>
      </c>
      <c r="K2504" s="4">
        <f>1/INR!C2504</f>
        <v>1.4008054631413061E-2</v>
      </c>
      <c r="L2504" s="4">
        <f>1/JPY!B2504</f>
        <v>9.2081031307550652E-3</v>
      </c>
      <c r="M2504" s="4">
        <f>1/JPY!C2504</f>
        <v>9.2268116383311272E-3</v>
      </c>
      <c r="N2504" s="5">
        <f>1/KRW!B2504</f>
        <v>8.4638171815488788E-4</v>
      </c>
      <c r="O2504" s="5">
        <f>1/KRW!C2504</f>
        <v>8.4638458361264014E-4</v>
      </c>
      <c r="P2504" s="3">
        <f>1/NOK!B2504</f>
        <v>0.10895738676603581</v>
      </c>
      <c r="Q2504" s="3">
        <f>1/NOK!C2504</f>
        <v>0.1089906377042212</v>
      </c>
      <c r="R2504" s="3">
        <f>NZD!B2504/1</f>
        <v>0.63680000000000003</v>
      </c>
      <c r="S2504" s="3">
        <f>NZD!C2504/1</f>
        <v>0.63719999999999999</v>
      </c>
      <c r="T2504" s="4">
        <f>1/PHP!B2504</f>
        <v>1.9474196689386561E-2</v>
      </c>
      <c r="U2504" s="4">
        <f>1/PHP!C2504</f>
        <v>1.9458281444582812E-2</v>
      </c>
      <c r="V2504" s="4">
        <f>1/TWD!B2504</f>
        <v>3.2667995165136715E-2</v>
      </c>
      <c r="W2504" s="4">
        <f>1/TWD!C2504</f>
        <v>3.2668422049878146E-2</v>
      </c>
      <c r="X2504" s="4">
        <f>1/TWD!B2504</f>
        <v>3.2667995165136715E-2</v>
      </c>
      <c r="Y2504" s="4">
        <f>1/TWD!C2504</f>
        <v>3.2668422049878146E-2</v>
      </c>
      <c r="Z2504" s="4">
        <f>1/ZAR!B2504</f>
        <v>6.7688767049108201E-2</v>
      </c>
      <c r="AA2504" s="4">
        <f>1/ZAR!C2504</f>
        <v>6.7410428393272437E-2</v>
      </c>
    </row>
    <row r="2505" spans="1:27" x14ac:dyDescent="0.25">
      <c r="A2505" t="str">
        <f>"22/10/2019"</f>
        <v>22/10/2019</v>
      </c>
      <c r="B2505" s="3">
        <f>AUD!B2505</f>
        <v>0.6855</v>
      </c>
      <c r="C2505" s="3">
        <f>AUD!C2505</f>
        <v>0.68610000000000004</v>
      </c>
      <c r="D2505" s="3">
        <f>1/CAD!B2505</f>
        <v>0.76324225309113114</v>
      </c>
      <c r="E2505" s="3">
        <f>1/CAD!C2505</f>
        <v>0.76341705473700283</v>
      </c>
      <c r="F2505" s="3">
        <f>EUR!B2505/1</f>
        <v>1.1137999999999999</v>
      </c>
      <c r="G2505" s="3">
        <f>EUR!C2505/1</f>
        <v>1.1162000000000001</v>
      </c>
      <c r="H2505" s="3">
        <f>GBP!B2505/1</f>
        <v>1.2930999999999999</v>
      </c>
      <c r="I2505" s="3">
        <f>GBP!C2505/1</f>
        <v>1.2945</v>
      </c>
      <c r="J2505" s="4">
        <f>1/INR!B2505</f>
        <v>1.4094929349166636E-2</v>
      </c>
      <c r="K2505" s="4">
        <f>1/INR!C2505</f>
        <v>1.4049877063575694E-2</v>
      </c>
      <c r="L2505" s="4">
        <f>1/JPY!B2505</f>
        <v>9.2064076597311723E-3</v>
      </c>
      <c r="M2505" s="4">
        <f>1/JPY!C2505</f>
        <v>9.2244880639736695E-3</v>
      </c>
      <c r="N2505" s="5">
        <f>1/KRW!B2505</f>
        <v>8.547008547008547E-4</v>
      </c>
      <c r="O2505" s="5">
        <f>1/KRW!C2505</f>
        <v>8.5470304624712706E-4</v>
      </c>
      <c r="P2505" s="3">
        <f>1/NOK!B2505</f>
        <v>0.10935774198134357</v>
      </c>
      <c r="Q2505" s="3">
        <f>1/NOK!C2505</f>
        <v>0.10939243441923556</v>
      </c>
      <c r="R2505" s="3">
        <f>NZD!B2505/1</f>
        <v>0.64129999999999998</v>
      </c>
      <c r="S2505" s="3">
        <f>NZD!C2505/1</f>
        <v>0.64180000000000004</v>
      </c>
      <c r="T2505" s="4">
        <f>1/PHP!B2505</f>
        <v>1.953125E-2</v>
      </c>
      <c r="U2505" s="4">
        <f>1/PHP!C2505</f>
        <v>1.9514098936481608E-2</v>
      </c>
      <c r="V2505" s="4">
        <f>1/TWD!B2505</f>
        <v>3.268507926131721E-2</v>
      </c>
      <c r="W2505" s="4">
        <f>1/TWD!C2505</f>
        <v>3.2685506592666683E-2</v>
      </c>
      <c r="X2505" s="4">
        <f>1/TWD!B2505</f>
        <v>3.268507926131721E-2</v>
      </c>
      <c r="Y2505" s="4">
        <f>1/TWD!C2505</f>
        <v>3.2685506592666683E-2</v>
      </c>
      <c r="Z2505" s="4">
        <f>1/ZAR!B2505</f>
        <v>6.8096697310180448E-2</v>
      </c>
      <c r="AA2505" s="4">
        <f>1/ZAR!C2505</f>
        <v>6.7808103068316666E-2</v>
      </c>
    </row>
    <row r="2506" spans="1:27" x14ac:dyDescent="0.25">
      <c r="A2506" t="str">
        <f>"23/10/2019"</f>
        <v>23/10/2019</v>
      </c>
      <c r="B2506" s="3">
        <f>AUD!B2506</f>
        <v>0.68430000000000002</v>
      </c>
      <c r="C2506" s="3">
        <f>AUD!C2506</f>
        <v>0.68489999999999995</v>
      </c>
      <c r="D2506" s="3">
        <f>1/CAD!B2506</f>
        <v>0.76365024818633065</v>
      </c>
      <c r="E2506" s="3">
        <f>1/CAD!C2506</f>
        <v>0.76382523678582348</v>
      </c>
      <c r="F2506" s="3">
        <f>EUR!B2506/1</f>
        <v>1.1120000000000001</v>
      </c>
      <c r="G2506" s="3">
        <f>EUR!C2506/1</f>
        <v>1.1143000000000001</v>
      </c>
      <c r="H2506" s="3">
        <f>GBP!B2506/1</f>
        <v>1.2873000000000001</v>
      </c>
      <c r="I2506" s="3">
        <f>GBP!C2506/1</f>
        <v>1.2886</v>
      </c>
      <c r="J2506" s="4">
        <f>1/INR!B2506</f>
        <v>1.4100891881411498E-2</v>
      </c>
      <c r="K2506" s="4">
        <f>1/INR!C2506</f>
        <v>1.4057777465382722E-2</v>
      </c>
      <c r="L2506" s="4">
        <f>1/JPY!B2506</f>
        <v>9.2208390963577688E-3</v>
      </c>
      <c r="M2506" s="4">
        <f>1/JPY!C2506</f>
        <v>9.2378496872525997E-3</v>
      </c>
      <c r="N2506" s="5">
        <f>1/KRW!B2506</f>
        <v>8.5280573085451145E-4</v>
      </c>
      <c r="O2506" s="5">
        <f>1/KRW!C2506</f>
        <v>8.5280827633376006E-4</v>
      </c>
      <c r="P2506" s="3">
        <f>1/NOK!B2506</f>
        <v>0.10918222513374821</v>
      </c>
      <c r="Q2506" s="3">
        <f>1/NOK!C2506</f>
        <v>0.10921203516627533</v>
      </c>
      <c r="R2506" s="3">
        <f>NZD!B2506/1</f>
        <v>0.64070000000000005</v>
      </c>
      <c r="S2506" s="3">
        <f>NZD!C2506/1</f>
        <v>0.64119999999999999</v>
      </c>
      <c r="T2506" s="4">
        <f>1/PHP!B2506</f>
        <v>1.9611688566385566E-2</v>
      </c>
      <c r="U2506" s="4">
        <f>1/PHP!C2506</f>
        <v>1.9594396002743215E-2</v>
      </c>
      <c r="V2506" s="4">
        <f>1/TWD!B2506</f>
        <v>3.2666928002090687E-2</v>
      </c>
      <c r="W2506" s="4">
        <f>1/TWD!C2506</f>
        <v>3.2667354858942364E-2</v>
      </c>
      <c r="X2506" s="4">
        <f>1/TWD!B2506</f>
        <v>3.2666928002090687E-2</v>
      </c>
      <c r="Y2506" s="4">
        <f>1/TWD!C2506</f>
        <v>3.2667354858942364E-2</v>
      </c>
      <c r="Z2506" s="4">
        <f>1/ZAR!B2506</f>
        <v>6.8100871010140215E-2</v>
      </c>
      <c r="AA2506" s="4">
        <f>1/ZAR!C2506</f>
        <v>6.7818220042996744E-2</v>
      </c>
    </row>
    <row r="2507" spans="1:27" x14ac:dyDescent="0.25">
      <c r="A2507" t="str">
        <f>"24/10/2019"</f>
        <v>24/10/2019</v>
      </c>
      <c r="B2507" s="3">
        <f>AUD!B2507</f>
        <v>0.68369999999999997</v>
      </c>
      <c r="C2507" s="3">
        <f>AUD!C2507</f>
        <v>0.68430000000000002</v>
      </c>
      <c r="D2507" s="3">
        <f>1/CAD!B2507</f>
        <v>0.76464291176020793</v>
      </c>
      <c r="E2507" s="3">
        <f>1/CAD!C2507</f>
        <v>0.76475986540226359</v>
      </c>
      <c r="F2507" s="3">
        <f>EUR!B2507/1</f>
        <v>1.1125</v>
      </c>
      <c r="G2507" s="3">
        <f>EUR!C2507/1</f>
        <v>1.1148</v>
      </c>
      <c r="H2507" s="3">
        <f>GBP!B2507/1</f>
        <v>1.2896000000000001</v>
      </c>
      <c r="I2507" s="3">
        <f>GBP!C2507/1</f>
        <v>1.2908999999999999</v>
      </c>
      <c r="J2507" s="4">
        <f>1/INR!B2507</f>
        <v>1.4078062858550663E-2</v>
      </c>
      <c r="K2507" s="4">
        <f>1/INR!C2507</f>
        <v>1.4035087719298246E-2</v>
      </c>
      <c r="L2507" s="4">
        <f>1/JPY!B2507</f>
        <v>9.2047128129602359E-3</v>
      </c>
      <c r="M2507" s="4">
        <f>1/JPY!C2507</f>
        <v>9.2217574456469609E-3</v>
      </c>
      <c r="N2507" s="5">
        <f>1/KRW!B2507</f>
        <v>8.5251491901108269E-4</v>
      </c>
      <c r="O2507" s="5">
        <f>1/KRW!C2507</f>
        <v>8.5251782614774473E-4</v>
      </c>
      <c r="P2507" s="3">
        <f>1/NOK!B2507</f>
        <v>0.10974057328475485</v>
      </c>
      <c r="Q2507" s="3">
        <f>1/NOK!C2507</f>
        <v>0.10976225495576582</v>
      </c>
      <c r="R2507" s="3">
        <f>NZD!B2507/1</f>
        <v>0.63949999999999996</v>
      </c>
      <c r="S2507" s="3">
        <f>NZD!C2507/1</f>
        <v>0.63990000000000002</v>
      </c>
      <c r="T2507" s="4">
        <f>1/PHP!B2507</f>
        <v>1.9512195121951219E-2</v>
      </c>
      <c r="U2507" s="4">
        <f>1/PHP!C2507</f>
        <v>1.94916575705598E-2</v>
      </c>
      <c r="V2507" s="4">
        <f>1/TWD!B2507</f>
        <v>3.2692559173532101E-2</v>
      </c>
      <c r="W2507" s="4">
        <f>1/TWD!C2507</f>
        <v>3.2692986700493011E-2</v>
      </c>
      <c r="X2507" s="4">
        <f>1/TWD!B2507</f>
        <v>3.2692559173532101E-2</v>
      </c>
      <c r="Y2507" s="4">
        <f>1/TWD!C2507</f>
        <v>3.2692986700493011E-2</v>
      </c>
      <c r="Z2507" s="4">
        <f>1/ZAR!B2507</f>
        <v>6.8425662360411643E-2</v>
      </c>
      <c r="AA2507" s="4">
        <f>1/ZAR!C2507</f>
        <v>6.8132886381598673E-2</v>
      </c>
    </row>
    <row r="2508" spans="1:27" x14ac:dyDescent="0.25">
      <c r="A2508" t="str">
        <f>"25/10/2019"</f>
        <v>25/10/2019</v>
      </c>
      <c r="B2508" s="3">
        <f>AUD!B2508</f>
        <v>0.68179999999999996</v>
      </c>
      <c r="C2508" s="3">
        <f>AUD!C2508</f>
        <v>0.68240000000000001</v>
      </c>
      <c r="D2508" s="3">
        <f>1/CAD!B2508</f>
        <v>0.76493536296182973</v>
      </c>
      <c r="E2508" s="3">
        <f>1/CAD!C2508</f>
        <v>0.76505240608981717</v>
      </c>
      <c r="F2508" s="3">
        <f>EUR!B2508/1</f>
        <v>1.1102000000000001</v>
      </c>
      <c r="G2508" s="3">
        <f>EUR!C2508/1</f>
        <v>1.1125</v>
      </c>
      <c r="H2508" s="3">
        <f>GBP!B2508/1</f>
        <v>1.2841</v>
      </c>
      <c r="I2508" s="3">
        <f>GBP!C2508/1</f>
        <v>1.2854000000000001</v>
      </c>
      <c r="J2508" s="4">
        <f>1/INR!B2508</f>
        <v>1.4090460758066789E-2</v>
      </c>
      <c r="K2508" s="4">
        <f>1/INR!C2508</f>
        <v>1.4048396726723561E-2</v>
      </c>
      <c r="L2508" s="4">
        <f>1/JPY!B2508</f>
        <v>9.2038656235618951E-3</v>
      </c>
      <c r="M2508" s="4">
        <f>1/JPY!C2508</f>
        <v>9.2204395014692762E-3</v>
      </c>
      <c r="N2508" s="5">
        <f>1/KRW!B2508</f>
        <v>8.5149863760217972E-4</v>
      </c>
      <c r="O2508" s="5">
        <f>1/KRW!C2508</f>
        <v>8.5150117528449715E-4</v>
      </c>
      <c r="P2508" s="3">
        <f>1/NOK!B2508</f>
        <v>0.10928364570242065</v>
      </c>
      <c r="Q2508" s="3">
        <f>1/NOK!C2508</f>
        <v>0.10930275770857699</v>
      </c>
      <c r="R2508" s="3">
        <f>NZD!B2508/1</f>
        <v>0.63690000000000002</v>
      </c>
      <c r="S2508" s="3">
        <f>NZD!C2508/1</f>
        <v>0.63729999999999998</v>
      </c>
      <c r="T2508" s="4">
        <f>1/PHP!B2508</f>
        <v>1.9504583577140626E-2</v>
      </c>
      <c r="U2508" s="4">
        <f>1/PHP!C2508</f>
        <v>1.948368241597662E-2</v>
      </c>
      <c r="V2508" s="4">
        <f>1/TWD!B2508</f>
        <v>3.2711808963035653E-2</v>
      </c>
      <c r="W2508" s="4">
        <f>1/TWD!C2508</f>
        <v>3.2712236993614571E-2</v>
      </c>
      <c r="X2508" s="4">
        <f>1/TWD!B2508</f>
        <v>3.2711808963035653E-2</v>
      </c>
      <c r="Y2508" s="4">
        <f>1/TWD!C2508</f>
        <v>3.2712236993614571E-2</v>
      </c>
      <c r="Z2508" s="4">
        <f>1/ZAR!B2508</f>
        <v>6.8052672768722997E-2</v>
      </c>
      <c r="AA2508" s="4">
        <f>1/ZAR!C2508</f>
        <v>6.7768124584920236E-2</v>
      </c>
    </row>
    <row r="2509" spans="1:27" x14ac:dyDescent="0.25">
      <c r="A2509" t="str">
        <f>"29/10/2019"</f>
        <v>29/10/2019</v>
      </c>
      <c r="B2509" s="3">
        <f>AUD!B2509</f>
        <v>0.68520000000000003</v>
      </c>
      <c r="C2509" s="3">
        <f>AUD!C2509</f>
        <v>0.68569999999999998</v>
      </c>
      <c r="D2509" s="3">
        <f>1/CAD!B2509</f>
        <v>0.76587271195527296</v>
      </c>
      <c r="E2509" s="3">
        <f>1/CAD!C2509</f>
        <v>0.76599004212945221</v>
      </c>
      <c r="F2509" s="3">
        <f>EUR!B2509/1</f>
        <v>1.1083000000000001</v>
      </c>
      <c r="G2509" s="3">
        <f>EUR!C2509/1</f>
        <v>1.1104000000000001</v>
      </c>
      <c r="H2509" s="3">
        <f>GBP!B2509/1</f>
        <v>1.2866</v>
      </c>
      <c r="I2509" s="3">
        <f>GBP!C2509/1</f>
        <v>1.2878000000000001</v>
      </c>
      <c r="J2509" s="4">
        <f>1/INR!B2509</f>
        <v>1.4114824094004729E-2</v>
      </c>
      <c r="K2509" s="4">
        <f>1/INR!C2509</f>
        <v>1.4077071969030443E-2</v>
      </c>
      <c r="L2509" s="4">
        <f>1/JPY!B2509</f>
        <v>9.1818933063997805E-3</v>
      </c>
      <c r="M2509" s="4">
        <f>1/JPY!C2509</f>
        <v>9.1975758868992497E-3</v>
      </c>
      <c r="N2509" s="5">
        <f>1/KRW!B2509</f>
        <v>8.5969738651994494E-4</v>
      </c>
      <c r="O2509" s="5">
        <f>1/KRW!C2509</f>
        <v>8.5969960376445272E-4</v>
      </c>
      <c r="P2509" s="3">
        <f>1/NOK!B2509</f>
        <v>0.1076287239538488</v>
      </c>
      <c r="Q2509" s="3">
        <f>1/NOK!C2509</f>
        <v>0.10764726145366862</v>
      </c>
      <c r="R2509" s="3">
        <f>NZD!B2509/1</f>
        <v>0.63460000000000005</v>
      </c>
      <c r="S2509" s="3">
        <f>NZD!C2509/1</f>
        <v>0.63500000000000001</v>
      </c>
      <c r="T2509" s="4">
        <f>1/PHP!B2509</f>
        <v>1.9571386632742931E-2</v>
      </c>
      <c r="U2509" s="4">
        <f>1/PHP!C2509</f>
        <v>1.9542700801250732E-2</v>
      </c>
      <c r="V2509" s="4">
        <f>1/TWD!B2509</f>
        <v>3.2763252735731607E-2</v>
      </c>
      <c r="W2509" s="4">
        <f>1/TWD!C2509</f>
        <v>3.2763574768115804E-2</v>
      </c>
      <c r="X2509" s="4">
        <f>1/TWD!B2509</f>
        <v>3.2763252735731607E-2</v>
      </c>
      <c r="Y2509" s="4">
        <f>1/TWD!C2509</f>
        <v>3.2763574768115804E-2</v>
      </c>
      <c r="Z2509" s="4">
        <f>1/ZAR!B2509</f>
        <v>6.8212824010914053E-2</v>
      </c>
      <c r="AA2509" s="4">
        <f>1/ZAR!C2509</f>
        <v>6.7949092539869124E-2</v>
      </c>
    </row>
    <row r="2510" spans="1:27" x14ac:dyDescent="0.25">
      <c r="A2510" t="str">
        <f>"30/10/2019"</f>
        <v>30/10/2019</v>
      </c>
      <c r="B2510" s="3">
        <f>AUD!B2510</f>
        <v>0.68620000000000003</v>
      </c>
      <c r="C2510" s="3">
        <f>AUD!C2510</f>
        <v>0.68669999999999998</v>
      </c>
      <c r="D2510" s="3">
        <f>1/CAD!B2510</f>
        <v>0.76382523678582348</v>
      </c>
      <c r="E2510" s="3">
        <f>1/CAD!C2510</f>
        <v>0.76388358414177682</v>
      </c>
      <c r="F2510" s="3">
        <f>EUR!B2510/1</f>
        <v>1.1109</v>
      </c>
      <c r="G2510" s="3">
        <f>EUR!C2510/1</f>
        <v>1.1131</v>
      </c>
      <c r="H2510" s="3">
        <f>GBP!B2510/1</f>
        <v>1.2864</v>
      </c>
      <c r="I2510" s="3">
        <f>GBP!C2510/1</f>
        <v>1.2876000000000001</v>
      </c>
      <c r="J2510" s="4">
        <f>1/INR!B2510</f>
        <v>1.4083019399359223E-2</v>
      </c>
      <c r="K2510" s="4">
        <f>1/INR!C2510</f>
        <v>1.4041985536754896E-2</v>
      </c>
      <c r="L2510" s="4">
        <f>1/JPY!B2510</f>
        <v>9.1877986034546114E-3</v>
      </c>
      <c r="M2510" s="4">
        <f>1/JPY!C2510</f>
        <v>9.2042976706683873E-3</v>
      </c>
      <c r="N2510" s="5">
        <f>1/KRW!B2510</f>
        <v>8.5550517580631352E-4</v>
      </c>
      <c r="O2510" s="5">
        <f>1/KRW!C2510</f>
        <v>8.5550700553299153E-4</v>
      </c>
      <c r="P2510" s="3">
        <f>1/NOK!B2510</f>
        <v>0.10828722102504683</v>
      </c>
      <c r="Q2510" s="3">
        <f>1/NOK!C2510</f>
        <v>0.10830364008534327</v>
      </c>
      <c r="R2510" s="3">
        <f>NZD!B2510/1</f>
        <v>0.63490000000000002</v>
      </c>
      <c r="S2510" s="3">
        <f>NZD!C2510/1</f>
        <v>0.63529999999999998</v>
      </c>
      <c r="T2510" s="4">
        <f>1/PHP!B2510</f>
        <v>1.9586720203701891E-2</v>
      </c>
      <c r="U2510" s="4">
        <f>1/PHP!C2510</f>
        <v>1.9560476101988321E-2</v>
      </c>
      <c r="V2510" s="4">
        <f>1/TWD!B2510</f>
        <v>3.2798714290399815E-2</v>
      </c>
      <c r="W2510" s="4">
        <f>1/TWD!C2510</f>
        <v>3.2799037020273085E-2</v>
      </c>
      <c r="X2510" s="4">
        <f>1/TWD!B2510</f>
        <v>3.2798714290399815E-2</v>
      </c>
      <c r="Y2510" s="4">
        <f>1/TWD!C2510</f>
        <v>3.2799037020273085E-2</v>
      </c>
      <c r="Z2510" s="4">
        <f>1/ZAR!B2510</f>
        <v>6.8291550286483052E-2</v>
      </c>
      <c r="AA2510" s="4">
        <f>1/ZAR!C2510</f>
        <v>6.8008705114254622E-2</v>
      </c>
    </row>
    <row r="2511" spans="1:27" x14ac:dyDescent="0.25">
      <c r="A2511" t="str">
        <f>"31/10/2019"</f>
        <v>31/10/2019</v>
      </c>
      <c r="B2511" s="3">
        <f>AUD!B2511</f>
        <v>0.68969999999999998</v>
      </c>
      <c r="C2511" s="3">
        <f>AUD!C2511</f>
        <v>0.69030000000000002</v>
      </c>
      <c r="D2511" s="3">
        <f>1/CAD!B2511</f>
        <v>0.75993616536210951</v>
      </c>
      <c r="E2511" s="3">
        <f>1/CAD!C2511</f>
        <v>0.75999392004863953</v>
      </c>
      <c r="F2511" s="3">
        <f>EUR!B2511/1</f>
        <v>1.1161000000000001</v>
      </c>
      <c r="G2511" s="3">
        <f>EUR!C2511/1</f>
        <v>1.1182000000000001</v>
      </c>
      <c r="H2511" s="3">
        <f>GBP!B2511/1</f>
        <v>1.2957000000000001</v>
      </c>
      <c r="I2511" s="3">
        <f>GBP!C2511/1</f>
        <v>1.2968999999999999</v>
      </c>
      <c r="J2511" s="4">
        <f>1/INR!B2511</f>
        <v>1.4097909984844746E-2</v>
      </c>
      <c r="K2511" s="4">
        <f>1/INR!C2511</f>
        <v>1.4056295463330639E-2</v>
      </c>
      <c r="L2511" s="4">
        <f>1/JPY!B2511</f>
        <v>9.2421441774491672E-3</v>
      </c>
      <c r="M2511" s="4">
        <f>1/JPY!C2511</f>
        <v>9.2579820006313939E-3</v>
      </c>
      <c r="N2511" s="5">
        <f>1/KRW!B2511</f>
        <v>8.592541673827118E-4</v>
      </c>
      <c r="O2511" s="5">
        <f>1/KRW!C2511</f>
        <v>8.5925564402069773E-4</v>
      </c>
      <c r="P2511" s="3">
        <f>1/NOK!B2511</f>
        <v>0.10867911404786229</v>
      </c>
      <c r="Q2511" s="3">
        <f>1/NOK!C2511</f>
        <v>0.10869447071227485</v>
      </c>
      <c r="R2511" s="3">
        <f>NZD!B2511/1</f>
        <v>0.64100000000000001</v>
      </c>
      <c r="S2511" s="3">
        <f>NZD!C2511/1</f>
        <v>0.64129999999999998</v>
      </c>
      <c r="T2511" s="4">
        <f>1/PHP!B2511</f>
        <v>1.9692792437967704E-2</v>
      </c>
      <c r="U2511" s="4">
        <f>1/PHP!C2511</f>
        <v>1.9669551534225019E-2</v>
      </c>
      <c r="V2511" s="4">
        <f>1/TWD!B2511</f>
        <v>3.2827785437594383E-2</v>
      </c>
      <c r="W2511" s="4">
        <f>1/TWD!C2511</f>
        <v>3.2828108739827389E-2</v>
      </c>
      <c r="X2511" s="4">
        <f>1/TWD!B2511</f>
        <v>3.2827785437594383E-2</v>
      </c>
      <c r="Y2511" s="4">
        <f>1/TWD!C2511</f>
        <v>3.2828108739827389E-2</v>
      </c>
      <c r="Z2511" s="4">
        <f>1/ZAR!B2511</f>
        <v>6.6395771917244314E-2</v>
      </c>
      <c r="AA2511" s="4">
        <f>1/ZAR!C2511</f>
        <v>6.6127507059111384E-2</v>
      </c>
    </row>
    <row r="2512" spans="1:27" x14ac:dyDescent="0.25">
      <c r="A2512" t="str">
        <f>"01/11/2019"</f>
        <v>01/11/2019</v>
      </c>
      <c r="B2512" s="3">
        <f>AUD!B2512</f>
        <v>0.69</v>
      </c>
      <c r="C2512" s="3">
        <f>AUD!C2512</f>
        <v>0.69059999999999999</v>
      </c>
      <c r="D2512" s="3">
        <f>1/CAD!B2512</f>
        <v>0.75964752354907317</v>
      </c>
      <c r="E2512" s="3">
        <f>1/CAD!C2512</f>
        <v>0.75964752354907317</v>
      </c>
      <c r="F2512" s="3">
        <f>EUR!B2512/1</f>
        <v>1.1155999999999999</v>
      </c>
      <c r="G2512" s="3">
        <f>EUR!C2512/1</f>
        <v>1.1176999999999999</v>
      </c>
      <c r="H2512" s="3">
        <f>GBP!B2512/1</f>
        <v>1.2959000000000001</v>
      </c>
      <c r="I2512" s="3">
        <f>GBP!C2512/1</f>
        <v>1.2970999999999999</v>
      </c>
      <c r="J2512" s="4">
        <f>1/INR!B2512</f>
        <v>1.412180052956752E-2</v>
      </c>
      <c r="K2512" s="4">
        <f>1/INR!C2512</f>
        <v>1.4080045056144181E-2</v>
      </c>
      <c r="L2512" s="4">
        <f>1/JPY!B2512</f>
        <v>9.2592592592592587E-3</v>
      </c>
      <c r="M2512" s="4">
        <f>1/JPY!C2512</f>
        <v>9.2748031423033044E-3</v>
      </c>
      <c r="N2512" s="5">
        <f>1/KRW!B2512</f>
        <v>8.5792724776938918E-4</v>
      </c>
      <c r="O2512" s="5">
        <f>1/KRW!C2512</f>
        <v>8.5792871985023995E-4</v>
      </c>
      <c r="P2512" s="3">
        <f>1/NOK!B2512</f>
        <v>0.10962868763498032</v>
      </c>
      <c r="Q2512" s="3">
        <f>1/NOK!C2512</f>
        <v>0.10963950530655207</v>
      </c>
      <c r="R2512" s="3">
        <f>NZD!B2512/1</f>
        <v>0.64280000000000004</v>
      </c>
      <c r="S2512" s="3">
        <f>NZD!C2512/1</f>
        <v>0.6431</v>
      </c>
      <c r="T2512" s="4">
        <f>1/PHP!B2512</f>
        <v>1.9692792437967704E-2</v>
      </c>
      <c r="U2512" s="4">
        <f>1/PHP!C2512</f>
        <v>1.9669551534225019E-2</v>
      </c>
      <c r="V2512" s="4">
        <f>1/TWD!B2512</f>
        <v>3.2808398950131233E-2</v>
      </c>
      <c r="W2512" s="4">
        <f>1/TWD!C2512</f>
        <v>3.2808721870622087E-2</v>
      </c>
      <c r="X2512" s="4">
        <f>1/TWD!B2512</f>
        <v>3.2808398950131233E-2</v>
      </c>
      <c r="Y2512" s="4">
        <f>1/TWD!C2512</f>
        <v>3.2808721870622087E-2</v>
      </c>
      <c r="Z2512" s="4">
        <f>1/ZAR!B2512</f>
        <v>6.6223849857287603E-2</v>
      </c>
      <c r="AA2512" s="4">
        <f>1/ZAR!C2512</f>
        <v>6.5953924588282628E-2</v>
      </c>
    </row>
    <row r="2513" spans="1:27" x14ac:dyDescent="0.25">
      <c r="A2513" t="str">
        <f>"04/11/2019"</f>
        <v>04/11/2019</v>
      </c>
      <c r="B2513" s="3">
        <f>AUD!B2513</f>
        <v>0.69220000000000004</v>
      </c>
      <c r="C2513" s="3">
        <f>AUD!C2513</f>
        <v>0.69279999999999997</v>
      </c>
      <c r="D2513" s="3">
        <f>1/CAD!B2513</f>
        <v>0.76120879957372301</v>
      </c>
      <c r="E2513" s="3">
        <f>1/CAD!C2513</f>
        <v>0.76120879957372301</v>
      </c>
      <c r="F2513" s="3">
        <f>EUR!B2513/1</f>
        <v>1.1171</v>
      </c>
      <c r="G2513" s="3">
        <f>EUR!C2513/1</f>
        <v>1.1192</v>
      </c>
      <c r="H2513" s="3">
        <f>GBP!B2513/1</f>
        <v>1.2938000000000001</v>
      </c>
      <c r="I2513" s="3">
        <f>GBP!C2513/1</f>
        <v>1.2949999999999999</v>
      </c>
      <c r="J2513" s="4">
        <f>1/INR!B2513</f>
        <v>1.4150275930380643E-2</v>
      </c>
      <c r="K2513" s="4">
        <f>1/INR!C2513</f>
        <v>1.4107854548019612E-2</v>
      </c>
      <c r="L2513" s="4">
        <f>1/JPY!B2513</f>
        <v>9.2395823708768358E-3</v>
      </c>
      <c r="M2513" s="4">
        <f>1/JPY!C2513</f>
        <v>9.2549402871252677E-3</v>
      </c>
      <c r="N2513" s="5">
        <f>1/KRW!B2513</f>
        <v>8.6169754416199913E-4</v>
      </c>
      <c r="O2513" s="5">
        <f>1/KRW!C2513</f>
        <v>8.6169977173573039E-4</v>
      </c>
      <c r="P2513" s="3">
        <f>1/NOK!B2513</f>
        <v>0.11004974248360258</v>
      </c>
      <c r="Q2513" s="3">
        <f>1/NOK!C2513</f>
        <v>0.11005700953093703</v>
      </c>
      <c r="R2513" s="3">
        <f>NZD!B2513/1</f>
        <v>0.64570000000000005</v>
      </c>
      <c r="S2513" s="3">
        <f>NZD!C2513/1</f>
        <v>0.64600000000000002</v>
      </c>
      <c r="T2513" s="4">
        <f>1/PHP!B2513</f>
        <v>1.9807863721897592E-2</v>
      </c>
      <c r="U2513" s="4">
        <f>1/PHP!C2513</f>
        <v>1.9784350578692253E-2</v>
      </c>
      <c r="V2513" s="4">
        <f>1/TWD!B2513</f>
        <v>3.289365481398638E-2</v>
      </c>
      <c r="W2513" s="4">
        <f>1/TWD!C2513</f>
        <v>3.2893979414947684E-2</v>
      </c>
      <c r="X2513" s="4">
        <f>1/TWD!B2513</f>
        <v>3.289365481398638E-2</v>
      </c>
      <c r="Y2513" s="4">
        <f>1/TWD!C2513</f>
        <v>3.2893979414947684E-2</v>
      </c>
      <c r="Z2513" s="4">
        <f>1/ZAR!B2513</f>
        <v>6.7355488798782212E-2</v>
      </c>
      <c r="AA2513" s="4">
        <f>1/ZAR!C2513</f>
        <v>6.7077179002159884E-2</v>
      </c>
    </row>
    <row r="2514" spans="1:27" x14ac:dyDescent="0.25">
      <c r="A2514" t="str">
        <f>"05/11/2019"</f>
        <v>05/11/2019</v>
      </c>
      <c r="B2514" s="3">
        <f>AUD!B2514</f>
        <v>0.69010000000000005</v>
      </c>
      <c r="C2514" s="3">
        <f>AUD!C2514</f>
        <v>0.69069999999999998</v>
      </c>
      <c r="D2514" s="3">
        <f>1/CAD!B2514</f>
        <v>0.76022502660787594</v>
      </c>
      <c r="E2514" s="3">
        <f>1/CAD!C2514</f>
        <v>0.76022502660787594</v>
      </c>
      <c r="F2514" s="3">
        <f>EUR!B2514/1</f>
        <v>1.1121000000000001</v>
      </c>
      <c r="G2514" s="3">
        <f>EUR!C2514/1</f>
        <v>1.1143000000000001</v>
      </c>
      <c r="H2514" s="3">
        <f>GBP!B2514/1</f>
        <v>1.2878000000000001</v>
      </c>
      <c r="I2514" s="3">
        <f>GBP!C2514/1</f>
        <v>1.2889999999999999</v>
      </c>
      <c r="J2514" s="4">
        <f>1/INR!B2514</f>
        <v>1.4136773281498498E-2</v>
      </c>
      <c r="K2514" s="4">
        <f>1/INR!C2514</f>
        <v>1.4092446448703496E-2</v>
      </c>
      <c r="L2514" s="4">
        <f>1/JPY!B2514</f>
        <v>9.1903317709769328E-3</v>
      </c>
      <c r="M2514" s="4">
        <f>1/JPY!C2514</f>
        <v>9.2064754665841762E-3</v>
      </c>
      <c r="N2514" s="5">
        <f>1/KRW!B2514</f>
        <v>8.617718028266114E-4</v>
      </c>
      <c r="O2514" s="5">
        <f>1/KRW!C2514</f>
        <v>8.6177328813045182E-4</v>
      </c>
      <c r="P2514" s="3">
        <f>1/NOK!B2514</f>
        <v>0.10937687991512354</v>
      </c>
      <c r="Q2514" s="3">
        <f>1/NOK!C2514</f>
        <v>0.10938764794679384</v>
      </c>
      <c r="R2514" s="3">
        <f>NZD!B2514/1</f>
        <v>0.64080000000000004</v>
      </c>
      <c r="S2514" s="3">
        <f>NZD!C2514/1</f>
        <v>0.64119999999999999</v>
      </c>
      <c r="T2514" s="4">
        <f>1/PHP!B2514</f>
        <v>1.9799235749500071E-2</v>
      </c>
      <c r="U2514" s="4">
        <f>1/PHP!C2514</f>
        <v>1.9774765421845183E-2</v>
      </c>
      <c r="V2514" s="4">
        <f>1/TWD!B2514</f>
        <v>3.2877432930036823E-2</v>
      </c>
      <c r="W2514" s="4">
        <f>1/TWD!C2514</f>
        <v>3.2877757210914099E-2</v>
      </c>
      <c r="X2514" s="4">
        <f>1/TWD!B2514</f>
        <v>3.2877432930036823E-2</v>
      </c>
      <c r="Y2514" s="4">
        <f>1/TWD!C2514</f>
        <v>3.2877757210914099E-2</v>
      </c>
      <c r="Z2514" s="4">
        <f>1/ZAR!B2514</f>
        <v>6.7573959698890435E-2</v>
      </c>
      <c r="AA2514" s="4">
        <f>1/ZAR!C2514</f>
        <v>6.7283884164065028E-2</v>
      </c>
    </row>
    <row r="2515" spans="1:27" x14ac:dyDescent="0.25">
      <c r="A2515" t="str">
        <f>"06/11/2019"</f>
        <v>06/11/2019</v>
      </c>
      <c r="B2515" s="3">
        <f>AUD!B2515</f>
        <v>0.6895</v>
      </c>
      <c r="C2515" s="3">
        <f>AUD!C2515</f>
        <v>0.69</v>
      </c>
      <c r="D2515" s="3">
        <f>1/CAD!B2515</f>
        <v>0.75935910091882453</v>
      </c>
      <c r="E2515" s="3">
        <f>1/CAD!C2515</f>
        <v>0.75935910091882453</v>
      </c>
      <c r="F2515" s="3">
        <f>EUR!B2515/1</f>
        <v>1.1079000000000001</v>
      </c>
      <c r="G2515" s="3">
        <f>EUR!C2515/1</f>
        <v>1.1101000000000001</v>
      </c>
      <c r="H2515" s="3">
        <f>GBP!B2515/1</f>
        <v>1.288</v>
      </c>
      <c r="I2515" s="3">
        <f>GBP!C2515/1</f>
        <v>1.2891999999999999</v>
      </c>
      <c r="J2515" s="4">
        <f>1/INR!B2515</f>
        <v>1.4083019399359223E-2</v>
      </c>
      <c r="K2515" s="4">
        <f>1/INR!C2515</f>
        <v>1.4041985536754896E-2</v>
      </c>
      <c r="L2515" s="4">
        <f>1/JPY!B2515</f>
        <v>9.1717875813996149E-3</v>
      </c>
      <c r="M2515" s="4">
        <f>1/JPY!C2515</f>
        <v>9.1871992914831901E-3</v>
      </c>
      <c r="N2515" s="5">
        <f>1/KRW!B2515</f>
        <v>8.6430423509075197E-4</v>
      </c>
      <c r="O2515" s="5">
        <f>1/KRW!C2515</f>
        <v>8.643053556249209E-4</v>
      </c>
      <c r="P2515" s="3">
        <f>1/NOK!B2515</f>
        <v>0.10923112213131767</v>
      </c>
      <c r="Q2515" s="3">
        <f>1/NOK!C2515</f>
        <v>0.10924305487278646</v>
      </c>
      <c r="R2515" s="3">
        <f>NZD!B2515/1</f>
        <v>0.63719999999999999</v>
      </c>
      <c r="S2515" s="3">
        <f>NZD!C2515/1</f>
        <v>0.63759999999999994</v>
      </c>
      <c r="T2515" s="4">
        <f>1/PHP!B2515</f>
        <v>1.9755037534571317E-2</v>
      </c>
      <c r="U2515" s="4">
        <f>1/PHP!C2515</f>
        <v>1.9730481621056371E-2</v>
      </c>
      <c r="V2515" s="4">
        <f>1/TWD!B2515</f>
        <v>3.2894736842105261E-2</v>
      </c>
      <c r="W2515" s="4">
        <f>1/TWD!C2515</f>
        <v>3.2895061464422344E-2</v>
      </c>
      <c r="X2515" s="4">
        <f>1/TWD!B2515</f>
        <v>3.2894736842105261E-2</v>
      </c>
      <c r="Y2515" s="4">
        <f>1/TWD!C2515</f>
        <v>3.2895061464422344E-2</v>
      </c>
      <c r="Z2515" s="4">
        <f>1/ZAR!B2515</f>
        <v>6.7664950232429105E-2</v>
      </c>
      <c r="AA2515" s="4">
        <f>1/ZAR!C2515</f>
        <v>6.7383174421346989E-2</v>
      </c>
    </row>
    <row r="2516" spans="1:27" x14ac:dyDescent="0.25">
      <c r="A2516" t="str">
        <f>"07/11/2019"</f>
        <v>07/11/2019</v>
      </c>
      <c r="B2516" s="3">
        <f>AUD!B2516</f>
        <v>0.68979999999999997</v>
      </c>
      <c r="C2516" s="3">
        <f>AUD!C2516</f>
        <v>0.69030000000000002</v>
      </c>
      <c r="D2516" s="3">
        <f>1/CAD!B2516</f>
        <v>0.75918615244457943</v>
      </c>
      <c r="E2516" s="3">
        <f>1/CAD!C2516</f>
        <v>0.75918615244457943</v>
      </c>
      <c r="F2516" s="3">
        <f>EUR!B2516/1</f>
        <v>1.1079000000000001</v>
      </c>
      <c r="G2516" s="3">
        <f>EUR!C2516/1</f>
        <v>1.1100000000000001</v>
      </c>
      <c r="H2516" s="3">
        <f>GBP!B2516/1</f>
        <v>1.2853000000000001</v>
      </c>
      <c r="I2516" s="3">
        <f>GBP!C2516/1</f>
        <v>1.2864</v>
      </c>
      <c r="J2516" s="4">
        <f>1/INR!B2516</f>
        <v>1.4090460758066789E-2</v>
      </c>
      <c r="K2516" s="4">
        <f>1/INR!C2516</f>
        <v>1.4051357712438964E-2</v>
      </c>
      <c r="L2516" s="4">
        <f>1/JPY!B2516</f>
        <v>9.1650627806800482E-3</v>
      </c>
      <c r="M2516" s="4">
        <f>1/JPY!C2516</f>
        <v>9.1800304960613071E-3</v>
      </c>
      <c r="N2516" s="5">
        <f>1/KRW!B2516</f>
        <v>8.6244070720137994E-4</v>
      </c>
      <c r="O2516" s="5">
        <f>1/KRW!C2516</f>
        <v>8.6244219481189269E-4</v>
      </c>
      <c r="P2516" s="3">
        <f>1/NOK!B2516</f>
        <v>0.10985389432055366</v>
      </c>
      <c r="Q2516" s="3">
        <f>1/NOK!C2516</f>
        <v>0.10986354947155633</v>
      </c>
      <c r="R2516" s="3">
        <f>NZD!B2516/1</f>
        <v>0.63690000000000002</v>
      </c>
      <c r="S2516" s="3">
        <f>NZD!C2516/1</f>
        <v>0.63729999999999998</v>
      </c>
      <c r="T2516" s="4">
        <f>1/PHP!B2516</f>
        <v>1.9801980198019802E-2</v>
      </c>
      <c r="U2516" s="4">
        <f>1/PHP!C2516</f>
        <v>1.9775547535472386E-2</v>
      </c>
      <c r="V2516" s="4">
        <f>1/TWD!B2516</f>
        <v>3.2883919763235778E-2</v>
      </c>
      <c r="W2516" s="4">
        <f>1/TWD!C2516</f>
        <v>3.2884244172089828E-2</v>
      </c>
      <c r="X2516" s="4">
        <f>1/TWD!B2516</f>
        <v>3.2883919763235778E-2</v>
      </c>
      <c r="Y2516" s="4">
        <f>1/TWD!C2516</f>
        <v>3.2884244172089828E-2</v>
      </c>
      <c r="Z2516" s="4">
        <f>1/ZAR!B2516</f>
        <v>6.7860099618626241E-2</v>
      </c>
      <c r="AA2516" s="4">
        <f>1/ZAR!C2516</f>
        <v>6.7585834009191673E-2</v>
      </c>
    </row>
    <row r="2517" spans="1:27" x14ac:dyDescent="0.25">
      <c r="A2517" t="str">
        <f>"08/11/2019"</f>
        <v>08/11/2019</v>
      </c>
      <c r="B2517" s="3">
        <f>AUD!B2517</f>
        <v>0.68640000000000001</v>
      </c>
      <c r="C2517" s="3">
        <f>AUD!C2517</f>
        <v>0.68689999999999996</v>
      </c>
      <c r="D2517" s="3">
        <f>1/CAD!B2517</f>
        <v>0.75763315402682019</v>
      </c>
      <c r="E2517" s="3">
        <f>1/CAD!C2517</f>
        <v>0.75769055917563266</v>
      </c>
      <c r="F2517" s="3">
        <f>EUR!B2517/1</f>
        <v>1.1031</v>
      </c>
      <c r="G2517" s="3">
        <f>EUR!C2517/1</f>
        <v>1.1052</v>
      </c>
      <c r="H2517" s="3">
        <f>GBP!B2517/1</f>
        <v>1.2798</v>
      </c>
      <c r="I2517" s="3">
        <f>GBP!C2517/1</f>
        <v>1.2808999999999999</v>
      </c>
      <c r="J2517" s="4">
        <f>1/INR!B2517</f>
        <v>1.4027212792818065E-2</v>
      </c>
      <c r="K2517" s="4">
        <f>1/INR!C2517</f>
        <v>1.3986013986013986E-2</v>
      </c>
      <c r="L2517" s="4">
        <f>1/JPY!B2517</f>
        <v>9.1416034372428928E-3</v>
      </c>
      <c r="M2517" s="4">
        <f>1/JPY!C2517</f>
        <v>9.1565113325562508E-3</v>
      </c>
      <c r="N2517" s="5">
        <f>1/KRW!B2517</f>
        <v>8.6393088552915766E-4</v>
      </c>
      <c r="O2517" s="5">
        <f>1/KRW!C2517</f>
        <v>8.6393222900908186E-4</v>
      </c>
      <c r="P2517" s="3">
        <f>1/NOK!B2517</f>
        <v>0.10914766587716522</v>
      </c>
      <c r="Q2517" s="3">
        <f>1/NOK!C2517</f>
        <v>0.10915600576343712</v>
      </c>
      <c r="R2517" s="3">
        <f>NZD!B2517/1</f>
        <v>0.63360000000000005</v>
      </c>
      <c r="S2517" s="3">
        <f>NZD!C2517/1</f>
        <v>0.63390000000000002</v>
      </c>
      <c r="T2517" s="4">
        <f>1/PHP!B2517</f>
        <v>1.9801980198019802E-2</v>
      </c>
      <c r="U2517" s="4">
        <f>1/PHP!C2517</f>
        <v>1.9778481012658226E-2</v>
      </c>
      <c r="V2517" s="4">
        <f>1/TWD!B2517</f>
        <v>3.2881757201104825E-2</v>
      </c>
      <c r="W2517" s="4">
        <f>1/TWD!C2517</f>
        <v>3.2882081567291534E-2</v>
      </c>
      <c r="X2517" s="4">
        <f>1/TWD!B2517</f>
        <v>3.2881757201104825E-2</v>
      </c>
      <c r="Y2517" s="4">
        <f>1/TWD!C2517</f>
        <v>3.2882081567291534E-2</v>
      </c>
      <c r="Z2517" s="4">
        <f>1/ZAR!B2517</f>
        <v>6.7431338040040728E-2</v>
      </c>
      <c r="AA2517" s="4">
        <f>1/ZAR!C2517</f>
        <v>6.7159167226326394E-2</v>
      </c>
    </row>
    <row r="2518" spans="1:27" x14ac:dyDescent="0.25">
      <c r="A2518" t="str">
        <f>"11/11/2019"</f>
        <v>11/11/2019</v>
      </c>
      <c r="B2518" s="3">
        <f>AUD!B2518</f>
        <v>0.68559999999999999</v>
      </c>
      <c r="C2518" s="3">
        <f>AUD!C2518</f>
        <v>0.68610000000000004</v>
      </c>
      <c r="D2518" s="3">
        <f>1/CAD!B2518</f>
        <v>0.75608649629517621</v>
      </c>
      <c r="E2518" s="3">
        <f>1/CAD!C2518</f>
        <v>0.75614366729678639</v>
      </c>
      <c r="F2518" s="3">
        <f>EUR!B2518/1</f>
        <v>1.1027</v>
      </c>
      <c r="G2518" s="3">
        <f>EUR!C2518/1</f>
        <v>1.1048</v>
      </c>
      <c r="H2518" s="3">
        <f>GBP!B2518/1</f>
        <v>1.2822</v>
      </c>
      <c r="I2518" s="3">
        <f>GBP!C2518/1</f>
        <v>1.2833000000000001</v>
      </c>
      <c r="J2518" s="4">
        <f>1/INR!B2518</f>
        <v>1.3991395291895485E-2</v>
      </c>
      <c r="K2518" s="4">
        <f>1/INR!C2518</f>
        <v>1.3950892857142856E-2</v>
      </c>
      <c r="L2518" s="4">
        <f>1/JPY!B2518</f>
        <v>9.1793647879566728E-3</v>
      </c>
      <c r="M2518" s="4">
        <f>1/JPY!C2518</f>
        <v>9.194176408662753E-3</v>
      </c>
      <c r="N2518" s="5">
        <f>1/KRW!B2518</f>
        <v>8.5711836804662717E-4</v>
      </c>
      <c r="O2518" s="5">
        <f>1/KRW!C2518</f>
        <v>8.571191026991537E-4</v>
      </c>
      <c r="P2518" s="3">
        <f>1/NOK!B2518</f>
        <v>0.10919533954290832</v>
      </c>
      <c r="Q2518" s="3">
        <f>1/NOK!C2518</f>
        <v>0.10920368671646355</v>
      </c>
      <c r="R2518" s="3">
        <f>NZD!B2518/1</f>
        <v>0.63629999999999998</v>
      </c>
      <c r="S2518" s="3">
        <f>NZD!C2518/1</f>
        <v>0.63660000000000005</v>
      </c>
      <c r="T2518" s="4">
        <f>1/PHP!B2518</f>
        <v>1.9642506383814574E-2</v>
      </c>
      <c r="U2518" s="4">
        <f>1/PHP!C2518</f>
        <v>1.9620538779994898E-2</v>
      </c>
      <c r="V2518" s="4">
        <f>1/TWD!B2518</f>
        <v>3.2856908164941682E-2</v>
      </c>
      <c r="W2518" s="4">
        <f>1/TWD!C2518</f>
        <v>3.28572320410584E-2</v>
      </c>
      <c r="X2518" s="4">
        <f>1/TWD!B2518</f>
        <v>3.2856908164941682E-2</v>
      </c>
      <c r="Y2518" s="4">
        <f>1/TWD!C2518</f>
        <v>3.28572320410584E-2</v>
      </c>
      <c r="Z2518" s="4">
        <f>1/ZAR!B2518</f>
        <v>6.71510495709048E-2</v>
      </c>
      <c r="AA2518" s="4">
        <f>1/ZAR!C2518</f>
        <v>6.6878001150301625E-2</v>
      </c>
    </row>
    <row r="2519" spans="1:27" x14ac:dyDescent="0.25">
      <c r="A2519" t="str">
        <f>"13/11/2019"</f>
        <v>13/11/2019</v>
      </c>
      <c r="B2519" s="3">
        <f>AUD!B2519</f>
        <v>0.68259999999999998</v>
      </c>
      <c r="C2519" s="3">
        <f>AUD!C2519</f>
        <v>0.68310000000000004</v>
      </c>
      <c r="D2519" s="3">
        <f>1/CAD!B2519</f>
        <v>0.7538635506973238</v>
      </c>
      <c r="E2519" s="3">
        <f>1/CAD!C2519</f>
        <v>0.75392038600723765</v>
      </c>
      <c r="F2519" s="3">
        <f>EUR!B2519/1</f>
        <v>1.1009</v>
      </c>
      <c r="G2519" s="3">
        <f>EUR!C2519/1</f>
        <v>1.103</v>
      </c>
      <c r="H2519" s="3">
        <f>GBP!B2519/1</f>
        <v>1.2834000000000001</v>
      </c>
      <c r="I2519" s="3">
        <f>GBP!C2519/1</f>
        <v>1.2845</v>
      </c>
      <c r="J2519" s="4">
        <f>1/INR!B2519</f>
        <v>1.3871549452073795E-2</v>
      </c>
      <c r="K2519" s="4">
        <f>1/INR!C2519</f>
        <v>1.3830780401784171E-2</v>
      </c>
      <c r="L2519" s="4">
        <f>1/JPY!B2519</f>
        <v>9.1810503121557106E-3</v>
      </c>
      <c r="M2519" s="4">
        <f>1/JPY!C2519</f>
        <v>9.1962225596214087E-3</v>
      </c>
      <c r="N2519" s="5">
        <f>1/KRW!B2519</f>
        <v>8.5631101215961642E-4</v>
      </c>
      <c r="O2519" s="5">
        <f>1/KRW!C2519</f>
        <v>8.5631196540979194E-4</v>
      </c>
      <c r="P2519" s="3">
        <f>1/NOK!B2519</f>
        <v>0.10849517196484756</v>
      </c>
      <c r="Q2519" s="3">
        <f>1/NOK!C2519</f>
        <v>0.10850223514604401</v>
      </c>
      <c r="R2519" s="3">
        <f>NZD!B2519/1</f>
        <v>0.63900000000000001</v>
      </c>
      <c r="S2519" s="3">
        <f>NZD!C2519/1</f>
        <v>0.63929999999999998</v>
      </c>
      <c r="T2519" s="4">
        <f>1/PHP!B2519</f>
        <v>1.9657951641438964E-2</v>
      </c>
      <c r="U2519" s="4">
        <f>1/PHP!C2519</f>
        <v>1.963421458233117E-2</v>
      </c>
      <c r="V2519" s="4">
        <f>1/TWD!B2519</f>
        <v>3.2783660623545222E-2</v>
      </c>
      <c r="W2519" s="4">
        <f>1/TWD!C2519</f>
        <v>3.2783983057237558E-2</v>
      </c>
      <c r="X2519" s="4">
        <f>1/TWD!B2519</f>
        <v>3.2783660623545222E-2</v>
      </c>
      <c r="Y2519" s="4">
        <f>1/TWD!C2519</f>
        <v>3.2783983057237558E-2</v>
      </c>
      <c r="Z2519" s="4">
        <f>1/ZAR!B2519</f>
        <v>6.6846707131206717E-2</v>
      </c>
      <c r="AA2519" s="4">
        <f>1/ZAR!C2519</f>
        <v>6.6555740432612309E-2</v>
      </c>
    </row>
    <row r="2520" spans="1:27" x14ac:dyDescent="0.25">
      <c r="A2520" t="str">
        <f>"14/11/2019"</f>
        <v>14/11/2019</v>
      </c>
      <c r="B2520" s="3">
        <f>AUD!B2520</f>
        <v>0.6784</v>
      </c>
      <c r="C2520" s="3">
        <f>AUD!C2520</f>
        <v>0.67889999999999995</v>
      </c>
      <c r="D2520" s="3">
        <f>1/CAD!B2520</f>
        <v>0.75374990578126178</v>
      </c>
      <c r="E2520" s="3">
        <f>1/CAD!C2520</f>
        <v>0.7538067239559777</v>
      </c>
      <c r="F2520" s="3">
        <f>EUR!B2520/1</f>
        <v>1.099</v>
      </c>
      <c r="G2520" s="3">
        <f>EUR!C2520/1</f>
        <v>1.101</v>
      </c>
      <c r="H2520" s="3">
        <f>GBP!B2520/1</f>
        <v>1.2844</v>
      </c>
      <c r="I2520" s="3">
        <f>GBP!C2520/1</f>
        <v>1.2855000000000001</v>
      </c>
      <c r="J2520" s="4">
        <f>1/INR!B2520</f>
        <v>1.3894195699746431E-2</v>
      </c>
      <c r="K2520" s="4">
        <f>1/INR!C2520</f>
        <v>1.3854733123203216E-2</v>
      </c>
      <c r="L2520" s="4">
        <f>1/JPY!B2520</f>
        <v>9.2064076597311723E-3</v>
      </c>
      <c r="M2520" s="4">
        <f>1/JPY!C2520</f>
        <v>9.2210431581703986E-3</v>
      </c>
      <c r="N2520" s="5">
        <f>1/KRW!B2520</f>
        <v>8.5477391230019651E-4</v>
      </c>
      <c r="O2520" s="5">
        <f>1/KRW!C2520</f>
        <v>8.547750082592635E-4</v>
      </c>
      <c r="P2520" s="3">
        <f>1/NOK!B2520</f>
        <v>0.10852460795485377</v>
      </c>
      <c r="Q2520" s="3">
        <f>1/NOK!C2520</f>
        <v>0.1085316749693398</v>
      </c>
      <c r="R2520" s="3">
        <f>NZD!B2520/1</f>
        <v>0.63919999999999999</v>
      </c>
      <c r="S2520" s="3">
        <f>NZD!C2520/1</f>
        <v>0.63949999999999996</v>
      </c>
      <c r="T2520" s="4">
        <f>1/PHP!B2520</f>
        <v>1.9712201852946976E-2</v>
      </c>
      <c r="U2520" s="4">
        <f>1/PHP!C2520</f>
        <v>1.9689690478065687E-2</v>
      </c>
      <c r="V2520" s="4">
        <f>1/TWD!B2520</f>
        <v>3.2698973252239881E-2</v>
      </c>
      <c r="W2520" s="4">
        <f>1/TWD!C2520</f>
        <v>3.2699294022242059E-2</v>
      </c>
      <c r="X2520" s="4">
        <f>1/TWD!B2520</f>
        <v>3.2698973252239881E-2</v>
      </c>
      <c r="Y2520" s="4">
        <f>1/TWD!C2520</f>
        <v>3.2699294022242059E-2</v>
      </c>
      <c r="Z2520" s="4">
        <f>1/ZAR!B2520</f>
        <v>6.7441797728560252E-2</v>
      </c>
      <c r="AA2520" s="4">
        <f>1/ZAR!C2520</f>
        <v>6.7164580087045303E-2</v>
      </c>
    </row>
    <row r="2521" spans="1:27" x14ac:dyDescent="0.25">
      <c r="A2521" t="str">
        <f>"15/11/2019"</f>
        <v>15/11/2019</v>
      </c>
      <c r="B2521" s="3">
        <f>AUD!B2521</f>
        <v>0.67920000000000003</v>
      </c>
      <c r="C2521" s="3">
        <f>AUD!C2521</f>
        <v>0.67969999999999997</v>
      </c>
      <c r="D2521" s="3">
        <f>1/CAD!B2521</f>
        <v>0.75500188750471875</v>
      </c>
      <c r="E2521" s="3">
        <f>1/CAD!C2521</f>
        <v>0.75500188750471875</v>
      </c>
      <c r="F2521" s="3">
        <f>EUR!B2521/1</f>
        <v>1.103</v>
      </c>
      <c r="G2521" s="3">
        <f>EUR!C2521/1</f>
        <v>1.105</v>
      </c>
      <c r="H2521" s="3">
        <f>GBP!B2521/1</f>
        <v>1.2879</v>
      </c>
      <c r="I2521" s="3">
        <f>GBP!C2521/1</f>
        <v>1.2889999999999999</v>
      </c>
      <c r="J2521" s="4">
        <f>1/INR!B2521</f>
        <v>1.3929031584079116E-2</v>
      </c>
      <c r="K2521" s="4">
        <f>1/INR!C2521</f>
        <v>1.3889371158720789E-2</v>
      </c>
      <c r="L2521" s="4">
        <f>1/JPY!B2521</f>
        <v>9.2030185900975527E-3</v>
      </c>
      <c r="M2521" s="4">
        <f>1/JPY!C2521</f>
        <v>9.2176942859513132E-3</v>
      </c>
      <c r="N2521" s="5">
        <f>1/KRW!B2521</f>
        <v>8.5697146285028706E-4</v>
      </c>
      <c r="O2521" s="5">
        <f>1/KRW!C2521</f>
        <v>8.5697256445183532E-4</v>
      </c>
      <c r="P2521" s="3">
        <f>1/NOK!B2521</f>
        <v>0.10948585442760796</v>
      </c>
      <c r="Q2521" s="3">
        <f>1/NOK!C2521</f>
        <v>0.10949304719150335</v>
      </c>
      <c r="R2521" s="3">
        <f>NZD!B2521/1</f>
        <v>0.63870000000000005</v>
      </c>
      <c r="S2521" s="3">
        <f>NZD!C2521/1</f>
        <v>0.63900000000000001</v>
      </c>
      <c r="T2521" s="4">
        <f>1/PHP!B2521</f>
        <v>1.9743336623889437E-2</v>
      </c>
      <c r="U2521" s="4">
        <f>1/PHP!C2521</f>
        <v>1.9719976336028396E-2</v>
      </c>
      <c r="V2521" s="4">
        <f>1/TWD!B2521</f>
        <v>3.274394237066143E-2</v>
      </c>
      <c r="W2521" s="4">
        <f>1/TWD!C2521</f>
        <v>3.2744264023549678E-2</v>
      </c>
      <c r="X2521" s="4">
        <f>1/TWD!B2521</f>
        <v>3.274394237066143E-2</v>
      </c>
      <c r="Y2521" s="4">
        <f>1/TWD!C2521</f>
        <v>3.2744264023549678E-2</v>
      </c>
      <c r="Z2521" s="4">
        <f>1/ZAR!B2521</f>
        <v>6.7665865953919546E-2</v>
      </c>
      <c r="AA2521" s="4">
        <f>1/ZAR!C2521</f>
        <v>6.7384082532024284E-2</v>
      </c>
    </row>
    <row r="2522" spans="1:27" x14ac:dyDescent="0.25">
      <c r="A2522" t="str">
        <f>"18/11/2019"</f>
        <v>18/11/2019</v>
      </c>
      <c r="B2522" s="3">
        <f>AUD!B2522</f>
        <v>0.68120000000000003</v>
      </c>
      <c r="C2522" s="3">
        <f>AUD!C2522</f>
        <v>0.68169999999999997</v>
      </c>
      <c r="D2522" s="3">
        <f>1/CAD!B2522</f>
        <v>0.75625803524162438</v>
      </c>
      <c r="E2522" s="3">
        <f>1/CAD!C2522</f>
        <v>0.75625803524162438</v>
      </c>
      <c r="F2522" s="3">
        <f>EUR!B2522/1</f>
        <v>1.1061000000000001</v>
      </c>
      <c r="G2522" s="3">
        <f>EUR!C2522/1</f>
        <v>1.1081000000000001</v>
      </c>
      <c r="H2522" s="3">
        <f>GBP!B2522/1</f>
        <v>1.2964</v>
      </c>
      <c r="I2522" s="3">
        <f>GBP!C2522/1</f>
        <v>1.2975000000000001</v>
      </c>
      <c r="J2522" s="4">
        <f>1/INR!B2522</f>
        <v>1.3917884481558803E-2</v>
      </c>
      <c r="K2522" s="4">
        <f>1/INR!C2522</f>
        <v>1.3878287419332454E-2</v>
      </c>
      <c r="L2522" s="4">
        <f>1/JPY!B2522</f>
        <v>9.1717875813996149E-3</v>
      </c>
      <c r="M2522" s="4">
        <f>1/JPY!C2522</f>
        <v>9.18632156718646E-3</v>
      </c>
      <c r="N2522" s="5">
        <f>1/KRW!B2522</f>
        <v>8.5866391894212613E-4</v>
      </c>
      <c r="O2522" s="5">
        <f>1/KRW!C2522</f>
        <v>8.5866487743803941E-4</v>
      </c>
      <c r="P2522" s="3">
        <f>1/NOK!B2522</f>
        <v>0.1098756207972575</v>
      </c>
      <c r="Q2522" s="3">
        <f>1/NOK!C2522</f>
        <v>0.10988165745492105</v>
      </c>
      <c r="R2522" s="3">
        <f>NZD!B2522/1</f>
        <v>0.64049999999999996</v>
      </c>
      <c r="S2522" s="3">
        <f>NZD!C2522/1</f>
        <v>0.64080000000000004</v>
      </c>
      <c r="T2522" s="4">
        <f>1/PHP!B2522</f>
        <v>1.9719587466230207E-2</v>
      </c>
      <c r="U2522" s="4">
        <f>1/PHP!C2522</f>
        <v>1.969647728503757E-2</v>
      </c>
      <c r="V2522" s="4">
        <f>1/TWD!B2522</f>
        <v>3.2784735427185102E-2</v>
      </c>
      <c r="W2522" s="4">
        <f>1/TWD!C2522</f>
        <v>3.2785057882019693E-2</v>
      </c>
      <c r="X2522" s="4">
        <f>1/TWD!B2522</f>
        <v>3.2784735427185102E-2</v>
      </c>
      <c r="Y2522" s="4">
        <f>1/TWD!C2522</f>
        <v>3.2785057882019693E-2</v>
      </c>
      <c r="Z2522" s="4">
        <f>1/ZAR!B2522</f>
        <v>6.7717185944620881E-2</v>
      </c>
      <c r="AA2522" s="4">
        <f>1/ZAR!C2522</f>
        <v>6.7430428655234964E-2</v>
      </c>
    </row>
    <row r="2523" spans="1:27" x14ac:dyDescent="0.25">
      <c r="A2523" t="str">
        <f>"19/11/2019"</f>
        <v>19/11/2019</v>
      </c>
      <c r="B2523" s="3">
        <f>AUD!B2523</f>
        <v>0.68179999999999996</v>
      </c>
      <c r="C2523" s="3">
        <f>AUD!C2523</f>
        <v>0.68240000000000001</v>
      </c>
      <c r="D2523" s="3">
        <f>1/CAD!B2523</f>
        <v>0.75705958058899236</v>
      </c>
      <c r="E2523" s="3">
        <f>1/CAD!C2523</f>
        <v>0.75705958058899236</v>
      </c>
      <c r="F2523" s="3">
        <f>EUR!B2523/1</f>
        <v>1.1073</v>
      </c>
      <c r="G2523" s="3">
        <f>EUR!C2523/1</f>
        <v>1.1094999999999999</v>
      </c>
      <c r="H2523" s="3">
        <f>GBP!B2523/1</f>
        <v>1.2930999999999999</v>
      </c>
      <c r="I2523" s="3">
        <f>GBP!C2523/1</f>
        <v>1.2942</v>
      </c>
      <c r="J2523" s="4">
        <f>1/INR!B2523</f>
        <v>1.3943112102621306E-2</v>
      </c>
      <c r="K2523" s="4">
        <f>1/INR!C2523</f>
        <v>1.3901438798915687E-2</v>
      </c>
      <c r="L2523" s="4">
        <f>1/JPY!B2523</f>
        <v>9.19793966151582E-3</v>
      </c>
      <c r="M2523" s="4">
        <f>1/JPY!C2523</f>
        <v>9.2134309711324781E-3</v>
      </c>
      <c r="N2523" s="5">
        <f>1/KRW!B2523</f>
        <v>8.5638434529416801E-4</v>
      </c>
      <c r="O2523" s="5">
        <f>1/KRW!C2523</f>
        <v>8.5638529870762047E-4</v>
      </c>
      <c r="P2523" s="3">
        <f>1/NOK!B2523</f>
        <v>0.10965994451206808</v>
      </c>
      <c r="Q2523" s="3">
        <f>1/NOK!C2523</f>
        <v>0.10966595749347487</v>
      </c>
      <c r="R2523" s="3">
        <f>NZD!B2523/1</f>
        <v>0.6411</v>
      </c>
      <c r="S2523" s="3">
        <f>NZD!C2523/1</f>
        <v>0.64139999999999997</v>
      </c>
      <c r="T2523" s="4">
        <f>1/PHP!B2523</f>
        <v>1.9627085377821391E-2</v>
      </c>
      <c r="U2523" s="4">
        <f>1/PHP!C2523</f>
        <v>1.9604767879548304E-2</v>
      </c>
      <c r="V2523" s="4">
        <f>1/TWD!B2523</f>
        <v>3.2777213281326822E-2</v>
      </c>
      <c r="W2523" s="4">
        <f>1/TWD!C2523</f>
        <v>3.2777535588209263E-2</v>
      </c>
      <c r="X2523" s="4">
        <f>1/TWD!B2523</f>
        <v>3.2777213281326822E-2</v>
      </c>
      <c r="Y2523" s="4">
        <f>1/TWD!C2523</f>
        <v>3.2777535588209263E-2</v>
      </c>
      <c r="Z2523" s="4">
        <f>1/ZAR!B2523</f>
        <v>6.7750677506775075E-2</v>
      </c>
      <c r="AA2523" s="4">
        <f>1/ZAR!C2523</f>
        <v>6.7443162274992752E-2</v>
      </c>
    </row>
    <row r="2524" spans="1:27" x14ac:dyDescent="0.25">
      <c r="A2524" t="str">
        <f>"20/11/2019"</f>
        <v>20/11/2019</v>
      </c>
      <c r="B2524" s="3">
        <f>AUD!B2524</f>
        <v>0.68110000000000004</v>
      </c>
      <c r="C2524" s="3">
        <f>AUD!C2524</f>
        <v>0.68159999999999998</v>
      </c>
      <c r="D2524" s="3">
        <f>1/CAD!B2524</f>
        <v>0.75125835774923</v>
      </c>
      <c r="E2524" s="3">
        <f>1/CAD!C2524</f>
        <v>0.75131480090157776</v>
      </c>
      <c r="F2524" s="3">
        <f>EUR!B2524/1</f>
        <v>1.1061000000000001</v>
      </c>
      <c r="G2524" s="3">
        <f>EUR!C2524/1</f>
        <v>1.1082000000000001</v>
      </c>
      <c r="H2524" s="3">
        <f>GBP!B2524/1</f>
        <v>1.2906</v>
      </c>
      <c r="I2524" s="3">
        <f>GBP!C2524/1</f>
        <v>1.2917000000000001</v>
      </c>
      <c r="J2524" s="4">
        <f>1/INR!B2524</f>
        <v>1.3923698134224451E-2</v>
      </c>
      <c r="K2524" s="4">
        <f>1/INR!C2524</f>
        <v>1.3883586130297455E-2</v>
      </c>
      <c r="L2524" s="4">
        <f>1/JPY!B2524</f>
        <v>9.2208390963577688E-3</v>
      </c>
      <c r="M2524" s="4">
        <f>1/JPY!C2524</f>
        <v>9.2357764424897439E-3</v>
      </c>
      <c r="N2524" s="5">
        <f>1/KRW!B2524</f>
        <v>8.5462780958892406E-4</v>
      </c>
      <c r="O2524" s="5">
        <f>1/KRW!C2524</f>
        <v>8.5462948948621976E-4</v>
      </c>
      <c r="P2524" s="3">
        <f>1/NOK!B2524</f>
        <v>0.10880090522353146</v>
      </c>
      <c r="Q2524" s="3">
        <f>1/NOK!C2524</f>
        <v>0.10880682436402411</v>
      </c>
      <c r="R2524" s="3">
        <f>NZD!B2524/1</f>
        <v>0.64229999999999998</v>
      </c>
      <c r="S2524" s="3">
        <f>NZD!C2524/1</f>
        <v>0.64259999999999995</v>
      </c>
      <c r="T2524" s="4">
        <f>1/PHP!B2524</f>
        <v>1.9638648860958365E-2</v>
      </c>
      <c r="U2524" s="4">
        <f>1/PHP!C2524</f>
        <v>1.9613611846621557E-2</v>
      </c>
      <c r="V2524" s="4">
        <f>1/TWD!B2524</f>
        <v>3.2786885245901641E-2</v>
      </c>
      <c r="W2524" s="4">
        <f>1/TWD!C2524</f>
        <v>3.2787207743026979E-2</v>
      </c>
      <c r="X2524" s="4">
        <f>1/TWD!B2524</f>
        <v>3.2786885245901641E-2</v>
      </c>
      <c r="Y2524" s="4">
        <f>1/TWD!C2524</f>
        <v>3.2787207743026979E-2</v>
      </c>
      <c r="Z2524" s="4">
        <f>1/ZAR!B2524</f>
        <v>6.738771521951549E-2</v>
      </c>
      <c r="AA2524" s="4">
        <f>1/ZAR!C2524</f>
        <v>6.7091580006709159E-2</v>
      </c>
    </row>
    <row r="2525" spans="1:27" x14ac:dyDescent="0.25">
      <c r="A2525" t="str">
        <f>"21/11/2019"</f>
        <v>21/11/2019</v>
      </c>
      <c r="B2525" s="3">
        <f>AUD!B2525</f>
        <v>0.67949999999999999</v>
      </c>
      <c r="C2525" s="3">
        <f>AUD!C2525</f>
        <v>0.68</v>
      </c>
      <c r="D2525" s="3">
        <f>1/CAD!B2525</f>
        <v>0.751371252535878</v>
      </c>
      <c r="E2525" s="3">
        <f>1/CAD!C2525</f>
        <v>0.751371252535878</v>
      </c>
      <c r="F2525" s="3">
        <f>EUR!B2525/1</f>
        <v>1.1073999999999999</v>
      </c>
      <c r="G2525" s="3">
        <f>EUR!C2525/1</f>
        <v>1.1094999999999999</v>
      </c>
      <c r="H2525" s="3">
        <f>GBP!B2525/1</f>
        <v>1.2926</v>
      </c>
      <c r="I2525" s="3">
        <f>GBP!C2525/1</f>
        <v>1.2937000000000001</v>
      </c>
      <c r="J2525" s="4">
        <f>1/INR!B2525</f>
        <v>1.3921759710427398E-2</v>
      </c>
      <c r="K2525" s="4">
        <f>1/INR!C2525</f>
        <v>1.3880213755291831E-2</v>
      </c>
      <c r="L2525" s="4">
        <f>1/JPY!B2525</f>
        <v>9.2148912642830826E-3</v>
      </c>
      <c r="M2525" s="4">
        <f>1/JPY!C2525</f>
        <v>9.2298093305988489E-3</v>
      </c>
      <c r="N2525" s="5">
        <f>1/KRW!B2525</f>
        <v>8.4918478260869574E-4</v>
      </c>
      <c r="O2525" s="5">
        <f>1/KRW!C2525</f>
        <v>8.4918572005896408E-4</v>
      </c>
      <c r="P2525" s="3">
        <f>1/NOK!B2525</f>
        <v>0.10936491792162908</v>
      </c>
      <c r="Q2525" s="3">
        <f>1/NOK!C2525</f>
        <v>0.10937089859130282</v>
      </c>
      <c r="R2525" s="3">
        <f>NZD!B2525/1</f>
        <v>0.64090000000000003</v>
      </c>
      <c r="S2525" s="3">
        <f>NZD!C2525/1</f>
        <v>0.64119999999999999</v>
      </c>
      <c r="T2525" s="4">
        <f>1/PHP!B2525</f>
        <v>1.9619383951343928E-2</v>
      </c>
      <c r="U2525" s="4">
        <f>1/PHP!C2525</f>
        <v>1.9595355900651545E-2</v>
      </c>
      <c r="V2525" s="4">
        <f>1/TWD!B2525</f>
        <v>3.2770768474520727E-2</v>
      </c>
      <c r="W2525" s="4">
        <f>1/TWD!C2525</f>
        <v>3.2771090654668079E-2</v>
      </c>
      <c r="X2525" s="4">
        <f>1/TWD!B2525</f>
        <v>3.2770768474520727E-2</v>
      </c>
      <c r="Y2525" s="4">
        <f>1/TWD!C2525</f>
        <v>3.2771090654668079E-2</v>
      </c>
      <c r="Z2525" s="4">
        <f>1/ZAR!B2525</f>
        <v>6.7696556953113357E-2</v>
      </c>
      <c r="AA2525" s="4">
        <f>1/ZAR!C2525</f>
        <v>6.7390439992182707E-2</v>
      </c>
    </row>
    <row r="2526" spans="1:27" x14ac:dyDescent="0.25">
      <c r="A2526" t="str">
        <f>"22/11/2019"</f>
        <v>22/11/2019</v>
      </c>
      <c r="B2526" s="3">
        <f>AUD!B2526</f>
        <v>0.67869999999999997</v>
      </c>
      <c r="C2526" s="3">
        <f>AUD!C2526</f>
        <v>0.67920000000000003</v>
      </c>
      <c r="D2526" s="3">
        <f>1/CAD!B2526</f>
        <v>0.75267198554869785</v>
      </c>
      <c r="E2526" s="3">
        <f>1/CAD!C2526</f>
        <v>0.75267198554869785</v>
      </c>
      <c r="F2526" s="3">
        <f>EUR!B2526/1</f>
        <v>1.1063000000000001</v>
      </c>
      <c r="G2526" s="3">
        <f>EUR!C2526/1</f>
        <v>1.1084000000000001</v>
      </c>
      <c r="H2526" s="3">
        <f>GBP!B2526/1</f>
        <v>1.2915000000000001</v>
      </c>
      <c r="I2526" s="3">
        <f>GBP!C2526/1</f>
        <v>1.2926</v>
      </c>
      <c r="J2526" s="4">
        <f>1/INR!B2526</f>
        <v>1.3935825523464448E-2</v>
      </c>
      <c r="K2526" s="4">
        <f>1/INR!C2526</f>
        <v>1.3897092033491992E-2</v>
      </c>
      <c r="L2526" s="4">
        <f>1/JPY!B2526</f>
        <v>9.2055601583356343E-3</v>
      </c>
      <c r="M2526" s="4">
        <f>1/JPY!C2526</f>
        <v>9.2198444243451836E-3</v>
      </c>
      <c r="N2526" s="5">
        <f>1/KRW!B2526</f>
        <v>8.4911267725227136E-4</v>
      </c>
      <c r="O2526" s="5">
        <f>1/KRW!C2526</f>
        <v>8.4911447973694439E-4</v>
      </c>
      <c r="P2526" s="3">
        <f>1/NOK!B2526</f>
        <v>0.10934339292548248</v>
      </c>
      <c r="Q2526" s="3">
        <f>1/NOK!C2526</f>
        <v>0.1093505669826898</v>
      </c>
      <c r="R2526" s="3">
        <f>NZD!B2526/1</f>
        <v>0.64039999999999997</v>
      </c>
      <c r="S2526" s="3">
        <f>NZD!C2526/1</f>
        <v>0.64070000000000005</v>
      </c>
      <c r="T2526" s="4">
        <f>1/PHP!B2526</f>
        <v>1.9671486180780958E-2</v>
      </c>
      <c r="U2526" s="4">
        <f>1/PHP!C2526</f>
        <v>1.9652156824211457E-2</v>
      </c>
      <c r="V2526" s="4">
        <f>1/TWD!B2526</f>
        <v>3.2782585890375034E-2</v>
      </c>
      <c r="W2526" s="4">
        <f>1/TWD!C2526</f>
        <v>3.278290830292719E-2</v>
      </c>
      <c r="X2526" s="4">
        <f>1/TWD!B2526</f>
        <v>3.2782585890375034E-2</v>
      </c>
      <c r="Y2526" s="4">
        <f>1/TWD!C2526</f>
        <v>3.278290830292719E-2</v>
      </c>
      <c r="Z2526" s="4">
        <f>1/ZAR!B2526</f>
        <v>6.8067959050315832E-2</v>
      </c>
      <c r="AA2526" s="4">
        <f>1/ZAR!C2526</f>
        <v>6.7760318202454276E-2</v>
      </c>
    </row>
    <row r="2527" spans="1:27" x14ac:dyDescent="0.25">
      <c r="A2527" t="str">
        <f>"25/11/2019"</f>
        <v>25/11/2019</v>
      </c>
      <c r="B2527" s="3">
        <f>AUD!B2527</f>
        <v>0.67910000000000004</v>
      </c>
      <c r="C2527" s="3">
        <f>AUD!C2527</f>
        <v>0.67959999999999998</v>
      </c>
      <c r="D2527" s="3">
        <f>1/CAD!B2527</f>
        <v>0.75193623580720348</v>
      </c>
      <c r="E2527" s="3">
        <f>1/CAD!C2527</f>
        <v>0.75193623580720348</v>
      </c>
      <c r="F2527" s="3">
        <f>EUR!B2527/1</f>
        <v>1.1014999999999999</v>
      </c>
      <c r="G2527" s="3">
        <f>EUR!C2527/1</f>
        <v>1.1034999999999999</v>
      </c>
      <c r="H2527" s="3">
        <f>GBP!B2527/1</f>
        <v>1.2871999999999999</v>
      </c>
      <c r="I2527" s="3">
        <f>GBP!C2527/1</f>
        <v>1.2883</v>
      </c>
      <c r="J2527" s="4">
        <f>1/INR!B2527</f>
        <v>1.3939710751001918E-2</v>
      </c>
      <c r="K2527" s="4">
        <f>1/INR!C2527</f>
        <v>1.3900955690703735E-2</v>
      </c>
      <c r="L2527" s="4">
        <f>1/JPY!B2527</f>
        <v>9.184423218221896E-3</v>
      </c>
      <c r="M2527" s="4">
        <f>1/JPY!C2527</f>
        <v>9.198785760279644E-3</v>
      </c>
      <c r="N2527" s="5">
        <f>1/KRW!B2527</f>
        <v>8.5026783436782595E-4</v>
      </c>
      <c r="O2527" s="5">
        <f>1/KRW!C2527</f>
        <v>8.5026985864773772E-4</v>
      </c>
      <c r="P2527" s="3">
        <f>1/NOK!B2527</f>
        <v>0.1088767188911995</v>
      </c>
      <c r="Q2527" s="3">
        <f>1/NOK!C2527</f>
        <v>0.10888976000696894</v>
      </c>
      <c r="R2527" s="3">
        <f>NZD!B2527/1</f>
        <v>0.64119999999999999</v>
      </c>
      <c r="S2527" s="3">
        <f>NZD!C2527/1</f>
        <v>0.64149999999999996</v>
      </c>
      <c r="T2527" s="4">
        <f>1/PHP!B2527</f>
        <v>1.9696671262556628E-2</v>
      </c>
      <c r="U2527" s="4">
        <f>1/PHP!C2527</f>
        <v>1.9679228574239892E-2</v>
      </c>
      <c r="V2527" s="4">
        <f>1/TWD!B2527</f>
        <v>3.2780436635415987E-2</v>
      </c>
      <c r="W2527" s="4">
        <f>1/TWD!C2527</f>
        <v>3.2780759005694014E-2</v>
      </c>
      <c r="X2527" s="4">
        <f>1/TWD!B2527</f>
        <v>3.2780436635415987E-2</v>
      </c>
      <c r="Y2527" s="4">
        <f>1/TWD!C2527</f>
        <v>3.2780759005694014E-2</v>
      </c>
      <c r="Z2527" s="4">
        <f>1/ZAR!B2527</f>
        <v>6.7945399077301474E-2</v>
      </c>
      <c r="AA2527" s="4">
        <f>1/ZAR!C2527</f>
        <v>6.7651217383656814E-2</v>
      </c>
    </row>
    <row r="2528" spans="1:27" x14ac:dyDescent="0.25">
      <c r="A2528" t="str">
        <f>"26/11/2019"</f>
        <v>26/11/2019</v>
      </c>
      <c r="B2528" s="3">
        <f>AUD!B2528</f>
        <v>0.67779999999999996</v>
      </c>
      <c r="C2528" s="3">
        <f>AUD!C2528</f>
        <v>0.67830000000000001</v>
      </c>
      <c r="D2528" s="3">
        <f>1/CAD!B2528</f>
        <v>0.75125835774923</v>
      </c>
      <c r="E2528" s="3">
        <f>1/CAD!C2528</f>
        <v>0.75125835774923</v>
      </c>
      <c r="F2528" s="3">
        <f>EUR!B2528/1</f>
        <v>1.1016999999999999</v>
      </c>
      <c r="G2528" s="3">
        <f>EUR!C2528/1</f>
        <v>1.1039000000000001</v>
      </c>
      <c r="H2528" s="3">
        <f>GBP!B2528/1</f>
        <v>1.2877000000000001</v>
      </c>
      <c r="I2528" s="3">
        <f>GBP!C2528/1</f>
        <v>1.2888999999999999</v>
      </c>
      <c r="J2528" s="4">
        <f>1/INR!B2528</f>
        <v>1.3986503024581279E-2</v>
      </c>
      <c r="K2528" s="4">
        <f>1/INR!C2528</f>
        <v>1.3945056477478734E-2</v>
      </c>
      <c r="L2528" s="4">
        <f>1/JPY!B2528</f>
        <v>9.1785222579164744E-3</v>
      </c>
      <c r="M2528" s="4">
        <f>1/JPY!C2528</f>
        <v>9.1932888991036535E-3</v>
      </c>
      <c r="N2528" s="5">
        <f>1/KRW!B2528</f>
        <v>8.5005100306018351E-4</v>
      </c>
      <c r="O2528" s="5">
        <f>1/KRW!C2528</f>
        <v>8.500520869416273E-4</v>
      </c>
      <c r="P2528" s="3">
        <f>1/NOK!B2528</f>
        <v>0.10915958039057298</v>
      </c>
      <c r="Q2528" s="3">
        <f>1/NOK!C2528</f>
        <v>0.10917268936002969</v>
      </c>
      <c r="R2528" s="3">
        <f>NZD!B2528/1</f>
        <v>0.64170000000000005</v>
      </c>
      <c r="S2528" s="3">
        <f>NZD!C2528/1</f>
        <v>0.64200000000000002</v>
      </c>
      <c r="T2528" s="4">
        <f>1/PHP!B2528</f>
        <v>1.9627085377821391E-2</v>
      </c>
      <c r="U2528" s="4">
        <f>1/PHP!C2528</f>
        <v>1.9611688566385566E-2</v>
      </c>
      <c r="V2528" s="4">
        <f>1/TWD!B2528</f>
        <v>3.2767547021429977E-2</v>
      </c>
      <c r="W2528" s="4">
        <f>1/TWD!C2528</f>
        <v>3.2767869138237808E-2</v>
      </c>
      <c r="X2528" s="4">
        <f>1/TWD!B2528</f>
        <v>3.2767547021429977E-2</v>
      </c>
      <c r="Y2528" s="4">
        <f>1/TWD!C2528</f>
        <v>3.2767869138237808E-2</v>
      </c>
      <c r="Z2528" s="4">
        <f>1/ZAR!B2528</f>
        <v>6.7574872959238835E-2</v>
      </c>
      <c r="AA2528" s="4">
        <f>1/ZAR!C2528</f>
        <v>6.7268495472830259E-2</v>
      </c>
    </row>
    <row r="2529" spans="1:27" x14ac:dyDescent="0.25">
      <c r="A2529" t="str">
        <f>"27/11/2019"</f>
        <v>27/11/2019</v>
      </c>
      <c r="B2529" s="3">
        <f>AUD!B2529</f>
        <v>0.6784</v>
      </c>
      <c r="C2529" s="3">
        <f>AUD!C2529</f>
        <v>0.67889999999999995</v>
      </c>
      <c r="D2529" s="3">
        <f>1/CAD!B2529</f>
        <v>0.7538635506973238</v>
      </c>
      <c r="E2529" s="3">
        <f>1/CAD!C2529</f>
        <v>0.75392038600723765</v>
      </c>
      <c r="F2529" s="3">
        <f>EUR!B2529/1</f>
        <v>1.1009</v>
      </c>
      <c r="G2529" s="3">
        <f>EUR!C2529/1</f>
        <v>1.1031</v>
      </c>
      <c r="H2529" s="3">
        <f>GBP!B2529/1</f>
        <v>1.2889999999999999</v>
      </c>
      <c r="I2529" s="3">
        <f>GBP!C2529/1</f>
        <v>1.2902</v>
      </c>
      <c r="J2529" s="4">
        <f>1/INR!B2529</f>
        <v>1.401443486791395E-2</v>
      </c>
      <c r="K2529" s="4">
        <f>1/INR!C2529</f>
        <v>1.3970382788488405E-2</v>
      </c>
      <c r="L2529" s="4">
        <f>1/JPY!B2529</f>
        <v>9.1633831210482918E-3</v>
      </c>
      <c r="M2529" s="4">
        <f>1/JPY!C2529</f>
        <v>9.1779915433985917E-3</v>
      </c>
      <c r="N2529" s="5">
        <f>1/KRW!B2529</f>
        <v>8.4925690021231425E-4</v>
      </c>
      <c r="O2529" s="5">
        <f>1/KRW!C2529</f>
        <v>8.4925798206961624E-4</v>
      </c>
      <c r="P2529" s="3">
        <f>1/NOK!B2529</f>
        <v>0.10900370612600829</v>
      </c>
      <c r="Q2529" s="3">
        <f>1/NOK!C2529</f>
        <v>0.10901796616082329</v>
      </c>
      <c r="R2529" s="3">
        <f>NZD!B2529/1</f>
        <v>0.64259999999999995</v>
      </c>
      <c r="S2529" s="3">
        <f>NZD!C2529/1</f>
        <v>0.64290000000000003</v>
      </c>
      <c r="T2529" s="4">
        <f>1/PHP!B2529</f>
        <v>1.966568338249754E-2</v>
      </c>
      <c r="U2529" s="4">
        <f>1/PHP!C2529</f>
        <v>1.9652929269107559E-2</v>
      </c>
      <c r="V2529" s="4">
        <f>1/TWD!B2529</f>
        <v>3.2770768474520727E-2</v>
      </c>
      <c r="W2529" s="4">
        <f>1/TWD!C2529</f>
        <v>3.2771090654668079E-2</v>
      </c>
      <c r="X2529" s="4">
        <f>1/TWD!B2529</f>
        <v>3.2770768474520727E-2</v>
      </c>
      <c r="Y2529" s="4">
        <f>1/TWD!C2529</f>
        <v>3.2771090654668079E-2</v>
      </c>
      <c r="Z2529" s="4">
        <f>1/ZAR!B2529</f>
        <v>6.7934321098362102E-2</v>
      </c>
      <c r="AA2529" s="4">
        <f>1/ZAR!C2529</f>
        <v>6.7630628559061837E-2</v>
      </c>
    </row>
    <row r="2530" spans="1:27" x14ac:dyDescent="0.25">
      <c r="A2530" t="str">
        <f>"28/11/2019"</f>
        <v>28/11/2019</v>
      </c>
      <c r="B2530" s="3">
        <f>AUD!B2530</f>
        <v>0.67689999999999995</v>
      </c>
      <c r="C2530" s="3">
        <f>AUD!C2530</f>
        <v>0.67749999999999999</v>
      </c>
      <c r="D2530" s="3">
        <f>1/CAD!B2530</f>
        <v>0.75233222991272952</v>
      </c>
      <c r="E2530" s="3">
        <f>1/CAD!C2530</f>
        <v>0.7523888345496953</v>
      </c>
      <c r="F2530" s="3">
        <f>EUR!B2530/1</f>
        <v>1.1007</v>
      </c>
      <c r="G2530" s="3">
        <f>EUR!C2530/1</f>
        <v>1.1033999999999999</v>
      </c>
      <c r="H2530" s="3">
        <f>GBP!B2530/1</f>
        <v>1.2917000000000001</v>
      </c>
      <c r="I2530" s="3">
        <f>GBP!C2530/1</f>
        <v>1.2935000000000001</v>
      </c>
      <c r="J2530" s="4">
        <f>1/INR!B2530</f>
        <v>1.3961605584642234E-2</v>
      </c>
      <c r="K2530" s="4">
        <f>1/INR!C2530</f>
        <v>1.3921759710427398E-2</v>
      </c>
      <c r="L2530" s="4">
        <f>1/JPY!B2530</f>
        <v>9.1340884179758851E-3</v>
      </c>
      <c r="M2530" s="4">
        <f>1/JPY!C2530</f>
        <v>9.1601766814878322E-3</v>
      </c>
      <c r="N2530" s="5">
        <f>1/KRW!B2530</f>
        <v>8.4810448647273354E-4</v>
      </c>
      <c r="O2530" s="5">
        <f>1/KRW!C2530</f>
        <v>8.4810736360737377E-4</v>
      </c>
      <c r="P2530" s="3">
        <f>1/NOK!B2530</f>
        <v>0.10886723640520386</v>
      </c>
      <c r="Q2530" s="3">
        <f>1/NOK!C2530</f>
        <v>0.10891110675466684</v>
      </c>
      <c r="R2530" s="3">
        <f>NZD!B2530/1</f>
        <v>0.64239999999999997</v>
      </c>
      <c r="S2530" s="3">
        <f>NZD!C2530/1</f>
        <v>0.64270000000000005</v>
      </c>
      <c r="T2530" s="4">
        <f>1/PHP!B2530</f>
        <v>1.9702492365284208E-2</v>
      </c>
      <c r="U2530" s="4">
        <f>1/PHP!C2530</f>
        <v>1.9692792437967704E-2</v>
      </c>
      <c r="V2530" s="4">
        <f>1/TWD!B2530</f>
        <v>3.2781511227667599E-2</v>
      </c>
      <c r="W2530" s="4">
        <f>1/TWD!C2530</f>
        <v>3.2781941084295482E-2</v>
      </c>
      <c r="X2530" s="4">
        <f>1/TWD!B2530</f>
        <v>3.2781511227667599E-2</v>
      </c>
      <c r="Y2530" s="4">
        <f>1/TWD!C2530</f>
        <v>3.2781941084295482E-2</v>
      </c>
      <c r="Z2530" s="4">
        <f>1/ZAR!B2530</f>
        <v>6.7792014100738929E-2</v>
      </c>
      <c r="AA2530" s="4">
        <f>1/ZAR!C2530</f>
        <v>6.7491867229998795E-2</v>
      </c>
    </row>
    <row r="2531" spans="1:27" x14ac:dyDescent="0.25">
      <c r="A2531" t="str">
        <f>"29/11/2019"</f>
        <v>29/11/2019</v>
      </c>
      <c r="B2531" s="3">
        <f>AUD!B2531</f>
        <v>0.6774</v>
      </c>
      <c r="C2531" s="3">
        <f>AUD!C2531</f>
        <v>0.67800000000000005</v>
      </c>
      <c r="D2531" s="3">
        <f>1/CAD!B2531</f>
        <v>0.75267198554869785</v>
      </c>
      <c r="E2531" s="3">
        <f>1/CAD!C2531</f>
        <v>0.75289865984038551</v>
      </c>
      <c r="F2531" s="3">
        <f>EUR!B2531/1</f>
        <v>1.1011</v>
      </c>
      <c r="G2531" s="3">
        <f>EUR!C2531/1</f>
        <v>1.1037999999999999</v>
      </c>
      <c r="H2531" s="3">
        <f>GBP!B2531/1</f>
        <v>1.2910999999999999</v>
      </c>
      <c r="I2531" s="3">
        <f>GBP!C2531/1</f>
        <v>1.2928999999999999</v>
      </c>
      <c r="J2531" s="4">
        <f>1/INR!B2531</f>
        <v>1.3942140118508192E-2</v>
      </c>
      <c r="K2531" s="4">
        <f>1/INR!C2531</f>
        <v>1.3901921940708302E-2</v>
      </c>
      <c r="L2531" s="4">
        <f>1/JPY!B2531</f>
        <v>9.1349228099022566E-3</v>
      </c>
      <c r="M2531" s="4">
        <f>1/JPY!C2531</f>
        <v>9.1608480013777912E-3</v>
      </c>
      <c r="N2531" s="5">
        <f>1/KRW!B2531</f>
        <v>8.4652501481418784E-4</v>
      </c>
      <c r="O2531" s="5">
        <f>1/KRW!C2531</f>
        <v>8.4652859785235685E-4</v>
      </c>
      <c r="P2531" s="3">
        <f>1/NOK!B2531</f>
        <v>0.10909289259804725</v>
      </c>
      <c r="Q2531" s="3">
        <f>1/NOK!C2531</f>
        <v>0.10913456291607551</v>
      </c>
      <c r="R2531" s="3">
        <f>NZD!B2531/1</f>
        <v>0.64239999999999997</v>
      </c>
      <c r="S2531" s="3">
        <f>NZD!C2531/1</f>
        <v>0.64270000000000005</v>
      </c>
      <c r="T2531" s="4">
        <f>1/PHP!B2531</f>
        <v>1.9700551615445233E-2</v>
      </c>
      <c r="U2531" s="4">
        <f>1/PHP!C2531</f>
        <v>1.9686977064671721E-2</v>
      </c>
      <c r="V2531" s="4">
        <f>1/TWD!B2531</f>
        <v>3.2777213281326822E-2</v>
      </c>
      <c r="W2531" s="4">
        <f>1/TWD!C2531</f>
        <v>3.2777643025245343E-2</v>
      </c>
      <c r="X2531" s="4">
        <f>1/TWD!B2531</f>
        <v>3.2777213281326822E-2</v>
      </c>
      <c r="Y2531" s="4">
        <f>1/TWD!C2531</f>
        <v>3.2777643025245343E-2</v>
      </c>
      <c r="Z2531" s="4">
        <f>1/ZAR!B2531</f>
        <v>6.7919094774304856E-2</v>
      </c>
      <c r="AA2531" s="4">
        <f>1/ZAR!C2531</f>
        <v>6.7618281278526468E-2</v>
      </c>
    </row>
    <row r="2532" spans="1:27" x14ac:dyDescent="0.25">
      <c r="A2532" t="str">
        <f>"02/12/2019"</f>
        <v>02/12/2019</v>
      </c>
      <c r="B2532" s="3">
        <f>AUD!B2532</f>
        <v>0.6784</v>
      </c>
      <c r="C2532" s="3">
        <f>AUD!C2532</f>
        <v>0.67900000000000005</v>
      </c>
      <c r="D2532" s="3">
        <f>1/CAD!B2532</f>
        <v>0.75193623580720348</v>
      </c>
      <c r="E2532" s="3">
        <f>1/CAD!C2532</f>
        <v>0.75221904618624946</v>
      </c>
      <c r="F2532" s="3">
        <f>EUR!B2532/1</f>
        <v>1.1008</v>
      </c>
      <c r="G2532" s="3">
        <f>EUR!C2532/1</f>
        <v>1.1036999999999999</v>
      </c>
      <c r="H2532" s="3">
        <f>GBP!B2532/1</f>
        <v>1.2915000000000001</v>
      </c>
      <c r="I2532" s="3">
        <f>GBP!C2532/1</f>
        <v>1.2934000000000001</v>
      </c>
      <c r="J2532" s="4">
        <f>1/INR!B2532</f>
        <v>1.3953326124114835E-2</v>
      </c>
      <c r="K2532" s="4">
        <f>1/INR!C2532</f>
        <v>1.3910624239262736E-2</v>
      </c>
      <c r="L2532" s="4">
        <f>1/JPY!B2532</f>
        <v>9.1274187659729829E-3</v>
      </c>
      <c r="M2532" s="4">
        <f>1/JPY!C2532</f>
        <v>9.1525975987244938E-3</v>
      </c>
      <c r="N2532" s="5">
        <f>1/KRW!B2532</f>
        <v>8.4516565246788369E-4</v>
      </c>
      <c r="O2532" s="5">
        <f>1/KRW!C2532</f>
        <v>8.4516979545707716E-4</v>
      </c>
      <c r="P2532" s="3">
        <f>1/NOK!B2532</f>
        <v>0.10865313572949716</v>
      </c>
      <c r="Q2532" s="3">
        <f>1/NOK!C2532</f>
        <v>0.1087015598673841</v>
      </c>
      <c r="R2532" s="3">
        <f>NZD!B2532/1</f>
        <v>0.64690000000000003</v>
      </c>
      <c r="S2532" s="3">
        <f>NZD!C2532/1</f>
        <v>0.6472</v>
      </c>
      <c r="T2532" s="4">
        <f>1/PHP!B2532</f>
        <v>1.9557989438685704E-2</v>
      </c>
      <c r="U2532" s="4">
        <f>1/PHP!C2532</f>
        <v>1.9535065442469232E-2</v>
      </c>
      <c r="V2532" s="4">
        <f>1/TWD!B2532</f>
        <v>3.2776138970829233E-2</v>
      </c>
      <c r="W2532" s="4">
        <f>1/TWD!C2532</f>
        <v>3.2776568686577343E-2</v>
      </c>
      <c r="X2532" s="4">
        <f>1/TWD!B2532</f>
        <v>3.2776138970829233E-2</v>
      </c>
      <c r="Y2532" s="4">
        <f>1/TWD!C2532</f>
        <v>3.2776568686577343E-2</v>
      </c>
      <c r="Z2532" s="4">
        <f>1/ZAR!B2532</f>
        <v>6.8007780090042297E-2</v>
      </c>
      <c r="AA2532" s="4">
        <f>1/ZAR!C2532</f>
        <v>6.7686476242046836E-2</v>
      </c>
    </row>
    <row r="2533" spans="1:27" x14ac:dyDescent="0.25">
      <c r="A2533" t="str">
        <f>"03/12/2019"</f>
        <v>03/12/2019</v>
      </c>
      <c r="B2533" s="3">
        <f>AUD!B2533</f>
        <v>0.68489999999999995</v>
      </c>
      <c r="C2533" s="3">
        <f>AUD!C2533</f>
        <v>0.68540000000000001</v>
      </c>
      <c r="D2533" s="3">
        <f>1/CAD!B2533</f>
        <v>0.75199278086930366</v>
      </c>
      <c r="E2533" s="3">
        <f>1/CAD!C2533</f>
        <v>0.75227563379222151</v>
      </c>
      <c r="F2533" s="3">
        <f>EUR!B2533/1</f>
        <v>1.1076999999999999</v>
      </c>
      <c r="G2533" s="3">
        <f>EUR!C2533/1</f>
        <v>1.1105</v>
      </c>
      <c r="H2533" s="3">
        <f>GBP!B2533/1</f>
        <v>1.2994000000000001</v>
      </c>
      <c r="I2533" s="3">
        <f>GBP!C2533/1</f>
        <v>1.3011999999999999</v>
      </c>
      <c r="J2533" s="4">
        <f>1/INR!B2533</f>
        <v>1.3951379442642393E-2</v>
      </c>
      <c r="K2533" s="4">
        <f>1/INR!C2533</f>
        <v>1.3910624239262736E-2</v>
      </c>
      <c r="L2533" s="4">
        <f>1/JPY!B2533</f>
        <v>9.1835797593902094E-3</v>
      </c>
      <c r="M2533" s="4">
        <f>1/JPY!C2533</f>
        <v>9.2085779745548577E-3</v>
      </c>
      <c r="N2533" s="5">
        <f>1/KRW!B2533</f>
        <v>8.4238901524724122E-4</v>
      </c>
      <c r="O2533" s="5">
        <f>1/KRW!C2533</f>
        <v>8.4239327298427926E-4</v>
      </c>
      <c r="P2533" s="3">
        <f>1/NOK!B2533</f>
        <v>0.10916911387430268</v>
      </c>
      <c r="Q2533" s="3">
        <f>1/NOK!C2533</f>
        <v>0.10921561346410083</v>
      </c>
      <c r="R2533" s="3">
        <f>NZD!B2533/1</f>
        <v>0.65229999999999999</v>
      </c>
      <c r="S2533" s="3">
        <f>NZD!C2533/1</f>
        <v>0.65259999999999996</v>
      </c>
      <c r="T2533" s="4">
        <f>1/PHP!B2533</f>
        <v>1.9607458677280837E-2</v>
      </c>
      <c r="U2533" s="4">
        <f>1/PHP!C2533</f>
        <v>1.9582501077037559E-2</v>
      </c>
      <c r="V2533" s="4">
        <f>1/TWD!B2533</f>
        <v>3.2779362113613271E-2</v>
      </c>
      <c r="W2533" s="4">
        <f>1/TWD!C2533</f>
        <v>3.2779791913880932E-2</v>
      </c>
      <c r="X2533" s="4">
        <f>1/TWD!B2533</f>
        <v>3.2779362113613271E-2</v>
      </c>
      <c r="Y2533" s="4">
        <f>1/TWD!C2533</f>
        <v>3.2779791913880932E-2</v>
      </c>
      <c r="Z2533" s="4">
        <f>1/ZAR!B2533</f>
        <v>6.826684142978072E-2</v>
      </c>
      <c r="AA2533" s="4">
        <f>1/ZAR!C2533</f>
        <v>6.7958789789871424E-2</v>
      </c>
    </row>
    <row r="2534" spans="1:27" x14ac:dyDescent="0.25">
      <c r="A2534" t="str">
        <f>"04/12/2019"</f>
        <v>04/12/2019</v>
      </c>
      <c r="B2534" s="3">
        <f>AUD!B2534</f>
        <v>0.68310000000000004</v>
      </c>
      <c r="C2534" s="3">
        <f>AUD!C2534</f>
        <v>0.68359999999999999</v>
      </c>
      <c r="D2534" s="3">
        <f>1/CAD!B2534</f>
        <v>0.75295534974775991</v>
      </c>
      <c r="E2534" s="3">
        <f>1/CAD!C2534</f>
        <v>0.75318219477291548</v>
      </c>
      <c r="F2534" s="3">
        <f>EUR!B2534/1</f>
        <v>1.107</v>
      </c>
      <c r="G2534" s="3">
        <f>EUR!C2534/1</f>
        <v>1.1095999999999999</v>
      </c>
      <c r="H2534" s="3">
        <f>GBP!B2534/1</f>
        <v>1.3048</v>
      </c>
      <c r="I2534" s="3">
        <f>GBP!C2534/1</f>
        <v>1.3064</v>
      </c>
      <c r="J2534" s="4">
        <f>1/INR!B2534</f>
        <v>1.3979659595288855E-2</v>
      </c>
      <c r="K2534" s="4">
        <f>1/INR!C2534</f>
        <v>1.394019655677145E-2</v>
      </c>
      <c r="L2534" s="4">
        <f>1/JPY!B2534</f>
        <v>9.2030185900975527E-3</v>
      </c>
      <c r="M2534" s="4">
        <f>1/JPY!C2534</f>
        <v>9.2259348409125929E-3</v>
      </c>
      <c r="N2534" s="5">
        <f>1/KRW!B2534</f>
        <v>8.3710028461409685E-4</v>
      </c>
      <c r="O2534" s="5">
        <f>1/KRW!C2534</f>
        <v>8.3710343794196455E-4</v>
      </c>
      <c r="P2534" s="3">
        <f>1/NOK!B2534</f>
        <v>0.10868265750834138</v>
      </c>
      <c r="Q2534" s="3">
        <f>1/NOK!C2534</f>
        <v>0.10872401496042447</v>
      </c>
      <c r="R2534" s="3">
        <f>NZD!B2534/1</f>
        <v>0.65110000000000001</v>
      </c>
      <c r="S2534" s="3">
        <f>NZD!C2534/1</f>
        <v>0.65139999999999998</v>
      </c>
      <c r="T2534" s="4">
        <f>1/PHP!B2534</f>
        <v>1.9580967299784608E-2</v>
      </c>
      <c r="U2534" s="4">
        <f>1/PHP!C2534</f>
        <v>1.9554165037152915E-2</v>
      </c>
      <c r="V2534" s="4">
        <f>1/TWD!B2534</f>
        <v>3.2777213281326822E-2</v>
      </c>
      <c r="W2534" s="4">
        <f>1/TWD!C2534</f>
        <v>3.2777643025245343E-2</v>
      </c>
      <c r="X2534" s="4">
        <f>1/TWD!B2534</f>
        <v>3.2777213281326822E-2</v>
      </c>
      <c r="Y2534" s="4">
        <f>1/TWD!C2534</f>
        <v>3.2777643025245343E-2</v>
      </c>
      <c r="Z2534" s="4">
        <f>1/ZAR!B2534</f>
        <v>6.8606398232699178E-2</v>
      </c>
      <c r="AA2534" s="4">
        <f>1/ZAR!C2534</f>
        <v>6.8308810470374473E-2</v>
      </c>
    </row>
    <row r="2535" spans="1:27" x14ac:dyDescent="0.25">
      <c r="A2535" t="str">
        <f>"05/12/2019"</f>
        <v>05/12/2019</v>
      </c>
      <c r="B2535" s="3">
        <f>AUD!B2535</f>
        <v>0.68289999999999995</v>
      </c>
      <c r="C2535" s="3">
        <f>AUD!C2535</f>
        <v>0.68340000000000001</v>
      </c>
      <c r="D2535" s="3">
        <f>1/CAD!B2535</f>
        <v>0.75889807998785763</v>
      </c>
      <c r="E2535" s="3">
        <f>1/CAD!C2535</f>
        <v>0.75907089722180054</v>
      </c>
      <c r="F2535" s="3">
        <f>EUR!B2535/1</f>
        <v>1.1094999999999999</v>
      </c>
      <c r="G2535" s="3">
        <f>EUR!C2535/1</f>
        <v>1.1121000000000001</v>
      </c>
      <c r="H2535" s="3">
        <f>GBP!B2535/1</f>
        <v>1.3138000000000001</v>
      </c>
      <c r="I2535" s="3">
        <f>GBP!C2535/1</f>
        <v>1.3153999999999999</v>
      </c>
      <c r="J2535" s="4">
        <f>1/INR!B2535</f>
        <v>1.4026229048320359E-2</v>
      </c>
      <c r="K2535" s="4">
        <f>1/INR!C2535</f>
        <v>1.3984547075481595E-2</v>
      </c>
      <c r="L2535" s="4">
        <f>1/JPY!B2535</f>
        <v>9.1818933063997805E-3</v>
      </c>
      <c r="M2535" s="4">
        <f>1/JPY!C2535</f>
        <v>9.2047128129602359E-3</v>
      </c>
      <c r="N2535" s="5">
        <f>1/KRW!B2535</f>
        <v>8.4005376344086012E-4</v>
      </c>
      <c r="O2535" s="5">
        <f>1/KRW!C2535</f>
        <v>8.400565862116472E-4</v>
      </c>
      <c r="P2535" s="3">
        <f>1/NOK!B2535</f>
        <v>0.10928364570242065</v>
      </c>
      <c r="Q2535" s="3">
        <f>1/NOK!C2535</f>
        <v>0.10932426670748106</v>
      </c>
      <c r="R2535" s="3">
        <f>NZD!B2535/1</f>
        <v>0.65269999999999995</v>
      </c>
      <c r="S2535" s="3">
        <f>NZD!C2535/1</f>
        <v>0.65300000000000002</v>
      </c>
      <c r="T2535" s="4">
        <f>1/PHP!B2535</f>
        <v>1.968503937007874E-2</v>
      </c>
      <c r="U2535" s="4">
        <f>1/PHP!C2535</f>
        <v>1.9657951641438964E-2</v>
      </c>
      <c r="V2535" s="4">
        <f>1/TWD!B2535</f>
        <v>3.2786885245901641E-2</v>
      </c>
      <c r="W2535" s="4">
        <f>1/TWD!C2535</f>
        <v>3.2787315243478603E-2</v>
      </c>
      <c r="X2535" s="4">
        <f>1/TWD!B2535</f>
        <v>3.2786885245901641E-2</v>
      </c>
      <c r="Y2535" s="4">
        <f>1/TWD!C2535</f>
        <v>3.2787315243478603E-2</v>
      </c>
      <c r="Z2535" s="4">
        <f>1/ZAR!B2535</f>
        <v>6.8313943559019832E-2</v>
      </c>
      <c r="AA2535" s="4">
        <f>1/ZAR!C2535</f>
        <v>6.8016106213951461E-2</v>
      </c>
    </row>
    <row r="2536" spans="1:27" x14ac:dyDescent="0.25">
      <c r="A2536" t="str">
        <f>"06/12/2019"</f>
        <v>06/12/2019</v>
      </c>
      <c r="B2536" s="3">
        <f>AUD!B2536</f>
        <v>0.68510000000000004</v>
      </c>
      <c r="C2536" s="3">
        <f>AUD!C2536</f>
        <v>0.68559999999999999</v>
      </c>
      <c r="D2536" s="3">
        <f>1/CAD!B2536</f>
        <v>0.75895567698846378</v>
      </c>
      <c r="E2536" s="3">
        <f>1/CAD!C2536</f>
        <v>0.75912852045851364</v>
      </c>
      <c r="F2536" s="3">
        <f>EUR!B2536/1</f>
        <v>1.1094999999999999</v>
      </c>
      <c r="G2536" s="3">
        <f>EUR!C2536/1</f>
        <v>1.1121000000000001</v>
      </c>
      <c r="H2536" s="3">
        <f>GBP!B2536/1</f>
        <v>1.3132999999999999</v>
      </c>
      <c r="I2536" s="3">
        <f>GBP!C2536/1</f>
        <v>1.3149999999999999</v>
      </c>
      <c r="J2536" s="4">
        <f>1/INR!B2536</f>
        <v>1.4043957587248086E-2</v>
      </c>
      <c r="K2536" s="4">
        <f>1/INR!C2536</f>
        <v>1.4001680201624194E-2</v>
      </c>
      <c r="L2536" s="4">
        <f>1/JPY!B2536</f>
        <v>9.2089511004696568E-3</v>
      </c>
      <c r="M2536" s="4">
        <f>1/JPY!C2536</f>
        <v>9.2323145781940119E-3</v>
      </c>
      <c r="N2536" s="5">
        <f>1/KRW!B2536</f>
        <v>8.4033613445378156E-4</v>
      </c>
      <c r="O2536" s="5">
        <f>1/KRW!C2536</f>
        <v>8.4033860603791694E-4</v>
      </c>
      <c r="P2536" s="3">
        <f>1/NOK!B2536</f>
        <v>0.10944391546551969</v>
      </c>
      <c r="Q2536" s="3">
        <f>1/NOK!C2536</f>
        <v>0.10948585442760796</v>
      </c>
      <c r="R2536" s="3">
        <f>NZD!B2536/1</f>
        <v>0.65700000000000003</v>
      </c>
      <c r="S2536" s="3">
        <f>NZD!C2536/1</f>
        <v>0.6573</v>
      </c>
      <c r="T2536" s="4">
        <f>1/PHP!B2536</f>
        <v>1.9700551615445233E-2</v>
      </c>
      <c r="U2536" s="4">
        <f>1/PHP!C2536</f>
        <v>1.9672647151400692E-2</v>
      </c>
      <c r="V2536" s="4">
        <f>1/TWD!B2536</f>
        <v>3.2787960260992163E-2</v>
      </c>
      <c r="W2536" s="4">
        <f>1/TWD!C2536</f>
        <v>3.2788390286767263E-2</v>
      </c>
      <c r="X2536" s="4">
        <f>1/TWD!B2536</f>
        <v>3.2787960260992163E-2</v>
      </c>
      <c r="Y2536" s="4">
        <f>1/TWD!C2536</f>
        <v>3.2788390286767263E-2</v>
      </c>
      <c r="Z2536" s="4">
        <f>1/ZAR!B2536</f>
        <v>6.8261715416908425E-2</v>
      </c>
      <c r="AA2536" s="4">
        <f>1/ZAR!C2536</f>
        <v>6.796294660151285E-2</v>
      </c>
    </row>
    <row r="2537" spans="1:27" x14ac:dyDescent="0.25">
      <c r="A2537" t="str">
        <f>"09/12/2019"</f>
        <v>09/12/2019</v>
      </c>
      <c r="B2537" s="3">
        <f>AUD!B2537</f>
        <v>0.68240000000000001</v>
      </c>
      <c r="C2537" s="3">
        <f>AUD!C2537</f>
        <v>0.68289999999999995</v>
      </c>
      <c r="D2537" s="3">
        <f>1/CAD!B2537</f>
        <v>0.75403408234052172</v>
      </c>
      <c r="E2537" s="3">
        <f>1/CAD!C2537</f>
        <v>0.75426157791522097</v>
      </c>
      <c r="F2537" s="3">
        <f>EUR!B2537/1</f>
        <v>1.1073</v>
      </c>
      <c r="G2537" s="3">
        <f>EUR!C2537/1</f>
        <v>1.1101000000000001</v>
      </c>
      <c r="H2537" s="3">
        <f>GBP!B2537/1</f>
        <v>1.3161</v>
      </c>
      <c r="I2537" s="3">
        <f>GBP!C2537/1</f>
        <v>1.3179000000000001</v>
      </c>
      <c r="J2537" s="4">
        <f>1/INR!B2537</f>
        <v>1.4074595355383534E-2</v>
      </c>
      <c r="K2537" s="4">
        <f>1/INR!C2537</f>
        <v>1.4030656985513349E-2</v>
      </c>
      <c r="L2537" s="4">
        <f>1/JPY!B2537</f>
        <v>9.2174393953359766E-3</v>
      </c>
      <c r="M2537" s="4">
        <f>1/JPY!C2537</f>
        <v>9.2433828932712795E-3</v>
      </c>
      <c r="N2537" s="5">
        <f>1/KRW!B2537</f>
        <v>8.4033613445378156E-4</v>
      </c>
      <c r="O2537" s="5">
        <f>1/KRW!C2537</f>
        <v>8.4033931220748313E-4</v>
      </c>
      <c r="P2537" s="3">
        <f>1/NOK!B2537</f>
        <v>0.10934100178225833</v>
      </c>
      <c r="Q2537" s="3">
        <f>1/NOK!C2537</f>
        <v>0.10938645139413032</v>
      </c>
      <c r="R2537" s="3">
        <f>NZD!B2537/1</f>
        <v>0.65569999999999995</v>
      </c>
      <c r="S2537" s="3">
        <f>NZD!C2537/1</f>
        <v>0.65610000000000002</v>
      </c>
      <c r="T2537" s="4">
        <f>1/PHP!B2537</f>
        <v>1.9692792437967704E-2</v>
      </c>
      <c r="U2537" s="4">
        <f>1/PHP!C2537</f>
        <v>1.9667617268167962E-2</v>
      </c>
      <c r="V2537" s="4">
        <f>1/TWD!B2537</f>
        <v>3.2784735427185102E-2</v>
      </c>
      <c r="W2537" s="4">
        <f>1/TWD!C2537</f>
        <v>3.2785165368374121E-2</v>
      </c>
      <c r="X2537" s="4">
        <f>1/TWD!B2537</f>
        <v>3.2784735427185102E-2</v>
      </c>
      <c r="Y2537" s="4">
        <f>1/TWD!C2537</f>
        <v>3.2785165368374121E-2</v>
      </c>
      <c r="Z2537" s="4">
        <f>1/ZAR!B2537</f>
        <v>6.8340554651941554E-2</v>
      </c>
      <c r="AA2537" s="4">
        <f>1/ZAR!C2537</f>
        <v>6.8023508924684381E-2</v>
      </c>
    </row>
    <row r="2538" spans="1:27" x14ac:dyDescent="0.25">
      <c r="A2538" t="str">
        <f>"10/12/2019"</f>
        <v>10/12/2019</v>
      </c>
      <c r="B2538" s="3">
        <f>AUD!B2538</f>
        <v>0.68130000000000002</v>
      </c>
      <c r="C2538" s="3">
        <f>AUD!C2538</f>
        <v>0.68179999999999996</v>
      </c>
      <c r="D2538" s="3">
        <f>1/CAD!B2538</f>
        <v>0.75517293460202384</v>
      </c>
      <c r="E2538" s="3">
        <f>1/CAD!C2538</f>
        <v>0.75540111799365461</v>
      </c>
      <c r="F2538" s="3">
        <f>EUR!B2538/1</f>
        <v>1.1083000000000001</v>
      </c>
      <c r="G2538" s="3">
        <f>EUR!C2538/1</f>
        <v>1.1111</v>
      </c>
      <c r="H2538" s="3">
        <f>GBP!B2538/1</f>
        <v>1.3169</v>
      </c>
      <c r="I2538" s="3">
        <f>GBP!C2538/1</f>
        <v>1.3188</v>
      </c>
      <c r="J2538" s="4">
        <f>1/INR!B2538</f>
        <v>1.4098406880022556E-2</v>
      </c>
      <c r="K2538" s="4">
        <f>1/INR!C2538</f>
        <v>1.4053826154170473E-2</v>
      </c>
      <c r="L2538" s="4">
        <f>1/JPY!B2538</f>
        <v>9.2097992263768646E-3</v>
      </c>
      <c r="M2538" s="4">
        <f>1/JPY!C2538</f>
        <v>9.2352220285904004E-3</v>
      </c>
      <c r="N2538" s="5">
        <f>1/KRW!B2538</f>
        <v>8.3927822073017204E-4</v>
      </c>
      <c r="O2538" s="5">
        <f>1/KRW!C2538</f>
        <v>8.392812496092097E-4</v>
      </c>
      <c r="P2538" s="3">
        <f>1/NOK!B2538</f>
        <v>0.1087890688743595</v>
      </c>
      <c r="Q2538" s="3">
        <f>1/NOK!C2538</f>
        <v>0.10884353741496598</v>
      </c>
      <c r="R2538" s="3">
        <f>NZD!B2538/1</f>
        <v>0.65449999999999997</v>
      </c>
      <c r="S2538" s="3">
        <f>NZD!C2538/1</f>
        <v>0.65480000000000005</v>
      </c>
      <c r="T2538" s="4">
        <f>1/PHP!B2538</f>
        <v>1.9719976336028396E-2</v>
      </c>
      <c r="U2538" s="4">
        <f>1/PHP!C2538</f>
        <v>1.9693180251678842E-2</v>
      </c>
      <c r="V2538" s="4">
        <f>1/TWD!B2538</f>
        <v>3.2783660623545222E-2</v>
      </c>
      <c r="W2538" s="4">
        <f>1/TWD!C2538</f>
        <v>3.2784090536544422E-2</v>
      </c>
      <c r="X2538" s="4">
        <f>1/TWD!B2538</f>
        <v>3.2783660623545222E-2</v>
      </c>
      <c r="Y2538" s="4">
        <f>1/TWD!C2538</f>
        <v>3.2784090536544422E-2</v>
      </c>
      <c r="Z2538" s="4">
        <f>1/ZAR!B2538</f>
        <v>6.7745628713307277E-2</v>
      </c>
      <c r="AA2538" s="4">
        <f>1/ZAR!C2538</f>
        <v>6.7442252571235872E-2</v>
      </c>
    </row>
    <row r="2539" spans="1:27" x14ac:dyDescent="0.25">
      <c r="A2539" t="str">
        <f>"11/12/2019"</f>
        <v>11/12/2019</v>
      </c>
      <c r="B2539" s="3">
        <f>AUD!B2539</f>
        <v>0.68389999999999995</v>
      </c>
      <c r="C2539" s="3">
        <f>AUD!C2539</f>
        <v>0.68440000000000001</v>
      </c>
      <c r="D2539" s="3">
        <f>1/CAD!B2539</f>
        <v>0.75562943932295612</v>
      </c>
      <c r="E2539" s="3">
        <f>1/CAD!C2539</f>
        <v>0.75591503515004921</v>
      </c>
      <c r="F2539" s="3">
        <f>EUR!B2539/1</f>
        <v>1.1083000000000001</v>
      </c>
      <c r="G2539" s="3">
        <f>EUR!C2539/1</f>
        <v>1.1112</v>
      </c>
      <c r="H2539" s="3">
        <f>GBP!B2539/1</f>
        <v>1.3150999999999999</v>
      </c>
      <c r="I2539" s="3">
        <f>GBP!C2539/1</f>
        <v>1.3169999999999999</v>
      </c>
      <c r="J2539" s="4">
        <f>1/INR!B2539</f>
        <v>1.411532218222881E-2</v>
      </c>
      <c r="K2539" s="4">
        <f>1/INR!C2539</f>
        <v>1.4072119613016711E-2</v>
      </c>
      <c r="L2539" s="4">
        <f>1/JPY!B2539</f>
        <v>9.2004784248780943E-3</v>
      </c>
      <c r="M2539" s="4">
        <f>1/JPY!C2539</f>
        <v>9.2263178872470149E-3</v>
      </c>
      <c r="N2539" s="5">
        <f>1/KRW!B2539</f>
        <v>8.3696016069635085E-4</v>
      </c>
      <c r="O2539" s="5">
        <f>1/KRW!C2539</f>
        <v>8.3696317286712711E-4</v>
      </c>
      <c r="P2539" s="3">
        <f>1/NOK!B2539</f>
        <v>0.10923828146335603</v>
      </c>
      <c r="Q2539" s="3">
        <f>1/NOK!C2539</f>
        <v>0.1092979790803668</v>
      </c>
      <c r="R2539" s="3">
        <f>NZD!B2539/1</f>
        <v>0.65480000000000005</v>
      </c>
      <c r="S2539" s="3">
        <f>NZD!C2539/1</f>
        <v>0.65510000000000002</v>
      </c>
      <c r="T2539" s="4">
        <f>1/PHP!B2539</f>
        <v>1.9669551534225019E-2</v>
      </c>
      <c r="U2539" s="4">
        <f>1/PHP!C2539</f>
        <v>1.9641348967847114E-2</v>
      </c>
      <c r="V2539" s="4">
        <f>1/TWD!B2539</f>
        <v>3.2781511227667599E-2</v>
      </c>
      <c r="W2539" s="4">
        <f>1/TWD!C2539</f>
        <v>3.2781941084295482E-2</v>
      </c>
      <c r="X2539" s="4">
        <f>1/TWD!B2539</f>
        <v>3.2781511227667599E-2</v>
      </c>
      <c r="Y2539" s="4">
        <f>1/TWD!C2539</f>
        <v>3.2781941084295482E-2</v>
      </c>
      <c r="Z2539" s="4">
        <f>1/ZAR!B2539</f>
        <v>6.7662203216661138E-2</v>
      </c>
      <c r="AA2539" s="4">
        <f>1/ZAR!C2539</f>
        <v>6.7368194128188202E-2</v>
      </c>
    </row>
    <row r="2540" spans="1:27" x14ac:dyDescent="0.25">
      <c r="A2540" t="str">
        <f>"12/12/2019"</f>
        <v>12/12/2019</v>
      </c>
      <c r="B2540" s="3">
        <f>AUD!B2540</f>
        <v>0.68910000000000005</v>
      </c>
      <c r="C2540" s="3">
        <f>AUD!C2540</f>
        <v>0.68959999999999999</v>
      </c>
      <c r="D2540" s="3">
        <f>1/CAD!B2540</f>
        <v>0.75935910091882453</v>
      </c>
      <c r="E2540" s="3">
        <f>1/CAD!C2540</f>
        <v>0.75964752354907317</v>
      </c>
      <c r="F2540" s="3">
        <f>EUR!B2540/1</f>
        <v>1.1133</v>
      </c>
      <c r="G2540" s="3">
        <f>EUR!C2540/1</f>
        <v>1.1161000000000001</v>
      </c>
      <c r="H2540" s="3">
        <f>GBP!B2540/1</f>
        <v>1.3183</v>
      </c>
      <c r="I2540" s="3">
        <f>GBP!C2540/1</f>
        <v>1.3201000000000001</v>
      </c>
      <c r="J2540" s="4">
        <f>1/INR!B2540</f>
        <v>1.411631846414455E-2</v>
      </c>
      <c r="K2540" s="4">
        <f>1/INR!C2540</f>
        <v>1.4072614691809739E-2</v>
      </c>
      <c r="L2540" s="4">
        <f>1/JPY!B2540</f>
        <v>9.2047128129602359E-3</v>
      </c>
      <c r="M2540" s="4">
        <f>1/JPY!C2540</f>
        <v>9.2297326607934799E-3</v>
      </c>
      <c r="N2540" s="5">
        <f>1/KRW!B2540</f>
        <v>8.4245998315080029E-4</v>
      </c>
      <c r="O2540" s="5">
        <f>1/KRW!C2540</f>
        <v>8.424636738088491E-4</v>
      </c>
      <c r="P2540" s="3">
        <f>1/NOK!B2540</f>
        <v>0.10995414911981705</v>
      </c>
      <c r="Q2540" s="3">
        <f>1/NOK!C2540</f>
        <v>0.11001100110011001</v>
      </c>
      <c r="R2540" s="3">
        <f>NZD!B2540/1</f>
        <v>0.65890000000000004</v>
      </c>
      <c r="S2540" s="3">
        <f>NZD!C2540/1</f>
        <v>0.65920000000000001</v>
      </c>
      <c r="T2540" s="4">
        <f>1/PHP!B2540</f>
        <v>1.9712201852946976E-2</v>
      </c>
      <c r="U2540" s="4">
        <f>1/PHP!C2540</f>
        <v>1.968503937007874E-2</v>
      </c>
      <c r="V2540" s="4">
        <f>1/TWD!B2540</f>
        <v>3.2888245740972176E-2</v>
      </c>
      <c r="W2540" s="4">
        <f>1/TWD!C2540</f>
        <v>3.288867840134712E-2</v>
      </c>
      <c r="X2540" s="4">
        <f>1/TWD!B2540</f>
        <v>3.2888245740972176E-2</v>
      </c>
      <c r="Y2540" s="4">
        <f>1/TWD!C2540</f>
        <v>3.288867840134712E-2</v>
      </c>
      <c r="Z2540" s="4">
        <f>1/ZAR!B2540</f>
        <v>6.8227251328725716E-2</v>
      </c>
      <c r="AA2540" s="4">
        <f>1/ZAR!C2540</f>
        <v>6.7932475119730995E-2</v>
      </c>
    </row>
    <row r="2541" spans="1:27" x14ac:dyDescent="0.25">
      <c r="A2541" t="str">
        <f>"13/12/2019"</f>
        <v>13/12/2019</v>
      </c>
      <c r="B2541" s="3">
        <f>AUD!B2541</f>
        <v>0.69269999999999998</v>
      </c>
      <c r="C2541" s="3">
        <f>AUD!C2541</f>
        <v>0.69320000000000004</v>
      </c>
      <c r="D2541" s="3">
        <f>1/CAD!B2541</f>
        <v>0.75970523436906479</v>
      </c>
      <c r="E2541" s="3">
        <f>1/CAD!C2541</f>
        <v>0.75987841945288748</v>
      </c>
      <c r="F2541" s="3">
        <f>EUR!B2541/1</f>
        <v>1.1174999999999999</v>
      </c>
      <c r="G2541" s="3">
        <f>EUR!C2541/1</f>
        <v>1.1202000000000001</v>
      </c>
      <c r="H2541" s="3">
        <f>GBP!B2541/1</f>
        <v>1.3461000000000001</v>
      </c>
      <c r="I2541" s="3">
        <f>GBP!C2541/1</f>
        <v>1.3478000000000001</v>
      </c>
      <c r="J2541" s="4">
        <f>1/INR!B2541</f>
        <v>1.416029453412631E-2</v>
      </c>
      <c r="K2541" s="4">
        <f>1/INR!C2541</f>
        <v>1.4115820305607509E-2</v>
      </c>
      <c r="L2541" s="4">
        <f>1/JPY!B2541</f>
        <v>9.1240875912408769E-3</v>
      </c>
      <c r="M2541" s="4">
        <f>1/JPY!C2541</f>
        <v>9.1477917230780494E-3</v>
      </c>
      <c r="N2541" s="5">
        <f>1/KRW!B2541</f>
        <v>8.5455477696120316E-4</v>
      </c>
      <c r="O2541" s="5">
        <f>1/KRW!C2541</f>
        <v>8.5455857435018509E-4</v>
      </c>
      <c r="P2541" s="3">
        <f>1/NOK!B2541</f>
        <v>0.11064027527300488</v>
      </c>
      <c r="Q2541" s="3">
        <f>1/NOK!C2541</f>
        <v>0.11068068622025456</v>
      </c>
      <c r="R2541" s="3">
        <f>NZD!B2541/1</f>
        <v>0.66159999999999997</v>
      </c>
      <c r="S2541" s="3">
        <f>NZD!C2541/1</f>
        <v>0.66190000000000004</v>
      </c>
      <c r="T2541" s="4">
        <f>1/PHP!B2541</f>
        <v>1.9762845849802372E-2</v>
      </c>
      <c r="U2541" s="4">
        <f>1/PHP!C2541</f>
        <v>1.9737491364847527E-2</v>
      </c>
      <c r="V2541" s="4">
        <f>1/TWD!B2541</f>
        <v>3.3089573475397899E-2</v>
      </c>
      <c r="W2541" s="4">
        <f>1/TWD!C2541</f>
        <v>3.3090011449143961E-2</v>
      </c>
      <c r="X2541" s="4">
        <f>1/TWD!B2541</f>
        <v>3.3089573475397899E-2</v>
      </c>
      <c r="Y2541" s="4">
        <f>1/TWD!C2541</f>
        <v>3.3090011449143961E-2</v>
      </c>
      <c r="Z2541" s="4">
        <f>1/ZAR!B2541</f>
        <v>6.9213732004429679E-2</v>
      </c>
      <c r="AA2541" s="4">
        <f>1/ZAR!C2541</f>
        <v>6.8886653899673481E-2</v>
      </c>
    </row>
    <row r="2542" spans="1:27" x14ac:dyDescent="0.25">
      <c r="A2542" t="str">
        <f>"16/12/2019"</f>
        <v>16/12/2019</v>
      </c>
      <c r="B2542" s="3">
        <f>AUD!B2542</f>
        <v>0.68869999999999998</v>
      </c>
      <c r="C2542" s="3">
        <f>AUD!C2542</f>
        <v>0.68930000000000002</v>
      </c>
      <c r="D2542" s="3">
        <f>1/CAD!B2542</f>
        <v>0.76161462300076166</v>
      </c>
      <c r="E2542" s="3">
        <f>1/CAD!C2542</f>
        <v>0.76184671644065216</v>
      </c>
      <c r="F2542" s="3">
        <f>EUR!B2542/1</f>
        <v>1.1143000000000001</v>
      </c>
      <c r="G2542" s="3">
        <f>EUR!C2542/1</f>
        <v>1.1172</v>
      </c>
      <c r="H2542" s="3">
        <f>GBP!B2542/1</f>
        <v>1.3368</v>
      </c>
      <c r="I2542" s="3">
        <f>GBP!C2542/1</f>
        <v>1.3386</v>
      </c>
      <c r="J2542" s="4">
        <f>1/INR!B2542</f>
        <v>1.408252358822701E-2</v>
      </c>
      <c r="K2542" s="4">
        <f>1/INR!C2542</f>
        <v>1.4035087719298246E-2</v>
      </c>
      <c r="L2542" s="4">
        <f>1/JPY!B2542</f>
        <v>9.136592051164915E-3</v>
      </c>
      <c r="M2542" s="4">
        <f>1/JPY!C2542</f>
        <v>9.1616201409057182E-3</v>
      </c>
      <c r="N2542" s="5">
        <f>1/KRW!B2542</f>
        <v>8.5295121119071987E-4</v>
      </c>
      <c r="O2542" s="5">
        <f>1/KRW!C2542</f>
        <v>8.5295579462769196E-4</v>
      </c>
      <c r="P2542" s="3">
        <f>1/NOK!B2542</f>
        <v>0.11113827824579342</v>
      </c>
      <c r="Q2542" s="3">
        <f>1/NOK!C2542</f>
        <v>0.1111790538662516</v>
      </c>
      <c r="R2542" s="3">
        <f>NZD!B2542/1</f>
        <v>0.6613</v>
      </c>
      <c r="S2542" s="3">
        <f>NZD!C2542/1</f>
        <v>0.66169999999999995</v>
      </c>
      <c r="T2542" s="4">
        <f>1/PHP!B2542</f>
        <v>1.9741387819563715E-2</v>
      </c>
      <c r="U2542" s="4">
        <f>1/PHP!C2542</f>
        <v>1.971706018632622E-2</v>
      </c>
      <c r="V2542" s="4">
        <f>1/TWD!B2542</f>
        <v>3.3040375338663851E-2</v>
      </c>
      <c r="W2542" s="4">
        <f>1/TWD!C2542</f>
        <v>3.3040921180882525E-2</v>
      </c>
      <c r="X2542" s="4">
        <f>1/TWD!B2542</f>
        <v>3.3040375338663851E-2</v>
      </c>
      <c r="Y2542" s="4">
        <f>1/TWD!C2542</f>
        <v>3.3040921180882525E-2</v>
      </c>
      <c r="Z2542" s="4">
        <f>1/ZAR!B2542</f>
        <v>6.908033351985024E-2</v>
      </c>
      <c r="AA2542" s="4">
        <f>1/ZAR!C2542</f>
        <v>6.8754984736393396E-2</v>
      </c>
    </row>
    <row r="2543" spans="1:27" x14ac:dyDescent="0.25">
      <c r="A2543" t="str">
        <f>"17/12/2019"</f>
        <v>17/12/2019</v>
      </c>
      <c r="B2543" s="3">
        <f>AUD!B2543</f>
        <v>0.68669999999999998</v>
      </c>
      <c r="C2543" s="3">
        <f>AUD!C2543</f>
        <v>0.68730000000000002</v>
      </c>
      <c r="D2543" s="3">
        <f>1/CAD!B2543</f>
        <v>0.75953212820902327</v>
      </c>
      <c r="E2543" s="3">
        <f>1/CAD!C2543</f>
        <v>0.75982068231897271</v>
      </c>
      <c r="F2543" s="3">
        <f>EUR!B2543/1</f>
        <v>1.1147</v>
      </c>
      <c r="G2543" s="3">
        <f>EUR!C2543/1</f>
        <v>1.1174999999999999</v>
      </c>
      <c r="H2543" s="3">
        <f>GBP!B2543/1</f>
        <v>1.3295999999999999</v>
      </c>
      <c r="I2543" s="3">
        <f>GBP!C2543/1</f>
        <v>1.3313999999999999</v>
      </c>
      <c r="J2543" s="4">
        <f>1/INR!B2543</f>
        <v>1.4089964422839833E-2</v>
      </c>
      <c r="K2543" s="4">
        <f>1/INR!C2543</f>
        <v>1.4043957587248086E-2</v>
      </c>
      <c r="L2543" s="4">
        <f>1/JPY!B2543</f>
        <v>9.1290852656563809E-3</v>
      </c>
      <c r="M2543" s="4">
        <f>1/JPY!C2543</f>
        <v>9.1536867388709482E-3</v>
      </c>
      <c r="N2543" s="5">
        <f>1/KRW!B2543</f>
        <v>8.585164835164835E-4</v>
      </c>
      <c r="O2543" s="5">
        <f>1/KRW!C2543</f>
        <v>8.5852215884325465E-4</v>
      </c>
      <c r="P2543" s="3">
        <f>1/NOK!B2543</f>
        <v>0.11082419957221858</v>
      </c>
      <c r="Q2543" s="3">
        <f>1/NOK!C2543</f>
        <v>0.11086228686725348</v>
      </c>
      <c r="R2543" s="3">
        <f>NZD!B2543/1</f>
        <v>0.65990000000000004</v>
      </c>
      <c r="S2543" s="3">
        <f>NZD!C2543/1</f>
        <v>0.66020000000000001</v>
      </c>
      <c r="T2543" s="4">
        <f>1/PHP!B2543</f>
        <v>1.9755818088427041E-2</v>
      </c>
      <c r="U2543" s="4">
        <f>1/PHP!C2543</f>
        <v>1.9728535353535352E-2</v>
      </c>
      <c r="V2543" s="4">
        <f>1/TWD!B2543</f>
        <v>3.3160896670645978E-2</v>
      </c>
      <c r="W2543" s="4">
        <f>1/TWD!C2543</f>
        <v>3.3161446502296431E-2</v>
      </c>
      <c r="X2543" s="4">
        <f>1/TWD!B2543</f>
        <v>3.3160896670645978E-2</v>
      </c>
      <c r="Y2543" s="4">
        <f>1/TWD!C2543</f>
        <v>3.3161446502296431E-2</v>
      </c>
      <c r="Z2543" s="4">
        <f>1/ZAR!B2543</f>
        <v>6.9607344967040921E-2</v>
      </c>
      <c r="AA2543" s="4">
        <f>1/ZAR!C2543</f>
        <v>6.9289505411510369E-2</v>
      </c>
    </row>
    <row r="2544" spans="1:27" x14ac:dyDescent="0.25">
      <c r="A2544" t="str">
        <f>"18/12/2019"</f>
        <v>18/12/2019</v>
      </c>
      <c r="B2544" s="3">
        <f>AUD!B2544</f>
        <v>0.68520000000000003</v>
      </c>
      <c r="C2544" s="3">
        <f>AUD!C2544</f>
        <v>0.68569999999999998</v>
      </c>
      <c r="D2544" s="3">
        <f>1/CAD!B2544</f>
        <v>0.76062980147562187</v>
      </c>
      <c r="E2544" s="3">
        <f>1/CAD!C2544</f>
        <v>0.76091919038198141</v>
      </c>
      <c r="F2544" s="3">
        <f>EUR!B2544/1</f>
        <v>1.1126</v>
      </c>
      <c r="G2544" s="3">
        <f>EUR!C2544/1</f>
        <v>1.1153999999999999</v>
      </c>
      <c r="H2544" s="3">
        <f>GBP!B2544/1</f>
        <v>1.3092999999999999</v>
      </c>
      <c r="I2544" s="3">
        <f>GBP!C2544/1</f>
        <v>1.3109999999999999</v>
      </c>
      <c r="J2544" s="4">
        <f>1/INR!B2544</f>
        <v>1.4089468122578374E-2</v>
      </c>
      <c r="K2544" s="4">
        <f>1/INR!C2544</f>
        <v>1.4041985536754896E-2</v>
      </c>
      <c r="L2544" s="4">
        <f>1/JPY!B2544</f>
        <v>9.1315861565153863E-3</v>
      </c>
      <c r="M2544" s="4">
        <f>1/JPY!C2544</f>
        <v>9.1552371160636883E-3</v>
      </c>
      <c r="N2544" s="5">
        <f>1/KRW!B2544</f>
        <v>8.5543199315654401E-4</v>
      </c>
      <c r="O2544" s="5">
        <f>1/KRW!C2544</f>
        <v>8.5543784730776607E-4</v>
      </c>
      <c r="P2544" s="3">
        <f>1/NOK!B2544</f>
        <v>0.11074442401825069</v>
      </c>
      <c r="Q2544" s="3">
        <f>1/NOK!C2544</f>
        <v>0.11078613843835858</v>
      </c>
      <c r="R2544" s="3">
        <f>NZD!B2544/1</f>
        <v>0.65669999999999995</v>
      </c>
      <c r="S2544" s="3">
        <f>NZD!C2544/1</f>
        <v>0.65700000000000003</v>
      </c>
      <c r="T2544" s="4">
        <f>1/PHP!B2544</f>
        <v>1.9747235387045814E-2</v>
      </c>
      <c r="U2544" s="4">
        <f>1/PHP!C2544</f>
        <v>1.9719198611768417E-2</v>
      </c>
      <c r="V2544" s="4">
        <f>1/TWD!B2544</f>
        <v>3.3076439652035855E-2</v>
      </c>
      <c r="W2544" s="4">
        <f>1/TWD!C2544</f>
        <v>3.3076986686512856E-2</v>
      </c>
      <c r="X2544" s="4">
        <f>1/TWD!B2544</f>
        <v>3.3076439652035855E-2</v>
      </c>
      <c r="Y2544" s="4">
        <f>1/TWD!C2544</f>
        <v>3.3076986686512856E-2</v>
      </c>
      <c r="Z2544" s="4">
        <f>1/ZAR!B2544</f>
        <v>6.9634488569498706E-2</v>
      </c>
      <c r="AA2544" s="4">
        <f>1/ZAR!C2544</f>
        <v>6.9328415637717439E-2</v>
      </c>
    </row>
    <row r="2545" spans="1:27" x14ac:dyDescent="0.25">
      <c r="A2545" t="str">
        <f>"19/12/2019"</f>
        <v>19/12/2019</v>
      </c>
      <c r="B2545" s="3">
        <f>AUD!B2545</f>
        <v>0.6875</v>
      </c>
      <c r="C2545" s="3">
        <f>AUD!C2545</f>
        <v>0.68799999999999994</v>
      </c>
      <c r="D2545" s="3">
        <f>1/CAD!B2545</f>
        <v>0.76225322051985667</v>
      </c>
      <c r="E2545" s="3">
        <f>1/CAD!C2545</f>
        <v>0.76248570339306132</v>
      </c>
      <c r="F2545" s="3">
        <f>EUR!B2545/1</f>
        <v>1.1129</v>
      </c>
      <c r="G2545" s="3">
        <f>EUR!C2545/1</f>
        <v>1.1155999999999999</v>
      </c>
      <c r="H2545" s="3">
        <f>GBP!B2545/1</f>
        <v>1.3086</v>
      </c>
      <c r="I2545" s="3">
        <f>GBP!C2545/1</f>
        <v>1.3103</v>
      </c>
      <c r="J2545" s="4">
        <f>1/INR!B2545</f>
        <v>1.4076576576576575E-2</v>
      </c>
      <c r="K2545" s="4">
        <f>1/INR!C2545</f>
        <v>1.4028196675317389E-2</v>
      </c>
      <c r="L2545" s="4">
        <f>1/JPY!B2545</f>
        <v>9.1307523739956181E-3</v>
      </c>
      <c r="M2545" s="4">
        <f>1/JPY!C2545</f>
        <v>9.1528070286235729E-3</v>
      </c>
      <c r="N2545" s="5">
        <f>1/KRW!B2545</f>
        <v>8.5770649283815068E-4</v>
      </c>
      <c r="O2545" s="5">
        <f>1/KRW!C2545</f>
        <v>8.5771164249206404E-4</v>
      </c>
      <c r="P2545" s="3">
        <f>1/NOK!B2545</f>
        <v>0.11148644882214567</v>
      </c>
      <c r="Q2545" s="3">
        <f>1/NOK!C2545</f>
        <v>0.11152872422292361</v>
      </c>
      <c r="R2545" s="3">
        <f>NZD!B2545/1</f>
        <v>0.65790000000000004</v>
      </c>
      <c r="S2545" s="3">
        <f>NZD!C2545/1</f>
        <v>0.65820000000000001</v>
      </c>
      <c r="T2545" s="4">
        <f>1/PHP!B2545</f>
        <v>1.9747235387045814E-2</v>
      </c>
      <c r="U2545" s="4">
        <f>1/PHP!C2545</f>
        <v>1.9720170776678928E-2</v>
      </c>
      <c r="V2545" s="4">
        <f>1/TWD!B2545</f>
        <v>3.310162197947699E-2</v>
      </c>
      <c r="W2545" s="4">
        <f>1/TWD!C2545</f>
        <v>3.3102279422961067E-2</v>
      </c>
      <c r="X2545" s="4">
        <f>1/TWD!B2545</f>
        <v>3.310162197947699E-2</v>
      </c>
      <c r="Y2545" s="4">
        <f>1/TWD!C2545</f>
        <v>3.3102279422961067E-2</v>
      </c>
      <c r="Z2545" s="4">
        <f>1/ZAR!B2545</f>
        <v>6.9751058472312319E-2</v>
      </c>
      <c r="AA2545" s="4">
        <f>1/ZAR!C2545</f>
        <v>6.9453608462227659E-2</v>
      </c>
    </row>
    <row r="2546" spans="1:27" x14ac:dyDescent="0.25">
      <c r="A2546" t="str">
        <f>"20/12/2019"</f>
        <v>20/12/2019</v>
      </c>
      <c r="B2546" s="3">
        <f>AUD!B2546</f>
        <v>0.68930000000000002</v>
      </c>
      <c r="C2546" s="3">
        <f>AUD!C2546</f>
        <v>0.68979999999999997</v>
      </c>
      <c r="D2546" s="3">
        <f>1/CAD!B2546</f>
        <v>0.76138267093040968</v>
      </c>
      <c r="E2546" s="3">
        <f>1/CAD!C2546</f>
        <v>0.76161462300076166</v>
      </c>
      <c r="F2546" s="3">
        <f>EUR!B2546/1</f>
        <v>1.1116999999999999</v>
      </c>
      <c r="G2546" s="3">
        <f>EUR!C2546/1</f>
        <v>1.1142000000000001</v>
      </c>
      <c r="H2546" s="3">
        <f>GBP!B2546/1</f>
        <v>1.3025</v>
      </c>
      <c r="I2546" s="3">
        <f>GBP!C2546/1</f>
        <v>1.3041</v>
      </c>
      <c r="J2546" s="4">
        <f>1/INR!B2546</f>
        <v>1.4072614691809739E-2</v>
      </c>
      <c r="K2546" s="4">
        <f>1/INR!C2546</f>
        <v>1.4025737227813037E-2</v>
      </c>
      <c r="L2546" s="4">
        <f>1/JPY!B2546</f>
        <v>9.1474570069520686E-3</v>
      </c>
      <c r="M2546" s="4">
        <f>1/JPY!C2546</f>
        <v>9.1668270861406751E-3</v>
      </c>
      <c r="N2546" s="5">
        <f>1/KRW!B2546</f>
        <v>8.6051114361930991E-4</v>
      </c>
      <c r="O2546" s="5">
        <f>1/KRW!C2546</f>
        <v>8.6051743774048773E-4</v>
      </c>
      <c r="P2546" s="3">
        <f>1/NOK!B2546</f>
        <v>0.11143302874972141</v>
      </c>
      <c r="Q2546" s="3">
        <f>1/NOK!C2546</f>
        <v>0.11147277834752753</v>
      </c>
      <c r="R2546" s="3">
        <f>NZD!B2546/1</f>
        <v>0.66039999999999999</v>
      </c>
      <c r="S2546" s="3">
        <f>NZD!C2546/1</f>
        <v>0.66069999999999995</v>
      </c>
      <c r="T2546" s="4">
        <f>1/PHP!B2546</f>
        <v>1.9704433497536946E-2</v>
      </c>
      <c r="U2546" s="4">
        <f>1/PHP!C2546</f>
        <v>1.9678066826714944E-2</v>
      </c>
      <c r="V2546" s="4">
        <f>1/TWD!B2546</f>
        <v>3.3129037601457682E-2</v>
      </c>
      <c r="W2546" s="4">
        <f>1/TWD!C2546</f>
        <v>3.3129696134427053E-2</v>
      </c>
      <c r="X2546" s="4">
        <f>1/TWD!B2546</f>
        <v>3.3129037601457682E-2</v>
      </c>
      <c r="Y2546" s="4">
        <f>1/TWD!C2546</f>
        <v>3.3129696134427053E-2</v>
      </c>
      <c r="Z2546" s="4">
        <f>1/ZAR!B2546</f>
        <v>7.0282959193713898E-2</v>
      </c>
      <c r="AA2546" s="4">
        <f>1/ZAR!C2546</f>
        <v>6.9983903702148506E-2</v>
      </c>
    </row>
    <row r="2547" spans="1:27" x14ac:dyDescent="0.25">
      <c r="A2547" t="str">
        <f>"23/12/2019"</f>
        <v>23/12/2019</v>
      </c>
      <c r="B2547" s="3">
        <f>AUD!B2547</f>
        <v>0.6925</v>
      </c>
      <c r="C2547" s="3">
        <f>AUD!C2547</f>
        <v>0.69299999999999995</v>
      </c>
      <c r="D2547" s="3">
        <f>1/CAD!B2547</f>
        <v>0.76022502660787594</v>
      </c>
      <c r="E2547" s="3">
        <f>1/CAD!C2547</f>
        <v>0.76057195010648004</v>
      </c>
      <c r="F2547" s="3">
        <f>EUR!B2547/1</f>
        <v>1.1079000000000001</v>
      </c>
      <c r="G2547" s="3">
        <f>EUR!C2547/1</f>
        <v>1.1106</v>
      </c>
      <c r="H2547" s="3">
        <f>GBP!B2547/1</f>
        <v>1.2974000000000001</v>
      </c>
      <c r="I2547" s="3">
        <f>GBP!C2547/1</f>
        <v>1.2990999999999999</v>
      </c>
      <c r="J2547" s="4">
        <f>1/INR!B2547</f>
        <v>1.4046916701783959E-2</v>
      </c>
      <c r="K2547" s="4">
        <f>1/INR!C2547</f>
        <v>1.3997760358342666E-2</v>
      </c>
      <c r="L2547" s="4">
        <f>1/JPY!B2547</f>
        <v>9.140767824497258E-3</v>
      </c>
      <c r="M2547" s="4">
        <f>1/JPY!C2547</f>
        <v>9.1618299839209879E-3</v>
      </c>
      <c r="N2547" s="5">
        <f>1/KRW!B2547</f>
        <v>8.5881140501545858E-4</v>
      </c>
      <c r="O2547" s="5">
        <f>1/KRW!C2547</f>
        <v>8.5881789556636976E-4</v>
      </c>
      <c r="P2547" s="3">
        <f>1/NOK!B2547</f>
        <v>0.11172310545543924</v>
      </c>
      <c r="Q2547" s="3">
        <f>1/NOK!C2547</f>
        <v>0.11176306230790724</v>
      </c>
      <c r="R2547" s="3">
        <f>NZD!B2547/1</f>
        <v>0.66190000000000004</v>
      </c>
      <c r="S2547" s="3">
        <f>NZD!C2547/1</f>
        <v>0.66220000000000001</v>
      </c>
      <c r="T2547" s="4">
        <f>1/PHP!B2547</f>
        <v>1.9681165124975399E-2</v>
      </c>
      <c r="U2547" s="4">
        <f>1/PHP!C2547</f>
        <v>1.965988400668436E-2</v>
      </c>
      <c r="V2547" s="4">
        <f>1/TWD!B2547</f>
        <v>3.3096144299189147E-2</v>
      </c>
      <c r="W2547" s="4">
        <f>1/TWD!C2547</f>
        <v>3.3096691985636036E-2</v>
      </c>
      <c r="X2547" s="4">
        <f>1/TWD!B2547</f>
        <v>3.3096144299189147E-2</v>
      </c>
      <c r="Y2547" s="4">
        <f>1/TWD!C2547</f>
        <v>3.3096691985636036E-2</v>
      </c>
      <c r="Z2547" s="4">
        <f>1/ZAR!B2547</f>
        <v>7.0273081193518008E-2</v>
      </c>
      <c r="AA2547" s="4">
        <f>1/ZAR!C2547</f>
        <v>6.9974599220482964E-2</v>
      </c>
    </row>
    <row r="2548" spans="1:27" x14ac:dyDescent="0.25">
      <c r="A2548" t="str">
        <f>"24/12/2019"</f>
        <v>24/12/2019</v>
      </c>
      <c r="B2548" s="3">
        <f>AUD!B2548</f>
        <v>0.69189999999999996</v>
      </c>
      <c r="C2548" s="3">
        <f>AUD!C2548</f>
        <v>0.69240000000000002</v>
      </c>
      <c r="D2548" s="3">
        <f>1/CAD!B2548</f>
        <v>0.75964752354907317</v>
      </c>
      <c r="E2548" s="3">
        <f>1/CAD!C2548</f>
        <v>0.76005168351447894</v>
      </c>
      <c r="F2548" s="3">
        <f>EUR!B2548/1</f>
        <v>1.1071</v>
      </c>
      <c r="G2548" s="3">
        <f>EUR!C2548/1</f>
        <v>1.1099000000000001</v>
      </c>
      <c r="H2548" s="3">
        <f>GBP!B2548/1</f>
        <v>1.2956000000000001</v>
      </c>
      <c r="I2548" s="3">
        <f>GBP!C2548/1</f>
        <v>1.2974000000000001</v>
      </c>
      <c r="J2548" s="4">
        <f>1/INR!B2548</f>
        <v>1.4030164854437038E-2</v>
      </c>
      <c r="K2548" s="4">
        <f>1/INR!C2548</f>
        <v>1.3979659595288855E-2</v>
      </c>
      <c r="L2548" s="4">
        <f>1/JPY!B2548</f>
        <v>9.140767824497258E-3</v>
      </c>
      <c r="M2548" s="4">
        <f>1/JPY!C2548</f>
        <v>9.1631648105149153E-3</v>
      </c>
      <c r="N2548" s="5">
        <f>1/KRW!B2548</f>
        <v>8.5918034195377603E-4</v>
      </c>
      <c r="O2548" s="5">
        <f>1/KRW!C2548</f>
        <v>8.5918698572288977E-4</v>
      </c>
      <c r="P2548" s="3">
        <f>1/NOK!B2548</f>
        <v>0.11172060910076081</v>
      </c>
      <c r="Q2548" s="3">
        <f>1/NOK!C2548</f>
        <v>0.11176181322365775</v>
      </c>
      <c r="R2548" s="3">
        <f>NZD!B2548/1</f>
        <v>0.66349999999999998</v>
      </c>
      <c r="S2548" s="3">
        <f>NZD!C2548/1</f>
        <v>0.66369999999999996</v>
      </c>
      <c r="T2548" s="4">
        <f>1/PHP!B2548</f>
        <v>1.9681165124975399E-2</v>
      </c>
      <c r="U2548" s="4">
        <f>1/PHP!C2548</f>
        <v>1.965988400668436E-2</v>
      </c>
      <c r="V2548" s="4">
        <f>1/TWD!B2548</f>
        <v>3.3107101473266017E-2</v>
      </c>
      <c r="W2548" s="4">
        <f>1/TWD!C2548</f>
        <v>3.3107649522422157E-2</v>
      </c>
      <c r="X2548" s="4">
        <f>1/TWD!B2548</f>
        <v>3.3107101473266017E-2</v>
      </c>
      <c r="Y2548" s="4">
        <f>1/TWD!C2548</f>
        <v>3.3107649522422157E-2</v>
      </c>
      <c r="Z2548" s="4">
        <f>1/ZAR!B2548</f>
        <v>7.0514899798327382E-2</v>
      </c>
      <c r="AA2548" s="4">
        <f>1/ZAR!C2548</f>
        <v>7.0216336532857734E-2</v>
      </c>
    </row>
    <row r="2549" spans="1:27" x14ac:dyDescent="0.25">
      <c r="A2549" t="str">
        <f>"26/12/2019"</f>
        <v>26/12/2019</v>
      </c>
      <c r="B2549" s="3">
        <f>AUD!B2549</f>
        <v>0.69240000000000002</v>
      </c>
      <c r="C2549" s="3">
        <f>AUD!C2549</f>
        <v>0.69289999999999996</v>
      </c>
      <c r="D2549" s="3">
        <f>1/CAD!B2549</f>
        <v>0.76022502660787594</v>
      </c>
      <c r="E2549" s="3">
        <f>1/CAD!C2549</f>
        <v>0.76062980147562187</v>
      </c>
      <c r="F2549" s="3">
        <f>EUR!B2549/1</f>
        <v>1.1087</v>
      </c>
      <c r="G2549" s="3">
        <f>EUR!C2549/1</f>
        <v>1.1113999999999999</v>
      </c>
      <c r="H2549" s="3">
        <f>GBP!B2549/1</f>
        <v>1.2970999999999999</v>
      </c>
      <c r="I2549" s="3">
        <f>GBP!C2549/1</f>
        <v>1.2988999999999999</v>
      </c>
      <c r="J2549" s="4">
        <f>1/INR!B2549</f>
        <v>1.4021803905072388E-2</v>
      </c>
      <c r="K2549" s="4">
        <f>1/INR!C2549</f>
        <v>1.3972334777141262E-2</v>
      </c>
      <c r="L2549" s="4">
        <f>1/JPY!B2549</f>
        <v>9.1249201569486259E-3</v>
      </c>
      <c r="M2549" s="4">
        <f>1/JPY!C2549</f>
        <v>9.1465282979865739E-3</v>
      </c>
      <c r="N2549" s="5">
        <f>1/KRW!B2549</f>
        <v>8.6051114361930991E-4</v>
      </c>
      <c r="O2549" s="5">
        <f>1/KRW!C2549</f>
        <v>8.6051928897012194E-4</v>
      </c>
      <c r="P2549" s="3">
        <f>1/NOK!B2549</f>
        <v>0.11236460065620928</v>
      </c>
      <c r="Q2549" s="3">
        <f>1/NOK!C2549</f>
        <v>0.11240628126299697</v>
      </c>
      <c r="R2549" s="3">
        <f>NZD!B2549/1</f>
        <v>0.66459999999999997</v>
      </c>
      <c r="S2549" s="3">
        <f>NZD!C2549/1</f>
        <v>0.66479999999999995</v>
      </c>
      <c r="T2549" s="4">
        <f>1/PHP!B2549</f>
        <v>1.9666456891126494E-2</v>
      </c>
      <c r="U2549" s="4">
        <f>1/PHP!C2549</f>
        <v>1.9651963722474967E-2</v>
      </c>
      <c r="V2549" s="4">
        <f>1/TWD!B2549</f>
        <v>3.3111486374623356E-2</v>
      </c>
      <c r="W2549" s="4">
        <f>1/TWD!C2549</f>
        <v>3.3111924928643802E-2</v>
      </c>
      <c r="X2549" s="4">
        <f>1/TWD!B2549</f>
        <v>3.3111486374623356E-2</v>
      </c>
      <c r="Y2549" s="4">
        <f>1/TWD!C2549</f>
        <v>3.3111924928643802E-2</v>
      </c>
      <c r="Z2549" s="4">
        <f>1/ZAR!B2549</f>
        <v>7.0511419324359573E-2</v>
      </c>
      <c r="AA2549" s="4">
        <f>1/ZAR!C2549</f>
        <v>7.0213378457131215E-2</v>
      </c>
    </row>
    <row r="2550" spans="1:27" x14ac:dyDescent="0.25">
      <c r="A2550" t="str">
        <f>"27/12/2019"</f>
        <v>27/12/2019</v>
      </c>
      <c r="B2550" s="3">
        <f>AUD!B2550</f>
        <v>0.69730000000000003</v>
      </c>
      <c r="C2550" s="3">
        <f>AUD!C2550</f>
        <v>0.69779999999999998</v>
      </c>
      <c r="D2550" s="3">
        <f>1/CAD!B2550</f>
        <v>0.76394194041252872</v>
      </c>
      <c r="E2550" s="3">
        <f>1/CAD!C2550</f>
        <v>0.76429226536227457</v>
      </c>
      <c r="F2550" s="3">
        <f>EUR!B2550/1</f>
        <v>1.1148</v>
      </c>
      <c r="G2550" s="3">
        <f>EUR!C2550/1</f>
        <v>1.1173</v>
      </c>
      <c r="H2550" s="3">
        <f>GBP!B2550/1</f>
        <v>1.3073999999999999</v>
      </c>
      <c r="I2550" s="3">
        <f>GBP!C2550/1</f>
        <v>1.3089</v>
      </c>
      <c r="J2550" s="4">
        <f>1/INR!B2550</f>
        <v>1.4013943874154784E-2</v>
      </c>
      <c r="K2550" s="4">
        <f>1/INR!C2550</f>
        <v>1.3966968120395266E-2</v>
      </c>
      <c r="L2550" s="4">
        <f>1/JPY!B2550</f>
        <v>9.1324200913242004E-3</v>
      </c>
      <c r="M2550" s="4">
        <f>1/JPY!C2550</f>
        <v>9.1482101526836265E-3</v>
      </c>
      <c r="N2550" s="5">
        <f>1/KRW!B2550</f>
        <v>8.6095566078346966E-4</v>
      </c>
      <c r="O2550" s="5">
        <f>1/KRW!C2550</f>
        <v>8.6096307329378648E-4</v>
      </c>
      <c r="P2550" s="3">
        <f>1/NOK!B2550</f>
        <v>0.11287446102444859</v>
      </c>
      <c r="Q2550" s="3">
        <f>1/NOK!C2550</f>
        <v>0.11291014610572905</v>
      </c>
      <c r="R2550" s="3">
        <f>NZD!B2550/1</f>
        <v>0.67030000000000001</v>
      </c>
      <c r="S2550" s="3">
        <f>NZD!C2550/1</f>
        <v>0.67059999999999997</v>
      </c>
      <c r="T2550" s="4">
        <f>1/PHP!B2550</f>
        <v>1.973164956590371E-2</v>
      </c>
      <c r="U2550" s="4">
        <f>1/PHP!C2550</f>
        <v>1.9708316909735908E-2</v>
      </c>
      <c r="V2550" s="4">
        <f>1/TWD!B2550</f>
        <v>3.3107101473266017E-2</v>
      </c>
      <c r="W2550" s="4">
        <f>1/TWD!C2550</f>
        <v>3.3107539911139364E-2</v>
      </c>
      <c r="X2550" s="4">
        <f>1/TWD!B2550</f>
        <v>3.3107101473266017E-2</v>
      </c>
      <c r="Y2550" s="4">
        <f>1/TWD!C2550</f>
        <v>3.3107539911139364E-2</v>
      </c>
      <c r="Z2550" s="4">
        <f>1/ZAR!B2550</f>
        <v>7.1403580175510004E-2</v>
      </c>
      <c r="AA2550" s="4">
        <f>1/ZAR!C2550</f>
        <v>7.1108077166485345E-2</v>
      </c>
    </row>
    <row r="2551" spans="1:27" x14ac:dyDescent="0.25">
      <c r="A2551" t="str">
        <f>"30/12/2019"</f>
        <v>30/12/2019</v>
      </c>
      <c r="B2551" s="3">
        <f>AUD!B2551</f>
        <v>0.69969999999999999</v>
      </c>
      <c r="C2551" s="3">
        <f>AUD!C2551</f>
        <v>0.70020000000000004</v>
      </c>
      <c r="D2551" s="3">
        <f>1/CAD!B2551</f>
        <v>0.76505240608981717</v>
      </c>
      <c r="E2551" s="3">
        <f>1/CAD!C2551</f>
        <v>0.76534517067197305</v>
      </c>
      <c r="F2551" s="3">
        <f>EUR!B2551/1</f>
        <v>1.1194</v>
      </c>
      <c r="G2551" s="3">
        <f>EUR!C2551/1</f>
        <v>1.1215999999999999</v>
      </c>
      <c r="H2551" s="3">
        <f>GBP!B2551/1</f>
        <v>1.3117000000000001</v>
      </c>
      <c r="I2551" s="3">
        <f>GBP!C2551/1</f>
        <v>1.3129</v>
      </c>
      <c r="J2551" s="4">
        <f>1/INR!B2551</f>
        <v>1.4021312394840158E-2</v>
      </c>
      <c r="K2551" s="4">
        <f>1/INR!C2551</f>
        <v>1.397428731134712E-2</v>
      </c>
      <c r="L2551" s="4">
        <f>1/JPY!B2551</f>
        <v>9.1625435220817307E-3</v>
      </c>
      <c r="M2551" s="4">
        <f>1/JPY!C2551</f>
        <v>9.1781010508925707E-3</v>
      </c>
      <c r="N2551" s="5">
        <f>1/KRW!B2551</f>
        <v>8.6475268073331021E-4</v>
      </c>
      <c r="O2551" s="5">
        <f>1/KRW!C2551</f>
        <v>8.6475455023034894E-4</v>
      </c>
      <c r="P2551" s="3">
        <f>1/NOK!B2551</f>
        <v>0.11351768605548744</v>
      </c>
      <c r="Q2551" s="3">
        <f>1/NOK!C2551</f>
        <v>0.11352155206665986</v>
      </c>
      <c r="R2551" s="3">
        <f>NZD!B2551/1</f>
        <v>0.67220000000000002</v>
      </c>
      <c r="S2551" s="3">
        <f>NZD!C2551/1</f>
        <v>0.6724</v>
      </c>
      <c r="T2551" s="4">
        <f>1/PHP!B2551</f>
        <v>1.973164956590371E-2</v>
      </c>
      <c r="U2551" s="4">
        <f>1/PHP!C2551</f>
        <v>1.9708316909735908E-2</v>
      </c>
      <c r="V2551" s="4">
        <f>1/TWD!B2551</f>
        <v>3.3180702103656513E-2</v>
      </c>
      <c r="W2551" s="4">
        <f>1/TWD!C2551</f>
        <v>3.3181142493098323E-2</v>
      </c>
      <c r="X2551" s="4">
        <f>1/TWD!B2551</f>
        <v>3.3180702103656513E-2</v>
      </c>
      <c r="Y2551" s="4">
        <f>1/TWD!C2551</f>
        <v>3.3181142493098323E-2</v>
      </c>
      <c r="Z2551" s="4">
        <f>1/ZAR!B2551</f>
        <v>7.1011127443670427E-2</v>
      </c>
      <c r="AA2551" s="4">
        <f>1/ZAR!C2551</f>
        <v>7.0709856246862254E-2</v>
      </c>
    </row>
    <row r="2552" spans="1:27" x14ac:dyDescent="0.25">
      <c r="A2552" t="str">
        <f>"31/12/2019"</f>
        <v>31/12/2019</v>
      </c>
      <c r="B2552" s="3">
        <f>AUD!B2552</f>
        <v>0.70189999999999997</v>
      </c>
      <c r="C2552" s="3">
        <f>AUD!C2552</f>
        <v>0.70240000000000002</v>
      </c>
      <c r="D2552" s="3">
        <f>1/CAD!B2552</f>
        <v>0.76905329539337075</v>
      </c>
      <c r="E2552" s="3">
        <f>1/CAD!C2552</f>
        <v>0.76917160218444736</v>
      </c>
      <c r="F2552" s="3">
        <f>EUR!B2552/1</f>
        <v>1.1231</v>
      </c>
      <c r="G2552" s="3">
        <f>EUR!C2552/1</f>
        <v>1.1252</v>
      </c>
      <c r="H2552" s="3">
        <f>GBP!B2552/1</f>
        <v>1.3196000000000001</v>
      </c>
      <c r="I2552" s="3">
        <f>GBP!C2552/1</f>
        <v>1.3208</v>
      </c>
      <c r="J2552" s="4">
        <f>1/INR!B2552</f>
        <v>1.4008545212579673E-2</v>
      </c>
      <c r="K2552" s="4">
        <f>1/INR!C2552</f>
        <v>1.3963067685970606E-2</v>
      </c>
      <c r="L2552" s="4">
        <f>1/JPY!B2552</f>
        <v>9.2140422003132768E-3</v>
      </c>
      <c r="M2552" s="4">
        <f>1/JPY!C2552</f>
        <v>9.2296900670075493E-3</v>
      </c>
      <c r="N2552" s="5">
        <f>1/KRW!B2552</f>
        <v>8.6475268073331021E-4</v>
      </c>
      <c r="O2552" s="5">
        <f>1/KRW!C2552</f>
        <v>8.6475492413072683E-4</v>
      </c>
      <c r="P2552" s="3">
        <f>1/NOK!B2552</f>
        <v>0.11385112826468109</v>
      </c>
      <c r="Q2552" s="3">
        <f>1/NOK!C2552</f>
        <v>0.11386020244343995</v>
      </c>
      <c r="R2552" s="3">
        <f>NZD!B2552/1</f>
        <v>0.67430000000000001</v>
      </c>
      <c r="S2552" s="3">
        <f>NZD!C2552/1</f>
        <v>0.67459999999999998</v>
      </c>
      <c r="T2552" s="4">
        <f>1/PHP!B2552</f>
        <v>1.973164956590371E-2</v>
      </c>
      <c r="U2552" s="4">
        <f>1/PHP!C2552</f>
        <v>1.9708316909735908E-2</v>
      </c>
      <c r="V2552" s="4">
        <f>1/TWD!B2552</f>
        <v>3.3215970238490662E-2</v>
      </c>
      <c r="W2552" s="4">
        <f>1/TWD!C2552</f>
        <v>3.3216411564625854E-2</v>
      </c>
      <c r="X2552" s="4">
        <f>1/TWD!B2552</f>
        <v>3.3215970238490662E-2</v>
      </c>
      <c r="Y2552" s="4">
        <f>1/TWD!C2552</f>
        <v>3.3216411564625854E-2</v>
      </c>
      <c r="Z2552" s="4">
        <f>1/ZAR!B2552</f>
        <v>7.1136404054775032E-2</v>
      </c>
      <c r="AA2552" s="4">
        <f>1/ZAR!C2552</f>
        <v>7.0841598186455093E-2</v>
      </c>
    </row>
    <row r="2553" spans="1:27" x14ac:dyDescent="0.25">
      <c r="A2553" t="str">
        <f>"02/01/2020"</f>
        <v>02/01/2020</v>
      </c>
      <c r="B2553" s="3">
        <f>AUD!B2553</f>
        <v>0.69840000000000002</v>
      </c>
      <c r="C2553" s="3">
        <f>AUD!C2553</f>
        <v>0.69889999999999997</v>
      </c>
      <c r="D2553" s="3">
        <f>1/CAD!B2553</f>
        <v>0.76899415564441709</v>
      </c>
      <c r="E2553" s="3">
        <f>1/CAD!C2553</f>
        <v>0.76905329539337075</v>
      </c>
      <c r="F2553" s="3">
        <f>EUR!B2553/1</f>
        <v>1.1189</v>
      </c>
      <c r="G2553" s="3">
        <f>EUR!C2553/1</f>
        <v>1.121</v>
      </c>
      <c r="H2553" s="3">
        <f>GBP!B2553/1</f>
        <v>1.3197000000000001</v>
      </c>
      <c r="I2553" s="3">
        <f>GBP!C2553/1</f>
        <v>1.3208</v>
      </c>
      <c r="J2553" s="4">
        <f>1/INR!B2553</f>
        <v>1.4009035828109131E-2</v>
      </c>
      <c r="K2553" s="4">
        <f>1/INR!C2553</f>
        <v>1.3964042590329901E-2</v>
      </c>
      <c r="L2553" s="4">
        <f>1/JPY!B2553</f>
        <v>9.1928663357234777E-3</v>
      </c>
      <c r="M2553" s="4">
        <f>1/JPY!C2553</f>
        <v>9.2081031307550652E-3</v>
      </c>
      <c r="N2553" s="5">
        <f>1/KRW!B2553</f>
        <v>8.634087376964254E-4</v>
      </c>
      <c r="O2553" s="5">
        <f>1/KRW!C2553</f>
        <v>8.6341060138706916E-4</v>
      </c>
      <c r="P2553" s="3">
        <f>1/NOK!B2553</f>
        <v>0.11357828383213128</v>
      </c>
      <c r="Q2553" s="3">
        <f>1/NOK!C2553</f>
        <v>0.11359118532401886</v>
      </c>
      <c r="R2553" s="3">
        <f>NZD!B2553/1</f>
        <v>0.66869999999999996</v>
      </c>
      <c r="S2553" s="3">
        <f>NZD!C2553/1</f>
        <v>0.66900000000000004</v>
      </c>
      <c r="T2553" s="4">
        <f>1/PHP!B2553</f>
        <v>1.9726589469946543E-2</v>
      </c>
      <c r="U2553" s="4">
        <f>1/PHP!C2553</f>
        <v>1.9705210057539214E-2</v>
      </c>
      <c r="V2553" s="4">
        <f>1/TWD!B2553</f>
        <v>3.3206043499916987E-2</v>
      </c>
      <c r="W2553" s="4">
        <f>1/TWD!C2553</f>
        <v>3.3206484562305329E-2</v>
      </c>
      <c r="X2553" s="4">
        <f>1/TWD!B2553</f>
        <v>3.3206043499916987E-2</v>
      </c>
      <c r="Y2553" s="4">
        <f>1/TWD!C2553</f>
        <v>3.3206484562305329E-2</v>
      </c>
      <c r="Z2553" s="4">
        <f>1/ZAR!B2553</f>
        <v>7.1311416957854951E-2</v>
      </c>
      <c r="AA2553" s="4">
        <f>1/ZAR!C2553</f>
        <v>7.1014657425292588E-2</v>
      </c>
    </row>
    <row r="2554" spans="1:27" x14ac:dyDescent="0.25">
      <c r="A2554" t="str">
        <f>"03/01/2020"</f>
        <v>03/01/2020</v>
      </c>
      <c r="B2554" s="3">
        <f>AUD!B2554</f>
        <v>0.69320000000000004</v>
      </c>
      <c r="C2554" s="3">
        <f>AUD!C2554</f>
        <v>0.69369999999999998</v>
      </c>
      <c r="D2554" s="3">
        <f>1/CAD!B2554</f>
        <v>0.76911244423934777</v>
      </c>
      <c r="E2554" s="3">
        <f>1/CAD!C2554</f>
        <v>0.76917160218444736</v>
      </c>
      <c r="F2554" s="3">
        <f>EUR!B2554/1</f>
        <v>1.1127</v>
      </c>
      <c r="G2554" s="3">
        <f>EUR!C2554/1</f>
        <v>1.1148</v>
      </c>
      <c r="H2554" s="3">
        <f>GBP!B2554/1</f>
        <v>1.3058000000000001</v>
      </c>
      <c r="I2554" s="3">
        <f>GBP!C2554/1</f>
        <v>1.3069</v>
      </c>
      <c r="J2554" s="4">
        <f>1/INR!B2554</f>
        <v>1.3926606782257501E-2</v>
      </c>
      <c r="K2554" s="4">
        <f>1/INR!C2554</f>
        <v>1.3882140626084543E-2</v>
      </c>
      <c r="L2554" s="4">
        <f>1/JPY!B2554</f>
        <v>9.2584019998148311E-3</v>
      </c>
      <c r="M2554" s="4">
        <f>1/JPY!C2554</f>
        <v>9.2736419910509366E-3</v>
      </c>
      <c r="N2554" s="5">
        <f>1/KRW!B2554</f>
        <v>8.5689802913453304E-4</v>
      </c>
      <c r="O2554" s="5">
        <f>1/KRW!C2554</f>
        <v>8.5690023196289275E-4</v>
      </c>
      <c r="P2554" s="3">
        <f>1/NOK!B2554</f>
        <v>0.11309402637352695</v>
      </c>
      <c r="Q2554" s="3">
        <f>1/NOK!C2554</f>
        <v>0.11310553877823397</v>
      </c>
      <c r="R2554" s="3">
        <f>NZD!B2554/1</f>
        <v>0.66510000000000002</v>
      </c>
      <c r="S2554" s="3">
        <f>NZD!C2554/1</f>
        <v>0.66539999999999999</v>
      </c>
      <c r="T2554" s="4">
        <f>1/PHP!B2554</f>
        <v>1.9575217774297739E-2</v>
      </c>
      <c r="U2554" s="4">
        <f>1/PHP!C2554</f>
        <v>1.9548431238393119E-2</v>
      </c>
      <c r="V2554" s="4">
        <f>1/TWD!B2554</f>
        <v>3.3215970238490662E-2</v>
      </c>
      <c r="W2554" s="4">
        <f>1/TWD!C2554</f>
        <v>3.3216411564625854E-2</v>
      </c>
      <c r="X2554" s="4">
        <f>1/TWD!B2554</f>
        <v>3.3215970238490662E-2</v>
      </c>
      <c r="Y2554" s="4">
        <f>1/TWD!C2554</f>
        <v>3.3216411564625854E-2</v>
      </c>
      <c r="Z2554" s="4">
        <f>1/ZAR!B2554</f>
        <v>6.9739870283841265E-2</v>
      </c>
      <c r="AA2554" s="4">
        <f>1/ZAR!C2554</f>
        <v>6.9447338083531263E-2</v>
      </c>
    </row>
    <row r="2555" spans="1:27" x14ac:dyDescent="0.25">
      <c r="A2555" t="str">
        <f>"06/01/2020"</f>
        <v>06/01/2020</v>
      </c>
      <c r="B2555" s="3">
        <f>AUD!B2555</f>
        <v>0.69430000000000003</v>
      </c>
      <c r="C2555" s="3">
        <f>AUD!C2555</f>
        <v>0.69479999999999997</v>
      </c>
      <c r="D2555" s="3">
        <f>1/CAD!B2555</f>
        <v>0.77059412807274408</v>
      </c>
      <c r="E2555" s="3">
        <f>1/CAD!C2555</f>
        <v>0.77059412807274408</v>
      </c>
      <c r="F2555" s="3">
        <f>EUR!B2555/1</f>
        <v>1.1163000000000001</v>
      </c>
      <c r="G2555" s="3">
        <f>EUR!C2555/1</f>
        <v>1.1185</v>
      </c>
      <c r="H2555" s="3">
        <f>GBP!B2555/1</f>
        <v>1.3084</v>
      </c>
      <c r="I2555" s="3">
        <f>GBP!C2555/1</f>
        <v>1.3096000000000001</v>
      </c>
      <c r="J2555" s="4">
        <f>1/INR!B2555</f>
        <v>1.388165885823356E-2</v>
      </c>
      <c r="K2555" s="4">
        <f>1/INR!C2555</f>
        <v>1.3834128795739089E-2</v>
      </c>
      <c r="L2555" s="4">
        <f>1/JPY!B2555</f>
        <v>9.2532617747756087E-3</v>
      </c>
      <c r="M2555" s="4">
        <f>1/JPY!C2555</f>
        <v>9.2696017315616035E-3</v>
      </c>
      <c r="N2555" s="5">
        <f>1/KRW!B2555</f>
        <v>8.5543199315654401E-4</v>
      </c>
      <c r="O2555" s="5">
        <f>1/KRW!C2555</f>
        <v>8.554356519916681E-4</v>
      </c>
      <c r="P2555" s="3">
        <f>1/NOK!B2555</f>
        <v>0.11300967362806255</v>
      </c>
      <c r="Q2555" s="3">
        <f>1/NOK!C2555</f>
        <v>0.1130186141657531</v>
      </c>
      <c r="R2555" s="3">
        <f>NZD!B2555/1</f>
        <v>0.6653</v>
      </c>
      <c r="S2555" s="3">
        <f>NZD!C2555/1</f>
        <v>0.66559999999999997</v>
      </c>
      <c r="T2555" s="4">
        <f>1/PHP!B2555</f>
        <v>1.953125E-2</v>
      </c>
      <c r="U2555" s="4">
        <f>1/PHP!C2555</f>
        <v>1.9500780031201249E-2</v>
      </c>
      <c r="V2555" s="4">
        <f>1/TWD!B2555</f>
        <v>3.3244680851063829E-2</v>
      </c>
      <c r="W2555" s="4">
        <f>1/TWD!C2555</f>
        <v>3.3245122940464632E-2</v>
      </c>
      <c r="X2555" s="4">
        <f>1/TWD!B2555</f>
        <v>3.3244680851063829E-2</v>
      </c>
      <c r="Y2555" s="4">
        <f>1/TWD!C2555</f>
        <v>3.3245122940464632E-2</v>
      </c>
      <c r="Z2555" s="4">
        <f>1/ZAR!B2555</f>
        <v>6.9819237992836555E-2</v>
      </c>
      <c r="AA2555" s="4">
        <f>1/ZAR!C2555</f>
        <v>6.9592812454329717E-2</v>
      </c>
    </row>
    <row r="2556" spans="1:27" x14ac:dyDescent="0.25">
      <c r="A2556" t="str">
        <f>"07/01/2020"</f>
        <v>07/01/2020</v>
      </c>
      <c r="B2556" s="3">
        <f>AUD!B2556</f>
        <v>0.68740000000000001</v>
      </c>
      <c r="C2556" s="3">
        <f>AUD!C2556</f>
        <v>0.68789999999999996</v>
      </c>
      <c r="D2556" s="3">
        <f>1/CAD!B2556</f>
        <v>0.77011936850211782</v>
      </c>
      <c r="E2556" s="3">
        <f>1/CAD!C2556</f>
        <v>0.77011936850211782</v>
      </c>
      <c r="F2556" s="3">
        <f>EUR!B2556/1</f>
        <v>1.1180000000000001</v>
      </c>
      <c r="G2556" s="3">
        <f>EUR!C2556/1</f>
        <v>1.1202000000000001</v>
      </c>
      <c r="H2556" s="3">
        <f>GBP!B2556/1</f>
        <v>1.3149</v>
      </c>
      <c r="I2556" s="3">
        <f>GBP!C2556/1</f>
        <v>1.3160000000000001</v>
      </c>
      <c r="J2556" s="4">
        <f>1/INR!B2556</f>
        <v>1.3920790700911814E-2</v>
      </c>
      <c r="K2556" s="4">
        <f>1/INR!C2556</f>
        <v>1.3875398917718886E-2</v>
      </c>
      <c r="L2556" s="4">
        <f>1/JPY!B2556</f>
        <v>9.2250922509225092E-3</v>
      </c>
      <c r="M2556" s="4">
        <f>1/JPY!C2556</f>
        <v>9.2408118607668396E-3</v>
      </c>
      <c r="N2556" s="5">
        <f>1/KRW!B2556</f>
        <v>8.5726532361765965E-4</v>
      </c>
      <c r="O2556" s="5">
        <f>1/KRW!C2556</f>
        <v>8.5726789578880011E-4</v>
      </c>
      <c r="P2556" s="3">
        <f>1/NOK!B2556</f>
        <v>0.11359892762612323</v>
      </c>
      <c r="Q2556" s="3">
        <f>1/NOK!C2556</f>
        <v>0.11361441539702558</v>
      </c>
      <c r="R2556" s="3">
        <f>NZD!B2556/1</f>
        <v>0.6643</v>
      </c>
      <c r="S2556" s="3">
        <f>NZD!C2556/1</f>
        <v>0.66459999999999997</v>
      </c>
      <c r="T2556" s="4">
        <f>1/PHP!B2556</f>
        <v>1.9696671262556628E-2</v>
      </c>
      <c r="U2556" s="4">
        <f>1/PHP!C2556</f>
        <v>1.9667617268167962E-2</v>
      </c>
      <c r="V2556" s="4">
        <f>1/TWD!B2556</f>
        <v>3.3242470580413533E-2</v>
      </c>
      <c r="W2556" s="4">
        <f>1/TWD!C2556</f>
        <v>3.3242802102274802E-2</v>
      </c>
      <c r="X2556" s="4">
        <f>1/TWD!B2556</f>
        <v>3.3242470580413533E-2</v>
      </c>
      <c r="Y2556" s="4">
        <f>1/TWD!C2556</f>
        <v>3.3242802102274802E-2</v>
      </c>
      <c r="Z2556" s="4">
        <f>1/ZAR!B2556</f>
        <v>7.0101647388713634E-2</v>
      </c>
      <c r="AA2556" s="4">
        <f>1/ZAR!C2556</f>
        <v>6.9795847147094747E-2</v>
      </c>
    </row>
    <row r="2557" spans="1:27" x14ac:dyDescent="0.25">
      <c r="A2557" t="str">
        <f>"08/01/2020"</f>
        <v>08/01/2020</v>
      </c>
      <c r="B2557" s="3">
        <f>AUD!B2557</f>
        <v>0.68710000000000004</v>
      </c>
      <c r="C2557" s="3">
        <f>AUD!C2557</f>
        <v>0.6875</v>
      </c>
      <c r="D2557" s="3">
        <f>1/CAD!B2557</f>
        <v>0.76875768757687579</v>
      </c>
      <c r="E2557" s="3">
        <f>1/CAD!C2557</f>
        <v>0.76875768757687579</v>
      </c>
      <c r="F2557" s="3">
        <f>EUR!B2557/1</f>
        <v>1.1128</v>
      </c>
      <c r="G2557" s="3">
        <f>EUR!C2557/1</f>
        <v>1.1149</v>
      </c>
      <c r="H2557" s="3">
        <f>GBP!B2557/1</f>
        <v>1.3120000000000001</v>
      </c>
      <c r="I2557" s="3">
        <f>GBP!C2557/1</f>
        <v>1.3130999999999999</v>
      </c>
      <c r="J2557" s="4">
        <f>1/INR!B2557</f>
        <v>1.3944570332926615E-2</v>
      </c>
      <c r="K2557" s="4">
        <f>1/INR!C2557</f>
        <v>1.3900472616068946E-2</v>
      </c>
      <c r="L2557" s="4">
        <f>1/JPY!B2557</f>
        <v>9.198785760279644E-3</v>
      </c>
      <c r="M2557" s="4">
        <f>1/JPY!C2557</f>
        <v>9.2137790222521967E-3</v>
      </c>
      <c r="N2557" s="5">
        <f>1/KRW!B2557</f>
        <v>8.5404389785634978E-4</v>
      </c>
      <c r="O2557" s="5">
        <f>1/KRW!C2557</f>
        <v>8.5404754482682052E-4</v>
      </c>
      <c r="P2557" s="3">
        <f>1/NOK!B2557</f>
        <v>0.11288975186832539</v>
      </c>
      <c r="Q2557" s="3">
        <f>1/NOK!C2557</f>
        <v>0.11289994806602388</v>
      </c>
      <c r="R2557" s="3">
        <f>NZD!B2557/1</f>
        <v>0.66469999999999996</v>
      </c>
      <c r="S2557" s="3">
        <f>NZD!C2557/1</f>
        <v>0.66500000000000004</v>
      </c>
      <c r="T2557" s="4">
        <f>1/PHP!B2557</f>
        <v>1.9704433497536946E-2</v>
      </c>
      <c r="U2557" s="4">
        <f>1/PHP!C2557</f>
        <v>1.9673421207948062E-2</v>
      </c>
      <c r="V2557" s="4">
        <f>1/TWD!B2557</f>
        <v>3.3235841531507576E-2</v>
      </c>
      <c r="W2557" s="4">
        <f>1/TWD!C2557</f>
        <v>3.3236172921160476E-2</v>
      </c>
      <c r="X2557" s="4">
        <f>1/TWD!B2557</f>
        <v>3.3235841531507576E-2</v>
      </c>
      <c r="Y2557" s="4">
        <f>1/TWD!C2557</f>
        <v>3.3236172921160476E-2</v>
      </c>
      <c r="Z2557" s="4">
        <f>1/ZAR!B2557</f>
        <v>7.0345254509130817E-2</v>
      </c>
      <c r="AA2557" s="4">
        <f>1/ZAR!C2557</f>
        <v>7.0047141726381851E-2</v>
      </c>
    </row>
    <row r="2558" spans="1:27" x14ac:dyDescent="0.25">
      <c r="A2558" t="str">
        <f>"09/01/2020"</f>
        <v>09/01/2020</v>
      </c>
      <c r="B2558" s="3">
        <f>AUD!B2558</f>
        <v>0.68589999999999995</v>
      </c>
      <c r="C2558" s="3">
        <f>AUD!C2558</f>
        <v>0.68640000000000001</v>
      </c>
      <c r="D2558" s="3">
        <f>1/CAD!B2558</f>
        <v>0.7660487206986365</v>
      </c>
      <c r="E2558" s="3">
        <f>1/CAD!C2558</f>
        <v>0.7660487206986365</v>
      </c>
      <c r="F2558" s="3">
        <f>EUR!B2558/1</f>
        <v>1.1106</v>
      </c>
      <c r="G2558" s="3">
        <f>EUR!C2558/1</f>
        <v>1.1127</v>
      </c>
      <c r="H2558" s="3">
        <f>GBP!B2558/1</f>
        <v>1.302</v>
      </c>
      <c r="I2558" s="3">
        <f>GBP!C2558/1</f>
        <v>1.3030999999999999</v>
      </c>
      <c r="J2558" s="4">
        <f>1/INR!B2558</f>
        <v>1.4040999719180006E-2</v>
      </c>
      <c r="K2558" s="4">
        <f>1/INR!C2558</f>
        <v>1.3996780740429702E-2</v>
      </c>
      <c r="L2558" s="4">
        <f>1/JPY!B2558</f>
        <v>9.1357573542846706E-3</v>
      </c>
      <c r="M2558" s="4">
        <f>1/JPY!C2558</f>
        <v>9.1507968971477876E-3</v>
      </c>
      <c r="N2558" s="5">
        <f>1/KRW!B2558</f>
        <v>8.6244070720137994E-4</v>
      </c>
      <c r="O2558" s="5">
        <f>1/KRW!C2558</f>
        <v>8.6244390557032691E-4</v>
      </c>
      <c r="P2558" s="3">
        <f>1/NOK!B2558</f>
        <v>0.11244293521038073</v>
      </c>
      <c r="Q2558" s="3">
        <f>1/NOK!C2558</f>
        <v>0.11245558004588187</v>
      </c>
      <c r="R2558" s="3">
        <f>NZD!B2558/1</f>
        <v>0.66159999999999997</v>
      </c>
      <c r="S2558" s="3">
        <f>NZD!C2558/1</f>
        <v>0.66190000000000004</v>
      </c>
      <c r="T2558" s="4">
        <f>1/PHP!B2558</f>
        <v>1.9735543714229326E-2</v>
      </c>
      <c r="U2558" s="4">
        <f>1/PHP!C2558</f>
        <v>1.9706957541359978E-2</v>
      </c>
      <c r="V2558" s="4">
        <f>1/TWD!B2558</f>
        <v>3.3322225924691765E-2</v>
      </c>
      <c r="W2558" s="4">
        <f>1/TWD!C2558</f>
        <v>3.3322559039243978E-2</v>
      </c>
      <c r="X2558" s="4">
        <f>1/TWD!B2558</f>
        <v>3.3322225924691765E-2</v>
      </c>
      <c r="Y2558" s="4">
        <f>1/TWD!C2558</f>
        <v>3.3322559039243978E-2</v>
      </c>
      <c r="Z2558" s="4">
        <f>1/ZAR!B2558</f>
        <v>7.0367034451700075E-2</v>
      </c>
      <c r="AA2558" s="4">
        <f>1/ZAR!C2558</f>
        <v>7.0067755519587438E-2</v>
      </c>
    </row>
    <row r="2559" spans="1:27" x14ac:dyDescent="0.25">
      <c r="A2559" t="str">
        <f>"10/01/2020"</f>
        <v>10/01/2020</v>
      </c>
      <c r="B2559" s="3">
        <f>AUD!B2559</f>
        <v>0.68840000000000001</v>
      </c>
      <c r="C2559" s="3">
        <f>AUD!C2559</f>
        <v>0.68879999999999997</v>
      </c>
      <c r="D2559" s="3">
        <f>1/CAD!B2559</f>
        <v>0.76511094108645761</v>
      </c>
      <c r="E2559" s="3">
        <f>1/CAD!C2559</f>
        <v>0.76511094108645761</v>
      </c>
      <c r="F2559" s="3">
        <f>EUR!B2559/1</f>
        <v>1.1093</v>
      </c>
      <c r="G2559" s="3">
        <f>EUR!C2559/1</f>
        <v>1.1113999999999999</v>
      </c>
      <c r="H2559" s="3">
        <f>GBP!B2559/1</f>
        <v>1.3071999999999999</v>
      </c>
      <c r="I2559" s="3">
        <f>GBP!C2559/1</f>
        <v>1.3083</v>
      </c>
      <c r="J2559" s="4">
        <f>1/INR!B2559</f>
        <v>1.4094432699083861E-2</v>
      </c>
      <c r="K2559" s="4">
        <f>1/INR!C2559</f>
        <v>1.4049383583295284E-2</v>
      </c>
      <c r="L2559" s="4">
        <f>1/JPY!B2559</f>
        <v>9.1215908054364681E-3</v>
      </c>
      <c r="M2559" s="4">
        <f>1/JPY!C2559</f>
        <v>9.1382201488616061E-3</v>
      </c>
      <c r="N2559" s="5">
        <f>1/KRW!B2559</f>
        <v>8.6073334480977798E-4</v>
      </c>
      <c r="O2559" s="5">
        <f>1/KRW!C2559</f>
        <v>8.6073667870120002E-4</v>
      </c>
      <c r="P2559" s="3">
        <f>1/NOK!B2559</f>
        <v>0.11250618784033121</v>
      </c>
      <c r="Q2559" s="3">
        <f>1/NOK!C2559</f>
        <v>0.11252011297019343</v>
      </c>
      <c r="R2559" s="3">
        <f>NZD!B2559/1</f>
        <v>0.66239999999999999</v>
      </c>
      <c r="S2559" s="3">
        <f>NZD!C2559/1</f>
        <v>0.66269999999999996</v>
      </c>
      <c r="T2559" s="4">
        <f>1/PHP!B2559</f>
        <v>1.9710259189908347E-2</v>
      </c>
      <c r="U2559" s="4">
        <f>1/PHP!C2559</f>
        <v>1.9681165124975399E-2</v>
      </c>
      <c r="V2559" s="4">
        <f>1/TWD!B2559</f>
        <v>3.3312235584130052E-2</v>
      </c>
      <c r="W2559" s="4">
        <f>1/TWD!C2559</f>
        <v>3.3312568498968978E-2</v>
      </c>
      <c r="X2559" s="4">
        <f>1/TWD!B2559</f>
        <v>3.3312235584130052E-2</v>
      </c>
      <c r="Y2559" s="4">
        <f>1/TWD!C2559</f>
        <v>3.3312568498968978E-2</v>
      </c>
      <c r="Z2559" s="4">
        <f>1/ZAR!B2559</f>
        <v>7.0273081193518008E-2</v>
      </c>
      <c r="AA2559" s="4">
        <f>1/ZAR!C2559</f>
        <v>6.9974109579455601E-2</v>
      </c>
    </row>
    <row r="2560" spans="1:27" x14ac:dyDescent="0.25">
      <c r="A2560" t="str">
        <f>"13/01/2020"</f>
        <v>13/01/2020</v>
      </c>
      <c r="B2560" s="3">
        <f>AUD!B2560</f>
        <v>0.6915</v>
      </c>
      <c r="C2560" s="3">
        <f>AUD!C2560</f>
        <v>0.69199999999999995</v>
      </c>
      <c r="D2560" s="3">
        <f>1/CAD!B2560</f>
        <v>0.76640098099325571</v>
      </c>
      <c r="E2560" s="3">
        <f>1/CAD!C2560</f>
        <v>0.76640098099325571</v>
      </c>
      <c r="F2560" s="3">
        <f>EUR!B2560/1</f>
        <v>1.113</v>
      </c>
      <c r="G2560" s="3">
        <f>EUR!C2560/1</f>
        <v>1.1153</v>
      </c>
      <c r="H2560" s="3">
        <f>GBP!B2560/1</f>
        <v>1.304</v>
      </c>
      <c r="I2560" s="3">
        <f>GBP!C2560/1</f>
        <v>1.3051999999999999</v>
      </c>
      <c r="J2560" s="4">
        <f>1/INR!B2560</f>
        <v>1.4113828023005539E-2</v>
      </c>
      <c r="K2560" s="4">
        <f>1/INR!C2560</f>
        <v>1.4064697609001408E-2</v>
      </c>
      <c r="L2560" s="4">
        <f>1/JPY!B2560</f>
        <v>9.1215908054364681E-3</v>
      </c>
      <c r="M2560" s="4">
        <f>1/JPY!C2560</f>
        <v>9.1379696345269042E-3</v>
      </c>
      <c r="N2560" s="5">
        <f>1/KRW!B2560</f>
        <v>8.658008658008658E-4</v>
      </c>
      <c r="O2560" s="5">
        <f>1/KRW!C2560</f>
        <v>8.6580536349106579E-4</v>
      </c>
      <c r="P2560" s="3">
        <f>1/NOK!B2560</f>
        <v>0.11264432554210083</v>
      </c>
      <c r="Q2560" s="3">
        <f>1/NOK!C2560</f>
        <v>0.11265447745220634</v>
      </c>
      <c r="R2560" s="3">
        <f>NZD!B2560/1</f>
        <v>0.66490000000000005</v>
      </c>
      <c r="S2560" s="3">
        <f>NZD!C2560/1</f>
        <v>0.66520000000000001</v>
      </c>
      <c r="T2560" s="4">
        <f>1/PHP!B2560</f>
        <v>1.9710259189908347E-2</v>
      </c>
      <c r="U2560" s="4">
        <f>1/PHP!C2560</f>
        <v>1.9681165124975399E-2</v>
      </c>
      <c r="V2560" s="4">
        <f>1/TWD!B2560</f>
        <v>3.3423576991209597E-2</v>
      </c>
      <c r="W2560" s="4">
        <f>1/TWD!C2560</f>
        <v>3.342391213521978E-2</v>
      </c>
      <c r="X2560" s="4">
        <f>1/TWD!B2560</f>
        <v>3.3423576991209597E-2</v>
      </c>
      <c r="Y2560" s="4">
        <f>1/TWD!C2560</f>
        <v>3.342391213521978E-2</v>
      </c>
      <c r="Z2560" s="4">
        <f>1/ZAR!B2560</f>
        <v>6.9806078713334357E-2</v>
      </c>
      <c r="AA2560" s="4">
        <f>1/ZAR!C2560</f>
        <v>6.95091265483158E-2</v>
      </c>
    </row>
    <row r="2561" spans="1:27" x14ac:dyDescent="0.25">
      <c r="A2561" t="str">
        <f>"14/01/2020"</f>
        <v>14/01/2020</v>
      </c>
      <c r="B2561" s="3">
        <f>AUD!B2561</f>
        <v>0.69040000000000001</v>
      </c>
      <c r="C2561" s="3">
        <f>AUD!C2561</f>
        <v>0.69089999999999996</v>
      </c>
      <c r="D2561" s="3">
        <f>1/CAD!B2561</f>
        <v>0.76587271195527296</v>
      </c>
      <c r="E2561" s="3">
        <f>1/CAD!C2561</f>
        <v>0.76581406034614796</v>
      </c>
      <c r="F2561" s="3">
        <f>EUR!B2561/1</f>
        <v>1.1136999999999999</v>
      </c>
      <c r="G2561" s="3">
        <f>EUR!C2561/1</f>
        <v>1.1160000000000001</v>
      </c>
      <c r="H2561" s="3">
        <f>GBP!B2561/1</f>
        <v>1.2994000000000001</v>
      </c>
      <c r="I2561" s="3">
        <f>GBP!C2561/1</f>
        <v>1.3006</v>
      </c>
      <c r="J2561" s="4">
        <f>1/INR!B2561</f>
        <v>1.4111338460452975E-2</v>
      </c>
      <c r="K2561" s="4">
        <f>1/INR!C2561</f>
        <v>1.4063214147593431E-2</v>
      </c>
      <c r="L2561" s="4">
        <f>1/JPY!B2561</f>
        <v>9.0859531164819186E-3</v>
      </c>
      <c r="M2561" s="4">
        <f>1/JPY!C2561</f>
        <v>9.1018892791576746E-3</v>
      </c>
      <c r="N2561" s="5">
        <f>1/KRW!B2561</f>
        <v>8.6685159500693486E-4</v>
      </c>
      <c r="O2561" s="5">
        <f>1/KRW!C2561</f>
        <v>8.6685685506066696E-4</v>
      </c>
      <c r="P2561" s="3">
        <f>1/NOK!B2561</f>
        <v>0.11256951167345836</v>
      </c>
      <c r="Q2561" s="3">
        <f>1/NOK!C2561</f>
        <v>0.11258091753447791</v>
      </c>
      <c r="R2561" s="3">
        <f>NZD!B2561/1</f>
        <v>0.66279999999999994</v>
      </c>
      <c r="S2561" s="3">
        <f>NZD!C2561/1</f>
        <v>0.66310000000000002</v>
      </c>
      <c r="T2561" s="4">
        <f>1/PHP!B2561</f>
        <v>1.9794140934283451E-2</v>
      </c>
      <c r="U2561" s="4">
        <f>1/PHP!C2561</f>
        <v>1.9764798893171263E-2</v>
      </c>
      <c r="V2561" s="4">
        <f>1/TWD!B2561</f>
        <v>3.3458244111349032E-2</v>
      </c>
      <c r="W2561" s="4">
        <f>1/TWD!C2561</f>
        <v>3.3458579950949724E-2</v>
      </c>
      <c r="X2561" s="4">
        <f>1/TWD!B2561</f>
        <v>3.3458244111349032E-2</v>
      </c>
      <c r="Y2561" s="4">
        <f>1/TWD!C2561</f>
        <v>3.3458579950949724E-2</v>
      </c>
      <c r="Z2561" s="4">
        <f>1/ZAR!B2561</f>
        <v>6.946760031121485E-2</v>
      </c>
      <c r="AA2561" s="4">
        <f>1/ZAR!C2561</f>
        <v>6.9154380238444307E-2</v>
      </c>
    </row>
    <row r="2562" spans="1:27" x14ac:dyDescent="0.25">
      <c r="A2562" t="str">
        <f>"15/01/2020"</f>
        <v>15/01/2020</v>
      </c>
      <c r="B2562" s="3">
        <f>AUD!B2562</f>
        <v>0.68979999999999997</v>
      </c>
      <c r="C2562" s="3">
        <f>AUD!C2562</f>
        <v>0.69030000000000002</v>
      </c>
      <c r="D2562" s="3">
        <f>1/CAD!B2562</f>
        <v>0.76569678407350683</v>
      </c>
      <c r="E2562" s="3">
        <f>1/CAD!C2562</f>
        <v>0.76569678407350683</v>
      </c>
      <c r="F2562" s="3">
        <f>EUR!B2562/1</f>
        <v>1.1132</v>
      </c>
      <c r="G2562" s="3">
        <f>EUR!C2562/1</f>
        <v>1.1153999999999999</v>
      </c>
      <c r="H2562" s="3">
        <f>GBP!B2562/1</f>
        <v>1.3027</v>
      </c>
      <c r="I2562" s="3">
        <f>GBP!C2562/1</f>
        <v>1.3039000000000001</v>
      </c>
      <c r="J2562" s="4">
        <f>1/INR!B2562</f>
        <v>1.4097413124691619E-2</v>
      </c>
      <c r="K2562" s="4">
        <f>1/INR!C2562</f>
        <v>1.4050864128143881E-2</v>
      </c>
      <c r="L2562" s="4">
        <f>1/JPY!B2562</f>
        <v>9.1000091000090991E-3</v>
      </c>
      <c r="M2562" s="4">
        <f>1/JPY!C2562</f>
        <v>9.1153548151861816E-3</v>
      </c>
      <c r="N2562" s="5">
        <f>1/KRW!B2562</f>
        <v>8.6355785837651119E-4</v>
      </c>
      <c r="O2562" s="5">
        <f>1/KRW!C2562</f>
        <v>8.6356195992295297E-4</v>
      </c>
      <c r="P2562" s="3">
        <f>1/NOK!B2562</f>
        <v>0.112631638227178</v>
      </c>
      <c r="Q2562" s="3">
        <f>1/NOK!C2562</f>
        <v>0.11264051904751177</v>
      </c>
      <c r="R2562" s="3">
        <f>NZD!B2562/1</f>
        <v>0.66110000000000002</v>
      </c>
      <c r="S2562" s="3">
        <f>NZD!C2562/1</f>
        <v>0.66139999999999999</v>
      </c>
      <c r="T2562" s="4">
        <f>1/PHP!B2562</f>
        <v>1.9700551615445233E-2</v>
      </c>
      <c r="U2562" s="4">
        <f>1/PHP!C2562</f>
        <v>1.967729240456513E-2</v>
      </c>
      <c r="V2562" s="4">
        <f>1/TWD!B2562</f>
        <v>3.3429163602326666E-2</v>
      </c>
      <c r="W2562" s="4">
        <f>1/TWD!C2562</f>
        <v>3.3429498858382617E-2</v>
      </c>
      <c r="X2562" s="4">
        <f>1/TWD!B2562</f>
        <v>3.3429163602326666E-2</v>
      </c>
      <c r="Y2562" s="4">
        <f>1/TWD!C2562</f>
        <v>3.3429498858382617E-2</v>
      </c>
      <c r="Z2562" s="4">
        <f>1/ZAR!B2562</f>
        <v>6.9372181755116197E-2</v>
      </c>
      <c r="AA2562" s="4">
        <f>1/ZAR!C2562</f>
        <v>6.9068405348657311E-2</v>
      </c>
    </row>
    <row r="2563" spans="1:27" x14ac:dyDescent="0.25">
      <c r="A2563" t="str">
        <f>"16/01/2020"</f>
        <v>16/01/2020</v>
      </c>
      <c r="B2563" s="3">
        <f>AUD!B2563</f>
        <v>0.69269999999999998</v>
      </c>
      <c r="C2563" s="3">
        <f>AUD!C2563</f>
        <v>0.69320000000000004</v>
      </c>
      <c r="D2563" s="3">
        <f>1/CAD!B2563</f>
        <v>0.76692997929289053</v>
      </c>
      <c r="E2563" s="3">
        <f>1/CAD!C2563</f>
        <v>0.76687116564417179</v>
      </c>
      <c r="F2563" s="3">
        <f>EUR!B2563/1</f>
        <v>1.1158999999999999</v>
      </c>
      <c r="G2563" s="3">
        <f>EUR!C2563/1</f>
        <v>1.1180000000000001</v>
      </c>
      <c r="H2563" s="3">
        <f>GBP!B2563/1</f>
        <v>1.3053999999999999</v>
      </c>
      <c r="I2563" s="3">
        <f>GBP!C2563/1</f>
        <v>1.3066</v>
      </c>
      <c r="J2563" s="4">
        <f>1/INR!B2563</f>
        <v>1.4096419509444602E-2</v>
      </c>
      <c r="K2563" s="4">
        <f>1/INR!C2563</f>
        <v>1.4046916701783959E-2</v>
      </c>
      <c r="L2563" s="4">
        <f>1/JPY!B2563</f>
        <v>9.0942160785740279E-3</v>
      </c>
      <c r="M2563" s="4">
        <f>1/JPY!C2563</f>
        <v>9.1089696935469332E-3</v>
      </c>
      <c r="N2563" s="5">
        <f>1/KRW!B2563</f>
        <v>8.6095566078346966E-4</v>
      </c>
      <c r="O2563" s="5">
        <f>1/KRW!C2563</f>
        <v>8.6095936702267344E-4</v>
      </c>
      <c r="P2563" s="3">
        <f>1/NOK!B2563</f>
        <v>0.11274592705338519</v>
      </c>
      <c r="Q2563" s="3">
        <f>1/NOK!C2563</f>
        <v>0.11275609728596073</v>
      </c>
      <c r="R2563" s="3">
        <f>NZD!B2563/1</f>
        <v>0.66510000000000002</v>
      </c>
      <c r="S2563" s="3">
        <f>NZD!C2563/1</f>
        <v>0.66539999999999999</v>
      </c>
      <c r="T2563" s="4">
        <f>1/PHP!B2563</f>
        <v>1.9729703067968826E-2</v>
      </c>
      <c r="U2563" s="4">
        <f>1/PHP!C2563</f>
        <v>1.9708316909735908E-2</v>
      </c>
      <c r="V2563" s="4">
        <f>1/TWD!B2563</f>
        <v>3.3383408446002336E-2</v>
      </c>
      <c r="W2563" s="4">
        <f>1/TWD!C2563</f>
        <v>3.3383742784938594E-2</v>
      </c>
      <c r="X2563" s="4">
        <f>1/TWD!B2563</f>
        <v>3.3383408446002336E-2</v>
      </c>
      <c r="Y2563" s="4">
        <f>1/TWD!C2563</f>
        <v>3.3383742784938594E-2</v>
      </c>
      <c r="Z2563" s="4">
        <f>1/ZAR!B2563</f>
        <v>6.962721588614558E-2</v>
      </c>
      <c r="AA2563" s="4">
        <f>1/ZAR!C2563</f>
        <v>6.9330818935633268E-2</v>
      </c>
    </row>
    <row r="2564" spans="1:27" x14ac:dyDescent="0.25">
      <c r="A2564" t="str">
        <f>"17/01/2020"</f>
        <v>17/01/2020</v>
      </c>
      <c r="B2564" s="3">
        <f>AUD!B2564</f>
        <v>0.68969999999999998</v>
      </c>
      <c r="C2564" s="3">
        <f>AUD!C2564</f>
        <v>0.69020000000000004</v>
      </c>
      <c r="D2564" s="3">
        <f>1/CAD!B2564</f>
        <v>0.76628352490421459</v>
      </c>
      <c r="E2564" s="3">
        <f>1/CAD!C2564</f>
        <v>0.76628352490421459</v>
      </c>
      <c r="F2564" s="3">
        <f>EUR!B2564/1</f>
        <v>1.1109</v>
      </c>
      <c r="G2564" s="3">
        <f>EUR!C2564/1</f>
        <v>1.113</v>
      </c>
      <c r="H2564" s="3">
        <f>GBP!B2564/1</f>
        <v>1.3032999999999999</v>
      </c>
      <c r="I2564" s="3">
        <f>GBP!C2564/1</f>
        <v>1.3045</v>
      </c>
      <c r="J2564" s="4">
        <f>1/INR!B2564</f>
        <v>1.406717074028486E-2</v>
      </c>
      <c r="K2564" s="4">
        <f>1/INR!C2564</f>
        <v>1.401836405691456E-2</v>
      </c>
      <c r="L2564" s="4">
        <f>1/JPY!B2564</f>
        <v>9.0785292782569211E-3</v>
      </c>
      <c r="M2564" s="4">
        <f>1/JPY!C2564</f>
        <v>9.0932981483316973E-3</v>
      </c>
      <c r="N2564" s="5">
        <f>1/KRW!B2564</f>
        <v>8.6236633321835118E-4</v>
      </c>
      <c r="O2564" s="5">
        <f>1/KRW!C2564</f>
        <v>8.6237005161284757E-4</v>
      </c>
      <c r="P2564" s="3">
        <f>1/NOK!B2564</f>
        <v>0.1122384843315076</v>
      </c>
      <c r="Q2564" s="3">
        <f>1/NOK!C2564</f>
        <v>0.1122510832229531</v>
      </c>
      <c r="R2564" s="3">
        <f>NZD!B2564/1</f>
        <v>0.66249999999999998</v>
      </c>
      <c r="S2564" s="3">
        <f>NZD!C2564/1</f>
        <v>0.66279999999999994</v>
      </c>
      <c r="T2564" s="4">
        <f>1/PHP!B2564</f>
        <v>1.9642506383814574E-2</v>
      </c>
      <c r="U2564" s="4">
        <f>1/PHP!C2564</f>
        <v>1.9622463796554294E-2</v>
      </c>
      <c r="V2564" s="4">
        <f>1/TWD!B2564</f>
        <v>3.3377837116154871E-2</v>
      </c>
      <c r="W2564" s="4">
        <f>1/TWD!C2564</f>
        <v>3.3378171343504771E-2</v>
      </c>
      <c r="X2564" s="4">
        <f>1/TWD!B2564</f>
        <v>3.3377837116154871E-2</v>
      </c>
      <c r="Y2564" s="4">
        <f>1/TWD!C2564</f>
        <v>3.3378171343504771E-2</v>
      </c>
      <c r="Z2564" s="4">
        <f>1/ZAR!B2564</f>
        <v>6.9453126085205097E-2</v>
      </c>
      <c r="AA2564" s="4">
        <f>1/ZAR!C2564</f>
        <v>6.9164902961641142E-2</v>
      </c>
    </row>
    <row r="2565" spans="1:27" x14ac:dyDescent="0.25">
      <c r="A2565" t="str">
        <f>"20/01/2020"</f>
        <v>20/01/2020</v>
      </c>
      <c r="B2565" s="3">
        <f>AUD!B2565</f>
        <v>0.68620000000000003</v>
      </c>
      <c r="C2565" s="3">
        <f>AUD!C2565</f>
        <v>0.68669999999999998</v>
      </c>
      <c r="D2565" s="3">
        <f>1/CAD!B2565</f>
        <v>0.76516948504093663</v>
      </c>
      <c r="E2565" s="3">
        <f>1/CAD!C2565</f>
        <v>0.76511094108645761</v>
      </c>
      <c r="F2565" s="3">
        <f>EUR!B2565/1</f>
        <v>1.1086</v>
      </c>
      <c r="G2565" s="3">
        <f>EUR!C2565/1</f>
        <v>1.1108</v>
      </c>
      <c r="H2565" s="3">
        <f>GBP!B2565/1</f>
        <v>1.2990999999999999</v>
      </c>
      <c r="I2565" s="3">
        <f>GBP!C2565/1</f>
        <v>1.3004</v>
      </c>
      <c r="J2565" s="4">
        <f>1/INR!B2565</f>
        <v>1.4061730999085989E-2</v>
      </c>
      <c r="K2565" s="4">
        <f>1/INR!C2565</f>
        <v>1.4014925896079323E-2</v>
      </c>
      <c r="L2565" s="4">
        <f>1/JPY!B2565</f>
        <v>9.0744101633393835E-3</v>
      </c>
      <c r="M2565" s="4">
        <f>1/JPY!C2565</f>
        <v>9.0905454690903276E-3</v>
      </c>
      <c r="N2565" s="5">
        <f>1/KRW!B2565</f>
        <v>8.634087376964254E-4</v>
      </c>
      <c r="O2565" s="5">
        <f>1/KRW!C2565</f>
        <v>8.6341209234537693E-4</v>
      </c>
      <c r="P2565" s="3">
        <f>1/NOK!B2565</f>
        <v>0.11212899319377011</v>
      </c>
      <c r="Q2565" s="3">
        <f>1/NOK!C2565</f>
        <v>0.11214030995581671</v>
      </c>
      <c r="R2565" s="3">
        <f>NZD!B2565/1</f>
        <v>0.66020000000000001</v>
      </c>
      <c r="S2565" s="3">
        <f>NZD!C2565/1</f>
        <v>0.66049999999999998</v>
      </c>
      <c r="T2565" s="4">
        <f>1/PHP!B2565</f>
        <v>1.9611688566385566E-2</v>
      </c>
      <c r="U2565" s="4">
        <f>1/PHP!C2565</f>
        <v>1.9593244249382816E-2</v>
      </c>
      <c r="V2565" s="4">
        <f>1/TWD!B2565</f>
        <v>3.3372267645586519E-2</v>
      </c>
      <c r="W2565" s="4">
        <f>1/TWD!C2565</f>
        <v>3.3372601761405919E-2</v>
      </c>
      <c r="X2565" s="4">
        <f>1/TWD!B2565</f>
        <v>3.3372267645586519E-2</v>
      </c>
      <c r="Y2565" s="4">
        <f>1/TWD!C2565</f>
        <v>3.3372601761405919E-2</v>
      </c>
      <c r="Z2565" s="4">
        <f>1/ZAR!B2565</f>
        <v>6.8870523415977963E-2</v>
      </c>
      <c r="AA2565" s="4">
        <f>1/ZAR!C2565</f>
        <v>6.8559362123694803E-2</v>
      </c>
    </row>
    <row r="2566" spans="1:27" x14ac:dyDescent="0.25">
      <c r="A2566" t="str">
        <f>"21/01/2020"</f>
        <v>21/01/2020</v>
      </c>
      <c r="B2566" s="3">
        <f>AUD!B2566</f>
        <v>0.68620000000000003</v>
      </c>
      <c r="C2566" s="3">
        <f>AUD!C2566</f>
        <v>0.68669999999999998</v>
      </c>
      <c r="D2566" s="3">
        <f>1/CAD!B2566</f>
        <v>0.76528659983163694</v>
      </c>
      <c r="E2566" s="3">
        <f>1/CAD!C2566</f>
        <v>0.76522803795531069</v>
      </c>
      <c r="F2566" s="3">
        <f>EUR!B2566/1</f>
        <v>1.1109</v>
      </c>
      <c r="G2566" s="3">
        <f>EUR!C2566/1</f>
        <v>1.1131</v>
      </c>
      <c r="H2566" s="3">
        <f>GBP!B2566/1</f>
        <v>1.3055000000000001</v>
      </c>
      <c r="I2566" s="3">
        <f>GBP!C2566/1</f>
        <v>1.3067</v>
      </c>
      <c r="J2566" s="4">
        <f>1/INR!B2566</f>
        <v>1.40424784974548E-2</v>
      </c>
      <c r="K2566" s="4">
        <f>1/INR!C2566</f>
        <v>1.3997270532246213E-2</v>
      </c>
      <c r="L2566" s="4">
        <f>1/JPY!B2566</f>
        <v>9.0859531164819186E-3</v>
      </c>
      <c r="M2566" s="4">
        <f>1/JPY!C2566</f>
        <v>9.1013508224890727E-3</v>
      </c>
      <c r="N2566" s="5">
        <f>1/KRW!B2566</f>
        <v>8.5682460800274186E-4</v>
      </c>
      <c r="O2566" s="5">
        <f>1/KRW!C2566</f>
        <v>8.5682827876051219E-4</v>
      </c>
      <c r="P2566" s="3">
        <f>1/NOK!B2566</f>
        <v>0.11185181871057223</v>
      </c>
      <c r="Q2566" s="3">
        <f>1/NOK!C2566</f>
        <v>0.11186433093943667</v>
      </c>
      <c r="R2566" s="3">
        <f>NZD!B2566/1</f>
        <v>0.66039999999999999</v>
      </c>
      <c r="S2566" s="3">
        <f>NZD!C2566/1</f>
        <v>0.66069999999999995</v>
      </c>
      <c r="T2566" s="4">
        <f>1/PHP!B2566</f>
        <v>1.9600156801254411E-2</v>
      </c>
      <c r="U2566" s="4">
        <f>1/PHP!C2566</f>
        <v>1.9582884558895525E-2</v>
      </c>
      <c r="V2566" s="4">
        <f>1/TWD!B2566</f>
        <v>3.333444448148272E-2</v>
      </c>
      <c r="W2566" s="4">
        <f>1/TWD!C2566</f>
        <v>3.3334777840373087E-2</v>
      </c>
      <c r="X2566" s="4">
        <f>1/TWD!B2566</f>
        <v>3.333444448148272E-2</v>
      </c>
      <c r="Y2566" s="4">
        <f>1/TWD!C2566</f>
        <v>3.3334777840373087E-2</v>
      </c>
      <c r="Z2566" s="4">
        <f>1/ZAR!B2566</f>
        <v>6.9014065066460545E-2</v>
      </c>
      <c r="AA2566" s="4">
        <f>1/ZAR!C2566</f>
        <v>6.8713410109116899E-2</v>
      </c>
    </row>
    <row r="2567" spans="1:27" x14ac:dyDescent="0.25">
      <c r="A2567" t="str">
        <f>"22/01/2020"</f>
        <v>22/01/2020</v>
      </c>
      <c r="B2567" s="3">
        <f>AUD!B2567</f>
        <v>0.6845</v>
      </c>
      <c r="C2567" s="3">
        <f>AUD!C2567</f>
        <v>0.68500000000000005</v>
      </c>
      <c r="D2567" s="3">
        <f>1/CAD!B2567</f>
        <v>0.76546233925290874</v>
      </c>
      <c r="E2567" s="3">
        <f>1/CAD!C2567</f>
        <v>0.76540375047837739</v>
      </c>
      <c r="F2567" s="3">
        <f>EUR!B2567/1</f>
        <v>1.1080000000000001</v>
      </c>
      <c r="G2567" s="3">
        <f>EUR!C2567/1</f>
        <v>1.1101000000000001</v>
      </c>
      <c r="H2567" s="3">
        <f>GBP!B2567/1</f>
        <v>1.3092999999999999</v>
      </c>
      <c r="I2567" s="3">
        <f>GBP!C2567/1</f>
        <v>1.3105</v>
      </c>
      <c r="J2567" s="4">
        <f>1/INR!B2567</f>
        <v>1.4045436988658309E-2</v>
      </c>
      <c r="K2567" s="4">
        <f>1/INR!C2567</f>
        <v>1.4001190101158599E-2</v>
      </c>
      <c r="L2567" s="4">
        <f>1/JPY!B2567</f>
        <v>9.0933891061198511E-3</v>
      </c>
      <c r="M2567" s="4">
        <f>1/JPY!C2567</f>
        <v>9.1084303988399513E-3</v>
      </c>
      <c r="N2567" s="5">
        <f>1/KRW!B2567</f>
        <v>8.585901948999742E-4</v>
      </c>
      <c r="O2567" s="5">
        <f>1/KRW!C2567</f>
        <v>8.5859388080141157E-4</v>
      </c>
      <c r="P2567" s="3">
        <f>1/NOK!B2567</f>
        <v>0.11138710360114505</v>
      </c>
      <c r="Q2567" s="3">
        <f>1/NOK!C2567</f>
        <v>0.11140075306909075</v>
      </c>
      <c r="R2567" s="3">
        <f>NZD!B2567/1</f>
        <v>0.65969999999999995</v>
      </c>
      <c r="S2567" s="3">
        <f>NZD!C2567/1</f>
        <v>0.66</v>
      </c>
      <c r="T2567" s="4">
        <f>1/PHP!B2567</f>
        <v>1.9644435713584128E-2</v>
      </c>
      <c r="U2567" s="4">
        <f>1/PHP!C2567</f>
        <v>1.9627085377821391E-2</v>
      </c>
      <c r="V2567" s="4">
        <f>1/TWD!B2567</f>
        <v>3.3326667999733384E-2</v>
      </c>
      <c r="W2567" s="4">
        <f>1/TWD!C2567</f>
        <v>3.3327001203104743E-2</v>
      </c>
      <c r="X2567" s="4">
        <f>1/TWD!B2567</f>
        <v>3.3326667999733384E-2</v>
      </c>
      <c r="Y2567" s="4">
        <f>1/TWD!C2567</f>
        <v>3.3327001203104743E-2</v>
      </c>
      <c r="Z2567" s="4">
        <f>1/ZAR!B2567</f>
        <v>6.9207025897269084E-2</v>
      </c>
      <c r="AA2567" s="4">
        <f>1/ZAR!C2567</f>
        <v>6.8915612832087109E-2</v>
      </c>
    </row>
    <row r="2568" spans="1:27" x14ac:dyDescent="0.25">
      <c r="A2568" t="str">
        <f>"23/01/2020"</f>
        <v>23/01/2020</v>
      </c>
      <c r="B2568" s="3">
        <f>AUD!B2568</f>
        <v>0.68689999999999996</v>
      </c>
      <c r="C2568" s="3">
        <f>AUD!C2568</f>
        <v>0.68730000000000002</v>
      </c>
      <c r="D2568" s="3">
        <f>1/CAD!B2568</f>
        <v>0.7601672367920943</v>
      </c>
      <c r="E2568" s="3">
        <f>1/CAD!C2568</f>
        <v>0.76010945576162958</v>
      </c>
      <c r="F2568" s="3">
        <f>EUR!B2568/1</f>
        <v>1.1091</v>
      </c>
      <c r="G2568" s="3">
        <f>EUR!C2568/1</f>
        <v>1.1112</v>
      </c>
      <c r="H2568" s="3">
        <f>GBP!B2568/1</f>
        <v>1.3127</v>
      </c>
      <c r="I2568" s="3">
        <f>GBP!C2568/1</f>
        <v>1.3139000000000001</v>
      </c>
      <c r="J2568" s="4">
        <f>1/INR!B2568</f>
        <v>1.4029180695847363E-2</v>
      </c>
      <c r="K2568" s="4">
        <f>1/INR!C2568</f>
        <v>1.3984547075481595E-2</v>
      </c>
      <c r="L2568" s="4">
        <f>1/JPY!B2568</f>
        <v>9.1207588471360814E-3</v>
      </c>
      <c r="M2568" s="4">
        <f>1/JPY!C2568</f>
        <v>9.1354318638382156E-3</v>
      </c>
      <c r="N2568" s="5">
        <f>1/KRW!B2568</f>
        <v>8.5557837097878172E-4</v>
      </c>
      <c r="O2568" s="5">
        <f>1/KRW!C2568</f>
        <v>8.555820310661835E-4</v>
      </c>
      <c r="P2568" s="3">
        <f>1/NOK!B2568</f>
        <v>0.11128421989761851</v>
      </c>
      <c r="Q2568" s="3">
        <f>1/NOK!C2568</f>
        <v>0.11129908289555694</v>
      </c>
      <c r="R2568" s="3">
        <f>NZD!B2568/1</f>
        <v>0.65969999999999995</v>
      </c>
      <c r="S2568" s="3">
        <f>NZD!C2568/1</f>
        <v>0.66</v>
      </c>
      <c r="T2568" s="4">
        <f>1/PHP!B2568</f>
        <v>1.9611688566385566E-2</v>
      </c>
      <c r="U2568" s="4">
        <f>1/PHP!C2568</f>
        <v>1.9593628152124929E-2</v>
      </c>
      <c r="V2568" s="4">
        <f>1/TWD!B2568</f>
        <v>3.3326667999733384E-2</v>
      </c>
      <c r="W2568" s="4">
        <f>1/TWD!C2568</f>
        <v>3.3327001203104743E-2</v>
      </c>
      <c r="X2568" s="4">
        <f>1/TWD!B2568</f>
        <v>3.3326667999733384E-2</v>
      </c>
      <c r="Y2568" s="4">
        <f>1/TWD!C2568</f>
        <v>3.3327001203104743E-2</v>
      </c>
      <c r="Z2568" s="4">
        <f>1/ZAR!B2568</f>
        <v>6.9510092865484069E-2</v>
      </c>
      <c r="AA2568" s="4">
        <f>1/ZAR!C2568</f>
        <v>6.9217564649205379E-2</v>
      </c>
    </row>
    <row r="2569" spans="1:27" x14ac:dyDescent="0.25">
      <c r="A2569" t="str">
        <f>"24/01/2020"</f>
        <v>24/01/2020</v>
      </c>
      <c r="B2569" s="3">
        <f>AUD!B2569</f>
        <v>0.68469999999999998</v>
      </c>
      <c r="C2569" s="3">
        <f>AUD!C2569</f>
        <v>0.68510000000000004</v>
      </c>
      <c r="D2569" s="3">
        <f>1/CAD!B2569</f>
        <v>0.76138267093040968</v>
      </c>
      <c r="E2569" s="3">
        <f>1/CAD!C2569</f>
        <v>0.76132470498667693</v>
      </c>
      <c r="F2569" s="3">
        <f>EUR!B2569/1</f>
        <v>1.1032</v>
      </c>
      <c r="G2569" s="3">
        <f>EUR!C2569/1</f>
        <v>1.1052999999999999</v>
      </c>
      <c r="H2569" s="3">
        <f>GBP!B2569/1</f>
        <v>1.3089999999999999</v>
      </c>
      <c r="I2569" s="3">
        <f>GBP!C2569/1</f>
        <v>1.3102</v>
      </c>
      <c r="J2569" s="4">
        <f>1/INR!B2569</f>
        <v>1.4017872787804449E-2</v>
      </c>
      <c r="K2569" s="4">
        <f>1/INR!C2569</f>
        <v>1.3972822859538199E-2</v>
      </c>
      <c r="L2569" s="4">
        <f>1/JPY!B2569</f>
        <v>9.1240875912408769E-3</v>
      </c>
      <c r="M2569" s="4">
        <f>1/JPY!C2569</f>
        <v>9.1385708920067657E-3</v>
      </c>
      <c r="N2569" s="5">
        <f>1/KRW!B2569</f>
        <v>8.5557837097878172E-4</v>
      </c>
      <c r="O2569" s="5">
        <f>1/KRW!C2569</f>
        <v>8.5558166505603423E-4</v>
      </c>
      <c r="P2569" s="3">
        <f>1/NOK!B2569</f>
        <v>0.11108025548458762</v>
      </c>
      <c r="Q2569" s="3">
        <f>1/NOK!C2569</f>
        <v>0.11109012742037616</v>
      </c>
      <c r="R2569" s="3">
        <f>NZD!B2569/1</f>
        <v>0.66159999999999997</v>
      </c>
      <c r="S2569" s="3">
        <f>NZD!C2569/1</f>
        <v>0.66190000000000004</v>
      </c>
      <c r="T2569" s="4">
        <f>1/PHP!B2569</f>
        <v>1.967729240456513E-2</v>
      </c>
      <c r="U2569" s="4">
        <f>1/PHP!C2569</f>
        <v>1.9659497503243816E-2</v>
      </c>
      <c r="V2569" s="4">
        <f>1/TWD!B2569</f>
        <v>3.3326667999733384E-2</v>
      </c>
      <c r="W2569" s="4">
        <f>1/TWD!C2569</f>
        <v>3.3327001203104743E-2</v>
      </c>
      <c r="X2569" s="4">
        <f>1/TWD!B2569</f>
        <v>3.3326667999733384E-2</v>
      </c>
      <c r="Y2569" s="4">
        <f>1/TWD!C2569</f>
        <v>3.3327001203104743E-2</v>
      </c>
      <c r="Z2569" s="4">
        <f>1/ZAR!B2569</f>
        <v>6.974668005802924E-2</v>
      </c>
      <c r="AA2569" s="4">
        <f>1/ZAR!C2569</f>
        <v>6.944974963365258E-2</v>
      </c>
    </row>
    <row r="2570" spans="1:27" x14ac:dyDescent="0.25">
      <c r="A2570" t="str">
        <f>"27/01/2020"</f>
        <v>27/01/2020</v>
      </c>
      <c r="B2570" s="3">
        <f>AUD!B2570</f>
        <v>0.67720000000000002</v>
      </c>
      <c r="C2570" s="3">
        <f>AUD!C2570</f>
        <v>0.67749999999999999</v>
      </c>
      <c r="D2570" s="3">
        <f>1/CAD!B2570</f>
        <v>0.75861022606584738</v>
      </c>
      <c r="E2570" s="3">
        <f>1/CAD!C2570</f>
        <v>0.75855268148372901</v>
      </c>
      <c r="F2570" s="3">
        <f>EUR!B2570/1</f>
        <v>1.1023000000000001</v>
      </c>
      <c r="G2570" s="3">
        <f>EUR!C2570/1</f>
        <v>1.1043000000000001</v>
      </c>
      <c r="H2570" s="3">
        <f>GBP!B2570/1</f>
        <v>1.3084</v>
      </c>
      <c r="I2570" s="3">
        <f>GBP!C2570/1</f>
        <v>1.3096000000000001</v>
      </c>
      <c r="J2570" s="4">
        <f>1/INR!B2570</f>
        <v>1.3996780740429702E-2</v>
      </c>
      <c r="K2570" s="4">
        <f>1/INR!C2570</f>
        <v>1.3953326124114835E-2</v>
      </c>
      <c r="L2570" s="4">
        <f>1/JPY!B2570</f>
        <v>9.1802074726888821E-3</v>
      </c>
      <c r="M2570" s="4">
        <f>1/JPY!C2570</f>
        <v>9.1945568223611614E-3</v>
      </c>
      <c r="N2570" s="5">
        <f>1/KRW!B2570</f>
        <v>8.5557837097878172E-4</v>
      </c>
      <c r="O2570" s="5">
        <f>1/KRW!C2570</f>
        <v>8.5558532517161963E-4</v>
      </c>
      <c r="P2570" s="3">
        <f>1/NOK!B2570</f>
        <v>0.10991909954273654</v>
      </c>
      <c r="Q2570" s="3">
        <f>1/NOK!C2570</f>
        <v>0.10992876615952862</v>
      </c>
      <c r="R2570" s="3">
        <f>NZD!B2570/1</f>
        <v>0.65620000000000001</v>
      </c>
      <c r="S2570" s="3">
        <f>NZD!C2570/1</f>
        <v>0.65639999999999998</v>
      </c>
      <c r="T2570" s="4">
        <f>1/PHP!B2570</f>
        <v>1.9663749877101566E-2</v>
      </c>
      <c r="U2570" s="4">
        <f>1/PHP!C2570</f>
        <v>1.964713741207906E-2</v>
      </c>
      <c r="V2570" s="4">
        <f>1/TWD!B2570</f>
        <v>3.3326667999733384E-2</v>
      </c>
      <c r="W2570" s="4">
        <f>1/TWD!C2570</f>
        <v>3.3327001203104743E-2</v>
      </c>
      <c r="X2570" s="4">
        <f>1/TWD!B2570</f>
        <v>3.3326667999733384E-2</v>
      </c>
      <c r="Y2570" s="4">
        <f>1/TWD!C2570</f>
        <v>3.3327001203104743E-2</v>
      </c>
      <c r="Z2570" s="4">
        <f>1/ZAR!B2570</f>
        <v>6.8853926395152684E-2</v>
      </c>
      <c r="AA2570" s="4">
        <f>1/ZAR!C2570</f>
        <v>6.8566413428046397E-2</v>
      </c>
    </row>
    <row r="2571" spans="1:27" x14ac:dyDescent="0.25">
      <c r="A2571" t="str">
        <f>"28/01/2020"</f>
        <v>28/01/2020</v>
      </c>
      <c r="B2571" s="3">
        <f>AUD!B2571</f>
        <v>0.67459999999999998</v>
      </c>
      <c r="C2571" s="3">
        <f>AUD!C2571</f>
        <v>0.67490000000000006</v>
      </c>
      <c r="D2571" s="3">
        <f>1/CAD!B2571</f>
        <v>0.75757575757575757</v>
      </c>
      <c r="E2571" s="3">
        <f>1/CAD!C2571</f>
        <v>0.75751836982046816</v>
      </c>
      <c r="F2571" s="3">
        <f>EUR!B2571/1</f>
        <v>1.1008</v>
      </c>
      <c r="G2571" s="3">
        <f>EUR!C2571/1</f>
        <v>1.1028</v>
      </c>
      <c r="H2571" s="3">
        <f>GBP!B2571/1</f>
        <v>1.3010999999999999</v>
      </c>
      <c r="I2571" s="3">
        <f>GBP!C2571/1</f>
        <v>1.3023</v>
      </c>
      <c r="J2571" s="4">
        <f>1/INR!B2571</f>
        <v>1.4015908055643156E-2</v>
      </c>
      <c r="K2571" s="4">
        <f>1/INR!C2571</f>
        <v>1.3973310976035772E-2</v>
      </c>
      <c r="L2571" s="4">
        <f>1/JPY!B2571</f>
        <v>9.1852668320014687E-3</v>
      </c>
      <c r="M2571" s="4">
        <f>1/JPY!C2571</f>
        <v>9.1993019569675052E-3</v>
      </c>
      <c r="N2571" s="5">
        <f>1/KRW!B2571</f>
        <v>8.499787505312367E-4</v>
      </c>
      <c r="O2571" s="5">
        <f>1/KRW!C2571</f>
        <v>8.4998164039656735E-4</v>
      </c>
      <c r="P2571" s="3">
        <f>1/NOK!B2571</f>
        <v>0.10898113536546823</v>
      </c>
      <c r="Q2571" s="3">
        <f>1/NOK!C2571</f>
        <v>0.108991825613079</v>
      </c>
      <c r="R2571" s="3">
        <f>NZD!B2571/1</f>
        <v>0.65300000000000002</v>
      </c>
      <c r="S2571" s="3">
        <f>NZD!C2571/1</f>
        <v>0.6532</v>
      </c>
      <c r="T2571" s="4">
        <f>1/PHP!B2571</f>
        <v>1.9698611247907023E-2</v>
      </c>
      <c r="U2571" s="4">
        <f>1/PHP!C2571</f>
        <v>1.9681165124975399E-2</v>
      </c>
      <c r="V2571" s="4">
        <f>1/TWD!B2571</f>
        <v>3.3326667999733384E-2</v>
      </c>
      <c r="W2571" s="4">
        <f>1/TWD!C2571</f>
        <v>3.3327001203104743E-2</v>
      </c>
      <c r="X2571" s="4">
        <f>1/TWD!B2571</f>
        <v>3.3326667999733384E-2</v>
      </c>
      <c r="Y2571" s="4">
        <f>1/TWD!C2571</f>
        <v>3.3327001203104743E-2</v>
      </c>
      <c r="Z2571" s="4">
        <f>1/ZAR!B2571</f>
        <v>6.7991596238704891E-2</v>
      </c>
      <c r="AA2571" s="4">
        <f>1/ZAR!C2571</f>
        <v>6.7713517649528376E-2</v>
      </c>
    </row>
    <row r="2572" spans="1:27" x14ac:dyDescent="0.25">
      <c r="A2572" t="str">
        <f>"29/01/2020"</f>
        <v>29/01/2020</v>
      </c>
      <c r="B2572" s="3">
        <f>AUD!B2572</f>
        <v>0.67469999999999997</v>
      </c>
      <c r="C2572" s="3">
        <f>AUD!C2572</f>
        <v>0.67510000000000003</v>
      </c>
      <c r="D2572" s="3">
        <f>1/CAD!B2572</f>
        <v>0.75866777937940977</v>
      </c>
      <c r="E2572" s="3">
        <f>1/CAD!C2572</f>
        <v>0.75861022606584738</v>
      </c>
      <c r="F2572" s="3">
        <f>EUR!B2572/1</f>
        <v>1.1002000000000001</v>
      </c>
      <c r="G2572" s="3">
        <f>EUR!C2572/1</f>
        <v>1.1021000000000001</v>
      </c>
      <c r="H2572" s="3">
        <f>GBP!B2572/1</f>
        <v>1.3012999999999999</v>
      </c>
      <c r="I2572" s="3">
        <f>GBP!C2572/1</f>
        <v>1.3024</v>
      </c>
      <c r="J2572" s="4">
        <f>1/INR!B2572</f>
        <v>1.4033610497140653E-2</v>
      </c>
      <c r="K2572" s="4">
        <f>1/INR!C2572</f>
        <v>1.3991395291895485E-2</v>
      </c>
      <c r="L2572" s="4">
        <f>1/JPY!B2572</f>
        <v>9.1684239479233529E-3</v>
      </c>
      <c r="M2572" s="4">
        <f>1/JPY!C2572</f>
        <v>9.1818005694552715E-3</v>
      </c>
      <c r="N2572" s="5">
        <f>1/KRW!B2572</f>
        <v>8.4940117217361766E-4</v>
      </c>
      <c r="O2572" s="5">
        <f>1/KRW!C2572</f>
        <v>8.4940297588332605E-4</v>
      </c>
      <c r="P2572" s="3">
        <f>1/NOK!B2572</f>
        <v>0.10948825191057</v>
      </c>
      <c r="Q2572" s="3">
        <f>1/NOK!C2572</f>
        <v>0.10949784289249502</v>
      </c>
      <c r="R2572" s="3">
        <f>NZD!B2572/1</f>
        <v>0.65190000000000003</v>
      </c>
      <c r="S2572" s="3">
        <f>NZD!C2572/1</f>
        <v>0.6522</v>
      </c>
      <c r="T2572" s="4">
        <f>1/PHP!B2572</f>
        <v>1.966568338249754E-2</v>
      </c>
      <c r="U2572" s="4">
        <f>1/PHP!C2572</f>
        <v>1.9648681573466421E-2</v>
      </c>
      <c r="V2572" s="4">
        <f>1/TWD!B2572</f>
        <v>3.3326667999733384E-2</v>
      </c>
      <c r="W2572" s="4">
        <f>1/TWD!C2572</f>
        <v>3.3327001203104743E-2</v>
      </c>
      <c r="X2572" s="4">
        <f>1/TWD!B2572</f>
        <v>3.3326667999733384E-2</v>
      </c>
      <c r="Y2572" s="4">
        <f>1/TWD!C2572</f>
        <v>3.3327001203104743E-2</v>
      </c>
      <c r="Z2572" s="4">
        <f>1/ZAR!B2572</f>
        <v>6.8431281307311201E-2</v>
      </c>
      <c r="AA2572" s="4">
        <f>1/ZAR!C2572</f>
        <v>6.8170043356147569E-2</v>
      </c>
    </row>
    <row r="2573" spans="1:27" x14ac:dyDescent="0.25">
      <c r="A2573" t="str">
        <f>"30/01/2020"</f>
        <v>30/01/2020</v>
      </c>
      <c r="B2573" s="3">
        <f>AUD!B2573</f>
        <v>0.67269999999999996</v>
      </c>
      <c r="C2573" s="3">
        <f>AUD!C2573</f>
        <v>0.67310000000000003</v>
      </c>
      <c r="D2573" s="3">
        <f>1/CAD!B2573</f>
        <v>0.75614366729678639</v>
      </c>
      <c r="E2573" s="3">
        <f>1/CAD!C2573</f>
        <v>0.75608649629517621</v>
      </c>
      <c r="F2573" s="3">
        <f>EUR!B2573/1</f>
        <v>1.1021000000000001</v>
      </c>
      <c r="G2573" s="3">
        <f>EUR!C2573/1</f>
        <v>1.1041000000000001</v>
      </c>
      <c r="H2573" s="3">
        <f>GBP!B2573/1</f>
        <v>1.3027</v>
      </c>
      <c r="I2573" s="3">
        <f>GBP!C2573/1</f>
        <v>1.3038000000000001</v>
      </c>
      <c r="J2573" s="4">
        <f>1/INR!B2573</f>
        <v>1.3986992097349464E-2</v>
      </c>
      <c r="K2573" s="4">
        <f>1/INR!C2573</f>
        <v>1.3943112102621306E-2</v>
      </c>
      <c r="L2573" s="4">
        <f>1/JPY!B2573</f>
        <v>9.1861106007716329E-3</v>
      </c>
      <c r="M2573" s="4">
        <f>1/JPY!C2573</f>
        <v>9.1999705600942071E-3</v>
      </c>
      <c r="N2573" s="5">
        <f>1/KRW!B2573</f>
        <v>8.4373945325683423E-4</v>
      </c>
      <c r="O2573" s="5">
        <f>1/KRW!C2573</f>
        <v>8.4374087705176677E-4</v>
      </c>
      <c r="P2573" s="3">
        <f>1/NOK!B2573</f>
        <v>0.1083141978250509</v>
      </c>
      <c r="Q2573" s="3">
        <f>1/NOK!C2573</f>
        <v>0.10832593106137746</v>
      </c>
      <c r="R2573" s="3">
        <f>NZD!B2573/1</f>
        <v>0.65039999999999998</v>
      </c>
      <c r="S2573" s="3">
        <f>NZD!C2573/1</f>
        <v>0.65059999999999996</v>
      </c>
      <c r="T2573" s="4">
        <f>1/PHP!B2573</f>
        <v>1.9607843137254902E-2</v>
      </c>
      <c r="U2573" s="4">
        <f>1/PHP!C2573</f>
        <v>1.9586336571607646E-2</v>
      </c>
      <c r="V2573" s="4">
        <f>1/TWD!B2573</f>
        <v>3.3028371371007698E-2</v>
      </c>
      <c r="W2573" s="4">
        <f>1/TWD!C2573</f>
        <v>3.3028698636245031E-2</v>
      </c>
      <c r="X2573" s="4">
        <f>1/TWD!B2573</f>
        <v>3.3028371371007698E-2</v>
      </c>
      <c r="Y2573" s="4">
        <f>1/TWD!C2573</f>
        <v>3.3028698636245031E-2</v>
      </c>
      <c r="Z2573" s="4">
        <f>1/ZAR!B2573</f>
        <v>6.795463348668429E-2</v>
      </c>
      <c r="AA2573" s="4">
        <f>1/ZAR!C2573</f>
        <v>6.7690141607776241E-2</v>
      </c>
    </row>
    <row r="2574" spans="1:27" x14ac:dyDescent="0.25">
      <c r="A2574" t="str">
        <f>"31/01/2020"</f>
        <v>31/01/2020</v>
      </c>
      <c r="B2574" s="3">
        <f>AUD!B2574</f>
        <v>0.67190000000000005</v>
      </c>
      <c r="C2574" s="3">
        <f>AUD!C2574</f>
        <v>0.67220000000000002</v>
      </c>
      <c r="D2574" s="3">
        <f>1/CAD!B2574</f>
        <v>0.75734625870948191</v>
      </c>
      <c r="E2574" s="3">
        <f>1/CAD!C2574</f>
        <v>0.75728890571753127</v>
      </c>
      <c r="F2574" s="3">
        <f>EUR!B2574/1</f>
        <v>1.1024</v>
      </c>
      <c r="G2574" s="3">
        <f>EUR!C2574/1</f>
        <v>1.1043000000000001</v>
      </c>
      <c r="H2574" s="3">
        <f>GBP!B2574/1</f>
        <v>1.3098000000000001</v>
      </c>
      <c r="I2574" s="3">
        <f>GBP!C2574/1</f>
        <v>1.3108</v>
      </c>
      <c r="J2574" s="4">
        <f>1/INR!B2574</f>
        <v>1.3998740113389795E-2</v>
      </c>
      <c r="K2574" s="4">
        <f>1/INR!C2574</f>
        <v>1.3955760240039077E-2</v>
      </c>
      <c r="L2574" s="4">
        <f>1/JPY!B2574</f>
        <v>9.1675834250091685E-3</v>
      </c>
      <c r="M2574" s="4">
        <f>1/JPY!C2574</f>
        <v>9.1814296404093085E-3</v>
      </c>
      <c r="N2574" s="5">
        <f>1/KRW!B2574</f>
        <v>8.4153833207102592E-4</v>
      </c>
      <c r="O2574" s="5">
        <f>1/KRW!C2574</f>
        <v>8.4153904025838612E-4</v>
      </c>
      <c r="P2574" s="3">
        <f>1/NOK!B2574</f>
        <v>0.10888976000696894</v>
      </c>
      <c r="Q2574" s="3">
        <f>1/NOK!C2574</f>
        <v>0.10889806052554205</v>
      </c>
      <c r="R2574" s="3">
        <f>NZD!B2574/1</f>
        <v>0.6482</v>
      </c>
      <c r="S2574" s="3">
        <f>NZD!C2574/1</f>
        <v>0.64839999999999998</v>
      </c>
      <c r="T2574" s="4">
        <f>1/PHP!B2574</f>
        <v>1.9646365422396856E-2</v>
      </c>
      <c r="U2574" s="4">
        <f>1/PHP!C2574</f>
        <v>1.9625159454420567E-2</v>
      </c>
      <c r="V2574" s="4">
        <f>1/TWD!B2574</f>
        <v>3.3083005260197834E-2</v>
      </c>
      <c r="W2574" s="4">
        <f>1/TWD!C2574</f>
        <v>3.3083224158693608E-2</v>
      </c>
      <c r="X2574" s="4">
        <f>1/TWD!B2574</f>
        <v>3.3083005260197834E-2</v>
      </c>
      <c r="Y2574" s="4">
        <f>1/TWD!C2574</f>
        <v>3.3083224158693608E-2</v>
      </c>
      <c r="Z2574" s="4">
        <f>1/ZAR!B2574</f>
        <v>6.7662661037133268E-2</v>
      </c>
      <c r="AA2574" s="4">
        <f>1/ZAR!C2574</f>
        <v>6.7398615632434919E-2</v>
      </c>
    </row>
    <row r="2575" spans="1:27" x14ac:dyDescent="0.25">
      <c r="A2575" t="str">
        <f>"03/02/2020"</f>
        <v>03/02/2020</v>
      </c>
      <c r="B2575" s="3">
        <f>AUD!B2575</f>
        <v>0.66949999999999998</v>
      </c>
      <c r="C2575" s="3">
        <f>AUD!C2575</f>
        <v>0.66990000000000005</v>
      </c>
      <c r="D2575" s="3">
        <f>1/CAD!B2575</f>
        <v>0.75528700906344404</v>
      </c>
      <c r="E2575" s="3">
        <f>1/CAD!C2575</f>
        <v>0.7552299675251114</v>
      </c>
      <c r="F2575" s="3">
        <f>EUR!B2575/1</f>
        <v>1.1062000000000001</v>
      </c>
      <c r="G2575" s="3">
        <f>EUR!C2575/1</f>
        <v>1.1082000000000001</v>
      </c>
      <c r="H2575" s="3">
        <f>GBP!B2575/1</f>
        <v>1.3053999999999999</v>
      </c>
      <c r="I2575" s="3">
        <f>GBP!C2575/1</f>
        <v>1.3064</v>
      </c>
      <c r="J2575" s="4">
        <f>1/INR!B2575</f>
        <v>1.4011980243107855E-2</v>
      </c>
      <c r="K2575" s="4">
        <f>1/INR!C2575</f>
        <v>1.3970382788488405E-2</v>
      </c>
      <c r="L2575" s="4">
        <f>1/JPY!B2575</f>
        <v>9.2182890855457226E-3</v>
      </c>
      <c r="M2575" s="4">
        <f>1/JPY!C2575</f>
        <v>9.232425385846137E-3</v>
      </c>
      <c r="N2575" s="5">
        <f>1/KRW!B2575</f>
        <v>8.3682008368200832E-4</v>
      </c>
      <c r="O2575" s="5">
        <f>1/KRW!C2575</f>
        <v>8.3682064389666543E-4</v>
      </c>
      <c r="P2575" s="3">
        <f>1/NOK!B2575</f>
        <v>0.1077737183010551</v>
      </c>
      <c r="Q2575" s="3">
        <f>1/NOK!C2575</f>
        <v>0.10778649650771752</v>
      </c>
      <c r="R2575" s="3">
        <f>NZD!B2575/1</f>
        <v>0.64670000000000005</v>
      </c>
      <c r="S2575" s="3">
        <f>NZD!C2575/1</f>
        <v>0.64690000000000003</v>
      </c>
      <c r="T2575" s="4">
        <f>1/PHP!B2575</f>
        <v>1.968503937007874E-2</v>
      </c>
      <c r="U2575" s="4">
        <f>1/PHP!C2575</f>
        <v>1.9659304257222336E-2</v>
      </c>
      <c r="V2575" s="4">
        <f>1/TWD!B2575</f>
        <v>3.2968482131082687E-2</v>
      </c>
      <c r="W2575" s="4">
        <f>1/TWD!C2575</f>
        <v>3.2968699516678864E-2</v>
      </c>
      <c r="X2575" s="4">
        <f>1/TWD!B2575</f>
        <v>3.2968482131082687E-2</v>
      </c>
      <c r="Y2575" s="4">
        <f>1/TWD!C2575</f>
        <v>3.2968699516678864E-2</v>
      </c>
      <c r="Z2575" s="4">
        <f>1/ZAR!B2575</f>
        <v>6.7136623027861705E-2</v>
      </c>
      <c r="AA2575" s="4">
        <f>1/ZAR!C2575</f>
        <v>6.6877553886589045E-2</v>
      </c>
    </row>
    <row r="2576" spans="1:27" x14ac:dyDescent="0.25">
      <c r="A2576" t="str">
        <f>"04/02/2020"</f>
        <v>04/02/2020</v>
      </c>
      <c r="B2576" s="3">
        <f>AUD!B2576</f>
        <v>0.67149999999999999</v>
      </c>
      <c r="C2576" s="3">
        <f>AUD!C2576</f>
        <v>0.67190000000000005</v>
      </c>
      <c r="D2576" s="3">
        <f>1/CAD!B2576</f>
        <v>0.75312547070341918</v>
      </c>
      <c r="E2576" s="3">
        <f>1/CAD!C2576</f>
        <v>0.75306875517734762</v>
      </c>
      <c r="F2576" s="3">
        <f>EUR!B2576/1</f>
        <v>1.1052999999999999</v>
      </c>
      <c r="G2576" s="3">
        <f>EUR!C2576/1</f>
        <v>1.1073</v>
      </c>
      <c r="H2576" s="3">
        <f>GBP!B2576/1</f>
        <v>1.3011999999999999</v>
      </c>
      <c r="I2576" s="3">
        <f>GBP!C2576/1</f>
        <v>1.3022</v>
      </c>
      <c r="J2576" s="4">
        <f>1/INR!B2576</f>
        <v>1.4029180695847363E-2</v>
      </c>
      <c r="K2576" s="4">
        <f>1/INR!C2576</f>
        <v>1.3986992097349464E-2</v>
      </c>
      <c r="L2576" s="4">
        <f>1/JPY!B2576</f>
        <v>9.170105456212746E-3</v>
      </c>
      <c r="M2576" s="4">
        <f>1/JPY!C2576</f>
        <v>9.1840352079173727E-3</v>
      </c>
      <c r="N2576" s="5">
        <f>1/KRW!B2576</f>
        <v>8.4196345878588866E-4</v>
      </c>
      <c r="O2576" s="5">
        <f>1/KRW!C2576</f>
        <v>8.4196402590824338E-4</v>
      </c>
      <c r="P2576" s="3">
        <f>1/NOK!B2576</f>
        <v>0.10826611811833488</v>
      </c>
      <c r="Q2576" s="3">
        <f>1/NOK!C2576</f>
        <v>0.10828018580879885</v>
      </c>
      <c r="R2576" s="3">
        <f>NZD!B2576/1</f>
        <v>0.64610000000000001</v>
      </c>
      <c r="S2576" s="3">
        <f>NZD!C2576/1</f>
        <v>0.64639999999999997</v>
      </c>
      <c r="T2576" s="4">
        <f>1/PHP!B2576</f>
        <v>1.9692792437967704E-2</v>
      </c>
      <c r="U2576" s="4">
        <f>1/PHP!C2576</f>
        <v>1.9667617268167962E-2</v>
      </c>
      <c r="V2576" s="4">
        <f>1/TWD!B2576</f>
        <v>3.310490945807263E-2</v>
      </c>
      <c r="W2576" s="4">
        <f>1/TWD!C2576</f>
        <v>3.3105128646529917E-2</v>
      </c>
      <c r="X2576" s="4">
        <f>1/TWD!B2576</f>
        <v>3.310490945807263E-2</v>
      </c>
      <c r="Y2576" s="4">
        <f>1/TWD!C2576</f>
        <v>3.3105128646529917E-2</v>
      </c>
      <c r="Z2576" s="4">
        <f>1/ZAR!B2576</f>
        <v>6.7560720197277296E-2</v>
      </c>
      <c r="AA2576" s="4">
        <f>1/ZAR!C2576</f>
        <v>6.7298826981445709E-2</v>
      </c>
    </row>
    <row r="2577" spans="1:27" x14ac:dyDescent="0.25">
      <c r="A2577" t="str">
        <f>"05/02/2020"</f>
        <v>05/02/2020</v>
      </c>
      <c r="B2577" s="3">
        <f>AUD!B2577</f>
        <v>0.67589999999999995</v>
      </c>
      <c r="C2577" s="3">
        <f>AUD!C2577</f>
        <v>0.67630000000000001</v>
      </c>
      <c r="D2577" s="3">
        <f>1/CAD!B2577</f>
        <v>0.75301204819277101</v>
      </c>
      <c r="E2577" s="3">
        <f>1/CAD!C2577</f>
        <v>0.75295534974775991</v>
      </c>
      <c r="F2577" s="3">
        <f>EUR!B2577/1</f>
        <v>1.1025</v>
      </c>
      <c r="G2577" s="3">
        <f>EUR!C2577/1</f>
        <v>1.1046</v>
      </c>
      <c r="H2577" s="3">
        <f>GBP!B2577/1</f>
        <v>1.3061</v>
      </c>
      <c r="I2577" s="3">
        <f>GBP!C2577/1</f>
        <v>1.3071999999999999</v>
      </c>
      <c r="J2577" s="4">
        <f>1/INR!B2577</f>
        <v>1.4040999719180006E-2</v>
      </c>
      <c r="K2577" s="4">
        <f>1/INR!C2577</f>
        <v>1.3996780740429702E-2</v>
      </c>
      <c r="L2577" s="4">
        <f>1/JPY!B2577</f>
        <v>9.1249201569486259E-3</v>
      </c>
      <c r="M2577" s="4">
        <f>1/JPY!C2577</f>
        <v>9.139506338704622E-3</v>
      </c>
      <c r="N2577" s="5">
        <f>1/KRW!B2577</f>
        <v>8.3927822073017204E-4</v>
      </c>
      <c r="O2577" s="5">
        <f>1/KRW!C2577</f>
        <v>8.3927927731339996E-4</v>
      </c>
      <c r="P2577" s="3">
        <f>1/NOK!B2577</f>
        <v>0.10875357527378712</v>
      </c>
      <c r="Q2577" s="3">
        <f>1/NOK!C2577</f>
        <v>0.10876658690450293</v>
      </c>
      <c r="R2577" s="3">
        <f>NZD!B2577/1</f>
        <v>0.64890000000000003</v>
      </c>
      <c r="S2577" s="3">
        <f>NZD!C2577/1</f>
        <v>0.6492</v>
      </c>
      <c r="T2577" s="4">
        <f>1/PHP!B2577</f>
        <v>1.9638648860958365E-2</v>
      </c>
      <c r="U2577" s="4">
        <f>1/PHP!C2577</f>
        <v>1.9613611846621557E-2</v>
      </c>
      <c r="V2577" s="4">
        <f>1/TWD!B2577</f>
        <v>3.3165295834438842E-2</v>
      </c>
      <c r="W2577" s="4">
        <f>1/TWD!C2577</f>
        <v>3.3165625818776384E-2</v>
      </c>
      <c r="X2577" s="4">
        <f>1/TWD!B2577</f>
        <v>3.3165295834438842E-2</v>
      </c>
      <c r="Y2577" s="4">
        <f>1/TWD!C2577</f>
        <v>3.3165625818776384E-2</v>
      </c>
      <c r="Z2577" s="4">
        <f>1/ZAR!B2577</f>
        <v>6.7982351781477532E-2</v>
      </c>
      <c r="AA2577" s="4">
        <f>1/ZAR!C2577</f>
        <v>6.7698848442587986E-2</v>
      </c>
    </row>
    <row r="2578" spans="1:27" x14ac:dyDescent="0.25">
      <c r="A2578" t="str">
        <f>"06/02/2020"</f>
        <v>06/02/2020</v>
      </c>
      <c r="B2578" s="3">
        <f>AUD!B2578</f>
        <v>0.67490000000000006</v>
      </c>
      <c r="C2578" s="3">
        <f>AUD!C2578</f>
        <v>0.67520000000000002</v>
      </c>
      <c r="D2578" s="3">
        <f>1/CAD!B2578</f>
        <v>0.75318219477291548</v>
      </c>
      <c r="E2578" s="3">
        <f>1/CAD!C2578</f>
        <v>0.75312547070341918</v>
      </c>
      <c r="F2578" s="3">
        <f>EUR!B2578/1</f>
        <v>1.1000000000000001</v>
      </c>
      <c r="G2578" s="3">
        <f>EUR!C2578/1</f>
        <v>1.1019000000000001</v>
      </c>
      <c r="H2578" s="3">
        <f>GBP!B2578/1</f>
        <v>1.2963</v>
      </c>
      <c r="I2578" s="3">
        <f>GBP!C2578/1</f>
        <v>1.2972999999999999</v>
      </c>
      <c r="J2578" s="4">
        <f>1/INR!B2578</f>
        <v>1.4044943820224719E-2</v>
      </c>
      <c r="K2578" s="4">
        <f>1/INR!C2578</f>
        <v>1.4003150708909506E-2</v>
      </c>
      <c r="L2578" s="4">
        <f>1/JPY!B2578</f>
        <v>9.0966978986627856E-3</v>
      </c>
      <c r="M2578" s="4">
        <f>1/JPY!C2578</f>
        <v>9.1103306594512851E-3</v>
      </c>
      <c r="N2578" s="5">
        <f>1/KRW!B2578</f>
        <v>8.4745762711864404E-4</v>
      </c>
      <c r="O2578" s="5">
        <f>1/KRW!C2578</f>
        <v>8.4745834530368239E-4</v>
      </c>
      <c r="P2578" s="3">
        <f>1/NOK!B2578</f>
        <v>0.10843399622649692</v>
      </c>
      <c r="Q2578" s="3">
        <f>1/NOK!C2578</f>
        <v>0.10844222740335085</v>
      </c>
      <c r="R2578" s="3">
        <f>NZD!B2578/1</f>
        <v>0.64700000000000002</v>
      </c>
      <c r="S2578" s="3">
        <f>NZD!C2578/1</f>
        <v>0.6472</v>
      </c>
      <c r="T2578" s="4">
        <f>1/PHP!B2578</f>
        <v>1.9692792437967704E-2</v>
      </c>
      <c r="U2578" s="4">
        <f>1/PHP!C2578</f>
        <v>1.9664136547764187E-2</v>
      </c>
      <c r="V2578" s="4">
        <f>1/TWD!B2578</f>
        <v>3.3242470580413533E-2</v>
      </c>
      <c r="W2578" s="4">
        <f>1/TWD!C2578</f>
        <v>3.3242802102274802E-2</v>
      </c>
      <c r="X2578" s="4">
        <f>1/TWD!B2578</f>
        <v>3.3242470580413533E-2</v>
      </c>
      <c r="Y2578" s="4">
        <f>1/TWD!C2578</f>
        <v>3.3242802102274802E-2</v>
      </c>
      <c r="Z2578" s="4">
        <f>1/ZAR!B2578</f>
        <v>6.7619652975940928E-2</v>
      </c>
      <c r="AA2578" s="4">
        <f>1/ZAR!C2578</f>
        <v>6.7356396163379684E-2</v>
      </c>
    </row>
    <row r="2579" spans="1:27" x14ac:dyDescent="0.25">
      <c r="A2579" t="str">
        <f>"07/02/2020"</f>
        <v>07/02/2020</v>
      </c>
      <c r="B2579" s="3">
        <f>AUD!B2579</f>
        <v>0.66830000000000001</v>
      </c>
      <c r="C2579" s="3">
        <f>AUD!C2579</f>
        <v>0.66859999999999997</v>
      </c>
      <c r="D2579" s="3">
        <f>1/CAD!B2579</f>
        <v>0.75148418125798455</v>
      </c>
      <c r="E2579" s="3">
        <f>1/CAD!C2579</f>
        <v>0.75142771265404273</v>
      </c>
      <c r="F2579" s="3">
        <f>EUR!B2579/1</f>
        <v>1.0955999999999999</v>
      </c>
      <c r="G2579" s="3">
        <f>EUR!C2579/1</f>
        <v>1.0974999999999999</v>
      </c>
      <c r="H2579" s="3">
        <f>GBP!B2579/1</f>
        <v>1.2931999999999999</v>
      </c>
      <c r="I2579" s="3">
        <f>GBP!C2579/1</f>
        <v>1.2942</v>
      </c>
      <c r="J2579" s="4">
        <f>1/INR!B2579</f>
        <v>1.4001680201624194E-2</v>
      </c>
      <c r="K2579" s="4">
        <f>1/INR!C2579</f>
        <v>1.3962580284836637E-2</v>
      </c>
      <c r="L2579" s="4">
        <f>1/JPY!B2579</f>
        <v>9.1041514930808448E-3</v>
      </c>
      <c r="M2579" s="4">
        <f>1/JPY!C2579</f>
        <v>9.1178565013508104E-3</v>
      </c>
      <c r="N2579" s="5">
        <f>1/KRW!B2579</f>
        <v>8.4274397438058324E-4</v>
      </c>
      <c r="O2579" s="5">
        <f>1/KRW!C2579</f>
        <v>8.4274489766422299E-4</v>
      </c>
      <c r="P2579" s="3">
        <f>1/NOK!B2579</f>
        <v>0.1078411284495681</v>
      </c>
      <c r="Q2579" s="3">
        <f>1/NOK!C2579</f>
        <v>0.10784926986044305</v>
      </c>
      <c r="R2579" s="3">
        <f>NZD!B2579/1</f>
        <v>0.64190000000000003</v>
      </c>
      <c r="S2579" s="3">
        <f>NZD!C2579/1</f>
        <v>0.6421</v>
      </c>
      <c r="T2579" s="4">
        <f>1/PHP!B2579</f>
        <v>1.9698611247907023E-2</v>
      </c>
      <c r="U2579" s="4">
        <f>1/PHP!C2579</f>
        <v>1.9667617268167962E-2</v>
      </c>
      <c r="V2579" s="4">
        <f>1/TWD!B2579</f>
        <v>3.319391887406227E-2</v>
      </c>
      <c r="W2579" s="4">
        <f>1/TWD!C2579</f>
        <v>3.319413924277529E-2</v>
      </c>
      <c r="X2579" s="4">
        <f>1/TWD!B2579</f>
        <v>3.319391887406227E-2</v>
      </c>
      <c r="Y2579" s="4">
        <f>1/TWD!C2579</f>
        <v>3.319413924277529E-2</v>
      </c>
      <c r="Z2579" s="4">
        <f>1/ZAR!B2579</f>
        <v>6.6646672664867207E-2</v>
      </c>
      <c r="AA2579" s="4">
        <f>1/ZAR!C2579</f>
        <v>6.6382108694064773E-2</v>
      </c>
    </row>
    <row r="2580" spans="1:27" x14ac:dyDescent="0.25">
      <c r="A2580" t="str">
        <f>"10/02/2020"</f>
        <v>10/02/2020</v>
      </c>
      <c r="B2580" s="3">
        <f>AUD!B2580</f>
        <v>0.66930000000000001</v>
      </c>
      <c r="C2580" s="3">
        <f>AUD!C2580</f>
        <v>0.66969999999999996</v>
      </c>
      <c r="D2580" s="3">
        <f>1/CAD!B2580</f>
        <v>0.75227563379222151</v>
      </c>
      <c r="E2580" s="3">
        <f>1/CAD!C2580</f>
        <v>0.75221904618624946</v>
      </c>
      <c r="F2580" s="3">
        <f>EUR!B2580/1</f>
        <v>1.0951</v>
      </c>
      <c r="G2580" s="3">
        <f>EUR!C2580/1</f>
        <v>1.097</v>
      </c>
      <c r="H2580" s="3">
        <f>GBP!B2580/1</f>
        <v>1.2924</v>
      </c>
      <c r="I2580" s="3">
        <f>GBP!C2580/1</f>
        <v>1.2934000000000001</v>
      </c>
      <c r="J2580" s="4">
        <f>1/INR!B2580</f>
        <v>1.4026229048320359E-2</v>
      </c>
      <c r="K2580" s="4">
        <f>1/INR!C2580</f>
        <v>1.3986503024581279E-2</v>
      </c>
      <c r="L2580" s="4">
        <f>1/JPY!B2580</f>
        <v>9.1091273456002913E-3</v>
      </c>
      <c r="M2580" s="4">
        <f>1/JPY!C2580</f>
        <v>9.1229305772351863E-3</v>
      </c>
      <c r="N2580" s="5">
        <f>1/KRW!B2580</f>
        <v>8.422471153036301E-4</v>
      </c>
      <c r="O2580" s="5">
        <f>1/KRW!C2580</f>
        <v>8.4224782468443084E-4</v>
      </c>
      <c r="P2580" s="3">
        <f>1/NOK!B2580</f>
        <v>0.10830012129613587</v>
      </c>
      <c r="Q2580" s="3">
        <f>1/NOK!C2580</f>
        <v>0.10830950524218007</v>
      </c>
      <c r="R2580" s="3">
        <f>NZD!B2580/1</f>
        <v>0.64100000000000001</v>
      </c>
      <c r="S2580" s="3">
        <f>NZD!C2580/1</f>
        <v>0.64119999999999999</v>
      </c>
      <c r="T2580" s="4">
        <f>1/PHP!B2580</f>
        <v>1.9692792437967704E-2</v>
      </c>
      <c r="U2580" s="4">
        <f>1/PHP!C2580</f>
        <v>1.9663749877101566E-2</v>
      </c>
      <c r="V2580" s="4">
        <f>1/TWD!B2580</f>
        <v>3.3220384027639362E-2</v>
      </c>
      <c r="W2580" s="4">
        <f>1/TWD!C2580</f>
        <v>3.3220604747888828E-2</v>
      </c>
      <c r="X2580" s="4">
        <f>1/TWD!B2580</f>
        <v>3.3220384027639362E-2</v>
      </c>
      <c r="Y2580" s="4">
        <f>1/TWD!C2580</f>
        <v>3.3220604747888828E-2</v>
      </c>
      <c r="Z2580" s="4">
        <f>1/ZAR!B2580</f>
        <v>6.6542011298833512E-2</v>
      </c>
      <c r="AA2580" s="4">
        <f>1/ZAR!C2580</f>
        <v>6.6270369854934161E-2</v>
      </c>
    </row>
    <row r="2581" spans="1:27" x14ac:dyDescent="0.25">
      <c r="A2581" t="str">
        <f>"11/02/2020"</f>
        <v>11/02/2020</v>
      </c>
      <c r="B2581" s="3">
        <f>AUD!B2581</f>
        <v>0.67079999999999995</v>
      </c>
      <c r="C2581" s="3">
        <f>AUD!C2581</f>
        <v>0.67120000000000002</v>
      </c>
      <c r="D2581" s="3">
        <f>1/CAD!B2581</f>
        <v>0.75227563379222151</v>
      </c>
      <c r="E2581" s="3">
        <f>1/CAD!C2581</f>
        <v>0.75221904618624946</v>
      </c>
      <c r="F2581" s="3">
        <f>EUR!B2581/1</f>
        <v>1.0914999999999999</v>
      </c>
      <c r="G2581" s="3">
        <f>EUR!C2581/1</f>
        <v>1.0933999999999999</v>
      </c>
      <c r="H2581" s="3">
        <f>GBP!B2581/1</f>
        <v>1.2929999999999999</v>
      </c>
      <c r="I2581" s="3">
        <f>GBP!C2581/1</f>
        <v>1.294</v>
      </c>
      <c r="J2581" s="4">
        <f>1/INR!B2581</f>
        <v>1.4027212792818065E-2</v>
      </c>
      <c r="K2581" s="4">
        <f>1/INR!C2581</f>
        <v>1.3987970345502868E-2</v>
      </c>
      <c r="L2581" s="4">
        <f>1/JPY!B2581</f>
        <v>9.1033227127901694E-3</v>
      </c>
      <c r="M2581" s="4">
        <f>1/JPY!C2581</f>
        <v>9.1171166571544747E-3</v>
      </c>
      <c r="N2581" s="5">
        <f>1/KRW!B2581</f>
        <v>8.463100880162492E-4</v>
      </c>
      <c r="O2581" s="5">
        <f>1/KRW!C2581</f>
        <v>8.4631044613678319E-4</v>
      </c>
      <c r="P2581" s="3">
        <f>1/NOK!B2581</f>
        <v>0.10807889759524453</v>
      </c>
      <c r="Q2581" s="3">
        <f>1/NOK!C2581</f>
        <v>0.10808824324178259</v>
      </c>
      <c r="R2581" s="3">
        <f>NZD!B2581/1</f>
        <v>0.63939999999999997</v>
      </c>
      <c r="S2581" s="3">
        <f>NZD!C2581/1</f>
        <v>0.63959999999999995</v>
      </c>
      <c r="T2581" s="4">
        <f>1/PHP!B2581</f>
        <v>1.9719976336028396E-2</v>
      </c>
      <c r="U2581" s="4">
        <f>1/PHP!C2581</f>
        <v>1.9687364649368037E-2</v>
      </c>
      <c r="V2581" s="4">
        <f>1/TWD!B2581</f>
        <v>3.3257948649727281E-2</v>
      </c>
      <c r="W2581" s="4">
        <f>1/TWD!C2581</f>
        <v>3.3258280480382603E-2</v>
      </c>
      <c r="X2581" s="4">
        <f>1/TWD!B2581</f>
        <v>3.3257948649727281E-2</v>
      </c>
      <c r="Y2581" s="4">
        <f>1/TWD!C2581</f>
        <v>3.3258280480382603E-2</v>
      </c>
      <c r="Z2581" s="4">
        <f>1/ZAR!B2581</f>
        <v>6.7208817796894957E-2</v>
      </c>
      <c r="AA2581" s="4">
        <f>1/ZAR!C2581</f>
        <v>6.6932164251531076E-2</v>
      </c>
    </row>
    <row r="2582" spans="1:27" x14ac:dyDescent="0.25">
      <c r="A2582" t="str">
        <f>"12/02/2020"</f>
        <v>12/02/2020</v>
      </c>
      <c r="B2582" s="3">
        <f>AUD!B2582</f>
        <v>0.67449999999999999</v>
      </c>
      <c r="C2582" s="3">
        <f>AUD!C2582</f>
        <v>0.67490000000000006</v>
      </c>
      <c r="D2582" s="3">
        <f>1/CAD!B2582</f>
        <v>0.75363629512397323</v>
      </c>
      <c r="E2582" s="3">
        <f>1/CAD!C2582</f>
        <v>0.75357950263752826</v>
      </c>
      <c r="F2582" s="3">
        <f>EUR!B2582/1</f>
        <v>1.0911</v>
      </c>
      <c r="G2582" s="3">
        <f>EUR!C2582/1</f>
        <v>1.0931</v>
      </c>
      <c r="H2582" s="3">
        <f>GBP!B2582/1</f>
        <v>1.2986</v>
      </c>
      <c r="I2582" s="3">
        <f>GBP!C2582/1</f>
        <v>1.2997000000000001</v>
      </c>
      <c r="J2582" s="4">
        <f>1/INR!B2582</f>
        <v>1.4010998633927633E-2</v>
      </c>
      <c r="K2582" s="4">
        <f>1/INR!C2582</f>
        <v>1.396891915488039E-2</v>
      </c>
      <c r="L2582" s="4">
        <f>1/JPY!B2582</f>
        <v>9.0942160785740279E-3</v>
      </c>
      <c r="M2582" s="4">
        <f>1/JPY!C2582</f>
        <v>9.1087788588886196E-3</v>
      </c>
      <c r="N2582" s="5">
        <f>1/KRW!B2582</f>
        <v>8.4774499830451001E-4</v>
      </c>
      <c r="O2582" s="5">
        <f>1/KRW!C2582</f>
        <v>8.4774665125237183E-4</v>
      </c>
      <c r="P2582" s="3">
        <f>1/NOK!B2582</f>
        <v>0.10844693149407338</v>
      </c>
      <c r="Q2582" s="3">
        <f>1/NOK!C2582</f>
        <v>0.10845986984815617</v>
      </c>
      <c r="R2582" s="3">
        <f>NZD!B2582/1</f>
        <v>0.64810000000000001</v>
      </c>
      <c r="S2582" s="3">
        <f>NZD!C2582/1</f>
        <v>0.64829999999999999</v>
      </c>
      <c r="T2582" s="4">
        <f>1/PHP!B2582</f>
        <v>1.9770660340055358E-2</v>
      </c>
      <c r="U2582" s="4">
        <f>1/PHP!C2582</f>
        <v>1.9743336623889437E-2</v>
      </c>
      <c r="V2582" s="4">
        <f>1/TWD!B2582</f>
        <v>3.32944897619444E-2</v>
      </c>
      <c r="W2582" s="4">
        <f>1/TWD!C2582</f>
        <v>3.329482232218068E-2</v>
      </c>
      <c r="X2582" s="4">
        <f>1/TWD!B2582</f>
        <v>3.32944897619444E-2</v>
      </c>
      <c r="Y2582" s="4">
        <f>1/TWD!C2582</f>
        <v>3.329482232218068E-2</v>
      </c>
      <c r="Z2582" s="4">
        <f>1/ZAR!B2582</f>
        <v>6.7578069564864812E-2</v>
      </c>
      <c r="AA2582" s="4">
        <f>1/ZAR!C2582</f>
        <v>6.7284336879217893E-2</v>
      </c>
    </row>
    <row r="2583" spans="1:27" x14ac:dyDescent="0.25">
      <c r="A2583" t="str">
        <f>"13/02/2020"</f>
        <v>13/02/2020</v>
      </c>
      <c r="B2583" s="3">
        <f>AUD!B2583</f>
        <v>0.67269999999999996</v>
      </c>
      <c r="C2583" s="3">
        <f>AUD!C2583</f>
        <v>0.67300000000000004</v>
      </c>
      <c r="D2583" s="3">
        <f>1/CAD!B2583</f>
        <v>0.75392038600723765</v>
      </c>
      <c r="E2583" s="3">
        <f>1/CAD!C2583</f>
        <v>0.7538635506973238</v>
      </c>
      <c r="F2583" s="3">
        <f>EUR!B2583/1</f>
        <v>1.0868</v>
      </c>
      <c r="G2583" s="3">
        <f>EUR!C2583/1</f>
        <v>1.0887</v>
      </c>
      <c r="H2583" s="3">
        <f>GBP!B2583/1</f>
        <v>1.2974000000000001</v>
      </c>
      <c r="I2583" s="3">
        <f>GBP!C2583/1</f>
        <v>1.2984</v>
      </c>
      <c r="J2583" s="4">
        <f>1/INR!B2583</f>
        <v>1.401836405691456E-2</v>
      </c>
      <c r="K2583" s="4">
        <f>1/INR!C2583</f>
        <v>1.3979659595288855E-2</v>
      </c>
      <c r="L2583" s="4">
        <f>1/JPY!B2583</f>
        <v>9.1132780461131869E-3</v>
      </c>
      <c r="M2583" s="4">
        <f>1/JPY!C2583</f>
        <v>9.1270522176911482E-3</v>
      </c>
      <c r="N2583" s="5">
        <f>1/KRW!B2583</f>
        <v>8.4530853761622987E-4</v>
      </c>
      <c r="O2583" s="5">
        <f>1/KRW!C2583</f>
        <v>8.4530889488964288E-4</v>
      </c>
      <c r="P2583" s="3">
        <f>1/NOK!B2583</f>
        <v>0.1080216907555037</v>
      </c>
      <c r="Q2583" s="3">
        <f>1/NOK!C2583</f>
        <v>0.10803102651081389</v>
      </c>
      <c r="R2583" s="3">
        <f>NZD!B2583/1</f>
        <v>0.64480000000000004</v>
      </c>
      <c r="S2583" s="3">
        <f>NZD!C2583/1</f>
        <v>0.64500000000000002</v>
      </c>
      <c r="T2583" s="4">
        <f>1/PHP!B2583</f>
        <v>1.9794140934283451E-2</v>
      </c>
      <c r="U2583" s="4">
        <f>1/PHP!C2583</f>
        <v>1.9766752322593395E-2</v>
      </c>
      <c r="V2583" s="4">
        <f>1/TWD!B2583</f>
        <v>3.3288948069241014E-2</v>
      </c>
      <c r="W2583" s="4">
        <f>1/TWD!C2583</f>
        <v>3.3289280518780148E-2</v>
      </c>
      <c r="X2583" s="4">
        <f>1/TWD!B2583</f>
        <v>3.3288948069241014E-2</v>
      </c>
      <c r="Y2583" s="4">
        <f>1/TWD!C2583</f>
        <v>3.3289280518780148E-2</v>
      </c>
      <c r="Z2583" s="4">
        <f>1/ZAR!B2583</f>
        <v>6.7180823905624382E-2</v>
      </c>
      <c r="AA2583" s="4">
        <f>1/ZAR!C2583</f>
        <v>6.6909324483460014E-2</v>
      </c>
    </row>
    <row r="2584" spans="1:27" x14ac:dyDescent="0.25">
      <c r="A2584" t="str">
        <f>"14/02/2020"</f>
        <v>14/02/2020</v>
      </c>
      <c r="B2584" s="3">
        <f>AUD!B2584</f>
        <v>0.6714</v>
      </c>
      <c r="C2584" s="3">
        <f>AUD!C2584</f>
        <v>0.67169999999999996</v>
      </c>
      <c r="D2584" s="3">
        <f>1/CAD!B2584</f>
        <v>0.75500188750471875</v>
      </c>
      <c r="E2584" s="3">
        <f>1/CAD!C2584</f>
        <v>0.75494488902310131</v>
      </c>
      <c r="F2584" s="3">
        <f>EUR!B2584/1</f>
        <v>1.0840000000000001</v>
      </c>
      <c r="G2584" s="3">
        <f>EUR!C2584/1</f>
        <v>1.0859000000000001</v>
      </c>
      <c r="H2584" s="3">
        <f>GBP!B2584/1</f>
        <v>1.3028</v>
      </c>
      <c r="I2584" s="3">
        <f>GBP!C2584/1</f>
        <v>1.3038000000000001</v>
      </c>
      <c r="J2584" s="4">
        <f>1/INR!B2584</f>
        <v>1.4010998633927633E-2</v>
      </c>
      <c r="K2584" s="4">
        <f>1/INR!C2584</f>
        <v>1.3970382788488405E-2</v>
      </c>
      <c r="L2584" s="4">
        <f>1/JPY!B2584</f>
        <v>9.1049804242920879E-3</v>
      </c>
      <c r="M2584" s="4">
        <f>1/JPY!C2584</f>
        <v>9.1186879302310939E-3</v>
      </c>
      <c r="N2584" s="5">
        <f>1/KRW!B2584</f>
        <v>8.4516565246788369E-4</v>
      </c>
      <c r="O2584" s="5">
        <f>1/KRW!C2584</f>
        <v>8.4516636677346745E-4</v>
      </c>
      <c r="P2584" s="3">
        <f>1/NOK!B2584</f>
        <v>0.10809174827593661</v>
      </c>
      <c r="Q2584" s="3">
        <f>1/NOK!C2584</f>
        <v>0.10810109614511491</v>
      </c>
      <c r="R2584" s="3">
        <f>NZD!B2584/1</f>
        <v>0.64290000000000003</v>
      </c>
      <c r="S2584" s="3">
        <f>NZD!C2584/1</f>
        <v>0.6431</v>
      </c>
      <c r="T2584" s="4">
        <f>1/PHP!B2584</f>
        <v>1.9770660340055358E-2</v>
      </c>
      <c r="U2584" s="4">
        <f>1/PHP!C2584</f>
        <v>1.974177754965057E-2</v>
      </c>
      <c r="V2584" s="4">
        <f>1/TWD!B2584</f>
        <v>3.327565553041395E-2</v>
      </c>
      <c r="W2584" s="4">
        <f>1/TWD!C2584</f>
        <v>3.3275987714505337E-2</v>
      </c>
      <c r="X2584" s="4">
        <f>1/TWD!B2584</f>
        <v>3.327565553041395E-2</v>
      </c>
      <c r="Y2584" s="4">
        <f>1/TWD!C2584</f>
        <v>3.3275987714505337E-2</v>
      </c>
      <c r="Z2584" s="4">
        <f>1/ZAR!B2584</f>
        <v>6.7327825917173303E-2</v>
      </c>
      <c r="AA2584" s="4">
        <f>1/ZAR!C2584</f>
        <v>6.7048845083643435E-2</v>
      </c>
    </row>
    <row r="2585" spans="1:27" x14ac:dyDescent="0.25">
      <c r="A2585" t="str">
        <f>"17/02/2020"</f>
        <v>17/02/2020</v>
      </c>
      <c r="B2585" s="3">
        <f>AUD!B2585</f>
        <v>0.67200000000000004</v>
      </c>
      <c r="C2585" s="3">
        <f>AUD!C2585</f>
        <v>0.6724</v>
      </c>
      <c r="D2585" s="3">
        <f>1/CAD!B2585</f>
        <v>0.75585789871504161</v>
      </c>
      <c r="E2585" s="3">
        <f>1/CAD!C2585</f>
        <v>0.75580077091678632</v>
      </c>
      <c r="F2585" s="3">
        <f>EUR!B2585/1</f>
        <v>1.0840000000000001</v>
      </c>
      <c r="G2585" s="3">
        <f>EUR!C2585/1</f>
        <v>1.0859000000000001</v>
      </c>
      <c r="H2585" s="3">
        <f>GBP!B2585/1</f>
        <v>1.3013999999999999</v>
      </c>
      <c r="I2585" s="3">
        <f>GBP!C2585/1</f>
        <v>1.3024</v>
      </c>
      <c r="J2585" s="4">
        <f>1/INR!B2585</f>
        <v>1.4025737227813037E-2</v>
      </c>
      <c r="K2585" s="4">
        <f>1/INR!C2585</f>
        <v>1.398748120432213E-2</v>
      </c>
      <c r="L2585" s="4">
        <f>1/JPY!B2585</f>
        <v>9.1008372770294867E-3</v>
      </c>
      <c r="M2585" s="4">
        <f>1/JPY!C2585</f>
        <v>9.1145655314475299E-3</v>
      </c>
      <c r="N2585" s="5">
        <f>1/KRW!B2585</f>
        <v>8.4459459459459464E-4</v>
      </c>
      <c r="O2585" s="5">
        <f>1/KRW!C2585</f>
        <v>8.445951652670036E-4</v>
      </c>
      <c r="P2585" s="3">
        <f>1/NOK!B2585</f>
        <v>0.10796104765400642</v>
      </c>
      <c r="Q2585" s="3">
        <f>1/NOK!C2585</f>
        <v>0.10797037292966812</v>
      </c>
      <c r="R2585" s="3">
        <f>NZD!B2585/1</f>
        <v>0.64280000000000004</v>
      </c>
      <c r="S2585" s="3">
        <f>NZD!C2585/1</f>
        <v>0.64300000000000002</v>
      </c>
      <c r="T2585" s="4">
        <f>1/PHP!B2585</f>
        <v>1.9774569903104607E-2</v>
      </c>
      <c r="U2585" s="4">
        <f>1/PHP!C2585</f>
        <v>1.9747430365623674E-2</v>
      </c>
      <c r="V2585" s="4">
        <f>1/TWD!B2585</f>
        <v>3.3266799733865607E-2</v>
      </c>
      <c r="W2585" s="4">
        <f>1/TWD!C2585</f>
        <v>3.326713174116841E-2</v>
      </c>
      <c r="X2585" s="4">
        <f>1/TWD!B2585</f>
        <v>3.3266799733865607E-2</v>
      </c>
      <c r="Y2585" s="4">
        <f>1/TWD!C2585</f>
        <v>3.326713174116841E-2</v>
      </c>
      <c r="Z2585" s="4">
        <f>1/ZAR!B2585</f>
        <v>6.7131214672198278E-2</v>
      </c>
      <c r="AA2585" s="4">
        <f>1/ZAR!C2585</f>
        <v>6.6850729007199822E-2</v>
      </c>
    </row>
    <row r="2586" spans="1:27" x14ac:dyDescent="0.25">
      <c r="A2586" t="str">
        <f>"18/02/2020"</f>
        <v>18/02/2020</v>
      </c>
      <c r="B2586" s="3">
        <f>AUD!B2586</f>
        <v>0.66859999999999997</v>
      </c>
      <c r="C2586" s="3">
        <f>AUD!C2586</f>
        <v>0.66900000000000004</v>
      </c>
      <c r="D2586" s="3">
        <f>1/CAD!B2586</f>
        <v>0.75431847325941004</v>
      </c>
      <c r="E2586" s="3">
        <f>1/CAD!C2586</f>
        <v>0.75426157791522097</v>
      </c>
      <c r="F2586" s="3">
        <f>EUR!B2586/1</f>
        <v>1.0829</v>
      </c>
      <c r="G2586" s="3">
        <f>EUR!C2586/1</f>
        <v>1.0848</v>
      </c>
      <c r="H2586" s="3">
        <f>GBP!B2586/1</f>
        <v>1.3036000000000001</v>
      </c>
      <c r="I2586" s="3">
        <f>GBP!C2586/1</f>
        <v>1.3046</v>
      </c>
      <c r="J2586" s="4">
        <f>1/INR!B2586</f>
        <v>1.3972334777141262E-2</v>
      </c>
      <c r="K2586" s="4">
        <f>1/INR!C2586</f>
        <v>1.3933883721740342E-2</v>
      </c>
      <c r="L2586" s="4">
        <f>1/JPY!B2586</f>
        <v>9.1132780461131869E-3</v>
      </c>
      <c r="M2586" s="4">
        <f>1/JPY!C2586</f>
        <v>9.1283769289401493E-3</v>
      </c>
      <c r="N2586" s="5">
        <f>1/KRW!B2586</f>
        <v>8.4061869535978484E-4</v>
      </c>
      <c r="O2586" s="5">
        <f>1/KRW!C2586</f>
        <v>8.4061940200016983E-4</v>
      </c>
      <c r="P2586" s="3">
        <f>1/NOK!B2586</f>
        <v>0.10737217342753452</v>
      </c>
      <c r="Q2586" s="3">
        <f>1/NOK!C2586</f>
        <v>0.10738255033557047</v>
      </c>
      <c r="R2586" s="3">
        <f>NZD!B2586/1</f>
        <v>0.63959999999999995</v>
      </c>
      <c r="S2586" s="3">
        <f>NZD!C2586/1</f>
        <v>0.63980000000000004</v>
      </c>
      <c r="T2586" s="4">
        <f>1/PHP!B2586</f>
        <v>1.9743336623889437E-2</v>
      </c>
      <c r="U2586" s="4">
        <f>1/PHP!C2586</f>
        <v>1.9713367634593019E-2</v>
      </c>
      <c r="V2586" s="4">
        <f>1/TWD!B2586</f>
        <v>3.3191715347849177E-2</v>
      </c>
      <c r="W2586" s="4">
        <f>1/TWD!C2586</f>
        <v>3.3192045858130556E-2</v>
      </c>
      <c r="X2586" s="4">
        <f>1/TWD!B2586</f>
        <v>3.3191715347849177E-2</v>
      </c>
      <c r="Y2586" s="4">
        <f>1/TWD!C2586</f>
        <v>3.3192045858130556E-2</v>
      </c>
      <c r="Z2586" s="4">
        <f>1/ZAR!B2586</f>
        <v>6.6386515570957233E-2</v>
      </c>
      <c r="AA2586" s="4">
        <f>1/ZAR!C2586</f>
        <v>6.6106087048495424E-2</v>
      </c>
    </row>
    <row r="2587" spans="1:27" x14ac:dyDescent="0.25">
      <c r="A2587" t="str">
        <f>"20/02/2020"</f>
        <v>20/02/2020</v>
      </c>
      <c r="B2587" s="3">
        <f>AUD!B2587</f>
        <v>0.66279999999999994</v>
      </c>
      <c r="C2587" s="3">
        <f>AUD!C2587</f>
        <v>0.66320000000000001</v>
      </c>
      <c r="D2587" s="3">
        <f>1/CAD!B2587</f>
        <v>0.75414781297134237</v>
      </c>
      <c r="E2587" s="3">
        <f>1/CAD!C2587</f>
        <v>0.75414781297134237</v>
      </c>
      <c r="F2587" s="3">
        <f>EUR!B2587/1</f>
        <v>1.0791999999999999</v>
      </c>
      <c r="G2587" s="3">
        <f>EUR!C2587/1</f>
        <v>1.0810999999999999</v>
      </c>
      <c r="H2587" s="3">
        <f>GBP!B2587/1</f>
        <v>1.2863</v>
      </c>
      <c r="I2587" s="3">
        <f>GBP!C2587/1</f>
        <v>1.2873000000000001</v>
      </c>
      <c r="J2587" s="4">
        <f>1/INR!B2587</f>
        <v>1.3956734124214932E-2</v>
      </c>
      <c r="K2587" s="4">
        <f>1/INR!C2587</f>
        <v>1.3915463558879806E-2</v>
      </c>
      <c r="L2587" s="4">
        <f>1/JPY!B2587</f>
        <v>8.9166295140436919E-3</v>
      </c>
      <c r="M2587" s="4">
        <f>1/JPY!C2587</f>
        <v>8.9301661010894803E-3</v>
      </c>
      <c r="N2587" s="5">
        <f>1/KRW!B2587</f>
        <v>8.3423709018102946E-4</v>
      </c>
      <c r="O2587" s="5">
        <f>1/KRW!C2587</f>
        <v>8.3423813410961974E-4</v>
      </c>
      <c r="P2587" s="3">
        <f>1/NOK!B2587</f>
        <v>0.10746679276103685</v>
      </c>
      <c r="Q2587" s="3">
        <f>1/NOK!C2587</f>
        <v>0.10747718796685404</v>
      </c>
      <c r="R2587" s="3">
        <f>NZD!B2587/1</f>
        <v>0.63349999999999995</v>
      </c>
      <c r="S2587" s="3">
        <f>NZD!C2587/1</f>
        <v>0.63370000000000004</v>
      </c>
      <c r="T2587" s="4">
        <f>1/PHP!B2587</f>
        <v>1.9762845849802372E-2</v>
      </c>
      <c r="U2587" s="4">
        <f>1/PHP!C2587</f>
        <v>1.9730870920642435E-2</v>
      </c>
      <c r="V2587" s="4">
        <f>1/TWD!B2587</f>
        <v>3.3052388035035532E-2</v>
      </c>
      <c r="W2587" s="4">
        <f>1/TWD!C2587</f>
        <v>3.3052715776391767E-2</v>
      </c>
      <c r="X2587" s="4">
        <f>1/TWD!B2587</f>
        <v>3.3052388035035532E-2</v>
      </c>
      <c r="Y2587" s="4">
        <f>1/TWD!C2587</f>
        <v>3.3052715776391767E-2</v>
      </c>
      <c r="Z2587" s="4">
        <f>1/ZAR!B2587</f>
        <v>6.6245346264424923E-2</v>
      </c>
      <c r="AA2587" s="4">
        <f>1/ZAR!C2587</f>
        <v>6.5962625576348438E-2</v>
      </c>
    </row>
    <row r="2588" spans="1:27" x14ac:dyDescent="0.25">
      <c r="A2588" t="str">
        <f>"24/02/2020"</f>
        <v>24/02/2020</v>
      </c>
      <c r="B2588" s="3">
        <f>AUD!B2588</f>
        <v>0.66039999999999999</v>
      </c>
      <c r="C2588" s="3">
        <f>AUD!C2588</f>
        <v>0.66080000000000005</v>
      </c>
      <c r="D2588" s="3">
        <f>1/CAD!B2588</f>
        <v>0.7523888345496953</v>
      </c>
      <c r="E2588" s="3">
        <f>1/CAD!C2588</f>
        <v>0.7523888345496953</v>
      </c>
      <c r="F2588" s="3">
        <f>EUR!B2588/1</f>
        <v>1.0823</v>
      </c>
      <c r="G2588" s="3">
        <f>EUR!C2588/1</f>
        <v>1.0842000000000001</v>
      </c>
      <c r="H2588" s="3">
        <f>GBP!B2588/1</f>
        <v>1.2906</v>
      </c>
      <c r="I2588" s="3">
        <f>GBP!C2588/1</f>
        <v>1.2916000000000001</v>
      </c>
      <c r="J2588" s="4">
        <f>1/INR!B2588</f>
        <v>1.3887924449690994E-2</v>
      </c>
      <c r="K2588" s="4">
        <f>1/INR!C2588</f>
        <v>1.3848018002423402E-2</v>
      </c>
      <c r="L2588" s="4">
        <f>1/JPY!B2588</f>
        <v>8.9847259658580418E-3</v>
      </c>
      <c r="M2588" s="4">
        <f>1/JPY!C2588</f>
        <v>8.9983083180362085E-3</v>
      </c>
      <c r="N2588" s="5">
        <f>1/KRW!B2588</f>
        <v>8.1940347427073088E-4</v>
      </c>
      <c r="O2588" s="5">
        <f>1/KRW!C2588</f>
        <v>8.1940313855984168E-4</v>
      </c>
      <c r="P2588" s="3">
        <f>1/NOK!B2588</f>
        <v>0.10671219720414042</v>
      </c>
      <c r="Q2588" s="3">
        <f>1/NOK!C2588</f>
        <v>0.10672016904474776</v>
      </c>
      <c r="R2588" s="3">
        <f>NZD!B2588/1</f>
        <v>0.63239999999999996</v>
      </c>
      <c r="S2588" s="3">
        <f>NZD!C2588/1</f>
        <v>0.63260000000000005</v>
      </c>
      <c r="T2588" s="4">
        <f>1/PHP!B2588</f>
        <v>1.9615535504119264E-2</v>
      </c>
      <c r="U2588" s="4">
        <f>1/PHP!C2588</f>
        <v>1.9582884558895525E-2</v>
      </c>
      <c r="V2588" s="4">
        <f>1/TWD!B2588</f>
        <v>3.2815935418239101E-2</v>
      </c>
      <c r="W2588" s="4">
        <f>1/TWD!C2588</f>
        <v>3.281615079677614E-2</v>
      </c>
      <c r="X2588" s="4">
        <f>1/TWD!B2588</f>
        <v>3.2815935418239101E-2</v>
      </c>
      <c r="Y2588" s="4">
        <f>1/TWD!C2588</f>
        <v>3.281615079677614E-2</v>
      </c>
      <c r="Z2588" s="4">
        <f>1/ZAR!B2588</f>
        <v>6.5987871429231307E-2</v>
      </c>
      <c r="AA2588" s="4">
        <f>1/ZAR!C2588</f>
        <v>6.5718998705335721E-2</v>
      </c>
    </row>
    <row r="2589" spans="1:27" x14ac:dyDescent="0.25">
      <c r="A2589" t="str">
        <f>"25/02/2020"</f>
        <v>25/02/2020</v>
      </c>
      <c r="B2589" s="3">
        <f>AUD!B2589</f>
        <v>0.65980000000000005</v>
      </c>
      <c r="C2589" s="3">
        <f>AUD!C2589</f>
        <v>0.66020000000000001</v>
      </c>
      <c r="D2589" s="3">
        <f>1/CAD!B2589</f>
        <v>0.75199278086930366</v>
      </c>
      <c r="E2589" s="3">
        <f>1/CAD!C2589</f>
        <v>0.75199278086930366</v>
      </c>
      <c r="F2589" s="3">
        <f>EUR!B2589/1</f>
        <v>1.0832999999999999</v>
      </c>
      <c r="G2589" s="3">
        <f>EUR!C2589/1</f>
        <v>1.0851999999999999</v>
      </c>
      <c r="H2589" s="3">
        <f>GBP!B2589/1</f>
        <v>1.2962</v>
      </c>
      <c r="I2589" s="3">
        <f>GBP!C2589/1</f>
        <v>1.2971999999999999</v>
      </c>
      <c r="J2589" s="4">
        <f>1/INR!B2589</f>
        <v>1.3909173099659226E-2</v>
      </c>
      <c r="K2589" s="4">
        <f>1/INR!C2589</f>
        <v>1.3868663754247277E-2</v>
      </c>
      <c r="L2589" s="4">
        <f>1/JPY!B2589</f>
        <v>9.0424088977303554E-3</v>
      </c>
      <c r="M2589" s="4">
        <f>1/JPY!C2589</f>
        <v>9.0561089341231471E-3</v>
      </c>
      <c r="N2589" s="5">
        <f>1/KRW!B2589</f>
        <v>8.2624142774518716E-4</v>
      </c>
      <c r="O2589" s="5">
        <f>1/KRW!C2589</f>
        <v>8.2624108640787968E-4</v>
      </c>
      <c r="P2589" s="3">
        <f>1/NOK!B2589</f>
        <v>0.10677600529608987</v>
      </c>
      <c r="Q2589" s="3">
        <f>1/NOK!C2589</f>
        <v>0.10678398667335848</v>
      </c>
      <c r="R2589" s="3">
        <f>NZD!B2589/1</f>
        <v>0.63239999999999996</v>
      </c>
      <c r="S2589" s="3">
        <f>NZD!C2589/1</f>
        <v>0.63260000000000005</v>
      </c>
      <c r="T2589" s="4">
        <f>1/PHP!B2589</f>
        <v>1.9615535504119264E-2</v>
      </c>
      <c r="U2589" s="4">
        <f>1/PHP!C2589</f>
        <v>1.9582884558895525E-2</v>
      </c>
      <c r="V2589" s="4">
        <f>1/TWD!B2589</f>
        <v>3.2891490971285728E-2</v>
      </c>
      <c r="W2589" s="4">
        <f>1/TWD!C2589</f>
        <v>3.2891815529541783E-2</v>
      </c>
      <c r="X2589" s="4">
        <f>1/TWD!B2589</f>
        <v>3.2891490971285728E-2</v>
      </c>
      <c r="Y2589" s="4">
        <f>1/TWD!C2589</f>
        <v>3.2891815529541783E-2</v>
      </c>
      <c r="Z2589" s="4">
        <f>1/ZAR!B2589</f>
        <v>6.5798131333070137E-2</v>
      </c>
      <c r="AA2589" s="4">
        <f>1/ZAR!C2589</f>
        <v>6.5532517235052032E-2</v>
      </c>
    </row>
    <row r="2590" spans="1:27" x14ac:dyDescent="0.25">
      <c r="A2590" t="str">
        <f>"26/02/2020"</f>
        <v>26/02/2020</v>
      </c>
      <c r="B2590" s="3">
        <f>AUD!B2590</f>
        <v>0.65669999999999995</v>
      </c>
      <c r="C2590" s="3">
        <f>AUD!C2590</f>
        <v>0.65710000000000002</v>
      </c>
      <c r="D2590" s="3">
        <f>1/CAD!B2590</f>
        <v>0.75187969924812026</v>
      </c>
      <c r="E2590" s="3">
        <f>1/CAD!C2590</f>
        <v>0.75187969924812026</v>
      </c>
      <c r="F2590" s="3">
        <f>EUR!B2590/1</f>
        <v>1.0884</v>
      </c>
      <c r="G2590" s="3">
        <f>EUR!C2590/1</f>
        <v>1.0905</v>
      </c>
      <c r="H2590" s="3">
        <f>GBP!B2590/1</f>
        <v>1.2936000000000001</v>
      </c>
      <c r="I2590" s="3">
        <f>GBP!C2590/1</f>
        <v>1.2947</v>
      </c>
      <c r="J2590" s="4">
        <f>1/INR!B2590</f>
        <v>1.3953326124114835E-2</v>
      </c>
      <c r="K2590" s="4">
        <f>1/INR!C2590</f>
        <v>1.3908689453736222E-2</v>
      </c>
      <c r="L2590" s="4">
        <f>1/JPY!B2590</f>
        <v>9.0497737556561094E-3</v>
      </c>
      <c r="M2590" s="4">
        <f>1/JPY!C2590</f>
        <v>9.0646874223836143E-3</v>
      </c>
      <c r="N2590" s="5">
        <f>1/KRW!B2590</f>
        <v>8.2169268693508624E-4</v>
      </c>
      <c r="O2590" s="5">
        <f>1/KRW!C2590</f>
        <v>8.2169572525124372E-4</v>
      </c>
      <c r="P2590" s="3">
        <f>1/NOK!B2590</f>
        <v>0.10654846889850192</v>
      </c>
      <c r="Q2590" s="3">
        <f>1/NOK!C2590</f>
        <v>0.10655868719697374</v>
      </c>
      <c r="R2590" s="3">
        <f>NZD!B2590/1</f>
        <v>0.62970000000000004</v>
      </c>
      <c r="S2590" s="3">
        <f>NZD!C2590/1</f>
        <v>0.62990000000000002</v>
      </c>
      <c r="T2590" s="4">
        <f>1/PHP!B2590</f>
        <v>1.9589406049208589E-2</v>
      </c>
      <c r="U2590" s="4">
        <f>1/PHP!C2590</f>
        <v>1.9554165037152915E-2</v>
      </c>
      <c r="V2590" s="4">
        <f>1/TWD!B2590</f>
        <v>3.2910975810432778E-2</v>
      </c>
      <c r="W2590" s="4">
        <f>1/TWD!C2590</f>
        <v>3.2911300753339673E-2</v>
      </c>
      <c r="X2590" s="4">
        <f>1/TWD!B2590</f>
        <v>3.2910975810432778E-2</v>
      </c>
      <c r="Y2590" s="4">
        <f>1/TWD!C2590</f>
        <v>3.2911300753339673E-2</v>
      </c>
      <c r="Z2590" s="4">
        <f>1/ZAR!B2590</f>
        <v>6.551748989392718E-2</v>
      </c>
      <c r="AA2590" s="4">
        <f>1/ZAR!C2590</f>
        <v>6.5214555888874398E-2</v>
      </c>
    </row>
    <row r="2591" spans="1:27" x14ac:dyDescent="0.25">
      <c r="A2591" t="str">
        <f>"27/02/2020"</f>
        <v>27/02/2020</v>
      </c>
      <c r="B2591" s="3">
        <f>AUD!B2591</f>
        <v>0.65690000000000004</v>
      </c>
      <c r="C2591" s="3">
        <f>AUD!C2591</f>
        <v>0.6573</v>
      </c>
      <c r="D2591" s="3">
        <f>1/CAD!B2591</f>
        <v>0.74956899782624986</v>
      </c>
      <c r="E2591" s="3">
        <f>1/CAD!C2591</f>
        <v>0.74956899782624986</v>
      </c>
      <c r="F2591" s="3">
        <f>EUR!B2591/1</f>
        <v>1.0939000000000001</v>
      </c>
      <c r="G2591" s="3">
        <f>EUR!C2591/1</f>
        <v>1.0960000000000001</v>
      </c>
      <c r="H2591" s="3">
        <f>GBP!B2591/1</f>
        <v>1.2867999999999999</v>
      </c>
      <c r="I2591" s="3">
        <f>GBP!C2591/1</f>
        <v>1.2879</v>
      </c>
      <c r="J2591" s="4">
        <f>1/INR!B2591</f>
        <v>1.3972334777141262E-2</v>
      </c>
      <c r="K2591" s="4">
        <f>1/INR!C2591</f>
        <v>1.3926606782257501E-2</v>
      </c>
      <c r="L2591" s="4">
        <f>1/JPY!B2591</f>
        <v>9.0843023255813959E-3</v>
      </c>
      <c r="M2591" s="4">
        <f>1/JPY!C2591</f>
        <v>9.0994957059479763E-3</v>
      </c>
      <c r="N2591" s="5">
        <f>1/KRW!B2591</f>
        <v>8.2149018319231085E-4</v>
      </c>
      <c r="O2591" s="5">
        <f>1/KRW!C2591</f>
        <v>8.2149322001108202E-4</v>
      </c>
      <c r="P2591" s="3">
        <f>1/NOK!B2591</f>
        <v>0.10646225912913872</v>
      </c>
      <c r="Q2591" s="3">
        <f>1/NOK!C2591</f>
        <v>0.10647359454855196</v>
      </c>
      <c r="R2591" s="3">
        <f>NZD!B2591/1</f>
        <v>0.63149999999999995</v>
      </c>
      <c r="S2591" s="3">
        <f>NZD!C2591/1</f>
        <v>0.63170000000000004</v>
      </c>
      <c r="T2591" s="4">
        <f>1/PHP!B2591</f>
        <v>1.9672260145968172E-2</v>
      </c>
      <c r="U2591" s="4">
        <f>1/PHP!C2591</f>
        <v>1.9634407335414581E-2</v>
      </c>
      <c r="V2591" s="4">
        <f>1/TWD!B2591</f>
        <v>3.2967395246101608E-2</v>
      </c>
      <c r="W2591" s="4">
        <f>1/TWD!C2591</f>
        <v>3.2967721304071183E-2</v>
      </c>
      <c r="X2591" s="4">
        <f>1/TWD!B2591</f>
        <v>3.2967395246101608E-2</v>
      </c>
      <c r="Y2591" s="4">
        <f>1/TWD!C2591</f>
        <v>3.2967721304071183E-2</v>
      </c>
      <c r="Z2591" s="4">
        <f>1/ZAR!B2591</f>
        <v>6.5064771980506586E-2</v>
      </c>
      <c r="AA2591" s="4">
        <f>1/ZAR!C2591</f>
        <v>6.477145392482625E-2</v>
      </c>
    </row>
    <row r="2592" spans="1:27" x14ac:dyDescent="0.25">
      <c r="A2592" t="str">
        <f>"28/02/2020"</f>
        <v>28/02/2020</v>
      </c>
      <c r="B2592" s="3">
        <f>AUD!B2592</f>
        <v>0.64980000000000004</v>
      </c>
      <c r="C2592" s="3">
        <f>AUD!C2592</f>
        <v>0.6502</v>
      </c>
      <c r="D2592" s="3">
        <f>1/CAD!B2592</f>
        <v>0.74316290130796681</v>
      </c>
      <c r="E2592" s="3">
        <f>1/CAD!C2592</f>
        <v>0.74316290130796681</v>
      </c>
      <c r="F2592" s="3">
        <f>EUR!B2592/1</f>
        <v>1.0989</v>
      </c>
      <c r="G2592" s="3">
        <f>EUR!C2592/1</f>
        <v>1.101</v>
      </c>
      <c r="H2592" s="3">
        <f>GBP!B2592/1</f>
        <v>1.2879</v>
      </c>
      <c r="I2592" s="3">
        <f>GBP!C2592/1</f>
        <v>1.2889999999999999</v>
      </c>
      <c r="J2592" s="4">
        <f>1/INR!B2592</f>
        <v>1.385377342153569E-2</v>
      </c>
      <c r="K2592" s="4">
        <f>1/INR!C2592</f>
        <v>1.3807863578307846E-2</v>
      </c>
      <c r="L2592" s="4">
        <f>1/JPY!B2592</f>
        <v>9.198785760279644E-3</v>
      </c>
      <c r="M2592" s="4">
        <f>1/JPY!C2592</f>
        <v>9.2142035104272532E-3</v>
      </c>
      <c r="N2592" s="5">
        <f>1/KRW!B2592</f>
        <v>8.2338410868670235E-4</v>
      </c>
      <c r="O2592" s="5">
        <f>1/KRW!C2592</f>
        <v>8.23384651056172E-4</v>
      </c>
      <c r="P2592" s="3">
        <f>1/NOK!B2592</f>
        <v>0.10566021787136926</v>
      </c>
      <c r="Q2592" s="3">
        <f>1/NOK!C2592</f>
        <v>0.10567473317129875</v>
      </c>
      <c r="R2592" s="3">
        <f>NZD!B2592/1</f>
        <v>0.62319999999999998</v>
      </c>
      <c r="S2592" s="3">
        <f>NZD!C2592/1</f>
        <v>0.62339999999999995</v>
      </c>
      <c r="T2592" s="4">
        <f>1/PHP!B2592</f>
        <v>1.9644435713584128E-2</v>
      </c>
      <c r="U2592" s="4">
        <f>1/PHP!C2592</f>
        <v>1.960438354015958E-2</v>
      </c>
      <c r="V2592" s="4">
        <f>1/TWD!B2592</f>
        <v>3.2967395246101608E-2</v>
      </c>
      <c r="W2592" s="4">
        <f>1/TWD!C2592</f>
        <v>3.2967721304071183E-2</v>
      </c>
      <c r="X2592" s="4">
        <f>1/TWD!B2592</f>
        <v>3.2967395246101608E-2</v>
      </c>
      <c r="Y2592" s="4">
        <f>1/TWD!C2592</f>
        <v>3.2967721304071183E-2</v>
      </c>
      <c r="Z2592" s="4">
        <f>1/ZAR!B2592</f>
        <v>6.4143270408785064E-2</v>
      </c>
      <c r="AA2592" s="4">
        <f>1/ZAR!C2592</f>
        <v>6.3834133387805123E-2</v>
      </c>
    </row>
    <row r="2593" spans="1:27" x14ac:dyDescent="0.25">
      <c r="A2593" t="str">
        <f>"02/03/2020"</f>
        <v>02/03/2020</v>
      </c>
      <c r="B2593" s="3">
        <f>AUD!B2593</f>
        <v>0.65349999999999997</v>
      </c>
      <c r="C2593" s="3">
        <f>AUD!C2593</f>
        <v>0.65400000000000003</v>
      </c>
      <c r="D2593" s="3">
        <f>1/CAD!B2593</f>
        <v>0.74771945566023634</v>
      </c>
      <c r="E2593" s="3">
        <f>1/CAD!C2593</f>
        <v>0.74771945566023634</v>
      </c>
      <c r="F2593" s="3">
        <f>EUR!B2593/1</f>
        <v>1.1120000000000001</v>
      </c>
      <c r="G2593" s="3">
        <f>EUR!C2593/1</f>
        <v>1.1141000000000001</v>
      </c>
      <c r="H2593" s="3">
        <f>GBP!B2593/1</f>
        <v>1.2781</v>
      </c>
      <c r="I2593" s="3">
        <f>GBP!C2593/1</f>
        <v>1.2791999999999999</v>
      </c>
      <c r="J2593" s="4">
        <f>1/INR!B2593</f>
        <v>1.3746649254244276E-2</v>
      </c>
      <c r="K2593" s="4">
        <f>1/INR!C2593</f>
        <v>1.3693002875530604E-2</v>
      </c>
      <c r="L2593" s="4">
        <f>1/JPY!B2593</f>
        <v>9.2902266815310299E-3</v>
      </c>
      <c r="M2593" s="4">
        <f>1/JPY!C2593</f>
        <v>9.3065849672594337E-3</v>
      </c>
      <c r="N2593" s="5">
        <f>1/KRW!B2593</f>
        <v>8.3766124979058477E-4</v>
      </c>
      <c r="O2593" s="5">
        <f>1/KRW!C2593</f>
        <v>8.3766265314567457E-4</v>
      </c>
      <c r="P2593" s="3">
        <f>1/NOK!B2593</f>
        <v>0.10675434757080482</v>
      </c>
      <c r="Q2593" s="3">
        <f>1/NOK!C2593</f>
        <v>0.10675776662752214</v>
      </c>
      <c r="R2593" s="3">
        <f>NZD!B2593/1</f>
        <v>0.62609999999999999</v>
      </c>
      <c r="S2593" s="3">
        <f>NZD!C2593/1</f>
        <v>0.62619999999999998</v>
      </c>
      <c r="T2593" s="4">
        <f>1/PHP!B2593</f>
        <v>1.9743336623889437E-2</v>
      </c>
      <c r="U2593" s="4">
        <f>1/PHP!C2593</f>
        <v>1.9700551615445233E-2</v>
      </c>
      <c r="V2593" s="4">
        <f>1/TWD!B2593</f>
        <v>3.3195020746887967E-2</v>
      </c>
      <c r="W2593" s="4">
        <f>1/TWD!C2593</f>
        <v>3.3195351323000728E-2</v>
      </c>
      <c r="X2593" s="4">
        <f>1/TWD!B2593</f>
        <v>3.3195020746887967E-2</v>
      </c>
      <c r="Y2593" s="4">
        <f>1/TWD!C2593</f>
        <v>3.3195351323000728E-2</v>
      </c>
      <c r="Z2593" s="4">
        <f>1/ZAR!B2593</f>
        <v>6.3988533254840732E-2</v>
      </c>
      <c r="AA2593" s="4">
        <f>1/ZAR!C2593</f>
        <v>6.3675205511725785E-2</v>
      </c>
    </row>
    <row r="2594" spans="1:27" x14ac:dyDescent="0.25">
      <c r="A2594" t="str">
        <f>"03/03/2020"</f>
        <v>03/03/2020</v>
      </c>
      <c r="B2594" s="3">
        <f>AUD!B2594</f>
        <v>0.65649999999999997</v>
      </c>
      <c r="C2594" s="3">
        <f>AUD!C2594</f>
        <v>0.65690000000000004</v>
      </c>
      <c r="D2594" s="3">
        <f>1/CAD!B2594</f>
        <v>0.74783128926114273</v>
      </c>
      <c r="E2594" s="3">
        <f>1/CAD!C2594</f>
        <v>0.74788721860743401</v>
      </c>
      <c r="F2594" s="3">
        <f>EUR!B2594/1</f>
        <v>1.1114999999999999</v>
      </c>
      <c r="G2594" s="3">
        <f>EUR!C2594/1</f>
        <v>1.1134999999999999</v>
      </c>
      <c r="H2594" s="3">
        <f>GBP!B2594/1</f>
        <v>1.2788999999999999</v>
      </c>
      <c r="I2594" s="3">
        <f>GBP!C2594/1</f>
        <v>1.2799</v>
      </c>
      <c r="J2594" s="4">
        <f>1/INR!B2594</f>
        <v>1.3637913399249914E-2</v>
      </c>
      <c r="K2594" s="4">
        <f>1/INR!C2594</f>
        <v>1.3586495023946196E-2</v>
      </c>
      <c r="L2594" s="4">
        <f>1/JPY!B2594</f>
        <v>9.2644061515656847E-3</v>
      </c>
      <c r="M2594" s="4">
        <f>1/JPY!C2594</f>
        <v>9.2795970427780143E-3</v>
      </c>
      <c r="N2594" s="5">
        <f>1/KRW!B2594</f>
        <v>8.3654007026936583E-4</v>
      </c>
      <c r="O2594" s="5">
        <f>1/KRW!C2594</f>
        <v>8.3654077006924056E-4</v>
      </c>
      <c r="P2594" s="3">
        <f>1/NOK!B2594</f>
        <v>0.10769131361864352</v>
      </c>
      <c r="Q2594" s="3">
        <f>1/NOK!C2594</f>
        <v>0.10768319603725839</v>
      </c>
      <c r="R2594" s="3">
        <f>NZD!B2594/1</f>
        <v>0.62670000000000003</v>
      </c>
      <c r="S2594" s="3">
        <f>NZD!C2594/1</f>
        <v>0.62680000000000002</v>
      </c>
      <c r="T2594" s="4">
        <f>1/PHP!B2594</f>
        <v>1.9719976336028396E-2</v>
      </c>
      <c r="U2594" s="4">
        <f>1/PHP!C2594</f>
        <v>1.9681165124975399E-2</v>
      </c>
      <c r="V2594" s="4">
        <f>1/TWD!B2594</f>
        <v>3.3233632436025257E-2</v>
      </c>
      <c r="W2594" s="4">
        <f>1/TWD!C2594</f>
        <v>3.3233963781626269E-2</v>
      </c>
      <c r="X2594" s="4">
        <f>1/TWD!B2594</f>
        <v>3.3233632436025257E-2</v>
      </c>
      <c r="Y2594" s="4">
        <f>1/TWD!C2594</f>
        <v>3.3233963781626269E-2</v>
      </c>
      <c r="Z2594" s="4">
        <f>1/ZAR!B2594</f>
        <v>6.425166090543441E-2</v>
      </c>
      <c r="AA2594" s="4">
        <f>1/ZAR!C2594</f>
        <v>6.3941071908129463E-2</v>
      </c>
    </row>
    <row r="2595" spans="1:27" x14ac:dyDescent="0.25">
      <c r="A2595" t="str">
        <f>"04/03/2020"</f>
        <v>04/03/2020</v>
      </c>
      <c r="B2595" s="3">
        <f>AUD!B2595</f>
        <v>0.66249999999999998</v>
      </c>
      <c r="C2595" s="3">
        <f>AUD!C2595</f>
        <v>0.66269999999999996</v>
      </c>
      <c r="D2595" s="3">
        <f>1/CAD!B2595</f>
        <v>0.74895146794487721</v>
      </c>
      <c r="E2595" s="3">
        <f>1/CAD!C2595</f>
        <v>0.74889537931550965</v>
      </c>
      <c r="F2595" s="3">
        <f>EUR!B2595/1</f>
        <v>1.115</v>
      </c>
      <c r="G2595" s="3">
        <f>EUR!C2595/1</f>
        <v>1.1167</v>
      </c>
      <c r="H2595" s="3">
        <f>GBP!B2595/1</f>
        <v>1.2791999999999999</v>
      </c>
      <c r="I2595" s="3">
        <f>GBP!C2595/1</f>
        <v>1.28</v>
      </c>
      <c r="J2595" s="4">
        <f>1/INR!B2595</f>
        <v>1.3655139453111665E-2</v>
      </c>
      <c r="K2595" s="4">
        <f>1/INR!C2595</f>
        <v>1.3602666122560022E-2</v>
      </c>
      <c r="L2595" s="4">
        <f>1/JPY!B2595</f>
        <v>9.2980009298000935E-3</v>
      </c>
      <c r="M2595" s="4">
        <f>1/JPY!C2595</f>
        <v>9.3107875715883175E-3</v>
      </c>
      <c r="N2595" s="5">
        <f>1/KRW!B2595</f>
        <v>8.4182170216348174E-4</v>
      </c>
      <c r="O2595" s="5">
        <f>1/KRW!C2595</f>
        <v>8.4181993050776475E-4</v>
      </c>
      <c r="P2595" s="3">
        <f>1/NOK!B2595</f>
        <v>0.10808941156124346</v>
      </c>
      <c r="Q2595" s="3">
        <f>1/NOK!C2595</f>
        <v>0.10806604996974151</v>
      </c>
      <c r="R2595" s="3">
        <f>NZD!B2595/1</f>
        <v>0.63009999999999999</v>
      </c>
      <c r="S2595" s="3">
        <f>NZD!C2595/1</f>
        <v>0.63</v>
      </c>
      <c r="T2595" s="4">
        <f>1/PHP!B2595</f>
        <v>1.9776916383197531E-2</v>
      </c>
      <c r="U2595" s="4">
        <f>1/PHP!C2595</f>
        <v>1.9733985870466118E-2</v>
      </c>
      <c r="V2595" s="4">
        <f>1/TWD!B2595</f>
        <v>3.3288948069241014E-2</v>
      </c>
      <c r="W2595" s="4">
        <f>1/TWD!C2595</f>
        <v>3.3289169701529307E-2</v>
      </c>
      <c r="X2595" s="4">
        <f>1/TWD!B2595</f>
        <v>3.3288948069241014E-2</v>
      </c>
      <c r="Y2595" s="4">
        <f>1/TWD!C2595</f>
        <v>3.3289169701529307E-2</v>
      </c>
      <c r="Z2595" s="4">
        <f>1/ZAR!B2595</f>
        <v>6.5590544467109616E-2</v>
      </c>
      <c r="AA2595" s="4">
        <f>1/ZAR!C2595</f>
        <v>6.5261797701479482E-2</v>
      </c>
    </row>
    <row r="2596" spans="1:27" x14ac:dyDescent="0.25">
      <c r="A2596" t="str">
        <f>"05/03/2020"</f>
        <v>05/03/2020</v>
      </c>
      <c r="B2596" s="3">
        <f>AUD!B2596</f>
        <v>0.66149999999999998</v>
      </c>
      <c r="C2596" s="3">
        <f>AUD!C2596</f>
        <v>0.66159999999999997</v>
      </c>
      <c r="D2596" s="3">
        <f>1/CAD!B2596</f>
        <v>0.7451564828614009</v>
      </c>
      <c r="E2596" s="3">
        <f>1/CAD!C2596</f>
        <v>0.7451564828614009</v>
      </c>
      <c r="F2596" s="3">
        <f>EUR!B2596/1</f>
        <v>1.1180000000000001</v>
      </c>
      <c r="G2596" s="3">
        <f>EUR!C2596/1</f>
        <v>1.1196999999999999</v>
      </c>
      <c r="H2596" s="3">
        <f>GBP!B2596/1</f>
        <v>1.2925</v>
      </c>
      <c r="I2596" s="3">
        <f>GBP!C2596/1</f>
        <v>1.2931999999999999</v>
      </c>
      <c r="J2596" s="4">
        <f>1/INR!B2596</f>
        <v>1.3637913399249914E-2</v>
      </c>
      <c r="K2596" s="4">
        <f>1/INR!C2596</f>
        <v>1.3588341203247613E-2</v>
      </c>
      <c r="L2596" s="4">
        <f>1/JPY!B2596</f>
        <v>9.3554121059032658E-3</v>
      </c>
      <c r="M2596" s="4">
        <f>1/JPY!C2596</f>
        <v>9.3688838754950286E-3</v>
      </c>
      <c r="N2596" s="5">
        <f>1/KRW!B2596</f>
        <v>8.4652501481418784E-4</v>
      </c>
      <c r="O2596" s="5">
        <f>1/KRW!C2596</f>
        <v>8.4652250670551646E-4</v>
      </c>
      <c r="P2596" s="3">
        <f>1/NOK!B2596</f>
        <v>0.1077632656580025</v>
      </c>
      <c r="Q2596" s="3">
        <f>1/NOK!C2596</f>
        <v>0.10773772328643151</v>
      </c>
      <c r="R2596" s="3">
        <f>NZD!B2596/1</f>
        <v>0.63160000000000005</v>
      </c>
      <c r="S2596" s="3">
        <f>NZD!C2596/1</f>
        <v>0.63149999999999995</v>
      </c>
      <c r="T2596" s="4">
        <f>1/PHP!B2596</f>
        <v>1.9762845849802372E-2</v>
      </c>
      <c r="U2596" s="4">
        <f>1/PHP!C2596</f>
        <v>1.9724254916270539E-2</v>
      </c>
      <c r="V2596" s="4">
        <f>1/TWD!B2596</f>
        <v>3.3375609104866165E-2</v>
      </c>
      <c r="W2596" s="4">
        <f>1/TWD!C2596</f>
        <v>3.3375831892609925E-2</v>
      </c>
      <c r="X2596" s="4">
        <f>1/TWD!B2596</f>
        <v>3.3375609104866165E-2</v>
      </c>
      <c r="Y2596" s="4">
        <f>1/TWD!C2596</f>
        <v>3.3375831892609925E-2</v>
      </c>
      <c r="Z2596" s="4">
        <f>1/ZAR!B2596</f>
        <v>6.4715703912711461E-2</v>
      </c>
      <c r="AA2596" s="4">
        <f>1/ZAR!C2596</f>
        <v>6.4406015521849741E-2</v>
      </c>
    </row>
    <row r="2597" spans="1:27" x14ac:dyDescent="0.25">
      <c r="A2597" t="str">
        <f>"06/03/2020"</f>
        <v>06/03/2020</v>
      </c>
      <c r="B2597" s="3">
        <f>AUD!B2597</f>
        <v>0.66549999999999998</v>
      </c>
      <c r="C2597" s="3">
        <f>AUD!C2597</f>
        <v>0.66549999999999998</v>
      </c>
      <c r="D2597" s="3">
        <f>1/CAD!B2597</f>
        <v>0.74626865671641784</v>
      </c>
      <c r="E2597" s="3">
        <f>1/CAD!C2597</f>
        <v>0.74621296918140434</v>
      </c>
      <c r="F2597" s="3">
        <f>EUR!B2597/1</f>
        <v>1.1333</v>
      </c>
      <c r="G2597" s="3">
        <f>EUR!C2597/1</f>
        <v>1.1352</v>
      </c>
      <c r="H2597" s="3">
        <f>GBP!B2597/1</f>
        <v>1.3011999999999999</v>
      </c>
      <c r="I2597" s="3">
        <f>GBP!C2597/1</f>
        <v>1.3019000000000001</v>
      </c>
      <c r="J2597" s="4">
        <f>1/INR!B2597</f>
        <v>1.3550135501355014E-2</v>
      </c>
      <c r="K2597" s="4">
        <f>1/INR!C2597</f>
        <v>1.3491635186184564E-2</v>
      </c>
      <c r="L2597" s="4">
        <f>1/JPY!B2597</f>
        <v>9.5002850085502567E-3</v>
      </c>
      <c r="M2597" s="4">
        <f>1/JPY!C2597</f>
        <v>9.5149741906325087E-3</v>
      </c>
      <c r="N2597" s="5">
        <f>1/KRW!B2597</f>
        <v>8.3864475008386442E-4</v>
      </c>
      <c r="O2597" s="5">
        <f>1/KRW!C2597</f>
        <v>8.3864193679323456E-4</v>
      </c>
      <c r="P2597" s="3">
        <f>1/NOK!B2597</f>
        <v>0.10826025765941323</v>
      </c>
      <c r="Q2597" s="3">
        <f>1/NOK!C2597</f>
        <v>0.10822042335829618</v>
      </c>
      <c r="R2597" s="3">
        <f>NZD!B2597/1</f>
        <v>0.63629999999999998</v>
      </c>
      <c r="S2597" s="3">
        <f>NZD!C2597/1</f>
        <v>0.63590000000000002</v>
      </c>
      <c r="T2597" s="4">
        <f>1/PHP!B2597</f>
        <v>1.9740218721623435E-2</v>
      </c>
      <c r="U2597" s="4">
        <f>1/PHP!C2597</f>
        <v>1.9695507454749569E-2</v>
      </c>
      <c r="V2597" s="4">
        <f>1/TWD!B2597</f>
        <v>3.3277870216306155E-2</v>
      </c>
      <c r="W2597" s="4">
        <f>1/TWD!C2597</f>
        <v>3.3278091701109493E-2</v>
      </c>
      <c r="X2597" s="4">
        <f>1/TWD!B2597</f>
        <v>3.3277870216306155E-2</v>
      </c>
      <c r="Y2597" s="4">
        <f>1/TWD!C2597</f>
        <v>3.3278091701109493E-2</v>
      </c>
      <c r="Z2597" s="4">
        <f>1/ZAR!B2597</f>
        <v>6.3585321964277769E-2</v>
      </c>
      <c r="AA2597" s="4">
        <f>1/ZAR!C2597</f>
        <v>6.322511301488952E-2</v>
      </c>
    </row>
    <row r="2598" spans="1:27" x14ac:dyDescent="0.25">
      <c r="A2598" t="str">
        <f>"09/03/2020"</f>
        <v>09/03/2020</v>
      </c>
      <c r="B2598" s="3">
        <f>AUD!B2598</f>
        <v>0.65159999999999996</v>
      </c>
      <c r="C2598" s="3">
        <f>AUD!C2598</f>
        <v>0.65149999999999997</v>
      </c>
      <c r="D2598" s="3">
        <f>1/CAD!B2598</f>
        <v>0.73254706614900011</v>
      </c>
      <c r="E2598" s="3">
        <f>1/CAD!C2598</f>
        <v>0.73243975683000073</v>
      </c>
      <c r="F2598" s="3">
        <f>EUR!B2598/1</f>
        <v>1.1406000000000001</v>
      </c>
      <c r="G2598" s="3">
        <f>EUR!C2598/1</f>
        <v>1.1422000000000001</v>
      </c>
      <c r="H2598" s="3">
        <f>GBP!B2598/1</f>
        <v>1.3066</v>
      </c>
      <c r="I2598" s="3">
        <f>GBP!C2598/1</f>
        <v>1.3070999999999999</v>
      </c>
      <c r="J2598" s="4">
        <f>1/INR!B2598</f>
        <v>1.3514883265195796E-2</v>
      </c>
      <c r="K2598" s="4">
        <f>1/INR!C2598</f>
        <v>1.34557809398863E-2</v>
      </c>
      <c r="L2598" s="4">
        <f>1/JPY!B2598</f>
        <v>9.7323600973236012E-3</v>
      </c>
      <c r="M2598" s="4">
        <f>1/JPY!C2598</f>
        <v>9.7469591924059483E-3</v>
      </c>
      <c r="N2598" s="5">
        <f>1/KRW!B2598</f>
        <v>8.3084081090063148E-4</v>
      </c>
      <c r="O2598" s="5">
        <f>1/KRW!C2598</f>
        <v>8.308383948700714E-4</v>
      </c>
      <c r="P2598" s="3">
        <f>1/NOK!B2598</f>
        <v>0.10497034587728966</v>
      </c>
      <c r="Q2598" s="3">
        <f>1/NOK!C2598</f>
        <v>0.10491528091066464</v>
      </c>
      <c r="R2598" s="3">
        <f>NZD!B2598/1</f>
        <v>0.625</v>
      </c>
      <c r="S2598" s="3">
        <f>NZD!C2598/1</f>
        <v>0.62450000000000006</v>
      </c>
      <c r="T2598" s="4">
        <f>1/PHP!B2598</f>
        <v>1.9741387819563715E-2</v>
      </c>
      <c r="U2598" s="4">
        <f>1/PHP!C2598</f>
        <v>1.9694731659281144E-2</v>
      </c>
      <c r="V2598" s="4">
        <f>1/TWD!B2598</f>
        <v>3.3247996808192307E-2</v>
      </c>
      <c r="W2598" s="4">
        <f>1/TWD!C2598</f>
        <v>3.32482178955208E-2</v>
      </c>
      <c r="X2598" s="4">
        <f>1/TWD!B2598</f>
        <v>3.3247996808192307E-2</v>
      </c>
      <c r="Y2598" s="4">
        <f>1/TWD!C2598</f>
        <v>3.32482178955208E-2</v>
      </c>
      <c r="Z2598" s="4">
        <f>1/ZAR!B2598</f>
        <v>6.1564981838330361E-2</v>
      </c>
      <c r="AA2598" s="4">
        <f>1/ZAR!C2598</f>
        <v>6.1227238773985775E-2</v>
      </c>
    </row>
    <row r="2599" spans="1:27" x14ac:dyDescent="0.25">
      <c r="A2599" t="str">
        <f>"11/03/2020"</f>
        <v>11/03/2020</v>
      </c>
      <c r="B2599" s="3">
        <f>AUD!B2599</f>
        <v>0.65239999999999998</v>
      </c>
      <c r="C2599" s="3">
        <f>AUD!C2599</f>
        <v>0.65239999999999998</v>
      </c>
      <c r="D2599" s="3">
        <f>1/CAD!B2599</f>
        <v>0.72849129452903039</v>
      </c>
      <c r="E2599" s="3">
        <f>1/CAD!C2599</f>
        <v>0.72838517007793724</v>
      </c>
      <c r="F2599" s="3">
        <f>EUR!B2599/1</f>
        <v>1.1332</v>
      </c>
      <c r="G2599" s="3">
        <f>EUR!C2599/1</f>
        <v>1.1348</v>
      </c>
      <c r="H2599" s="3">
        <f>GBP!B2599/1</f>
        <v>1.292</v>
      </c>
      <c r="I2599" s="3">
        <f>GBP!C2599/1</f>
        <v>1.2926</v>
      </c>
      <c r="J2599" s="4">
        <f>1/INR!B2599</f>
        <v>1.3578193421365289E-2</v>
      </c>
      <c r="K2599" s="4">
        <f>1/INR!C2599</f>
        <v>1.3524479307546661E-2</v>
      </c>
      <c r="L2599" s="4">
        <f>1/JPY!B2599</f>
        <v>9.5474508306282232E-3</v>
      </c>
      <c r="M2599" s="4">
        <f>1/JPY!C2599</f>
        <v>9.5599552594093865E-3</v>
      </c>
      <c r="N2599" s="5">
        <f>1/KRW!B2599</f>
        <v>8.3815271142402147E-4</v>
      </c>
      <c r="O2599" s="5">
        <f>1/KRW!C2599</f>
        <v>8.3815636443977453E-4</v>
      </c>
      <c r="P2599" s="3">
        <f>1/NOK!B2599</f>
        <v>0.1044681006654618</v>
      </c>
      <c r="Q2599" s="3">
        <f>1/NOK!C2599</f>
        <v>0.10439285117755136</v>
      </c>
      <c r="R2599" s="3">
        <f>NZD!B2599/1</f>
        <v>0.63239999999999996</v>
      </c>
      <c r="S2599" s="3">
        <f>NZD!C2599/1</f>
        <v>0.6321</v>
      </c>
      <c r="T2599" s="4">
        <f>1/PHP!B2599</f>
        <v>1.9780437147660965E-2</v>
      </c>
      <c r="U2599" s="4">
        <f>1/PHP!C2599</f>
        <v>1.973164956590371E-2</v>
      </c>
      <c r="V2599" s="4">
        <f>1/TWD!B2599</f>
        <v>3.3222591362126241E-2</v>
      </c>
      <c r="W2599" s="4">
        <f>1/TWD!C2599</f>
        <v>3.3222812111708383E-2</v>
      </c>
      <c r="X2599" s="4">
        <f>1/TWD!B2599</f>
        <v>3.3222591362126241E-2</v>
      </c>
      <c r="Y2599" s="4">
        <f>1/TWD!C2599</f>
        <v>3.3222812111708383E-2</v>
      </c>
      <c r="Z2599" s="4">
        <f>1/ZAR!B2599</f>
        <v>6.222155852559795E-2</v>
      </c>
      <c r="AA2599" s="4">
        <f>1/ZAR!C2599</f>
        <v>6.1896892157044796E-2</v>
      </c>
    </row>
    <row r="2600" spans="1:27" x14ac:dyDescent="0.25">
      <c r="A2600" t="str">
        <f>"12/03/2020"</f>
        <v>12/03/2020</v>
      </c>
      <c r="B2600" s="3">
        <f>AUD!B2600</f>
        <v>0.63729999999999998</v>
      </c>
      <c r="C2600" s="3">
        <f>AUD!C2600</f>
        <v>0.63719999999999999</v>
      </c>
      <c r="D2600" s="3">
        <f>1/CAD!B2600</f>
        <v>0.72343196122404685</v>
      </c>
      <c r="E2600" s="3">
        <f>1/CAD!C2600</f>
        <v>0.72337962962962954</v>
      </c>
      <c r="F2600" s="3">
        <f>EUR!B2600/1</f>
        <v>1.1218999999999999</v>
      </c>
      <c r="G2600" s="3">
        <f>EUR!C2600/1</f>
        <v>1.1237999999999999</v>
      </c>
      <c r="H2600" s="3">
        <f>GBP!B2600/1</f>
        <v>1.2730999999999999</v>
      </c>
      <c r="I2600" s="3">
        <f>GBP!C2600/1</f>
        <v>1.2741</v>
      </c>
      <c r="J2600" s="4">
        <f>1/INR!B2600</f>
        <v>1.3473003469298394E-2</v>
      </c>
      <c r="K2600" s="4">
        <f>1/INR!C2600</f>
        <v>1.3420116755015768E-2</v>
      </c>
      <c r="L2600" s="4">
        <f>1/JPY!B2600</f>
        <v>9.6329833349388296E-3</v>
      </c>
      <c r="M2600" s="4">
        <f>1/JPY!C2600</f>
        <v>9.6503765094395153E-3</v>
      </c>
      <c r="N2600" s="5">
        <f>1/KRW!B2600</f>
        <v>8.2870638932626168E-4</v>
      </c>
      <c r="O2600" s="5">
        <f>1/KRW!C2600</f>
        <v>8.287096857599168E-4</v>
      </c>
      <c r="P2600" s="3">
        <f>1/NOK!B2600</f>
        <v>9.9204380865459019E-2</v>
      </c>
      <c r="Q2600" s="3">
        <f>1/NOK!C2600</f>
        <v>9.9134555331952048E-2</v>
      </c>
      <c r="R2600" s="3">
        <f>NZD!B2600/1</f>
        <v>0.62009999999999998</v>
      </c>
      <c r="S2600" s="3">
        <f>NZD!C2600/1</f>
        <v>0.61980000000000002</v>
      </c>
      <c r="T2600" s="4">
        <f>1/PHP!B2600</f>
        <v>1.9657951641438964E-2</v>
      </c>
      <c r="U2600" s="4">
        <f>1/PHP!C2600</f>
        <v>1.9596315892612189E-2</v>
      </c>
      <c r="V2600" s="4">
        <f>1/TWD!B2600</f>
        <v>3.3165295834438842E-2</v>
      </c>
      <c r="W2600" s="4">
        <f>1/TWD!C2600</f>
        <v>3.31655158232676E-2</v>
      </c>
      <c r="X2600" s="4">
        <f>1/TWD!B2600</f>
        <v>3.3165295834438842E-2</v>
      </c>
      <c r="Y2600" s="4">
        <f>1/TWD!C2600</f>
        <v>3.31655158232676E-2</v>
      </c>
      <c r="Z2600" s="4">
        <f>1/ZAR!B2600</f>
        <v>6.0873164674085073E-2</v>
      </c>
      <c r="AA2600" s="4">
        <f>1/ZAR!C2600</f>
        <v>6.0549547694878719E-2</v>
      </c>
    </row>
    <row r="2601" spans="1:27" x14ac:dyDescent="0.25">
      <c r="A2601" t="str">
        <f>"13/03/2020"</f>
        <v>13/03/2020</v>
      </c>
      <c r="B2601" s="3">
        <f>AUD!B2601</f>
        <v>0.63019999999999998</v>
      </c>
      <c r="C2601" s="3">
        <f>AUD!C2601</f>
        <v>0.63009999999999999</v>
      </c>
      <c r="D2601" s="3">
        <f>1/CAD!B2601</f>
        <v>0.72400810889081957</v>
      </c>
      <c r="E2601" s="3">
        <f>1/CAD!C2601</f>
        <v>0.72395569391153258</v>
      </c>
      <c r="F2601" s="3">
        <f>EUR!B2601/1</f>
        <v>1.1162000000000001</v>
      </c>
      <c r="G2601" s="3">
        <f>EUR!C2601/1</f>
        <v>1.1180000000000001</v>
      </c>
      <c r="H2601" s="3">
        <f>GBP!B2601/1</f>
        <v>1.2545999999999999</v>
      </c>
      <c r="I2601" s="3">
        <f>GBP!C2601/1</f>
        <v>1.2557</v>
      </c>
      <c r="J2601" s="4">
        <f>1/INR!B2601</f>
        <v>1.3528596069942842E-2</v>
      </c>
      <c r="K2601" s="4">
        <f>1/INR!C2601</f>
        <v>1.3473003469298394E-2</v>
      </c>
      <c r="L2601" s="4">
        <f>1/JPY!B2601</f>
        <v>9.385265133740028E-3</v>
      </c>
      <c r="M2601" s="4">
        <f>1/JPY!C2601</f>
        <v>9.4053911702187687E-3</v>
      </c>
      <c r="N2601" s="5">
        <f>1/KRW!B2601</f>
        <v>8.2000820008200077E-4</v>
      </c>
      <c r="O2601" s="5">
        <f>1/KRW!C2601</f>
        <v>8.2002467454245697E-4</v>
      </c>
      <c r="P2601" s="3">
        <f>1/NOK!B2601</f>
        <v>0.10022148949177682</v>
      </c>
      <c r="Q2601" s="3">
        <f>1/NOK!C2601</f>
        <v>0.10017229634972152</v>
      </c>
      <c r="R2601" s="3">
        <f>NZD!B2601/1</f>
        <v>0.61509999999999998</v>
      </c>
      <c r="S2601" s="3">
        <f>NZD!C2601/1</f>
        <v>0.61470000000000002</v>
      </c>
      <c r="T2601" s="4">
        <f>1/PHP!B2601</f>
        <v>1.9588638589618023E-2</v>
      </c>
      <c r="U2601" s="4">
        <f>1/PHP!C2601</f>
        <v>1.9535065442469232E-2</v>
      </c>
      <c r="V2601" s="4">
        <f>1/TWD!B2601</f>
        <v>3.3096144299189147E-2</v>
      </c>
      <c r="W2601" s="4">
        <f>1/TWD!C2601</f>
        <v>3.3096472908882096E-2</v>
      </c>
      <c r="X2601" s="4">
        <f>1/TWD!B2601</f>
        <v>3.3096144299189147E-2</v>
      </c>
      <c r="Y2601" s="4">
        <f>1/TWD!C2601</f>
        <v>3.3096472908882096E-2</v>
      </c>
      <c r="Z2601" s="4">
        <f>1/ZAR!B2601</f>
        <v>6.1818451571425036E-2</v>
      </c>
      <c r="AA2601" s="4">
        <f>1/ZAR!C2601</f>
        <v>6.151499120335626E-2</v>
      </c>
    </row>
    <row r="2602" spans="1:27" x14ac:dyDescent="0.25">
      <c r="A2602" t="str">
        <f>"16/03/2020"</f>
        <v>16/03/2020</v>
      </c>
      <c r="B2602" s="3">
        <f>AUD!B2602</f>
        <v>0.61639999999999995</v>
      </c>
      <c r="C2602" s="3">
        <f>AUD!C2602</f>
        <v>0.61629999999999996</v>
      </c>
      <c r="D2602" s="3">
        <f>1/CAD!B2602</f>
        <v>0.71890726096333568</v>
      </c>
      <c r="E2602" s="3">
        <f>1/CAD!C2602</f>
        <v>0.71880391029327195</v>
      </c>
      <c r="F2602" s="3">
        <f>EUR!B2602/1</f>
        <v>1.1161000000000001</v>
      </c>
      <c r="G2602" s="3">
        <f>EUR!C2602/1</f>
        <v>1.1183000000000001</v>
      </c>
      <c r="H2602" s="3">
        <f>GBP!B2602/1</f>
        <v>1.2279</v>
      </c>
      <c r="I2602" s="3">
        <f>GBP!C2602/1</f>
        <v>1.2291000000000001</v>
      </c>
      <c r="J2602" s="4">
        <f>1/INR!B2602</f>
        <v>1.3463027161657298E-2</v>
      </c>
      <c r="K2602" s="4">
        <f>1/INR!C2602</f>
        <v>1.3396744591064371E-2</v>
      </c>
      <c r="L2602" s="4">
        <f>1/JPY!B2602</f>
        <v>9.4366330093422664E-3</v>
      </c>
      <c r="M2602" s="4">
        <f>1/JPY!C2602</f>
        <v>9.4579819693031732E-3</v>
      </c>
      <c r="N2602" s="5">
        <f>1/KRW!B2602</f>
        <v>8.1559416034581204E-4</v>
      </c>
      <c r="O2602" s="5">
        <f>1/KRW!C2602</f>
        <v>8.1561212097485216E-4</v>
      </c>
      <c r="P2602" s="3">
        <f>1/NOK!B2602</f>
        <v>9.7485840181713607E-2</v>
      </c>
      <c r="Q2602" s="3">
        <f>1/NOK!C2602</f>
        <v>9.7469686927365587E-2</v>
      </c>
      <c r="R2602" s="3">
        <f>NZD!B2602/1</f>
        <v>0.6048</v>
      </c>
      <c r="S2602" s="3">
        <f>NZD!C2602/1</f>
        <v>0.60440000000000005</v>
      </c>
      <c r="T2602" s="4">
        <f>1/PHP!B2602</f>
        <v>1.9409937888198756E-2</v>
      </c>
      <c r="U2602" s="4">
        <f>1/PHP!C2602</f>
        <v>1.9338619222587505E-2</v>
      </c>
      <c r="V2602" s="4">
        <f>1/TWD!B2602</f>
        <v>3.3085194375516956E-2</v>
      </c>
      <c r="W2602" s="4">
        <f>1/TWD!C2602</f>
        <v>3.3085632233346346E-2</v>
      </c>
      <c r="X2602" s="4">
        <f>1/TWD!B2602</f>
        <v>3.3085194375516956E-2</v>
      </c>
      <c r="Y2602" s="4">
        <f>1/TWD!C2602</f>
        <v>3.3085632233346346E-2</v>
      </c>
      <c r="Z2602" s="4">
        <f>1/ZAR!B2602</f>
        <v>5.9885977099602361E-2</v>
      </c>
      <c r="AA2602" s="4">
        <f>1/ZAR!C2602</f>
        <v>5.9573808970624149E-2</v>
      </c>
    </row>
    <row r="2603" spans="1:27" x14ac:dyDescent="0.25">
      <c r="A2603" t="str">
        <f>"17/03/2020"</f>
        <v>17/03/2020</v>
      </c>
      <c r="B2603" s="3">
        <f>AUD!B2603</f>
        <v>0.61209999999999998</v>
      </c>
      <c r="C2603" s="3">
        <f>AUD!C2603</f>
        <v>0.6119</v>
      </c>
      <c r="D2603" s="3">
        <f>1/CAD!B2603</f>
        <v>0.71520526391074235</v>
      </c>
      <c r="E2603" s="3">
        <f>1/CAD!C2603</f>
        <v>0.71525641942636442</v>
      </c>
      <c r="F2603" s="3">
        <f>EUR!B2603/1</f>
        <v>1.1185</v>
      </c>
      <c r="G2603" s="3">
        <f>EUR!C2603/1</f>
        <v>1.1208</v>
      </c>
      <c r="H2603" s="3">
        <f>GBP!B2603/1</f>
        <v>1.2264999999999999</v>
      </c>
      <c r="I2603" s="3">
        <f>GBP!C2603/1</f>
        <v>1.2281</v>
      </c>
      <c r="J2603" s="4">
        <f>1/INR!B2603</f>
        <v>1.3513513513513514E-2</v>
      </c>
      <c r="K2603" s="4">
        <f>1/INR!C2603</f>
        <v>1.3446734124449524E-2</v>
      </c>
      <c r="L2603" s="4">
        <f>1/JPY!B2603</f>
        <v>9.390553103577802E-3</v>
      </c>
      <c r="M2603" s="4">
        <f>1/JPY!C2603</f>
        <v>9.4132708292150261E-3</v>
      </c>
      <c r="N2603" s="5">
        <f>1/KRW!B2603</f>
        <v>8.0437580437580432E-4</v>
      </c>
      <c r="O2603" s="5">
        <f>1/KRW!C2603</f>
        <v>8.0440459781580011E-4</v>
      </c>
      <c r="P2603" s="3">
        <f>1/NOK!B2603</f>
        <v>9.785597557514851E-2</v>
      </c>
      <c r="Q2603" s="3">
        <f>1/NOK!C2603</f>
        <v>9.7850230437292685E-2</v>
      </c>
      <c r="R2603" s="3">
        <f>NZD!B2603/1</f>
        <v>0.60580000000000001</v>
      </c>
      <c r="S2603" s="3">
        <f>NZD!C2603/1</f>
        <v>0.60540000000000005</v>
      </c>
      <c r="T2603" s="4">
        <f>1/PHP!B2603</f>
        <v>1.9409937888198756E-2</v>
      </c>
      <c r="U2603" s="4">
        <f>1/PHP!C2603</f>
        <v>1.9338619222587505E-2</v>
      </c>
      <c r="V2603" s="4">
        <f>1/TWD!B2603</f>
        <v>3.3066596124594935E-2</v>
      </c>
      <c r="W2603" s="4">
        <f>1/TWD!C2603</f>
        <v>3.3067142833523473E-2</v>
      </c>
      <c r="X2603" s="4">
        <f>1/TWD!B2603</f>
        <v>3.3066596124594935E-2</v>
      </c>
      <c r="Y2603" s="4">
        <f>1/TWD!C2603</f>
        <v>3.3067142833523473E-2</v>
      </c>
      <c r="Z2603" s="4">
        <f>1/ZAR!B2603</f>
        <v>6.0092181406277222E-2</v>
      </c>
      <c r="AA2603" s="4">
        <f>1/ZAR!C2603</f>
        <v>5.9791447431359425E-2</v>
      </c>
    </row>
    <row r="2604" spans="1:27" x14ac:dyDescent="0.25">
      <c r="A2604" t="str">
        <f>"18/03/2020"</f>
        <v>18/03/2020</v>
      </c>
      <c r="B2604" s="3">
        <f>AUD!B2604</f>
        <v>0.59230000000000005</v>
      </c>
      <c r="C2604" s="3">
        <f>AUD!C2604</f>
        <v>0.59230000000000005</v>
      </c>
      <c r="D2604" s="3">
        <f>1/CAD!B2604</f>
        <v>0.69827526010753438</v>
      </c>
      <c r="E2604" s="3">
        <f>1/CAD!C2604</f>
        <v>0.6983240223463687</v>
      </c>
      <c r="F2604" s="3">
        <f>EUR!B2604/1</f>
        <v>1.0986</v>
      </c>
      <c r="G2604" s="3">
        <f>EUR!C2604/1</f>
        <v>1.1004</v>
      </c>
      <c r="H2604" s="3">
        <f>GBP!B2604/1</f>
        <v>1.1937</v>
      </c>
      <c r="I2604" s="3">
        <f>GBP!C2604/1</f>
        <v>1.1950000000000001</v>
      </c>
      <c r="J2604" s="4">
        <f>1/INR!B2604</f>
        <v>1.3467560014814316E-2</v>
      </c>
      <c r="K2604" s="4">
        <f>1/INR!C2604</f>
        <v>1.3406173542916512E-2</v>
      </c>
      <c r="L2604" s="4">
        <f>1/JPY!B2604</f>
        <v>9.3066542577943234E-3</v>
      </c>
      <c r="M2604" s="4">
        <f>1/JPY!C2604</f>
        <v>9.3275055078920026E-3</v>
      </c>
      <c r="N2604" s="5">
        <f>1/KRW!B2604</f>
        <v>8.0263263504294082E-4</v>
      </c>
      <c r="O2604" s="5">
        <f>1/KRW!C2604</f>
        <v>8.0264229844648584E-4</v>
      </c>
      <c r="P2604" s="3">
        <f>1/NOK!B2604</f>
        <v>9.5045289080246731E-2</v>
      </c>
      <c r="Q2604" s="3">
        <f>1/NOK!C2604</f>
        <v>9.503535315137232E-2</v>
      </c>
      <c r="R2604" s="3">
        <f>NZD!B2604/1</f>
        <v>0.58599999999999997</v>
      </c>
      <c r="S2604" s="3">
        <f>NZD!C2604/1</f>
        <v>0.5857</v>
      </c>
      <c r="T2604" s="4">
        <f>1/PHP!B2604</f>
        <v>1.9527436047646944E-2</v>
      </c>
      <c r="U2604" s="4">
        <f>1/PHP!C2604</f>
        <v>1.9425019425019428E-2</v>
      </c>
      <c r="V2604" s="4">
        <f>1/TWD!B2604</f>
        <v>3.3025099075297222E-2</v>
      </c>
      <c r="W2604" s="4">
        <f>1/TWD!C2604</f>
        <v>3.3025644412886607E-2</v>
      </c>
      <c r="X2604" s="4">
        <f>1/TWD!B2604</f>
        <v>3.3025099075297222E-2</v>
      </c>
      <c r="Y2604" s="4">
        <f>1/TWD!C2604</f>
        <v>3.3025644412886607E-2</v>
      </c>
      <c r="Z2604" s="4">
        <f>1/ZAR!B2604</f>
        <v>5.8852609524706334E-2</v>
      </c>
      <c r="AA2604" s="4">
        <f>1/ZAR!C2604</f>
        <v>5.8589515992008387E-2</v>
      </c>
    </row>
    <row r="2605" spans="1:27" x14ac:dyDescent="0.25">
      <c r="A2605" t="str">
        <f>"19/03/2020"</f>
        <v>19/03/2020</v>
      </c>
      <c r="B2605" s="3">
        <f>AUD!B2605</f>
        <v>0.57240000000000002</v>
      </c>
      <c r="C2605" s="3">
        <f>AUD!C2605</f>
        <v>0.57240000000000002</v>
      </c>
      <c r="D2605" s="3">
        <f>1/CAD!B2605</f>
        <v>0.68577698532437259</v>
      </c>
      <c r="E2605" s="3">
        <f>1/CAD!C2605</f>
        <v>0.68591810137869536</v>
      </c>
      <c r="F2605" s="3">
        <f>EUR!B2605/1</f>
        <v>1.0752999999999999</v>
      </c>
      <c r="G2605" s="3">
        <f>EUR!C2605/1</f>
        <v>1.0783</v>
      </c>
      <c r="H2605" s="3">
        <f>GBP!B2605/1</f>
        <v>1.1533</v>
      </c>
      <c r="I2605" s="3">
        <f>GBP!C2605/1</f>
        <v>1.1554</v>
      </c>
      <c r="J2605" s="4">
        <f>1/INR!B2605</f>
        <v>1.3320900492873319E-2</v>
      </c>
      <c r="K2605" s="4">
        <f>1/INR!C2605</f>
        <v>1.3257324671881213E-2</v>
      </c>
      <c r="L2605" s="4">
        <f>1/JPY!B2605</f>
        <v>9.1116173120728925E-3</v>
      </c>
      <c r="M2605" s="4">
        <f>1/JPY!C2605</f>
        <v>9.1537537713465532E-3</v>
      </c>
      <c r="N2605" s="5">
        <f>1/KRW!B2605</f>
        <v>7.7772592938248563E-4</v>
      </c>
      <c r="O2605" s="5">
        <f>1/KRW!C2605</f>
        <v>7.7774105111703051E-4</v>
      </c>
      <c r="P2605" s="3">
        <f>1/NOK!B2605</f>
        <v>8.6610831550593723E-2</v>
      </c>
      <c r="Q2605" s="3">
        <f>1/NOK!C2605</f>
        <v>8.6625837022150223E-2</v>
      </c>
      <c r="R2605" s="3">
        <f>NZD!B2605/1</f>
        <v>0.56659999999999999</v>
      </c>
      <c r="S2605" s="3">
        <f>NZD!C2605/1</f>
        <v>0.56610000000000005</v>
      </c>
      <c r="T2605" s="4">
        <f>1/PHP!B2605</f>
        <v>1.9550342130987292E-2</v>
      </c>
      <c r="U2605" s="4">
        <f>1/PHP!C2605</f>
        <v>1.9436345966958212E-2</v>
      </c>
      <c r="V2605" s="4">
        <f>1/TWD!B2605</f>
        <v>3.2776138970829233E-2</v>
      </c>
      <c r="W2605" s="4">
        <f>1/TWD!C2605</f>
        <v>3.2776890980782909E-2</v>
      </c>
      <c r="X2605" s="4">
        <f>1/TWD!B2605</f>
        <v>3.2776138970829233E-2</v>
      </c>
      <c r="Y2605" s="4">
        <f>1/TWD!C2605</f>
        <v>3.2776890980782909E-2</v>
      </c>
      <c r="Z2605" s="4">
        <f>1/ZAR!B2605</f>
        <v>5.7511588585099901E-2</v>
      </c>
      <c r="AA2605" s="4">
        <f>1/ZAR!C2605</f>
        <v>5.7206601641829467E-2</v>
      </c>
    </row>
    <row r="2606" spans="1:27" x14ac:dyDescent="0.25">
      <c r="A2606" t="str">
        <f>"20/03/2020"</f>
        <v>20/03/2020</v>
      </c>
      <c r="B2606" s="3">
        <f>AUD!B2606</f>
        <v>0.58499999999999996</v>
      </c>
      <c r="C2606" s="3">
        <f>AUD!C2606</f>
        <v>0.58499999999999996</v>
      </c>
      <c r="D2606" s="3">
        <f>1/CAD!B2606</f>
        <v>0.69536193588762951</v>
      </c>
      <c r="E2606" s="3">
        <f>1/CAD!C2606</f>
        <v>0.69550702462094871</v>
      </c>
      <c r="F2606" s="3">
        <f>EUR!B2606/1</f>
        <v>1.0767</v>
      </c>
      <c r="G2606" s="3">
        <f>EUR!C2606/1</f>
        <v>1.0784</v>
      </c>
      <c r="H2606" s="3">
        <f>GBP!B2606/1</f>
        <v>1.1669</v>
      </c>
      <c r="I2606" s="3">
        <f>GBP!C2606/1</f>
        <v>1.1682999999999999</v>
      </c>
      <c r="J2606" s="4">
        <f>1/INR!B2606</f>
        <v>1.3326226012793176E-2</v>
      </c>
      <c r="K2606" s="4">
        <f>1/INR!C2606</f>
        <v>1.326259946949602E-2</v>
      </c>
      <c r="L2606" s="4">
        <f>1/JPY!B2606</f>
        <v>9.1041514930808448E-3</v>
      </c>
      <c r="M2606" s="4">
        <f>1/JPY!C2606</f>
        <v>9.1335628293220256E-3</v>
      </c>
      <c r="N2606" s="5">
        <f>1/KRW!B2606</f>
        <v>8.0032012805122054E-4</v>
      </c>
      <c r="O2606" s="5">
        <f>1/KRW!C2606</f>
        <v>8.0032941558745585E-4</v>
      </c>
      <c r="P2606" s="3">
        <f>1/NOK!B2606</f>
        <v>8.9249854968985673E-2</v>
      </c>
      <c r="Q2606" s="3">
        <f>1/NOK!C2606</f>
        <v>8.9239500972710564E-2</v>
      </c>
      <c r="R2606" s="3">
        <f>NZD!B2606/1</f>
        <v>0.57530000000000003</v>
      </c>
      <c r="S2606" s="3">
        <f>NZD!C2606/1</f>
        <v>0.57469999999999999</v>
      </c>
      <c r="T2606" s="4">
        <f>1/PHP!B2606</f>
        <v>1.9632865416707567E-2</v>
      </c>
      <c r="U2606" s="4">
        <f>1/PHP!C2606</f>
        <v>1.9556077050943581E-2</v>
      </c>
      <c r="V2606" s="4">
        <f>1/TWD!B2606</f>
        <v>3.2952186377566153E-2</v>
      </c>
      <c r="W2606" s="4">
        <f>1/TWD!C2606</f>
        <v>3.2952620721926014E-2</v>
      </c>
      <c r="X2606" s="4">
        <f>1/TWD!B2606</f>
        <v>3.2952186377566153E-2</v>
      </c>
      <c r="Y2606" s="4">
        <f>1/TWD!C2606</f>
        <v>3.2952620721926014E-2</v>
      </c>
      <c r="Z2606" s="4">
        <f>1/ZAR!B2606</f>
        <v>5.7409565581817236E-2</v>
      </c>
      <c r="AA2606" s="4">
        <f>1/ZAR!C2606</f>
        <v>5.7126861621603096E-2</v>
      </c>
    </row>
    <row r="2607" spans="1:27" x14ac:dyDescent="0.25">
      <c r="A2607" t="str">
        <f>"23/03/2020"</f>
        <v>23/03/2020</v>
      </c>
      <c r="B2607" s="3">
        <f>AUD!B2607</f>
        <v>0.57250000000000001</v>
      </c>
      <c r="C2607" s="3">
        <f>AUD!C2607</f>
        <v>0.57250000000000001</v>
      </c>
      <c r="D2607" s="3">
        <f>1/CAD!B2607</f>
        <v>0.6906554320049727</v>
      </c>
      <c r="E2607" s="3">
        <f>1/CAD!C2607</f>
        <v>0.69070313579223652</v>
      </c>
      <c r="F2607" s="3">
        <f>EUR!B2607/1</f>
        <v>1.0679000000000001</v>
      </c>
      <c r="G2607" s="3">
        <f>EUR!C2607/1</f>
        <v>1.0696000000000001</v>
      </c>
      <c r="H2607" s="3">
        <f>GBP!B2607/1</f>
        <v>1.1511</v>
      </c>
      <c r="I2607" s="3">
        <f>GBP!C2607/1</f>
        <v>1.1518999999999999</v>
      </c>
      <c r="J2607" s="4">
        <f>1/INR!B2607</f>
        <v>1.3095861707700367E-2</v>
      </c>
      <c r="K2607" s="4">
        <f>1/INR!C2607</f>
        <v>1.2994607237996232E-2</v>
      </c>
      <c r="L2607" s="4">
        <f>1/JPY!B2607</f>
        <v>9.0301607368611161E-3</v>
      </c>
      <c r="M2607" s="4">
        <f>1/JPY!C2607</f>
        <v>9.0562483585549837E-3</v>
      </c>
      <c r="N2607" s="5">
        <f>1/KRW!B2607</f>
        <v>7.8932828163233079E-4</v>
      </c>
      <c r="O2607" s="5">
        <f>1/KRW!C2607</f>
        <v>7.8934977706788916E-4</v>
      </c>
      <c r="P2607" s="3">
        <f>1/NOK!B2607</f>
        <v>8.6912687514123302E-2</v>
      </c>
      <c r="Q2607" s="3">
        <f>1/NOK!C2607</f>
        <v>8.6930820453083438E-2</v>
      </c>
      <c r="R2607" s="3">
        <f>NZD!B2607/1</f>
        <v>0.56230000000000002</v>
      </c>
      <c r="S2607" s="3">
        <f>NZD!C2607/1</f>
        <v>0.56179999999999997</v>
      </c>
      <c r="T2607" s="4">
        <f>1/PHP!B2607</f>
        <v>1.9481784531463084E-2</v>
      </c>
      <c r="U2607" s="4">
        <f>1/PHP!C2607</f>
        <v>1.9392999127315041E-2</v>
      </c>
      <c r="V2607" s="4">
        <f>1/TWD!B2607</f>
        <v>3.2889327413254399E-2</v>
      </c>
      <c r="W2607" s="4">
        <f>1/TWD!C2607</f>
        <v>3.2889868276077552E-2</v>
      </c>
      <c r="X2607" s="4">
        <f>1/TWD!B2607</f>
        <v>3.2889327413254399E-2</v>
      </c>
      <c r="Y2607" s="4">
        <f>1/TWD!C2607</f>
        <v>3.2889868276077552E-2</v>
      </c>
      <c r="Z2607" s="4">
        <f>1/ZAR!B2607</f>
        <v>5.6180406521421589E-2</v>
      </c>
      <c r="AA2607" s="4">
        <f>1/ZAR!C2607</f>
        <v>5.5904649030613388E-2</v>
      </c>
    </row>
    <row r="2608" spans="1:27" x14ac:dyDescent="0.25">
      <c r="A2608" t="str">
        <f>"24/03/2020"</f>
        <v>24/03/2020</v>
      </c>
      <c r="B2608" s="3">
        <f>AUD!B2608</f>
        <v>0.59209999999999996</v>
      </c>
      <c r="C2608" s="3">
        <f>AUD!C2608</f>
        <v>0.59219999999999995</v>
      </c>
      <c r="D2608" s="3">
        <f>1/CAD!B2608</f>
        <v>0.69309675630718048</v>
      </c>
      <c r="E2608" s="3">
        <f>1/CAD!C2608</f>
        <v>0.69304872132510909</v>
      </c>
      <c r="F2608" s="3">
        <f>EUR!B2608/1</f>
        <v>1.08</v>
      </c>
      <c r="G2608" s="3">
        <f>EUR!C2608/1</f>
        <v>1.0815999999999999</v>
      </c>
      <c r="H2608" s="3">
        <f>GBP!B2608/1</f>
        <v>1.1633</v>
      </c>
      <c r="I2608" s="3">
        <f>GBP!C2608/1</f>
        <v>1.1640999999999999</v>
      </c>
      <c r="J2608" s="4">
        <f>1/INR!B2608</f>
        <v>1.3125082031762698E-2</v>
      </c>
      <c r="K2608" s="4">
        <f>1/INR!C2608</f>
        <v>1.3022952954582452E-2</v>
      </c>
      <c r="L2608" s="4">
        <f>1/JPY!B2608</f>
        <v>9.0760573606825188E-3</v>
      </c>
      <c r="M2608" s="4">
        <f>1/JPY!C2608</f>
        <v>9.1002658187645663E-3</v>
      </c>
      <c r="N2608" s="5">
        <f>1/KRW!B2608</f>
        <v>7.955449482895784E-4</v>
      </c>
      <c r="O2608" s="5">
        <f>1/KRW!C2608</f>
        <v>7.9556994829988695E-4</v>
      </c>
      <c r="P2608" s="3">
        <f>1/NOK!B2608</f>
        <v>8.7703911594457118E-2</v>
      </c>
      <c r="Q2608" s="3">
        <f>1/NOK!C2608</f>
        <v>8.7723915293787397E-2</v>
      </c>
      <c r="R2608" s="3">
        <f>NZD!B2608/1</f>
        <v>0.57869999999999999</v>
      </c>
      <c r="S2608" s="3">
        <f>NZD!C2608/1</f>
        <v>0.57830000000000004</v>
      </c>
      <c r="T2608" s="4">
        <f>1/PHP!B2608</f>
        <v>1.953125E-2</v>
      </c>
      <c r="U2608" s="4">
        <f>1/PHP!C2608</f>
        <v>1.9443904335990667E-2</v>
      </c>
      <c r="V2608" s="4">
        <f>1/TWD!B2608</f>
        <v>3.3007657776604173E-2</v>
      </c>
      <c r="W2608" s="4">
        <f>1/TWD!C2608</f>
        <v>3.3008202538330776E-2</v>
      </c>
      <c r="X2608" s="4">
        <f>1/TWD!B2608</f>
        <v>3.3007657776604173E-2</v>
      </c>
      <c r="Y2608" s="4">
        <f>1/TWD!C2608</f>
        <v>3.3008202538330776E-2</v>
      </c>
      <c r="Z2608" s="4">
        <f>1/ZAR!B2608</f>
        <v>5.639776213679841E-2</v>
      </c>
      <c r="AA2608" s="4">
        <f>1/ZAR!C2608</f>
        <v>5.6116722783389451E-2</v>
      </c>
    </row>
    <row r="2609" spans="1:27" x14ac:dyDescent="0.25">
      <c r="A2609" t="str">
        <f>"26/03/2020"</f>
        <v>26/03/2020</v>
      </c>
      <c r="B2609" s="3">
        <f>AUD!B2609</f>
        <v>0.60229999999999995</v>
      </c>
      <c r="C2609" s="3">
        <f>AUD!C2609</f>
        <v>0.60240000000000005</v>
      </c>
      <c r="D2609" s="3">
        <f>1/CAD!B2609</f>
        <v>0.70811499787565502</v>
      </c>
      <c r="E2609" s="3">
        <f>1/CAD!C2609</f>
        <v>0.70816514411160691</v>
      </c>
      <c r="F2609" s="3">
        <f>EUR!B2609/1</f>
        <v>1.0965</v>
      </c>
      <c r="G2609" s="3">
        <f>EUR!C2609/1</f>
        <v>1.0979000000000001</v>
      </c>
      <c r="H2609" s="3">
        <f>GBP!B2609/1</f>
        <v>1.1974</v>
      </c>
      <c r="I2609" s="3">
        <f>GBP!C2609/1</f>
        <v>1.1981999999999999</v>
      </c>
      <c r="J2609" s="4">
        <f>1/INR!B2609</f>
        <v>1.3304064391671654E-2</v>
      </c>
      <c r="K2609" s="4">
        <f>1/INR!C2609</f>
        <v>1.3193047264091824E-2</v>
      </c>
      <c r="L2609" s="4">
        <f>1/JPY!B2609</f>
        <v>9.1149393856530866E-3</v>
      </c>
      <c r="M2609" s="4">
        <f>1/JPY!C2609</f>
        <v>9.1307523739956181E-3</v>
      </c>
      <c r="N2609" s="5">
        <f>1/KRW!B2609</f>
        <v>8.1083272520878944E-4</v>
      </c>
      <c r="O2609" s="5">
        <f>1/KRW!C2609</f>
        <v>8.1084094341343771E-4</v>
      </c>
      <c r="P2609" s="3">
        <f>1/NOK!B2609</f>
        <v>9.4427814657085399E-2</v>
      </c>
      <c r="Q2609" s="3">
        <f>1/NOK!C2609</f>
        <v>9.4455464248606791E-2</v>
      </c>
      <c r="R2609" s="3">
        <f>NZD!B2609/1</f>
        <v>0.58930000000000005</v>
      </c>
      <c r="S2609" s="3">
        <f>NZD!C2609/1</f>
        <v>0.58919999999999995</v>
      </c>
      <c r="T2609" s="4">
        <f>1/PHP!B2609</f>
        <v>1.9544992572902823E-2</v>
      </c>
      <c r="U2609" s="4">
        <f>1/PHP!C2609</f>
        <v>1.947647242131505E-2</v>
      </c>
      <c r="V2609" s="4">
        <f>1/TWD!B2609</f>
        <v>3.2993500280444753E-2</v>
      </c>
      <c r="W2609" s="4">
        <f>1/TWD!C2609</f>
        <v>3.2994153436011142E-2</v>
      </c>
      <c r="X2609" s="4">
        <f>1/TWD!B2609</f>
        <v>3.2993500280444753E-2</v>
      </c>
      <c r="Y2609" s="4">
        <f>1/TWD!C2609</f>
        <v>3.2994153436011142E-2</v>
      </c>
      <c r="Z2609" s="4">
        <f>1/ZAR!B2609</f>
        <v>5.7174875072897959E-2</v>
      </c>
      <c r="AA2609" s="4">
        <f>1/ZAR!C2609</f>
        <v>5.688896979764594E-2</v>
      </c>
    </row>
    <row r="2610" spans="1:27" x14ac:dyDescent="0.25">
      <c r="A2610" t="str">
        <f>"27/03/2020"</f>
        <v>27/03/2020</v>
      </c>
      <c r="B2610" s="3">
        <f>AUD!B2610</f>
        <v>0.60680000000000001</v>
      </c>
      <c r="C2610" s="3">
        <f>AUD!C2610</f>
        <v>0.60680000000000001</v>
      </c>
      <c r="D2610" s="3">
        <f>1/CAD!B2610</f>
        <v>0.71053005542134429</v>
      </c>
      <c r="E2610" s="3">
        <f>1/CAD!C2610</f>
        <v>0.71068154360031266</v>
      </c>
      <c r="F2610" s="3">
        <f>EUR!B2610/1</f>
        <v>1.1006</v>
      </c>
      <c r="G2610" s="3">
        <f>EUR!C2610/1</f>
        <v>1.1021000000000001</v>
      </c>
      <c r="H2610" s="3">
        <f>GBP!B2610/1</f>
        <v>1.2253000000000001</v>
      </c>
      <c r="I2610" s="3">
        <f>GBP!C2610/1</f>
        <v>1.2262</v>
      </c>
      <c r="J2610" s="4">
        <f>1/INR!B2610</f>
        <v>1.3344898912390738E-2</v>
      </c>
      <c r="K2610" s="4">
        <f>1/INR!C2610</f>
        <v>1.323758149386107E-2</v>
      </c>
      <c r="L2610" s="4">
        <f>1/JPY!B2610</f>
        <v>9.198785760279644E-3</v>
      </c>
      <c r="M2610" s="4">
        <f>1/JPY!C2610</f>
        <v>9.2165643781630096E-3</v>
      </c>
      <c r="N2610" s="5">
        <f>1/KRW!B2610</f>
        <v>8.2555931643688604E-4</v>
      </c>
      <c r="O2610" s="5">
        <f>1/KRW!C2610</f>
        <v>8.2556442807992284E-4</v>
      </c>
      <c r="P2610" s="3">
        <f>1/NOK!B2610</f>
        <v>9.4705938062316516E-2</v>
      </c>
      <c r="Q2610" s="3">
        <f>1/NOK!C2610</f>
        <v>9.4743623754121348E-2</v>
      </c>
      <c r="R2610" s="3">
        <f>NZD!B2610/1</f>
        <v>0.59419999999999995</v>
      </c>
      <c r="S2610" s="3">
        <f>NZD!C2610/1</f>
        <v>0.59409999999999996</v>
      </c>
      <c r="T2610" s="4">
        <f>1/PHP!B2610</f>
        <v>1.9588638589618023E-2</v>
      </c>
      <c r="U2610" s="4">
        <f>1/PHP!C2610</f>
        <v>1.9522670701351948E-2</v>
      </c>
      <c r="V2610" s="4">
        <f>1/TWD!B2610</f>
        <v>3.3068783068783074E-2</v>
      </c>
      <c r="W2610" s="4">
        <f>1/TWD!C2610</f>
        <v>3.3069329850030589E-2</v>
      </c>
      <c r="X2610" s="4">
        <f>1/TWD!B2610</f>
        <v>3.3068783068783074E-2</v>
      </c>
      <c r="Y2610" s="4">
        <f>1/TWD!C2610</f>
        <v>3.3069329850030589E-2</v>
      </c>
      <c r="Z2610" s="4">
        <f>1/ZAR!B2610</f>
        <v>5.6930749436385576E-2</v>
      </c>
      <c r="AA2610" s="4">
        <f>1/ZAR!C2610</f>
        <v>5.6661397156731089E-2</v>
      </c>
    </row>
    <row r="2611" spans="1:27" x14ac:dyDescent="0.25">
      <c r="A2611" t="str">
        <f>"30/03/2020"</f>
        <v>30/03/2020</v>
      </c>
      <c r="B2611" s="3">
        <f>AUD!B2611</f>
        <v>0.61270000000000002</v>
      </c>
      <c r="C2611" s="3">
        <f>AUD!C2611</f>
        <v>0.61280000000000001</v>
      </c>
      <c r="D2611" s="3">
        <f>1/CAD!B2611</f>
        <v>0.7066139061616733</v>
      </c>
      <c r="E2611" s="3">
        <f>1/CAD!C2611</f>
        <v>0.70681368391292054</v>
      </c>
      <c r="F2611" s="3">
        <f>EUR!B2611/1</f>
        <v>1.1053999999999999</v>
      </c>
      <c r="G2611" s="3">
        <f>EUR!C2611/1</f>
        <v>1.107</v>
      </c>
      <c r="H2611" s="3">
        <f>GBP!B2611/1</f>
        <v>1.2437</v>
      </c>
      <c r="I2611" s="3">
        <f>GBP!C2611/1</f>
        <v>1.2445999999999999</v>
      </c>
      <c r="J2611" s="4">
        <f>1/INR!B2611</f>
        <v>1.3258203513423931E-2</v>
      </c>
      <c r="K2611" s="4">
        <f>1/INR!C2611</f>
        <v>1.3193917603984563E-2</v>
      </c>
      <c r="L2611" s="4">
        <f>1/JPY!B2611</f>
        <v>9.2592592592592587E-3</v>
      </c>
      <c r="M2611" s="4">
        <f>1/JPY!C2611</f>
        <v>9.2755085761352298E-3</v>
      </c>
      <c r="N2611" s="5">
        <f>1/KRW!B2611</f>
        <v>8.1639317495305736E-4</v>
      </c>
      <c r="O2611" s="5">
        <f>1/KRW!C2611</f>
        <v>8.1639650745574111E-4</v>
      </c>
      <c r="P2611" s="3">
        <f>1/NOK!B2611</f>
        <v>9.4285364082933407E-2</v>
      </c>
      <c r="Q2611" s="3">
        <f>1/NOK!C2611</f>
        <v>9.4322715739631566E-2</v>
      </c>
      <c r="R2611" s="3">
        <f>NZD!B2611/1</f>
        <v>0.60029999999999994</v>
      </c>
      <c r="S2611" s="3">
        <f>NZD!C2611/1</f>
        <v>0.60009999999999997</v>
      </c>
      <c r="T2611" s="4">
        <f>1/PHP!B2611</f>
        <v>1.9619383951343928E-2</v>
      </c>
      <c r="U2611" s="4">
        <f>1/PHP!C2611</f>
        <v>1.956238935023524E-2</v>
      </c>
      <c r="V2611" s="4">
        <f>1/TWD!B2611</f>
        <v>3.3057851239669422E-2</v>
      </c>
      <c r="W2611" s="4">
        <f>1/TWD!C2611</f>
        <v>3.3058616232441738E-2</v>
      </c>
      <c r="X2611" s="4">
        <f>1/TWD!B2611</f>
        <v>3.3057851239669422E-2</v>
      </c>
      <c r="Y2611" s="4">
        <f>1/TWD!C2611</f>
        <v>3.3058616232441738E-2</v>
      </c>
      <c r="Z2611" s="4">
        <f>1/ZAR!B2611</f>
        <v>5.601111260474078E-2</v>
      </c>
      <c r="AA2611" s="4">
        <f>1/ZAR!C2611</f>
        <v>5.5729555612523546E-2</v>
      </c>
    </row>
    <row r="2612" spans="1:27" x14ac:dyDescent="0.25">
      <c r="A2612" t="str">
        <f>"31/03/2020"</f>
        <v>31/03/2020</v>
      </c>
      <c r="B2612" s="3">
        <f>AUD!B2612</f>
        <v>0.61219999999999997</v>
      </c>
      <c r="C2612" s="3">
        <f>AUD!C2612</f>
        <v>0.61229999999999996</v>
      </c>
      <c r="D2612" s="3">
        <f>1/CAD!B2612</f>
        <v>0.71083309638896786</v>
      </c>
      <c r="E2612" s="3">
        <f>1/CAD!C2612</f>
        <v>0.71108582805944676</v>
      </c>
      <c r="F2612" s="3">
        <f>EUR!B2612/1</f>
        <v>1.1024</v>
      </c>
      <c r="G2612" s="3">
        <f>EUR!C2612/1</f>
        <v>1.1037999999999999</v>
      </c>
      <c r="H2612" s="3">
        <f>GBP!B2612/1</f>
        <v>1.2390000000000001</v>
      </c>
      <c r="I2612" s="3">
        <f>GBP!C2612/1</f>
        <v>1.2398</v>
      </c>
      <c r="J2612" s="4">
        <f>1/INR!B2612</f>
        <v>1.3212657726101605E-2</v>
      </c>
      <c r="K2612" s="4">
        <f>1/INR!C2612</f>
        <v>1.3163489219760505E-2</v>
      </c>
      <c r="L2612" s="4">
        <f>1/JPY!B2612</f>
        <v>9.2772984506911578E-3</v>
      </c>
      <c r="M2612" s="4">
        <f>1/JPY!C2612</f>
        <v>9.2950538230091619E-3</v>
      </c>
      <c r="N2612" s="5">
        <f>1/KRW!B2612</f>
        <v>8.206811653672548E-4</v>
      </c>
      <c r="O2612" s="5">
        <f>1/KRW!C2612</f>
        <v>8.2068554325484707E-4</v>
      </c>
      <c r="P2612" s="3">
        <f>1/NOK!B2612</f>
        <v>9.5296180529084382E-2</v>
      </c>
      <c r="Q2612" s="3">
        <f>1/NOK!C2612</f>
        <v>9.5337064190445311E-2</v>
      </c>
      <c r="R2612" s="3">
        <f>NZD!B2612/1</f>
        <v>0.60250000000000004</v>
      </c>
      <c r="S2612" s="3">
        <f>NZD!C2612/1</f>
        <v>0.60229999999999995</v>
      </c>
      <c r="T2612" s="4">
        <f>1/PHP!B2612</f>
        <v>1.9698611247907023E-2</v>
      </c>
      <c r="U2612" s="4">
        <f>1/PHP!C2612</f>
        <v>1.9646365422396856E-2</v>
      </c>
      <c r="V2612" s="4">
        <f>1/TWD!B2612</f>
        <v>3.3078627898514769E-2</v>
      </c>
      <c r="W2612" s="4">
        <f>1/TWD!C2612</f>
        <v>3.3079393853187034E-2</v>
      </c>
      <c r="X2612" s="4">
        <f>1/TWD!B2612</f>
        <v>3.3078627898514769E-2</v>
      </c>
      <c r="Y2612" s="4">
        <f>1/TWD!C2612</f>
        <v>3.3079393853187034E-2</v>
      </c>
      <c r="Z2612" s="4">
        <f>1/ZAR!B2612</f>
        <v>5.592059275828324E-2</v>
      </c>
      <c r="AA2612" s="4">
        <f>1/ZAR!C2612</f>
        <v>5.5645515806108763E-2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82893-991F-4F19-A038-50F36D45B25A}">
  <dimension ref="A1:C2612"/>
  <sheetViews>
    <sheetView workbookViewId="0">
      <selection activeCell="D3" sqref="D3"/>
    </sheetView>
  </sheetViews>
  <sheetFormatPr defaultRowHeight="15" x14ac:dyDescent="0.25"/>
  <cols>
    <col min="1" max="1" width="10.7109375" bestFit="1" customWidth="1"/>
  </cols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s="1">
        <v>39962</v>
      </c>
      <c r="B2">
        <v>0.78700000000000003</v>
      </c>
      <c r="C2">
        <v>0.78610000000000002</v>
      </c>
    </row>
    <row r="3" spans="1:3" x14ac:dyDescent="0.25">
      <c r="A3" s="1">
        <v>39965</v>
      </c>
      <c r="B3">
        <v>0.80600000000000005</v>
      </c>
      <c r="C3">
        <v>0.80420000000000003</v>
      </c>
    </row>
    <row r="4" spans="1:3" x14ac:dyDescent="0.25">
      <c r="A4" s="1">
        <v>39966</v>
      </c>
      <c r="B4">
        <v>0.81120000000000003</v>
      </c>
      <c r="C4">
        <v>0.80940000000000001</v>
      </c>
    </row>
    <row r="5" spans="1:3" x14ac:dyDescent="0.25">
      <c r="A5" s="1">
        <v>39967</v>
      </c>
      <c r="B5">
        <v>0.82299999999999995</v>
      </c>
      <c r="C5">
        <v>0.82110000000000005</v>
      </c>
    </row>
    <row r="6" spans="1:3" x14ac:dyDescent="0.25">
      <c r="A6" s="1">
        <v>39968</v>
      </c>
      <c r="B6">
        <v>0.80169999999999997</v>
      </c>
      <c r="C6">
        <v>0.79979999999999996</v>
      </c>
    </row>
    <row r="7" spans="1:3" x14ac:dyDescent="0.25">
      <c r="A7" s="1">
        <v>39969</v>
      </c>
      <c r="B7">
        <v>0.80379999999999996</v>
      </c>
      <c r="C7">
        <v>0.80200000000000005</v>
      </c>
    </row>
    <row r="8" spans="1:3" x14ac:dyDescent="0.25">
      <c r="A8" s="1">
        <v>39972</v>
      </c>
      <c r="B8">
        <v>0.78510000000000002</v>
      </c>
      <c r="C8">
        <v>0.7833</v>
      </c>
    </row>
    <row r="9" spans="1:3" x14ac:dyDescent="0.25">
      <c r="A9" s="1">
        <v>39973</v>
      </c>
      <c r="B9">
        <v>0.78779999999999994</v>
      </c>
      <c r="C9">
        <v>0.78600000000000003</v>
      </c>
    </row>
    <row r="10" spans="1:3" x14ac:dyDescent="0.25">
      <c r="A10" s="1">
        <v>39974</v>
      </c>
      <c r="B10">
        <v>0.80430000000000001</v>
      </c>
      <c r="C10">
        <v>0.8024</v>
      </c>
    </row>
    <row r="11" spans="1:3" x14ac:dyDescent="0.25">
      <c r="A11" s="1">
        <v>39975</v>
      </c>
      <c r="B11">
        <v>0.80940000000000001</v>
      </c>
      <c r="C11">
        <v>0.8075</v>
      </c>
    </row>
    <row r="12" spans="1:3" x14ac:dyDescent="0.25">
      <c r="A12" s="1">
        <v>39976</v>
      </c>
      <c r="B12">
        <v>0.81340000000000001</v>
      </c>
      <c r="C12">
        <v>0.8115</v>
      </c>
    </row>
    <row r="13" spans="1:3" x14ac:dyDescent="0.25">
      <c r="A13" s="1">
        <v>39979</v>
      </c>
      <c r="B13">
        <v>0.80710000000000004</v>
      </c>
      <c r="C13">
        <v>0.80530000000000002</v>
      </c>
    </row>
    <row r="14" spans="1:3" x14ac:dyDescent="0.25">
      <c r="A14" s="1">
        <v>39980</v>
      </c>
      <c r="B14">
        <v>0.78949999999999998</v>
      </c>
      <c r="C14">
        <v>0.78759999999999997</v>
      </c>
    </row>
    <row r="15" spans="1:3" x14ac:dyDescent="0.25">
      <c r="A15" s="1">
        <v>39981</v>
      </c>
      <c r="B15">
        <v>0.79110000000000003</v>
      </c>
      <c r="C15">
        <v>0.78920000000000001</v>
      </c>
    </row>
    <row r="16" spans="1:3" x14ac:dyDescent="0.25">
      <c r="A16" s="1">
        <v>39982</v>
      </c>
      <c r="B16">
        <v>0.79579999999999995</v>
      </c>
      <c r="C16">
        <v>0.79390000000000005</v>
      </c>
    </row>
    <row r="17" spans="1:3" x14ac:dyDescent="0.25">
      <c r="A17" s="1">
        <v>39983</v>
      </c>
      <c r="B17">
        <v>0.80220000000000002</v>
      </c>
      <c r="C17">
        <v>0.8004</v>
      </c>
    </row>
    <row r="18" spans="1:3" x14ac:dyDescent="0.25">
      <c r="A18" s="1">
        <v>39986</v>
      </c>
      <c r="B18">
        <v>0.8004</v>
      </c>
      <c r="C18">
        <v>0.79859999999999998</v>
      </c>
    </row>
    <row r="19" spans="1:3" x14ac:dyDescent="0.25">
      <c r="A19" s="1">
        <v>39987</v>
      </c>
      <c r="B19">
        <v>0.78310000000000002</v>
      </c>
      <c r="C19">
        <v>0.78129999999999999</v>
      </c>
    </row>
    <row r="20" spans="1:3" x14ac:dyDescent="0.25">
      <c r="A20" s="1">
        <v>39988</v>
      </c>
      <c r="B20">
        <v>0.79479999999999995</v>
      </c>
      <c r="C20">
        <v>0.79300000000000004</v>
      </c>
    </row>
    <row r="21" spans="1:3" x14ac:dyDescent="0.25">
      <c r="A21" s="1">
        <v>39989</v>
      </c>
      <c r="B21">
        <v>0.79890000000000005</v>
      </c>
      <c r="C21">
        <v>0.79710000000000003</v>
      </c>
    </row>
    <row r="22" spans="1:3" x14ac:dyDescent="0.25">
      <c r="A22" s="1">
        <v>39990</v>
      </c>
      <c r="B22">
        <v>0.80600000000000005</v>
      </c>
      <c r="C22">
        <v>0.80420000000000003</v>
      </c>
    </row>
    <row r="23" spans="1:3" x14ac:dyDescent="0.25">
      <c r="A23" s="1">
        <v>39993</v>
      </c>
      <c r="B23">
        <v>0.80230000000000001</v>
      </c>
      <c r="C23">
        <v>0.80030000000000001</v>
      </c>
    </row>
    <row r="24" spans="1:3" x14ac:dyDescent="0.25">
      <c r="A24" s="1">
        <v>39994</v>
      </c>
      <c r="B24">
        <v>0.8105</v>
      </c>
      <c r="C24">
        <v>0.8085</v>
      </c>
    </row>
    <row r="25" spans="1:3" x14ac:dyDescent="0.25">
      <c r="A25" s="1">
        <v>39995</v>
      </c>
      <c r="B25">
        <v>0.80620000000000003</v>
      </c>
      <c r="C25">
        <v>0.80420000000000003</v>
      </c>
    </row>
    <row r="26" spans="1:3" x14ac:dyDescent="0.25">
      <c r="A26" s="1">
        <v>39997</v>
      </c>
      <c r="B26">
        <v>0.79600000000000004</v>
      </c>
      <c r="C26">
        <v>0.79420000000000002</v>
      </c>
    </row>
    <row r="27" spans="1:3" x14ac:dyDescent="0.25">
      <c r="A27" s="1">
        <v>40000</v>
      </c>
      <c r="B27">
        <v>0.79239999999999999</v>
      </c>
      <c r="C27">
        <v>0.79049999999999998</v>
      </c>
    </row>
    <row r="28" spans="1:3" x14ac:dyDescent="0.25">
      <c r="A28" s="1">
        <v>40001</v>
      </c>
      <c r="B28">
        <v>0.7964</v>
      </c>
      <c r="C28">
        <v>0.79449999999999998</v>
      </c>
    </row>
    <row r="29" spans="1:3" x14ac:dyDescent="0.25">
      <c r="A29" s="1">
        <v>40002</v>
      </c>
      <c r="B29">
        <v>0.78639999999999999</v>
      </c>
      <c r="C29">
        <v>0.78459999999999996</v>
      </c>
    </row>
    <row r="30" spans="1:3" x14ac:dyDescent="0.25">
      <c r="A30" s="1">
        <v>40003</v>
      </c>
      <c r="B30">
        <v>0.77980000000000005</v>
      </c>
      <c r="C30">
        <v>0.77800000000000002</v>
      </c>
    </row>
    <row r="31" spans="1:3" x14ac:dyDescent="0.25">
      <c r="A31" s="1">
        <v>40004</v>
      </c>
      <c r="B31">
        <v>0.78190000000000004</v>
      </c>
      <c r="C31">
        <v>0.78010000000000002</v>
      </c>
    </row>
    <row r="32" spans="1:3" x14ac:dyDescent="0.25">
      <c r="A32" s="1">
        <v>40007</v>
      </c>
      <c r="B32">
        <v>0.77749999999999997</v>
      </c>
      <c r="C32">
        <v>0.77569999999999995</v>
      </c>
    </row>
    <row r="33" spans="1:3" x14ac:dyDescent="0.25">
      <c r="A33" s="1">
        <v>40008</v>
      </c>
      <c r="B33">
        <v>0.78490000000000004</v>
      </c>
      <c r="C33">
        <v>0.78300000000000003</v>
      </c>
    </row>
    <row r="34" spans="1:3" x14ac:dyDescent="0.25">
      <c r="A34" s="1">
        <v>40009</v>
      </c>
      <c r="B34">
        <v>0.7944</v>
      </c>
      <c r="C34">
        <v>0.79249999999999998</v>
      </c>
    </row>
    <row r="35" spans="1:3" x14ac:dyDescent="0.25">
      <c r="A35" s="1">
        <v>40010</v>
      </c>
      <c r="B35">
        <v>0.79910000000000003</v>
      </c>
      <c r="C35">
        <v>0.79720000000000002</v>
      </c>
    </row>
    <row r="36" spans="1:3" x14ac:dyDescent="0.25">
      <c r="A36" s="1">
        <v>40011</v>
      </c>
      <c r="B36">
        <v>0.80069999999999997</v>
      </c>
      <c r="C36">
        <v>0.79879999999999995</v>
      </c>
    </row>
    <row r="37" spans="1:3" x14ac:dyDescent="0.25">
      <c r="A37" s="1">
        <v>40014</v>
      </c>
      <c r="B37">
        <v>0.80649999999999999</v>
      </c>
      <c r="C37">
        <v>0.80459999999999998</v>
      </c>
    </row>
    <row r="38" spans="1:3" x14ac:dyDescent="0.25">
      <c r="A38" s="1">
        <v>40015</v>
      </c>
      <c r="B38">
        <v>0.81259999999999999</v>
      </c>
      <c r="C38">
        <v>0.81059999999999999</v>
      </c>
    </row>
    <row r="39" spans="1:3" x14ac:dyDescent="0.25">
      <c r="A39" s="1">
        <v>40016</v>
      </c>
      <c r="B39">
        <v>0.81589999999999996</v>
      </c>
      <c r="C39">
        <v>0.81399999999999995</v>
      </c>
    </row>
    <row r="40" spans="1:3" x14ac:dyDescent="0.25">
      <c r="A40" s="1">
        <v>40017</v>
      </c>
      <c r="B40">
        <v>0.81820000000000004</v>
      </c>
      <c r="C40">
        <v>0.81630000000000003</v>
      </c>
    </row>
    <row r="41" spans="1:3" x14ac:dyDescent="0.25">
      <c r="A41" s="1">
        <v>40018</v>
      </c>
      <c r="B41">
        <v>0.81459999999999999</v>
      </c>
      <c r="C41">
        <v>0.81269999999999998</v>
      </c>
    </row>
    <row r="42" spans="1:3" x14ac:dyDescent="0.25">
      <c r="A42" s="1">
        <v>40021</v>
      </c>
      <c r="B42">
        <v>0.82010000000000005</v>
      </c>
      <c r="C42">
        <v>0.81820000000000004</v>
      </c>
    </row>
    <row r="43" spans="1:3" x14ac:dyDescent="0.25">
      <c r="A43" s="1">
        <v>40022</v>
      </c>
      <c r="B43">
        <v>0.8246</v>
      </c>
      <c r="C43">
        <v>0.82269999999999999</v>
      </c>
    </row>
    <row r="44" spans="1:3" x14ac:dyDescent="0.25">
      <c r="A44" s="1">
        <v>40023</v>
      </c>
      <c r="B44">
        <v>0.8256</v>
      </c>
      <c r="C44">
        <v>0.82369999999999999</v>
      </c>
    </row>
    <row r="45" spans="1:3" x14ac:dyDescent="0.25">
      <c r="A45" s="1">
        <v>40024</v>
      </c>
      <c r="B45">
        <v>0.81720000000000004</v>
      </c>
      <c r="C45">
        <v>0.81530000000000002</v>
      </c>
    </row>
    <row r="46" spans="1:3" x14ac:dyDescent="0.25">
      <c r="A46" s="1">
        <v>40025</v>
      </c>
      <c r="B46">
        <v>0.82779999999999998</v>
      </c>
      <c r="C46">
        <v>0.82579999999999998</v>
      </c>
    </row>
    <row r="47" spans="1:3" x14ac:dyDescent="0.25">
      <c r="A47" s="1">
        <v>40028</v>
      </c>
      <c r="B47">
        <v>0.83730000000000004</v>
      </c>
      <c r="C47">
        <v>0.83520000000000005</v>
      </c>
    </row>
    <row r="48" spans="1:3" x14ac:dyDescent="0.25">
      <c r="A48" s="1">
        <v>40029</v>
      </c>
      <c r="B48">
        <v>0.84499999999999997</v>
      </c>
      <c r="C48">
        <v>0.84289999999999998</v>
      </c>
    </row>
    <row r="49" spans="1:3" x14ac:dyDescent="0.25">
      <c r="A49" s="1">
        <v>40030</v>
      </c>
      <c r="B49">
        <v>0.84340000000000004</v>
      </c>
      <c r="C49">
        <v>0.84140000000000004</v>
      </c>
    </row>
    <row r="50" spans="1:3" x14ac:dyDescent="0.25">
      <c r="A50" s="1">
        <v>40031</v>
      </c>
      <c r="B50">
        <v>0.84140000000000004</v>
      </c>
      <c r="C50">
        <v>0.83940000000000003</v>
      </c>
    </row>
    <row r="51" spans="1:3" x14ac:dyDescent="0.25">
      <c r="A51" s="1">
        <v>40032</v>
      </c>
      <c r="B51">
        <v>0.8377</v>
      </c>
      <c r="C51">
        <v>0.8357</v>
      </c>
    </row>
    <row r="52" spans="1:3" x14ac:dyDescent="0.25">
      <c r="A52" s="1">
        <v>40035</v>
      </c>
      <c r="B52">
        <v>0.83889999999999998</v>
      </c>
      <c r="C52">
        <v>0.83689999999999998</v>
      </c>
    </row>
    <row r="53" spans="1:3" x14ac:dyDescent="0.25">
      <c r="A53" s="1">
        <v>40036</v>
      </c>
      <c r="B53">
        <v>0.83450000000000002</v>
      </c>
      <c r="C53">
        <v>0.83240000000000003</v>
      </c>
    </row>
    <row r="54" spans="1:3" x14ac:dyDescent="0.25">
      <c r="A54" s="1">
        <v>40037</v>
      </c>
      <c r="B54">
        <v>0.8246</v>
      </c>
      <c r="C54">
        <v>0.8226</v>
      </c>
    </row>
    <row r="55" spans="1:3" x14ac:dyDescent="0.25">
      <c r="A55" s="1">
        <v>40038</v>
      </c>
      <c r="B55">
        <v>0.83479999999999999</v>
      </c>
      <c r="C55">
        <v>0.83279999999999998</v>
      </c>
    </row>
    <row r="56" spans="1:3" x14ac:dyDescent="0.25">
      <c r="A56" s="1">
        <v>40039</v>
      </c>
      <c r="B56">
        <v>0.8427</v>
      </c>
      <c r="C56">
        <v>0.8407</v>
      </c>
    </row>
    <row r="57" spans="1:3" x14ac:dyDescent="0.25">
      <c r="A57" s="1">
        <v>40042</v>
      </c>
      <c r="B57">
        <v>0.82150000000000001</v>
      </c>
      <c r="C57">
        <v>0.8196</v>
      </c>
    </row>
    <row r="58" spans="1:3" x14ac:dyDescent="0.25">
      <c r="A58" s="1">
        <v>40043</v>
      </c>
      <c r="B58">
        <v>0.82289999999999996</v>
      </c>
      <c r="C58">
        <v>0.82079999999999997</v>
      </c>
    </row>
    <row r="59" spans="1:3" x14ac:dyDescent="0.25">
      <c r="A59" s="1">
        <v>40045</v>
      </c>
      <c r="B59">
        <v>0.83</v>
      </c>
      <c r="C59">
        <v>0.82799999999999996</v>
      </c>
    </row>
    <row r="60" spans="1:3" x14ac:dyDescent="0.25">
      <c r="A60" s="1">
        <v>40046</v>
      </c>
      <c r="B60">
        <v>0.82399999999999995</v>
      </c>
      <c r="C60">
        <v>0.82210000000000005</v>
      </c>
    </row>
    <row r="61" spans="1:3" x14ac:dyDescent="0.25">
      <c r="A61" s="1">
        <v>40049</v>
      </c>
      <c r="B61">
        <v>0.83960000000000001</v>
      </c>
      <c r="C61">
        <v>0.83760000000000001</v>
      </c>
    </row>
    <row r="62" spans="1:3" x14ac:dyDescent="0.25">
      <c r="A62" s="1">
        <v>40050</v>
      </c>
      <c r="B62">
        <v>0.83640000000000003</v>
      </c>
      <c r="C62">
        <v>0.83430000000000004</v>
      </c>
    </row>
    <row r="63" spans="1:3" x14ac:dyDescent="0.25">
      <c r="A63" s="1">
        <v>40051</v>
      </c>
      <c r="B63">
        <v>0.83650000000000002</v>
      </c>
      <c r="C63">
        <v>0.83450000000000002</v>
      </c>
    </row>
    <row r="64" spans="1:3" x14ac:dyDescent="0.25">
      <c r="A64" s="1">
        <v>40052</v>
      </c>
      <c r="B64">
        <v>0.8266</v>
      </c>
      <c r="C64">
        <v>0.82469999999999999</v>
      </c>
    </row>
    <row r="65" spans="1:3" x14ac:dyDescent="0.25">
      <c r="A65" s="1">
        <v>40053</v>
      </c>
      <c r="B65">
        <v>0.83850000000000002</v>
      </c>
      <c r="C65">
        <v>0.83660000000000001</v>
      </c>
    </row>
    <row r="66" spans="1:3" x14ac:dyDescent="0.25">
      <c r="A66" s="1">
        <v>40056</v>
      </c>
      <c r="B66">
        <v>0.83819999999999995</v>
      </c>
      <c r="C66">
        <v>0.83630000000000004</v>
      </c>
    </row>
    <row r="67" spans="1:3" x14ac:dyDescent="0.25">
      <c r="A67" s="1">
        <v>40057</v>
      </c>
      <c r="B67">
        <v>0.84389999999999998</v>
      </c>
      <c r="C67">
        <v>0.8417</v>
      </c>
    </row>
    <row r="68" spans="1:3" x14ac:dyDescent="0.25">
      <c r="A68" s="1">
        <v>40058</v>
      </c>
      <c r="B68">
        <v>0.83009999999999995</v>
      </c>
      <c r="C68">
        <v>0.82809999999999995</v>
      </c>
    </row>
    <row r="69" spans="1:3" x14ac:dyDescent="0.25">
      <c r="A69" s="1">
        <v>40059</v>
      </c>
      <c r="B69">
        <v>0.83620000000000005</v>
      </c>
      <c r="C69">
        <v>0.83430000000000004</v>
      </c>
    </row>
    <row r="70" spans="1:3" x14ac:dyDescent="0.25">
      <c r="A70" s="1">
        <v>40060</v>
      </c>
      <c r="B70">
        <v>0.83950000000000002</v>
      </c>
      <c r="C70">
        <v>0.83760000000000001</v>
      </c>
    </row>
    <row r="71" spans="1:3" x14ac:dyDescent="0.25">
      <c r="A71" s="1">
        <v>40063</v>
      </c>
      <c r="B71">
        <v>0.8518</v>
      </c>
      <c r="C71">
        <v>0.84989999999999999</v>
      </c>
    </row>
    <row r="72" spans="1:3" x14ac:dyDescent="0.25">
      <c r="A72" s="1">
        <v>40064</v>
      </c>
      <c r="B72">
        <v>0.85429999999999995</v>
      </c>
      <c r="C72">
        <v>0.85219999999999996</v>
      </c>
    </row>
    <row r="73" spans="1:3" x14ac:dyDescent="0.25">
      <c r="A73" s="1">
        <v>40065</v>
      </c>
      <c r="B73">
        <v>0.85909999999999997</v>
      </c>
      <c r="C73">
        <v>0.85699999999999998</v>
      </c>
    </row>
    <row r="74" spans="1:3" x14ac:dyDescent="0.25">
      <c r="A74" s="1">
        <v>40066</v>
      </c>
      <c r="B74">
        <v>0.85940000000000005</v>
      </c>
      <c r="C74">
        <v>0.85740000000000005</v>
      </c>
    </row>
    <row r="75" spans="1:3" x14ac:dyDescent="0.25">
      <c r="A75" s="1">
        <v>40067</v>
      </c>
      <c r="B75">
        <v>0.86380000000000001</v>
      </c>
      <c r="C75">
        <v>0.8619</v>
      </c>
    </row>
    <row r="76" spans="1:3" x14ac:dyDescent="0.25">
      <c r="A76" s="1">
        <v>40070</v>
      </c>
      <c r="B76">
        <v>0.85699999999999998</v>
      </c>
      <c r="C76">
        <v>0.85499999999999998</v>
      </c>
    </row>
    <row r="77" spans="1:3" x14ac:dyDescent="0.25">
      <c r="A77" s="1">
        <v>40071</v>
      </c>
      <c r="B77">
        <v>0.86019999999999996</v>
      </c>
      <c r="C77">
        <v>0.85809999999999997</v>
      </c>
    </row>
    <row r="78" spans="1:3" x14ac:dyDescent="0.25">
      <c r="A78" s="1">
        <v>40072</v>
      </c>
      <c r="B78">
        <v>0.86570000000000003</v>
      </c>
      <c r="C78">
        <v>0.86360000000000003</v>
      </c>
    </row>
    <row r="79" spans="1:3" x14ac:dyDescent="0.25">
      <c r="A79" s="1">
        <v>40073</v>
      </c>
      <c r="B79">
        <v>0.87529999999999997</v>
      </c>
      <c r="C79">
        <v>0.87319999999999998</v>
      </c>
    </row>
    <row r="80" spans="1:3" x14ac:dyDescent="0.25">
      <c r="A80" s="1">
        <v>40074</v>
      </c>
      <c r="B80">
        <v>0.87</v>
      </c>
      <c r="C80">
        <v>0.86799999999999999</v>
      </c>
    </row>
    <row r="81" spans="1:3" x14ac:dyDescent="0.25">
      <c r="A81" s="1">
        <v>40078</v>
      </c>
      <c r="B81">
        <v>0.86919999999999997</v>
      </c>
      <c r="C81">
        <v>0.86709999999999998</v>
      </c>
    </row>
    <row r="82" spans="1:3" x14ac:dyDescent="0.25">
      <c r="A82" s="1">
        <v>40079</v>
      </c>
      <c r="B82">
        <v>0.87619999999999998</v>
      </c>
      <c r="C82">
        <v>0.87409999999999999</v>
      </c>
    </row>
    <row r="83" spans="1:3" x14ac:dyDescent="0.25">
      <c r="A83" s="1">
        <v>40080</v>
      </c>
      <c r="B83">
        <v>0.871</v>
      </c>
      <c r="C83">
        <v>0.86899999999999999</v>
      </c>
    </row>
    <row r="84" spans="1:3" x14ac:dyDescent="0.25">
      <c r="A84" s="1">
        <v>40081</v>
      </c>
      <c r="B84">
        <v>0.86370000000000002</v>
      </c>
      <c r="C84">
        <v>0.86170000000000002</v>
      </c>
    </row>
    <row r="85" spans="1:3" x14ac:dyDescent="0.25">
      <c r="A85" s="1">
        <v>40085</v>
      </c>
      <c r="B85">
        <v>0.87539999999999996</v>
      </c>
      <c r="C85">
        <v>0.87319999999999998</v>
      </c>
    </row>
    <row r="86" spans="1:3" x14ac:dyDescent="0.25">
      <c r="A86" s="1">
        <v>40087</v>
      </c>
      <c r="B86">
        <v>0.88180000000000003</v>
      </c>
      <c r="C86">
        <v>0.87960000000000005</v>
      </c>
    </row>
    <row r="87" spans="1:3" x14ac:dyDescent="0.25">
      <c r="A87" s="1">
        <v>40091</v>
      </c>
      <c r="B87">
        <v>0.87250000000000005</v>
      </c>
      <c r="C87">
        <v>0.87019999999999997</v>
      </c>
    </row>
    <row r="88" spans="1:3" x14ac:dyDescent="0.25">
      <c r="A88" s="1">
        <v>40092</v>
      </c>
      <c r="B88">
        <v>0.88349999999999995</v>
      </c>
      <c r="C88">
        <v>0.88109999999999999</v>
      </c>
    </row>
    <row r="89" spans="1:3" x14ac:dyDescent="0.25">
      <c r="A89" s="1">
        <v>40093</v>
      </c>
      <c r="B89">
        <v>0.88859999999999995</v>
      </c>
      <c r="C89">
        <v>0.88629999999999998</v>
      </c>
    </row>
    <row r="90" spans="1:3" x14ac:dyDescent="0.25">
      <c r="A90" s="1">
        <v>40094</v>
      </c>
      <c r="B90">
        <v>0.90210000000000001</v>
      </c>
      <c r="C90">
        <v>0.89970000000000006</v>
      </c>
    </row>
    <row r="91" spans="1:3" x14ac:dyDescent="0.25">
      <c r="A91" s="1">
        <v>40095</v>
      </c>
      <c r="B91">
        <v>0.90300000000000002</v>
      </c>
      <c r="C91">
        <v>0.90059999999999996</v>
      </c>
    </row>
    <row r="92" spans="1:3" x14ac:dyDescent="0.25">
      <c r="A92" s="1">
        <v>40098</v>
      </c>
      <c r="B92">
        <v>0.90249999999999997</v>
      </c>
      <c r="C92">
        <v>0.89990000000000003</v>
      </c>
    </row>
    <row r="93" spans="1:3" x14ac:dyDescent="0.25">
      <c r="A93" s="1">
        <v>40100</v>
      </c>
      <c r="B93">
        <v>0.9123</v>
      </c>
      <c r="C93">
        <v>0.90980000000000005</v>
      </c>
    </row>
    <row r="94" spans="1:3" x14ac:dyDescent="0.25">
      <c r="A94" s="1">
        <v>40101</v>
      </c>
      <c r="B94">
        <v>0.92169999999999996</v>
      </c>
      <c r="C94">
        <v>0.91920000000000002</v>
      </c>
    </row>
    <row r="95" spans="1:3" x14ac:dyDescent="0.25">
      <c r="A95" s="1">
        <v>40102</v>
      </c>
      <c r="B95">
        <v>0.92369999999999997</v>
      </c>
      <c r="C95">
        <v>0.92100000000000004</v>
      </c>
    </row>
    <row r="96" spans="1:3" x14ac:dyDescent="0.25">
      <c r="A96" s="1">
        <v>40106</v>
      </c>
      <c r="B96">
        <v>0.92869999999999997</v>
      </c>
      <c r="C96">
        <v>0.92589999999999995</v>
      </c>
    </row>
    <row r="97" spans="1:3" x14ac:dyDescent="0.25">
      <c r="A97" s="1">
        <v>40107</v>
      </c>
      <c r="B97">
        <v>0.92249999999999999</v>
      </c>
      <c r="C97">
        <v>0.91990000000000005</v>
      </c>
    </row>
    <row r="98" spans="1:3" x14ac:dyDescent="0.25">
      <c r="A98" s="1">
        <v>40108</v>
      </c>
      <c r="B98">
        <v>0.92369999999999997</v>
      </c>
      <c r="C98">
        <v>0.92100000000000004</v>
      </c>
    </row>
    <row r="99" spans="1:3" x14ac:dyDescent="0.25">
      <c r="A99" s="1">
        <v>40109</v>
      </c>
      <c r="B99">
        <v>0.92859999999999998</v>
      </c>
      <c r="C99">
        <v>0.92579999999999996</v>
      </c>
    </row>
    <row r="100" spans="1:3" x14ac:dyDescent="0.25">
      <c r="A100" s="1">
        <v>40112</v>
      </c>
      <c r="B100">
        <v>0.92420000000000002</v>
      </c>
      <c r="C100">
        <v>0.9214</v>
      </c>
    </row>
    <row r="101" spans="1:3" x14ac:dyDescent="0.25">
      <c r="A101" s="1">
        <v>40113</v>
      </c>
      <c r="B101">
        <v>0.91849999999999998</v>
      </c>
      <c r="C101">
        <v>0.91569999999999996</v>
      </c>
    </row>
    <row r="102" spans="1:3" x14ac:dyDescent="0.25">
      <c r="A102" s="1">
        <v>40114</v>
      </c>
      <c r="B102">
        <v>0.91220000000000001</v>
      </c>
      <c r="C102">
        <v>0.90959999999999996</v>
      </c>
    </row>
    <row r="103" spans="1:3" x14ac:dyDescent="0.25">
      <c r="A103" s="1">
        <v>40115</v>
      </c>
      <c r="B103">
        <v>0.89739999999999998</v>
      </c>
      <c r="C103">
        <v>0.89490000000000003</v>
      </c>
    </row>
    <row r="104" spans="1:3" x14ac:dyDescent="0.25">
      <c r="A104" s="1">
        <v>40116</v>
      </c>
      <c r="B104">
        <v>0.91579999999999995</v>
      </c>
      <c r="C104">
        <v>0.91320000000000001</v>
      </c>
    </row>
    <row r="105" spans="1:3" x14ac:dyDescent="0.25">
      <c r="A105" s="1">
        <v>40120</v>
      </c>
      <c r="B105">
        <v>0.90459999999999996</v>
      </c>
      <c r="C105">
        <v>0.90190000000000003</v>
      </c>
    </row>
    <row r="106" spans="1:3" x14ac:dyDescent="0.25">
      <c r="A106" s="1">
        <v>40121</v>
      </c>
      <c r="B106">
        <v>0.90169999999999995</v>
      </c>
      <c r="C106">
        <v>0.89910000000000001</v>
      </c>
    </row>
    <row r="107" spans="1:3" x14ac:dyDescent="0.25">
      <c r="A107" s="1">
        <v>40122</v>
      </c>
      <c r="B107">
        <v>0.90690000000000004</v>
      </c>
      <c r="C107">
        <v>0.90429999999999999</v>
      </c>
    </row>
    <row r="108" spans="1:3" x14ac:dyDescent="0.25">
      <c r="A108" s="1">
        <v>40123</v>
      </c>
      <c r="B108">
        <v>0.91300000000000003</v>
      </c>
      <c r="C108">
        <v>0.91039999999999999</v>
      </c>
    </row>
    <row r="109" spans="1:3" x14ac:dyDescent="0.25">
      <c r="A109" s="1">
        <v>40126</v>
      </c>
      <c r="B109">
        <v>0.92569999999999997</v>
      </c>
      <c r="C109">
        <v>0.92290000000000005</v>
      </c>
    </row>
    <row r="110" spans="1:3" x14ac:dyDescent="0.25">
      <c r="A110" s="1">
        <v>40127</v>
      </c>
      <c r="B110">
        <v>0.92810000000000004</v>
      </c>
      <c r="C110">
        <v>0.92530000000000001</v>
      </c>
    </row>
    <row r="111" spans="1:3" x14ac:dyDescent="0.25">
      <c r="A111" s="1">
        <v>40128</v>
      </c>
      <c r="B111">
        <v>0.93030000000000002</v>
      </c>
      <c r="C111">
        <v>0.92749999999999999</v>
      </c>
    </row>
    <row r="112" spans="1:3" x14ac:dyDescent="0.25">
      <c r="A112" s="1">
        <v>40129</v>
      </c>
      <c r="B112">
        <v>0.93420000000000003</v>
      </c>
      <c r="C112">
        <v>0.93149999999999999</v>
      </c>
    </row>
    <row r="113" spans="1:3" x14ac:dyDescent="0.25">
      <c r="A113" s="1">
        <v>40130</v>
      </c>
      <c r="B113">
        <v>0.92549999999999999</v>
      </c>
      <c r="C113">
        <v>0.92279999999999995</v>
      </c>
    </row>
    <row r="114" spans="1:3" x14ac:dyDescent="0.25">
      <c r="A114" s="1">
        <v>40133</v>
      </c>
      <c r="B114">
        <v>0.93220000000000003</v>
      </c>
      <c r="C114">
        <v>0.92949999999999999</v>
      </c>
    </row>
    <row r="115" spans="1:3" x14ac:dyDescent="0.25">
      <c r="A115" s="1">
        <v>40134</v>
      </c>
      <c r="B115">
        <v>0.93340000000000001</v>
      </c>
      <c r="C115">
        <v>0.93059999999999998</v>
      </c>
    </row>
    <row r="116" spans="1:3" x14ac:dyDescent="0.25">
      <c r="A116" s="1">
        <v>40135</v>
      </c>
      <c r="B116">
        <v>0.92720000000000002</v>
      </c>
      <c r="C116">
        <v>0.9244</v>
      </c>
    </row>
    <row r="117" spans="1:3" x14ac:dyDescent="0.25">
      <c r="A117" s="1">
        <v>40136</v>
      </c>
      <c r="B117">
        <v>0.92520000000000002</v>
      </c>
      <c r="C117">
        <v>0.92249999999999999</v>
      </c>
    </row>
    <row r="118" spans="1:3" x14ac:dyDescent="0.25">
      <c r="A118" s="1">
        <v>40137</v>
      </c>
      <c r="B118">
        <v>0.91700000000000004</v>
      </c>
      <c r="C118">
        <v>0.9143</v>
      </c>
    </row>
    <row r="119" spans="1:3" x14ac:dyDescent="0.25">
      <c r="A119" s="1">
        <v>40140</v>
      </c>
      <c r="B119">
        <v>0.91739999999999999</v>
      </c>
      <c r="C119">
        <v>0.91439999999999999</v>
      </c>
    </row>
    <row r="120" spans="1:3" x14ac:dyDescent="0.25">
      <c r="A120" s="1">
        <v>40141</v>
      </c>
      <c r="B120">
        <v>0.91969999999999996</v>
      </c>
      <c r="C120">
        <v>0.91679999999999995</v>
      </c>
    </row>
    <row r="121" spans="1:3" x14ac:dyDescent="0.25">
      <c r="A121" s="1">
        <v>40142</v>
      </c>
      <c r="B121">
        <v>0.92559999999999998</v>
      </c>
      <c r="C121">
        <v>0.92269999999999996</v>
      </c>
    </row>
    <row r="122" spans="1:3" x14ac:dyDescent="0.25">
      <c r="A122" s="1">
        <v>40143</v>
      </c>
      <c r="B122">
        <v>0.92320000000000002</v>
      </c>
      <c r="C122">
        <v>0.9204</v>
      </c>
    </row>
    <row r="123" spans="1:3" x14ac:dyDescent="0.25">
      <c r="A123" s="1">
        <v>40144</v>
      </c>
      <c r="B123">
        <v>0.90429999999999999</v>
      </c>
      <c r="C123">
        <v>0.90139999999999998</v>
      </c>
    </row>
    <row r="124" spans="1:3" x14ac:dyDescent="0.25">
      <c r="A124" s="1">
        <v>40147</v>
      </c>
      <c r="B124">
        <v>0.91790000000000005</v>
      </c>
      <c r="C124">
        <v>0.91500000000000004</v>
      </c>
    </row>
    <row r="125" spans="1:3" x14ac:dyDescent="0.25">
      <c r="A125" s="1">
        <v>40148</v>
      </c>
      <c r="B125">
        <v>0.91579999999999995</v>
      </c>
      <c r="C125">
        <v>0.91300000000000003</v>
      </c>
    </row>
    <row r="126" spans="1:3" x14ac:dyDescent="0.25">
      <c r="A126" s="1">
        <v>40149</v>
      </c>
      <c r="B126">
        <v>0.92720000000000002</v>
      </c>
      <c r="C126">
        <v>0.9244</v>
      </c>
    </row>
    <row r="127" spans="1:3" x14ac:dyDescent="0.25">
      <c r="A127" s="1">
        <v>40150</v>
      </c>
      <c r="B127">
        <v>0.9304</v>
      </c>
      <c r="C127">
        <v>0.92759999999999998</v>
      </c>
    </row>
    <row r="128" spans="1:3" x14ac:dyDescent="0.25">
      <c r="A128" s="1">
        <v>40151</v>
      </c>
      <c r="B128">
        <v>0.92330000000000001</v>
      </c>
      <c r="C128">
        <v>0.92049999999999998</v>
      </c>
    </row>
    <row r="129" spans="1:3" x14ac:dyDescent="0.25">
      <c r="A129" s="1">
        <v>40154</v>
      </c>
      <c r="B129">
        <v>0.91479999999999995</v>
      </c>
      <c r="C129">
        <v>0.91180000000000005</v>
      </c>
    </row>
    <row r="130" spans="1:3" x14ac:dyDescent="0.25">
      <c r="A130" s="1">
        <v>40155</v>
      </c>
      <c r="B130">
        <v>0.91339999999999999</v>
      </c>
      <c r="C130">
        <v>0.91049999999999998</v>
      </c>
    </row>
    <row r="131" spans="1:3" x14ac:dyDescent="0.25">
      <c r="A131" s="1">
        <v>40156</v>
      </c>
      <c r="B131">
        <v>0.90639999999999998</v>
      </c>
      <c r="C131">
        <v>0.90359999999999996</v>
      </c>
    </row>
    <row r="132" spans="1:3" x14ac:dyDescent="0.25">
      <c r="A132" s="1">
        <v>40157</v>
      </c>
      <c r="B132">
        <v>0.9163</v>
      </c>
      <c r="C132">
        <v>0.91349999999999998</v>
      </c>
    </row>
    <row r="133" spans="1:3" x14ac:dyDescent="0.25">
      <c r="A133" s="1">
        <v>40158</v>
      </c>
      <c r="B133">
        <v>0.91679999999999995</v>
      </c>
      <c r="C133">
        <v>0.91400000000000003</v>
      </c>
    </row>
    <row r="134" spans="1:3" x14ac:dyDescent="0.25">
      <c r="A134" s="1">
        <v>40161</v>
      </c>
      <c r="B134">
        <v>0.90559999999999996</v>
      </c>
      <c r="C134">
        <v>0.90259999999999996</v>
      </c>
    </row>
    <row r="135" spans="1:3" x14ac:dyDescent="0.25">
      <c r="A135" s="1">
        <v>40162</v>
      </c>
      <c r="B135">
        <v>0.91349999999999998</v>
      </c>
      <c r="C135">
        <v>0.91049999999999998</v>
      </c>
    </row>
    <row r="136" spans="1:3" x14ac:dyDescent="0.25">
      <c r="A136" s="1">
        <v>40163</v>
      </c>
      <c r="B136">
        <v>0.89949999999999997</v>
      </c>
      <c r="C136">
        <v>0.89649999999999996</v>
      </c>
    </row>
    <row r="137" spans="1:3" x14ac:dyDescent="0.25">
      <c r="A137" s="1">
        <v>40164</v>
      </c>
      <c r="B137">
        <v>0.89349999999999996</v>
      </c>
      <c r="C137">
        <v>0.89059999999999995</v>
      </c>
    </row>
    <row r="138" spans="1:3" x14ac:dyDescent="0.25">
      <c r="A138" s="1">
        <v>40165</v>
      </c>
      <c r="B138">
        <v>0.88880000000000003</v>
      </c>
      <c r="C138">
        <v>0.88590000000000002</v>
      </c>
    </row>
    <row r="139" spans="1:3" x14ac:dyDescent="0.25">
      <c r="A139" s="1">
        <v>40168</v>
      </c>
      <c r="B139">
        <v>0.88890000000000002</v>
      </c>
      <c r="C139">
        <v>0.88580000000000003</v>
      </c>
    </row>
    <row r="140" spans="1:3" x14ac:dyDescent="0.25">
      <c r="A140" s="1">
        <v>40169</v>
      </c>
      <c r="B140">
        <v>0.878</v>
      </c>
      <c r="C140">
        <v>0.875</v>
      </c>
    </row>
    <row r="141" spans="1:3" x14ac:dyDescent="0.25">
      <c r="A141" s="1">
        <v>40170</v>
      </c>
      <c r="B141">
        <v>0.876</v>
      </c>
      <c r="C141">
        <v>0.87319999999999998</v>
      </c>
    </row>
    <row r="142" spans="1:3" x14ac:dyDescent="0.25">
      <c r="A142" s="1">
        <v>40171</v>
      </c>
      <c r="B142">
        <v>0.88190000000000002</v>
      </c>
      <c r="C142">
        <v>0.87909999999999999</v>
      </c>
    </row>
    <row r="143" spans="1:3" x14ac:dyDescent="0.25">
      <c r="A143" s="1">
        <v>40176</v>
      </c>
      <c r="B143">
        <v>0.88629999999999998</v>
      </c>
      <c r="C143">
        <v>0.88360000000000005</v>
      </c>
    </row>
    <row r="144" spans="1:3" x14ac:dyDescent="0.25">
      <c r="A144" s="1">
        <v>40177</v>
      </c>
      <c r="B144">
        <v>0.89039999999999997</v>
      </c>
      <c r="C144">
        <v>0.88759999999999994</v>
      </c>
    </row>
    <row r="145" spans="1:3" x14ac:dyDescent="0.25">
      <c r="A145" s="1">
        <v>40178</v>
      </c>
      <c r="B145">
        <v>0.89590000000000003</v>
      </c>
      <c r="C145">
        <v>0.89300000000000002</v>
      </c>
    </row>
    <row r="146" spans="1:3" x14ac:dyDescent="0.25">
      <c r="A146" s="1">
        <v>40179</v>
      </c>
      <c r="B146">
        <v>0.89749999999999996</v>
      </c>
      <c r="C146">
        <v>0.89470000000000005</v>
      </c>
    </row>
    <row r="147" spans="1:3" x14ac:dyDescent="0.25">
      <c r="A147" s="1">
        <v>40182</v>
      </c>
      <c r="B147">
        <v>0.89559999999999995</v>
      </c>
      <c r="C147">
        <v>0.89259999999999995</v>
      </c>
    </row>
    <row r="148" spans="1:3" x14ac:dyDescent="0.25">
      <c r="A148" s="1">
        <v>40183</v>
      </c>
      <c r="B148">
        <v>0.91290000000000004</v>
      </c>
      <c r="C148">
        <v>0.90990000000000004</v>
      </c>
    </row>
    <row r="149" spans="1:3" x14ac:dyDescent="0.25">
      <c r="A149" s="1">
        <v>40184</v>
      </c>
      <c r="B149">
        <v>0.91369999999999996</v>
      </c>
      <c r="C149">
        <v>0.91080000000000005</v>
      </c>
    </row>
    <row r="150" spans="1:3" x14ac:dyDescent="0.25">
      <c r="A150" s="1">
        <v>40185</v>
      </c>
      <c r="B150">
        <v>0.92210000000000003</v>
      </c>
      <c r="C150">
        <v>0.91920000000000002</v>
      </c>
    </row>
    <row r="151" spans="1:3" x14ac:dyDescent="0.25">
      <c r="A151" s="1">
        <v>40186</v>
      </c>
      <c r="B151">
        <v>0.91539999999999999</v>
      </c>
      <c r="C151">
        <v>0.91249999999999998</v>
      </c>
    </row>
    <row r="152" spans="1:3" x14ac:dyDescent="0.25">
      <c r="A152" s="1">
        <v>40189</v>
      </c>
      <c r="B152">
        <v>0.93079999999999996</v>
      </c>
      <c r="C152">
        <v>0.92769999999999997</v>
      </c>
    </row>
    <row r="153" spans="1:3" x14ac:dyDescent="0.25">
      <c r="A153" s="1">
        <v>40190</v>
      </c>
      <c r="B153">
        <v>0.92630000000000001</v>
      </c>
      <c r="C153">
        <v>0.92310000000000003</v>
      </c>
    </row>
    <row r="154" spans="1:3" x14ac:dyDescent="0.25">
      <c r="A154" s="1">
        <v>40191</v>
      </c>
      <c r="B154">
        <v>0.92179999999999995</v>
      </c>
      <c r="C154">
        <v>0.91869999999999996</v>
      </c>
    </row>
    <row r="155" spans="1:3" x14ac:dyDescent="0.25">
      <c r="A155" s="1">
        <v>40192</v>
      </c>
      <c r="B155">
        <v>0.92969999999999997</v>
      </c>
      <c r="C155">
        <v>0.92669999999999997</v>
      </c>
    </row>
    <row r="156" spans="1:3" x14ac:dyDescent="0.25">
      <c r="A156" s="1">
        <v>40193</v>
      </c>
      <c r="B156">
        <v>0.9274</v>
      </c>
      <c r="C156">
        <v>0.9244</v>
      </c>
    </row>
    <row r="157" spans="1:3" x14ac:dyDescent="0.25">
      <c r="A157" s="1">
        <v>40196</v>
      </c>
      <c r="B157">
        <v>0.91910000000000003</v>
      </c>
      <c r="C157">
        <v>0.91600000000000004</v>
      </c>
    </row>
    <row r="158" spans="1:3" x14ac:dyDescent="0.25">
      <c r="A158" s="1">
        <v>40197</v>
      </c>
      <c r="B158">
        <v>0.92400000000000004</v>
      </c>
      <c r="C158">
        <v>0.92090000000000005</v>
      </c>
    </row>
    <row r="159" spans="1:3" x14ac:dyDescent="0.25">
      <c r="A159" s="1">
        <v>40198</v>
      </c>
      <c r="B159">
        <v>0.91759999999999997</v>
      </c>
      <c r="C159">
        <v>0.91459999999999997</v>
      </c>
    </row>
    <row r="160" spans="1:3" x14ac:dyDescent="0.25">
      <c r="A160" s="1">
        <v>40199</v>
      </c>
      <c r="B160">
        <v>0.91249999999999998</v>
      </c>
      <c r="C160">
        <v>0.90949999999999998</v>
      </c>
    </row>
    <row r="161" spans="1:3" x14ac:dyDescent="0.25">
      <c r="A161" s="1">
        <v>40200</v>
      </c>
      <c r="B161">
        <v>0.9022</v>
      </c>
      <c r="C161">
        <v>0.89929999999999999</v>
      </c>
    </row>
    <row r="162" spans="1:3" x14ac:dyDescent="0.25">
      <c r="A162" s="1">
        <v>40203</v>
      </c>
      <c r="B162">
        <v>0.90580000000000005</v>
      </c>
      <c r="C162">
        <v>0.90310000000000001</v>
      </c>
    </row>
    <row r="163" spans="1:3" x14ac:dyDescent="0.25">
      <c r="A163" s="1">
        <v>40205</v>
      </c>
      <c r="B163">
        <v>0.90349999999999997</v>
      </c>
      <c r="C163">
        <v>0.90080000000000005</v>
      </c>
    </row>
    <row r="164" spans="1:3" x14ac:dyDescent="0.25">
      <c r="A164" s="1">
        <v>40206</v>
      </c>
      <c r="B164">
        <v>0.89890000000000003</v>
      </c>
      <c r="C164">
        <v>0.89629999999999999</v>
      </c>
    </row>
    <row r="165" spans="1:3" x14ac:dyDescent="0.25">
      <c r="A165" s="1">
        <v>40207</v>
      </c>
      <c r="B165">
        <v>0.89370000000000005</v>
      </c>
      <c r="C165">
        <v>0.8911</v>
      </c>
    </row>
    <row r="166" spans="1:3" x14ac:dyDescent="0.25">
      <c r="A166" s="1">
        <v>40210</v>
      </c>
      <c r="B166">
        <v>0.88200000000000001</v>
      </c>
      <c r="C166">
        <v>0.87939999999999996</v>
      </c>
    </row>
    <row r="167" spans="1:3" x14ac:dyDescent="0.25">
      <c r="A167" s="1">
        <v>40211</v>
      </c>
      <c r="B167">
        <v>0.88180000000000003</v>
      </c>
      <c r="C167">
        <v>0.87929999999999997</v>
      </c>
    </row>
    <row r="168" spans="1:3" x14ac:dyDescent="0.25">
      <c r="A168" s="1">
        <v>40212</v>
      </c>
      <c r="B168">
        <v>0.88549999999999995</v>
      </c>
      <c r="C168">
        <v>0.88300000000000001</v>
      </c>
    </row>
    <row r="169" spans="1:3" x14ac:dyDescent="0.25">
      <c r="A169" s="1">
        <v>40213</v>
      </c>
      <c r="B169">
        <v>0.88180000000000003</v>
      </c>
      <c r="C169">
        <v>0.87929999999999997</v>
      </c>
    </row>
    <row r="170" spans="1:3" x14ac:dyDescent="0.25">
      <c r="A170" s="1">
        <v>40214</v>
      </c>
      <c r="B170">
        <v>0.86819999999999997</v>
      </c>
      <c r="C170">
        <v>0.86570000000000003</v>
      </c>
    </row>
    <row r="171" spans="1:3" x14ac:dyDescent="0.25">
      <c r="A171" s="1">
        <v>40217</v>
      </c>
      <c r="B171">
        <v>0.86499999999999999</v>
      </c>
      <c r="C171">
        <v>0.86250000000000004</v>
      </c>
    </row>
    <row r="172" spans="1:3" x14ac:dyDescent="0.25">
      <c r="A172" s="1">
        <v>40218</v>
      </c>
      <c r="B172">
        <v>0.86529999999999996</v>
      </c>
      <c r="C172">
        <v>0.8629</v>
      </c>
    </row>
    <row r="173" spans="1:3" x14ac:dyDescent="0.25">
      <c r="A173" s="1">
        <v>40219</v>
      </c>
      <c r="B173">
        <v>0.87439999999999996</v>
      </c>
      <c r="C173">
        <v>0.87190000000000001</v>
      </c>
    </row>
    <row r="174" spans="1:3" x14ac:dyDescent="0.25">
      <c r="A174" s="1">
        <v>40220</v>
      </c>
      <c r="B174">
        <v>0.88700000000000001</v>
      </c>
      <c r="C174">
        <v>0.88439999999999996</v>
      </c>
    </row>
    <row r="175" spans="1:3" x14ac:dyDescent="0.25">
      <c r="A175" s="1">
        <v>40224</v>
      </c>
      <c r="B175">
        <v>0.88780000000000003</v>
      </c>
      <c r="C175">
        <v>0.88519999999999999</v>
      </c>
    </row>
    <row r="176" spans="1:3" x14ac:dyDescent="0.25">
      <c r="A176" s="1">
        <v>40225</v>
      </c>
      <c r="B176">
        <v>0.89119999999999999</v>
      </c>
      <c r="C176">
        <v>0.88859999999999995</v>
      </c>
    </row>
    <row r="177" spans="1:3" x14ac:dyDescent="0.25">
      <c r="A177" s="1">
        <v>40226</v>
      </c>
      <c r="B177">
        <v>0.90029999999999999</v>
      </c>
      <c r="C177">
        <v>0.89770000000000005</v>
      </c>
    </row>
    <row r="178" spans="1:3" x14ac:dyDescent="0.25">
      <c r="A178" s="1">
        <v>40227</v>
      </c>
      <c r="B178">
        <v>0.89549999999999996</v>
      </c>
      <c r="C178">
        <v>0.89290000000000003</v>
      </c>
    </row>
    <row r="179" spans="1:3" x14ac:dyDescent="0.25">
      <c r="A179" s="1">
        <v>40228</v>
      </c>
      <c r="B179">
        <v>0.8911</v>
      </c>
      <c r="C179">
        <v>0.88849999999999996</v>
      </c>
    </row>
    <row r="180" spans="1:3" x14ac:dyDescent="0.25">
      <c r="A180" s="1">
        <v>40231</v>
      </c>
      <c r="B180">
        <v>0.90200000000000002</v>
      </c>
      <c r="C180">
        <v>0.89939999999999998</v>
      </c>
    </row>
    <row r="181" spans="1:3" x14ac:dyDescent="0.25">
      <c r="A181" s="1">
        <v>40232</v>
      </c>
      <c r="B181">
        <v>0.89910000000000001</v>
      </c>
      <c r="C181">
        <v>0.89649999999999996</v>
      </c>
    </row>
    <row r="182" spans="1:3" x14ac:dyDescent="0.25">
      <c r="A182" s="1">
        <v>40233</v>
      </c>
      <c r="B182">
        <v>0.89339999999999997</v>
      </c>
      <c r="C182">
        <v>0.89049999999999996</v>
      </c>
    </row>
    <row r="183" spans="1:3" x14ac:dyDescent="0.25">
      <c r="A183" s="1">
        <v>40234</v>
      </c>
      <c r="B183">
        <v>0.89039999999999997</v>
      </c>
      <c r="C183">
        <v>0.88749999999999996</v>
      </c>
    </row>
    <row r="184" spans="1:3" x14ac:dyDescent="0.25">
      <c r="A184" s="1">
        <v>40235</v>
      </c>
      <c r="B184">
        <v>0.88949999999999996</v>
      </c>
      <c r="C184">
        <v>0.88649999999999995</v>
      </c>
    </row>
    <row r="185" spans="1:3" x14ac:dyDescent="0.25">
      <c r="A185" s="1">
        <v>40239</v>
      </c>
      <c r="B185">
        <v>0.89690000000000003</v>
      </c>
      <c r="C185">
        <v>0.89380000000000004</v>
      </c>
    </row>
    <row r="186" spans="1:3" x14ac:dyDescent="0.25">
      <c r="A186" s="1">
        <v>40240</v>
      </c>
      <c r="B186">
        <v>0.90339999999999998</v>
      </c>
      <c r="C186">
        <v>0.90039999999999998</v>
      </c>
    </row>
    <row r="187" spans="1:3" x14ac:dyDescent="0.25">
      <c r="A187" s="1">
        <v>40241</v>
      </c>
      <c r="B187">
        <v>0.9022</v>
      </c>
      <c r="C187">
        <v>0.89929999999999999</v>
      </c>
    </row>
    <row r="188" spans="1:3" x14ac:dyDescent="0.25">
      <c r="A188" s="1">
        <v>40242</v>
      </c>
      <c r="B188">
        <v>0.90049999999999997</v>
      </c>
      <c r="C188">
        <v>0.89759999999999995</v>
      </c>
    </row>
    <row r="189" spans="1:3" x14ac:dyDescent="0.25">
      <c r="A189" s="1">
        <v>40245</v>
      </c>
      <c r="B189">
        <v>0.91059999999999997</v>
      </c>
      <c r="C189">
        <v>0.90749999999999997</v>
      </c>
    </row>
    <row r="190" spans="1:3" x14ac:dyDescent="0.25">
      <c r="A190" s="1">
        <v>40246</v>
      </c>
      <c r="B190">
        <v>0.90949999999999998</v>
      </c>
      <c r="C190">
        <v>0.90639999999999998</v>
      </c>
    </row>
    <row r="191" spans="1:3" x14ac:dyDescent="0.25">
      <c r="A191" s="1">
        <v>40247</v>
      </c>
      <c r="B191">
        <v>0.91469999999999996</v>
      </c>
      <c r="C191">
        <v>0.91169999999999995</v>
      </c>
    </row>
    <row r="192" spans="1:3" x14ac:dyDescent="0.25">
      <c r="A192" s="1">
        <v>40248</v>
      </c>
      <c r="B192">
        <v>0.91190000000000004</v>
      </c>
      <c r="C192">
        <v>0.90890000000000004</v>
      </c>
    </row>
    <row r="193" spans="1:3" x14ac:dyDescent="0.25">
      <c r="A193" s="1">
        <v>40249</v>
      </c>
      <c r="B193">
        <v>0.91500000000000004</v>
      </c>
      <c r="C193">
        <v>0.91200000000000003</v>
      </c>
    </row>
    <row r="194" spans="1:3" x14ac:dyDescent="0.25">
      <c r="A194" s="1">
        <v>40252</v>
      </c>
      <c r="B194">
        <v>0.91359999999999997</v>
      </c>
      <c r="C194">
        <v>0.91039999999999999</v>
      </c>
    </row>
    <row r="195" spans="1:3" x14ac:dyDescent="0.25">
      <c r="A195" s="1">
        <v>40254</v>
      </c>
      <c r="B195">
        <v>0.91849999999999998</v>
      </c>
      <c r="C195">
        <v>0.91549999999999998</v>
      </c>
    </row>
    <row r="196" spans="1:3" x14ac:dyDescent="0.25">
      <c r="A196" s="1">
        <v>40255</v>
      </c>
      <c r="B196">
        <v>0.92290000000000005</v>
      </c>
      <c r="C196">
        <v>0.91990000000000005</v>
      </c>
    </row>
    <row r="197" spans="1:3" x14ac:dyDescent="0.25">
      <c r="A197" s="1">
        <v>40256</v>
      </c>
      <c r="B197">
        <v>0.92179999999999995</v>
      </c>
      <c r="C197">
        <v>0.91879999999999995</v>
      </c>
    </row>
    <row r="198" spans="1:3" x14ac:dyDescent="0.25">
      <c r="A198" s="1">
        <v>40259</v>
      </c>
      <c r="B198">
        <v>0.91410000000000002</v>
      </c>
      <c r="C198">
        <v>0.91100000000000003</v>
      </c>
    </row>
    <row r="199" spans="1:3" x14ac:dyDescent="0.25">
      <c r="A199" s="1">
        <v>40260</v>
      </c>
      <c r="B199">
        <v>0.91720000000000002</v>
      </c>
      <c r="C199">
        <v>0.91400000000000003</v>
      </c>
    </row>
    <row r="200" spans="1:3" x14ac:dyDescent="0.25">
      <c r="A200" s="1">
        <v>40262</v>
      </c>
      <c r="B200">
        <v>0.91090000000000004</v>
      </c>
      <c r="C200">
        <v>0.90780000000000005</v>
      </c>
    </row>
    <row r="201" spans="1:3" x14ac:dyDescent="0.25">
      <c r="A201" s="1">
        <v>40263</v>
      </c>
      <c r="B201">
        <v>0.90900000000000003</v>
      </c>
      <c r="C201">
        <v>0.90600000000000003</v>
      </c>
    </row>
    <row r="202" spans="1:3" x14ac:dyDescent="0.25">
      <c r="A202" s="1">
        <v>40266</v>
      </c>
      <c r="B202">
        <v>0.90780000000000005</v>
      </c>
      <c r="C202">
        <v>0.90490000000000004</v>
      </c>
    </row>
    <row r="203" spans="1:3" x14ac:dyDescent="0.25">
      <c r="A203" s="1">
        <v>40267</v>
      </c>
      <c r="B203">
        <v>0.91839999999999999</v>
      </c>
      <c r="C203">
        <v>0.9153</v>
      </c>
    </row>
    <row r="204" spans="1:3" x14ac:dyDescent="0.25">
      <c r="A204" s="1">
        <v>40268</v>
      </c>
      <c r="B204">
        <v>0.9153</v>
      </c>
      <c r="C204">
        <v>0.91220000000000001</v>
      </c>
    </row>
    <row r="205" spans="1:3" x14ac:dyDescent="0.25">
      <c r="A205" s="1">
        <v>40273</v>
      </c>
      <c r="B205">
        <v>0.92110000000000003</v>
      </c>
      <c r="C205">
        <v>0.91810000000000003</v>
      </c>
    </row>
    <row r="206" spans="1:3" x14ac:dyDescent="0.25">
      <c r="A206" s="1">
        <v>40274</v>
      </c>
      <c r="B206">
        <v>0.91779999999999995</v>
      </c>
      <c r="C206">
        <v>0.91459999999999997</v>
      </c>
    </row>
    <row r="207" spans="1:3" x14ac:dyDescent="0.25">
      <c r="A207" s="1">
        <v>40275</v>
      </c>
      <c r="B207">
        <v>0.9274</v>
      </c>
      <c r="C207">
        <v>0.92410000000000003</v>
      </c>
    </row>
    <row r="208" spans="1:3" x14ac:dyDescent="0.25">
      <c r="A208" s="1">
        <v>40276</v>
      </c>
      <c r="B208">
        <v>0.9274</v>
      </c>
      <c r="C208">
        <v>0.92430000000000001</v>
      </c>
    </row>
    <row r="209" spans="1:3" x14ac:dyDescent="0.25">
      <c r="A209" s="1">
        <v>40277</v>
      </c>
      <c r="B209">
        <v>0.92800000000000005</v>
      </c>
      <c r="C209">
        <v>0.92500000000000004</v>
      </c>
    </row>
    <row r="210" spans="1:3" x14ac:dyDescent="0.25">
      <c r="A210" s="1">
        <v>40280</v>
      </c>
      <c r="B210">
        <v>0.93379999999999996</v>
      </c>
      <c r="C210">
        <v>0.93069999999999997</v>
      </c>
    </row>
    <row r="211" spans="1:3" x14ac:dyDescent="0.25">
      <c r="A211" s="1">
        <v>40281</v>
      </c>
      <c r="B211">
        <v>0.92500000000000004</v>
      </c>
      <c r="C211">
        <v>0.92179999999999995</v>
      </c>
    </row>
    <row r="212" spans="1:3" x14ac:dyDescent="0.25">
      <c r="A212" s="1">
        <v>40283</v>
      </c>
      <c r="B212">
        <v>0.93430000000000002</v>
      </c>
      <c r="C212">
        <v>0.93110000000000004</v>
      </c>
    </row>
    <row r="213" spans="1:3" x14ac:dyDescent="0.25">
      <c r="A213" s="1">
        <v>40284</v>
      </c>
      <c r="B213">
        <v>0.93089999999999995</v>
      </c>
      <c r="C213">
        <v>0.92779999999999996</v>
      </c>
    </row>
    <row r="214" spans="1:3" x14ac:dyDescent="0.25">
      <c r="A214" s="1">
        <v>40287</v>
      </c>
      <c r="B214">
        <v>0.91859999999999997</v>
      </c>
      <c r="C214">
        <v>0.91549999999999998</v>
      </c>
    </row>
    <row r="215" spans="1:3" x14ac:dyDescent="0.25">
      <c r="A215" s="1">
        <v>40288</v>
      </c>
      <c r="B215">
        <v>0.92669999999999997</v>
      </c>
      <c r="C215">
        <v>0.92349999999999999</v>
      </c>
    </row>
    <row r="216" spans="1:3" x14ac:dyDescent="0.25">
      <c r="A216" s="1">
        <v>40289</v>
      </c>
      <c r="B216">
        <v>0.93130000000000002</v>
      </c>
      <c r="C216">
        <v>0.92789999999999995</v>
      </c>
    </row>
    <row r="217" spans="1:3" x14ac:dyDescent="0.25">
      <c r="A217" s="1">
        <v>40290</v>
      </c>
      <c r="B217">
        <v>0.92569999999999997</v>
      </c>
      <c r="C217">
        <v>0.92249999999999999</v>
      </c>
    </row>
    <row r="218" spans="1:3" x14ac:dyDescent="0.25">
      <c r="A218" s="1">
        <v>40291</v>
      </c>
      <c r="B218">
        <v>0.92220000000000002</v>
      </c>
      <c r="C218">
        <v>0.91910000000000003</v>
      </c>
    </row>
    <row r="219" spans="1:3" x14ac:dyDescent="0.25">
      <c r="A219" s="1">
        <v>40294</v>
      </c>
      <c r="B219">
        <v>0.92800000000000005</v>
      </c>
      <c r="C219">
        <v>0.92490000000000006</v>
      </c>
    </row>
    <row r="220" spans="1:3" x14ac:dyDescent="0.25">
      <c r="A220" s="1">
        <v>40295</v>
      </c>
      <c r="B220">
        <v>0.9254</v>
      </c>
      <c r="C220">
        <v>0.9224</v>
      </c>
    </row>
    <row r="221" spans="1:3" x14ac:dyDescent="0.25">
      <c r="A221" s="1">
        <v>40296</v>
      </c>
      <c r="B221">
        <v>0.92230000000000001</v>
      </c>
      <c r="C221">
        <v>0.9194</v>
      </c>
    </row>
    <row r="222" spans="1:3" x14ac:dyDescent="0.25">
      <c r="A222" s="1">
        <v>40297</v>
      </c>
      <c r="B222">
        <v>0.92479999999999996</v>
      </c>
      <c r="C222">
        <v>0.92169999999999996</v>
      </c>
    </row>
    <row r="223" spans="1:3" x14ac:dyDescent="0.25">
      <c r="A223" s="1">
        <v>40298</v>
      </c>
      <c r="B223">
        <v>0.92979999999999996</v>
      </c>
      <c r="C223">
        <v>0.92649999999999999</v>
      </c>
    </row>
    <row r="224" spans="1:3" x14ac:dyDescent="0.25">
      <c r="A224" s="1">
        <v>40301</v>
      </c>
      <c r="B224">
        <v>0.92400000000000004</v>
      </c>
      <c r="C224">
        <v>0.92059999999999997</v>
      </c>
    </row>
    <row r="225" spans="1:3" x14ac:dyDescent="0.25">
      <c r="A225" s="1">
        <v>40302</v>
      </c>
      <c r="B225">
        <v>0.92530000000000001</v>
      </c>
      <c r="C225">
        <v>0.92179999999999995</v>
      </c>
    </row>
    <row r="226" spans="1:3" x14ac:dyDescent="0.25">
      <c r="A226" s="1">
        <v>40303</v>
      </c>
      <c r="B226">
        <v>0.90959999999999996</v>
      </c>
      <c r="C226">
        <v>0.90629999999999999</v>
      </c>
    </row>
    <row r="227" spans="1:3" x14ac:dyDescent="0.25">
      <c r="A227" s="1">
        <v>40304</v>
      </c>
      <c r="B227">
        <v>0.90810000000000002</v>
      </c>
      <c r="C227">
        <v>0.90490000000000004</v>
      </c>
    </row>
    <row r="228" spans="1:3" x14ac:dyDescent="0.25">
      <c r="A228" s="1">
        <v>40305</v>
      </c>
      <c r="B228">
        <v>0.8921</v>
      </c>
      <c r="C228">
        <v>0.88900000000000001</v>
      </c>
    </row>
    <row r="229" spans="1:3" x14ac:dyDescent="0.25">
      <c r="A229" s="1">
        <v>40308</v>
      </c>
      <c r="B229">
        <v>0.90329999999999999</v>
      </c>
      <c r="C229">
        <v>0.89980000000000004</v>
      </c>
    </row>
    <row r="230" spans="1:3" x14ac:dyDescent="0.25">
      <c r="A230" s="1">
        <v>40309</v>
      </c>
      <c r="B230">
        <v>0.90039999999999998</v>
      </c>
      <c r="C230">
        <v>0.89690000000000003</v>
      </c>
    </row>
    <row r="231" spans="1:3" x14ac:dyDescent="0.25">
      <c r="A231" s="1">
        <v>40310</v>
      </c>
      <c r="B231">
        <v>0.89419999999999999</v>
      </c>
      <c r="C231">
        <v>0.89080000000000004</v>
      </c>
    </row>
    <row r="232" spans="1:3" x14ac:dyDescent="0.25">
      <c r="A232" s="1">
        <v>40311</v>
      </c>
      <c r="B232">
        <v>0.89870000000000005</v>
      </c>
      <c r="C232">
        <v>0.89539999999999997</v>
      </c>
    </row>
    <row r="233" spans="1:3" x14ac:dyDescent="0.25">
      <c r="A233" s="1">
        <v>40312</v>
      </c>
      <c r="B233">
        <v>0.89580000000000004</v>
      </c>
      <c r="C233">
        <v>0.89259999999999995</v>
      </c>
    </row>
    <row r="234" spans="1:3" x14ac:dyDescent="0.25">
      <c r="A234" s="1">
        <v>40315</v>
      </c>
      <c r="B234">
        <v>0.87629999999999997</v>
      </c>
      <c r="C234">
        <v>0.873</v>
      </c>
    </row>
    <row r="235" spans="1:3" x14ac:dyDescent="0.25">
      <c r="A235" s="1">
        <v>40316</v>
      </c>
      <c r="B235">
        <v>0.87250000000000005</v>
      </c>
      <c r="C235">
        <v>0.86929999999999996</v>
      </c>
    </row>
    <row r="236" spans="1:3" x14ac:dyDescent="0.25">
      <c r="A236" s="1">
        <v>40317</v>
      </c>
      <c r="B236">
        <v>0.85809999999999997</v>
      </c>
      <c r="C236">
        <v>0.85499999999999998</v>
      </c>
    </row>
    <row r="237" spans="1:3" x14ac:dyDescent="0.25">
      <c r="A237" s="1">
        <v>40318</v>
      </c>
      <c r="B237">
        <v>0.84419999999999995</v>
      </c>
      <c r="C237">
        <v>0.84109999999999996</v>
      </c>
    </row>
    <row r="238" spans="1:3" x14ac:dyDescent="0.25">
      <c r="A238" s="1">
        <v>40319</v>
      </c>
      <c r="B238">
        <v>0.82620000000000005</v>
      </c>
      <c r="C238">
        <v>0.82310000000000005</v>
      </c>
    </row>
    <row r="239" spans="1:3" x14ac:dyDescent="0.25">
      <c r="A239" s="1">
        <v>40322</v>
      </c>
      <c r="B239">
        <v>0.82589999999999997</v>
      </c>
      <c r="C239">
        <v>0.8226</v>
      </c>
    </row>
    <row r="240" spans="1:3" x14ac:dyDescent="0.25">
      <c r="A240" s="1">
        <v>40323</v>
      </c>
      <c r="B240">
        <v>0.82</v>
      </c>
      <c r="C240">
        <v>0.81689999999999996</v>
      </c>
    </row>
    <row r="241" spans="1:3" x14ac:dyDescent="0.25">
      <c r="A241" s="1">
        <v>40324</v>
      </c>
      <c r="B241">
        <v>0.82320000000000004</v>
      </c>
      <c r="C241">
        <v>0.82020000000000004</v>
      </c>
    </row>
    <row r="242" spans="1:3" x14ac:dyDescent="0.25">
      <c r="A242" s="1">
        <v>40326</v>
      </c>
      <c r="B242">
        <v>0.84930000000000005</v>
      </c>
      <c r="C242">
        <v>0.84640000000000004</v>
      </c>
    </row>
    <row r="243" spans="1:3" x14ac:dyDescent="0.25">
      <c r="A243" s="1">
        <v>40329</v>
      </c>
      <c r="B243">
        <v>0.84870000000000001</v>
      </c>
      <c r="C243">
        <v>0.8458</v>
      </c>
    </row>
    <row r="244" spans="1:3" x14ac:dyDescent="0.25">
      <c r="A244" s="1">
        <v>40330</v>
      </c>
      <c r="B244">
        <v>0.83589999999999998</v>
      </c>
      <c r="C244">
        <v>0.83289999999999997</v>
      </c>
    </row>
    <row r="245" spans="1:3" x14ac:dyDescent="0.25">
      <c r="A245" s="1">
        <v>40331</v>
      </c>
      <c r="B245">
        <v>0.82950000000000002</v>
      </c>
      <c r="C245">
        <v>0.82650000000000001</v>
      </c>
    </row>
    <row r="246" spans="1:3" x14ac:dyDescent="0.25">
      <c r="A246" s="1">
        <v>40332</v>
      </c>
      <c r="B246">
        <v>0.84660000000000002</v>
      </c>
      <c r="C246">
        <v>0.84360000000000002</v>
      </c>
    </row>
    <row r="247" spans="1:3" x14ac:dyDescent="0.25">
      <c r="A247" s="1">
        <v>40333</v>
      </c>
      <c r="B247">
        <v>0.84340000000000004</v>
      </c>
      <c r="C247">
        <v>0.84050000000000002</v>
      </c>
    </row>
    <row r="248" spans="1:3" x14ac:dyDescent="0.25">
      <c r="A248" s="1">
        <v>40336</v>
      </c>
      <c r="B248">
        <v>0.81340000000000001</v>
      </c>
      <c r="C248">
        <v>0.8105</v>
      </c>
    </row>
    <row r="249" spans="1:3" x14ac:dyDescent="0.25">
      <c r="A249" s="1">
        <v>40337</v>
      </c>
      <c r="B249">
        <v>0.81910000000000005</v>
      </c>
      <c r="C249">
        <v>0.81610000000000005</v>
      </c>
    </row>
    <row r="250" spans="1:3" x14ac:dyDescent="0.25">
      <c r="A250" s="1">
        <v>40338</v>
      </c>
      <c r="B250">
        <v>0.82189999999999996</v>
      </c>
      <c r="C250">
        <v>0.81889999999999996</v>
      </c>
    </row>
    <row r="251" spans="1:3" x14ac:dyDescent="0.25">
      <c r="A251" s="1">
        <v>40339</v>
      </c>
      <c r="B251">
        <v>0.83760000000000001</v>
      </c>
      <c r="C251">
        <v>0.8347</v>
      </c>
    </row>
    <row r="252" spans="1:3" x14ac:dyDescent="0.25">
      <c r="A252" s="1">
        <v>40340</v>
      </c>
      <c r="B252">
        <v>0.84560000000000002</v>
      </c>
      <c r="C252">
        <v>0.84260000000000002</v>
      </c>
    </row>
    <row r="253" spans="1:3" x14ac:dyDescent="0.25">
      <c r="A253" s="1">
        <v>40343</v>
      </c>
      <c r="B253">
        <v>0.85560000000000003</v>
      </c>
      <c r="C253">
        <v>0.85260000000000002</v>
      </c>
    </row>
    <row r="254" spans="1:3" x14ac:dyDescent="0.25">
      <c r="A254" s="1">
        <v>40344</v>
      </c>
      <c r="B254">
        <v>0.85770000000000002</v>
      </c>
      <c r="C254">
        <v>0.85450000000000004</v>
      </c>
    </row>
    <row r="255" spans="1:3" x14ac:dyDescent="0.25">
      <c r="A255" s="1">
        <v>40345</v>
      </c>
      <c r="B255">
        <v>0.86399999999999999</v>
      </c>
      <c r="C255">
        <v>0.86080000000000001</v>
      </c>
    </row>
    <row r="256" spans="1:3" x14ac:dyDescent="0.25">
      <c r="A256" s="1">
        <v>40346</v>
      </c>
      <c r="B256">
        <v>0.85960000000000003</v>
      </c>
      <c r="C256">
        <v>0.85650000000000004</v>
      </c>
    </row>
    <row r="257" spans="1:3" x14ac:dyDescent="0.25">
      <c r="A257" s="1">
        <v>40347</v>
      </c>
      <c r="B257">
        <v>0.86970000000000003</v>
      </c>
      <c r="C257">
        <v>0.86670000000000003</v>
      </c>
    </row>
    <row r="258" spans="1:3" x14ac:dyDescent="0.25">
      <c r="A258" s="1">
        <v>40350</v>
      </c>
      <c r="B258">
        <v>0.88070000000000004</v>
      </c>
      <c r="C258">
        <v>0.87760000000000005</v>
      </c>
    </row>
    <row r="259" spans="1:3" x14ac:dyDescent="0.25">
      <c r="A259" s="1">
        <v>40351</v>
      </c>
      <c r="B259">
        <v>0.87770000000000004</v>
      </c>
      <c r="C259">
        <v>0.87450000000000006</v>
      </c>
    </row>
    <row r="260" spans="1:3" x14ac:dyDescent="0.25">
      <c r="A260" s="1">
        <v>40352</v>
      </c>
      <c r="B260">
        <v>0.87160000000000004</v>
      </c>
      <c r="C260">
        <v>0.86839999999999995</v>
      </c>
    </row>
    <row r="261" spans="1:3" x14ac:dyDescent="0.25">
      <c r="A261" s="1">
        <v>40353</v>
      </c>
      <c r="B261">
        <v>0.87460000000000004</v>
      </c>
      <c r="C261">
        <v>0.87160000000000004</v>
      </c>
    </row>
    <row r="262" spans="1:3" x14ac:dyDescent="0.25">
      <c r="A262" s="1">
        <v>40354</v>
      </c>
      <c r="B262">
        <v>0.86180000000000001</v>
      </c>
      <c r="C262">
        <v>0.85880000000000001</v>
      </c>
    </row>
    <row r="263" spans="1:3" x14ac:dyDescent="0.25">
      <c r="A263" s="1">
        <v>40357</v>
      </c>
      <c r="B263">
        <v>0.87509999999999999</v>
      </c>
      <c r="C263">
        <v>0.87209999999999999</v>
      </c>
    </row>
    <row r="264" spans="1:3" x14ac:dyDescent="0.25">
      <c r="A264" s="1">
        <v>40358</v>
      </c>
      <c r="B264">
        <v>0.86729999999999996</v>
      </c>
      <c r="C264">
        <v>0.86409999999999998</v>
      </c>
    </row>
    <row r="265" spans="1:3" x14ac:dyDescent="0.25">
      <c r="A265" s="1">
        <v>40359</v>
      </c>
      <c r="B265">
        <v>0.85219999999999996</v>
      </c>
      <c r="C265">
        <v>0.84899999999999998</v>
      </c>
    </row>
    <row r="266" spans="1:3" x14ac:dyDescent="0.25">
      <c r="A266" s="1">
        <v>40360</v>
      </c>
      <c r="B266">
        <v>0.83479999999999999</v>
      </c>
      <c r="C266">
        <v>0.83179999999999998</v>
      </c>
    </row>
    <row r="267" spans="1:3" x14ac:dyDescent="0.25">
      <c r="A267" s="1">
        <v>40361</v>
      </c>
      <c r="B267">
        <v>0.84740000000000004</v>
      </c>
      <c r="C267">
        <v>0.84440000000000004</v>
      </c>
    </row>
    <row r="268" spans="1:3" x14ac:dyDescent="0.25">
      <c r="A268" s="1">
        <v>40364</v>
      </c>
      <c r="B268">
        <v>0.84399999999999997</v>
      </c>
      <c r="C268">
        <v>0.84079999999999999</v>
      </c>
    </row>
    <row r="269" spans="1:3" x14ac:dyDescent="0.25">
      <c r="A269" s="1">
        <v>40365</v>
      </c>
      <c r="B269">
        <v>0.83709999999999996</v>
      </c>
      <c r="C269">
        <v>0.83399999999999996</v>
      </c>
    </row>
    <row r="270" spans="1:3" x14ac:dyDescent="0.25">
      <c r="A270" s="1">
        <v>40366</v>
      </c>
      <c r="B270">
        <v>0.84699999999999998</v>
      </c>
      <c r="C270">
        <v>0.84389999999999998</v>
      </c>
    </row>
    <row r="271" spans="1:3" x14ac:dyDescent="0.25">
      <c r="A271" s="1">
        <v>40367</v>
      </c>
      <c r="B271">
        <v>0.87270000000000003</v>
      </c>
      <c r="C271">
        <v>0.86950000000000005</v>
      </c>
    </row>
    <row r="272" spans="1:3" x14ac:dyDescent="0.25">
      <c r="A272" s="1">
        <v>40368</v>
      </c>
      <c r="B272">
        <v>0.87690000000000001</v>
      </c>
      <c r="C272">
        <v>0.87370000000000003</v>
      </c>
    </row>
    <row r="273" spans="1:3" x14ac:dyDescent="0.25">
      <c r="A273" s="1">
        <v>40371</v>
      </c>
      <c r="B273">
        <v>0.87509999999999999</v>
      </c>
      <c r="C273">
        <v>0.87180000000000002</v>
      </c>
    </row>
    <row r="274" spans="1:3" x14ac:dyDescent="0.25">
      <c r="A274" s="1">
        <v>40372</v>
      </c>
      <c r="B274">
        <v>0.87280000000000002</v>
      </c>
      <c r="C274">
        <v>0.86950000000000005</v>
      </c>
    </row>
    <row r="275" spans="1:3" x14ac:dyDescent="0.25">
      <c r="A275" s="1">
        <v>40373</v>
      </c>
      <c r="B275">
        <v>0.88200000000000001</v>
      </c>
      <c r="C275">
        <v>0.87880000000000003</v>
      </c>
    </row>
    <row r="276" spans="1:3" x14ac:dyDescent="0.25">
      <c r="A276" s="1">
        <v>40374</v>
      </c>
      <c r="B276">
        <v>0.88160000000000005</v>
      </c>
      <c r="C276">
        <v>0.87839999999999996</v>
      </c>
    </row>
    <row r="277" spans="1:3" x14ac:dyDescent="0.25">
      <c r="A277" s="1">
        <v>40375</v>
      </c>
      <c r="B277">
        <v>0.87739999999999996</v>
      </c>
      <c r="C277">
        <v>0.87419999999999998</v>
      </c>
    </row>
    <row r="278" spans="1:3" x14ac:dyDescent="0.25">
      <c r="A278" s="1">
        <v>40378</v>
      </c>
      <c r="B278">
        <v>0.86729999999999996</v>
      </c>
      <c r="C278">
        <v>0.86399999999999999</v>
      </c>
    </row>
    <row r="279" spans="1:3" x14ac:dyDescent="0.25">
      <c r="A279" s="1">
        <v>40379</v>
      </c>
      <c r="B279">
        <v>0.87780000000000002</v>
      </c>
      <c r="C279">
        <v>0.87439999999999996</v>
      </c>
    </row>
    <row r="280" spans="1:3" x14ac:dyDescent="0.25">
      <c r="A280" s="1">
        <v>40380</v>
      </c>
      <c r="B280">
        <v>0.88129999999999997</v>
      </c>
      <c r="C280">
        <v>0.878</v>
      </c>
    </row>
    <row r="281" spans="1:3" x14ac:dyDescent="0.25">
      <c r="A281" s="1">
        <v>40381</v>
      </c>
      <c r="B281">
        <v>0.87529999999999997</v>
      </c>
      <c r="C281">
        <v>0.872</v>
      </c>
    </row>
    <row r="282" spans="1:3" x14ac:dyDescent="0.25">
      <c r="A282" s="1">
        <v>40382</v>
      </c>
      <c r="B282">
        <v>0.89270000000000005</v>
      </c>
      <c r="C282">
        <v>0.88939999999999997</v>
      </c>
    </row>
    <row r="283" spans="1:3" x14ac:dyDescent="0.25">
      <c r="A283" s="1">
        <v>40385</v>
      </c>
      <c r="B283">
        <v>0.89529999999999998</v>
      </c>
      <c r="C283">
        <v>0.89170000000000005</v>
      </c>
    </row>
    <row r="284" spans="1:3" x14ac:dyDescent="0.25">
      <c r="A284" s="1">
        <v>40386</v>
      </c>
      <c r="B284">
        <v>0.90149999999999997</v>
      </c>
      <c r="C284">
        <v>0.89800000000000002</v>
      </c>
    </row>
    <row r="285" spans="1:3" x14ac:dyDescent="0.25">
      <c r="A285" s="1">
        <v>40387</v>
      </c>
      <c r="B285">
        <v>0.8931</v>
      </c>
      <c r="C285">
        <v>0.88970000000000005</v>
      </c>
    </row>
    <row r="286" spans="1:3" x14ac:dyDescent="0.25">
      <c r="A286" s="1">
        <v>40388</v>
      </c>
      <c r="B286">
        <v>0.8962</v>
      </c>
      <c r="C286">
        <v>0.89290000000000003</v>
      </c>
    </row>
    <row r="287" spans="1:3" x14ac:dyDescent="0.25">
      <c r="A287" s="1">
        <v>40389</v>
      </c>
      <c r="B287">
        <v>0.89890000000000003</v>
      </c>
      <c r="C287">
        <v>0.8952</v>
      </c>
    </row>
    <row r="288" spans="1:3" x14ac:dyDescent="0.25">
      <c r="A288" s="1">
        <v>40392</v>
      </c>
      <c r="B288">
        <v>0.90880000000000005</v>
      </c>
      <c r="C288">
        <v>0.9052</v>
      </c>
    </row>
    <row r="289" spans="1:3" x14ac:dyDescent="0.25">
      <c r="A289" s="1">
        <v>40393</v>
      </c>
      <c r="B289">
        <v>0.90959999999999996</v>
      </c>
      <c r="C289">
        <v>0.90610000000000002</v>
      </c>
    </row>
    <row r="290" spans="1:3" x14ac:dyDescent="0.25">
      <c r="A290" s="1">
        <v>40394</v>
      </c>
      <c r="B290">
        <v>0.91239999999999999</v>
      </c>
      <c r="C290">
        <v>0.90890000000000004</v>
      </c>
    </row>
    <row r="291" spans="1:3" x14ac:dyDescent="0.25">
      <c r="A291" s="1">
        <v>40395</v>
      </c>
      <c r="B291">
        <v>0.91500000000000004</v>
      </c>
      <c r="C291">
        <v>0.91159999999999997</v>
      </c>
    </row>
    <row r="292" spans="1:3" x14ac:dyDescent="0.25">
      <c r="A292" s="1">
        <v>40396</v>
      </c>
      <c r="B292">
        <v>0.91510000000000002</v>
      </c>
      <c r="C292">
        <v>0.91180000000000005</v>
      </c>
    </row>
    <row r="293" spans="1:3" x14ac:dyDescent="0.25">
      <c r="A293" s="1">
        <v>40399</v>
      </c>
      <c r="B293">
        <v>0.91759999999999997</v>
      </c>
      <c r="C293">
        <v>0.91420000000000001</v>
      </c>
    </row>
    <row r="294" spans="1:3" x14ac:dyDescent="0.25">
      <c r="A294" s="1">
        <v>40400</v>
      </c>
      <c r="B294">
        <v>0.91239999999999999</v>
      </c>
      <c r="C294">
        <v>0.90890000000000004</v>
      </c>
    </row>
    <row r="295" spans="1:3" x14ac:dyDescent="0.25">
      <c r="A295" s="1">
        <v>40401</v>
      </c>
      <c r="B295">
        <v>0.90790000000000004</v>
      </c>
      <c r="C295">
        <v>0.90459999999999996</v>
      </c>
    </row>
    <row r="296" spans="1:3" x14ac:dyDescent="0.25">
      <c r="A296" s="1">
        <v>40402</v>
      </c>
      <c r="B296">
        <v>0.89600000000000002</v>
      </c>
      <c r="C296">
        <v>0.89270000000000005</v>
      </c>
    </row>
    <row r="297" spans="1:3" x14ac:dyDescent="0.25">
      <c r="A297" s="1">
        <v>40403</v>
      </c>
      <c r="B297">
        <v>0.90129999999999999</v>
      </c>
      <c r="C297">
        <v>0.89800000000000002</v>
      </c>
    </row>
    <row r="298" spans="1:3" x14ac:dyDescent="0.25">
      <c r="A298" s="1">
        <v>40406</v>
      </c>
      <c r="B298">
        <v>0.89080000000000004</v>
      </c>
      <c r="C298">
        <v>0.88739999999999997</v>
      </c>
    </row>
    <row r="299" spans="1:3" x14ac:dyDescent="0.25">
      <c r="A299" s="1">
        <v>40407</v>
      </c>
      <c r="B299">
        <v>0.9002</v>
      </c>
      <c r="C299">
        <v>0.89680000000000004</v>
      </c>
    </row>
    <row r="300" spans="1:3" x14ac:dyDescent="0.25">
      <c r="A300" s="1">
        <v>40408</v>
      </c>
      <c r="B300">
        <v>0.90200000000000002</v>
      </c>
      <c r="C300">
        <v>0.89859999999999995</v>
      </c>
    </row>
    <row r="301" spans="1:3" x14ac:dyDescent="0.25">
      <c r="A301" s="1">
        <v>40410</v>
      </c>
      <c r="B301">
        <v>0.88929999999999998</v>
      </c>
      <c r="C301">
        <v>0.88600000000000001</v>
      </c>
    </row>
    <row r="302" spans="1:3" x14ac:dyDescent="0.25">
      <c r="A302" s="1">
        <v>40413</v>
      </c>
      <c r="B302">
        <v>0.89080000000000004</v>
      </c>
      <c r="C302">
        <v>0.88739999999999997</v>
      </c>
    </row>
    <row r="303" spans="1:3" x14ac:dyDescent="0.25">
      <c r="A303" s="1">
        <v>40414</v>
      </c>
      <c r="B303">
        <v>0.88719999999999999</v>
      </c>
      <c r="C303">
        <v>0.88380000000000003</v>
      </c>
    </row>
    <row r="304" spans="1:3" x14ac:dyDescent="0.25">
      <c r="A304" s="1">
        <v>40415</v>
      </c>
      <c r="B304">
        <v>0.88380000000000003</v>
      </c>
      <c r="C304">
        <v>0.88049999999999995</v>
      </c>
    </row>
    <row r="305" spans="1:3" x14ac:dyDescent="0.25">
      <c r="A305" s="1">
        <v>40416</v>
      </c>
      <c r="B305">
        <v>0.88649999999999995</v>
      </c>
      <c r="C305">
        <v>0.88329999999999997</v>
      </c>
    </row>
    <row r="306" spans="1:3" x14ac:dyDescent="0.25">
      <c r="A306" s="1">
        <v>40417</v>
      </c>
      <c r="B306">
        <v>0.88739999999999997</v>
      </c>
      <c r="C306">
        <v>0.88419999999999999</v>
      </c>
    </row>
    <row r="307" spans="1:3" x14ac:dyDescent="0.25">
      <c r="A307" s="1">
        <v>40420</v>
      </c>
      <c r="B307">
        <v>0.89829999999999999</v>
      </c>
      <c r="C307">
        <v>0.89510000000000001</v>
      </c>
    </row>
    <row r="308" spans="1:3" x14ac:dyDescent="0.25">
      <c r="A308" s="1">
        <v>40421</v>
      </c>
      <c r="B308">
        <v>0.89270000000000005</v>
      </c>
      <c r="C308">
        <v>0.88939999999999997</v>
      </c>
    </row>
    <row r="309" spans="1:3" x14ac:dyDescent="0.25">
      <c r="A309" s="1">
        <v>40422</v>
      </c>
      <c r="B309">
        <v>0.89890000000000003</v>
      </c>
      <c r="C309">
        <v>0.89549999999999996</v>
      </c>
    </row>
    <row r="310" spans="1:3" x14ac:dyDescent="0.25">
      <c r="A310" s="1">
        <v>40423</v>
      </c>
      <c r="B310">
        <v>0.90610000000000002</v>
      </c>
      <c r="C310">
        <v>0.90280000000000005</v>
      </c>
    </row>
    <row r="311" spans="1:3" x14ac:dyDescent="0.25">
      <c r="A311" s="1">
        <v>40424</v>
      </c>
      <c r="B311">
        <v>0.90800000000000003</v>
      </c>
      <c r="C311">
        <v>0.90480000000000005</v>
      </c>
    </row>
    <row r="312" spans="1:3" x14ac:dyDescent="0.25">
      <c r="A312" s="1">
        <v>40427</v>
      </c>
      <c r="B312">
        <v>0.91739999999999999</v>
      </c>
      <c r="C312">
        <v>0.91410000000000002</v>
      </c>
    </row>
    <row r="313" spans="1:3" x14ac:dyDescent="0.25">
      <c r="A313" s="1">
        <v>40428</v>
      </c>
      <c r="B313">
        <v>0.91659999999999997</v>
      </c>
      <c r="C313">
        <v>0.91300000000000003</v>
      </c>
    </row>
    <row r="314" spans="1:3" x14ac:dyDescent="0.25">
      <c r="A314" s="1">
        <v>40429</v>
      </c>
      <c r="B314">
        <v>0.9123</v>
      </c>
      <c r="C314">
        <v>0.90890000000000004</v>
      </c>
    </row>
    <row r="315" spans="1:3" x14ac:dyDescent="0.25">
      <c r="A315" s="1">
        <v>40430</v>
      </c>
      <c r="B315">
        <v>0.92120000000000002</v>
      </c>
      <c r="C315">
        <v>0.91790000000000005</v>
      </c>
    </row>
    <row r="316" spans="1:3" x14ac:dyDescent="0.25">
      <c r="A316" s="1">
        <v>40434</v>
      </c>
      <c r="B316">
        <v>0.93049999999999999</v>
      </c>
      <c r="C316">
        <v>0.92720000000000002</v>
      </c>
    </row>
    <row r="317" spans="1:3" x14ac:dyDescent="0.25">
      <c r="A317" s="1">
        <v>40435</v>
      </c>
      <c r="B317">
        <v>0.93279999999999996</v>
      </c>
      <c r="C317">
        <v>0.92930000000000001</v>
      </c>
    </row>
    <row r="318" spans="1:3" x14ac:dyDescent="0.25">
      <c r="A318" s="1">
        <v>40436</v>
      </c>
      <c r="B318">
        <v>0.93579999999999997</v>
      </c>
      <c r="C318">
        <v>0.93240000000000001</v>
      </c>
    </row>
    <row r="319" spans="1:3" x14ac:dyDescent="0.25">
      <c r="A319" s="1">
        <v>40437</v>
      </c>
      <c r="B319">
        <v>0.93569999999999998</v>
      </c>
      <c r="C319">
        <v>0.93240000000000001</v>
      </c>
    </row>
    <row r="320" spans="1:3" x14ac:dyDescent="0.25">
      <c r="A320" s="1">
        <v>40438</v>
      </c>
      <c r="B320">
        <v>0.94299999999999995</v>
      </c>
      <c r="C320">
        <v>0.93969999999999998</v>
      </c>
    </row>
    <row r="321" spans="1:3" x14ac:dyDescent="0.25">
      <c r="A321" s="1">
        <v>40441</v>
      </c>
      <c r="B321">
        <v>0.94340000000000002</v>
      </c>
      <c r="C321">
        <v>0.94</v>
      </c>
    </row>
    <row r="322" spans="1:3" x14ac:dyDescent="0.25">
      <c r="A322" s="1">
        <v>40442</v>
      </c>
      <c r="B322">
        <v>0.94550000000000001</v>
      </c>
      <c r="C322">
        <v>0.94189999999999996</v>
      </c>
    </row>
    <row r="323" spans="1:3" x14ac:dyDescent="0.25">
      <c r="A323" s="1">
        <v>40443</v>
      </c>
      <c r="B323">
        <v>0.95599999999999996</v>
      </c>
      <c r="C323">
        <v>0.95240000000000002</v>
      </c>
    </row>
    <row r="324" spans="1:3" x14ac:dyDescent="0.25">
      <c r="A324" s="1">
        <v>40444</v>
      </c>
      <c r="B324">
        <v>0.9556</v>
      </c>
      <c r="C324">
        <v>0.95209999999999995</v>
      </c>
    </row>
    <row r="325" spans="1:3" x14ac:dyDescent="0.25">
      <c r="A325" s="1">
        <v>40445</v>
      </c>
      <c r="B325">
        <v>0.94879999999999998</v>
      </c>
      <c r="C325">
        <v>0.94540000000000002</v>
      </c>
    </row>
    <row r="326" spans="1:3" x14ac:dyDescent="0.25">
      <c r="A326" s="1">
        <v>40448</v>
      </c>
      <c r="B326">
        <v>0.95860000000000001</v>
      </c>
      <c r="C326">
        <v>0.95509999999999995</v>
      </c>
    </row>
    <row r="327" spans="1:3" x14ac:dyDescent="0.25">
      <c r="A327" s="1">
        <v>40449</v>
      </c>
      <c r="B327">
        <v>0.96030000000000004</v>
      </c>
      <c r="C327">
        <v>0.95689999999999997</v>
      </c>
    </row>
    <row r="328" spans="1:3" x14ac:dyDescent="0.25">
      <c r="A328" s="1">
        <v>40450</v>
      </c>
      <c r="B328">
        <v>0.96830000000000005</v>
      </c>
      <c r="C328">
        <v>0.96460000000000001</v>
      </c>
    </row>
    <row r="329" spans="1:3" x14ac:dyDescent="0.25">
      <c r="A329" s="1">
        <v>40452</v>
      </c>
      <c r="B329">
        <v>0.96679999999999999</v>
      </c>
      <c r="C329">
        <v>0.96289999999999998</v>
      </c>
    </row>
    <row r="330" spans="1:3" x14ac:dyDescent="0.25">
      <c r="A330" s="1">
        <v>40455</v>
      </c>
      <c r="B330">
        <v>0.96919999999999995</v>
      </c>
      <c r="C330">
        <v>0.96530000000000005</v>
      </c>
    </row>
    <row r="331" spans="1:3" x14ac:dyDescent="0.25">
      <c r="A331" s="1">
        <v>40456</v>
      </c>
      <c r="B331">
        <v>0.95750000000000002</v>
      </c>
      <c r="C331">
        <v>0.95389999999999997</v>
      </c>
    </row>
    <row r="332" spans="1:3" x14ac:dyDescent="0.25">
      <c r="A332" s="1">
        <v>40457</v>
      </c>
      <c r="B332">
        <v>0.97109999999999996</v>
      </c>
      <c r="C332">
        <v>0.96760000000000002</v>
      </c>
    </row>
    <row r="333" spans="1:3" x14ac:dyDescent="0.25">
      <c r="A333" s="1">
        <v>40458</v>
      </c>
      <c r="B333">
        <v>0.98380000000000001</v>
      </c>
      <c r="C333">
        <v>0.98019999999999996</v>
      </c>
    </row>
    <row r="334" spans="1:3" x14ac:dyDescent="0.25">
      <c r="A334" s="1">
        <v>40459</v>
      </c>
      <c r="B334">
        <v>0.98319999999999996</v>
      </c>
      <c r="C334">
        <v>0.97960000000000003</v>
      </c>
    </row>
    <row r="335" spans="1:3" x14ac:dyDescent="0.25">
      <c r="A335" s="1">
        <v>40462</v>
      </c>
      <c r="B335">
        <v>0.98640000000000005</v>
      </c>
      <c r="C335">
        <v>0.98250000000000004</v>
      </c>
    </row>
    <row r="336" spans="1:3" x14ac:dyDescent="0.25">
      <c r="A336" s="1">
        <v>40463</v>
      </c>
      <c r="B336">
        <v>0.9788</v>
      </c>
      <c r="C336">
        <v>0.97509999999999997</v>
      </c>
    </row>
    <row r="337" spans="1:3" x14ac:dyDescent="0.25">
      <c r="A337" s="1">
        <v>40464</v>
      </c>
      <c r="B337">
        <v>0.98629999999999995</v>
      </c>
      <c r="C337">
        <v>0.98270000000000002</v>
      </c>
    </row>
    <row r="338" spans="1:3" x14ac:dyDescent="0.25">
      <c r="A338" s="1">
        <v>40465</v>
      </c>
      <c r="B338">
        <v>0.99560000000000004</v>
      </c>
      <c r="C338">
        <v>0.99199999999999999</v>
      </c>
    </row>
    <row r="339" spans="1:3" x14ac:dyDescent="0.25">
      <c r="A339" s="1">
        <v>40466</v>
      </c>
      <c r="B339">
        <v>0.99109999999999998</v>
      </c>
      <c r="C339">
        <v>0.98740000000000006</v>
      </c>
    </row>
    <row r="340" spans="1:3" x14ac:dyDescent="0.25">
      <c r="A340" s="1">
        <v>40469</v>
      </c>
      <c r="B340">
        <v>0.98519999999999996</v>
      </c>
      <c r="C340">
        <v>0.98129999999999995</v>
      </c>
    </row>
    <row r="341" spans="1:3" x14ac:dyDescent="0.25">
      <c r="A341" s="1">
        <v>40470</v>
      </c>
      <c r="B341">
        <v>0.98750000000000004</v>
      </c>
      <c r="C341">
        <v>0.98370000000000002</v>
      </c>
    </row>
    <row r="342" spans="1:3" x14ac:dyDescent="0.25">
      <c r="A342" s="1">
        <v>40471</v>
      </c>
      <c r="B342">
        <v>0.97509999999999997</v>
      </c>
      <c r="C342">
        <v>0.97150000000000003</v>
      </c>
    </row>
    <row r="343" spans="1:3" x14ac:dyDescent="0.25">
      <c r="A343" s="1">
        <v>40472</v>
      </c>
      <c r="B343">
        <v>0.98250000000000004</v>
      </c>
      <c r="C343">
        <v>0.97870000000000001</v>
      </c>
    </row>
    <row r="344" spans="1:3" x14ac:dyDescent="0.25">
      <c r="A344" s="1">
        <v>40473</v>
      </c>
      <c r="B344">
        <v>0.98150000000000004</v>
      </c>
      <c r="C344">
        <v>0.9778</v>
      </c>
    </row>
    <row r="345" spans="1:3" x14ac:dyDescent="0.25">
      <c r="A345" s="1">
        <v>40476</v>
      </c>
      <c r="B345">
        <v>0.99370000000000003</v>
      </c>
      <c r="C345">
        <v>0.98970000000000002</v>
      </c>
    </row>
    <row r="346" spans="1:3" x14ac:dyDescent="0.25">
      <c r="A346" s="1">
        <v>40477</v>
      </c>
      <c r="B346">
        <v>0.99150000000000005</v>
      </c>
      <c r="C346">
        <v>0.98760000000000003</v>
      </c>
    </row>
    <row r="347" spans="1:3" x14ac:dyDescent="0.25">
      <c r="A347" s="1">
        <v>40478</v>
      </c>
      <c r="B347">
        <v>0.9728</v>
      </c>
      <c r="C347">
        <v>0.96909999999999996</v>
      </c>
    </row>
    <row r="348" spans="1:3" x14ac:dyDescent="0.25">
      <c r="A348" s="1">
        <v>40479</v>
      </c>
      <c r="B348">
        <v>0.97650000000000003</v>
      </c>
      <c r="C348">
        <v>0.97299999999999998</v>
      </c>
    </row>
    <row r="349" spans="1:3" x14ac:dyDescent="0.25">
      <c r="A349" s="1">
        <v>40480</v>
      </c>
      <c r="B349">
        <v>0.9768</v>
      </c>
      <c r="C349">
        <v>0.97330000000000005</v>
      </c>
    </row>
    <row r="350" spans="1:3" x14ac:dyDescent="0.25">
      <c r="A350" s="1">
        <v>40483</v>
      </c>
      <c r="B350">
        <v>0.98799999999999999</v>
      </c>
      <c r="C350">
        <v>0.98440000000000005</v>
      </c>
    </row>
    <row r="351" spans="1:3" x14ac:dyDescent="0.25">
      <c r="A351" s="1">
        <v>40484</v>
      </c>
      <c r="B351">
        <v>0.99839999999999995</v>
      </c>
      <c r="C351">
        <v>0.99439999999999995</v>
      </c>
    </row>
    <row r="352" spans="1:3" x14ac:dyDescent="0.25">
      <c r="A352" s="1">
        <v>40485</v>
      </c>
      <c r="B352">
        <v>0.99770000000000003</v>
      </c>
      <c r="C352">
        <v>0.99390000000000001</v>
      </c>
    </row>
    <row r="353" spans="1:3" x14ac:dyDescent="0.25">
      <c r="A353" s="1">
        <v>40486</v>
      </c>
      <c r="B353">
        <v>1.0053000000000001</v>
      </c>
      <c r="C353">
        <v>1.0015000000000001</v>
      </c>
    </row>
    <row r="354" spans="1:3" x14ac:dyDescent="0.25">
      <c r="A354" s="1">
        <v>40490</v>
      </c>
      <c r="B354">
        <v>1.0121</v>
      </c>
      <c r="C354">
        <v>1.0084</v>
      </c>
    </row>
    <row r="355" spans="1:3" x14ac:dyDescent="0.25">
      <c r="A355" s="1">
        <v>40491</v>
      </c>
      <c r="B355">
        <v>1.0111000000000001</v>
      </c>
      <c r="C355">
        <v>1.0072000000000001</v>
      </c>
    </row>
    <row r="356" spans="1:3" x14ac:dyDescent="0.25">
      <c r="A356" s="1">
        <v>40492</v>
      </c>
      <c r="B356">
        <v>1.0024</v>
      </c>
      <c r="C356">
        <v>0.99860000000000004</v>
      </c>
    </row>
    <row r="357" spans="1:3" x14ac:dyDescent="0.25">
      <c r="A357" s="1">
        <v>40493</v>
      </c>
      <c r="B357">
        <v>1.0048999999999999</v>
      </c>
      <c r="C357">
        <v>1.0012000000000001</v>
      </c>
    </row>
    <row r="358" spans="1:3" x14ac:dyDescent="0.25">
      <c r="A358" s="1">
        <v>40494</v>
      </c>
      <c r="B358">
        <v>0.99370000000000003</v>
      </c>
      <c r="C358">
        <v>0.9899</v>
      </c>
    </row>
    <row r="359" spans="1:3" x14ac:dyDescent="0.25">
      <c r="A359" s="1">
        <v>40497</v>
      </c>
      <c r="B359">
        <v>0.98399999999999999</v>
      </c>
      <c r="C359">
        <v>0.98029999999999995</v>
      </c>
    </row>
    <row r="360" spans="1:3" x14ac:dyDescent="0.25">
      <c r="A360" s="1">
        <v>40498</v>
      </c>
      <c r="B360">
        <v>0.98640000000000005</v>
      </c>
      <c r="C360">
        <v>0.98250000000000004</v>
      </c>
    </row>
    <row r="361" spans="1:3" x14ac:dyDescent="0.25">
      <c r="A361" s="1">
        <v>40500</v>
      </c>
      <c r="B361">
        <v>0.9839</v>
      </c>
      <c r="C361">
        <v>0.98019999999999996</v>
      </c>
    </row>
    <row r="362" spans="1:3" x14ac:dyDescent="0.25">
      <c r="A362" s="1">
        <v>40504</v>
      </c>
      <c r="B362">
        <v>0.99419999999999997</v>
      </c>
      <c r="C362">
        <v>0.99050000000000005</v>
      </c>
    </row>
    <row r="363" spans="1:3" x14ac:dyDescent="0.25">
      <c r="A363" s="1">
        <v>40505</v>
      </c>
      <c r="B363">
        <v>0.98599999999999999</v>
      </c>
      <c r="C363">
        <v>0.9819</v>
      </c>
    </row>
    <row r="364" spans="1:3" x14ac:dyDescent="0.25">
      <c r="A364" s="1">
        <v>40506</v>
      </c>
      <c r="B364">
        <v>0.97829999999999995</v>
      </c>
      <c r="C364">
        <v>0.97430000000000005</v>
      </c>
    </row>
    <row r="365" spans="1:3" x14ac:dyDescent="0.25">
      <c r="A365" s="1">
        <v>40507</v>
      </c>
      <c r="B365">
        <v>0.97899999999999998</v>
      </c>
      <c r="C365">
        <v>0.97540000000000004</v>
      </c>
    </row>
    <row r="366" spans="1:3" x14ac:dyDescent="0.25">
      <c r="A366" s="1">
        <v>40508</v>
      </c>
      <c r="B366">
        <v>0.97529999999999994</v>
      </c>
      <c r="C366">
        <v>0.97160000000000002</v>
      </c>
    </row>
    <row r="367" spans="1:3" x14ac:dyDescent="0.25">
      <c r="A367" s="1">
        <v>40511</v>
      </c>
      <c r="B367">
        <v>0.96360000000000001</v>
      </c>
      <c r="C367">
        <v>0.95960000000000001</v>
      </c>
    </row>
    <row r="368" spans="1:3" x14ac:dyDescent="0.25">
      <c r="A368" s="1">
        <v>40512</v>
      </c>
      <c r="B368">
        <v>0.96040000000000003</v>
      </c>
      <c r="C368">
        <v>0.95650000000000002</v>
      </c>
    </row>
    <row r="369" spans="1:3" x14ac:dyDescent="0.25">
      <c r="A369" s="1">
        <v>40513</v>
      </c>
      <c r="B369">
        <v>0.95709999999999995</v>
      </c>
      <c r="C369">
        <v>0.95340000000000003</v>
      </c>
    </row>
    <row r="370" spans="1:3" x14ac:dyDescent="0.25">
      <c r="A370" s="1">
        <v>40514</v>
      </c>
      <c r="B370">
        <v>0.96360000000000001</v>
      </c>
      <c r="C370">
        <v>0.95989999999999998</v>
      </c>
    </row>
    <row r="371" spans="1:3" x14ac:dyDescent="0.25">
      <c r="A371" s="1">
        <v>40515</v>
      </c>
      <c r="B371">
        <v>0.97529999999999994</v>
      </c>
      <c r="C371">
        <v>0.97160000000000002</v>
      </c>
    </row>
    <row r="372" spans="1:3" x14ac:dyDescent="0.25">
      <c r="A372" s="1">
        <v>40518</v>
      </c>
      <c r="B372">
        <v>0.98699999999999999</v>
      </c>
      <c r="C372">
        <v>0.98299999999999998</v>
      </c>
    </row>
    <row r="373" spans="1:3" x14ac:dyDescent="0.25">
      <c r="A373" s="1">
        <v>40519</v>
      </c>
      <c r="B373">
        <v>0.99060000000000004</v>
      </c>
      <c r="C373">
        <v>0.98670000000000002</v>
      </c>
    </row>
    <row r="374" spans="1:3" x14ac:dyDescent="0.25">
      <c r="A374" s="1">
        <v>40520</v>
      </c>
      <c r="B374">
        <v>0.98060000000000003</v>
      </c>
      <c r="C374">
        <v>0.9768</v>
      </c>
    </row>
    <row r="375" spans="1:3" x14ac:dyDescent="0.25">
      <c r="A375" s="1">
        <v>40521</v>
      </c>
      <c r="B375">
        <v>0.98660000000000003</v>
      </c>
      <c r="C375">
        <v>0.98280000000000001</v>
      </c>
    </row>
    <row r="376" spans="1:3" x14ac:dyDescent="0.25">
      <c r="A376" s="1">
        <v>40522</v>
      </c>
      <c r="B376">
        <v>0.9849</v>
      </c>
      <c r="C376">
        <v>0.98109999999999997</v>
      </c>
    </row>
    <row r="377" spans="1:3" x14ac:dyDescent="0.25">
      <c r="A377" s="1">
        <v>40525</v>
      </c>
      <c r="B377">
        <v>0.98470000000000002</v>
      </c>
      <c r="C377">
        <v>0.98050000000000004</v>
      </c>
    </row>
    <row r="378" spans="1:3" x14ac:dyDescent="0.25">
      <c r="A378" s="1">
        <v>40526</v>
      </c>
      <c r="B378">
        <v>0.995</v>
      </c>
      <c r="C378">
        <v>0.9909</v>
      </c>
    </row>
    <row r="379" spans="1:3" x14ac:dyDescent="0.25">
      <c r="A379" s="1">
        <v>40527</v>
      </c>
      <c r="B379">
        <v>0.99570000000000003</v>
      </c>
      <c r="C379">
        <v>0.99170000000000003</v>
      </c>
    </row>
    <row r="380" spans="1:3" x14ac:dyDescent="0.25">
      <c r="A380" s="1">
        <v>40528</v>
      </c>
      <c r="B380">
        <v>0.98619999999999997</v>
      </c>
      <c r="C380">
        <v>0.98240000000000005</v>
      </c>
    </row>
    <row r="381" spans="1:3" x14ac:dyDescent="0.25">
      <c r="A381" s="1">
        <v>40532</v>
      </c>
      <c r="B381">
        <v>0.9869</v>
      </c>
      <c r="C381">
        <v>0.9829</v>
      </c>
    </row>
    <row r="382" spans="1:3" x14ac:dyDescent="0.25">
      <c r="A382" s="1">
        <v>40533</v>
      </c>
      <c r="B382">
        <v>0.99590000000000001</v>
      </c>
      <c r="C382">
        <v>0.99199999999999999</v>
      </c>
    </row>
    <row r="383" spans="1:3" x14ac:dyDescent="0.25">
      <c r="A383" s="1">
        <v>40534</v>
      </c>
      <c r="B383">
        <v>0.99719999999999998</v>
      </c>
      <c r="C383">
        <v>0.99339999999999995</v>
      </c>
    </row>
    <row r="384" spans="1:3" x14ac:dyDescent="0.25">
      <c r="A384" s="1">
        <v>40535</v>
      </c>
      <c r="B384">
        <v>1.0016</v>
      </c>
      <c r="C384">
        <v>0.99750000000000005</v>
      </c>
    </row>
    <row r="385" spans="1:3" x14ac:dyDescent="0.25">
      <c r="A385" s="1">
        <v>40536</v>
      </c>
      <c r="B385">
        <v>1.0038</v>
      </c>
      <c r="C385">
        <v>0.99990000000000001</v>
      </c>
    </row>
    <row r="386" spans="1:3" x14ac:dyDescent="0.25">
      <c r="A386" s="1">
        <v>40539</v>
      </c>
      <c r="B386">
        <v>1.0034000000000001</v>
      </c>
      <c r="C386">
        <v>0.99950000000000006</v>
      </c>
    </row>
    <row r="387" spans="1:3" x14ac:dyDescent="0.25">
      <c r="A387" s="1">
        <v>40540</v>
      </c>
      <c r="B387">
        <v>1.0085999999999999</v>
      </c>
      <c r="C387">
        <v>1.0045999999999999</v>
      </c>
    </row>
    <row r="388" spans="1:3" x14ac:dyDescent="0.25">
      <c r="A388" s="1">
        <v>40541</v>
      </c>
      <c r="B388">
        <v>1.0102</v>
      </c>
      <c r="C388">
        <v>1.0064</v>
      </c>
    </row>
    <row r="389" spans="1:3" x14ac:dyDescent="0.25">
      <c r="A389" s="1">
        <v>40542</v>
      </c>
      <c r="B389">
        <v>1.0168999999999999</v>
      </c>
      <c r="C389">
        <v>1.0129999999999999</v>
      </c>
    </row>
    <row r="390" spans="1:3" x14ac:dyDescent="0.25">
      <c r="A390" s="1">
        <v>40543</v>
      </c>
      <c r="B390">
        <v>1.0166999999999999</v>
      </c>
      <c r="C390">
        <v>1.0125</v>
      </c>
    </row>
    <row r="391" spans="1:3" x14ac:dyDescent="0.25">
      <c r="A391" s="1">
        <v>40546</v>
      </c>
      <c r="B391">
        <v>1.0202</v>
      </c>
      <c r="C391">
        <v>1.016</v>
      </c>
    </row>
    <row r="392" spans="1:3" x14ac:dyDescent="0.25">
      <c r="A392" s="1">
        <v>40547</v>
      </c>
      <c r="B392">
        <v>1.0111000000000001</v>
      </c>
      <c r="C392">
        <v>1.0071000000000001</v>
      </c>
    </row>
    <row r="393" spans="1:3" x14ac:dyDescent="0.25">
      <c r="A393" s="1">
        <v>40548</v>
      </c>
      <c r="B393">
        <v>1.0033000000000001</v>
      </c>
      <c r="C393">
        <v>0.99939999999999996</v>
      </c>
    </row>
    <row r="394" spans="1:3" x14ac:dyDescent="0.25">
      <c r="A394" s="1">
        <v>40549</v>
      </c>
      <c r="B394">
        <v>0.99619999999999997</v>
      </c>
      <c r="C394">
        <v>0.99239999999999995</v>
      </c>
    </row>
    <row r="395" spans="1:3" x14ac:dyDescent="0.25">
      <c r="A395" s="1">
        <v>40550</v>
      </c>
      <c r="B395">
        <v>0.9929</v>
      </c>
      <c r="C395">
        <v>0.98909999999999998</v>
      </c>
    </row>
    <row r="396" spans="1:3" x14ac:dyDescent="0.25">
      <c r="A396" s="1">
        <v>40553</v>
      </c>
      <c r="B396">
        <v>0.99570000000000003</v>
      </c>
      <c r="C396">
        <v>0.99160000000000004</v>
      </c>
    </row>
    <row r="397" spans="1:3" x14ac:dyDescent="0.25">
      <c r="A397" s="1">
        <v>40554</v>
      </c>
      <c r="B397">
        <v>0.98440000000000005</v>
      </c>
      <c r="C397">
        <v>0.98050000000000004</v>
      </c>
    </row>
    <row r="398" spans="1:3" x14ac:dyDescent="0.25">
      <c r="A398" s="1">
        <v>40555</v>
      </c>
      <c r="B398">
        <v>0.98499999999999999</v>
      </c>
      <c r="C398">
        <v>0.98109999999999997</v>
      </c>
    </row>
    <row r="399" spans="1:3" x14ac:dyDescent="0.25">
      <c r="A399" s="1">
        <v>40556</v>
      </c>
      <c r="B399">
        <v>0.99429999999999996</v>
      </c>
      <c r="C399">
        <v>0.99039999999999995</v>
      </c>
    </row>
    <row r="400" spans="1:3" x14ac:dyDescent="0.25">
      <c r="A400" s="1">
        <v>40557</v>
      </c>
      <c r="B400">
        <v>0.99590000000000001</v>
      </c>
      <c r="C400">
        <v>0.99209999999999998</v>
      </c>
    </row>
    <row r="401" spans="1:3" x14ac:dyDescent="0.25">
      <c r="A401" s="1">
        <v>40560</v>
      </c>
      <c r="B401">
        <v>0.98809999999999998</v>
      </c>
      <c r="C401">
        <v>0.9839</v>
      </c>
    </row>
    <row r="402" spans="1:3" x14ac:dyDescent="0.25">
      <c r="A402" s="1">
        <v>40561</v>
      </c>
      <c r="B402">
        <v>0.99370000000000003</v>
      </c>
      <c r="C402">
        <v>0.98960000000000004</v>
      </c>
    </row>
    <row r="403" spans="1:3" x14ac:dyDescent="0.25">
      <c r="A403" s="1">
        <v>40562</v>
      </c>
      <c r="B403">
        <v>1.0028999999999999</v>
      </c>
      <c r="C403">
        <v>0.99880000000000002</v>
      </c>
    </row>
    <row r="404" spans="1:3" x14ac:dyDescent="0.25">
      <c r="A404" s="1">
        <v>40563</v>
      </c>
      <c r="B404">
        <v>0.99639999999999995</v>
      </c>
      <c r="C404">
        <v>0.99250000000000005</v>
      </c>
    </row>
    <row r="405" spans="1:3" x14ac:dyDescent="0.25">
      <c r="A405" s="1">
        <v>40564</v>
      </c>
      <c r="B405">
        <v>0.98670000000000002</v>
      </c>
      <c r="C405">
        <v>0.98280000000000001</v>
      </c>
    </row>
    <row r="406" spans="1:3" x14ac:dyDescent="0.25">
      <c r="A406" s="1">
        <v>40567</v>
      </c>
      <c r="B406">
        <v>0.98829999999999996</v>
      </c>
      <c r="C406">
        <v>0.98429999999999995</v>
      </c>
    </row>
    <row r="407" spans="1:3" x14ac:dyDescent="0.25">
      <c r="A407" s="1">
        <v>40568</v>
      </c>
      <c r="B407">
        <v>0.99480000000000002</v>
      </c>
      <c r="C407">
        <v>0.9909</v>
      </c>
    </row>
    <row r="408" spans="1:3" x14ac:dyDescent="0.25">
      <c r="A408" s="1">
        <v>40570</v>
      </c>
      <c r="B408">
        <v>0.99580000000000002</v>
      </c>
      <c r="C408">
        <v>0.99229999999999996</v>
      </c>
    </row>
    <row r="409" spans="1:3" x14ac:dyDescent="0.25">
      <c r="A409" s="1">
        <v>40571</v>
      </c>
      <c r="B409">
        <v>0.98950000000000005</v>
      </c>
      <c r="C409">
        <v>0.98609999999999998</v>
      </c>
    </row>
    <row r="410" spans="1:3" x14ac:dyDescent="0.25">
      <c r="A410" s="1">
        <v>40574</v>
      </c>
      <c r="B410">
        <v>0.99209999999999998</v>
      </c>
      <c r="C410">
        <v>0.98870000000000002</v>
      </c>
    </row>
    <row r="411" spans="1:3" x14ac:dyDescent="0.25">
      <c r="A411" s="1">
        <v>40575</v>
      </c>
      <c r="B411">
        <v>1.0004999999999999</v>
      </c>
      <c r="C411">
        <v>0.997</v>
      </c>
    </row>
    <row r="412" spans="1:3" x14ac:dyDescent="0.25">
      <c r="A412" s="1">
        <v>40576</v>
      </c>
      <c r="B412">
        <v>1.0130999999999999</v>
      </c>
      <c r="C412">
        <v>1.0096000000000001</v>
      </c>
    </row>
    <row r="413" spans="1:3" x14ac:dyDescent="0.25">
      <c r="A413" s="1">
        <v>40577</v>
      </c>
      <c r="B413">
        <v>1.0096000000000001</v>
      </c>
      <c r="C413">
        <v>1.0061</v>
      </c>
    </row>
    <row r="414" spans="1:3" x14ac:dyDescent="0.25">
      <c r="A414" s="1">
        <v>40578</v>
      </c>
      <c r="B414">
        <v>1.0183</v>
      </c>
      <c r="C414">
        <v>1.0147999999999999</v>
      </c>
    </row>
    <row r="415" spans="1:3" x14ac:dyDescent="0.25">
      <c r="A415" s="1">
        <v>40581</v>
      </c>
      <c r="B415">
        <v>1.0136000000000001</v>
      </c>
      <c r="C415">
        <v>1.0101</v>
      </c>
    </row>
    <row r="416" spans="1:3" x14ac:dyDescent="0.25">
      <c r="A416" s="1">
        <v>40582</v>
      </c>
      <c r="B416">
        <v>1.0143</v>
      </c>
      <c r="C416">
        <v>1.0107999999999999</v>
      </c>
    </row>
    <row r="417" spans="1:3" x14ac:dyDescent="0.25">
      <c r="A417" s="1">
        <v>40583</v>
      </c>
      <c r="B417">
        <v>1.0135000000000001</v>
      </c>
      <c r="C417">
        <v>1.01</v>
      </c>
    </row>
    <row r="418" spans="1:3" x14ac:dyDescent="0.25">
      <c r="A418" s="1">
        <v>40584</v>
      </c>
      <c r="B418">
        <v>1.0085</v>
      </c>
      <c r="C418">
        <v>1.0049999999999999</v>
      </c>
    </row>
    <row r="419" spans="1:3" x14ac:dyDescent="0.25">
      <c r="A419" s="1">
        <v>40585</v>
      </c>
      <c r="B419">
        <v>0.99939999999999996</v>
      </c>
      <c r="C419">
        <v>0.996</v>
      </c>
    </row>
    <row r="420" spans="1:3" x14ac:dyDescent="0.25">
      <c r="A420" s="1">
        <v>40588</v>
      </c>
      <c r="B420">
        <v>1.0046999999999999</v>
      </c>
      <c r="C420">
        <v>1.0012000000000001</v>
      </c>
    </row>
    <row r="421" spans="1:3" x14ac:dyDescent="0.25">
      <c r="A421" s="1">
        <v>40589</v>
      </c>
      <c r="B421">
        <v>1.0046999999999999</v>
      </c>
      <c r="C421">
        <v>1.0012000000000001</v>
      </c>
    </row>
    <row r="422" spans="1:3" x14ac:dyDescent="0.25">
      <c r="A422" s="1">
        <v>40591</v>
      </c>
      <c r="B422">
        <v>1.0035000000000001</v>
      </c>
      <c r="C422">
        <v>1</v>
      </c>
    </row>
    <row r="423" spans="1:3" x14ac:dyDescent="0.25">
      <c r="A423" s="1">
        <v>40592</v>
      </c>
      <c r="B423">
        <v>1.0124</v>
      </c>
      <c r="C423">
        <v>1.0087999999999999</v>
      </c>
    </row>
    <row r="424" spans="1:3" x14ac:dyDescent="0.25">
      <c r="A424" s="1">
        <v>40595</v>
      </c>
      <c r="B424">
        <v>1.0122</v>
      </c>
      <c r="C424">
        <v>1.0086999999999999</v>
      </c>
    </row>
    <row r="425" spans="1:3" x14ac:dyDescent="0.25">
      <c r="A425" s="1">
        <v>40596</v>
      </c>
      <c r="B425">
        <v>1.0027999999999999</v>
      </c>
      <c r="C425">
        <v>0.99939999999999996</v>
      </c>
    </row>
    <row r="426" spans="1:3" x14ac:dyDescent="0.25">
      <c r="A426" s="1">
        <v>40597</v>
      </c>
      <c r="B426">
        <v>1.0019</v>
      </c>
      <c r="C426">
        <v>0.99839999999999995</v>
      </c>
    </row>
    <row r="427" spans="1:3" x14ac:dyDescent="0.25">
      <c r="A427" s="1">
        <v>40598</v>
      </c>
      <c r="B427">
        <v>1.0075000000000001</v>
      </c>
      <c r="C427">
        <v>1.0037</v>
      </c>
    </row>
    <row r="428" spans="1:3" x14ac:dyDescent="0.25">
      <c r="A428" s="1">
        <v>40599</v>
      </c>
      <c r="B428">
        <v>1.0129999999999999</v>
      </c>
      <c r="C428">
        <v>1.0092000000000001</v>
      </c>
    </row>
    <row r="429" spans="1:3" x14ac:dyDescent="0.25">
      <c r="A429" s="1">
        <v>40602</v>
      </c>
      <c r="B429">
        <v>1.0159</v>
      </c>
      <c r="C429">
        <v>1.0117</v>
      </c>
    </row>
    <row r="430" spans="1:3" x14ac:dyDescent="0.25">
      <c r="A430" s="1">
        <v>40603</v>
      </c>
      <c r="B430">
        <v>1.0167999999999999</v>
      </c>
      <c r="C430">
        <v>1.0127999999999999</v>
      </c>
    </row>
    <row r="431" spans="1:3" x14ac:dyDescent="0.25">
      <c r="A431" s="1">
        <v>40605</v>
      </c>
      <c r="B431">
        <v>1.0156000000000001</v>
      </c>
      <c r="C431">
        <v>1.0117</v>
      </c>
    </row>
    <row r="432" spans="1:3" x14ac:dyDescent="0.25">
      <c r="A432" s="1">
        <v>40606</v>
      </c>
      <c r="B432">
        <v>1.0134000000000001</v>
      </c>
      <c r="C432">
        <v>1.0096000000000001</v>
      </c>
    </row>
    <row r="433" spans="1:3" x14ac:dyDescent="0.25">
      <c r="A433" s="1">
        <v>40609</v>
      </c>
      <c r="B433">
        <v>1.0133000000000001</v>
      </c>
      <c r="C433">
        <v>1.0092000000000001</v>
      </c>
    </row>
    <row r="434" spans="1:3" x14ac:dyDescent="0.25">
      <c r="A434" s="1">
        <v>40610</v>
      </c>
      <c r="B434">
        <v>1.0122</v>
      </c>
      <c r="C434">
        <v>1.0082</v>
      </c>
    </row>
    <row r="435" spans="1:3" x14ac:dyDescent="0.25">
      <c r="A435" s="1">
        <v>40611</v>
      </c>
      <c r="B435">
        <v>1.0072000000000001</v>
      </c>
      <c r="C435">
        <v>1.0033000000000001</v>
      </c>
    </row>
    <row r="436" spans="1:3" x14ac:dyDescent="0.25">
      <c r="A436" s="1">
        <v>40612</v>
      </c>
      <c r="B436">
        <v>1.0045999999999999</v>
      </c>
      <c r="C436">
        <v>1.0006999999999999</v>
      </c>
    </row>
    <row r="437" spans="1:3" x14ac:dyDescent="0.25">
      <c r="A437" s="1">
        <v>40613</v>
      </c>
      <c r="B437">
        <v>1.0038</v>
      </c>
      <c r="C437">
        <v>0.99990000000000001</v>
      </c>
    </row>
    <row r="438" spans="1:3" x14ac:dyDescent="0.25">
      <c r="A438" s="1">
        <v>40616</v>
      </c>
      <c r="B438">
        <v>1.0065</v>
      </c>
      <c r="C438">
        <v>1.0023</v>
      </c>
    </row>
    <row r="439" spans="1:3" x14ac:dyDescent="0.25">
      <c r="A439" s="1">
        <v>40617</v>
      </c>
      <c r="B439">
        <v>0.99299999999999999</v>
      </c>
      <c r="C439">
        <v>0.98899999999999999</v>
      </c>
    </row>
    <row r="440" spans="1:3" x14ac:dyDescent="0.25">
      <c r="A440" s="1">
        <v>40618</v>
      </c>
      <c r="B440">
        <v>0.99099999999999999</v>
      </c>
      <c r="C440">
        <v>0.98729999999999996</v>
      </c>
    </row>
    <row r="441" spans="1:3" x14ac:dyDescent="0.25">
      <c r="A441" s="1">
        <v>40619</v>
      </c>
      <c r="B441">
        <v>0.98040000000000005</v>
      </c>
      <c r="C441">
        <v>0.97670000000000001</v>
      </c>
    </row>
    <row r="442" spans="1:3" x14ac:dyDescent="0.25">
      <c r="A442" s="1">
        <v>40620</v>
      </c>
      <c r="B442">
        <v>0.99390000000000001</v>
      </c>
      <c r="C442">
        <v>0.98950000000000005</v>
      </c>
    </row>
    <row r="443" spans="1:3" x14ac:dyDescent="0.25">
      <c r="A443" s="1">
        <v>40623</v>
      </c>
      <c r="B443">
        <v>1.0007999999999999</v>
      </c>
      <c r="C443">
        <v>0.99639999999999995</v>
      </c>
    </row>
    <row r="444" spans="1:3" x14ac:dyDescent="0.25">
      <c r="A444" s="1">
        <v>40624</v>
      </c>
      <c r="B444">
        <v>1.0055000000000001</v>
      </c>
      <c r="C444">
        <v>1.0013000000000001</v>
      </c>
    </row>
    <row r="445" spans="1:3" x14ac:dyDescent="0.25">
      <c r="A445" s="1">
        <v>40625</v>
      </c>
      <c r="B445">
        <v>1.0103</v>
      </c>
      <c r="C445">
        <v>1.0062</v>
      </c>
    </row>
    <row r="446" spans="1:3" x14ac:dyDescent="0.25">
      <c r="A446" s="1">
        <v>40626</v>
      </c>
      <c r="B446">
        <v>1.0130999999999999</v>
      </c>
      <c r="C446">
        <v>1.0092000000000001</v>
      </c>
    </row>
    <row r="447" spans="1:3" x14ac:dyDescent="0.25">
      <c r="A447" s="1">
        <v>40627</v>
      </c>
      <c r="B447">
        <v>1.0198</v>
      </c>
      <c r="C447">
        <v>1.0159</v>
      </c>
    </row>
    <row r="448" spans="1:3" x14ac:dyDescent="0.25">
      <c r="A448" s="1">
        <v>40630</v>
      </c>
      <c r="B448">
        <v>1.026</v>
      </c>
      <c r="C448">
        <v>1.0221</v>
      </c>
    </row>
    <row r="449" spans="1:3" x14ac:dyDescent="0.25">
      <c r="A449" s="1">
        <v>40631</v>
      </c>
      <c r="B449">
        <v>1.0254000000000001</v>
      </c>
      <c r="C449">
        <v>1.0217000000000001</v>
      </c>
    </row>
    <row r="450" spans="1:3" x14ac:dyDescent="0.25">
      <c r="A450" s="1">
        <v>40632</v>
      </c>
      <c r="B450">
        <v>1.0324</v>
      </c>
      <c r="C450">
        <v>1.0285</v>
      </c>
    </row>
    <row r="451" spans="1:3" x14ac:dyDescent="0.25">
      <c r="A451" s="1">
        <v>40633</v>
      </c>
      <c r="B451">
        <v>1.0322</v>
      </c>
      <c r="C451">
        <v>1.0283</v>
      </c>
    </row>
    <row r="452" spans="1:3" x14ac:dyDescent="0.25">
      <c r="A452" s="1">
        <v>40634</v>
      </c>
      <c r="B452">
        <v>1.0344</v>
      </c>
      <c r="C452">
        <v>1.0306</v>
      </c>
    </row>
    <row r="453" spans="1:3" x14ac:dyDescent="0.25">
      <c r="A453" s="1">
        <v>40638</v>
      </c>
      <c r="B453">
        <v>1.0331999999999999</v>
      </c>
      <c r="C453">
        <v>1.0290999999999999</v>
      </c>
    </row>
    <row r="454" spans="1:3" x14ac:dyDescent="0.25">
      <c r="A454" s="1">
        <v>40639</v>
      </c>
      <c r="B454">
        <v>1.0369999999999999</v>
      </c>
      <c r="C454">
        <v>1.0328999999999999</v>
      </c>
    </row>
    <row r="455" spans="1:3" x14ac:dyDescent="0.25">
      <c r="A455" s="1">
        <v>40640</v>
      </c>
      <c r="B455">
        <v>1.0452999999999999</v>
      </c>
      <c r="C455">
        <v>1.0414000000000001</v>
      </c>
    </row>
    <row r="456" spans="1:3" x14ac:dyDescent="0.25">
      <c r="A456" s="1">
        <v>40641</v>
      </c>
      <c r="B456">
        <v>1.0525</v>
      </c>
      <c r="C456">
        <v>1.0485</v>
      </c>
    </row>
    <row r="457" spans="1:3" x14ac:dyDescent="0.25">
      <c r="A457" s="1">
        <v>40644</v>
      </c>
      <c r="B457">
        <v>1.0565</v>
      </c>
      <c r="C457">
        <v>1.0525</v>
      </c>
    </row>
    <row r="458" spans="1:3" x14ac:dyDescent="0.25">
      <c r="A458" s="1">
        <v>40646</v>
      </c>
      <c r="B458">
        <v>1.0464</v>
      </c>
      <c r="C458">
        <v>1.0423</v>
      </c>
    </row>
    <row r="459" spans="1:3" x14ac:dyDescent="0.25">
      <c r="A459" s="1">
        <v>40648</v>
      </c>
      <c r="B459">
        <v>1.0528999999999999</v>
      </c>
      <c r="C459">
        <v>1.0488999999999999</v>
      </c>
    </row>
    <row r="460" spans="1:3" x14ac:dyDescent="0.25">
      <c r="A460" s="1">
        <v>40651</v>
      </c>
      <c r="B460">
        <v>1.0565</v>
      </c>
      <c r="C460">
        <v>1.0525</v>
      </c>
    </row>
    <row r="461" spans="1:3" x14ac:dyDescent="0.25">
      <c r="A461" s="1">
        <v>40652</v>
      </c>
      <c r="B461">
        <v>1.0466</v>
      </c>
      <c r="C461">
        <v>1.0424</v>
      </c>
    </row>
    <row r="462" spans="1:3" x14ac:dyDescent="0.25">
      <c r="A462" s="1">
        <v>40653</v>
      </c>
      <c r="B462">
        <v>1.0583</v>
      </c>
      <c r="C462">
        <v>1.0543</v>
      </c>
    </row>
    <row r="463" spans="1:3" x14ac:dyDescent="0.25">
      <c r="A463" s="1">
        <v>40654</v>
      </c>
      <c r="B463">
        <v>1.0742</v>
      </c>
      <c r="C463">
        <v>1.0698000000000001</v>
      </c>
    </row>
    <row r="464" spans="1:3" x14ac:dyDescent="0.25">
      <c r="A464" s="1">
        <v>40658</v>
      </c>
      <c r="B464">
        <v>1.0719000000000001</v>
      </c>
      <c r="C464">
        <v>1.0674999999999999</v>
      </c>
    </row>
    <row r="465" spans="1:3" x14ac:dyDescent="0.25">
      <c r="A465" s="1">
        <v>40659</v>
      </c>
      <c r="B465">
        <v>1.0682</v>
      </c>
      <c r="C465">
        <v>1.0638000000000001</v>
      </c>
    </row>
    <row r="466" spans="1:3" x14ac:dyDescent="0.25">
      <c r="A466" s="1">
        <v>40660</v>
      </c>
      <c r="B466">
        <v>1.0829</v>
      </c>
      <c r="C466">
        <v>1.0789</v>
      </c>
    </row>
    <row r="467" spans="1:3" x14ac:dyDescent="0.25">
      <c r="A467" s="1">
        <v>40661</v>
      </c>
      <c r="B467">
        <v>1.0934999999999999</v>
      </c>
      <c r="C467">
        <v>1.0891999999999999</v>
      </c>
    </row>
    <row r="468" spans="1:3" x14ac:dyDescent="0.25">
      <c r="A468" s="1">
        <v>40662</v>
      </c>
      <c r="B468">
        <v>1.0908</v>
      </c>
      <c r="C468">
        <v>1.0865</v>
      </c>
    </row>
    <row r="469" spans="1:3" x14ac:dyDescent="0.25">
      <c r="A469" s="1">
        <v>40665</v>
      </c>
      <c r="B469">
        <v>1.0944</v>
      </c>
      <c r="C469">
        <v>1.0898000000000001</v>
      </c>
    </row>
    <row r="470" spans="1:3" x14ac:dyDescent="0.25">
      <c r="A470" s="1">
        <v>40666</v>
      </c>
      <c r="B470">
        <v>1.0919000000000001</v>
      </c>
      <c r="C470">
        <v>1.0874999999999999</v>
      </c>
    </row>
    <row r="471" spans="1:3" x14ac:dyDescent="0.25">
      <c r="A471" s="1">
        <v>40667</v>
      </c>
      <c r="B471">
        <v>1.0818000000000001</v>
      </c>
      <c r="C471">
        <v>1.0775999999999999</v>
      </c>
    </row>
    <row r="472" spans="1:3" x14ac:dyDescent="0.25">
      <c r="A472" s="1">
        <v>40668</v>
      </c>
      <c r="B472">
        <v>1.0739000000000001</v>
      </c>
      <c r="C472">
        <v>1.0697000000000001</v>
      </c>
    </row>
    <row r="473" spans="1:3" x14ac:dyDescent="0.25">
      <c r="A473" s="1">
        <v>40669</v>
      </c>
      <c r="B473">
        <v>1.0692999999999999</v>
      </c>
      <c r="C473">
        <v>1.0650999999999999</v>
      </c>
    </row>
    <row r="474" spans="1:3" x14ac:dyDescent="0.25">
      <c r="A474" s="1">
        <v>40672</v>
      </c>
      <c r="B474">
        <v>1.0766</v>
      </c>
      <c r="C474">
        <v>1.0719000000000001</v>
      </c>
    </row>
    <row r="475" spans="1:3" x14ac:dyDescent="0.25">
      <c r="A475" s="1">
        <v>40673</v>
      </c>
      <c r="B475">
        <v>1.077</v>
      </c>
      <c r="C475">
        <v>1.0725</v>
      </c>
    </row>
    <row r="476" spans="1:3" x14ac:dyDescent="0.25">
      <c r="A476" s="1">
        <v>40674</v>
      </c>
      <c r="B476">
        <v>1.0858000000000001</v>
      </c>
      <c r="C476">
        <v>1.0813999999999999</v>
      </c>
    </row>
    <row r="477" spans="1:3" x14ac:dyDescent="0.25">
      <c r="A477" s="1">
        <v>40675</v>
      </c>
      <c r="B477">
        <v>1.0634999999999999</v>
      </c>
      <c r="C477">
        <v>1.0592999999999999</v>
      </c>
    </row>
    <row r="478" spans="1:3" x14ac:dyDescent="0.25">
      <c r="A478" s="1">
        <v>40676</v>
      </c>
      <c r="B478">
        <v>1.0631999999999999</v>
      </c>
      <c r="C478">
        <v>1.0589999999999999</v>
      </c>
    </row>
    <row r="479" spans="1:3" x14ac:dyDescent="0.25">
      <c r="A479" s="1">
        <v>40679</v>
      </c>
      <c r="B479">
        <v>1.0551999999999999</v>
      </c>
      <c r="C479">
        <v>1.0508</v>
      </c>
    </row>
    <row r="480" spans="1:3" x14ac:dyDescent="0.25">
      <c r="A480" s="1">
        <v>40681</v>
      </c>
      <c r="B480">
        <v>1.0650999999999999</v>
      </c>
      <c r="C480">
        <v>1.0608</v>
      </c>
    </row>
    <row r="481" spans="1:3" x14ac:dyDescent="0.25">
      <c r="A481" s="1">
        <v>40682</v>
      </c>
      <c r="B481">
        <v>1.0662</v>
      </c>
      <c r="C481">
        <v>1.0620000000000001</v>
      </c>
    </row>
    <row r="482" spans="1:3" x14ac:dyDescent="0.25">
      <c r="A482" s="1">
        <v>40683</v>
      </c>
      <c r="B482">
        <v>1.0666</v>
      </c>
      <c r="C482">
        <v>1.0624</v>
      </c>
    </row>
    <row r="483" spans="1:3" x14ac:dyDescent="0.25">
      <c r="A483" s="1">
        <v>40686</v>
      </c>
      <c r="B483">
        <v>1.0570999999999999</v>
      </c>
      <c r="C483">
        <v>1.0527</v>
      </c>
    </row>
    <row r="484" spans="1:3" x14ac:dyDescent="0.25">
      <c r="A484" s="1">
        <v>40687</v>
      </c>
      <c r="B484">
        <v>1.0543</v>
      </c>
      <c r="C484">
        <v>1.05</v>
      </c>
    </row>
    <row r="485" spans="1:3" x14ac:dyDescent="0.25">
      <c r="A485" s="1">
        <v>40688</v>
      </c>
      <c r="B485">
        <v>1.0501</v>
      </c>
      <c r="C485">
        <v>1.046</v>
      </c>
    </row>
    <row r="486" spans="1:3" x14ac:dyDescent="0.25">
      <c r="A486" s="1">
        <v>40689</v>
      </c>
      <c r="B486">
        <v>1.0576000000000001</v>
      </c>
      <c r="C486">
        <v>1.0536000000000001</v>
      </c>
    </row>
    <row r="487" spans="1:3" x14ac:dyDescent="0.25">
      <c r="A487" s="1">
        <v>40690</v>
      </c>
      <c r="B487">
        <v>1.0699000000000001</v>
      </c>
      <c r="C487">
        <v>1.0658000000000001</v>
      </c>
    </row>
    <row r="488" spans="1:3" x14ac:dyDescent="0.25">
      <c r="A488" s="1">
        <v>40693</v>
      </c>
      <c r="B488">
        <v>1.0697000000000001</v>
      </c>
      <c r="C488">
        <v>1.0656000000000001</v>
      </c>
    </row>
    <row r="489" spans="1:3" x14ac:dyDescent="0.25">
      <c r="A489" s="1">
        <v>40694</v>
      </c>
      <c r="B489">
        <v>1.0709</v>
      </c>
      <c r="C489">
        <v>1.0664</v>
      </c>
    </row>
    <row r="490" spans="1:3" x14ac:dyDescent="0.25">
      <c r="A490" s="1">
        <v>40695</v>
      </c>
      <c r="B490">
        <v>1.0744</v>
      </c>
      <c r="C490">
        <v>1.07</v>
      </c>
    </row>
    <row r="491" spans="1:3" x14ac:dyDescent="0.25">
      <c r="A491" s="1">
        <v>40696</v>
      </c>
      <c r="B491">
        <v>1.0619000000000001</v>
      </c>
      <c r="C491">
        <v>1.0578000000000001</v>
      </c>
    </row>
    <row r="492" spans="1:3" x14ac:dyDescent="0.25">
      <c r="A492" s="1">
        <v>40697</v>
      </c>
      <c r="B492">
        <v>1.0678000000000001</v>
      </c>
      <c r="C492">
        <v>1.0637000000000001</v>
      </c>
    </row>
    <row r="493" spans="1:3" x14ac:dyDescent="0.25">
      <c r="A493" s="1">
        <v>40700</v>
      </c>
      <c r="B493">
        <v>1.0746</v>
      </c>
      <c r="C493">
        <v>1.0705</v>
      </c>
    </row>
    <row r="494" spans="1:3" x14ac:dyDescent="0.25">
      <c r="A494" s="1">
        <v>40701</v>
      </c>
      <c r="B494">
        <v>1.0739000000000001</v>
      </c>
      <c r="C494">
        <v>1.0694999999999999</v>
      </c>
    </row>
    <row r="495" spans="1:3" x14ac:dyDescent="0.25">
      <c r="A495" s="1">
        <v>40702</v>
      </c>
      <c r="B495">
        <v>1.0654999999999999</v>
      </c>
      <c r="C495">
        <v>1.0612999999999999</v>
      </c>
    </row>
    <row r="496" spans="1:3" x14ac:dyDescent="0.25">
      <c r="A496" s="1">
        <v>40703</v>
      </c>
      <c r="B496">
        <v>1.0584</v>
      </c>
      <c r="C496">
        <v>1.0543</v>
      </c>
    </row>
    <row r="497" spans="1:3" x14ac:dyDescent="0.25">
      <c r="A497" s="1">
        <v>40707</v>
      </c>
      <c r="B497">
        <v>1.0536000000000001</v>
      </c>
      <c r="C497">
        <v>1.0495000000000001</v>
      </c>
    </row>
    <row r="498" spans="1:3" x14ac:dyDescent="0.25">
      <c r="A498" s="1">
        <v>40708</v>
      </c>
      <c r="B498">
        <v>1.0637000000000001</v>
      </c>
      <c r="C498">
        <v>1.0592999999999999</v>
      </c>
    </row>
    <row r="499" spans="1:3" x14ac:dyDescent="0.25">
      <c r="A499" s="1">
        <v>40709</v>
      </c>
      <c r="B499">
        <v>1.07</v>
      </c>
      <c r="C499">
        <v>1.0658000000000001</v>
      </c>
    </row>
    <row r="500" spans="1:3" x14ac:dyDescent="0.25">
      <c r="A500" s="1">
        <v>40710</v>
      </c>
      <c r="B500">
        <v>1.0529999999999999</v>
      </c>
      <c r="C500">
        <v>1.0489999999999999</v>
      </c>
    </row>
    <row r="501" spans="1:3" x14ac:dyDescent="0.25">
      <c r="A501" s="1">
        <v>40711</v>
      </c>
      <c r="B501">
        <v>1.0519000000000001</v>
      </c>
      <c r="C501">
        <v>1.0479000000000001</v>
      </c>
    </row>
    <row r="502" spans="1:3" x14ac:dyDescent="0.25">
      <c r="A502" s="1">
        <v>40714</v>
      </c>
      <c r="B502">
        <v>1.0563</v>
      </c>
      <c r="C502">
        <v>1.0523</v>
      </c>
    </row>
    <row r="503" spans="1:3" x14ac:dyDescent="0.25">
      <c r="A503" s="1">
        <v>40715</v>
      </c>
      <c r="B503">
        <v>1.0548999999999999</v>
      </c>
      <c r="C503">
        <v>1.0506</v>
      </c>
    </row>
    <row r="504" spans="1:3" x14ac:dyDescent="0.25">
      <c r="A504" s="1">
        <v>40716</v>
      </c>
      <c r="B504">
        <v>1.0575000000000001</v>
      </c>
      <c r="C504">
        <v>1.0532999999999999</v>
      </c>
    </row>
    <row r="505" spans="1:3" x14ac:dyDescent="0.25">
      <c r="A505" s="1">
        <v>40717</v>
      </c>
      <c r="B505">
        <v>1.0553999999999999</v>
      </c>
      <c r="C505">
        <v>1.0513999999999999</v>
      </c>
    </row>
    <row r="506" spans="1:3" x14ac:dyDescent="0.25">
      <c r="A506" s="1">
        <v>40718</v>
      </c>
      <c r="B506">
        <v>1.054</v>
      </c>
      <c r="C506">
        <v>1.05</v>
      </c>
    </row>
    <row r="507" spans="1:3" x14ac:dyDescent="0.25">
      <c r="A507" s="1">
        <v>40721</v>
      </c>
      <c r="B507">
        <v>1.0427999999999999</v>
      </c>
      <c r="C507">
        <v>1.0388999999999999</v>
      </c>
    </row>
    <row r="508" spans="1:3" x14ac:dyDescent="0.25">
      <c r="A508" s="1">
        <v>40722</v>
      </c>
      <c r="B508">
        <v>1.0455000000000001</v>
      </c>
      <c r="C508">
        <v>1.0417000000000001</v>
      </c>
    </row>
    <row r="509" spans="1:3" x14ac:dyDescent="0.25">
      <c r="A509" s="1">
        <v>40723</v>
      </c>
      <c r="B509">
        <v>1.0533999999999999</v>
      </c>
      <c r="C509">
        <v>1.0491999999999999</v>
      </c>
    </row>
    <row r="510" spans="1:3" x14ac:dyDescent="0.25">
      <c r="A510" s="1">
        <v>40724</v>
      </c>
      <c r="B510">
        <v>1.0743</v>
      </c>
      <c r="C510">
        <v>1.07</v>
      </c>
    </row>
    <row r="511" spans="1:3" x14ac:dyDescent="0.25">
      <c r="A511" s="1">
        <v>40725</v>
      </c>
      <c r="B511">
        <v>1.0698000000000001</v>
      </c>
      <c r="C511">
        <v>1.0656000000000001</v>
      </c>
    </row>
    <row r="512" spans="1:3" x14ac:dyDescent="0.25">
      <c r="A512" s="1">
        <v>40728</v>
      </c>
      <c r="B512">
        <v>1.0737000000000001</v>
      </c>
      <c r="C512">
        <v>1.0691999999999999</v>
      </c>
    </row>
    <row r="513" spans="1:3" x14ac:dyDescent="0.25">
      <c r="A513" s="1">
        <v>40729</v>
      </c>
      <c r="B513">
        <v>1.0696000000000001</v>
      </c>
      <c r="C513">
        <v>1.0652999999999999</v>
      </c>
    </row>
    <row r="514" spans="1:3" x14ac:dyDescent="0.25">
      <c r="A514" s="1">
        <v>40730</v>
      </c>
      <c r="B514">
        <v>1.0731999999999999</v>
      </c>
      <c r="C514">
        <v>1.069</v>
      </c>
    </row>
    <row r="515" spans="1:3" x14ac:dyDescent="0.25">
      <c r="A515" s="1">
        <v>40731</v>
      </c>
      <c r="B515">
        <v>1.0745</v>
      </c>
      <c r="C515">
        <v>1.0702</v>
      </c>
    </row>
    <row r="516" spans="1:3" x14ac:dyDescent="0.25">
      <c r="A516" s="1">
        <v>40732</v>
      </c>
      <c r="B516">
        <v>1.0767</v>
      </c>
      <c r="C516">
        <v>1.0725</v>
      </c>
    </row>
    <row r="517" spans="1:3" x14ac:dyDescent="0.25">
      <c r="A517" s="1">
        <v>40735</v>
      </c>
      <c r="B517">
        <v>1.0707</v>
      </c>
      <c r="C517">
        <v>1.0663</v>
      </c>
    </row>
    <row r="518" spans="1:3" x14ac:dyDescent="0.25">
      <c r="A518" s="1">
        <v>40736</v>
      </c>
      <c r="B518">
        <v>1.0593999999999999</v>
      </c>
      <c r="C518">
        <v>1.0550999999999999</v>
      </c>
    </row>
    <row r="519" spans="1:3" x14ac:dyDescent="0.25">
      <c r="A519" s="1">
        <v>40737</v>
      </c>
      <c r="B519">
        <v>1.0629</v>
      </c>
      <c r="C519">
        <v>1.0588</v>
      </c>
    </row>
    <row r="520" spans="1:3" x14ac:dyDescent="0.25">
      <c r="A520" s="1">
        <v>40738</v>
      </c>
      <c r="B520">
        <v>1.0741000000000001</v>
      </c>
      <c r="C520">
        <v>1.0699000000000001</v>
      </c>
    </row>
    <row r="521" spans="1:3" x14ac:dyDescent="0.25">
      <c r="A521" s="1">
        <v>40739</v>
      </c>
      <c r="B521">
        <v>1.0730999999999999</v>
      </c>
      <c r="C521">
        <v>1.0688</v>
      </c>
    </row>
    <row r="522" spans="1:3" x14ac:dyDescent="0.25">
      <c r="A522" s="1">
        <v>40742</v>
      </c>
      <c r="B522">
        <v>1.0591999999999999</v>
      </c>
      <c r="C522">
        <v>1.0548</v>
      </c>
    </row>
    <row r="523" spans="1:3" x14ac:dyDescent="0.25">
      <c r="A523" s="1">
        <v>40743</v>
      </c>
      <c r="B523">
        <v>1.0617000000000001</v>
      </c>
      <c r="C523">
        <v>1.0573999999999999</v>
      </c>
    </row>
    <row r="524" spans="1:3" x14ac:dyDescent="0.25">
      <c r="A524" s="1">
        <v>40744</v>
      </c>
      <c r="B524">
        <v>1.0721000000000001</v>
      </c>
      <c r="C524">
        <v>1.0679000000000001</v>
      </c>
    </row>
    <row r="525" spans="1:3" x14ac:dyDescent="0.25">
      <c r="A525" s="1">
        <v>40745</v>
      </c>
      <c r="B525">
        <v>1.0714999999999999</v>
      </c>
      <c r="C525">
        <v>1.0671999999999999</v>
      </c>
    </row>
    <row r="526" spans="1:3" x14ac:dyDescent="0.25">
      <c r="A526" s="1">
        <v>40746</v>
      </c>
      <c r="B526">
        <v>1.0835999999999999</v>
      </c>
      <c r="C526">
        <v>1.0791999999999999</v>
      </c>
    </row>
    <row r="527" spans="1:3" x14ac:dyDescent="0.25">
      <c r="A527" s="1">
        <v>40749</v>
      </c>
      <c r="B527">
        <v>1.0826</v>
      </c>
      <c r="C527">
        <v>1.0781000000000001</v>
      </c>
    </row>
    <row r="528" spans="1:3" x14ac:dyDescent="0.25">
      <c r="A528" s="1">
        <v>40750</v>
      </c>
      <c r="B528">
        <v>1.0911999999999999</v>
      </c>
      <c r="C528">
        <v>1.0868</v>
      </c>
    </row>
    <row r="529" spans="1:3" x14ac:dyDescent="0.25">
      <c r="A529" s="1">
        <v>40751</v>
      </c>
      <c r="B529">
        <v>1.105</v>
      </c>
      <c r="C529">
        <v>1.1003000000000001</v>
      </c>
    </row>
    <row r="530" spans="1:3" x14ac:dyDescent="0.25">
      <c r="A530" s="1">
        <v>40752</v>
      </c>
      <c r="B530">
        <v>1.1041000000000001</v>
      </c>
      <c r="C530">
        <v>1.0996999999999999</v>
      </c>
    </row>
    <row r="531" spans="1:3" x14ac:dyDescent="0.25">
      <c r="A531" s="1">
        <v>40753</v>
      </c>
      <c r="B531">
        <v>1.0979000000000001</v>
      </c>
      <c r="C531">
        <v>1.0931</v>
      </c>
    </row>
    <row r="532" spans="1:3" x14ac:dyDescent="0.25">
      <c r="A532" s="1">
        <v>40756</v>
      </c>
      <c r="B532">
        <v>1.1041000000000001</v>
      </c>
      <c r="C532">
        <v>1.0992999999999999</v>
      </c>
    </row>
    <row r="533" spans="1:3" x14ac:dyDescent="0.25">
      <c r="A533" s="1">
        <v>40757</v>
      </c>
      <c r="B533">
        <v>1.0974999999999999</v>
      </c>
      <c r="C533">
        <v>1.0929</v>
      </c>
    </row>
    <row r="534" spans="1:3" x14ac:dyDescent="0.25">
      <c r="A534" s="1">
        <v>40758</v>
      </c>
      <c r="B534">
        <v>1.075</v>
      </c>
      <c r="C534">
        <v>1.0708</v>
      </c>
    </row>
    <row r="535" spans="1:3" x14ac:dyDescent="0.25">
      <c r="A535" s="1">
        <v>40759</v>
      </c>
      <c r="B535">
        <v>1.0694999999999999</v>
      </c>
      <c r="C535">
        <v>1.0653999999999999</v>
      </c>
    </row>
    <row r="536" spans="1:3" x14ac:dyDescent="0.25">
      <c r="A536" s="1">
        <v>40764</v>
      </c>
      <c r="B536">
        <v>1.0066999999999999</v>
      </c>
      <c r="C536">
        <v>1.0025999999999999</v>
      </c>
    </row>
    <row r="537" spans="1:3" x14ac:dyDescent="0.25">
      <c r="A537" s="1">
        <v>40765</v>
      </c>
      <c r="B537">
        <v>1.0326</v>
      </c>
      <c r="C537">
        <v>1.0284</v>
      </c>
    </row>
    <row r="538" spans="1:3" x14ac:dyDescent="0.25">
      <c r="A538" s="1">
        <v>40766</v>
      </c>
      <c r="B538">
        <v>1.0235000000000001</v>
      </c>
      <c r="C538">
        <v>1.0194000000000001</v>
      </c>
    </row>
    <row r="539" spans="1:3" x14ac:dyDescent="0.25">
      <c r="A539" s="1">
        <v>40767</v>
      </c>
      <c r="B539">
        <v>1.0283</v>
      </c>
      <c r="C539">
        <v>1.0242</v>
      </c>
    </row>
    <row r="540" spans="1:3" x14ac:dyDescent="0.25">
      <c r="A540" s="1">
        <v>40771</v>
      </c>
      <c r="B540">
        <v>1.0475000000000001</v>
      </c>
      <c r="C540">
        <v>1.0431999999999999</v>
      </c>
    </row>
    <row r="541" spans="1:3" x14ac:dyDescent="0.25">
      <c r="A541" s="1">
        <v>40772</v>
      </c>
      <c r="B541">
        <v>1.048</v>
      </c>
      <c r="C541">
        <v>1.0439000000000001</v>
      </c>
    </row>
    <row r="542" spans="1:3" x14ac:dyDescent="0.25">
      <c r="A542" s="1">
        <v>40773</v>
      </c>
      <c r="B542">
        <v>1.0482</v>
      </c>
      <c r="C542">
        <v>1.044</v>
      </c>
    </row>
    <row r="543" spans="1:3" x14ac:dyDescent="0.25">
      <c r="A543" s="1">
        <v>40774</v>
      </c>
      <c r="B543">
        <v>1.0364</v>
      </c>
      <c r="C543">
        <v>1.0323</v>
      </c>
    </row>
    <row r="544" spans="1:3" x14ac:dyDescent="0.25">
      <c r="A544" s="1">
        <v>40777</v>
      </c>
      <c r="B544">
        <v>1.0403</v>
      </c>
      <c r="C544">
        <v>1.0359</v>
      </c>
    </row>
    <row r="545" spans="1:3" x14ac:dyDescent="0.25">
      <c r="A545" s="1">
        <v>40778</v>
      </c>
      <c r="B545">
        <v>1.0450999999999999</v>
      </c>
      <c r="C545">
        <v>1.0407999999999999</v>
      </c>
    </row>
    <row r="546" spans="1:3" x14ac:dyDescent="0.25">
      <c r="A546" s="1">
        <v>40779</v>
      </c>
      <c r="B546">
        <v>1.0498000000000001</v>
      </c>
      <c r="C546">
        <v>1.0457000000000001</v>
      </c>
    </row>
    <row r="547" spans="1:3" x14ac:dyDescent="0.25">
      <c r="A547" s="1">
        <v>40780</v>
      </c>
      <c r="B547">
        <v>1.0457000000000001</v>
      </c>
      <c r="C547">
        <v>1.0416000000000001</v>
      </c>
    </row>
    <row r="548" spans="1:3" x14ac:dyDescent="0.25">
      <c r="A548" s="1">
        <v>40781</v>
      </c>
      <c r="B548">
        <v>1.0484</v>
      </c>
      <c r="C548">
        <v>1.0443</v>
      </c>
    </row>
    <row r="549" spans="1:3" x14ac:dyDescent="0.25">
      <c r="A549" s="1">
        <v>40784</v>
      </c>
      <c r="B549">
        <v>1.0627</v>
      </c>
      <c r="C549">
        <v>1.0587</v>
      </c>
    </row>
    <row r="550" spans="1:3" x14ac:dyDescent="0.25">
      <c r="A550" s="1">
        <v>40785</v>
      </c>
      <c r="B550">
        <v>1.0669</v>
      </c>
      <c r="C550">
        <v>1.0624</v>
      </c>
    </row>
    <row r="551" spans="1:3" x14ac:dyDescent="0.25">
      <c r="A551" s="1">
        <v>40788</v>
      </c>
      <c r="B551">
        <v>1.0703</v>
      </c>
      <c r="C551">
        <v>1.0662</v>
      </c>
    </row>
    <row r="552" spans="1:3" x14ac:dyDescent="0.25">
      <c r="A552" s="1">
        <v>40791</v>
      </c>
      <c r="B552">
        <v>1.0595000000000001</v>
      </c>
      <c r="C552">
        <v>1.0555000000000001</v>
      </c>
    </row>
    <row r="553" spans="1:3" x14ac:dyDescent="0.25">
      <c r="A553" s="1">
        <v>40792</v>
      </c>
      <c r="B553">
        <v>1.052</v>
      </c>
      <c r="C553">
        <v>1.0476000000000001</v>
      </c>
    </row>
    <row r="554" spans="1:3" x14ac:dyDescent="0.25">
      <c r="A554" s="1">
        <v>40793</v>
      </c>
      <c r="B554">
        <v>1.0582</v>
      </c>
      <c r="C554">
        <v>1.0539000000000001</v>
      </c>
    </row>
    <row r="555" spans="1:3" x14ac:dyDescent="0.25">
      <c r="A555" s="1">
        <v>40794</v>
      </c>
      <c r="B555">
        <v>1.0587</v>
      </c>
      <c r="C555">
        <v>1.0547</v>
      </c>
    </row>
    <row r="556" spans="1:3" x14ac:dyDescent="0.25">
      <c r="A556" s="1">
        <v>40795</v>
      </c>
      <c r="B556">
        <v>1.0609</v>
      </c>
      <c r="C556">
        <v>1.0569</v>
      </c>
    </row>
    <row r="557" spans="1:3" x14ac:dyDescent="0.25">
      <c r="A557" s="1">
        <v>40798</v>
      </c>
      <c r="B557">
        <v>1.0362</v>
      </c>
      <c r="C557">
        <v>1.0323</v>
      </c>
    </row>
    <row r="558" spans="1:3" x14ac:dyDescent="0.25">
      <c r="A558" s="1">
        <v>40799</v>
      </c>
      <c r="B558">
        <v>1.0367999999999999</v>
      </c>
      <c r="C558">
        <v>1.0327</v>
      </c>
    </row>
    <row r="559" spans="1:3" x14ac:dyDescent="0.25">
      <c r="A559" s="1">
        <v>40800</v>
      </c>
      <c r="B559">
        <v>1.0226</v>
      </c>
      <c r="C559">
        <v>1.0186999999999999</v>
      </c>
    </row>
    <row r="560" spans="1:3" x14ac:dyDescent="0.25">
      <c r="A560" s="1">
        <v>40801</v>
      </c>
      <c r="B560">
        <v>1.0202</v>
      </c>
      <c r="C560">
        <v>1.0163</v>
      </c>
    </row>
    <row r="561" spans="1:3" x14ac:dyDescent="0.25">
      <c r="A561" s="1">
        <v>40802</v>
      </c>
      <c r="B561">
        <v>1.0347</v>
      </c>
      <c r="C561">
        <v>1.0307999999999999</v>
      </c>
    </row>
    <row r="562" spans="1:3" x14ac:dyDescent="0.25">
      <c r="A562" s="1">
        <v>40805</v>
      </c>
      <c r="B562">
        <v>1.0238</v>
      </c>
      <c r="C562">
        <v>1.0199</v>
      </c>
    </row>
    <row r="563" spans="1:3" x14ac:dyDescent="0.25">
      <c r="A563" s="1">
        <v>40806</v>
      </c>
      <c r="B563">
        <v>1.0205</v>
      </c>
      <c r="C563">
        <v>1.0164</v>
      </c>
    </row>
    <row r="564" spans="1:3" x14ac:dyDescent="0.25">
      <c r="A564" s="1">
        <v>40807</v>
      </c>
      <c r="B564">
        <v>1.0285</v>
      </c>
      <c r="C564">
        <v>1.0245</v>
      </c>
    </row>
    <row r="565" spans="1:3" x14ac:dyDescent="0.25">
      <c r="A565" s="1">
        <v>40808</v>
      </c>
      <c r="B565">
        <v>1.002</v>
      </c>
      <c r="C565">
        <v>0.99819999999999998</v>
      </c>
    </row>
    <row r="566" spans="1:3" x14ac:dyDescent="0.25">
      <c r="A566" s="1">
        <v>40809</v>
      </c>
      <c r="B566">
        <v>0.9778</v>
      </c>
      <c r="C566">
        <v>0.97409999999999997</v>
      </c>
    </row>
    <row r="567" spans="1:3" x14ac:dyDescent="0.25">
      <c r="A567" s="1">
        <v>40812</v>
      </c>
      <c r="B567">
        <v>0.97219999999999995</v>
      </c>
      <c r="C567">
        <v>0.96850000000000003</v>
      </c>
    </row>
    <row r="568" spans="1:3" x14ac:dyDescent="0.25">
      <c r="A568" s="1">
        <v>40813</v>
      </c>
      <c r="B568">
        <v>0.98450000000000004</v>
      </c>
      <c r="C568">
        <v>0.98050000000000004</v>
      </c>
    </row>
    <row r="569" spans="1:3" x14ac:dyDescent="0.25">
      <c r="A569" s="1">
        <v>40814</v>
      </c>
      <c r="B569">
        <v>0.98609999999999998</v>
      </c>
      <c r="C569">
        <v>0.98229999999999995</v>
      </c>
    </row>
    <row r="570" spans="1:3" x14ac:dyDescent="0.25">
      <c r="A570" s="1">
        <v>40815</v>
      </c>
      <c r="B570">
        <v>0.98080000000000001</v>
      </c>
      <c r="C570">
        <v>0.97699999999999998</v>
      </c>
    </row>
    <row r="571" spans="1:3" x14ac:dyDescent="0.25">
      <c r="A571" s="1">
        <v>40816</v>
      </c>
      <c r="B571">
        <v>0.97550000000000003</v>
      </c>
      <c r="C571">
        <v>0.97150000000000003</v>
      </c>
    </row>
    <row r="572" spans="1:3" x14ac:dyDescent="0.25">
      <c r="A572" s="1">
        <v>40819</v>
      </c>
      <c r="B572">
        <v>0.96160000000000001</v>
      </c>
      <c r="C572">
        <v>0.9577</v>
      </c>
    </row>
    <row r="573" spans="1:3" x14ac:dyDescent="0.25">
      <c r="A573" s="1">
        <v>40820</v>
      </c>
      <c r="B573">
        <v>0.95040000000000002</v>
      </c>
      <c r="C573">
        <v>0.9466</v>
      </c>
    </row>
    <row r="574" spans="1:3" x14ac:dyDescent="0.25">
      <c r="A574" s="1">
        <v>40821</v>
      </c>
      <c r="B574">
        <v>0.95379999999999998</v>
      </c>
      <c r="C574">
        <v>0.95</v>
      </c>
    </row>
    <row r="575" spans="1:3" x14ac:dyDescent="0.25">
      <c r="A575" s="1">
        <v>40823</v>
      </c>
      <c r="B575">
        <v>0.97850000000000004</v>
      </c>
      <c r="C575">
        <v>0.97430000000000005</v>
      </c>
    </row>
    <row r="576" spans="1:3" x14ac:dyDescent="0.25">
      <c r="A576" s="1">
        <v>40826</v>
      </c>
      <c r="B576">
        <v>0.98250000000000004</v>
      </c>
      <c r="C576">
        <v>0.97840000000000005</v>
      </c>
    </row>
    <row r="577" spans="1:3" x14ac:dyDescent="0.25">
      <c r="A577" s="1">
        <v>40827</v>
      </c>
      <c r="B577">
        <v>0.99639999999999995</v>
      </c>
      <c r="C577">
        <v>0.99229999999999996</v>
      </c>
    </row>
    <row r="578" spans="1:3" x14ac:dyDescent="0.25">
      <c r="A578" s="1">
        <v>40828</v>
      </c>
      <c r="B578">
        <v>0.99209999999999998</v>
      </c>
      <c r="C578">
        <v>0.98819999999999997</v>
      </c>
    </row>
    <row r="579" spans="1:3" x14ac:dyDescent="0.25">
      <c r="A579" s="1">
        <v>40829</v>
      </c>
      <c r="B579">
        <v>1.0202</v>
      </c>
      <c r="C579">
        <v>1.0162</v>
      </c>
    </row>
    <row r="580" spans="1:3" x14ac:dyDescent="0.25">
      <c r="A580" s="1">
        <v>40830</v>
      </c>
      <c r="B580">
        <v>1.0193000000000001</v>
      </c>
      <c r="C580">
        <v>1.0153000000000001</v>
      </c>
    </row>
    <row r="581" spans="1:3" x14ac:dyDescent="0.25">
      <c r="A581" s="1">
        <v>40833</v>
      </c>
      <c r="B581">
        <v>1.03</v>
      </c>
      <c r="C581">
        <v>1.0257000000000001</v>
      </c>
    </row>
    <row r="582" spans="1:3" x14ac:dyDescent="0.25">
      <c r="A582" s="1">
        <v>40834</v>
      </c>
      <c r="B582">
        <v>1.0205</v>
      </c>
      <c r="C582">
        <v>1.0164</v>
      </c>
    </row>
    <row r="583" spans="1:3" x14ac:dyDescent="0.25">
      <c r="A583" s="1">
        <v>40835</v>
      </c>
      <c r="B583">
        <v>1.03</v>
      </c>
      <c r="C583">
        <v>1.026</v>
      </c>
    </row>
    <row r="584" spans="1:3" x14ac:dyDescent="0.25">
      <c r="A584" s="1">
        <v>40836</v>
      </c>
      <c r="B584">
        <v>1.0186999999999999</v>
      </c>
      <c r="C584">
        <v>1.0145999999999999</v>
      </c>
    </row>
    <row r="585" spans="1:3" x14ac:dyDescent="0.25">
      <c r="A585" s="1">
        <v>40837</v>
      </c>
      <c r="B585">
        <v>1.0214000000000001</v>
      </c>
      <c r="C585">
        <v>1.0174000000000001</v>
      </c>
    </row>
    <row r="586" spans="1:3" x14ac:dyDescent="0.25">
      <c r="A586" s="1">
        <v>40840</v>
      </c>
      <c r="B586">
        <v>1.0388999999999999</v>
      </c>
      <c r="C586">
        <v>1.0346</v>
      </c>
    </row>
    <row r="587" spans="1:3" x14ac:dyDescent="0.25">
      <c r="A587" s="1">
        <v>40841</v>
      </c>
      <c r="B587">
        <v>1.0468</v>
      </c>
      <c r="C587">
        <v>1.0426</v>
      </c>
    </row>
    <row r="588" spans="1:3" x14ac:dyDescent="0.25">
      <c r="A588" s="1">
        <v>40844</v>
      </c>
      <c r="B588">
        <v>1.0668</v>
      </c>
      <c r="C588">
        <v>1.0629</v>
      </c>
    </row>
    <row r="589" spans="1:3" x14ac:dyDescent="0.25">
      <c r="A589" s="1">
        <v>40847</v>
      </c>
      <c r="B589">
        <v>1.0531999999999999</v>
      </c>
      <c r="C589">
        <v>1.0494000000000001</v>
      </c>
    </row>
    <row r="590" spans="1:3" x14ac:dyDescent="0.25">
      <c r="A590" s="1">
        <v>40848</v>
      </c>
      <c r="B590">
        <v>1.0474000000000001</v>
      </c>
      <c r="C590">
        <v>1.0432999999999999</v>
      </c>
    </row>
    <row r="591" spans="1:3" x14ac:dyDescent="0.25">
      <c r="A591" s="1">
        <v>40849</v>
      </c>
      <c r="B591">
        <v>1.0363</v>
      </c>
      <c r="C591">
        <v>1.0324</v>
      </c>
    </row>
    <row r="592" spans="1:3" x14ac:dyDescent="0.25">
      <c r="A592" s="1">
        <v>40850</v>
      </c>
      <c r="B592">
        <v>1.0248999999999999</v>
      </c>
      <c r="C592">
        <v>1.0212000000000001</v>
      </c>
    </row>
    <row r="593" spans="1:3" x14ac:dyDescent="0.25">
      <c r="A593" s="1">
        <v>40851</v>
      </c>
      <c r="B593">
        <v>1.0386</v>
      </c>
      <c r="C593">
        <v>1.0348999999999999</v>
      </c>
    </row>
    <row r="594" spans="1:3" x14ac:dyDescent="0.25">
      <c r="A594" s="1">
        <v>40855</v>
      </c>
      <c r="B594">
        <v>1.0322</v>
      </c>
      <c r="C594">
        <v>1.0283</v>
      </c>
    </row>
    <row r="595" spans="1:3" x14ac:dyDescent="0.25">
      <c r="A595" s="1">
        <v>40856</v>
      </c>
      <c r="B595">
        <v>1.0362</v>
      </c>
      <c r="C595">
        <v>1.0325</v>
      </c>
    </row>
    <row r="596" spans="1:3" x14ac:dyDescent="0.25">
      <c r="A596" s="1">
        <v>40858</v>
      </c>
      <c r="B596">
        <v>1.0159</v>
      </c>
      <c r="C596">
        <v>1.0123</v>
      </c>
    </row>
    <row r="597" spans="1:3" x14ac:dyDescent="0.25">
      <c r="A597" s="1">
        <v>40861</v>
      </c>
      <c r="B597">
        <v>1.0302</v>
      </c>
      <c r="C597">
        <v>1.0265</v>
      </c>
    </row>
    <row r="598" spans="1:3" x14ac:dyDescent="0.25">
      <c r="A598" s="1">
        <v>40862</v>
      </c>
      <c r="B598">
        <v>1.0166999999999999</v>
      </c>
      <c r="C598">
        <v>1.0127999999999999</v>
      </c>
    </row>
    <row r="599" spans="1:3" x14ac:dyDescent="0.25">
      <c r="A599" s="1">
        <v>40863</v>
      </c>
      <c r="B599">
        <v>1.008</v>
      </c>
      <c r="C599">
        <v>1.0043</v>
      </c>
    </row>
    <row r="600" spans="1:3" x14ac:dyDescent="0.25">
      <c r="A600" s="1">
        <v>40864</v>
      </c>
      <c r="B600">
        <v>1.0085</v>
      </c>
      <c r="C600">
        <v>1.0048999999999999</v>
      </c>
    </row>
    <row r="601" spans="1:3" x14ac:dyDescent="0.25">
      <c r="A601" s="1">
        <v>40865</v>
      </c>
      <c r="B601">
        <v>0.99980000000000002</v>
      </c>
      <c r="C601">
        <v>0.99619999999999997</v>
      </c>
    </row>
    <row r="602" spans="1:3" x14ac:dyDescent="0.25">
      <c r="A602" s="1">
        <v>40868</v>
      </c>
      <c r="B602">
        <v>0.99780000000000002</v>
      </c>
      <c r="C602">
        <v>0.99429999999999996</v>
      </c>
    </row>
    <row r="603" spans="1:3" x14ac:dyDescent="0.25">
      <c r="A603" s="1">
        <v>40869</v>
      </c>
      <c r="B603">
        <v>0.98380000000000001</v>
      </c>
      <c r="C603">
        <v>0.98</v>
      </c>
    </row>
    <row r="604" spans="1:3" x14ac:dyDescent="0.25">
      <c r="A604" s="1">
        <v>40870</v>
      </c>
      <c r="B604">
        <v>0.97740000000000005</v>
      </c>
      <c r="C604">
        <v>0.97360000000000002</v>
      </c>
    </row>
    <row r="605" spans="1:3" x14ac:dyDescent="0.25">
      <c r="A605" s="1">
        <v>40871</v>
      </c>
      <c r="B605">
        <v>0.97729999999999995</v>
      </c>
      <c r="C605">
        <v>0.9738</v>
      </c>
    </row>
    <row r="606" spans="1:3" x14ac:dyDescent="0.25">
      <c r="A606" s="1">
        <v>40872</v>
      </c>
      <c r="B606">
        <v>0.96899999999999997</v>
      </c>
      <c r="C606">
        <v>0.96550000000000002</v>
      </c>
    </row>
    <row r="607" spans="1:3" x14ac:dyDescent="0.25">
      <c r="A607" s="1">
        <v>40875</v>
      </c>
      <c r="B607">
        <v>0.99399999999999999</v>
      </c>
      <c r="C607">
        <v>0.99050000000000005</v>
      </c>
    </row>
    <row r="608" spans="1:3" x14ac:dyDescent="0.25">
      <c r="A608" s="1">
        <v>40876</v>
      </c>
      <c r="B608">
        <v>1.0049999999999999</v>
      </c>
      <c r="C608">
        <v>1.0011000000000001</v>
      </c>
    </row>
    <row r="609" spans="1:3" x14ac:dyDescent="0.25">
      <c r="A609" s="1">
        <v>40877</v>
      </c>
      <c r="B609">
        <v>0.99750000000000005</v>
      </c>
      <c r="C609">
        <v>0.99370000000000003</v>
      </c>
    </row>
    <row r="610" spans="1:3" x14ac:dyDescent="0.25">
      <c r="A610" s="1">
        <v>40878</v>
      </c>
      <c r="B610">
        <v>1.0219</v>
      </c>
      <c r="C610">
        <v>1.0182</v>
      </c>
    </row>
    <row r="611" spans="1:3" x14ac:dyDescent="0.25">
      <c r="A611" s="1">
        <v>40879</v>
      </c>
      <c r="B611">
        <v>1.0270999999999999</v>
      </c>
      <c r="C611">
        <v>1.0234000000000001</v>
      </c>
    </row>
    <row r="612" spans="1:3" x14ac:dyDescent="0.25">
      <c r="A612" s="1">
        <v>40882</v>
      </c>
      <c r="B612">
        <v>1.026</v>
      </c>
      <c r="C612">
        <v>1.022</v>
      </c>
    </row>
    <row r="613" spans="1:3" x14ac:dyDescent="0.25">
      <c r="A613" s="1">
        <v>40884</v>
      </c>
      <c r="B613">
        <v>1.0276000000000001</v>
      </c>
      <c r="C613">
        <v>1.0239</v>
      </c>
    </row>
    <row r="614" spans="1:3" x14ac:dyDescent="0.25">
      <c r="A614" s="1">
        <v>40885</v>
      </c>
      <c r="B614">
        <v>1.0291999999999999</v>
      </c>
      <c r="C614">
        <v>1.0255000000000001</v>
      </c>
    </row>
    <row r="615" spans="1:3" x14ac:dyDescent="0.25">
      <c r="A615" s="1">
        <v>40886</v>
      </c>
      <c r="B615">
        <v>1.0105999999999999</v>
      </c>
      <c r="C615">
        <v>1.0069999999999999</v>
      </c>
    </row>
    <row r="616" spans="1:3" x14ac:dyDescent="0.25">
      <c r="A616" s="1">
        <v>40889</v>
      </c>
      <c r="B616">
        <v>1.0108999999999999</v>
      </c>
      <c r="C616">
        <v>1.0069999999999999</v>
      </c>
    </row>
    <row r="617" spans="1:3" x14ac:dyDescent="0.25">
      <c r="A617" s="1">
        <v>40890</v>
      </c>
      <c r="B617">
        <v>1.0083</v>
      </c>
      <c r="C617">
        <v>1.0045999999999999</v>
      </c>
    </row>
    <row r="618" spans="1:3" x14ac:dyDescent="0.25">
      <c r="A618" s="1">
        <v>40891</v>
      </c>
      <c r="B618">
        <v>1.0018</v>
      </c>
      <c r="C618">
        <v>0.99819999999999998</v>
      </c>
    </row>
    <row r="619" spans="1:3" x14ac:dyDescent="0.25">
      <c r="A619" s="1">
        <v>40892</v>
      </c>
      <c r="B619">
        <v>0.99009999999999998</v>
      </c>
      <c r="C619">
        <v>0.98650000000000004</v>
      </c>
    </row>
    <row r="620" spans="1:3" x14ac:dyDescent="0.25">
      <c r="A620" s="1">
        <v>40893</v>
      </c>
      <c r="B620">
        <v>0.998</v>
      </c>
      <c r="C620">
        <v>0.99439999999999995</v>
      </c>
    </row>
    <row r="621" spans="1:3" x14ac:dyDescent="0.25">
      <c r="A621" s="1">
        <v>40896</v>
      </c>
      <c r="B621">
        <v>0.99570000000000003</v>
      </c>
      <c r="C621">
        <v>0.9919</v>
      </c>
    </row>
    <row r="622" spans="1:3" x14ac:dyDescent="0.25">
      <c r="A622" s="1">
        <v>40897</v>
      </c>
      <c r="B622">
        <v>0.999</v>
      </c>
      <c r="C622">
        <v>0.99519999999999997</v>
      </c>
    </row>
    <row r="623" spans="1:3" x14ac:dyDescent="0.25">
      <c r="A623" s="1">
        <v>40898</v>
      </c>
      <c r="B623">
        <v>1.0128999999999999</v>
      </c>
      <c r="C623">
        <v>1.0093000000000001</v>
      </c>
    </row>
    <row r="624" spans="1:3" x14ac:dyDescent="0.25">
      <c r="A624" s="1">
        <v>40899</v>
      </c>
      <c r="B624">
        <v>1.0105999999999999</v>
      </c>
      <c r="C624">
        <v>1.0066999999999999</v>
      </c>
    </row>
    <row r="625" spans="1:3" x14ac:dyDescent="0.25">
      <c r="A625" s="1">
        <v>40900</v>
      </c>
      <c r="B625">
        <v>1.0157</v>
      </c>
      <c r="C625">
        <v>1.012</v>
      </c>
    </row>
    <row r="626" spans="1:3" x14ac:dyDescent="0.25">
      <c r="A626" s="1">
        <v>40903</v>
      </c>
      <c r="B626">
        <v>1.016</v>
      </c>
      <c r="C626">
        <v>1.0123</v>
      </c>
    </row>
    <row r="627" spans="1:3" x14ac:dyDescent="0.25">
      <c r="A627" s="1">
        <v>40904</v>
      </c>
      <c r="B627">
        <v>1.0149999999999999</v>
      </c>
      <c r="C627">
        <v>1.0112000000000001</v>
      </c>
    </row>
    <row r="628" spans="1:3" x14ac:dyDescent="0.25">
      <c r="A628" s="1">
        <v>40905</v>
      </c>
      <c r="B628">
        <v>1.0153000000000001</v>
      </c>
      <c r="C628">
        <v>1.0116000000000001</v>
      </c>
    </row>
    <row r="629" spans="1:3" x14ac:dyDescent="0.25">
      <c r="A629" s="1">
        <v>40906</v>
      </c>
      <c r="B629">
        <v>1.0083</v>
      </c>
      <c r="C629">
        <v>1.0046999999999999</v>
      </c>
    </row>
    <row r="630" spans="1:3" x14ac:dyDescent="0.25">
      <c r="A630" s="1">
        <v>40907</v>
      </c>
      <c r="B630">
        <v>1.0148999999999999</v>
      </c>
      <c r="C630">
        <v>1.0113000000000001</v>
      </c>
    </row>
    <row r="631" spans="1:3" x14ac:dyDescent="0.25">
      <c r="A631" s="1">
        <v>40910</v>
      </c>
      <c r="B631">
        <v>1.0221</v>
      </c>
      <c r="C631">
        <v>1.0183</v>
      </c>
    </row>
    <row r="632" spans="1:3" x14ac:dyDescent="0.25">
      <c r="A632" s="1">
        <v>40911</v>
      </c>
      <c r="B632">
        <v>1.0288999999999999</v>
      </c>
      <c r="C632">
        <v>1.0251999999999999</v>
      </c>
    </row>
    <row r="633" spans="1:3" x14ac:dyDescent="0.25">
      <c r="A633" s="1">
        <v>40912</v>
      </c>
      <c r="B633">
        <v>1.0347</v>
      </c>
      <c r="C633">
        <v>1.0310999999999999</v>
      </c>
    </row>
    <row r="634" spans="1:3" x14ac:dyDescent="0.25">
      <c r="A634" s="1">
        <v>40913</v>
      </c>
      <c r="B634">
        <v>1.0327</v>
      </c>
      <c r="C634">
        <v>1.0290999999999999</v>
      </c>
    </row>
    <row r="635" spans="1:3" x14ac:dyDescent="0.25">
      <c r="A635" s="1">
        <v>40914</v>
      </c>
      <c r="B635">
        <v>1.0246</v>
      </c>
      <c r="C635">
        <v>1.0209999999999999</v>
      </c>
    </row>
    <row r="636" spans="1:3" x14ac:dyDescent="0.25">
      <c r="A636" s="1">
        <v>40917</v>
      </c>
      <c r="B636">
        <v>1.0181</v>
      </c>
      <c r="C636">
        <v>1.0143</v>
      </c>
    </row>
    <row r="637" spans="1:3" x14ac:dyDescent="0.25">
      <c r="A637" s="1">
        <v>40918</v>
      </c>
      <c r="B637">
        <v>1.0328999999999999</v>
      </c>
      <c r="C637">
        <v>1.0290999999999999</v>
      </c>
    </row>
    <row r="638" spans="1:3" x14ac:dyDescent="0.25">
      <c r="A638" s="1">
        <v>40919</v>
      </c>
      <c r="B638">
        <v>1.0309999999999999</v>
      </c>
      <c r="C638">
        <v>1.0273000000000001</v>
      </c>
    </row>
    <row r="639" spans="1:3" x14ac:dyDescent="0.25">
      <c r="A639" s="1">
        <v>40920</v>
      </c>
      <c r="B639">
        <v>1.0296000000000001</v>
      </c>
      <c r="C639">
        <v>1.026</v>
      </c>
    </row>
    <row r="640" spans="1:3" x14ac:dyDescent="0.25">
      <c r="A640" s="1">
        <v>40921</v>
      </c>
      <c r="B640">
        <v>1.0316000000000001</v>
      </c>
      <c r="C640">
        <v>1.0279</v>
      </c>
    </row>
    <row r="641" spans="1:3" x14ac:dyDescent="0.25">
      <c r="A641" s="1">
        <v>40924</v>
      </c>
      <c r="B641">
        <v>1.0297000000000001</v>
      </c>
      <c r="C641">
        <v>1.0256000000000001</v>
      </c>
    </row>
    <row r="642" spans="1:3" x14ac:dyDescent="0.25">
      <c r="A642" s="1">
        <v>40925</v>
      </c>
      <c r="B642">
        <v>1.0389999999999999</v>
      </c>
      <c r="C642">
        <v>1.0349999999999999</v>
      </c>
    </row>
    <row r="643" spans="1:3" x14ac:dyDescent="0.25">
      <c r="A643" s="1">
        <v>40926</v>
      </c>
      <c r="B643">
        <v>1.0376000000000001</v>
      </c>
      <c r="C643">
        <v>1.0337000000000001</v>
      </c>
    </row>
    <row r="644" spans="1:3" x14ac:dyDescent="0.25">
      <c r="A644" s="1">
        <v>40927</v>
      </c>
      <c r="B644">
        <v>1.0405</v>
      </c>
      <c r="C644">
        <v>1.0367999999999999</v>
      </c>
    </row>
    <row r="645" spans="1:3" x14ac:dyDescent="0.25">
      <c r="A645" s="1">
        <v>40928</v>
      </c>
      <c r="B645">
        <v>1.0407</v>
      </c>
      <c r="C645">
        <v>1.0369999999999999</v>
      </c>
    </row>
    <row r="646" spans="1:3" x14ac:dyDescent="0.25">
      <c r="A646" s="1">
        <v>40931</v>
      </c>
      <c r="B646">
        <v>1.0505</v>
      </c>
      <c r="C646">
        <v>1.0465</v>
      </c>
    </row>
    <row r="647" spans="1:3" x14ac:dyDescent="0.25">
      <c r="A647" s="1">
        <v>40932</v>
      </c>
      <c r="B647">
        <v>1.0468999999999999</v>
      </c>
      <c r="C647">
        <v>1.0431999999999999</v>
      </c>
    </row>
    <row r="648" spans="1:3" x14ac:dyDescent="0.25">
      <c r="A648" s="1">
        <v>40933</v>
      </c>
      <c r="B648">
        <v>1.0481</v>
      </c>
      <c r="C648">
        <v>1.0445</v>
      </c>
    </row>
    <row r="649" spans="1:3" x14ac:dyDescent="0.25">
      <c r="A649" s="1">
        <v>40935</v>
      </c>
      <c r="B649">
        <v>1.0662</v>
      </c>
      <c r="C649">
        <v>1.0628</v>
      </c>
    </row>
    <row r="650" spans="1:3" x14ac:dyDescent="0.25">
      <c r="A650" s="1">
        <v>40938</v>
      </c>
      <c r="B650">
        <v>1.0552999999999999</v>
      </c>
      <c r="C650">
        <v>1.0518000000000001</v>
      </c>
    </row>
    <row r="651" spans="1:3" x14ac:dyDescent="0.25">
      <c r="A651" s="1">
        <v>40939</v>
      </c>
      <c r="B651">
        <v>1.0637000000000001</v>
      </c>
      <c r="C651">
        <v>1.0603</v>
      </c>
    </row>
    <row r="652" spans="1:3" x14ac:dyDescent="0.25">
      <c r="A652" s="1">
        <v>40940</v>
      </c>
      <c r="B652">
        <v>1.0616000000000001</v>
      </c>
      <c r="C652">
        <v>1.0579000000000001</v>
      </c>
    </row>
    <row r="653" spans="1:3" x14ac:dyDescent="0.25">
      <c r="A653" s="1">
        <v>40941</v>
      </c>
      <c r="B653">
        <v>1.0725</v>
      </c>
      <c r="C653">
        <v>1.069</v>
      </c>
    </row>
    <row r="654" spans="1:3" x14ac:dyDescent="0.25">
      <c r="A654" s="1">
        <v>40942</v>
      </c>
      <c r="B654">
        <v>1.0686</v>
      </c>
      <c r="C654">
        <v>1.0650999999999999</v>
      </c>
    </row>
    <row r="655" spans="1:3" x14ac:dyDescent="0.25">
      <c r="A655" s="1">
        <v>40945</v>
      </c>
      <c r="B655">
        <v>1.0724</v>
      </c>
      <c r="C655">
        <v>1.0689</v>
      </c>
    </row>
    <row r="656" spans="1:3" x14ac:dyDescent="0.25">
      <c r="A656" s="1">
        <v>40946</v>
      </c>
      <c r="B656">
        <v>1.0783</v>
      </c>
      <c r="C656">
        <v>1.0746</v>
      </c>
    </row>
    <row r="657" spans="1:3" x14ac:dyDescent="0.25">
      <c r="A657" s="1">
        <v>40947</v>
      </c>
      <c r="B657">
        <v>1.0788</v>
      </c>
      <c r="C657">
        <v>1.0749</v>
      </c>
    </row>
    <row r="658" spans="1:3" x14ac:dyDescent="0.25">
      <c r="A658" s="1">
        <v>40948</v>
      </c>
      <c r="B658">
        <v>1.0782</v>
      </c>
      <c r="C658">
        <v>1.0746</v>
      </c>
    </row>
    <row r="659" spans="1:3" x14ac:dyDescent="0.25">
      <c r="A659" s="1">
        <v>40949</v>
      </c>
      <c r="B659">
        <v>1.0730999999999999</v>
      </c>
      <c r="C659">
        <v>1.0694999999999999</v>
      </c>
    </row>
    <row r="660" spans="1:3" x14ac:dyDescent="0.25">
      <c r="A660" s="1">
        <v>40952</v>
      </c>
      <c r="B660">
        <v>1.0752999999999999</v>
      </c>
      <c r="C660">
        <v>1.0718000000000001</v>
      </c>
    </row>
    <row r="661" spans="1:3" x14ac:dyDescent="0.25">
      <c r="A661" s="1">
        <v>40953</v>
      </c>
      <c r="B661">
        <v>1.0691999999999999</v>
      </c>
      <c r="C661">
        <v>1.0656000000000001</v>
      </c>
    </row>
    <row r="662" spans="1:3" x14ac:dyDescent="0.25">
      <c r="A662" s="1">
        <v>40954</v>
      </c>
      <c r="B662">
        <v>1.0731999999999999</v>
      </c>
      <c r="C662">
        <v>1.0693999999999999</v>
      </c>
    </row>
    <row r="663" spans="1:3" x14ac:dyDescent="0.25">
      <c r="A663" s="1">
        <v>40955</v>
      </c>
      <c r="B663">
        <v>1.0686</v>
      </c>
      <c r="C663">
        <v>1.0650999999999999</v>
      </c>
    </row>
    <row r="664" spans="1:3" x14ac:dyDescent="0.25">
      <c r="A664" s="1">
        <v>40956</v>
      </c>
      <c r="B664">
        <v>1.0773999999999999</v>
      </c>
      <c r="C664">
        <v>1.0738000000000001</v>
      </c>
    </row>
    <row r="665" spans="1:3" x14ac:dyDescent="0.25">
      <c r="A665" s="1">
        <v>40960</v>
      </c>
      <c r="B665">
        <v>1.0669</v>
      </c>
      <c r="C665">
        <v>1.0632999999999999</v>
      </c>
    </row>
    <row r="666" spans="1:3" x14ac:dyDescent="0.25">
      <c r="A666" s="1">
        <v>40961</v>
      </c>
      <c r="B666">
        <v>1.0666</v>
      </c>
      <c r="C666">
        <v>1.0628</v>
      </c>
    </row>
    <row r="667" spans="1:3" x14ac:dyDescent="0.25">
      <c r="A667" s="1">
        <v>40962</v>
      </c>
      <c r="B667">
        <v>1.0687</v>
      </c>
      <c r="C667">
        <v>1.0650999999999999</v>
      </c>
    </row>
    <row r="668" spans="1:3" x14ac:dyDescent="0.25">
      <c r="A668" s="1">
        <v>40963</v>
      </c>
      <c r="B668">
        <v>1.0733999999999999</v>
      </c>
      <c r="C668">
        <v>1.0698000000000001</v>
      </c>
    </row>
    <row r="669" spans="1:3" x14ac:dyDescent="0.25">
      <c r="A669" s="1">
        <v>40966</v>
      </c>
      <c r="B669">
        <v>1.0661</v>
      </c>
      <c r="C669">
        <v>1.0624</v>
      </c>
    </row>
    <row r="670" spans="1:3" x14ac:dyDescent="0.25">
      <c r="A670" s="1">
        <v>40967</v>
      </c>
      <c r="B670">
        <v>1.0770999999999999</v>
      </c>
      <c r="C670">
        <v>1.0730999999999999</v>
      </c>
    </row>
    <row r="671" spans="1:3" x14ac:dyDescent="0.25">
      <c r="A671" s="1">
        <v>40968</v>
      </c>
      <c r="B671">
        <v>1.0826</v>
      </c>
      <c r="C671">
        <v>1.0787</v>
      </c>
    </row>
    <row r="672" spans="1:3" x14ac:dyDescent="0.25">
      <c r="A672" s="1">
        <v>40969</v>
      </c>
      <c r="B672">
        <v>1.0774999999999999</v>
      </c>
      <c r="C672">
        <v>1.0736000000000001</v>
      </c>
    </row>
    <row r="673" spans="1:3" x14ac:dyDescent="0.25">
      <c r="A673" s="1">
        <v>40970</v>
      </c>
      <c r="B673">
        <v>1.0785</v>
      </c>
      <c r="C673">
        <v>1.0742</v>
      </c>
    </row>
    <row r="674" spans="1:3" x14ac:dyDescent="0.25">
      <c r="A674" s="1">
        <v>40973</v>
      </c>
      <c r="B674">
        <v>1.0694999999999999</v>
      </c>
      <c r="C674">
        <v>1.0652999999999999</v>
      </c>
    </row>
    <row r="675" spans="1:3" x14ac:dyDescent="0.25">
      <c r="A675" s="1">
        <v>40974</v>
      </c>
      <c r="B675">
        <v>1.0615000000000001</v>
      </c>
      <c r="C675">
        <v>1.0573999999999999</v>
      </c>
    </row>
    <row r="676" spans="1:3" x14ac:dyDescent="0.25">
      <c r="A676" s="1">
        <v>40975</v>
      </c>
      <c r="B676">
        <v>1.0580000000000001</v>
      </c>
      <c r="C676">
        <v>1.0541</v>
      </c>
    </row>
    <row r="677" spans="1:3" x14ac:dyDescent="0.25">
      <c r="A677" s="1">
        <v>40977</v>
      </c>
      <c r="B677">
        <v>1.0622</v>
      </c>
      <c r="C677">
        <v>1.0584</v>
      </c>
    </row>
    <row r="678" spans="1:3" x14ac:dyDescent="0.25">
      <c r="A678" s="1">
        <v>40980</v>
      </c>
      <c r="B678">
        <v>1.0528</v>
      </c>
      <c r="C678">
        <v>1.0488</v>
      </c>
    </row>
    <row r="679" spans="1:3" x14ac:dyDescent="0.25">
      <c r="A679" s="1">
        <v>40981</v>
      </c>
      <c r="B679">
        <v>1.0552999999999999</v>
      </c>
      <c r="C679">
        <v>1.0513999999999999</v>
      </c>
    </row>
    <row r="680" spans="1:3" x14ac:dyDescent="0.25">
      <c r="A680" s="1">
        <v>40982</v>
      </c>
      <c r="B680">
        <v>1.0516000000000001</v>
      </c>
      <c r="C680">
        <v>1.0478000000000001</v>
      </c>
    </row>
    <row r="681" spans="1:3" x14ac:dyDescent="0.25">
      <c r="A681" s="1">
        <v>40983</v>
      </c>
      <c r="B681">
        <v>1.0472999999999999</v>
      </c>
      <c r="C681">
        <v>1.0435000000000001</v>
      </c>
    </row>
    <row r="682" spans="1:3" x14ac:dyDescent="0.25">
      <c r="A682" s="1">
        <v>40984</v>
      </c>
      <c r="B682">
        <v>1.0533999999999999</v>
      </c>
      <c r="C682">
        <v>1.0496000000000001</v>
      </c>
    </row>
    <row r="683" spans="1:3" x14ac:dyDescent="0.25">
      <c r="A683" s="1">
        <v>40987</v>
      </c>
      <c r="B683">
        <v>1.0609</v>
      </c>
      <c r="C683">
        <v>1.0569</v>
      </c>
    </row>
    <row r="684" spans="1:3" x14ac:dyDescent="0.25">
      <c r="A684" s="1">
        <v>40988</v>
      </c>
      <c r="B684">
        <v>1.0576000000000001</v>
      </c>
      <c r="C684">
        <v>1.0537000000000001</v>
      </c>
    </row>
    <row r="685" spans="1:3" x14ac:dyDescent="0.25">
      <c r="A685" s="1">
        <v>40989</v>
      </c>
      <c r="B685">
        <v>1.0488</v>
      </c>
      <c r="C685">
        <v>1.0449999999999999</v>
      </c>
    </row>
    <row r="686" spans="1:3" x14ac:dyDescent="0.25">
      <c r="A686" s="1">
        <v>40990</v>
      </c>
      <c r="B686">
        <v>1.0371999999999999</v>
      </c>
      <c r="C686">
        <v>1.0335000000000001</v>
      </c>
    </row>
    <row r="687" spans="1:3" x14ac:dyDescent="0.25">
      <c r="A687" s="1">
        <v>40994</v>
      </c>
      <c r="B687">
        <v>1.0469999999999999</v>
      </c>
      <c r="C687">
        <v>1.0429999999999999</v>
      </c>
    </row>
    <row r="688" spans="1:3" x14ac:dyDescent="0.25">
      <c r="A688" s="1">
        <v>40995</v>
      </c>
      <c r="B688">
        <v>1.0508</v>
      </c>
      <c r="C688">
        <v>1.0469999999999999</v>
      </c>
    </row>
    <row r="689" spans="1:3" x14ac:dyDescent="0.25">
      <c r="A689" s="1">
        <v>40996</v>
      </c>
      <c r="B689">
        <v>1.0428999999999999</v>
      </c>
      <c r="C689">
        <v>1.0392999999999999</v>
      </c>
    </row>
    <row r="690" spans="1:3" x14ac:dyDescent="0.25">
      <c r="A690" s="1">
        <v>40997</v>
      </c>
      <c r="B690">
        <v>1.0351999999999999</v>
      </c>
      <c r="C690">
        <v>1.0317000000000001</v>
      </c>
    </row>
    <row r="691" spans="1:3" x14ac:dyDescent="0.25">
      <c r="A691" s="1">
        <v>40998</v>
      </c>
      <c r="B691">
        <v>1.0402</v>
      </c>
      <c r="C691">
        <v>1.0367</v>
      </c>
    </row>
    <row r="692" spans="1:3" x14ac:dyDescent="0.25">
      <c r="A692" s="1">
        <v>41002</v>
      </c>
      <c r="B692">
        <v>1.0383</v>
      </c>
      <c r="C692">
        <v>1.0345</v>
      </c>
    </row>
    <row r="693" spans="1:3" x14ac:dyDescent="0.25">
      <c r="A693" s="1">
        <v>41003</v>
      </c>
      <c r="B693">
        <v>1.0262</v>
      </c>
      <c r="C693">
        <v>1.0226</v>
      </c>
    </row>
    <row r="694" spans="1:3" x14ac:dyDescent="0.25">
      <c r="A694" s="1">
        <v>41009</v>
      </c>
      <c r="B694">
        <v>1.0313000000000001</v>
      </c>
      <c r="C694">
        <v>1.0276000000000001</v>
      </c>
    </row>
    <row r="695" spans="1:3" x14ac:dyDescent="0.25">
      <c r="A695" s="1">
        <v>41010</v>
      </c>
      <c r="B695">
        <v>1.0307999999999999</v>
      </c>
      <c r="C695">
        <v>1.0271999999999999</v>
      </c>
    </row>
    <row r="696" spans="1:3" x14ac:dyDescent="0.25">
      <c r="A696" s="1">
        <v>41011</v>
      </c>
      <c r="B696">
        <v>1.0369999999999999</v>
      </c>
      <c r="C696">
        <v>1.0335000000000001</v>
      </c>
    </row>
    <row r="697" spans="1:3" x14ac:dyDescent="0.25">
      <c r="A697" s="1">
        <v>41012</v>
      </c>
      <c r="B697">
        <v>1.0388999999999999</v>
      </c>
      <c r="C697">
        <v>1.0354000000000001</v>
      </c>
    </row>
    <row r="698" spans="1:3" x14ac:dyDescent="0.25">
      <c r="A698" s="1">
        <v>41015</v>
      </c>
      <c r="B698">
        <v>1.0315000000000001</v>
      </c>
      <c r="C698">
        <v>1.0281</v>
      </c>
    </row>
    <row r="699" spans="1:3" x14ac:dyDescent="0.25">
      <c r="A699" s="1">
        <v>41016</v>
      </c>
      <c r="B699">
        <v>1.0334000000000001</v>
      </c>
      <c r="C699">
        <v>1.0297000000000001</v>
      </c>
    </row>
    <row r="700" spans="1:3" x14ac:dyDescent="0.25">
      <c r="A700" s="1">
        <v>41017</v>
      </c>
      <c r="B700">
        <v>1.0373000000000001</v>
      </c>
      <c r="C700">
        <v>1.0337000000000001</v>
      </c>
    </row>
    <row r="701" spans="1:3" x14ac:dyDescent="0.25">
      <c r="A701" s="1">
        <v>41018</v>
      </c>
      <c r="B701">
        <v>1.0366</v>
      </c>
      <c r="C701">
        <v>1.0330999999999999</v>
      </c>
    </row>
    <row r="702" spans="1:3" x14ac:dyDescent="0.25">
      <c r="A702" s="1">
        <v>41019</v>
      </c>
      <c r="B702">
        <v>1.0331999999999999</v>
      </c>
      <c r="C702">
        <v>1.0297000000000001</v>
      </c>
    </row>
    <row r="703" spans="1:3" x14ac:dyDescent="0.25">
      <c r="A703" s="1">
        <v>41022</v>
      </c>
      <c r="B703">
        <v>1.0330999999999999</v>
      </c>
      <c r="C703">
        <v>1.0294000000000001</v>
      </c>
    </row>
    <row r="704" spans="1:3" x14ac:dyDescent="0.25">
      <c r="A704" s="1">
        <v>41023</v>
      </c>
      <c r="B704">
        <v>1.0273000000000001</v>
      </c>
      <c r="C704">
        <v>1.0237000000000001</v>
      </c>
    </row>
    <row r="705" spans="1:3" x14ac:dyDescent="0.25">
      <c r="A705" s="1">
        <v>41024</v>
      </c>
      <c r="B705">
        <v>1.0331999999999999</v>
      </c>
      <c r="C705">
        <v>1.0297000000000001</v>
      </c>
    </row>
    <row r="706" spans="1:3" x14ac:dyDescent="0.25">
      <c r="A706" s="1">
        <v>41025</v>
      </c>
      <c r="B706">
        <v>1.0365</v>
      </c>
      <c r="C706">
        <v>1.0330999999999999</v>
      </c>
    </row>
    <row r="707" spans="1:3" x14ac:dyDescent="0.25">
      <c r="A707" s="1">
        <v>41026</v>
      </c>
      <c r="B707">
        <v>1.0378000000000001</v>
      </c>
      <c r="C707">
        <v>1.0344</v>
      </c>
    </row>
    <row r="708" spans="1:3" x14ac:dyDescent="0.25">
      <c r="A708" s="1">
        <v>41029</v>
      </c>
      <c r="B708">
        <v>1.0458000000000001</v>
      </c>
      <c r="C708">
        <v>1.0421</v>
      </c>
    </row>
    <row r="709" spans="1:3" x14ac:dyDescent="0.25">
      <c r="A709" s="1">
        <v>41031</v>
      </c>
      <c r="B709">
        <v>1.0334000000000001</v>
      </c>
      <c r="C709">
        <v>1.0301</v>
      </c>
    </row>
    <row r="710" spans="1:3" x14ac:dyDescent="0.25">
      <c r="A710" s="1">
        <v>41032</v>
      </c>
      <c r="B710">
        <v>1.0294000000000001</v>
      </c>
      <c r="C710">
        <v>1.0262</v>
      </c>
    </row>
    <row r="711" spans="1:3" x14ac:dyDescent="0.25">
      <c r="A711" s="1">
        <v>41033</v>
      </c>
      <c r="B711">
        <v>1.0256000000000001</v>
      </c>
      <c r="C711">
        <v>1.0223</v>
      </c>
    </row>
    <row r="712" spans="1:3" x14ac:dyDescent="0.25">
      <c r="A712" s="1">
        <v>41036</v>
      </c>
      <c r="B712">
        <v>1.0189999999999999</v>
      </c>
      <c r="C712">
        <v>1.0155000000000001</v>
      </c>
    </row>
    <row r="713" spans="1:3" x14ac:dyDescent="0.25">
      <c r="A713" s="1">
        <v>41037</v>
      </c>
      <c r="B713">
        <v>1.0176000000000001</v>
      </c>
      <c r="C713">
        <v>1.0142</v>
      </c>
    </row>
    <row r="714" spans="1:3" x14ac:dyDescent="0.25">
      <c r="A714" s="1">
        <v>41038</v>
      </c>
      <c r="B714">
        <v>1.0064</v>
      </c>
      <c r="C714">
        <v>1.0031000000000001</v>
      </c>
    </row>
    <row r="715" spans="1:3" x14ac:dyDescent="0.25">
      <c r="A715" s="1">
        <v>41039</v>
      </c>
      <c r="B715">
        <v>1.008</v>
      </c>
      <c r="C715">
        <v>1.0047999999999999</v>
      </c>
    </row>
    <row r="716" spans="1:3" x14ac:dyDescent="0.25">
      <c r="A716" s="1">
        <v>41040</v>
      </c>
      <c r="B716">
        <v>1.0063</v>
      </c>
      <c r="C716">
        <v>1.0031000000000001</v>
      </c>
    </row>
    <row r="717" spans="1:3" x14ac:dyDescent="0.25">
      <c r="A717" s="1">
        <v>41043</v>
      </c>
      <c r="B717">
        <v>0.99790000000000001</v>
      </c>
      <c r="C717">
        <v>0.99460000000000004</v>
      </c>
    </row>
    <row r="718" spans="1:3" x14ac:dyDescent="0.25">
      <c r="A718" s="1">
        <v>41044</v>
      </c>
      <c r="B718">
        <v>0.99970000000000003</v>
      </c>
      <c r="C718">
        <v>0.99650000000000005</v>
      </c>
    </row>
    <row r="719" spans="1:3" x14ac:dyDescent="0.25">
      <c r="A719" s="1">
        <v>41045</v>
      </c>
      <c r="B719">
        <v>0.99150000000000005</v>
      </c>
      <c r="C719">
        <v>0.98829999999999996</v>
      </c>
    </row>
    <row r="720" spans="1:3" x14ac:dyDescent="0.25">
      <c r="A720" s="1">
        <v>41046</v>
      </c>
      <c r="B720">
        <v>0.99580000000000002</v>
      </c>
      <c r="C720">
        <v>0.99270000000000003</v>
      </c>
    </row>
    <row r="721" spans="1:3" x14ac:dyDescent="0.25">
      <c r="A721" s="1">
        <v>41047</v>
      </c>
      <c r="B721">
        <v>0.98380000000000001</v>
      </c>
      <c r="C721">
        <v>0.98070000000000002</v>
      </c>
    </row>
    <row r="722" spans="1:3" x14ac:dyDescent="0.25">
      <c r="A722" s="1">
        <v>41050</v>
      </c>
      <c r="B722">
        <v>0.9849</v>
      </c>
      <c r="C722">
        <v>0.98180000000000001</v>
      </c>
    </row>
    <row r="723" spans="1:3" x14ac:dyDescent="0.25">
      <c r="A723" s="1">
        <v>41051</v>
      </c>
      <c r="B723">
        <v>0.98729999999999996</v>
      </c>
      <c r="C723">
        <v>0.98419999999999996</v>
      </c>
    </row>
    <row r="724" spans="1:3" x14ac:dyDescent="0.25">
      <c r="A724" s="1">
        <v>41052</v>
      </c>
      <c r="B724">
        <v>0.97619999999999996</v>
      </c>
      <c r="C724">
        <v>0.97330000000000005</v>
      </c>
    </row>
    <row r="725" spans="1:3" x14ac:dyDescent="0.25">
      <c r="A725" s="1">
        <v>41053</v>
      </c>
      <c r="B725">
        <v>0.97550000000000003</v>
      </c>
      <c r="C725">
        <v>0.97260000000000002</v>
      </c>
    </row>
    <row r="726" spans="1:3" x14ac:dyDescent="0.25">
      <c r="A726" s="1">
        <v>41054</v>
      </c>
      <c r="B726">
        <v>0.97440000000000004</v>
      </c>
      <c r="C726">
        <v>0.97150000000000003</v>
      </c>
    </row>
    <row r="727" spans="1:3" x14ac:dyDescent="0.25">
      <c r="A727" s="1">
        <v>41057</v>
      </c>
      <c r="B727">
        <v>0.98760000000000003</v>
      </c>
      <c r="C727">
        <v>0.98480000000000001</v>
      </c>
    </row>
    <row r="728" spans="1:3" x14ac:dyDescent="0.25">
      <c r="A728" s="1">
        <v>41058</v>
      </c>
      <c r="B728">
        <v>0.98519999999999996</v>
      </c>
      <c r="C728">
        <v>0.98250000000000004</v>
      </c>
    </row>
    <row r="729" spans="1:3" x14ac:dyDescent="0.25">
      <c r="A729" s="1">
        <v>41059</v>
      </c>
      <c r="B729">
        <v>0.97950000000000004</v>
      </c>
      <c r="C729">
        <v>0.97660000000000002</v>
      </c>
    </row>
    <row r="730" spans="1:3" x14ac:dyDescent="0.25">
      <c r="A730" s="1">
        <v>41060</v>
      </c>
      <c r="B730">
        <v>0.97019999999999995</v>
      </c>
      <c r="C730">
        <v>0.96740000000000004</v>
      </c>
    </row>
    <row r="731" spans="1:3" x14ac:dyDescent="0.25">
      <c r="A731" s="1">
        <v>41061</v>
      </c>
      <c r="B731">
        <v>0.96389999999999998</v>
      </c>
      <c r="C731">
        <v>0.96120000000000005</v>
      </c>
    </row>
    <row r="732" spans="1:3" x14ac:dyDescent="0.25">
      <c r="A732" s="1">
        <v>41064</v>
      </c>
      <c r="B732">
        <v>0.97030000000000005</v>
      </c>
      <c r="C732">
        <v>0.9677</v>
      </c>
    </row>
    <row r="733" spans="1:3" x14ac:dyDescent="0.25">
      <c r="A733" s="1">
        <v>41065</v>
      </c>
      <c r="B733">
        <v>0.97350000000000003</v>
      </c>
      <c r="C733">
        <v>0.97060000000000002</v>
      </c>
    </row>
    <row r="734" spans="1:3" x14ac:dyDescent="0.25">
      <c r="A734" s="1">
        <v>41066</v>
      </c>
      <c r="B734">
        <v>0.98570000000000002</v>
      </c>
      <c r="C734">
        <v>0.98280000000000001</v>
      </c>
    </row>
    <row r="735" spans="1:3" x14ac:dyDescent="0.25">
      <c r="A735" s="1">
        <v>41067</v>
      </c>
      <c r="B735">
        <v>0.99299999999999999</v>
      </c>
      <c r="C735">
        <v>0.99009999999999998</v>
      </c>
    </row>
    <row r="736" spans="1:3" x14ac:dyDescent="0.25">
      <c r="A736" s="1">
        <v>41068</v>
      </c>
      <c r="B736">
        <v>0.98650000000000004</v>
      </c>
      <c r="C736">
        <v>0.98370000000000002</v>
      </c>
    </row>
    <row r="737" spans="1:3" x14ac:dyDescent="0.25">
      <c r="A737" s="1">
        <v>41071</v>
      </c>
      <c r="B737">
        <v>0.99819999999999998</v>
      </c>
      <c r="C737">
        <v>0.99529999999999996</v>
      </c>
    </row>
    <row r="738" spans="1:3" x14ac:dyDescent="0.25">
      <c r="A738" s="1">
        <v>41072</v>
      </c>
      <c r="B738">
        <v>0.9909</v>
      </c>
      <c r="C738">
        <v>0.9879</v>
      </c>
    </row>
    <row r="739" spans="1:3" x14ac:dyDescent="0.25">
      <c r="A739" s="1">
        <v>41073</v>
      </c>
      <c r="B739">
        <v>0.99409999999999998</v>
      </c>
      <c r="C739">
        <v>0.99119999999999997</v>
      </c>
    </row>
    <row r="740" spans="1:3" x14ac:dyDescent="0.25">
      <c r="A740" s="1">
        <v>41074</v>
      </c>
      <c r="B740">
        <v>0.99470000000000003</v>
      </c>
      <c r="C740">
        <v>0.99180000000000001</v>
      </c>
    </row>
    <row r="741" spans="1:3" x14ac:dyDescent="0.25">
      <c r="A741" s="1">
        <v>41075</v>
      </c>
      <c r="B741">
        <v>1.0033000000000001</v>
      </c>
      <c r="C741">
        <v>1.0004</v>
      </c>
    </row>
    <row r="742" spans="1:3" x14ac:dyDescent="0.25">
      <c r="A742" s="1">
        <v>41078</v>
      </c>
      <c r="B742">
        <v>1.0107999999999999</v>
      </c>
      <c r="C742">
        <v>1.008</v>
      </c>
    </row>
    <row r="743" spans="1:3" x14ac:dyDescent="0.25">
      <c r="A743" s="1">
        <v>41079</v>
      </c>
      <c r="B743">
        <v>1.0123</v>
      </c>
      <c r="C743">
        <v>1.0092000000000001</v>
      </c>
    </row>
    <row r="744" spans="1:3" x14ac:dyDescent="0.25">
      <c r="A744" s="1">
        <v>41080</v>
      </c>
      <c r="B744">
        <v>1.0189999999999999</v>
      </c>
      <c r="C744">
        <v>1.016</v>
      </c>
    </row>
    <row r="745" spans="1:3" x14ac:dyDescent="0.25">
      <c r="A745" s="1">
        <v>41081</v>
      </c>
      <c r="B745">
        <v>1.0168999999999999</v>
      </c>
      <c r="C745">
        <v>1.0141</v>
      </c>
    </row>
    <row r="746" spans="1:3" x14ac:dyDescent="0.25">
      <c r="A746" s="1">
        <v>41082</v>
      </c>
      <c r="B746">
        <v>1.0029999999999999</v>
      </c>
      <c r="C746">
        <v>1.0001</v>
      </c>
    </row>
    <row r="747" spans="1:3" x14ac:dyDescent="0.25">
      <c r="A747" s="1">
        <v>41085</v>
      </c>
      <c r="B747">
        <v>0.99960000000000004</v>
      </c>
      <c r="C747">
        <v>0.99670000000000003</v>
      </c>
    </row>
    <row r="748" spans="1:3" x14ac:dyDescent="0.25">
      <c r="A748" s="1">
        <v>41086</v>
      </c>
      <c r="B748">
        <v>1.0023</v>
      </c>
      <c r="C748">
        <v>0.99919999999999998</v>
      </c>
    </row>
    <row r="749" spans="1:3" x14ac:dyDescent="0.25">
      <c r="A749" s="1">
        <v>41087</v>
      </c>
      <c r="B749">
        <v>1.0049999999999999</v>
      </c>
      <c r="C749">
        <v>1.0019</v>
      </c>
    </row>
    <row r="750" spans="1:3" x14ac:dyDescent="0.25">
      <c r="A750" s="1">
        <v>41088</v>
      </c>
      <c r="B750">
        <v>1.0123</v>
      </c>
      <c r="C750">
        <v>1.0093000000000001</v>
      </c>
    </row>
    <row r="751" spans="1:3" x14ac:dyDescent="0.25">
      <c r="A751" s="1">
        <v>41089</v>
      </c>
      <c r="B751">
        <v>1.0194000000000001</v>
      </c>
      <c r="C751">
        <v>1.0164</v>
      </c>
    </row>
    <row r="752" spans="1:3" x14ac:dyDescent="0.25">
      <c r="A752" s="1">
        <v>41092</v>
      </c>
      <c r="B752">
        <v>1.0253000000000001</v>
      </c>
      <c r="C752">
        <v>1.022</v>
      </c>
    </row>
    <row r="753" spans="1:3" x14ac:dyDescent="0.25">
      <c r="A753" s="1">
        <v>41093</v>
      </c>
      <c r="B753">
        <v>1.0262</v>
      </c>
      <c r="C753">
        <v>1.0228999999999999</v>
      </c>
    </row>
    <row r="754" spans="1:3" x14ac:dyDescent="0.25">
      <c r="A754" s="1">
        <v>41094</v>
      </c>
      <c r="B754">
        <v>1.0271999999999999</v>
      </c>
      <c r="C754">
        <v>1.024</v>
      </c>
    </row>
    <row r="755" spans="1:3" x14ac:dyDescent="0.25">
      <c r="A755" s="1">
        <v>41095</v>
      </c>
      <c r="B755">
        <v>1.0277000000000001</v>
      </c>
      <c r="C755">
        <v>1.0246999999999999</v>
      </c>
    </row>
    <row r="756" spans="1:3" x14ac:dyDescent="0.25">
      <c r="A756" s="1">
        <v>41096</v>
      </c>
      <c r="B756">
        <v>1.0264</v>
      </c>
      <c r="C756">
        <v>1.0234000000000001</v>
      </c>
    </row>
    <row r="757" spans="1:3" x14ac:dyDescent="0.25">
      <c r="A757" s="1">
        <v>41099</v>
      </c>
      <c r="B757">
        <v>1.0185999999999999</v>
      </c>
      <c r="C757">
        <v>1.0154000000000001</v>
      </c>
    </row>
    <row r="758" spans="1:3" x14ac:dyDescent="0.25">
      <c r="A758" s="1">
        <v>41100</v>
      </c>
      <c r="B758">
        <v>1.0227999999999999</v>
      </c>
      <c r="C758">
        <v>1.0197000000000001</v>
      </c>
    </row>
    <row r="759" spans="1:3" x14ac:dyDescent="0.25">
      <c r="A759" s="1">
        <v>41101</v>
      </c>
      <c r="B759">
        <v>1.0267999999999999</v>
      </c>
      <c r="C759">
        <v>1.0237000000000001</v>
      </c>
    </row>
    <row r="760" spans="1:3" x14ac:dyDescent="0.25">
      <c r="A760" s="1">
        <v>41102</v>
      </c>
      <c r="B760">
        <v>1.0185999999999999</v>
      </c>
      <c r="C760">
        <v>1.0156000000000001</v>
      </c>
    </row>
    <row r="761" spans="1:3" x14ac:dyDescent="0.25">
      <c r="A761" s="1">
        <v>41103</v>
      </c>
      <c r="B761">
        <v>1.0175000000000001</v>
      </c>
      <c r="C761">
        <v>1.0145</v>
      </c>
    </row>
    <row r="762" spans="1:3" x14ac:dyDescent="0.25">
      <c r="A762" s="1">
        <v>41106</v>
      </c>
      <c r="B762">
        <v>1.0210999999999999</v>
      </c>
      <c r="C762">
        <v>1.0179</v>
      </c>
    </row>
    <row r="763" spans="1:3" x14ac:dyDescent="0.25">
      <c r="A763" s="1">
        <v>41107</v>
      </c>
      <c r="B763">
        <v>1.0286999999999999</v>
      </c>
      <c r="C763">
        <v>1.0256000000000001</v>
      </c>
    </row>
    <row r="764" spans="1:3" x14ac:dyDescent="0.25">
      <c r="A764" s="1">
        <v>41108</v>
      </c>
      <c r="B764">
        <v>1.0306999999999999</v>
      </c>
      <c r="C764">
        <v>1.0277000000000001</v>
      </c>
    </row>
    <row r="765" spans="1:3" x14ac:dyDescent="0.25">
      <c r="A765" s="1">
        <v>41109</v>
      </c>
      <c r="B765">
        <v>1.042</v>
      </c>
      <c r="C765">
        <v>1.0389999999999999</v>
      </c>
    </row>
    <row r="766" spans="1:3" x14ac:dyDescent="0.25">
      <c r="A766" s="1">
        <v>41110</v>
      </c>
      <c r="B766">
        <v>1.0405</v>
      </c>
      <c r="C766">
        <v>1.0374000000000001</v>
      </c>
    </row>
    <row r="767" spans="1:3" x14ac:dyDescent="0.25">
      <c r="A767" s="1">
        <v>41113</v>
      </c>
      <c r="B767">
        <v>1.0287999999999999</v>
      </c>
      <c r="C767">
        <v>1.0256000000000001</v>
      </c>
    </row>
    <row r="768" spans="1:3" x14ac:dyDescent="0.25">
      <c r="A768" s="1">
        <v>41114</v>
      </c>
      <c r="B768">
        <v>1.0289999999999999</v>
      </c>
      <c r="C768">
        <v>1.0259</v>
      </c>
    </row>
    <row r="769" spans="1:3" x14ac:dyDescent="0.25">
      <c r="A769" s="1">
        <v>41115</v>
      </c>
      <c r="B769">
        <v>1.0266</v>
      </c>
      <c r="C769">
        <v>1.0236000000000001</v>
      </c>
    </row>
    <row r="770" spans="1:3" x14ac:dyDescent="0.25">
      <c r="A770" s="1">
        <v>41116</v>
      </c>
      <c r="B770">
        <v>1.0366</v>
      </c>
      <c r="C770">
        <v>1.0336000000000001</v>
      </c>
    </row>
    <row r="771" spans="1:3" x14ac:dyDescent="0.25">
      <c r="A771" s="1">
        <v>41117</v>
      </c>
      <c r="B771">
        <v>1.0415000000000001</v>
      </c>
      <c r="C771">
        <v>1.0385</v>
      </c>
    </row>
    <row r="772" spans="1:3" x14ac:dyDescent="0.25">
      <c r="A772" s="1">
        <v>41120</v>
      </c>
      <c r="B772">
        <v>1.0496000000000001</v>
      </c>
      <c r="C772">
        <v>1.0463</v>
      </c>
    </row>
    <row r="773" spans="1:3" x14ac:dyDescent="0.25">
      <c r="A773" s="1">
        <v>41121</v>
      </c>
      <c r="B773">
        <v>1.0525</v>
      </c>
      <c r="C773">
        <v>1.0492999999999999</v>
      </c>
    </row>
    <row r="774" spans="1:3" x14ac:dyDescent="0.25">
      <c r="A774" s="1">
        <v>41122</v>
      </c>
      <c r="B774">
        <v>1.0504</v>
      </c>
      <c r="C774">
        <v>1.0472999999999999</v>
      </c>
    </row>
    <row r="775" spans="1:3" x14ac:dyDescent="0.25">
      <c r="A775" s="1">
        <v>41123</v>
      </c>
      <c r="B775">
        <v>1.0512999999999999</v>
      </c>
      <c r="C775">
        <v>1.0483</v>
      </c>
    </row>
    <row r="776" spans="1:3" x14ac:dyDescent="0.25">
      <c r="A776" s="1">
        <v>41124</v>
      </c>
      <c r="B776">
        <v>1.0521</v>
      </c>
      <c r="C776">
        <v>1.0488999999999999</v>
      </c>
    </row>
    <row r="777" spans="1:3" x14ac:dyDescent="0.25">
      <c r="A777" s="1">
        <v>41127</v>
      </c>
      <c r="B777">
        <v>1.0547</v>
      </c>
      <c r="C777">
        <v>1.0515000000000001</v>
      </c>
    </row>
    <row r="778" spans="1:3" x14ac:dyDescent="0.25">
      <c r="A778" s="1">
        <v>41128</v>
      </c>
      <c r="B778">
        <v>1.0587</v>
      </c>
      <c r="C778">
        <v>1.0556000000000001</v>
      </c>
    </row>
    <row r="779" spans="1:3" x14ac:dyDescent="0.25">
      <c r="A779" s="1">
        <v>41129</v>
      </c>
      <c r="B779">
        <v>1.0568</v>
      </c>
      <c r="C779">
        <v>1.0538000000000001</v>
      </c>
    </row>
    <row r="780" spans="1:3" x14ac:dyDescent="0.25">
      <c r="A780" s="1">
        <v>41130</v>
      </c>
      <c r="B780">
        <v>1.0577000000000001</v>
      </c>
      <c r="C780">
        <v>1.0546</v>
      </c>
    </row>
    <row r="781" spans="1:3" x14ac:dyDescent="0.25">
      <c r="A781" s="1">
        <v>41131</v>
      </c>
      <c r="B781">
        <v>1.0523</v>
      </c>
      <c r="C781">
        <v>1.0492999999999999</v>
      </c>
    </row>
    <row r="782" spans="1:3" x14ac:dyDescent="0.25">
      <c r="A782" s="1">
        <v>41134</v>
      </c>
      <c r="B782">
        <v>1.0542</v>
      </c>
      <c r="C782">
        <v>1.0508999999999999</v>
      </c>
    </row>
    <row r="783" spans="1:3" x14ac:dyDescent="0.25">
      <c r="A783" s="1">
        <v>41135</v>
      </c>
      <c r="B783">
        <v>1.0528999999999999</v>
      </c>
      <c r="C783">
        <v>1.0498000000000001</v>
      </c>
    </row>
    <row r="784" spans="1:3" x14ac:dyDescent="0.25">
      <c r="A784" s="1">
        <v>41137</v>
      </c>
      <c r="B784">
        <v>1.0485</v>
      </c>
      <c r="C784">
        <v>1.0455000000000001</v>
      </c>
    </row>
    <row r="785" spans="1:3" x14ac:dyDescent="0.25">
      <c r="A785" s="1">
        <v>41138</v>
      </c>
      <c r="B785">
        <v>1.0448</v>
      </c>
      <c r="C785">
        <v>1.0418000000000001</v>
      </c>
    </row>
    <row r="786" spans="1:3" x14ac:dyDescent="0.25">
      <c r="A786" s="1">
        <v>41142</v>
      </c>
      <c r="B786">
        <v>1.0479000000000001</v>
      </c>
      <c r="C786">
        <v>1.0448</v>
      </c>
    </row>
    <row r="787" spans="1:3" x14ac:dyDescent="0.25">
      <c r="A787" s="1">
        <v>41143</v>
      </c>
      <c r="B787">
        <v>1.0437000000000001</v>
      </c>
      <c r="C787">
        <v>1.0407</v>
      </c>
    </row>
    <row r="788" spans="1:3" x14ac:dyDescent="0.25">
      <c r="A788" s="1">
        <v>41144</v>
      </c>
      <c r="B788">
        <v>1.0481</v>
      </c>
      <c r="C788">
        <v>1.0450999999999999</v>
      </c>
    </row>
    <row r="789" spans="1:3" x14ac:dyDescent="0.25">
      <c r="A789" s="1">
        <v>41145</v>
      </c>
      <c r="B789">
        <v>1.0388999999999999</v>
      </c>
      <c r="C789">
        <v>1.0359</v>
      </c>
    </row>
    <row r="790" spans="1:3" x14ac:dyDescent="0.25">
      <c r="A790" s="1">
        <v>41148</v>
      </c>
      <c r="B790">
        <v>1.0390999999999999</v>
      </c>
      <c r="C790">
        <v>1.0362</v>
      </c>
    </row>
    <row r="791" spans="1:3" x14ac:dyDescent="0.25">
      <c r="A791" s="1">
        <v>41149</v>
      </c>
      <c r="B791">
        <v>1.0367</v>
      </c>
      <c r="C791">
        <v>1.0339</v>
      </c>
    </row>
    <row r="792" spans="1:3" x14ac:dyDescent="0.25">
      <c r="A792" s="1">
        <v>41150</v>
      </c>
      <c r="B792">
        <v>1.0363</v>
      </c>
      <c r="C792">
        <v>1.0336000000000001</v>
      </c>
    </row>
    <row r="793" spans="1:3" x14ac:dyDescent="0.25">
      <c r="A793" s="1">
        <v>41151</v>
      </c>
      <c r="B793">
        <v>1.0329999999999999</v>
      </c>
      <c r="C793">
        <v>1.0301</v>
      </c>
    </row>
    <row r="794" spans="1:3" x14ac:dyDescent="0.25">
      <c r="A794" s="1">
        <v>41152</v>
      </c>
      <c r="B794">
        <v>1.0324</v>
      </c>
      <c r="C794">
        <v>1.0295000000000001</v>
      </c>
    </row>
    <row r="795" spans="1:3" x14ac:dyDescent="0.25">
      <c r="A795" s="1">
        <v>41155</v>
      </c>
      <c r="B795">
        <v>1.0251999999999999</v>
      </c>
      <c r="C795">
        <v>1.0223</v>
      </c>
    </row>
    <row r="796" spans="1:3" x14ac:dyDescent="0.25">
      <c r="A796" s="1">
        <v>41156</v>
      </c>
      <c r="B796">
        <v>1.0246</v>
      </c>
      <c r="C796">
        <v>1.0215000000000001</v>
      </c>
    </row>
    <row r="797" spans="1:3" x14ac:dyDescent="0.25">
      <c r="A797" s="1">
        <v>41157</v>
      </c>
      <c r="B797">
        <v>1.0198</v>
      </c>
      <c r="C797">
        <v>1.0166999999999999</v>
      </c>
    </row>
    <row r="798" spans="1:3" x14ac:dyDescent="0.25">
      <c r="A798" s="1">
        <v>41158</v>
      </c>
      <c r="B798">
        <v>1.0235000000000001</v>
      </c>
      <c r="C798">
        <v>1.0206999999999999</v>
      </c>
    </row>
    <row r="799" spans="1:3" x14ac:dyDescent="0.25">
      <c r="A799" s="1">
        <v>41159</v>
      </c>
      <c r="B799">
        <v>1.0338000000000001</v>
      </c>
      <c r="C799">
        <v>1.0308999999999999</v>
      </c>
    </row>
    <row r="800" spans="1:3" x14ac:dyDescent="0.25">
      <c r="A800" s="1">
        <v>41162</v>
      </c>
      <c r="B800">
        <v>1.0348999999999999</v>
      </c>
      <c r="C800">
        <v>1.032</v>
      </c>
    </row>
    <row r="801" spans="1:3" x14ac:dyDescent="0.25">
      <c r="A801" s="1">
        <v>41163</v>
      </c>
      <c r="B801">
        <v>1.0338000000000001</v>
      </c>
      <c r="C801">
        <v>1.0306999999999999</v>
      </c>
    </row>
    <row r="802" spans="1:3" x14ac:dyDescent="0.25">
      <c r="A802" s="1">
        <v>41164</v>
      </c>
      <c r="B802">
        <v>1.0475000000000001</v>
      </c>
      <c r="C802">
        <v>1.0445</v>
      </c>
    </row>
    <row r="803" spans="1:3" x14ac:dyDescent="0.25">
      <c r="A803" s="1">
        <v>41165</v>
      </c>
      <c r="B803">
        <v>1.0431999999999999</v>
      </c>
      <c r="C803">
        <v>1.0403</v>
      </c>
    </row>
    <row r="804" spans="1:3" x14ac:dyDescent="0.25">
      <c r="A804" s="1">
        <v>41166</v>
      </c>
      <c r="B804">
        <v>1.0583</v>
      </c>
      <c r="C804">
        <v>1.0553999999999999</v>
      </c>
    </row>
    <row r="805" spans="1:3" x14ac:dyDescent="0.25">
      <c r="A805" s="1">
        <v>41169</v>
      </c>
      <c r="B805">
        <v>1.0526</v>
      </c>
      <c r="C805">
        <v>1.0496000000000001</v>
      </c>
    </row>
    <row r="806" spans="1:3" x14ac:dyDescent="0.25">
      <c r="A806" s="1">
        <v>41170</v>
      </c>
      <c r="B806">
        <v>1.0450999999999999</v>
      </c>
      <c r="C806">
        <v>1.042</v>
      </c>
    </row>
    <row r="807" spans="1:3" x14ac:dyDescent="0.25">
      <c r="A807" s="1">
        <v>41172</v>
      </c>
      <c r="B807">
        <v>1.0388999999999999</v>
      </c>
      <c r="C807">
        <v>1.036</v>
      </c>
    </row>
    <row r="808" spans="1:3" x14ac:dyDescent="0.25">
      <c r="A808" s="1">
        <v>41173</v>
      </c>
      <c r="B808">
        <v>1.0506</v>
      </c>
      <c r="C808">
        <v>1.0478000000000001</v>
      </c>
    </row>
    <row r="809" spans="1:3" x14ac:dyDescent="0.25">
      <c r="A809" s="1">
        <v>41176</v>
      </c>
      <c r="B809">
        <v>1.0398000000000001</v>
      </c>
      <c r="C809">
        <v>1.0369999999999999</v>
      </c>
    </row>
    <row r="810" spans="1:3" x14ac:dyDescent="0.25">
      <c r="A810" s="1">
        <v>41177</v>
      </c>
      <c r="B810">
        <v>1.0424</v>
      </c>
      <c r="C810">
        <v>1.0395000000000001</v>
      </c>
    </row>
    <row r="811" spans="1:3" x14ac:dyDescent="0.25">
      <c r="A811" s="1">
        <v>41178</v>
      </c>
      <c r="B811">
        <v>1.0354000000000001</v>
      </c>
      <c r="C811">
        <v>1.0324</v>
      </c>
    </row>
    <row r="812" spans="1:3" x14ac:dyDescent="0.25">
      <c r="A812" s="1">
        <v>41179</v>
      </c>
      <c r="B812">
        <v>1.0398000000000001</v>
      </c>
      <c r="C812">
        <v>1.0369999999999999</v>
      </c>
    </row>
    <row r="813" spans="1:3" x14ac:dyDescent="0.25">
      <c r="A813" s="1">
        <v>41180</v>
      </c>
      <c r="B813">
        <v>1.0461</v>
      </c>
      <c r="C813">
        <v>1.0429999999999999</v>
      </c>
    </row>
    <row r="814" spans="1:3" x14ac:dyDescent="0.25">
      <c r="A814" s="1">
        <v>41183</v>
      </c>
      <c r="B814">
        <v>1.0367999999999999</v>
      </c>
      <c r="C814">
        <v>1.0338000000000001</v>
      </c>
    </row>
    <row r="815" spans="1:3" x14ac:dyDescent="0.25">
      <c r="A815" s="1">
        <v>41185</v>
      </c>
      <c r="B815">
        <v>1.0223</v>
      </c>
      <c r="C815">
        <v>1.0195000000000001</v>
      </c>
    </row>
    <row r="816" spans="1:3" x14ac:dyDescent="0.25">
      <c r="A816" s="1">
        <v>41186</v>
      </c>
      <c r="B816">
        <v>1.0224</v>
      </c>
      <c r="C816">
        <v>1.0196000000000001</v>
      </c>
    </row>
    <row r="817" spans="1:3" x14ac:dyDescent="0.25">
      <c r="A817" s="1">
        <v>41187</v>
      </c>
      <c r="B817">
        <v>1.0247999999999999</v>
      </c>
      <c r="C817">
        <v>1.022</v>
      </c>
    </row>
    <row r="818" spans="1:3" x14ac:dyDescent="0.25">
      <c r="A818" s="1">
        <v>41190</v>
      </c>
      <c r="B818">
        <v>1.0157</v>
      </c>
      <c r="C818">
        <v>1.0126999999999999</v>
      </c>
    </row>
    <row r="819" spans="1:3" x14ac:dyDescent="0.25">
      <c r="A819" s="1">
        <v>41191</v>
      </c>
      <c r="B819">
        <v>1.0204</v>
      </c>
      <c r="C819">
        <v>1.0175000000000001</v>
      </c>
    </row>
    <row r="820" spans="1:3" x14ac:dyDescent="0.25">
      <c r="A820" s="1">
        <v>41192</v>
      </c>
      <c r="B820">
        <v>1.0217000000000001</v>
      </c>
      <c r="C820">
        <v>1.0189999999999999</v>
      </c>
    </row>
    <row r="821" spans="1:3" x14ac:dyDescent="0.25">
      <c r="A821" s="1">
        <v>41193</v>
      </c>
      <c r="B821">
        <v>1.0275000000000001</v>
      </c>
      <c r="C821">
        <v>1.0247999999999999</v>
      </c>
    </row>
    <row r="822" spans="1:3" x14ac:dyDescent="0.25">
      <c r="A822" s="1">
        <v>41194</v>
      </c>
      <c r="B822">
        <v>1.0269999999999999</v>
      </c>
      <c r="C822">
        <v>1.0244</v>
      </c>
    </row>
    <row r="823" spans="1:3" x14ac:dyDescent="0.25">
      <c r="A823" s="1">
        <v>41197</v>
      </c>
      <c r="B823">
        <v>1.0243</v>
      </c>
      <c r="C823">
        <v>1.0215000000000001</v>
      </c>
    </row>
    <row r="824" spans="1:3" x14ac:dyDescent="0.25">
      <c r="A824" s="1">
        <v>41198</v>
      </c>
      <c r="B824">
        <v>1.0274000000000001</v>
      </c>
      <c r="C824">
        <v>1.0246999999999999</v>
      </c>
    </row>
    <row r="825" spans="1:3" x14ac:dyDescent="0.25">
      <c r="A825" s="1">
        <v>41199</v>
      </c>
      <c r="B825">
        <v>1.0314000000000001</v>
      </c>
      <c r="C825">
        <v>1.0287999999999999</v>
      </c>
    </row>
    <row r="826" spans="1:3" x14ac:dyDescent="0.25">
      <c r="A826" s="1">
        <v>41200</v>
      </c>
      <c r="B826">
        <v>1.0381</v>
      </c>
      <c r="C826">
        <v>1.0354000000000001</v>
      </c>
    </row>
    <row r="827" spans="1:3" x14ac:dyDescent="0.25">
      <c r="A827" s="1">
        <v>41201</v>
      </c>
      <c r="B827">
        <v>1.0354000000000001</v>
      </c>
      <c r="C827">
        <v>1.0327999999999999</v>
      </c>
    </row>
    <row r="828" spans="1:3" x14ac:dyDescent="0.25">
      <c r="A828" s="1">
        <v>41204</v>
      </c>
      <c r="B828">
        <v>1.0330999999999999</v>
      </c>
      <c r="C828">
        <v>1.0303</v>
      </c>
    </row>
    <row r="829" spans="1:3" x14ac:dyDescent="0.25">
      <c r="A829" s="1">
        <v>41205</v>
      </c>
      <c r="B829">
        <v>1.0316000000000001</v>
      </c>
      <c r="C829">
        <v>1.0288999999999999</v>
      </c>
    </row>
    <row r="830" spans="1:3" x14ac:dyDescent="0.25">
      <c r="A830" s="1">
        <v>41207</v>
      </c>
      <c r="B830">
        <v>1.0388999999999999</v>
      </c>
      <c r="C830">
        <v>1.0362</v>
      </c>
    </row>
    <row r="831" spans="1:3" x14ac:dyDescent="0.25">
      <c r="A831" s="1">
        <v>41208</v>
      </c>
      <c r="B831">
        <v>1.0327</v>
      </c>
      <c r="C831">
        <v>1.0301</v>
      </c>
    </row>
    <row r="832" spans="1:3" x14ac:dyDescent="0.25">
      <c r="A832" s="1">
        <v>41211</v>
      </c>
      <c r="B832">
        <v>1.0355000000000001</v>
      </c>
      <c r="C832">
        <v>1.0329999999999999</v>
      </c>
    </row>
    <row r="833" spans="1:3" x14ac:dyDescent="0.25">
      <c r="A833" s="1">
        <v>41212</v>
      </c>
      <c r="B833">
        <v>1.0370999999999999</v>
      </c>
      <c r="C833">
        <v>1.0344</v>
      </c>
    </row>
    <row r="834" spans="1:3" x14ac:dyDescent="0.25">
      <c r="A834" s="1">
        <v>41213</v>
      </c>
      <c r="B834">
        <v>1.0392999999999999</v>
      </c>
      <c r="C834">
        <v>1.0367999999999999</v>
      </c>
    </row>
    <row r="835" spans="1:3" x14ac:dyDescent="0.25">
      <c r="A835" s="1">
        <v>41214</v>
      </c>
      <c r="B835">
        <v>1.0367999999999999</v>
      </c>
      <c r="C835">
        <v>1.0343</v>
      </c>
    </row>
    <row r="836" spans="1:3" x14ac:dyDescent="0.25">
      <c r="A836" s="1">
        <v>41215</v>
      </c>
      <c r="B836">
        <v>1.0379</v>
      </c>
      <c r="C836">
        <v>1.0355000000000001</v>
      </c>
    </row>
    <row r="837" spans="1:3" x14ac:dyDescent="0.25">
      <c r="A837" s="1">
        <v>41218</v>
      </c>
      <c r="B837">
        <v>1.0363</v>
      </c>
      <c r="C837">
        <v>1.0338000000000001</v>
      </c>
    </row>
    <row r="838" spans="1:3" x14ac:dyDescent="0.25">
      <c r="A838" s="1">
        <v>41219</v>
      </c>
      <c r="B838">
        <v>1.0431999999999999</v>
      </c>
      <c r="C838">
        <v>1.0404</v>
      </c>
    </row>
    <row r="839" spans="1:3" x14ac:dyDescent="0.25">
      <c r="A839" s="1">
        <v>41220</v>
      </c>
      <c r="B839">
        <v>1.0465</v>
      </c>
      <c r="C839">
        <v>1.0438000000000001</v>
      </c>
    </row>
    <row r="840" spans="1:3" x14ac:dyDescent="0.25">
      <c r="A840" s="1">
        <v>41221</v>
      </c>
      <c r="B840">
        <v>1.0409999999999999</v>
      </c>
      <c r="C840">
        <v>1.0384</v>
      </c>
    </row>
    <row r="841" spans="1:3" x14ac:dyDescent="0.25">
      <c r="A841" s="1">
        <v>41222</v>
      </c>
      <c r="B841">
        <v>1.0417000000000001</v>
      </c>
      <c r="C841">
        <v>1.0391999999999999</v>
      </c>
    </row>
    <row r="842" spans="1:3" x14ac:dyDescent="0.25">
      <c r="A842" s="1">
        <v>41225</v>
      </c>
      <c r="B842">
        <v>1.0422</v>
      </c>
      <c r="C842">
        <v>1.0396000000000001</v>
      </c>
    </row>
    <row r="843" spans="1:3" x14ac:dyDescent="0.25">
      <c r="A843" s="1">
        <v>41228</v>
      </c>
      <c r="B843">
        <v>1.0356000000000001</v>
      </c>
      <c r="C843">
        <v>1.0330999999999999</v>
      </c>
    </row>
    <row r="844" spans="1:3" x14ac:dyDescent="0.25">
      <c r="A844" s="1">
        <v>41229</v>
      </c>
      <c r="B844">
        <v>1.0334000000000001</v>
      </c>
      <c r="C844">
        <v>1.0308999999999999</v>
      </c>
    </row>
    <row r="845" spans="1:3" x14ac:dyDescent="0.25">
      <c r="A845" s="1">
        <v>41232</v>
      </c>
      <c r="B845">
        <v>1.0392999999999999</v>
      </c>
      <c r="C845">
        <v>1.0367</v>
      </c>
    </row>
    <row r="846" spans="1:3" x14ac:dyDescent="0.25">
      <c r="A846" s="1">
        <v>41233</v>
      </c>
      <c r="B846">
        <v>1.0412999999999999</v>
      </c>
      <c r="C846">
        <v>1.0387</v>
      </c>
    </row>
    <row r="847" spans="1:3" x14ac:dyDescent="0.25">
      <c r="A847" s="1">
        <v>41234</v>
      </c>
      <c r="B847">
        <v>1.0357000000000001</v>
      </c>
      <c r="C847">
        <v>1.0330999999999999</v>
      </c>
    </row>
    <row r="848" spans="1:3" x14ac:dyDescent="0.25">
      <c r="A848" s="1">
        <v>41235</v>
      </c>
      <c r="B848">
        <v>1.0361</v>
      </c>
      <c r="C848">
        <v>1.0334000000000001</v>
      </c>
    </row>
    <row r="849" spans="1:3" x14ac:dyDescent="0.25">
      <c r="A849" s="1">
        <v>41236</v>
      </c>
      <c r="B849">
        <v>1.04</v>
      </c>
      <c r="C849">
        <v>1.0374000000000001</v>
      </c>
    </row>
    <row r="850" spans="1:3" x14ac:dyDescent="0.25">
      <c r="A850" s="1">
        <v>41239</v>
      </c>
      <c r="B850">
        <v>1.0457000000000001</v>
      </c>
      <c r="C850">
        <v>1.0430999999999999</v>
      </c>
    </row>
    <row r="851" spans="1:3" x14ac:dyDescent="0.25">
      <c r="A851" s="1">
        <v>41240</v>
      </c>
      <c r="B851">
        <v>1.0478000000000001</v>
      </c>
      <c r="C851">
        <v>1.0449999999999999</v>
      </c>
    </row>
    <row r="852" spans="1:3" x14ac:dyDescent="0.25">
      <c r="A852" s="1">
        <v>41242</v>
      </c>
      <c r="B852">
        <v>1.0467</v>
      </c>
      <c r="C852">
        <v>1.0441</v>
      </c>
    </row>
    <row r="853" spans="1:3" x14ac:dyDescent="0.25">
      <c r="A853" s="1">
        <v>41243</v>
      </c>
      <c r="B853">
        <v>1.0430999999999999</v>
      </c>
      <c r="C853">
        <v>1.0405</v>
      </c>
    </row>
    <row r="854" spans="1:3" x14ac:dyDescent="0.25">
      <c r="A854" s="1">
        <v>41246</v>
      </c>
      <c r="B854">
        <v>1.0410999999999999</v>
      </c>
      <c r="C854">
        <v>1.0384</v>
      </c>
    </row>
    <row r="855" spans="1:3" x14ac:dyDescent="0.25">
      <c r="A855" s="1">
        <v>41247</v>
      </c>
      <c r="B855">
        <v>1.0441</v>
      </c>
      <c r="C855">
        <v>1.0415000000000001</v>
      </c>
    </row>
    <row r="856" spans="1:3" x14ac:dyDescent="0.25">
      <c r="A856" s="1">
        <v>41248</v>
      </c>
      <c r="B856">
        <v>1.0479000000000001</v>
      </c>
      <c r="C856">
        <v>1.0454000000000001</v>
      </c>
    </row>
    <row r="857" spans="1:3" x14ac:dyDescent="0.25">
      <c r="A857" s="1">
        <v>41249</v>
      </c>
      <c r="B857">
        <v>1.0465</v>
      </c>
      <c r="C857">
        <v>1.044</v>
      </c>
    </row>
    <row r="858" spans="1:3" x14ac:dyDescent="0.25">
      <c r="A858" s="1">
        <v>41250</v>
      </c>
      <c r="B858">
        <v>1.0479000000000001</v>
      </c>
      <c r="C858">
        <v>1.0454000000000001</v>
      </c>
    </row>
    <row r="859" spans="1:3" x14ac:dyDescent="0.25">
      <c r="A859" s="1">
        <v>41253</v>
      </c>
      <c r="B859">
        <v>1.0470999999999999</v>
      </c>
      <c r="C859">
        <v>1.0444</v>
      </c>
    </row>
    <row r="860" spans="1:3" x14ac:dyDescent="0.25">
      <c r="A860" s="1">
        <v>41254</v>
      </c>
      <c r="B860">
        <v>1.0479000000000001</v>
      </c>
      <c r="C860">
        <v>1.0452999999999999</v>
      </c>
    </row>
    <row r="861" spans="1:3" x14ac:dyDescent="0.25">
      <c r="A861" s="1">
        <v>41255</v>
      </c>
      <c r="B861">
        <v>1.0527</v>
      </c>
      <c r="C861">
        <v>1.0502</v>
      </c>
    </row>
    <row r="862" spans="1:3" x14ac:dyDescent="0.25">
      <c r="A862" s="1">
        <v>41256</v>
      </c>
      <c r="B862">
        <v>1.0550999999999999</v>
      </c>
      <c r="C862">
        <v>1.0526</v>
      </c>
    </row>
    <row r="863" spans="1:3" x14ac:dyDescent="0.25">
      <c r="A863" s="1">
        <v>41257</v>
      </c>
      <c r="B863">
        <v>1.0545</v>
      </c>
      <c r="C863">
        <v>1.052</v>
      </c>
    </row>
    <row r="864" spans="1:3" x14ac:dyDescent="0.25">
      <c r="A864" s="1">
        <v>41260</v>
      </c>
      <c r="B864">
        <v>1.0542</v>
      </c>
      <c r="C864">
        <v>1.0513999999999999</v>
      </c>
    </row>
    <row r="865" spans="1:3" x14ac:dyDescent="0.25">
      <c r="A865" s="1">
        <v>41261</v>
      </c>
      <c r="B865">
        <v>1.0542</v>
      </c>
      <c r="C865">
        <v>1.0516000000000001</v>
      </c>
    </row>
    <row r="866" spans="1:3" x14ac:dyDescent="0.25">
      <c r="A866" s="1">
        <v>41262</v>
      </c>
      <c r="B866">
        <v>1.0517000000000001</v>
      </c>
      <c r="C866">
        <v>1.0490999999999999</v>
      </c>
    </row>
    <row r="867" spans="1:3" x14ac:dyDescent="0.25">
      <c r="A867" s="1">
        <v>41263</v>
      </c>
      <c r="B867">
        <v>1.0476000000000001</v>
      </c>
      <c r="C867">
        <v>1.0451999999999999</v>
      </c>
    </row>
    <row r="868" spans="1:3" x14ac:dyDescent="0.25">
      <c r="A868" s="1">
        <v>41264</v>
      </c>
      <c r="B868">
        <v>1.044</v>
      </c>
      <c r="C868">
        <v>1.0414000000000001</v>
      </c>
    </row>
    <row r="869" spans="1:3" x14ac:dyDescent="0.25">
      <c r="A869" s="1">
        <v>41267</v>
      </c>
      <c r="B869">
        <v>1.0409999999999999</v>
      </c>
      <c r="C869">
        <v>1.0384</v>
      </c>
    </row>
    <row r="870" spans="1:3" x14ac:dyDescent="0.25">
      <c r="A870" s="1">
        <v>41269</v>
      </c>
      <c r="B870">
        <v>1.0366</v>
      </c>
      <c r="C870">
        <v>1.0341</v>
      </c>
    </row>
    <row r="871" spans="1:3" x14ac:dyDescent="0.25">
      <c r="A871" s="1">
        <v>41270</v>
      </c>
      <c r="B871">
        <v>1.036</v>
      </c>
      <c r="C871">
        <v>1.0336000000000001</v>
      </c>
    </row>
    <row r="872" spans="1:3" x14ac:dyDescent="0.25">
      <c r="A872" s="1">
        <v>41271</v>
      </c>
      <c r="B872">
        <v>1.0376000000000001</v>
      </c>
      <c r="C872">
        <v>1.0349999999999999</v>
      </c>
    </row>
    <row r="873" spans="1:3" x14ac:dyDescent="0.25">
      <c r="A873" s="1">
        <v>41274</v>
      </c>
      <c r="B873">
        <v>1.0395000000000001</v>
      </c>
      <c r="C873">
        <v>1.0369999999999999</v>
      </c>
    </row>
    <row r="874" spans="1:3" x14ac:dyDescent="0.25">
      <c r="A874" s="1">
        <v>41275</v>
      </c>
      <c r="B874">
        <v>1.0390999999999999</v>
      </c>
      <c r="C874">
        <v>1.0366</v>
      </c>
    </row>
    <row r="875" spans="1:3" x14ac:dyDescent="0.25">
      <c r="A875" s="1">
        <v>41276</v>
      </c>
      <c r="B875">
        <v>1.0470999999999999</v>
      </c>
      <c r="C875">
        <v>1.0447</v>
      </c>
    </row>
    <row r="876" spans="1:3" x14ac:dyDescent="0.25">
      <c r="A876" s="1">
        <v>41277</v>
      </c>
      <c r="B876">
        <v>1.0488999999999999</v>
      </c>
      <c r="C876">
        <v>1.0464</v>
      </c>
    </row>
    <row r="877" spans="1:3" x14ac:dyDescent="0.25">
      <c r="A877" s="1">
        <v>41278</v>
      </c>
      <c r="B877">
        <v>1.0435000000000001</v>
      </c>
      <c r="C877">
        <v>1.0410999999999999</v>
      </c>
    </row>
    <row r="878" spans="1:3" x14ac:dyDescent="0.25">
      <c r="A878" s="1">
        <v>41281</v>
      </c>
      <c r="B878">
        <v>1.0486</v>
      </c>
      <c r="C878">
        <v>1.0459000000000001</v>
      </c>
    </row>
    <row r="879" spans="1:3" x14ac:dyDescent="0.25">
      <c r="A879" s="1">
        <v>41282</v>
      </c>
      <c r="B879">
        <v>1.0479000000000001</v>
      </c>
      <c r="C879">
        <v>1.0454000000000001</v>
      </c>
    </row>
    <row r="880" spans="1:3" x14ac:dyDescent="0.25">
      <c r="A880" s="1">
        <v>41283</v>
      </c>
      <c r="B880">
        <v>1.0494000000000001</v>
      </c>
      <c r="C880">
        <v>1.0468999999999999</v>
      </c>
    </row>
    <row r="881" spans="1:3" x14ac:dyDescent="0.25">
      <c r="A881" s="1">
        <v>41284</v>
      </c>
      <c r="B881">
        <v>1.0548999999999999</v>
      </c>
      <c r="C881">
        <v>1.0524</v>
      </c>
    </row>
    <row r="882" spans="1:3" x14ac:dyDescent="0.25">
      <c r="A882" s="1">
        <v>41285</v>
      </c>
      <c r="B882">
        <v>1.0584</v>
      </c>
      <c r="C882">
        <v>1.0559000000000001</v>
      </c>
    </row>
    <row r="883" spans="1:3" x14ac:dyDescent="0.25">
      <c r="A883" s="1">
        <v>41288</v>
      </c>
      <c r="B883">
        <v>1.0553999999999999</v>
      </c>
      <c r="C883">
        <v>1.0526</v>
      </c>
    </row>
    <row r="884" spans="1:3" x14ac:dyDescent="0.25">
      <c r="A884" s="1">
        <v>41289</v>
      </c>
      <c r="B884">
        <v>1.0541</v>
      </c>
      <c r="C884">
        <v>1.0513999999999999</v>
      </c>
    </row>
    <row r="885" spans="1:3" x14ac:dyDescent="0.25">
      <c r="A885" s="1">
        <v>41290</v>
      </c>
      <c r="B885">
        <v>1.0559000000000001</v>
      </c>
      <c r="C885">
        <v>1.0532999999999999</v>
      </c>
    </row>
    <row r="886" spans="1:3" x14ac:dyDescent="0.25">
      <c r="A886" s="1">
        <v>41291</v>
      </c>
      <c r="B886">
        <v>1.0504</v>
      </c>
      <c r="C886">
        <v>1.0479000000000001</v>
      </c>
    </row>
    <row r="887" spans="1:3" x14ac:dyDescent="0.25">
      <c r="A887" s="1">
        <v>41292</v>
      </c>
      <c r="B887">
        <v>1.0517000000000001</v>
      </c>
      <c r="C887">
        <v>1.0491999999999999</v>
      </c>
    </row>
    <row r="888" spans="1:3" x14ac:dyDescent="0.25">
      <c r="A888" s="1">
        <v>41295</v>
      </c>
      <c r="B888">
        <v>1.0515000000000001</v>
      </c>
      <c r="C888">
        <v>1.0488</v>
      </c>
    </row>
    <row r="889" spans="1:3" x14ac:dyDescent="0.25">
      <c r="A889" s="1">
        <v>41296</v>
      </c>
      <c r="B889">
        <v>1.0541</v>
      </c>
      <c r="C889">
        <v>1.0515000000000001</v>
      </c>
    </row>
    <row r="890" spans="1:3" x14ac:dyDescent="0.25">
      <c r="A890" s="1">
        <v>41297</v>
      </c>
      <c r="B890">
        <v>1.0552999999999999</v>
      </c>
      <c r="C890">
        <v>1.0528</v>
      </c>
    </row>
    <row r="891" spans="1:3" x14ac:dyDescent="0.25">
      <c r="A891" s="1">
        <v>41298</v>
      </c>
      <c r="B891">
        <v>1.0521</v>
      </c>
      <c r="C891">
        <v>1.0497000000000001</v>
      </c>
    </row>
    <row r="892" spans="1:3" x14ac:dyDescent="0.25">
      <c r="A892" s="1">
        <v>41302</v>
      </c>
      <c r="B892">
        <v>1.0416000000000001</v>
      </c>
      <c r="C892">
        <v>1.0392999999999999</v>
      </c>
    </row>
    <row r="893" spans="1:3" x14ac:dyDescent="0.25">
      <c r="A893" s="1">
        <v>41303</v>
      </c>
      <c r="B893">
        <v>1.044</v>
      </c>
      <c r="C893">
        <v>1.0418000000000001</v>
      </c>
    </row>
    <row r="894" spans="1:3" x14ac:dyDescent="0.25">
      <c r="A894" s="1">
        <v>41304</v>
      </c>
      <c r="B894">
        <v>1.0468999999999999</v>
      </c>
      <c r="C894">
        <v>1.0447</v>
      </c>
    </row>
    <row r="895" spans="1:3" x14ac:dyDescent="0.25">
      <c r="A895" s="1">
        <v>41305</v>
      </c>
      <c r="B895">
        <v>1.0387</v>
      </c>
      <c r="C895">
        <v>1.0364</v>
      </c>
    </row>
    <row r="896" spans="1:3" x14ac:dyDescent="0.25">
      <c r="A896" s="1">
        <v>41306</v>
      </c>
      <c r="B896">
        <v>1.0392999999999999</v>
      </c>
      <c r="C896">
        <v>1.0369999999999999</v>
      </c>
    </row>
    <row r="897" spans="1:3" x14ac:dyDescent="0.25">
      <c r="A897" s="1">
        <v>41309</v>
      </c>
      <c r="B897">
        <v>1.0425</v>
      </c>
      <c r="C897">
        <v>1.0402</v>
      </c>
    </row>
    <row r="898" spans="1:3" x14ac:dyDescent="0.25">
      <c r="A898" s="1">
        <v>41310</v>
      </c>
      <c r="B898">
        <v>1.0402</v>
      </c>
      <c r="C898">
        <v>1.038</v>
      </c>
    </row>
    <row r="899" spans="1:3" x14ac:dyDescent="0.25">
      <c r="A899" s="1">
        <v>41311</v>
      </c>
      <c r="B899">
        <v>1.0354000000000001</v>
      </c>
      <c r="C899">
        <v>1.0331999999999999</v>
      </c>
    </row>
    <row r="900" spans="1:3" x14ac:dyDescent="0.25">
      <c r="A900" s="1">
        <v>41312</v>
      </c>
      <c r="B900">
        <v>1.0317000000000001</v>
      </c>
      <c r="C900">
        <v>1.0294000000000001</v>
      </c>
    </row>
    <row r="901" spans="1:3" x14ac:dyDescent="0.25">
      <c r="A901" s="1">
        <v>41313</v>
      </c>
      <c r="B901">
        <v>1.0294000000000001</v>
      </c>
      <c r="C901">
        <v>1.0270999999999999</v>
      </c>
    </row>
    <row r="902" spans="1:3" x14ac:dyDescent="0.25">
      <c r="A902" s="1">
        <v>41316</v>
      </c>
      <c r="B902">
        <v>1.0297000000000001</v>
      </c>
      <c r="C902">
        <v>1.0274000000000001</v>
      </c>
    </row>
    <row r="903" spans="1:3" x14ac:dyDescent="0.25">
      <c r="A903" s="1">
        <v>41317</v>
      </c>
      <c r="B903">
        <v>1.0243</v>
      </c>
      <c r="C903">
        <v>1.0221</v>
      </c>
    </row>
    <row r="904" spans="1:3" x14ac:dyDescent="0.25">
      <c r="A904" s="1">
        <v>41318</v>
      </c>
      <c r="B904">
        <v>1.0356000000000001</v>
      </c>
      <c r="C904">
        <v>1.0333000000000001</v>
      </c>
    </row>
    <row r="905" spans="1:3" x14ac:dyDescent="0.25">
      <c r="A905" s="1">
        <v>41319</v>
      </c>
      <c r="B905">
        <v>1.0339</v>
      </c>
      <c r="C905">
        <v>1.0317000000000001</v>
      </c>
    </row>
    <row r="906" spans="1:3" x14ac:dyDescent="0.25">
      <c r="A906" s="1">
        <v>41320</v>
      </c>
      <c r="B906">
        <v>1.0364</v>
      </c>
      <c r="C906">
        <v>1.0341</v>
      </c>
    </row>
    <row r="907" spans="1:3" x14ac:dyDescent="0.25">
      <c r="A907" s="1">
        <v>41323</v>
      </c>
      <c r="B907">
        <v>1.0282</v>
      </c>
      <c r="C907">
        <v>1.0259</v>
      </c>
    </row>
    <row r="908" spans="1:3" x14ac:dyDescent="0.25">
      <c r="A908" s="1">
        <v>41325</v>
      </c>
      <c r="B908">
        <v>1.0359</v>
      </c>
      <c r="C908">
        <v>1.0337000000000001</v>
      </c>
    </row>
    <row r="909" spans="1:3" x14ac:dyDescent="0.25">
      <c r="A909" s="1">
        <v>41326</v>
      </c>
      <c r="B909">
        <v>1.0236000000000001</v>
      </c>
      <c r="C909">
        <v>1.0214000000000001</v>
      </c>
    </row>
    <row r="910" spans="1:3" x14ac:dyDescent="0.25">
      <c r="A910" s="1">
        <v>41327</v>
      </c>
      <c r="B910">
        <v>1.0317000000000001</v>
      </c>
      <c r="C910">
        <v>1.0295000000000001</v>
      </c>
    </row>
    <row r="911" spans="1:3" x14ac:dyDescent="0.25">
      <c r="A911" s="1">
        <v>41330</v>
      </c>
      <c r="B911">
        <v>1.0279</v>
      </c>
      <c r="C911">
        <v>1.0257000000000001</v>
      </c>
    </row>
    <row r="912" spans="1:3" x14ac:dyDescent="0.25">
      <c r="A912" s="1">
        <v>41331</v>
      </c>
      <c r="B912">
        <v>1.0269999999999999</v>
      </c>
      <c r="C912">
        <v>1.0247999999999999</v>
      </c>
    </row>
    <row r="913" spans="1:3" x14ac:dyDescent="0.25">
      <c r="A913" s="1">
        <v>41332</v>
      </c>
      <c r="B913">
        <v>1.0225</v>
      </c>
      <c r="C913">
        <v>1.02</v>
      </c>
    </row>
    <row r="914" spans="1:3" x14ac:dyDescent="0.25">
      <c r="A914" s="1">
        <v>41333</v>
      </c>
      <c r="B914">
        <v>1.0277000000000001</v>
      </c>
      <c r="C914">
        <v>1.0251999999999999</v>
      </c>
    </row>
    <row r="915" spans="1:3" x14ac:dyDescent="0.25">
      <c r="A915" s="1">
        <v>41334</v>
      </c>
      <c r="B915">
        <v>1.0228999999999999</v>
      </c>
      <c r="C915">
        <v>1.0205</v>
      </c>
    </row>
    <row r="916" spans="1:3" x14ac:dyDescent="0.25">
      <c r="A916" s="1">
        <v>41337</v>
      </c>
      <c r="B916">
        <v>1.0122</v>
      </c>
      <c r="C916">
        <v>1.0097</v>
      </c>
    </row>
    <row r="917" spans="1:3" x14ac:dyDescent="0.25">
      <c r="A917" s="1">
        <v>41338</v>
      </c>
      <c r="B917">
        <v>1.0235000000000001</v>
      </c>
      <c r="C917">
        <v>1.0209999999999999</v>
      </c>
    </row>
    <row r="918" spans="1:3" x14ac:dyDescent="0.25">
      <c r="A918" s="1">
        <v>41339</v>
      </c>
      <c r="B918">
        <v>1.0283</v>
      </c>
      <c r="C918">
        <v>1.0259</v>
      </c>
    </row>
    <row r="919" spans="1:3" x14ac:dyDescent="0.25">
      <c r="A919" s="1">
        <v>41340</v>
      </c>
      <c r="B919">
        <v>1.0246999999999999</v>
      </c>
      <c r="C919">
        <v>1.0222</v>
      </c>
    </row>
    <row r="920" spans="1:3" x14ac:dyDescent="0.25">
      <c r="A920" s="1">
        <v>41341</v>
      </c>
      <c r="B920">
        <v>1.0246</v>
      </c>
      <c r="C920">
        <v>1.0222</v>
      </c>
    </row>
    <row r="921" spans="1:3" x14ac:dyDescent="0.25">
      <c r="A921" s="1">
        <v>41344</v>
      </c>
      <c r="B921">
        <v>1.0224</v>
      </c>
      <c r="C921">
        <v>1.0198</v>
      </c>
    </row>
    <row r="922" spans="1:3" x14ac:dyDescent="0.25">
      <c r="A922" s="1">
        <v>41345</v>
      </c>
      <c r="B922">
        <v>1.0279</v>
      </c>
      <c r="C922">
        <v>1.0253000000000001</v>
      </c>
    </row>
    <row r="923" spans="1:3" x14ac:dyDescent="0.25">
      <c r="A923" s="1">
        <v>41346</v>
      </c>
      <c r="B923">
        <v>1.0316000000000001</v>
      </c>
      <c r="C923">
        <v>1.0291999999999999</v>
      </c>
    </row>
    <row r="924" spans="1:3" x14ac:dyDescent="0.25">
      <c r="A924" s="1">
        <v>41347</v>
      </c>
      <c r="B924">
        <v>1.0366</v>
      </c>
      <c r="C924">
        <v>1.0341</v>
      </c>
    </row>
    <row r="925" spans="1:3" x14ac:dyDescent="0.25">
      <c r="A925" s="1">
        <v>41348</v>
      </c>
      <c r="B925">
        <v>1.0375000000000001</v>
      </c>
      <c r="C925">
        <v>1.0349999999999999</v>
      </c>
    </row>
    <row r="926" spans="1:3" x14ac:dyDescent="0.25">
      <c r="A926" s="1">
        <v>41351</v>
      </c>
      <c r="B926">
        <v>1.0365</v>
      </c>
      <c r="C926">
        <v>1.0339</v>
      </c>
    </row>
    <row r="927" spans="1:3" x14ac:dyDescent="0.25">
      <c r="A927" s="1">
        <v>41352</v>
      </c>
      <c r="B927">
        <v>1.0384</v>
      </c>
      <c r="C927">
        <v>1.0359</v>
      </c>
    </row>
    <row r="928" spans="1:3" x14ac:dyDescent="0.25">
      <c r="A928" s="1">
        <v>41353</v>
      </c>
      <c r="B928">
        <v>1.0379</v>
      </c>
      <c r="C928">
        <v>1.0355000000000001</v>
      </c>
    </row>
    <row r="929" spans="1:3" x14ac:dyDescent="0.25">
      <c r="A929" s="1">
        <v>41354</v>
      </c>
      <c r="B929">
        <v>1.0374000000000001</v>
      </c>
      <c r="C929">
        <v>1.0348999999999999</v>
      </c>
    </row>
    <row r="930" spans="1:3" x14ac:dyDescent="0.25">
      <c r="A930" s="1">
        <v>41355</v>
      </c>
      <c r="B930">
        <v>1.0427</v>
      </c>
      <c r="C930">
        <v>1.0401</v>
      </c>
    </row>
    <row r="931" spans="1:3" x14ac:dyDescent="0.25">
      <c r="A931" s="1">
        <v>41358</v>
      </c>
      <c r="B931">
        <v>1.0448</v>
      </c>
      <c r="C931">
        <v>1.0422</v>
      </c>
    </row>
    <row r="932" spans="1:3" x14ac:dyDescent="0.25">
      <c r="A932" s="1">
        <v>41359</v>
      </c>
      <c r="B932">
        <v>1.0456000000000001</v>
      </c>
      <c r="C932">
        <v>1.0429999999999999</v>
      </c>
    </row>
    <row r="933" spans="1:3" x14ac:dyDescent="0.25">
      <c r="A933" s="1">
        <v>41361</v>
      </c>
      <c r="B933">
        <v>1.0427</v>
      </c>
      <c r="C933">
        <v>1.0403</v>
      </c>
    </row>
    <row r="934" spans="1:3" x14ac:dyDescent="0.25">
      <c r="A934" s="1">
        <v>41366</v>
      </c>
      <c r="B934">
        <v>1.046</v>
      </c>
      <c r="C934">
        <v>1.0435000000000001</v>
      </c>
    </row>
    <row r="935" spans="1:3" x14ac:dyDescent="0.25">
      <c r="A935" s="1">
        <v>41367</v>
      </c>
      <c r="B935">
        <v>1.0471999999999999</v>
      </c>
      <c r="C935">
        <v>1.0447</v>
      </c>
    </row>
    <row r="936" spans="1:3" x14ac:dyDescent="0.25">
      <c r="A936" s="1">
        <v>41368</v>
      </c>
      <c r="B936">
        <v>1.0466</v>
      </c>
      <c r="C936">
        <v>1.0442</v>
      </c>
    </row>
    <row r="937" spans="1:3" x14ac:dyDescent="0.25">
      <c r="A937" s="1">
        <v>41369</v>
      </c>
      <c r="B937">
        <v>1.0424</v>
      </c>
      <c r="C937">
        <v>1.04</v>
      </c>
    </row>
    <row r="938" spans="1:3" x14ac:dyDescent="0.25">
      <c r="A938" s="1">
        <v>41372</v>
      </c>
      <c r="B938">
        <v>1.0370999999999999</v>
      </c>
      <c r="C938">
        <v>1.0347999999999999</v>
      </c>
    </row>
    <row r="939" spans="1:3" x14ac:dyDescent="0.25">
      <c r="A939" s="1">
        <v>41373</v>
      </c>
      <c r="B939">
        <v>1.0428999999999999</v>
      </c>
      <c r="C939">
        <v>1.0404</v>
      </c>
    </row>
    <row r="940" spans="1:3" x14ac:dyDescent="0.25">
      <c r="A940" s="1">
        <v>41374</v>
      </c>
      <c r="B940">
        <v>1.0509999999999999</v>
      </c>
      <c r="C940">
        <v>1.0485</v>
      </c>
    </row>
    <row r="941" spans="1:3" x14ac:dyDescent="0.25">
      <c r="A941" s="1">
        <v>41376</v>
      </c>
      <c r="B941">
        <v>1.0552999999999999</v>
      </c>
      <c r="C941">
        <v>1.0528999999999999</v>
      </c>
    </row>
    <row r="942" spans="1:3" x14ac:dyDescent="0.25">
      <c r="A942" s="1">
        <v>41379</v>
      </c>
      <c r="B942">
        <v>1.0424</v>
      </c>
      <c r="C942">
        <v>1.04</v>
      </c>
    </row>
    <row r="943" spans="1:3" x14ac:dyDescent="0.25">
      <c r="A943" s="1">
        <v>41380</v>
      </c>
      <c r="B943">
        <v>1.0362</v>
      </c>
      <c r="C943">
        <v>1.0337000000000001</v>
      </c>
    </row>
    <row r="944" spans="1:3" x14ac:dyDescent="0.25">
      <c r="A944" s="1">
        <v>41381</v>
      </c>
      <c r="B944">
        <v>1.0346</v>
      </c>
      <c r="C944">
        <v>1.0322</v>
      </c>
    </row>
    <row r="945" spans="1:3" x14ac:dyDescent="0.25">
      <c r="A945" s="1">
        <v>41382</v>
      </c>
      <c r="B945">
        <v>1.0307999999999999</v>
      </c>
      <c r="C945">
        <v>1.0284</v>
      </c>
    </row>
    <row r="946" spans="1:3" x14ac:dyDescent="0.25">
      <c r="A946" s="1">
        <v>41386</v>
      </c>
      <c r="B946">
        <v>1.0296000000000001</v>
      </c>
      <c r="C946">
        <v>1.0271999999999999</v>
      </c>
    </row>
    <row r="947" spans="1:3" x14ac:dyDescent="0.25">
      <c r="A947" s="1">
        <v>41387</v>
      </c>
      <c r="B947">
        <v>1.0234000000000001</v>
      </c>
      <c r="C947">
        <v>1.0208999999999999</v>
      </c>
    </row>
    <row r="948" spans="1:3" x14ac:dyDescent="0.25">
      <c r="A948" s="1">
        <v>41389</v>
      </c>
      <c r="B948">
        <v>1.0310999999999999</v>
      </c>
      <c r="C948">
        <v>1.0286999999999999</v>
      </c>
    </row>
    <row r="949" spans="1:3" x14ac:dyDescent="0.25">
      <c r="A949" s="1">
        <v>41390</v>
      </c>
      <c r="B949">
        <v>1.0313000000000001</v>
      </c>
      <c r="C949">
        <v>1.0288999999999999</v>
      </c>
    </row>
    <row r="950" spans="1:3" x14ac:dyDescent="0.25">
      <c r="A950" s="1">
        <v>41393</v>
      </c>
      <c r="B950">
        <v>1.0317000000000001</v>
      </c>
      <c r="C950">
        <v>1.0290999999999999</v>
      </c>
    </row>
    <row r="951" spans="1:3" x14ac:dyDescent="0.25">
      <c r="A951" s="1">
        <v>41394</v>
      </c>
      <c r="B951">
        <v>1.0354000000000001</v>
      </c>
      <c r="C951">
        <v>1.0328999999999999</v>
      </c>
    </row>
    <row r="952" spans="1:3" x14ac:dyDescent="0.25">
      <c r="A952" s="1">
        <v>41396</v>
      </c>
      <c r="B952">
        <v>1.0247999999999999</v>
      </c>
      <c r="C952">
        <v>1.0225</v>
      </c>
    </row>
    <row r="953" spans="1:3" x14ac:dyDescent="0.25">
      <c r="A953" s="1">
        <v>41397</v>
      </c>
      <c r="B953">
        <v>1.0266999999999999</v>
      </c>
      <c r="C953">
        <v>1.0243</v>
      </c>
    </row>
    <row r="954" spans="1:3" x14ac:dyDescent="0.25">
      <c r="A954" s="1">
        <v>41400</v>
      </c>
      <c r="B954">
        <v>1.0283</v>
      </c>
      <c r="C954">
        <v>1.0257000000000001</v>
      </c>
    </row>
    <row r="955" spans="1:3" x14ac:dyDescent="0.25">
      <c r="A955" s="1">
        <v>41401</v>
      </c>
      <c r="B955">
        <v>1.0188999999999999</v>
      </c>
      <c r="C955">
        <v>1.0164</v>
      </c>
    </row>
    <row r="956" spans="1:3" x14ac:dyDescent="0.25">
      <c r="A956" s="1">
        <v>41402</v>
      </c>
      <c r="B956">
        <v>1.0184</v>
      </c>
      <c r="C956">
        <v>1.0161</v>
      </c>
    </row>
    <row r="957" spans="1:3" x14ac:dyDescent="0.25">
      <c r="A957" s="1">
        <v>41403</v>
      </c>
      <c r="B957">
        <v>1.0237000000000001</v>
      </c>
      <c r="C957">
        <v>1.0214000000000001</v>
      </c>
    </row>
    <row r="958" spans="1:3" x14ac:dyDescent="0.25">
      <c r="A958" s="1">
        <v>41404</v>
      </c>
      <c r="B958">
        <v>1.0085</v>
      </c>
      <c r="C958">
        <v>1.0063</v>
      </c>
    </row>
    <row r="959" spans="1:3" x14ac:dyDescent="0.25">
      <c r="A959" s="1">
        <v>41407</v>
      </c>
      <c r="B959">
        <v>0.99770000000000003</v>
      </c>
      <c r="C959">
        <v>0.99529999999999996</v>
      </c>
    </row>
    <row r="960" spans="1:3" x14ac:dyDescent="0.25">
      <c r="A960" s="1">
        <v>41408</v>
      </c>
      <c r="B960">
        <v>0.99809999999999999</v>
      </c>
      <c r="C960">
        <v>0.99580000000000002</v>
      </c>
    </row>
    <row r="961" spans="1:3" x14ac:dyDescent="0.25">
      <c r="A961" s="1">
        <v>41409</v>
      </c>
      <c r="B961">
        <v>0.98929999999999996</v>
      </c>
      <c r="C961">
        <v>0.98699999999999999</v>
      </c>
    </row>
    <row r="962" spans="1:3" x14ac:dyDescent="0.25">
      <c r="A962" s="1">
        <v>41410</v>
      </c>
      <c r="B962">
        <v>0.98329999999999995</v>
      </c>
      <c r="C962">
        <v>0.98099999999999998</v>
      </c>
    </row>
    <row r="963" spans="1:3" x14ac:dyDescent="0.25">
      <c r="A963" s="1">
        <v>41411</v>
      </c>
      <c r="B963">
        <v>0.97450000000000003</v>
      </c>
      <c r="C963">
        <v>0.97230000000000005</v>
      </c>
    </row>
    <row r="964" spans="1:3" x14ac:dyDescent="0.25">
      <c r="A964" s="1">
        <v>41414</v>
      </c>
      <c r="B964">
        <v>0.97770000000000001</v>
      </c>
      <c r="C964">
        <v>0.97529999999999994</v>
      </c>
    </row>
    <row r="965" spans="1:3" x14ac:dyDescent="0.25">
      <c r="A965" s="1">
        <v>41415</v>
      </c>
      <c r="B965">
        <v>0.98080000000000001</v>
      </c>
      <c r="C965">
        <v>0.97850000000000004</v>
      </c>
    </row>
    <row r="966" spans="1:3" x14ac:dyDescent="0.25">
      <c r="A966" s="1">
        <v>41416</v>
      </c>
      <c r="B966">
        <v>0.97829999999999995</v>
      </c>
      <c r="C966">
        <v>0.97609999999999997</v>
      </c>
    </row>
    <row r="967" spans="1:3" x14ac:dyDescent="0.25">
      <c r="A967" s="1">
        <v>41417</v>
      </c>
      <c r="B967">
        <v>0.9637</v>
      </c>
      <c r="C967">
        <v>0.96160000000000001</v>
      </c>
    </row>
    <row r="968" spans="1:3" x14ac:dyDescent="0.25">
      <c r="A968" s="1">
        <v>41418</v>
      </c>
      <c r="B968">
        <v>0.96850000000000003</v>
      </c>
      <c r="C968">
        <v>0.96640000000000004</v>
      </c>
    </row>
    <row r="969" spans="1:3" x14ac:dyDescent="0.25">
      <c r="A969" s="1">
        <v>41421</v>
      </c>
      <c r="B969">
        <v>0.96289999999999998</v>
      </c>
      <c r="C969">
        <v>0.96079999999999999</v>
      </c>
    </row>
    <row r="970" spans="1:3" x14ac:dyDescent="0.25">
      <c r="A970" s="1">
        <v>41422</v>
      </c>
      <c r="B970">
        <v>0.96379999999999999</v>
      </c>
      <c r="C970">
        <v>0.96179999999999999</v>
      </c>
    </row>
    <row r="971" spans="1:3" x14ac:dyDescent="0.25">
      <c r="A971" s="1">
        <v>41423</v>
      </c>
      <c r="B971">
        <v>0.95730000000000004</v>
      </c>
      <c r="C971">
        <v>0.95540000000000003</v>
      </c>
    </row>
    <row r="972" spans="1:3" x14ac:dyDescent="0.25">
      <c r="A972" s="1">
        <v>41424</v>
      </c>
      <c r="B972">
        <v>0.96689999999999998</v>
      </c>
      <c r="C972">
        <v>0.96479999999999999</v>
      </c>
    </row>
    <row r="973" spans="1:3" x14ac:dyDescent="0.25">
      <c r="A973" s="1">
        <v>41425</v>
      </c>
      <c r="B973">
        <v>0.96379999999999999</v>
      </c>
      <c r="C973">
        <v>0.9617</v>
      </c>
    </row>
    <row r="974" spans="1:3" x14ac:dyDescent="0.25">
      <c r="A974" s="1">
        <v>41428</v>
      </c>
      <c r="B974">
        <v>0.9627</v>
      </c>
      <c r="C974">
        <v>0.96060000000000001</v>
      </c>
    </row>
    <row r="975" spans="1:3" x14ac:dyDescent="0.25">
      <c r="A975" s="1">
        <v>41429</v>
      </c>
      <c r="B975">
        <v>0.97299999999999998</v>
      </c>
      <c r="C975">
        <v>0.9708</v>
      </c>
    </row>
    <row r="976" spans="1:3" x14ac:dyDescent="0.25">
      <c r="A976" s="1">
        <v>41430</v>
      </c>
      <c r="B976">
        <v>0.96479999999999999</v>
      </c>
      <c r="C976">
        <v>0.9627</v>
      </c>
    </row>
    <row r="977" spans="1:3" x14ac:dyDescent="0.25">
      <c r="A977" s="1">
        <v>41431</v>
      </c>
      <c r="B977">
        <v>0.94420000000000004</v>
      </c>
      <c r="C977">
        <v>0.94220000000000004</v>
      </c>
    </row>
    <row r="978" spans="1:3" x14ac:dyDescent="0.25">
      <c r="A978" s="1">
        <v>41432</v>
      </c>
      <c r="B978">
        <v>0.95050000000000001</v>
      </c>
      <c r="C978">
        <v>0.94850000000000001</v>
      </c>
    </row>
    <row r="979" spans="1:3" x14ac:dyDescent="0.25">
      <c r="A979" s="1">
        <v>41435</v>
      </c>
      <c r="B979">
        <v>0.94130000000000003</v>
      </c>
      <c r="C979">
        <v>0.93930000000000002</v>
      </c>
    </row>
    <row r="980" spans="1:3" x14ac:dyDescent="0.25">
      <c r="A980" s="1">
        <v>41436</v>
      </c>
      <c r="B980">
        <v>0.94240000000000002</v>
      </c>
      <c r="C980">
        <v>0.94020000000000004</v>
      </c>
    </row>
    <row r="981" spans="1:3" x14ac:dyDescent="0.25">
      <c r="A981" s="1">
        <v>41437</v>
      </c>
      <c r="B981">
        <v>0.94499999999999995</v>
      </c>
      <c r="C981">
        <v>0.94279999999999997</v>
      </c>
    </row>
    <row r="982" spans="1:3" x14ac:dyDescent="0.25">
      <c r="A982" s="1">
        <v>41438</v>
      </c>
      <c r="B982">
        <v>0.94620000000000004</v>
      </c>
      <c r="C982">
        <v>0.94410000000000005</v>
      </c>
    </row>
    <row r="983" spans="1:3" x14ac:dyDescent="0.25">
      <c r="A983" s="1">
        <v>41439</v>
      </c>
      <c r="B983">
        <v>0.95789999999999997</v>
      </c>
      <c r="C983">
        <v>0.95569999999999999</v>
      </c>
    </row>
    <row r="984" spans="1:3" x14ac:dyDescent="0.25">
      <c r="A984" s="1">
        <v>41442</v>
      </c>
      <c r="B984">
        <v>0.9607</v>
      </c>
      <c r="C984">
        <v>0.95860000000000001</v>
      </c>
    </row>
    <row r="985" spans="1:3" x14ac:dyDescent="0.25">
      <c r="A985" s="1">
        <v>41443</v>
      </c>
      <c r="B985">
        <v>0.95199999999999996</v>
      </c>
      <c r="C985">
        <v>0.94969999999999999</v>
      </c>
    </row>
    <row r="986" spans="1:3" x14ac:dyDescent="0.25">
      <c r="A986" s="1">
        <v>41444</v>
      </c>
      <c r="B986">
        <v>0.94750000000000001</v>
      </c>
      <c r="C986">
        <v>0.94530000000000003</v>
      </c>
    </row>
    <row r="987" spans="1:3" x14ac:dyDescent="0.25">
      <c r="A987" s="1">
        <v>41445</v>
      </c>
      <c r="B987">
        <v>0.92569999999999997</v>
      </c>
      <c r="C987">
        <v>0.92359999999999998</v>
      </c>
    </row>
    <row r="988" spans="1:3" x14ac:dyDescent="0.25">
      <c r="A988" s="1">
        <v>41446</v>
      </c>
      <c r="B988">
        <v>0.92220000000000002</v>
      </c>
      <c r="C988">
        <v>0.92020000000000002</v>
      </c>
    </row>
    <row r="989" spans="1:3" x14ac:dyDescent="0.25">
      <c r="A989" s="1">
        <v>41449</v>
      </c>
      <c r="B989">
        <v>0.92030000000000001</v>
      </c>
      <c r="C989">
        <v>0.91820000000000002</v>
      </c>
    </row>
    <row r="990" spans="1:3" x14ac:dyDescent="0.25">
      <c r="A990" s="1">
        <v>41450</v>
      </c>
      <c r="B990">
        <v>0.92179999999999995</v>
      </c>
      <c r="C990">
        <v>0.91959999999999997</v>
      </c>
    </row>
    <row r="991" spans="1:3" x14ac:dyDescent="0.25">
      <c r="A991" s="1">
        <v>41451</v>
      </c>
      <c r="B991">
        <v>0.92559999999999998</v>
      </c>
      <c r="C991">
        <v>0.9234</v>
      </c>
    </row>
    <row r="992" spans="1:3" x14ac:dyDescent="0.25">
      <c r="A992" s="1">
        <v>41452</v>
      </c>
      <c r="B992">
        <v>0.93230000000000002</v>
      </c>
      <c r="C992">
        <v>0.93020000000000003</v>
      </c>
    </row>
    <row r="993" spans="1:3" x14ac:dyDescent="0.25">
      <c r="A993" s="1">
        <v>41453</v>
      </c>
      <c r="B993">
        <v>0.92510000000000003</v>
      </c>
      <c r="C993">
        <v>0.92290000000000005</v>
      </c>
    </row>
    <row r="994" spans="1:3" x14ac:dyDescent="0.25">
      <c r="A994" s="1">
        <v>41456</v>
      </c>
      <c r="B994">
        <v>0.91810000000000003</v>
      </c>
      <c r="C994">
        <v>0.91579999999999995</v>
      </c>
    </row>
    <row r="995" spans="1:3" x14ac:dyDescent="0.25">
      <c r="A995" s="1">
        <v>41457</v>
      </c>
      <c r="B995">
        <v>0.92030000000000001</v>
      </c>
      <c r="C995">
        <v>0.91810000000000003</v>
      </c>
    </row>
    <row r="996" spans="1:3" x14ac:dyDescent="0.25">
      <c r="A996" s="1">
        <v>41458</v>
      </c>
      <c r="B996">
        <v>0.91679999999999995</v>
      </c>
      <c r="C996">
        <v>0.91459999999999997</v>
      </c>
    </row>
    <row r="997" spans="1:3" x14ac:dyDescent="0.25">
      <c r="A997" s="1">
        <v>41459</v>
      </c>
      <c r="B997">
        <v>0.91120000000000001</v>
      </c>
      <c r="C997">
        <v>0.90910000000000002</v>
      </c>
    </row>
    <row r="998" spans="1:3" x14ac:dyDescent="0.25">
      <c r="A998" s="1">
        <v>41460</v>
      </c>
      <c r="B998">
        <v>0.91359999999999997</v>
      </c>
      <c r="C998">
        <v>0.91149999999999998</v>
      </c>
    </row>
    <row r="999" spans="1:3" x14ac:dyDescent="0.25">
      <c r="A999" s="1">
        <v>41463</v>
      </c>
      <c r="B999">
        <v>0.90449999999999997</v>
      </c>
      <c r="C999">
        <v>0.90229999999999999</v>
      </c>
    </row>
    <row r="1000" spans="1:3" x14ac:dyDescent="0.25">
      <c r="A1000" s="1">
        <v>41464</v>
      </c>
      <c r="B1000">
        <v>0.91279999999999994</v>
      </c>
      <c r="C1000">
        <v>0.91069999999999995</v>
      </c>
    </row>
    <row r="1001" spans="1:3" x14ac:dyDescent="0.25">
      <c r="A1001" s="1">
        <v>41465</v>
      </c>
      <c r="B1001">
        <v>0.91769999999999996</v>
      </c>
      <c r="C1001">
        <v>0.91559999999999997</v>
      </c>
    </row>
    <row r="1002" spans="1:3" x14ac:dyDescent="0.25">
      <c r="A1002" s="1">
        <v>41466</v>
      </c>
      <c r="B1002">
        <v>0.92869999999999997</v>
      </c>
      <c r="C1002">
        <v>0.92659999999999998</v>
      </c>
    </row>
    <row r="1003" spans="1:3" x14ac:dyDescent="0.25">
      <c r="A1003" s="1">
        <v>41467</v>
      </c>
      <c r="B1003">
        <v>0.91779999999999995</v>
      </c>
      <c r="C1003">
        <v>0.91569999999999996</v>
      </c>
    </row>
    <row r="1004" spans="1:3" x14ac:dyDescent="0.25">
      <c r="A1004" s="1">
        <v>41470</v>
      </c>
      <c r="B1004">
        <v>0.90980000000000005</v>
      </c>
      <c r="C1004">
        <v>0.90759999999999996</v>
      </c>
    </row>
    <row r="1005" spans="1:3" x14ac:dyDescent="0.25">
      <c r="A1005" s="1">
        <v>41471</v>
      </c>
      <c r="B1005">
        <v>0.91600000000000004</v>
      </c>
      <c r="C1005">
        <v>0.91390000000000005</v>
      </c>
    </row>
    <row r="1006" spans="1:3" x14ac:dyDescent="0.25">
      <c r="A1006" s="1">
        <v>41472</v>
      </c>
      <c r="B1006">
        <v>0.9234</v>
      </c>
      <c r="C1006">
        <v>0.92130000000000001</v>
      </c>
    </row>
    <row r="1007" spans="1:3" x14ac:dyDescent="0.25">
      <c r="A1007" s="1">
        <v>41473</v>
      </c>
      <c r="B1007">
        <v>0.91679999999999995</v>
      </c>
      <c r="C1007">
        <v>0.91479999999999995</v>
      </c>
    </row>
    <row r="1008" spans="1:3" x14ac:dyDescent="0.25">
      <c r="A1008" s="1">
        <v>41474</v>
      </c>
      <c r="B1008">
        <v>0.91779999999999995</v>
      </c>
      <c r="C1008">
        <v>0.91569999999999996</v>
      </c>
    </row>
    <row r="1009" spans="1:3" x14ac:dyDescent="0.25">
      <c r="A1009" s="1">
        <v>41477</v>
      </c>
      <c r="B1009">
        <v>0.92159999999999997</v>
      </c>
      <c r="C1009">
        <v>0.9194</v>
      </c>
    </row>
    <row r="1010" spans="1:3" x14ac:dyDescent="0.25">
      <c r="A1010" s="1">
        <v>41478</v>
      </c>
      <c r="B1010">
        <v>0.92689999999999995</v>
      </c>
      <c r="C1010">
        <v>0.92479999999999996</v>
      </c>
    </row>
    <row r="1011" spans="1:3" x14ac:dyDescent="0.25">
      <c r="A1011" s="1">
        <v>41479</v>
      </c>
      <c r="B1011">
        <v>0.92659999999999998</v>
      </c>
      <c r="C1011">
        <v>0.92459999999999998</v>
      </c>
    </row>
    <row r="1012" spans="1:3" x14ac:dyDescent="0.25">
      <c r="A1012" s="1">
        <v>41480</v>
      </c>
      <c r="B1012">
        <v>0.91510000000000002</v>
      </c>
      <c r="C1012">
        <v>0.91310000000000002</v>
      </c>
    </row>
    <row r="1013" spans="1:3" x14ac:dyDescent="0.25">
      <c r="A1013" s="1">
        <v>41481</v>
      </c>
      <c r="B1013">
        <v>0.92620000000000002</v>
      </c>
      <c r="C1013">
        <v>0.92420000000000002</v>
      </c>
    </row>
    <row r="1014" spans="1:3" x14ac:dyDescent="0.25">
      <c r="A1014" s="1">
        <v>41484</v>
      </c>
      <c r="B1014">
        <v>0.92669999999999997</v>
      </c>
      <c r="C1014">
        <v>0.92479999999999996</v>
      </c>
    </row>
    <row r="1015" spans="1:3" x14ac:dyDescent="0.25">
      <c r="A1015" s="1">
        <v>41485</v>
      </c>
      <c r="B1015">
        <v>0.90839999999999999</v>
      </c>
      <c r="C1015">
        <v>0.90629999999999999</v>
      </c>
    </row>
    <row r="1016" spans="1:3" x14ac:dyDescent="0.25">
      <c r="A1016" s="1">
        <v>41486</v>
      </c>
      <c r="B1016">
        <v>0.90269999999999995</v>
      </c>
      <c r="C1016">
        <v>0.90069999999999995</v>
      </c>
    </row>
    <row r="1017" spans="1:3" x14ac:dyDescent="0.25">
      <c r="A1017" s="1">
        <v>41487</v>
      </c>
      <c r="B1017">
        <v>0.89610000000000001</v>
      </c>
      <c r="C1017">
        <v>0.89419999999999999</v>
      </c>
    </row>
    <row r="1018" spans="1:3" x14ac:dyDescent="0.25">
      <c r="A1018" s="1">
        <v>41488</v>
      </c>
      <c r="B1018">
        <v>0.8911</v>
      </c>
      <c r="C1018">
        <v>0.8891</v>
      </c>
    </row>
    <row r="1019" spans="1:3" x14ac:dyDescent="0.25">
      <c r="A1019" s="1">
        <v>41491</v>
      </c>
      <c r="B1019">
        <v>0.88719999999999999</v>
      </c>
      <c r="C1019">
        <v>0.88529999999999998</v>
      </c>
    </row>
    <row r="1020" spans="1:3" x14ac:dyDescent="0.25">
      <c r="A1020" s="1">
        <v>41492</v>
      </c>
      <c r="B1020">
        <v>0.89639999999999997</v>
      </c>
      <c r="C1020">
        <v>0.89439999999999997</v>
      </c>
    </row>
    <row r="1021" spans="1:3" x14ac:dyDescent="0.25">
      <c r="A1021" s="1">
        <v>41493</v>
      </c>
      <c r="B1021">
        <v>0.89649999999999996</v>
      </c>
      <c r="C1021">
        <v>0.89459999999999995</v>
      </c>
    </row>
    <row r="1022" spans="1:3" x14ac:dyDescent="0.25">
      <c r="A1022" s="1">
        <v>41494</v>
      </c>
      <c r="B1022">
        <v>0.90639999999999998</v>
      </c>
      <c r="C1022">
        <v>0.90449999999999997</v>
      </c>
    </row>
    <row r="1023" spans="1:3" x14ac:dyDescent="0.25">
      <c r="A1023" s="1">
        <v>41498</v>
      </c>
      <c r="B1023">
        <v>0.92030000000000001</v>
      </c>
      <c r="C1023">
        <v>0.91830000000000001</v>
      </c>
    </row>
    <row r="1024" spans="1:3" x14ac:dyDescent="0.25">
      <c r="A1024" s="1">
        <v>41499</v>
      </c>
      <c r="B1024">
        <v>0.91300000000000003</v>
      </c>
      <c r="C1024">
        <v>0.91110000000000002</v>
      </c>
    </row>
    <row r="1025" spans="1:3" x14ac:dyDescent="0.25">
      <c r="A1025" s="1">
        <v>41500</v>
      </c>
      <c r="B1025">
        <v>0.90990000000000004</v>
      </c>
      <c r="C1025">
        <v>0.90800000000000003</v>
      </c>
    </row>
    <row r="1026" spans="1:3" x14ac:dyDescent="0.25">
      <c r="A1026" s="1">
        <v>41502</v>
      </c>
      <c r="B1026">
        <v>0.91669999999999996</v>
      </c>
      <c r="C1026">
        <v>0.91479999999999995</v>
      </c>
    </row>
    <row r="1027" spans="1:3" x14ac:dyDescent="0.25">
      <c r="A1027" s="1">
        <v>41505</v>
      </c>
      <c r="B1027">
        <v>0.9214</v>
      </c>
      <c r="C1027">
        <v>0.9194</v>
      </c>
    </row>
    <row r="1028" spans="1:3" x14ac:dyDescent="0.25">
      <c r="A1028" s="1">
        <v>41506</v>
      </c>
      <c r="B1028">
        <v>0.90539999999999998</v>
      </c>
      <c r="C1028">
        <v>0.90339999999999998</v>
      </c>
    </row>
    <row r="1029" spans="1:3" x14ac:dyDescent="0.25">
      <c r="A1029" s="1">
        <v>41507</v>
      </c>
      <c r="B1029">
        <v>0.90329999999999999</v>
      </c>
      <c r="C1029">
        <v>0.90149999999999997</v>
      </c>
    </row>
    <row r="1030" spans="1:3" x14ac:dyDescent="0.25">
      <c r="A1030" s="1">
        <v>41508</v>
      </c>
      <c r="B1030">
        <v>0.89839999999999998</v>
      </c>
      <c r="C1030">
        <v>0.89659999999999995</v>
      </c>
    </row>
    <row r="1031" spans="1:3" x14ac:dyDescent="0.25">
      <c r="A1031" s="1">
        <v>41509</v>
      </c>
      <c r="B1031">
        <v>0.90210000000000001</v>
      </c>
      <c r="C1031">
        <v>0.9002</v>
      </c>
    </row>
    <row r="1032" spans="1:3" x14ac:dyDescent="0.25">
      <c r="A1032" s="1">
        <v>41512</v>
      </c>
      <c r="B1032">
        <v>0.90369999999999995</v>
      </c>
      <c r="C1032">
        <v>0.90180000000000005</v>
      </c>
    </row>
    <row r="1033" spans="1:3" x14ac:dyDescent="0.25">
      <c r="A1033" s="1">
        <v>41513</v>
      </c>
      <c r="B1033">
        <v>0.89870000000000005</v>
      </c>
      <c r="C1033">
        <v>0.89680000000000004</v>
      </c>
    </row>
    <row r="1034" spans="1:3" x14ac:dyDescent="0.25">
      <c r="A1034" s="1">
        <v>41514</v>
      </c>
      <c r="B1034">
        <v>0.89129999999999998</v>
      </c>
      <c r="C1034">
        <v>0.88949999999999996</v>
      </c>
    </row>
    <row r="1035" spans="1:3" x14ac:dyDescent="0.25">
      <c r="A1035" s="1">
        <v>41515</v>
      </c>
      <c r="B1035">
        <v>0.89749999999999996</v>
      </c>
      <c r="C1035">
        <v>0.89570000000000005</v>
      </c>
    </row>
    <row r="1036" spans="1:3" x14ac:dyDescent="0.25">
      <c r="A1036" s="1">
        <v>41516</v>
      </c>
      <c r="B1036">
        <v>0.89410000000000001</v>
      </c>
      <c r="C1036">
        <v>0.89229999999999998</v>
      </c>
    </row>
    <row r="1037" spans="1:3" x14ac:dyDescent="0.25">
      <c r="A1037" s="1">
        <v>41519</v>
      </c>
      <c r="B1037">
        <v>0.89670000000000005</v>
      </c>
      <c r="C1037">
        <v>0.89500000000000002</v>
      </c>
    </row>
    <row r="1038" spans="1:3" x14ac:dyDescent="0.25">
      <c r="A1038" s="1">
        <v>41520</v>
      </c>
      <c r="B1038">
        <v>0.9002</v>
      </c>
      <c r="C1038">
        <v>0.8982</v>
      </c>
    </row>
    <row r="1039" spans="1:3" x14ac:dyDescent="0.25">
      <c r="A1039" s="1">
        <v>41521</v>
      </c>
      <c r="B1039">
        <v>0.90980000000000005</v>
      </c>
      <c r="C1039">
        <v>0.90790000000000004</v>
      </c>
    </row>
    <row r="1040" spans="1:3" x14ac:dyDescent="0.25">
      <c r="A1040" s="1">
        <v>41522</v>
      </c>
      <c r="B1040">
        <v>0.91679999999999995</v>
      </c>
      <c r="C1040">
        <v>0.91500000000000004</v>
      </c>
    </row>
    <row r="1041" spans="1:3" x14ac:dyDescent="0.25">
      <c r="A1041" s="1">
        <v>41523</v>
      </c>
      <c r="B1041">
        <v>0.91259999999999997</v>
      </c>
      <c r="C1041">
        <v>0.91069999999999995</v>
      </c>
    </row>
    <row r="1042" spans="1:3" x14ac:dyDescent="0.25">
      <c r="A1042" s="1">
        <v>41527</v>
      </c>
      <c r="B1042">
        <v>0.92659999999999998</v>
      </c>
      <c r="C1042">
        <v>0.92459999999999998</v>
      </c>
    </row>
    <row r="1043" spans="1:3" x14ac:dyDescent="0.25">
      <c r="A1043" s="1">
        <v>41528</v>
      </c>
      <c r="B1043">
        <v>0.92820000000000003</v>
      </c>
      <c r="C1043">
        <v>0.92620000000000002</v>
      </c>
    </row>
    <row r="1044" spans="1:3" x14ac:dyDescent="0.25">
      <c r="A1044" s="1">
        <v>41529</v>
      </c>
      <c r="B1044">
        <v>0.92530000000000001</v>
      </c>
      <c r="C1044">
        <v>0.92349999999999999</v>
      </c>
    </row>
    <row r="1045" spans="1:3" x14ac:dyDescent="0.25">
      <c r="A1045" s="1">
        <v>41530</v>
      </c>
      <c r="B1045">
        <v>0.92459999999999998</v>
      </c>
      <c r="C1045">
        <v>0.92279999999999995</v>
      </c>
    </row>
    <row r="1046" spans="1:3" x14ac:dyDescent="0.25">
      <c r="A1046" s="1">
        <v>41533</v>
      </c>
      <c r="B1046">
        <v>0.9325</v>
      </c>
      <c r="C1046">
        <v>0.93069999999999997</v>
      </c>
    </row>
    <row r="1047" spans="1:3" x14ac:dyDescent="0.25">
      <c r="A1047" s="1">
        <v>41534</v>
      </c>
      <c r="B1047">
        <v>0.92949999999999999</v>
      </c>
      <c r="C1047">
        <v>0.92749999999999999</v>
      </c>
    </row>
    <row r="1048" spans="1:3" x14ac:dyDescent="0.25">
      <c r="A1048" s="1">
        <v>41535</v>
      </c>
      <c r="B1048">
        <v>0.93479999999999996</v>
      </c>
      <c r="C1048">
        <v>0.93289999999999995</v>
      </c>
    </row>
    <row r="1049" spans="1:3" x14ac:dyDescent="0.25">
      <c r="A1049" s="1">
        <v>41536</v>
      </c>
      <c r="B1049">
        <v>0.94920000000000004</v>
      </c>
      <c r="C1049">
        <v>0.94730000000000003</v>
      </c>
    </row>
    <row r="1050" spans="1:3" x14ac:dyDescent="0.25">
      <c r="A1050" s="1">
        <v>41537</v>
      </c>
      <c r="B1050">
        <v>0.94469999999999998</v>
      </c>
      <c r="C1050">
        <v>0.94279999999999997</v>
      </c>
    </row>
    <row r="1051" spans="1:3" x14ac:dyDescent="0.25">
      <c r="A1051" s="1">
        <v>41540</v>
      </c>
      <c r="B1051">
        <v>0.94189999999999996</v>
      </c>
      <c r="C1051">
        <v>0.94</v>
      </c>
    </row>
    <row r="1052" spans="1:3" x14ac:dyDescent="0.25">
      <c r="A1052" s="1">
        <v>41541</v>
      </c>
      <c r="B1052">
        <v>0.94140000000000001</v>
      </c>
      <c r="C1052">
        <v>0.93940000000000001</v>
      </c>
    </row>
    <row r="1053" spans="1:3" x14ac:dyDescent="0.25">
      <c r="A1053" s="1">
        <v>41542</v>
      </c>
      <c r="B1053">
        <v>0.93740000000000001</v>
      </c>
      <c r="C1053">
        <v>0.93540000000000001</v>
      </c>
    </row>
    <row r="1054" spans="1:3" x14ac:dyDescent="0.25">
      <c r="A1054" s="1">
        <v>41543</v>
      </c>
      <c r="B1054">
        <v>0.93700000000000006</v>
      </c>
      <c r="C1054">
        <v>0.93510000000000004</v>
      </c>
    </row>
    <row r="1055" spans="1:3" x14ac:dyDescent="0.25">
      <c r="A1055" s="1">
        <v>41544</v>
      </c>
      <c r="B1055">
        <v>0.93469999999999998</v>
      </c>
      <c r="C1055">
        <v>0.93279999999999996</v>
      </c>
    </row>
    <row r="1056" spans="1:3" x14ac:dyDescent="0.25">
      <c r="A1056" s="1">
        <v>41547</v>
      </c>
      <c r="B1056">
        <v>0.93079999999999996</v>
      </c>
      <c r="C1056">
        <v>0.92879999999999996</v>
      </c>
    </row>
    <row r="1057" spans="1:3" x14ac:dyDescent="0.25">
      <c r="A1057" s="1">
        <v>41548</v>
      </c>
      <c r="B1057">
        <v>0.93730000000000002</v>
      </c>
      <c r="C1057">
        <v>0.93530000000000002</v>
      </c>
    </row>
    <row r="1058" spans="1:3" x14ac:dyDescent="0.25">
      <c r="A1058" s="1">
        <v>41550</v>
      </c>
      <c r="B1058">
        <v>0.93940000000000001</v>
      </c>
      <c r="C1058">
        <v>0.93740000000000001</v>
      </c>
    </row>
    <row r="1059" spans="1:3" x14ac:dyDescent="0.25">
      <c r="A1059" s="1">
        <v>41551</v>
      </c>
      <c r="B1059">
        <v>0.94350000000000001</v>
      </c>
      <c r="C1059">
        <v>0.94130000000000003</v>
      </c>
    </row>
    <row r="1060" spans="1:3" x14ac:dyDescent="0.25">
      <c r="A1060" s="1">
        <v>41554</v>
      </c>
      <c r="B1060">
        <v>0.94210000000000005</v>
      </c>
      <c r="C1060">
        <v>0.94</v>
      </c>
    </row>
    <row r="1061" spans="1:3" x14ac:dyDescent="0.25">
      <c r="A1061" s="1">
        <v>41555</v>
      </c>
      <c r="B1061">
        <v>0.94279999999999997</v>
      </c>
      <c r="C1061">
        <v>0.94069999999999998</v>
      </c>
    </row>
    <row r="1062" spans="1:3" x14ac:dyDescent="0.25">
      <c r="A1062" s="1">
        <v>41556</v>
      </c>
      <c r="B1062">
        <v>0.94289999999999996</v>
      </c>
      <c r="C1062">
        <v>0.94089999999999996</v>
      </c>
    </row>
    <row r="1063" spans="1:3" x14ac:dyDescent="0.25">
      <c r="A1063" s="1">
        <v>41557</v>
      </c>
      <c r="B1063">
        <v>0.94030000000000002</v>
      </c>
      <c r="C1063">
        <v>0.93840000000000001</v>
      </c>
    </row>
    <row r="1064" spans="1:3" x14ac:dyDescent="0.25">
      <c r="A1064" s="1">
        <v>41558</v>
      </c>
      <c r="B1064">
        <v>0.94710000000000005</v>
      </c>
      <c r="C1064">
        <v>0.94520000000000004</v>
      </c>
    </row>
    <row r="1065" spans="1:3" x14ac:dyDescent="0.25">
      <c r="A1065" s="1">
        <v>41561</v>
      </c>
      <c r="B1065">
        <v>0.94679999999999997</v>
      </c>
      <c r="C1065">
        <v>0.94469999999999998</v>
      </c>
    </row>
    <row r="1066" spans="1:3" x14ac:dyDescent="0.25">
      <c r="A1066" s="1">
        <v>41562</v>
      </c>
      <c r="B1066">
        <v>0.95350000000000001</v>
      </c>
      <c r="C1066">
        <v>0.95150000000000001</v>
      </c>
    </row>
    <row r="1067" spans="1:3" x14ac:dyDescent="0.25">
      <c r="A1067" s="1">
        <v>41564</v>
      </c>
      <c r="B1067">
        <v>0.95420000000000005</v>
      </c>
      <c r="C1067">
        <v>0.95220000000000005</v>
      </c>
    </row>
    <row r="1068" spans="1:3" x14ac:dyDescent="0.25">
      <c r="A1068" s="1">
        <v>41565</v>
      </c>
      <c r="B1068">
        <v>0.96189999999999998</v>
      </c>
      <c r="C1068">
        <v>0.96</v>
      </c>
    </row>
    <row r="1069" spans="1:3" x14ac:dyDescent="0.25">
      <c r="A1069" s="1">
        <v>41568</v>
      </c>
      <c r="B1069">
        <v>0.96650000000000003</v>
      </c>
      <c r="C1069">
        <v>0.96440000000000003</v>
      </c>
    </row>
    <row r="1070" spans="1:3" x14ac:dyDescent="0.25">
      <c r="A1070" s="1">
        <v>41569</v>
      </c>
      <c r="B1070">
        <v>0.96460000000000001</v>
      </c>
      <c r="C1070">
        <v>0.96250000000000002</v>
      </c>
    </row>
    <row r="1071" spans="1:3" x14ac:dyDescent="0.25">
      <c r="A1071" s="1">
        <v>41570</v>
      </c>
      <c r="B1071">
        <v>0.96409999999999996</v>
      </c>
      <c r="C1071">
        <v>0.96209999999999996</v>
      </c>
    </row>
    <row r="1072" spans="1:3" x14ac:dyDescent="0.25">
      <c r="A1072" s="1">
        <v>41571</v>
      </c>
      <c r="B1072">
        <v>0.96530000000000005</v>
      </c>
      <c r="C1072">
        <v>0.96319999999999995</v>
      </c>
    </row>
    <row r="1073" spans="1:3" x14ac:dyDescent="0.25">
      <c r="A1073" s="1">
        <v>41572</v>
      </c>
      <c r="B1073">
        <v>0.96140000000000003</v>
      </c>
      <c r="C1073">
        <v>0.95940000000000003</v>
      </c>
    </row>
    <row r="1074" spans="1:3" x14ac:dyDescent="0.25">
      <c r="A1074" s="1">
        <v>41575</v>
      </c>
      <c r="B1074">
        <v>0.9607</v>
      </c>
      <c r="C1074">
        <v>0.95879999999999999</v>
      </c>
    </row>
    <row r="1075" spans="1:3" x14ac:dyDescent="0.25">
      <c r="A1075" s="1">
        <v>41576</v>
      </c>
      <c r="B1075">
        <v>0.95130000000000003</v>
      </c>
      <c r="C1075">
        <v>0.94950000000000001</v>
      </c>
    </row>
    <row r="1076" spans="1:3" x14ac:dyDescent="0.25">
      <c r="A1076" s="1">
        <v>41577</v>
      </c>
      <c r="B1076">
        <v>0.94779999999999998</v>
      </c>
      <c r="C1076">
        <v>0.94589999999999996</v>
      </c>
    </row>
    <row r="1077" spans="1:3" x14ac:dyDescent="0.25">
      <c r="A1077" s="1">
        <v>41578</v>
      </c>
      <c r="B1077">
        <v>0.94920000000000004</v>
      </c>
      <c r="C1077">
        <v>0.94740000000000002</v>
      </c>
    </row>
    <row r="1078" spans="1:3" x14ac:dyDescent="0.25">
      <c r="A1078" s="1">
        <v>41579</v>
      </c>
      <c r="B1078">
        <v>0.94799999999999995</v>
      </c>
      <c r="C1078">
        <v>0.94610000000000005</v>
      </c>
    </row>
    <row r="1079" spans="1:3" x14ac:dyDescent="0.25">
      <c r="A1079" s="1">
        <v>41583</v>
      </c>
      <c r="B1079">
        <v>0.94789999999999996</v>
      </c>
      <c r="C1079">
        <v>0.94589999999999996</v>
      </c>
    </row>
    <row r="1080" spans="1:3" x14ac:dyDescent="0.25">
      <c r="A1080" s="1">
        <v>41584</v>
      </c>
      <c r="B1080">
        <v>0.95169999999999999</v>
      </c>
      <c r="C1080">
        <v>0.94969999999999999</v>
      </c>
    </row>
    <row r="1081" spans="1:3" x14ac:dyDescent="0.25">
      <c r="A1081" s="1">
        <v>41585</v>
      </c>
      <c r="B1081">
        <v>0.94750000000000001</v>
      </c>
      <c r="C1081">
        <v>0.9456</v>
      </c>
    </row>
    <row r="1082" spans="1:3" x14ac:dyDescent="0.25">
      <c r="A1082" s="1">
        <v>41586</v>
      </c>
      <c r="B1082">
        <v>0.9456</v>
      </c>
      <c r="C1082">
        <v>0.94379999999999997</v>
      </c>
    </row>
    <row r="1083" spans="1:3" x14ac:dyDescent="0.25">
      <c r="A1083" s="1">
        <v>41589</v>
      </c>
      <c r="B1083">
        <v>0.93830000000000002</v>
      </c>
      <c r="C1083">
        <v>0.9365</v>
      </c>
    </row>
    <row r="1084" spans="1:3" x14ac:dyDescent="0.25">
      <c r="A1084" s="1">
        <v>41590</v>
      </c>
      <c r="B1084">
        <v>0.93389999999999995</v>
      </c>
      <c r="C1084">
        <v>0.93189999999999995</v>
      </c>
    </row>
    <row r="1085" spans="1:3" x14ac:dyDescent="0.25">
      <c r="A1085" s="1">
        <v>41591</v>
      </c>
      <c r="B1085">
        <v>0.93030000000000002</v>
      </c>
      <c r="C1085">
        <v>0.9284</v>
      </c>
    </row>
    <row r="1086" spans="1:3" x14ac:dyDescent="0.25">
      <c r="A1086" s="1">
        <v>41592</v>
      </c>
      <c r="B1086">
        <v>0.93440000000000001</v>
      </c>
      <c r="C1086">
        <v>0.9325</v>
      </c>
    </row>
    <row r="1087" spans="1:3" x14ac:dyDescent="0.25">
      <c r="A1087" s="1">
        <v>41596</v>
      </c>
      <c r="B1087">
        <v>0.93959999999999999</v>
      </c>
      <c r="C1087">
        <v>0.93769999999999998</v>
      </c>
    </row>
    <row r="1088" spans="1:3" x14ac:dyDescent="0.25">
      <c r="A1088" s="1">
        <v>41597</v>
      </c>
      <c r="B1088">
        <v>0.93789999999999996</v>
      </c>
      <c r="C1088">
        <v>0.93600000000000005</v>
      </c>
    </row>
    <row r="1089" spans="1:3" x14ac:dyDescent="0.25">
      <c r="A1089" s="1">
        <v>41598</v>
      </c>
      <c r="B1089">
        <v>0.94130000000000003</v>
      </c>
      <c r="C1089">
        <v>0.93940000000000001</v>
      </c>
    </row>
    <row r="1090" spans="1:3" x14ac:dyDescent="0.25">
      <c r="A1090" s="1">
        <v>41599</v>
      </c>
      <c r="B1090">
        <v>0.92989999999999995</v>
      </c>
      <c r="C1090">
        <v>0.92789999999999995</v>
      </c>
    </row>
    <row r="1091" spans="1:3" x14ac:dyDescent="0.25">
      <c r="A1091" s="1">
        <v>41600</v>
      </c>
      <c r="B1091">
        <v>0.91949999999999998</v>
      </c>
      <c r="C1091">
        <v>0.91759999999999997</v>
      </c>
    </row>
    <row r="1092" spans="1:3" x14ac:dyDescent="0.25">
      <c r="A1092" s="1">
        <v>41603</v>
      </c>
      <c r="B1092">
        <v>0.91579999999999995</v>
      </c>
      <c r="C1092">
        <v>0.91400000000000003</v>
      </c>
    </row>
    <row r="1093" spans="1:3" x14ac:dyDescent="0.25">
      <c r="A1093" s="1">
        <v>41604</v>
      </c>
      <c r="B1093">
        <v>0.91910000000000003</v>
      </c>
      <c r="C1093">
        <v>0.91720000000000002</v>
      </c>
    </row>
    <row r="1094" spans="1:3" x14ac:dyDescent="0.25">
      <c r="A1094" s="1">
        <v>41605</v>
      </c>
      <c r="B1094">
        <v>0.9123</v>
      </c>
      <c r="C1094">
        <v>0.91039999999999999</v>
      </c>
    </row>
    <row r="1095" spans="1:3" x14ac:dyDescent="0.25">
      <c r="A1095" s="1">
        <v>41606</v>
      </c>
      <c r="B1095">
        <v>0.91259999999999997</v>
      </c>
      <c r="C1095">
        <v>0.91080000000000005</v>
      </c>
    </row>
    <row r="1096" spans="1:3" x14ac:dyDescent="0.25">
      <c r="A1096" s="1">
        <v>41607</v>
      </c>
      <c r="B1096">
        <v>0.90869999999999995</v>
      </c>
      <c r="C1096">
        <v>0.90690000000000004</v>
      </c>
    </row>
    <row r="1097" spans="1:3" x14ac:dyDescent="0.25">
      <c r="A1097" s="1">
        <v>41610</v>
      </c>
      <c r="B1097">
        <v>0.91490000000000005</v>
      </c>
      <c r="C1097">
        <v>0.91290000000000004</v>
      </c>
    </row>
    <row r="1098" spans="1:3" x14ac:dyDescent="0.25">
      <c r="A1098" s="1">
        <v>41611</v>
      </c>
      <c r="B1098">
        <v>0.90759999999999996</v>
      </c>
      <c r="C1098">
        <v>0.90569999999999995</v>
      </c>
    </row>
    <row r="1099" spans="1:3" x14ac:dyDescent="0.25">
      <c r="A1099" s="1">
        <v>41612</v>
      </c>
      <c r="B1099">
        <v>0.90659999999999996</v>
      </c>
      <c r="C1099">
        <v>0.90480000000000005</v>
      </c>
    </row>
    <row r="1100" spans="1:3" x14ac:dyDescent="0.25">
      <c r="A1100" s="1">
        <v>41613</v>
      </c>
      <c r="B1100">
        <v>0.90390000000000004</v>
      </c>
      <c r="C1100">
        <v>0.90200000000000002</v>
      </c>
    </row>
    <row r="1101" spans="1:3" x14ac:dyDescent="0.25">
      <c r="A1101" s="1">
        <v>41614</v>
      </c>
      <c r="B1101">
        <v>0.90590000000000004</v>
      </c>
      <c r="C1101">
        <v>0.90400000000000003</v>
      </c>
    </row>
    <row r="1102" spans="1:3" x14ac:dyDescent="0.25">
      <c r="A1102" s="1">
        <v>41617</v>
      </c>
      <c r="B1102">
        <v>0.91039999999999999</v>
      </c>
      <c r="C1102">
        <v>0.90839999999999999</v>
      </c>
    </row>
    <row r="1103" spans="1:3" x14ac:dyDescent="0.25">
      <c r="A1103" s="1">
        <v>41618</v>
      </c>
      <c r="B1103">
        <v>0.91059999999999997</v>
      </c>
      <c r="C1103">
        <v>0.90859999999999996</v>
      </c>
    </row>
    <row r="1104" spans="1:3" x14ac:dyDescent="0.25">
      <c r="A1104" s="1">
        <v>41619</v>
      </c>
      <c r="B1104">
        <v>0.91349999999999998</v>
      </c>
      <c r="C1104">
        <v>0.91159999999999997</v>
      </c>
    </row>
    <row r="1105" spans="1:3" x14ac:dyDescent="0.25">
      <c r="A1105" s="1">
        <v>41620</v>
      </c>
      <c r="B1105">
        <v>0.90259999999999996</v>
      </c>
      <c r="C1105">
        <v>0.90069999999999995</v>
      </c>
    </row>
    <row r="1106" spans="1:3" x14ac:dyDescent="0.25">
      <c r="A1106" s="1">
        <v>41621</v>
      </c>
      <c r="B1106">
        <v>0.89329999999999998</v>
      </c>
      <c r="C1106">
        <v>0.89139999999999997</v>
      </c>
    </row>
    <row r="1107" spans="1:3" x14ac:dyDescent="0.25">
      <c r="A1107" s="1">
        <v>41624</v>
      </c>
      <c r="B1107">
        <v>0.8952</v>
      </c>
      <c r="C1107">
        <v>0.8931</v>
      </c>
    </row>
    <row r="1108" spans="1:3" x14ac:dyDescent="0.25">
      <c r="A1108" s="1">
        <v>41625</v>
      </c>
      <c r="B1108">
        <v>0.89419999999999999</v>
      </c>
      <c r="C1108">
        <v>0.8921</v>
      </c>
    </row>
    <row r="1109" spans="1:3" x14ac:dyDescent="0.25">
      <c r="A1109" s="1">
        <v>41626</v>
      </c>
      <c r="B1109">
        <v>0.89039999999999997</v>
      </c>
      <c r="C1109">
        <v>0.88849999999999996</v>
      </c>
    </row>
    <row r="1110" spans="1:3" x14ac:dyDescent="0.25">
      <c r="A1110" s="1">
        <v>41627</v>
      </c>
      <c r="B1110">
        <v>0.88339999999999996</v>
      </c>
      <c r="C1110">
        <v>0.88149999999999995</v>
      </c>
    </row>
    <row r="1111" spans="1:3" x14ac:dyDescent="0.25">
      <c r="A1111" s="1">
        <v>41628</v>
      </c>
      <c r="B1111">
        <v>0.88680000000000003</v>
      </c>
      <c r="C1111">
        <v>0.88500000000000001</v>
      </c>
    </row>
    <row r="1112" spans="1:3" x14ac:dyDescent="0.25">
      <c r="A1112" s="1">
        <v>41631</v>
      </c>
      <c r="B1112">
        <v>0.89290000000000003</v>
      </c>
      <c r="C1112">
        <v>0.89100000000000001</v>
      </c>
    </row>
    <row r="1113" spans="1:3" x14ac:dyDescent="0.25">
      <c r="A1113" s="1">
        <v>41632</v>
      </c>
      <c r="B1113">
        <v>0.8911</v>
      </c>
      <c r="C1113">
        <v>0.88929999999999998</v>
      </c>
    </row>
    <row r="1114" spans="1:3" x14ac:dyDescent="0.25">
      <c r="A1114" s="1">
        <v>41634</v>
      </c>
      <c r="B1114">
        <v>0.88880000000000003</v>
      </c>
      <c r="C1114">
        <v>0.88690000000000002</v>
      </c>
    </row>
    <row r="1115" spans="1:3" x14ac:dyDescent="0.25">
      <c r="A1115" s="1">
        <v>41635</v>
      </c>
      <c r="B1115">
        <v>0.88929999999999998</v>
      </c>
      <c r="C1115">
        <v>0.88739999999999997</v>
      </c>
    </row>
    <row r="1116" spans="1:3" x14ac:dyDescent="0.25">
      <c r="A1116" s="1">
        <v>41638</v>
      </c>
      <c r="B1116">
        <v>0.88529999999999998</v>
      </c>
      <c r="C1116">
        <v>0.88339999999999996</v>
      </c>
    </row>
    <row r="1117" spans="1:3" x14ac:dyDescent="0.25">
      <c r="A1117" s="1">
        <v>41639</v>
      </c>
      <c r="B1117">
        <v>0.89370000000000005</v>
      </c>
      <c r="C1117">
        <v>0.89190000000000003</v>
      </c>
    </row>
    <row r="1118" spans="1:3" x14ac:dyDescent="0.25">
      <c r="A1118" s="1">
        <v>41640</v>
      </c>
      <c r="B1118">
        <v>0.8448</v>
      </c>
      <c r="C1118">
        <v>0.84289999999999998</v>
      </c>
    </row>
    <row r="1119" spans="1:3" x14ac:dyDescent="0.25">
      <c r="A1119" s="1">
        <v>41641</v>
      </c>
      <c r="B1119">
        <v>0.89190000000000003</v>
      </c>
      <c r="C1119">
        <v>0.89</v>
      </c>
    </row>
    <row r="1120" spans="1:3" x14ac:dyDescent="0.25">
      <c r="A1120" s="1">
        <v>41642</v>
      </c>
      <c r="B1120">
        <v>0.89670000000000005</v>
      </c>
      <c r="C1120">
        <v>0.89490000000000003</v>
      </c>
    </row>
    <row r="1121" spans="1:3" x14ac:dyDescent="0.25">
      <c r="A1121" s="1">
        <v>41645</v>
      </c>
      <c r="B1121">
        <v>0.89470000000000005</v>
      </c>
      <c r="C1121">
        <v>0.89280000000000004</v>
      </c>
    </row>
    <row r="1122" spans="1:3" x14ac:dyDescent="0.25">
      <c r="A1122" s="1">
        <v>41646</v>
      </c>
      <c r="B1122">
        <v>0.89300000000000002</v>
      </c>
      <c r="C1122">
        <v>0.8911</v>
      </c>
    </row>
    <row r="1123" spans="1:3" x14ac:dyDescent="0.25">
      <c r="A1123" s="1">
        <v>41647</v>
      </c>
      <c r="B1123">
        <v>0.89300000000000002</v>
      </c>
      <c r="C1123">
        <v>0.8911</v>
      </c>
    </row>
    <row r="1124" spans="1:3" x14ac:dyDescent="0.25">
      <c r="A1124" s="1">
        <v>41648</v>
      </c>
      <c r="B1124">
        <v>0.88800000000000001</v>
      </c>
      <c r="C1124">
        <v>0.88619999999999999</v>
      </c>
    </row>
    <row r="1125" spans="1:3" x14ac:dyDescent="0.25">
      <c r="A1125" s="1">
        <v>41649</v>
      </c>
      <c r="B1125">
        <v>0.89</v>
      </c>
      <c r="C1125">
        <v>0.88819999999999999</v>
      </c>
    </row>
    <row r="1126" spans="1:3" x14ac:dyDescent="0.25">
      <c r="A1126" s="1">
        <v>41655</v>
      </c>
      <c r="B1126">
        <v>0.88129999999999997</v>
      </c>
      <c r="C1126">
        <v>0.87949999999999995</v>
      </c>
    </row>
    <row r="1127" spans="1:3" x14ac:dyDescent="0.25">
      <c r="A1127" s="1">
        <v>41656</v>
      </c>
      <c r="B1127">
        <v>0.88180000000000003</v>
      </c>
      <c r="C1127">
        <v>0.88</v>
      </c>
    </row>
    <row r="1128" spans="1:3" x14ac:dyDescent="0.25">
      <c r="A1128" s="1">
        <v>41659</v>
      </c>
      <c r="B1128">
        <v>0.87809999999999999</v>
      </c>
      <c r="C1128">
        <v>0.87619999999999998</v>
      </c>
    </row>
    <row r="1129" spans="1:3" x14ac:dyDescent="0.25">
      <c r="A1129" s="1">
        <v>41660</v>
      </c>
      <c r="B1129">
        <v>0.88149999999999995</v>
      </c>
      <c r="C1129">
        <v>0.87960000000000005</v>
      </c>
    </row>
    <row r="1130" spans="1:3" x14ac:dyDescent="0.25">
      <c r="A1130" s="1">
        <v>41661</v>
      </c>
      <c r="B1130">
        <v>0.88619999999999999</v>
      </c>
      <c r="C1130">
        <v>0.88429999999999997</v>
      </c>
    </row>
    <row r="1131" spans="1:3" x14ac:dyDescent="0.25">
      <c r="A1131" s="1">
        <v>41662</v>
      </c>
      <c r="B1131">
        <v>0.87949999999999995</v>
      </c>
      <c r="C1131">
        <v>0.87760000000000005</v>
      </c>
    </row>
    <row r="1132" spans="1:3" x14ac:dyDescent="0.25">
      <c r="A1132" s="1">
        <v>41663</v>
      </c>
      <c r="B1132">
        <v>0.87549999999999994</v>
      </c>
      <c r="C1132">
        <v>0.87370000000000003</v>
      </c>
    </row>
    <row r="1133" spans="1:3" x14ac:dyDescent="0.25">
      <c r="A1133" s="1">
        <v>41666</v>
      </c>
      <c r="B1133">
        <v>0.87219999999999998</v>
      </c>
      <c r="C1133">
        <v>0.87039999999999995</v>
      </c>
    </row>
    <row r="1134" spans="1:3" x14ac:dyDescent="0.25">
      <c r="A1134" s="1">
        <v>41667</v>
      </c>
      <c r="B1134">
        <v>0.87860000000000005</v>
      </c>
      <c r="C1134">
        <v>0.87690000000000001</v>
      </c>
    </row>
    <row r="1135" spans="1:3" x14ac:dyDescent="0.25">
      <c r="A1135" s="1">
        <v>41668</v>
      </c>
      <c r="B1135">
        <v>0.88060000000000005</v>
      </c>
      <c r="C1135">
        <v>0.87890000000000001</v>
      </c>
    </row>
    <row r="1136" spans="1:3" x14ac:dyDescent="0.25">
      <c r="A1136" s="1">
        <v>41669</v>
      </c>
      <c r="B1136">
        <v>0.87280000000000002</v>
      </c>
      <c r="C1136">
        <v>0.87109999999999999</v>
      </c>
    </row>
    <row r="1137" spans="1:3" x14ac:dyDescent="0.25">
      <c r="A1137" s="1">
        <v>41670</v>
      </c>
      <c r="B1137">
        <v>0.87649999999999995</v>
      </c>
      <c r="C1137">
        <v>0.87480000000000002</v>
      </c>
    </row>
    <row r="1138" spans="1:3" x14ac:dyDescent="0.25">
      <c r="A1138" s="1">
        <v>41673</v>
      </c>
      <c r="B1138">
        <v>0.87490000000000001</v>
      </c>
      <c r="C1138">
        <v>0.87319999999999998</v>
      </c>
    </row>
    <row r="1139" spans="1:3" x14ac:dyDescent="0.25">
      <c r="A1139" s="1">
        <v>41674</v>
      </c>
      <c r="B1139">
        <v>0.88759999999999994</v>
      </c>
      <c r="C1139">
        <v>0.88590000000000002</v>
      </c>
    </row>
    <row r="1140" spans="1:3" x14ac:dyDescent="0.25">
      <c r="A1140" s="1">
        <v>41675</v>
      </c>
      <c r="B1140">
        <v>0.88870000000000005</v>
      </c>
      <c r="C1140">
        <v>0.8871</v>
      </c>
    </row>
    <row r="1141" spans="1:3" x14ac:dyDescent="0.25">
      <c r="A1141" s="1">
        <v>41676</v>
      </c>
      <c r="B1141">
        <v>0.8962</v>
      </c>
      <c r="C1141">
        <v>0.89449999999999996</v>
      </c>
    </row>
    <row r="1142" spans="1:3" x14ac:dyDescent="0.25">
      <c r="A1142" s="1">
        <v>41677</v>
      </c>
      <c r="B1142">
        <v>0.89429999999999998</v>
      </c>
      <c r="C1142">
        <v>0.89259999999999995</v>
      </c>
    </row>
    <row r="1143" spans="1:3" x14ac:dyDescent="0.25">
      <c r="A1143" s="1">
        <v>41680</v>
      </c>
      <c r="B1143">
        <v>0.89359999999999995</v>
      </c>
      <c r="C1143">
        <v>0.89190000000000003</v>
      </c>
    </row>
    <row r="1144" spans="1:3" x14ac:dyDescent="0.25">
      <c r="A1144" s="1">
        <v>41681</v>
      </c>
      <c r="B1144">
        <v>0.90080000000000005</v>
      </c>
      <c r="C1144">
        <v>0.89910000000000001</v>
      </c>
    </row>
    <row r="1145" spans="1:3" x14ac:dyDescent="0.25">
      <c r="A1145" s="1">
        <v>41682</v>
      </c>
      <c r="B1145">
        <v>0.90510000000000002</v>
      </c>
      <c r="C1145">
        <v>0.90339999999999998</v>
      </c>
    </row>
    <row r="1146" spans="1:3" x14ac:dyDescent="0.25">
      <c r="A1146" s="1">
        <v>41683</v>
      </c>
      <c r="B1146">
        <v>0.89370000000000005</v>
      </c>
      <c r="C1146">
        <v>0.89200000000000002</v>
      </c>
    </row>
    <row r="1147" spans="1:3" x14ac:dyDescent="0.25">
      <c r="A1147" s="1">
        <v>41684</v>
      </c>
      <c r="B1147">
        <v>0.89949999999999997</v>
      </c>
      <c r="C1147">
        <v>0.89780000000000004</v>
      </c>
    </row>
    <row r="1148" spans="1:3" x14ac:dyDescent="0.25">
      <c r="A1148" s="1">
        <v>41687</v>
      </c>
      <c r="B1148">
        <v>0.90490000000000004</v>
      </c>
      <c r="C1148">
        <v>0.9032</v>
      </c>
    </row>
    <row r="1149" spans="1:3" x14ac:dyDescent="0.25">
      <c r="A1149" s="1">
        <v>41688</v>
      </c>
      <c r="B1149">
        <v>0.90559999999999996</v>
      </c>
      <c r="C1149">
        <v>0.90380000000000005</v>
      </c>
    </row>
    <row r="1150" spans="1:3" x14ac:dyDescent="0.25">
      <c r="A1150" s="1">
        <v>41689</v>
      </c>
      <c r="B1150">
        <v>0.90059999999999996</v>
      </c>
      <c r="C1150">
        <v>0.89890000000000003</v>
      </c>
    </row>
    <row r="1151" spans="1:3" x14ac:dyDescent="0.25">
      <c r="A1151" s="1">
        <v>41690</v>
      </c>
      <c r="B1151">
        <v>0.89429999999999998</v>
      </c>
      <c r="C1151">
        <v>0.89259999999999995</v>
      </c>
    </row>
    <row r="1152" spans="1:3" x14ac:dyDescent="0.25">
      <c r="A1152" s="1">
        <v>41691</v>
      </c>
      <c r="B1152">
        <v>0.89939999999999998</v>
      </c>
      <c r="C1152">
        <v>0.89770000000000005</v>
      </c>
    </row>
    <row r="1153" spans="1:3" x14ac:dyDescent="0.25">
      <c r="A1153" s="1">
        <v>41694</v>
      </c>
      <c r="B1153">
        <v>0.89739999999999998</v>
      </c>
      <c r="C1153">
        <v>0.89570000000000005</v>
      </c>
    </row>
    <row r="1154" spans="1:3" x14ac:dyDescent="0.25">
      <c r="A1154" s="1">
        <v>41695</v>
      </c>
      <c r="B1154">
        <v>0.90290000000000004</v>
      </c>
      <c r="C1154">
        <v>0.9012</v>
      </c>
    </row>
    <row r="1155" spans="1:3" x14ac:dyDescent="0.25">
      <c r="A1155" s="1">
        <v>41696</v>
      </c>
      <c r="B1155">
        <v>0.90059999999999996</v>
      </c>
      <c r="C1155">
        <v>0.89870000000000005</v>
      </c>
    </row>
    <row r="1156" spans="1:3" x14ac:dyDescent="0.25">
      <c r="A1156" s="1">
        <v>41698</v>
      </c>
      <c r="B1156">
        <v>0.8952</v>
      </c>
      <c r="C1156">
        <v>0.89329999999999998</v>
      </c>
    </row>
    <row r="1157" spans="1:3" x14ac:dyDescent="0.25">
      <c r="A1157" s="1">
        <v>41701</v>
      </c>
      <c r="B1157">
        <v>0.89080000000000004</v>
      </c>
      <c r="C1157">
        <v>0.88880000000000003</v>
      </c>
    </row>
    <row r="1158" spans="1:3" x14ac:dyDescent="0.25">
      <c r="A1158" s="1">
        <v>41702</v>
      </c>
      <c r="B1158">
        <v>0.89329999999999998</v>
      </c>
      <c r="C1158">
        <v>0.89139999999999997</v>
      </c>
    </row>
    <row r="1159" spans="1:3" x14ac:dyDescent="0.25">
      <c r="A1159" s="1">
        <v>41703</v>
      </c>
      <c r="B1159">
        <v>0.89570000000000005</v>
      </c>
      <c r="C1159">
        <v>0.89380000000000004</v>
      </c>
    </row>
    <row r="1160" spans="1:3" x14ac:dyDescent="0.25">
      <c r="A1160" s="1">
        <v>41704</v>
      </c>
      <c r="B1160">
        <v>0.90139999999999998</v>
      </c>
      <c r="C1160">
        <v>0.89939999999999998</v>
      </c>
    </row>
    <row r="1161" spans="1:3" x14ac:dyDescent="0.25">
      <c r="A1161" s="1">
        <v>41705</v>
      </c>
      <c r="B1161">
        <v>0.90849999999999997</v>
      </c>
      <c r="C1161">
        <v>0.90659999999999996</v>
      </c>
    </row>
    <row r="1162" spans="1:3" x14ac:dyDescent="0.25">
      <c r="A1162" s="1">
        <v>41708</v>
      </c>
      <c r="B1162">
        <v>0.90400000000000003</v>
      </c>
      <c r="C1162">
        <v>0.90200000000000002</v>
      </c>
    </row>
    <row r="1163" spans="1:3" x14ac:dyDescent="0.25">
      <c r="A1163" s="1">
        <v>41709</v>
      </c>
      <c r="B1163">
        <v>0.90300000000000002</v>
      </c>
      <c r="C1163">
        <v>0.90100000000000002</v>
      </c>
    </row>
    <row r="1164" spans="1:3" x14ac:dyDescent="0.25">
      <c r="A1164" s="1">
        <v>41710</v>
      </c>
      <c r="B1164">
        <v>0.89629999999999999</v>
      </c>
      <c r="C1164">
        <v>0.89449999999999996</v>
      </c>
    </row>
    <row r="1165" spans="1:3" x14ac:dyDescent="0.25">
      <c r="A1165" s="1">
        <v>41711</v>
      </c>
      <c r="B1165">
        <v>0.90710000000000002</v>
      </c>
      <c r="C1165">
        <v>0.9052</v>
      </c>
    </row>
    <row r="1166" spans="1:3" x14ac:dyDescent="0.25">
      <c r="A1166" s="1">
        <v>41712</v>
      </c>
      <c r="B1166">
        <v>0.90169999999999995</v>
      </c>
      <c r="C1166">
        <v>0.89949999999999997</v>
      </c>
    </row>
    <row r="1167" spans="1:3" x14ac:dyDescent="0.25">
      <c r="A1167" s="1">
        <v>41716</v>
      </c>
      <c r="B1167">
        <v>0.90769999999999995</v>
      </c>
      <c r="C1167">
        <v>0.90569999999999995</v>
      </c>
    </row>
    <row r="1168" spans="1:3" x14ac:dyDescent="0.25">
      <c r="A1168" s="1">
        <v>41717</v>
      </c>
      <c r="B1168">
        <v>0.91210000000000002</v>
      </c>
      <c r="C1168">
        <v>0.91010000000000002</v>
      </c>
    </row>
    <row r="1169" spans="1:3" x14ac:dyDescent="0.25">
      <c r="A1169" s="1">
        <v>41718</v>
      </c>
      <c r="B1169">
        <v>0.90190000000000003</v>
      </c>
      <c r="C1169">
        <v>0.9</v>
      </c>
    </row>
    <row r="1170" spans="1:3" x14ac:dyDescent="0.25">
      <c r="A1170" s="1">
        <v>41719</v>
      </c>
      <c r="B1170">
        <v>0.90600000000000003</v>
      </c>
      <c r="C1170">
        <v>0.90390000000000004</v>
      </c>
    </row>
    <row r="1171" spans="1:3" x14ac:dyDescent="0.25">
      <c r="A1171" s="1">
        <v>41722</v>
      </c>
      <c r="B1171">
        <v>0.90759999999999996</v>
      </c>
      <c r="C1171">
        <v>0.90559999999999996</v>
      </c>
    </row>
    <row r="1172" spans="1:3" x14ac:dyDescent="0.25">
      <c r="A1172" s="1">
        <v>41723</v>
      </c>
      <c r="B1172">
        <v>0.91379999999999995</v>
      </c>
      <c r="C1172">
        <v>0.91180000000000005</v>
      </c>
    </row>
    <row r="1173" spans="1:3" x14ac:dyDescent="0.25">
      <c r="A1173" s="1">
        <v>41724</v>
      </c>
      <c r="B1173">
        <v>0.91900000000000004</v>
      </c>
      <c r="C1173">
        <v>0.91710000000000003</v>
      </c>
    </row>
    <row r="1174" spans="1:3" x14ac:dyDescent="0.25">
      <c r="A1174" s="1">
        <v>41725</v>
      </c>
      <c r="B1174">
        <v>0.92369999999999997</v>
      </c>
      <c r="C1174">
        <v>0.92179999999999995</v>
      </c>
    </row>
    <row r="1175" spans="1:3" x14ac:dyDescent="0.25">
      <c r="A1175" s="1">
        <v>41726</v>
      </c>
      <c r="B1175">
        <v>0.92710000000000004</v>
      </c>
      <c r="C1175">
        <v>0.92520000000000002</v>
      </c>
    </row>
    <row r="1176" spans="1:3" x14ac:dyDescent="0.25">
      <c r="A1176" s="1">
        <v>41731</v>
      </c>
      <c r="B1176">
        <v>0.92349999999999999</v>
      </c>
      <c r="C1176">
        <v>0.92149999999999999</v>
      </c>
    </row>
    <row r="1177" spans="1:3" x14ac:dyDescent="0.25">
      <c r="A1177" s="1">
        <v>41732</v>
      </c>
      <c r="B1177">
        <v>0.92220000000000002</v>
      </c>
      <c r="C1177">
        <v>0.92020000000000002</v>
      </c>
    </row>
    <row r="1178" spans="1:3" x14ac:dyDescent="0.25">
      <c r="A1178" s="1">
        <v>41733</v>
      </c>
      <c r="B1178">
        <v>0.92349999999999999</v>
      </c>
      <c r="C1178">
        <v>0.92149999999999999</v>
      </c>
    </row>
    <row r="1179" spans="1:3" x14ac:dyDescent="0.25">
      <c r="A1179" s="1">
        <v>41736</v>
      </c>
      <c r="B1179">
        <v>0.92720000000000002</v>
      </c>
      <c r="C1179">
        <v>0.92520000000000002</v>
      </c>
    </row>
    <row r="1180" spans="1:3" x14ac:dyDescent="0.25">
      <c r="A1180" s="1">
        <v>41738</v>
      </c>
      <c r="B1180">
        <v>0.93700000000000006</v>
      </c>
      <c r="C1180">
        <v>0.93500000000000005</v>
      </c>
    </row>
    <row r="1181" spans="1:3" x14ac:dyDescent="0.25">
      <c r="A1181" s="1">
        <v>41739</v>
      </c>
      <c r="B1181">
        <v>0.94069999999999998</v>
      </c>
      <c r="C1181">
        <v>0.93869999999999998</v>
      </c>
    </row>
    <row r="1182" spans="1:3" x14ac:dyDescent="0.25">
      <c r="A1182" s="1">
        <v>41740</v>
      </c>
      <c r="B1182">
        <v>0.93820000000000003</v>
      </c>
      <c r="C1182">
        <v>0.93630000000000002</v>
      </c>
    </row>
    <row r="1183" spans="1:3" x14ac:dyDescent="0.25">
      <c r="A1183" s="1">
        <v>41744</v>
      </c>
      <c r="B1183">
        <v>0.93959999999999999</v>
      </c>
      <c r="C1183">
        <v>0.9375</v>
      </c>
    </row>
    <row r="1184" spans="1:3" x14ac:dyDescent="0.25">
      <c r="A1184" s="1">
        <v>41745</v>
      </c>
      <c r="B1184">
        <v>0.9365</v>
      </c>
      <c r="C1184">
        <v>0.93459999999999999</v>
      </c>
    </row>
    <row r="1185" spans="1:3" x14ac:dyDescent="0.25">
      <c r="A1185" s="1">
        <v>41746</v>
      </c>
      <c r="B1185">
        <v>0.93569999999999998</v>
      </c>
      <c r="C1185">
        <v>0.93379999999999996</v>
      </c>
    </row>
    <row r="1186" spans="1:3" x14ac:dyDescent="0.25">
      <c r="A1186" s="1">
        <v>41750</v>
      </c>
      <c r="B1186">
        <v>0.93279999999999996</v>
      </c>
      <c r="C1186">
        <v>0.93079999999999996</v>
      </c>
    </row>
    <row r="1187" spans="1:3" x14ac:dyDescent="0.25">
      <c r="A1187" s="1">
        <v>41751</v>
      </c>
      <c r="B1187">
        <v>0.93520000000000003</v>
      </c>
      <c r="C1187">
        <v>0.93310000000000004</v>
      </c>
    </row>
    <row r="1188" spans="1:3" x14ac:dyDescent="0.25">
      <c r="A1188" s="1">
        <v>41752</v>
      </c>
      <c r="B1188">
        <v>0.92869999999999997</v>
      </c>
      <c r="C1188">
        <v>0.92669999999999997</v>
      </c>
    </row>
    <row r="1189" spans="1:3" x14ac:dyDescent="0.25">
      <c r="A1189" s="1">
        <v>41754</v>
      </c>
      <c r="B1189">
        <v>0.92749999999999999</v>
      </c>
      <c r="C1189">
        <v>0.92559999999999998</v>
      </c>
    </row>
    <row r="1190" spans="1:3" x14ac:dyDescent="0.25">
      <c r="A1190" s="1">
        <v>41757</v>
      </c>
      <c r="B1190">
        <v>0.92969999999999997</v>
      </c>
      <c r="C1190">
        <v>0.92769999999999997</v>
      </c>
    </row>
    <row r="1191" spans="1:3" x14ac:dyDescent="0.25">
      <c r="A1191" s="1">
        <v>41758</v>
      </c>
      <c r="B1191">
        <v>0.92469999999999997</v>
      </c>
      <c r="C1191">
        <v>0.92269999999999996</v>
      </c>
    </row>
    <row r="1192" spans="1:3" x14ac:dyDescent="0.25">
      <c r="A1192" s="1">
        <v>41759</v>
      </c>
      <c r="B1192">
        <v>0.92859999999999998</v>
      </c>
      <c r="C1192">
        <v>0.92659999999999998</v>
      </c>
    </row>
    <row r="1193" spans="1:3" x14ac:dyDescent="0.25">
      <c r="A1193" s="1">
        <v>41761</v>
      </c>
      <c r="B1193">
        <v>0.92769999999999997</v>
      </c>
      <c r="C1193">
        <v>0.92569999999999997</v>
      </c>
    </row>
    <row r="1194" spans="1:3" x14ac:dyDescent="0.25">
      <c r="A1194" s="1">
        <v>41764</v>
      </c>
      <c r="B1194">
        <v>0.9264</v>
      </c>
      <c r="C1194">
        <v>0.92420000000000002</v>
      </c>
    </row>
    <row r="1195" spans="1:3" x14ac:dyDescent="0.25">
      <c r="A1195" s="1">
        <v>41765</v>
      </c>
      <c r="B1195">
        <v>0.92879999999999996</v>
      </c>
      <c r="C1195">
        <v>0.92669999999999997</v>
      </c>
    </row>
    <row r="1196" spans="1:3" x14ac:dyDescent="0.25">
      <c r="A1196" s="1">
        <v>41766</v>
      </c>
      <c r="B1196">
        <v>0.93389999999999995</v>
      </c>
      <c r="C1196">
        <v>0.93189999999999995</v>
      </c>
    </row>
    <row r="1197" spans="1:3" x14ac:dyDescent="0.25">
      <c r="A1197" s="1">
        <v>41767</v>
      </c>
      <c r="B1197">
        <v>0.93659999999999999</v>
      </c>
      <c r="C1197">
        <v>0.93459999999999999</v>
      </c>
    </row>
    <row r="1198" spans="1:3" x14ac:dyDescent="0.25">
      <c r="A1198" s="1">
        <v>41768</v>
      </c>
      <c r="B1198">
        <v>0.93579999999999997</v>
      </c>
      <c r="C1198">
        <v>0.93379999999999996</v>
      </c>
    </row>
    <row r="1199" spans="1:3" x14ac:dyDescent="0.25">
      <c r="A1199" s="1">
        <v>41771</v>
      </c>
      <c r="B1199">
        <v>0.93579999999999997</v>
      </c>
      <c r="C1199">
        <v>0.93369999999999997</v>
      </c>
    </row>
    <row r="1200" spans="1:3" x14ac:dyDescent="0.25">
      <c r="A1200" s="1">
        <v>41772</v>
      </c>
      <c r="B1200">
        <v>0.93520000000000003</v>
      </c>
      <c r="C1200">
        <v>0.93320000000000003</v>
      </c>
    </row>
    <row r="1201" spans="1:3" x14ac:dyDescent="0.25">
      <c r="A1201" s="1">
        <v>41774</v>
      </c>
      <c r="B1201">
        <v>0.93789999999999996</v>
      </c>
      <c r="C1201">
        <v>0.93589999999999995</v>
      </c>
    </row>
    <row r="1202" spans="1:3" x14ac:dyDescent="0.25">
      <c r="A1202" s="1">
        <v>41775</v>
      </c>
      <c r="B1202">
        <v>0.93559999999999999</v>
      </c>
      <c r="C1202">
        <v>0.93359999999999999</v>
      </c>
    </row>
    <row r="1203" spans="1:3" x14ac:dyDescent="0.25">
      <c r="A1203" s="1">
        <v>41778</v>
      </c>
      <c r="B1203">
        <v>0.93540000000000001</v>
      </c>
      <c r="C1203">
        <v>0.93330000000000002</v>
      </c>
    </row>
    <row r="1204" spans="1:3" x14ac:dyDescent="0.25">
      <c r="A1204" s="1">
        <v>41779</v>
      </c>
      <c r="B1204">
        <v>0.92579999999999996</v>
      </c>
      <c r="C1204">
        <v>0.92379999999999995</v>
      </c>
    </row>
    <row r="1205" spans="1:3" x14ac:dyDescent="0.25">
      <c r="A1205" s="1">
        <v>41780</v>
      </c>
      <c r="B1205">
        <v>0.92330000000000001</v>
      </c>
      <c r="C1205">
        <v>0.9214</v>
      </c>
    </row>
    <row r="1206" spans="1:3" x14ac:dyDescent="0.25">
      <c r="A1206" s="1">
        <v>41781</v>
      </c>
      <c r="B1206">
        <v>0.92679999999999996</v>
      </c>
      <c r="C1206">
        <v>0.92490000000000006</v>
      </c>
    </row>
    <row r="1207" spans="1:3" x14ac:dyDescent="0.25">
      <c r="A1207" s="1">
        <v>41782</v>
      </c>
      <c r="B1207">
        <v>0.92410000000000003</v>
      </c>
      <c r="C1207">
        <v>0.92210000000000003</v>
      </c>
    </row>
    <row r="1208" spans="1:3" x14ac:dyDescent="0.25">
      <c r="A1208" s="1">
        <v>41785</v>
      </c>
      <c r="B1208">
        <v>0.92359999999999998</v>
      </c>
      <c r="C1208">
        <v>0.9214</v>
      </c>
    </row>
    <row r="1209" spans="1:3" x14ac:dyDescent="0.25">
      <c r="A1209" s="1">
        <v>41786</v>
      </c>
      <c r="B1209">
        <v>0.92579999999999996</v>
      </c>
      <c r="C1209">
        <v>0.92369999999999997</v>
      </c>
    </row>
    <row r="1210" spans="1:3" x14ac:dyDescent="0.25">
      <c r="A1210" s="1">
        <v>41787</v>
      </c>
      <c r="B1210">
        <v>0.92600000000000005</v>
      </c>
      <c r="C1210">
        <v>0.92400000000000004</v>
      </c>
    </row>
    <row r="1211" spans="1:3" x14ac:dyDescent="0.25">
      <c r="A1211" s="1">
        <v>41788</v>
      </c>
      <c r="B1211">
        <v>0.92749999999999999</v>
      </c>
      <c r="C1211">
        <v>0.92559999999999998</v>
      </c>
    </row>
    <row r="1212" spans="1:3" x14ac:dyDescent="0.25">
      <c r="A1212" s="1">
        <v>41789</v>
      </c>
      <c r="B1212">
        <v>0.93230000000000002</v>
      </c>
      <c r="C1212">
        <v>0.9304</v>
      </c>
    </row>
    <row r="1213" spans="1:3" x14ac:dyDescent="0.25">
      <c r="A1213" s="1">
        <v>41792</v>
      </c>
      <c r="B1213">
        <v>0.92649999999999999</v>
      </c>
      <c r="C1213">
        <v>0.92430000000000001</v>
      </c>
    </row>
    <row r="1214" spans="1:3" x14ac:dyDescent="0.25">
      <c r="A1214" s="1">
        <v>41793</v>
      </c>
      <c r="B1214">
        <v>0.92500000000000004</v>
      </c>
      <c r="C1214">
        <v>0.92290000000000005</v>
      </c>
    </row>
    <row r="1215" spans="1:3" x14ac:dyDescent="0.25">
      <c r="A1215" s="1">
        <v>41794</v>
      </c>
      <c r="B1215">
        <v>0.92689999999999995</v>
      </c>
      <c r="C1215">
        <v>0.92490000000000006</v>
      </c>
    </row>
    <row r="1216" spans="1:3" x14ac:dyDescent="0.25">
      <c r="A1216" s="1">
        <v>41795</v>
      </c>
      <c r="B1216">
        <v>0.92849999999999999</v>
      </c>
      <c r="C1216">
        <v>0.92659999999999998</v>
      </c>
    </row>
    <row r="1217" spans="1:3" x14ac:dyDescent="0.25">
      <c r="A1217" s="1">
        <v>41796</v>
      </c>
      <c r="B1217">
        <v>0.93269999999999997</v>
      </c>
      <c r="C1217">
        <v>0.93069999999999997</v>
      </c>
    </row>
    <row r="1218" spans="1:3" x14ac:dyDescent="0.25">
      <c r="A1218" s="1">
        <v>41799</v>
      </c>
      <c r="B1218">
        <v>0.93530000000000002</v>
      </c>
      <c r="C1218">
        <v>0.93330000000000002</v>
      </c>
    </row>
    <row r="1219" spans="1:3" x14ac:dyDescent="0.25">
      <c r="A1219" s="1">
        <v>41800</v>
      </c>
      <c r="B1219">
        <v>0.93569999999999998</v>
      </c>
      <c r="C1219">
        <v>0.93359999999999999</v>
      </c>
    </row>
    <row r="1220" spans="1:3" x14ac:dyDescent="0.25">
      <c r="A1220" s="1">
        <v>41801</v>
      </c>
      <c r="B1220">
        <v>0.9385</v>
      </c>
      <c r="C1220">
        <v>0.9365</v>
      </c>
    </row>
    <row r="1221" spans="1:3" x14ac:dyDescent="0.25">
      <c r="A1221" s="1">
        <v>41802</v>
      </c>
      <c r="B1221">
        <v>0.93769999999999998</v>
      </c>
      <c r="C1221">
        <v>0.93569999999999998</v>
      </c>
    </row>
    <row r="1222" spans="1:3" x14ac:dyDescent="0.25">
      <c r="A1222" s="1">
        <v>41803</v>
      </c>
      <c r="B1222">
        <v>0.94210000000000005</v>
      </c>
      <c r="C1222">
        <v>0.94010000000000005</v>
      </c>
    </row>
    <row r="1223" spans="1:3" x14ac:dyDescent="0.25">
      <c r="A1223" s="1">
        <v>41806</v>
      </c>
      <c r="B1223">
        <v>0.94030000000000002</v>
      </c>
      <c r="C1223">
        <v>0.93830000000000002</v>
      </c>
    </row>
    <row r="1224" spans="1:3" x14ac:dyDescent="0.25">
      <c r="A1224" s="1">
        <v>41807</v>
      </c>
      <c r="B1224">
        <v>0.93579999999999997</v>
      </c>
      <c r="C1224">
        <v>0.93369999999999997</v>
      </c>
    </row>
    <row r="1225" spans="1:3" x14ac:dyDescent="0.25">
      <c r="A1225" s="1">
        <v>41808</v>
      </c>
      <c r="B1225">
        <v>0.93310000000000004</v>
      </c>
      <c r="C1225">
        <v>0.93100000000000005</v>
      </c>
    </row>
    <row r="1226" spans="1:3" x14ac:dyDescent="0.25">
      <c r="A1226" s="1">
        <v>41809</v>
      </c>
      <c r="B1226">
        <v>0.9405</v>
      </c>
      <c r="C1226">
        <v>0.9385</v>
      </c>
    </row>
    <row r="1227" spans="1:3" x14ac:dyDescent="0.25">
      <c r="A1227" s="1">
        <v>41810</v>
      </c>
      <c r="B1227">
        <v>0.94099999999999995</v>
      </c>
      <c r="C1227">
        <v>0.93889999999999996</v>
      </c>
    </row>
    <row r="1228" spans="1:3" x14ac:dyDescent="0.25">
      <c r="A1228" s="1">
        <v>41813</v>
      </c>
      <c r="B1228">
        <v>0.94389999999999996</v>
      </c>
      <c r="C1228">
        <v>0.94189999999999996</v>
      </c>
    </row>
    <row r="1229" spans="1:3" x14ac:dyDescent="0.25">
      <c r="A1229" s="1">
        <v>41814</v>
      </c>
      <c r="B1229">
        <v>0.94230000000000003</v>
      </c>
      <c r="C1229">
        <v>0.94010000000000005</v>
      </c>
    </row>
    <row r="1230" spans="1:3" x14ac:dyDescent="0.25">
      <c r="A1230" s="1">
        <v>41815</v>
      </c>
      <c r="B1230">
        <v>0.93600000000000005</v>
      </c>
      <c r="C1230">
        <v>0.93400000000000005</v>
      </c>
    </row>
    <row r="1231" spans="1:3" x14ac:dyDescent="0.25">
      <c r="A1231" s="1">
        <v>41816</v>
      </c>
      <c r="B1231">
        <v>0.93989999999999996</v>
      </c>
      <c r="C1231">
        <v>0.93779999999999997</v>
      </c>
    </row>
    <row r="1232" spans="1:3" x14ac:dyDescent="0.25">
      <c r="A1232" s="1">
        <v>41817</v>
      </c>
      <c r="B1232">
        <v>0.94350000000000001</v>
      </c>
      <c r="C1232">
        <v>0.94140000000000001</v>
      </c>
    </row>
    <row r="1233" spans="1:3" x14ac:dyDescent="0.25">
      <c r="A1233" s="1">
        <v>41820</v>
      </c>
      <c r="B1233">
        <v>0.94220000000000004</v>
      </c>
      <c r="C1233">
        <v>0.93989999999999996</v>
      </c>
    </row>
    <row r="1234" spans="1:3" x14ac:dyDescent="0.25">
      <c r="A1234" s="1">
        <v>41821</v>
      </c>
      <c r="B1234">
        <v>0.94499999999999995</v>
      </c>
      <c r="C1234">
        <v>0.94269999999999998</v>
      </c>
    </row>
    <row r="1235" spans="1:3" x14ac:dyDescent="0.25">
      <c r="A1235" s="1">
        <v>41822</v>
      </c>
      <c r="B1235">
        <v>0.94599999999999995</v>
      </c>
      <c r="C1235">
        <v>0.94389999999999996</v>
      </c>
    </row>
    <row r="1236" spans="1:3" x14ac:dyDescent="0.25">
      <c r="A1236" s="1">
        <v>41823</v>
      </c>
      <c r="B1236">
        <v>0.93779999999999997</v>
      </c>
      <c r="C1236">
        <v>0.93569999999999998</v>
      </c>
    </row>
    <row r="1237" spans="1:3" x14ac:dyDescent="0.25">
      <c r="A1237" s="1">
        <v>41824</v>
      </c>
      <c r="B1237">
        <v>0.93620000000000003</v>
      </c>
      <c r="C1237">
        <v>0.93410000000000004</v>
      </c>
    </row>
    <row r="1238" spans="1:3" x14ac:dyDescent="0.25">
      <c r="A1238" s="1">
        <v>41827</v>
      </c>
      <c r="B1238">
        <v>0.93600000000000005</v>
      </c>
      <c r="C1238">
        <v>0.93379999999999996</v>
      </c>
    </row>
    <row r="1239" spans="1:3" x14ac:dyDescent="0.25">
      <c r="A1239" s="1">
        <v>41828</v>
      </c>
      <c r="B1239">
        <v>0.94</v>
      </c>
      <c r="C1239">
        <v>0.93789999999999996</v>
      </c>
    </row>
    <row r="1240" spans="1:3" x14ac:dyDescent="0.25">
      <c r="A1240" s="1">
        <v>41829</v>
      </c>
      <c r="B1240">
        <v>0.93979999999999997</v>
      </c>
      <c r="C1240">
        <v>0.93769999999999998</v>
      </c>
    </row>
    <row r="1241" spans="1:3" x14ac:dyDescent="0.25">
      <c r="A1241" s="1">
        <v>41830</v>
      </c>
      <c r="B1241">
        <v>0.94069999999999998</v>
      </c>
      <c r="C1241">
        <v>0.93859999999999999</v>
      </c>
    </row>
    <row r="1242" spans="1:3" x14ac:dyDescent="0.25">
      <c r="A1242" s="1">
        <v>41831</v>
      </c>
      <c r="B1242">
        <v>0.93889999999999996</v>
      </c>
      <c r="C1242">
        <v>0.93689999999999996</v>
      </c>
    </row>
    <row r="1243" spans="1:3" x14ac:dyDescent="0.25">
      <c r="A1243" s="1">
        <v>41834</v>
      </c>
      <c r="B1243">
        <v>0.9395</v>
      </c>
      <c r="C1243">
        <v>0.93730000000000002</v>
      </c>
    </row>
    <row r="1244" spans="1:3" x14ac:dyDescent="0.25">
      <c r="A1244" s="1">
        <v>41835</v>
      </c>
      <c r="B1244">
        <v>0.9395</v>
      </c>
      <c r="C1244">
        <v>0.93740000000000001</v>
      </c>
    </row>
    <row r="1245" spans="1:3" x14ac:dyDescent="0.25">
      <c r="A1245" s="1">
        <v>41836</v>
      </c>
      <c r="B1245">
        <v>0.93369999999999997</v>
      </c>
      <c r="C1245">
        <v>0.93159999999999998</v>
      </c>
    </row>
    <row r="1246" spans="1:3" x14ac:dyDescent="0.25">
      <c r="A1246" s="1">
        <v>41837</v>
      </c>
      <c r="B1246">
        <v>0.93610000000000004</v>
      </c>
      <c r="C1246">
        <v>0.93410000000000004</v>
      </c>
    </row>
    <row r="1247" spans="1:3" x14ac:dyDescent="0.25">
      <c r="A1247" s="1">
        <v>41838</v>
      </c>
      <c r="B1247">
        <v>0.93610000000000004</v>
      </c>
      <c r="C1247">
        <v>0.93410000000000004</v>
      </c>
    </row>
    <row r="1248" spans="1:3" x14ac:dyDescent="0.25">
      <c r="A1248" s="1">
        <v>41841</v>
      </c>
      <c r="B1248">
        <v>0.93969999999999998</v>
      </c>
      <c r="C1248">
        <v>0.9375</v>
      </c>
    </row>
    <row r="1249" spans="1:3" x14ac:dyDescent="0.25">
      <c r="A1249" s="1">
        <v>41842</v>
      </c>
      <c r="B1249">
        <v>0.93879999999999997</v>
      </c>
      <c r="C1249">
        <v>0.93669999999999998</v>
      </c>
    </row>
    <row r="1250" spans="1:3" x14ac:dyDescent="0.25">
      <c r="A1250" s="1">
        <v>41843</v>
      </c>
      <c r="B1250">
        <v>0.94310000000000005</v>
      </c>
      <c r="C1250">
        <v>0.94099999999999995</v>
      </c>
    </row>
    <row r="1251" spans="1:3" x14ac:dyDescent="0.25">
      <c r="A1251" s="1">
        <v>41844</v>
      </c>
      <c r="B1251">
        <v>0.94499999999999995</v>
      </c>
      <c r="C1251">
        <v>0.94299999999999995</v>
      </c>
    </row>
    <row r="1252" spans="1:3" x14ac:dyDescent="0.25">
      <c r="A1252" s="1">
        <v>41845</v>
      </c>
      <c r="B1252">
        <v>0.94110000000000005</v>
      </c>
      <c r="C1252">
        <v>0.93910000000000005</v>
      </c>
    </row>
    <row r="1253" spans="1:3" x14ac:dyDescent="0.25">
      <c r="A1253" s="1">
        <v>41848</v>
      </c>
      <c r="B1253">
        <v>0.93899999999999995</v>
      </c>
      <c r="C1253">
        <v>0.93700000000000006</v>
      </c>
    </row>
    <row r="1254" spans="1:3" x14ac:dyDescent="0.25">
      <c r="A1254" s="1">
        <v>41850</v>
      </c>
      <c r="B1254">
        <v>0.93830000000000002</v>
      </c>
      <c r="C1254">
        <v>0.93620000000000003</v>
      </c>
    </row>
    <row r="1255" spans="1:3" x14ac:dyDescent="0.25">
      <c r="A1255" s="1">
        <v>41851</v>
      </c>
      <c r="B1255">
        <v>0.93169999999999997</v>
      </c>
      <c r="C1255">
        <v>0.92969999999999997</v>
      </c>
    </row>
    <row r="1256" spans="1:3" x14ac:dyDescent="0.25">
      <c r="A1256" s="1">
        <v>41852</v>
      </c>
      <c r="B1256">
        <v>0.92910000000000004</v>
      </c>
      <c r="C1256">
        <v>0.92689999999999995</v>
      </c>
    </row>
    <row r="1257" spans="1:3" x14ac:dyDescent="0.25">
      <c r="A1257" s="1">
        <v>41855</v>
      </c>
      <c r="B1257">
        <v>0.93200000000000005</v>
      </c>
      <c r="C1257">
        <v>0.92989999999999995</v>
      </c>
    </row>
    <row r="1258" spans="1:3" x14ac:dyDescent="0.25">
      <c r="A1258" s="1">
        <v>41856</v>
      </c>
      <c r="B1258">
        <v>0.93330000000000002</v>
      </c>
      <c r="C1258">
        <v>0.93120000000000003</v>
      </c>
    </row>
    <row r="1259" spans="1:3" x14ac:dyDescent="0.25">
      <c r="A1259" s="1">
        <v>41857</v>
      </c>
      <c r="B1259">
        <v>0.9304</v>
      </c>
      <c r="C1259">
        <v>0.9284</v>
      </c>
    </row>
    <row r="1260" spans="1:3" x14ac:dyDescent="0.25">
      <c r="A1260" s="1">
        <v>41858</v>
      </c>
      <c r="B1260">
        <v>0.92900000000000005</v>
      </c>
      <c r="C1260">
        <v>0.92700000000000005</v>
      </c>
    </row>
    <row r="1261" spans="1:3" x14ac:dyDescent="0.25">
      <c r="A1261" s="1">
        <v>41859</v>
      </c>
      <c r="B1261">
        <v>0.92420000000000002</v>
      </c>
      <c r="C1261">
        <v>0.92220000000000002</v>
      </c>
    </row>
    <row r="1262" spans="1:3" x14ac:dyDescent="0.25">
      <c r="A1262" s="1">
        <v>41862</v>
      </c>
      <c r="B1262">
        <v>0.92830000000000001</v>
      </c>
      <c r="C1262">
        <v>0.92620000000000002</v>
      </c>
    </row>
    <row r="1263" spans="1:3" x14ac:dyDescent="0.25">
      <c r="A1263" s="1">
        <v>41863</v>
      </c>
      <c r="B1263">
        <v>0.92630000000000001</v>
      </c>
      <c r="C1263">
        <v>0.92420000000000002</v>
      </c>
    </row>
    <row r="1264" spans="1:3" x14ac:dyDescent="0.25">
      <c r="A1264" s="1">
        <v>41864</v>
      </c>
      <c r="B1264">
        <v>0.92800000000000005</v>
      </c>
      <c r="C1264">
        <v>0.92589999999999995</v>
      </c>
    </row>
    <row r="1265" spans="1:3" x14ac:dyDescent="0.25">
      <c r="A1265" s="1">
        <v>41865</v>
      </c>
      <c r="B1265">
        <v>0.92979999999999996</v>
      </c>
      <c r="C1265">
        <v>0.92779999999999996</v>
      </c>
    </row>
    <row r="1266" spans="1:3" x14ac:dyDescent="0.25">
      <c r="A1266" s="1">
        <v>41870</v>
      </c>
      <c r="B1266">
        <v>0.93379999999999996</v>
      </c>
      <c r="C1266">
        <v>0.93169999999999997</v>
      </c>
    </row>
    <row r="1267" spans="1:3" x14ac:dyDescent="0.25">
      <c r="A1267" s="1">
        <v>41871</v>
      </c>
      <c r="B1267">
        <v>0.92900000000000005</v>
      </c>
      <c r="C1267">
        <v>0.92700000000000005</v>
      </c>
    </row>
    <row r="1268" spans="1:3" x14ac:dyDescent="0.25">
      <c r="A1268" s="1">
        <v>41872</v>
      </c>
      <c r="B1268">
        <v>0.92520000000000002</v>
      </c>
      <c r="C1268">
        <v>0.92320000000000002</v>
      </c>
    </row>
    <row r="1269" spans="1:3" x14ac:dyDescent="0.25">
      <c r="A1269" s="1">
        <v>41873</v>
      </c>
      <c r="B1269">
        <v>0.93149999999999999</v>
      </c>
      <c r="C1269">
        <v>0.92949999999999999</v>
      </c>
    </row>
    <row r="1270" spans="1:3" x14ac:dyDescent="0.25">
      <c r="A1270" s="1">
        <v>41876</v>
      </c>
      <c r="B1270">
        <v>0.93130000000000002</v>
      </c>
      <c r="C1270">
        <v>0.92920000000000003</v>
      </c>
    </row>
    <row r="1271" spans="1:3" x14ac:dyDescent="0.25">
      <c r="A1271" s="1">
        <v>41877</v>
      </c>
      <c r="B1271">
        <v>0.9294</v>
      </c>
      <c r="C1271">
        <v>0.92730000000000001</v>
      </c>
    </row>
    <row r="1272" spans="1:3" x14ac:dyDescent="0.25">
      <c r="A1272" s="1">
        <v>41878</v>
      </c>
      <c r="B1272">
        <v>0.93159999999999998</v>
      </c>
      <c r="C1272">
        <v>0.92949999999999999</v>
      </c>
    </row>
    <row r="1273" spans="1:3" x14ac:dyDescent="0.25">
      <c r="A1273" s="1">
        <v>41879</v>
      </c>
      <c r="B1273">
        <v>0.93579999999999997</v>
      </c>
      <c r="C1273">
        <v>0.93379999999999996</v>
      </c>
    </row>
    <row r="1274" spans="1:3" x14ac:dyDescent="0.25">
      <c r="A1274" s="1">
        <v>41883</v>
      </c>
      <c r="B1274">
        <v>0.93410000000000004</v>
      </c>
      <c r="C1274">
        <v>0.93210000000000004</v>
      </c>
    </row>
    <row r="1275" spans="1:3" x14ac:dyDescent="0.25">
      <c r="A1275" s="1">
        <v>41884</v>
      </c>
      <c r="B1275">
        <v>0.92910000000000004</v>
      </c>
      <c r="C1275">
        <v>0.92689999999999995</v>
      </c>
    </row>
    <row r="1276" spans="1:3" x14ac:dyDescent="0.25">
      <c r="A1276" s="1">
        <v>41885</v>
      </c>
      <c r="B1276">
        <v>0.92779999999999996</v>
      </c>
      <c r="C1276">
        <v>0.92569999999999997</v>
      </c>
    </row>
    <row r="1277" spans="1:3" x14ac:dyDescent="0.25">
      <c r="A1277" s="1">
        <v>41886</v>
      </c>
      <c r="B1277">
        <v>0.93489999999999995</v>
      </c>
      <c r="C1277">
        <v>0.93289999999999995</v>
      </c>
    </row>
    <row r="1278" spans="1:3" x14ac:dyDescent="0.25">
      <c r="A1278" s="1">
        <v>41887</v>
      </c>
      <c r="B1278">
        <v>0.93420000000000003</v>
      </c>
      <c r="C1278">
        <v>0.93220000000000003</v>
      </c>
    </row>
    <row r="1279" spans="1:3" x14ac:dyDescent="0.25">
      <c r="A1279" s="1">
        <v>41890</v>
      </c>
      <c r="B1279">
        <v>0.93659999999999999</v>
      </c>
      <c r="C1279">
        <v>0.93469999999999998</v>
      </c>
    </row>
    <row r="1280" spans="1:3" x14ac:dyDescent="0.25">
      <c r="A1280" s="1">
        <v>41891</v>
      </c>
      <c r="B1280">
        <v>0.92579999999999996</v>
      </c>
      <c r="C1280">
        <v>0.92369999999999997</v>
      </c>
    </row>
    <row r="1281" spans="1:3" x14ac:dyDescent="0.25">
      <c r="A1281" s="1">
        <v>41892</v>
      </c>
      <c r="B1281">
        <v>0.91679999999999995</v>
      </c>
      <c r="C1281">
        <v>0.91469999999999996</v>
      </c>
    </row>
    <row r="1282" spans="1:3" x14ac:dyDescent="0.25">
      <c r="A1282" s="1">
        <v>41893</v>
      </c>
      <c r="B1282">
        <v>0.91879999999999995</v>
      </c>
      <c r="C1282">
        <v>0.91669999999999996</v>
      </c>
    </row>
    <row r="1283" spans="1:3" x14ac:dyDescent="0.25">
      <c r="A1283" s="1">
        <v>41894</v>
      </c>
      <c r="B1283">
        <v>0.90569999999999995</v>
      </c>
      <c r="C1283">
        <v>0.90369999999999995</v>
      </c>
    </row>
    <row r="1284" spans="1:3" x14ac:dyDescent="0.25">
      <c r="A1284" s="1">
        <v>41897</v>
      </c>
      <c r="B1284">
        <v>0.90069999999999995</v>
      </c>
      <c r="C1284">
        <v>0.89880000000000004</v>
      </c>
    </row>
    <row r="1285" spans="1:3" x14ac:dyDescent="0.25">
      <c r="A1285" s="1">
        <v>41898</v>
      </c>
      <c r="B1285">
        <v>0.90129999999999999</v>
      </c>
      <c r="C1285">
        <v>0.8992</v>
      </c>
    </row>
    <row r="1286" spans="1:3" x14ac:dyDescent="0.25">
      <c r="A1286" s="1">
        <v>41899</v>
      </c>
      <c r="B1286">
        <v>0.90710000000000002</v>
      </c>
      <c r="C1286">
        <v>0.90510000000000002</v>
      </c>
    </row>
    <row r="1287" spans="1:3" x14ac:dyDescent="0.25">
      <c r="A1287" s="1">
        <v>41900</v>
      </c>
      <c r="B1287">
        <v>0.8962</v>
      </c>
      <c r="C1287">
        <v>0.89429999999999998</v>
      </c>
    </row>
    <row r="1288" spans="1:3" x14ac:dyDescent="0.25">
      <c r="A1288" s="1">
        <v>41901</v>
      </c>
      <c r="B1288">
        <v>0.89580000000000004</v>
      </c>
      <c r="C1288">
        <v>0.89390000000000003</v>
      </c>
    </row>
    <row r="1289" spans="1:3" x14ac:dyDescent="0.25">
      <c r="A1289" s="1">
        <v>41904</v>
      </c>
      <c r="B1289">
        <v>0.89400000000000002</v>
      </c>
      <c r="C1289">
        <v>0.8921</v>
      </c>
    </row>
    <row r="1290" spans="1:3" x14ac:dyDescent="0.25">
      <c r="A1290" s="1">
        <v>41905</v>
      </c>
      <c r="B1290">
        <v>0.89080000000000004</v>
      </c>
      <c r="C1290">
        <v>0.88870000000000005</v>
      </c>
    </row>
    <row r="1291" spans="1:3" x14ac:dyDescent="0.25">
      <c r="A1291" s="1">
        <v>41906</v>
      </c>
      <c r="B1291">
        <v>0.88629999999999998</v>
      </c>
      <c r="C1291">
        <v>0.88429999999999997</v>
      </c>
    </row>
    <row r="1292" spans="1:3" x14ac:dyDescent="0.25">
      <c r="A1292" s="1">
        <v>41907</v>
      </c>
      <c r="B1292">
        <v>0.88239999999999996</v>
      </c>
      <c r="C1292">
        <v>0.88049999999999995</v>
      </c>
    </row>
    <row r="1293" spans="1:3" x14ac:dyDescent="0.25">
      <c r="A1293" s="1">
        <v>41908</v>
      </c>
      <c r="B1293">
        <v>0.87639999999999996</v>
      </c>
      <c r="C1293">
        <v>0.87439999999999996</v>
      </c>
    </row>
    <row r="1294" spans="1:3" x14ac:dyDescent="0.25">
      <c r="A1294" s="1">
        <v>41911</v>
      </c>
      <c r="B1294">
        <v>0.87080000000000002</v>
      </c>
      <c r="C1294">
        <v>0.86880000000000002</v>
      </c>
    </row>
    <row r="1295" spans="1:3" x14ac:dyDescent="0.25">
      <c r="A1295" s="1">
        <v>41912</v>
      </c>
      <c r="B1295">
        <v>0.87590000000000001</v>
      </c>
      <c r="C1295">
        <v>0.87390000000000001</v>
      </c>
    </row>
    <row r="1296" spans="1:3" x14ac:dyDescent="0.25">
      <c r="A1296" s="1">
        <v>41913</v>
      </c>
      <c r="B1296">
        <v>0.86680000000000001</v>
      </c>
      <c r="C1296">
        <v>0.86480000000000001</v>
      </c>
    </row>
    <row r="1297" spans="1:3" x14ac:dyDescent="0.25">
      <c r="A1297" s="1">
        <v>41919</v>
      </c>
      <c r="B1297">
        <v>0.87480000000000002</v>
      </c>
      <c r="C1297">
        <v>0.87270000000000003</v>
      </c>
    </row>
    <row r="1298" spans="1:3" x14ac:dyDescent="0.25">
      <c r="A1298" s="1">
        <v>41920</v>
      </c>
      <c r="B1298">
        <v>0.87770000000000004</v>
      </c>
      <c r="C1298">
        <v>0.87570000000000003</v>
      </c>
    </row>
    <row r="1299" spans="1:3" x14ac:dyDescent="0.25">
      <c r="A1299" s="1">
        <v>41921</v>
      </c>
      <c r="B1299">
        <v>0.88770000000000004</v>
      </c>
      <c r="C1299">
        <v>0.88570000000000004</v>
      </c>
    </row>
    <row r="1300" spans="1:3" x14ac:dyDescent="0.25">
      <c r="A1300" s="1">
        <v>41922</v>
      </c>
      <c r="B1300">
        <v>0.87760000000000005</v>
      </c>
      <c r="C1300">
        <v>0.87570000000000003</v>
      </c>
    </row>
    <row r="1301" spans="1:3" x14ac:dyDescent="0.25">
      <c r="A1301" s="1">
        <v>41925</v>
      </c>
      <c r="B1301">
        <v>0.87309999999999999</v>
      </c>
      <c r="C1301">
        <v>0.87109999999999999</v>
      </c>
    </row>
    <row r="1302" spans="1:3" x14ac:dyDescent="0.25">
      <c r="A1302" s="1">
        <v>41926</v>
      </c>
      <c r="B1302">
        <v>0.87939999999999996</v>
      </c>
      <c r="C1302">
        <v>0.87739999999999996</v>
      </c>
    </row>
    <row r="1303" spans="1:3" x14ac:dyDescent="0.25">
      <c r="A1303" s="1">
        <v>41928</v>
      </c>
      <c r="B1303">
        <v>0.87849999999999995</v>
      </c>
      <c r="C1303">
        <v>0.87649999999999995</v>
      </c>
    </row>
    <row r="1304" spans="1:3" x14ac:dyDescent="0.25">
      <c r="A1304" s="1">
        <v>41929</v>
      </c>
      <c r="B1304">
        <v>0.87539999999999996</v>
      </c>
      <c r="C1304">
        <v>0.87350000000000005</v>
      </c>
    </row>
    <row r="1305" spans="1:3" x14ac:dyDescent="0.25">
      <c r="A1305" s="1">
        <v>41932</v>
      </c>
      <c r="B1305">
        <v>0.87729999999999997</v>
      </c>
      <c r="C1305">
        <v>0.87519999999999998</v>
      </c>
    </row>
    <row r="1306" spans="1:3" x14ac:dyDescent="0.25">
      <c r="A1306" s="1">
        <v>41933</v>
      </c>
      <c r="B1306">
        <v>0.88170000000000004</v>
      </c>
      <c r="C1306">
        <v>0.87970000000000004</v>
      </c>
    </row>
    <row r="1307" spans="1:3" x14ac:dyDescent="0.25">
      <c r="A1307" s="1">
        <v>41934</v>
      </c>
      <c r="B1307">
        <v>0.87919999999999998</v>
      </c>
      <c r="C1307">
        <v>0.87729999999999997</v>
      </c>
    </row>
    <row r="1308" spans="1:3" x14ac:dyDescent="0.25">
      <c r="A1308" s="1">
        <v>41939</v>
      </c>
      <c r="B1308">
        <v>0.88129999999999997</v>
      </c>
      <c r="C1308">
        <v>0.87939999999999996</v>
      </c>
    </row>
    <row r="1309" spans="1:3" x14ac:dyDescent="0.25">
      <c r="A1309" s="1">
        <v>41940</v>
      </c>
      <c r="B1309">
        <v>0.88170000000000004</v>
      </c>
      <c r="C1309">
        <v>0.87990000000000002</v>
      </c>
    </row>
    <row r="1310" spans="1:3" x14ac:dyDescent="0.25">
      <c r="A1310" s="1">
        <v>41941</v>
      </c>
      <c r="B1310">
        <v>0.88639999999999997</v>
      </c>
      <c r="C1310">
        <v>0.88470000000000004</v>
      </c>
    </row>
    <row r="1311" spans="1:3" x14ac:dyDescent="0.25">
      <c r="A1311" s="1">
        <v>41942</v>
      </c>
      <c r="B1311">
        <v>0.87719999999999998</v>
      </c>
      <c r="C1311">
        <v>0.87529999999999997</v>
      </c>
    </row>
    <row r="1312" spans="1:3" x14ac:dyDescent="0.25">
      <c r="A1312" s="1">
        <v>41943</v>
      </c>
      <c r="B1312">
        <v>0.88249999999999995</v>
      </c>
      <c r="C1312">
        <v>0.88060000000000005</v>
      </c>
    </row>
    <row r="1313" spans="1:3" x14ac:dyDescent="0.25">
      <c r="A1313" s="1">
        <v>41946</v>
      </c>
      <c r="B1313">
        <v>0.873</v>
      </c>
      <c r="C1313">
        <v>0.87109999999999999</v>
      </c>
    </row>
    <row r="1314" spans="1:3" x14ac:dyDescent="0.25">
      <c r="A1314" s="1">
        <v>41948</v>
      </c>
      <c r="B1314">
        <v>0.87380000000000002</v>
      </c>
      <c r="C1314">
        <v>0.87190000000000001</v>
      </c>
    </row>
    <row r="1315" spans="1:3" x14ac:dyDescent="0.25">
      <c r="A1315" s="1">
        <v>41950</v>
      </c>
      <c r="B1315">
        <v>0.85470000000000002</v>
      </c>
      <c r="C1315">
        <v>0.8528</v>
      </c>
    </row>
    <row r="1316" spans="1:3" x14ac:dyDescent="0.25">
      <c r="A1316" s="1">
        <v>41953</v>
      </c>
      <c r="B1316">
        <v>0.86739999999999995</v>
      </c>
      <c r="C1316">
        <v>0.86550000000000005</v>
      </c>
    </row>
    <row r="1317" spans="1:3" x14ac:dyDescent="0.25">
      <c r="A1317" s="1">
        <v>41954</v>
      </c>
      <c r="B1317">
        <v>0.86380000000000001</v>
      </c>
      <c r="C1317">
        <v>0.86180000000000001</v>
      </c>
    </row>
    <row r="1318" spans="1:3" x14ac:dyDescent="0.25">
      <c r="A1318" s="1">
        <v>41955</v>
      </c>
      <c r="B1318">
        <v>0.86760000000000004</v>
      </c>
      <c r="C1318">
        <v>0.86560000000000004</v>
      </c>
    </row>
    <row r="1319" spans="1:3" x14ac:dyDescent="0.25">
      <c r="A1319" s="1">
        <v>41956</v>
      </c>
      <c r="B1319">
        <v>0.86980000000000002</v>
      </c>
      <c r="C1319">
        <v>0.86780000000000002</v>
      </c>
    </row>
    <row r="1320" spans="1:3" x14ac:dyDescent="0.25">
      <c r="A1320" s="1">
        <v>41957</v>
      </c>
      <c r="B1320">
        <v>0.86929999999999996</v>
      </c>
      <c r="C1320">
        <v>0.86750000000000005</v>
      </c>
    </row>
    <row r="1321" spans="1:3" x14ac:dyDescent="0.25">
      <c r="A1321" s="1">
        <v>41960</v>
      </c>
      <c r="B1321">
        <v>0.87860000000000005</v>
      </c>
      <c r="C1321">
        <v>0.87670000000000003</v>
      </c>
    </row>
    <row r="1322" spans="1:3" x14ac:dyDescent="0.25">
      <c r="A1322" s="1">
        <v>41961</v>
      </c>
      <c r="B1322">
        <v>0.87229999999999996</v>
      </c>
      <c r="C1322">
        <v>0.87019999999999997</v>
      </c>
    </row>
    <row r="1323" spans="1:3" x14ac:dyDescent="0.25">
      <c r="A1323" s="1">
        <v>41962</v>
      </c>
      <c r="B1323">
        <v>0.86670000000000003</v>
      </c>
      <c r="C1323">
        <v>0.86470000000000002</v>
      </c>
    </row>
    <row r="1324" spans="1:3" x14ac:dyDescent="0.25">
      <c r="A1324" s="1">
        <v>41963</v>
      </c>
      <c r="B1324">
        <v>0.85919999999999996</v>
      </c>
      <c r="C1324">
        <v>0.85740000000000005</v>
      </c>
    </row>
    <row r="1325" spans="1:3" x14ac:dyDescent="0.25">
      <c r="A1325" s="1">
        <v>41964</v>
      </c>
      <c r="B1325">
        <v>0.86419999999999997</v>
      </c>
      <c r="C1325">
        <v>0.86209999999999998</v>
      </c>
    </row>
    <row r="1326" spans="1:3" x14ac:dyDescent="0.25">
      <c r="A1326" s="1">
        <v>41967</v>
      </c>
      <c r="B1326">
        <v>0.86850000000000005</v>
      </c>
      <c r="C1326">
        <v>0.86639999999999995</v>
      </c>
    </row>
    <row r="1327" spans="1:3" x14ac:dyDescent="0.25">
      <c r="A1327" s="1">
        <v>41968</v>
      </c>
      <c r="B1327">
        <v>0.85909999999999997</v>
      </c>
      <c r="C1327">
        <v>0.85709999999999997</v>
      </c>
    </row>
    <row r="1328" spans="1:3" x14ac:dyDescent="0.25">
      <c r="A1328" s="1">
        <v>41969</v>
      </c>
      <c r="B1328">
        <v>0.85350000000000004</v>
      </c>
      <c r="C1328">
        <v>0.85150000000000003</v>
      </c>
    </row>
    <row r="1329" spans="1:3" x14ac:dyDescent="0.25">
      <c r="A1329" s="1">
        <v>41970</v>
      </c>
      <c r="B1329">
        <v>0.85840000000000005</v>
      </c>
      <c r="C1329">
        <v>0.85640000000000005</v>
      </c>
    </row>
    <row r="1330" spans="1:3" x14ac:dyDescent="0.25">
      <c r="A1330" s="1">
        <v>41971</v>
      </c>
      <c r="B1330">
        <v>0.8498</v>
      </c>
      <c r="C1330">
        <v>0.84799999999999998</v>
      </c>
    </row>
    <row r="1331" spans="1:3" x14ac:dyDescent="0.25">
      <c r="A1331" s="1">
        <v>41974</v>
      </c>
      <c r="B1331">
        <v>0.84509999999999996</v>
      </c>
      <c r="C1331">
        <v>0.84309999999999996</v>
      </c>
    </row>
    <row r="1332" spans="1:3" x14ac:dyDescent="0.25">
      <c r="A1332" s="1">
        <v>41975</v>
      </c>
      <c r="B1332">
        <v>0.85129999999999995</v>
      </c>
      <c r="C1332">
        <v>0.84940000000000004</v>
      </c>
    </row>
    <row r="1333" spans="1:3" x14ac:dyDescent="0.25">
      <c r="A1333" s="1">
        <v>41977</v>
      </c>
      <c r="B1333">
        <v>0.83860000000000001</v>
      </c>
      <c r="C1333">
        <v>0.8367</v>
      </c>
    </row>
    <row r="1334" spans="1:3" x14ac:dyDescent="0.25">
      <c r="A1334" s="1">
        <v>41978</v>
      </c>
      <c r="B1334">
        <v>0.83709999999999996</v>
      </c>
      <c r="C1334">
        <v>0.83530000000000004</v>
      </c>
    </row>
    <row r="1335" spans="1:3" x14ac:dyDescent="0.25">
      <c r="A1335" s="1">
        <v>41981</v>
      </c>
      <c r="B1335">
        <v>0.82850000000000001</v>
      </c>
      <c r="C1335">
        <v>0.8266</v>
      </c>
    </row>
    <row r="1336" spans="1:3" x14ac:dyDescent="0.25">
      <c r="A1336" s="1">
        <v>41982</v>
      </c>
      <c r="B1336">
        <v>0.82369999999999999</v>
      </c>
      <c r="C1336">
        <v>0.82179999999999997</v>
      </c>
    </row>
    <row r="1337" spans="1:3" x14ac:dyDescent="0.25">
      <c r="A1337" s="1">
        <v>41983</v>
      </c>
      <c r="B1337">
        <v>0.83150000000000002</v>
      </c>
      <c r="C1337">
        <v>0.8296</v>
      </c>
    </row>
    <row r="1338" spans="1:3" x14ac:dyDescent="0.25">
      <c r="A1338" s="1">
        <v>41984</v>
      </c>
      <c r="B1338">
        <v>0.83320000000000005</v>
      </c>
      <c r="C1338">
        <v>0.83130000000000004</v>
      </c>
    </row>
    <row r="1339" spans="1:3" x14ac:dyDescent="0.25">
      <c r="A1339" s="1">
        <v>41985</v>
      </c>
      <c r="B1339">
        <v>0.82730000000000004</v>
      </c>
      <c r="C1339">
        <v>0.82540000000000002</v>
      </c>
    </row>
    <row r="1340" spans="1:3" x14ac:dyDescent="0.25">
      <c r="A1340" s="1">
        <v>41988</v>
      </c>
      <c r="B1340">
        <v>0.8226</v>
      </c>
      <c r="C1340">
        <v>0.8206</v>
      </c>
    </row>
    <row r="1341" spans="1:3" x14ac:dyDescent="0.25">
      <c r="A1341" s="1">
        <v>41989</v>
      </c>
      <c r="B1341">
        <v>0.82320000000000004</v>
      </c>
      <c r="C1341">
        <v>0.82120000000000004</v>
      </c>
    </row>
    <row r="1342" spans="1:3" x14ac:dyDescent="0.25">
      <c r="A1342" s="1">
        <v>41990</v>
      </c>
      <c r="B1342">
        <v>0.81520000000000004</v>
      </c>
      <c r="C1342">
        <v>0.81330000000000002</v>
      </c>
    </row>
    <row r="1343" spans="1:3" x14ac:dyDescent="0.25">
      <c r="A1343" s="1">
        <v>41991</v>
      </c>
      <c r="B1343">
        <v>0.81420000000000003</v>
      </c>
      <c r="C1343">
        <v>0.81230000000000002</v>
      </c>
    </row>
    <row r="1344" spans="1:3" x14ac:dyDescent="0.25">
      <c r="A1344" s="1">
        <v>41992</v>
      </c>
      <c r="B1344">
        <v>0.81810000000000005</v>
      </c>
      <c r="C1344">
        <v>0.81630000000000003</v>
      </c>
    </row>
    <row r="1345" spans="1:3" x14ac:dyDescent="0.25">
      <c r="A1345" s="1">
        <v>41995</v>
      </c>
      <c r="B1345">
        <v>0.81559999999999999</v>
      </c>
      <c r="C1345">
        <v>0.8135</v>
      </c>
    </row>
    <row r="1346" spans="1:3" x14ac:dyDescent="0.25">
      <c r="A1346" s="1">
        <v>41996</v>
      </c>
      <c r="B1346">
        <v>0.81200000000000006</v>
      </c>
      <c r="C1346">
        <v>0.81010000000000004</v>
      </c>
    </row>
    <row r="1347" spans="1:3" x14ac:dyDescent="0.25">
      <c r="A1347" s="1">
        <v>41997</v>
      </c>
      <c r="B1347">
        <v>0.81120000000000003</v>
      </c>
      <c r="C1347">
        <v>0.80940000000000001</v>
      </c>
    </row>
    <row r="1348" spans="1:3" x14ac:dyDescent="0.25">
      <c r="A1348" s="1">
        <v>41999</v>
      </c>
      <c r="B1348">
        <v>0.81210000000000004</v>
      </c>
      <c r="C1348">
        <v>0.81020000000000003</v>
      </c>
    </row>
    <row r="1349" spans="1:3" x14ac:dyDescent="0.25">
      <c r="A1349" s="1">
        <v>42002</v>
      </c>
      <c r="B1349">
        <v>0.81330000000000002</v>
      </c>
      <c r="C1349">
        <v>0.81140000000000001</v>
      </c>
    </row>
    <row r="1350" spans="1:3" x14ac:dyDescent="0.25">
      <c r="A1350" s="1">
        <v>42003</v>
      </c>
      <c r="B1350">
        <v>0.81299999999999994</v>
      </c>
      <c r="C1350">
        <v>0.81110000000000004</v>
      </c>
    </row>
    <row r="1351" spans="1:3" x14ac:dyDescent="0.25">
      <c r="A1351" s="1">
        <v>42004</v>
      </c>
      <c r="B1351">
        <v>0.82</v>
      </c>
      <c r="C1351">
        <v>0.81810000000000005</v>
      </c>
    </row>
    <row r="1352" spans="1:3" x14ac:dyDescent="0.25">
      <c r="A1352" s="1">
        <v>42005</v>
      </c>
      <c r="B1352">
        <v>0.81589999999999996</v>
      </c>
      <c r="C1352">
        <v>0.81410000000000005</v>
      </c>
    </row>
    <row r="1353" spans="1:3" x14ac:dyDescent="0.25">
      <c r="A1353" s="1">
        <v>42006</v>
      </c>
      <c r="B1353">
        <v>0.81330000000000002</v>
      </c>
      <c r="C1353">
        <v>0.8115</v>
      </c>
    </row>
    <row r="1354" spans="1:3" x14ac:dyDescent="0.25">
      <c r="A1354" s="1">
        <v>42009</v>
      </c>
      <c r="B1354">
        <v>0.80579999999999996</v>
      </c>
      <c r="C1354">
        <v>0.80379999999999996</v>
      </c>
    </row>
    <row r="1355" spans="1:3" x14ac:dyDescent="0.25">
      <c r="A1355" s="1">
        <v>42010</v>
      </c>
      <c r="B1355">
        <v>0.81269999999999998</v>
      </c>
      <c r="C1355">
        <v>0.81079999999999997</v>
      </c>
    </row>
    <row r="1356" spans="1:3" x14ac:dyDescent="0.25">
      <c r="A1356" s="1">
        <v>42011</v>
      </c>
      <c r="B1356">
        <v>0.80740000000000001</v>
      </c>
      <c r="C1356">
        <v>0.80549999999999999</v>
      </c>
    </row>
    <row r="1357" spans="1:3" x14ac:dyDescent="0.25">
      <c r="A1357" s="1">
        <v>42012</v>
      </c>
      <c r="B1357">
        <v>0.8105</v>
      </c>
      <c r="C1357">
        <v>0.80869999999999997</v>
      </c>
    </row>
    <row r="1358" spans="1:3" x14ac:dyDescent="0.25">
      <c r="A1358" s="1">
        <v>42013</v>
      </c>
      <c r="B1358">
        <v>0.8145</v>
      </c>
      <c r="C1358">
        <v>0.81259999999999999</v>
      </c>
    </row>
    <row r="1359" spans="1:3" x14ac:dyDescent="0.25">
      <c r="A1359" s="1">
        <v>42016</v>
      </c>
      <c r="B1359">
        <v>0.82440000000000002</v>
      </c>
      <c r="C1359">
        <v>0.82240000000000002</v>
      </c>
    </row>
    <row r="1360" spans="1:3" x14ac:dyDescent="0.25">
      <c r="A1360" s="1">
        <v>42017</v>
      </c>
      <c r="B1360">
        <v>0.81799999999999995</v>
      </c>
      <c r="C1360">
        <v>0.81599999999999995</v>
      </c>
    </row>
    <row r="1361" spans="1:3" x14ac:dyDescent="0.25">
      <c r="A1361" s="1">
        <v>42018</v>
      </c>
      <c r="B1361">
        <v>0.8095</v>
      </c>
      <c r="C1361">
        <v>0.80759999999999998</v>
      </c>
    </row>
    <row r="1362" spans="1:3" x14ac:dyDescent="0.25">
      <c r="A1362" s="1">
        <v>42019</v>
      </c>
      <c r="B1362">
        <v>0.82099999999999995</v>
      </c>
      <c r="C1362">
        <v>0.81910000000000005</v>
      </c>
    </row>
    <row r="1363" spans="1:3" x14ac:dyDescent="0.25">
      <c r="A1363" s="1">
        <v>42020</v>
      </c>
      <c r="B1363">
        <v>0.82450000000000001</v>
      </c>
      <c r="C1363">
        <v>0.8226</v>
      </c>
    </row>
    <row r="1364" spans="1:3" x14ac:dyDescent="0.25">
      <c r="A1364" s="1">
        <v>42023</v>
      </c>
      <c r="B1364">
        <v>0.82069999999999999</v>
      </c>
      <c r="C1364">
        <v>0.81869999999999998</v>
      </c>
    </row>
    <row r="1365" spans="1:3" x14ac:dyDescent="0.25">
      <c r="A1365" s="1">
        <v>42024</v>
      </c>
      <c r="B1365">
        <v>0.81740000000000002</v>
      </c>
      <c r="C1365">
        <v>0.81540000000000001</v>
      </c>
    </row>
    <row r="1366" spans="1:3" x14ac:dyDescent="0.25">
      <c r="A1366" s="1">
        <v>42025</v>
      </c>
      <c r="B1366">
        <v>0.82140000000000002</v>
      </c>
      <c r="C1366">
        <v>0.81950000000000001</v>
      </c>
    </row>
    <row r="1367" spans="1:3" x14ac:dyDescent="0.25">
      <c r="A1367" s="1">
        <v>42026</v>
      </c>
      <c r="B1367">
        <v>0.80579999999999996</v>
      </c>
      <c r="C1367">
        <v>0.80400000000000005</v>
      </c>
    </row>
    <row r="1368" spans="1:3" x14ac:dyDescent="0.25">
      <c r="A1368" s="1">
        <v>42027</v>
      </c>
      <c r="B1368">
        <v>0.80149999999999999</v>
      </c>
      <c r="C1368">
        <v>0.79979999999999996</v>
      </c>
    </row>
    <row r="1369" spans="1:3" x14ac:dyDescent="0.25">
      <c r="A1369" s="1">
        <v>42031</v>
      </c>
      <c r="B1369">
        <v>0.79430000000000001</v>
      </c>
      <c r="C1369">
        <v>0.79269999999999996</v>
      </c>
    </row>
    <row r="1370" spans="1:3" x14ac:dyDescent="0.25">
      <c r="A1370" s="1">
        <v>42032</v>
      </c>
      <c r="B1370">
        <v>0.79910000000000003</v>
      </c>
      <c r="C1370">
        <v>0.79749999999999999</v>
      </c>
    </row>
    <row r="1371" spans="1:3" x14ac:dyDescent="0.25">
      <c r="A1371" s="1">
        <v>42033</v>
      </c>
      <c r="B1371">
        <v>0.78759999999999997</v>
      </c>
      <c r="C1371">
        <v>0.78610000000000002</v>
      </c>
    </row>
    <row r="1372" spans="1:3" x14ac:dyDescent="0.25">
      <c r="A1372" s="1">
        <v>42034</v>
      </c>
      <c r="B1372">
        <v>0.77849999999999997</v>
      </c>
      <c r="C1372">
        <v>0.77710000000000001</v>
      </c>
    </row>
    <row r="1373" spans="1:3" x14ac:dyDescent="0.25">
      <c r="A1373" s="1">
        <v>42037</v>
      </c>
      <c r="B1373">
        <v>0.77700000000000002</v>
      </c>
      <c r="C1373">
        <v>0.77549999999999997</v>
      </c>
    </row>
    <row r="1374" spans="1:3" x14ac:dyDescent="0.25">
      <c r="A1374" s="1">
        <v>42038</v>
      </c>
      <c r="B1374">
        <v>0.76590000000000003</v>
      </c>
      <c r="C1374">
        <v>0.76459999999999995</v>
      </c>
    </row>
    <row r="1375" spans="1:3" x14ac:dyDescent="0.25">
      <c r="A1375" s="1">
        <v>42039</v>
      </c>
      <c r="B1375">
        <v>0.78149999999999997</v>
      </c>
      <c r="C1375">
        <v>0.7802</v>
      </c>
    </row>
    <row r="1376" spans="1:3" x14ac:dyDescent="0.25">
      <c r="A1376" s="1">
        <v>42040</v>
      </c>
      <c r="B1376">
        <v>0.77780000000000005</v>
      </c>
      <c r="C1376">
        <v>0.77639999999999998</v>
      </c>
    </row>
    <row r="1377" spans="1:3" x14ac:dyDescent="0.25">
      <c r="A1377" s="1">
        <v>42041</v>
      </c>
      <c r="B1377">
        <v>0.78269999999999995</v>
      </c>
      <c r="C1377">
        <v>0.78129999999999999</v>
      </c>
    </row>
    <row r="1378" spans="1:3" x14ac:dyDescent="0.25">
      <c r="A1378" s="1">
        <v>42044</v>
      </c>
      <c r="B1378">
        <v>0.77669999999999995</v>
      </c>
      <c r="C1378">
        <v>0.77529999999999999</v>
      </c>
    </row>
    <row r="1379" spans="1:3" x14ac:dyDescent="0.25">
      <c r="A1379" s="1">
        <v>42045</v>
      </c>
      <c r="B1379">
        <v>0.78290000000000004</v>
      </c>
      <c r="C1379">
        <v>0.78149999999999997</v>
      </c>
    </row>
    <row r="1380" spans="1:3" x14ac:dyDescent="0.25">
      <c r="A1380" s="1">
        <v>42046</v>
      </c>
      <c r="B1380">
        <v>0.77659999999999996</v>
      </c>
      <c r="C1380">
        <v>0.7752</v>
      </c>
    </row>
    <row r="1381" spans="1:3" x14ac:dyDescent="0.25">
      <c r="A1381" s="1">
        <v>42047</v>
      </c>
      <c r="B1381">
        <v>0.76570000000000005</v>
      </c>
      <c r="C1381">
        <v>0.76439999999999997</v>
      </c>
    </row>
    <row r="1382" spans="1:3" x14ac:dyDescent="0.25">
      <c r="A1382" s="1">
        <v>42048</v>
      </c>
      <c r="B1382">
        <v>0.77690000000000003</v>
      </c>
      <c r="C1382">
        <v>0.77559999999999996</v>
      </c>
    </row>
    <row r="1383" spans="1:3" x14ac:dyDescent="0.25">
      <c r="A1383" s="1">
        <v>42051</v>
      </c>
      <c r="B1383">
        <v>0.7792</v>
      </c>
      <c r="C1383">
        <v>0.77790000000000004</v>
      </c>
    </row>
    <row r="1384" spans="1:3" x14ac:dyDescent="0.25">
      <c r="A1384" s="1">
        <v>42053</v>
      </c>
      <c r="B1384">
        <v>0.78100000000000003</v>
      </c>
      <c r="C1384">
        <v>0.77969999999999995</v>
      </c>
    </row>
    <row r="1385" spans="1:3" x14ac:dyDescent="0.25">
      <c r="A1385" s="1">
        <v>42055</v>
      </c>
      <c r="B1385">
        <v>0.78359999999999996</v>
      </c>
      <c r="C1385">
        <v>0.7823</v>
      </c>
    </row>
    <row r="1386" spans="1:3" x14ac:dyDescent="0.25">
      <c r="A1386" s="1">
        <v>42058</v>
      </c>
      <c r="B1386">
        <v>0.78010000000000002</v>
      </c>
      <c r="C1386">
        <v>0.77880000000000005</v>
      </c>
    </row>
    <row r="1387" spans="1:3" x14ac:dyDescent="0.25">
      <c r="A1387" s="1">
        <v>42059</v>
      </c>
      <c r="B1387">
        <v>0.78300000000000003</v>
      </c>
      <c r="C1387">
        <v>0.78169999999999995</v>
      </c>
    </row>
    <row r="1388" spans="1:3" x14ac:dyDescent="0.25">
      <c r="A1388" s="1">
        <v>42060</v>
      </c>
      <c r="B1388">
        <v>0.78859999999999997</v>
      </c>
      <c r="C1388">
        <v>0.78710000000000002</v>
      </c>
    </row>
    <row r="1389" spans="1:3" x14ac:dyDescent="0.25">
      <c r="A1389" s="1">
        <v>42061</v>
      </c>
      <c r="B1389">
        <v>0.77990000000000004</v>
      </c>
      <c r="C1389">
        <v>0.77849999999999997</v>
      </c>
    </row>
    <row r="1390" spans="1:3" x14ac:dyDescent="0.25">
      <c r="A1390" s="1">
        <v>42062</v>
      </c>
      <c r="B1390">
        <v>0.78049999999999997</v>
      </c>
      <c r="C1390">
        <v>0.77890000000000004</v>
      </c>
    </row>
    <row r="1391" spans="1:3" x14ac:dyDescent="0.25">
      <c r="A1391" s="1">
        <v>42065</v>
      </c>
      <c r="B1391">
        <v>0.77639999999999998</v>
      </c>
      <c r="C1391">
        <v>0.77490000000000003</v>
      </c>
    </row>
    <row r="1392" spans="1:3" x14ac:dyDescent="0.25">
      <c r="A1392" s="1">
        <v>42066</v>
      </c>
      <c r="B1392">
        <v>0.78159999999999996</v>
      </c>
      <c r="C1392">
        <v>0.78</v>
      </c>
    </row>
    <row r="1393" spans="1:3" x14ac:dyDescent="0.25">
      <c r="A1393" s="1">
        <v>42067</v>
      </c>
      <c r="B1393">
        <v>0.78159999999999996</v>
      </c>
      <c r="C1393">
        <v>0.78010000000000002</v>
      </c>
    </row>
    <row r="1394" spans="1:3" x14ac:dyDescent="0.25">
      <c r="A1394" s="1">
        <v>42068</v>
      </c>
      <c r="B1394">
        <v>0.77810000000000001</v>
      </c>
      <c r="C1394">
        <v>0.77659999999999996</v>
      </c>
    </row>
    <row r="1395" spans="1:3" x14ac:dyDescent="0.25">
      <c r="A1395" s="1">
        <v>42072</v>
      </c>
      <c r="B1395">
        <v>0.7702</v>
      </c>
      <c r="C1395">
        <v>0.76859999999999995</v>
      </c>
    </row>
    <row r="1396" spans="1:3" x14ac:dyDescent="0.25">
      <c r="A1396" s="1">
        <v>42073</v>
      </c>
      <c r="B1396">
        <v>0.76229999999999998</v>
      </c>
      <c r="C1396">
        <v>0.76070000000000004</v>
      </c>
    </row>
    <row r="1397" spans="1:3" x14ac:dyDescent="0.25">
      <c r="A1397" s="1">
        <v>42074</v>
      </c>
      <c r="B1397">
        <v>0.75949999999999995</v>
      </c>
      <c r="C1397">
        <v>0.75800000000000001</v>
      </c>
    </row>
    <row r="1398" spans="1:3" x14ac:dyDescent="0.25">
      <c r="A1398" s="1">
        <v>42075</v>
      </c>
      <c r="B1398">
        <v>0.77070000000000005</v>
      </c>
      <c r="C1398">
        <v>0.76919999999999999</v>
      </c>
    </row>
    <row r="1399" spans="1:3" x14ac:dyDescent="0.25">
      <c r="A1399" s="1">
        <v>42076</v>
      </c>
      <c r="B1399">
        <v>0.76349999999999996</v>
      </c>
      <c r="C1399">
        <v>0.76200000000000001</v>
      </c>
    </row>
    <row r="1400" spans="1:3" x14ac:dyDescent="0.25">
      <c r="A1400" s="1">
        <v>42079</v>
      </c>
      <c r="B1400">
        <v>0.76390000000000002</v>
      </c>
      <c r="C1400">
        <v>0.76229999999999998</v>
      </c>
    </row>
    <row r="1401" spans="1:3" x14ac:dyDescent="0.25">
      <c r="A1401" s="1">
        <v>42080</v>
      </c>
      <c r="B1401">
        <v>0.76170000000000004</v>
      </c>
      <c r="C1401">
        <v>0.76019999999999999</v>
      </c>
    </row>
    <row r="1402" spans="1:3" x14ac:dyDescent="0.25">
      <c r="A1402" s="1">
        <v>42081</v>
      </c>
      <c r="B1402">
        <v>0.77729999999999999</v>
      </c>
      <c r="C1402">
        <v>0.77580000000000005</v>
      </c>
    </row>
    <row r="1403" spans="1:3" x14ac:dyDescent="0.25">
      <c r="A1403" s="1">
        <v>42082</v>
      </c>
      <c r="B1403">
        <v>0.76470000000000005</v>
      </c>
      <c r="C1403">
        <v>0.76319999999999999</v>
      </c>
    </row>
    <row r="1404" spans="1:3" x14ac:dyDescent="0.25">
      <c r="A1404" s="1">
        <v>42083</v>
      </c>
      <c r="B1404">
        <v>0.77659999999999996</v>
      </c>
      <c r="C1404">
        <v>0.77510000000000001</v>
      </c>
    </row>
    <row r="1405" spans="1:3" x14ac:dyDescent="0.25">
      <c r="A1405" s="1">
        <v>42086</v>
      </c>
      <c r="B1405">
        <v>0.78800000000000003</v>
      </c>
      <c r="C1405">
        <v>0.78639999999999999</v>
      </c>
    </row>
    <row r="1406" spans="1:3" x14ac:dyDescent="0.25">
      <c r="A1406" s="1">
        <v>42087</v>
      </c>
      <c r="B1406">
        <v>0.78759999999999997</v>
      </c>
      <c r="C1406">
        <v>0.78610000000000002</v>
      </c>
    </row>
    <row r="1407" spans="1:3" x14ac:dyDescent="0.25">
      <c r="A1407" s="1">
        <v>42088</v>
      </c>
      <c r="B1407">
        <v>0.7843</v>
      </c>
      <c r="C1407">
        <v>0.78290000000000004</v>
      </c>
    </row>
    <row r="1408" spans="1:3" x14ac:dyDescent="0.25">
      <c r="A1408" s="1">
        <v>42089</v>
      </c>
      <c r="B1408">
        <v>0.78269999999999995</v>
      </c>
      <c r="C1408">
        <v>0.78129999999999999</v>
      </c>
    </row>
    <row r="1409" spans="1:3" x14ac:dyDescent="0.25">
      <c r="A1409" s="1">
        <v>42090</v>
      </c>
      <c r="B1409">
        <v>0.77480000000000004</v>
      </c>
      <c r="C1409">
        <v>0.77339999999999998</v>
      </c>
    </row>
    <row r="1410" spans="1:3" x14ac:dyDescent="0.25">
      <c r="A1410" s="1">
        <v>42093</v>
      </c>
      <c r="B1410">
        <v>0.76529999999999998</v>
      </c>
      <c r="C1410">
        <v>0.76390000000000002</v>
      </c>
    </row>
    <row r="1411" spans="1:3" x14ac:dyDescent="0.25">
      <c r="A1411" s="1">
        <v>42094</v>
      </c>
      <c r="B1411">
        <v>0.76060000000000005</v>
      </c>
      <c r="C1411">
        <v>0.75919999999999999</v>
      </c>
    </row>
    <row r="1412" spans="1:3" x14ac:dyDescent="0.25">
      <c r="A1412" s="1">
        <v>42100</v>
      </c>
      <c r="B1412">
        <v>0.75900000000000001</v>
      </c>
      <c r="C1412">
        <v>0.75770000000000004</v>
      </c>
    </row>
    <row r="1413" spans="1:3" x14ac:dyDescent="0.25">
      <c r="A1413" s="1">
        <v>42101</v>
      </c>
      <c r="B1413">
        <v>0.76319999999999999</v>
      </c>
      <c r="C1413">
        <v>0.76170000000000004</v>
      </c>
    </row>
    <row r="1414" spans="1:3" x14ac:dyDescent="0.25">
      <c r="A1414" s="1">
        <v>42102</v>
      </c>
      <c r="B1414">
        <v>0.76829999999999998</v>
      </c>
      <c r="C1414">
        <v>0.76680000000000004</v>
      </c>
    </row>
    <row r="1415" spans="1:3" x14ac:dyDescent="0.25">
      <c r="A1415" s="1">
        <v>42103</v>
      </c>
      <c r="B1415">
        <v>0.76910000000000001</v>
      </c>
      <c r="C1415">
        <v>0.76770000000000005</v>
      </c>
    </row>
    <row r="1416" spans="1:3" x14ac:dyDescent="0.25">
      <c r="A1416" s="1">
        <v>42104</v>
      </c>
      <c r="B1416">
        <v>0.76739999999999997</v>
      </c>
      <c r="C1416">
        <v>0.76600000000000001</v>
      </c>
    </row>
    <row r="1417" spans="1:3" x14ac:dyDescent="0.25">
      <c r="A1417" s="1">
        <v>42107</v>
      </c>
      <c r="B1417">
        <v>0.75890000000000002</v>
      </c>
      <c r="C1417">
        <v>0.75749999999999995</v>
      </c>
    </row>
    <row r="1418" spans="1:3" x14ac:dyDescent="0.25">
      <c r="A1418" s="1">
        <v>42109</v>
      </c>
      <c r="B1418">
        <v>0.7681</v>
      </c>
      <c r="C1418">
        <v>0.76670000000000005</v>
      </c>
    </row>
    <row r="1419" spans="1:3" x14ac:dyDescent="0.25">
      <c r="A1419" s="1">
        <v>42110</v>
      </c>
      <c r="B1419">
        <v>0.78029999999999999</v>
      </c>
      <c r="C1419">
        <v>0.77890000000000004</v>
      </c>
    </row>
    <row r="1420" spans="1:3" x14ac:dyDescent="0.25">
      <c r="A1420" s="1">
        <v>42111</v>
      </c>
      <c r="B1420">
        <v>0.77749999999999997</v>
      </c>
      <c r="C1420">
        <v>0.77610000000000001</v>
      </c>
    </row>
    <row r="1421" spans="1:3" x14ac:dyDescent="0.25">
      <c r="A1421" s="1">
        <v>42114</v>
      </c>
      <c r="B1421">
        <v>0.77239999999999998</v>
      </c>
      <c r="C1421">
        <v>0.77100000000000002</v>
      </c>
    </row>
    <row r="1422" spans="1:3" x14ac:dyDescent="0.25">
      <c r="A1422" s="1">
        <v>42115</v>
      </c>
      <c r="B1422">
        <v>0.77090000000000003</v>
      </c>
      <c r="C1422">
        <v>0.76939999999999997</v>
      </c>
    </row>
    <row r="1423" spans="1:3" x14ac:dyDescent="0.25">
      <c r="A1423" s="1">
        <v>42116</v>
      </c>
      <c r="B1423">
        <v>0.77529999999999999</v>
      </c>
      <c r="C1423">
        <v>0.77380000000000004</v>
      </c>
    </row>
    <row r="1424" spans="1:3" x14ac:dyDescent="0.25">
      <c r="A1424" s="1">
        <v>42117</v>
      </c>
      <c r="B1424">
        <v>0.77769999999999995</v>
      </c>
      <c r="C1424">
        <v>0.77629999999999999</v>
      </c>
    </row>
    <row r="1425" spans="1:3" x14ac:dyDescent="0.25">
      <c r="A1425" s="1">
        <v>42118</v>
      </c>
      <c r="B1425">
        <v>0.78149999999999997</v>
      </c>
      <c r="C1425">
        <v>0.7802</v>
      </c>
    </row>
    <row r="1426" spans="1:3" x14ac:dyDescent="0.25">
      <c r="A1426" s="1">
        <v>42121</v>
      </c>
      <c r="B1426">
        <v>0.78569999999999995</v>
      </c>
      <c r="C1426">
        <v>0.78439999999999999</v>
      </c>
    </row>
    <row r="1427" spans="1:3" x14ac:dyDescent="0.25">
      <c r="A1427" s="1">
        <v>42122</v>
      </c>
      <c r="B1427">
        <v>0.80210000000000004</v>
      </c>
      <c r="C1427">
        <v>0.80079999999999996</v>
      </c>
    </row>
    <row r="1428" spans="1:3" x14ac:dyDescent="0.25">
      <c r="A1428" s="1">
        <v>42123</v>
      </c>
      <c r="B1428">
        <v>0.80059999999999998</v>
      </c>
      <c r="C1428">
        <v>0.79920000000000002</v>
      </c>
    </row>
    <row r="1429" spans="1:3" x14ac:dyDescent="0.25">
      <c r="A1429" s="1">
        <v>42124</v>
      </c>
      <c r="B1429">
        <v>0.79039999999999999</v>
      </c>
      <c r="C1429">
        <v>0.78900000000000003</v>
      </c>
    </row>
    <row r="1430" spans="1:3" x14ac:dyDescent="0.25">
      <c r="A1430" s="1">
        <v>42129</v>
      </c>
      <c r="B1430">
        <v>0.79400000000000004</v>
      </c>
      <c r="C1430">
        <v>0.79259999999999997</v>
      </c>
    </row>
    <row r="1431" spans="1:3" x14ac:dyDescent="0.25">
      <c r="A1431" s="1">
        <v>42130</v>
      </c>
      <c r="B1431">
        <v>0.79649999999999999</v>
      </c>
      <c r="C1431">
        <v>0.79520000000000002</v>
      </c>
    </row>
    <row r="1432" spans="1:3" x14ac:dyDescent="0.25">
      <c r="A1432" s="1">
        <v>42131</v>
      </c>
      <c r="B1432">
        <v>0.79059999999999997</v>
      </c>
      <c r="C1432">
        <v>0.7893</v>
      </c>
    </row>
    <row r="1433" spans="1:3" x14ac:dyDescent="0.25">
      <c r="A1433" s="1">
        <v>42132</v>
      </c>
      <c r="B1433">
        <v>0.79279999999999995</v>
      </c>
      <c r="C1433">
        <v>0.79149999999999998</v>
      </c>
    </row>
    <row r="1434" spans="1:3" x14ac:dyDescent="0.25">
      <c r="A1434" s="1">
        <v>42135</v>
      </c>
      <c r="B1434">
        <v>0.78900000000000003</v>
      </c>
      <c r="C1434">
        <v>0.78759999999999997</v>
      </c>
    </row>
    <row r="1435" spans="1:3" x14ac:dyDescent="0.25">
      <c r="A1435" s="1">
        <v>42136</v>
      </c>
      <c r="B1435">
        <v>0.79759999999999998</v>
      </c>
      <c r="C1435">
        <v>0.79620000000000002</v>
      </c>
    </row>
    <row r="1436" spans="1:3" x14ac:dyDescent="0.25">
      <c r="A1436" s="1">
        <v>42137</v>
      </c>
      <c r="B1436">
        <v>0.81120000000000003</v>
      </c>
      <c r="C1436">
        <v>0.80989999999999995</v>
      </c>
    </row>
    <row r="1437" spans="1:3" x14ac:dyDescent="0.25">
      <c r="A1437" s="1">
        <v>42138</v>
      </c>
      <c r="B1437">
        <v>0.80779999999999996</v>
      </c>
      <c r="C1437">
        <v>0.80640000000000001</v>
      </c>
    </row>
    <row r="1438" spans="1:3" x14ac:dyDescent="0.25">
      <c r="A1438" s="1">
        <v>42139</v>
      </c>
      <c r="B1438">
        <v>0.80249999999999999</v>
      </c>
      <c r="C1438">
        <v>0.80110000000000003</v>
      </c>
    </row>
    <row r="1439" spans="1:3" x14ac:dyDescent="0.25">
      <c r="A1439" s="1">
        <v>42142</v>
      </c>
      <c r="B1439">
        <v>0.79879999999999995</v>
      </c>
      <c r="C1439">
        <v>0.7974</v>
      </c>
    </row>
    <row r="1440" spans="1:3" x14ac:dyDescent="0.25">
      <c r="A1440" s="1">
        <v>42143</v>
      </c>
      <c r="B1440">
        <v>0.79139999999999999</v>
      </c>
      <c r="C1440">
        <v>0.79</v>
      </c>
    </row>
    <row r="1441" spans="1:3" x14ac:dyDescent="0.25">
      <c r="A1441" s="1">
        <v>42144</v>
      </c>
      <c r="B1441">
        <v>0.78739999999999999</v>
      </c>
      <c r="C1441">
        <v>0.78610000000000002</v>
      </c>
    </row>
    <row r="1442" spans="1:3" x14ac:dyDescent="0.25">
      <c r="A1442" s="1">
        <v>42145</v>
      </c>
      <c r="B1442">
        <v>0.78949999999999998</v>
      </c>
      <c r="C1442">
        <v>0.78820000000000001</v>
      </c>
    </row>
    <row r="1443" spans="1:3" x14ac:dyDescent="0.25">
      <c r="A1443" s="1">
        <v>42146</v>
      </c>
      <c r="B1443">
        <v>0.78159999999999996</v>
      </c>
      <c r="C1443">
        <v>0.78029999999999999</v>
      </c>
    </row>
    <row r="1444" spans="1:3" x14ac:dyDescent="0.25">
      <c r="A1444" s="1">
        <v>42149</v>
      </c>
      <c r="B1444">
        <v>0.78220000000000001</v>
      </c>
      <c r="C1444">
        <v>0.78080000000000005</v>
      </c>
    </row>
    <row r="1445" spans="1:3" x14ac:dyDescent="0.25">
      <c r="A1445" s="1">
        <v>42150</v>
      </c>
      <c r="B1445">
        <v>0.77339999999999998</v>
      </c>
      <c r="C1445">
        <v>0.77200000000000002</v>
      </c>
    </row>
    <row r="1446" spans="1:3" x14ac:dyDescent="0.25">
      <c r="A1446" s="1">
        <v>42151</v>
      </c>
      <c r="B1446">
        <v>0.77270000000000005</v>
      </c>
      <c r="C1446">
        <v>0.77139999999999997</v>
      </c>
    </row>
    <row r="1447" spans="1:3" x14ac:dyDescent="0.25">
      <c r="A1447" s="1">
        <v>42152</v>
      </c>
      <c r="B1447">
        <v>0.76480000000000004</v>
      </c>
      <c r="C1447">
        <v>0.76359999999999995</v>
      </c>
    </row>
    <row r="1448" spans="1:3" x14ac:dyDescent="0.25">
      <c r="A1448" s="1">
        <v>42153</v>
      </c>
      <c r="B1448">
        <v>0.76390000000000002</v>
      </c>
      <c r="C1448">
        <v>0.76270000000000004</v>
      </c>
    </row>
    <row r="1449" spans="1:3" x14ac:dyDescent="0.25">
      <c r="A1449" s="1">
        <v>42156</v>
      </c>
      <c r="B1449">
        <v>0.76049999999999995</v>
      </c>
      <c r="C1449">
        <v>0.75929999999999997</v>
      </c>
    </row>
    <row r="1450" spans="1:3" x14ac:dyDescent="0.25">
      <c r="A1450" s="1">
        <v>42157</v>
      </c>
      <c r="B1450">
        <v>0.7772</v>
      </c>
      <c r="C1450">
        <v>0.77590000000000003</v>
      </c>
    </row>
    <row r="1451" spans="1:3" x14ac:dyDescent="0.25">
      <c r="A1451" s="1">
        <v>42158</v>
      </c>
      <c r="B1451">
        <v>0.77859999999999996</v>
      </c>
      <c r="C1451">
        <v>0.77729999999999999</v>
      </c>
    </row>
    <row r="1452" spans="1:3" x14ac:dyDescent="0.25">
      <c r="A1452" s="1">
        <v>42159</v>
      </c>
      <c r="B1452">
        <v>0.76859999999999995</v>
      </c>
      <c r="C1452">
        <v>0.76729999999999998</v>
      </c>
    </row>
    <row r="1453" spans="1:3" x14ac:dyDescent="0.25">
      <c r="A1453" s="1">
        <v>42160</v>
      </c>
      <c r="B1453">
        <v>0.76139999999999997</v>
      </c>
      <c r="C1453">
        <v>0.7601</v>
      </c>
    </row>
    <row r="1454" spans="1:3" x14ac:dyDescent="0.25">
      <c r="A1454" s="1">
        <v>42163</v>
      </c>
      <c r="B1454">
        <v>0.77010000000000001</v>
      </c>
      <c r="C1454">
        <v>0.76890000000000003</v>
      </c>
    </row>
    <row r="1455" spans="1:3" x14ac:dyDescent="0.25">
      <c r="A1455" s="1">
        <v>42164</v>
      </c>
      <c r="B1455">
        <v>0.76900000000000002</v>
      </c>
      <c r="C1455">
        <v>0.76770000000000005</v>
      </c>
    </row>
    <row r="1456" spans="1:3" x14ac:dyDescent="0.25">
      <c r="A1456" s="1">
        <v>42165</v>
      </c>
      <c r="B1456">
        <v>0.77569999999999995</v>
      </c>
      <c r="C1456">
        <v>0.77439999999999998</v>
      </c>
    </row>
    <row r="1457" spans="1:3" x14ac:dyDescent="0.25">
      <c r="A1457" s="1">
        <v>42166</v>
      </c>
      <c r="B1457">
        <v>0.77539999999999998</v>
      </c>
      <c r="C1457">
        <v>0.77410000000000001</v>
      </c>
    </row>
    <row r="1458" spans="1:3" x14ac:dyDescent="0.25">
      <c r="A1458" s="1">
        <v>42167</v>
      </c>
      <c r="B1458">
        <v>0.77239999999999998</v>
      </c>
      <c r="C1458">
        <v>0.77110000000000001</v>
      </c>
    </row>
    <row r="1459" spans="1:3" x14ac:dyDescent="0.25">
      <c r="A1459" s="1">
        <v>42170</v>
      </c>
      <c r="B1459">
        <v>0.77649999999999997</v>
      </c>
      <c r="C1459">
        <v>0.77529999999999999</v>
      </c>
    </row>
    <row r="1460" spans="1:3" x14ac:dyDescent="0.25">
      <c r="A1460" s="1">
        <v>42171</v>
      </c>
      <c r="B1460">
        <v>0.77500000000000002</v>
      </c>
      <c r="C1460">
        <v>0.77370000000000005</v>
      </c>
    </row>
    <row r="1461" spans="1:3" x14ac:dyDescent="0.25">
      <c r="A1461" s="1">
        <v>42172</v>
      </c>
      <c r="B1461">
        <v>0.77210000000000001</v>
      </c>
      <c r="C1461">
        <v>0.77080000000000004</v>
      </c>
    </row>
    <row r="1462" spans="1:3" x14ac:dyDescent="0.25">
      <c r="A1462" s="1">
        <v>42173</v>
      </c>
      <c r="B1462">
        <v>0.77990000000000004</v>
      </c>
      <c r="C1462">
        <v>0.77859999999999996</v>
      </c>
    </row>
    <row r="1463" spans="1:3" x14ac:dyDescent="0.25">
      <c r="A1463" s="1">
        <v>42174</v>
      </c>
      <c r="B1463">
        <v>0.77639999999999998</v>
      </c>
      <c r="C1463">
        <v>0.77510000000000001</v>
      </c>
    </row>
    <row r="1464" spans="1:3" x14ac:dyDescent="0.25">
      <c r="A1464" s="1">
        <v>42177</v>
      </c>
      <c r="B1464">
        <v>0.77270000000000005</v>
      </c>
      <c r="C1464">
        <v>0.77139999999999997</v>
      </c>
    </row>
    <row r="1465" spans="1:3" x14ac:dyDescent="0.25">
      <c r="A1465" s="1">
        <v>42178</v>
      </c>
      <c r="B1465">
        <v>0.77349999999999997</v>
      </c>
      <c r="C1465">
        <v>0.77210000000000001</v>
      </c>
    </row>
    <row r="1466" spans="1:3" x14ac:dyDescent="0.25">
      <c r="A1466" s="1">
        <v>42179</v>
      </c>
      <c r="B1466">
        <v>0.7702</v>
      </c>
      <c r="C1466">
        <v>0.76890000000000003</v>
      </c>
    </row>
    <row r="1467" spans="1:3" x14ac:dyDescent="0.25">
      <c r="A1467" s="1">
        <v>42180</v>
      </c>
      <c r="B1467">
        <v>0.77359999999999995</v>
      </c>
      <c r="C1467">
        <v>0.77229999999999999</v>
      </c>
    </row>
    <row r="1468" spans="1:3" x14ac:dyDescent="0.25">
      <c r="A1468" s="1">
        <v>42181</v>
      </c>
      <c r="B1468">
        <v>0.76529999999999998</v>
      </c>
      <c r="C1468">
        <v>0.76400000000000001</v>
      </c>
    </row>
    <row r="1469" spans="1:3" x14ac:dyDescent="0.25">
      <c r="A1469" s="1">
        <v>42184</v>
      </c>
      <c r="B1469">
        <v>0.76780000000000004</v>
      </c>
      <c r="C1469">
        <v>0.76639999999999997</v>
      </c>
    </row>
    <row r="1470" spans="1:3" x14ac:dyDescent="0.25">
      <c r="A1470" s="1">
        <v>42185</v>
      </c>
      <c r="B1470">
        <v>0.77059999999999995</v>
      </c>
      <c r="C1470">
        <v>0.76919999999999999</v>
      </c>
    </row>
    <row r="1471" spans="1:3" x14ac:dyDescent="0.25">
      <c r="A1471" s="1">
        <v>42186</v>
      </c>
      <c r="B1471">
        <v>0.76429999999999998</v>
      </c>
      <c r="C1471">
        <v>0.76300000000000001</v>
      </c>
    </row>
    <row r="1472" spans="1:3" x14ac:dyDescent="0.25">
      <c r="A1472" s="1">
        <v>42187</v>
      </c>
      <c r="B1472">
        <v>0.7631</v>
      </c>
      <c r="C1472">
        <v>0.76180000000000003</v>
      </c>
    </row>
    <row r="1473" spans="1:3" x14ac:dyDescent="0.25">
      <c r="A1473" s="1">
        <v>42188</v>
      </c>
      <c r="B1473">
        <v>0.75119999999999998</v>
      </c>
      <c r="C1473">
        <v>0.74990000000000001</v>
      </c>
    </row>
    <row r="1474" spans="1:3" x14ac:dyDescent="0.25">
      <c r="A1474" s="1">
        <v>42191</v>
      </c>
      <c r="B1474">
        <v>0.74980000000000002</v>
      </c>
      <c r="C1474">
        <v>0.74839999999999995</v>
      </c>
    </row>
    <row r="1475" spans="1:3" x14ac:dyDescent="0.25">
      <c r="A1475" s="1">
        <v>42192</v>
      </c>
      <c r="B1475">
        <v>0.74509999999999998</v>
      </c>
      <c r="C1475">
        <v>0.74380000000000002</v>
      </c>
    </row>
    <row r="1476" spans="1:3" x14ac:dyDescent="0.25">
      <c r="A1476" s="1">
        <v>42193</v>
      </c>
      <c r="B1476">
        <v>0.74280000000000002</v>
      </c>
      <c r="C1476">
        <v>0.74150000000000005</v>
      </c>
    </row>
    <row r="1477" spans="1:3" x14ac:dyDescent="0.25">
      <c r="A1477" s="1">
        <v>42194</v>
      </c>
      <c r="B1477">
        <v>0.74450000000000005</v>
      </c>
      <c r="C1477">
        <v>0.74319999999999997</v>
      </c>
    </row>
    <row r="1478" spans="1:3" x14ac:dyDescent="0.25">
      <c r="A1478" s="1">
        <v>42195</v>
      </c>
      <c r="B1478">
        <v>0.74319999999999997</v>
      </c>
      <c r="C1478">
        <v>0.7419</v>
      </c>
    </row>
    <row r="1479" spans="1:3" x14ac:dyDescent="0.25">
      <c r="A1479" s="1">
        <v>42198</v>
      </c>
      <c r="B1479">
        <v>0.74060000000000004</v>
      </c>
      <c r="C1479">
        <v>0.73919999999999997</v>
      </c>
    </row>
    <row r="1480" spans="1:3" x14ac:dyDescent="0.25">
      <c r="A1480" s="1">
        <v>42199</v>
      </c>
      <c r="B1480">
        <v>0.745</v>
      </c>
      <c r="C1480">
        <v>0.74370000000000003</v>
      </c>
    </row>
    <row r="1481" spans="1:3" x14ac:dyDescent="0.25">
      <c r="A1481" s="1">
        <v>42200</v>
      </c>
      <c r="B1481">
        <v>0.73770000000000002</v>
      </c>
      <c r="C1481">
        <v>0.73640000000000005</v>
      </c>
    </row>
    <row r="1482" spans="1:3" x14ac:dyDescent="0.25">
      <c r="A1482" s="1">
        <v>42201</v>
      </c>
      <c r="B1482">
        <v>0.74039999999999995</v>
      </c>
      <c r="C1482">
        <v>0.73909999999999998</v>
      </c>
    </row>
    <row r="1483" spans="1:3" x14ac:dyDescent="0.25">
      <c r="A1483" s="1">
        <v>42202</v>
      </c>
      <c r="B1483">
        <v>0.7369</v>
      </c>
      <c r="C1483">
        <v>0.73560000000000003</v>
      </c>
    </row>
    <row r="1484" spans="1:3" x14ac:dyDescent="0.25">
      <c r="A1484" s="1">
        <v>42205</v>
      </c>
      <c r="B1484">
        <v>0.7369</v>
      </c>
      <c r="C1484">
        <v>0.73560000000000003</v>
      </c>
    </row>
    <row r="1485" spans="1:3" x14ac:dyDescent="0.25">
      <c r="A1485" s="1">
        <v>42206</v>
      </c>
      <c r="B1485">
        <v>0.74180000000000001</v>
      </c>
      <c r="C1485">
        <v>0.74050000000000005</v>
      </c>
    </row>
    <row r="1486" spans="1:3" x14ac:dyDescent="0.25">
      <c r="A1486" s="1">
        <v>42207</v>
      </c>
      <c r="B1486">
        <v>0.73740000000000006</v>
      </c>
      <c r="C1486">
        <v>0.73609999999999998</v>
      </c>
    </row>
    <row r="1487" spans="1:3" x14ac:dyDescent="0.25">
      <c r="A1487" s="1">
        <v>42208</v>
      </c>
      <c r="B1487">
        <v>0.73729999999999996</v>
      </c>
      <c r="C1487">
        <v>0.73599999999999999</v>
      </c>
    </row>
    <row r="1488" spans="1:3" x14ac:dyDescent="0.25">
      <c r="A1488" s="1">
        <v>42209</v>
      </c>
      <c r="B1488">
        <v>0.72989999999999999</v>
      </c>
      <c r="C1488">
        <v>0.72860000000000003</v>
      </c>
    </row>
    <row r="1489" spans="1:3" x14ac:dyDescent="0.25">
      <c r="A1489" s="1">
        <v>42212</v>
      </c>
      <c r="B1489">
        <v>0.7268</v>
      </c>
      <c r="C1489">
        <v>0.72550000000000003</v>
      </c>
    </row>
    <row r="1490" spans="1:3" x14ac:dyDescent="0.25">
      <c r="A1490" s="1">
        <v>42213</v>
      </c>
      <c r="B1490">
        <v>0.73370000000000002</v>
      </c>
      <c r="C1490">
        <v>0.73240000000000005</v>
      </c>
    </row>
    <row r="1491" spans="1:3" x14ac:dyDescent="0.25">
      <c r="A1491" s="1">
        <v>42214</v>
      </c>
      <c r="B1491">
        <v>0.73280000000000001</v>
      </c>
      <c r="C1491">
        <v>0.73150000000000004</v>
      </c>
    </row>
    <row r="1492" spans="1:3" x14ac:dyDescent="0.25">
      <c r="A1492" s="1">
        <v>42215</v>
      </c>
      <c r="B1492">
        <v>0.72919999999999996</v>
      </c>
      <c r="C1492">
        <v>0.72799999999999998</v>
      </c>
    </row>
    <row r="1493" spans="1:3" x14ac:dyDescent="0.25">
      <c r="A1493" s="1">
        <v>42216</v>
      </c>
      <c r="B1493">
        <v>0.72960000000000003</v>
      </c>
      <c r="C1493">
        <v>0.72819999999999996</v>
      </c>
    </row>
    <row r="1494" spans="1:3" x14ac:dyDescent="0.25">
      <c r="A1494" s="1">
        <v>42219</v>
      </c>
      <c r="B1494">
        <v>0.72850000000000004</v>
      </c>
      <c r="C1494">
        <v>0.72709999999999997</v>
      </c>
    </row>
    <row r="1495" spans="1:3" x14ac:dyDescent="0.25">
      <c r="A1495" s="1">
        <v>42220</v>
      </c>
      <c r="B1495">
        <v>0.73229999999999995</v>
      </c>
      <c r="C1495">
        <v>0.73099999999999998</v>
      </c>
    </row>
    <row r="1496" spans="1:3" x14ac:dyDescent="0.25">
      <c r="A1496" s="1">
        <v>42221</v>
      </c>
      <c r="B1496">
        <v>0.73540000000000005</v>
      </c>
      <c r="C1496">
        <v>0.73409999999999997</v>
      </c>
    </row>
    <row r="1497" spans="1:3" x14ac:dyDescent="0.25">
      <c r="A1497" s="1">
        <v>42222</v>
      </c>
      <c r="B1497">
        <v>0.73440000000000005</v>
      </c>
      <c r="C1497">
        <v>0.73309999999999997</v>
      </c>
    </row>
    <row r="1498" spans="1:3" x14ac:dyDescent="0.25">
      <c r="A1498" s="1">
        <v>42223</v>
      </c>
      <c r="B1498">
        <v>0.74160000000000004</v>
      </c>
      <c r="C1498">
        <v>0.74029999999999996</v>
      </c>
    </row>
    <row r="1499" spans="1:3" x14ac:dyDescent="0.25">
      <c r="A1499" s="1">
        <v>42226</v>
      </c>
      <c r="B1499">
        <v>0.74119999999999997</v>
      </c>
      <c r="C1499">
        <v>0.7399</v>
      </c>
    </row>
    <row r="1500" spans="1:3" x14ac:dyDescent="0.25">
      <c r="A1500" s="1">
        <v>42227</v>
      </c>
      <c r="B1500">
        <v>0.73019999999999996</v>
      </c>
      <c r="C1500">
        <v>0.72889999999999999</v>
      </c>
    </row>
    <row r="1501" spans="1:3" x14ac:dyDescent="0.25">
      <c r="A1501" s="1">
        <v>42228</v>
      </c>
      <c r="B1501">
        <v>0.73770000000000002</v>
      </c>
      <c r="C1501">
        <v>0.73650000000000004</v>
      </c>
    </row>
    <row r="1502" spans="1:3" x14ac:dyDescent="0.25">
      <c r="A1502" s="1">
        <v>42229</v>
      </c>
      <c r="B1502">
        <v>0.73560000000000003</v>
      </c>
      <c r="C1502">
        <v>0.73440000000000005</v>
      </c>
    </row>
    <row r="1503" spans="1:3" x14ac:dyDescent="0.25">
      <c r="A1503" s="1">
        <v>42230</v>
      </c>
      <c r="B1503">
        <v>0.73670000000000002</v>
      </c>
      <c r="C1503">
        <v>0.73550000000000004</v>
      </c>
    </row>
    <row r="1504" spans="1:3" x14ac:dyDescent="0.25">
      <c r="A1504" s="1">
        <v>42233</v>
      </c>
      <c r="B1504">
        <v>0.73699999999999999</v>
      </c>
      <c r="C1504">
        <v>0.73570000000000002</v>
      </c>
    </row>
    <row r="1505" spans="1:3" x14ac:dyDescent="0.25">
      <c r="A1505" s="1">
        <v>42235</v>
      </c>
      <c r="B1505">
        <v>0.73460000000000003</v>
      </c>
      <c r="C1505">
        <v>0.73340000000000005</v>
      </c>
    </row>
    <row r="1506" spans="1:3" x14ac:dyDescent="0.25">
      <c r="A1506" s="1">
        <v>42236</v>
      </c>
      <c r="B1506">
        <v>0.73360000000000003</v>
      </c>
      <c r="C1506">
        <v>0.73240000000000005</v>
      </c>
    </row>
    <row r="1507" spans="1:3" x14ac:dyDescent="0.25">
      <c r="A1507" s="1">
        <v>42237</v>
      </c>
      <c r="B1507">
        <v>0.73109999999999997</v>
      </c>
      <c r="C1507">
        <v>0.72989999999999999</v>
      </c>
    </row>
    <row r="1508" spans="1:3" x14ac:dyDescent="0.25">
      <c r="A1508" s="1">
        <v>42241</v>
      </c>
      <c r="B1508">
        <v>0.71289999999999998</v>
      </c>
      <c r="C1508">
        <v>0.7117</v>
      </c>
    </row>
    <row r="1509" spans="1:3" x14ac:dyDescent="0.25">
      <c r="A1509" s="1">
        <v>42242</v>
      </c>
      <c r="B1509">
        <v>0.71199999999999997</v>
      </c>
      <c r="C1509">
        <v>0.71089999999999998</v>
      </c>
    </row>
    <row r="1510" spans="1:3" x14ac:dyDescent="0.25">
      <c r="A1510" s="1">
        <v>42243</v>
      </c>
      <c r="B1510">
        <v>0.71640000000000004</v>
      </c>
      <c r="C1510">
        <v>0.71530000000000005</v>
      </c>
    </row>
    <row r="1511" spans="1:3" x14ac:dyDescent="0.25">
      <c r="A1511" s="1">
        <v>42244</v>
      </c>
      <c r="B1511">
        <v>0.71709999999999996</v>
      </c>
      <c r="C1511">
        <v>0.71599999999999997</v>
      </c>
    </row>
    <row r="1512" spans="1:3" x14ac:dyDescent="0.25">
      <c r="A1512" s="1">
        <v>42247</v>
      </c>
      <c r="B1512">
        <v>0.71120000000000005</v>
      </c>
      <c r="C1512">
        <v>0.71009999999999995</v>
      </c>
    </row>
    <row r="1513" spans="1:3" x14ac:dyDescent="0.25">
      <c r="A1513" s="1">
        <v>42248</v>
      </c>
      <c r="B1513">
        <v>0.70179999999999998</v>
      </c>
      <c r="C1513">
        <v>0.7006</v>
      </c>
    </row>
    <row r="1514" spans="1:3" x14ac:dyDescent="0.25">
      <c r="A1514" s="1">
        <v>42249</v>
      </c>
      <c r="B1514">
        <v>0.70379999999999998</v>
      </c>
      <c r="C1514">
        <v>0.7026</v>
      </c>
    </row>
    <row r="1515" spans="1:3" x14ac:dyDescent="0.25">
      <c r="A1515" s="1">
        <v>42250</v>
      </c>
      <c r="B1515">
        <v>0.7016</v>
      </c>
      <c r="C1515">
        <v>0.70050000000000001</v>
      </c>
    </row>
    <row r="1516" spans="1:3" x14ac:dyDescent="0.25">
      <c r="A1516" s="1">
        <v>42251</v>
      </c>
      <c r="B1516">
        <v>0.6905</v>
      </c>
      <c r="C1516">
        <v>0.68940000000000001</v>
      </c>
    </row>
    <row r="1517" spans="1:3" x14ac:dyDescent="0.25">
      <c r="A1517" s="1">
        <v>42254</v>
      </c>
      <c r="B1517">
        <v>0.69220000000000004</v>
      </c>
      <c r="C1517">
        <v>0.69110000000000005</v>
      </c>
    </row>
    <row r="1518" spans="1:3" x14ac:dyDescent="0.25">
      <c r="A1518" s="1">
        <v>42255</v>
      </c>
      <c r="B1518">
        <v>0.70169999999999999</v>
      </c>
      <c r="C1518">
        <v>0.70050000000000001</v>
      </c>
    </row>
    <row r="1519" spans="1:3" x14ac:dyDescent="0.25">
      <c r="A1519" s="1">
        <v>42256</v>
      </c>
      <c r="B1519">
        <v>0.70150000000000001</v>
      </c>
      <c r="C1519">
        <v>0.70030000000000003</v>
      </c>
    </row>
    <row r="1520" spans="1:3" x14ac:dyDescent="0.25">
      <c r="A1520" s="1">
        <v>42257</v>
      </c>
      <c r="B1520">
        <v>0.70699999999999996</v>
      </c>
      <c r="C1520">
        <v>0.70589999999999997</v>
      </c>
    </row>
    <row r="1521" spans="1:3" x14ac:dyDescent="0.25">
      <c r="A1521" s="1">
        <v>42258</v>
      </c>
      <c r="B1521">
        <v>0.70879999999999999</v>
      </c>
      <c r="C1521">
        <v>0.7077</v>
      </c>
    </row>
    <row r="1522" spans="1:3" x14ac:dyDescent="0.25">
      <c r="A1522" s="1">
        <v>42261</v>
      </c>
      <c r="B1522">
        <v>0.71360000000000001</v>
      </c>
      <c r="C1522">
        <v>0.71250000000000002</v>
      </c>
    </row>
    <row r="1523" spans="1:3" x14ac:dyDescent="0.25">
      <c r="A1523" s="1">
        <v>42262</v>
      </c>
      <c r="B1523">
        <v>0.71409999999999996</v>
      </c>
      <c r="C1523">
        <v>0.71289999999999998</v>
      </c>
    </row>
    <row r="1524" spans="1:3" x14ac:dyDescent="0.25">
      <c r="A1524" s="1">
        <v>42263</v>
      </c>
      <c r="B1524">
        <v>0.71960000000000002</v>
      </c>
      <c r="C1524">
        <v>0.71840000000000004</v>
      </c>
    </row>
    <row r="1525" spans="1:3" x14ac:dyDescent="0.25">
      <c r="A1525" s="1">
        <v>42265</v>
      </c>
      <c r="B1525">
        <v>0.71689999999999998</v>
      </c>
      <c r="C1525">
        <v>0.7157</v>
      </c>
    </row>
    <row r="1526" spans="1:3" x14ac:dyDescent="0.25">
      <c r="A1526" s="1">
        <v>42268</v>
      </c>
      <c r="B1526">
        <v>0.71289999999999998</v>
      </c>
      <c r="C1526">
        <v>0.7117</v>
      </c>
    </row>
    <row r="1527" spans="1:3" x14ac:dyDescent="0.25">
      <c r="A1527" s="1">
        <v>42269</v>
      </c>
      <c r="B1527">
        <v>0.70879999999999999</v>
      </c>
      <c r="C1527">
        <v>0.70750000000000002</v>
      </c>
    </row>
    <row r="1528" spans="1:3" x14ac:dyDescent="0.25">
      <c r="A1528" s="1">
        <v>42270</v>
      </c>
      <c r="B1528">
        <v>0.70020000000000004</v>
      </c>
      <c r="C1528">
        <v>0.69899999999999995</v>
      </c>
    </row>
    <row r="1529" spans="1:3" x14ac:dyDescent="0.25">
      <c r="A1529" s="1">
        <v>42271</v>
      </c>
      <c r="B1529">
        <v>0.70209999999999995</v>
      </c>
      <c r="C1529">
        <v>0.70089999999999997</v>
      </c>
    </row>
    <row r="1530" spans="1:3" x14ac:dyDescent="0.25">
      <c r="A1530" s="1">
        <v>42275</v>
      </c>
      <c r="B1530">
        <v>0.69889999999999997</v>
      </c>
      <c r="C1530">
        <v>0.69769999999999999</v>
      </c>
    </row>
    <row r="1531" spans="1:3" x14ac:dyDescent="0.25">
      <c r="A1531" s="1">
        <v>42276</v>
      </c>
      <c r="B1531">
        <v>0.69830000000000003</v>
      </c>
      <c r="C1531">
        <v>0.69710000000000005</v>
      </c>
    </row>
    <row r="1532" spans="1:3" x14ac:dyDescent="0.25">
      <c r="A1532" s="1">
        <v>42277</v>
      </c>
      <c r="B1532">
        <v>0.7016</v>
      </c>
      <c r="C1532">
        <v>0.70040000000000002</v>
      </c>
    </row>
    <row r="1533" spans="1:3" x14ac:dyDescent="0.25">
      <c r="A1533" s="1">
        <v>42278</v>
      </c>
      <c r="B1533">
        <v>0.70269999999999999</v>
      </c>
      <c r="C1533">
        <v>0.70150000000000001</v>
      </c>
    </row>
    <row r="1534" spans="1:3" x14ac:dyDescent="0.25">
      <c r="A1534" s="1">
        <v>42282</v>
      </c>
      <c r="B1534">
        <v>0.70809999999999995</v>
      </c>
      <c r="C1534">
        <v>0.70679999999999998</v>
      </c>
    </row>
    <row r="1535" spans="1:3" x14ac:dyDescent="0.25">
      <c r="A1535" s="1">
        <v>42283</v>
      </c>
      <c r="B1535">
        <v>0.71640000000000004</v>
      </c>
      <c r="C1535">
        <v>0.71519999999999995</v>
      </c>
    </row>
    <row r="1536" spans="1:3" x14ac:dyDescent="0.25">
      <c r="A1536" s="1">
        <v>42284</v>
      </c>
      <c r="B1536">
        <v>0.72060000000000002</v>
      </c>
      <c r="C1536">
        <v>0.71940000000000004</v>
      </c>
    </row>
    <row r="1537" spans="1:3" x14ac:dyDescent="0.25">
      <c r="A1537" s="1">
        <v>42285</v>
      </c>
      <c r="B1537">
        <v>0.72589999999999999</v>
      </c>
      <c r="C1537">
        <v>0.72470000000000001</v>
      </c>
    </row>
    <row r="1538" spans="1:3" x14ac:dyDescent="0.25">
      <c r="A1538" s="1">
        <v>42286</v>
      </c>
      <c r="B1538">
        <v>0.73299999999999998</v>
      </c>
      <c r="C1538">
        <v>0.73180000000000001</v>
      </c>
    </row>
    <row r="1539" spans="1:3" x14ac:dyDescent="0.25">
      <c r="A1539" s="1">
        <v>42289</v>
      </c>
      <c r="B1539">
        <v>0.73609999999999998</v>
      </c>
      <c r="C1539">
        <v>0.73480000000000001</v>
      </c>
    </row>
    <row r="1540" spans="1:3" x14ac:dyDescent="0.25">
      <c r="A1540" s="1">
        <v>42290</v>
      </c>
      <c r="B1540">
        <v>0.72440000000000004</v>
      </c>
      <c r="C1540">
        <v>0.72309999999999997</v>
      </c>
    </row>
    <row r="1541" spans="1:3" x14ac:dyDescent="0.25">
      <c r="A1541" s="1">
        <v>42291</v>
      </c>
      <c r="B1541">
        <v>0.72989999999999999</v>
      </c>
      <c r="C1541">
        <v>0.72870000000000001</v>
      </c>
    </row>
    <row r="1542" spans="1:3" x14ac:dyDescent="0.25">
      <c r="A1542" s="1">
        <v>42292</v>
      </c>
      <c r="B1542">
        <v>0.73270000000000002</v>
      </c>
      <c r="C1542">
        <v>0.73150000000000004</v>
      </c>
    </row>
    <row r="1543" spans="1:3" x14ac:dyDescent="0.25">
      <c r="A1543" s="1">
        <v>42293</v>
      </c>
      <c r="B1543">
        <v>0.72540000000000004</v>
      </c>
      <c r="C1543">
        <v>0.72419999999999995</v>
      </c>
    </row>
    <row r="1544" spans="1:3" x14ac:dyDescent="0.25">
      <c r="A1544" s="1">
        <v>42296</v>
      </c>
      <c r="B1544">
        <v>0.72470000000000001</v>
      </c>
      <c r="C1544">
        <v>0.72340000000000004</v>
      </c>
    </row>
    <row r="1545" spans="1:3" x14ac:dyDescent="0.25">
      <c r="A1545" s="1">
        <v>42297</v>
      </c>
      <c r="B1545">
        <v>0.72589999999999999</v>
      </c>
      <c r="C1545">
        <v>0.72470000000000001</v>
      </c>
    </row>
    <row r="1546" spans="1:3" x14ac:dyDescent="0.25">
      <c r="A1546" s="1">
        <v>42298</v>
      </c>
      <c r="B1546">
        <v>0.72740000000000005</v>
      </c>
      <c r="C1546">
        <v>0.72619999999999996</v>
      </c>
    </row>
    <row r="1547" spans="1:3" x14ac:dyDescent="0.25">
      <c r="A1547" s="1">
        <v>42300</v>
      </c>
      <c r="B1547">
        <v>0.72109999999999996</v>
      </c>
      <c r="C1547">
        <v>0.71989999999999998</v>
      </c>
    </row>
    <row r="1548" spans="1:3" x14ac:dyDescent="0.25">
      <c r="A1548" s="1">
        <v>42303</v>
      </c>
      <c r="B1548">
        <v>0.7248</v>
      </c>
      <c r="C1548">
        <v>0.72350000000000003</v>
      </c>
    </row>
    <row r="1549" spans="1:3" x14ac:dyDescent="0.25">
      <c r="A1549" s="1">
        <v>42304</v>
      </c>
      <c r="B1549">
        <v>0.71909999999999996</v>
      </c>
      <c r="C1549">
        <v>0.71789999999999998</v>
      </c>
    </row>
    <row r="1550" spans="1:3" x14ac:dyDescent="0.25">
      <c r="A1550" s="1">
        <v>42306</v>
      </c>
      <c r="B1550">
        <v>0.70720000000000005</v>
      </c>
      <c r="C1550">
        <v>0.70609999999999995</v>
      </c>
    </row>
    <row r="1551" spans="1:3" x14ac:dyDescent="0.25">
      <c r="A1551" s="1">
        <v>42307</v>
      </c>
      <c r="B1551">
        <v>0.71350000000000002</v>
      </c>
      <c r="C1551">
        <v>0.71240000000000003</v>
      </c>
    </row>
    <row r="1552" spans="1:3" x14ac:dyDescent="0.25">
      <c r="A1552" s="1">
        <v>42310</v>
      </c>
      <c r="B1552">
        <v>0.71460000000000001</v>
      </c>
      <c r="C1552">
        <v>0.71350000000000002</v>
      </c>
    </row>
    <row r="1553" spans="1:3" x14ac:dyDescent="0.25">
      <c r="A1553" s="1">
        <v>42311</v>
      </c>
      <c r="B1553">
        <v>0.71850000000000003</v>
      </c>
      <c r="C1553">
        <v>0.71719999999999995</v>
      </c>
    </row>
    <row r="1554" spans="1:3" x14ac:dyDescent="0.25">
      <c r="A1554" s="1">
        <v>42312</v>
      </c>
      <c r="B1554">
        <v>0.71489999999999998</v>
      </c>
      <c r="C1554">
        <v>0.7137</v>
      </c>
    </row>
    <row r="1555" spans="1:3" x14ac:dyDescent="0.25">
      <c r="A1555" s="1">
        <v>42313</v>
      </c>
      <c r="B1555">
        <v>0.71419999999999995</v>
      </c>
      <c r="C1555">
        <v>0.71299999999999997</v>
      </c>
    </row>
    <row r="1556" spans="1:3" x14ac:dyDescent="0.25">
      <c r="A1556" s="1">
        <v>42314</v>
      </c>
      <c r="B1556">
        <v>0.7036</v>
      </c>
      <c r="C1556">
        <v>0.70240000000000002</v>
      </c>
    </row>
    <row r="1557" spans="1:3" x14ac:dyDescent="0.25">
      <c r="A1557" s="1">
        <v>42317</v>
      </c>
      <c r="B1557">
        <v>0.70450000000000002</v>
      </c>
      <c r="C1557">
        <v>0.70330000000000004</v>
      </c>
    </row>
    <row r="1558" spans="1:3" x14ac:dyDescent="0.25">
      <c r="A1558" s="1">
        <v>42318</v>
      </c>
      <c r="B1558">
        <v>0.70299999999999996</v>
      </c>
      <c r="C1558">
        <v>0.70179999999999998</v>
      </c>
    </row>
    <row r="1559" spans="1:3" x14ac:dyDescent="0.25">
      <c r="A1559" s="1">
        <v>42321</v>
      </c>
      <c r="B1559">
        <v>0.7117</v>
      </c>
      <c r="C1559">
        <v>0.71050000000000002</v>
      </c>
    </row>
    <row r="1560" spans="1:3" x14ac:dyDescent="0.25">
      <c r="A1560" s="1">
        <v>42324</v>
      </c>
      <c r="B1560">
        <v>0.70950000000000002</v>
      </c>
      <c r="C1560">
        <v>0.70830000000000004</v>
      </c>
    </row>
    <row r="1561" spans="1:3" x14ac:dyDescent="0.25">
      <c r="A1561" s="1">
        <v>42325</v>
      </c>
      <c r="B1561">
        <v>0.71099999999999997</v>
      </c>
      <c r="C1561">
        <v>0.7097</v>
      </c>
    </row>
    <row r="1562" spans="1:3" x14ac:dyDescent="0.25">
      <c r="A1562" s="1">
        <v>42326</v>
      </c>
      <c r="B1562">
        <v>0.71099999999999997</v>
      </c>
      <c r="C1562">
        <v>0.70979999999999999</v>
      </c>
    </row>
    <row r="1563" spans="1:3" x14ac:dyDescent="0.25">
      <c r="A1563" s="1">
        <v>42327</v>
      </c>
      <c r="B1563">
        <v>0.71930000000000005</v>
      </c>
      <c r="C1563">
        <v>0.71809999999999996</v>
      </c>
    </row>
    <row r="1564" spans="1:3" x14ac:dyDescent="0.25">
      <c r="A1564" s="1">
        <v>42328</v>
      </c>
      <c r="B1564">
        <v>0.72330000000000005</v>
      </c>
      <c r="C1564">
        <v>0.72209999999999996</v>
      </c>
    </row>
    <row r="1565" spans="1:3" x14ac:dyDescent="0.25">
      <c r="A1565" s="1">
        <v>42331</v>
      </c>
      <c r="B1565">
        <v>0.71899999999999997</v>
      </c>
      <c r="C1565">
        <v>0.7177</v>
      </c>
    </row>
    <row r="1566" spans="1:3" x14ac:dyDescent="0.25">
      <c r="A1566" s="1">
        <v>42332</v>
      </c>
      <c r="B1566">
        <v>0.72570000000000001</v>
      </c>
      <c r="C1566">
        <v>0.72450000000000003</v>
      </c>
    </row>
    <row r="1567" spans="1:3" x14ac:dyDescent="0.25">
      <c r="A1567" s="1">
        <v>42334</v>
      </c>
      <c r="B1567">
        <v>0.72250000000000003</v>
      </c>
      <c r="C1567">
        <v>0.72130000000000005</v>
      </c>
    </row>
    <row r="1568" spans="1:3" x14ac:dyDescent="0.25">
      <c r="A1568" s="1">
        <v>42335</v>
      </c>
      <c r="B1568">
        <v>0.71889999999999998</v>
      </c>
      <c r="C1568">
        <v>0.71760000000000002</v>
      </c>
    </row>
    <row r="1569" spans="1:3" x14ac:dyDescent="0.25">
      <c r="A1569" s="1">
        <v>42338</v>
      </c>
      <c r="B1569">
        <v>0.72260000000000002</v>
      </c>
      <c r="C1569">
        <v>0.72130000000000005</v>
      </c>
    </row>
    <row r="1570" spans="1:3" x14ac:dyDescent="0.25">
      <c r="A1570" s="1">
        <v>42339</v>
      </c>
      <c r="B1570">
        <v>0.73219999999999996</v>
      </c>
      <c r="C1570">
        <v>0.73099999999999998</v>
      </c>
    </row>
    <row r="1571" spans="1:3" x14ac:dyDescent="0.25">
      <c r="A1571" s="1">
        <v>42340</v>
      </c>
      <c r="B1571">
        <v>0.73070000000000002</v>
      </c>
      <c r="C1571">
        <v>0.72950000000000004</v>
      </c>
    </row>
    <row r="1572" spans="1:3" x14ac:dyDescent="0.25">
      <c r="A1572" s="1">
        <v>42341</v>
      </c>
      <c r="B1572">
        <v>0.7339</v>
      </c>
      <c r="C1572">
        <v>0.73270000000000002</v>
      </c>
    </row>
    <row r="1573" spans="1:3" x14ac:dyDescent="0.25">
      <c r="A1573" s="1">
        <v>42342</v>
      </c>
      <c r="B1573">
        <v>0.73299999999999998</v>
      </c>
      <c r="C1573">
        <v>0.73180000000000001</v>
      </c>
    </row>
    <row r="1574" spans="1:3" x14ac:dyDescent="0.25">
      <c r="A1574" s="1">
        <v>42345</v>
      </c>
      <c r="B1574">
        <v>0.72660000000000002</v>
      </c>
      <c r="C1574">
        <v>0.72540000000000004</v>
      </c>
    </row>
    <row r="1575" spans="1:3" x14ac:dyDescent="0.25">
      <c r="A1575" s="1">
        <v>42346</v>
      </c>
      <c r="B1575">
        <v>0.72140000000000004</v>
      </c>
      <c r="C1575">
        <v>0.72019999999999995</v>
      </c>
    </row>
    <row r="1576" spans="1:3" x14ac:dyDescent="0.25">
      <c r="A1576" s="1">
        <v>42347</v>
      </c>
      <c r="B1576">
        <v>0.7228</v>
      </c>
      <c r="C1576">
        <v>0.72170000000000001</v>
      </c>
    </row>
    <row r="1577" spans="1:3" x14ac:dyDescent="0.25">
      <c r="A1577" s="1">
        <v>42348</v>
      </c>
      <c r="B1577">
        <v>0.72799999999999998</v>
      </c>
      <c r="C1577">
        <v>0.72689999999999999</v>
      </c>
    </row>
    <row r="1578" spans="1:3" x14ac:dyDescent="0.25">
      <c r="A1578" s="1">
        <v>42349</v>
      </c>
      <c r="B1578">
        <v>0.71830000000000005</v>
      </c>
      <c r="C1578">
        <v>0.71719999999999995</v>
      </c>
    </row>
    <row r="1579" spans="1:3" x14ac:dyDescent="0.25">
      <c r="A1579" s="1">
        <v>42352</v>
      </c>
      <c r="B1579">
        <v>0.72409999999999997</v>
      </c>
      <c r="C1579">
        <v>0.72289999999999999</v>
      </c>
    </row>
    <row r="1580" spans="1:3" x14ac:dyDescent="0.25">
      <c r="A1580" s="1">
        <v>42353</v>
      </c>
      <c r="B1580">
        <v>0.71909999999999996</v>
      </c>
      <c r="C1580">
        <v>0.71789999999999998</v>
      </c>
    </row>
    <row r="1581" spans="1:3" x14ac:dyDescent="0.25">
      <c r="A1581" s="1">
        <v>42354</v>
      </c>
      <c r="B1581">
        <v>0.72319999999999995</v>
      </c>
      <c r="C1581">
        <v>0.72199999999999998</v>
      </c>
    </row>
    <row r="1582" spans="1:3" x14ac:dyDescent="0.25">
      <c r="A1582" s="1">
        <v>42355</v>
      </c>
      <c r="B1582">
        <v>0.71279999999999999</v>
      </c>
      <c r="C1582">
        <v>0.70640000000000003</v>
      </c>
    </row>
    <row r="1583" spans="1:3" x14ac:dyDescent="0.25">
      <c r="A1583" s="1">
        <v>42356</v>
      </c>
      <c r="B1583">
        <v>0.71660000000000001</v>
      </c>
      <c r="C1583">
        <v>0.72</v>
      </c>
    </row>
    <row r="1584" spans="1:3" x14ac:dyDescent="0.25">
      <c r="A1584" s="1">
        <v>42359</v>
      </c>
      <c r="B1584">
        <v>0.71640000000000004</v>
      </c>
      <c r="C1584">
        <v>0.71519999999999995</v>
      </c>
    </row>
    <row r="1585" spans="1:3" x14ac:dyDescent="0.25">
      <c r="A1585" s="1">
        <v>42360</v>
      </c>
      <c r="B1585">
        <v>0.72360000000000002</v>
      </c>
      <c r="C1585">
        <v>0.72250000000000003</v>
      </c>
    </row>
    <row r="1586" spans="1:3" x14ac:dyDescent="0.25">
      <c r="A1586" s="1">
        <v>42361</v>
      </c>
      <c r="B1586">
        <v>0.72219999999999995</v>
      </c>
      <c r="C1586">
        <v>0.72109999999999996</v>
      </c>
    </row>
    <row r="1587" spans="1:3" x14ac:dyDescent="0.25">
      <c r="A1587" s="1">
        <v>42366</v>
      </c>
      <c r="B1587">
        <v>0.72619999999999996</v>
      </c>
      <c r="C1587">
        <v>0.72509999999999997</v>
      </c>
    </row>
    <row r="1588" spans="1:3" x14ac:dyDescent="0.25">
      <c r="A1588" s="1">
        <v>42367</v>
      </c>
      <c r="B1588">
        <v>0.72699999999999998</v>
      </c>
      <c r="C1588">
        <v>0.72599999999999998</v>
      </c>
    </row>
    <row r="1589" spans="1:3" x14ac:dyDescent="0.25">
      <c r="A1589" s="1">
        <v>42368</v>
      </c>
      <c r="B1589">
        <v>0.72940000000000005</v>
      </c>
      <c r="C1589">
        <v>0.72829999999999995</v>
      </c>
    </row>
    <row r="1590" spans="1:3" x14ac:dyDescent="0.25">
      <c r="A1590" s="1">
        <v>42369</v>
      </c>
      <c r="B1590">
        <v>0.73150000000000004</v>
      </c>
      <c r="C1590">
        <v>0.73040000000000005</v>
      </c>
    </row>
    <row r="1591" spans="1:3" x14ac:dyDescent="0.25">
      <c r="A1591" s="1">
        <v>42370</v>
      </c>
      <c r="B1591">
        <v>0.72860000000000003</v>
      </c>
      <c r="C1591">
        <v>0.72750000000000004</v>
      </c>
    </row>
    <row r="1592" spans="1:3" x14ac:dyDescent="0.25">
      <c r="A1592" s="1">
        <v>42373</v>
      </c>
      <c r="B1592">
        <v>0.72040000000000004</v>
      </c>
      <c r="C1592">
        <v>0.71919999999999995</v>
      </c>
    </row>
    <row r="1593" spans="1:3" x14ac:dyDescent="0.25">
      <c r="A1593" s="1">
        <v>42374</v>
      </c>
      <c r="B1593">
        <v>0.71719999999999995</v>
      </c>
      <c r="C1593">
        <v>0.71609999999999996</v>
      </c>
    </row>
    <row r="1594" spans="1:3" x14ac:dyDescent="0.25">
      <c r="A1594" s="1">
        <v>42375</v>
      </c>
      <c r="B1594">
        <v>0.70799999999999996</v>
      </c>
      <c r="C1594">
        <v>0.70689999999999997</v>
      </c>
    </row>
    <row r="1595" spans="1:3" x14ac:dyDescent="0.25">
      <c r="A1595" s="1">
        <v>42376</v>
      </c>
      <c r="B1595">
        <v>0.70040000000000002</v>
      </c>
      <c r="C1595">
        <v>0.69930000000000003</v>
      </c>
    </row>
    <row r="1596" spans="1:3" x14ac:dyDescent="0.25">
      <c r="A1596" s="1">
        <v>42377</v>
      </c>
      <c r="B1596">
        <v>0.70609999999999995</v>
      </c>
      <c r="C1596">
        <v>0.70499999999999996</v>
      </c>
    </row>
    <row r="1597" spans="1:3" x14ac:dyDescent="0.25">
      <c r="A1597" s="1">
        <v>42380</v>
      </c>
      <c r="B1597">
        <v>0.69789999999999996</v>
      </c>
      <c r="C1597">
        <v>0.69669999999999999</v>
      </c>
    </row>
    <row r="1598" spans="1:3" x14ac:dyDescent="0.25">
      <c r="A1598" s="1">
        <v>42381</v>
      </c>
      <c r="B1598">
        <v>0.69879999999999998</v>
      </c>
      <c r="C1598">
        <v>0.69769999999999999</v>
      </c>
    </row>
    <row r="1599" spans="1:3" x14ac:dyDescent="0.25">
      <c r="A1599" s="1">
        <v>42382</v>
      </c>
      <c r="B1599">
        <v>0.70230000000000004</v>
      </c>
      <c r="C1599">
        <v>0.70120000000000005</v>
      </c>
    </row>
    <row r="1600" spans="1:3" x14ac:dyDescent="0.25">
      <c r="A1600" s="1">
        <v>42383</v>
      </c>
      <c r="B1600">
        <v>0.69240000000000002</v>
      </c>
      <c r="C1600">
        <v>0.69140000000000001</v>
      </c>
    </row>
    <row r="1601" spans="1:3" x14ac:dyDescent="0.25">
      <c r="A1601" s="1">
        <v>42384</v>
      </c>
      <c r="B1601">
        <v>0.68830000000000002</v>
      </c>
      <c r="C1601">
        <v>0.68730000000000002</v>
      </c>
    </row>
    <row r="1602" spans="1:3" x14ac:dyDescent="0.25">
      <c r="A1602" s="1">
        <v>42387</v>
      </c>
      <c r="B1602">
        <v>0.68859999999999999</v>
      </c>
      <c r="C1602">
        <v>0.6875</v>
      </c>
    </row>
    <row r="1603" spans="1:3" x14ac:dyDescent="0.25">
      <c r="A1603" s="1">
        <v>42388</v>
      </c>
      <c r="B1603">
        <v>0.69420000000000004</v>
      </c>
      <c r="C1603">
        <v>0.69310000000000005</v>
      </c>
    </row>
    <row r="1604" spans="1:3" x14ac:dyDescent="0.25">
      <c r="A1604" s="1">
        <v>42389</v>
      </c>
      <c r="B1604">
        <v>0.68579999999999997</v>
      </c>
      <c r="C1604">
        <v>0.68479999999999996</v>
      </c>
    </row>
    <row r="1605" spans="1:3" x14ac:dyDescent="0.25">
      <c r="A1605" s="1">
        <v>42390</v>
      </c>
      <c r="B1605">
        <v>0.69099999999999995</v>
      </c>
      <c r="C1605">
        <v>0.69</v>
      </c>
    </row>
    <row r="1606" spans="1:3" x14ac:dyDescent="0.25">
      <c r="A1606" s="1">
        <v>42391</v>
      </c>
      <c r="B1606">
        <v>0.70289999999999997</v>
      </c>
      <c r="C1606">
        <v>0.70179999999999998</v>
      </c>
    </row>
    <row r="1607" spans="1:3" x14ac:dyDescent="0.25">
      <c r="A1607" s="1">
        <v>42394</v>
      </c>
      <c r="B1607">
        <v>0.69830000000000003</v>
      </c>
      <c r="C1607">
        <v>0.69720000000000004</v>
      </c>
    </row>
    <row r="1608" spans="1:3" x14ac:dyDescent="0.25">
      <c r="A1608" s="1">
        <v>42396</v>
      </c>
      <c r="B1608">
        <v>0.70330000000000004</v>
      </c>
      <c r="C1608">
        <v>0.70220000000000005</v>
      </c>
    </row>
    <row r="1609" spans="1:3" x14ac:dyDescent="0.25">
      <c r="A1609" s="1">
        <v>42397</v>
      </c>
      <c r="B1609">
        <v>0.70730000000000004</v>
      </c>
      <c r="C1609">
        <v>0.70630000000000004</v>
      </c>
    </row>
    <row r="1610" spans="1:3" x14ac:dyDescent="0.25">
      <c r="A1610" s="1">
        <v>42398</v>
      </c>
      <c r="B1610">
        <v>0.70709999999999995</v>
      </c>
      <c r="C1610">
        <v>0.70609999999999995</v>
      </c>
    </row>
    <row r="1611" spans="1:3" x14ac:dyDescent="0.25">
      <c r="A1611" s="1">
        <v>42401</v>
      </c>
      <c r="B1611">
        <v>0.70679999999999998</v>
      </c>
      <c r="C1611">
        <v>0.70579999999999998</v>
      </c>
    </row>
    <row r="1612" spans="1:3" x14ac:dyDescent="0.25">
      <c r="A1612" s="1">
        <v>42402</v>
      </c>
      <c r="B1612">
        <v>0.70579999999999998</v>
      </c>
      <c r="C1612">
        <v>0.70479999999999998</v>
      </c>
    </row>
    <row r="1613" spans="1:3" x14ac:dyDescent="0.25">
      <c r="A1613" s="1">
        <v>42403</v>
      </c>
      <c r="B1613">
        <v>0.70640000000000003</v>
      </c>
      <c r="C1613">
        <v>0.70540000000000003</v>
      </c>
    </row>
    <row r="1614" spans="1:3" x14ac:dyDescent="0.25">
      <c r="A1614" s="1">
        <v>42404</v>
      </c>
      <c r="B1614">
        <v>0.72260000000000002</v>
      </c>
      <c r="C1614">
        <v>0.72160000000000002</v>
      </c>
    </row>
    <row r="1615" spans="1:3" x14ac:dyDescent="0.25">
      <c r="A1615" s="1">
        <v>42405</v>
      </c>
      <c r="B1615">
        <v>0.71889999999999998</v>
      </c>
      <c r="C1615">
        <v>0.71789999999999998</v>
      </c>
    </row>
    <row r="1616" spans="1:3" x14ac:dyDescent="0.25">
      <c r="A1616" s="1">
        <v>42408</v>
      </c>
      <c r="B1616">
        <v>0.70920000000000005</v>
      </c>
      <c r="C1616">
        <v>0.70820000000000005</v>
      </c>
    </row>
    <row r="1617" spans="1:3" x14ac:dyDescent="0.25">
      <c r="A1617" s="1">
        <v>42409</v>
      </c>
      <c r="B1617">
        <v>0.70389999999999997</v>
      </c>
      <c r="C1617">
        <v>0.70289999999999997</v>
      </c>
    </row>
    <row r="1618" spans="1:3" x14ac:dyDescent="0.25">
      <c r="A1618" s="1">
        <v>42410</v>
      </c>
      <c r="B1618">
        <v>0.70979999999999999</v>
      </c>
      <c r="C1618">
        <v>0.70879999999999999</v>
      </c>
    </row>
    <row r="1619" spans="1:3" x14ac:dyDescent="0.25">
      <c r="A1619" s="1">
        <v>42411</v>
      </c>
      <c r="B1619">
        <v>0.70389999999999997</v>
      </c>
      <c r="C1619">
        <v>0.70289999999999997</v>
      </c>
    </row>
    <row r="1620" spans="1:3" x14ac:dyDescent="0.25">
      <c r="A1620" s="1">
        <v>42412</v>
      </c>
      <c r="B1620">
        <v>0.71</v>
      </c>
      <c r="C1620">
        <v>0.70899999999999996</v>
      </c>
    </row>
    <row r="1621" spans="1:3" x14ac:dyDescent="0.25">
      <c r="A1621" s="1">
        <v>42415</v>
      </c>
      <c r="B1621">
        <v>0.71550000000000002</v>
      </c>
      <c r="C1621">
        <v>0.71450000000000002</v>
      </c>
    </row>
    <row r="1622" spans="1:3" x14ac:dyDescent="0.25">
      <c r="A1622" s="1">
        <v>42416</v>
      </c>
      <c r="B1622">
        <v>0.71499999999999997</v>
      </c>
      <c r="C1622">
        <v>0.71399999999999997</v>
      </c>
    </row>
    <row r="1623" spans="1:3" x14ac:dyDescent="0.25">
      <c r="A1623" s="1">
        <v>42417</v>
      </c>
      <c r="B1623">
        <v>0.71289999999999998</v>
      </c>
      <c r="C1623">
        <v>0.71189999999999998</v>
      </c>
    </row>
    <row r="1624" spans="1:3" x14ac:dyDescent="0.25">
      <c r="A1624" s="1">
        <v>42418</v>
      </c>
      <c r="B1624">
        <v>0.71560000000000001</v>
      </c>
      <c r="C1624">
        <v>0.71460000000000001</v>
      </c>
    </row>
    <row r="1625" spans="1:3" x14ac:dyDescent="0.25">
      <c r="A1625" s="1">
        <v>42422</v>
      </c>
      <c r="B1625">
        <v>0.71870000000000001</v>
      </c>
      <c r="C1625">
        <v>0.7177</v>
      </c>
    </row>
    <row r="1626" spans="1:3" x14ac:dyDescent="0.25">
      <c r="A1626" s="1">
        <v>42423</v>
      </c>
      <c r="B1626">
        <v>0.72240000000000004</v>
      </c>
      <c r="C1626">
        <v>0.72130000000000005</v>
      </c>
    </row>
    <row r="1627" spans="1:3" x14ac:dyDescent="0.25">
      <c r="A1627" s="1">
        <v>42424</v>
      </c>
      <c r="B1627">
        <v>0.7177</v>
      </c>
      <c r="C1627">
        <v>0.7167</v>
      </c>
    </row>
    <row r="1628" spans="1:3" x14ac:dyDescent="0.25">
      <c r="A1628" s="1">
        <v>42425</v>
      </c>
      <c r="B1628">
        <v>0.71689999999999998</v>
      </c>
      <c r="C1628">
        <v>0.71589999999999998</v>
      </c>
    </row>
    <row r="1629" spans="1:3" x14ac:dyDescent="0.25">
      <c r="A1629" s="1">
        <v>42426</v>
      </c>
      <c r="B1629">
        <v>0.72399999999999998</v>
      </c>
      <c r="C1629">
        <v>0.72299999999999998</v>
      </c>
    </row>
    <row r="1630" spans="1:3" x14ac:dyDescent="0.25">
      <c r="A1630" s="1">
        <v>42429</v>
      </c>
      <c r="B1630">
        <v>0.7147</v>
      </c>
      <c r="C1630">
        <v>0.71360000000000001</v>
      </c>
    </row>
    <row r="1631" spans="1:3" x14ac:dyDescent="0.25">
      <c r="A1631" s="1">
        <v>42430</v>
      </c>
      <c r="B1631">
        <v>0.71489999999999998</v>
      </c>
      <c r="C1631">
        <v>0.71379999999999999</v>
      </c>
    </row>
    <row r="1632" spans="1:3" x14ac:dyDescent="0.25">
      <c r="A1632" s="1">
        <v>42431</v>
      </c>
      <c r="B1632">
        <v>0.7208</v>
      </c>
      <c r="C1632">
        <v>0.7198</v>
      </c>
    </row>
    <row r="1633" spans="1:3" x14ac:dyDescent="0.25">
      <c r="A1633" s="1">
        <v>42432</v>
      </c>
      <c r="B1633">
        <v>0.73309999999999997</v>
      </c>
      <c r="C1633">
        <v>0.73199999999999998</v>
      </c>
    </row>
    <row r="1634" spans="1:3" x14ac:dyDescent="0.25">
      <c r="A1634" s="1">
        <v>42433</v>
      </c>
      <c r="B1634">
        <v>0.73829999999999996</v>
      </c>
      <c r="C1634">
        <v>0.73719999999999997</v>
      </c>
    </row>
    <row r="1635" spans="1:3" x14ac:dyDescent="0.25">
      <c r="A1635" s="1">
        <v>42437</v>
      </c>
      <c r="B1635">
        <v>0.74299999999999999</v>
      </c>
      <c r="C1635">
        <v>0.7419</v>
      </c>
    </row>
    <row r="1636" spans="1:3" x14ac:dyDescent="0.25">
      <c r="A1636" s="1">
        <v>42438</v>
      </c>
      <c r="B1636">
        <v>0.74829999999999997</v>
      </c>
      <c r="C1636">
        <v>0.74719999999999998</v>
      </c>
    </row>
    <row r="1637" spans="1:3" x14ac:dyDescent="0.25">
      <c r="A1637" s="1">
        <v>42439</v>
      </c>
      <c r="B1637">
        <v>0.74819999999999998</v>
      </c>
      <c r="C1637">
        <v>0.74709999999999999</v>
      </c>
    </row>
    <row r="1638" spans="1:3" x14ac:dyDescent="0.25">
      <c r="A1638" s="1">
        <v>42440</v>
      </c>
      <c r="B1638">
        <v>0.75009999999999999</v>
      </c>
      <c r="C1638">
        <v>0.749</v>
      </c>
    </row>
    <row r="1639" spans="1:3" x14ac:dyDescent="0.25">
      <c r="A1639" s="1">
        <v>42443</v>
      </c>
      <c r="B1639">
        <v>0.75449999999999995</v>
      </c>
      <c r="C1639">
        <v>0.75329999999999997</v>
      </c>
    </row>
    <row r="1640" spans="1:3" x14ac:dyDescent="0.25">
      <c r="A1640" s="1">
        <v>42444</v>
      </c>
      <c r="B1640">
        <v>0.74639999999999995</v>
      </c>
      <c r="C1640">
        <v>0.74529999999999996</v>
      </c>
    </row>
    <row r="1641" spans="1:3" x14ac:dyDescent="0.25">
      <c r="A1641" s="1">
        <v>42445</v>
      </c>
      <c r="B1641">
        <v>0.74529999999999996</v>
      </c>
      <c r="C1641">
        <v>0.74419999999999997</v>
      </c>
    </row>
    <row r="1642" spans="1:3" x14ac:dyDescent="0.25">
      <c r="A1642" s="1">
        <v>42446</v>
      </c>
      <c r="B1642">
        <v>0.76300000000000001</v>
      </c>
      <c r="C1642">
        <v>0.76190000000000002</v>
      </c>
    </row>
    <row r="1643" spans="1:3" x14ac:dyDescent="0.25">
      <c r="A1643" s="1">
        <v>42447</v>
      </c>
      <c r="B1643">
        <v>0.76339999999999997</v>
      </c>
      <c r="C1643">
        <v>0.76229999999999998</v>
      </c>
    </row>
    <row r="1644" spans="1:3" x14ac:dyDescent="0.25">
      <c r="A1644" s="1">
        <v>42450</v>
      </c>
      <c r="B1644">
        <v>0.76139999999999997</v>
      </c>
      <c r="C1644">
        <v>0.76019999999999999</v>
      </c>
    </row>
    <row r="1645" spans="1:3" x14ac:dyDescent="0.25">
      <c r="A1645" s="1">
        <v>42451</v>
      </c>
      <c r="B1645">
        <v>0.76039999999999996</v>
      </c>
      <c r="C1645">
        <v>0.75919999999999999</v>
      </c>
    </row>
    <row r="1646" spans="1:3" x14ac:dyDescent="0.25">
      <c r="A1646" s="1">
        <v>42452</v>
      </c>
      <c r="B1646">
        <v>0.76029999999999998</v>
      </c>
      <c r="C1646">
        <v>0.75919999999999999</v>
      </c>
    </row>
    <row r="1647" spans="1:3" x14ac:dyDescent="0.25">
      <c r="A1647" s="1">
        <v>42457</v>
      </c>
      <c r="B1647">
        <v>0.75270000000000004</v>
      </c>
      <c r="C1647">
        <v>0.75160000000000005</v>
      </c>
    </row>
    <row r="1648" spans="1:3" x14ac:dyDescent="0.25">
      <c r="A1648" s="1">
        <v>42458</v>
      </c>
      <c r="B1648">
        <v>0.75170000000000003</v>
      </c>
      <c r="C1648">
        <v>0.75070000000000003</v>
      </c>
    </row>
    <row r="1649" spans="1:3" x14ac:dyDescent="0.25">
      <c r="A1649" s="1">
        <v>42459</v>
      </c>
      <c r="B1649">
        <v>0.76670000000000005</v>
      </c>
      <c r="C1649">
        <v>0.76559999999999995</v>
      </c>
    </row>
    <row r="1650" spans="1:3" x14ac:dyDescent="0.25">
      <c r="A1650" s="1">
        <v>42460</v>
      </c>
      <c r="B1650">
        <v>0.76949999999999996</v>
      </c>
      <c r="C1650">
        <v>0.76839999999999997</v>
      </c>
    </row>
    <row r="1651" spans="1:3" x14ac:dyDescent="0.25">
      <c r="A1651" s="1">
        <v>42464</v>
      </c>
      <c r="B1651">
        <v>0.76219999999999999</v>
      </c>
      <c r="C1651">
        <v>0.7611</v>
      </c>
    </row>
    <row r="1652" spans="1:3" x14ac:dyDescent="0.25">
      <c r="A1652" s="1">
        <v>42465</v>
      </c>
      <c r="B1652">
        <v>0.75349999999999995</v>
      </c>
      <c r="C1652">
        <v>0.75239999999999996</v>
      </c>
    </row>
    <row r="1653" spans="1:3" x14ac:dyDescent="0.25">
      <c r="A1653" s="1">
        <v>42466</v>
      </c>
      <c r="B1653">
        <v>0.75360000000000005</v>
      </c>
      <c r="C1653">
        <v>0.75249999999999995</v>
      </c>
    </row>
    <row r="1654" spans="1:3" x14ac:dyDescent="0.25">
      <c r="A1654" s="1">
        <v>42467</v>
      </c>
      <c r="B1654">
        <v>0.76259999999999994</v>
      </c>
      <c r="C1654">
        <v>0.76149999999999995</v>
      </c>
    </row>
    <row r="1655" spans="1:3" x14ac:dyDescent="0.25">
      <c r="A1655" s="1">
        <v>42471</v>
      </c>
      <c r="B1655">
        <v>0.75700000000000001</v>
      </c>
      <c r="C1655">
        <v>0.75600000000000001</v>
      </c>
    </row>
    <row r="1656" spans="1:3" x14ac:dyDescent="0.25">
      <c r="A1656" s="1">
        <v>42472</v>
      </c>
      <c r="B1656">
        <v>0.76559999999999995</v>
      </c>
      <c r="C1656">
        <v>0.76449999999999996</v>
      </c>
    </row>
    <row r="1657" spans="1:3" x14ac:dyDescent="0.25">
      <c r="A1657" s="1">
        <v>42473</v>
      </c>
      <c r="B1657">
        <v>0.76959999999999995</v>
      </c>
      <c r="C1657">
        <v>0.76849999999999996</v>
      </c>
    </row>
    <row r="1658" spans="1:3" x14ac:dyDescent="0.25">
      <c r="A1658" s="1">
        <v>42478</v>
      </c>
      <c r="B1658">
        <v>0.77059999999999995</v>
      </c>
      <c r="C1658">
        <v>0.76959999999999995</v>
      </c>
    </row>
    <row r="1659" spans="1:3" x14ac:dyDescent="0.25">
      <c r="A1659" s="1">
        <v>42480</v>
      </c>
      <c r="B1659">
        <v>0.78169999999999995</v>
      </c>
      <c r="C1659">
        <v>0.78059999999999996</v>
      </c>
    </row>
    <row r="1660" spans="1:3" x14ac:dyDescent="0.25">
      <c r="A1660" s="1">
        <v>42481</v>
      </c>
      <c r="B1660">
        <v>0.78200000000000003</v>
      </c>
      <c r="C1660">
        <v>0.78090000000000004</v>
      </c>
    </row>
    <row r="1661" spans="1:3" x14ac:dyDescent="0.25">
      <c r="A1661" s="1">
        <v>42482</v>
      </c>
      <c r="B1661">
        <v>0.77429999999999999</v>
      </c>
      <c r="C1661">
        <v>0.77329999999999999</v>
      </c>
    </row>
    <row r="1662" spans="1:3" x14ac:dyDescent="0.25">
      <c r="A1662" s="1">
        <v>42485</v>
      </c>
      <c r="B1662">
        <v>0.77180000000000004</v>
      </c>
      <c r="C1662">
        <v>0.77080000000000004</v>
      </c>
    </row>
    <row r="1663" spans="1:3" x14ac:dyDescent="0.25">
      <c r="A1663" s="1">
        <v>42486</v>
      </c>
      <c r="B1663">
        <v>0.77310000000000001</v>
      </c>
      <c r="C1663">
        <v>0.77200000000000002</v>
      </c>
    </row>
    <row r="1664" spans="1:3" x14ac:dyDescent="0.25">
      <c r="A1664" s="1">
        <v>42487</v>
      </c>
      <c r="B1664">
        <v>0.76039999999999996</v>
      </c>
      <c r="C1664">
        <v>0.75939999999999996</v>
      </c>
    </row>
    <row r="1665" spans="1:3" x14ac:dyDescent="0.25">
      <c r="A1665" s="1">
        <v>42488</v>
      </c>
      <c r="B1665">
        <v>0.76090000000000002</v>
      </c>
      <c r="C1665">
        <v>0.75990000000000002</v>
      </c>
    </row>
    <row r="1666" spans="1:3" x14ac:dyDescent="0.25">
      <c r="A1666" s="1">
        <v>42489</v>
      </c>
      <c r="B1666">
        <v>0.75960000000000005</v>
      </c>
      <c r="C1666">
        <v>0.75860000000000005</v>
      </c>
    </row>
    <row r="1667" spans="1:3" x14ac:dyDescent="0.25">
      <c r="A1667" s="1">
        <v>42492</v>
      </c>
      <c r="B1667">
        <v>0.76439999999999997</v>
      </c>
      <c r="C1667">
        <v>0.76339999999999997</v>
      </c>
    </row>
    <row r="1668" spans="1:3" x14ac:dyDescent="0.25">
      <c r="A1668" s="1">
        <v>42493</v>
      </c>
      <c r="B1668">
        <v>0.75880000000000003</v>
      </c>
      <c r="C1668">
        <v>0.75790000000000002</v>
      </c>
    </row>
    <row r="1669" spans="1:3" x14ac:dyDescent="0.25">
      <c r="A1669" s="1">
        <v>42494</v>
      </c>
      <c r="B1669">
        <v>0.74890000000000001</v>
      </c>
      <c r="C1669">
        <v>0.748</v>
      </c>
    </row>
    <row r="1670" spans="1:3" x14ac:dyDescent="0.25">
      <c r="A1670" s="1">
        <v>42495</v>
      </c>
      <c r="B1670">
        <v>0.74809999999999999</v>
      </c>
      <c r="C1670">
        <v>0.74719999999999998</v>
      </c>
    </row>
    <row r="1671" spans="1:3" x14ac:dyDescent="0.25">
      <c r="A1671" s="1">
        <v>42496</v>
      </c>
      <c r="B1671">
        <v>0.73629999999999995</v>
      </c>
      <c r="C1671">
        <v>0.73540000000000005</v>
      </c>
    </row>
    <row r="1672" spans="1:3" x14ac:dyDescent="0.25">
      <c r="A1672" s="1">
        <v>42499</v>
      </c>
      <c r="B1672">
        <v>0.73409999999999997</v>
      </c>
      <c r="C1672">
        <v>0.73309999999999997</v>
      </c>
    </row>
    <row r="1673" spans="1:3" x14ac:dyDescent="0.25">
      <c r="A1673" s="1">
        <v>42500</v>
      </c>
      <c r="B1673">
        <v>0.73270000000000002</v>
      </c>
      <c r="C1673">
        <v>0.73180000000000001</v>
      </c>
    </row>
    <row r="1674" spans="1:3" x14ac:dyDescent="0.25">
      <c r="A1674" s="1">
        <v>42501</v>
      </c>
      <c r="B1674">
        <v>0.73660000000000003</v>
      </c>
      <c r="C1674">
        <v>0.73570000000000002</v>
      </c>
    </row>
    <row r="1675" spans="1:3" x14ac:dyDescent="0.25">
      <c r="A1675" s="1">
        <v>42502</v>
      </c>
      <c r="B1675">
        <v>0.7329</v>
      </c>
      <c r="C1675">
        <v>0.73199999999999998</v>
      </c>
    </row>
    <row r="1676" spans="1:3" x14ac:dyDescent="0.25">
      <c r="A1676" s="1">
        <v>42503</v>
      </c>
      <c r="B1676">
        <v>0.72860000000000003</v>
      </c>
      <c r="C1676">
        <v>0.72770000000000001</v>
      </c>
    </row>
    <row r="1677" spans="1:3" x14ac:dyDescent="0.25">
      <c r="A1677" s="1">
        <v>42506</v>
      </c>
      <c r="B1677">
        <v>0.72929999999999995</v>
      </c>
      <c r="C1677">
        <v>0.72840000000000005</v>
      </c>
    </row>
    <row r="1678" spans="1:3" x14ac:dyDescent="0.25">
      <c r="A1678" s="1">
        <v>42507</v>
      </c>
      <c r="B1678">
        <v>0.7319</v>
      </c>
      <c r="C1678">
        <v>0.73099999999999998</v>
      </c>
    </row>
    <row r="1679" spans="1:3" x14ac:dyDescent="0.25">
      <c r="A1679" s="1">
        <v>42508</v>
      </c>
      <c r="B1679">
        <v>0.72870000000000001</v>
      </c>
      <c r="C1679">
        <v>0.7278</v>
      </c>
    </row>
    <row r="1680" spans="1:3" x14ac:dyDescent="0.25">
      <c r="A1680" s="1">
        <v>42509</v>
      </c>
      <c r="B1680">
        <v>0.72040000000000004</v>
      </c>
      <c r="C1680">
        <v>0.71950000000000003</v>
      </c>
    </row>
    <row r="1681" spans="1:3" x14ac:dyDescent="0.25">
      <c r="A1681" s="1">
        <v>42510</v>
      </c>
      <c r="B1681">
        <v>0.72250000000000003</v>
      </c>
      <c r="C1681">
        <v>0.72160000000000002</v>
      </c>
    </row>
    <row r="1682" spans="1:3" x14ac:dyDescent="0.25">
      <c r="A1682" s="1">
        <v>42513</v>
      </c>
      <c r="B1682">
        <v>0.72170000000000001</v>
      </c>
      <c r="C1682">
        <v>0.7208</v>
      </c>
    </row>
    <row r="1683" spans="1:3" x14ac:dyDescent="0.25">
      <c r="A1683" s="1">
        <v>42514</v>
      </c>
      <c r="B1683">
        <v>0.71940000000000004</v>
      </c>
      <c r="C1683">
        <v>0.71850000000000003</v>
      </c>
    </row>
    <row r="1684" spans="1:3" x14ac:dyDescent="0.25">
      <c r="A1684" s="1">
        <v>42515</v>
      </c>
      <c r="B1684">
        <v>0.72050000000000003</v>
      </c>
      <c r="C1684">
        <v>0.71970000000000001</v>
      </c>
    </row>
    <row r="1685" spans="1:3" x14ac:dyDescent="0.25">
      <c r="A1685" s="1">
        <v>42516</v>
      </c>
      <c r="B1685">
        <v>0.72150000000000003</v>
      </c>
      <c r="C1685">
        <v>0.72070000000000001</v>
      </c>
    </row>
    <row r="1686" spans="1:3" x14ac:dyDescent="0.25">
      <c r="A1686" s="1">
        <v>42517</v>
      </c>
      <c r="B1686">
        <v>0.72109999999999996</v>
      </c>
      <c r="C1686">
        <v>0.72030000000000005</v>
      </c>
    </row>
    <row r="1687" spans="1:3" x14ac:dyDescent="0.25">
      <c r="A1687" s="1">
        <v>42520</v>
      </c>
      <c r="B1687">
        <v>0.71850000000000003</v>
      </c>
      <c r="C1687">
        <v>0.7177</v>
      </c>
    </row>
    <row r="1688" spans="1:3" x14ac:dyDescent="0.25">
      <c r="A1688" s="1">
        <v>42521</v>
      </c>
      <c r="B1688">
        <v>0.72609999999999997</v>
      </c>
      <c r="C1688">
        <v>0.72519999999999996</v>
      </c>
    </row>
    <row r="1689" spans="1:3" x14ac:dyDescent="0.25">
      <c r="A1689" s="1">
        <v>42522</v>
      </c>
      <c r="B1689">
        <v>0.72740000000000005</v>
      </c>
      <c r="C1689">
        <v>0.72650000000000003</v>
      </c>
    </row>
    <row r="1690" spans="1:3" x14ac:dyDescent="0.25">
      <c r="A1690" s="1">
        <v>42523</v>
      </c>
      <c r="B1690">
        <v>0.72150000000000003</v>
      </c>
      <c r="C1690">
        <v>0.72070000000000001</v>
      </c>
    </row>
    <row r="1691" spans="1:3" x14ac:dyDescent="0.25">
      <c r="A1691" s="1">
        <v>42524</v>
      </c>
      <c r="B1691">
        <v>0.72360000000000002</v>
      </c>
      <c r="C1691">
        <v>0.7228</v>
      </c>
    </row>
    <row r="1692" spans="1:3" x14ac:dyDescent="0.25">
      <c r="A1692" s="1">
        <v>42527</v>
      </c>
      <c r="B1692">
        <v>0.73560000000000003</v>
      </c>
      <c r="C1692">
        <v>0.73480000000000001</v>
      </c>
    </row>
    <row r="1693" spans="1:3" x14ac:dyDescent="0.25">
      <c r="A1693" s="1">
        <v>42528</v>
      </c>
      <c r="B1693">
        <v>0.74439999999999995</v>
      </c>
      <c r="C1693">
        <v>0.74350000000000005</v>
      </c>
    </row>
    <row r="1694" spans="1:3" x14ac:dyDescent="0.25">
      <c r="A1694" s="1">
        <v>42529</v>
      </c>
      <c r="B1694">
        <v>0.74629999999999996</v>
      </c>
      <c r="C1694">
        <v>0.74539999999999995</v>
      </c>
    </row>
    <row r="1695" spans="1:3" x14ac:dyDescent="0.25">
      <c r="A1695" s="1">
        <v>42530</v>
      </c>
      <c r="B1695">
        <v>0.74309999999999998</v>
      </c>
      <c r="C1695">
        <v>0.74229999999999996</v>
      </c>
    </row>
    <row r="1696" spans="1:3" x14ac:dyDescent="0.25">
      <c r="A1696" s="1">
        <v>42531</v>
      </c>
      <c r="B1696">
        <v>0.74009999999999998</v>
      </c>
      <c r="C1696">
        <v>0.73929999999999996</v>
      </c>
    </row>
    <row r="1697" spans="1:3" x14ac:dyDescent="0.25">
      <c r="A1697" s="1">
        <v>42534</v>
      </c>
      <c r="B1697">
        <v>0.74009999999999998</v>
      </c>
      <c r="C1697">
        <v>0.73929999999999996</v>
      </c>
    </row>
    <row r="1698" spans="1:3" x14ac:dyDescent="0.25">
      <c r="A1698" s="1">
        <v>42535</v>
      </c>
      <c r="B1698">
        <v>0.73460000000000003</v>
      </c>
      <c r="C1698">
        <v>0.73370000000000002</v>
      </c>
    </row>
    <row r="1699" spans="1:3" x14ac:dyDescent="0.25">
      <c r="A1699" s="1">
        <v>42536</v>
      </c>
      <c r="B1699">
        <v>0.73650000000000004</v>
      </c>
      <c r="C1699">
        <v>0.73560000000000003</v>
      </c>
    </row>
    <row r="1700" spans="1:3" x14ac:dyDescent="0.25">
      <c r="A1700" s="1">
        <v>42537</v>
      </c>
      <c r="B1700">
        <v>0.73460000000000003</v>
      </c>
      <c r="C1700">
        <v>0.73380000000000001</v>
      </c>
    </row>
    <row r="1701" spans="1:3" x14ac:dyDescent="0.25">
      <c r="A1701" s="1">
        <v>42538</v>
      </c>
      <c r="B1701">
        <v>0.7389</v>
      </c>
      <c r="C1701">
        <v>0.73809999999999998</v>
      </c>
    </row>
    <row r="1702" spans="1:3" x14ac:dyDescent="0.25">
      <c r="A1702" s="1">
        <v>42541</v>
      </c>
      <c r="B1702">
        <v>0.745</v>
      </c>
      <c r="C1702">
        <v>0.74409999999999998</v>
      </c>
    </row>
    <row r="1703" spans="1:3" x14ac:dyDescent="0.25">
      <c r="A1703" s="1">
        <v>42542</v>
      </c>
      <c r="B1703">
        <v>0.74939999999999996</v>
      </c>
      <c r="C1703">
        <v>0.74850000000000005</v>
      </c>
    </row>
    <row r="1704" spans="1:3" x14ac:dyDescent="0.25">
      <c r="A1704" s="1">
        <v>42543</v>
      </c>
      <c r="B1704">
        <v>0.74990000000000001</v>
      </c>
      <c r="C1704">
        <v>0.749</v>
      </c>
    </row>
    <row r="1705" spans="1:3" x14ac:dyDescent="0.25">
      <c r="A1705" s="1">
        <v>42544</v>
      </c>
      <c r="B1705">
        <v>0.75570000000000004</v>
      </c>
      <c r="C1705">
        <v>0.75480000000000003</v>
      </c>
    </row>
    <row r="1706" spans="1:3" x14ac:dyDescent="0.25">
      <c r="A1706" s="1">
        <v>42545</v>
      </c>
      <c r="B1706">
        <v>0.74139999999999995</v>
      </c>
      <c r="C1706">
        <v>0.74060000000000004</v>
      </c>
    </row>
    <row r="1707" spans="1:3" x14ac:dyDescent="0.25">
      <c r="A1707" s="1">
        <v>42548</v>
      </c>
      <c r="B1707">
        <v>0.74</v>
      </c>
      <c r="C1707">
        <v>0.73919999999999997</v>
      </c>
    </row>
    <row r="1708" spans="1:3" x14ac:dyDescent="0.25">
      <c r="A1708" s="1">
        <v>42549</v>
      </c>
      <c r="B1708">
        <v>0.73909999999999998</v>
      </c>
      <c r="C1708">
        <v>0.73829999999999996</v>
      </c>
    </row>
    <row r="1709" spans="1:3" x14ac:dyDescent="0.25">
      <c r="A1709" s="1">
        <v>42550</v>
      </c>
      <c r="B1709">
        <v>0.74329999999999996</v>
      </c>
      <c r="C1709">
        <v>0.74239999999999995</v>
      </c>
    </row>
    <row r="1710" spans="1:3" x14ac:dyDescent="0.25">
      <c r="A1710" s="1">
        <v>42551</v>
      </c>
      <c r="B1710">
        <v>0.74490000000000001</v>
      </c>
      <c r="C1710">
        <v>0.74399999999999999</v>
      </c>
    </row>
    <row r="1711" spans="1:3" x14ac:dyDescent="0.25">
      <c r="A1711" s="1">
        <v>42552</v>
      </c>
      <c r="B1711">
        <v>0.74870000000000003</v>
      </c>
      <c r="C1711">
        <v>0.74780000000000002</v>
      </c>
    </row>
    <row r="1712" spans="1:3" x14ac:dyDescent="0.25">
      <c r="A1712" s="1">
        <v>42555</v>
      </c>
      <c r="B1712">
        <v>0.74880000000000002</v>
      </c>
      <c r="C1712">
        <v>0.74790000000000001</v>
      </c>
    </row>
    <row r="1713" spans="1:3" x14ac:dyDescent="0.25">
      <c r="A1713" s="1">
        <v>42556</v>
      </c>
      <c r="B1713">
        <v>0.74890000000000001</v>
      </c>
      <c r="C1713">
        <v>0.748</v>
      </c>
    </row>
    <row r="1714" spans="1:3" x14ac:dyDescent="0.25">
      <c r="A1714" s="1">
        <v>42558</v>
      </c>
      <c r="B1714">
        <v>0.75129999999999997</v>
      </c>
      <c r="C1714">
        <v>0.75039999999999996</v>
      </c>
    </row>
    <row r="1715" spans="1:3" x14ac:dyDescent="0.25">
      <c r="A1715" s="1">
        <v>42559</v>
      </c>
      <c r="B1715">
        <v>0.75149999999999995</v>
      </c>
      <c r="C1715">
        <v>0.75060000000000004</v>
      </c>
    </row>
    <row r="1716" spans="1:3" x14ac:dyDescent="0.25">
      <c r="A1716" s="1">
        <v>42562</v>
      </c>
      <c r="B1716">
        <v>0.75439999999999996</v>
      </c>
      <c r="C1716">
        <v>0.75349999999999995</v>
      </c>
    </row>
    <row r="1717" spans="1:3" x14ac:dyDescent="0.25">
      <c r="A1717" s="1">
        <v>42563</v>
      </c>
      <c r="B1717">
        <v>0.76329999999999998</v>
      </c>
      <c r="C1717">
        <v>0.76239999999999997</v>
      </c>
    </row>
    <row r="1718" spans="1:3" x14ac:dyDescent="0.25">
      <c r="A1718" s="1">
        <v>42564</v>
      </c>
      <c r="B1718">
        <v>0.76249999999999996</v>
      </c>
      <c r="C1718">
        <v>0.76160000000000005</v>
      </c>
    </row>
    <row r="1719" spans="1:3" x14ac:dyDescent="0.25">
      <c r="A1719" s="1">
        <v>42565</v>
      </c>
      <c r="B1719">
        <v>0.76380000000000003</v>
      </c>
      <c r="C1719">
        <v>0.76290000000000002</v>
      </c>
    </row>
    <row r="1720" spans="1:3" x14ac:dyDescent="0.25">
      <c r="A1720" s="1">
        <v>42566</v>
      </c>
      <c r="B1720">
        <v>0.76090000000000002</v>
      </c>
      <c r="C1720">
        <v>0.76</v>
      </c>
    </row>
    <row r="1721" spans="1:3" x14ac:dyDescent="0.25">
      <c r="A1721" s="1">
        <v>42569</v>
      </c>
      <c r="B1721">
        <v>0.75900000000000001</v>
      </c>
      <c r="C1721">
        <v>0.7581</v>
      </c>
    </row>
    <row r="1722" spans="1:3" x14ac:dyDescent="0.25">
      <c r="A1722" s="1">
        <v>42570</v>
      </c>
      <c r="B1722">
        <v>0.75209999999999999</v>
      </c>
      <c r="C1722">
        <v>0.75119999999999998</v>
      </c>
    </row>
    <row r="1723" spans="1:3" x14ac:dyDescent="0.25">
      <c r="A1723" s="1">
        <v>42571</v>
      </c>
      <c r="B1723">
        <v>0.74860000000000004</v>
      </c>
      <c r="C1723">
        <v>0.74780000000000002</v>
      </c>
    </row>
    <row r="1724" spans="1:3" x14ac:dyDescent="0.25">
      <c r="A1724" s="1">
        <v>42572</v>
      </c>
      <c r="B1724">
        <v>0.74860000000000004</v>
      </c>
      <c r="C1724">
        <v>0.74780000000000002</v>
      </c>
    </row>
    <row r="1725" spans="1:3" x14ac:dyDescent="0.25">
      <c r="A1725" s="1">
        <v>42573</v>
      </c>
      <c r="B1725">
        <v>0.74729999999999996</v>
      </c>
      <c r="C1725">
        <v>0.74650000000000005</v>
      </c>
    </row>
    <row r="1726" spans="1:3" x14ac:dyDescent="0.25">
      <c r="A1726" s="1">
        <v>42576</v>
      </c>
      <c r="B1726">
        <v>0.74790000000000001</v>
      </c>
      <c r="C1726">
        <v>0.747</v>
      </c>
    </row>
    <row r="1727" spans="1:3" x14ac:dyDescent="0.25">
      <c r="A1727" s="1">
        <v>42577</v>
      </c>
      <c r="B1727">
        <v>0.753</v>
      </c>
      <c r="C1727">
        <v>0.75219999999999998</v>
      </c>
    </row>
    <row r="1728" spans="1:3" x14ac:dyDescent="0.25">
      <c r="A1728" s="1">
        <v>42578</v>
      </c>
      <c r="B1728">
        <v>0.747</v>
      </c>
      <c r="C1728">
        <v>0.74619999999999997</v>
      </c>
    </row>
    <row r="1729" spans="1:3" x14ac:dyDescent="0.25">
      <c r="A1729" s="1">
        <v>42579</v>
      </c>
      <c r="B1729">
        <v>0.75229999999999997</v>
      </c>
      <c r="C1729">
        <v>0.75149999999999995</v>
      </c>
    </row>
    <row r="1730" spans="1:3" x14ac:dyDescent="0.25">
      <c r="A1730" s="1">
        <v>42580</v>
      </c>
      <c r="B1730">
        <v>0.75860000000000005</v>
      </c>
      <c r="C1730">
        <v>0.75119999999999998</v>
      </c>
    </row>
    <row r="1731" spans="1:3" x14ac:dyDescent="0.25">
      <c r="A1731" s="1">
        <v>42583</v>
      </c>
      <c r="B1731">
        <v>0.75690000000000002</v>
      </c>
      <c r="C1731">
        <v>0.75609999999999999</v>
      </c>
    </row>
    <row r="1732" spans="1:3" x14ac:dyDescent="0.25">
      <c r="A1732" s="1">
        <v>42584</v>
      </c>
      <c r="B1732">
        <v>0.75770000000000004</v>
      </c>
      <c r="C1732">
        <v>0.75690000000000002</v>
      </c>
    </row>
    <row r="1733" spans="1:3" x14ac:dyDescent="0.25">
      <c r="A1733" s="1">
        <v>42585</v>
      </c>
      <c r="B1733">
        <v>0.75890000000000002</v>
      </c>
      <c r="C1733">
        <v>0.75819999999999999</v>
      </c>
    </row>
    <row r="1734" spans="1:3" x14ac:dyDescent="0.25">
      <c r="A1734" s="1">
        <v>42586</v>
      </c>
      <c r="B1734">
        <v>0.7621</v>
      </c>
      <c r="C1734">
        <v>0.76139999999999997</v>
      </c>
    </row>
    <row r="1735" spans="1:3" x14ac:dyDescent="0.25">
      <c r="A1735" s="1">
        <v>42587</v>
      </c>
      <c r="B1735">
        <v>0.76539999999999997</v>
      </c>
      <c r="C1735">
        <v>0.76470000000000005</v>
      </c>
    </row>
    <row r="1736" spans="1:3" x14ac:dyDescent="0.25">
      <c r="A1736" s="1">
        <v>42590</v>
      </c>
      <c r="B1736">
        <v>0.76359999999999995</v>
      </c>
      <c r="C1736">
        <v>0.76290000000000002</v>
      </c>
    </row>
    <row r="1737" spans="1:3" x14ac:dyDescent="0.25">
      <c r="A1737" s="1">
        <v>42591</v>
      </c>
      <c r="B1737">
        <v>0.7661</v>
      </c>
      <c r="C1737">
        <v>0.76539999999999997</v>
      </c>
    </row>
    <row r="1738" spans="1:3" x14ac:dyDescent="0.25">
      <c r="A1738" s="1">
        <v>42592</v>
      </c>
      <c r="B1738">
        <v>0.77339999999999998</v>
      </c>
      <c r="C1738">
        <v>0.77270000000000005</v>
      </c>
    </row>
    <row r="1739" spans="1:3" x14ac:dyDescent="0.25">
      <c r="A1739" s="1">
        <v>42593</v>
      </c>
      <c r="B1739">
        <v>0.77190000000000003</v>
      </c>
      <c r="C1739">
        <v>0.7712</v>
      </c>
    </row>
    <row r="1740" spans="1:3" x14ac:dyDescent="0.25">
      <c r="A1740" s="1">
        <v>42594</v>
      </c>
      <c r="B1740">
        <v>0.76800000000000002</v>
      </c>
      <c r="C1740">
        <v>0.76729999999999998</v>
      </c>
    </row>
    <row r="1741" spans="1:3" x14ac:dyDescent="0.25">
      <c r="A1741" s="1">
        <v>42598</v>
      </c>
      <c r="B1741">
        <v>0.77370000000000005</v>
      </c>
      <c r="C1741">
        <v>0.77300000000000002</v>
      </c>
    </row>
    <row r="1742" spans="1:3" x14ac:dyDescent="0.25">
      <c r="A1742" s="1">
        <v>42600</v>
      </c>
      <c r="B1742">
        <v>0.76890000000000003</v>
      </c>
      <c r="C1742">
        <v>0.76819999999999999</v>
      </c>
    </row>
    <row r="1743" spans="1:3" x14ac:dyDescent="0.25">
      <c r="A1743" s="1">
        <v>42601</v>
      </c>
      <c r="B1743">
        <v>0.7621</v>
      </c>
      <c r="C1743">
        <v>0.76149999999999995</v>
      </c>
    </row>
    <row r="1744" spans="1:3" x14ac:dyDescent="0.25">
      <c r="A1744" s="1">
        <v>42604</v>
      </c>
      <c r="B1744">
        <v>0.75929999999999997</v>
      </c>
      <c r="C1744">
        <v>0.75860000000000005</v>
      </c>
    </row>
    <row r="1745" spans="1:3" x14ac:dyDescent="0.25">
      <c r="A1745" s="1">
        <v>42605</v>
      </c>
      <c r="B1745">
        <v>0.76439999999999997</v>
      </c>
      <c r="C1745">
        <v>0.76370000000000005</v>
      </c>
    </row>
    <row r="1746" spans="1:3" x14ac:dyDescent="0.25">
      <c r="A1746" s="1">
        <v>42606</v>
      </c>
      <c r="B1746">
        <v>0.76090000000000002</v>
      </c>
      <c r="C1746">
        <v>0.76029999999999998</v>
      </c>
    </row>
    <row r="1747" spans="1:3" x14ac:dyDescent="0.25">
      <c r="A1747" s="1">
        <v>42607</v>
      </c>
      <c r="B1747">
        <v>0.7611</v>
      </c>
      <c r="C1747">
        <v>0.76049999999999995</v>
      </c>
    </row>
    <row r="1748" spans="1:3" x14ac:dyDescent="0.25">
      <c r="A1748" s="1">
        <v>42608</v>
      </c>
      <c r="B1748">
        <v>0.76359999999999995</v>
      </c>
      <c r="C1748">
        <v>0.76300000000000001</v>
      </c>
    </row>
    <row r="1749" spans="1:3" x14ac:dyDescent="0.25">
      <c r="A1749" s="1">
        <v>42611</v>
      </c>
      <c r="B1749">
        <v>0.75509999999999999</v>
      </c>
      <c r="C1749">
        <v>0.75449999999999995</v>
      </c>
    </row>
    <row r="1750" spans="1:3" x14ac:dyDescent="0.25">
      <c r="A1750" s="1">
        <v>42612</v>
      </c>
      <c r="B1750">
        <v>0.75570000000000004</v>
      </c>
      <c r="C1750">
        <v>0.75509999999999999</v>
      </c>
    </row>
    <row r="1751" spans="1:3" x14ac:dyDescent="0.25">
      <c r="A1751" s="1">
        <v>42613</v>
      </c>
      <c r="B1751">
        <v>0.75180000000000002</v>
      </c>
      <c r="C1751">
        <v>0.75119999999999998</v>
      </c>
    </row>
    <row r="1752" spans="1:3" x14ac:dyDescent="0.25">
      <c r="A1752" s="1">
        <v>42614</v>
      </c>
      <c r="B1752">
        <v>0.75370000000000004</v>
      </c>
      <c r="C1752">
        <v>0.75309999999999999</v>
      </c>
    </row>
    <row r="1753" spans="1:3" x14ac:dyDescent="0.25">
      <c r="A1753" s="1">
        <v>42615</v>
      </c>
      <c r="B1753">
        <v>0.75570000000000004</v>
      </c>
      <c r="C1753">
        <v>0.75509999999999999</v>
      </c>
    </row>
    <row r="1754" spans="1:3" x14ac:dyDescent="0.25">
      <c r="A1754" s="1">
        <v>42619</v>
      </c>
      <c r="B1754">
        <v>0.76270000000000004</v>
      </c>
      <c r="C1754">
        <v>0.7621</v>
      </c>
    </row>
    <row r="1755" spans="1:3" x14ac:dyDescent="0.25">
      <c r="A1755" s="1">
        <v>42620</v>
      </c>
      <c r="B1755">
        <v>0.76770000000000005</v>
      </c>
      <c r="C1755">
        <v>0.7671</v>
      </c>
    </row>
    <row r="1756" spans="1:3" x14ac:dyDescent="0.25">
      <c r="A1756" s="1">
        <v>42621</v>
      </c>
      <c r="B1756">
        <v>0.76849999999999996</v>
      </c>
      <c r="C1756">
        <v>0.76790000000000003</v>
      </c>
    </row>
    <row r="1757" spans="1:3" x14ac:dyDescent="0.25">
      <c r="A1757" s="1">
        <v>42622</v>
      </c>
      <c r="B1757">
        <v>0.76490000000000002</v>
      </c>
      <c r="C1757">
        <v>0.76429999999999998</v>
      </c>
    </row>
    <row r="1758" spans="1:3" x14ac:dyDescent="0.25">
      <c r="A1758" s="1">
        <v>42625</v>
      </c>
      <c r="B1758">
        <v>0.75319999999999998</v>
      </c>
      <c r="C1758">
        <v>0.75260000000000005</v>
      </c>
    </row>
    <row r="1759" spans="1:3" x14ac:dyDescent="0.25">
      <c r="A1759" s="1">
        <v>42627</v>
      </c>
      <c r="B1759">
        <v>0.74780000000000002</v>
      </c>
      <c r="C1759">
        <v>0.74719999999999998</v>
      </c>
    </row>
    <row r="1760" spans="1:3" x14ac:dyDescent="0.25">
      <c r="A1760" s="1">
        <v>42628</v>
      </c>
      <c r="B1760">
        <v>0.74619999999999997</v>
      </c>
      <c r="C1760">
        <v>0.74560000000000004</v>
      </c>
    </row>
    <row r="1761" spans="1:3" x14ac:dyDescent="0.25">
      <c r="A1761" s="1">
        <v>42629</v>
      </c>
      <c r="B1761">
        <v>0.75019999999999998</v>
      </c>
      <c r="C1761">
        <v>0.74960000000000004</v>
      </c>
    </row>
    <row r="1762" spans="1:3" x14ac:dyDescent="0.25">
      <c r="A1762" s="1">
        <v>42632</v>
      </c>
      <c r="B1762">
        <v>0.75419999999999998</v>
      </c>
      <c r="C1762">
        <v>0.75360000000000005</v>
      </c>
    </row>
    <row r="1763" spans="1:3" x14ac:dyDescent="0.25">
      <c r="A1763" s="1">
        <v>42633</v>
      </c>
      <c r="B1763">
        <v>0.75439999999999996</v>
      </c>
      <c r="C1763">
        <v>0.75380000000000003</v>
      </c>
    </row>
    <row r="1764" spans="1:3" x14ac:dyDescent="0.25">
      <c r="A1764" s="1">
        <v>42634</v>
      </c>
      <c r="B1764">
        <v>0.75960000000000005</v>
      </c>
      <c r="C1764">
        <v>0.75900000000000001</v>
      </c>
    </row>
    <row r="1765" spans="1:3" x14ac:dyDescent="0.25">
      <c r="A1765" s="1">
        <v>42635</v>
      </c>
      <c r="B1765">
        <v>0.76590000000000003</v>
      </c>
      <c r="C1765">
        <v>0.76529999999999998</v>
      </c>
    </row>
    <row r="1766" spans="1:3" x14ac:dyDescent="0.25">
      <c r="A1766" s="1">
        <v>42636</v>
      </c>
      <c r="B1766">
        <v>0.76329999999999998</v>
      </c>
      <c r="C1766">
        <v>0.76270000000000004</v>
      </c>
    </row>
    <row r="1767" spans="1:3" x14ac:dyDescent="0.25">
      <c r="A1767" s="1">
        <v>42639</v>
      </c>
      <c r="B1767">
        <v>0.7631</v>
      </c>
      <c r="C1767">
        <v>0.76249999999999996</v>
      </c>
    </row>
    <row r="1768" spans="1:3" x14ac:dyDescent="0.25">
      <c r="A1768" s="1">
        <v>42640</v>
      </c>
      <c r="B1768">
        <v>0.76629999999999998</v>
      </c>
      <c r="C1768">
        <v>0.76570000000000005</v>
      </c>
    </row>
    <row r="1769" spans="1:3" x14ac:dyDescent="0.25">
      <c r="A1769" s="1">
        <v>42641</v>
      </c>
      <c r="B1769">
        <v>0.76600000000000001</v>
      </c>
      <c r="C1769">
        <v>0.76539999999999997</v>
      </c>
    </row>
    <row r="1770" spans="1:3" x14ac:dyDescent="0.25">
      <c r="A1770" s="1">
        <v>42642</v>
      </c>
      <c r="B1770">
        <v>0.76849999999999996</v>
      </c>
      <c r="C1770">
        <v>0.76790000000000003</v>
      </c>
    </row>
    <row r="1771" spans="1:3" x14ac:dyDescent="0.25">
      <c r="A1771" s="1">
        <v>42643</v>
      </c>
      <c r="B1771">
        <v>0.76529999999999998</v>
      </c>
      <c r="C1771">
        <v>0.76170000000000004</v>
      </c>
    </row>
    <row r="1772" spans="1:3" x14ac:dyDescent="0.25">
      <c r="A1772" s="1">
        <v>42646</v>
      </c>
      <c r="B1772">
        <v>0.76749999999999996</v>
      </c>
      <c r="C1772">
        <v>0.76690000000000003</v>
      </c>
    </row>
    <row r="1773" spans="1:3" x14ac:dyDescent="0.25">
      <c r="A1773" s="1">
        <v>42647</v>
      </c>
      <c r="B1773">
        <v>0.76649999999999996</v>
      </c>
      <c r="C1773">
        <v>0.76590000000000003</v>
      </c>
    </row>
    <row r="1774" spans="1:3" x14ac:dyDescent="0.25">
      <c r="A1774" s="1">
        <v>42648</v>
      </c>
      <c r="B1774">
        <v>0.76190000000000002</v>
      </c>
      <c r="C1774">
        <v>0.76129999999999998</v>
      </c>
    </row>
    <row r="1775" spans="1:3" x14ac:dyDescent="0.25">
      <c r="A1775" s="1">
        <v>42649</v>
      </c>
      <c r="B1775">
        <v>0.75760000000000005</v>
      </c>
      <c r="C1775">
        <v>0.75700000000000001</v>
      </c>
    </row>
    <row r="1776" spans="1:3" x14ac:dyDescent="0.25">
      <c r="A1776" s="1">
        <v>42650</v>
      </c>
      <c r="B1776">
        <v>0.75749999999999995</v>
      </c>
      <c r="C1776">
        <v>0.75690000000000002</v>
      </c>
    </row>
    <row r="1777" spans="1:3" x14ac:dyDescent="0.25">
      <c r="A1777" s="1">
        <v>42653</v>
      </c>
      <c r="B1777">
        <v>0.75900000000000001</v>
      </c>
      <c r="C1777">
        <v>0.75839999999999996</v>
      </c>
    </row>
    <row r="1778" spans="1:3" x14ac:dyDescent="0.25">
      <c r="A1778" s="1">
        <v>42656</v>
      </c>
      <c r="B1778">
        <v>0.75519999999999998</v>
      </c>
      <c r="C1778">
        <v>0.75460000000000005</v>
      </c>
    </row>
    <row r="1779" spans="1:3" x14ac:dyDescent="0.25">
      <c r="A1779" s="1">
        <v>42657</v>
      </c>
      <c r="B1779">
        <v>0.76280000000000003</v>
      </c>
      <c r="C1779">
        <v>0.76219999999999999</v>
      </c>
    </row>
    <row r="1780" spans="1:3" x14ac:dyDescent="0.25">
      <c r="A1780" s="1">
        <v>42660</v>
      </c>
      <c r="B1780">
        <v>0.76139999999999997</v>
      </c>
      <c r="C1780">
        <v>0.76070000000000004</v>
      </c>
    </row>
    <row r="1781" spans="1:3" x14ac:dyDescent="0.25">
      <c r="A1781" s="1">
        <v>42661</v>
      </c>
      <c r="B1781">
        <v>0.76690000000000003</v>
      </c>
      <c r="C1781">
        <v>0.76619999999999999</v>
      </c>
    </row>
    <row r="1782" spans="1:3" x14ac:dyDescent="0.25">
      <c r="A1782" s="1">
        <v>42662</v>
      </c>
      <c r="B1782">
        <v>0.76749999999999996</v>
      </c>
      <c r="C1782">
        <v>0.76690000000000003</v>
      </c>
    </row>
    <row r="1783" spans="1:3" x14ac:dyDescent="0.25">
      <c r="A1783" s="1">
        <v>42663</v>
      </c>
      <c r="B1783">
        <v>0.76670000000000005</v>
      </c>
      <c r="C1783">
        <v>0.7661</v>
      </c>
    </row>
    <row r="1784" spans="1:3" x14ac:dyDescent="0.25">
      <c r="A1784" s="1">
        <v>42664</v>
      </c>
      <c r="B1784">
        <v>0.76349999999999996</v>
      </c>
      <c r="C1784">
        <v>0.76290000000000002</v>
      </c>
    </row>
    <row r="1785" spans="1:3" x14ac:dyDescent="0.25">
      <c r="A1785" s="1">
        <v>42667</v>
      </c>
      <c r="B1785">
        <v>0.76259999999999994</v>
      </c>
      <c r="C1785">
        <v>0.76190000000000002</v>
      </c>
    </row>
    <row r="1786" spans="1:3" x14ac:dyDescent="0.25">
      <c r="A1786" s="1">
        <v>42668</v>
      </c>
      <c r="B1786">
        <v>0.76370000000000005</v>
      </c>
      <c r="C1786">
        <v>0.7631</v>
      </c>
    </row>
    <row r="1787" spans="1:3" x14ac:dyDescent="0.25">
      <c r="A1787" s="1">
        <v>42669</v>
      </c>
      <c r="B1787">
        <v>0.76729999999999998</v>
      </c>
      <c r="C1787">
        <v>0.76670000000000005</v>
      </c>
    </row>
    <row r="1788" spans="1:3" x14ac:dyDescent="0.25">
      <c r="A1788" s="1">
        <v>42670</v>
      </c>
      <c r="B1788">
        <v>0.76290000000000002</v>
      </c>
      <c r="C1788">
        <v>0.76229999999999998</v>
      </c>
    </row>
    <row r="1789" spans="1:3" x14ac:dyDescent="0.25">
      <c r="A1789" s="1">
        <v>42671</v>
      </c>
      <c r="B1789">
        <v>0.75849999999999995</v>
      </c>
      <c r="C1789">
        <v>0.75670000000000004</v>
      </c>
    </row>
    <row r="1790" spans="1:3" x14ac:dyDescent="0.25">
      <c r="A1790" s="1">
        <v>42675</v>
      </c>
      <c r="B1790">
        <v>0.7651</v>
      </c>
      <c r="C1790">
        <v>0.76439999999999997</v>
      </c>
    </row>
    <row r="1791" spans="1:3" x14ac:dyDescent="0.25">
      <c r="A1791" s="1">
        <v>42676</v>
      </c>
      <c r="B1791">
        <v>0.7631</v>
      </c>
      <c r="C1791">
        <v>0.76239999999999997</v>
      </c>
    </row>
    <row r="1792" spans="1:3" x14ac:dyDescent="0.25">
      <c r="A1792" s="1">
        <v>42677</v>
      </c>
      <c r="B1792">
        <v>0.76700000000000002</v>
      </c>
      <c r="C1792">
        <v>0.76639999999999997</v>
      </c>
    </row>
    <row r="1793" spans="1:3" x14ac:dyDescent="0.25">
      <c r="A1793" s="1">
        <v>42678</v>
      </c>
      <c r="B1793">
        <v>0.76819999999999999</v>
      </c>
      <c r="C1793">
        <v>0.76759999999999995</v>
      </c>
    </row>
    <row r="1794" spans="1:3" x14ac:dyDescent="0.25">
      <c r="A1794" s="1">
        <v>42681</v>
      </c>
      <c r="B1794">
        <v>0.76739999999999997</v>
      </c>
      <c r="C1794">
        <v>0.76680000000000004</v>
      </c>
    </row>
    <row r="1795" spans="1:3" x14ac:dyDescent="0.25">
      <c r="A1795" s="1">
        <v>42682</v>
      </c>
      <c r="B1795">
        <v>0.77</v>
      </c>
      <c r="C1795">
        <v>0.76929999999999998</v>
      </c>
    </row>
    <row r="1796" spans="1:3" x14ac:dyDescent="0.25">
      <c r="A1796" s="1">
        <v>42683</v>
      </c>
      <c r="B1796">
        <v>0.76170000000000004</v>
      </c>
      <c r="C1796">
        <v>0.76100000000000001</v>
      </c>
    </row>
    <row r="1797" spans="1:3" x14ac:dyDescent="0.25">
      <c r="A1797" s="1">
        <v>42684</v>
      </c>
      <c r="B1797">
        <v>0.77029999999999998</v>
      </c>
      <c r="C1797">
        <v>0.76959999999999995</v>
      </c>
    </row>
    <row r="1798" spans="1:3" x14ac:dyDescent="0.25">
      <c r="A1798" s="1">
        <v>42685</v>
      </c>
      <c r="B1798">
        <v>0.76149999999999995</v>
      </c>
      <c r="C1798">
        <v>0.76080000000000003</v>
      </c>
    </row>
    <row r="1799" spans="1:3" x14ac:dyDescent="0.25">
      <c r="A1799" s="1">
        <v>42689</v>
      </c>
      <c r="B1799">
        <v>0.75580000000000003</v>
      </c>
      <c r="C1799">
        <v>0.75509999999999999</v>
      </c>
    </row>
    <row r="1800" spans="1:3" x14ac:dyDescent="0.25">
      <c r="A1800" s="1">
        <v>42690</v>
      </c>
      <c r="B1800">
        <v>0.748</v>
      </c>
      <c r="C1800">
        <v>0.74729999999999996</v>
      </c>
    </row>
    <row r="1801" spans="1:3" x14ac:dyDescent="0.25">
      <c r="A1801" s="1">
        <v>42691</v>
      </c>
      <c r="B1801">
        <v>0.74660000000000004</v>
      </c>
      <c r="C1801">
        <v>0.746</v>
      </c>
    </row>
    <row r="1802" spans="1:3" x14ac:dyDescent="0.25">
      <c r="A1802" s="1">
        <v>42692</v>
      </c>
      <c r="B1802">
        <v>0.7389</v>
      </c>
      <c r="C1802">
        <v>0.73829999999999996</v>
      </c>
    </row>
    <row r="1803" spans="1:3" x14ac:dyDescent="0.25">
      <c r="A1803" s="1">
        <v>42695</v>
      </c>
      <c r="B1803">
        <v>0.73219999999999996</v>
      </c>
      <c r="C1803">
        <v>0.73160000000000003</v>
      </c>
    </row>
    <row r="1804" spans="1:3" x14ac:dyDescent="0.25">
      <c r="A1804" s="1">
        <v>42696</v>
      </c>
      <c r="B1804">
        <v>0.73980000000000001</v>
      </c>
      <c r="C1804">
        <v>0.73909999999999998</v>
      </c>
    </row>
    <row r="1805" spans="1:3" x14ac:dyDescent="0.25">
      <c r="A1805" s="1">
        <v>42697</v>
      </c>
      <c r="B1805">
        <v>0.74280000000000002</v>
      </c>
      <c r="C1805">
        <v>0.74209999999999998</v>
      </c>
    </row>
    <row r="1806" spans="1:3" x14ac:dyDescent="0.25">
      <c r="A1806" s="1">
        <v>42698</v>
      </c>
      <c r="B1806">
        <v>0.73980000000000001</v>
      </c>
      <c r="C1806">
        <v>0.73919999999999997</v>
      </c>
    </row>
    <row r="1807" spans="1:3" x14ac:dyDescent="0.25">
      <c r="A1807" s="1">
        <v>42699</v>
      </c>
      <c r="B1807">
        <v>0.74329999999999996</v>
      </c>
      <c r="C1807">
        <v>0.74270000000000003</v>
      </c>
    </row>
    <row r="1808" spans="1:3" x14ac:dyDescent="0.25">
      <c r="A1808" s="1">
        <v>42702</v>
      </c>
      <c r="B1808">
        <v>0.74509999999999998</v>
      </c>
      <c r="C1808">
        <v>0.74450000000000005</v>
      </c>
    </row>
    <row r="1809" spans="1:3" x14ac:dyDescent="0.25">
      <c r="A1809" s="1">
        <v>42703</v>
      </c>
      <c r="B1809">
        <v>0.74709999999999999</v>
      </c>
      <c r="C1809">
        <v>0.74650000000000005</v>
      </c>
    </row>
    <row r="1810" spans="1:3" x14ac:dyDescent="0.25">
      <c r="A1810" s="1">
        <v>42704</v>
      </c>
      <c r="B1810">
        <v>0.73929999999999996</v>
      </c>
      <c r="C1810">
        <v>0.74470000000000003</v>
      </c>
    </row>
    <row r="1811" spans="1:3" x14ac:dyDescent="0.25">
      <c r="A1811" s="1">
        <v>42705</v>
      </c>
      <c r="B1811">
        <v>0.74060000000000004</v>
      </c>
      <c r="C1811">
        <v>0.74</v>
      </c>
    </row>
    <row r="1812" spans="1:3" x14ac:dyDescent="0.25">
      <c r="A1812" s="1">
        <v>42706</v>
      </c>
      <c r="B1812">
        <v>0.74129999999999996</v>
      </c>
      <c r="C1812">
        <v>0.74070000000000003</v>
      </c>
    </row>
    <row r="1813" spans="1:3" x14ac:dyDescent="0.25">
      <c r="A1813" s="1">
        <v>42709</v>
      </c>
      <c r="B1813">
        <v>0.74209999999999998</v>
      </c>
      <c r="C1813">
        <v>0.74150000000000005</v>
      </c>
    </row>
    <row r="1814" spans="1:3" x14ac:dyDescent="0.25">
      <c r="A1814" s="1">
        <v>42710</v>
      </c>
      <c r="B1814">
        <v>0.74429999999999996</v>
      </c>
      <c r="C1814">
        <v>0.74370000000000003</v>
      </c>
    </row>
    <row r="1815" spans="1:3" x14ac:dyDescent="0.25">
      <c r="A1815" s="1">
        <v>42711</v>
      </c>
      <c r="B1815">
        <v>0.74460000000000004</v>
      </c>
      <c r="C1815">
        <v>0.74399999999999999</v>
      </c>
    </row>
    <row r="1816" spans="1:3" x14ac:dyDescent="0.25">
      <c r="A1816" s="1">
        <v>42712</v>
      </c>
      <c r="B1816">
        <v>0.74890000000000001</v>
      </c>
      <c r="C1816">
        <v>0.74829999999999997</v>
      </c>
    </row>
    <row r="1817" spans="1:3" x14ac:dyDescent="0.25">
      <c r="A1817" s="1">
        <v>42713</v>
      </c>
      <c r="B1817">
        <v>0.74950000000000006</v>
      </c>
      <c r="C1817">
        <v>0.74890000000000001</v>
      </c>
    </row>
    <row r="1818" spans="1:3" x14ac:dyDescent="0.25">
      <c r="A1818" s="1">
        <v>42717</v>
      </c>
      <c r="B1818">
        <v>0.74819999999999998</v>
      </c>
      <c r="C1818">
        <v>0.74760000000000004</v>
      </c>
    </row>
    <row r="1819" spans="1:3" x14ac:dyDescent="0.25">
      <c r="A1819" s="1">
        <v>42718</v>
      </c>
      <c r="B1819">
        <v>0.74919999999999998</v>
      </c>
      <c r="C1819">
        <v>0.74860000000000004</v>
      </c>
    </row>
    <row r="1820" spans="1:3" x14ac:dyDescent="0.25">
      <c r="A1820" s="1">
        <v>42719</v>
      </c>
      <c r="B1820">
        <v>0.74239999999999995</v>
      </c>
      <c r="C1820">
        <v>0.74180000000000001</v>
      </c>
    </row>
    <row r="1821" spans="1:3" x14ac:dyDescent="0.25">
      <c r="A1821" s="1">
        <v>42720</v>
      </c>
      <c r="B1821">
        <v>0.73509999999999998</v>
      </c>
      <c r="C1821">
        <v>0.73450000000000004</v>
      </c>
    </row>
    <row r="1822" spans="1:3" x14ac:dyDescent="0.25">
      <c r="A1822" s="1">
        <v>42723</v>
      </c>
      <c r="B1822">
        <v>0.72640000000000005</v>
      </c>
      <c r="C1822">
        <v>0.7258</v>
      </c>
    </row>
    <row r="1823" spans="1:3" x14ac:dyDescent="0.25">
      <c r="A1823" s="1">
        <v>42724</v>
      </c>
      <c r="B1823">
        <v>0.72340000000000004</v>
      </c>
      <c r="C1823">
        <v>0.7228</v>
      </c>
    </row>
    <row r="1824" spans="1:3" x14ac:dyDescent="0.25">
      <c r="A1824" s="1">
        <v>42725</v>
      </c>
      <c r="B1824">
        <v>0.72560000000000002</v>
      </c>
      <c r="C1824">
        <v>0.72499999999999998</v>
      </c>
    </row>
    <row r="1825" spans="1:3" x14ac:dyDescent="0.25">
      <c r="A1825" s="1">
        <v>42726</v>
      </c>
      <c r="B1825">
        <v>0.7198</v>
      </c>
      <c r="C1825">
        <v>0.71919999999999995</v>
      </c>
    </row>
    <row r="1826" spans="1:3" x14ac:dyDescent="0.25">
      <c r="A1826" s="1">
        <v>42727</v>
      </c>
      <c r="B1826">
        <v>0.72160000000000002</v>
      </c>
      <c r="C1826">
        <v>0.72099999999999997</v>
      </c>
    </row>
    <row r="1827" spans="1:3" x14ac:dyDescent="0.25">
      <c r="A1827" s="1">
        <v>42730</v>
      </c>
      <c r="B1827">
        <v>0.71899999999999997</v>
      </c>
      <c r="C1827">
        <v>0.71850000000000003</v>
      </c>
    </row>
    <row r="1828" spans="1:3" x14ac:dyDescent="0.25">
      <c r="A1828" s="1">
        <v>42731</v>
      </c>
      <c r="B1828">
        <v>0.71870000000000001</v>
      </c>
      <c r="C1828">
        <v>0.71809999999999996</v>
      </c>
    </row>
    <row r="1829" spans="1:3" x14ac:dyDescent="0.25">
      <c r="A1829" s="1">
        <v>42732</v>
      </c>
      <c r="B1829">
        <v>0.71719999999999995</v>
      </c>
      <c r="C1829">
        <v>0.71660000000000001</v>
      </c>
    </row>
    <row r="1830" spans="1:3" x14ac:dyDescent="0.25">
      <c r="A1830" s="1">
        <v>42733</v>
      </c>
      <c r="B1830">
        <v>0.72140000000000004</v>
      </c>
      <c r="C1830">
        <v>0.7208</v>
      </c>
    </row>
    <row r="1831" spans="1:3" x14ac:dyDescent="0.25">
      <c r="A1831" s="1">
        <v>42734</v>
      </c>
      <c r="B1831">
        <v>0.71799999999999997</v>
      </c>
      <c r="C1831">
        <v>0.72189999999999999</v>
      </c>
    </row>
    <row r="1832" spans="1:3" x14ac:dyDescent="0.25">
      <c r="A1832" s="1">
        <v>42737</v>
      </c>
      <c r="B1832">
        <v>0.71740000000000004</v>
      </c>
      <c r="C1832">
        <v>0.71679999999999999</v>
      </c>
    </row>
    <row r="1833" spans="1:3" x14ac:dyDescent="0.25">
      <c r="A1833" s="1">
        <v>42738</v>
      </c>
      <c r="B1833">
        <v>0.72009999999999996</v>
      </c>
      <c r="C1833">
        <v>0.71950000000000003</v>
      </c>
    </row>
    <row r="1834" spans="1:3" x14ac:dyDescent="0.25">
      <c r="A1834" s="1">
        <v>42739</v>
      </c>
      <c r="B1834">
        <v>0.72629999999999995</v>
      </c>
      <c r="C1834">
        <v>0.72570000000000001</v>
      </c>
    </row>
    <row r="1835" spans="1:3" x14ac:dyDescent="0.25">
      <c r="A1835" s="1">
        <v>42740</v>
      </c>
      <c r="B1835">
        <v>0.72899999999999998</v>
      </c>
      <c r="C1835">
        <v>0.72850000000000004</v>
      </c>
    </row>
    <row r="1836" spans="1:3" x14ac:dyDescent="0.25">
      <c r="A1836" s="1">
        <v>42741</v>
      </c>
      <c r="B1836">
        <v>0.7339</v>
      </c>
      <c r="C1836">
        <v>0.73329999999999995</v>
      </c>
    </row>
    <row r="1837" spans="1:3" x14ac:dyDescent="0.25">
      <c r="A1837" s="1">
        <v>42744</v>
      </c>
      <c r="B1837">
        <v>0.73219999999999996</v>
      </c>
      <c r="C1837">
        <v>0.73160000000000003</v>
      </c>
    </row>
    <row r="1838" spans="1:3" x14ac:dyDescent="0.25">
      <c r="A1838" s="1">
        <v>42745</v>
      </c>
      <c r="B1838">
        <v>0.73519999999999996</v>
      </c>
      <c r="C1838">
        <v>0.73460000000000003</v>
      </c>
    </row>
    <row r="1839" spans="1:3" x14ac:dyDescent="0.25">
      <c r="A1839" s="1">
        <v>42746</v>
      </c>
      <c r="B1839">
        <v>0.73819999999999997</v>
      </c>
      <c r="C1839">
        <v>0.73760000000000003</v>
      </c>
    </row>
    <row r="1840" spans="1:3" x14ac:dyDescent="0.25">
      <c r="A1840" s="1">
        <v>42747</v>
      </c>
      <c r="B1840">
        <v>0.75009999999999999</v>
      </c>
      <c r="C1840">
        <v>0.74950000000000006</v>
      </c>
    </row>
    <row r="1841" spans="1:3" x14ac:dyDescent="0.25">
      <c r="A1841" s="1">
        <v>42748</v>
      </c>
      <c r="B1841">
        <v>0.74929999999999997</v>
      </c>
      <c r="C1841">
        <v>0.74870000000000003</v>
      </c>
    </row>
    <row r="1842" spans="1:3" x14ac:dyDescent="0.25">
      <c r="A1842" s="1">
        <v>42751</v>
      </c>
      <c r="B1842">
        <v>0.74750000000000005</v>
      </c>
      <c r="C1842">
        <v>0.74680000000000002</v>
      </c>
    </row>
    <row r="1843" spans="1:3" x14ac:dyDescent="0.25">
      <c r="A1843" s="1">
        <v>42752</v>
      </c>
      <c r="B1843">
        <v>0.75560000000000005</v>
      </c>
      <c r="C1843">
        <v>0.755</v>
      </c>
    </row>
    <row r="1844" spans="1:3" x14ac:dyDescent="0.25">
      <c r="A1844" s="1">
        <v>42753</v>
      </c>
      <c r="B1844">
        <v>0.75509999999999999</v>
      </c>
      <c r="C1844">
        <v>0.75449999999999995</v>
      </c>
    </row>
    <row r="1845" spans="1:3" x14ac:dyDescent="0.25">
      <c r="A1845" s="1">
        <v>42754</v>
      </c>
      <c r="B1845">
        <v>0.752</v>
      </c>
      <c r="C1845">
        <v>0.75139999999999996</v>
      </c>
    </row>
    <row r="1846" spans="1:3" x14ac:dyDescent="0.25">
      <c r="A1846" s="1">
        <v>42755</v>
      </c>
      <c r="B1846">
        <v>0.752</v>
      </c>
      <c r="C1846">
        <v>0.75139999999999996</v>
      </c>
    </row>
    <row r="1847" spans="1:3" x14ac:dyDescent="0.25">
      <c r="A1847" s="1">
        <v>42758</v>
      </c>
      <c r="B1847">
        <v>0.75600000000000001</v>
      </c>
      <c r="C1847">
        <v>0.75539999999999996</v>
      </c>
    </row>
    <row r="1848" spans="1:3" x14ac:dyDescent="0.25">
      <c r="A1848" s="1">
        <v>42759</v>
      </c>
      <c r="B1848">
        <v>0.75760000000000005</v>
      </c>
      <c r="C1848">
        <v>0.75700000000000001</v>
      </c>
    </row>
    <row r="1849" spans="1:3" x14ac:dyDescent="0.25">
      <c r="A1849" s="1">
        <v>42760</v>
      </c>
      <c r="B1849">
        <v>0.75490000000000002</v>
      </c>
      <c r="C1849">
        <v>0.75439999999999996</v>
      </c>
    </row>
    <row r="1850" spans="1:3" x14ac:dyDescent="0.25">
      <c r="A1850" s="1">
        <v>42762</v>
      </c>
      <c r="B1850">
        <v>0.75339999999999996</v>
      </c>
      <c r="C1850">
        <v>0.75290000000000001</v>
      </c>
    </row>
    <row r="1851" spans="1:3" x14ac:dyDescent="0.25">
      <c r="A1851" s="1">
        <v>42765</v>
      </c>
      <c r="B1851">
        <v>0.75509999999999999</v>
      </c>
      <c r="C1851">
        <v>0.75460000000000005</v>
      </c>
    </row>
    <row r="1852" spans="1:3" x14ac:dyDescent="0.25">
      <c r="A1852" s="1">
        <v>42766</v>
      </c>
      <c r="B1852">
        <v>0.75700000000000001</v>
      </c>
      <c r="C1852">
        <v>0.75429999999999997</v>
      </c>
    </row>
    <row r="1853" spans="1:3" x14ac:dyDescent="0.25">
      <c r="A1853" s="1">
        <v>42767</v>
      </c>
      <c r="B1853">
        <v>0.75670000000000004</v>
      </c>
      <c r="C1853">
        <v>0.75619999999999998</v>
      </c>
    </row>
    <row r="1854" spans="1:3" x14ac:dyDescent="0.25">
      <c r="A1854" s="1">
        <v>42768</v>
      </c>
      <c r="B1854">
        <v>0.76719999999999999</v>
      </c>
      <c r="C1854">
        <v>0.76670000000000005</v>
      </c>
    </row>
    <row r="1855" spans="1:3" x14ac:dyDescent="0.25">
      <c r="A1855" s="1">
        <v>42769</v>
      </c>
      <c r="B1855">
        <v>0.7641</v>
      </c>
      <c r="C1855">
        <v>0.76359999999999995</v>
      </c>
    </row>
    <row r="1856" spans="1:3" x14ac:dyDescent="0.25">
      <c r="A1856" s="1">
        <v>42772</v>
      </c>
      <c r="B1856">
        <v>0.76590000000000003</v>
      </c>
      <c r="C1856">
        <v>0.76539999999999997</v>
      </c>
    </row>
    <row r="1857" spans="1:3" x14ac:dyDescent="0.25">
      <c r="A1857" s="1">
        <v>42773</v>
      </c>
      <c r="B1857">
        <v>0.76119999999999999</v>
      </c>
      <c r="C1857">
        <v>0.76070000000000004</v>
      </c>
    </row>
    <row r="1858" spans="1:3" x14ac:dyDescent="0.25">
      <c r="A1858" s="1">
        <v>42774</v>
      </c>
      <c r="B1858">
        <v>0.7631</v>
      </c>
      <c r="C1858">
        <v>0.76259999999999994</v>
      </c>
    </row>
    <row r="1859" spans="1:3" x14ac:dyDescent="0.25">
      <c r="A1859" s="1">
        <v>42775</v>
      </c>
      <c r="B1859">
        <v>0.76419999999999999</v>
      </c>
      <c r="C1859">
        <v>0.76370000000000005</v>
      </c>
    </row>
    <row r="1860" spans="1:3" x14ac:dyDescent="0.25">
      <c r="A1860" s="1">
        <v>42776</v>
      </c>
      <c r="B1860">
        <v>0.76429999999999998</v>
      </c>
      <c r="C1860">
        <v>0.76380000000000003</v>
      </c>
    </row>
    <row r="1861" spans="1:3" x14ac:dyDescent="0.25">
      <c r="A1861" s="1">
        <v>42779</v>
      </c>
      <c r="B1861">
        <v>0.76729999999999998</v>
      </c>
      <c r="C1861">
        <v>0.76670000000000005</v>
      </c>
    </row>
    <row r="1862" spans="1:3" x14ac:dyDescent="0.25">
      <c r="A1862" s="1">
        <v>42780</v>
      </c>
      <c r="B1862">
        <v>0.76929999999999998</v>
      </c>
      <c r="C1862">
        <v>0.76880000000000004</v>
      </c>
    </row>
    <row r="1863" spans="1:3" x14ac:dyDescent="0.25">
      <c r="A1863" s="1">
        <v>42781</v>
      </c>
      <c r="B1863">
        <v>0.76770000000000005</v>
      </c>
      <c r="C1863">
        <v>0.76719999999999999</v>
      </c>
    </row>
    <row r="1864" spans="1:3" x14ac:dyDescent="0.25">
      <c r="A1864" s="1">
        <v>42782</v>
      </c>
      <c r="B1864">
        <v>0.77080000000000004</v>
      </c>
      <c r="C1864">
        <v>0.77029999999999998</v>
      </c>
    </row>
    <row r="1865" spans="1:3" x14ac:dyDescent="0.25">
      <c r="A1865" s="1">
        <v>42783</v>
      </c>
      <c r="B1865">
        <v>0.76649999999999996</v>
      </c>
      <c r="C1865">
        <v>0.76600000000000001</v>
      </c>
    </row>
    <row r="1866" spans="1:3" x14ac:dyDescent="0.25">
      <c r="A1866" s="1">
        <v>42786</v>
      </c>
      <c r="B1866">
        <v>0.7671</v>
      </c>
      <c r="C1866">
        <v>0.76659999999999995</v>
      </c>
    </row>
    <row r="1867" spans="1:3" x14ac:dyDescent="0.25">
      <c r="A1867" s="1">
        <v>42788</v>
      </c>
      <c r="B1867">
        <v>0.7681</v>
      </c>
      <c r="C1867">
        <v>0.76759999999999995</v>
      </c>
    </row>
    <row r="1868" spans="1:3" x14ac:dyDescent="0.25">
      <c r="A1868" s="1">
        <v>42789</v>
      </c>
      <c r="B1868">
        <v>0.77</v>
      </c>
      <c r="C1868">
        <v>0.76949999999999996</v>
      </c>
    </row>
    <row r="1869" spans="1:3" x14ac:dyDescent="0.25">
      <c r="A1869" s="1">
        <v>42793</v>
      </c>
      <c r="B1869">
        <v>0.76719999999999999</v>
      </c>
      <c r="C1869">
        <v>0.76659999999999995</v>
      </c>
    </row>
    <row r="1870" spans="1:3" x14ac:dyDescent="0.25">
      <c r="A1870" s="1">
        <v>42794</v>
      </c>
      <c r="B1870">
        <v>0.76770000000000005</v>
      </c>
      <c r="C1870">
        <v>0.76680000000000004</v>
      </c>
    </row>
    <row r="1871" spans="1:3" x14ac:dyDescent="0.25">
      <c r="A1871" s="1">
        <v>42795</v>
      </c>
      <c r="B1871">
        <v>0.76549999999999996</v>
      </c>
      <c r="C1871">
        <v>0.76500000000000001</v>
      </c>
    </row>
    <row r="1872" spans="1:3" x14ac:dyDescent="0.25">
      <c r="A1872" s="1">
        <v>42796</v>
      </c>
      <c r="B1872">
        <v>0.76129999999999998</v>
      </c>
      <c r="C1872">
        <v>0.76080000000000003</v>
      </c>
    </row>
    <row r="1873" spans="1:3" x14ac:dyDescent="0.25">
      <c r="A1873" s="1">
        <v>42797</v>
      </c>
      <c r="B1873">
        <v>0.75580000000000003</v>
      </c>
      <c r="C1873">
        <v>0.75529999999999997</v>
      </c>
    </row>
    <row r="1874" spans="1:3" x14ac:dyDescent="0.25">
      <c r="A1874" s="1">
        <v>42800</v>
      </c>
      <c r="B1874">
        <v>0.75900000000000001</v>
      </c>
      <c r="C1874">
        <v>0.75849999999999995</v>
      </c>
    </row>
    <row r="1875" spans="1:3" x14ac:dyDescent="0.25">
      <c r="A1875" s="1">
        <v>42801</v>
      </c>
      <c r="B1875">
        <v>0.75970000000000004</v>
      </c>
      <c r="C1875">
        <v>0.75919999999999999</v>
      </c>
    </row>
    <row r="1876" spans="1:3" x14ac:dyDescent="0.25">
      <c r="A1876" s="1">
        <v>42802</v>
      </c>
      <c r="B1876">
        <v>0.75609999999999999</v>
      </c>
      <c r="C1876">
        <v>0.75560000000000005</v>
      </c>
    </row>
    <row r="1877" spans="1:3" x14ac:dyDescent="0.25">
      <c r="A1877" s="1">
        <v>42803</v>
      </c>
      <c r="B1877">
        <v>0.75049999999999994</v>
      </c>
      <c r="C1877">
        <v>0.75</v>
      </c>
    </row>
    <row r="1878" spans="1:3" x14ac:dyDescent="0.25">
      <c r="A1878" s="1">
        <v>42804</v>
      </c>
      <c r="B1878">
        <v>0.75180000000000002</v>
      </c>
      <c r="C1878">
        <v>0.75129999999999997</v>
      </c>
    </row>
    <row r="1879" spans="1:3" x14ac:dyDescent="0.25">
      <c r="A1879" s="1">
        <v>42808</v>
      </c>
      <c r="B1879">
        <v>0.75549999999999995</v>
      </c>
      <c r="C1879">
        <v>0.755</v>
      </c>
    </row>
    <row r="1880" spans="1:3" x14ac:dyDescent="0.25">
      <c r="A1880" s="1">
        <v>42809</v>
      </c>
      <c r="B1880">
        <v>0.75729999999999997</v>
      </c>
      <c r="C1880">
        <v>0.75680000000000003</v>
      </c>
    </row>
    <row r="1881" spans="1:3" x14ac:dyDescent="0.25">
      <c r="A1881" s="1">
        <v>42810</v>
      </c>
      <c r="B1881">
        <v>0.76870000000000005</v>
      </c>
      <c r="C1881">
        <v>0.76819999999999999</v>
      </c>
    </row>
    <row r="1882" spans="1:3" x14ac:dyDescent="0.25">
      <c r="A1882" s="1">
        <v>42811</v>
      </c>
      <c r="B1882">
        <v>0.76939999999999997</v>
      </c>
      <c r="C1882">
        <v>0.76890000000000003</v>
      </c>
    </row>
    <row r="1883" spans="1:3" x14ac:dyDescent="0.25">
      <c r="A1883" s="1">
        <v>42814</v>
      </c>
      <c r="B1883">
        <v>0.7722</v>
      </c>
      <c r="C1883">
        <v>0.77170000000000005</v>
      </c>
    </row>
    <row r="1884" spans="1:3" x14ac:dyDescent="0.25">
      <c r="A1884" s="1">
        <v>42815</v>
      </c>
      <c r="B1884">
        <v>0.77300000000000002</v>
      </c>
      <c r="C1884">
        <v>0.77259999999999995</v>
      </c>
    </row>
    <row r="1885" spans="1:3" x14ac:dyDescent="0.25">
      <c r="A1885" s="1">
        <v>42816</v>
      </c>
      <c r="B1885">
        <v>0.76629999999999998</v>
      </c>
      <c r="C1885">
        <v>0.76590000000000003</v>
      </c>
    </row>
    <row r="1886" spans="1:3" x14ac:dyDescent="0.25">
      <c r="A1886" s="1">
        <v>42817</v>
      </c>
      <c r="B1886">
        <v>0.76590000000000003</v>
      </c>
      <c r="C1886">
        <v>0.76539999999999997</v>
      </c>
    </row>
    <row r="1887" spans="1:3" x14ac:dyDescent="0.25">
      <c r="A1887" s="1">
        <v>42818</v>
      </c>
      <c r="B1887">
        <v>0.76160000000000005</v>
      </c>
      <c r="C1887">
        <v>0.76119999999999999</v>
      </c>
    </row>
    <row r="1888" spans="1:3" x14ac:dyDescent="0.25">
      <c r="A1888" s="1">
        <v>42821</v>
      </c>
      <c r="B1888">
        <v>0.76429999999999998</v>
      </c>
      <c r="C1888">
        <v>0.76390000000000002</v>
      </c>
    </row>
    <row r="1889" spans="1:3" x14ac:dyDescent="0.25">
      <c r="A1889" s="1">
        <v>42823</v>
      </c>
      <c r="B1889">
        <v>0.76559999999999995</v>
      </c>
      <c r="C1889">
        <v>0.76519999999999999</v>
      </c>
    </row>
    <row r="1890" spans="1:3" x14ac:dyDescent="0.25">
      <c r="A1890" s="1">
        <v>42824</v>
      </c>
      <c r="B1890">
        <v>0.76749999999999996</v>
      </c>
      <c r="C1890">
        <v>0.7671</v>
      </c>
    </row>
    <row r="1891" spans="1:3" x14ac:dyDescent="0.25">
      <c r="A1891" s="1">
        <v>42825</v>
      </c>
      <c r="B1891">
        <v>0.76249999999999996</v>
      </c>
      <c r="C1891">
        <v>0.76419999999999999</v>
      </c>
    </row>
    <row r="1892" spans="1:3" x14ac:dyDescent="0.25">
      <c r="A1892" s="1">
        <v>42828</v>
      </c>
      <c r="B1892">
        <v>0.76119999999999999</v>
      </c>
      <c r="C1892">
        <v>0.76080000000000003</v>
      </c>
    </row>
    <row r="1893" spans="1:3" x14ac:dyDescent="0.25">
      <c r="A1893" s="1">
        <v>42830</v>
      </c>
      <c r="B1893">
        <v>0.75780000000000003</v>
      </c>
      <c r="C1893">
        <v>0.75739999999999996</v>
      </c>
    </row>
    <row r="1894" spans="1:3" x14ac:dyDescent="0.25">
      <c r="A1894" s="1">
        <v>42831</v>
      </c>
      <c r="B1894">
        <v>0.75580000000000003</v>
      </c>
      <c r="C1894">
        <v>0.75539999999999996</v>
      </c>
    </row>
    <row r="1895" spans="1:3" x14ac:dyDescent="0.25">
      <c r="A1895" s="1">
        <v>42832</v>
      </c>
      <c r="B1895">
        <v>0.75239999999999996</v>
      </c>
      <c r="C1895">
        <v>0.752</v>
      </c>
    </row>
    <row r="1896" spans="1:3" x14ac:dyDescent="0.25">
      <c r="A1896" s="1">
        <v>42835</v>
      </c>
      <c r="B1896">
        <v>0.74839999999999995</v>
      </c>
      <c r="C1896">
        <v>0.748</v>
      </c>
    </row>
    <row r="1897" spans="1:3" x14ac:dyDescent="0.25">
      <c r="A1897" s="1">
        <v>42836</v>
      </c>
      <c r="B1897">
        <v>0.75070000000000003</v>
      </c>
      <c r="C1897">
        <v>0.75019999999999998</v>
      </c>
    </row>
    <row r="1898" spans="1:3" x14ac:dyDescent="0.25">
      <c r="A1898" s="1">
        <v>42837</v>
      </c>
      <c r="B1898">
        <v>0.74939999999999996</v>
      </c>
      <c r="C1898">
        <v>0.74890000000000001</v>
      </c>
    </row>
    <row r="1899" spans="1:3" x14ac:dyDescent="0.25">
      <c r="A1899" s="1">
        <v>42838</v>
      </c>
      <c r="B1899">
        <v>0.75790000000000002</v>
      </c>
      <c r="C1899">
        <v>0.75739999999999996</v>
      </c>
    </row>
    <row r="1900" spans="1:3" x14ac:dyDescent="0.25">
      <c r="A1900" s="1">
        <v>42842</v>
      </c>
      <c r="B1900">
        <v>0.7591</v>
      </c>
      <c r="C1900">
        <v>0.75860000000000005</v>
      </c>
    </row>
    <row r="1901" spans="1:3" x14ac:dyDescent="0.25">
      <c r="A1901" s="1">
        <v>42843</v>
      </c>
      <c r="B1901">
        <v>0.75460000000000005</v>
      </c>
      <c r="C1901">
        <v>0.75409999999999999</v>
      </c>
    </row>
    <row r="1902" spans="1:3" x14ac:dyDescent="0.25">
      <c r="A1902" s="1">
        <v>42844</v>
      </c>
      <c r="B1902">
        <v>0.75270000000000004</v>
      </c>
      <c r="C1902">
        <v>0.75229999999999997</v>
      </c>
    </row>
    <row r="1903" spans="1:3" x14ac:dyDescent="0.25">
      <c r="A1903" s="1">
        <v>42845</v>
      </c>
      <c r="B1903">
        <v>0.75219999999999998</v>
      </c>
      <c r="C1903">
        <v>0.75180000000000002</v>
      </c>
    </row>
    <row r="1904" spans="1:3" x14ac:dyDescent="0.25">
      <c r="A1904" s="1">
        <v>42846</v>
      </c>
      <c r="B1904">
        <v>0.75270000000000004</v>
      </c>
      <c r="C1904">
        <v>0.75229999999999997</v>
      </c>
    </row>
    <row r="1905" spans="1:3" x14ac:dyDescent="0.25">
      <c r="A1905" s="1">
        <v>42849</v>
      </c>
      <c r="B1905">
        <v>0.75690000000000002</v>
      </c>
      <c r="C1905">
        <v>0.75639999999999996</v>
      </c>
    </row>
    <row r="1906" spans="1:3" x14ac:dyDescent="0.25">
      <c r="A1906" s="1">
        <v>42850</v>
      </c>
      <c r="B1906">
        <v>0.75349999999999995</v>
      </c>
      <c r="C1906">
        <v>0.753</v>
      </c>
    </row>
    <row r="1907" spans="1:3" x14ac:dyDescent="0.25">
      <c r="A1907" s="1">
        <v>42851</v>
      </c>
      <c r="B1907">
        <v>0.74909999999999999</v>
      </c>
      <c r="C1907">
        <v>0.74860000000000004</v>
      </c>
    </row>
    <row r="1908" spans="1:3" x14ac:dyDescent="0.25">
      <c r="A1908" s="1">
        <v>42852</v>
      </c>
      <c r="B1908">
        <v>0.747</v>
      </c>
      <c r="C1908">
        <v>0.74660000000000004</v>
      </c>
    </row>
    <row r="1909" spans="1:3" x14ac:dyDescent="0.25">
      <c r="A1909" s="1">
        <v>42853</v>
      </c>
      <c r="B1909">
        <v>0.74829999999999997</v>
      </c>
      <c r="C1909">
        <v>0.74680000000000002</v>
      </c>
    </row>
    <row r="1910" spans="1:3" x14ac:dyDescent="0.25">
      <c r="A1910" s="1">
        <v>42857</v>
      </c>
      <c r="B1910">
        <v>0.75139999999999996</v>
      </c>
      <c r="C1910">
        <v>0.751</v>
      </c>
    </row>
    <row r="1911" spans="1:3" x14ac:dyDescent="0.25">
      <c r="A1911" s="1">
        <v>42858</v>
      </c>
      <c r="B1911">
        <v>0.74750000000000005</v>
      </c>
      <c r="C1911">
        <v>0.74709999999999999</v>
      </c>
    </row>
    <row r="1912" spans="1:3" x14ac:dyDescent="0.25">
      <c r="A1912" s="1">
        <v>42859</v>
      </c>
      <c r="B1912">
        <v>0.74199999999999999</v>
      </c>
      <c r="C1912">
        <v>0.74160000000000004</v>
      </c>
    </row>
    <row r="1913" spans="1:3" x14ac:dyDescent="0.25">
      <c r="A1913" s="1">
        <v>42860</v>
      </c>
      <c r="B1913">
        <v>0.73870000000000002</v>
      </c>
      <c r="C1913">
        <v>0.73829999999999996</v>
      </c>
    </row>
    <row r="1914" spans="1:3" x14ac:dyDescent="0.25">
      <c r="A1914" s="1">
        <v>42863</v>
      </c>
      <c r="B1914">
        <v>0.74039999999999995</v>
      </c>
      <c r="C1914">
        <v>0.7399</v>
      </c>
    </row>
    <row r="1915" spans="1:3" x14ac:dyDescent="0.25">
      <c r="A1915" s="1">
        <v>42864</v>
      </c>
      <c r="B1915">
        <v>0.73570000000000002</v>
      </c>
      <c r="C1915">
        <v>0.73519999999999996</v>
      </c>
    </row>
    <row r="1916" spans="1:3" x14ac:dyDescent="0.25">
      <c r="A1916" s="1">
        <v>42866</v>
      </c>
      <c r="B1916">
        <v>0.73729999999999996</v>
      </c>
      <c r="C1916">
        <v>0.73680000000000001</v>
      </c>
    </row>
    <row r="1917" spans="1:3" x14ac:dyDescent="0.25">
      <c r="A1917" s="1">
        <v>42867</v>
      </c>
      <c r="B1917">
        <v>0.7379</v>
      </c>
      <c r="C1917">
        <v>0.73740000000000006</v>
      </c>
    </row>
    <row r="1918" spans="1:3" x14ac:dyDescent="0.25">
      <c r="A1918" s="1">
        <v>42870</v>
      </c>
      <c r="B1918">
        <v>0.74380000000000002</v>
      </c>
      <c r="C1918">
        <v>0.74329999999999996</v>
      </c>
    </row>
    <row r="1919" spans="1:3" x14ac:dyDescent="0.25">
      <c r="A1919" s="1">
        <v>42871</v>
      </c>
      <c r="B1919">
        <v>0.74060000000000004</v>
      </c>
      <c r="C1919">
        <v>0.74009999999999998</v>
      </c>
    </row>
    <row r="1920" spans="1:3" x14ac:dyDescent="0.25">
      <c r="A1920" s="1">
        <v>42872</v>
      </c>
      <c r="B1920">
        <v>0.74060000000000004</v>
      </c>
      <c r="C1920">
        <v>0.74019999999999997</v>
      </c>
    </row>
    <row r="1921" spans="1:3" x14ac:dyDescent="0.25">
      <c r="A1921" s="1">
        <v>42873</v>
      </c>
      <c r="B1921">
        <v>0.74390000000000001</v>
      </c>
      <c r="C1921">
        <v>0.74350000000000005</v>
      </c>
    </row>
    <row r="1922" spans="1:3" x14ac:dyDescent="0.25">
      <c r="A1922" s="1">
        <v>42874</v>
      </c>
      <c r="B1922">
        <v>0.74360000000000004</v>
      </c>
      <c r="C1922">
        <v>0.74319999999999997</v>
      </c>
    </row>
    <row r="1923" spans="1:3" x14ac:dyDescent="0.25">
      <c r="A1923" s="1">
        <v>42877</v>
      </c>
      <c r="B1923">
        <v>0.74680000000000002</v>
      </c>
      <c r="C1923">
        <v>0.74629999999999996</v>
      </c>
    </row>
    <row r="1924" spans="1:3" x14ac:dyDescent="0.25">
      <c r="A1924" s="1">
        <v>42878</v>
      </c>
      <c r="B1924">
        <v>0.75060000000000004</v>
      </c>
      <c r="C1924">
        <v>0.75019999999999998</v>
      </c>
    </row>
    <row r="1925" spans="1:3" x14ac:dyDescent="0.25">
      <c r="A1925" s="1">
        <v>42879</v>
      </c>
      <c r="B1925">
        <v>0.74760000000000004</v>
      </c>
      <c r="C1925">
        <v>0.74719999999999998</v>
      </c>
    </row>
    <row r="1926" spans="1:3" x14ac:dyDescent="0.25">
      <c r="A1926" s="1">
        <v>42880</v>
      </c>
      <c r="B1926">
        <v>0.74639999999999995</v>
      </c>
      <c r="C1926">
        <v>0.746</v>
      </c>
    </row>
    <row r="1927" spans="1:3" x14ac:dyDescent="0.25">
      <c r="A1927" s="1">
        <v>42881</v>
      </c>
      <c r="B1927">
        <v>0.74509999999999998</v>
      </c>
      <c r="C1927">
        <v>0.74470000000000003</v>
      </c>
    </row>
    <row r="1928" spans="1:3" x14ac:dyDescent="0.25">
      <c r="A1928" s="1">
        <v>42884</v>
      </c>
      <c r="B1928">
        <v>0.74370000000000003</v>
      </c>
      <c r="C1928">
        <v>0.74329999999999996</v>
      </c>
    </row>
    <row r="1929" spans="1:3" x14ac:dyDescent="0.25">
      <c r="A1929" s="1">
        <v>42885</v>
      </c>
      <c r="B1929">
        <v>0.74460000000000004</v>
      </c>
      <c r="C1929">
        <v>0.74419999999999997</v>
      </c>
    </row>
    <row r="1930" spans="1:3" x14ac:dyDescent="0.25">
      <c r="A1930" s="1">
        <v>42886</v>
      </c>
      <c r="B1930">
        <v>0.74360000000000004</v>
      </c>
      <c r="C1930">
        <v>0.74539999999999995</v>
      </c>
    </row>
    <row r="1931" spans="1:3" x14ac:dyDescent="0.25">
      <c r="A1931" s="1">
        <v>42887</v>
      </c>
      <c r="B1931">
        <v>0.73909999999999998</v>
      </c>
      <c r="C1931">
        <v>0.73880000000000001</v>
      </c>
    </row>
    <row r="1932" spans="1:3" x14ac:dyDescent="0.25">
      <c r="A1932" s="1">
        <v>42888</v>
      </c>
      <c r="B1932">
        <v>0.73980000000000001</v>
      </c>
      <c r="C1932">
        <v>0.73939999999999995</v>
      </c>
    </row>
    <row r="1933" spans="1:3" x14ac:dyDescent="0.25">
      <c r="A1933" s="1">
        <v>42891</v>
      </c>
      <c r="B1933">
        <v>0.74709999999999999</v>
      </c>
      <c r="C1933">
        <v>0.74670000000000003</v>
      </c>
    </row>
    <row r="1934" spans="1:3" x14ac:dyDescent="0.25">
      <c r="A1934" s="1">
        <v>42892</v>
      </c>
      <c r="B1934">
        <v>0.74860000000000004</v>
      </c>
      <c r="C1934">
        <v>0.74819999999999998</v>
      </c>
    </row>
    <row r="1935" spans="1:3" x14ac:dyDescent="0.25">
      <c r="A1935" s="1">
        <v>42893</v>
      </c>
      <c r="B1935">
        <v>0.75560000000000005</v>
      </c>
      <c r="C1935">
        <v>0.75519999999999998</v>
      </c>
    </row>
    <row r="1936" spans="1:3" x14ac:dyDescent="0.25">
      <c r="A1936" s="1">
        <v>42894</v>
      </c>
      <c r="B1936">
        <v>0.75429999999999997</v>
      </c>
      <c r="C1936">
        <v>0.754</v>
      </c>
    </row>
    <row r="1937" spans="1:3" x14ac:dyDescent="0.25">
      <c r="A1937" s="1">
        <v>42895</v>
      </c>
      <c r="B1937">
        <v>0.75339999999999996</v>
      </c>
      <c r="C1937">
        <v>0.75309999999999999</v>
      </c>
    </row>
    <row r="1938" spans="1:3" x14ac:dyDescent="0.25">
      <c r="A1938" s="1">
        <v>42898</v>
      </c>
      <c r="B1938">
        <v>0.75439999999999996</v>
      </c>
      <c r="C1938">
        <v>0.75409999999999999</v>
      </c>
    </row>
    <row r="1939" spans="1:3" x14ac:dyDescent="0.25">
      <c r="A1939" s="1">
        <v>42899</v>
      </c>
      <c r="B1939">
        <v>0.75409999999999999</v>
      </c>
      <c r="C1939">
        <v>0.75380000000000003</v>
      </c>
    </row>
    <row r="1940" spans="1:3" x14ac:dyDescent="0.25">
      <c r="A1940" s="1">
        <v>42900</v>
      </c>
      <c r="B1940">
        <v>0.7581</v>
      </c>
      <c r="C1940">
        <v>0.75780000000000003</v>
      </c>
    </row>
    <row r="1941" spans="1:3" x14ac:dyDescent="0.25">
      <c r="A1941" s="1">
        <v>42901</v>
      </c>
      <c r="B1941">
        <v>0.75780000000000003</v>
      </c>
      <c r="C1941">
        <v>0.75749999999999995</v>
      </c>
    </row>
    <row r="1942" spans="1:3" x14ac:dyDescent="0.25">
      <c r="A1942" s="1">
        <v>42902</v>
      </c>
      <c r="B1942">
        <v>0.76119999999999999</v>
      </c>
      <c r="C1942">
        <v>0.76090000000000002</v>
      </c>
    </row>
    <row r="1943" spans="1:3" x14ac:dyDescent="0.25">
      <c r="A1943" s="1">
        <v>42905</v>
      </c>
      <c r="B1943">
        <v>0.76200000000000001</v>
      </c>
      <c r="C1943">
        <v>0.76170000000000004</v>
      </c>
    </row>
    <row r="1944" spans="1:3" x14ac:dyDescent="0.25">
      <c r="A1944" s="1">
        <v>42906</v>
      </c>
      <c r="B1944">
        <v>0.7601</v>
      </c>
      <c r="C1944">
        <v>0.75980000000000003</v>
      </c>
    </row>
    <row r="1945" spans="1:3" x14ac:dyDescent="0.25">
      <c r="A1945" s="1">
        <v>42907</v>
      </c>
      <c r="B1945">
        <v>0.75660000000000005</v>
      </c>
      <c r="C1945">
        <v>0.75629999999999997</v>
      </c>
    </row>
    <row r="1946" spans="1:3" x14ac:dyDescent="0.25">
      <c r="A1946" s="1">
        <v>42908</v>
      </c>
      <c r="B1946">
        <v>0.75380000000000003</v>
      </c>
      <c r="C1946">
        <v>0.75349999999999995</v>
      </c>
    </row>
    <row r="1947" spans="1:3" x14ac:dyDescent="0.25">
      <c r="A1947" s="1">
        <v>42909</v>
      </c>
      <c r="B1947">
        <v>0.75680000000000003</v>
      </c>
      <c r="C1947">
        <v>0.75649999999999995</v>
      </c>
    </row>
    <row r="1948" spans="1:3" x14ac:dyDescent="0.25">
      <c r="A1948" s="1">
        <v>42913</v>
      </c>
      <c r="B1948">
        <v>0.75980000000000003</v>
      </c>
      <c r="C1948">
        <v>0.75949999999999995</v>
      </c>
    </row>
    <row r="1949" spans="1:3" x14ac:dyDescent="0.25">
      <c r="A1949" s="1">
        <v>42914</v>
      </c>
      <c r="B1949">
        <v>0.75939999999999996</v>
      </c>
      <c r="C1949">
        <v>0.7591</v>
      </c>
    </row>
    <row r="1950" spans="1:3" x14ac:dyDescent="0.25">
      <c r="A1950" s="1">
        <v>42915</v>
      </c>
      <c r="B1950">
        <v>0.76770000000000005</v>
      </c>
      <c r="C1950">
        <v>0.76739999999999997</v>
      </c>
    </row>
    <row r="1951" spans="1:3" x14ac:dyDescent="0.25">
      <c r="A1951" s="1">
        <v>42916</v>
      </c>
      <c r="B1951">
        <v>0.76800000000000002</v>
      </c>
      <c r="C1951">
        <v>0.76839999999999997</v>
      </c>
    </row>
    <row r="1952" spans="1:3" x14ac:dyDescent="0.25">
      <c r="A1952" s="1">
        <v>42919</v>
      </c>
      <c r="B1952">
        <v>0.76559999999999995</v>
      </c>
      <c r="C1952">
        <v>0.76529999999999998</v>
      </c>
    </row>
    <row r="1953" spans="1:3" x14ac:dyDescent="0.25">
      <c r="A1953" s="1">
        <v>42920</v>
      </c>
      <c r="B1953">
        <v>0.76049999999999995</v>
      </c>
      <c r="C1953">
        <v>0.76019999999999999</v>
      </c>
    </row>
    <row r="1954" spans="1:3" x14ac:dyDescent="0.25">
      <c r="A1954" s="1">
        <v>42921</v>
      </c>
      <c r="B1954">
        <v>0.76139999999999997</v>
      </c>
      <c r="C1954">
        <v>0.7611</v>
      </c>
    </row>
    <row r="1955" spans="1:3" x14ac:dyDescent="0.25">
      <c r="A1955" s="1">
        <v>42922</v>
      </c>
      <c r="B1955">
        <v>0.75949999999999995</v>
      </c>
      <c r="C1955">
        <v>0.75919999999999999</v>
      </c>
    </row>
    <row r="1956" spans="1:3" x14ac:dyDescent="0.25">
      <c r="A1956" s="1">
        <v>42923</v>
      </c>
      <c r="B1956">
        <v>0.75849999999999995</v>
      </c>
      <c r="C1956">
        <v>0.75819999999999999</v>
      </c>
    </row>
    <row r="1957" spans="1:3" x14ac:dyDescent="0.25">
      <c r="A1957" s="1">
        <v>42926</v>
      </c>
      <c r="B1957">
        <v>0.75919999999999999</v>
      </c>
      <c r="C1957">
        <v>0.75880000000000003</v>
      </c>
    </row>
    <row r="1958" spans="1:3" x14ac:dyDescent="0.25">
      <c r="A1958" s="1">
        <v>42927</v>
      </c>
      <c r="B1958">
        <v>0.76060000000000005</v>
      </c>
      <c r="C1958">
        <v>0.76029999999999998</v>
      </c>
    </row>
    <row r="1959" spans="1:3" x14ac:dyDescent="0.25">
      <c r="A1959" s="1">
        <v>42928</v>
      </c>
      <c r="B1959">
        <v>0.76539999999999997</v>
      </c>
      <c r="C1959">
        <v>0.7651</v>
      </c>
    </row>
    <row r="1960" spans="1:3" x14ac:dyDescent="0.25">
      <c r="A1960" s="1">
        <v>42929</v>
      </c>
      <c r="B1960">
        <v>0.77310000000000001</v>
      </c>
      <c r="C1960">
        <v>0.77280000000000004</v>
      </c>
    </row>
    <row r="1961" spans="1:3" x14ac:dyDescent="0.25">
      <c r="A1961" s="1">
        <v>42930</v>
      </c>
      <c r="B1961">
        <v>0.77610000000000001</v>
      </c>
      <c r="C1961">
        <v>0.77580000000000005</v>
      </c>
    </row>
    <row r="1962" spans="1:3" x14ac:dyDescent="0.25">
      <c r="A1962" s="1">
        <v>42933</v>
      </c>
      <c r="B1962">
        <v>0.78239999999999998</v>
      </c>
      <c r="C1962">
        <v>0.78210000000000002</v>
      </c>
    </row>
    <row r="1963" spans="1:3" x14ac:dyDescent="0.25">
      <c r="A1963" s="1">
        <v>42934</v>
      </c>
      <c r="B1963">
        <v>0.79290000000000005</v>
      </c>
      <c r="C1963">
        <v>0.79259999999999997</v>
      </c>
    </row>
    <row r="1964" spans="1:3" x14ac:dyDescent="0.25">
      <c r="A1964" s="1">
        <v>42935</v>
      </c>
      <c r="B1964">
        <v>0.79300000000000004</v>
      </c>
      <c r="C1964">
        <v>0.79269999999999996</v>
      </c>
    </row>
    <row r="1965" spans="1:3" x14ac:dyDescent="0.25">
      <c r="A1965" s="1">
        <v>42936</v>
      </c>
      <c r="B1965">
        <v>0.79079999999999995</v>
      </c>
      <c r="C1965">
        <v>0.79049999999999998</v>
      </c>
    </row>
    <row r="1966" spans="1:3" x14ac:dyDescent="0.25">
      <c r="A1966" s="1">
        <v>42937</v>
      </c>
      <c r="B1966">
        <v>0.79190000000000005</v>
      </c>
      <c r="C1966">
        <v>0.79159999999999997</v>
      </c>
    </row>
    <row r="1967" spans="1:3" x14ac:dyDescent="0.25">
      <c r="A1967" s="1">
        <v>42940</v>
      </c>
      <c r="B1967">
        <v>0.79479999999999995</v>
      </c>
      <c r="C1967">
        <v>0.7944</v>
      </c>
    </row>
    <row r="1968" spans="1:3" x14ac:dyDescent="0.25">
      <c r="A1968" s="1">
        <v>42941</v>
      </c>
      <c r="B1968">
        <v>0.79359999999999997</v>
      </c>
      <c r="C1968">
        <v>0.79330000000000001</v>
      </c>
    </row>
    <row r="1969" spans="1:3" x14ac:dyDescent="0.25">
      <c r="A1969" s="1">
        <v>42942</v>
      </c>
      <c r="B1969">
        <v>0.79220000000000002</v>
      </c>
      <c r="C1969">
        <v>0.79190000000000005</v>
      </c>
    </row>
    <row r="1970" spans="1:3" x14ac:dyDescent="0.25">
      <c r="A1970" s="1">
        <v>42943</v>
      </c>
      <c r="B1970">
        <v>0.80149999999999999</v>
      </c>
      <c r="C1970">
        <v>0.80120000000000002</v>
      </c>
    </row>
    <row r="1971" spans="1:3" x14ac:dyDescent="0.25">
      <c r="A1971" s="1">
        <v>42944</v>
      </c>
      <c r="B1971">
        <v>0.79520000000000002</v>
      </c>
      <c r="C1971">
        <v>0.79490000000000005</v>
      </c>
    </row>
    <row r="1972" spans="1:3" x14ac:dyDescent="0.25">
      <c r="A1972" s="1">
        <v>42947</v>
      </c>
      <c r="B1972">
        <v>0.79800000000000004</v>
      </c>
      <c r="C1972">
        <v>0.7974</v>
      </c>
    </row>
    <row r="1973" spans="1:3" x14ac:dyDescent="0.25">
      <c r="A1973" s="1">
        <v>42948</v>
      </c>
      <c r="B1973">
        <v>0.7984</v>
      </c>
      <c r="C1973">
        <v>0.79810000000000003</v>
      </c>
    </row>
    <row r="1974" spans="1:3" x14ac:dyDescent="0.25">
      <c r="A1974" s="1">
        <v>42949</v>
      </c>
      <c r="B1974">
        <v>0.79590000000000005</v>
      </c>
      <c r="C1974">
        <v>0.79559999999999997</v>
      </c>
    </row>
    <row r="1975" spans="1:3" x14ac:dyDescent="0.25">
      <c r="A1975" s="1">
        <v>42950</v>
      </c>
      <c r="B1975">
        <v>0.79300000000000004</v>
      </c>
      <c r="C1975">
        <v>0.79269999999999996</v>
      </c>
    </row>
    <row r="1976" spans="1:3" x14ac:dyDescent="0.25">
      <c r="A1976" s="1">
        <v>42951</v>
      </c>
      <c r="B1976">
        <v>0.79710000000000003</v>
      </c>
      <c r="C1976">
        <v>0.79679999999999995</v>
      </c>
    </row>
    <row r="1977" spans="1:3" x14ac:dyDescent="0.25">
      <c r="A1977" s="1">
        <v>42954</v>
      </c>
      <c r="B1977">
        <v>0.79090000000000005</v>
      </c>
      <c r="C1977">
        <v>0.79059999999999997</v>
      </c>
    </row>
    <row r="1978" spans="1:3" x14ac:dyDescent="0.25">
      <c r="A1978" s="1">
        <v>42955</v>
      </c>
      <c r="B1978">
        <v>0.79179999999999995</v>
      </c>
      <c r="C1978">
        <v>0.79149999999999998</v>
      </c>
    </row>
    <row r="1979" spans="1:3" x14ac:dyDescent="0.25">
      <c r="A1979" s="1">
        <v>42956</v>
      </c>
      <c r="B1979">
        <v>0.78890000000000005</v>
      </c>
      <c r="C1979">
        <v>0.78859999999999997</v>
      </c>
    </row>
    <row r="1980" spans="1:3" x14ac:dyDescent="0.25">
      <c r="A1980" s="1">
        <v>42957</v>
      </c>
      <c r="B1980">
        <v>0.7883</v>
      </c>
      <c r="C1980">
        <v>0.78800000000000003</v>
      </c>
    </row>
    <row r="1981" spans="1:3" x14ac:dyDescent="0.25">
      <c r="A1981" s="1">
        <v>42958</v>
      </c>
      <c r="B1981">
        <v>0.78610000000000002</v>
      </c>
      <c r="C1981">
        <v>0.78580000000000005</v>
      </c>
    </row>
    <row r="1982" spans="1:3" x14ac:dyDescent="0.25">
      <c r="A1982" s="1">
        <v>42961</v>
      </c>
      <c r="B1982">
        <v>0.78720000000000001</v>
      </c>
      <c r="C1982">
        <v>0.78690000000000004</v>
      </c>
    </row>
    <row r="1983" spans="1:3" x14ac:dyDescent="0.25">
      <c r="A1983" s="1">
        <v>42963</v>
      </c>
      <c r="B1983">
        <v>0.78320000000000001</v>
      </c>
      <c r="C1983">
        <v>0.78290000000000004</v>
      </c>
    </row>
    <row r="1984" spans="1:3" x14ac:dyDescent="0.25">
      <c r="A1984" s="1">
        <v>42965</v>
      </c>
      <c r="B1984">
        <v>0.79179999999999995</v>
      </c>
      <c r="C1984">
        <v>0.79149999999999998</v>
      </c>
    </row>
    <row r="1985" spans="1:3" x14ac:dyDescent="0.25">
      <c r="A1985" s="1">
        <v>42968</v>
      </c>
      <c r="B1985">
        <v>0.79300000000000004</v>
      </c>
      <c r="C1985">
        <v>0.79269999999999996</v>
      </c>
    </row>
    <row r="1986" spans="1:3" x14ac:dyDescent="0.25">
      <c r="A1986" s="1">
        <v>42969</v>
      </c>
      <c r="B1986">
        <v>0.7903</v>
      </c>
      <c r="C1986">
        <v>0.79</v>
      </c>
    </row>
    <row r="1987" spans="1:3" x14ac:dyDescent="0.25">
      <c r="A1987" s="1">
        <v>42970</v>
      </c>
      <c r="B1987">
        <v>0.79059999999999997</v>
      </c>
      <c r="C1987">
        <v>0.7903</v>
      </c>
    </row>
    <row r="1988" spans="1:3" x14ac:dyDescent="0.25">
      <c r="A1988" s="1">
        <v>42971</v>
      </c>
      <c r="B1988">
        <v>0.78910000000000002</v>
      </c>
      <c r="C1988">
        <v>0.78879999999999995</v>
      </c>
    </row>
    <row r="1989" spans="1:3" x14ac:dyDescent="0.25">
      <c r="A1989" s="1">
        <v>42975</v>
      </c>
      <c r="B1989">
        <v>0.79459999999999997</v>
      </c>
      <c r="C1989">
        <v>0.79430000000000001</v>
      </c>
    </row>
    <row r="1990" spans="1:3" x14ac:dyDescent="0.25">
      <c r="A1990" s="1">
        <v>42976</v>
      </c>
      <c r="B1990">
        <v>0.79779999999999995</v>
      </c>
      <c r="C1990">
        <v>0.79749999999999999</v>
      </c>
    </row>
    <row r="1991" spans="1:3" x14ac:dyDescent="0.25">
      <c r="A1991" s="1">
        <v>42977</v>
      </c>
      <c r="B1991">
        <v>0.7994</v>
      </c>
      <c r="C1991">
        <v>0.79910000000000003</v>
      </c>
    </row>
    <row r="1992" spans="1:3" x14ac:dyDescent="0.25">
      <c r="A1992" s="1">
        <v>42978</v>
      </c>
      <c r="B1992">
        <v>0.79269999999999996</v>
      </c>
      <c r="C1992">
        <v>0.78790000000000004</v>
      </c>
    </row>
    <row r="1993" spans="1:3" x14ac:dyDescent="0.25">
      <c r="A1993" s="1">
        <v>42979</v>
      </c>
      <c r="B1993">
        <v>0.79320000000000002</v>
      </c>
      <c r="C1993">
        <v>0.79290000000000005</v>
      </c>
    </row>
    <row r="1994" spans="1:3" x14ac:dyDescent="0.25">
      <c r="A1994" s="1">
        <v>42982</v>
      </c>
      <c r="B1994">
        <v>0.79620000000000002</v>
      </c>
      <c r="C1994">
        <v>0.79590000000000005</v>
      </c>
    </row>
    <row r="1995" spans="1:3" x14ac:dyDescent="0.25">
      <c r="A1995" s="1">
        <v>42983</v>
      </c>
      <c r="B1995">
        <v>0.79700000000000004</v>
      </c>
      <c r="C1995">
        <v>0.79669999999999996</v>
      </c>
    </row>
    <row r="1996" spans="1:3" x14ac:dyDescent="0.25">
      <c r="A1996" s="1">
        <v>42984</v>
      </c>
      <c r="B1996">
        <v>0.79710000000000003</v>
      </c>
      <c r="C1996">
        <v>0.79679999999999995</v>
      </c>
    </row>
    <row r="1997" spans="1:3" x14ac:dyDescent="0.25">
      <c r="A1997" s="1">
        <v>42985</v>
      </c>
      <c r="B1997">
        <v>0.80269999999999997</v>
      </c>
      <c r="C1997">
        <v>0.8024</v>
      </c>
    </row>
    <row r="1998" spans="1:3" x14ac:dyDescent="0.25">
      <c r="A1998" s="1">
        <v>42986</v>
      </c>
      <c r="B1998">
        <v>0.8105</v>
      </c>
      <c r="C1998">
        <v>0.81020000000000003</v>
      </c>
    </row>
    <row r="1999" spans="1:3" x14ac:dyDescent="0.25">
      <c r="A1999" s="1">
        <v>42989</v>
      </c>
      <c r="B1999">
        <v>0.80479999999999996</v>
      </c>
      <c r="C1999">
        <v>0.80449999999999999</v>
      </c>
    </row>
    <row r="2000" spans="1:3" x14ac:dyDescent="0.25">
      <c r="A2000" s="1">
        <v>42990</v>
      </c>
      <c r="B2000">
        <v>0.80220000000000002</v>
      </c>
      <c r="C2000">
        <v>0.80189999999999995</v>
      </c>
    </row>
    <row r="2001" spans="1:3" x14ac:dyDescent="0.25">
      <c r="A2001" s="1">
        <v>42991</v>
      </c>
      <c r="B2001">
        <v>0.80379999999999996</v>
      </c>
      <c r="C2001">
        <v>0.80349999999999999</v>
      </c>
    </row>
    <row r="2002" spans="1:3" x14ac:dyDescent="0.25">
      <c r="A2002" s="1">
        <v>42992</v>
      </c>
      <c r="B2002">
        <v>0.79949999999999999</v>
      </c>
      <c r="C2002">
        <v>0.79920000000000002</v>
      </c>
    </row>
    <row r="2003" spans="1:3" x14ac:dyDescent="0.25">
      <c r="A2003" s="1">
        <v>42993</v>
      </c>
      <c r="B2003">
        <v>0.79969999999999997</v>
      </c>
      <c r="C2003">
        <v>0.7994</v>
      </c>
    </row>
    <row r="2004" spans="1:3" x14ac:dyDescent="0.25">
      <c r="A2004" s="1">
        <v>42996</v>
      </c>
      <c r="B2004">
        <v>0.79959999999999998</v>
      </c>
      <c r="C2004">
        <v>0.79930000000000001</v>
      </c>
    </row>
    <row r="2005" spans="1:3" x14ac:dyDescent="0.25">
      <c r="A2005" s="1">
        <v>42997</v>
      </c>
      <c r="B2005">
        <v>0.79990000000000006</v>
      </c>
      <c r="C2005">
        <v>0.79959999999999998</v>
      </c>
    </row>
    <row r="2006" spans="1:3" x14ac:dyDescent="0.25">
      <c r="A2006" s="1">
        <v>42998</v>
      </c>
      <c r="B2006">
        <v>0.80169999999999997</v>
      </c>
      <c r="C2006">
        <v>0.8014</v>
      </c>
    </row>
    <row r="2007" spans="1:3" x14ac:dyDescent="0.25">
      <c r="A2007" s="1">
        <v>42999</v>
      </c>
      <c r="B2007">
        <v>0.79330000000000001</v>
      </c>
      <c r="C2007">
        <v>0.79300000000000004</v>
      </c>
    </row>
    <row r="2008" spans="1:3" x14ac:dyDescent="0.25">
      <c r="A2008" s="1">
        <v>43000</v>
      </c>
      <c r="B2008">
        <v>0.79690000000000005</v>
      </c>
      <c r="C2008">
        <v>0.79659999999999997</v>
      </c>
    </row>
    <row r="2009" spans="1:3" x14ac:dyDescent="0.25">
      <c r="A2009" s="1">
        <v>43003</v>
      </c>
      <c r="B2009">
        <v>0.79549999999999998</v>
      </c>
      <c r="C2009">
        <v>0.79520000000000002</v>
      </c>
    </row>
    <row r="2010" spans="1:3" x14ac:dyDescent="0.25">
      <c r="A2010" s="1">
        <v>43004</v>
      </c>
      <c r="B2010">
        <v>0.7893</v>
      </c>
      <c r="C2010">
        <v>0.78900000000000003</v>
      </c>
    </row>
    <row r="2011" spans="1:3" x14ac:dyDescent="0.25">
      <c r="A2011" s="1">
        <v>43005</v>
      </c>
      <c r="B2011">
        <v>0.78590000000000004</v>
      </c>
      <c r="C2011">
        <v>0.78559999999999997</v>
      </c>
    </row>
    <row r="2012" spans="1:3" x14ac:dyDescent="0.25">
      <c r="A2012" s="1">
        <v>43006</v>
      </c>
      <c r="B2012">
        <v>0.78180000000000005</v>
      </c>
      <c r="C2012">
        <v>0.78149999999999997</v>
      </c>
    </row>
    <row r="2013" spans="1:3" x14ac:dyDescent="0.25">
      <c r="A2013" s="1">
        <v>43007</v>
      </c>
      <c r="B2013">
        <v>0.78290000000000004</v>
      </c>
      <c r="C2013">
        <v>0.78380000000000005</v>
      </c>
    </row>
    <row r="2014" spans="1:3" x14ac:dyDescent="0.25">
      <c r="A2014" s="1">
        <v>43011</v>
      </c>
      <c r="B2014">
        <v>0.78169999999999995</v>
      </c>
      <c r="C2014">
        <v>0.78139999999999998</v>
      </c>
    </row>
    <row r="2015" spans="1:3" x14ac:dyDescent="0.25">
      <c r="A2015" s="1">
        <v>43012</v>
      </c>
      <c r="B2015">
        <v>0.78600000000000003</v>
      </c>
      <c r="C2015">
        <v>0.78569999999999995</v>
      </c>
    </row>
    <row r="2016" spans="1:3" x14ac:dyDescent="0.25">
      <c r="A2016" s="1">
        <v>43013</v>
      </c>
      <c r="B2016">
        <v>0.78169999999999995</v>
      </c>
      <c r="C2016">
        <v>0.78139999999999998</v>
      </c>
    </row>
    <row r="2017" spans="1:3" x14ac:dyDescent="0.25">
      <c r="A2017" s="1">
        <v>43014</v>
      </c>
      <c r="B2017">
        <v>0.77749999999999997</v>
      </c>
      <c r="C2017">
        <v>0.7772</v>
      </c>
    </row>
    <row r="2018" spans="1:3" x14ac:dyDescent="0.25">
      <c r="A2018" s="1">
        <v>43017</v>
      </c>
      <c r="B2018">
        <v>0.77549999999999997</v>
      </c>
      <c r="C2018">
        <v>0.7752</v>
      </c>
    </row>
    <row r="2019" spans="1:3" x14ac:dyDescent="0.25">
      <c r="A2019" s="1">
        <v>43018</v>
      </c>
      <c r="B2019">
        <v>0.77769999999999995</v>
      </c>
      <c r="C2019">
        <v>0.77739999999999998</v>
      </c>
    </row>
    <row r="2020" spans="1:3" x14ac:dyDescent="0.25">
      <c r="A2020" s="1">
        <v>43019</v>
      </c>
      <c r="B2020">
        <v>0.77859999999999996</v>
      </c>
      <c r="C2020">
        <v>0.77829999999999999</v>
      </c>
    </row>
    <row r="2021" spans="1:3" x14ac:dyDescent="0.25">
      <c r="A2021" s="1">
        <v>43020</v>
      </c>
      <c r="B2021">
        <v>0.78169999999999995</v>
      </c>
      <c r="C2021">
        <v>0.78139999999999998</v>
      </c>
    </row>
    <row r="2022" spans="1:3" x14ac:dyDescent="0.25">
      <c r="A2022" s="1">
        <v>43021</v>
      </c>
      <c r="B2022">
        <v>0.78400000000000003</v>
      </c>
      <c r="C2022">
        <v>0.78369999999999995</v>
      </c>
    </row>
    <row r="2023" spans="1:3" x14ac:dyDescent="0.25">
      <c r="A2023" s="1">
        <v>43024</v>
      </c>
      <c r="B2023">
        <v>0.78710000000000002</v>
      </c>
      <c r="C2023">
        <v>0.78680000000000005</v>
      </c>
    </row>
    <row r="2024" spans="1:3" x14ac:dyDescent="0.25">
      <c r="A2024" s="1">
        <v>43025</v>
      </c>
      <c r="B2024">
        <v>0.78400000000000003</v>
      </c>
      <c r="C2024">
        <v>0.78369999999999995</v>
      </c>
    </row>
    <row r="2025" spans="1:3" x14ac:dyDescent="0.25">
      <c r="A2025" s="1">
        <v>43026</v>
      </c>
      <c r="B2025">
        <v>0.78310000000000002</v>
      </c>
      <c r="C2025">
        <v>0.78280000000000005</v>
      </c>
    </row>
    <row r="2026" spans="1:3" x14ac:dyDescent="0.25">
      <c r="A2026" s="1">
        <v>43031</v>
      </c>
      <c r="B2026">
        <v>0.78100000000000003</v>
      </c>
      <c r="C2026">
        <v>0.78069999999999995</v>
      </c>
    </row>
    <row r="2027" spans="1:3" x14ac:dyDescent="0.25">
      <c r="A2027" s="1">
        <v>43032</v>
      </c>
      <c r="B2027">
        <v>0.77849999999999997</v>
      </c>
      <c r="C2027">
        <v>0.7782</v>
      </c>
    </row>
    <row r="2028" spans="1:3" x14ac:dyDescent="0.25">
      <c r="A2028" s="1">
        <v>43033</v>
      </c>
      <c r="B2028">
        <v>0.77129999999999999</v>
      </c>
      <c r="C2028">
        <v>0.77100000000000002</v>
      </c>
    </row>
    <row r="2029" spans="1:3" x14ac:dyDescent="0.25">
      <c r="A2029" s="1">
        <v>43034</v>
      </c>
      <c r="B2029">
        <v>0.77139999999999997</v>
      </c>
      <c r="C2029">
        <v>0.77110000000000001</v>
      </c>
    </row>
    <row r="2030" spans="1:3" x14ac:dyDescent="0.25">
      <c r="A2030" s="1">
        <v>43035</v>
      </c>
      <c r="B2030">
        <v>0.76419999999999999</v>
      </c>
      <c r="C2030">
        <v>0.76390000000000002</v>
      </c>
    </row>
    <row r="2031" spans="1:3" x14ac:dyDescent="0.25">
      <c r="A2031" s="1">
        <v>43038</v>
      </c>
      <c r="B2031">
        <v>0.76680000000000004</v>
      </c>
      <c r="C2031">
        <v>0.76649999999999996</v>
      </c>
    </row>
    <row r="2032" spans="1:3" x14ac:dyDescent="0.25">
      <c r="A2032" s="1">
        <v>43039</v>
      </c>
      <c r="B2032">
        <v>0.7661</v>
      </c>
      <c r="C2032">
        <v>0.76580000000000004</v>
      </c>
    </row>
    <row r="2033" spans="1:3" x14ac:dyDescent="0.25">
      <c r="A2033" s="1">
        <v>43040</v>
      </c>
      <c r="B2033">
        <v>0.76780000000000004</v>
      </c>
      <c r="C2033">
        <v>0.76749999999999996</v>
      </c>
    </row>
    <row r="2034" spans="1:3" x14ac:dyDescent="0.25">
      <c r="A2034" s="1">
        <v>43041</v>
      </c>
      <c r="B2034">
        <v>0.76970000000000005</v>
      </c>
      <c r="C2034">
        <v>0.76949999999999996</v>
      </c>
    </row>
    <row r="2035" spans="1:3" x14ac:dyDescent="0.25">
      <c r="A2035" s="1">
        <v>43042</v>
      </c>
      <c r="B2035">
        <v>0.76680000000000004</v>
      </c>
      <c r="C2035">
        <v>0.76649999999999996</v>
      </c>
    </row>
    <row r="2036" spans="1:3" x14ac:dyDescent="0.25">
      <c r="A2036" s="1">
        <v>43045</v>
      </c>
      <c r="B2036">
        <v>0.76619999999999999</v>
      </c>
      <c r="C2036">
        <v>0.76590000000000003</v>
      </c>
    </row>
    <row r="2037" spans="1:3" x14ac:dyDescent="0.25">
      <c r="A2037" s="1">
        <v>43046</v>
      </c>
      <c r="B2037">
        <v>0.7661</v>
      </c>
      <c r="C2037">
        <v>0.76580000000000004</v>
      </c>
    </row>
    <row r="2038" spans="1:3" x14ac:dyDescent="0.25">
      <c r="A2038" s="1">
        <v>43047</v>
      </c>
      <c r="B2038">
        <v>0.76759999999999995</v>
      </c>
      <c r="C2038">
        <v>0.76739999999999997</v>
      </c>
    </row>
    <row r="2039" spans="1:3" x14ac:dyDescent="0.25">
      <c r="A2039" s="1">
        <v>43048</v>
      </c>
      <c r="B2039">
        <v>0.76870000000000005</v>
      </c>
      <c r="C2039">
        <v>0.76839999999999997</v>
      </c>
    </row>
    <row r="2040" spans="1:3" x14ac:dyDescent="0.25">
      <c r="A2040" s="1">
        <v>43049</v>
      </c>
      <c r="B2040">
        <v>0.76619999999999999</v>
      </c>
      <c r="C2040">
        <v>0.76590000000000003</v>
      </c>
    </row>
    <row r="2041" spans="1:3" x14ac:dyDescent="0.25">
      <c r="A2041" s="1">
        <v>43052</v>
      </c>
      <c r="B2041">
        <v>0.76480000000000004</v>
      </c>
      <c r="C2041">
        <v>0.76449999999999996</v>
      </c>
    </row>
    <row r="2042" spans="1:3" x14ac:dyDescent="0.25">
      <c r="A2042" s="1">
        <v>43053</v>
      </c>
      <c r="B2042">
        <v>0.76370000000000005</v>
      </c>
      <c r="C2042">
        <v>0.76339999999999997</v>
      </c>
    </row>
    <row r="2043" spans="1:3" x14ac:dyDescent="0.25">
      <c r="A2043" s="1">
        <v>43054</v>
      </c>
      <c r="B2043">
        <v>0.75980000000000003</v>
      </c>
      <c r="C2043">
        <v>0.75960000000000005</v>
      </c>
    </row>
    <row r="2044" spans="1:3" x14ac:dyDescent="0.25">
      <c r="A2044" s="1">
        <v>43055</v>
      </c>
      <c r="B2044">
        <v>0.7591</v>
      </c>
      <c r="C2044">
        <v>0.75890000000000002</v>
      </c>
    </row>
    <row r="2045" spans="1:3" x14ac:dyDescent="0.25">
      <c r="A2045" s="1">
        <v>43056</v>
      </c>
      <c r="B2045">
        <v>0.75729999999999997</v>
      </c>
      <c r="C2045">
        <v>0.7571</v>
      </c>
    </row>
    <row r="2046" spans="1:3" x14ac:dyDescent="0.25">
      <c r="A2046" s="1">
        <v>43059</v>
      </c>
      <c r="B2046">
        <v>0.75590000000000002</v>
      </c>
      <c r="C2046">
        <v>0.75570000000000004</v>
      </c>
    </row>
    <row r="2047" spans="1:3" x14ac:dyDescent="0.25">
      <c r="A2047" s="1">
        <v>43060</v>
      </c>
      <c r="B2047">
        <v>0.75760000000000005</v>
      </c>
      <c r="C2047">
        <v>0.75739999999999996</v>
      </c>
    </row>
    <row r="2048" spans="1:3" x14ac:dyDescent="0.25">
      <c r="A2048" s="1">
        <v>43061</v>
      </c>
      <c r="B2048">
        <v>0.75600000000000001</v>
      </c>
      <c r="C2048">
        <v>0.75580000000000003</v>
      </c>
    </row>
    <row r="2049" spans="1:3" x14ac:dyDescent="0.25">
      <c r="A2049" s="1">
        <v>43062</v>
      </c>
      <c r="B2049">
        <v>0.76329999999999998</v>
      </c>
      <c r="C2049">
        <v>0.7631</v>
      </c>
    </row>
    <row r="2050" spans="1:3" x14ac:dyDescent="0.25">
      <c r="A2050" s="1">
        <v>43063</v>
      </c>
      <c r="B2050">
        <v>0.76139999999999997</v>
      </c>
      <c r="C2050">
        <v>0.76119999999999999</v>
      </c>
    </row>
    <row r="2051" spans="1:3" x14ac:dyDescent="0.25">
      <c r="A2051" s="1">
        <v>43066</v>
      </c>
      <c r="B2051">
        <v>0.76400000000000001</v>
      </c>
      <c r="C2051">
        <v>0.76380000000000003</v>
      </c>
    </row>
    <row r="2052" spans="1:3" x14ac:dyDescent="0.25">
      <c r="A2052" s="1">
        <v>43067</v>
      </c>
      <c r="B2052">
        <v>0.76060000000000005</v>
      </c>
      <c r="C2052">
        <v>0.76039999999999996</v>
      </c>
    </row>
    <row r="2053" spans="1:3" x14ac:dyDescent="0.25">
      <c r="A2053" s="1">
        <v>43068</v>
      </c>
      <c r="B2053">
        <v>0.75800000000000001</v>
      </c>
      <c r="C2053">
        <v>0.75790000000000002</v>
      </c>
    </row>
    <row r="2054" spans="1:3" x14ac:dyDescent="0.25">
      <c r="A2054" s="1">
        <v>43069</v>
      </c>
      <c r="B2054">
        <v>0.75619999999999998</v>
      </c>
      <c r="C2054">
        <v>0.75619999999999998</v>
      </c>
    </row>
    <row r="2055" spans="1:3" x14ac:dyDescent="0.25">
      <c r="A2055" s="1">
        <v>43073</v>
      </c>
      <c r="B2055">
        <v>0.76</v>
      </c>
      <c r="C2055">
        <v>0.75990000000000002</v>
      </c>
    </row>
    <row r="2056" spans="1:3" x14ac:dyDescent="0.25">
      <c r="A2056" s="1">
        <v>43074</v>
      </c>
      <c r="B2056">
        <v>0.76459999999999995</v>
      </c>
      <c r="C2056">
        <v>0.76449999999999996</v>
      </c>
    </row>
    <row r="2057" spans="1:3" x14ac:dyDescent="0.25">
      <c r="A2057" s="1">
        <v>43075</v>
      </c>
      <c r="B2057">
        <v>0.75870000000000004</v>
      </c>
      <c r="C2057">
        <v>0.75860000000000005</v>
      </c>
    </row>
    <row r="2058" spans="1:3" x14ac:dyDescent="0.25">
      <c r="A2058" s="1">
        <v>43076</v>
      </c>
      <c r="B2058">
        <v>0.75229999999999997</v>
      </c>
      <c r="C2058">
        <v>0.75219999999999998</v>
      </c>
    </row>
    <row r="2059" spans="1:3" x14ac:dyDescent="0.25">
      <c r="A2059" s="1">
        <v>43077</v>
      </c>
      <c r="B2059">
        <v>0.75080000000000002</v>
      </c>
      <c r="C2059">
        <v>0.75070000000000003</v>
      </c>
    </row>
    <row r="2060" spans="1:3" x14ac:dyDescent="0.25">
      <c r="A2060" s="1">
        <v>43080</v>
      </c>
      <c r="B2060">
        <v>0.75229999999999997</v>
      </c>
      <c r="C2060">
        <v>0.75219999999999998</v>
      </c>
    </row>
    <row r="2061" spans="1:3" x14ac:dyDescent="0.25">
      <c r="A2061" s="1">
        <v>43081</v>
      </c>
      <c r="B2061">
        <v>0.75770000000000004</v>
      </c>
      <c r="C2061">
        <v>0.75760000000000005</v>
      </c>
    </row>
    <row r="2062" spans="1:3" x14ac:dyDescent="0.25">
      <c r="A2062" s="1">
        <v>43082</v>
      </c>
      <c r="B2062">
        <v>0.75629999999999997</v>
      </c>
      <c r="C2062">
        <v>0.75619999999999998</v>
      </c>
    </row>
    <row r="2063" spans="1:3" x14ac:dyDescent="0.25">
      <c r="A2063" s="1">
        <v>43083</v>
      </c>
      <c r="B2063">
        <v>0.76639999999999997</v>
      </c>
      <c r="C2063">
        <v>0.76629999999999998</v>
      </c>
    </row>
    <row r="2064" spans="1:3" x14ac:dyDescent="0.25">
      <c r="A2064" s="1">
        <v>43084</v>
      </c>
      <c r="B2064">
        <v>0.76770000000000005</v>
      </c>
      <c r="C2064">
        <v>0.76759999999999995</v>
      </c>
    </row>
    <row r="2065" spans="1:3" x14ac:dyDescent="0.25">
      <c r="A2065" s="1">
        <v>43087</v>
      </c>
      <c r="B2065">
        <v>0.76600000000000001</v>
      </c>
      <c r="C2065">
        <v>0.76590000000000003</v>
      </c>
    </row>
    <row r="2066" spans="1:3" x14ac:dyDescent="0.25">
      <c r="A2066" s="1">
        <v>43088</v>
      </c>
      <c r="B2066">
        <v>0.76790000000000003</v>
      </c>
      <c r="C2066">
        <v>0.76790000000000003</v>
      </c>
    </row>
    <row r="2067" spans="1:3" x14ac:dyDescent="0.25">
      <c r="A2067" s="1">
        <v>43089</v>
      </c>
      <c r="B2067">
        <v>0.76729999999999998</v>
      </c>
      <c r="C2067">
        <v>0.76729999999999998</v>
      </c>
    </row>
    <row r="2068" spans="1:3" x14ac:dyDescent="0.25">
      <c r="A2068" s="1">
        <v>43090</v>
      </c>
      <c r="B2068">
        <v>0.76629999999999998</v>
      </c>
      <c r="C2068">
        <v>0.76629999999999998</v>
      </c>
    </row>
    <row r="2069" spans="1:3" x14ac:dyDescent="0.25">
      <c r="A2069" s="1">
        <v>43091</v>
      </c>
      <c r="B2069">
        <v>0.77190000000000003</v>
      </c>
      <c r="C2069">
        <v>0.77190000000000003</v>
      </c>
    </row>
    <row r="2070" spans="1:3" x14ac:dyDescent="0.25">
      <c r="A2070" s="1">
        <v>43095</v>
      </c>
      <c r="B2070">
        <v>0.77159999999999995</v>
      </c>
      <c r="C2070">
        <v>0.77159999999999995</v>
      </c>
    </row>
    <row r="2071" spans="1:3" x14ac:dyDescent="0.25">
      <c r="A2071" s="1">
        <v>43096</v>
      </c>
      <c r="B2071">
        <v>0.77690000000000003</v>
      </c>
      <c r="C2071">
        <v>0.77690000000000003</v>
      </c>
    </row>
    <row r="2072" spans="1:3" x14ac:dyDescent="0.25">
      <c r="A2072" s="1">
        <v>43097</v>
      </c>
      <c r="B2072">
        <v>0.77839999999999998</v>
      </c>
      <c r="C2072">
        <v>0.77839999999999998</v>
      </c>
    </row>
    <row r="2073" spans="1:3" x14ac:dyDescent="0.25">
      <c r="A2073" s="1">
        <v>43098</v>
      </c>
      <c r="B2073">
        <v>0.77890000000000004</v>
      </c>
      <c r="C2073">
        <v>0.78190000000000004</v>
      </c>
    </row>
    <row r="2074" spans="1:3" x14ac:dyDescent="0.25">
      <c r="A2074" s="1">
        <v>43102</v>
      </c>
      <c r="B2074">
        <v>0.78300000000000003</v>
      </c>
      <c r="C2074">
        <v>0.78290000000000004</v>
      </c>
    </row>
    <row r="2075" spans="1:3" x14ac:dyDescent="0.25">
      <c r="A2075" s="1">
        <v>43103</v>
      </c>
      <c r="B2075">
        <v>0.78339999999999999</v>
      </c>
      <c r="C2075">
        <v>0.7833</v>
      </c>
    </row>
    <row r="2076" spans="1:3" x14ac:dyDescent="0.25">
      <c r="A2076" s="1">
        <v>43104</v>
      </c>
      <c r="B2076">
        <v>0.78420000000000001</v>
      </c>
      <c r="C2076">
        <v>0.78410000000000002</v>
      </c>
    </row>
    <row r="2077" spans="1:3" x14ac:dyDescent="0.25">
      <c r="A2077" s="1">
        <v>43105</v>
      </c>
      <c r="B2077">
        <v>0.7843</v>
      </c>
      <c r="C2077">
        <v>0.78420000000000001</v>
      </c>
    </row>
    <row r="2078" spans="1:3" x14ac:dyDescent="0.25">
      <c r="A2078" s="1">
        <v>43108</v>
      </c>
      <c r="B2078">
        <v>0.78410000000000002</v>
      </c>
      <c r="C2078">
        <v>0.78390000000000004</v>
      </c>
    </row>
    <row r="2079" spans="1:3" x14ac:dyDescent="0.25">
      <c r="A2079" s="1">
        <v>43109</v>
      </c>
      <c r="B2079">
        <v>0.78259999999999996</v>
      </c>
      <c r="C2079">
        <v>0.78239999999999998</v>
      </c>
    </row>
    <row r="2080" spans="1:3" x14ac:dyDescent="0.25">
      <c r="A2080" s="1">
        <v>43110</v>
      </c>
      <c r="B2080">
        <v>0.78600000000000003</v>
      </c>
      <c r="C2080">
        <v>0.78590000000000004</v>
      </c>
    </row>
    <row r="2081" spans="1:3" x14ac:dyDescent="0.25">
      <c r="A2081" s="1">
        <v>43111</v>
      </c>
      <c r="B2081">
        <v>0.78720000000000001</v>
      </c>
      <c r="C2081">
        <v>0.78710000000000002</v>
      </c>
    </row>
    <row r="2082" spans="1:3" x14ac:dyDescent="0.25">
      <c r="A2082" s="1">
        <v>43112</v>
      </c>
      <c r="B2082">
        <v>0.78720000000000001</v>
      </c>
      <c r="C2082">
        <v>0.78710000000000002</v>
      </c>
    </row>
    <row r="2083" spans="1:3" x14ac:dyDescent="0.25">
      <c r="A2083" s="1">
        <v>43115</v>
      </c>
      <c r="B2083">
        <v>0.79479999999999995</v>
      </c>
      <c r="C2083">
        <v>0.79469999999999996</v>
      </c>
    </row>
    <row r="2084" spans="1:3" x14ac:dyDescent="0.25">
      <c r="A2084" s="1">
        <v>43116</v>
      </c>
      <c r="B2084">
        <v>0.79479999999999995</v>
      </c>
      <c r="C2084">
        <v>0.79469999999999996</v>
      </c>
    </row>
    <row r="2085" spans="1:3" x14ac:dyDescent="0.25">
      <c r="A2085" s="1">
        <v>43117</v>
      </c>
      <c r="B2085">
        <v>0.79720000000000002</v>
      </c>
      <c r="C2085">
        <v>0.79710000000000003</v>
      </c>
    </row>
    <row r="2086" spans="1:3" x14ac:dyDescent="0.25">
      <c r="A2086" s="1">
        <v>43118</v>
      </c>
      <c r="B2086">
        <v>0.79900000000000004</v>
      </c>
      <c r="C2086">
        <v>0.79890000000000005</v>
      </c>
    </row>
    <row r="2087" spans="1:3" x14ac:dyDescent="0.25">
      <c r="A2087" s="1">
        <v>43119</v>
      </c>
      <c r="B2087">
        <v>0.80120000000000002</v>
      </c>
      <c r="C2087">
        <v>0.80100000000000005</v>
      </c>
    </row>
    <row r="2088" spans="1:3" x14ac:dyDescent="0.25">
      <c r="A2088" s="1">
        <v>43122</v>
      </c>
      <c r="B2088">
        <v>0.8014</v>
      </c>
      <c r="C2088">
        <v>0.80130000000000001</v>
      </c>
    </row>
    <row r="2089" spans="1:3" x14ac:dyDescent="0.25">
      <c r="A2089" s="1">
        <v>43123</v>
      </c>
      <c r="B2089">
        <v>0.79630000000000001</v>
      </c>
      <c r="C2089">
        <v>0.79620000000000002</v>
      </c>
    </row>
    <row r="2090" spans="1:3" x14ac:dyDescent="0.25">
      <c r="A2090" s="1">
        <v>43124</v>
      </c>
      <c r="B2090">
        <v>0.80689999999999995</v>
      </c>
      <c r="C2090">
        <v>0.80679999999999996</v>
      </c>
    </row>
    <row r="2091" spans="1:3" x14ac:dyDescent="0.25">
      <c r="A2091" s="1">
        <v>43125</v>
      </c>
      <c r="B2091">
        <v>0.80720000000000003</v>
      </c>
      <c r="C2091">
        <v>0.80710000000000004</v>
      </c>
    </row>
    <row r="2092" spans="1:3" x14ac:dyDescent="0.25">
      <c r="A2092" s="1">
        <v>43129</v>
      </c>
      <c r="B2092">
        <v>0.80940000000000001</v>
      </c>
      <c r="C2092">
        <v>0.80930000000000002</v>
      </c>
    </row>
    <row r="2093" spans="1:3" x14ac:dyDescent="0.25">
      <c r="A2093" s="1">
        <v>43130</v>
      </c>
      <c r="B2093">
        <v>0.81030000000000002</v>
      </c>
      <c r="C2093">
        <v>0.81020000000000003</v>
      </c>
    </row>
    <row r="2094" spans="1:3" x14ac:dyDescent="0.25">
      <c r="A2094" s="1">
        <v>43131</v>
      </c>
      <c r="B2094">
        <v>0.80530000000000002</v>
      </c>
      <c r="C2094">
        <v>0.81040000000000001</v>
      </c>
    </row>
    <row r="2095" spans="1:3" x14ac:dyDescent="0.25">
      <c r="A2095" s="1">
        <v>43132</v>
      </c>
      <c r="B2095">
        <v>0.79920000000000002</v>
      </c>
      <c r="C2095">
        <v>0.79910000000000003</v>
      </c>
    </row>
    <row r="2096" spans="1:3" x14ac:dyDescent="0.25">
      <c r="A2096" s="1">
        <v>43133</v>
      </c>
      <c r="B2096">
        <v>0.79859999999999998</v>
      </c>
      <c r="C2096">
        <v>0.79849999999999999</v>
      </c>
    </row>
    <row r="2097" spans="1:3" x14ac:dyDescent="0.25">
      <c r="A2097" s="1">
        <v>43136</v>
      </c>
      <c r="B2097">
        <v>0.79400000000000004</v>
      </c>
      <c r="C2097">
        <v>0.79390000000000005</v>
      </c>
    </row>
    <row r="2098" spans="1:3" x14ac:dyDescent="0.25">
      <c r="A2098" s="1">
        <v>43137</v>
      </c>
      <c r="B2098">
        <v>0.78610000000000002</v>
      </c>
      <c r="C2098">
        <v>0.78600000000000003</v>
      </c>
    </row>
    <row r="2099" spans="1:3" x14ac:dyDescent="0.25">
      <c r="A2099" s="1">
        <v>43138</v>
      </c>
      <c r="B2099">
        <v>0.78620000000000001</v>
      </c>
      <c r="C2099">
        <v>0.78610000000000002</v>
      </c>
    </row>
    <row r="2100" spans="1:3" x14ac:dyDescent="0.25">
      <c r="A2100" s="1">
        <v>43139</v>
      </c>
      <c r="B2100">
        <v>0.78049999999999997</v>
      </c>
      <c r="C2100">
        <v>0.78039999999999998</v>
      </c>
    </row>
    <row r="2101" spans="1:3" x14ac:dyDescent="0.25">
      <c r="A2101" s="1">
        <v>43140</v>
      </c>
      <c r="B2101">
        <v>0.77849999999999997</v>
      </c>
      <c r="C2101">
        <v>0.77839999999999998</v>
      </c>
    </row>
    <row r="2102" spans="1:3" x14ac:dyDescent="0.25">
      <c r="A2102" s="1">
        <v>43143</v>
      </c>
      <c r="B2102">
        <v>0.7833</v>
      </c>
      <c r="C2102">
        <v>0.78320000000000001</v>
      </c>
    </row>
    <row r="2103" spans="1:3" x14ac:dyDescent="0.25">
      <c r="A2103" s="1">
        <v>43145</v>
      </c>
      <c r="B2103">
        <v>0.7863</v>
      </c>
      <c r="C2103">
        <v>0.78620000000000001</v>
      </c>
    </row>
    <row r="2104" spans="1:3" x14ac:dyDescent="0.25">
      <c r="A2104" s="1">
        <v>43146</v>
      </c>
      <c r="B2104">
        <v>0.79279999999999995</v>
      </c>
      <c r="C2104">
        <v>0.79269999999999996</v>
      </c>
    </row>
    <row r="2105" spans="1:3" x14ac:dyDescent="0.25">
      <c r="A2105" s="1">
        <v>43147</v>
      </c>
      <c r="B2105">
        <v>0.79579999999999995</v>
      </c>
      <c r="C2105">
        <v>0.79569999999999996</v>
      </c>
    </row>
    <row r="2106" spans="1:3" x14ac:dyDescent="0.25">
      <c r="A2106" s="1">
        <v>43151</v>
      </c>
      <c r="B2106">
        <v>0.78910000000000002</v>
      </c>
      <c r="C2106">
        <v>0.78900000000000003</v>
      </c>
    </row>
    <row r="2107" spans="1:3" x14ac:dyDescent="0.25">
      <c r="A2107" s="1">
        <v>43152</v>
      </c>
      <c r="B2107">
        <v>0.78520000000000001</v>
      </c>
      <c r="C2107">
        <v>0.78510000000000002</v>
      </c>
    </row>
    <row r="2108" spans="1:3" x14ac:dyDescent="0.25">
      <c r="A2108" s="1">
        <v>43153</v>
      </c>
      <c r="B2108">
        <v>0.78200000000000003</v>
      </c>
      <c r="C2108">
        <v>0.78190000000000004</v>
      </c>
    </row>
    <row r="2109" spans="1:3" x14ac:dyDescent="0.25">
      <c r="A2109" s="1">
        <v>43154</v>
      </c>
      <c r="B2109">
        <v>0.78139999999999998</v>
      </c>
      <c r="C2109">
        <v>0.78129999999999999</v>
      </c>
    </row>
    <row r="2110" spans="1:3" x14ac:dyDescent="0.25">
      <c r="A2110" s="1">
        <v>43157</v>
      </c>
      <c r="B2110">
        <v>0.78639999999999999</v>
      </c>
      <c r="C2110">
        <v>0.78639999999999999</v>
      </c>
    </row>
    <row r="2111" spans="1:3" x14ac:dyDescent="0.25">
      <c r="A2111" s="1">
        <v>43158</v>
      </c>
      <c r="B2111">
        <v>0.7843</v>
      </c>
      <c r="C2111">
        <v>0.7843</v>
      </c>
    </row>
    <row r="2112" spans="1:3" x14ac:dyDescent="0.25">
      <c r="A2112" s="1">
        <v>43159</v>
      </c>
      <c r="B2112">
        <v>0.77910000000000001</v>
      </c>
      <c r="C2112">
        <v>0.78059999999999996</v>
      </c>
    </row>
    <row r="2113" spans="1:3" x14ac:dyDescent="0.25">
      <c r="A2113" s="1">
        <v>43160</v>
      </c>
      <c r="B2113">
        <v>0.7732</v>
      </c>
      <c r="C2113">
        <v>0.7732</v>
      </c>
    </row>
    <row r="2114" spans="1:3" x14ac:dyDescent="0.25">
      <c r="A2114" s="1">
        <v>43164</v>
      </c>
      <c r="B2114">
        <v>0.77480000000000004</v>
      </c>
      <c r="C2114">
        <v>0.77480000000000004</v>
      </c>
    </row>
    <row r="2115" spans="1:3" x14ac:dyDescent="0.25">
      <c r="A2115" s="1">
        <v>43165</v>
      </c>
      <c r="B2115">
        <v>0.77900000000000003</v>
      </c>
      <c r="C2115">
        <v>0.77900000000000003</v>
      </c>
    </row>
    <row r="2116" spans="1:3" x14ac:dyDescent="0.25">
      <c r="A2116" s="1">
        <v>43166</v>
      </c>
      <c r="B2116">
        <v>0.78080000000000005</v>
      </c>
      <c r="C2116">
        <v>0.78080000000000005</v>
      </c>
    </row>
    <row r="2117" spans="1:3" x14ac:dyDescent="0.25">
      <c r="A2117" s="1">
        <v>43167</v>
      </c>
      <c r="B2117">
        <v>0.77959999999999996</v>
      </c>
      <c r="C2117">
        <v>0.77969999999999995</v>
      </c>
    </row>
    <row r="2118" spans="1:3" x14ac:dyDescent="0.25">
      <c r="A2118" s="1">
        <v>43168</v>
      </c>
      <c r="B2118">
        <v>0.78049999999999997</v>
      </c>
      <c r="C2118">
        <v>0.78059999999999996</v>
      </c>
    </row>
    <row r="2119" spans="1:3" x14ac:dyDescent="0.25">
      <c r="A2119" s="1">
        <v>43171</v>
      </c>
      <c r="B2119">
        <v>0.78600000000000003</v>
      </c>
      <c r="C2119">
        <v>0.78610000000000002</v>
      </c>
    </row>
    <row r="2120" spans="1:3" x14ac:dyDescent="0.25">
      <c r="A2120" s="1">
        <v>43172</v>
      </c>
      <c r="B2120">
        <v>0.78639999999999999</v>
      </c>
      <c r="C2120">
        <v>0.78649999999999998</v>
      </c>
    </row>
    <row r="2121" spans="1:3" x14ac:dyDescent="0.25">
      <c r="A2121" s="1">
        <v>43173</v>
      </c>
      <c r="B2121">
        <v>0.78949999999999998</v>
      </c>
      <c r="C2121">
        <v>0.78959999999999997</v>
      </c>
    </row>
    <row r="2122" spans="1:3" x14ac:dyDescent="0.25">
      <c r="A2122" s="1">
        <v>43174</v>
      </c>
      <c r="B2122">
        <v>0.7843</v>
      </c>
      <c r="C2122">
        <v>0.78439999999999999</v>
      </c>
    </row>
    <row r="2123" spans="1:3" x14ac:dyDescent="0.25">
      <c r="A2123" s="1">
        <v>43175</v>
      </c>
      <c r="B2123">
        <v>0.77649999999999997</v>
      </c>
      <c r="C2123">
        <v>0.77659999999999996</v>
      </c>
    </row>
    <row r="2124" spans="1:3" x14ac:dyDescent="0.25">
      <c r="A2124" s="1">
        <v>43178</v>
      </c>
      <c r="B2124">
        <v>0.76990000000000003</v>
      </c>
      <c r="C2124">
        <v>0.77</v>
      </c>
    </row>
    <row r="2125" spans="1:3" x14ac:dyDescent="0.25">
      <c r="A2125" s="1">
        <v>43179</v>
      </c>
      <c r="B2125">
        <v>0.77139999999999997</v>
      </c>
      <c r="C2125">
        <v>0.77149999999999996</v>
      </c>
    </row>
    <row r="2126" spans="1:3" x14ac:dyDescent="0.25">
      <c r="A2126" s="1">
        <v>43180</v>
      </c>
      <c r="B2126">
        <v>0.76870000000000005</v>
      </c>
      <c r="C2126">
        <v>0.76880000000000004</v>
      </c>
    </row>
    <row r="2127" spans="1:3" x14ac:dyDescent="0.25">
      <c r="A2127" s="1">
        <v>43181</v>
      </c>
      <c r="B2127">
        <v>0.77300000000000002</v>
      </c>
      <c r="C2127">
        <v>0.77310000000000001</v>
      </c>
    </row>
    <row r="2128" spans="1:3" x14ac:dyDescent="0.25">
      <c r="A2128" s="1">
        <v>43182</v>
      </c>
      <c r="B2128">
        <v>0.77180000000000004</v>
      </c>
      <c r="C2128">
        <v>0.77190000000000003</v>
      </c>
    </row>
    <row r="2129" spans="1:3" x14ac:dyDescent="0.25">
      <c r="A2129" s="1">
        <v>43185</v>
      </c>
      <c r="B2129">
        <v>0.77359999999999995</v>
      </c>
      <c r="C2129">
        <v>0.77370000000000005</v>
      </c>
    </row>
    <row r="2130" spans="1:3" x14ac:dyDescent="0.25">
      <c r="A2130" s="1">
        <v>43186</v>
      </c>
      <c r="B2130">
        <v>0.77070000000000005</v>
      </c>
      <c r="C2130">
        <v>0.77080000000000004</v>
      </c>
    </row>
    <row r="2131" spans="1:3" x14ac:dyDescent="0.25">
      <c r="A2131" s="1">
        <v>43187</v>
      </c>
      <c r="B2131">
        <v>0.76690000000000003</v>
      </c>
      <c r="C2131">
        <v>0.76790000000000003</v>
      </c>
    </row>
    <row r="2132" spans="1:3" x14ac:dyDescent="0.25">
      <c r="A2132" s="1">
        <v>43193</v>
      </c>
      <c r="B2132">
        <v>0.7681</v>
      </c>
      <c r="C2132">
        <v>0.7681</v>
      </c>
    </row>
    <row r="2133" spans="1:3" x14ac:dyDescent="0.25">
      <c r="A2133" s="1">
        <v>43194</v>
      </c>
      <c r="B2133">
        <v>0.76790000000000003</v>
      </c>
      <c r="C2133">
        <v>0.76790000000000003</v>
      </c>
    </row>
    <row r="2134" spans="1:3" x14ac:dyDescent="0.25">
      <c r="A2134" s="1">
        <v>43195</v>
      </c>
      <c r="B2134">
        <v>0.76880000000000004</v>
      </c>
      <c r="C2134">
        <v>0.76880000000000004</v>
      </c>
    </row>
    <row r="2135" spans="1:3" x14ac:dyDescent="0.25">
      <c r="A2135" s="1">
        <v>43196</v>
      </c>
      <c r="B2135">
        <v>0.76780000000000004</v>
      </c>
      <c r="C2135">
        <v>0.76780000000000004</v>
      </c>
    </row>
    <row r="2136" spans="1:3" x14ac:dyDescent="0.25">
      <c r="A2136" s="1">
        <v>43199</v>
      </c>
      <c r="B2136">
        <v>0.76919999999999999</v>
      </c>
      <c r="C2136">
        <v>0.76919999999999999</v>
      </c>
    </row>
    <row r="2137" spans="1:3" x14ac:dyDescent="0.25">
      <c r="A2137" s="1">
        <v>43200</v>
      </c>
      <c r="B2137">
        <v>0.7742</v>
      </c>
      <c r="C2137">
        <v>0.77429999999999999</v>
      </c>
    </row>
    <row r="2138" spans="1:3" x14ac:dyDescent="0.25">
      <c r="A2138" s="1">
        <v>43201</v>
      </c>
      <c r="B2138">
        <v>0.77480000000000004</v>
      </c>
      <c r="C2138">
        <v>0.77480000000000004</v>
      </c>
    </row>
    <row r="2139" spans="1:3" x14ac:dyDescent="0.25">
      <c r="A2139" s="1">
        <v>43202</v>
      </c>
      <c r="B2139">
        <v>0.77569999999999995</v>
      </c>
      <c r="C2139">
        <v>0.77569999999999995</v>
      </c>
    </row>
    <row r="2140" spans="1:3" x14ac:dyDescent="0.25">
      <c r="A2140" s="1">
        <v>43203</v>
      </c>
      <c r="B2140">
        <v>0.77990000000000004</v>
      </c>
      <c r="C2140">
        <v>0.77990000000000004</v>
      </c>
    </row>
    <row r="2141" spans="1:3" x14ac:dyDescent="0.25">
      <c r="A2141" s="1">
        <v>43206</v>
      </c>
      <c r="B2141">
        <v>0.77680000000000005</v>
      </c>
      <c r="C2141">
        <v>0.77680000000000005</v>
      </c>
    </row>
    <row r="2142" spans="1:3" x14ac:dyDescent="0.25">
      <c r="A2142" s="1">
        <v>43207</v>
      </c>
      <c r="B2142">
        <v>0.77710000000000001</v>
      </c>
      <c r="C2142">
        <v>0.77710000000000001</v>
      </c>
    </row>
    <row r="2143" spans="1:3" x14ac:dyDescent="0.25">
      <c r="A2143" s="1">
        <v>43208</v>
      </c>
      <c r="B2143">
        <v>0.77580000000000005</v>
      </c>
      <c r="C2143">
        <v>0.77580000000000005</v>
      </c>
    </row>
    <row r="2144" spans="1:3" x14ac:dyDescent="0.25">
      <c r="A2144" s="1">
        <v>43209</v>
      </c>
      <c r="B2144">
        <v>0.7792</v>
      </c>
      <c r="C2144">
        <v>0.7792</v>
      </c>
    </row>
    <row r="2145" spans="1:3" x14ac:dyDescent="0.25">
      <c r="A2145" s="1">
        <v>43210</v>
      </c>
      <c r="B2145">
        <v>0.76959999999999995</v>
      </c>
      <c r="C2145">
        <v>0.76959999999999995</v>
      </c>
    </row>
    <row r="2146" spans="1:3" x14ac:dyDescent="0.25">
      <c r="A2146" s="1">
        <v>43213</v>
      </c>
      <c r="B2146">
        <v>0.76429999999999998</v>
      </c>
      <c r="C2146">
        <v>0.76429999999999998</v>
      </c>
    </row>
    <row r="2147" spans="1:3" x14ac:dyDescent="0.25">
      <c r="A2147" s="1">
        <v>43214</v>
      </c>
      <c r="B2147">
        <v>0.76100000000000001</v>
      </c>
      <c r="C2147">
        <v>0.76100000000000001</v>
      </c>
    </row>
    <row r="2148" spans="1:3" x14ac:dyDescent="0.25">
      <c r="A2148" s="1">
        <v>43215</v>
      </c>
      <c r="B2148">
        <v>0.75719999999999998</v>
      </c>
      <c r="C2148">
        <v>0.75719999999999998</v>
      </c>
    </row>
    <row r="2149" spans="1:3" x14ac:dyDescent="0.25">
      <c r="A2149" s="1">
        <v>43216</v>
      </c>
      <c r="B2149">
        <v>0.75800000000000001</v>
      </c>
      <c r="C2149">
        <v>0.75800000000000001</v>
      </c>
    </row>
    <row r="2150" spans="1:3" x14ac:dyDescent="0.25">
      <c r="A2150" s="1">
        <v>43217</v>
      </c>
      <c r="B2150">
        <v>0.75549999999999995</v>
      </c>
      <c r="C2150">
        <v>0.75549999999999995</v>
      </c>
    </row>
    <row r="2151" spans="1:3" x14ac:dyDescent="0.25">
      <c r="A2151" s="1">
        <v>43222</v>
      </c>
      <c r="B2151">
        <v>0.75049999999999994</v>
      </c>
      <c r="C2151">
        <v>0.75049999999999994</v>
      </c>
    </row>
    <row r="2152" spans="1:3" x14ac:dyDescent="0.25">
      <c r="A2152" s="1">
        <v>43223</v>
      </c>
      <c r="B2152">
        <v>0.753</v>
      </c>
      <c r="C2152">
        <v>0.75309999999999999</v>
      </c>
    </row>
    <row r="2153" spans="1:3" x14ac:dyDescent="0.25">
      <c r="A2153" s="1">
        <v>43224</v>
      </c>
      <c r="B2153">
        <v>0.75180000000000002</v>
      </c>
      <c r="C2153">
        <v>0.75190000000000001</v>
      </c>
    </row>
    <row r="2154" spans="1:3" x14ac:dyDescent="0.25">
      <c r="A2154" s="1">
        <v>43227</v>
      </c>
      <c r="B2154">
        <v>0.75039999999999996</v>
      </c>
      <c r="C2154">
        <v>0.75039999999999996</v>
      </c>
    </row>
    <row r="2155" spans="1:3" x14ac:dyDescent="0.25">
      <c r="A2155" s="1">
        <v>43228</v>
      </c>
      <c r="B2155">
        <v>0.74529999999999996</v>
      </c>
      <c r="C2155">
        <v>0.74529999999999996</v>
      </c>
    </row>
    <row r="2156" spans="1:3" x14ac:dyDescent="0.25">
      <c r="A2156" s="1">
        <v>43229</v>
      </c>
      <c r="B2156">
        <v>0.74580000000000002</v>
      </c>
      <c r="C2156">
        <v>0.74580000000000002</v>
      </c>
    </row>
    <row r="2157" spans="1:3" x14ac:dyDescent="0.25">
      <c r="A2157" s="1">
        <v>43230</v>
      </c>
      <c r="B2157">
        <v>0.74890000000000001</v>
      </c>
      <c r="C2157">
        <v>0.74890000000000001</v>
      </c>
    </row>
    <row r="2158" spans="1:3" x14ac:dyDescent="0.25">
      <c r="A2158" s="1">
        <v>43231</v>
      </c>
      <c r="B2158">
        <v>0.75529999999999997</v>
      </c>
      <c r="C2158">
        <v>0.75529999999999997</v>
      </c>
    </row>
    <row r="2159" spans="1:3" x14ac:dyDescent="0.25">
      <c r="A2159" s="1">
        <v>43234</v>
      </c>
      <c r="B2159">
        <v>0.75470000000000004</v>
      </c>
      <c r="C2159">
        <v>0.75470000000000004</v>
      </c>
    </row>
    <row r="2160" spans="1:3" x14ac:dyDescent="0.25">
      <c r="A2160" s="1">
        <v>43235</v>
      </c>
      <c r="B2160">
        <v>0.74939999999999996</v>
      </c>
      <c r="C2160">
        <v>0.74939999999999996</v>
      </c>
    </row>
    <row r="2161" spans="1:3" x14ac:dyDescent="0.25">
      <c r="A2161" s="1">
        <v>43236</v>
      </c>
      <c r="B2161">
        <v>0.74880000000000002</v>
      </c>
      <c r="C2161">
        <v>0.74890000000000001</v>
      </c>
    </row>
    <row r="2162" spans="1:3" x14ac:dyDescent="0.25">
      <c r="A2162" s="1">
        <v>43237</v>
      </c>
      <c r="B2162">
        <v>0.75260000000000005</v>
      </c>
      <c r="C2162">
        <v>0.75260000000000005</v>
      </c>
    </row>
    <row r="2163" spans="1:3" x14ac:dyDescent="0.25">
      <c r="A2163" s="1">
        <v>43238</v>
      </c>
      <c r="B2163">
        <v>0.75109999999999999</v>
      </c>
      <c r="C2163">
        <v>0.75119999999999998</v>
      </c>
    </row>
    <row r="2164" spans="1:3" x14ac:dyDescent="0.25">
      <c r="A2164" s="1">
        <v>43241</v>
      </c>
      <c r="B2164">
        <v>0.75319999999999998</v>
      </c>
      <c r="C2164">
        <v>0.75329999999999997</v>
      </c>
    </row>
    <row r="2165" spans="1:3" x14ac:dyDescent="0.25">
      <c r="A2165" s="1">
        <v>43242</v>
      </c>
      <c r="B2165">
        <v>0.75919999999999999</v>
      </c>
      <c r="C2165">
        <v>0.75929999999999997</v>
      </c>
    </row>
    <row r="2166" spans="1:3" x14ac:dyDescent="0.25">
      <c r="A2166" s="1">
        <v>43243</v>
      </c>
      <c r="B2166">
        <v>0.75329999999999997</v>
      </c>
      <c r="C2166">
        <v>0.75339999999999996</v>
      </c>
    </row>
    <row r="2167" spans="1:3" x14ac:dyDescent="0.25">
      <c r="A2167" s="1">
        <v>43244</v>
      </c>
      <c r="B2167">
        <v>0.75560000000000005</v>
      </c>
      <c r="C2167">
        <v>0.75570000000000004</v>
      </c>
    </row>
    <row r="2168" spans="1:3" x14ac:dyDescent="0.25">
      <c r="A2168" s="1">
        <v>43245</v>
      </c>
      <c r="B2168">
        <v>0.75749999999999995</v>
      </c>
      <c r="C2168">
        <v>0.75760000000000005</v>
      </c>
    </row>
    <row r="2169" spans="1:3" x14ac:dyDescent="0.25">
      <c r="A2169" s="1">
        <v>43248</v>
      </c>
      <c r="B2169">
        <v>0.75590000000000002</v>
      </c>
      <c r="C2169">
        <v>0.75600000000000001</v>
      </c>
    </row>
    <row r="2170" spans="1:3" x14ac:dyDescent="0.25">
      <c r="A2170" s="1">
        <v>43249</v>
      </c>
      <c r="B2170">
        <v>0.75160000000000005</v>
      </c>
      <c r="C2170">
        <v>0.75170000000000003</v>
      </c>
    </row>
    <row r="2171" spans="1:3" x14ac:dyDescent="0.25">
      <c r="A2171" s="1">
        <v>43250</v>
      </c>
      <c r="B2171">
        <v>0.75</v>
      </c>
      <c r="C2171">
        <v>0.75009999999999999</v>
      </c>
    </row>
    <row r="2172" spans="1:3" x14ac:dyDescent="0.25">
      <c r="A2172" s="1">
        <v>43251</v>
      </c>
      <c r="B2172">
        <v>0.75649999999999995</v>
      </c>
      <c r="C2172">
        <v>0.75860000000000005</v>
      </c>
    </row>
    <row r="2173" spans="1:3" x14ac:dyDescent="0.25">
      <c r="A2173" s="1">
        <v>43252</v>
      </c>
      <c r="B2173">
        <v>0.754</v>
      </c>
      <c r="C2173">
        <v>0.75409999999999999</v>
      </c>
    </row>
    <row r="2174" spans="1:3" x14ac:dyDescent="0.25">
      <c r="A2174" s="1">
        <v>43255</v>
      </c>
      <c r="B2174">
        <v>0.76549999999999996</v>
      </c>
      <c r="C2174">
        <v>0.76559999999999995</v>
      </c>
    </row>
    <row r="2175" spans="1:3" x14ac:dyDescent="0.25">
      <c r="A2175" s="1">
        <v>43256</v>
      </c>
      <c r="B2175">
        <v>0.76149999999999995</v>
      </c>
      <c r="C2175">
        <v>0.76170000000000004</v>
      </c>
    </row>
    <row r="2176" spans="1:3" x14ac:dyDescent="0.25">
      <c r="A2176" s="1">
        <v>43257</v>
      </c>
      <c r="B2176">
        <v>0.76559999999999995</v>
      </c>
      <c r="C2176">
        <v>0.76570000000000005</v>
      </c>
    </row>
    <row r="2177" spans="1:3" x14ac:dyDescent="0.25">
      <c r="A2177" s="1">
        <v>43258</v>
      </c>
      <c r="B2177">
        <v>0.7651</v>
      </c>
      <c r="C2177">
        <v>0.76519999999999999</v>
      </c>
    </row>
    <row r="2178" spans="1:3" x14ac:dyDescent="0.25">
      <c r="A2178" s="1">
        <v>43259</v>
      </c>
      <c r="B2178">
        <v>0.75749999999999995</v>
      </c>
      <c r="C2178">
        <v>0.75760000000000005</v>
      </c>
    </row>
    <row r="2179" spans="1:3" x14ac:dyDescent="0.25">
      <c r="A2179" s="1">
        <v>43262</v>
      </c>
      <c r="B2179">
        <v>0.7611</v>
      </c>
      <c r="C2179">
        <v>0.76119999999999999</v>
      </c>
    </row>
    <row r="2180" spans="1:3" x14ac:dyDescent="0.25">
      <c r="A2180" s="1">
        <v>43263</v>
      </c>
      <c r="B2180">
        <v>0.76060000000000005</v>
      </c>
      <c r="C2180">
        <v>0.76070000000000004</v>
      </c>
    </row>
    <row r="2181" spans="1:3" x14ac:dyDescent="0.25">
      <c r="A2181" s="1">
        <v>43264</v>
      </c>
      <c r="B2181">
        <v>0.7581</v>
      </c>
      <c r="C2181">
        <v>0.75819999999999999</v>
      </c>
    </row>
    <row r="2182" spans="1:3" x14ac:dyDescent="0.25">
      <c r="A2182" s="1">
        <v>43265</v>
      </c>
      <c r="B2182">
        <v>0.75490000000000002</v>
      </c>
      <c r="C2182">
        <v>0.755</v>
      </c>
    </row>
    <row r="2183" spans="1:3" x14ac:dyDescent="0.25">
      <c r="A2183" s="1">
        <v>43266</v>
      </c>
      <c r="B2183">
        <v>0.74719999999999998</v>
      </c>
      <c r="C2183">
        <v>0.74729999999999996</v>
      </c>
    </row>
    <row r="2184" spans="1:3" x14ac:dyDescent="0.25">
      <c r="A2184" s="1">
        <v>43269</v>
      </c>
      <c r="B2184">
        <v>0.74419999999999997</v>
      </c>
      <c r="C2184">
        <v>0.74419999999999997</v>
      </c>
    </row>
    <row r="2185" spans="1:3" x14ac:dyDescent="0.25">
      <c r="A2185" s="1">
        <v>43270</v>
      </c>
      <c r="B2185">
        <v>0.73480000000000001</v>
      </c>
      <c r="C2185">
        <v>0.73460000000000003</v>
      </c>
    </row>
    <row r="2186" spans="1:3" x14ac:dyDescent="0.25">
      <c r="A2186" s="1">
        <v>43271</v>
      </c>
      <c r="B2186">
        <v>0.73929999999999996</v>
      </c>
      <c r="C2186">
        <v>0.73909999999999998</v>
      </c>
    </row>
    <row r="2187" spans="1:3" x14ac:dyDescent="0.25">
      <c r="A2187" s="1">
        <v>43272</v>
      </c>
      <c r="B2187">
        <v>0.73670000000000002</v>
      </c>
      <c r="C2187">
        <v>0.73670000000000002</v>
      </c>
    </row>
    <row r="2188" spans="1:3" x14ac:dyDescent="0.25">
      <c r="A2188" s="1">
        <v>43273</v>
      </c>
      <c r="B2188">
        <v>0.74239999999999995</v>
      </c>
      <c r="C2188">
        <v>0.74239999999999995</v>
      </c>
    </row>
    <row r="2189" spans="1:3" x14ac:dyDescent="0.25">
      <c r="A2189" s="1">
        <v>43276</v>
      </c>
      <c r="B2189">
        <v>0.74239999999999995</v>
      </c>
      <c r="C2189">
        <v>0.74239999999999995</v>
      </c>
    </row>
    <row r="2190" spans="1:3" x14ac:dyDescent="0.25">
      <c r="A2190" s="1">
        <v>43277</v>
      </c>
      <c r="B2190">
        <v>0.73970000000000002</v>
      </c>
      <c r="C2190">
        <v>0.73980000000000001</v>
      </c>
    </row>
    <row r="2191" spans="1:3" x14ac:dyDescent="0.25">
      <c r="A2191" s="1">
        <v>43278</v>
      </c>
      <c r="B2191">
        <v>0.73699999999999999</v>
      </c>
      <c r="C2191">
        <v>0.73699999999999999</v>
      </c>
    </row>
    <row r="2192" spans="1:3" x14ac:dyDescent="0.25">
      <c r="A2192" s="1">
        <v>43279</v>
      </c>
      <c r="B2192">
        <v>0.73470000000000002</v>
      </c>
      <c r="C2192">
        <v>0.73480000000000001</v>
      </c>
    </row>
    <row r="2193" spans="1:3" x14ac:dyDescent="0.25">
      <c r="A2193" s="1">
        <v>43280</v>
      </c>
      <c r="B2193">
        <v>0.73970000000000002</v>
      </c>
      <c r="C2193">
        <v>0.73809999999999998</v>
      </c>
    </row>
    <row r="2194" spans="1:3" x14ac:dyDescent="0.25">
      <c r="A2194" s="1">
        <v>43283</v>
      </c>
      <c r="B2194">
        <v>0.73560000000000003</v>
      </c>
      <c r="C2194">
        <v>0.73570000000000002</v>
      </c>
    </row>
    <row r="2195" spans="1:3" x14ac:dyDescent="0.25">
      <c r="A2195" s="1">
        <v>43284</v>
      </c>
      <c r="B2195">
        <v>0.73929999999999996</v>
      </c>
      <c r="C2195">
        <v>0.73929999999999996</v>
      </c>
    </row>
    <row r="2196" spans="1:3" x14ac:dyDescent="0.25">
      <c r="A2196" s="1">
        <v>43285</v>
      </c>
      <c r="B2196">
        <v>0.73860000000000003</v>
      </c>
      <c r="C2196">
        <v>0.73860000000000003</v>
      </c>
    </row>
    <row r="2197" spans="1:3" x14ac:dyDescent="0.25">
      <c r="A2197" s="1">
        <v>43286</v>
      </c>
      <c r="B2197">
        <v>0.73960000000000004</v>
      </c>
      <c r="C2197">
        <v>0.73960000000000004</v>
      </c>
    </row>
    <row r="2198" spans="1:3" x14ac:dyDescent="0.25">
      <c r="A2198" s="1">
        <v>43287</v>
      </c>
      <c r="B2198">
        <v>0.74129999999999996</v>
      </c>
      <c r="C2198">
        <v>0.74129999999999996</v>
      </c>
    </row>
    <row r="2199" spans="1:3" x14ac:dyDescent="0.25">
      <c r="A2199" s="1">
        <v>43290</v>
      </c>
      <c r="B2199">
        <v>0.74770000000000003</v>
      </c>
      <c r="C2199">
        <v>0.74760000000000004</v>
      </c>
    </row>
    <row r="2200" spans="1:3" x14ac:dyDescent="0.25">
      <c r="A2200" s="1">
        <v>43291</v>
      </c>
      <c r="B2200">
        <v>0.74350000000000005</v>
      </c>
      <c r="C2200">
        <v>0.74339999999999995</v>
      </c>
    </row>
    <row r="2201" spans="1:3" x14ac:dyDescent="0.25">
      <c r="A2201" s="1">
        <v>43292</v>
      </c>
      <c r="B2201">
        <v>0.73970000000000002</v>
      </c>
      <c r="C2201">
        <v>0.73970000000000002</v>
      </c>
    </row>
    <row r="2202" spans="1:3" x14ac:dyDescent="0.25">
      <c r="A2202" s="1">
        <v>43293</v>
      </c>
      <c r="B2202">
        <v>0.73750000000000004</v>
      </c>
      <c r="C2202">
        <v>0.73750000000000004</v>
      </c>
    </row>
    <row r="2203" spans="1:3" x14ac:dyDescent="0.25">
      <c r="A2203" s="1">
        <v>43294</v>
      </c>
      <c r="B2203">
        <v>0.73760000000000003</v>
      </c>
      <c r="C2203">
        <v>0.73740000000000006</v>
      </c>
    </row>
    <row r="2204" spans="1:3" x14ac:dyDescent="0.25">
      <c r="A2204" s="1">
        <v>43297</v>
      </c>
      <c r="B2204">
        <v>0.74329999999999996</v>
      </c>
      <c r="C2204">
        <v>0.74309999999999998</v>
      </c>
    </row>
    <row r="2205" spans="1:3" x14ac:dyDescent="0.25">
      <c r="A2205" s="1">
        <v>43298</v>
      </c>
      <c r="B2205">
        <v>0.74060000000000004</v>
      </c>
      <c r="C2205">
        <v>0.74050000000000005</v>
      </c>
    </row>
    <row r="2206" spans="1:3" x14ac:dyDescent="0.25">
      <c r="A2206" s="1">
        <v>43299</v>
      </c>
      <c r="B2206">
        <v>0.73550000000000004</v>
      </c>
      <c r="C2206">
        <v>0.73550000000000004</v>
      </c>
    </row>
    <row r="2207" spans="1:3" x14ac:dyDescent="0.25">
      <c r="A2207" s="1">
        <v>43300</v>
      </c>
      <c r="B2207">
        <v>0.73429999999999995</v>
      </c>
      <c r="C2207">
        <v>0.73429999999999995</v>
      </c>
    </row>
    <row r="2208" spans="1:3" x14ac:dyDescent="0.25">
      <c r="A2208" s="1">
        <v>43301</v>
      </c>
      <c r="B2208">
        <v>0.73709999999999998</v>
      </c>
      <c r="C2208">
        <v>0.73709999999999998</v>
      </c>
    </row>
    <row r="2209" spans="1:3" x14ac:dyDescent="0.25">
      <c r="A2209" s="1">
        <v>43304</v>
      </c>
      <c r="B2209">
        <v>0.74080000000000001</v>
      </c>
      <c r="C2209">
        <v>0.7409</v>
      </c>
    </row>
    <row r="2210" spans="1:3" x14ac:dyDescent="0.25">
      <c r="A2210" s="1">
        <v>43305</v>
      </c>
      <c r="B2210">
        <v>0.74029999999999996</v>
      </c>
      <c r="C2210">
        <v>0.74039999999999995</v>
      </c>
    </row>
    <row r="2211" spans="1:3" x14ac:dyDescent="0.25">
      <c r="A2211" s="1">
        <v>43306</v>
      </c>
      <c r="B2211">
        <v>0.74099999999999999</v>
      </c>
      <c r="C2211">
        <v>0.74109999999999998</v>
      </c>
    </row>
    <row r="2212" spans="1:3" x14ac:dyDescent="0.25">
      <c r="A2212" s="1">
        <v>43307</v>
      </c>
      <c r="B2212">
        <v>0.74209999999999998</v>
      </c>
      <c r="C2212">
        <v>0.74219999999999997</v>
      </c>
    </row>
    <row r="2213" spans="1:3" x14ac:dyDescent="0.25">
      <c r="A2213" s="1">
        <v>43308</v>
      </c>
      <c r="B2213">
        <v>0.73760000000000003</v>
      </c>
      <c r="C2213">
        <v>0.73760000000000003</v>
      </c>
    </row>
    <row r="2214" spans="1:3" x14ac:dyDescent="0.25">
      <c r="A2214" s="1">
        <v>43311</v>
      </c>
      <c r="B2214">
        <v>0.74009999999999998</v>
      </c>
      <c r="C2214">
        <v>0.74019999999999997</v>
      </c>
    </row>
    <row r="2215" spans="1:3" x14ac:dyDescent="0.25">
      <c r="A2215" s="1">
        <v>43312</v>
      </c>
      <c r="B2215">
        <v>0.74280000000000002</v>
      </c>
      <c r="C2215">
        <v>0.7429</v>
      </c>
    </row>
    <row r="2216" spans="1:3" x14ac:dyDescent="0.25">
      <c r="A2216" s="1">
        <v>43313</v>
      </c>
      <c r="B2216">
        <v>0.74170000000000003</v>
      </c>
      <c r="C2216">
        <v>0.74180000000000001</v>
      </c>
    </row>
    <row r="2217" spans="1:3" x14ac:dyDescent="0.25">
      <c r="A2217" s="1">
        <v>43314</v>
      </c>
      <c r="B2217">
        <v>0.7369</v>
      </c>
      <c r="C2217">
        <v>0.73699999999999999</v>
      </c>
    </row>
    <row r="2218" spans="1:3" x14ac:dyDescent="0.25">
      <c r="A2218" s="1">
        <v>43315</v>
      </c>
      <c r="B2218">
        <v>0.74029999999999996</v>
      </c>
      <c r="C2218">
        <v>0.74039999999999995</v>
      </c>
    </row>
    <row r="2219" spans="1:3" x14ac:dyDescent="0.25">
      <c r="A2219" s="1">
        <v>43318</v>
      </c>
      <c r="B2219">
        <v>0.73829999999999996</v>
      </c>
      <c r="C2219">
        <v>0.73829999999999996</v>
      </c>
    </row>
    <row r="2220" spans="1:3" x14ac:dyDescent="0.25">
      <c r="A2220" s="1">
        <v>43319</v>
      </c>
      <c r="B2220">
        <v>0.74329999999999996</v>
      </c>
      <c r="C2220">
        <v>0.74339999999999995</v>
      </c>
    </row>
    <row r="2221" spans="1:3" x14ac:dyDescent="0.25">
      <c r="A2221" s="1">
        <v>43320</v>
      </c>
      <c r="B2221">
        <v>0.74139999999999995</v>
      </c>
      <c r="C2221">
        <v>0.74150000000000005</v>
      </c>
    </row>
    <row r="2222" spans="1:3" x14ac:dyDescent="0.25">
      <c r="A2222" s="1">
        <v>43321</v>
      </c>
      <c r="B2222">
        <v>0.74180000000000001</v>
      </c>
      <c r="C2222">
        <v>0.74180000000000001</v>
      </c>
    </row>
    <row r="2223" spans="1:3" x14ac:dyDescent="0.25">
      <c r="A2223" s="1">
        <v>43322</v>
      </c>
      <c r="B2223">
        <v>0.73099999999999998</v>
      </c>
      <c r="C2223">
        <v>0.73099999999999998</v>
      </c>
    </row>
    <row r="2224" spans="1:3" x14ac:dyDescent="0.25">
      <c r="A2224" s="1">
        <v>43325</v>
      </c>
      <c r="B2224">
        <v>0.7268</v>
      </c>
      <c r="C2224">
        <v>0.7268</v>
      </c>
    </row>
    <row r="2225" spans="1:3" x14ac:dyDescent="0.25">
      <c r="A2225" s="1">
        <v>43326</v>
      </c>
      <c r="B2225">
        <v>0.72619999999999996</v>
      </c>
      <c r="C2225">
        <v>0.72629999999999995</v>
      </c>
    </row>
    <row r="2226" spans="1:3" x14ac:dyDescent="0.25">
      <c r="A2226" s="1">
        <v>43328</v>
      </c>
      <c r="B2226">
        <v>0.72699999999999998</v>
      </c>
      <c r="C2226">
        <v>0.72709999999999997</v>
      </c>
    </row>
    <row r="2227" spans="1:3" x14ac:dyDescent="0.25">
      <c r="A2227" s="1">
        <v>43332</v>
      </c>
      <c r="B2227">
        <v>0.73050000000000004</v>
      </c>
      <c r="C2227">
        <v>0.73050000000000004</v>
      </c>
    </row>
    <row r="2228" spans="1:3" x14ac:dyDescent="0.25">
      <c r="A2228" s="1">
        <v>43333</v>
      </c>
      <c r="B2228">
        <v>0.73599999999999999</v>
      </c>
      <c r="C2228">
        <v>0.73599999999999999</v>
      </c>
    </row>
    <row r="2229" spans="1:3" x14ac:dyDescent="0.25">
      <c r="A2229" s="1">
        <v>43335</v>
      </c>
      <c r="B2229">
        <v>0.72929999999999995</v>
      </c>
      <c r="C2229">
        <v>0.72940000000000005</v>
      </c>
    </row>
    <row r="2230" spans="1:3" x14ac:dyDescent="0.25">
      <c r="A2230" s="1">
        <v>43336</v>
      </c>
      <c r="B2230">
        <v>0.7298</v>
      </c>
      <c r="C2230">
        <v>0.72989999999999999</v>
      </c>
    </row>
    <row r="2231" spans="1:3" x14ac:dyDescent="0.25">
      <c r="A2231" s="1">
        <v>43339</v>
      </c>
      <c r="B2231">
        <v>0.73170000000000002</v>
      </c>
      <c r="C2231">
        <v>0.73180000000000001</v>
      </c>
    </row>
    <row r="2232" spans="1:3" x14ac:dyDescent="0.25">
      <c r="A2232" s="1">
        <v>43340</v>
      </c>
      <c r="B2232">
        <v>0.73440000000000005</v>
      </c>
      <c r="C2232">
        <v>0.73450000000000004</v>
      </c>
    </row>
    <row r="2233" spans="1:3" x14ac:dyDescent="0.25">
      <c r="A2233" s="1">
        <v>43341</v>
      </c>
      <c r="B2233">
        <v>0.72989999999999999</v>
      </c>
      <c r="C2233">
        <v>0.72989999999999999</v>
      </c>
    </row>
    <row r="2234" spans="1:3" x14ac:dyDescent="0.25">
      <c r="A2234" s="1">
        <v>43342</v>
      </c>
      <c r="B2234">
        <v>0.7298</v>
      </c>
      <c r="C2234">
        <v>0.72970000000000002</v>
      </c>
    </row>
    <row r="2235" spans="1:3" x14ac:dyDescent="0.25">
      <c r="A2235" s="1">
        <v>43343</v>
      </c>
      <c r="B2235">
        <v>0.71779999999999999</v>
      </c>
      <c r="C2235">
        <v>0.72260000000000002</v>
      </c>
    </row>
    <row r="2236" spans="1:3" x14ac:dyDescent="0.25">
      <c r="A2236" s="1">
        <v>43346</v>
      </c>
      <c r="B2236">
        <v>0.72070000000000001</v>
      </c>
      <c r="C2236">
        <v>0.72060000000000002</v>
      </c>
    </row>
    <row r="2237" spans="1:3" x14ac:dyDescent="0.25">
      <c r="A2237" s="1">
        <v>43347</v>
      </c>
      <c r="B2237">
        <v>0.71830000000000005</v>
      </c>
      <c r="C2237">
        <v>0.71830000000000005</v>
      </c>
    </row>
    <row r="2238" spans="1:3" x14ac:dyDescent="0.25">
      <c r="A2238" s="1">
        <v>43348</v>
      </c>
      <c r="B2238">
        <v>0.71760000000000002</v>
      </c>
      <c r="C2238">
        <v>0.71760000000000002</v>
      </c>
    </row>
    <row r="2239" spans="1:3" x14ac:dyDescent="0.25">
      <c r="A2239" s="1">
        <v>43349</v>
      </c>
      <c r="B2239">
        <v>0.7198</v>
      </c>
      <c r="C2239">
        <v>0.7198</v>
      </c>
    </row>
    <row r="2240" spans="1:3" x14ac:dyDescent="0.25">
      <c r="A2240" s="1">
        <v>43350</v>
      </c>
      <c r="B2240">
        <v>0.71630000000000005</v>
      </c>
      <c r="C2240">
        <v>0.71630000000000005</v>
      </c>
    </row>
    <row r="2241" spans="1:3" x14ac:dyDescent="0.25">
      <c r="A2241" s="1">
        <v>43353</v>
      </c>
      <c r="B2241">
        <v>0.71209999999999996</v>
      </c>
      <c r="C2241">
        <v>0.71209999999999996</v>
      </c>
    </row>
    <row r="2242" spans="1:3" x14ac:dyDescent="0.25">
      <c r="A2242" s="1">
        <v>43354</v>
      </c>
      <c r="B2242">
        <v>0.71250000000000002</v>
      </c>
      <c r="C2242">
        <v>0.71260000000000001</v>
      </c>
    </row>
    <row r="2243" spans="1:3" x14ac:dyDescent="0.25">
      <c r="A2243" s="1">
        <v>43355</v>
      </c>
      <c r="B2243">
        <v>0.71150000000000002</v>
      </c>
      <c r="C2243">
        <v>0.71160000000000001</v>
      </c>
    </row>
    <row r="2244" spans="1:3" x14ac:dyDescent="0.25">
      <c r="A2244" s="1">
        <v>43357</v>
      </c>
      <c r="B2244">
        <v>0.71919999999999995</v>
      </c>
      <c r="C2244">
        <v>0.71919999999999995</v>
      </c>
    </row>
    <row r="2245" spans="1:3" x14ac:dyDescent="0.25">
      <c r="A2245" s="1">
        <v>43360</v>
      </c>
      <c r="B2245">
        <v>0.71719999999999995</v>
      </c>
      <c r="C2245">
        <v>0.71719999999999995</v>
      </c>
    </row>
    <row r="2246" spans="1:3" x14ac:dyDescent="0.25">
      <c r="A2246" s="1">
        <v>43361</v>
      </c>
      <c r="B2246">
        <v>0.71960000000000002</v>
      </c>
      <c r="C2246">
        <v>0.71960000000000002</v>
      </c>
    </row>
    <row r="2247" spans="1:3" x14ac:dyDescent="0.25">
      <c r="A2247" s="1">
        <v>43362</v>
      </c>
      <c r="B2247">
        <v>0.72460000000000002</v>
      </c>
      <c r="C2247">
        <v>0.72460000000000002</v>
      </c>
    </row>
    <row r="2248" spans="1:3" x14ac:dyDescent="0.25">
      <c r="A2248" s="1">
        <v>43364</v>
      </c>
      <c r="B2248">
        <v>0.72840000000000005</v>
      </c>
      <c r="C2248">
        <v>0.72840000000000005</v>
      </c>
    </row>
    <row r="2249" spans="1:3" x14ac:dyDescent="0.25">
      <c r="A2249" s="1">
        <v>43367</v>
      </c>
      <c r="B2249">
        <v>0.72709999999999997</v>
      </c>
      <c r="C2249">
        <v>0.72709999999999997</v>
      </c>
    </row>
    <row r="2250" spans="1:3" x14ac:dyDescent="0.25">
      <c r="A2250" s="1">
        <v>43368</v>
      </c>
      <c r="B2250">
        <v>0.72519999999999996</v>
      </c>
      <c r="C2250">
        <v>0.72529999999999994</v>
      </c>
    </row>
    <row r="2251" spans="1:3" x14ac:dyDescent="0.25">
      <c r="A2251" s="1">
        <v>43369</v>
      </c>
      <c r="B2251">
        <v>0.72540000000000004</v>
      </c>
      <c r="C2251">
        <v>0.72550000000000003</v>
      </c>
    </row>
    <row r="2252" spans="1:3" x14ac:dyDescent="0.25">
      <c r="A2252" s="1">
        <v>43370</v>
      </c>
      <c r="B2252">
        <v>0.72309999999999997</v>
      </c>
      <c r="C2252">
        <v>0.72319999999999995</v>
      </c>
    </row>
    <row r="2253" spans="1:3" x14ac:dyDescent="0.25">
      <c r="A2253" s="1">
        <v>43371</v>
      </c>
      <c r="B2253">
        <v>0.72150000000000003</v>
      </c>
      <c r="C2253">
        <v>0.72140000000000004</v>
      </c>
    </row>
    <row r="2254" spans="1:3" x14ac:dyDescent="0.25">
      <c r="A2254" s="1">
        <v>43374</v>
      </c>
      <c r="B2254">
        <v>0.72189999999999999</v>
      </c>
      <c r="C2254">
        <v>0.72199999999999998</v>
      </c>
    </row>
    <row r="2255" spans="1:3" x14ac:dyDescent="0.25">
      <c r="A2255" s="1">
        <v>43376</v>
      </c>
      <c r="B2255">
        <v>0.71479999999999999</v>
      </c>
      <c r="C2255">
        <v>0.71499999999999997</v>
      </c>
    </row>
    <row r="2256" spans="1:3" x14ac:dyDescent="0.25">
      <c r="A2256" s="1">
        <v>43377</v>
      </c>
      <c r="B2256">
        <v>0.70879999999999999</v>
      </c>
      <c r="C2256">
        <v>0.70899999999999996</v>
      </c>
    </row>
    <row r="2257" spans="1:3" x14ac:dyDescent="0.25">
      <c r="A2257" s="1">
        <v>43378</v>
      </c>
      <c r="B2257">
        <v>0.70750000000000002</v>
      </c>
      <c r="C2257">
        <v>0.7077</v>
      </c>
    </row>
    <row r="2258" spans="1:3" x14ac:dyDescent="0.25">
      <c r="A2258" s="1">
        <v>43381</v>
      </c>
      <c r="B2258">
        <v>0.70650000000000002</v>
      </c>
      <c r="C2258">
        <v>0.70669999999999999</v>
      </c>
    </row>
    <row r="2259" spans="1:3" x14ac:dyDescent="0.25">
      <c r="A2259" s="1">
        <v>43382</v>
      </c>
      <c r="B2259">
        <v>0.70569999999999999</v>
      </c>
      <c r="C2259">
        <v>0.70589999999999997</v>
      </c>
    </row>
    <row r="2260" spans="1:3" x14ac:dyDescent="0.25">
      <c r="A2260" s="1">
        <v>43383</v>
      </c>
      <c r="B2260">
        <v>0.70989999999999998</v>
      </c>
      <c r="C2260">
        <v>0.71009999999999995</v>
      </c>
    </row>
    <row r="2261" spans="1:3" x14ac:dyDescent="0.25">
      <c r="A2261" s="1">
        <v>43384</v>
      </c>
      <c r="B2261">
        <v>0.7097</v>
      </c>
      <c r="C2261">
        <v>0.70989999999999998</v>
      </c>
    </row>
    <row r="2262" spans="1:3" x14ac:dyDescent="0.25">
      <c r="A2262" s="1">
        <v>43385</v>
      </c>
      <c r="B2262">
        <v>0.71279999999999999</v>
      </c>
      <c r="C2262">
        <v>0.71299999999999997</v>
      </c>
    </row>
    <row r="2263" spans="1:3" x14ac:dyDescent="0.25">
      <c r="A2263" s="1">
        <v>43388</v>
      </c>
      <c r="B2263">
        <v>0.71350000000000002</v>
      </c>
      <c r="C2263">
        <v>0.7137</v>
      </c>
    </row>
    <row r="2264" spans="1:3" x14ac:dyDescent="0.25">
      <c r="A2264" s="1">
        <v>43389</v>
      </c>
      <c r="B2264">
        <v>0.71289999999999998</v>
      </c>
      <c r="C2264">
        <v>0.71309999999999996</v>
      </c>
    </row>
    <row r="2265" spans="1:3" x14ac:dyDescent="0.25">
      <c r="A2265" s="1">
        <v>43390</v>
      </c>
      <c r="B2265">
        <v>0.71260000000000001</v>
      </c>
      <c r="C2265">
        <v>0.71279999999999999</v>
      </c>
    </row>
    <row r="2266" spans="1:3" x14ac:dyDescent="0.25">
      <c r="A2266" s="1">
        <v>43392</v>
      </c>
      <c r="B2266">
        <v>0.7137</v>
      </c>
      <c r="C2266">
        <v>0.71389999999999998</v>
      </c>
    </row>
    <row r="2267" spans="1:3" x14ac:dyDescent="0.25">
      <c r="A2267" s="1">
        <v>43395</v>
      </c>
      <c r="B2267">
        <v>0.71</v>
      </c>
      <c r="C2267">
        <v>0.71020000000000005</v>
      </c>
    </row>
    <row r="2268" spans="1:3" x14ac:dyDescent="0.25">
      <c r="A2268" s="1">
        <v>43396</v>
      </c>
      <c r="B2268">
        <v>0.70660000000000001</v>
      </c>
      <c r="C2268">
        <v>0.70679999999999998</v>
      </c>
    </row>
    <row r="2269" spans="1:3" x14ac:dyDescent="0.25">
      <c r="A2269" s="1">
        <v>43397</v>
      </c>
      <c r="B2269">
        <v>0.7097</v>
      </c>
      <c r="C2269">
        <v>0.70989999999999998</v>
      </c>
    </row>
    <row r="2270" spans="1:3" x14ac:dyDescent="0.25">
      <c r="A2270" s="1">
        <v>43398</v>
      </c>
      <c r="B2270">
        <v>0.70879999999999999</v>
      </c>
      <c r="C2270">
        <v>0.70899999999999996</v>
      </c>
    </row>
    <row r="2271" spans="1:3" x14ac:dyDescent="0.25">
      <c r="A2271" s="1">
        <v>43399</v>
      </c>
      <c r="B2271">
        <v>0.70330000000000004</v>
      </c>
      <c r="C2271">
        <v>0.70350000000000001</v>
      </c>
    </row>
    <row r="2272" spans="1:3" x14ac:dyDescent="0.25">
      <c r="A2272" s="1">
        <v>43402</v>
      </c>
      <c r="B2272">
        <v>0.70960000000000001</v>
      </c>
      <c r="C2272">
        <v>0.70979999999999999</v>
      </c>
    </row>
    <row r="2273" spans="1:3" x14ac:dyDescent="0.25">
      <c r="A2273" s="1">
        <v>43403</v>
      </c>
      <c r="B2273">
        <v>0.7087</v>
      </c>
      <c r="C2273">
        <v>0.70889999999999997</v>
      </c>
    </row>
    <row r="2274" spans="1:3" x14ac:dyDescent="0.25">
      <c r="A2274" s="1">
        <v>43404</v>
      </c>
      <c r="B2274">
        <v>0.71030000000000004</v>
      </c>
      <c r="C2274">
        <v>0.71050000000000002</v>
      </c>
    </row>
    <row r="2275" spans="1:3" x14ac:dyDescent="0.25">
      <c r="A2275" s="1">
        <v>43405</v>
      </c>
      <c r="B2275">
        <v>0.71579999999999999</v>
      </c>
      <c r="C2275">
        <v>0.71599999999999997</v>
      </c>
    </row>
    <row r="2276" spans="1:3" x14ac:dyDescent="0.25">
      <c r="A2276" s="1">
        <v>43406</v>
      </c>
      <c r="B2276">
        <v>0.72450000000000003</v>
      </c>
      <c r="C2276">
        <v>0.72470000000000001</v>
      </c>
    </row>
    <row r="2277" spans="1:3" x14ac:dyDescent="0.25">
      <c r="A2277" s="1">
        <v>43409</v>
      </c>
      <c r="B2277">
        <v>0.71960000000000002</v>
      </c>
      <c r="C2277">
        <v>0.71989999999999998</v>
      </c>
    </row>
    <row r="2278" spans="1:3" x14ac:dyDescent="0.25">
      <c r="A2278" s="1">
        <v>43410</v>
      </c>
      <c r="B2278">
        <v>0.72309999999999997</v>
      </c>
      <c r="C2278">
        <v>0.72330000000000005</v>
      </c>
    </row>
    <row r="2279" spans="1:3" x14ac:dyDescent="0.25">
      <c r="A2279" s="1">
        <v>43413</v>
      </c>
      <c r="B2279">
        <v>0.72430000000000005</v>
      </c>
      <c r="C2279">
        <v>0.72450000000000003</v>
      </c>
    </row>
    <row r="2280" spans="1:3" x14ac:dyDescent="0.25">
      <c r="A2280" s="1">
        <v>43416</v>
      </c>
      <c r="B2280">
        <v>0.72050000000000003</v>
      </c>
      <c r="C2280">
        <v>0.72070000000000001</v>
      </c>
    </row>
    <row r="2281" spans="1:3" x14ac:dyDescent="0.25">
      <c r="A2281" s="1">
        <v>43417</v>
      </c>
      <c r="B2281">
        <v>0.71970000000000001</v>
      </c>
      <c r="C2281">
        <v>0.71989999999999998</v>
      </c>
    </row>
    <row r="2282" spans="1:3" x14ac:dyDescent="0.25">
      <c r="A2282" s="1">
        <v>43418</v>
      </c>
      <c r="B2282">
        <v>0.71919999999999995</v>
      </c>
      <c r="C2282">
        <v>0.71950000000000003</v>
      </c>
    </row>
    <row r="2283" spans="1:3" x14ac:dyDescent="0.25">
      <c r="A2283" s="1">
        <v>43419</v>
      </c>
      <c r="B2283">
        <v>0.72629999999999995</v>
      </c>
      <c r="C2283">
        <v>0.72660000000000002</v>
      </c>
    </row>
    <row r="2284" spans="1:3" x14ac:dyDescent="0.25">
      <c r="A2284" s="1">
        <v>43420</v>
      </c>
      <c r="B2284">
        <v>0.72540000000000004</v>
      </c>
      <c r="C2284">
        <v>0.72570000000000001</v>
      </c>
    </row>
    <row r="2285" spans="1:3" x14ac:dyDescent="0.25">
      <c r="A2285" s="1">
        <v>43423</v>
      </c>
      <c r="B2285">
        <v>0.7298</v>
      </c>
      <c r="C2285">
        <v>0.73009999999999997</v>
      </c>
    </row>
    <row r="2286" spans="1:3" x14ac:dyDescent="0.25">
      <c r="A2286" s="1">
        <v>43424</v>
      </c>
      <c r="B2286">
        <v>0.72729999999999995</v>
      </c>
      <c r="C2286">
        <v>0.72760000000000002</v>
      </c>
    </row>
    <row r="2287" spans="1:3" x14ac:dyDescent="0.25">
      <c r="A2287" s="1">
        <v>43426</v>
      </c>
      <c r="B2287">
        <v>0.72529999999999994</v>
      </c>
      <c r="C2287">
        <v>0.72560000000000002</v>
      </c>
    </row>
    <row r="2288" spans="1:3" x14ac:dyDescent="0.25">
      <c r="A2288" s="1">
        <v>43430</v>
      </c>
      <c r="B2288">
        <v>0.72609999999999997</v>
      </c>
      <c r="C2288">
        <v>0.72640000000000005</v>
      </c>
    </row>
    <row r="2289" spans="1:3" x14ac:dyDescent="0.25">
      <c r="A2289" s="1">
        <v>43431</v>
      </c>
      <c r="B2289">
        <v>0.72419999999999995</v>
      </c>
      <c r="C2289">
        <v>0.72460000000000002</v>
      </c>
    </row>
    <row r="2290" spans="1:3" x14ac:dyDescent="0.25">
      <c r="A2290" s="1">
        <v>43432</v>
      </c>
      <c r="B2290">
        <v>0.72340000000000004</v>
      </c>
      <c r="C2290">
        <v>0.7238</v>
      </c>
    </row>
    <row r="2291" spans="1:3" x14ac:dyDescent="0.25">
      <c r="A2291" s="1">
        <v>43433</v>
      </c>
      <c r="B2291">
        <v>0.73109999999999997</v>
      </c>
      <c r="C2291">
        <v>0.73150000000000004</v>
      </c>
    </row>
    <row r="2292" spans="1:3" x14ac:dyDescent="0.25">
      <c r="A2292" s="1">
        <v>43434</v>
      </c>
      <c r="B2292">
        <v>0.73040000000000005</v>
      </c>
      <c r="C2292">
        <v>0.73080000000000001</v>
      </c>
    </row>
    <row r="2293" spans="1:3" x14ac:dyDescent="0.25">
      <c r="A2293" s="1">
        <v>43437</v>
      </c>
      <c r="B2293">
        <v>0.73699999999999999</v>
      </c>
      <c r="C2293">
        <v>0.73740000000000006</v>
      </c>
    </row>
    <row r="2294" spans="1:3" x14ac:dyDescent="0.25">
      <c r="A2294" s="1">
        <v>43438</v>
      </c>
      <c r="B2294">
        <v>0.73829999999999996</v>
      </c>
      <c r="C2294">
        <v>0.73870000000000002</v>
      </c>
    </row>
    <row r="2295" spans="1:3" x14ac:dyDescent="0.25">
      <c r="A2295" s="1">
        <v>43439</v>
      </c>
      <c r="B2295">
        <v>0.72929999999999995</v>
      </c>
      <c r="C2295">
        <v>0.72970000000000002</v>
      </c>
    </row>
    <row r="2296" spans="1:3" x14ac:dyDescent="0.25">
      <c r="A2296" s="1">
        <v>43440</v>
      </c>
      <c r="B2296">
        <v>0.72</v>
      </c>
      <c r="C2296">
        <v>0.72040000000000004</v>
      </c>
    </row>
    <row r="2297" spans="1:3" x14ac:dyDescent="0.25">
      <c r="A2297" s="1">
        <v>43441</v>
      </c>
      <c r="B2297">
        <v>0.72219999999999995</v>
      </c>
      <c r="C2297">
        <v>0.72260000000000002</v>
      </c>
    </row>
    <row r="2298" spans="1:3" x14ac:dyDescent="0.25">
      <c r="A2298" s="1">
        <v>43444</v>
      </c>
      <c r="B2298">
        <v>0.72219999999999995</v>
      </c>
      <c r="C2298">
        <v>0.72260000000000002</v>
      </c>
    </row>
    <row r="2299" spans="1:3" x14ac:dyDescent="0.25">
      <c r="A2299" s="1">
        <v>43445</v>
      </c>
      <c r="B2299">
        <v>0.72109999999999996</v>
      </c>
      <c r="C2299">
        <v>0.72150000000000003</v>
      </c>
    </row>
    <row r="2300" spans="1:3" x14ac:dyDescent="0.25">
      <c r="A2300" s="1">
        <v>43446</v>
      </c>
      <c r="B2300">
        <v>0.72160000000000002</v>
      </c>
      <c r="C2300">
        <v>0.72189999999999999</v>
      </c>
    </row>
    <row r="2301" spans="1:3" x14ac:dyDescent="0.25">
      <c r="A2301" s="1">
        <v>43447</v>
      </c>
      <c r="B2301">
        <v>0.72250000000000003</v>
      </c>
      <c r="C2301">
        <v>0.72270000000000001</v>
      </c>
    </row>
    <row r="2302" spans="1:3" x14ac:dyDescent="0.25">
      <c r="A2302" s="1">
        <v>43448</v>
      </c>
      <c r="B2302">
        <v>0.71630000000000005</v>
      </c>
      <c r="C2302">
        <v>0.71660000000000001</v>
      </c>
    </row>
    <row r="2303" spans="1:3" x14ac:dyDescent="0.25">
      <c r="A2303" s="1">
        <v>43451</v>
      </c>
      <c r="B2303">
        <v>0.7177</v>
      </c>
      <c r="C2303">
        <v>0.71799999999999997</v>
      </c>
    </row>
    <row r="2304" spans="1:3" x14ac:dyDescent="0.25">
      <c r="A2304" s="1">
        <v>43452</v>
      </c>
      <c r="B2304">
        <v>0.71970000000000001</v>
      </c>
      <c r="C2304">
        <v>0.72</v>
      </c>
    </row>
    <row r="2305" spans="1:3" x14ac:dyDescent="0.25">
      <c r="A2305" s="1">
        <v>43453</v>
      </c>
      <c r="B2305">
        <v>0.71889999999999998</v>
      </c>
      <c r="C2305">
        <v>0.71930000000000005</v>
      </c>
    </row>
    <row r="2306" spans="1:3" x14ac:dyDescent="0.25">
      <c r="A2306" s="1">
        <v>43454</v>
      </c>
      <c r="B2306">
        <v>0.71419999999999995</v>
      </c>
      <c r="C2306">
        <v>0.71450000000000002</v>
      </c>
    </row>
    <row r="2307" spans="1:3" x14ac:dyDescent="0.25">
      <c r="A2307" s="1">
        <v>43455</v>
      </c>
      <c r="B2307">
        <v>0.70899999999999996</v>
      </c>
      <c r="C2307">
        <v>0.70930000000000004</v>
      </c>
    </row>
    <row r="2308" spans="1:3" x14ac:dyDescent="0.25">
      <c r="A2308" s="1">
        <v>43458</v>
      </c>
      <c r="B2308">
        <v>0.70569999999999999</v>
      </c>
      <c r="C2308">
        <v>0.70589999999999997</v>
      </c>
    </row>
    <row r="2309" spans="1:3" x14ac:dyDescent="0.25">
      <c r="A2309" s="1">
        <v>43460</v>
      </c>
      <c r="B2309">
        <v>0.70550000000000002</v>
      </c>
      <c r="C2309">
        <v>0.70569999999999999</v>
      </c>
    </row>
    <row r="2310" spans="1:3" x14ac:dyDescent="0.25">
      <c r="A2310" s="1">
        <v>43461</v>
      </c>
      <c r="B2310">
        <v>0.70499999999999996</v>
      </c>
      <c r="C2310">
        <v>0.70530000000000004</v>
      </c>
    </row>
    <row r="2311" spans="1:3" x14ac:dyDescent="0.25">
      <c r="A2311" s="1">
        <v>43462</v>
      </c>
      <c r="B2311">
        <v>0.70489999999999997</v>
      </c>
      <c r="C2311">
        <v>0.70530000000000004</v>
      </c>
    </row>
    <row r="2312" spans="1:3" x14ac:dyDescent="0.25">
      <c r="A2312" s="1">
        <v>43465</v>
      </c>
      <c r="B2312">
        <v>0.70620000000000005</v>
      </c>
      <c r="C2312">
        <v>0.70660000000000001</v>
      </c>
    </row>
    <row r="2313" spans="1:3" x14ac:dyDescent="0.25">
      <c r="A2313" s="1">
        <v>43466</v>
      </c>
      <c r="B2313">
        <v>0.70330000000000004</v>
      </c>
      <c r="C2313">
        <v>0.70369999999999999</v>
      </c>
    </row>
    <row r="2314" spans="1:3" x14ac:dyDescent="0.25">
      <c r="A2314" s="1">
        <v>43467</v>
      </c>
      <c r="B2314">
        <v>0.70109999999999995</v>
      </c>
      <c r="C2314">
        <v>0.70150000000000001</v>
      </c>
    </row>
    <row r="2315" spans="1:3" x14ac:dyDescent="0.25">
      <c r="A2315" s="1">
        <v>43468</v>
      </c>
      <c r="B2315">
        <v>0.69610000000000005</v>
      </c>
      <c r="C2315">
        <v>0.69650000000000001</v>
      </c>
    </row>
    <row r="2316" spans="1:3" x14ac:dyDescent="0.25">
      <c r="A2316" s="1">
        <v>43469</v>
      </c>
      <c r="B2316">
        <v>0.7046</v>
      </c>
      <c r="C2316">
        <v>0.70499999999999996</v>
      </c>
    </row>
    <row r="2317" spans="1:3" x14ac:dyDescent="0.25">
      <c r="A2317" s="1">
        <v>43472</v>
      </c>
      <c r="B2317">
        <v>0.71230000000000004</v>
      </c>
      <c r="C2317">
        <v>0.7127</v>
      </c>
    </row>
    <row r="2318" spans="1:3" x14ac:dyDescent="0.25">
      <c r="A2318" s="1">
        <v>43473</v>
      </c>
      <c r="B2318">
        <v>0.71319999999999995</v>
      </c>
      <c r="C2318">
        <v>0.71360000000000001</v>
      </c>
    </row>
    <row r="2319" spans="1:3" x14ac:dyDescent="0.25">
      <c r="A2319" s="1">
        <v>43474</v>
      </c>
      <c r="B2319">
        <v>0.71650000000000003</v>
      </c>
      <c r="C2319">
        <v>0.71689999999999998</v>
      </c>
    </row>
    <row r="2320" spans="1:3" x14ac:dyDescent="0.25">
      <c r="A2320" s="1">
        <v>43475</v>
      </c>
      <c r="B2320">
        <v>0.71850000000000003</v>
      </c>
      <c r="C2320">
        <v>0.71879999999999999</v>
      </c>
    </row>
    <row r="2321" spans="1:3" x14ac:dyDescent="0.25">
      <c r="A2321" s="1">
        <v>43476</v>
      </c>
      <c r="B2321">
        <v>0.7228</v>
      </c>
      <c r="C2321">
        <v>0.72309999999999997</v>
      </c>
    </row>
    <row r="2322" spans="1:3" x14ac:dyDescent="0.25">
      <c r="A2322" s="1">
        <v>43479</v>
      </c>
      <c r="B2322">
        <v>0.71960000000000002</v>
      </c>
      <c r="C2322">
        <v>0.72</v>
      </c>
    </row>
    <row r="2323" spans="1:3" x14ac:dyDescent="0.25">
      <c r="A2323" s="1">
        <v>43480</v>
      </c>
      <c r="B2323">
        <v>0.72019999999999995</v>
      </c>
      <c r="C2323">
        <v>0.72060000000000002</v>
      </c>
    </row>
    <row r="2324" spans="1:3" x14ac:dyDescent="0.25">
      <c r="A2324" s="1">
        <v>43481</v>
      </c>
      <c r="B2324">
        <v>0.71709999999999996</v>
      </c>
      <c r="C2324">
        <v>0.71740000000000004</v>
      </c>
    </row>
    <row r="2325" spans="1:3" x14ac:dyDescent="0.25">
      <c r="A2325" s="1">
        <v>43482</v>
      </c>
      <c r="B2325">
        <v>0.7167</v>
      </c>
      <c r="C2325">
        <v>0.71699999999999997</v>
      </c>
    </row>
    <row r="2326" spans="1:3" x14ac:dyDescent="0.25">
      <c r="A2326" s="1">
        <v>43483</v>
      </c>
      <c r="B2326">
        <v>0.71919999999999995</v>
      </c>
      <c r="C2326">
        <v>0.71950000000000003</v>
      </c>
    </row>
    <row r="2327" spans="1:3" x14ac:dyDescent="0.25">
      <c r="A2327" s="1">
        <v>43486</v>
      </c>
      <c r="B2327">
        <v>0.71560000000000001</v>
      </c>
      <c r="C2327">
        <v>0.71589999999999998</v>
      </c>
    </row>
    <row r="2328" spans="1:3" x14ac:dyDescent="0.25">
      <c r="A2328" s="1">
        <v>43487</v>
      </c>
      <c r="B2328">
        <v>0.71250000000000002</v>
      </c>
      <c r="C2328">
        <v>0.71289999999999998</v>
      </c>
    </row>
    <row r="2329" spans="1:3" x14ac:dyDescent="0.25">
      <c r="A2329" s="1">
        <v>43488</v>
      </c>
      <c r="B2329">
        <v>0.71360000000000001</v>
      </c>
      <c r="C2329">
        <v>0.71399999999999997</v>
      </c>
    </row>
    <row r="2330" spans="1:3" x14ac:dyDescent="0.25">
      <c r="A2330" s="1">
        <v>43489</v>
      </c>
      <c r="B2330">
        <v>0.70950000000000002</v>
      </c>
      <c r="C2330">
        <v>0.70989999999999998</v>
      </c>
    </row>
    <row r="2331" spans="1:3" x14ac:dyDescent="0.25">
      <c r="A2331" s="1">
        <v>43490</v>
      </c>
      <c r="B2331">
        <v>0.71099999999999997</v>
      </c>
      <c r="C2331">
        <v>0.71130000000000004</v>
      </c>
    </row>
    <row r="2332" spans="1:3" x14ac:dyDescent="0.25">
      <c r="A2332" s="1">
        <v>43493</v>
      </c>
      <c r="B2332">
        <v>0.71830000000000005</v>
      </c>
      <c r="C2332">
        <v>0.71860000000000002</v>
      </c>
    </row>
    <row r="2333" spans="1:3" x14ac:dyDescent="0.25">
      <c r="A2333" s="1">
        <v>43494</v>
      </c>
      <c r="B2333">
        <v>0.71599999999999997</v>
      </c>
      <c r="C2333">
        <v>0.71630000000000005</v>
      </c>
    </row>
    <row r="2334" spans="1:3" x14ac:dyDescent="0.25">
      <c r="A2334" s="1">
        <v>43495</v>
      </c>
      <c r="B2334">
        <v>0.72009999999999996</v>
      </c>
      <c r="C2334">
        <v>0.72040000000000004</v>
      </c>
    </row>
    <row r="2335" spans="1:3" x14ac:dyDescent="0.25">
      <c r="A2335" s="1">
        <v>43496</v>
      </c>
      <c r="B2335">
        <v>0.72760000000000002</v>
      </c>
      <c r="C2335">
        <v>0.72789999999999999</v>
      </c>
    </row>
    <row r="2336" spans="1:3" x14ac:dyDescent="0.25">
      <c r="A2336" s="1">
        <v>43497</v>
      </c>
      <c r="B2336">
        <v>0.72609999999999997</v>
      </c>
      <c r="C2336">
        <v>0.72640000000000005</v>
      </c>
    </row>
    <row r="2337" spans="1:3" x14ac:dyDescent="0.25">
      <c r="A2337" s="1">
        <v>43500</v>
      </c>
      <c r="B2337">
        <v>0.7228</v>
      </c>
      <c r="C2337">
        <v>0.72309999999999997</v>
      </c>
    </row>
    <row r="2338" spans="1:3" x14ac:dyDescent="0.25">
      <c r="A2338" s="1">
        <v>43501</v>
      </c>
      <c r="B2338">
        <v>0.72470000000000001</v>
      </c>
      <c r="C2338">
        <v>0.72499999999999998</v>
      </c>
    </row>
    <row r="2339" spans="1:3" x14ac:dyDescent="0.25">
      <c r="A2339" s="1">
        <v>43502</v>
      </c>
      <c r="B2339">
        <v>0.71530000000000005</v>
      </c>
      <c r="C2339">
        <v>0.71560000000000001</v>
      </c>
    </row>
    <row r="2340" spans="1:3" x14ac:dyDescent="0.25">
      <c r="A2340" s="1">
        <v>43503</v>
      </c>
      <c r="B2340">
        <v>0.71020000000000005</v>
      </c>
      <c r="C2340">
        <v>0.71050000000000002</v>
      </c>
    </row>
    <row r="2341" spans="1:3" x14ac:dyDescent="0.25">
      <c r="A2341" s="1">
        <v>43504</v>
      </c>
      <c r="B2341">
        <v>0.70850000000000002</v>
      </c>
      <c r="C2341">
        <v>0.70879999999999999</v>
      </c>
    </row>
    <row r="2342" spans="1:3" x14ac:dyDescent="0.25">
      <c r="A2342" s="1">
        <v>43507</v>
      </c>
      <c r="B2342">
        <v>0.7087</v>
      </c>
      <c r="C2342">
        <v>0.70899999999999996</v>
      </c>
    </row>
    <row r="2343" spans="1:3" x14ac:dyDescent="0.25">
      <c r="A2343" s="1">
        <v>43508</v>
      </c>
      <c r="B2343">
        <v>0.70750000000000002</v>
      </c>
      <c r="C2343">
        <v>0.70779999999999998</v>
      </c>
    </row>
    <row r="2344" spans="1:3" x14ac:dyDescent="0.25">
      <c r="A2344" s="1">
        <v>43509</v>
      </c>
      <c r="B2344">
        <v>0.71140000000000003</v>
      </c>
      <c r="C2344">
        <v>0.7117</v>
      </c>
    </row>
    <row r="2345" spans="1:3" x14ac:dyDescent="0.25">
      <c r="A2345" s="1">
        <v>43510</v>
      </c>
      <c r="B2345">
        <v>0.71020000000000005</v>
      </c>
      <c r="C2345">
        <v>0.71050000000000002</v>
      </c>
    </row>
    <row r="2346" spans="1:3" x14ac:dyDescent="0.25">
      <c r="A2346" s="1">
        <v>43511</v>
      </c>
      <c r="B2346">
        <v>0.71099999999999997</v>
      </c>
      <c r="C2346">
        <v>0.71130000000000004</v>
      </c>
    </row>
    <row r="2347" spans="1:3" x14ac:dyDescent="0.25">
      <c r="A2347" s="1">
        <v>43514</v>
      </c>
      <c r="B2347">
        <v>0.71509999999999996</v>
      </c>
      <c r="C2347">
        <v>0.71540000000000004</v>
      </c>
    </row>
    <row r="2348" spans="1:3" x14ac:dyDescent="0.25">
      <c r="A2348" s="1">
        <v>43516</v>
      </c>
      <c r="B2348">
        <v>0.71519999999999995</v>
      </c>
      <c r="C2348">
        <v>0.71550000000000002</v>
      </c>
    </row>
    <row r="2349" spans="1:3" x14ac:dyDescent="0.25">
      <c r="A2349" s="1">
        <v>43517</v>
      </c>
      <c r="B2349">
        <v>0.71609999999999996</v>
      </c>
      <c r="C2349">
        <v>0.71640000000000004</v>
      </c>
    </row>
    <row r="2350" spans="1:3" x14ac:dyDescent="0.25">
      <c r="A2350" s="1">
        <v>43518</v>
      </c>
      <c r="B2350">
        <v>0.71109999999999995</v>
      </c>
      <c r="C2350">
        <v>0.71140000000000003</v>
      </c>
    </row>
    <row r="2351" spans="1:3" x14ac:dyDescent="0.25">
      <c r="A2351" s="1">
        <v>43521</v>
      </c>
      <c r="B2351">
        <v>0.71789999999999998</v>
      </c>
      <c r="C2351">
        <v>0.71819999999999995</v>
      </c>
    </row>
    <row r="2352" spans="1:3" x14ac:dyDescent="0.25">
      <c r="A2352" s="1">
        <v>43522</v>
      </c>
      <c r="B2352">
        <v>0.71489999999999998</v>
      </c>
      <c r="C2352">
        <v>0.71530000000000005</v>
      </c>
    </row>
    <row r="2353" spans="1:3" x14ac:dyDescent="0.25">
      <c r="A2353" s="1">
        <v>43523</v>
      </c>
      <c r="B2353">
        <v>0.71640000000000004</v>
      </c>
      <c r="C2353">
        <v>0.7167</v>
      </c>
    </row>
    <row r="2354" spans="1:3" x14ac:dyDescent="0.25">
      <c r="A2354" s="1">
        <v>43524</v>
      </c>
      <c r="B2354">
        <v>0.71399999999999997</v>
      </c>
      <c r="C2354">
        <v>0.71440000000000003</v>
      </c>
    </row>
    <row r="2355" spans="1:3" x14ac:dyDescent="0.25">
      <c r="A2355" s="1">
        <v>43525</v>
      </c>
      <c r="B2355">
        <v>0.71130000000000004</v>
      </c>
      <c r="C2355">
        <v>0.7117</v>
      </c>
    </row>
    <row r="2356" spans="1:3" x14ac:dyDescent="0.25">
      <c r="A2356" s="1">
        <v>43529</v>
      </c>
      <c r="B2356">
        <v>0.70789999999999997</v>
      </c>
      <c r="C2356">
        <v>0.70820000000000005</v>
      </c>
    </row>
    <row r="2357" spans="1:3" x14ac:dyDescent="0.25">
      <c r="A2357" s="1">
        <v>43530</v>
      </c>
      <c r="B2357">
        <v>0.70350000000000001</v>
      </c>
      <c r="C2357">
        <v>0.70379999999999998</v>
      </c>
    </row>
    <row r="2358" spans="1:3" x14ac:dyDescent="0.25">
      <c r="A2358" s="1">
        <v>43531</v>
      </c>
      <c r="B2358">
        <v>0.70450000000000002</v>
      </c>
      <c r="C2358">
        <v>0.70479999999999998</v>
      </c>
    </row>
    <row r="2359" spans="1:3" x14ac:dyDescent="0.25">
      <c r="A2359" s="1">
        <v>43532</v>
      </c>
      <c r="B2359">
        <v>0.70240000000000002</v>
      </c>
      <c r="C2359">
        <v>0.70269999999999999</v>
      </c>
    </row>
    <row r="2360" spans="1:3" x14ac:dyDescent="0.25">
      <c r="A2360" s="1">
        <v>43535</v>
      </c>
      <c r="B2360">
        <v>0.7046</v>
      </c>
      <c r="C2360">
        <v>0.70489999999999997</v>
      </c>
    </row>
    <row r="2361" spans="1:3" x14ac:dyDescent="0.25">
      <c r="A2361" s="1">
        <v>43536</v>
      </c>
      <c r="B2361">
        <v>0.70640000000000003</v>
      </c>
      <c r="C2361">
        <v>0.70669999999999999</v>
      </c>
    </row>
    <row r="2362" spans="1:3" x14ac:dyDescent="0.25">
      <c r="A2362" s="1">
        <v>43537</v>
      </c>
      <c r="B2362">
        <v>0.70569999999999999</v>
      </c>
      <c r="C2362">
        <v>0.70599999999999996</v>
      </c>
    </row>
    <row r="2363" spans="1:3" x14ac:dyDescent="0.25">
      <c r="A2363" s="1">
        <v>43538</v>
      </c>
      <c r="B2363">
        <v>0.70479999999999998</v>
      </c>
      <c r="C2363">
        <v>0.70509999999999995</v>
      </c>
    </row>
    <row r="2364" spans="1:3" x14ac:dyDescent="0.25">
      <c r="A2364" s="1">
        <v>43542</v>
      </c>
      <c r="B2364">
        <v>0.71099999999999997</v>
      </c>
      <c r="C2364">
        <v>0.71130000000000004</v>
      </c>
    </row>
    <row r="2365" spans="1:3" x14ac:dyDescent="0.25">
      <c r="A2365" s="1">
        <v>43543</v>
      </c>
      <c r="B2365">
        <v>0.70989999999999998</v>
      </c>
      <c r="C2365">
        <v>0.71030000000000004</v>
      </c>
    </row>
    <row r="2366" spans="1:3" x14ac:dyDescent="0.25">
      <c r="A2366" s="1">
        <v>43544</v>
      </c>
      <c r="B2366">
        <v>0.70889999999999997</v>
      </c>
      <c r="C2366">
        <v>0.70930000000000004</v>
      </c>
    </row>
    <row r="2367" spans="1:3" x14ac:dyDescent="0.25">
      <c r="A2367" s="1">
        <v>43546</v>
      </c>
      <c r="B2367">
        <v>0.70909999999999995</v>
      </c>
      <c r="C2367">
        <v>0.70950000000000002</v>
      </c>
    </row>
    <row r="2368" spans="1:3" x14ac:dyDescent="0.25">
      <c r="A2368" s="1">
        <v>43549</v>
      </c>
      <c r="B2368">
        <v>0.70930000000000004</v>
      </c>
      <c r="C2368">
        <v>0.7097</v>
      </c>
    </row>
    <row r="2369" spans="1:3" x14ac:dyDescent="0.25">
      <c r="A2369" s="1">
        <v>43550</v>
      </c>
      <c r="B2369">
        <v>0.71250000000000002</v>
      </c>
      <c r="C2369">
        <v>0.71289999999999998</v>
      </c>
    </row>
    <row r="2370" spans="1:3" x14ac:dyDescent="0.25">
      <c r="A2370" s="1">
        <v>43551</v>
      </c>
      <c r="B2370">
        <v>0.70960000000000001</v>
      </c>
      <c r="C2370">
        <v>0.71</v>
      </c>
    </row>
    <row r="2371" spans="1:3" x14ac:dyDescent="0.25">
      <c r="A2371" s="1">
        <v>43552</v>
      </c>
      <c r="B2371">
        <v>0.70830000000000004</v>
      </c>
      <c r="C2371">
        <v>0.7087</v>
      </c>
    </row>
    <row r="2372" spans="1:3" x14ac:dyDescent="0.25">
      <c r="A2372" s="1">
        <v>43553</v>
      </c>
      <c r="B2372">
        <v>0.70889999999999997</v>
      </c>
      <c r="C2372">
        <v>0.70930000000000004</v>
      </c>
    </row>
    <row r="2373" spans="1:3" x14ac:dyDescent="0.25">
      <c r="A2373" s="1">
        <v>43557</v>
      </c>
      <c r="B2373">
        <v>0.7087</v>
      </c>
      <c r="C2373">
        <v>0.70920000000000005</v>
      </c>
    </row>
    <row r="2374" spans="1:3" x14ac:dyDescent="0.25">
      <c r="A2374" s="1">
        <v>43558</v>
      </c>
      <c r="B2374">
        <v>0.71160000000000001</v>
      </c>
      <c r="C2374">
        <v>0.71199999999999997</v>
      </c>
    </row>
    <row r="2375" spans="1:3" x14ac:dyDescent="0.25">
      <c r="A2375" s="1">
        <v>43559</v>
      </c>
      <c r="B2375">
        <v>0.71099999999999997</v>
      </c>
      <c r="C2375">
        <v>0.71140000000000003</v>
      </c>
    </row>
    <row r="2376" spans="1:3" x14ac:dyDescent="0.25">
      <c r="A2376" s="1">
        <v>43560</v>
      </c>
      <c r="B2376">
        <v>0.7117</v>
      </c>
      <c r="C2376">
        <v>0.71209999999999996</v>
      </c>
    </row>
    <row r="2377" spans="1:3" x14ac:dyDescent="0.25">
      <c r="A2377" s="1">
        <v>43563</v>
      </c>
      <c r="B2377">
        <v>0.7107</v>
      </c>
      <c r="C2377">
        <v>0.71109999999999995</v>
      </c>
    </row>
    <row r="2378" spans="1:3" x14ac:dyDescent="0.25">
      <c r="A2378" s="1">
        <v>43564</v>
      </c>
      <c r="B2378">
        <v>0.71419999999999995</v>
      </c>
      <c r="C2378">
        <v>0.7147</v>
      </c>
    </row>
    <row r="2379" spans="1:3" x14ac:dyDescent="0.25">
      <c r="A2379" s="1">
        <v>43565</v>
      </c>
      <c r="B2379">
        <v>0.71489999999999998</v>
      </c>
      <c r="C2379">
        <v>0.71530000000000005</v>
      </c>
    </row>
    <row r="2380" spans="1:3" x14ac:dyDescent="0.25">
      <c r="A2380" s="1">
        <v>43566</v>
      </c>
      <c r="B2380">
        <v>0.71530000000000005</v>
      </c>
      <c r="C2380">
        <v>0.7157</v>
      </c>
    </row>
    <row r="2381" spans="1:3" x14ac:dyDescent="0.25">
      <c r="A2381" s="1">
        <v>43567</v>
      </c>
      <c r="B2381">
        <v>0.71740000000000004</v>
      </c>
      <c r="C2381">
        <v>0.71789999999999998</v>
      </c>
    </row>
    <row r="2382" spans="1:3" x14ac:dyDescent="0.25">
      <c r="A2382" s="1">
        <v>43570</v>
      </c>
      <c r="B2382">
        <v>0.71760000000000002</v>
      </c>
      <c r="C2382">
        <v>0.71809999999999996</v>
      </c>
    </row>
    <row r="2383" spans="1:3" x14ac:dyDescent="0.25">
      <c r="A2383" s="1">
        <v>43571</v>
      </c>
      <c r="B2383">
        <v>0.71519999999999995</v>
      </c>
      <c r="C2383">
        <v>0.7157</v>
      </c>
    </row>
    <row r="2384" spans="1:3" x14ac:dyDescent="0.25">
      <c r="A2384" s="1">
        <v>43573</v>
      </c>
      <c r="B2384">
        <v>0.71589999999999998</v>
      </c>
      <c r="C2384">
        <v>0.71630000000000005</v>
      </c>
    </row>
    <row r="2385" spans="1:3" x14ac:dyDescent="0.25">
      <c r="A2385" s="1">
        <v>43577</v>
      </c>
      <c r="B2385">
        <v>0.71360000000000001</v>
      </c>
      <c r="C2385">
        <v>0.71399999999999997</v>
      </c>
    </row>
    <row r="2386" spans="1:3" x14ac:dyDescent="0.25">
      <c r="A2386" s="1">
        <v>43578</v>
      </c>
      <c r="B2386">
        <v>0.71099999999999997</v>
      </c>
      <c r="C2386">
        <v>0.71150000000000002</v>
      </c>
    </row>
    <row r="2387" spans="1:3" x14ac:dyDescent="0.25">
      <c r="A2387" s="1">
        <v>43579</v>
      </c>
      <c r="B2387">
        <v>0.70299999999999996</v>
      </c>
      <c r="C2387">
        <v>0.70350000000000001</v>
      </c>
    </row>
    <row r="2388" spans="1:3" x14ac:dyDescent="0.25">
      <c r="A2388" s="1">
        <v>43580</v>
      </c>
      <c r="B2388">
        <v>0.70020000000000004</v>
      </c>
      <c r="C2388">
        <v>0.70069999999999999</v>
      </c>
    </row>
    <row r="2389" spans="1:3" x14ac:dyDescent="0.25">
      <c r="A2389" s="1">
        <v>43581</v>
      </c>
      <c r="B2389">
        <v>0.70389999999999997</v>
      </c>
      <c r="C2389">
        <v>0.70440000000000003</v>
      </c>
    </row>
    <row r="2390" spans="1:3" x14ac:dyDescent="0.25">
      <c r="A2390" s="1">
        <v>43585</v>
      </c>
      <c r="B2390">
        <v>0.70550000000000002</v>
      </c>
      <c r="C2390">
        <v>0.70599999999999996</v>
      </c>
    </row>
    <row r="2391" spans="1:3" x14ac:dyDescent="0.25">
      <c r="A2391" s="1">
        <v>43587</v>
      </c>
      <c r="B2391">
        <v>0.70230000000000004</v>
      </c>
      <c r="C2391">
        <v>0.70279999999999998</v>
      </c>
    </row>
    <row r="2392" spans="1:3" x14ac:dyDescent="0.25">
      <c r="A2392" s="1">
        <v>43588</v>
      </c>
      <c r="B2392">
        <v>0.69930000000000003</v>
      </c>
      <c r="C2392">
        <v>0.69979999999999998</v>
      </c>
    </row>
    <row r="2393" spans="1:3" x14ac:dyDescent="0.25">
      <c r="A2393" s="1">
        <v>43591</v>
      </c>
      <c r="B2393">
        <v>0.69899999999999995</v>
      </c>
      <c r="C2393">
        <v>0.6996</v>
      </c>
    </row>
    <row r="2394" spans="1:3" x14ac:dyDescent="0.25">
      <c r="A2394" s="1">
        <v>43592</v>
      </c>
      <c r="B2394">
        <v>0.70189999999999997</v>
      </c>
      <c r="C2394">
        <v>0.70240000000000002</v>
      </c>
    </row>
    <row r="2395" spans="1:3" x14ac:dyDescent="0.25">
      <c r="A2395" s="1">
        <v>43593</v>
      </c>
      <c r="B2395">
        <v>0.70030000000000003</v>
      </c>
      <c r="C2395">
        <v>0.70079999999999998</v>
      </c>
    </row>
    <row r="2396" spans="1:3" x14ac:dyDescent="0.25">
      <c r="A2396" s="1">
        <v>43594</v>
      </c>
      <c r="B2396">
        <v>0.69699999999999995</v>
      </c>
      <c r="C2396">
        <v>0.69750000000000001</v>
      </c>
    </row>
    <row r="2397" spans="1:3" x14ac:dyDescent="0.25">
      <c r="A2397" s="1">
        <v>43595</v>
      </c>
      <c r="B2397">
        <v>0.69920000000000004</v>
      </c>
      <c r="C2397">
        <v>0.69969999999999999</v>
      </c>
    </row>
    <row r="2398" spans="1:3" x14ac:dyDescent="0.25">
      <c r="A2398" s="1">
        <v>43598</v>
      </c>
      <c r="B2398">
        <v>0.69789999999999996</v>
      </c>
      <c r="C2398">
        <v>0.69840000000000002</v>
      </c>
    </row>
    <row r="2399" spans="1:3" x14ac:dyDescent="0.25">
      <c r="A2399" s="1">
        <v>43599</v>
      </c>
      <c r="B2399">
        <v>0.69440000000000002</v>
      </c>
      <c r="C2399">
        <v>0.69489999999999996</v>
      </c>
    </row>
    <row r="2400" spans="1:3" x14ac:dyDescent="0.25">
      <c r="A2400" s="1">
        <v>43600</v>
      </c>
      <c r="B2400">
        <v>0.69179999999999997</v>
      </c>
      <c r="C2400">
        <v>0.69230000000000003</v>
      </c>
    </row>
    <row r="2401" spans="1:3" x14ac:dyDescent="0.25">
      <c r="A2401" s="1">
        <v>43601</v>
      </c>
      <c r="B2401">
        <v>0.69220000000000004</v>
      </c>
      <c r="C2401">
        <v>0.69269999999999998</v>
      </c>
    </row>
    <row r="2402" spans="1:3" x14ac:dyDescent="0.25">
      <c r="A2402" s="1">
        <v>43602</v>
      </c>
      <c r="B2402">
        <v>0.68789999999999996</v>
      </c>
      <c r="C2402">
        <v>0.68840000000000001</v>
      </c>
    </row>
    <row r="2403" spans="1:3" x14ac:dyDescent="0.25">
      <c r="A2403" s="1">
        <v>43605</v>
      </c>
      <c r="B2403">
        <v>0.69169999999999998</v>
      </c>
      <c r="C2403">
        <v>0.69230000000000003</v>
      </c>
    </row>
    <row r="2404" spans="1:3" x14ac:dyDescent="0.25">
      <c r="A2404" s="1">
        <v>43606</v>
      </c>
      <c r="B2404">
        <v>0.6875</v>
      </c>
      <c r="C2404">
        <v>0.68810000000000004</v>
      </c>
    </row>
    <row r="2405" spans="1:3" x14ac:dyDescent="0.25">
      <c r="A2405" s="1">
        <v>43607</v>
      </c>
      <c r="B2405">
        <v>0.68859999999999999</v>
      </c>
      <c r="C2405">
        <v>0.68920000000000003</v>
      </c>
    </row>
    <row r="2406" spans="1:3" x14ac:dyDescent="0.25">
      <c r="A2406" s="1">
        <v>43608</v>
      </c>
      <c r="B2406">
        <v>0.6875</v>
      </c>
      <c r="C2406">
        <v>0.68810000000000004</v>
      </c>
    </row>
    <row r="2407" spans="1:3" x14ac:dyDescent="0.25">
      <c r="A2407" s="1">
        <v>43609</v>
      </c>
      <c r="B2407">
        <v>0.69059999999999999</v>
      </c>
      <c r="C2407">
        <v>0.69120000000000004</v>
      </c>
    </row>
    <row r="2408" spans="1:3" x14ac:dyDescent="0.25">
      <c r="A2408" s="1">
        <v>43612</v>
      </c>
      <c r="B2408">
        <v>0.69240000000000002</v>
      </c>
      <c r="C2408">
        <v>0.69289999999999996</v>
      </c>
    </row>
    <row r="2409" spans="1:3" x14ac:dyDescent="0.25">
      <c r="A2409" s="1">
        <v>43613</v>
      </c>
      <c r="B2409">
        <v>0.69259999999999999</v>
      </c>
      <c r="C2409">
        <v>0.69310000000000005</v>
      </c>
    </row>
    <row r="2410" spans="1:3" x14ac:dyDescent="0.25">
      <c r="A2410" s="1">
        <v>43614</v>
      </c>
      <c r="B2410">
        <v>0.69220000000000004</v>
      </c>
      <c r="C2410">
        <v>0.69279999999999997</v>
      </c>
    </row>
    <row r="2411" spans="1:3" x14ac:dyDescent="0.25">
      <c r="A2411" s="1">
        <v>43615</v>
      </c>
      <c r="B2411">
        <v>0.69199999999999995</v>
      </c>
      <c r="C2411">
        <v>0.69259999999999999</v>
      </c>
    </row>
    <row r="2412" spans="1:3" x14ac:dyDescent="0.25">
      <c r="A2412" s="1">
        <v>43616</v>
      </c>
      <c r="B2412">
        <v>0.69159999999999999</v>
      </c>
      <c r="C2412">
        <v>0.69220000000000004</v>
      </c>
    </row>
    <row r="2413" spans="1:3" x14ac:dyDescent="0.25">
      <c r="A2413" s="1">
        <v>43619</v>
      </c>
      <c r="B2413">
        <v>0.69599999999999995</v>
      </c>
      <c r="C2413">
        <v>0.6966</v>
      </c>
    </row>
    <row r="2414" spans="1:3" x14ac:dyDescent="0.25">
      <c r="A2414" s="1">
        <v>43620</v>
      </c>
      <c r="B2414">
        <v>0.69869999999999999</v>
      </c>
      <c r="C2414">
        <v>0.69930000000000003</v>
      </c>
    </row>
    <row r="2415" spans="1:3" x14ac:dyDescent="0.25">
      <c r="A2415" s="1">
        <v>43622</v>
      </c>
      <c r="B2415">
        <v>0.69740000000000002</v>
      </c>
      <c r="C2415">
        <v>0.69789999999999996</v>
      </c>
    </row>
    <row r="2416" spans="1:3" x14ac:dyDescent="0.25">
      <c r="A2416" s="1">
        <v>43623</v>
      </c>
      <c r="B2416">
        <v>0.69710000000000005</v>
      </c>
      <c r="C2416">
        <v>0.6976</v>
      </c>
    </row>
    <row r="2417" spans="1:3" x14ac:dyDescent="0.25">
      <c r="A2417" s="1">
        <v>43626</v>
      </c>
      <c r="B2417">
        <v>0.69610000000000005</v>
      </c>
      <c r="C2417">
        <v>0.6966</v>
      </c>
    </row>
    <row r="2418" spans="1:3" x14ac:dyDescent="0.25">
      <c r="A2418" s="1">
        <v>43627</v>
      </c>
      <c r="B2418">
        <v>0.6956</v>
      </c>
      <c r="C2418">
        <v>0.69620000000000004</v>
      </c>
    </row>
    <row r="2419" spans="1:3" x14ac:dyDescent="0.25">
      <c r="A2419" s="1">
        <v>43628</v>
      </c>
      <c r="B2419">
        <v>0.69499999999999995</v>
      </c>
      <c r="C2419">
        <v>0.6956</v>
      </c>
    </row>
    <row r="2420" spans="1:3" x14ac:dyDescent="0.25">
      <c r="A2420" s="1">
        <v>43629</v>
      </c>
      <c r="B2420">
        <v>0.6905</v>
      </c>
      <c r="C2420">
        <v>0.69110000000000005</v>
      </c>
    </row>
    <row r="2421" spans="1:3" x14ac:dyDescent="0.25">
      <c r="A2421" s="1">
        <v>43630</v>
      </c>
      <c r="B2421">
        <v>0.69010000000000005</v>
      </c>
      <c r="C2421">
        <v>0.69069999999999998</v>
      </c>
    </row>
    <row r="2422" spans="1:3" x14ac:dyDescent="0.25">
      <c r="A2422" s="1">
        <v>43633</v>
      </c>
      <c r="B2422">
        <v>0.68689999999999996</v>
      </c>
      <c r="C2422">
        <v>0.6875</v>
      </c>
    </row>
    <row r="2423" spans="1:3" x14ac:dyDescent="0.25">
      <c r="A2423" s="1">
        <v>43634</v>
      </c>
      <c r="B2423">
        <v>0.68430000000000002</v>
      </c>
      <c r="C2423">
        <v>0.68489999999999995</v>
      </c>
    </row>
    <row r="2424" spans="1:3" x14ac:dyDescent="0.25">
      <c r="A2424" s="1">
        <v>43635</v>
      </c>
      <c r="B2424">
        <v>0.68730000000000002</v>
      </c>
      <c r="C2424">
        <v>0.68789999999999996</v>
      </c>
    </row>
    <row r="2425" spans="1:3" x14ac:dyDescent="0.25">
      <c r="A2425" s="1">
        <v>43636</v>
      </c>
      <c r="B2425">
        <v>0.69259999999999999</v>
      </c>
      <c r="C2425">
        <v>0.69330000000000003</v>
      </c>
    </row>
    <row r="2426" spans="1:3" x14ac:dyDescent="0.25">
      <c r="A2426" s="1">
        <v>43637</v>
      </c>
      <c r="B2426">
        <v>0.69040000000000001</v>
      </c>
      <c r="C2426">
        <v>0.69110000000000005</v>
      </c>
    </row>
    <row r="2427" spans="1:3" x14ac:dyDescent="0.25">
      <c r="A2427" s="1">
        <v>43640</v>
      </c>
      <c r="B2427">
        <v>0.69540000000000002</v>
      </c>
      <c r="C2427">
        <v>0.69610000000000005</v>
      </c>
    </row>
    <row r="2428" spans="1:3" x14ac:dyDescent="0.25">
      <c r="A2428" s="1">
        <v>43641</v>
      </c>
      <c r="B2428">
        <v>0.69710000000000005</v>
      </c>
      <c r="C2428">
        <v>0.69779999999999998</v>
      </c>
    </row>
    <row r="2429" spans="1:3" x14ac:dyDescent="0.25">
      <c r="A2429" s="1">
        <v>43642</v>
      </c>
      <c r="B2429">
        <v>0.69830000000000003</v>
      </c>
      <c r="C2429">
        <v>0.69910000000000005</v>
      </c>
    </row>
    <row r="2430" spans="1:3" x14ac:dyDescent="0.25">
      <c r="A2430" s="1">
        <v>43643</v>
      </c>
      <c r="B2430">
        <v>0.69910000000000005</v>
      </c>
      <c r="C2430">
        <v>0.69979999999999998</v>
      </c>
    </row>
    <row r="2431" spans="1:3" x14ac:dyDescent="0.25">
      <c r="A2431" s="1">
        <v>43644</v>
      </c>
      <c r="B2431">
        <v>0.70030000000000003</v>
      </c>
      <c r="C2431">
        <v>0.70099999999999996</v>
      </c>
    </row>
    <row r="2432" spans="1:3" x14ac:dyDescent="0.25">
      <c r="A2432" s="1">
        <v>43647</v>
      </c>
      <c r="B2432">
        <v>0.69969999999999999</v>
      </c>
      <c r="C2432">
        <v>0.70050000000000001</v>
      </c>
    </row>
    <row r="2433" spans="1:3" x14ac:dyDescent="0.25">
      <c r="A2433" s="1">
        <v>43648</v>
      </c>
      <c r="B2433">
        <v>0.69840000000000002</v>
      </c>
      <c r="C2433">
        <v>0.69920000000000004</v>
      </c>
    </row>
    <row r="2434" spans="1:3" x14ac:dyDescent="0.25">
      <c r="A2434" s="1">
        <v>43649</v>
      </c>
      <c r="B2434">
        <v>0.70199999999999996</v>
      </c>
      <c r="C2434">
        <v>0.70279999999999998</v>
      </c>
    </row>
    <row r="2435" spans="1:3" x14ac:dyDescent="0.25">
      <c r="A2435" s="1">
        <v>43650</v>
      </c>
      <c r="B2435">
        <v>0.70350000000000001</v>
      </c>
      <c r="C2435">
        <v>0.70420000000000005</v>
      </c>
    </row>
    <row r="2436" spans="1:3" x14ac:dyDescent="0.25">
      <c r="A2436" s="1">
        <v>43651</v>
      </c>
      <c r="B2436">
        <v>0.70150000000000001</v>
      </c>
      <c r="C2436">
        <v>0.70230000000000004</v>
      </c>
    </row>
    <row r="2437" spans="1:3" x14ac:dyDescent="0.25">
      <c r="A2437" s="1">
        <v>43654</v>
      </c>
      <c r="B2437">
        <v>0.69869999999999999</v>
      </c>
      <c r="C2437">
        <v>0.69950000000000001</v>
      </c>
    </row>
    <row r="2438" spans="1:3" x14ac:dyDescent="0.25">
      <c r="A2438" s="1">
        <v>43655</v>
      </c>
      <c r="B2438">
        <v>0.69630000000000003</v>
      </c>
      <c r="C2438">
        <v>0.69710000000000005</v>
      </c>
    </row>
    <row r="2439" spans="1:3" x14ac:dyDescent="0.25">
      <c r="A2439" s="1">
        <v>43656</v>
      </c>
      <c r="B2439">
        <v>0.69199999999999995</v>
      </c>
      <c r="C2439">
        <v>0.69269999999999998</v>
      </c>
    </row>
    <row r="2440" spans="1:3" x14ac:dyDescent="0.25">
      <c r="A2440" s="1">
        <v>43657</v>
      </c>
      <c r="B2440">
        <v>0.69850000000000001</v>
      </c>
      <c r="C2440">
        <v>0.69920000000000004</v>
      </c>
    </row>
    <row r="2441" spans="1:3" x14ac:dyDescent="0.25">
      <c r="A2441" s="1">
        <v>43658</v>
      </c>
      <c r="B2441">
        <v>0.69950000000000001</v>
      </c>
      <c r="C2441">
        <v>0.70020000000000004</v>
      </c>
    </row>
    <row r="2442" spans="1:3" x14ac:dyDescent="0.25">
      <c r="A2442" s="1">
        <v>43661</v>
      </c>
      <c r="B2442">
        <v>0.70289999999999997</v>
      </c>
      <c r="C2442">
        <v>0.70369999999999999</v>
      </c>
    </row>
    <row r="2443" spans="1:3" x14ac:dyDescent="0.25">
      <c r="A2443" s="1">
        <v>43662</v>
      </c>
      <c r="B2443">
        <v>0.70299999999999996</v>
      </c>
      <c r="C2443">
        <v>0.70369999999999999</v>
      </c>
    </row>
    <row r="2444" spans="1:3" x14ac:dyDescent="0.25">
      <c r="A2444" s="1">
        <v>43663</v>
      </c>
      <c r="B2444">
        <v>0.70050000000000001</v>
      </c>
      <c r="C2444">
        <v>0.70120000000000005</v>
      </c>
    </row>
    <row r="2445" spans="1:3" x14ac:dyDescent="0.25">
      <c r="A2445" s="1">
        <v>43664</v>
      </c>
      <c r="B2445">
        <v>0.7036</v>
      </c>
      <c r="C2445">
        <v>0.70420000000000005</v>
      </c>
    </row>
    <row r="2446" spans="1:3" x14ac:dyDescent="0.25">
      <c r="A2446" s="1">
        <v>43665</v>
      </c>
      <c r="B2446">
        <v>0.70679999999999998</v>
      </c>
      <c r="C2446">
        <v>0.70740000000000003</v>
      </c>
    </row>
    <row r="2447" spans="1:3" x14ac:dyDescent="0.25">
      <c r="A2447" s="1">
        <v>43668</v>
      </c>
      <c r="B2447">
        <v>0.70409999999999995</v>
      </c>
      <c r="C2447">
        <v>0.70479999999999998</v>
      </c>
    </row>
    <row r="2448" spans="1:3" x14ac:dyDescent="0.25">
      <c r="A2448" s="1">
        <v>43669</v>
      </c>
      <c r="B2448">
        <v>0.70330000000000004</v>
      </c>
      <c r="C2448">
        <v>0.70399999999999996</v>
      </c>
    </row>
    <row r="2449" spans="1:3" x14ac:dyDescent="0.25">
      <c r="A2449" s="1">
        <v>43670</v>
      </c>
      <c r="B2449">
        <v>0.69810000000000005</v>
      </c>
      <c r="C2449">
        <v>0.69879999999999998</v>
      </c>
    </row>
    <row r="2450" spans="1:3" x14ac:dyDescent="0.25">
      <c r="A2450" s="1">
        <v>43671</v>
      </c>
      <c r="B2450">
        <v>0.6966</v>
      </c>
      <c r="C2450">
        <v>0.69730000000000003</v>
      </c>
    </row>
    <row r="2451" spans="1:3" x14ac:dyDescent="0.25">
      <c r="A2451" s="1">
        <v>43672</v>
      </c>
      <c r="B2451">
        <v>0.69289999999999996</v>
      </c>
      <c r="C2451">
        <v>0.69359999999999999</v>
      </c>
    </row>
    <row r="2452" spans="1:3" x14ac:dyDescent="0.25">
      <c r="A2452" s="1">
        <v>43675</v>
      </c>
      <c r="B2452">
        <v>0.69020000000000004</v>
      </c>
      <c r="C2452">
        <v>0.69089999999999996</v>
      </c>
    </row>
    <row r="2453" spans="1:3" x14ac:dyDescent="0.25">
      <c r="A2453" s="1">
        <v>43676</v>
      </c>
      <c r="B2453">
        <v>0.68830000000000002</v>
      </c>
      <c r="C2453">
        <v>0.68910000000000005</v>
      </c>
    </row>
    <row r="2454" spans="1:3" x14ac:dyDescent="0.25">
      <c r="A2454" s="1">
        <v>43677</v>
      </c>
      <c r="B2454">
        <v>0.68930000000000002</v>
      </c>
      <c r="C2454">
        <v>0.69010000000000005</v>
      </c>
    </row>
    <row r="2455" spans="1:3" x14ac:dyDescent="0.25">
      <c r="A2455" s="1">
        <v>43678</v>
      </c>
      <c r="B2455">
        <v>0.68420000000000003</v>
      </c>
      <c r="C2455">
        <v>0.68489999999999995</v>
      </c>
    </row>
    <row r="2456" spans="1:3" x14ac:dyDescent="0.25">
      <c r="A2456" s="1">
        <v>43679</v>
      </c>
      <c r="B2456">
        <v>0.67900000000000005</v>
      </c>
      <c r="C2456">
        <v>0.67969999999999997</v>
      </c>
    </row>
    <row r="2457" spans="1:3" x14ac:dyDescent="0.25">
      <c r="A2457" s="1">
        <v>43682</v>
      </c>
      <c r="B2457">
        <v>0.67649999999999999</v>
      </c>
      <c r="C2457">
        <v>0.67730000000000001</v>
      </c>
    </row>
    <row r="2458" spans="1:3" x14ac:dyDescent="0.25">
      <c r="A2458" s="1">
        <v>43683</v>
      </c>
      <c r="B2458">
        <v>0.67900000000000005</v>
      </c>
      <c r="C2458">
        <v>0.67969999999999997</v>
      </c>
    </row>
    <row r="2459" spans="1:3" x14ac:dyDescent="0.25">
      <c r="A2459" s="1">
        <v>43684</v>
      </c>
      <c r="B2459">
        <v>0.67</v>
      </c>
      <c r="C2459">
        <v>0.67059999999999997</v>
      </c>
    </row>
    <row r="2460" spans="1:3" x14ac:dyDescent="0.25">
      <c r="A2460" s="1">
        <v>43685</v>
      </c>
      <c r="B2460">
        <v>0.6784</v>
      </c>
      <c r="C2460">
        <v>0.67910000000000004</v>
      </c>
    </row>
    <row r="2461" spans="1:3" x14ac:dyDescent="0.25">
      <c r="A2461" s="1">
        <v>43686</v>
      </c>
      <c r="B2461">
        <v>0.68059999999999998</v>
      </c>
      <c r="C2461">
        <v>0.68130000000000002</v>
      </c>
    </row>
    <row r="2462" spans="1:3" x14ac:dyDescent="0.25">
      <c r="A2462" s="1">
        <v>43690</v>
      </c>
      <c r="B2462">
        <v>0.67679999999999996</v>
      </c>
      <c r="C2462">
        <v>0.67749999999999999</v>
      </c>
    </row>
    <row r="2463" spans="1:3" x14ac:dyDescent="0.25">
      <c r="A2463" s="1">
        <v>43691</v>
      </c>
      <c r="B2463">
        <v>0.67490000000000006</v>
      </c>
      <c r="C2463">
        <v>0.67559999999999998</v>
      </c>
    </row>
    <row r="2464" spans="1:3" x14ac:dyDescent="0.25">
      <c r="A2464" s="1">
        <v>43693</v>
      </c>
      <c r="B2464">
        <v>0.6784</v>
      </c>
      <c r="C2464">
        <v>0.67910000000000004</v>
      </c>
    </row>
    <row r="2465" spans="1:3" x14ac:dyDescent="0.25">
      <c r="A2465" s="1">
        <v>43696</v>
      </c>
      <c r="B2465">
        <v>0.67830000000000001</v>
      </c>
      <c r="C2465">
        <v>0.67900000000000005</v>
      </c>
    </row>
    <row r="2466" spans="1:3" x14ac:dyDescent="0.25">
      <c r="A2466" s="1">
        <v>43697</v>
      </c>
      <c r="B2466">
        <v>0.67800000000000005</v>
      </c>
      <c r="C2466">
        <v>0.67869999999999997</v>
      </c>
    </row>
    <row r="2467" spans="1:3" x14ac:dyDescent="0.25">
      <c r="A2467" s="1">
        <v>43698</v>
      </c>
      <c r="B2467">
        <v>0.67800000000000005</v>
      </c>
      <c r="C2467">
        <v>0.67869999999999997</v>
      </c>
    </row>
    <row r="2468" spans="1:3" x14ac:dyDescent="0.25">
      <c r="A2468" s="1">
        <v>43699</v>
      </c>
      <c r="B2468">
        <v>0.67589999999999995</v>
      </c>
      <c r="C2468">
        <v>0.67659999999999998</v>
      </c>
    </row>
    <row r="2469" spans="1:3" x14ac:dyDescent="0.25">
      <c r="A2469" s="1">
        <v>43700</v>
      </c>
      <c r="B2469">
        <v>0.67479999999999996</v>
      </c>
      <c r="C2469">
        <v>0.67549999999999999</v>
      </c>
    </row>
    <row r="2470" spans="1:3" x14ac:dyDescent="0.25">
      <c r="A2470" s="1">
        <v>43703</v>
      </c>
      <c r="B2470">
        <v>0.67330000000000001</v>
      </c>
      <c r="C2470">
        <v>0.67400000000000004</v>
      </c>
    </row>
    <row r="2471" spans="1:3" x14ac:dyDescent="0.25">
      <c r="A2471" s="1">
        <v>43704</v>
      </c>
      <c r="B2471">
        <v>0.67589999999999995</v>
      </c>
      <c r="C2471">
        <v>0.67659999999999998</v>
      </c>
    </row>
    <row r="2472" spans="1:3" x14ac:dyDescent="0.25">
      <c r="A2472" s="1">
        <v>43705</v>
      </c>
      <c r="B2472">
        <v>0.67449999999999999</v>
      </c>
      <c r="C2472">
        <v>0.67520000000000002</v>
      </c>
    </row>
    <row r="2473" spans="1:3" x14ac:dyDescent="0.25">
      <c r="A2473" s="1">
        <v>43706</v>
      </c>
      <c r="B2473">
        <v>0.67459999999999998</v>
      </c>
      <c r="C2473">
        <v>0.67520000000000002</v>
      </c>
    </row>
    <row r="2474" spans="1:3" x14ac:dyDescent="0.25">
      <c r="A2474" s="1">
        <v>43707</v>
      </c>
      <c r="B2474">
        <v>0.67279999999999995</v>
      </c>
      <c r="C2474">
        <v>0.6734</v>
      </c>
    </row>
    <row r="2475" spans="1:3" x14ac:dyDescent="0.25">
      <c r="A2475" s="1">
        <v>43711</v>
      </c>
      <c r="B2475">
        <v>0.67320000000000002</v>
      </c>
      <c r="C2475">
        <v>0.67390000000000005</v>
      </c>
    </row>
    <row r="2476" spans="1:3" x14ac:dyDescent="0.25">
      <c r="A2476" s="1">
        <v>43712</v>
      </c>
      <c r="B2476">
        <v>0.6784</v>
      </c>
      <c r="C2476">
        <v>0.67910000000000004</v>
      </c>
    </row>
    <row r="2477" spans="1:3" x14ac:dyDescent="0.25">
      <c r="A2477" s="1">
        <v>43713</v>
      </c>
      <c r="B2477">
        <v>0.6825</v>
      </c>
      <c r="C2477">
        <v>0.68310000000000004</v>
      </c>
    </row>
    <row r="2478" spans="1:3" x14ac:dyDescent="0.25">
      <c r="A2478" s="1">
        <v>43714</v>
      </c>
      <c r="B2478">
        <v>0.68189999999999995</v>
      </c>
      <c r="C2478">
        <v>0.6825</v>
      </c>
    </row>
    <row r="2479" spans="1:3" x14ac:dyDescent="0.25">
      <c r="A2479" s="1">
        <v>43717</v>
      </c>
      <c r="B2479">
        <v>0.68669999999999998</v>
      </c>
      <c r="C2479">
        <v>0.68740000000000001</v>
      </c>
    </row>
    <row r="2480" spans="1:3" x14ac:dyDescent="0.25">
      <c r="A2480" s="1">
        <v>43719</v>
      </c>
      <c r="B2480">
        <v>0.68659999999999999</v>
      </c>
      <c r="C2480">
        <v>0.68720000000000003</v>
      </c>
    </row>
    <row r="2481" spans="1:3" x14ac:dyDescent="0.25">
      <c r="A2481" s="1">
        <v>43720</v>
      </c>
      <c r="B2481">
        <v>0.68799999999999994</v>
      </c>
      <c r="C2481">
        <v>0.68859999999999999</v>
      </c>
    </row>
    <row r="2482" spans="1:3" x14ac:dyDescent="0.25">
      <c r="A2482" s="1">
        <v>43724</v>
      </c>
      <c r="B2482">
        <v>0.68769999999999998</v>
      </c>
      <c r="C2482">
        <v>0.68830000000000002</v>
      </c>
    </row>
    <row r="2483" spans="1:3" x14ac:dyDescent="0.25">
      <c r="A2483" s="1">
        <v>43725</v>
      </c>
      <c r="B2483">
        <v>0.68389999999999995</v>
      </c>
      <c r="C2483">
        <v>0.68459999999999999</v>
      </c>
    </row>
    <row r="2484" spans="1:3" x14ac:dyDescent="0.25">
      <c r="A2484" s="1">
        <v>43726</v>
      </c>
      <c r="B2484">
        <v>0.68459999999999999</v>
      </c>
      <c r="C2484">
        <v>0.68530000000000002</v>
      </c>
    </row>
    <row r="2485" spans="1:3" x14ac:dyDescent="0.25">
      <c r="A2485" s="1">
        <v>43727</v>
      </c>
      <c r="B2485">
        <v>0.67869999999999997</v>
      </c>
      <c r="C2485">
        <v>0.6794</v>
      </c>
    </row>
    <row r="2486" spans="1:3" x14ac:dyDescent="0.25">
      <c r="A2486" s="1">
        <v>43728</v>
      </c>
      <c r="B2486">
        <v>0.6794</v>
      </c>
      <c r="C2486">
        <v>0.68010000000000004</v>
      </c>
    </row>
    <row r="2487" spans="1:3" x14ac:dyDescent="0.25">
      <c r="A2487" s="1">
        <v>43731</v>
      </c>
      <c r="B2487">
        <v>0.67710000000000004</v>
      </c>
      <c r="C2487">
        <v>0.67769999999999997</v>
      </c>
    </row>
    <row r="2488" spans="1:3" x14ac:dyDescent="0.25">
      <c r="A2488" s="1">
        <v>43732</v>
      </c>
      <c r="B2488">
        <v>0.67749999999999999</v>
      </c>
      <c r="C2488">
        <v>0.67820000000000003</v>
      </c>
    </row>
    <row r="2489" spans="1:3" x14ac:dyDescent="0.25">
      <c r="A2489" s="1">
        <v>43733</v>
      </c>
      <c r="B2489">
        <v>0.67710000000000004</v>
      </c>
      <c r="C2489">
        <v>0.67789999999999995</v>
      </c>
    </row>
    <row r="2490" spans="1:3" x14ac:dyDescent="0.25">
      <c r="A2490" s="1">
        <v>43734</v>
      </c>
      <c r="B2490">
        <v>0.67620000000000002</v>
      </c>
      <c r="C2490">
        <v>0.67700000000000005</v>
      </c>
    </row>
    <row r="2491" spans="1:3" x14ac:dyDescent="0.25">
      <c r="A2491" s="1">
        <v>43735</v>
      </c>
      <c r="B2491">
        <v>0.67520000000000002</v>
      </c>
      <c r="C2491">
        <v>0.67589999999999995</v>
      </c>
    </row>
    <row r="2492" spans="1:3" x14ac:dyDescent="0.25">
      <c r="A2492" s="1">
        <v>43738</v>
      </c>
      <c r="B2492">
        <v>0.6754</v>
      </c>
      <c r="C2492">
        <v>0.67610000000000003</v>
      </c>
    </row>
    <row r="2493" spans="1:3" x14ac:dyDescent="0.25">
      <c r="A2493" s="1">
        <v>43739</v>
      </c>
      <c r="B2493">
        <v>0.67</v>
      </c>
      <c r="C2493">
        <v>0.67079999999999995</v>
      </c>
    </row>
    <row r="2494" spans="1:3" x14ac:dyDescent="0.25">
      <c r="A2494" s="1">
        <v>43741</v>
      </c>
      <c r="B2494">
        <v>0.67159999999999997</v>
      </c>
      <c r="C2494">
        <v>0.67230000000000001</v>
      </c>
    </row>
    <row r="2495" spans="1:3" x14ac:dyDescent="0.25">
      <c r="A2495" s="1">
        <v>43742</v>
      </c>
      <c r="B2495">
        <v>0.67620000000000002</v>
      </c>
      <c r="C2495">
        <v>0.67689999999999995</v>
      </c>
    </row>
    <row r="2496" spans="1:3" x14ac:dyDescent="0.25">
      <c r="A2496" s="1">
        <v>43745</v>
      </c>
      <c r="B2496">
        <v>0.67369999999999997</v>
      </c>
      <c r="C2496">
        <v>0.6744</v>
      </c>
    </row>
    <row r="2497" spans="1:3" x14ac:dyDescent="0.25">
      <c r="A2497" s="1">
        <v>43747</v>
      </c>
      <c r="B2497">
        <v>0.67430000000000001</v>
      </c>
      <c r="C2497">
        <v>0.67490000000000006</v>
      </c>
    </row>
    <row r="2498" spans="1:3" x14ac:dyDescent="0.25">
      <c r="A2498" s="1">
        <v>43748</v>
      </c>
      <c r="B2498">
        <v>0.6764</v>
      </c>
      <c r="C2498">
        <v>0.67700000000000005</v>
      </c>
    </row>
    <row r="2499" spans="1:3" x14ac:dyDescent="0.25">
      <c r="A2499" s="1">
        <v>43749</v>
      </c>
      <c r="B2499">
        <v>0.68010000000000004</v>
      </c>
      <c r="C2499">
        <v>0.68069999999999997</v>
      </c>
    </row>
    <row r="2500" spans="1:3" x14ac:dyDescent="0.25">
      <c r="A2500" s="1">
        <v>43752</v>
      </c>
      <c r="B2500">
        <v>0.6754</v>
      </c>
      <c r="C2500">
        <v>0.67600000000000005</v>
      </c>
    </row>
    <row r="2501" spans="1:3" x14ac:dyDescent="0.25">
      <c r="A2501" s="1">
        <v>43753</v>
      </c>
      <c r="B2501">
        <v>0.67530000000000001</v>
      </c>
      <c r="C2501">
        <v>0.67600000000000005</v>
      </c>
    </row>
    <row r="2502" spans="1:3" x14ac:dyDescent="0.25">
      <c r="A2502" s="1">
        <v>43754</v>
      </c>
      <c r="B2502">
        <v>0.6734</v>
      </c>
      <c r="C2502">
        <v>0.67400000000000004</v>
      </c>
    </row>
    <row r="2503" spans="1:3" x14ac:dyDescent="0.25">
      <c r="A2503" s="1">
        <v>43755</v>
      </c>
      <c r="B2503">
        <v>0.68279999999999996</v>
      </c>
      <c r="C2503">
        <v>0.68330000000000002</v>
      </c>
    </row>
    <row r="2504" spans="1:3" x14ac:dyDescent="0.25">
      <c r="A2504" s="1">
        <v>43756</v>
      </c>
      <c r="B2504">
        <v>0.68430000000000002</v>
      </c>
      <c r="C2504">
        <v>0.68489999999999995</v>
      </c>
    </row>
    <row r="2505" spans="1:3" x14ac:dyDescent="0.25">
      <c r="A2505" s="1">
        <v>43760</v>
      </c>
      <c r="B2505">
        <v>0.6855</v>
      </c>
      <c r="C2505">
        <v>0.68610000000000004</v>
      </c>
    </row>
    <row r="2506" spans="1:3" x14ac:dyDescent="0.25">
      <c r="A2506" s="1">
        <v>43761</v>
      </c>
      <c r="B2506">
        <v>0.68430000000000002</v>
      </c>
      <c r="C2506">
        <v>0.68489999999999995</v>
      </c>
    </row>
    <row r="2507" spans="1:3" x14ac:dyDescent="0.25">
      <c r="A2507" s="1">
        <v>43762</v>
      </c>
      <c r="B2507">
        <v>0.68369999999999997</v>
      </c>
      <c r="C2507">
        <v>0.68430000000000002</v>
      </c>
    </row>
    <row r="2508" spans="1:3" x14ac:dyDescent="0.25">
      <c r="A2508" s="1">
        <v>43763</v>
      </c>
      <c r="B2508">
        <v>0.68179999999999996</v>
      </c>
      <c r="C2508">
        <v>0.68240000000000001</v>
      </c>
    </row>
    <row r="2509" spans="1:3" x14ac:dyDescent="0.25">
      <c r="A2509" s="1">
        <v>43767</v>
      </c>
      <c r="B2509">
        <v>0.68520000000000003</v>
      </c>
      <c r="C2509">
        <v>0.68569999999999998</v>
      </c>
    </row>
    <row r="2510" spans="1:3" x14ac:dyDescent="0.25">
      <c r="A2510" s="1">
        <v>43768</v>
      </c>
      <c r="B2510">
        <v>0.68620000000000003</v>
      </c>
      <c r="C2510">
        <v>0.68669999999999998</v>
      </c>
    </row>
    <row r="2511" spans="1:3" x14ac:dyDescent="0.25">
      <c r="A2511" s="1">
        <v>43769</v>
      </c>
      <c r="B2511">
        <v>0.68969999999999998</v>
      </c>
      <c r="C2511">
        <v>0.69030000000000002</v>
      </c>
    </row>
    <row r="2512" spans="1:3" x14ac:dyDescent="0.25">
      <c r="A2512" s="1">
        <v>43770</v>
      </c>
      <c r="B2512">
        <v>0.69</v>
      </c>
      <c r="C2512">
        <v>0.69059999999999999</v>
      </c>
    </row>
    <row r="2513" spans="1:3" x14ac:dyDescent="0.25">
      <c r="A2513" s="1">
        <v>43773</v>
      </c>
      <c r="B2513">
        <v>0.69220000000000004</v>
      </c>
      <c r="C2513">
        <v>0.69279999999999997</v>
      </c>
    </row>
    <row r="2514" spans="1:3" x14ac:dyDescent="0.25">
      <c r="A2514" s="1">
        <v>43774</v>
      </c>
      <c r="B2514">
        <v>0.69010000000000005</v>
      </c>
      <c r="C2514">
        <v>0.69069999999999998</v>
      </c>
    </row>
    <row r="2515" spans="1:3" x14ac:dyDescent="0.25">
      <c r="A2515" s="1">
        <v>43775</v>
      </c>
      <c r="B2515">
        <v>0.6895</v>
      </c>
      <c r="C2515">
        <v>0.69</v>
      </c>
    </row>
    <row r="2516" spans="1:3" x14ac:dyDescent="0.25">
      <c r="A2516" s="1">
        <v>43776</v>
      </c>
      <c r="B2516">
        <v>0.68979999999999997</v>
      </c>
      <c r="C2516">
        <v>0.69030000000000002</v>
      </c>
    </row>
    <row r="2517" spans="1:3" x14ac:dyDescent="0.25">
      <c r="A2517" s="1">
        <v>43777</v>
      </c>
      <c r="B2517">
        <v>0.68640000000000001</v>
      </c>
      <c r="C2517">
        <v>0.68689999999999996</v>
      </c>
    </row>
    <row r="2518" spans="1:3" x14ac:dyDescent="0.25">
      <c r="A2518" s="1">
        <v>43780</v>
      </c>
      <c r="B2518">
        <v>0.68559999999999999</v>
      </c>
      <c r="C2518">
        <v>0.68610000000000004</v>
      </c>
    </row>
    <row r="2519" spans="1:3" x14ac:dyDescent="0.25">
      <c r="A2519" s="1">
        <v>43782</v>
      </c>
      <c r="B2519">
        <v>0.68259999999999998</v>
      </c>
      <c r="C2519">
        <v>0.68310000000000004</v>
      </c>
    </row>
    <row r="2520" spans="1:3" x14ac:dyDescent="0.25">
      <c r="A2520" s="1">
        <v>43783</v>
      </c>
      <c r="B2520">
        <v>0.6784</v>
      </c>
      <c r="C2520">
        <v>0.67889999999999995</v>
      </c>
    </row>
    <row r="2521" spans="1:3" x14ac:dyDescent="0.25">
      <c r="A2521" s="1">
        <v>43784</v>
      </c>
      <c r="B2521">
        <v>0.67920000000000003</v>
      </c>
      <c r="C2521">
        <v>0.67969999999999997</v>
      </c>
    </row>
    <row r="2522" spans="1:3" x14ac:dyDescent="0.25">
      <c r="A2522" s="1">
        <v>43787</v>
      </c>
      <c r="B2522">
        <v>0.68120000000000003</v>
      </c>
      <c r="C2522">
        <v>0.68169999999999997</v>
      </c>
    </row>
    <row r="2523" spans="1:3" x14ac:dyDescent="0.25">
      <c r="A2523" s="1">
        <v>43788</v>
      </c>
      <c r="B2523">
        <v>0.68179999999999996</v>
      </c>
      <c r="C2523">
        <v>0.68240000000000001</v>
      </c>
    </row>
    <row r="2524" spans="1:3" x14ac:dyDescent="0.25">
      <c r="A2524" s="1">
        <v>43789</v>
      </c>
      <c r="B2524">
        <v>0.68110000000000004</v>
      </c>
      <c r="C2524">
        <v>0.68159999999999998</v>
      </c>
    </row>
    <row r="2525" spans="1:3" x14ac:dyDescent="0.25">
      <c r="A2525" s="1">
        <v>43790</v>
      </c>
      <c r="B2525">
        <v>0.67949999999999999</v>
      </c>
      <c r="C2525">
        <v>0.68</v>
      </c>
    </row>
    <row r="2526" spans="1:3" x14ac:dyDescent="0.25">
      <c r="A2526" s="1">
        <v>43791</v>
      </c>
      <c r="B2526">
        <v>0.67869999999999997</v>
      </c>
      <c r="C2526">
        <v>0.67920000000000003</v>
      </c>
    </row>
    <row r="2527" spans="1:3" x14ac:dyDescent="0.25">
      <c r="A2527" s="1">
        <v>43794</v>
      </c>
      <c r="B2527">
        <v>0.67910000000000004</v>
      </c>
      <c r="C2527">
        <v>0.67959999999999998</v>
      </c>
    </row>
    <row r="2528" spans="1:3" x14ac:dyDescent="0.25">
      <c r="A2528" s="1">
        <v>43795</v>
      </c>
      <c r="B2528">
        <v>0.67779999999999996</v>
      </c>
      <c r="C2528">
        <v>0.67830000000000001</v>
      </c>
    </row>
    <row r="2529" spans="1:3" x14ac:dyDescent="0.25">
      <c r="A2529" s="1">
        <v>43796</v>
      </c>
      <c r="B2529">
        <v>0.6784</v>
      </c>
      <c r="C2529">
        <v>0.67889999999999995</v>
      </c>
    </row>
    <row r="2530" spans="1:3" x14ac:dyDescent="0.25">
      <c r="A2530" s="1">
        <v>43797</v>
      </c>
      <c r="B2530">
        <v>0.67689999999999995</v>
      </c>
      <c r="C2530">
        <v>0.67749999999999999</v>
      </c>
    </row>
    <row r="2531" spans="1:3" x14ac:dyDescent="0.25">
      <c r="A2531" s="1">
        <v>43798</v>
      </c>
      <c r="B2531">
        <v>0.6774</v>
      </c>
      <c r="C2531">
        <v>0.67800000000000005</v>
      </c>
    </row>
    <row r="2532" spans="1:3" x14ac:dyDescent="0.25">
      <c r="A2532" s="1">
        <v>43801</v>
      </c>
      <c r="B2532">
        <v>0.6784</v>
      </c>
      <c r="C2532">
        <v>0.67900000000000005</v>
      </c>
    </row>
    <row r="2533" spans="1:3" x14ac:dyDescent="0.25">
      <c r="A2533" s="1">
        <v>43802</v>
      </c>
      <c r="B2533">
        <v>0.68489999999999995</v>
      </c>
      <c r="C2533">
        <v>0.68540000000000001</v>
      </c>
    </row>
    <row r="2534" spans="1:3" x14ac:dyDescent="0.25">
      <c r="A2534" s="1">
        <v>43803</v>
      </c>
      <c r="B2534">
        <v>0.68310000000000004</v>
      </c>
      <c r="C2534">
        <v>0.68359999999999999</v>
      </c>
    </row>
    <row r="2535" spans="1:3" x14ac:dyDescent="0.25">
      <c r="A2535" s="1">
        <v>43804</v>
      </c>
      <c r="B2535">
        <v>0.68289999999999995</v>
      </c>
      <c r="C2535">
        <v>0.68340000000000001</v>
      </c>
    </row>
    <row r="2536" spans="1:3" x14ac:dyDescent="0.25">
      <c r="A2536" s="1">
        <v>43805</v>
      </c>
      <c r="B2536">
        <v>0.68510000000000004</v>
      </c>
      <c r="C2536">
        <v>0.68559999999999999</v>
      </c>
    </row>
    <row r="2537" spans="1:3" x14ac:dyDescent="0.25">
      <c r="A2537" s="1">
        <v>43808</v>
      </c>
      <c r="B2537">
        <v>0.68240000000000001</v>
      </c>
      <c r="C2537">
        <v>0.68289999999999995</v>
      </c>
    </row>
    <row r="2538" spans="1:3" x14ac:dyDescent="0.25">
      <c r="A2538" s="1">
        <v>43809</v>
      </c>
      <c r="B2538">
        <v>0.68130000000000002</v>
      </c>
      <c r="C2538">
        <v>0.68179999999999996</v>
      </c>
    </row>
    <row r="2539" spans="1:3" x14ac:dyDescent="0.25">
      <c r="A2539" s="1">
        <v>43810</v>
      </c>
      <c r="B2539">
        <v>0.68389999999999995</v>
      </c>
      <c r="C2539">
        <v>0.68440000000000001</v>
      </c>
    </row>
    <row r="2540" spans="1:3" x14ac:dyDescent="0.25">
      <c r="A2540" s="1">
        <v>43811</v>
      </c>
      <c r="B2540">
        <v>0.68910000000000005</v>
      </c>
      <c r="C2540">
        <v>0.68959999999999999</v>
      </c>
    </row>
    <row r="2541" spans="1:3" x14ac:dyDescent="0.25">
      <c r="A2541" s="1">
        <v>43812</v>
      </c>
      <c r="B2541">
        <v>0.69269999999999998</v>
      </c>
      <c r="C2541">
        <v>0.69320000000000004</v>
      </c>
    </row>
    <row r="2542" spans="1:3" x14ac:dyDescent="0.25">
      <c r="A2542" s="1">
        <v>43815</v>
      </c>
      <c r="B2542">
        <v>0.68869999999999998</v>
      </c>
      <c r="C2542">
        <v>0.68930000000000002</v>
      </c>
    </row>
    <row r="2543" spans="1:3" x14ac:dyDescent="0.25">
      <c r="A2543" s="1">
        <v>43816</v>
      </c>
      <c r="B2543">
        <v>0.68669999999999998</v>
      </c>
      <c r="C2543">
        <v>0.68730000000000002</v>
      </c>
    </row>
    <row r="2544" spans="1:3" x14ac:dyDescent="0.25">
      <c r="A2544" s="1">
        <v>43817</v>
      </c>
      <c r="B2544">
        <v>0.68520000000000003</v>
      </c>
      <c r="C2544">
        <v>0.68569999999999998</v>
      </c>
    </row>
    <row r="2545" spans="1:3" x14ac:dyDescent="0.25">
      <c r="A2545" s="1">
        <v>43818</v>
      </c>
      <c r="B2545">
        <v>0.6875</v>
      </c>
      <c r="C2545">
        <v>0.68799999999999994</v>
      </c>
    </row>
    <row r="2546" spans="1:3" x14ac:dyDescent="0.25">
      <c r="A2546" s="1">
        <v>43819</v>
      </c>
      <c r="B2546">
        <v>0.68930000000000002</v>
      </c>
      <c r="C2546">
        <v>0.68979999999999997</v>
      </c>
    </row>
    <row r="2547" spans="1:3" x14ac:dyDescent="0.25">
      <c r="A2547" s="1">
        <v>43822</v>
      </c>
      <c r="B2547">
        <v>0.6925</v>
      </c>
      <c r="C2547">
        <v>0.69299999999999995</v>
      </c>
    </row>
    <row r="2548" spans="1:3" x14ac:dyDescent="0.25">
      <c r="A2548" s="1">
        <v>43823</v>
      </c>
      <c r="B2548">
        <v>0.69189999999999996</v>
      </c>
      <c r="C2548">
        <v>0.69240000000000002</v>
      </c>
    </row>
    <row r="2549" spans="1:3" x14ac:dyDescent="0.25">
      <c r="A2549" s="1">
        <v>43825</v>
      </c>
      <c r="B2549">
        <v>0.69240000000000002</v>
      </c>
      <c r="C2549">
        <v>0.69289999999999996</v>
      </c>
    </row>
    <row r="2550" spans="1:3" x14ac:dyDescent="0.25">
      <c r="A2550" s="1">
        <v>43826</v>
      </c>
      <c r="B2550">
        <v>0.69730000000000003</v>
      </c>
      <c r="C2550">
        <v>0.69779999999999998</v>
      </c>
    </row>
    <row r="2551" spans="1:3" x14ac:dyDescent="0.25">
      <c r="A2551" s="1">
        <v>43829</v>
      </c>
      <c r="B2551">
        <v>0.69969999999999999</v>
      </c>
      <c r="C2551">
        <v>0.70020000000000004</v>
      </c>
    </row>
    <row r="2552" spans="1:3" x14ac:dyDescent="0.25">
      <c r="A2552" s="1">
        <v>43830</v>
      </c>
      <c r="B2552">
        <v>0.70189999999999997</v>
      </c>
      <c r="C2552">
        <v>0.70240000000000002</v>
      </c>
    </row>
    <row r="2553" spans="1:3" x14ac:dyDescent="0.25">
      <c r="A2553" s="1">
        <v>43832</v>
      </c>
      <c r="B2553">
        <v>0.69840000000000002</v>
      </c>
      <c r="C2553">
        <v>0.69889999999999997</v>
      </c>
    </row>
    <row r="2554" spans="1:3" x14ac:dyDescent="0.25">
      <c r="A2554" s="1">
        <v>43833</v>
      </c>
      <c r="B2554">
        <v>0.69320000000000004</v>
      </c>
      <c r="C2554">
        <v>0.69369999999999998</v>
      </c>
    </row>
    <row r="2555" spans="1:3" x14ac:dyDescent="0.25">
      <c r="A2555" s="1">
        <v>43836</v>
      </c>
      <c r="B2555">
        <v>0.69430000000000003</v>
      </c>
      <c r="C2555">
        <v>0.69479999999999997</v>
      </c>
    </row>
    <row r="2556" spans="1:3" x14ac:dyDescent="0.25">
      <c r="A2556" s="1">
        <v>43837</v>
      </c>
      <c r="B2556">
        <v>0.68740000000000001</v>
      </c>
      <c r="C2556">
        <v>0.68789999999999996</v>
      </c>
    </row>
    <row r="2557" spans="1:3" x14ac:dyDescent="0.25">
      <c r="A2557" s="1">
        <v>43838</v>
      </c>
      <c r="B2557">
        <v>0.68710000000000004</v>
      </c>
      <c r="C2557">
        <v>0.6875</v>
      </c>
    </row>
    <row r="2558" spans="1:3" x14ac:dyDescent="0.25">
      <c r="A2558" s="1">
        <v>43839</v>
      </c>
      <c r="B2558">
        <v>0.68589999999999995</v>
      </c>
      <c r="C2558">
        <v>0.68640000000000001</v>
      </c>
    </row>
    <row r="2559" spans="1:3" x14ac:dyDescent="0.25">
      <c r="A2559" s="1">
        <v>43840</v>
      </c>
      <c r="B2559">
        <v>0.68840000000000001</v>
      </c>
      <c r="C2559">
        <v>0.68879999999999997</v>
      </c>
    </row>
    <row r="2560" spans="1:3" x14ac:dyDescent="0.25">
      <c r="A2560" s="1">
        <v>43843</v>
      </c>
      <c r="B2560">
        <v>0.6915</v>
      </c>
      <c r="C2560">
        <v>0.69199999999999995</v>
      </c>
    </row>
    <row r="2561" spans="1:3" x14ac:dyDescent="0.25">
      <c r="A2561" s="1">
        <v>43844</v>
      </c>
      <c r="B2561">
        <v>0.69040000000000001</v>
      </c>
      <c r="C2561">
        <v>0.69089999999999996</v>
      </c>
    </row>
    <row r="2562" spans="1:3" x14ac:dyDescent="0.25">
      <c r="A2562" s="1">
        <v>43845</v>
      </c>
      <c r="B2562">
        <v>0.68979999999999997</v>
      </c>
      <c r="C2562">
        <v>0.69030000000000002</v>
      </c>
    </row>
    <row r="2563" spans="1:3" x14ac:dyDescent="0.25">
      <c r="A2563" s="1">
        <v>43846</v>
      </c>
      <c r="B2563">
        <v>0.69269999999999998</v>
      </c>
      <c r="C2563">
        <v>0.69320000000000004</v>
      </c>
    </row>
    <row r="2564" spans="1:3" x14ac:dyDescent="0.25">
      <c r="A2564" s="1">
        <v>43847</v>
      </c>
      <c r="B2564">
        <v>0.68969999999999998</v>
      </c>
      <c r="C2564">
        <v>0.69020000000000004</v>
      </c>
    </row>
    <row r="2565" spans="1:3" x14ac:dyDescent="0.25">
      <c r="A2565" s="1">
        <v>43850</v>
      </c>
      <c r="B2565">
        <v>0.68620000000000003</v>
      </c>
      <c r="C2565">
        <v>0.68669999999999998</v>
      </c>
    </row>
    <row r="2566" spans="1:3" x14ac:dyDescent="0.25">
      <c r="A2566" s="1">
        <v>43851</v>
      </c>
      <c r="B2566">
        <v>0.68620000000000003</v>
      </c>
      <c r="C2566">
        <v>0.68669999999999998</v>
      </c>
    </row>
    <row r="2567" spans="1:3" x14ac:dyDescent="0.25">
      <c r="A2567" s="1">
        <v>43852</v>
      </c>
      <c r="B2567">
        <v>0.6845</v>
      </c>
      <c r="C2567">
        <v>0.68500000000000005</v>
      </c>
    </row>
    <row r="2568" spans="1:3" x14ac:dyDescent="0.25">
      <c r="A2568" s="1">
        <v>43853</v>
      </c>
      <c r="B2568">
        <v>0.68689999999999996</v>
      </c>
      <c r="C2568">
        <v>0.68730000000000002</v>
      </c>
    </row>
    <row r="2569" spans="1:3" x14ac:dyDescent="0.25">
      <c r="A2569" s="1">
        <v>43854</v>
      </c>
      <c r="B2569">
        <v>0.68469999999999998</v>
      </c>
      <c r="C2569">
        <v>0.68510000000000004</v>
      </c>
    </row>
    <row r="2570" spans="1:3" x14ac:dyDescent="0.25">
      <c r="A2570" s="1">
        <v>43857</v>
      </c>
      <c r="B2570">
        <v>0.67720000000000002</v>
      </c>
      <c r="C2570">
        <v>0.67749999999999999</v>
      </c>
    </row>
    <row r="2571" spans="1:3" x14ac:dyDescent="0.25">
      <c r="A2571" s="1">
        <v>43858</v>
      </c>
      <c r="B2571">
        <v>0.67459999999999998</v>
      </c>
      <c r="C2571">
        <v>0.67490000000000006</v>
      </c>
    </row>
    <row r="2572" spans="1:3" x14ac:dyDescent="0.25">
      <c r="A2572" s="1">
        <v>43859</v>
      </c>
      <c r="B2572">
        <v>0.67469999999999997</v>
      </c>
      <c r="C2572">
        <v>0.67510000000000003</v>
      </c>
    </row>
    <row r="2573" spans="1:3" x14ac:dyDescent="0.25">
      <c r="A2573" s="1">
        <v>43860</v>
      </c>
      <c r="B2573">
        <v>0.67269999999999996</v>
      </c>
      <c r="C2573">
        <v>0.67310000000000003</v>
      </c>
    </row>
    <row r="2574" spans="1:3" x14ac:dyDescent="0.25">
      <c r="A2574" s="1">
        <v>43861</v>
      </c>
      <c r="B2574">
        <v>0.67190000000000005</v>
      </c>
      <c r="C2574">
        <v>0.67220000000000002</v>
      </c>
    </row>
    <row r="2575" spans="1:3" x14ac:dyDescent="0.25">
      <c r="A2575" s="1">
        <v>43864</v>
      </c>
      <c r="B2575">
        <v>0.66949999999999998</v>
      </c>
      <c r="C2575">
        <v>0.66990000000000005</v>
      </c>
    </row>
    <row r="2576" spans="1:3" x14ac:dyDescent="0.25">
      <c r="A2576" s="1">
        <v>43865</v>
      </c>
      <c r="B2576">
        <v>0.67149999999999999</v>
      </c>
      <c r="C2576">
        <v>0.67190000000000005</v>
      </c>
    </row>
    <row r="2577" spans="1:3" x14ac:dyDescent="0.25">
      <c r="A2577" s="1">
        <v>43866</v>
      </c>
      <c r="B2577">
        <v>0.67589999999999995</v>
      </c>
      <c r="C2577">
        <v>0.67630000000000001</v>
      </c>
    </row>
    <row r="2578" spans="1:3" x14ac:dyDescent="0.25">
      <c r="A2578" s="1">
        <v>43867</v>
      </c>
      <c r="B2578">
        <v>0.67490000000000006</v>
      </c>
      <c r="C2578">
        <v>0.67520000000000002</v>
      </c>
    </row>
    <row r="2579" spans="1:3" x14ac:dyDescent="0.25">
      <c r="A2579" s="1">
        <v>43868</v>
      </c>
      <c r="B2579">
        <v>0.66830000000000001</v>
      </c>
      <c r="C2579">
        <v>0.66859999999999997</v>
      </c>
    </row>
    <row r="2580" spans="1:3" x14ac:dyDescent="0.25">
      <c r="A2580" s="1">
        <v>43871</v>
      </c>
      <c r="B2580">
        <v>0.66930000000000001</v>
      </c>
      <c r="C2580">
        <v>0.66969999999999996</v>
      </c>
    </row>
    <row r="2581" spans="1:3" x14ac:dyDescent="0.25">
      <c r="A2581" s="1">
        <v>43872</v>
      </c>
      <c r="B2581">
        <v>0.67079999999999995</v>
      </c>
      <c r="C2581">
        <v>0.67120000000000002</v>
      </c>
    </row>
    <row r="2582" spans="1:3" x14ac:dyDescent="0.25">
      <c r="A2582" s="1">
        <v>43873</v>
      </c>
      <c r="B2582">
        <v>0.67449999999999999</v>
      </c>
      <c r="C2582">
        <v>0.67490000000000006</v>
      </c>
    </row>
    <row r="2583" spans="1:3" x14ac:dyDescent="0.25">
      <c r="A2583" s="1">
        <v>43874</v>
      </c>
      <c r="B2583">
        <v>0.67269999999999996</v>
      </c>
      <c r="C2583">
        <v>0.67300000000000004</v>
      </c>
    </row>
    <row r="2584" spans="1:3" x14ac:dyDescent="0.25">
      <c r="A2584" s="1">
        <v>43875</v>
      </c>
      <c r="B2584">
        <v>0.6714</v>
      </c>
      <c r="C2584">
        <v>0.67169999999999996</v>
      </c>
    </row>
    <row r="2585" spans="1:3" x14ac:dyDescent="0.25">
      <c r="A2585" s="1">
        <v>43878</v>
      </c>
      <c r="B2585">
        <v>0.67200000000000004</v>
      </c>
      <c r="C2585">
        <v>0.6724</v>
      </c>
    </row>
    <row r="2586" spans="1:3" x14ac:dyDescent="0.25">
      <c r="A2586" s="1">
        <v>43879</v>
      </c>
      <c r="B2586">
        <v>0.66859999999999997</v>
      </c>
      <c r="C2586">
        <v>0.66900000000000004</v>
      </c>
    </row>
    <row r="2587" spans="1:3" x14ac:dyDescent="0.25">
      <c r="A2587" s="1">
        <v>43881</v>
      </c>
      <c r="B2587">
        <v>0.66279999999999994</v>
      </c>
      <c r="C2587">
        <v>0.66320000000000001</v>
      </c>
    </row>
    <row r="2588" spans="1:3" x14ac:dyDescent="0.25">
      <c r="A2588" s="1">
        <v>43885</v>
      </c>
      <c r="B2588">
        <v>0.66039999999999999</v>
      </c>
      <c r="C2588">
        <v>0.66080000000000005</v>
      </c>
    </row>
    <row r="2589" spans="1:3" x14ac:dyDescent="0.25">
      <c r="A2589" s="1">
        <v>43886</v>
      </c>
      <c r="B2589">
        <v>0.65980000000000005</v>
      </c>
      <c r="C2589">
        <v>0.66020000000000001</v>
      </c>
    </row>
    <row r="2590" spans="1:3" x14ac:dyDescent="0.25">
      <c r="A2590" s="1">
        <v>43887</v>
      </c>
      <c r="B2590">
        <v>0.65669999999999995</v>
      </c>
      <c r="C2590">
        <v>0.65710000000000002</v>
      </c>
    </row>
    <row r="2591" spans="1:3" x14ac:dyDescent="0.25">
      <c r="A2591" s="1">
        <v>43888</v>
      </c>
      <c r="B2591">
        <v>0.65690000000000004</v>
      </c>
      <c r="C2591">
        <v>0.6573</v>
      </c>
    </row>
    <row r="2592" spans="1:3" x14ac:dyDescent="0.25">
      <c r="A2592" s="1">
        <v>43889</v>
      </c>
      <c r="B2592">
        <v>0.64980000000000004</v>
      </c>
      <c r="C2592">
        <v>0.6502</v>
      </c>
    </row>
    <row r="2593" spans="1:3" x14ac:dyDescent="0.25">
      <c r="A2593" s="1">
        <v>43892</v>
      </c>
      <c r="B2593">
        <v>0.65349999999999997</v>
      </c>
      <c r="C2593">
        <v>0.65400000000000003</v>
      </c>
    </row>
    <row r="2594" spans="1:3" x14ac:dyDescent="0.25">
      <c r="A2594" s="1">
        <v>43893</v>
      </c>
      <c r="B2594">
        <v>0.65649999999999997</v>
      </c>
      <c r="C2594">
        <v>0.65690000000000004</v>
      </c>
    </row>
    <row r="2595" spans="1:3" x14ac:dyDescent="0.25">
      <c r="A2595" s="1">
        <v>43894</v>
      </c>
      <c r="B2595">
        <v>0.66249999999999998</v>
      </c>
      <c r="C2595">
        <v>0.66269999999999996</v>
      </c>
    </row>
    <row r="2596" spans="1:3" x14ac:dyDescent="0.25">
      <c r="A2596" s="1">
        <v>43895</v>
      </c>
      <c r="B2596">
        <v>0.66149999999999998</v>
      </c>
      <c r="C2596">
        <v>0.66159999999999997</v>
      </c>
    </row>
    <row r="2597" spans="1:3" x14ac:dyDescent="0.25">
      <c r="A2597" s="1">
        <v>43896</v>
      </c>
      <c r="B2597">
        <v>0.66549999999999998</v>
      </c>
      <c r="C2597">
        <v>0.66549999999999998</v>
      </c>
    </row>
    <row r="2598" spans="1:3" x14ac:dyDescent="0.25">
      <c r="A2598" s="1">
        <v>43899</v>
      </c>
      <c r="B2598">
        <v>0.65159999999999996</v>
      </c>
      <c r="C2598">
        <v>0.65149999999999997</v>
      </c>
    </row>
    <row r="2599" spans="1:3" x14ac:dyDescent="0.25">
      <c r="A2599" s="1">
        <v>43901</v>
      </c>
      <c r="B2599">
        <v>0.65239999999999998</v>
      </c>
      <c r="C2599">
        <v>0.65239999999999998</v>
      </c>
    </row>
    <row r="2600" spans="1:3" x14ac:dyDescent="0.25">
      <c r="A2600" s="1">
        <v>43902</v>
      </c>
      <c r="B2600">
        <v>0.63729999999999998</v>
      </c>
      <c r="C2600">
        <v>0.63719999999999999</v>
      </c>
    </row>
    <row r="2601" spans="1:3" x14ac:dyDescent="0.25">
      <c r="A2601" s="1">
        <v>43903</v>
      </c>
      <c r="B2601">
        <v>0.63019999999999998</v>
      </c>
      <c r="C2601">
        <v>0.63009999999999999</v>
      </c>
    </row>
    <row r="2602" spans="1:3" x14ac:dyDescent="0.25">
      <c r="A2602" s="1">
        <v>43906</v>
      </c>
      <c r="B2602">
        <v>0.61639999999999995</v>
      </c>
      <c r="C2602">
        <v>0.61629999999999996</v>
      </c>
    </row>
    <row r="2603" spans="1:3" x14ac:dyDescent="0.25">
      <c r="A2603" s="1">
        <v>43907</v>
      </c>
      <c r="B2603">
        <v>0.61209999999999998</v>
      </c>
      <c r="C2603">
        <v>0.6119</v>
      </c>
    </row>
    <row r="2604" spans="1:3" x14ac:dyDescent="0.25">
      <c r="A2604" s="1">
        <v>43908</v>
      </c>
      <c r="B2604">
        <v>0.59230000000000005</v>
      </c>
      <c r="C2604">
        <v>0.59230000000000005</v>
      </c>
    </row>
    <row r="2605" spans="1:3" x14ac:dyDescent="0.25">
      <c r="A2605" s="1">
        <v>43909</v>
      </c>
      <c r="B2605">
        <v>0.57240000000000002</v>
      </c>
      <c r="C2605">
        <v>0.57240000000000002</v>
      </c>
    </row>
    <row r="2606" spans="1:3" x14ac:dyDescent="0.25">
      <c r="A2606" s="1">
        <v>43910</v>
      </c>
      <c r="B2606">
        <v>0.58499999999999996</v>
      </c>
      <c r="C2606">
        <v>0.58499999999999996</v>
      </c>
    </row>
    <row r="2607" spans="1:3" x14ac:dyDescent="0.25">
      <c r="A2607" s="1">
        <v>43913</v>
      </c>
      <c r="B2607">
        <v>0.57250000000000001</v>
      </c>
      <c r="C2607">
        <v>0.57250000000000001</v>
      </c>
    </row>
    <row r="2608" spans="1:3" x14ac:dyDescent="0.25">
      <c r="A2608" s="1">
        <v>43914</v>
      </c>
      <c r="B2608">
        <v>0.59209999999999996</v>
      </c>
      <c r="C2608">
        <v>0.59219999999999995</v>
      </c>
    </row>
    <row r="2609" spans="1:3" x14ac:dyDescent="0.25">
      <c r="A2609" s="1">
        <v>43916</v>
      </c>
      <c r="B2609">
        <v>0.60229999999999995</v>
      </c>
      <c r="C2609">
        <v>0.60240000000000005</v>
      </c>
    </row>
    <row r="2610" spans="1:3" x14ac:dyDescent="0.25">
      <c r="A2610" s="1">
        <v>43917</v>
      </c>
      <c r="B2610">
        <v>0.60680000000000001</v>
      </c>
      <c r="C2610">
        <v>0.60680000000000001</v>
      </c>
    </row>
    <row r="2611" spans="1:3" x14ac:dyDescent="0.25">
      <c r="A2611" s="1">
        <v>43920</v>
      </c>
      <c r="B2611">
        <v>0.61270000000000002</v>
      </c>
      <c r="C2611">
        <v>0.61280000000000001</v>
      </c>
    </row>
    <row r="2612" spans="1:3" x14ac:dyDescent="0.25">
      <c r="A2612" s="1">
        <v>43921</v>
      </c>
      <c r="B2612">
        <v>0.61219999999999997</v>
      </c>
      <c r="C2612">
        <v>0.61229999999999996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DE903-E473-4159-ADB9-5A6200F74431}">
  <dimension ref="A1:C2612"/>
  <sheetViews>
    <sheetView workbookViewId="0">
      <selection activeCell="C2612" sqref="C2612"/>
    </sheetView>
  </sheetViews>
  <sheetFormatPr defaultRowHeight="15" x14ac:dyDescent="0.25"/>
  <cols>
    <col min="1" max="1" width="10.7109375" bestFit="1" customWidth="1"/>
    <col min="2" max="3" width="6.5703125" bestFit="1" customWidth="1"/>
  </cols>
  <sheetData>
    <row r="1" spans="1:3" x14ac:dyDescent="0.25">
      <c r="A1" t="s">
        <v>0</v>
      </c>
      <c r="B1" t="s">
        <v>6</v>
      </c>
      <c r="C1" t="s">
        <v>7</v>
      </c>
    </row>
    <row r="2" spans="1:3" x14ac:dyDescent="0.25">
      <c r="A2" t="str">
        <f>"29/05/2009"</f>
        <v>29/05/2009</v>
      </c>
      <c r="B2" t="str">
        <f>"1.1127"</f>
        <v>1.1127</v>
      </c>
      <c r="C2" t="str">
        <f>"1.1125"</f>
        <v>1.1125</v>
      </c>
    </row>
    <row r="3" spans="1:3" x14ac:dyDescent="0.25">
      <c r="A3" t="str">
        <f>"01/06/2009"</f>
        <v>01/06/2009</v>
      </c>
      <c r="B3" t="str">
        <f>"1.0873"</f>
        <v>1.0873</v>
      </c>
      <c r="C3" t="str">
        <f>"1.0871"</f>
        <v>1.0871</v>
      </c>
    </row>
    <row r="4" spans="1:3" x14ac:dyDescent="0.25">
      <c r="A4" t="str">
        <f>"02/06/2009"</f>
        <v>02/06/2009</v>
      </c>
      <c r="B4" t="str">
        <f>"1.0912"</f>
        <v>1.0912</v>
      </c>
      <c r="C4" t="str">
        <f>"1.091"</f>
        <v>1.091</v>
      </c>
    </row>
    <row r="5" spans="1:3" x14ac:dyDescent="0.25">
      <c r="A5" t="str">
        <f>"03/06/2009"</f>
        <v>03/06/2009</v>
      </c>
      <c r="B5" t="str">
        <f>"1.0834"</f>
        <v>1.0834</v>
      </c>
      <c r="C5" t="str">
        <f>"1.0832"</f>
        <v>1.0832</v>
      </c>
    </row>
    <row r="6" spans="1:3" x14ac:dyDescent="0.25">
      <c r="A6" t="str">
        <f>"04/06/2009"</f>
        <v>04/06/2009</v>
      </c>
      <c r="B6" t="str">
        <f>"1.1111"</f>
        <v>1.1111</v>
      </c>
      <c r="C6" t="str">
        <f>"1.1109"</f>
        <v>1.1109</v>
      </c>
    </row>
    <row r="7" spans="1:3" x14ac:dyDescent="0.25">
      <c r="A7" t="str">
        <f>"05/06/2009"</f>
        <v>05/06/2009</v>
      </c>
      <c r="B7" t="str">
        <f>"1.0984"</f>
        <v>1.0984</v>
      </c>
      <c r="C7" t="str">
        <f>"1.0982"</f>
        <v>1.0982</v>
      </c>
    </row>
    <row r="8" spans="1:3" x14ac:dyDescent="0.25">
      <c r="A8" t="str">
        <f>"08/06/2009"</f>
        <v>08/06/2009</v>
      </c>
      <c r="B8" t="str">
        <f>"1.1254"</f>
        <v>1.1254</v>
      </c>
      <c r="C8" t="str">
        <f>"1.1252"</f>
        <v>1.1252</v>
      </c>
    </row>
    <row r="9" spans="1:3" x14ac:dyDescent="0.25">
      <c r="A9" t="str">
        <f>"09/06/2009"</f>
        <v>09/06/2009</v>
      </c>
      <c r="B9" t="str">
        <f>"1.1195"</f>
        <v>1.1195</v>
      </c>
      <c r="C9" t="str">
        <f>"1.1192"</f>
        <v>1.1192</v>
      </c>
    </row>
    <row r="10" spans="1:3" x14ac:dyDescent="0.25">
      <c r="A10" t="str">
        <f>"10/06/2009"</f>
        <v>10/06/2009</v>
      </c>
      <c r="B10" t="str">
        <f>"1.1032"</f>
        <v>1.1032</v>
      </c>
      <c r="C10" t="str">
        <f>"1.103"</f>
        <v>1.103</v>
      </c>
    </row>
    <row r="11" spans="1:3" x14ac:dyDescent="0.25">
      <c r="A11" t="str">
        <f>"11/06/2009"</f>
        <v>11/06/2009</v>
      </c>
      <c r="B11" t="str">
        <f>"1.1052"</f>
        <v>1.1052</v>
      </c>
      <c r="C11" t="str">
        <f>"1.105"</f>
        <v>1.105</v>
      </c>
    </row>
    <row r="12" spans="1:3" x14ac:dyDescent="0.25">
      <c r="A12" t="str">
        <f>"12/06/2009"</f>
        <v>12/06/2009</v>
      </c>
      <c r="B12" t="str">
        <f>"1.1083"</f>
        <v>1.1083</v>
      </c>
      <c r="C12" t="str">
        <f>"1.1081"</f>
        <v>1.1081</v>
      </c>
    </row>
    <row r="13" spans="1:3" x14ac:dyDescent="0.25">
      <c r="A13" t="str">
        <f>"15/06/2009"</f>
        <v>15/06/2009</v>
      </c>
      <c r="B13" t="str">
        <f>"1.1235"</f>
        <v>1.1235</v>
      </c>
      <c r="C13" t="str">
        <f>"1.1233"</f>
        <v>1.1233</v>
      </c>
    </row>
    <row r="14" spans="1:3" x14ac:dyDescent="0.25">
      <c r="A14" t="str">
        <f>"16/06/2009"</f>
        <v>16/06/2009</v>
      </c>
      <c r="B14" t="str">
        <f>"1.1355"</f>
        <v>1.1355</v>
      </c>
      <c r="C14" t="str">
        <f>"1.1354"</f>
        <v>1.1354</v>
      </c>
    </row>
    <row r="15" spans="1:3" x14ac:dyDescent="0.25">
      <c r="A15" t="str">
        <f>"17/06/2009"</f>
        <v>17/06/2009</v>
      </c>
      <c r="B15" t="str">
        <f>"1.1338"</f>
        <v>1.1338</v>
      </c>
      <c r="C15" t="str">
        <f>"1.1336"</f>
        <v>1.1336</v>
      </c>
    </row>
    <row r="16" spans="1:3" x14ac:dyDescent="0.25">
      <c r="A16" t="str">
        <f>"18/06/2009"</f>
        <v>18/06/2009</v>
      </c>
      <c r="B16" t="str">
        <f>"1.1322"</f>
        <v>1.1322</v>
      </c>
      <c r="C16" t="str">
        <f>"1.1321"</f>
        <v>1.1321</v>
      </c>
    </row>
    <row r="17" spans="1:3" x14ac:dyDescent="0.25">
      <c r="A17" t="str">
        <f>"19/06/2009"</f>
        <v>19/06/2009</v>
      </c>
      <c r="B17" t="str">
        <f>"1.1312"</f>
        <v>1.1312</v>
      </c>
      <c r="C17" t="str">
        <f>"1.131"</f>
        <v>1.131</v>
      </c>
    </row>
    <row r="18" spans="1:3" x14ac:dyDescent="0.25">
      <c r="A18" t="str">
        <f>"22/06/2009"</f>
        <v>22/06/2009</v>
      </c>
      <c r="B18" t="str">
        <f>"1.1376"</f>
        <v>1.1376</v>
      </c>
      <c r="C18" t="str">
        <f>"1.1374"</f>
        <v>1.1374</v>
      </c>
    </row>
    <row r="19" spans="1:3" x14ac:dyDescent="0.25">
      <c r="A19" t="str">
        <f>"23/06/2009"</f>
        <v>23/06/2009</v>
      </c>
      <c r="B19" t="str">
        <f>"1.1544"</f>
        <v>1.1544</v>
      </c>
      <c r="C19" t="str">
        <f>"1.1542"</f>
        <v>1.1542</v>
      </c>
    </row>
    <row r="20" spans="1:3" x14ac:dyDescent="0.25">
      <c r="A20" t="str">
        <f>"24/06/2009"</f>
        <v>24/06/2009</v>
      </c>
      <c r="B20" t="str">
        <f>"1.1477"</f>
        <v>1.1477</v>
      </c>
      <c r="C20" t="str">
        <f>"1.1475"</f>
        <v>1.1475</v>
      </c>
    </row>
    <row r="21" spans="1:3" x14ac:dyDescent="0.25">
      <c r="A21" t="str">
        <f>"25/06/2009"</f>
        <v>25/06/2009</v>
      </c>
      <c r="B21" t="str">
        <f>"1.1548"</f>
        <v>1.1548</v>
      </c>
      <c r="C21" t="str">
        <f>"1.1546"</f>
        <v>1.1546</v>
      </c>
    </row>
    <row r="22" spans="1:3" x14ac:dyDescent="0.25">
      <c r="A22" t="str">
        <f>"26/06/2009"</f>
        <v>26/06/2009</v>
      </c>
      <c r="B22" t="str">
        <f>"1.1524"</f>
        <v>1.1524</v>
      </c>
      <c r="C22" t="str">
        <f>"1.1522"</f>
        <v>1.1522</v>
      </c>
    </row>
    <row r="23" spans="1:3" x14ac:dyDescent="0.25">
      <c r="A23" t="str">
        <f>"29/06/2009"</f>
        <v>29/06/2009</v>
      </c>
      <c r="B23" t="str">
        <f>"1.1556"</f>
        <v>1.1556</v>
      </c>
      <c r="C23" t="str">
        <f>"1.1554"</f>
        <v>1.1554</v>
      </c>
    </row>
    <row r="24" spans="1:3" x14ac:dyDescent="0.25">
      <c r="A24" t="str">
        <f>"30/06/2009"</f>
        <v>30/06/2009</v>
      </c>
      <c r="B24" t="str">
        <f>"1.1559"</f>
        <v>1.1559</v>
      </c>
      <c r="C24" t="str">
        <f>"1.1557"</f>
        <v>1.1557</v>
      </c>
    </row>
    <row r="25" spans="1:3" x14ac:dyDescent="0.25">
      <c r="A25" t="str">
        <f>"01/07/2009"</f>
        <v>01/07/2009</v>
      </c>
      <c r="B25" t="str">
        <f>"1.1616"</f>
        <v>1.1616</v>
      </c>
      <c r="C25" t="str">
        <f>"1.1614"</f>
        <v>1.1614</v>
      </c>
    </row>
    <row r="26" spans="1:3" x14ac:dyDescent="0.25">
      <c r="A26" t="str">
        <f>"03/07/2009"</f>
        <v>03/07/2009</v>
      </c>
      <c r="B26" t="str">
        <f>"1.1608"</f>
        <v>1.1608</v>
      </c>
      <c r="C26" t="str">
        <f>"1.1606"</f>
        <v>1.1606</v>
      </c>
    </row>
    <row r="27" spans="1:3" x14ac:dyDescent="0.25">
      <c r="A27" t="str">
        <f>"06/07/2009"</f>
        <v>06/07/2009</v>
      </c>
      <c r="B27" t="str">
        <f>"1.1633"</f>
        <v>1.1633</v>
      </c>
      <c r="C27" t="str">
        <f>"1.1631"</f>
        <v>1.1631</v>
      </c>
    </row>
    <row r="28" spans="1:3" x14ac:dyDescent="0.25">
      <c r="A28" t="str">
        <f>"07/07/2009"</f>
        <v>07/07/2009</v>
      </c>
      <c r="B28" t="str">
        <f>"1.1611"</f>
        <v>1.1611</v>
      </c>
      <c r="C28" t="str">
        <f>"1.1608"</f>
        <v>1.1608</v>
      </c>
    </row>
    <row r="29" spans="1:3" x14ac:dyDescent="0.25">
      <c r="A29" t="str">
        <f>"08/07/2009"</f>
        <v>08/07/2009</v>
      </c>
      <c r="B29" t="str">
        <f>"1.1639"</f>
        <v>1.1639</v>
      </c>
      <c r="C29" t="str">
        <f>"1.1637"</f>
        <v>1.1637</v>
      </c>
    </row>
    <row r="30" spans="1:3" x14ac:dyDescent="0.25">
      <c r="A30" t="str">
        <f>"09/07/2009"</f>
        <v>09/07/2009</v>
      </c>
      <c r="B30" t="str">
        <f>"1.1634"</f>
        <v>1.1634</v>
      </c>
      <c r="C30" t="str">
        <f>"1.1632"</f>
        <v>1.1632</v>
      </c>
    </row>
    <row r="31" spans="1:3" x14ac:dyDescent="0.25">
      <c r="A31" t="str">
        <f>"10/07/2009"</f>
        <v>10/07/2009</v>
      </c>
      <c r="B31" t="str">
        <f>"1.1616"</f>
        <v>1.1616</v>
      </c>
      <c r="C31" t="str">
        <f>"1.1614"</f>
        <v>1.1614</v>
      </c>
    </row>
    <row r="32" spans="1:3" x14ac:dyDescent="0.25">
      <c r="A32" t="str">
        <f>"13/07/2009"</f>
        <v>13/07/2009</v>
      </c>
      <c r="B32" t="str">
        <f>"1.164"</f>
        <v>1.164</v>
      </c>
      <c r="C32" t="str">
        <f>"1.1638"</f>
        <v>1.1638</v>
      </c>
    </row>
    <row r="33" spans="1:3" x14ac:dyDescent="0.25">
      <c r="A33" t="str">
        <f>"14/07/2009"</f>
        <v>14/07/2009</v>
      </c>
      <c r="B33" t="str">
        <f>"1.1515"</f>
        <v>1.1515</v>
      </c>
      <c r="C33" t="str">
        <f>"1.1514"</f>
        <v>1.1514</v>
      </c>
    </row>
    <row r="34" spans="1:3" x14ac:dyDescent="0.25">
      <c r="A34" t="str">
        <f>"15/07/2009"</f>
        <v>15/07/2009</v>
      </c>
      <c r="B34" t="str">
        <f>"1.1342"</f>
        <v>1.1342</v>
      </c>
      <c r="C34" t="str">
        <f>"1.1341"</f>
        <v>1.1341</v>
      </c>
    </row>
    <row r="35" spans="1:3" x14ac:dyDescent="0.25">
      <c r="A35" t="str">
        <f>"16/07/2009"</f>
        <v>16/07/2009</v>
      </c>
      <c r="B35" t="str">
        <f>"1.1202"</f>
        <v>1.1202</v>
      </c>
      <c r="C35" t="str">
        <f>"1.1201"</f>
        <v>1.1201</v>
      </c>
    </row>
    <row r="36" spans="1:3" x14ac:dyDescent="0.25">
      <c r="A36" t="str">
        <f>"17/07/2009"</f>
        <v>17/07/2009</v>
      </c>
      <c r="B36" t="str">
        <f>"1.1181"</f>
        <v>1.1181</v>
      </c>
      <c r="C36" t="str">
        <f>"1.118"</f>
        <v>1.118</v>
      </c>
    </row>
    <row r="37" spans="1:3" x14ac:dyDescent="0.25">
      <c r="A37" t="str">
        <f>"20/07/2009"</f>
        <v>20/07/2009</v>
      </c>
      <c r="B37" t="str">
        <f>"1.1079"</f>
        <v>1.1079</v>
      </c>
      <c r="C37" t="str">
        <f>"1.1078"</f>
        <v>1.1078</v>
      </c>
    </row>
    <row r="38" spans="1:3" x14ac:dyDescent="0.25">
      <c r="A38" t="str">
        <f>"21/07/2009"</f>
        <v>21/07/2009</v>
      </c>
      <c r="B38" t="str">
        <f>"1.1085"</f>
        <v>1.1085</v>
      </c>
      <c r="C38" t="str">
        <f>"1.1084"</f>
        <v>1.1084</v>
      </c>
    </row>
    <row r="39" spans="1:3" x14ac:dyDescent="0.25">
      <c r="A39" t="str">
        <f>"22/07/2009"</f>
        <v>22/07/2009</v>
      </c>
      <c r="B39" t="str">
        <f>"1.1062"</f>
        <v>1.1062</v>
      </c>
      <c r="C39" t="str">
        <f>"1.1061"</f>
        <v>1.1061</v>
      </c>
    </row>
    <row r="40" spans="1:3" x14ac:dyDescent="0.25">
      <c r="A40" t="str">
        <f>"23/07/2009"</f>
        <v>23/07/2009</v>
      </c>
      <c r="B40" t="str">
        <f>"1.0995"</f>
        <v>1.0995</v>
      </c>
      <c r="C40" t="str">
        <f>"1.0994"</f>
        <v>1.0994</v>
      </c>
    </row>
    <row r="41" spans="1:3" x14ac:dyDescent="0.25">
      <c r="A41" t="str">
        <f>"24/07/2009"</f>
        <v>24/07/2009</v>
      </c>
      <c r="B41" t="str">
        <f>"1.0917"</f>
        <v>1.0917</v>
      </c>
      <c r="C41" t="str">
        <f>"1.0916"</f>
        <v>1.0916</v>
      </c>
    </row>
    <row r="42" spans="1:3" x14ac:dyDescent="0.25">
      <c r="A42" t="str">
        <f>"27/07/2009"</f>
        <v>27/07/2009</v>
      </c>
      <c r="B42" t="str">
        <f>"1.0844"</f>
        <v>1.0844</v>
      </c>
      <c r="C42" t="str">
        <f>"1.0843"</f>
        <v>1.0843</v>
      </c>
    </row>
    <row r="43" spans="1:3" x14ac:dyDescent="0.25">
      <c r="A43" t="str">
        <f>"28/07/2009"</f>
        <v>28/07/2009</v>
      </c>
      <c r="B43" t="str">
        <f>"1.0812"</f>
        <v>1.0812</v>
      </c>
      <c r="C43" t="str">
        <f>"1.0811"</f>
        <v>1.0811</v>
      </c>
    </row>
    <row r="44" spans="1:3" x14ac:dyDescent="0.25">
      <c r="A44" t="str">
        <f>"29/07/2009"</f>
        <v>29/07/2009</v>
      </c>
      <c r="B44" t="str">
        <f>"1.0821"</f>
        <v>1.0821</v>
      </c>
      <c r="C44" t="str">
        <f>"1.082"</f>
        <v>1.082</v>
      </c>
    </row>
    <row r="45" spans="1:3" x14ac:dyDescent="0.25">
      <c r="A45" t="str">
        <f>"30/07/2009"</f>
        <v>30/07/2009</v>
      </c>
      <c r="B45" t="str">
        <f>"1.0908"</f>
        <v>1.0908</v>
      </c>
      <c r="C45" t="str">
        <f>"1.0907"</f>
        <v>1.0907</v>
      </c>
    </row>
    <row r="46" spans="1:3" x14ac:dyDescent="0.25">
      <c r="A46" t="str">
        <f>"31/07/2009"</f>
        <v>31/07/2009</v>
      </c>
      <c r="B46" t="str">
        <f>"1.081"</f>
        <v>1.081</v>
      </c>
      <c r="C46" t="str">
        <f>"1.0809"</f>
        <v>1.0809</v>
      </c>
    </row>
    <row r="47" spans="1:3" x14ac:dyDescent="0.25">
      <c r="A47" t="str">
        <f>"03/08/2009"</f>
        <v>03/08/2009</v>
      </c>
      <c r="B47" t="str">
        <f>"1.0781"</f>
        <v>1.0781</v>
      </c>
      <c r="C47" t="str">
        <f>"1.078"</f>
        <v>1.078</v>
      </c>
    </row>
    <row r="48" spans="1:3" x14ac:dyDescent="0.25">
      <c r="A48" t="str">
        <f>"04/08/2009"</f>
        <v>04/08/2009</v>
      </c>
      <c r="B48" t="str">
        <f>"1.0663"</f>
        <v>1.0663</v>
      </c>
      <c r="C48" t="str">
        <f>"1.0662"</f>
        <v>1.0662</v>
      </c>
    </row>
    <row r="49" spans="1:3" x14ac:dyDescent="0.25">
      <c r="A49" t="str">
        <f>"05/08/2009"</f>
        <v>05/08/2009</v>
      </c>
      <c r="B49" t="str">
        <f>"1.0728"</f>
        <v>1.0728</v>
      </c>
      <c r="C49" t="str">
        <f>"1.0726"</f>
        <v>1.0726</v>
      </c>
    </row>
    <row r="50" spans="1:3" x14ac:dyDescent="0.25">
      <c r="A50" t="str">
        <f>"06/08/2009"</f>
        <v>06/08/2009</v>
      </c>
      <c r="B50" t="str">
        <f>"1.072"</f>
        <v>1.072</v>
      </c>
      <c r="C50" t="str">
        <f>"1.0719"</f>
        <v>1.0719</v>
      </c>
    </row>
    <row r="51" spans="1:3" x14ac:dyDescent="0.25">
      <c r="A51" t="str">
        <f>"07/08/2009"</f>
        <v>07/08/2009</v>
      </c>
      <c r="B51" t="str">
        <f>"1.0774"</f>
        <v>1.0774</v>
      </c>
      <c r="C51" t="str">
        <f>"1.0773"</f>
        <v>1.0773</v>
      </c>
    </row>
    <row r="52" spans="1:3" x14ac:dyDescent="0.25">
      <c r="A52" t="str">
        <f>"10/08/2009"</f>
        <v>10/08/2009</v>
      </c>
      <c r="B52" t="str">
        <f>"1.0826"</f>
        <v>1.0826</v>
      </c>
      <c r="C52" t="str">
        <f>"1.0825"</f>
        <v>1.0825</v>
      </c>
    </row>
    <row r="53" spans="1:3" x14ac:dyDescent="0.25">
      <c r="A53" t="str">
        <f>"11/08/2009"</f>
        <v>11/08/2009</v>
      </c>
      <c r="B53" t="str">
        <f>"1.0896"</f>
        <v>1.0896</v>
      </c>
      <c r="C53" t="str">
        <f>"1.0895"</f>
        <v>1.0895</v>
      </c>
    </row>
    <row r="54" spans="1:3" x14ac:dyDescent="0.25">
      <c r="A54" t="str">
        <f>"12/08/2009"</f>
        <v>12/08/2009</v>
      </c>
      <c r="B54" t="str">
        <f>"1.1023"</f>
        <v>1.1023</v>
      </c>
      <c r="C54" t="str">
        <f>"1.1023"</f>
        <v>1.1023</v>
      </c>
    </row>
    <row r="55" spans="1:3" x14ac:dyDescent="0.25">
      <c r="A55" t="str">
        <f>"13/08/2009"</f>
        <v>13/08/2009</v>
      </c>
      <c r="B55" t="str">
        <f>"1.0903"</f>
        <v>1.0903</v>
      </c>
      <c r="C55" t="str">
        <f>"1.0903"</f>
        <v>1.0903</v>
      </c>
    </row>
    <row r="56" spans="1:3" x14ac:dyDescent="0.25">
      <c r="A56" t="str">
        <f>"14/08/2009"</f>
        <v>14/08/2009</v>
      </c>
      <c r="B56" t="str">
        <f>"1.0876"</f>
        <v>1.0876</v>
      </c>
      <c r="C56" t="str">
        <f>"1.0876"</f>
        <v>1.0876</v>
      </c>
    </row>
    <row r="57" spans="1:3" x14ac:dyDescent="0.25">
      <c r="A57" t="str">
        <f>"17/08/2009"</f>
        <v>17/08/2009</v>
      </c>
      <c r="B57" t="str">
        <f>"1.1045"</f>
        <v>1.1045</v>
      </c>
      <c r="C57" t="str">
        <f>"1.1045"</f>
        <v>1.1045</v>
      </c>
    </row>
    <row r="58" spans="1:3" x14ac:dyDescent="0.25">
      <c r="A58" t="str">
        <f>"18/08/2009"</f>
        <v>18/08/2009</v>
      </c>
      <c r="B58" t="str">
        <f>"1.1065"</f>
        <v>1.1065</v>
      </c>
      <c r="C58" t="str">
        <f>"1.1065"</f>
        <v>1.1065</v>
      </c>
    </row>
    <row r="59" spans="1:3" x14ac:dyDescent="0.25">
      <c r="A59" t="str">
        <f>"20/08/2009"</f>
        <v>20/08/2009</v>
      </c>
      <c r="B59" t="str">
        <f>"1.0967"</f>
        <v>1.0967</v>
      </c>
      <c r="C59" t="str">
        <f>"1.0966"</f>
        <v>1.0966</v>
      </c>
    </row>
    <row r="60" spans="1:3" x14ac:dyDescent="0.25">
      <c r="A60" t="str">
        <f>"21/08/2009"</f>
        <v>21/08/2009</v>
      </c>
      <c r="B60" t="str">
        <f>"1.0913"</f>
        <v>1.0913</v>
      </c>
      <c r="C60" t="str">
        <f>"1.0913"</f>
        <v>1.0913</v>
      </c>
    </row>
    <row r="61" spans="1:3" x14ac:dyDescent="0.25">
      <c r="A61" t="str">
        <f>"24/08/2009"</f>
        <v>24/08/2009</v>
      </c>
      <c r="B61" t="str">
        <f>"1.0791"</f>
        <v>1.0791</v>
      </c>
      <c r="C61" t="str">
        <f>"1.0791"</f>
        <v>1.0791</v>
      </c>
    </row>
    <row r="62" spans="1:3" x14ac:dyDescent="0.25">
      <c r="A62" t="str">
        <f>"25/08/2009"</f>
        <v>25/08/2009</v>
      </c>
      <c r="B62" t="str">
        <f>"1.0771"</f>
        <v>1.0771</v>
      </c>
      <c r="C62" t="str">
        <f>"1.0771"</f>
        <v>1.0771</v>
      </c>
    </row>
    <row r="63" spans="1:3" x14ac:dyDescent="0.25">
      <c r="A63" t="str">
        <f>"26/08/2009"</f>
        <v>26/08/2009</v>
      </c>
      <c r="B63" t="str">
        <f>"1.0866"</f>
        <v>1.0866</v>
      </c>
      <c r="C63" t="str">
        <f>"1.0865"</f>
        <v>1.0865</v>
      </c>
    </row>
    <row r="64" spans="1:3" x14ac:dyDescent="0.25">
      <c r="A64" t="str">
        <f>"27/08/2009"</f>
        <v>27/08/2009</v>
      </c>
      <c r="B64" t="str">
        <f>"1.0979"</f>
        <v>1.0979</v>
      </c>
      <c r="C64" t="str">
        <f>"1.0979"</f>
        <v>1.0979</v>
      </c>
    </row>
    <row r="65" spans="1:3" x14ac:dyDescent="0.25">
      <c r="A65" t="str">
        <f>"28/08/2009"</f>
        <v>28/08/2009</v>
      </c>
      <c r="B65" t="str">
        <f>"1.0888"</f>
        <v>1.0888</v>
      </c>
      <c r="C65" t="str">
        <f>"1.0888"</f>
        <v>1.0888</v>
      </c>
    </row>
    <row r="66" spans="1:3" x14ac:dyDescent="0.25">
      <c r="A66" t="str">
        <f>"31/08/2009"</f>
        <v>31/08/2009</v>
      </c>
      <c r="B66" t="str">
        <f>"1.0959"</f>
        <v>1.0959</v>
      </c>
      <c r="C66" t="str">
        <f>"1.0959"</f>
        <v>1.0959</v>
      </c>
    </row>
    <row r="67" spans="1:3" x14ac:dyDescent="0.25">
      <c r="A67" t="str">
        <f>"01/09/2009"</f>
        <v>01/09/2009</v>
      </c>
      <c r="B67" t="str">
        <f>"1.0936"</f>
        <v>1.0936</v>
      </c>
      <c r="C67" t="str">
        <f>"1.0936"</f>
        <v>1.0936</v>
      </c>
    </row>
    <row r="68" spans="1:3" x14ac:dyDescent="0.25">
      <c r="A68" t="str">
        <f>"02/09/2009"</f>
        <v>02/09/2009</v>
      </c>
      <c r="B68" t="str">
        <f>"1.1021"</f>
        <v>1.1021</v>
      </c>
      <c r="C68" t="str">
        <f>"1.102"</f>
        <v>1.102</v>
      </c>
    </row>
    <row r="69" spans="1:3" x14ac:dyDescent="0.25">
      <c r="A69" t="str">
        <f>"03/09/2009"</f>
        <v>03/09/2009</v>
      </c>
      <c r="B69" t="str">
        <f>"1.1029"</f>
        <v>1.1029</v>
      </c>
      <c r="C69" t="str">
        <f>"1.1029"</f>
        <v>1.1029</v>
      </c>
    </row>
    <row r="70" spans="1:3" x14ac:dyDescent="0.25">
      <c r="A70" t="str">
        <f>"04/09/2009"</f>
        <v>04/09/2009</v>
      </c>
      <c r="B70" t="str">
        <f>"1.1031"</f>
        <v>1.1031</v>
      </c>
      <c r="C70" t="str">
        <f>"1.1031"</f>
        <v>1.1031</v>
      </c>
    </row>
    <row r="71" spans="1:3" x14ac:dyDescent="0.25">
      <c r="A71" t="str">
        <f>"07/09/2009"</f>
        <v>07/09/2009</v>
      </c>
      <c r="B71" t="str">
        <f>"1.0852"</f>
        <v>1.0852</v>
      </c>
      <c r="C71" t="str">
        <f>"1.0851"</f>
        <v>1.0851</v>
      </c>
    </row>
    <row r="72" spans="1:3" x14ac:dyDescent="0.25">
      <c r="A72" t="str">
        <f>"08/09/2009"</f>
        <v>08/09/2009</v>
      </c>
      <c r="B72" t="str">
        <f>"1.0783"</f>
        <v>1.0783</v>
      </c>
      <c r="C72" t="str">
        <f>"1.0783"</f>
        <v>1.0783</v>
      </c>
    </row>
    <row r="73" spans="1:3" x14ac:dyDescent="0.25">
      <c r="A73" t="str">
        <f>"09/09/2009"</f>
        <v>09/09/2009</v>
      </c>
      <c r="B73" t="str">
        <f>"1.0793"</f>
        <v>1.0793</v>
      </c>
      <c r="C73" t="str">
        <f>"1.0793"</f>
        <v>1.0793</v>
      </c>
    </row>
    <row r="74" spans="1:3" x14ac:dyDescent="0.25">
      <c r="A74" t="str">
        <f>"10/09/2009"</f>
        <v>10/09/2009</v>
      </c>
      <c r="B74" t="str">
        <f>"1.0793"</f>
        <v>1.0793</v>
      </c>
      <c r="C74" t="str">
        <f>"1.0792"</f>
        <v>1.0792</v>
      </c>
    </row>
    <row r="75" spans="1:3" x14ac:dyDescent="0.25">
      <c r="A75" t="str">
        <f>"11/09/2009"</f>
        <v>11/09/2009</v>
      </c>
      <c r="B75" t="str">
        <f>"1.0765"</f>
        <v>1.0765</v>
      </c>
      <c r="C75" t="str">
        <f>"1.0765"</f>
        <v>1.0765</v>
      </c>
    </row>
    <row r="76" spans="1:3" x14ac:dyDescent="0.25">
      <c r="A76" t="str">
        <f>"14/09/2009"</f>
        <v>14/09/2009</v>
      </c>
      <c r="B76" t="str">
        <f>"1.0843"</f>
        <v>1.0843</v>
      </c>
      <c r="C76" t="str">
        <f>"1.0843"</f>
        <v>1.0843</v>
      </c>
    </row>
    <row r="77" spans="1:3" x14ac:dyDescent="0.25">
      <c r="A77" t="str">
        <f>"15/09/2009"</f>
        <v>15/09/2009</v>
      </c>
      <c r="B77" t="str">
        <f>"1.0839"</f>
        <v>1.0839</v>
      </c>
      <c r="C77" t="str">
        <f>"1.0839"</f>
        <v>1.0839</v>
      </c>
    </row>
    <row r="78" spans="1:3" x14ac:dyDescent="0.25">
      <c r="A78" t="str">
        <f>"16/09/2009"</f>
        <v>16/09/2009</v>
      </c>
      <c r="B78" t="str">
        <f>"1.0724"</f>
        <v>1.0724</v>
      </c>
      <c r="C78" t="str">
        <f>"1.0724"</f>
        <v>1.0724</v>
      </c>
    </row>
    <row r="79" spans="1:3" x14ac:dyDescent="0.25">
      <c r="A79" t="str">
        <f>"17/09/2009"</f>
        <v>17/09/2009</v>
      </c>
      <c r="B79" t="str">
        <f>"1.0663"</f>
        <v>1.0663</v>
      </c>
      <c r="C79" t="str">
        <f>"1.0663"</f>
        <v>1.0663</v>
      </c>
    </row>
    <row r="80" spans="1:3" x14ac:dyDescent="0.25">
      <c r="A80" t="str">
        <f>"18/09/2009"</f>
        <v>18/09/2009</v>
      </c>
      <c r="B80" t="str">
        <f>"1.0686"</f>
        <v>1.0686</v>
      </c>
      <c r="C80" t="str">
        <f>"1.0686"</f>
        <v>1.0686</v>
      </c>
    </row>
    <row r="81" spans="1:3" x14ac:dyDescent="0.25">
      <c r="A81" t="str">
        <f>"22/09/2009"</f>
        <v>22/09/2009</v>
      </c>
      <c r="B81" t="str">
        <f>"1.0751"</f>
        <v>1.0751</v>
      </c>
      <c r="C81" t="str">
        <f>"1.075"</f>
        <v>1.075</v>
      </c>
    </row>
    <row r="82" spans="1:3" x14ac:dyDescent="0.25">
      <c r="A82" t="str">
        <f>"23/09/2009"</f>
        <v>23/09/2009</v>
      </c>
      <c r="B82" t="str">
        <f>"1.0675"</f>
        <v>1.0675</v>
      </c>
      <c r="C82" t="str">
        <f>"1.0675"</f>
        <v>1.0675</v>
      </c>
    </row>
    <row r="83" spans="1:3" x14ac:dyDescent="0.25">
      <c r="A83" t="str">
        <f>"24/09/2009"</f>
        <v>24/09/2009</v>
      </c>
      <c r="B83" t="str">
        <f>"1.0752"</f>
        <v>1.0752</v>
      </c>
      <c r="C83" t="str">
        <f>"1.0751"</f>
        <v>1.0751</v>
      </c>
    </row>
    <row r="84" spans="1:3" x14ac:dyDescent="0.25">
      <c r="A84" t="str">
        <f>"25/09/2009"</f>
        <v>25/09/2009</v>
      </c>
      <c r="B84" t="str">
        <f>"1.0906"</f>
        <v>1.0906</v>
      </c>
      <c r="C84" t="str">
        <f>"1.0906"</f>
        <v>1.0906</v>
      </c>
    </row>
    <row r="85" spans="1:3" x14ac:dyDescent="0.25">
      <c r="A85" t="str">
        <f>"29/09/2009"</f>
        <v>29/09/2009</v>
      </c>
      <c r="B85" t="str">
        <f>"1.0848"</f>
        <v>1.0848</v>
      </c>
      <c r="C85" t="str">
        <f>"1.0848"</f>
        <v>1.0848</v>
      </c>
    </row>
    <row r="86" spans="1:3" x14ac:dyDescent="0.25">
      <c r="A86" t="str">
        <f>"01/10/2009"</f>
        <v>01/10/2009</v>
      </c>
      <c r="B86" t="str">
        <f>"1.0708"</f>
        <v>1.0708</v>
      </c>
      <c r="C86" t="str">
        <f>"1.0708"</f>
        <v>1.0708</v>
      </c>
    </row>
    <row r="87" spans="1:3" x14ac:dyDescent="0.25">
      <c r="A87" t="str">
        <f>"05/10/2009"</f>
        <v>05/10/2009</v>
      </c>
      <c r="B87" t="str">
        <f>"1.0744"</f>
        <v>1.0744</v>
      </c>
      <c r="C87" t="str">
        <f>"1.0744"</f>
        <v>1.0744</v>
      </c>
    </row>
    <row r="88" spans="1:3" x14ac:dyDescent="0.25">
      <c r="A88" t="str">
        <f>"06/10/2009"</f>
        <v>06/10/2009</v>
      </c>
      <c r="B88" t="str">
        <f>"1.069"</f>
        <v>1.069</v>
      </c>
      <c r="C88" t="str">
        <f>"1.069"</f>
        <v>1.069</v>
      </c>
    </row>
    <row r="89" spans="1:3" x14ac:dyDescent="0.25">
      <c r="A89" t="str">
        <f>"07/10/2009"</f>
        <v>07/10/2009</v>
      </c>
      <c r="B89" t="str">
        <f>"1.0614"</f>
        <v>1.0614</v>
      </c>
      <c r="C89" t="str">
        <f>"1.0614"</f>
        <v>1.0614</v>
      </c>
    </row>
    <row r="90" spans="1:3" x14ac:dyDescent="0.25">
      <c r="A90" t="str">
        <f>"08/10/2009"</f>
        <v>08/10/2009</v>
      </c>
      <c r="B90" t="str">
        <f>"1.0556"</f>
        <v>1.0556</v>
      </c>
      <c r="C90" t="str">
        <f>"1.0556"</f>
        <v>1.0556</v>
      </c>
    </row>
    <row r="91" spans="1:3" x14ac:dyDescent="0.25">
      <c r="A91" t="str">
        <f>"09/10/2009"</f>
        <v>09/10/2009</v>
      </c>
      <c r="B91" t="str">
        <f>"1.0546"</f>
        <v>1.0546</v>
      </c>
      <c r="C91" t="str">
        <f>"1.0546"</f>
        <v>1.0546</v>
      </c>
    </row>
    <row r="92" spans="1:3" x14ac:dyDescent="0.25">
      <c r="A92" t="str">
        <f>"12/10/2009"</f>
        <v>12/10/2009</v>
      </c>
      <c r="B92" t="str">
        <f>"1.0437"</f>
        <v>1.0437</v>
      </c>
      <c r="C92" t="str">
        <f>"1.0437"</f>
        <v>1.0437</v>
      </c>
    </row>
    <row r="93" spans="1:3" x14ac:dyDescent="0.25">
      <c r="A93" t="str">
        <f>"14/10/2009"</f>
        <v>14/10/2009</v>
      </c>
      <c r="B93" t="str">
        <f>"1.0281"</f>
        <v>1.0281</v>
      </c>
      <c r="C93" t="str">
        <f>"1.0281"</f>
        <v>1.0281</v>
      </c>
    </row>
    <row r="94" spans="1:3" x14ac:dyDescent="0.25">
      <c r="A94" t="str">
        <f>"15/10/2009"</f>
        <v>15/10/2009</v>
      </c>
      <c r="B94" t="str">
        <f>"1.0212"</f>
        <v>1.0212</v>
      </c>
      <c r="C94" t="str">
        <f>"1.0212"</f>
        <v>1.0212</v>
      </c>
    </row>
    <row r="95" spans="1:3" x14ac:dyDescent="0.25">
      <c r="A95" t="str">
        <f>"16/10/2009"</f>
        <v>16/10/2009</v>
      </c>
      <c r="B95" t="str">
        <f>"1.0316"</f>
        <v>1.0316</v>
      </c>
      <c r="C95" t="str">
        <f>"1.0316"</f>
        <v>1.0316</v>
      </c>
    </row>
    <row r="96" spans="1:3" x14ac:dyDescent="0.25">
      <c r="A96" t="str">
        <f>"20/10/2009"</f>
        <v>20/10/2009</v>
      </c>
      <c r="B96" t="str">
        <f>"1.0286"</f>
        <v>1.0286</v>
      </c>
      <c r="C96" t="str">
        <f>"1.0286"</f>
        <v>1.0286</v>
      </c>
    </row>
    <row r="97" spans="1:3" x14ac:dyDescent="0.25">
      <c r="A97" t="str">
        <f>"21/10/2009"</f>
        <v>21/10/2009</v>
      </c>
      <c r="B97" t="str">
        <f>"1.0497"</f>
        <v>1.0497</v>
      </c>
      <c r="C97" t="str">
        <f>"1.0497"</f>
        <v>1.0497</v>
      </c>
    </row>
    <row r="98" spans="1:3" x14ac:dyDescent="0.25">
      <c r="A98" t="str">
        <f>"22/10/2009"</f>
        <v>22/10/2009</v>
      </c>
      <c r="B98" t="str">
        <f>"1.047"</f>
        <v>1.047</v>
      </c>
      <c r="C98" t="str">
        <f>"1.047"</f>
        <v>1.047</v>
      </c>
    </row>
    <row r="99" spans="1:3" x14ac:dyDescent="0.25">
      <c r="A99" t="str">
        <f>"23/10/2009"</f>
        <v>23/10/2009</v>
      </c>
      <c r="B99" t="str">
        <f>"1.0472"</f>
        <v>1.0472</v>
      </c>
      <c r="C99" t="str">
        <f>"1.0472"</f>
        <v>1.0472</v>
      </c>
    </row>
    <row r="100" spans="1:3" x14ac:dyDescent="0.25">
      <c r="A100" t="str">
        <f>"26/10/2009"</f>
        <v>26/10/2009</v>
      </c>
      <c r="B100" t="str">
        <f>"1.0519"</f>
        <v>1.0519</v>
      </c>
      <c r="C100" t="str">
        <f>"1.0519"</f>
        <v>1.0519</v>
      </c>
    </row>
    <row r="101" spans="1:3" x14ac:dyDescent="0.25">
      <c r="A101" t="str">
        <f>"27/10/2009"</f>
        <v>27/10/2009</v>
      </c>
      <c r="B101" t="str">
        <f>"1.0689"</f>
        <v>1.0689</v>
      </c>
      <c r="C101" t="str">
        <f>"1.0689"</f>
        <v>1.0689</v>
      </c>
    </row>
    <row r="102" spans="1:3" x14ac:dyDescent="0.25">
      <c r="A102" t="str">
        <f>"28/10/2009"</f>
        <v>28/10/2009</v>
      </c>
      <c r="B102" t="str">
        <f>"1.0652"</f>
        <v>1.0652</v>
      </c>
      <c r="C102" t="str">
        <f>"1.0652"</f>
        <v>1.0652</v>
      </c>
    </row>
    <row r="103" spans="1:3" x14ac:dyDescent="0.25">
      <c r="A103" t="str">
        <f>"29/10/2009"</f>
        <v>29/10/2009</v>
      </c>
      <c r="B103" t="str">
        <f>"1.0792"</f>
        <v>1.0792</v>
      </c>
      <c r="C103" t="str">
        <f>"1.0792"</f>
        <v>1.0792</v>
      </c>
    </row>
    <row r="104" spans="1:3" x14ac:dyDescent="0.25">
      <c r="A104" t="str">
        <f>"30/10/2009"</f>
        <v>30/10/2009</v>
      </c>
      <c r="B104" t="str">
        <f>"1.0669"</f>
        <v>1.0669</v>
      </c>
      <c r="C104" t="str">
        <f>"1.0669"</f>
        <v>1.0669</v>
      </c>
    </row>
    <row r="105" spans="1:3" x14ac:dyDescent="0.25">
      <c r="A105" t="str">
        <f>"03/11/2009"</f>
        <v>03/11/2009</v>
      </c>
      <c r="B105" t="str">
        <f>"1.0789"</f>
        <v>1.0789</v>
      </c>
      <c r="C105" t="str">
        <f>"1.0789"</f>
        <v>1.0789</v>
      </c>
    </row>
    <row r="106" spans="1:3" x14ac:dyDescent="0.25">
      <c r="A106" t="str">
        <f>"04/11/2009"</f>
        <v>04/11/2009</v>
      </c>
      <c r="B106" t="str">
        <f>"1.0672"</f>
        <v>1.0672</v>
      </c>
      <c r="C106" t="str">
        <f>"1.0672"</f>
        <v>1.0672</v>
      </c>
    </row>
    <row r="107" spans="1:3" x14ac:dyDescent="0.25">
      <c r="A107" t="str">
        <f>"05/11/2009"</f>
        <v>05/11/2009</v>
      </c>
      <c r="B107" t="str">
        <f>"1.0652"</f>
        <v>1.0652</v>
      </c>
      <c r="C107" t="str">
        <f>"1.0652"</f>
        <v>1.0652</v>
      </c>
    </row>
    <row r="108" spans="1:3" x14ac:dyDescent="0.25">
      <c r="A108" t="str">
        <f>"06/11/2009"</f>
        <v>06/11/2009</v>
      </c>
      <c r="B108" t="str">
        <f>"1.0653"</f>
        <v>1.0653</v>
      </c>
      <c r="C108" t="str">
        <f>"1.0652"</f>
        <v>1.0652</v>
      </c>
    </row>
    <row r="109" spans="1:3" x14ac:dyDescent="0.25">
      <c r="A109" t="str">
        <f>"09/11/2009"</f>
        <v>09/11/2009</v>
      </c>
      <c r="B109" t="str">
        <f>"1.0693"</f>
        <v>1.0693</v>
      </c>
      <c r="C109" t="str">
        <f>"1.0692"</f>
        <v>1.0692</v>
      </c>
    </row>
    <row r="110" spans="1:3" x14ac:dyDescent="0.25">
      <c r="A110" t="str">
        <f>"10/11/2009"</f>
        <v>10/11/2009</v>
      </c>
      <c r="B110" t="str">
        <f>"1.0575"</f>
        <v>1.0575</v>
      </c>
      <c r="C110" t="str">
        <f>"1.0575"</f>
        <v>1.0575</v>
      </c>
    </row>
    <row r="111" spans="1:3" x14ac:dyDescent="0.25">
      <c r="A111" t="str">
        <f>"11/11/2009"</f>
        <v>11/11/2009</v>
      </c>
      <c r="B111" t="str">
        <f>"1.0498"</f>
        <v>1.0498</v>
      </c>
      <c r="C111" t="str">
        <f>"1.0498"</f>
        <v>1.0498</v>
      </c>
    </row>
    <row r="112" spans="1:3" x14ac:dyDescent="0.25">
      <c r="A112" t="str">
        <f>"12/11/2009"</f>
        <v>12/11/2009</v>
      </c>
      <c r="B112" t="str">
        <f>"1.0444"</f>
        <v>1.0444</v>
      </c>
      <c r="C112" t="str">
        <f>"1.0444"</f>
        <v>1.0444</v>
      </c>
    </row>
    <row r="113" spans="1:3" x14ac:dyDescent="0.25">
      <c r="A113" t="str">
        <f>"13/11/2009"</f>
        <v>13/11/2009</v>
      </c>
      <c r="B113" t="str">
        <f>"1.0556"</f>
        <v>1.0556</v>
      </c>
      <c r="C113" t="str">
        <f>"1.0555"</f>
        <v>1.0555</v>
      </c>
    </row>
    <row r="114" spans="1:3" x14ac:dyDescent="0.25">
      <c r="A114" t="str">
        <f>"16/11/2009"</f>
        <v>16/11/2009</v>
      </c>
      <c r="B114" t="str">
        <f>"1.0497"</f>
        <v>1.0497</v>
      </c>
      <c r="C114" t="str">
        <f>"1.0497"</f>
        <v>1.0497</v>
      </c>
    </row>
    <row r="115" spans="1:3" x14ac:dyDescent="0.25">
      <c r="A115" t="str">
        <f>"17/11/2009"</f>
        <v>17/11/2009</v>
      </c>
      <c r="B115" t="str">
        <f>"1.0491"</f>
        <v>1.0491</v>
      </c>
      <c r="C115" t="str">
        <f>"1.0491"</f>
        <v>1.0491</v>
      </c>
    </row>
    <row r="116" spans="1:3" x14ac:dyDescent="0.25">
      <c r="A116" t="str">
        <f>"18/11/2009"</f>
        <v>18/11/2009</v>
      </c>
      <c r="B116" t="str">
        <f>"1.053"</f>
        <v>1.053</v>
      </c>
      <c r="C116" t="str">
        <f>"1.053"</f>
        <v>1.053</v>
      </c>
    </row>
    <row r="117" spans="1:3" x14ac:dyDescent="0.25">
      <c r="A117" t="str">
        <f>"19/11/2009"</f>
        <v>19/11/2009</v>
      </c>
      <c r="B117" t="str">
        <f>"1.0582"</f>
        <v>1.0582</v>
      </c>
      <c r="C117" t="str">
        <f>"1.0582"</f>
        <v>1.0582</v>
      </c>
    </row>
    <row r="118" spans="1:3" x14ac:dyDescent="0.25">
      <c r="A118" t="str">
        <f>"20/11/2009"</f>
        <v>20/11/2009</v>
      </c>
      <c r="B118" t="str">
        <f>"1.0648"</f>
        <v>1.0648</v>
      </c>
      <c r="C118" t="str">
        <f>"1.0648"</f>
        <v>1.0648</v>
      </c>
    </row>
    <row r="119" spans="1:3" x14ac:dyDescent="0.25">
      <c r="A119" t="str">
        <f>"23/11/2009"</f>
        <v>23/11/2009</v>
      </c>
      <c r="B119" t="str">
        <f>"1.0668"</f>
        <v>1.0668</v>
      </c>
      <c r="C119" t="str">
        <f>"1.0668"</f>
        <v>1.0668</v>
      </c>
    </row>
    <row r="120" spans="1:3" x14ac:dyDescent="0.25">
      <c r="A120" t="str">
        <f>"24/11/2009"</f>
        <v>24/11/2009</v>
      </c>
      <c r="B120" t="str">
        <f>"1.0599"</f>
        <v>1.0599</v>
      </c>
      <c r="C120" t="str">
        <f>"1.0599"</f>
        <v>1.0599</v>
      </c>
    </row>
    <row r="121" spans="1:3" x14ac:dyDescent="0.25">
      <c r="A121" t="str">
        <f>"25/11/2009"</f>
        <v>25/11/2009</v>
      </c>
      <c r="B121" t="str">
        <f>"1.0552"</f>
        <v>1.0552</v>
      </c>
      <c r="C121" t="str">
        <f>"1.0552"</f>
        <v>1.0552</v>
      </c>
    </row>
    <row r="122" spans="1:3" x14ac:dyDescent="0.25">
      <c r="A122" t="str">
        <f>"26/11/2009"</f>
        <v>26/11/2009</v>
      </c>
      <c r="B122" t="str">
        <f>"1.0496"</f>
        <v>1.0496</v>
      </c>
      <c r="C122" t="str">
        <f>"1.0496"</f>
        <v>1.0496</v>
      </c>
    </row>
    <row r="123" spans="1:3" x14ac:dyDescent="0.25">
      <c r="A123" t="str">
        <f>"27/11/2009"</f>
        <v>27/11/2009</v>
      </c>
      <c r="B123" t="str">
        <f>"1.063"</f>
        <v>1.063</v>
      </c>
      <c r="C123" t="str">
        <f>"1.063"</f>
        <v>1.063</v>
      </c>
    </row>
    <row r="124" spans="1:3" x14ac:dyDescent="0.25">
      <c r="A124" t="str">
        <f>"30/11/2009"</f>
        <v>30/11/2009</v>
      </c>
      <c r="B124" t="str">
        <f>"1.0564"</f>
        <v>1.0564</v>
      </c>
      <c r="C124" t="str">
        <f>"1.0564"</f>
        <v>1.0564</v>
      </c>
    </row>
    <row r="125" spans="1:3" x14ac:dyDescent="0.25">
      <c r="A125" t="str">
        <f>"01/12/2009"</f>
        <v>01/12/2009</v>
      </c>
      <c r="B125" t="str">
        <f>"1.0554"</f>
        <v>1.0554</v>
      </c>
      <c r="C125" t="str">
        <f>"1.0554"</f>
        <v>1.0554</v>
      </c>
    </row>
    <row r="126" spans="1:3" x14ac:dyDescent="0.25">
      <c r="A126" t="str">
        <f>"02/12/2009"</f>
        <v>02/12/2009</v>
      </c>
      <c r="B126" t="str">
        <f>"1.0451"</f>
        <v>1.0451</v>
      </c>
      <c r="C126" t="str">
        <f>"1.0451"</f>
        <v>1.0451</v>
      </c>
    </row>
    <row r="127" spans="1:3" x14ac:dyDescent="0.25">
      <c r="A127" t="str">
        <f>"03/12/2009"</f>
        <v>03/12/2009</v>
      </c>
      <c r="B127" t="str">
        <f>"1.0488"</f>
        <v>1.0488</v>
      </c>
      <c r="C127" t="str">
        <f>"1.0488"</f>
        <v>1.0488</v>
      </c>
    </row>
    <row r="128" spans="1:3" x14ac:dyDescent="0.25">
      <c r="A128" t="str">
        <f>"04/12/2009"</f>
        <v>04/12/2009</v>
      </c>
      <c r="B128" t="str">
        <f>"1.0566"</f>
        <v>1.0566</v>
      </c>
      <c r="C128" t="str">
        <f>"1.0566"</f>
        <v>1.0566</v>
      </c>
    </row>
    <row r="129" spans="1:3" x14ac:dyDescent="0.25">
      <c r="A129" t="str">
        <f>"07/12/2009"</f>
        <v>07/12/2009</v>
      </c>
      <c r="B129" t="str">
        <f>"1.0553"</f>
        <v>1.0553</v>
      </c>
      <c r="C129" t="str">
        <f>"1.0553"</f>
        <v>1.0553</v>
      </c>
    </row>
    <row r="130" spans="1:3" x14ac:dyDescent="0.25">
      <c r="A130" t="str">
        <f>"08/12/2009"</f>
        <v>08/12/2009</v>
      </c>
      <c r="B130" t="str">
        <f>"1.0514"</f>
        <v>1.0514</v>
      </c>
      <c r="C130" t="str">
        <f>"1.0514"</f>
        <v>1.0514</v>
      </c>
    </row>
    <row r="131" spans="1:3" x14ac:dyDescent="0.25">
      <c r="A131" t="str">
        <f>"09/12/2009"</f>
        <v>09/12/2009</v>
      </c>
      <c r="B131" t="str">
        <f>"1.0619"</f>
        <v>1.0619</v>
      </c>
      <c r="C131" t="str">
        <f>"1.0619"</f>
        <v>1.0619</v>
      </c>
    </row>
    <row r="132" spans="1:3" x14ac:dyDescent="0.25">
      <c r="A132" t="str">
        <f>"10/12/2009"</f>
        <v>10/12/2009</v>
      </c>
      <c r="B132" t="str">
        <f>"1.0548"</f>
        <v>1.0548</v>
      </c>
      <c r="C132" t="str">
        <f>"1.0548"</f>
        <v>1.0548</v>
      </c>
    </row>
    <row r="133" spans="1:3" x14ac:dyDescent="0.25">
      <c r="A133" t="str">
        <f>"11/12/2009"</f>
        <v>11/12/2009</v>
      </c>
      <c r="B133" t="str">
        <f>"1.0519"</f>
        <v>1.0519</v>
      </c>
      <c r="C133" t="str">
        <f>"1.0519"</f>
        <v>1.0519</v>
      </c>
    </row>
    <row r="134" spans="1:3" x14ac:dyDescent="0.25">
      <c r="A134" t="str">
        <f>"14/12/2009"</f>
        <v>14/12/2009</v>
      </c>
      <c r="B134" t="str">
        <f>"1.062"</f>
        <v>1.062</v>
      </c>
      <c r="C134" t="str">
        <f>"1.062"</f>
        <v>1.062</v>
      </c>
    </row>
    <row r="135" spans="1:3" x14ac:dyDescent="0.25">
      <c r="A135" t="str">
        <f>"15/12/2009"</f>
        <v>15/12/2009</v>
      </c>
      <c r="B135" t="str">
        <f>"1.0586"</f>
        <v>1.0586</v>
      </c>
      <c r="C135" t="str">
        <f>"1.0586"</f>
        <v>1.0586</v>
      </c>
    </row>
    <row r="136" spans="1:3" x14ac:dyDescent="0.25">
      <c r="A136" t="str">
        <f>"16/12/2009"</f>
        <v>16/12/2009</v>
      </c>
      <c r="B136" t="str">
        <f>"1.061"</f>
        <v>1.061</v>
      </c>
      <c r="C136" t="str">
        <f>"1.061"</f>
        <v>1.061</v>
      </c>
    </row>
    <row r="137" spans="1:3" x14ac:dyDescent="0.25">
      <c r="A137" t="str">
        <f>"17/12/2009"</f>
        <v>17/12/2009</v>
      </c>
      <c r="B137" t="str">
        <f>"1.0674"</f>
        <v>1.0674</v>
      </c>
      <c r="C137" t="str">
        <f>"1.0674"</f>
        <v>1.0674</v>
      </c>
    </row>
    <row r="138" spans="1:3" x14ac:dyDescent="0.25">
      <c r="A138" t="str">
        <f>"18/12/2009"</f>
        <v>18/12/2009</v>
      </c>
      <c r="B138" t="str">
        <f>"1.0668"</f>
        <v>1.0668</v>
      </c>
      <c r="C138" t="str">
        <f>"1.0668"</f>
        <v>1.0668</v>
      </c>
    </row>
    <row r="139" spans="1:3" x14ac:dyDescent="0.25">
      <c r="A139" t="str">
        <f>"21/12/2009"</f>
        <v>21/12/2009</v>
      </c>
      <c r="B139" t="str">
        <f>"1.0665"</f>
        <v>1.0665</v>
      </c>
      <c r="C139" t="str">
        <f>"1.0665"</f>
        <v>1.0665</v>
      </c>
    </row>
    <row r="140" spans="1:3" x14ac:dyDescent="0.25">
      <c r="A140" t="str">
        <f>"22/12/2009"</f>
        <v>22/12/2009</v>
      </c>
      <c r="B140" t="str">
        <f>"1.0625"</f>
        <v>1.0625</v>
      </c>
      <c r="C140" t="str">
        <f>"1.0625"</f>
        <v>1.0625</v>
      </c>
    </row>
    <row r="141" spans="1:3" x14ac:dyDescent="0.25">
      <c r="A141" t="str">
        <f>"23/12/2009"</f>
        <v>23/12/2009</v>
      </c>
      <c r="B141" t="str">
        <f>"1.0574"</f>
        <v>1.0574</v>
      </c>
      <c r="C141" t="str">
        <f>"1.0574"</f>
        <v>1.0574</v>
      </c>
    </row>
    <row r="142" spans="1:3" x14ac:dyDescent="0.25">
      <c r="A142" t="str">
        <f>"24/12/2009"</f>
        <v>24/12/2009</v>
      </c>
      <c r="B142" t="str">
        <f>"1.0488"</f>
        <v>1.0488</v>
      </c>
      <c r="C142" t="str">
        <f>"1.0488"</f>
        <v>1.0488</v>
      </c>
    </row>
    <row r="143" spans="1:3" x14ac:dyDescent="0.25">
      <c r="A143" t="str">
        <f>"29/12/2009"</f>
        <v>29/12/2009</v>
      </c>
      <c r="B143" t="str">
        <f>"1.0445"</f>
        <v>1.0445</v>
      </c>
      <c r="C143" t="str">
        <f>"1.0445"</f>
        <v>1.0445</v>
      </c>
    </row>
    <row r="144" spans="1:3" x14ac:dyDescent="0.25">
      <c r="A144" t="str">
        <f>"30/12/2009"</f>
        <v>30/12/2009</v>
      </c>
      <c r="B144" t="str">
        <f>"1.0496"</f>
        <v>1.0496</v>
      </c>
      <c r="C144" t="str">
        <f>"1.0496"</f>
        <v>1.0496</v>
      </c>
    </row>
    <row r="145" spans="1:3" x14ac:dyDescent="0.25">
      <c r="A145" t="str">
        <f>"31/12/2009"</f>
        <v>31/12/2009</v>
      </c>
      <c r="B145" t="str">
        <f>"1.0523"</f>
        <v>1.0523</v>
      </c>
      <c r="C145" t="str">
        <f>"1.0523"</f>
        <v>1.0523</v>
      </c>
    </row>
    <row r="146" spans="1:3" x14ac:dyDescent="0.25">
      <c r="A146" t="str">
        <f>"01/01/2010"</f>
        <v>01/01/2010</v>
      </c>
      <c r="B146" t="str">
        <f>"1.0538"</f>
        <v>1.0538</v>
      </c>
      <c r="C146" t="str">
        <f>"1.0538"</f>
        <v>1.0538</v>
      </c>
    </row>
    <row r="147" spans="1:3" x14ac:dyDescent="0.25">
      <c r="A147" t="str">
        <f>"04/01/2010"</f>
        <v>04/01/2010</v>
      </c>
      <c r="B147" t="str">
        <f>"1.0469"</f>
        <v>1.0469</v>
      </c>
      <c r="C147" t="str">
        <f>"1.0469"</f>
        <v>1.0469</v>
      </c>
    </row>
    <row r="148" spans="1:3" x14ac:dyDescent="0.25">
      <c r="A148" t="str">
        <f>"05/01/2010"</f>
        <v>05/01/2010</v>
      </c>
      <c r="B148" t="str">
        <f>"1.0392"</f>
        <v>1.0392</v>
      </c>
      <c r="C148" t="str">
        <f>"1.0392"</f>
        <v>1.0392</v>
      </c>
    </row>
    <row r="149" spans="1:3" x14ac:dyDescent="0.25">
      <c r="A149" t="str">
        <f>"06/01/2010"</f>
        <v>06/01/2010</v>
      </c>
      <c r="B149" t="str">
        <f>"1.038"</f>
        <v>1.038</v>
      </c>
      <c r="C149" t="str">
        <f>"1.038"</f>
        <v>1.038</v>
      </c>
    </row>
    <row r="150" spans="1:3" x14ac:dyDescent="0.25">
      <c r="A150" t="str">
        <f>"07/01/2010"</f>
        <v>07/01/2010</v>
      </c>
      <c r="B150" t="str">
        <f>"1.0341"</f>
        <v>1.0341</v>
      </c>
      <c r="C150" t="str">
        <f>"1.0341"</f>
        <v>1.0341</v>
      </c>
    </row>
    <row r="151" spans="1:3" x14ac:dyDescent="0.25">
      <c r="A151" t="str">
        <f>"08/01/2010"</f>
        <v>08/01/2010</v>
      </c>
      <c r="B151" t="str">
        <f>"1.0351"</f>
        <v>1.0351</v>
      </c>
      <c r="C151" t="str">
        <f>"1.0351"</f>
        <v>1.0351</v>
      </c>
    </row>
    <row r="152" spans="1:3" x14ac:dyDescent="0.25">
      <c r="A152" t="str">
        <f>"11/01/2010"</f>
        <v>11/01/2010</v>
      </c>
      <c r="B152" t="str">
        <f>"1.0266"</f>
        <v>1.0266</v>
      </c>
      <c r="C152" t="str">
        <f>"1.0266"</f>
        <v>1.0266</v>
      </c>
    </row>
    <row r="153" spans="1:3" x14ac:dyDescent="0.25">
      <c r="A153" t="str">
        <f>"12/01/2010"</f>
        <v>12/01/2010</v>
      </c>
      <c r="B153" t="str">
        <f>"1.0347"</f>
        <v>1.0347</v>
      </c>
      <c r="C153" t="str">
        <f>"1.0347"</f>
        <v>1.0347</v>
      </c>
    </row>
    <row r="154" spans="1:3" x14ac:dyDescent="0.25">
      <c r="A154" t="str">
        <f>"13/01/2010"</f>
        <v>13/01/2010</v>
      </c>
      <c r="B154" t="str">
        <f>"1.0391"</f>
        <v>1.0391</v>
      </c>
      <c r="C154" t="str">
        <f>"1.0391"</f>
        <v>1.0391</v>
      </c>
    </row>
    <row r="155" spans="1:3" x14ac:dyDescent="0.25">
      <c r="A155" t="str">
        <f>"14/01/2010"</f>
        <v>14/01/2010</v>
      </c>
      <c r="B155" t="str">
        <f>"1.0307"</f>
        <v>1.0307</v>
      </c>
      <c r="C155" t="str">
        <f>"1.0307"</f>
        <v>1.0307</v>
      </c>
    </row>
    <row r="156" spans="1:3" x14ac:dyDescent="0.25">
      <c r="A156" t="str">
        <f>"15/01/2010"</f>
        <v>15/01/2010</v>
      </c>
      <c r="B156" t="str">
        <f>"1.0262"</f>
        <v>1.0262</v>
      </c>
      <c r="C156" t="str">
        <f>"1.0263"</f>
        <v>1.0263</v>
      </c>
    </row>
    <row r="157" spans="1:3" x14ac:dyDescent="0.25">
      <c r="A157" t="str">
        <f>"18/01/2010"</f>
        <v>18/01/2010</v>
      </c>
      <c r="B157" t="str">
        <f>"1.0292"</f>
        <v>1.0292</v>
      </c>
      <c r="C157" t="str">
        <f>"1.0292"</f>
        <v>1.0292</v>
      </c>
    </row>
    <row r="158" spans="1:3" x14ac:dyDescent="0.25">
      <c r="A158" t="str">
        <f>"19/01/2010"</f>
        <v>19/01/2010</v>
      </c>
      <c r="B158" t="str">
        <f>"1.0269"</f>
        <v>1.0269</v>
      </c>
      <c r="C158" t="str">
        <f>"1.0269"</f>
        <v>1.0269</v>
      </c>
    </row>
    <row r="159" spans="1:3" x14ac:dyDescent="0.25">
      <c r="A159" t="str">
        <f>"20/01/2010"</f>
        <v>20/01/2010</v>
      </c>
      <c r="B159" t="str">
        <f>"1.035"</f>
        <v>1.035</v>
      </c>
      <c r="C159" t="str">
        <f>"1.035"</f>
        <v>1.035</v>
      </c>
    </row>
    <row r="160" spans="1:3" x14ac:dyDescent="0.25">
      <c r="A160" t="str">
        <f>"21/01/2010"</f>
        <v>21/01/2010</v>
      </c>
      <c r="B160" t="str">
        <f>"1.0458"</f>
        <v>1.0458</v>
      </c>
      <c r="C160" t="str">
        <f>"1.0459"</f>
        <v>1.0459</v>
      </c>
    </row>
    <row r="161" spans="1:3" x14ac:dyDescent="0.25">
      <c r="A161" t="str">
        <f>"22/01/2010"</f>
        <v>22/01/2010</v>
      </c>
      <c r="B161" t="str">
        <f>"1.0504"</f>
        <v>1.0504</v>
      </c>
      <c r="C161" t="str">
        <f>"1.0504"</f>
        <v>1.0504</v>
      </c>
    </row>
    <row r="162" spans="1:3" x14ac:dyDescent="0.25">
      <c r="A162" t="str">
        <f>"25/01/2010"</f>
        <v>25/01/2010</v>
      </c>
      <c r="B162" t="str">
        <f>"1.0564"</f>
        <v>1.0564</v>
      </c>
      <c r="C162" t="str">
        <f>"1.0564"</f>
        <v>1.0564</v>
      </c>
    </row>
    <row r="163" spans="1:3" x14ac:dyDescent="0.25">
      <c r="A163" t="str">
        <f>"27/01/2010"</f>
        <v>27/01/2010</v>
      </c>
      <c r="B163" t="str">
        <f>"1.0628"</f>
        <v>1.0628</v>
      </c>
      <c r="C163" t="str">
        <f>"1.0629"</f>
        <v>1.0629</v>
      </c>
    </row>
    <row r="164" spans="1:3" x14ac:dyDescent="0.25">
      <c r="A164" t="str">
        <f>"28/01/2010"</f>
        <v>28/01/2010</v>
      </c>
      <c r="B164" t="str">
        <f>"1.0617"</f>
        <v>1.0617</v>
      </c>
      <c r="C164" t="str">
        <f>"1.0618"</f>
        <v>1.0618</v>
      </c>
    </row>
    <row r="165" spans="1:3" x14ac:dyDescent="0.25">
      <c r="A165" t="str">
        <f>"29/01/2010"</f>
        <v>29/01/2010</v>
      </c>
      <c r="B165" t="str">
        <f>"1.0669"</f>
        <v>1.0669</v>
      </c>
      <c r="C165" t="str">
        <f>"1.0669"</f>
        <v>1.0669</v>
      </c>
    </row>
    <row r="166" spans="1:3" x14ac:dyDescent="0.25">
      <c r="A166" t="str">
        <f>"01/02/2010"</f>
        <v>01/02/2010</v>
      </c>
      <c r="B166" t="str">
        <f>"1.0698"</f>
        <v>1.0698</v>
      </c>
      <c r="C166" t="str">
        <f>"1.0699"</f>
        <v>1.0699</v>
      </c>
    </row>
    <row r="167" spans="1:3" x14ac:dyDescent="0.25">
      <c r="A167" t="str">
        <f>"02/02/2010"</f>
        <v>02/02/2010</v>
      </c>
      <c r="B167" t="str">
        <f>"1.0624"</f>
        <v>1.0624</v>
      </c>
      <c r="C167" t="str">
        <f>"1.0625"</f>
        <v>1.0625</v>
      </c>
    </row>
    <row r="168" spans="1:3" x14ac:dyDescent="0.25">
      <c r="A168" t="str">
        <f>"03/02/2010"</f>
        <v>03/02/2010</v>
      </c>
      <c r="B168" t="str">
        <f>"1.0574"</f>
        <v>1.0574</v>
      </c>
      <c r="C168" t="str">
        <f>"1.0575"</f>
        <v>1.0575</v>
      </c>
    </row>
    <row r="169" spans="1:3" x14ac:dyDescent="0.25">
      <c r="A169" t="str">
        <f>"04/02/2010"</f>
        <v>04/02/2010</v>
      </c>
      <c r="B169" t="str">
        <f>"1.0612"</f>
        <v>1.0612</v>
      </c>
      <c r="C169" t="str">
        <f>"1.0612"</f>
        <v>1.0612</v>
      </c>
    </row>
    <row r="170" spans="1:3" x14ac:dyDescent="0.25">
      <c r="A170" t="str">
        <f>"05/02/2010"</f>
        <v>05/02/2010</v>
      </c>
      <c r="B170" t="str">
        <f>"1.0729"</f>
        <v>1.0729</v>
      </c>
      <c r="C170" t="str">
        <f>"1.073"</f>
        <v>1.073</v>
      </c>
    </row>
    <row r="171" spans="1:3" x14ac:dyDescent="0.25">
      <c r="A171" t="str">
        <f>"08/02/2010"</f>
        <v>08/02/2010</v>
      </c>
      <c r="B171" t="str">
        <f>"1.0722"</f>
        <v>1.0722</v>
      </c>
      <c r="C171" t="str">
        <f>"1.0722"</f>
        <v>1.0722</v>
      </c>
    </row>
    <row r="172" spans="1:3" x14ac:dyDescent="0.25">
      <c r="A172" t="str">
        <f>"09/02/2010"</f>
        <v>09/02/2010</v>
      </c>
      <c r="B172" t="str">
        <f>"1.0743"</f>
        <v>1.0743</v>
      </c>
      <c r="C172" t="str">
        <f>"1.0743"</f>
        <v>1.0743</v>
      </c>
    </row>
    <row r="173" spans="1:3" x14ac:dyDescent="0.25">
      <c r="A173" t="str">
        <f>"10/02/2010"</f>
        <v>10/02/2010</v>
      </c>
      <c r="B173" t="str">
        <f>"1.0688"</f>
        <v>1.0688</v>
      </c>
      <c r="C173" t="str">
        <f>"1.0689"</f>
        <v>1.0689</v>
      </c>
    </row>
    <row r="174" spans="1:3" x14ac:dyDescent="0.25">
      <c r="A174" t="str">
        <f>"11/02/2010"</f>
        <v>11/02/2010</v>
      </c>
      <c r="B174" t="str">
        <f>"1.0595"</f>
        <v>1.0595</v>
      </c>
      <c r="C174" t="str">
        <f>"1.0596"</f>
        <v>1.0596</v>
      </c>
    </row>
    <row r="175" spans="1:3" x14ac:dyDescent="0.25">
      <c r="A175" t="str">
        <f>"15/02/2010"</f>
        <v>15/02/2010</v>
      </c>
      <c r="B175" t="str">
        <f>"1.0508"</f>
        <v>1.0508</v>
      </c>
      <c r="C175" t="str">
        <f>"1.0509"</f>
        <v>1.0509</v>
      </c>
    </row>
    <row r="176" spans="1:3" x14ac:dyDescent="0.25">
      <c r="A176" t="str">
        <f>"16/02/2010"</f>
        <v>16/02/2010</v>
      </c>
      <c r="B176" t="str">
        <f>"1.0486"</f>
        <v>1.0486</v>
      </c>
      <c r="C176" t="str">
        <f>"1.0487"</f>
        <v>1.0487</v>
      </c>
    </row>
    <row r="177" spans="1:3" x14ac:dyDescent="0.25">
      <c r="A177" t="str">
        <f>"17/02/2010"</f>
        <v>17/02/2010</v>
      </c>
      <c r="B177" t="str">
        <f>"1.0449"</f>
        <v>1.0449</v>
      </c>
      <c r="C177" t="str">
        <f>"1.045"</f>
        <v>1.045</v>
      </c>
    </row>
    <row r="178" spans="1:3" x14ac:dyDescent="0.25">
      <c r="A178" t="str">
        <f>"18/02/2010"</f>
        <v>18/02/2010</v>
      </c>
      <c r="B178" t="str">
        <f>"1.0482"</f>
        <v>1.0482</v>
      </c>
      <c r="C178" t="str">
        <f>"1.0483"</f>
        <v>1.0483</v>
      </c>
    </row>
    <row r="179" spans="1:3" x14ac:dyDescent="0.25">
      <c r="A179" t="str">
        <f>"19/02/2010"</f>
        <v>19/02/2010</v>
      </c>
      <c r="B179" t="str">
        <f>"1.0494"</f>
        <v>1.0494</v>
      </c>
      <c r="C179" t="str">
        <f>"1.0495"</f>
        <v>1.0495</v>
      </c>
    </row>
    <row r="180" spans="1:3" x14ac:dyDescent="0.25">
      <c r="A180" t="str">
        <f>"22/02/2010"</f>
        <v>22/02/2010</v>
      </c>
      <c r="B180" t="str">
        <f>"1.0379"</f>
        <v>1.0379</v>
      </c>
      <c r="C180" t="str">
        <f>"1.0379"</f>
        <v>1.0379</v>
      </c>
    </row>
    <row r="181" spans="1:3" x14ac:dyDescent="0.25">
      <c r="A181" t="str">
        <f>"23/02/2010"</f>
        <v>23/02/2010</v>
      </c>
      <c r="B181" t="str">
        <f>"1.0434"</f>
        <v>1.0434</v>
      </c>
      <c r="C181" t="str">
        <f>"1.0435"</f>
        <v>1.0435</v>
      </c>
    </row>
    <row r="182" spans="1:3" x14ac:dyDescent="0.25">
      <c r="A182" t="str">
        <f>"24/02/2010"</f>
        <v>24/02/2010</v>
      </c>
      <c r="B182" t="str">
        <f>"1.0539"</f>
        <v>1.0539</v>
      </c>
      <c r="C182" t="str">
        <f>"1.054"</f>
        <v>1.054</v>
      </c>
    </row>
    <row r="183" spans="1:3" x14ac:dyDescent="0.25">
      <c r="A183" t="str">
        <f>"25/02/2010"</f>
        <v>25/02/2010</v>
      </c>
      <c r="B183" t="str">
        <f>"1.0559"</f>
        <v>1.0559</v>
      </c>
      <c r="C183" t="str">
        <f>"1.056"</f>
        <v>1.056</v>
      </c>
    </row>
    <row r="184" spans="1:3" x14ac:dyDescent="0.25">
      <c r="A184" t="str">
        <f>"26/02/2010"</f>
        <v>26/02/2010</v>
      </c>
      <c r="B184" t="str">
        <f>"1.0593"</f>
        <v>1.0593</v>
      </c>
      <c r="C184" t="str">
        <f>"1.0594"</f>
        <v>1.0594</v>
      </c>
    </row>
    <row r="185" spans="1:3" x14ac:dyDescent="0.25">
      <c r="A185" t="str">
        <f>"02/03/2010"</f>
        <v>02/03/2010</v>
      </c>
      <c r="B185" t="str">
        <f>"1.0443"</f>
        <v>1.0443</v>
      </c>
      <c r="C185" t="str">
        <f>"1.0444"</f>
        <v>1.0444</v>
      </c>
    </row>
    <row r="186" spans="1:3" x14ac:dyDescent="0.25">
      <c r="A186" t="str">
        <f>"03/03/2010"</f>
        <v>03/03/2010</v>
      </c>
      <c r="B186" t="str">
        <f>"1.035"</f>
        <v>1.035</v>
      </c>
      <c r="C186" t="str">
        <f>"1.0351"</f>
        <v>1.0351</v>
      </c>
    </row>
    <row r="187" spans="1:3" x14ac:dyDescent="0.25">
      <c r="A187" t="str">
        <f>"04/03/2010"</f>
        <v>04/03/2010</v>
      </c>
      <c r="B187" t="str">
        <f>"1.0318"</f>
        <v>1.0318</v>
      </c>
      <c r="C187" t="str">
        <f>"1.0319"</f>
        <v>1.0319</v>
      </c>
    </row>
    <row r="188" spans="1:3" x14ac:dyDescent="0.25">
      <c r="A188" t="str">
        <f>"05/03/2010"</f>
        <v>05/03/2010</v>
      </c>
      <c r="B188" t="str">
        <f>"1.0313"</f>
        <v>1.0313</v>
      </c>
      <c r="C188" t="str">
        <f>"1.0313"</f>
        <v>1.0313</v>
      </c>
    </row>
    <row r="189" spans="1:3" x14ac:dyDescent="0.25">
      <c r="A189" t="str">
        <f>"08/03/2010"</f>
        <v>08/03/2010</v>
      </c>
      <c r="B189" t="str">
        <f>"1.0269"</f>
        <v>1.0269</v>
      </c>
      <c r="C189" t="str">
        <f>"1.0269"</f>
        <v>1.0269</v>
      </c>
    </row>
    <row r="190" spans="1:3" x14ac:dyDescent="0.25">
      <c r="A190" t="str">
        <f>"09/03/2010"</f>
        <v>09/03/2010</v>
      </c>
      <c r="B190" t="str">
        <f>"1.0283"</f>
        <v>1.0283</v>
      </c>
      <c r="C190" t="str">
        <f>"1.0283"</f>
        <v>1.0283</v>
      </c>
    </row>
    <row r="191" spans="1:3" x14ac:dyDescent="0.25">
      <c r="A191" t="str">
        <f>"10/03/2010"</f>
        <v>10/03/2010</v>
      </c>
      <c r="B191" t="str">
        <f>"1.0271"</f>
        <v>1.0271</v>
      </c>
      <c r="C191" t="str">
        <f>"1.0271"</f>
        <v>1.0271</v>
      </c>
    </row>
    <row r="192" spans="1:3" x14ac:dyDescent="0.25">
      <c r="A192" t="str">
        <f>"11/03/2010"</f>
        <v>11/03/2010</v>
      </c>
      <c r="B192" t="str">
        <f>"1.0263"</f>
        <v>1.0263</v>
      </c>
      <c r="C192" t="str">
        <f>"1.0263"</f>
        <v>1.0263</v>
      </c>
    </row>
    <row r="193" spans="1:3" x14ac:dyDescent="0.25">
      <c r="A193" t="str">
        <f>"12/03/2010"</f>
        <v>12/03/2010</v>
      </c>
      <c r="B193" t="str">
        <f>"1.0245"</f>
        <v>1.0245</v>
      </c>
      <c r="C193" t="str">
        <f>"1.0245"</f>
        <v>1.0245</v>
      </c>
    </row>
    <row r="194" spans="1:3" x14ac:dyDescent="0.25">
      <c r="A194" t="str">
        <f>"15/03/2010"</f>
        <v>15/03/2010</v>
      </c>
      <c r="B194" t="str">
        <f>"1.0187"</f>
        <v>1.0187</v>
      </c>
      <c r="C194" t="str">
        <f>"1.0188"</f>
        <v>1.0188</v>
      </c>
    </row>
    <row r="195" spans="1:3" x14ac:dyDescent="0.25">
      <c r="A195" t="str">
        <f>"17/03/2010"</f>
        <v>17/03/2010</v>
      </c>
      <c r="B195" t="str">
        <f>"1.0139"</f>
        <v>1.0139</v>
      </c>
      <c r="C195" t="str">
        <f>"1.0139"</f>
        <v>1.0139</v>
      </c>
    </row>
    <row r="196" spans="1:3" x14ac:dyDescent="0.25">
      <c r="A196" t="str">
        <f>"18/03/2010"</f>
        <v>18/03/2010</v>
      </c>
      <c r="B196" t="str">
        <f>"1.0112"</f>
        <v>1.0112</v>
      </c>
      <c r="C196" t="str">
        <f>"1.0112"</f>
        <v>1.0112</v>
      </c>
    </row>
    <row r="197" spans="1:3" x14ac:dyDescent="0.25">
      <c r="A197" t="str">
        <f>"19/03/2010"</f>
        <v>19/03/2010</v>
      </c>
      <c r="B197" t="str">
        <f>"1.0164"</f>
        <v>1.0164</v>
      </c>
      <c r="C197" t="str">
        <f>"1.0164"</f>
        <v>1.0164</v>
      </c>
    </row>
    <row r="198" spans="1:3" x14ac:dyDescent="0.25">
      <c r="A198" t="str">
        <f>"22/03/2010"</f>
        <v>22/03/2010</v>
      </c>
      <c r="B198" t="str">
        <f>"1.0168"</f>
        <v>1.0168</v>
      </c>
      <c r="C198" t="str">
        <f>"1.0168"</f>
        <v>1.0168</v>
      </c>
    </row>
    <row r="199" spans="1:3" x14ac:dyDescent="0.25">
      <c r="A199" t="str">
        <f>"23/03/2010"</f>
        <v>23/03/2010</v>
      </c>
      <c r="B199" t="str">
        <f>"1.018"</f>
        <v>1.018</v>
      </c>
      <c r="C199" t="str">
        <f>"1.0181"</f>
        <v>1.0181</v>
      </c>
    </row>
    <row r="200" spans="1:3" x14ac:dyDescent="0.25">
      <c r="A200" t="str">
        <f>"25/03/2010"</f>
        <v>25/03/2010</v>
      </c>
      <c r="B200" t="str">
        <f>"1.0233"</f>
        <v>1.0233</v>
      </c>
      <c r="C200" t="str">
        <f>"1.0234"</f>
        <v>1.0234</v>
      </c>
    </row>
    <row r="201" spans="1:3" x14ac:dyDescent="0.25">
      <c r="A201" t="str">
        <f>"26/03/2010"</f>
        <v>26/03/2010</v>
      </c>
      <c r="B201" t="str">
        <f>"1.0222"</f>
        <v>1.0222</v>
      </c>
      <c r="C201" t="str">
        <f>"1.0222"</f>
        <v>1.0222</v>
      </c>
    </row>
    <row r="202" spans="1:3" x14ac:dyDescent="0.25">
      <c r="A202" t="str">
        <f>"29/03/2010"</f>
        <v>29/03/2010</v>
      </c>
      <c r="B202" t="str">
        <f>"1.0239"</f>
        <v>1.0239</v>
      </c>
      <c r="C202" t="str">
        <f>"1.0239"</f>
        <v>1.0239</v>
      </c>
    </row>
    <row r="203" spans="1:3" x14ac:dyDescent="0.25">
      <c r="A203" t="str">
        <f>"30/03/2010"</f>
        <v>30/03/2010</v>
      </c>
      <c r="B203" t="str">
        <f>"1.0211"</f>
        <v>1.0211</v>
      </c>
      <c r="C203" t="str">
        <f>"1.0211"</f>
        <v>1.0211</v>
      </c>
    </row>
    <row r="204" spans="1:3" x14ac:dyDescent="0.25">
      <c r="A204" t="str">
        <f>"31/03/2010"</f>
        <v>31/03/2010</v>
      </c>
      <c r="B204" t="str">
        <f>"1.0184"</f>
        <v>1.0184</v>
      </c>
      <c r="C204" t="str">
        <f>"1.0184"</f>
        <v>1.0184</v>
      </c>
    </row>
    <row r="205" spans="1:3" x14ac:dyDescent="0.25">
      <c r="A205" t="str">
        <f>"05/04/2010"</f>
        <v>05/04/2010</v>
      </c>
      <c r="B205" t="str">
        <f>"1.008"</f>
        <v>1.008</v>
      </c>
      <c r="C205" t="str">
        <f>"1.008"</f>
        <v>1.008</v>
      </c>
    </row>
    <row r="206" spans="1:3" x14ac:dyDescent="0.25">
      <c r="A206" t="str">
        <f>"06/04/2010"</f>
        <v>06/04/2010</v>
      </c>
      <c r="B206" t="str">
        <f>"1.0043"</f>
        <v>1.0043</v>
      </c>
      <c r="C206" t="str">
        <f>"1.0043"</f>
        <v>1.0043</v>
      </c>
    </row>
    <row r="207" spans="1:3" x14ac:dyDescent="0.25">
      <c r="A207" t="str">
        <f>"07/04/2010"</f>
        <v>07/04/2010</v>
      </c>
      <c r="B207" t="str">
        <f>"1.0003"</f>
        <v>1.0003</v>
      </c>
      <c r="C207" t="str">
        <f>"1.0003"</f>
        <v>1.0003</v>
      </c>
    </row>
    <row r="208" spans="1:3" x14ac:dyDescent="0.25">
      <c r="A208" t="str">
        <f>"08/04/2010"</f>
        <v>08/04/2010</v>
      </c>
      <c r="B208" t="str">
        <f>"1.0058"</f>
        <v>1.0058</v>
      </c>
      <c r="C208" t="str">
        <f>"1.0058"</f>
        <v>1.0058</v>
      </c>
    </row>
    <row r="209" spans="1:3" x14ac:dyDescent="0.25">
      <c r="A209" t="str">
        <f>"09/04/2010"</f>
        <v>09/04/2010</v>
      </c>
      <c r="B209" t="str">
        <f>"1.0021"</f>
        <v>1.0021</v>
      </c>
      <c r="C209" t="str">
        <f>"1.0021"</f>
        <v>1.0021</v>
      </c>
    </row>
    <row r="210" spans="1:3" x14ac:dyDescent="0.25">
      <c r="A210" t="str">
        <f>"12/04/2010"</f>
        <v>12/04/2010</v>
      </c>
      <c r="B210" t="str">
        <f>"1.0036"</f>
        <v>1.0036</v>
      </c>
      <c r="C210" t="str">
        <f>"1.0036"</f>
        <v>1.0036</v>
      </c>
    </row>
    <row r="211" spans="1:3" x14ac:dyDescent="0.25">
      <c r="A211" t="str">
        <f>"13/04/2010"</f>
        <v>13/04/2010</v>
      </c>
      <c r="B211" t="str">
        <f>"1.0041"</f>
        <v>1.0041</v>
      </c>
      <c r="C211" t="str">
        <f>"1.0041"</f>
        <v>1.0041</v>
      </c>
    </row>
    <row r="212" spans="1:3" x14ac:dyDescent="0.25">
      <c r="A212" t="str">
        <f>"15/04/2010"</f>
        <v>15/04/2010</v>
      </c>
      <c r="B212" t="str">
        <f>"0.9973"</f>
        <v>0.9973</v>
      </c>
      <c r="C212" t="str">
        <f>"0.9973"</f>
        <v>0.9973</v>
      </c>
    </row>
    <row r="213" spans="1:3" x14ac:dyDescent="0.25">
      <c r="A213" t="str">
        <f>"16/04/2010"</f>
        <v>16/04/2010</v>
      </c>
      <c r="B213" t="str">
        <f>"1.0042"</f>
        <v>1.0042</v>
      </c>
      <c r="C213" t="str">
        <f>"1.0042"</f>
        <v>1.0042</v>
      </c>
    </row>
    <row r="214" spans="1:3" x14ac:dyDescent="0.25">
      <c r="A214" t="str">
        <f>"19/04/2010"</f>
        <v>19/04/2010</v>
      </c>
      <c r="B214" t="str">
        <f>"1.0171"</f>
        <v>1.0171</v>
      </c>
      <c r="C214" t="str">
        <f>"1.0171"</f>
        <v>1.0171</v>
      </c>
    </row>
    <row r="215" spans="1:3" x14ac:dyDescent="0.25">
      <c r="A215" t="str">
        <f>"20/04/2010"</f>
        <v>20/04/2010</v>
      </c>
      <c r="B215" t="str">
        <f>"1.0143"</f>
        <v>1.0143</v>
      </c>
      <c r="C215" t="str">
        <f>"1.0143"</f>
        <v>1.0143</v>
      </c>
    </row>
    <row r="216" spans="1:3" x14ac:dyDescent="0.25">
      <c r="A216" t="str">
        <f>"21/04/2010"</f>
        <v>21/04/2010</v>
      </c>
      <c r="B216" t="str">
        <f>"0.997"</f>
        <v>0.997</v>
      </c>
      <c r="C216" t="str">
        <f>"0.9969"</f>
        <v>0.9969</v>
      </c>
    </row>
    <row r="217" spans="1:3" x14ac:dyDescent="0.25">
      <c r="A217" t="str">
        <f>"22/04/2010"</f>
        <v>22/04/2010</v>
      </c>
      <c r="B217" t="str">
        <f>"0.9998"</f>
        <v>0.9998</v>
      </c>
      <c r="C217" t="str">
        <f>"0.9998"</f>
        <v>0.9998</v>
      </c>
    </row>
    <row r="218" spans="1:3" x14ac:dyDescent="0.25">
      <c r="A218" t="str">
        <f>"23/04/2010"</f>
        <v>23/04/2010</v>
      </c>
      <c r="B218" t="str">
        <f>"1.0032"</f>
        <v>1.0032</v>
      </c>
      <c r="C218" t="str">
        <f>"1.0031"</f>
        <v>1.0031</v>
      </c>
    </row>
    <row r="219" spans="1:3" x14ac:dyDescent="0.25">
      <c r="A219" t="str">
        <f>"26/04/2010"</f>
        <v>26/04/2010</v>
      </c>
      <c r="B219" t="str">
        <f>"0.9989"</f>
        <v>0.9989</v>
      </c>
      <c r="C219" t="str">
        <f>"0.9989"</f>
        <v>0.9989</v>
      </c>
    </row>
    <row r="220" spans="1:3" x14ac:dyDescent="0.25">
      <c r="A220" t="str">
        <f>"27/04/2010"</f>
        <v>27/04/2010</v>
      </c>
      <c r="B220" t="str">
        <f>"1.0012"</f>
        <v>1.0012</v>
      </c>
      <c r="C220" t="str">
        <f>"1.0012"</f>
        <v>1.0012</v>
      </c>
    </row>
    <row r="221" spans="1:3" x14ac:dyDescent="0.25">
      <c r="A221" t="str">
        <f>"28/04/2010"</f>
        <v>28/04/2010</v>
      </c>
      <c r="B221" t="str">
        <f>"1.0131"</f>
        <v>1.0131</v>
      </c>
      <c r="C221" t="str">
        <f>"1.013"</f>
        <v>1.013</v>
      </c>
    </row>
    <row r="222" spans="1:3" x14ac:dyDescent="0.25">
      <c r="A222" t="str">
        <f>"29/04/2010"</f>
        <v>29/04/2010</v>
      </c>
      <c r="B222" t="str">
        <f>"1.0103"</f>
        <v>1.0103</v>
      </c>
      <c r="C222" t="str">
        <f>"1.0102"</f>
        <v>1.0102</v>
      </c>
    </row>
    <row r="223" spans="1:3" x14ac:dyDescent="0.25">
      <c r="A223" t="str">
        <f>"30/04/2010"</f>
        <v>30/04/2010</v>
      </c>
      <c r="B223" t="str">
        <f>"1.004"</f>
        <v>1.004</v>
      </c>
      <c r="C223" t="str">
        <f>"1.0039"</f>
        <v>1.0039</v>
      </c>
    </row>
    <row r="224" spans="1:3" x14ac:dyDescent="0.25">
      <c r="A224" t="str">
        <f>"03/05/2010"</f>
        <v>03/05/2010</v>
      </c>
      <c r="B224" t="str">
        <f>"1.0175"</f>
        <v>1.0175</v>
      </c>
      <c r="C224" t="str">
        <f>"1.0174"</f>
        <v>1.0174</v>
      </c>
    </row>
    <row r="225" spans="1:3" x14ac:dyDescent="0.25">
      <c r="A225" t="str">
        <f>"04/05/2010"</f>
        <v>04/05/2010</v>
      </c>
      <c r="B225" t="str">
        <f>"1.0128"</f>
        <v>1.0128</v>
      </c>
      <c r="C225" t="str">
        <f>"1.0127"</f>
        <v>1.0127</v>
      </c>
    </row>
    <row r="226" spans="1:3" x14ac:dyDescent="0.25">
      <c r="A226" t="str">
        <f>"05/05/2010"</f>
        <v>05/05/2010</v>
      </c>
      <c r="B226" t="str">
        <f>"1.0253"</f>
        <v>1.0253</v>
      </c>
      <c r="C226" t="str">
        <f>"1.0252"</f>
        <v>1.0252</v>
      </c>
    </row>
    <row r="227" spans="1:3" x14ac:dyDescent="0.25">
      <c r="A227" t="str">
        <f>"06/05/2010"</f>
        <v>06/05/2010</v>
      </c>
      <c r="B227" t="str">
        <f>"1.0289"</f>
        <v>1.0289</v>
      </c>
      <c r="C227" t="str">
        <f>"1.0288"</f>
        <v>1.0288</v>
      </c>
    </row>
    <row r="228" spans="1:3" x14ac:dyDescent="0.25">
      <c r="A228" t="str">
        <f>"07/05/2010"</f>
        <v>07/05/2010</v>
      </c>
      <c r="B228" t="str">
        <f>"1.0464"</f>
        <v>1.0464</v>
      </c>
      <c r="C228" t="str">
        <f>"1.0462"</f>
        <v>1.0462</v>
      </c>
    </row>
    <row r="229" spans="1:3" x14ac:dyDescent="0.25">
      <c r="A229" t="str">
        <f>"10/05/2010"</f>
        <v>10/05/2010</v>
      </c>
      <c r="B229" t="str">
        <f>"1.0283"</f>
        <v>1.0283</v>
      </c>
      <c r="C229" t="str">
        <f>"1.0282"</f>
        <v>1.0282</v>
      </c>
    </row>
    <row r="230" spans="1:3" x14ac:dyDescent="0.25">
      <c r="A230" t="str">
        <f>"11/05/2010"</f>
        <v>11/05/2010</v>
      </c>
      <c r="B230" t="str">
        <f>"1.0248"</f>
        <v>1.0248</v>
      </c>
      <c r="C230" t="str">
        <f>"1.0248"</f>
        <v>1.0248</v>
      </c>
    </row>
    <row r="231" spans="1:3" x14ac:dyDescent="0.25">
      <c r="A231" t="str">
        <f>"12/05/2010"</f>
        <v>12/05/2010</v>
      </c>
      <c r="B231" t="str">
        <f>"1.0206"</f>
        <v>1.0206</v>
      </c>
      <c r="C231" t="str">
        <f>"1.0206"</f>
        <v>1.0206</v>
      </c>
    </row>
    <row r="232" spans="1:3" x14ac:dyDescent="0.25">
      <c r="A232" t="str">
        <f>"13/05/2010"</f>
        <v>13/05/2010</v>
      </c>
      <c r="B232" t="str">
        <f>"1.0172"</f>
        <v>1.0172</v>
      </c>
      <c r="C232" t="str">
        <f>"1.0173"</f>
        <v>1.0173</v>
      </c>
    </row>
    <row r="233" spans="1:3" x14ac:dyDescent="0.25">
      <c r="A233" t="str">
        <f>"14/05/2010"</f>
        <v>14/05/2010</v>
      </c>
      <c r="B233" t="str">
        <f>"1.022"</f>
        <v>1.022</v>
      </c>
      <c r="C233" t="str">
        <f>"1.0221"</f>
        <v>1.0221</v>
      </c>
    </row>
    <row r="234" spans="1:3" x14ac:dyDescent="0.25">
      <c r="A234" t="str">
        <f>"17/05/2010"</f>
        <v>17/05/2010</v>
      </c>
      <c r="B234" t="str">
        <f>"1.0408"</f>
        <v>1.0408</v>
      </c>
      <c r="C234" t="str">
        <f>"1.0409"</f>
        <v>1.0409</v>
      </c>
    </row>
    <row r="235" spans="1:3" x14ac:dyDescent="0.25">
      <c r="A235" t="str">
        <f>"18/05/2010"</f>
        <v>18/05/2010</v>
      </c>
      <c r="B235" t="str">
        <f>"1.0338"</f>
        <v>1.0338</v>
      </c>
      <c r="C235" t="str">
        <f>"1.0339"</f>
        <v>1.0339</v>
      </c>
    </row>
    <row r="236" spans="1:3" x14ac:dyDescent="0.25">
      <c r="A236" t="str">
        <f>"19/05/2010"</f>
        <v>19/05/2010</v>
      </c>
      <c r="B236" t="str">
        <f>"1.0403"</f>
        <v>1.0403</v>
      </c>
      <c r="C236" t="str">
        <f>"1.0404"</f>
        <v>1.0404</v>
      </c>
    </row>
    <row r="237" spans="1:3" x14ac:dyDescent="0.25">
      <c r="A237" t="str">
        <f>"20/05/2010"</f>
        <v>20/05/2010</v>
      </c>
      <c r="B237" t="str">
        <f>"1.0454"</f>
        <v>1.0454</v>
      </c>
      <c r="C237" t="str">
        <f>"1.0455"</f>
        <v>1.0455</v>
      </c>
    </row>
    <row r="238" spans="1:3" x14ac:dyDescent="0.25">
      <c r="A238" t="str">
        <f>"21/05/2010"</f>
        <v>21/05/2010</v>
      </c>
      <c r="B238" t="str">
        <f>"1.0644"</f>
        <v>1.0644</v>
      </c>
      <c r="C238" t="str">
        <f>"1.0644"</f>
        <v>1.0644</v>
      </c>
    </row>
    <row r="239" spans="1:3" x14ac:dyDescent="0.25">
      <c r="A239" t="str">
        <f>"24/05/2010"</f>
        <v>24/05/2010</v>
      </c>
      <c r="B239" t="str">
        <f>"1.0625"</f>
        <v>1.0625</v>
      </c>
      <c r="C239" t="str">
        <f>"1.0625"</f>
        <v>1.0625</v>
      </c>
    </row>
    <row r="240" spans="1:3" x14ac:dyDescent="0.25">
      <c r="A240" t="str">
        <f>"25/05/2010"</f>
        <v>25/05/2010</v>
      </c>
      <c r="B240" t="str">
        <f>"1.0694"</f>
        <v>1.0694</v>
      </c>
      <c r="C240" t="str">
        <f>"1.0694"</f>
        <v>1.0694</v>
      </c>
    </row>
    <row r="241" spans="1:3" x14ac:dyDescent="0.25">
      <c r="A241" t="str">
        <f>"26/05/2010"</f>
        <v>26/05/2010</v>
      </c>
      <c r="B241" t="str">
        <f>"1.0715"</f>
        <v>1.0715</v>
      </c>
      <c r="C241" t="str">
        <f>"1.0715"</f>
        <v>1.0715</v>
      </c>
    </row>
    <row r="242" spans="1:3" x14ac:dyDescent="0.25">
      <c r="A242" t="str">
        <f>"28/05/2010"</f>
        <v>28/05/2010</v>
      </c>
      <c r="B242" t="str">
        <f>"1.0521"</f>
        <v>1.0521</v>
      </c>
      <c r="C242" t="str">
        <f>"1.0522"</f>
        <v>1.0522</v>
      </c>
    </row>
    <row r="243" spans="1:3" x14ac:dyDescent="0.25">
      <c r="A243" t="str">
        <f>"31/05/2010"</f>
        <v>31/05/2010</v>
      </c>
      <c r="B243" t="str">
        <f>"1.0494"</f>
        <v>1.0494</v>
      </c>
      <c r="C243" t="str">
        <f>"1.0495"</f>
        <v>1.0495</v>
      </c>
    </row>
    <row r="244" spans="1:3" x14ac:dyDescent="0.25">
      <c r="A244" t="str">
        <f>"01/06/2010"</f>
        <v>01/06/2010</v>
      </c>
      <c r="B244" t="str">
        <f>"1.0468"</f>
        <v>1.0468</v>
      </c>
      <c r="C244" t="str">
        <f>"1.0469"</f>
        <v>1.0469</v>
      </c>
    </row>
    <row r="245" spans="1:3" x14ac:dyDescent="0.25">
      <c r="A245" t="str">
        <f>"02/06/2010"</f>
        <v>02/06/2010</v>
      </c>
      <c r="B245" t="str">
        <f>"1.0565"</f>
        <v>1.0565</v>
      </c>
      <c r="C245" t="str">
        <f>"1.0566"</f>
        <v>1.0566</v>
      </c>
    </row>
    <row r="246" spans="1:3" x14ac:dyDescent="0.25">
      <c r="A246" t="str">
        <f>"03/06/2010"</f>
        <v>03/06/2010</v>
      </c>
      <c r="B246" t="str">
        <f>"1.0369"</f>
        <v>1.0369</v>
      </c>
      <c r="C246" t="str">
        <f>"1.0371"</f>
        <v>1.0371</v>
      </c>
    </row>
    <row r="247" spans="1:3" x14ac:dyDescent="0.25">
      <c r="A247" t="str">
        <f>"04/06/2010"</f>
        <v>04/06/2010</v>
      </c>
      <c r="B247" t="str">
        <f>"1.0409"</f>
        <v>1.0409</v>
      </c>
      <c r="C247" t="str">
        <f>"1.0411"</f>
        <v>1.0411</v>
      </c>
    </row>
    <row r="248" spans="1:3" x14ac:dyDescent="0.25">
      <c r="A248" t="str">
        <f>"07/06/2010"</f>
        <v>07/06/2010</v>
      </c>
      <c r="B248" t="str">
        <f>"1.0646"</f>
        <v>1.0646</v>
      </c>
      <c r="C248" t="str">
        <f>"1.0648"</f>
        <v>1.0648</v>
      </c>
    </row>
    <row r="249" spans="1:3" x14ac:dyDescent="0.25">
      <c r="A249" t="str">
        <f>"08/06/2010"</f>
        <v>08/06/2010</v>
      </c>
      <c r="B249" t="str">
        <f>"1.056"</f>
        <v>1.056</v>
      </c>
      <c r="C249" t="str">
        <f>"1.0562"</f>
        <v>1.0562</v>
      </c>
    </row>
    <row r="250" spans="1:3" x14ac:dyDescent="0.25">
      <c r="A250" t="str">
        <f>"09/06/2010"</f>
        <v>09/06/2010</v>
      </c>
      <c r="B250" t="str">
        <f>"1.0499"</f>
        <v>1.0499</v>
      </c>
      <c r="C250" t="str">
        <f>"1.05"</f>
        <v>1.05</v>
      </c>
    </row>
    <row r="251" spans="1:3" x14ac:dyDescent="0.25">
      <c r="A251" t="str">
        <f>"10/06/2010"</f>
        <v>10/06/2010</v>
      </c>
      <c r="B251" t="str">
        <f>"1.0398"</f>
        <v>1.0398</v>
      </c>
      <c r="C251" t="str">
        <f>"1.04"</f>
        <v>1.04</v>
      </c>
    </row>
    <row r="252" spans="1:3" x14ac:dyDescent="0.25">
      <c r="A252" t="str">
        <f>"11/06/2010"</f>
        <v>11/06/2010</v>
      </c>
      <c r="B252" t="str">
        <f>"1.033"</f>
        <v>1.033</v>
      </c>
      <c r="C252" t="str">
        <f>"1.0332"</f>
        <v>1.0332</v>
      </c>
    </row>
    <row r="253" spans="1:3" x14ac:dyDescent="0.25">
      <c r="A253" t="str">
        <f>"14/06/2010"</f>
        <v>14/06/2010</v>
      </c>
      <c r="B253" t="str">
        <f>"1.0307"</f>
        <v>1.0307</v>
      </c>
      <c r="C253" t="str">
        <f>"1.0308"</f>
        <v>1.0308</v>
      </c>
    </row>
    <row r="254" spans="1:3" x14ac:dyDescent="0.25">
      <c r="A254" t="str">
        <f>"15/06/2010"</f>
        <v>15/06/2010</v>
      </c>
      <c r="B254" t="str">
        <f>"1.0316"</f>
        <v>1.0316</v>
      </c>
      <c r="C254" t="str">
        <f>"1.0318"</f>
        <v>1.0318</v>
      </c>
    </row>
    <row r="255" spans="1:3" x14ac:dyDescent="0.25">
      <c r="A255" t="str">
        <f>"16/06/2010"</f>
        <v>16/06/2010</v>
      </c>
      <c r="B255" t="str">
        <f>"1.0267"</f>
        <v>1.0267</v>
      </c>
      <c r="C255" t="str">
        <f>"1.0269"</f>
        <v>1.0269</v>
      </c>
    </row>
    <row r="256" spans="1:3" x14ac:dyDescent="0.25">
      <c r="A256" t="str">
        <f>"17/06/2010"</f>
        <v>17/06/2010</v>
      </c>
      <c r="B256" t="str">
        <f>"1.0279"</f>
        <v>1.0279</v>
      </c>
      <c r="C256" t="str">
        <f>"1.0281"</f>
        <v>1.0281</v>
      </c>
    </row>
    <row r="257" spans="1:3" x14ac:dyDescent="0.25">
      <c r="A257" t="str">
        <f>"18/06/2010"</f>
        <v>18/06/2010</v>
      </c>
      <c r="B257" t="str">
        <f>"1.0275"</f>
        <v>1.0275</v>
      </c>
      <c r="C257" t="str">
        <f>"1.0277"</f>
        <v>1.0277</v>
      </c>
    </row>
    <row r="258" spans="1:3" x14ac:dyDescent="0.25">
      <c r="A258" t="str">
        <f>"21/06/2010"</f>
        <v>21/06/2010</v>
      </c>
      <c r="B258" t="str">
        <f>"1.0171"</f>
        <v>1.0171</v>
      </c>
      <c r="C258" t="str">
        <f>"1.0173"</f>
        <v>1.0173</v>
      </c>
    </row>
    <row r="259" spans="1:3" x14ac:dyDescent="0.25">
      <c r="A259" t="str">
        <f>"22/06/2010"</f>
        <v>22/06/2010</v>
      </c>
      <c r="B259" t="str">
        <f>"1.0246"</f>
        <v>1.0246</v>
      </c>
      <c r="C259" t="str">
        <f>"1.0248"</f>
        <v>1.0248</v>
      </c>
    </row>
    <row r="260" spans="1:3" x14ac:dyDescent="0.25">
      <c r="A260" t="str">
        <f>"23/06/2010"</f>
        <v>23/06/2010</v>
      </c>
      <c r="B260" t="str">
        <f>"1.0297"</f>
        <v>1.0297</v>
      </c>
      <c r="C260" t="str">
        <f>"1.03"</f>
        <v>1.03</v>
      </c>
    </row>
    <row r="261" spans="1:3" x14ac:dyDescent="0.25">
      <c r="A261" t="str">
        <f>"24/06/2010"</f>
        <v>24/06/2010</v>
      </c>
      <c r="B261" t="str">
        <f>"1.0391"</f>
        <v>1.0391</v>
      </c>
      <c r="C261" t="str">
        <f>"1.0394"</f>
        <v>1.0394</v>
      </c>
    </row>
    <row r="262" spans="1:3" x14ac:dyDescent="0.25">
      <c r="A262" t="str">
        <f>"25/06/2010"</f>
        <v>25/06/2010</v>
      </c>
      <c r="B262" t="str">
        <f>"1.0428"</f>
        <v>1.0428</v>
      </c>
      <c r="C262" t="str">
        <f>"1.043"</f>
        <v>1.043</v>
      </c>
    </row>
    <row r="263" spans="1:3" x14ac:dyDescent="0.25">
      <c r="A263" t="str">
        <f>"28/06/2010"</f>
        <v>28/06/2010</v>
      </c>
      <c r="B263" t="str">
        <f>"1.0358"</f>
        <v>1.0358</v>
      </c>
      <c r="C263" t="str">
        <f>"1.036"</f>
        <v>1.036</v>
      </c>
    </row>
    <row r="264" spans="1:3" x14ac:dyDescent="0.25">
      <c r="A264" t="str">
        <f>"29/06/2010"</f>
        <v>29/06/2010</v>
      </c>
      <c r="B264" t="str">
        <f>"1.0373"</f>
        <v>1.0373</v>
      </c>
      <c r="C264" t="str">
        <f>"1.0375"</f>
        <v>1.0375</v>
      </c>
    </row>
    <row r="265" spans="1:3" x14ac:dyDescent="0.25">
      <c r="A265" t="str">
        <f>"30/06/2010"</f>
        <v>30/06/2010</v>
      </c>
      <c r="B265" t="str">
        <f>"1.0527"</f>
        <v>1.0527</v>
      </c>
      <c r="C265" t="str">
        <f>"1.0529"</f>
        <v>1.0529</v>
      </c>
    </row>
    <row r="266" spans="1:3" x14ac:dyDescent="0.25">
      <c r="A266" t="str">
        <f>"01/07/2010"</f>
        <v>01/07/2010</v>
      </c>
      <c r="B266" t="str">
        <f>"1.0669"</f>
        <v>1.0669</v>
      </c>
      <c r="C266" t="str">
        <f>"1.0671"</f>
        <v>1.0671</v>
      </c>
    </row>
    <row r="267" spans="1:3" x14ac:dyDescent="0.25">
      <c r="A267" t="str">
        <f>"02/07/2010"</f>
        <v>02/07/2010</v>
      </c>
      <c r="B267" t="str">
        <f>"1.06"</f>
        <v>1.06</v>
      </c>
      <c r="C267" t="str">
        <f>"1.0602"</f>
        <v>1.0602</v>
      </c>
    </row>
    <row r="268" spans="1:3" x14ac:dyDescent="0.25">
      <c r="A268" t="str">
        <f>"05/07/2010"</f>
        <v>05/07/2010</v>
      </c>
      <c r="B268" t="str">
        <f>"1.0593"</f>
        <v>1.0593</v>
      </c>
      <c r="C268" t="str">
        <f>"1.0595"</f>
        <v>1.0595</v>
      </c>
    </row>
    <row r="269" spans="1:3" x14ac:dyDescent="0.25">
      <c r="A269" t="str">
        <f>"06/07/2010"</f>
        <v>06/07/2010</v>
      </c>
      <c r="B269" t="str">
        <f>"1.0637"</f>
        <v>1.0637</v>
      </c>
      <c r="C269" t="str">
        <f>"1.0639"</f>
        <v>1.0639</v>
      </c>
    </row>
    <row r="270" spans="1:3" x14ac:dyDescent="0.25">
      <c r="A270" t="str">
        <f>"07/07/2010"</f>
        <v>07/07/2010</v>
      </c>
      <c r="B270" t="str">
        <f>"1.0563"</f>
        <v>1.0563</v>
      </c>
      <c r="C270" t="str">
        <f>"1.0565"</f>
        <v>1.0565</v>
      </c>
    </row>
    <row r="271" spans="1:3" x14ac:dyDescent="0.25">
      <c r="A271" t="str">
        <f>"08/07/2010"</f>
        <v>08/07/2010</v>
      </c>
      <c r="B271" t="str">
        <f>"1.0458"</f>
        <v>1.0458</v>
      </c>
      <c r="C271" t="str">
        <f>"1.046"</f>
        <v>1.046</v>
      </c>
    </row>
    <row r="272" spans="1:3" x14ac:dyDescent="0.25">
      <c r="A272" t="str">
        <f>"09/07/2010"</f>
        <v>09/07/2010</v>
      </c>
      <c r="B272" t="str">
        <f>"1.0427"</f>
        <v>1.0427</v>
      </c>
      <c r="C272" t="str">
        <f>"1.043"</f>
        <v>1.043</v>
      </c>
    </row>
    <row r="273" spans="1:3" x14ac:dyDescent="0.25">
      <c r="A273" t="str">
        <f>"12/07/2010"</f>
        <v>12/07/2010</v>
      </c>
      <c r="B273" t="str">
        <f>"1.0316"</f>
        <v>1.0316</v>
      </c>
      <c r="C273" t="str">
        <f>"1.0319"</f>
        <v>1.0319</v>
      </c>
    </row>
    <row r="274" spans="1:3" x14ac:dyDescent="0.25">
      <c r="A274" t="str">
        <f>"13/07/2010"</f>
        <v>13/07/2010</v>
      </c>
      <c r="B274" t="str">
        <f>"1.0367"</f>
        <v>1.0367</v>
      </c>
      <c r="C274" t="str">
        <f>"1.037"</f>
        <v>1.037</v>
      </c>
    </row>
    <row r="275" spans="1:3" x14ac:dyDescent="0.25">
      <c r="A275" t="str">
        <f>"14/07/2010"</f>
        <v>14/07/2010</v>
      </c>
      <c r="B275" t="str">
        <f>"1.031"</f>
        <v>1.031</v>
      </c>
      <c r="C275" t="str">
        <f>"1.0313"</f>
        <v>1.0313</v>
      </c>
    </row>
    <row r="276" spans="1:3" x14ac:dyDescent="0.25">
      <c r="A276" t="str">
        <f>"15/07/2010"</f>
        <v>15/07/2010</v>
      </c>
      <c r="B276" t="str">
        <f>"1.0345"</f>
        <v>1.0345</v>
      </c>
      <c r="C276" t="str">
        <f>"1.0348"</f>
        <v>1.0348</v>
      </c>
    </row>
    <row r="277" spans="1:3" x14ac:dyDescent="0.25">
      <c r="A277" t="str">
        <f>"16/07/2010"</f>
        <v>16/07/2010</v>
      </c>
      <c r="B277" t="str">
        <f>"1.0413"</f>
        <v>1.0413</v>
      </c>
      <c r="C277" t="str">
        <f>"1.0416"</f>
        <v>1.0416</v>
      </c>
    </row>
    <row r="278" spans="1:3" x14ac:dyDescent="0.25">
      <c r="A278" t="str">
        <f>"19/07/2010"</f>
        <v>19/07/2010</v>
      </c>
      <c r="B278" t="str">
        <f>"1.0552"</f>
        <v>1.0552</v>
      </c>
      <c r="C278" t="str">
        <f>"1.0555"</f>
        <v>1.0555</v>
      </c>
    </row>
    <row r="279" spans="1:3" x14ac:dyDescent="0.25">
      <c r="A279" t="str">
        <f>"20/07/2010"</f>
        <v>20/07/2010</v>
      </c>
      <c r="B279" t="str">
        <f>"1.0516"</f>
        <v>1.0516</v>
      </c>
      <c r="C279" t="str">
        <f>"1.0519"</f>
        <v>1.0519</v>
      </c>
    </row>
    <row r="280" spans="1:3" x14ac:dyDescent="0.25">
      <c r="A280" t="str">
        <f>"21/07/2010"</f>
        <v>21/07/2010</v>
      </c>
      <c r="B280" t="str">
        <f>"1.0426"</f>
        <v>1.0426</v>
      </c>
      <c r="C280" t="str">
        <f>"1.0429"</f>
        <v>1.0429</v>
      </c>
    </row>
    <row r="281" spans="1:3" x14ac:dyDescent="0.25">
      <c r="A281" t="str">
        <f>"22/07/2010"</f>
        <v>22/07/2010</v>
      </c>
      <c r="B281" t="str">
        <f>"1.0499"</f>
        <v>1.0499</v>
      </c>
      <c r="C281" t="str">
        <f>"1.0503"</f>
        <v>1.0503</v>
      </c>
    </row>
    <row r="282" spans="1:3" x14ac:dyDescent="0.25">
      <c r="A282" t="str">
        <f>"23/07/2010"</f>
        <v>23/07/2010</v>
      </c>
      <c r="B282" t="str">
        <f>"1.039"</f>
        <v>1.039</v>
      </c>
      <c r="C282" t="str">
        <f>"1.0394"</f>
        <v>1.0394</v>
      </c>
    </row>
    <row r="283" spans="1:3" x14ac:dyDescent="0.25">
      <c r="A283" t="str">
        <f>"26/07/2010"</f>
        <v>26/07/2010</v>
      </c>
      <c r="B283" t="str">
        <f>"1.0367"</f>
        <v>1.0367</v>
      </c>
      <c r="C283" t="str">
        <f>"1.0371"</f>
        <v>1.0371</v>
      </c>
    </row>
    <row r="284" spans="1:3" x14ac:dyDescent="0.25">
      <c r="A284" t="str">
        <f>"27/07/2010"</f>
        <v>27/07/2010</v>
      </c>
      <c r="B284" t="str">
        <f>"1.0317"</f>
        <v>1.0317</v>
      </c>
      <c r="C284" t="str">
        <f>"1.0322"</f>
        <v>1.0322</v>
      </c>
    </row>
    <row r="285" spans="1:3" x14ac:dyDescent="0.25">
      <c r="A285" t="str">
        <f>"28/07/2010"</f>
        <v>28/07/2010</v>
      </c>
      <c r="B285" t="str">
        <f>"1.0365"</f>
        <v>1.0365</v>
      </c>
      <c r="C285" t="str">
        <f>"1.0369"</f>
        <v>1.0369</v>
      </c>
    </row>
    <row r="286" spans="1:3" x14ac:dyDescent="0.25">
      <c r="A286" t="str">
        <f>"29/07/2010"</f>
        <v>29/07/2010</v>
      </c>
      <c r="B286" t="str">
        <f>"1.0355"</f>
        <v>1.0355</v>
      </c>
      <c r="C286" t="str">
        <f>"1.0359"</f>
        <v>1.0359</v>
      </c>
    </row>
    <row r="287" spans="1:3" x14ac:dyDescent="0.25">
      <c r="A287" t="str">
        <f>"30/07/2010"</f>
        <v>30/07/2010</v>
      </c>
      <c r="B287" t="str">
        <f>"1.0361"</f>
        <v>1.0361</v>
      </c>
      <c r="C287" t="str">
        <f>"1.0365"</f>
        <v>1.0365</v>
      </c>
    </row>
    <row r="288" spans="1:3" x14ac:dyDescent="0.25">
      <c r="A288" t="str">
        <f>"02/08/2010"</f>
        <v>02/08/2010</v>
      </c>
      <c r="B288" t="str">
        <f>"1.0272"</f>
        <v>1.0272</v>
      </c>
      <c r="C288" t="str">
        <f>"1.0276"</f>
        <v>1.0276</v>
      </c>
    </row>
    <row r="289" spans="1:3" x14ac:dyDescent="0.25">
      <c r="A289" t="str">
        <f>"03/08/2010"</f>
        <v>03/08/2010</v>
      </c>
      <c r="B289" t="str">
        <f>"1.024"</f>
        <v>1.024</v>
      </c>
      <c r="C289" t="str">
        <f>"1.0244"</f>
        <v>1.0244</v>
      </c>
    </row>
    <row r="290" spans="1:3" x14ac:dyDescent="0.25">
      <c r="A290" t="str">
        <f>"04/08/2010"</f>
        <v>04/08/2010</v>
      </c>
      <c r="B290" t="str">
        <f>"1.0247"</f>
        <v>1.0247</v>
      </c>
      <c r="C290" t="str">
        <f>"1.0251"</f>
        <v>1.0251</v>
      </c>
    </row>
    <row r="291" spans="1:3" x14ac:dyDescent="0.25">
      <c r="A291" t="str">
        <f>"05/08/2010"</f>
        <v>05/08/2010</v>
      </c>
      <c r="B291" t="str">
        <f>"1.0175"</f>
        <v>1.0175</v>
      </c>
      <c r="C291" t="str">
        <f>"1.0179"</f>
        <v>1.0179</v>
      </c>
    </row>
    <row r="292" spans="1:3" x14ac:dyDescent="0.25">
      <c r="A292" t="str">
        <f>"06/08/2010"</f>
        <v>06/08/2010</v>
      </c>
      <c r="B292" t="str">
        <f>"1.0166"</f>
        <v>1.0166</v>
      </c>
      <c r="C292" t="str">
        <f>"1.017"</f>
        <v>1.017</v>
      </c>
    </row>
    <row r="293" spans="1:3" x14ac:dyDescent="0.25">
      <c r="A293" t="str">
        <f>"09/08/2010"</f>
        <v>09/08/2010</v>
      </c>
      <c r="B293" t="str">
        <f>"1.028"</f>
        <v>1.028</v>
      </c>
      <c r="C293" t="str">
        <f>"1.0284"</f>
        <v>1.0284</v>
      </c>
    </row>
    <row r="294" spans="1:3" x14ac:dyDescent="0.25">
      <c r="A294" t="str">
        <f>"10/08/2010"</f>
        <v>10/08/2010</v>
      </c>
      <c r="B294" t="str">
        <f>"1.0298"</f>
        <v>1.0298</v>
      </c>
      <c r="C294" t="str">
        <f>"1.0303"</f>
        <v>1.0303</v>
      </c>
    </row>
    <row r="295" spans="1:3" x14ac:dyDescent="0.25">
      <c r="A295" t="str">
        <f>"11/08/2010"</f>
        <v>11/08/2010</v>
      </c>
      <c r="B295" t="str">
        <f>"1.0326"</f>
        <v>1.0326</v>
      </c>
      <c r="C295" t="str">
        <f>"1.033"</f>
        <v>1.033</v>
      </c>
    </row>
    <row r="296" spans="1:3" x14ac:dyDescent="0.25">
      <c r="A296" t="str">
        <f>"12/08/2010"</f>
        <v>12/08/2010</v>
      </c>
      <c r="B296" t="str">
        <f>"1.0467"</f>
        <v>1.0467</v>
      </c>
      <c r="C296" t="str">
        <f>"1.0471"</f>
        <v>1.0471</v>
      </c>
    </row>
    <row r="297" spans="1:3" x14ac:dyDescent="0.25">
      <c r="A297" t="str">
        <f>"13/08/2010"</f>
        <v>13/08/2010</v>
      </c>
      <c r="B297" t="str">
        <f>"1.0402"</f>
        <v>1.0402</v>
      </c>
      <c r="C297" t="str">
        <f>"1.0407"</f>
        <v>1.0407</v>
      </c>
    </row>
    <row r="298" spans="1:3" x14ac:dyDescent="0.25">
      <c r="A298" t="str">
        <f>"16/08/2010"</f>
        <v>16/08/2010</v>
      </c>
      <c r="B298" t="str">
        <f>"1.0413"</f>
        <v>1.0413</v>
      </c>
      <c r="C298" t="str">
        <f>"1.0418"</f>
        <v>1.0418</v>
      </c>
    </row>
    <row r="299" spans="1:3" x14ac:dyDescent="0.25">
      <c r="A299" t="str">
        <f>"17/08/2010"</f>
        <v>17/08/2010</v>
      </c>
      <c r="B299" t="str">
        <f>"1.0417"</f>
        <v>1.0417</v>
      </c>
      <c r="C299" t="str">
        <f>"1.0422"</f>
        <v>1.0422</v>
      </c>
    </row>
    <row r="300" spans="1:3" x14ac:dyDescent="0.25">
      <c r="A300" t="str">
        <f>"18/08/2010"</f>
        <v>18/08/2010</v>
      </c>
      <c r="B300" t="str">
        <f>"1.0338"</f>
        <v>1.0338</v>
      </c>
      <c r="C300" t="str">
        <f>"1.0343"</f>
        <v>1.0343</v>
      </c>
    </row>
    <row r="301" spans="1:3" x14ac:dyDescent="0.25">
      <c r="A301" t="str">
        <f>"20/08/2010"</f>
        <v>20/08/2010</v>
      </c>
      <c r="B301" t="str">
        <f>"1.0404"</f>
        <v>1.0404</v>
      </c>
      <c r="C301" t="str">
        <f>"1.0409"</f>
        <v>1.0409</v>
      </c>
    </row>
    <row r="302" spans="1:3" x14ac:dyDescent="0.25">
      <c r="A302" t="str">
        <f>"23/08/2010"</f>
        <v>23/08/2010</v>
      </c>
      <c r="B302" t="str">
        <f>"1.0485"</f>
        <v>1.0485</v>
      </c>
      <c r="C302" t="str">
        <f>"1.049"</f>
        <v>1.049</v>
      </c>
    </row>
    <row r="303" spans="1:3" x14ac:dyDescent="0.25">
      <c r="A303" t="str">
        <f>"24/08/2010"</f>
        <v>24/08/2010</v>
      </c>
      <c r="B303" t="str">
        <f>"1.0564"</f>
        <v>1.0564</v>
      </c>
      <c r="C303" t="str">
        <f>"1.0569"</f>
        <v>1.0569</v>
      </c>
    </row>
    <row r="304" spans="1:3" x14ac:dyDescent="0.25">
      <c r="A304" t="str">
        <f>"25/08/2010"</f>
        <v>25/08/2010</v>
      </c>
      <c r="B304" t="str">
        <f>"1.0611"</f>
        <v>1.0611</v>
      </c>
      <c r="C304" t="str">
        <f>"1.0616"</f>
        <v>1.0616</v>
      </c>
    </row>
    <row r="305" spans="1:3" x14ac:dyDescent="0.25">
      <c r="A305" t="str">
        <f>"26/08/2010"</f>
        <v>26/08/2010</v>
      </c>
      <c r="B305" t="str">
        <f>"1.0572"</f>
        <v>1.0572</v>
      </c>
      <c r="C305" t="str">
        <f>"1.0577"</f>
        <v>1.0577</v>
      </c>
    </row>
    <row r="306" spans="1:3" x14ac:dyDescent="0.25">
      <c r="A306" t="str">
        <f>"27/08/2010"</f>
        <v>27/08/2010</v>
      </c>
      <c r="B306" t="str">
        <f>"1.0571"</f>
        <v>1.0571</v>
      </c>
      <c r="C306" t="str">
        <f>"1.0576"</f>
        <v>1.0576</v>
      </c>
    </row>
    <row r="307" spans="1:3" x14ac:dyDescent="0.25">
      <c r="A307" t="str">
        <f>"30/08/2010"</f>
        <v>30/08/2010</v>
      </c>
      <c r="B307" t="str">
        <f>"1.05"</f>
        <v>1.05</v>
      </c>
      <c r="C307" t="str">
        <f>"1.0505"</f>
        <v>1.0505</v>
      </c>
    </row>
    <row r="308" spans="1:3" x14ac:dyDescent="0.25">
      <c r="A308" t="str">
        <f>"31/08/2010"</f>
        <v>31/08/2010</v>
      </c>
      <c r="B308" t="str">
        <f>"1.0599"</f>
        <v>1.0599</v>
      </c>
      <c r="C308" t="str">
        <f>"1.0605"</f>
        <v>1.0605</v>
      </c>
    </row>
    <row r="309" spans="1:3" x14ac:dyDescent="0.25">
      <c r="A309" t="str">
        <f>"01/09/2010"</f>
        <v>01/09/2010</v>
      </c>
      <c r="B309" t="str">
        <f>"1.0634"</f>
        <v>1.0634</v>
      </c>
      <c r="C309" t="str">
        <f>"1.0639"</f>
        <v>1.0639</v>
      </c>
    </row>
    <row r="310" spans="1:3" x14ac:dyDescent="0.25">
      <c r="A310" t="str">
        <f>"02/09/2010"</f>
        <v>02/09/2010</v>
      </c>
      <c r="B310" t="str">
        <f>"1.0538"</f>
        <v>1.0538</v>
      </c>
      <c r="C310" t="str">
        <f>"1.0543"</f>
        <v>1.0543</v>
      </c>
    </row>
    <row r="311" spans="1:3" x14ac:dyDescent="0.25">
      <c r="A311" t="str">
        <f>"03/09/2010"</f>
        <v>03/09/2010</v>
      </c>
      <c r="B311" t="str">
        <f>"1.0541"</f>
        <v>1.0541</v>
      </c>
      <c r="C311" t="str">
        <f>"1.0547"</f>
        <v>1.0547</v>
      </c>
    </row>
    <row r="312" spans="1:3" x14ac:dyDescent="0.25">
      <c r="A312" t="str">
        <f>"06/09/2010"</f>
        <v>06/09/2010</v>
      </c>
      <c r="B312" t="str">
        <f>"1.0381"</f>
        <v>1.0381</v>
      </c>
      <c r="C312" t="str">
        <f>"1.0387"</f>
        <v>1.0387</v>
      </c>
    </row>
    <row r="313" spans="1:3" x14ac:dyDescent="0.25">
      <c r="A313" t="str">
        <f>"07/09/2010"</f>
        <v>07/09/2010</v>
      </c>
      <c r="B313" t="str">
        <f>"1.0363"</f>
        <v>1.0363</v>
      </c>
      <c r="C313" t="str">
        <f>"1.0369"</f>
        <v>1.0369</v>
      </c>
    </row>
    <row r="314" spans="1:3" x14ac:dyDescent="0.25">
      <c r="A314" t="str">
        <f>"08/09/2010"</f>
        <v>08/09/2010</v>
      </c>
      <c r="B314" t="str">
        <f>"1.0474"</f>
        <v>1.0474</v>
      </c>
      <c r="C314" t="str">
        <f>"1.0481"</f>
        <v>1.0481</v>
      </c>
    </row>
    <row r="315" spans="1:3" x14ac:dyDescent="0.25">
      <c r="A315" t="str">
        <f>"09/09/2010"</f>
        <v>09/09/2010</v>
      </c>
      <c r="B315" t="str">
        <f>"1.0386"</f>
        <v>1.0386</v>
      </c>
      <c r="C315" t="str">
        <f>"1.0393"</f>
        <v>1.0393</v>
      </c>
    </row>
    <row r="316" spans="1:3" x14ac:dyDescent="0.25">
      <c r="A316" t="str">
        <f>"13/09/2010"</f>
        <v>13/09/2010</v>
      </c>
      <c r="B316" t="str">
        <f>"1.0339"</f>
        <v>1.0339</v>
      </c>
      <c r="C316" t="str">
        <f>"1.0345"</f>
        <v>1.0345</v>
      </c>
    </row>
    <row r="317" spans="1:3" x14ac:dyDescent="0.25">
      <c r="A317" t="str">
        <f>"14/09/2010"</f>
        <v>14/09/2010</v>
      </c>
      <c r="B317" t="str">
        <f>"1.0292"</f>
        <v>1.0292</v>
      </c>
      <c r="C317" t="str">
        <f>"1.0299"</f>
        <v>1.0299</v>
      </c>
    </row>
    <row r="318" spans="1:3" x14ac:dyDescent="0.25">
      <c r="A318" t="str">
        <f>"15/09/2010"</f>
        <v>15/09/2010</v>
      </c>
      <c r="B318" t="str">
        <f>"1.0316"</f>
        <v>1.0316</v>
      </c>
      <c r="C318" t="str">
        <f>"1.0323"</f>
        <v>1.0323</v>
      </c>
    </row>
    <row r="319" spans="1:3" x14ac:dyDescent="0.25">
      <c r="A319" t="str">
        <f>"16/09/2010"</f>
        <v>16/09/2010</v>
      </c>
      <c r="B319" t="str">
        <f>"1.0276"</f>
        <v>1.0276</v>
      </c>
      <c r="C319" t="str">
        <f>"1.0283"</f>
        <v>1.0283</v>
      </c>
    </row>
    <row r="320" spans="1:3" x14ac:dyDescent="0.25">
      <c r="A320" t="str">
        <f>"17/09/2010"</f>
        <v>17/09/2010</v>
      </c>
      <c r="B320" t="str">
        <f>"1.0245"</f>
        <v>1.0245</v>
      </c>
      <c r="C320" t="str">
        <f>"1.0251"</f>
        <v>1.0251</v>
      </c>
    </row>
    <row r="321" spans="1:3" x14ac:dyDescent="0.25">
      <c r="A321" t="str">
        <f>"20/09/2010"</f>
        <v>20/09/2010</v>
      </c>
      <c r="B321" t="str">
        <f>"1.0319"</f>
        <v>1.0319</v>
      </c>
      <c r="C321" t="str">
        <f>"1.0326"</f>
        <v>1.0326</v>
      </c>
    </row>
    <row r="322" spans="1:3" x14ac:dyDescent="0.25">
      <c r="A322" t="str">
        <f>"21/09/2010"</f>
        <v>21/09/2010</v>
      </c>
      <c r="B322" t="str">
        <f>"1.0292"</f>
        <v>1.0292</v>
      </c>
      <c r="C322" t="str">
        <f>"1.0299"</f>
        <v>1.0299</v>
      </c>
    </row>
    <row r="323" spans="1:3" x14ac:dyDescent="0.25">
      <c r="A323" t="str">
        <f>"22/09/2010"</f>
        <v>22/09/2010</v>
      </c>
      <c r="B323" t="str">
        <f>"1.0253"</f>
        <v>1.0253</v>
      </c>
      <c r="C323" t="str">
        <f>"1.026"</f>
        <v>1.026</v>
      </c>
    </row>
    <row r="324" spans="1:3" x14ac:dyDescent="0.25">
      <c r="A324" t="str">
        <f>"23/09/2010"</f>
        <v>23/09/2010</v>
      </c>
      <c r="B324" t="str">
        <f>"1.0291"</f>
        <v>1.0291</v>
      </c>
      <c r="C324" t="str">
        <f>"1.0297"</f>
        <v>1.0297</v>
      </c>
    </row>
    <row r="325" spans="1:3" x14ac:dyDescent="0.25">
      <c r="A325" t="str">
        <f>"24/09/2010"</f>
        <v>24/09/2010</v>
      </c>
      <c r="B325" t="str">
        <f>"1.0327"</f>
        <v>1.0327</v>
      </c>
      <c r="C325" t="str">
        <f>"1.0333"</f>
        <v>1.0333</v>
      </c>
    </row>
    <row r="326" spans="1:3" x14ac:dyDescent="0.25">
      <c r="A326" t="str">
        <f>"27/09/2010"</f>
        <v>27/09/2010</v>
      </c>
      <c r="B326" t="str">
        <f>"1.0249"</f>
        <v>1.0249</v>
      </c>
      <c r="C326" t="str">
        <f>"1.0256"</f>
        <v>1.0256</v>
      </c>
    </row>
    <row r="327" spans="1:3" x14ac:dyDescent="0.25">
      <c r="A327" t="str">
        <f>"28/09/2010"</f>
        <v>28/09/2010</v>
      </c>
      <c r="B327" t="str">
        <f>"1.0293"</f>
        <v>1.0293</v>
      </c>
      <c r="C327" t="str">
        <f>"1.03"</f>
        <v>1.03</v>
      </c>
    </row>
    <row r="328" spans="1:3" x14ac:dyDescent="0.25">
      <c r="A328" t="str">
        <f>"29/09/2010"</f>
        <v>29/09/2010</v>
      </c>
      <c r="B328" t="str">
        <f>"1.0282"</f>
        <v>1.0282</v>
      </c>
      <c r="C328" t="str">
        <f>"1.0289"</f>
        <v>1.0289</v>
      </c>
    </row>
    <row r="329" spans="1:3" x14ac:dyDescent="0.25">
      <c r="A329" t="str">
        <f>"01/10/2010"</f>
        <v>01/10/2010</v>
      </c>
      <c r="B329" t="str">
        <f>"1.0304"</f>
        <v>1.0304</v>
      </c>
      <c r="C329" t="str">
        <f>"1.031"</f>
        <v>1.031</v>
      </c>
    </row>
    <row r="330" spans="1:3" x14ac:dyDescent="0.25">
      <c r="A330" t="str">
        <f>"04/10/2010"</f>
        <v>04/10/2010</v>
      </c>
      <c r="B330" t="str">
        <f>"1.019"</f>
        <v>1.019</v>
      </c>
      <c r="C330" t="str">
        <f>"1.0197"</f>
        <v>1.0197</v>
      </c>
    </row>
    <row r="331" spans="1:3" x14ac:dyDescent="0.25">
      <c r="A331" t="str">
        <f>"05/10/2010"</f>
        <v>05/10/2010</v>
      </c>
      <c r="B331" t="str">
        <f>"1.0253"</f>
        <v>1.0253</v>
      </c>
      <c r="C331" t="str">
        <f>"1.0261"</f>
        <v>1.0261</v>
      </c>
    </row>
    <row r="332" spans="1:3" x14ac:dyDescent="0.25">
      <c r="A332" t="str">
        <f>"06/10/2010"</f>
        <v>06/10/2010</v>
      </c>
      <c r="B332" t="str">
        <f>"1.0154"</f>
        <v>1.0154</v>
      </c>
      <c r="C332" t="str">
        <f>"1.0161"</f>
        <v>1.0161</v>
      </c>
    </row>
    <row r="333" spans="1:3" x14ac:dyDescent="0.25">
      <c r="A333" t="str">
        <f>"07/10/2010"</f>
        <v>07/10/2010</v>
      </c>
      <c r="B333" t="str">
        <f>"1.0108"</f>
        <v>1.0108</v>
      </c>
      <c r="C333" t="str">
        <f>"1.0115"</f>
        <v>1.0115</v>
      </c>
    </row>
    <row r="334" spans="1:3" x14ac:dyDescent="0.25">
      <c r="A334" t="str">
        <f>"08/10/2010"</f>
        <v>08/10/2010</v>
      </c>
      <c r="B334" t="str">
        <f>"1.0166"</f>
        <v>1.0166</v>
      </c>
      <c r="C334" t="str">
        <f>"1.0173"</f>
        <v>1.0173</v>
      </c>
    </row>
    <row r="335" spans="1:3" x14ac:dyDescent="0.25">
      <c r="A335" t="str">
        <f>"11/10/2010"</f>
        <v>11/10/2010</v>
      </c>
      <c r="B335" t="str">
        <f>"1.0106"</f>
        <v>1.0106</v>
      </c>
      <c r="C335" t="str">
        <f>"1.0113"</f>
        <v>1.0113</v>
      </c>
    </row>
    <row r="336" spans="1:3" x14ac:dyDescent="0.25">
      <c r="A336" t="str">
        <f>"12/10/2010"</f>
        <v>12/10/2010</v>
      </c>
      <c r="B336" t="str">
        <f>"1.0148"</f>
        <v>1.0148</v>
      </c>
      <c r="C336" t="str">
        <f>"1.0156"</f>
        <v>1.0156</v>
      </c>
    </row>
    <row r="337" spans="1:3" x14ac:dyDescent="0.25">
      <c r="A337" t="str">
        <f>"13/10/2010"</f>
        <v>13/10/2010</v>
      </c>
      <c r="B337" t="str">
        <f>"1.0091"</f>
        <v>1.0091</v>
      </c>
      <c r="C337" t="str">
        <f>"1.0099"</f>
        <v>1.0099</v>
      </c>
    </row>
    <row r="338" spans="1:3" x14ac:dyDescent="0.25">
      <c r="A338" t="str">
        <f>"14/10/2010"</f>
        <v>14/10/2010</v>
      </c>
      <c r="B338" t="str">
        <f>"1.0005"</f>
        <v>1.0005</v>
      </c>
      <c r="C338" t="str">
        <f>"1.0012"</f>
        <v>1.0012</v>
      </c>
    </row>
    <row r="339" spans="1:3" x14ac:dyDescent="0.25">
      <c r="A339" t="str">
        <f>"15/10/2010"</f>
        <v>15/10/2010</v>
      </c>
      <c r="B339" t="str">
        <f>"1.005"</f>
        <v>1.005</v>
      </c>
      <c r="C339" t="str">
        <f>"1.0057"</f>
        <v>1.0057</v>
      </c>
    </row>
    <row r="340" spans="1:3" x14ac:dyDescent="0.25">
      <c r="A340" t="str">
        <f>"18/10/2010"</f>
        <v>18/10/2010</v>
      </c>
      <c r="B340" t="str">
        <f>"1.0174"</f>
        <v>1.0174</v>
      </c>
      <c r="C340" t="str">
        <f>"1.0181"</f>
        <v>1.0181</v>
      </c>
    </row>
    <row r="341" spans="1:3" x14ac:dyDescent="0.25">
      <c r="A341" t="str">
        <f>"19/10/2010"</f>
        <v>19/10/2010</v>
      </c>
      <c r="B341" t="str">
        <f>"1.0189"</f>
        <v>1.0189</v>
      </c>
      <c r="C341" t="str">
        <f>"1.0197"</f>
        <v>1.0197</v>
      </c>
    </row>
    <row r="342" spans="1:3" x14ac:dyDescent="0.25">
      <c r="A342" t="str">
        <f>"20/10/2010"</f>
        <v>20/10/2010</v>
      </c>
      <c r="B342" t="str">
        <f>"1.0293"</f>
        <v>1.0293</v>
      </c>
      <c r="C342" t="str">
        <f>"1.03"</f>
        <v>1.03</v>
      </c>
    </row>
    <row r="343" spans="1:3" x14ac:dyDescent="0.25">
      <c r="A343" t="str">
        <f>"21/10/2010"</f>
        <v>21/10/2010</v>
      </c>
      <c r="B343" t="str">
        <f>"1.0246"</f>
        <v>1.0246</v>
      </c>
      <c r="C343" t="str">
        <f>"1.0253"</f>
        <v>1.0253</v>
      </c>
    </row>
    <row r="344" spans="1:3" x14ac:dyDescent="0.25">
      <c r="A344" t="str">
        <f>"22/10/2010"</f>
        <v>22/10/2010</v>
      </c>
      <c r="B344" t="str">
        <f>"1.0252"</f>
        <v>1.0252</v>
      </c>
      <c r="C344" t="str">
        <f>"1.0259"</f>
        <v>1.0259</v>
      </c>
    </row>
    <row r="345" spans="1:3" x14ac:dyDescent="0.25">
      <c r="A345" t="str">
        <f>"25/10/2010"</f>
        <v>25/10/2010</v>
      </c>
      <c r="B345" t="str">
        <f>"1.0212"</f>
        <v>1.0212</v>
      </c>
      <c r="C345" t="str">
        <f>"1.0219"</f>
        <v>1.0219</v>
      </c>
    </row>
    <row r="346" spans="1:3" x14ac:dyDescent="0.25">
      <c r="A346" t="str">
        <f>"26/10/2010"</f>
        <v>26/10/2010</v>
      </c>
      <c r="B346" t="str">
        <f>"1.0198"</f>
        <v>1.0198</v>
      </c>
      <c r="C346" t="str">
        <f>"1.0206"</f>
        <v>1.0206</v>
      </c>
    </row>
    <row r="347" spans="1:3" x14ac:dyDescent="0.25">
      <c r="A347" t="str">
        <f>"27/10/2010"</f>
        <v>27/10/2010</v>
      </c>
      <c r="B347" t="str">
        <f>"1.0263"</f>
        <v>1.0263</v>
      </c>
      <c r="C347" t="str">
        <f>"1.0271"</f>
        <v>1.0271</v>
      </c>
    </row>
    <row r="348" spans="1:3" x14ac:dyDescent="0.25">
      <c r="A348" t="str">
        <f>"28/10/2010"</f>
        <v>28/10/2010</v>
      </c>
      <c r="B348" t="str">
        <f>"1.0269"</f>
        <v>1.0269</v>
      </c>
      <c r="C348" t="str">
        <f>"1.0276"</f>
        <v>1.0276</v>
      </c>
    </row>
    <row r="349" spans="1:3" x14ac:dyDescent="0.25">
      <c r="A349" t="str">
        <f>"29/10/2010"</f>
        <v>29/10/2010</v>
      </c>
      <c r="B349" t="str">
        <f>"1.0212"</f>
        <v>1.0212</v>
      </c>
      <c r="C349" t="str">
        <f>"1.0219"</f>
        <v>1.0219</v>
      </c>
    </row>
    <row r="350" spans="1:3" x14ac:dyDescent="0.25">
      <c r="A350" t="str">
        <f>"01/11/2010"</f>
        <v>01/11/2010</v>
      </c>
      <c r="B350" t="str">
        <f>"1.0172"</f>
        <v>1.0172</v>
      </c>
      <c r="C350" t="str">
        <f>"1.0179"</f>
        <v>1.0179</v>
      </c>
    </row>
    <row r="351" spans="1:3" x14ac:dyDescent="0.25">
      <c r="A351" t="str">
        <f>"02/11/2010"</f>
        <v>02/11/2010</v>
      </c>
      <c r="B351" t="str">
        <f>"1.013"</f>
        <v>1.013</v>
      </c>
      <c r="C351" t="str">
        <f>"1.0137"</f>
        <v>1.0137</v>
      </c>
    </row>
    <row r="352" spans="1:3" x14ac:dyDescent="0.25">
      <c r="A352" t="str">
        <f>"03/11/2010"</f>
        <v>03/11/2010</v>
      </c>
      <c r="B352" t="str">
        <f>"1.0092"</f>
        <v>1.0092</v>
      </c>
      <c r="C352" t="str">
        <f>"1.0098"</f>
        <v>1.0098</v>
      </c>
    </row>
    <row r="353" spans="1:3" x14ac:dyDescent="0.25">
      <c r="A353" t="str">
        <f>"04/11/2010"</f>
        <v>04/11/2010</v>
      </c>
      <c r="B353" t="str">
        <f>"1.0078"</f>
        <v>1.0078</v>
      </c>
      <c r="C353" t="str">
        <f>"1.0085"</f>
        <v>1.0085</v>
      </c>
    </row>
    <row r="354" spans="1:3" x14ac:dyDescent="0.25">
      <c r="A354" t="str">
        <f>"08/11/2010"</f>
        <v>08/11/2010</v>
      </c>
      <c r="B354" t="str">
        <f>"1.002"</f>
        <v>1.002</v>
      </c>
      <c r="C354" t="str">
        <f>"1.0027"</f>
        <v>1.0027</v>
      </c>
    </row>
    <row r="355" spans="1:3" x14ac:dyDescent="0.25">
      <c r="A355" t="str">
        <f>"09/11/2010"</f>
        <v>09/11/2010</v>
      </c>
      <c r="B355" t="str">
        <f>"1.0045"</f>
        <v>1.0045</v>
      </c>
      <c r="C355" t="str">
        <f>"1.0051"</f>
        <v>1.0051</v>
      </c>
    </row>
    <row r="356" spans="1:3" x14ac:dyDescent="0.25">
      <c r="A356" t="str">
        <f>"10/11/2010"</f>
        <v>10/11/2010</v>
      </c>
      <c r="B356" t="str">
        <f>"1.0065"</f>
        <v>1.0065</v>
      </c>
      <c r="C356" t="str">
        <f>"1.0071"</f>
        <v>1.0071</v>
      </c>
    </row>
    <row r="357" spans="1:3" x14ac:dyDescent="0.25">
      <c r="A357" t="str">
        <f>"11/11/2010"</f>
        <v>11/11/2010</v>
      </c>
      <c r="B357" t="str">
        <f>"0.9999"</f>
        <v>0.9999</v>
      </c>
      <c r="C357" t="str">
        <f>"1.0005"</f>
        <v>1.0005</v>
      </c>
    </row>
    <row r="358" spans="1:3" x14ac:dyDescent="0.25">
      <c r="A358" t="str">
        <f>"12/11/2010"</f>
        <v>12/11/2010</v>
      </c>
      <c r="B358" t="str">
        <f>"1.0082"</f>
        <v>1.0082</v>
      </c>
      <c r="C358" t="str">
        <f>"1.0088"</f>
        <v>1.0088</v>
      </c>
    </row>
    <row r="359" spans="1:3" x14ac:dyDescent="0.25">
      <c r="A359" t="str">
        <f>"15/11/2010"</f>
        <v>15/11/2010</v>
      </c>
      <c r="B359" t="str">
        <f>"1.012"</f>
        <v>1.012</v>
      </c>
      <c r="C359" t="str">
        <f>"1.0126"</f>
        <v>1.0126</v>
      </c>
    </row>
    <row r="360" spans="1:3" x14ac:dyDescent="0.25">
      <c r="A360" t="str">
        <f>"16/11/2010"</f>
        <v>16/11/2010</v>
      </c>
      <c r="B360" t="str">
        <f>"1.0082"</f>
        <v>1.0082</v>
      </c>
      <c r="C360" t="str">
        <f>"1.0088"</f>
        <v>1.0088</v>
      </c>
    </row>
    <row r="361" spans="1:3" x14ac:dyDescent="0.25">
      <c r="A361" t="str">
        <f>"18/11/2010"</f>
        <v>18/11/2010</v>
      </c>
      <c r="B361" t="str">
        <f>"1.02"</f>
        <v>1.02</v>
      </c>
      <c r="C361" t="str">
        <f>"1.0206"</f>
        <v>1.0206</v>
      </c>
    </row>
    <row r="362" spans="1:3" x14ac:dyDescent="0.25">
      <c r="A362" t="str">
        <f>"22/11/2010"</f>
        <v>22/11/2010</v>
      </c>
      <c r="B362" t="str">
        <f>"1.0145"</f>
        <v>1.0145</v>
      </c>
      <c r="C362" t="str">
        <f>"1.0151"</f>
        <v>1.0151</v>
      </c>
    </row>
    <row r="363" spans="1:3" x14ac:dyDescent="0.25">
      <c r="A363" t="str">
        <f>"23/11/2010"</f>
        <v>23/11/2010</v>
      </c>
      <c r="B363" t="str">
        <f>"1.019"</f>
        <v>1.019</v>
      </c>
      <c r="C363" t="str">
        <f>"1.0196"</f>
        <v>1.0196</v>
      </c>
    </row>
    <row r="364" spans="1:3" x14ac:dyDescent="0.25">
      <c r="A364" t="str">
        <f>"24/11/2010"</f>
        <v>24/11/2010</v>
      </c>
      <c r="B364" t="str">
        <f>"1.0185"</f>
        <v>1.0185</v>
      </c>
      <c r="C364" t="str">
        <f>"1.0192"</f>
        <v>1.0192</v>
      </c>
    </row>
    <row r="365" spans="1:3" x14ac:dyDescent="0.25">
      <c r="A365" t="str">
        <f>"25/11/2010"</f>
        <v>25/11/2010</v>
      </c>
      <c r="B365" t="str">
        <f>"1.0094"</f>
        <v>1.0094</v>
      </c>
      <c r="C365" t="str">
        <f>"1.01"</f>
        <v>1.01</v>
      </c>
    </row>
    <row r="366" spans="1:3" x14ac:dyDescent="0.25">
      <c r="A366" t="str">
        <f>"26/11/2010"</f>
        <v>26/11/2010</v>
      </c>
      <c r="B366" t="str">
        <f>"1.0114"</f>
        <v>1.0114</v>
      </c>
      <c r="C366" t="str">
        <f>"1.012"</f>
        <v>1.012</v>
      </c>
    </row>
    <row r="367" spans="1:3" x14ac:dyDescent="0.25">
      <c r="A367" t="str">
        <f>"29/11/2010"</f>
        <v>29/11/2010</v>
      </c>
      <c r="B367" t="str">
        <f>"1.0204"</f>
        <v>1.0204</v>
      </c>
      <c r="C367" t="str">
        <f>"1.021"</f>
        <v>1.021</v>
      </c>
    </row>
    <row r="368" spans="1:3" x14ac:dyDescent="0.25">
      <c r="A368" t="str">
        <f>"30/11/2010"</f>
        <v>30/11/2010</v>
      </c>
      <c r="B368" t="str">
        <f>"1.0203"</f>
        <v>1.0203</v>
      </c>
      <c r="C368" t="str">
        <f>"1.0209"</f>
        <v>1.0209</v>
      </c>
    </row>
    <row r="369" spans="1:3" x14ac:dyDescent="0.25">
      <c r="A369" t="str">
        <f>"01/12/2010"</f>
        <v>01/12/2010</v>
      </c>
      <c r="B369" t="str">
        <f>"1.0253"</f>
        <v>1.0253</v>
      </c>
      <c r="C369" t="str">
        <f>"1.0259"</f>
        <v>1.0259</v>
      </c>
    </row>
    <row r="370" spans="1:3" x14ac:dyDescent="0.25">
      <c r="A370" t="str">
        <f>"02/12/2010"</f>
        <v>02/12/2010</v>
      </c>
      <c r="B370" t="str">
        <f>"1.0184"</f>
        <v>1.0184</v>
      </c>
      <c r="C370" t="str">
        <f>"1.019"</f>
        <v>1.019</v>
      </c>
    </row>
    <row r="371" spans="1:3" x14ac:dyDescent="0.25">
      <c r="A371" t="str">
        <f>"03/12/2010"</f>
        <v>03/12/2010</v>
      </c>
      <c r="B371" t="str">
        <f>"1.0039"</f>
        <v>1.0039</v>
      </c>
      <c r="C371" t="str">
        <f>"1.0045"</f>
        <v>1.0045</v>
      </c>
    </row>
    <row r="372" spans="1:3" x14ac:dyDescent="0.25">
      <c r="A372" t="str">
        <f>"06/12/2010"</f>
        <v>06/12/2010</v>
      </c>
      <c r="B372" t="str">
        <f>"1.0055"</f>
        <v>1.0055</v>
      </c>
      <c r="C372" t="str">
        <f>"1.0061"</f>
        <v>1.0061</v>
      </c>
    </row>
    <row r="373" spans="1:3" x14ac:dyDescent="0.25">
      <c r="A373" t="str">
        <f>"07/12/2010"</f>
        <v>07/12/2010</v>
      </c>
      <c r="B373" t="str">
        <f>"1.0053"</f>
        <v>1.0053</v>
      </c>
      <c r="C373" t="str">
        <f>"1.0059"</f>
        <v>1.0059</v>
      </c>
    </row>
    <row r="374" spans="1:3" x14ac:dyDescent="0.25">
      <c r="A374" t="str">
        <f>"08/12/2010"</f>
        <v>08/12/2010</v>
      </c>
      <c r="B374" t="str">
        <f>"1.0122"</f>
        <v>1.0122</v>
      </c>
      <c r="C374" t="str">
        <f>"1.0129"</f>
        <v>1.0129</v>
      </c>
    </row>
    <row r="375" spans="1:3" x14ac:dyDescent="0.25">
      <c r="A375" t="str">
        <f>"09/12/2010"</f>
        <v>09/12/2010</v>
      </c>
      <c r="B375" t="str">
        <f>"1.0107"</f>
        <v>1.0107</v>
      </c>
      <c r="C375" t="str">
        <f>"1.0114"</f>
        <v>1.0114</v>
      </c>
    </row>
    <row r="376" spans="1:3" x14ac:dyDescent="0.25">
      <c r="A376" t="str">
        <f>"10/12/2010"</f>
        <v>10/12/2010</v>
      </c>
      <c r="B376" t="str">
        <f>"1.01"</f>
        <v>1.01</v>
      </c>
      <c r="C376" t="str">
        <f>"1.0106"</f>
        <v>1.0106</v>
      </c>
    </row>
    <row r="377" spans="1:3" x14ac:dyDescent="0.25">
      <c r="A377" t="str">
        <f>"13/12/2010"</f>
        <v>13/12/2010</v>
      </c>
      <c r="B377" t="str">
        <f>"1.0103"</f>
        <v>1.0103</v>
      </c>
      <c r="C377" t="str">
        <f>"1.011"</f>
        <v>1.011</v>
      </c>
    </row>
    <row r="378" spans="1:3" x14ac:dyDescent="0.25">
      <c r="A378" t="str">
        <f>"14/12/2010"</f>
        <v>14/12/2010</v>
      </c>
      <c r="B378" t="str">
        <f>"1.0087"</f>
        <v>1.0087</v>
      </c>
      <c r="C378" t="str">
        <f>"1.0093"</f>
        <v>1.0093</v>
      </c>
    </row>
    <row r="379" spans="1:3" x14ac:dyDescent="0.25">
      <c r="A379" t="str">
        <f>"15/12/2010"</f>
        <v>15/12/2010</v>
      </c>
      <c r="B379" t="str">
        <f>"1.0076"</f>
        <v>1.0076</v>
      </c>
      <c r="C379" t="str">
        <f>"1.0083"</f>
        <v>1.0083</v>
      </c>
    </row>
    <row r="380" spans="1:3" x14ac:dyDescent="0.25">
      <c r="A380" t="str">
        <f>"16/12/2010"</f>
        <v>16/12/2010</v>
      </c>
      <c r="B380" t="str">
        <f>"1.0041"</f>
        <v>1.0041</v>
      </c>
      <c r="C380" t="str">
        <f>"1.0048"</f>
        <v>1.0048</v>
      </c>
    </row>
    <row r="381" spans="1:3" x14ac:dyDescent="0.25">
      <c r="A381" t="str">
        <f>"20/12/2010"</f>
        <v>20/12/2010</v>
      </c>
      <c r="B381" t="str">
        <f>"1.013"</f>
        <v>1.013</v>
      </c>
      <c r="C381" t="str">
        <f>"1.0137"</f>
        <v>1.0137</v>
      </c>
    </row>
    <row r="382" spans="1:3" x14ac:dyDescent="0.25">
      <c r="A382" t="str">
        <f>"21/12/2010"</f>
        <v>21/12/2010</v>
      </c>
      <c r="B382" t="str">
        <f>"1.0165"</f>
        <v>1.0165</v>
      </c>
      <c r="C382" t="str">
        <f>"1.0172"</f>
        <v>1.0172</v>
      </c>
    </row>
    <row r="383" spans="1:3" x14ac:dyDescent="0.25">
      <c r="A383" t="str">
        <f>"22/12/2010"</f>
        <v>22/12/2010</v>
      </c>
      <c r="B383" t="str">
        <f>"1.0169"</f>
        <v>1.0169</v>
      </c>
      <c r="C383" t="str">
        <f>"1.0176"</f>
        <v>1.0176</v>
      </c>
    </row>
    <row r="384" spans="1:3" x14ac:dyDescent="0.25">
      <c r="A384" t="str">
        <f>"23/12/2010"</f>
        <v>23/12/2010</v>
      </c>
      <c r="B384" t="str">
        <f>"1.0124"</f>
        <v>1.0124</v>
      </c>
      <c r="C384" t="str">
        <f>"1.0131"</f>
        <v>1.0131</v>
      </c>
    </row>
    <row r="385" spans="1:3" x14ac:dyDescent="0.25">
      <c r="A385" t="str">
        <f>"24/12/2010"</f>
        <v>24/12/2010</v>
      </c>
      <c r="B385" t="str">
        <f>"1.009"</f>
        <v>1.009</v>
      </c>
      <c r="C385" t="str">
        <f>"1.0096"</f>
        <v>1.0096</v>
      </c>
    </row>
    <row r="386" spans="1:3" x14ac:dyDescent="0.25">
      <c r="A386" t="str">
        <f>"27/12/2010"</f>
        <v>27/12/2010</v>
      </c>
      <c r="B386" t="str">
        <f>"1.008"</f>
        <v>1.008</v>
      </c>
      <c r="C386" t="str">
        <f>"1.0086"</f>
        <v>1.0086</v>
      </c>
    </row>
    <row r="387" spans="1:3" x14ac:dyDescent="0.25">
      <c r="A387" t="str">
        <f>"28/12/2010"</f>
        <v>28/12/2010</v>
      </c>
      <c r="B387" t="str">
        <f>"1.0054"</f>
        <v>1.0054</v>
      </c>
      <c r="C387" t="str">
        <f>"1.0054"</f>
        <v>1.0054</v>
      </c>
    </row>
    <row r="388" spans="1:3" x14ac:dyDescent="0.25">
      <c r="A388" t="str">
        <f>"29/12/2010"</f>
        <v>29/12/2010</v>
      </c>
      <c r="B388" t="str">
        <f>"1.0004"</f>
        <v>1.0004</v>
      </c>
      <c r="C388" t="str">
        <f>"1.0005"</f>
        <v>1.0005</v>
      </c>
    </row>
    <row r="389" spans="1:3" x14ac:dyDescent="0.25">
      <c r="A389" t="str">
        <f>"30/12/2010"</f>
        <v>30/12/2010</v>
      </c>
      <c r="B389" t="str">
        <f>"0.9996"</f>
        <v>0.9996</v>
      </c>
      <c r="C389" t="str">
        <f>"1.0001"</f>
        <v>1.0001</v>
      </c>
    </row>
    <row r="390" spans="1:3" x14ac:dyDescent="0.25">
      <c r="A390" t="str">
        <f>"31/12/2010"</f>
        <v>31/12/2010</v>
      </c>
      <c r="B390" t="str">
        <f>"1.0005"</f>
        <v>1.0005</v>
      </c>
      <c r="C390" t="str">
        <f>"1.0011"</f>
        <v>1.0011</v>
      </c>
    </row>
    <row r="391" spans="1:3" x14ac:dyDescent="0.25">
      <c r="A391" t="str">
        <f>"03/01/2011"</f>
        <v>03/01/2011</v>
      </c>
      <c r="B391" t="str">
        <f>"0.9928"</f>
        <v>0.9928</v>
      </c>
      <c r="C391" t="str">
        <f>"0.9928"</f>
        <v>0.9928</v>
      </c>
    </row>
    <row r="392" spans="1:3" x14ac:dyDescent="0.25">
      <c r="A392" t="str">
        <f>"04/01/2011"</f>
        <v>04/01/2011</v>
      </c>
      <c r="B392" t="str">
        <f>"0.9929"</f>
        <v>0.9929</v>
      </c>
      <c r="C392" t="str">
        <f>"0.9935"</f>
        <v>0.9935</v>
      </c>
    </row>
    <row r="393" spans="1:3" x14ac:dyDescent="0.25">
      <c r="A393" t="str">
        <f>"05/01/2011"</f>
        <v>05/01/2011</v>
      </c>
      <c r="B393" t="str">
        <f>"0.9992"</f>
        <v>0.9992</v>
      </c>
      <c r="C393" t="str">
        <f>"0.9992"</f>
        <v>0.9992</v>
      </c>
    </row>
    <row r="394" spans="1:3" x14ac:dyDescent="0.25">
      <c r="A394" t="str">
        <f>"06/01/2011"</f>
        <v>06/01/2011</v>
      </c>
      <c r="B394" t="str">
        <f>"0.9963"</f>
        <v>0.9963</v>
      </c>
      <c r="C394" t="str">
        <f>"0.9969"</f>
        <v>0.9969</v>
      </c>
    </row>
    <row r="395" spans="1:3" x14ac:dyDescent="0.25">
      <c r="A395" t="str">
        <f>"07/01/2011"</f>
        <v>07/01/2011</v>
      </c>
      <c r="B395" t="str">
        <f>"0.9973"</f>
        <v>0.9973</v>
      </c>
      <c r="C395" t="str">
        <f>"0.9979"</f>
        <v>0.9979</v>
      </c>
    </row>
    <row r="396" spans="1:3" x14ac:dyDescent="0.25">
      <c r="A396" t="str">
        <f>"10/01/2011"</f>
        <v>10/01/2011</v>
      </c>
      <c r="B396" t="str">
        <f>"0.9939"</f>
        <v>0.9939</v>
      </c>
      <c r="C396" t="str">
        <f>"0.9945"</f>
        <v>0.9945</v>
      </c>
    </row>
    <row r="397" spans="1:3" x14ac:dyDescent="0.25">
      <c r="A397" t="str">
        <f>"11/01/2011"</f>
        <v>11/01/2011</v>
      </c>
      <c r="B397" t="str">
        <f>"0.9936"</f>
        <v>0.9936</v>
      </c>
      <c r="C397" t="str">
        <f>"0.9942"</f>
        <v>0.9942</v>
      </c>
    </row>
    <row r="398" spans="1:3" x14ac:dyDescent="0.25">
      <c r="A398" t="str">
        <f>"12/01/2011"</f>
        <v>12/01/2011</v>
      </c>
      <c r="B398" t="str">
        <f>"0.9887"</f>
        <v>0.9887</v>
      </c>
      <c r="C398" t="str">
        <f>"0.9894"</f>
        <v>0.9894</v>
      </c>
    </row>
    <row r="399" spans="1:3" x14ac:dyDescent="0.25">
      <c r="A399" t="str">
        <f>"13/01/2011"</f>
        <v>13/01/2011</v>
      </c>
      <c r="B399" t="str">
        <f>"0.9865"</f>
        <v>0.9865</v>
      </c>
      <c r="C399" t="str">
        <f>"0.9865"</f>
        <v>0.9865</v>
      </c>
    </row>
    <row r="400" spans="1:3" x14ac:dyDescent="0.25">
      <c r="A400" t="str">
        <f>"14/01/2011"</f>
        <v>14/01/2011</v>
      </c>
      <c r="B400" t="str">
        <f>"0.9899"</f>
        <v>0.9899</v>
      </c>
      <c r="C400" t="str">
        <f>"0.9905"</f>
        <v>0.9905</v>
      </c>
    </row>
    <row r="401" spans="1:3" x14ac:dyDescent="0.25">
      <c r="A401" t="str">
        <f>"17/01/2011"</f>
        <v>17/01/2011</v>
      </c>
      <c r="B401" t="str">
        <f>"0.9889"</f>
        <v>0.9889</v>
      </c>
      <c r="C401" t="str">
        <f>"0.9895"</f>
        <v>0.9895</v>
      </c>
    </row>
    <row r="402" spans="1:3" x14ac:dyDescent="0.25">
      <c r="A402" t="str">
        <f>"18/01/2011"</f>
        <v>18/01/2011</v>
      </c>
      <c r="B402" t="str">
        <f>"0.9864"</f>
        <v>0.9864</v>
      </c>
      <c r="C402" t="str">
        <f>"0.987"</f>
        <v>0.987</v>
      </c>
    </row>
    <row r="403" spans="1:3" x14ac:dyDescent="0.25">
      <c r="A403" t="str">
        <f>"19/01/2011"</f>
        <v>19/01/2011</v>
      </c>
      <c r="B403" t="str">
        <f>"0.991"</f>
        <v>0.991</v>
      </c>
      <c r="C403" t="str">
        <f>"0.9917"</f>
        <v>0.9917</v>
      </c>
    </row>
    <row r="404" spans="1:3" x14ac:dyDescent="0.25">
      <c r="A404" t="str">
        <f>"20/01/2011"</f>
        <v>20/01/2011</v>
      </c>
      <c r="B404" t="str">
        <f>"0.996"</f>
        <v>0.996</v>
      </c>
      <c r="C404" t="str">
        <f>"0.9966"</f>
        <v>0.9966</v>
      </c>
    </row>
    <row r="405" spans="1:3" x14ac:dyDescent="0.25">
      <c r="A405" t="str">
        <f>"21/01/2011"</f>
        <v>21/01/2011</v>
      </c>
      <c r="B405" t="str">
        <f>"0.9963"</f>
        <v>0.9963</v>
      </c>
      <c r="C405" t="str">
        <f>"0.9969"</f>
        <v>0.9969</v>
      </c>
    </row>
    <row r="406" spans="1:3" x14ac:dyDescent="0.25">
      <c r="A406" t="str">
        <f>"24/01/2011"</f>
        <v>24/01/2011</v>
      </c>
      <c r="B406" t="str">
        <f>"0.9941"</f>
        <v>0.9941</v>
      </c>
      <c r="C406" t="str">
        <f>"0.9941"</f>
        <v>0.9941</v>
      </c>
    </row>
    <row r="407" spans="1:3" x14ac:dyDescent="0.25">
      <c r="A407" t="str">
        <f>"25/01/2011"</f>
        <v>25/01/2011</v>
      </c>
      <c r="B407" t="str">
        <f>"0.9925"</f>
        <v>0.9925</v>
      </c>
      <c r="C407" t="str">
        <f>"0.9931"</f>
        <v>0.9931</v>
      </c>
    </row>
    <row r="408" spans="1:3" x14ac:dyDescent="0.25">
      <c r="A408" t="str">
        <f>"27/01/2011"</f>
        <v>27/01/2011</v>
      </c>
      <c r="B408" t="str">
        <f>"0.9947"</f>
        <v>0.9947</v>
      </c>
      <c r="C408" t="str">
        <f>"0.9953"</f>
        <v>0.9953</v>
      </c>
    </row>
    <row r="409" spans="1:3" x14ac:dyDescent="0.25">
      <c r="A409" t="str">
        <f>"28/01/2011"</f>
        <v>28/01/2011</v>
      </c>
      <c r="B409" t="str">
        <f>"0.9958"</f>
        <v>0.9958</v>
      </c>
      <c r="C409" t="str">
        <f>"0.9964"</f>
        <v>0.9964</v>
      </c>
    </row>
    <row r="410" spans="1:3" x14ac:dyDescent="0.25">
      <c r="A410" t="str">
        <f>"31/01/2011"</f>
        <v>31/01/2011</v>
      </c>
      <c r="B410" t="str">
        <f>"1.001"</f>
        <v>1.001</v>
      </c>
      <c r="C410" t="str">
        <f>"1.0016"</f>
        <v>1.0016</v>
      </c>
    </row>
    <row r="411" spans="1:3" x14ac:dyDescent="0.25">
      <c r="A411" t="str">
        <f>"01/02/2011"</f>
        <v>01/02/2011</v>
      </c>
      <c r="B411" t="str">
        <f>"0.9983"</f>
        <v>0.9983</v>
      </c>
      <c r="C411" t="str">
        <f>"0.9989"</f>
        <v>0.9989</v>
      </c>
    </row>
    <row r="412" spans="1:3" x14ac:dyDescent="0.25">
      <c r="A412" t="str">
        <f>"02/02/2011"</f>
        <v>02/02/2011</v>
      </c>
      <c r="B412" t="str">
        <f>"0.9891"</f>
        <v>0.9891</v>
      </c>
      <c r="C412" t="str">
        <f>"0.9897"</f>
        <v>0.9897</v>
      </c>
    </row>
    <row r="413" spans="1:3" x14ac:dyDescent="0.25">
      <c r="A413" t="str">
        <f>"03/02/2011"</f>
        <v>03/02/2011</v>
      </c>
      <c r="B413" t="str">
        <f>"0.9887"</f>
        <v>0.9887</v>
      </c>
      <c r="C413" t="str">
        <f>"0.9893"</f>
        <v>0.9893</v>
      </c>
    </row>
    <row r="414" spans="1:3" x14ac:dyDescent="0.25">
      <c r="A414" t="str">
        <f>"04/02/2011"</f>
        <v>04/02/2011</v>
      </c>
      <c r="B414" t="str">
        <f>"0.991"</f>
        <v>0.991</v>
      </c>
      <c r="C414" t="str">
        <f>"0.991"</f>
        <v>0.991</v>
      </c>
    </row>
    <row r="415" spans="1:3" x14ac:dyDescent="0.25">
      <c r="A415" t="str">
        <f>"07/02/2011"</f>
        <v>07/02/2011</v>
      </c>
      <c r="B415" t="str">
        <f>"0.9868"</f>
        <v>0.9868</v>
      </c>
      <c r="C415" t="str">
        <f>"0.9874"</f>
        <v>0.9874</v>
      </c>
    </row>
    <row r="416" spans="1:3" x14ac:dyDescent="0.25">
      <c r="A416" t="str">
        <f>"08/02/2011"</f>
        <v>08/02/2011</v>
      </c>
      <c r="B416" t="str">
        <f>"0.9904"</f>
        <v>0.9904</v>
      </c>
      <c r="C416" t="str">
        <f>"0.991"</f>
        <v>0.991</v>
      </c>
    </row>
    <row r="417" spans="1:3" x14ac:dyDescent="0.25">
      <c r="A417" t="str">
        <f>"09/02/2011"</f>
        <v>09/02/2011</v>
      </c>
      <c r="B417" t="str">
        <f>"0.9945"</f>
        <v>0.9945</v>
      </c>
      <c r="C417" t="str">
        <f>"0.995"</f>
        <v>0.995</v>
      </c>
    </row>
    <row r="418" spans="1:3" x14ac:dyDescent="0.25">
      <c r="A418" t="str">
        <f>"10/02/2011"</f>
        <v>10/02/2011</v>
      </c>
      <c r="B418" t="str">
        <f>"0.9954"</f>
        <v>0.9954</v>
      </c>
      <c r="C418" t="str">
        <f>"0.9959"</f>
        <v>0.9959</v>
      </c>
    </row>
    <row r="419" spans="1:3" x14ac:dyDescent="0.25">
      <c r="A419" t="str">
        <f>"11/02/2011"</f>
        <v>11/02/2011</v>
      </c>
      <c r="B419" t="str">
        <f>"0.9955"</f>
        <v>0.9955</v>
      </c>
      <c r="C419" t="str">
        <f>"0.9961"</f>
        <v>0.9961</v>
      </c>
    </row>
    <row r="420" spans="1:3" x14ac:dyDescent="0.25">
      <c r="A420" t="str">
        <f>"14/02/2011"</f>
        <v>14/02/2011</v>
      </c>
      <c r="B420" t="str">
        <f>"0.986"</f>
        <v>0.986</v>
      </c>
      <c r="C420" t="str">
        <f>"0.9866"</f>
        <v>0.9866</v>
      </c>
    </row>
    <row r="421" spans="1:3" x14ac:dyDescent="0.25">
      <c r="A421" t="str">
        <f>"15/02/2011"</f>
        <v>15/02/2011</v>
      </c>
      <c r="B421" t="str">
        <f>"0.9873"</f>
        <v>0.9873</v>
      </c>
      <c r="C421" t="str">
        <f>"0.9879"</f>
        <v>0.9879</v>
      </c>
    </row>
    <row r="422" spans="1:3" x14ac:dyDescent="0.25">
      <c r="A422" t="str">
        <f>"17/02/2011"</f>
        <v>17/02/2011</v>
      </c>
      <c r="B422" t="str">
        <f>"0.9844"</f>
        <v>0.9844</v>
      </c>
      <c r="C422" t="str">
        <f>"0.985"</f>
        <v>0.985</v>
      </c>
    </row>
    <row r="423" spans="1:3" x14ac:dyDescent="0.25">
      <c r="A423" t="str">
        <f>"18/02/2011"</f>
        <v>18/02/2011</v>
      </c>
      <c r="B423" t="str">
        <f>"0.9847"</f>
        <v>0.9847</v>
      </c>
      <c r="C423" t="str">
        <f>"0.9853"</f>
        <v>0.9853</v>
      </c>
    </row>
    <row r="424" spans="1:3" x14ac:dyDescent="0.25">
      <c r="A424" t="str">
        <f>"21/02/2011"</f>
        <v>21/02/2011</v>
      </c>
      <c r="B424" t="str">
        <f>"0.9866"</f>
        <v>0.9866</v>
      </c>
      <c r="C424" t="str">
        <f>"0.9866"</f>
        <v>0.9866</v>
      </c>
    </row>
    <row r="425" spans="1:3" x14ac:dyDescent="0.25">
      <c r="A425" t="str">
        <f>"22/02/2011"</f>
        <v>22/02/2011</v>
      </c>
      <c r="B425" t="str">
        <f>"0.9866"</f>
        <v>0.9866</v>
      </c>
      <c r="C425" t="str">
        <f>"0.9871"</f>
        <v>0.9871</v>
      </c>
    </row>
    <row r="426" spans="1:3" x14ac:dyDescent="0.25">
      <c r="A426" t="str">
        <f>"23/02/2011"</f>
        <v>23/02/2011</v>
      </c>
      <c r="B426" t="str">
        <f>"0.9888"</f>
        <v>0.9888</v>
      </c>
      <c r="C426" t="str">
        <f>"0.9894"</f>
        <v>0.9894</v>
      </c>
    </row>
    <row r="427" spans="1:3" x14ac:dyDescent="0.25">
      <c r="A427" t="str">
        <f>"24/02/2011"</f>
        <v>24/02/2011</v>
      </c>
      <c r="B427" t="str">
        <f>"0.987"</f>
        <v>0.987</v>
      </c>
      <c r="C427" t="str">
        <f>"0.9875"</f>
        <v>0.9875</v>
      </c>
    </row>
    <row r="428" spans="1:3" x14ac:dyDescent="0.25">
      <c r="A428" t="str">
        <f>"25/02/2011"</f>
        <v>25/02/2011</v>
      </c>
      <c r="B428" t="str">
        <f>"0.9817"</f>
        <v>0.9817</v>
      </c>
      <c r="C428" t="str">
        <f>"0.9823"</f>
        <v>0.9823</v>
      </c>
    </row>
    <row r="429" spans="1:3" x14ac:dyDescent="0.25">
      <c r="A429" t="str">
        <f>"28/02/2011"</f>
        <v>28/02/2011</v>
      </c>
      <c r="B429" t="str">
        <f>"0.9781"</f>
        <v>0.9781</v>
      </c>
      <c r="C429" t="str">
        <f>"0.9787"</f>
        <v>0.9787</v>
      </c>
    </row>
    <row r="430" spans="1:3" x14ac:dyDescent="0.25">
      <c r="A430" t="str">
        <f>"01/03/2011"</f>
        <v>01/03/2011</v>
      </c>
      <c r="B430" t="str">
        <f>"0.9714"</f>
        <v>0.9714</v>
      </c>
      <c r="C430" t="str">
        <f>"0.972"</f>
        <v>0.972</v>
      </c>
    </row>
    <row r="431" spans="1:3" x14ac:dyDescent="0.25">
      <c r="A431" t="str">
        <f>"03/03/2011"</f>
        <v>03/03/2011</v>
      </c>
      <c r="B431" t="str">
        <f>"0.9734"</f>
        <v>0.9734</v>
      </c>
      <c r="C431" t="str">
        <f>"0.974"</f>
        <v>0.974</v>
      </c>
    </row>
    <row r="432" spans="1:3" x14ac:dyDescent="0.25">
      <c r="A432" t="str">
        <f>"04/03/2011"</f>
        <v>04/03/2011</v>
      </c>
      <c r="B432" t="str">
        <f>"0.973"</f>
        <v>0.973</v>
      </c>
      <c r="C432" t="str">
        <f>"0.9736"</f>
        <v>0.9736</v>
      </c>
    </row>
    <row r="433" spans="1:3" x14ac:dyDescent="0.25">
      <c r="A433" t="str">
        <f>"07/03/2011"</f>
        <v>07/03/2011</v>
      </c>
      <c r="B433" t="str">
        <f>"0.9726"</f>
        <v>0.9726</v>
      </c>
      <c r="C433" t="str">
        <f>"0.9733"</f>
        <v>0.9733</v>
      </c>
    </row>
    <row r="434" spans="1:3" x14ac:dyDescent="0.25">
      <c r="A434" t="str">
        <f>"08/03/2011"</f>
        <v>08/03/2011</v>
      </c>
      <c r="B434" t="str">
        <f>"0.9732"</f>
        <v>0.9732</v>
      </c>
      <c r="C434" t="str">
        <f>"0.9739"</f>
        <v>0.9739</v>
      </c>
    </row>
    <row r="435" spans="1:3" x14ac:dyDescent="0.25">
      <c r="A435" t="str">
        <f>"09/03/2011"</f>
        <v>09/03/2011</v>
      </c>
      <c r="B435" t="str">
        <f>"0.9712"</f>
        <v>0.9712</v>
      </c>
      <c r="C435" t="str">
        <f>"0.9719"</f>
        <v>0.9719</v>
      </c>
    </row>
    <row r="436" spans="1:3" x14ac:dyDescent="0.25">
      <c r="A436" t="str">
        <f>"10/03/2011"</f>
        <v>10/03/2011</v>
      </c>
      <c r="B436" t="str">
        <f>"0.9704"</f>
        <v>0.9704</v>
      </c>
      <c r="C436" t="str">
        <f>"0.9711"</f>
        <v>0.9711</v>
      </c>
    </row>
    <row r="437" spans="1:3" x14ac:dyDescent="0.25">
      <c r="A437" t="str">
        <f>"11/03/2011"</f>
        <v>11/03/2011</v>
      </c>
      <c r="B437" t="str">
        <f>"0.9742"</f>
        <v>0.9742</v>
      </c>
      <c r="C437" t="str">
        <f>"0.9749"</f>
        <v>0.9749</v>
      </c>
    </row>
    <row r="438" spans="1:3" x14ac:dyDescent="0.25">
      <c r="A438" t="str">
        <f>"14/03/2011"</f>
        <v>14/03/2011</v>
      </c>
      <c r="B438" t="str">
        <f>"0.9744"</f>
        <v>0.9744</v>
      </c>
      <c r="C438" t="str">
        <f>"0.975"</f>
        <v>0.975</v>
      </c>
    </row>
    <row r="439" spans="1:3" x14ac:dyDescent="0.25">
      <c r="A439" t="str">
        <f>"15/03/2011"</f>
        <v>15/03/2011</v>
      </c>
      <c r="B439" t="str">
        <f>"0.9839"</f>
        <v>0.9839</v>
      </c>
      <c r="C439" t="str">
        <f>"0.9845"</f>
        <v>0.9845</v>
      </c>
    </row>
    <row r="440" spans="1:3" x14ac:dyDescent="0.25">
      <c r="A440" t="str">
        <f>"16/03/2011"</f>
        <v>16/03/2011</v>
      </c>
      <c r="B440" t="str">
        <f>"0.9856"</f>
        <v>0.9856</v>
      </c>
      <c r="C440" t="str">
        <f>"0.9862"</f>
        <v>0.9862</v>
      </c>
    </row>
    <row r="441" spans="1:3" x14ac:dyDescent="0.25">
      <c r="A441" t="str">
        <f>"17/03/2011"</f>
        <v>17/03/2011</v>
      </c>
      <c r="B441" t="str">
        <f>"0.9918"</f>
        <v>0.9918</v>
      </c>
      <c r="C441" t="str">
        <f>"0.9918"</f>
        <v>0.9918</v>
      </c>
    </row>
    <row r="442" spans="1:3" x14ac:dyDescent="0.25">
      <c r="A442" t="str">
        <f>"18/03/2011"</f>
        <v>18/03/2011</v>
      </c>
      <c r="B442" t="str">
        <f>"0.9831"</f>
        <v>0.9831</v>
      </c>
      <c r="C442" t="str">
        <f>"0.9837"</f>
        <v>0.9837</v>
      </c>
    </row>
    <row r="443" spans="1:3" x14ac:dyDescent="0.25">
      <c r="A443" t="str">
        <f>"21/03/2011"</f>
        <v>21/03/2011</v>
      </c>
      <c r="B443" t="str">
        <f>"0.9819"</f>
        <v>0.9819</v>
      </c>
      <c r="C443" t="str">
        <f>"0.9825"</f>
        <v>0.9825</v>
      </c>
    </row>
    <row r="444" spans="1:3" x14ac:dyDescent="0.25">
      <c r="A444" t="str">
        <f>"22/03/2011"</f>
        <v>22/03/2011</v>
      </c>
      <c r="B444" t="str">
        <f>"0.9784"</f>
        <v>0.9784</v>
      </c>
      <c r="C444" t="str">
        <f>"0.9791"</f>
        <v>0.9791</v>
      </c>
    </row>
    <row r="445" spans="1:3" x14ac:dyDescent="0.25">
      <c r="A445" t="str">
        <f>"23/03/2011"</f>
        <v>23/03/2011</v>
      </c>
      <c r="B445" t="str">
        <f>"0.9812"</f>
        <v>0.9812</v>
      </c>
      <c r="C445" t="str">
        <f>"0.9819"</f>
        <v>0.9819</v>
      </c>
    </row>
    <row r="446" spans="1:3" x14ac:dyDescent="0.25">
      <c r="A446" t="str">
        <f>"24/03/2011"</f>
        <v>24/03/2011</v>
      </c>
      <c r="B446" t="str">
        <f>"0.9816"</f>
        <v>0.9816</v>
      </c>
      <c r="C446" t="str">
        <f>"0.9823"</f>
        <v>0.9823</v>
      </c>
    </row>
    <row r="447" spans="1:3" x14ac:dyDescent="0.25">
      <c r="A447" t="str">
        <f>"25/03/2011"</f>
        <v>25/03/2011</v>
      </c>
      <c r="B447" t="str">
        <f>"0.9761"</f>
        <v>0.9761</v>
      </c>
      <c r="C447" t="str">
        <f>"0.9767"</f>
        <v>0.9767</v>
      </c>
    </row>
    <row r="448" spans="1:3" x14ac:dyDescent="0.25">
      <c r="A448" t="str">
        <f>"28/03/2011"</f>
        <v>28/03/2011</v>
      </c>
      <c r="B448" t="str">
        <f>"0.9811"</f>
        <v>0.9811</v>
      </c>
      <c r="C448" t="str">
        <f>"0.9817"</f>
        <v>0.9817</v>
      </c>
    </row>
    <row r="449" spans="1:3" x14ac:dyDescent="0.25">
      <c r="A449" t="str">
        <f>"29/03/2011"</f>
        <v>29/03/2011</v>
      </c>
      <c r="B449" t="str">
        <f>"0.9764"</f>
        <v>0.9764</v>
      </c>
      <c r="C449" t="str">
        <f>"0.977"</f>
        <v>0.977</v>
      </c>
    </row>
    <row r="450" spans="1:3" x14ac:dyDescent="0.25">
      <c r="A450" t="str">
        <f>"30/03/2011"</f>
        <v>30/03/2011</v>
      </c>
      <c r="B450" t="str">
        <f>"0.9731"</f>
        <v>0.9731</v>
      </c>
      <c r="C450" t="str">
        <f>"0.9738"</f>
        <v>0.9738</v>
      </c>
    </row>
    <row r="451" spans="1:3" x14ac:dyDescent="0.25">
      <c r="A451" t="str">
        <f>"31/03/2011"</f>
        <v>31/03/2011</v>
      </c>
      <c r="B451" t="str">
        <f>"0.9716"</f>
        <v>0.9716</v>
      </c>
      <c r="C451" t="str">
        <f>"0.9722"</f>
        <v>0.9722</v>
      </c>
    </row>
    <row r="452" spans="1:3" x14ac:dyDescent="0.25">
      <c r="A452" t="str">
        <f>"01/04/2011"</f>
        <v>01/04/2011</v>
      </c>
      <c r="B452" t="str">
        <f>"0.9692"</f>
        <v>0.9692</v>
      </c>
      <c r="C452" t="str">
        <f>"0.9698"</f>
        <v>0.9698</v>
      </c>
    </row>
    <row r="453" spans="1:3" x14ac:dyDescent="0.25">
      <c r="A453" t="str">
        <f>"05/04/2011"</f>
        <v>05/04/2011</v>
      </c>
      <c r="B453" t="str">
        <f>"0.9675"</f>
        <v>0.9675</v>
      </c>
      <c r="C453" t="str">
        <f>"0.9682"</f>
        <v>0.9682</v>
      </c>
    </row>
    <row r="454" spans="1:3" x14ac:dyDescent="0.25">
      <c r="A454" t="str">
        <f>"06/04/2011"</f>
        <v>06/04/2011</v>
      </c>
      <c r="B454" t="str">
        <f>"0.9625"</f>
        <v>0.9625</v>
      </c>
      <c r="C454" t="str">
        <f>"0.9631"</f>
        <v>0.9631</v>
      </c>
    </row>
    <row r="455" spans="1:3" x14ac:dyDescent="0.25">
      <c r="A455" t="str">
        <f>"07/04/2011"</f>
        <v>07/04/2011</v>
      </c>
      <c r="B455" t="str">
        <f>"0.9615"</f>
        <v>0.9615</v>
      </c>
      <c r="C455" t="str">
        <f>"0.9622"</f>
        <v>0.9622</v>
      </c>
    </row>
    <row r="456" spans="1:3" x14ac:dyDescent="0.25">
      <c r="A456" t="str">
        <f>"08/04/2011"</f>
        <v>08/04/2011</v>
      </c>
      <c r="B456" t="str">
        <f>"0.956"</f>
        <v>0.956</v>
      </c>
      <c r="C456" t="str">
        <f>"0.9567"</f>
        <v>0.9567</v>
      </c>
    </row>
    <row r="457" spans="1:3" x14ac:dyDescent="0.25">
      <c r="A457" t="str">
        <f>"11/04/2011"</f>
        <v>11/04/2011</v>
      </c>
      <c r="B457" t="str">
        <f>"0.9554"</f>
        <v>0.9554</v>
      </c>
      <c r="C457" t="str">
        <f>"0.9561"</f>
        <v>0.9561</v>
      </c>
    </row>
    <row r="458" spans="1:3" x14ac:dyDescent="0.25">
      <c r="A458" t="str">
        <f>"13/04/2011"</f>
        <v>13/04/2011</v>
      </c>
      <c r="B458" t="str">
        <f>"0.962"</f>
        <v>0.962</v>
      </c>
      <c r="C458" t="str">
        <f>"0.9627"</f>
        <v>0.9627</v>
      </c>
    </row>
    <row r="459" spans="1:3" x14ac:dyDescent="0.25">
      <c r="A459" t="str">
        <f>"15/04/2011"</f>
        <v>15/04/2011</v>
      </c>
      <c r="B459" t="str">
        <f>"0.9616"</f>
        <v>0.9616</v>
      </c>
      <c r="C459" t="str">
        <f>"0.9623"</f>
        <v>0.9623</v>
      </c>
    </row>
    <row r="460" spans="1:3" x14ac:dyDescent="0.25">
      <c r="A460" t="str">
        <f>"18/04/2011"</f>
        <v>18/04/2011</v>
      </c>
      <c r="B460" t="str">
        <f>"0.9619"</f>
        <v>0.9619</v>
      </c>
      <c r="C460" t="str">
        <f>"0.9626"</f>
        <v>0.9626</v>
      </c>
    </row>
    <row r="461" spans="1:3" x14ac:dyDescent="0.25">
      <c r="A461" t="str">
        <f>"19/04/2011"</f>
        <v>19/04/2011</v>
      </c>
      <c r="B461" t="str">
        <f>"0.9657"</f>
        <v>0.9657</v>
      </c>
      <c r="C461" t="str">
        <f>"0.9664"</f>
        <v>0.9664</v>
      </c>
    </row>
    <row r="462" spans="1:3" x14ac:dyDescent="0.25">
      <c r="A462" t="str">
        <f>"20/04/2011"</f>
        <v>20/04/2011</v>
      </c>
      <c r="B462" t="str">
        <f>"0.9548"</f>
        <v>0.9548</v>
      </c>
      <c r="C462" t="str">
        <f>"0.9554"</f>
        <v>0.9554</v>
      </c>
    </row>
    <row r="463" spans="1:3" x14ac:dyDescent="0.25">
      <c r="A463" t="str">
        <f>"21/04/2011"</f>
        <v>21/04/2011</v>
      </c>
      <c r="B463" t="str">
        <f>"0.9489"</f>
        <v>0.9489</v>
      </c>
      <c r="C463" t="str">
        <f>"0.9496"</f>
        <v>0.9496</v>
      </c>
    </row>
    <row r="464" spans="1:3" x14ac:dyDescent="0.25">
      <c r="A464" t="str">
        <f>"25/04/2011"</f>
        <v>25/04/2011</v>
      </c>
      <c r="B464" t="str">
        <f>"0.9534"</f>
        <v>0.9534</v>
      </c>
      <c r="C464" t="str">
        <f>"0.9541"</f>
        <v>0.9541</v>
      </c>
    </row>
    <row r="465" spans="1:3" x14ac:dyDescent="0.25">
      <c r="A465" t="str">
        <f>"26/04/2011"</f>
        <v>26/04/2011</v>
      </c>
      <c r="B465" t="str">
        <f>"0.955"</f>
        <v>0.955</v>
      </c>
      <c r="C465" t="str">
        <f>"0.9557"</f>
        <v>0.9557</v>
      </c>
    </row>
    <row r="466" spans="1:3" x14ac:dyDescent="0.25">
      <c r="A466" t="str">
        <f>"27/04/2011"</f>
        <v>27/04/2011</v>
      </c>
      <c r="B466" t="str">
        <f>"0.95"</f>
        <v>0.95</v>
      </c>
      <c r="C466" t="str">
        <f>"0.9507"</f>
        <v>0.9507</v>
      </c>
    </row>
    <row r="467" spans="1:3" x14ac:dyDescent="0.25">
      <c r="A467" t="str">
        <f>"28/04/2011"</f>
        <v>28/04/2011</v>
      </c>
      <c r="B467" t="str">
        <f>"0.9472"</f>
        <v>0.9472</v>
      </c>
      <c r="C467" t="str">
        <f>"0.9479"</f>
        <v>0.9479</v>
      </c>
    </row>
    <row r="468" spans="1:3" x14ac:dyDescent="0.25">
      <c r="A468" t="str">
        <f>"29/04/2011"</f>
        <v>29/04/2011</v>
      </c>
      <c r="B468" t="str">
        <f>"0.9514"</f>
        <v>0.9514</v>
      </c>
      <c r="C468" t="str">
        <f>"0.9521"</f>
        <v>0.9521</v>
      </c>
    </row>
    <row r="469" spans="1:3" x14ac:dyDescent="0.25">
      <c r="A469" t="str">
        <f>"02/05/2011"</f>
        <v>02/05/2011</v>
      </c>
      <c r="B469" t="str">
        <f>"0.9485"</f>
        <v>0.9485</v>
      </c>
      <c r="C469" t="str">
        <f>"0.9492"</f>
        <v>0.9492</v>
      </c>
    </row>
    <row r="470" spans="1:3" x14ac:dyDescent="0.25">
      <c r="A470" t="str">
        <f>"03/05/2011"</f>
        <v>03/05/2011</v>
      </c>
      <c r="B470" t="str">
        <f>"0.9468"</f>
        <v>0.9468</v>
      </c>
      <c r="C470" t="str">
        <f>"0.9475"</f>
        <v>0.9475</v>
      </c>
    </row>
    <row r="471" spans="1:3" x14ac:dyDescent="0.25">
      <c r="A471" t="str">
        <f>"04/05/2011"</f>
        <v>04/05/2011</v>
      </c>
      <c r="B471" t="str">
        <f>"0.9534"</f>
        <v>0.9534</v>
      </c>
      <c r="C471" t="str">
        <f>"0.9541"</f>
        <v>0.9541</v>
      </c>
    </row>
    <row r="472" spans="1:3" x14ac:dyDescent="0.25">
      <c r="A472" t="str">
        <f>"05/05/2011"</f>
        <v>05/05/2011</v>
      </c>
      <c r="B472" t="str">
        <f>"0.9582"</f>
        <v>0.9582</v>
      </c>
      <c r="C472" t="str">
        <f>"0.9589"</f>
        <v>0.9589</v>
      </c>
    </row>
    <row r="473" spans="1:3" x14ac:dyDescent="0.25">
      <c r="A473" t="str">
        <f>"06/05/2011"</f>
        <v>06/05/2011</v>
      </c>
      <c r="B473" t="str">
        <f>"0.966"</f>
        <v>0.966</v>
      </c>
      <c r="C473" t="str">
        <f>"0.9667"</f>
        <v>0.9667</v>
      </c>
    </row>
    <row r="474" spans="1:3" x14ac:dyDescent="0.25">
      <c r="A474" t="str">
        <f>"09/05/2011"</f>
        <v>09/05/2011</v>
      </c>
      <c r="B474" t="str">
        <f>"0.9615"</f>
        <v>0.9615</v>
      </c>
      <c r="C474" t="str">
        <f>"0.9622"</f>
        <v>0.9622</v>
      </c>
    </row>
    <row r="475" spans="1:3" x14ac:dyDescent="0.25">
      <c r="A475" t="str">
        <f>"10/05/2011"</f>
        <v>10/05/2011</v>
      </c>
      <c r="B475" t="str">
        <f>"0.9639"</f>
        <v>0.9639</v>
      </c>
      <c r="C475" t="str">
        <f>"0.9646"</f>
        <v>0.9646</v>
      </c>
    </row>
    <row r="476" spans="1:3" x14ac:dyDescent="0.25">
      <c r="A476" t="str">
        <f>"11/05/2011"</f>
        <v>11/05/2011</v>
      </c>
      <c r="B476" t="str">
        <f>"0.9558"</f>
        <v>0.9558</v>
      </c>
      <c r="C476" t="str">
        <f>"0.9566"</f>
        <v>0.9566</v>
      </c>
    </row>
    <row r="477" spans="1:3" x14ac:dyDescent="0.25">
      <c r="A477" t="str">
        <f>"12/05/2011"</f>
        <v>12/05/2011</v>
      </c>
      <c r="B477" t="str">
        <f>"0.9616"</f>
        <v>0.9616</v>
      </c>
      <c r="C477" t="str">
        <f>"0.9623"</f>
        <v>0.9623</v>
      </c>
    </row>
    <row r="478" spans="1:3" x14ac:dyDescent="0.25">
      <c r="A478" t="str">
        <f>"13/05/2011"</f>
        <v>13/05/2011</v>
      </c>
      <c r="B478" t="str">
        <f>"0.9646"</f>
        <v>0.9646</v>
      </c>
      <c r="C478" t="str">
        <f>"0.9654"</f>
        <v>0.9654</v>
      </c>
    </row>
    <row r="479" spans="1:3" x14ac:dyDescent="0.25">
      <c r="A479" t="str">
        <f>"16/05/2011"</f>
        <v>16/05/2011</v>
      </c>
      <c r="B479" t="str">
        <f>"0.9695"</f>
        <v>0.9695</v>
      </c>
      <c r="C479" t="str">
        <f>"0.9702"</f>
        <v>0.9702</v>
      </c>
    </row>
    <row r="480" spans="1:3" x14ac:dyDescent="0.25">
      <c r="A480" t="str">
        <f>"18/05/2011"</f>
        <v>18/05/2011</v>
      </c>
      <c r="B480" t="str">
        <f>"0.9714"</f>
        <v>0.9714</v>
      </c>
      <c r="C480" t="str">
        <f>"0.9722"</f>
        <v>0.9722</v>
      </c>
    </row>
    <row r="481" spans="1:3" x14ac:dyDescent="0.25">
      <c r="A481" t="str">
        <f>"19/05/2011"</f>
        <v>19/05/2011</v>
      </c>
      <c r="B481" t="str">
        <f>"0.9687"</f>
        <v>0.9687</v>
      </c>
      <c r="C481" t="str">
        <f>"0.9694"</f>
        <v>0.9694</v>
      </c>
    </row>
    <row r="482" spans="1:3" x14ac:dyDescent="0.25">
      <c r="A482" t="str">
        <f>"20/05/2011"</f>
        <v>20/05/2011</v>
      </c>
      <c r="B482" t="str">
        <f>"0.9672"</f>
        <v>0.9672</v>
      </c>
      <c r="C482" t="str">
        <f>"0.9679"</f>
        <v>0.9679</v>
      </c>
    </row>
    <row r="483" spans="1:3" x14ac:dyDescent="0.25">
      <c r="A483" t="str">
        <f>"23/05/2011"</f>
        <v>23/05/2011</v>
      </c>
      <c r="B483" t="str">
        <f>"0.9762"</f>
        <v>0.9762</v>
      </c>
      <c r="C483" t="str">
        <f>"0.9769"</f>
        <v>0.9769</v>
      </c>
    </row>
    <row r="484" spans="1:3" x14ac:dyDescent="0.25">
      <c r="A484" t="str">
        <f>"24/05/2011"</f>
        <v>24/05/2011</v>
      </c>
      <c r="B484" t="str">
        <f>"0.9763"</f>
        <v>0.9763</v>
      </c>
      <c r="C484" t="str">
        <f>"0.977"</f>
        <v>0.977</v>
      </c>
    </row>
    <row r="485" spans="1:3" x14ac:dyDescent="0.25">
      <c r="A485" t="str">
        <f>"25/05/2011"</f>
        <v>25/05/2011</v>
      </c>
      <c r="B485" t="str">
        <f>"0.9791"</f>
        <v>0.9791</v>
      </c>
      <c r="C485" t="str">
        <f>"0.9799"</f>
        <v>0.9799</v>
      </c>
    </row>
    <row r="486" spans="1:3" x14ac:dyDescent="0.25">
      <c r="A486" t="str">
        <f>"26/05/2011"</f>
        <v>26/05/2011</v>
      </c>
      <c r="B486" t="str">
        <f>"0.9771"</f>
        <v>0.9771</v>
      </c>
      <c r="C486" t="str">
        <f>"0.9778"</f>
        <v>0.9778</v>
      </c>
    </row>
    <row r="487" spans="1:3" x14ac:dyDescent="0.25">
      <c r="A487" t="str">
        <f>"27/05/2011"</f>
        <v>27/05/2011</v>
      </c>
      <c r="B487" t="str">
        <f>"0.9767"</f>
        <v>0.9767</v>
      </c>
      <c r="C487" t="str">
        <f>"0.9774"</f>
        <v>0.9774</v>
      </c>
    </row>
    <row r="488" spans="1:3" x14ac:dyDescent="0.25">
      <c r="A488" t="str">
        <f>"30/05/2011"</f>
        <v>30/05/2011</v>
      </c>
      <c r="B488" t="str">
        <f>"0.9768"</f>
        <v>0.9768</v>
      </c>
      <c r="C488" t="str">
        <f>"0.9775"</f>
        <v>0.9775</v>
      </c>
    </row>
    <row r="489" spans="1:3" x14ac:dyDescent="0.25">
      <c r="A489" t="str">
        <f>"31/05/2011"</f>
        <v>31/05/2011</v>
      </c>
      <c r="B489" t="str">
        <f>"0.9733"</f>
        <v>0.9733</v>
      </c>
      <c r="C489" t="str">
        <f>"0.974"</f>
        <v>0.974</v>
      </c>
    </row>
    <row r="490" spans="1:3" x14ac:dyDescent="0.25">
      <c r="A490" t="str">
        <f>"01/06/2011"</f>
        <v>01/06/2011</v>
      </c>
      <c r="B490" t="str">
        <f>"0.968"</f>
        <v>0.968</v>
      </c>
      <c r="C490" t="str">
        <f>"0.9688"</f>
        <v>0.9688</v>
      </c>
    </row>
    <row r="491" spans="1:3" x14ac:dyDescent="0.25">
      <c r="A491" t="str">
        <f>"02/06/2011"</f>
        <v>02/06/2011</v>
      </c>
      <c r="B491" t="str">
        <f>"0.978"</f>
        <v>0.978</v>
      </c>
      <c r="C491" t="str">
        <f>"0.9788"</f>
        <v>0.9788</v>
      </c>
    </row>
    <row r="492" spans="1:3" x14ac:dyDescent="0.25">
      <c r="A492" t="str">
        <f>"03/06/2011"</f>
        <v>03/06/2011</v>
      </c>
      <c r="B492" t="str">
        <f>"0.9765"</f>
        <v>0.9765</v>
      </c>
      <c r="C492" t="str">
        <f>"0.9773"</f>
        <v>0.9773</v>
      </c>
    </row>
    <row r="493" spans="1:3" x14ac:dyDescent="0.25">
      <c r="A493" t="str">
        <f>"06/06/2011"</f>
        <v>06/06/2011</v>
      </c>
      <c r="B493" t="str">
        <f>"0.9789"</f>
        <v>0.9789</v>
      </c>
      <c r="C493" t="str">
        <f>"0.9796"</f>
        <v>0.9796</v>
      </c>
    </row>
    <row r="494" spans="1:3" x14ac:dyDescent="0.25">
      <c r="A494" t="str">
        <f>"07/06/2011"</f>
        <v>07/06/2011</v>
      </c>
      <c r="B494" t="str">
        <f>"0.9797"</f>
        <v>0.9797</v>
      </c>
      <c r="C494" t="str">
        <f>"0.9804"</f>
        <v>0.9804</v>
      </c>
    </row>
    <row r="495" spans="1:3" x14ac:dyDescent="0.25">
      <c r="A495" t="str">
        <f>"08/06/2011"</f>
        <v>08/06/2011</v>
      </c>
      <c r="B495" t="str">
        <f>"0.9782"</f>
        <v>0.9782</v>
      </c>
      <c r="C495" t="str">
        <f>"0.979"</f>
        <v>0.979</v>
      </c>
    </row>
    <row r="496" spans="1:3" x14ac:dyDescent="0.25">
      <c r="A496" t="str">
        <f>"09/06/2011"</f>
        <v>09/06/2011</v>
      </c>
      <c r="B496" t="str">
        <f>"0.98"</f>
        <v>0.98</v>
      </c>
      <c r="C496" t="str">
        <f>"0.9808"</f>
        <v>0.9808</v>
      </c>
    </row>
    <row r="497" spans="1:3" x14ac:dyDescent="0.25">
      <c r="A497" t="str">
        <f>"13/06/2011"</f>
        <v>13/06/2011</v>
      </c>
      <c r="B497" t="str">
        <f>"0.9771"</f>
        <v>0.9771</v>
      </c>
      <c r="C497" t="str">
        <f>"0.9778"</f>
        <v>0.9778</v>
      </c>
    </row>
    <row r="498" spans="1:3" x14ac:dyDescent="0.25">
      <c r="A498" t="str">
        <f>"14/06/2011"</f>
        <v>14/06/2011</v>
      </c>
      <c r="B498" t="str">
        <f>"0.974"</f>
        <v>0.974</v>
      </c>
      <c r="C498" t="str">
        <f>"0.9747"</f>
        <v>0.9747</v>
      </c>
    </row>
    <row r="499" spans="1:3" x14ac:dyDescent="0.25">
      <c r="A499" t="str">
        <f>"15/06/2011"</f>
        <v>15/06/2011</v>
      </c>
      <c r="B499" t="str">
        <f>"0.9693"</f>
        <v>0.9693</v>
      </c>
      <c r="C499" t="str">
        <f>"0.97"</f>
        <v>0.97</v>
      </c>
    </row>
    <row r="500" spans="1:3" x14ac:dyDescent="0.25">
      <c r="A500" t="str">
        <f>"16/06/2011"</f>
        <v>16/06/2011</v>
      </c>
      <c r="B500" t="str">
        <f>"0.9805"</f>
        <v>0.9805</v>
      </c>
      <c r="C500" t="str">
        <f>"0.9812"</f>
        <v>0.9812</v>
      </c>
    </row>
    <row r="501" spans="1:3" x14ac:dyDescent="0.25">
      <c r="A501" t="str">
        <f>"17/06/2011"</f>
        <v>17/06/2011</v>
      </c>
      <c r="B501" t="str">
        <f>"0.9845"</f>
        <v>0.9845</v>
      </c>
      <c r="C501" t="str">
        <f>"0.9852"</f>
        <v>0.9852</v>
      </c>
    </row>
    <row r="502" spans="1:3" x14ac:dyDescent="0.25">
      <c r="A502" t="str">
        <f>"20/06/2011"</f>
        <v>20/06/2011</v>
      </c>
      <c r="B502" t="str">
        <f>"0.9829"</f>
        <v>0.9829</v>
      </c>
      <c r="C502" t="str">
        <f>"0.9836"</f>
        <v>0.9836</v>
      </c>
    </row>
    <row r="503" spans="1:3" x14ac:dyDescent="0.25">
      <c r="A503" t="str">
        <f>"21/06/2011"</f>
        <v>21/06/2011</v>
      </c>
      <c r="B503" t="str">
        <f>"0.9792"</f>
        <v>0.9792</v>
      </c>
      <c r="C503" t="str">
        <f>"0.9799"</f>
        <v>0.9799</v>
      </c>
    </row>
    <row r="504" spans="1:3" x14ac:dyDescent="0.25">
      <c r="A504" t="str">
        <f>"22/06/2011"</f>
        <v>22/06/2011</v>
      </c>
      <c r="B504" t="str">
        <f>"0.9735"</f>
        <v>0.9735</v>
      </c>
      <c r="C504" t="str">
        <f>"0.9742"</f>
        <v>0.9742</v>
      </c>
    </row>
    <row r="505" spans="1:3" x14ac:dyDescent="0.25">
      <c r="A505" t="str">
        <f>"23/06/2011"</f>
        <v>23/06/2011</v>
      </c>
      <c r="B505" t="str">
        <f>"0.9732"</f>
        <v>0.9732</v>
      </c>
      <c r="C505" t="str">
        <f>"0.9739"</f>
        <v>0.9739</v>
      </c>
    </row>
    <row r="506" spans="1:3" x14ac:dyDescent="0.25">
      <c r="A506" t="str">
        <f>"24/06/2011"</f>
        <v>24/06/2011</v>
      </c>
      <c r="B506" t="str">
        <f>"0.9782"</f>
        <v>0.9782</v>
      </c>
      <c r="C506" t="str">
        <f>"0.9789"</f>
        <v>0.9789</v>
      </c>
    </row>
    <row r="507" spans="1:3" x14ac:dyDescent="0.25">
      <c r="A507" t="str">
        <f>"27/06/2011"</f>
        <v>27/06/2011</v>
      </c>
      <c r="B507" t="str">
        <f>"0.9903"</f>
        <v>0.9903</v>
      </c>
      <c r="C507" t="str">
        <f>"0.991"</f>
        <v>0.991</v>
      </c>
    </row>
    <row r="508" spans="1:3" x14ac:dyDescent="0.25">
      <c r="A508" t="str">
        <f>"28/06/2011"</f>
        <v>28/06/2011</v>
      </c>
      <c r="B508" t="str">
        <f>"0.9856"</f>
        <v>0.9856</v>
      </c>
      <c r="C508" t="str">
        <f>"0.9863"</f>
        <v>0.9863</v>
      </c>
    </row>
    <row r="509" spans="1:3" x14ac:dyDescent="0.25">
      <c r="A509" t="str">
        <f>"29/06/2011"</f>
        <v>29/06/2011</v>
      </c>
      <c r="B509" t="str">
        <f>"0.9814"</f>
        <v>0.9814</v>
      </c>
      <c r="C509" t="str">
        <f>"0.9821"</f>
        <v>0.9821</v>
      </c>
    </row>
    <row r="510" spans="1:3" x14ac:dyDescent="0.25">
      <c r="A510" t="str">
        <f>"30/06/2011"</f>
        <v>30/06/2011</v>
      </c>
      <c r="B510" t="str">
        <f>"0.9674"</f>
        <v>0.9674</v>
      </c>
      <c r="C510" t="str">
        <f>"0.9682"</f>
        <v>0.9682</v>
      </c>
    </row>
    <row r="511" spans="1:3" x14ac:dyDescent="0.25">
      <c r="A511" t="str">
        <f>"01/07/2011"</f>
        <v>01/07/2011</v>
      </c>
      <c r="B511" t="str">
        <f>"0.9635"</f>
        <v>0.9635</v>
      </c>
      <c r="C511" t="str">
        <f>"0.9642"</f>
        <v>0.9642</v>
      </c>
    </row>
    <row r="512" spans="1:3" x14ac:dyDescent="0.25">
      <c r="A512" t="str">
        <f>"04/07/2011"</f>
        <v>04/07/2011</v>
      </c>
      <c r="B512" t="str">
        <f>"0.9588"</f>
        <v>0.9588</v>
      </c>
      <c r="C512" t="str">
        <f>"0.9595"</f>
        <v>0.9595</v>
      </c>
    </row>
    <row r="513" spans="1:3" x14ac:dyDescent="0.25">
      <c r="A513" t="str">
        <f>"05/07/2011"</f>
        <v>05/07/2011</v>
      </c>
      <c r="B513" t="str">
        <f>"0.9617"</f>
        <v>0.9617</v>
      </c>
      <c r="C513" t="str">
        <f>"0.9625"</f>
        <v>0.9625</v>
      </c>
    </row>
    <row r="514" spans="1:3" x14ac:dyDescent="0.25">
      <c r="A514" t="str">
        <f>"06/07/2011"</f>
        <v>06/07/2011</v>
      </c>
      <c r="B514" t="str">
        <f>"0.962"</f>
        <v>0.962</v>
      </c>
      <c r="C514" t="str">
        <f>"0.9627"</f>
        <v>0.9627</v>
      </c>
    </row>
    <row r="515" spans="1:3" x14ac:dyDescent="0.25">
      <c r="A515" t="str">
        <f>"07/07/2011"</f>
        <v>07/07/2011</v>
      </c>
      <c r="B515" t="str">
        <f>"0.9656"</f>
        <v>0.9656</v>
      </c>
      <c r="C515" t="str">
        <f>"0.9663"</f>
        <v>0.9663</v>
      </c>
    </row>
    <row r="516" spans="1:3" x14ac:dyDescent="0.25">
      <c r="A516" t="str">
        <f>"08/07/2011"</f>
        <v>08/07/2011</v>
      </c>
      <c r="B516" t="str">
        <f>"0.9595"</f>
        <v>0.9595</v>
      </c>
      <c r="C516" t="str">
        <f>"0.9602"</f>
        <v>0.9602</v>
      </c>
    </row>
    <row r="517" spans="1:3" x14ac:dyDescent="0.25">
      <c r="A517" t="str">
        <f>"11/07/2011"</f>
        <v>11/07/2011</v>
      </c>
      <c r="B517" t="str">
        <f>"0.9642"</f>
        <v>0.9642</v>
      </c>
      <c r="C517" t="str">
        <f>"0.965"</f>
        <v>0.965</v>
      </c>
    </row>
    <row r="518" spans="1:3" x14ac:dyDescent="0.25">
      <c r="A518" t="str">
        <f>"12/07/2011"</f>
        <v>12/07/2011</v>
      </c>
      <c r="B518" t="str">
        <f>"0.9717"</f>
        <v>0.9717</v>
      </c>
      <c r="C518" t="str">
        <f>"0.9725"</f>
        <v>0.9725</v>
      </c>
    </row>
    <row r="519" spans="1:3" x14ac:dyDescent="0.25">
      <c r="A519" t="str">
        <f>"13/07/2011"</f>
        <v>13/07/2011</v>
      </c>
      <c r="B519" t="str">
        <f>"0.9635"</f>
        <v>0.9635</v>
      </c>
      <c r="C519" t="str">
        <f>"0.9642"</f>
        <v>0.9642</v>
      </c>
    </row>
    <row r="520" spans="1:3" x14ac:dyDescent="0.25">
      <c r="A520" t="str">
        <f>"14/07/2011"</f>
        <v>14/07/2011</v>
      </c>
      <c r="B520" t="str">
        <f>"0.9594"</f>
        <v>0.9594</v>
      </c>
      <c r="C520" t="str">
        <f>"0.9601"</f>
        <v>0.9601</v>
      </c>
    </row>
    <row r="521" spans="1:3" x14ac:dyDescent="0.25">
      <c r="A521" t="str">
        <f>"15/07/2011"</f>
        <v>15/07/2011</v>
      </c>
      <c r="B521" t="str">
        <f>"0.9599"</f>
        <v>0.9599</v>
      </c>
      <c r="C521" t="str">
        <f>"0.9606"</f>
        <v>0.9606</v>
      </c>
    </row>
    <row r="522" spans="1:3" x14ac:dyDescent="0.25">
      <c r="A522" t="str">
        <f>"18/07/2011"</f>
        <v>18/07/2011</v>
      </c>
      <c r="B522" t="str">
        <f>"0.9579"</f>
        <v>0.9579</v>
      </c>
      <c r="C522" t="str">
        <f>"0.9586"</f>
        <v>0.9586</v>
      </c>
    </row>
    <row r="523" spans="1:3" x14ac:dyDescent="0.25">
      <c r="A523" t="str">
        <f>"19/07/2011"</f>
        <v>19/07/2011</v>
      </c>
      <c r="B523" t="str">
        <f>"0.9582"</f>
        <v>0.9582</v>
      </c>
      <c r="C523" t="str">
        <f>"0.959"</f>
        <v>0.959</v>
      </c>
    </row>
    <row r="524" spans="1:3" x14ac:dyDescent="0.25">
      <c r="A524" t="str">
        <f>"20/07/2011"</f>
        <v>20/07/2011</v>
      </c>
      <c r="B524" t="str">
        <f>"0.9507"</f>
        <v>0.9507</v>
      </c>
      <c r="C524" t="str">
        <f>"0.9514"</f>
        <v>0.9514</v>
      </c>
    </row>
    <row r="525" spans="1:3" x14ac:dyDescent="0.25">
      <c r="A525" t="str">
        <f>"21/07/2011"</f>
        <v>21/07/2011</v>
      </c>
      <c r="B525" t="str">
        <f>"0.9467"</f>
        <v>0.9467</v>
      </c>
      <c r="C525" t="str">
        <f>"0.9474"</f>
        <v>0.9474</v>
      </c>
    </row>
    <row r="526" spans="1:3" x14ac:dyDescent="0.25">
      <c r="A526" t="str">
        <f>"22/07/2011"</f>
        <v>22/07/2011</v>
      </c>
      <c r="B526" t="str">
        <f>"0.945"</f>
        <v>0.945</v>
      </c>
      <c r="C526" t="str">
        <f>"0.9457"</f>
        <v>0.9457</v>
      </c>
    </row>
    <row r="527" spans="1:3" x14ac:dyDescent="0.25">
      <c r="A527" t="str">
        <f>"25/07/2011"</f>
        <v>25/07/2011</v>
      </c>
      <c r="B527" t="str">
        <f>"0.9517"</f>
        <v>0.9517</v>
      </c>
      <c r="C527" t="str">
        <f>"0.9524"</f>
        <v>0.9524</v>
      </c>
    </row>
    <row r="528" spans="1:3" x14ac:dyDescent="0.25">
      <c r="A528" t="str">
        <f>"26/07/2011"</f>
        <v>26/07/2011</v>
      </c>
      <c r="B528" t="str">
        <f>"0.9441"</f>
        <v>0.9441</v>
      </c>
      <c r="C528" t="str">
        <f>"0.9448"</f>
        <v>0.9448</v>
      </c>
    </row>
    <row r="529" spans="1:3" x14ac:dyDescent="0.25">
      <c r="A529" t="str">
        <f>"27/07/2011"</f>
        <v>27/07/2011</v>
      </c>
      <c r="B529" t="str">
        <f>"0.9435"</f>
        <v>0.9435</v>
      </c>
      <c r="C529" t="str">
        <f>"0.9442"</f>
        <v>0.9442</v>
      </c>
    </row>
    <row r="530" spans="1:3" x14ac:dyDescent="0.25">
      <c r="A530" t="str">
        <f>"28/07/2011"</f>
        <v>28/07/2011</v>
      </c>
      <c r="B530" t="str">
        <f>"0.9491"</f>
        <v>0.9491</v>
      </c>
      <c r="C530" t="str">
        <f>"0.9498"</f>
        <v>0.9498</v>
      </c>
    </row>
    <row r="531" spans="1:3" x14ac:dyDescent="0.25">
      <c r="A531" t="str">
        <f>"29/07/2011"</f>
        <v>29/07/2011</v>
      </c>
      <c r="B531" t="str">
        <f>"0.9505"</f>
        <v>0.9505</v>
      </c>
      <c r="C531" t="str">
        <f>"0.9512"</f>
        <v>0.9512</v>
      </c>
    </row>
    <row r="532" spans="1:3" x14ac:dyDescent="0.25">
      <c r="A532" t="str">
        <f>"01/08/2011"</f>
        <v>01/08/2011</v>
      </c>
      <c r="B532" t="str">
        <f>"0.9522"</f>
        <v>0.9522</v>
      </c>
      <c r="C532" t="str">
        <f>"0.9528"</f>
        <v>0.9528</v>
      </c>
    </row>
    <row r="533" spans="1:3" x14ac:dyDescent="0.25">
      <c r="A533" t="str">
        <f>"02/08/2011"</f>
        <v>02/08/2011</v>
      </c>
      <c r="B533" t="str">
        <f>"0.9561"</f>
        <v>0.9561</v>
      </c>
      <c r="C533" t="str">
        <f>"0.9568"</f>
        <v>0.9568</v>
      </c>
    </row>
    <row r="534" spans="1:3" x14ac:dyDescent="0.25">
      <c r="A534" t="str">
        <f>"03/08/2011"</f>
        <v>03/08/2011</v>
      </c>
      <c r="B534" t="str">
        <f>"0.9606"</f>
        <v>0.9606</v>
      </c>
      <c r="C534" t="str">
        <f>"0.9612"</f>
        <v>0.9612</v>
      </c>
    </row>
    <row r="535" spans="1:3" x14ac:dyDescent="0.25">
      <c r="A535" t="str">
        <f>"04/08/2011"</f>
        <v>04/08/2011</v>
      </c>
      <c r="B535" t="str">
        <f>"0.9641"</f>
        <v>0.9641</v>
      </c>
      <c r="C535" t="str">
        <f>"0.9647"</f>
        <v>0.9647</v>
      </c>
    </row>
    <row r="536" spans="1:3" x14ac:dyDescent="0.25">
      <c r="A536" t="str">
        <f>"09/08/2011"</f>
        <v>09/08/2011</v>
      </c>
      <c r="B536" t="str">
        <f>"0.9966"</f>
        <v>0.9966</v>
      </c>
      <c r="C536" t="str">
        <f>"0.9973"</f>
        <v>0.9973</v>
      </c>
    </row>
    <row r="537" spans="1:3" x14ac:dyDescent="0.25">
      <c r="A537" t="str">
        <f>"10/08/2011"</f>
        <v>10/08/2011</v>
      </c>
      <c r="B537" t="str">
        <f>"0.9827"</f>
        <v>0.9827</v>
      </c>
      <c r="C537" t="str">
        <f>"0.9834"</f>
        <v>0.9834</v>
      </c>
    </row>
    <row r="538" spans="1:3" x14ac:dyDescent="0.25">
      <c r="A538" t="str">
        <f>"11/08/2011"</f>
        <v>11/08/2011</v>
      </c>
      <c r="B538" t="str">
        <f>"0.9909"</f>
        <v>0.9909</v>
      </c>
      <c r="C538" t="str">
        <f>"0.9916"</f>
        <v>0.9916</v>
      </c>
    </row>
    <row r="539" spans="1:3" x14ac:dyDescent="0.25">
      <c r="A539" t="str">
        <f>"12/08/2011"</f>
        <v>12/08/2011</v>
      </c>
      <c r="B539" t="str">
        <f>"0.9875"</f>
        <v>0.9875</v>
      </c>
      <c r="C539" t="str">
        <f>"0.9882"</f>
        <v>0.9882</v>
      </c>
    </row>
    <row r="540" spans="1:3" x14ac:dyDescent="0.25">
      <c r="A540" t="str">
        <f>"16/08/2011"</f>
        <v>16/08/2011</v>
      </c>
      <c r="B540" t="str">
        <f>"0.9805"</f>
        <v>0.9805</v>
      </c>
      <c r="C540" t="str">
        <f>"0.9813"</f>
        <v>0.9813</v>
      </c>
    </row>
    <row r="541" spans="1:3" x14ac:dyDescent="0.25">
      <c r="A541" t="str">
        <f>"17/08/2011"</f>
        <v>17/08/2011</v>
      </c>
      <c r="B541" t="str">
        <f>"0.9826"</f>
        <v>0.9826</v>
      </c>
      <c r="C541" t="str">
        <f>"0.9833"</f>
        <v>0.9833</v>
      </c>
    </row>
    <row r="542" spans="1:3" x14ac:dyDescent="0.25">
      <c r="A542" t="str">
        <f>"18/08/2011"</f>
        <v>18/08/2011</v>
      </c>
      <c r="B542" t="str">
        <f>"0.9826"</f>
        <v>0.9826</v>
      </c>
      <c r="C542" t="str">
        <f>"0.9833"</f>
        <v>0.9833</v>
      </c>
    </row>
    <row r="543" spans="1:3" x14ac:dyDescent="0.25">
      <c r="A543" t="str">
        <f>"19/08/2011"</f>
        <v>19/08/2011</v>
      </c>
      <c r="B543" t="str">
        <f>"0.991"</f>
        <v>0.991</v>
      </c>
      <c r="C543" t="str">
        <f>"0.9917"</f>
        <v>0.9917</v>
      </c>
    </row>
    <row r="544" spans="1:3" x14ac:dyDescent="0.25">
      <c r="A544" t="str">
        <f>"22/08/2011"</f>
        <v>22/08/2011</v>
      </c>
      <c r="B544" t="str">
        <f>"0.9892"</f>
        <v>0.9892</v>
      </c>
      <c r="C544" t="str">
        <f>"0.9899"</f>
        <v>0.9899</v>
      </c>
    </row>
    <row r="545" spans="1:3" x14ac:dyDescent="0.25">
      <c r="A545" t="str">
        <f>"23/08/2011"</f>
        <v>23/08/2011</v>
      </c>
      <c r="B545" t="str">
        <f>"0.9892"</f>
        <v>0.9892</v>
      </c>
      <c r="C545" t="str">
        <f>"0.9899"</f>
        <v>0.9899</v>
      </c>
    </row>
    <row r="546" spans="1:3" x14ac:dyDescent="0.25">
      <c r="A546" t="str">
        <f>"24/08/2011"</f>
        <v>24/08/2011</v>
      </c>
      <c r="B546" t="str">
        <f>"0.9884"</f>
        <v>0.9884</v>
      </c>
      <c r="C546" t="str">
        <f>"0.9892"</f>
        <v>0.9892</v>
      </c>
    </row>
    <row r="547" spans="1:3" x14ac:dyDescent="0.25">
      <c r="A547" t="str">
        <f>"25/08/2011"</f>
        <v>25/08/2011</v>
      </c>
      <c r="B547" t="str">
        <f>"0.9878"</f>
        <v>0.9878</v>
      </c>
      <c r="C547" t="str">
        <f>"0.9886"</f>
        <v>0.9886</v>
      </c>
    </row>
    <row r="548" spans="1:3" x14ac:dyDescent="0.25">
      <c r="A548" t="str">
        <f>"26/08/2011"</f>
        <v>26/08/2011</v>
      </c>
      <c r="B548" t="str">
        <f>"0.987"</f>
        <v>0.987</v>
      </c>
      <c r="C548" t="str">
        <f>"0.9877"</f>
        <v>0.9877</v>
      </c>
    </row>
    <row r="549" spans="1:3" x14ac:dyDescent="0.25">
      <c r="A549" t="str">
        <f>"29/08/2011"</f>
        <v>29/08/2011</v>
      </c>
      <c r="B549" t="str">
        <f>"0.9793"</f>
        <v>0.9793</v>
      </c>
      <c r="C549" t="str">
        <f>"0.9801"</f>
        <v>0.9801</v>
      </c>
    </row>
    <row r="550" spans="1:3" x14ac:dyDescent="0.25">
      <c r="A550" t="str">
        <f>"30/08/2011"</f>
        <v>30/08/2011</v>
      </c>
      <c r="B550" t="str">
        <f>"0.9763"</f>
        <v>0.9763</v>
      </c>
      <c r="C550" t="str">
        <f>"0.977"</f>
        <v>0.977</v>
      </c>
    </row>
    <row r="551" spans="1:3" x14ac:dyDescent="0.25">
      <c r="A551" t="str">
        <f>"02/09/2011"</f>
        <v>02/09/2011</v>
      </c>
      <c r="B551" t="str">
        <f>"0.9773"</f>
        <v>0.9773</v>
      </c>
      <c r="C551" t="str">
        <f>"0.978"</f>
        <v>0.978</v>
      </c>
    </row>
    <row r="552" spans="1:3" x14ac:dyDescent="0.25">
      <c r="A552" t="str">
        <f>"05/09/2011"</f>
        <v>05/09/2011</v>
      </c>
      <c r="B552" t="str">
        <f>"0.9865"</f>
        <v>0.9865</v>
      </c>
      <c r="C552" t="str">
        <f>"0.9872"</f>
        <v>0.9872</v>
      </c>
    </row>
    <row r="553" spans="1:3" x14ac:dyDescent="0.25">
      <c r="A553" t="str">
        <f>"06/09/2011"</f>
        <v>06/09/2011</v>
      </c>
      <c r="B553" t="str">
        <f>"0.9912"</f>
        <v>0.9912</v>
      </c>
      <c r="C553" t="str">
        <f>"0.9919"</f>
        <v>0.9919</v>
      </c>
    </row>
    <row r="554" spans="1:3" x14ac:dyDescent="0.25">
      <c r="A554" t="str">
        <f>"07/09/2011"</f>
        <v>07/09/2011</v>
      </c>
      <c r="B554" t="str">
        <f>"0.9888"</f>
        <v>0.9888</v>
      </c>
      <c r="C554" t="str">
        <f>"0.9895"</f>
        <v>0.9895</v>
      </c>
    </row>
    <row r="555" spans="1:3" x14ac:dyDescent="0.25">
      <c r="A555" t="str">
        <f>"08/09/2011"</f>
        <v>08/09/2011</v>
      </c>
      <c r="B555" t="str">
        <f>"0.9858"</f>
        <v>0.9858</v>
      </c>
      <c r="C555" t="str">
        <f>"0.9866"</f>
        <v>0.9866</v>
      </c>
    </row>
    <row r="556" spans="1:3" x14ac:dyDescent="0.25">
      <c r="A556" t="str">
        <f>"09/09/2011"</f>
        <v>09/09/2011</v>
      </c>
      <c r="B556" t="str">
        <f>"0.9885"</f>
        <v>0.9885</v>
      </c>
      <c r="C556" t="str">
        <f>"0.9892"</f>
        <v>0.9892</v>
      </c>
    </row>
    <row r="557" spans="1:3" x14ac:dyDescent="0.25">
      <c r="A557" t="str">
        <f>"12/09/2011"</f>
        <v>12/09/2011</v>
      </c>
      <c r="B557" t="str">
        <f>"0.9994"</f>
        <v>0.9994</v>
      </c>
      <c r="C557" t="str">
        <f>"1.00"</f>
        <v>1.00</v>
      </c>
    </row>
    <row r="558" spans="1:3" x14ac:dyDescent="0.25">
      <c r="A558" t="str">
        <f>"13/09/2011"</f>
        <v>13/09/2011</v>
      </c>
      <c r="B558" t="str">
        <f>"0.9917"</f>
        <v>0.9917</v>
      </c>
      <c r="C558" t="str">
        <f>"0.9924"</f>
        <v>0.9924</v>
      </c>
    </row>
    <row r="559" spans="1:3" x14ac:dyDescent="0.25">
      <c r="A559" t="str">
        <f>"14/09/2011"</f>
        <v>14/09/2011</v>
      </c>
      <c r="B559" t="str">
        <f>"0.9912"</f>
        <v>0.9912</v>
      </c>
      <c r="C559" t="str">
        <f>"0.9919"</f>
        <v>0.9919</v>
      </c>
    </row>
    <row r="560" spans="1:3" x14ac:dyDescent="0.25">
      <c r="A560" t="str">
        <f>"15/09/2011"</f>
        <v>15/09/2011</v>
      </c>
      <c r="B560" t="str">
        <f>"0.9947"</f>
        <v>0.9947</v>
      </c>
      <c r="C560" t="str">
        <f>"0.9954"</f>
        <v>0.9954</v>
      </c>
    </row>
    <row r="561" spans="1:3" x14ac:dyDescent="0.25">
      <c r="A561" t="str">
        <f>"16/09/2011"</f>
        <v>16/09/2011</v>
      </c>
      <c r="B561" t="str">
        <f>"0.9835"</f>
        <v>0.9835</v>
      </c>
      <c r="C561" t="str">
        <f>"0.9842"</f>
        <v>0.9842</v>
      </c>
    </row>
    <row r="562" spans="1:3" x14ac:dyDescent="0.25">
      <c r="A562" t="str">
        <f>"19/09/2011"</f>
        <v>19/09/2011</v>
      </c>
      <c r="B562" t="str">
        <f>"0.9842"</f>
        <v>0.9842</v>
      </c>
      <c r="C562" t="str">
        <f>"0.9849"</f>
        <v>0.9849</v>
      </c>
    </row>
    <row r="563" spans="1:3" x14ac:dyDescent="0.25">
      <c r="A563" t="str">
        <f>"20/09/2011"</f>
        <v>20/09/2011</v>
      </c>
      <c r="B563" t="str">
        <f>"0.9929"</f>
        <v>0.9929</v>
      </c>
      <c r="C563" t="str">
        <f>"0.9936"</f>
        <v>0.9936</v>
      </c>
    </row>
    <row r="564" spans="1:3" x14ac:dyDescent="0.25">
      <c r="A564" t="str">
        <f>"21/09/2011"</f>
        <v>21/09/2011</v>
      </c>
      <c r="B564" t="str">
        <f>"0.9932"</f>
        <v>0.9932</v>
      </c>
      <c r="C564" t="str">
        <f>"0.9939"</f>
        <v>0.9939</v>
      </c>
    </row>
    <row r="565" spans="1:3" x14ac:dyDescent="0.25">
      <c r="A565" t="str">
        <f>"22/09/2011"</f>
        <v>22/09/2011</v>
      </c>
      <c r="B565" t="str">
        <f>"1.012"</f>
        <v>1.012</v>
      </c>
      <c r="C565" t="str">
        <f>"1.0127"</f>
        <v>1.0127</v>
      </c>
    </row>
    <row r="566" spans="1:3" x14ac:dyDescent="0.25">
      <c r="A566" t="str">
        <f>"23/09/2011"</f>
        <v>23/09/2011</v>
      </c>
      <c r="B566" t="str">
        <f>"1.0269"</f>
        <v>1.0269</v>
      </c>
      <c r="C566" t="str">
        <f>"1.0276"</f>
        <v>1.0276</v>
      </c>
    </row>
    <row r="567" spans="1:3" x14ac:dyDescent="0.25">
      <c r="A567" t="str">
        <f>"26/09/2011"</f>
        <v>26/09/2011</v>
      </c>
      <c r="B567" t="str">
        <f>"1.0352"</f>
        <v>1.0352</v>
      </c>
      <c r="C567" t="str">
        <f>"1.0359"</f>
        <v>1.0359</v>
      </c>
    </row>
    <row r="568" spans="1:3" x14ac:dyDescent="0.25">
      <c r="A568" t="str">
        <f>"27/09/2011"</f>
        <v>27/09/2011</v>
      </c>
      <c r="B568" t="str">
        <f>"1.0245"</f>
        <v>1.0245</v>
      </c>
      <c r="C568" t="str">
        <f>"1.0252"</f>
        <v>1.0252</v>
      </c>
    </row>
    <row r="569" spans="1:3" x14ac:dyDescent="0.25">
      <c r="A569" t="str">
        <f>"28/09/2011"</f>
        <v>28/09/2011</v>
      </c>
      <c r="B569" t="str">
        <f>"1.0251"</f>
        <v>1.0251</v>
      </c>
      <c r="C569" t="str">
        <f>"1.0259"</f>
        <v>1.0259</v>
      </c>
    </row>
    <row r="570" spans="1:3" x14ac:dyDescent="0.25">
      <c r="A570" t="str">
        <f>"29/09/2011"</f>
        <v>29/09/2011</v>
      </c>
      <c r="B570" t="str">
        <f>"1.0311"</f>
        <v>1.0311</v>
      </c>
      <c r="C570" t="str">
        <f>"1.0319"</f>
        <v>1.0319</v>
      </c>
    </row>
    <row r="571" spans="1:3" x14ac:dyDescent="0.25">
      <c r="A571" t="str">
        <f>"30/09/2011"</f>
        <v>30/09/2011</v>
      </c>
      <c r="B571" t="str">
        <f>"1.04"</f>
        <v>1.04</v>
      </c>
      <c r="C571" t="str">
        <f>"1.0408"</f>
        <v>1.0408</v>
      </c>
    </row>
    <row r="572" spans="1:3" x14ac:dyDescent="0.25">
      <c r="A572" t="str">
        <f>"03/10/2011"</f>
        <v>03/10/2011</v>
      </c>
      <c r="B572" t="str">
        <f>"1.0516"</f>
        <v>1.0516</v>
      </c>
      <c r="C572" t="str">
        <f>"1.0524"</f>
        <v>1.0524</v>
      </c>
    </row>
    <row r="573" spans="1:3" x14ac:dyDescent="0.25">
      <c r="A573" t="str">
        <f>"04/10/2011"</f>
        <v>04/10/2011</v>
      </c>
      <c r="B573" t="str">
        <f>"1.0536"</f>
        <v>1.0536</v>
      </c>
      <c r="C573" t="str">
        <f>"1.0544"</f>
        <v>1.0544</v>
      </c>
    </row>
    <row r="574" spans="1:3" x14ac:dyDescent="0.25">
      <c r="A574" t="str">
        <f>"05/10/2011"</f>
        <v>05/10/2011</v>
      </c>
      <c r="B574" t="str">
        <f>"1.0541"</f>
        <v>1.0541</v>
      </c>
      <c r="C574" t="str">
        <f>"1.055"</f>
        <v>1.055</v>
      </c>
    </row>
    <row r="575" spans="1:3" x14ac:dyDescent="0.25">
      <c r="A575" t="str">
        <f>"07/10/2011"</f>
        <v>07/10/2011</v>
      </c>
      <c r="B575" t="str">
        <f>"1.0383"</f>
        <v>1.0383</v>
      </c>
      <c r="C575" t="str">
        <f>"1.0392"</f>
        <v>1.0392</v>
      </c>
    </row>
    <row r="576" spans="1:3" x14ac:dyDescent="0.25">
      <c r="A576" t="str">
        <f>"10/10/2011"</f>
        <v>10/10/2011</v>
      </c>
      <c r="B576" t="str">
        <f>"1.0337"</f>
        <v>1.0337</v>
      </c>
      <c r="C576" t="str">
        <f>"1.0346"</f>
        <v>1.0346</v>
      </c>
    </row>
    <row r="577" spans="1:3" x14ac:dyDescent="0.25">
      <c r="A577" t="str">
        <f>"11/10/2011"</f>
        <v>11/10/2011</v>
      </c>
      <c r="B577" t="str">
        <f>"1.0295"</f>
        <v>1.0295</v>
      </c>
      <c r="C577" t="str">
        <f>"1.0303"</f>
        <v>1.0303</v>
      </c>
    </row>
    <row r="578" spans="1:3" x14ac:dyDescent="0.25">
      <c r="A578" t="str">
        <f>"12/10/2011"</f>
        <v>12/10/2011</v>
      </c>
      <c r="B578" t="str">
        <f>"1.0285"</f>
        <v>1.0285</v>
      </c>
      <c r="C578" t="str">
        <f>"1.0294"</f>
        <v>1.0294</v>
      </c>
    </row>
    <row r="579" spans="1:3" x14ac:dyDescent="0.25">
      <c r="A579" t="str">
        <f>"13/10/2011"</f>
        <v>13/10/2011</v>
      </c>
      <c r="B579" t="str">
        <f>"1.0179"</f>
        <v>1.0179</v>
      </c>
      <c r="C579" t="str">
        <f>"1.0187"</f>
        <v>1.0187</v>
      </c>
    </row>
    <row r="580" spans="1:3" x14ac:dyDescent="0.25">
      <c r="A580" t="str">
        <f>"14/10/2011"</f>
        <v>14/10/2011</v>
      </c>
      <c r="B580" t="str">
        <f>"1.0215"</f>
        <v>1.0215</v>
      </c>
      <c r="C580" t="str">
        <f>"1.0223"</f>
        <v>1.0223</v>
      </c>
    </row>
    <row r="581" spans="1:3" x14ac:dyDescent="0.25">
      <c r="A581" t="str">
        <f>"17/10/2011"</f>
        <v>17/10/2011</v>
      </c>
      <c r="B581" t="str">
        <f>"1.009"</f>
        <v>1.009</v>
      </c>
      <c r="C581" t="str">
        <f>"1.0098"</f>
        <v>1.0098</v>
      </c>
    </row>
    <row r="582" spans="1:3" x14ac:dyDescent="0.25">
      <c r="A582" t="str">
        <f>"18/10/2011"</f>
        <v>18/10/2011</v>
      </c>
      <c r="B582" t="str">
        <f>"1.0215"</f>
        <v>1.0215</v>
      </c>
      <c r="C582" t="str">
        <f>"1.0223"</f>
        <v>1.0223</v>
      </c>
    </row>
    <row r="583" spans="1:3" x14ac:dyDescent="0.25">
      <c r="A583" t="str">
        <f>"19/10/2011"</f>
        <v>19/10/2011</v>
      </c>
      <c r="B583" t="str">
        <f>"1.0118"</f>
        <v>1.0118</v>
      </c>
      <c r="C583" t="str">
        <f>"1.0126"</f>
        <v>1.0126</v>
      </c>
    </row>
    <row r="584" spans="1:3" x14ac:dyDescent="0.25">
      <c r="A584" t="str">
        <f>"20/10/2011"</f>
        <v>20/10/2011</v>
      </c>
      <c r="B584" t="str">
        <f>"1.0232"</f>
        <v>1.0232</v>
      </c>
      <c r="C584" t="str">
        <f>"1.024"</f>
        <v>1.024</v>
      </c>
    </row>
    <row r="585" spans="1:3" x14ac:dyDescent="0.25">
      <c r="A585" t="str">
        <f>"21/10/2011"</f>
        <v>21/10/2011</v>
      </c>
      <c r="B585" t="str">
        <f>"1.0161"</f>
        <v>1.0161</v>
      </c>
      <c r="C585" t="str">
        <f>"1.0169"</f>
        <v>1.0169</v>
      </c>
    </row>
    <row r="586" spans="1:3" x14ac:dyDescent="0.25">
      <c r="A586" t="str">
        <f>"24/10/2011"</f>
        <v>24/10/2011</v>
      </c>
      <c r="B586" t="str">
        <f>"1.0061"</f>
        <v>1.0061</v>
      </c>
      <c r="C586" t="str">
        <f>"1.0069"</f>
        <v>1.0069</v>
      </c>
    </row>
    <row r="587" spans="1:3" x14ac:dyDescent="0.25">
      <c r="A587" t="str">
        <f>"25/10/2011"</f>
        <v>25/10/2011</v>
      </c>
      <c r="B587" t="str">
        <f>"1.0022"</f>
        <v>1.0022</v>
      </c>
      <c r="C587" t="str">
        <f>"1.003"</f>
        <v>1.003</v>
      </c>
    </row>
    <row r="588" spans="1:3" x14ac:dyDescent="0.25">
      <c r="A588" t="str">
        <f>"28/10/2011"</f>
        <v>28/10/2011</v>
      </c>
      <c r="B588" t="str">
        <f>"0.993"</f>
        <v>0.993</v>
      </c>
      <c r="C588" t="str">
        <f>"0.9937"</f>
        <v>0.9937</v>
      </c>
    </row>
    <row r="589" spans="1:3" x14ac:dyDescent="0.25">
      <c r="A589" t="str">
        <f>"31/10/2011"</f>
        <v>31/10/2011</v>
      </c>
      <c r="B589" t="str">
        <f>"1.0015"</f>
        <v>1.0015</v>
      </c>
      <c r="C589" t="str">
        <f>"1.0022"</f>
        <v>1.0022</v>
      </c>
    </row>
    <row r="590" spans="1:3" x14ac:dyDescent="0.25">
      <c r="A590" t="str">
        <f>"01/11/2011"</f>
        <v>01/11/2011</v>
      </c>
      <c r="B590" t="str">
        <f>"1.001"</f>
        <v>1.001</v>
      </c>
      <c r="C590" t="str">
        <f>"1.0017"</f>
        <v>1.0017</v>
      </c>
    </row>
    <row r="591" spans="1:3" x14ac:dyDescent="0.25">
      <c r="A591" t="str">
        <f>"02/11/2011"</f>
        <v>02/11/2011</v>
      </c>
      <c r="B591" t="str">
        <f>"1.019"</f>
        <v>1.019</v>
      </c>
      <c r="C591" t="str">
        <f>"1.0197"</f>
        <v>1.0197</v>
      </c>
    </row>
    <row r="592" spans="1:3" x14ac:dyDescent="0.25">
      <c r="A592" t="str">
        <f>"03/11/2011"</f>
        <v>03/11/2011</v>
      </c>
      <c r="B592" t="str">
        <f>"1.0183"</f>
        <v>1.0183</v>
      </c>
      <c r="C592" t="str">
        <f>"1.019"</f>
        <v>1.019</v>
      </c>
    </row>
    <row r="593" spans="1:3" x14ac:dyDescent="0.25">
      <c r="A593" t="str">
        <f>"04/11/2011"</f>
        <v>04/11/2011</v>
      </c>
      <c r="B593" t="str">
        <f>"1.0114"</f>
        <v>1.0114</v>
      </c>
      <c r="C593" t="str">
        <f>"1.0121"</f>
        <v>1.0121</v>
      </c>
    </row>
    <row r="594" spans="1:3" x14ac:dyDescent="0.25">
      <c r="A594" t="str">
        <f>"08/11/2011"</f>
        <v>08/11/2011</v>
      </c>
      <c r="B594" t="str">
        <f>"1.0155"</f>
        <v>1.0155</v>
      </c>
      <c r="C594" t="str">
        <f>"1.0162"</f>
        <v>1.0162</v>
      </c>
    </row>
    <row r="595" spans="1:3" x14ac:dyDescent="0.25">
      <c r="A595" t="str">
        <f>"09/11/2011"</f>
        <v>09/11/2011</v>
      </c>
      <c r="B595" t="str">
        <f>"1.0104"</f>
        <v>1.0104</v>
      </c>
      <c r="C595" t="str">
        <f>"1.0111"</f>
        <v>1.0111</v>
      </c>
    </row>
    <row r="596" spans="1:3" x14ac:dyDescent="0.25">
      <c r="A596" t="str">
        <f>"11/11/2011"</f>
        <v>11/11/2011</v>
      </c>
      <c r="B596" t="str">
        <f>"1.0193"</f>
        <v>1.0193</v>
      </c>
      <c r="C596" t="str">
        <f>"1.02"</f>
        <v>1.02</v>
      </c>
    </row>
    <row r="597" spans="1:3" x14ac:dyDescent="0.25">
      <c r="A597" t="str">
        <f>"14/11/2011"</f>
        <v>14/11/2011</v>
      </c>
      <c r="B597" t="str">
        <f>"1.0147"</f>
        <v>1.0147</v>
      </c>
      <c r="C597" t="str">
        <f>"1.0154"</f>
        <v>1.0154</v>
      </c>
    </row>
    <row r="598" spans="1:3" x14ac:dyDescent="0.25">
      <c r="A598" t="str">
        <f>"15/11/2011"</f>
        <v>15/11/2011</v>
      </c>
      <c r="B598" t="str">
        <f>"1.0192"</f>
        <v>1.0192</v>
      </c>
      <c r="C598" t="str">
        <f>"1.0199"</f>
        <v>1.0199</v>
      </c>
    </row>
    <row r="599" spans="1:3" x14ac:dyDescent="0.25">
      <c r="A599" t="str">
        <f>"16/11/2011"</f>
        <v>16/11/2011</v>
      </c>
      <c r="B599" t="str">
        <f>"1.0267"</f>
        <v>1.0267</v>
      </c>
      <c r="C599" t="str">
        <f>"1.0274"</f>
        <v>1.0274</v>
      </c>
    </row>
    <row r="600" spans="1:3" x14ac:dyDescent="0.25">
      <c r="A600" t="str">
        <f>"17/11/2011"</f>
        <v>17/11/2011</v>
      </c>
      <c r="B600" t="str">
        <f>"1.0236"</f>
        <v>1.0236</v>
      </c>
      <c r="C600" t="str">
        <f>"1.0243"</f>
        <v>1.0243</v>
      </c>
    </row>
    <row r="601" spans="1:3" x14ac:dyDescent="0.25">
      <c r="A601" t="str">
        <f>"18/11/2011"</f>
        <v>18/11/2011</v>
      </c>
      <c r="B601" t="str">
        <f>"1.0289"</f>
        <v>1.0289</v>
      </c>
      <c r="C601" t="str">
        <f>"1.0296"</f>
        <v>1.0296</v>
      </c>
    </row>
    <row r="602" spans="1:3" x14ac:dyDescent="0.25">
      <c r="A602" t="str">
        <f>"21/11/2011"</f>
        <v>21/11/2011</v>
      </c>
      <c r="B602" t="str">
        <f>"1.0289"</f>
        <v>1.0289</v>
      </c>
      <c r="C602" t="str">
        <f>"1.0297"</f>
        <v>1.0297</v>
      </c>
    </row>
    <row r="603" spans="1:3" x14ac:dyDescent="0.25">
      <c r="A603" t="str">
        <f>"22/11/2011"</f>
        <v>22/11/2011</v>
      </c>
      <c r="B603" t="str">
        <f>"1.0394"</f>
        <v>1.0394</v>
      </c>
      <c r="C603" t="str">
        <f>"1.0401"</f>
        <v>1.0401</v>
      </c>
    </row>
    <row r="604" spans="1:3" x14ac:dyDescent="0.25">
      <c r="A604" t="str">
        <f>"23/11/2011"</f>
        <v>23/11/2011</v>
      </c>
      <c r="B604" t="str">
        <f>"1.0413"</f>
        <v>1.0413</v>
      </c>
      <c r="C604" t="str">
        <f>"1.0421"</f>
        <v>1.0421</v>
      </c>
    </row>
    <row r="605" spans="1:3" x14ac:dyDescent="0.25">
      <c r="A605" t="str">
        <f>"24/11/2011"</f>
        <v>24/11/2011</v>
      </c>
      <c r="B605" t="str">
        <f>"1.0443"</f>
        <v>1.0443</v>
      </c>
      <c r="C605" t="str">
        <f>"1.0451"</f>
        <v>1.0451</v>
      </c>
    </row>
    <row r="606" spans="1:3" x14ac:dyDescent="0.25">
      <c r="A606" t="str">
        <f>"25/11/2011"</f>
        <v>25/11/2011</v>
      </c>
      <c r="B606" t="str">
        <f>"1.0515"</f>
        <v>1.0515</v>
      </c>
      <c r="C606" t="str">
        <f>"1.0523"</f>
        <v>1.0523</v>
      </c>
    </row>
    <row r="607" spans="1:3" x14ac:dyDescent="0.25">
      <c r="A607" t="str">
        <f>"28/11/2011"</f>
        <v>28/11/2011</v>
      </c>
      <c r="B607" t="str">
        <f>"1.033"</f>
        <v>1.033</v>
      </c>
      <c r="C607" t="str">
        <f>"1.0338"</f>
        <v>1.0338</v>
      </c>
    </row>
    <row r="608" spans="1:3" x14ac:dyDescent="0.25">
      <c r="A608" t="str">
        <f>"29/11/2011"</f>
        <v>29/11/2011</v>
      </c>
      <c r="B608" t="str">
        <f>"1.0294"</f>
        <v>1.0294</v>
      </c>
      <c r="C608" t="str">
        <f>"1.0302"</f>
        <v>1.0302</v>
      </c>
    </row>
    <row r="609" spans="1:3" x14ac:dyDescent="0.25">
      <c r="A609" t="str">
        <f>"30/11/2011"</f>
        <v>30/11/2011</v>
      </c>
      <c r="B609" t="str">
        <f>"1.0329"</f>
        <v>1.0329</v>
      </c>
      <c r="C609" t="str">
        <f>"1.0337"</f>
        <v>1.0337</v>
      </c>
    </row>
    <row r="610" spans="1:3" x14ac:dyDescent="0.25">
      <c r="A610" t="str">
        <f>"01/12/2011"</f>
        <v>01/12/2011</v>
      </c>
      <c r="B610" t="str">
        <f>"1.019"</f>
        <v>1.019</v>
      </c>
      <c r="C610" t="str">
        <f>"1.0198"</f>
        <v>1.0198</v>
      </c>
    </row>
    <row r="611" spans="1:3" x14ac:dyDescent="0.25">
      <c r="A611" t="str">
        <f>"02/12/2011"</f>
        <v>02/12/2011</v>
      </c>
      <c r="B611" t="str">
        <f>"1.012"</f>
        <v>1.012</v>
      </c>
      <c r="C611" t="str">
        <f>"1.0128"</f>
        <v>1.0128</v>
      </c>
    </row>
    <row r="612" spans="1:3" x14ac:dyDescent="0.25">
      <c r="A612" t="str">
        <f>"05/12/2011"</f>
        <v>05/12/2011</v>
      </c>
      <c r="B612" t="str">
        <f>"1.0162"</f>
        <v>1.0162</v>
      </c>
      <c r="C612" t="str">
        <f>"1.0169"</f>
        <v>1.0169</v>
      </c>
    </row>
    <row r="613" spans="1:3" x14ac:dyDescent="0.25">
      <c r="A613" t="str">
        <f>"07/12/2011"</f>
        <v>07/12/2011</v>
      </c>
      <c r="B613" t="str">
        <f>"1.0097"</f>
        <v>1.0097</v>
      </c>
      <c r="C613" t="str">
        <f>"1.0105"</f>
        <v>1.0105</v>
      </c>
    </row>
    <row r="614" spans="1:3" x14ac:dyDescent="0.25">
      <c r="A614" t="str">
        <f>"08/12/2011"</f>
        <v>08/12/2011</v>
      </c>
      <c r="B614" t="str">
        <f>"1.0091"</f>
        <v>1.0091</v>
      </c>
      <c r="C614" t="str">
        <f>"1.0098"</f>
        <v>1.0098</v>
      </c>
    </row>
    <row r="615" spans="1:3" x14ac:dyDescent="0.25">
      <c r="A615" t="str">
        <f>"09/12/2011"</f>
        <v>09/12/2011</v>
      </c>
      <c r="B615" t="str">
        <f>"1.0231"</f>
        <v>1.0231</v>
      </c>
      <c r="C615" t="str">
        <f>"1.0239"</f>
        <v>1.0239</v>
      </c>
    </row>
    <row r="616" spans="1:3" x14ac:dyDescent="0.25">
      <c r="A616" t="str">
        <f>"12/12/2011"</f>
        <v>12/12/2011</v>
      </c>
      <c r="B616" t="str">
        <f>"1.0245"</f>
        <v>1.0245</v>
      </c>
      <c r="C616" t="str">
        <f>"1.0253"</f>
        <v>1.0253</v>
      </c>
    </row>
    <row r="617" spans="1:3" x14ac:dyDescent="0.25">
      <c r="A617" t="str">
        <f>"13/12/2011"</f>
        <v>13/12/2011</v>
      </c>
      <c r="B617" t="str">
        <f>"1.0268"</f>
        <v>1.0268</v>
      </c>
      <c r="C617" t="str">
        <f>"1.0276"</f>
        <v>1.0276</v>
      </c>
    </row>
    <row r="618" spans="1:3" x14ac:dyDescent="0.25">
      <c r="A618" t="str">
        <f>"14/12/2011"</f>
        <v>14/12/2011</v>
      </c>
      <c r="B618" t="str">
        <f>"1.0347"</f>
        <v>1.0347</v>
      </c>
      <c r="C618" t="str">
        <f>"1.0355"</f>
        <v>1.0355</v>
      </c>
    </row>
    <row r="619" spans="1:3" x14ac:dyDescent="0.25">
      <c r="A619" t="str">
        <f>"15/12/2011"</f>
        <v>15/12/2011</v>
      </c>
      <c r="B619" t="str">
        <f>"1.0384"</f>
        <v>1.0384</v>
      </c>
      <c r="C619" t="str">
        <f>"1.0391"</f>
        <v>1.0391</v>
      </c>
    </row>
    <row r="620" spans="1:3" x14ac:dyDescent="0.25">
      <c r="A620" t="str">
        <f>"16/12/2011"</f>
        <v>16/12/2011</v>
      </c>
      <c r="B620" t="str">
        <f>"1.0315"</f>
        <v>1.0315</v>
      </c>
      <c r="C620" t="str">
        <f>"1.0322"</f>
        <v>1.0322</v>
      </c>
    </row>
    <row r="621" spans="1:3" x14ac:dyDescent="0.25">
      <c r="A621" t="str">
        <f>"19/12/2011"</f>
        <v>19/12/2011</v>
      </c>
      <c r="B621" t="str">
        <f>"1.0358"</f>
        <v>1.0358</v>
      </c>
      <c r="C621" t="str">
        <f>"1.0365"</f>
        <v>1.0365</v>
      </c>
    </row>
    <row r="622" spans="1:3" x14ac:dyDescent="0.25">
      <c r="A622" t="str">
        <f>"20/12/2011"</f>
        <v>20/12/2011</v>
      </c>
      <c r="B622" t="str">
        <f>"1.0329"</f>
        <v>1.0329</v>
      </c>
      <c r="C622" t="str">
        <f>"1.0337"</f>
        <v>1.0337</v>
      </c>
    </row>
    <row r="623" spans="1:3" x14ac:dyDescent="0.25">
      <c r="A623" t="str">
        <f>"21/12/2011"</f>
        <v>21/12/2011</v>
      </c>
      <c r="B623" t="str">
        <f>"1.0267"</f>
        <v>1.0267</v>
      </c>
      <c r="C623" t="str">
        <f>"1.0274"</f>
        <v>1.0274</v>
      </c>
    </row>
    <row r="624" spans="1:3" x14ac:dyDescent="0.25">
      <c r="A624" t="str">
        <f>"22/12/2011"</f>
        <v>22/12/2011</v>
      </c>
      <c r="B624" t="str">
        <f>"1.0261"</f>
        <v>1.0261</v>
      </c>
      <c r="C624" t="str">
        <f>"1.0268"</f>
        <v>1.0268</v>
      </c>
    </row>
    <row r="625" spans="1:3" x14ac:dyDescent="0.25">
      <c r="A625" t="str">
        <f>"23/12/2011"</f>
        <v>23/12/2011</v>
      </c>
      <c r="B625" t="str">
        <f>"1.0192"</f>
        <v>1.0192</v>
      </c>
      <c r="C625" t="str">
        <f>"1.0199"</f>
        <v>1.0199</v>
      </c>
    </row>
    <row r="626" spans="1:3" x14ac:dyDescent="0.25">
      <c r="A626" t="str">
        <f>"26/12/2011"</f>
        <v>26/12/2011</v>
      </c>
      <c r="B626" t="str">
        <f>"1.0191"</f>
        <v>1.0191</v>
      </c>
      <c r="C626" t="str">
        <f>"1.0198"</f>
        <v>1.0198</v>
      </c>
    </row>
    <row r="627" spans="1:3" x14ac:dyDescent="0.25">
      <c r="A627" t="str">
        <f>"27/12/2011"</f>
        <v>27/12/2011</v>
      </c>
      <c r="B627" t="str">
        <f>"1.0211"</f>
        <v>1.0211</v>
      </c>
      <c r="C627" t="str">
        <f>"1.0218"</f>
        <v>1.0218</v>
      </c>
    </row>
    <row r="628" spans="1:3" x14ac:dyDescent="0.25">
      <c r="A628" t="str">
        <f>"28/12/2011"</f>
        <v>28/12/2011</v>
      </c>
      <c r="B628" t="str">
        <f>"1.0204"</f>
        <v>1.0204</v>
      </c>
      <c r="C628" t="str">
        <f>"1.0211"</f>
        <v>1.0211</v>
      </c>
    </row>
    <row r="629" spans="1:3" x14ac:dyDescent="0.25">
      <c r="A629" t="str">
        <f>"29/12/2011"</f>
        <v>29/12/2011</v>
      </c>
      <c r="B629" t="str">
        <f>"1.0231"</f>
        <v>1.0231</v>
      </c>
      <c r="C629" t="str">
        <f>"1.0238"</f>
        <v>1.0238</v>
      </c>
    </row>
    <row r="630" spans="1:3" x14ac:dyDescent="0.25">
      <c r="A630" t="str">
        <f>"30/12/2011"</f>
        <v>30/12/2011</v>
      </c>
      <c r="B630" t="str">
        <f>"1.0204"</f>
        <v>1.0204</v>
      </c>
      <c r="C630" t="str">
        <f>"1.0211"</f>
        <v>1.0211</v>
      </c>
    </row>
    <row r="631" spans="1:3" x14ac:dyDescent="0.25">
      <c r="A631" t="str">
        <f>"02/01/2012"</f>
        <v>02/01/2012</v>
      </c>
      <c r="B631" t="str">
        <f>"1.0203"</f>
        <v>1.0203</v>
      </c>
      <c r="C631" t="str">
        <f>"1.021"</f>
        <v>1.021</v>
      </c>
    </row>
    <row r="632" spans="1:3" x14ac:dyDescent="0.25">
      <c r="A632" t="str">
        <f>"03/01/2012"</f>
        <v>03/01/2012</v>
      </c>
      <c r="B632" t="str">
        <f>"1.0159"</f>
        <v>1.0159</v>
      </c>
      <c r="C632" t="str">
        <f>"1.0166"</f>
        <v>1.0166</v>
      </c>
    </row>
    <row r="633" spans="1:3" x14ac:dyDescent="0.25">
      <c r="A633" t="str">
        <f>"04/01/2012"</f>
        <v>04/01/2012</v>
      </c>
      <c r="B633" t="str">
        <f>"1.0128"</f>
        <v>1.0128</v>
      </c>
      <c r="C633" t="str">
        <f>"1.0136"</f>
        <v>1.0136</v>
      </c>
    </row>
    <row r="634" spans="1:3" x14ac:dyDescent="0.25">
      <c r="A634" t="str">
        <f>"05/01/2012"</f>
        <v>05/01/2012</v>
      </c>
      <c r="B634" t="str">
        <f>"1.014"</f>
        <v>1.014</v>
      </c>
      <c r="C634" t="str">
        <f>"1.0148"</f>
        <v>1.0148</v>
      </c>
    </row>
    <row r="635" spans="1:3" x14ac:dyDescent="0.25">
      <c r="A635" t="str">
        <f>"06/01/2012"</f>
        <v>06/01/2012</v>
      </c>
      <c r="B635" t="str">
        <f>"1.0191"</f>
        <v>1.0191</v>
      </c>
      <c r="C635" t="str">
        <f>"1.0198"</f>
        <v>1.0198</v>
      </c>
    </row>
    <row r="636" spans="1:3" x14ac:dyDescent="0.25">
      <c r="A636" t="str">
        <f>"09/01/2012"</f>
        <v>09/01/2012</v>
      </c>
      <c r="B636" t="str">
        <f>"1.031"</f>
        <v>1.031</v>
      </c>
      <c r="C636" t="str">
        <f>"1.0317"</f>
        <v>1.0317</v>
      </c>
    </row>
    <row r="637" spans="1:3" x14ac:dyDescent="0.25">
      <c r="A637" t="str">
        <f>"10/01/2012"</f>
        <v>10/01/2012</v>
      </c>
      <c r="B637" t="str">
        <f>"1.0187"</f>
        <v>1.0187</v>
      </c>
      <c r="C637" t="str">
        <f>"1.0194"</f>
        <v>1.0194</v>
      </c>
    </row>
    <row r="638" spans="1:3" x14ac:dyDescent="0.25">
      <c r="A638" t="str">
        <f>"11/01/2012"</f>
        <v>11/01/2012</v>
      </c>
      <c r="B638" t="str">
        <f>"1.0153"</f>
        <v>1.0153</v>
      </c>
      <c r="C638" t="str">
        <f>"1.016"</f>
        <v>1.016</v>
      </c>
    </row>
    <row r="639" spans="1:3" x14ac:dyDescent="0.25">
      <c r="A639" t="str">
        <f>"12/01/2012"</f>
        <v>12/01/2012</v>
      </c>
      <c r="B639" t="str">
        <f>"1.0187"</f>
        <v>1.0187</v>
      </c>
      <c r="C639" t="str">
        <f>"1.0194"</f>
        <v>1.0194</v>
      </c>
    </row>
    <row r="640" spans="1:3" x14ac:dyDescent="0.25">
      <c r="A640" t="str">
        <f>"13/01/2012"</f>
        <v>13/01/2012</v>
      </c>
      <c r="B640" t="str">
        <f>"1.0188"</f>
        <v>1.0188</v>
      </c>
      <c r="C640" t="str">
        <f>"1.0195"</f>
        <v>1.0195</v>
      </c>
    </row>
    <row r="641" spans="1:3" x14ac:dyDescent="0.25">
      <c r="A641" t="str">
        <f>"16/01/2012"</f>
        <v>16/01/2012</v>
      </c>
      <c r="B641" t="str">
        <f>"1.021"</f>
        <v>1.021</v>
      </c>
      <c r="C641" t="str">
        <f>"1.0217"</f>
        <v>1.0217</v>
      </c>
    </row>
    <row r="642" spans="1:3" x14ac:dyDescent="0.25">
      <c r="A642" t="str">
        <f>"17/01/2012"</f>
        <v>17/01/2012</v>
      </c>
      <c r="B642" t="str">
        <f>"1.0146"</f>
        <v>1.0146</v>
      </c>
      <c r="C642" t="str">
        <f>"1.0153"</f>
        <v>1.0153</v>
      </c>
    </row>
    <row r="643" spans="1:3" x14ac:dyDescent="0.25">
      <c r="A643" t="str">
        <f>"18/01/2012"</f>
        <v>18/01/2012</v>
      </c>
      <c r="B643" t="str">
        <f>"1.016"</f>
        <v>1.016</v>
      </c>
      <c r="C643" t="str">
        <f>"1.0167"</f>
        <v>1.0167</v>
      </c>
    </row>
    <row r="644" spans="1:3" x14ac:dyDescent="0.25">
      <c r="A644" t="str">
        <f>"19/01/2012"</f>
        <v>19/01/2012</v>
      </c>
      <c r="B644" t="str">
        <f>"1.0092"</f>
        <v>1.0092</v>
      </c>
      <c r="C644" t="str">
        <f>"1.0099"</f>
        <v>1.0099</v>
      </c>
    </row>
    <row r="645" spans="1:3" x14ac:dyDescent="0.25">
      <c r="A645" t="str">
        <f>"20/01/2012"</f>
        <v>20/01/2012</v>
      </c>
      <c r="B645" t="str">
        <f>"1.0135"</f>
        <v>1.0135</v>
      </c>
      <c r="C645" t="str">
        <f>"1.0142"</f>
        <v>1.0142</v>
      </c>
    </row>
    <row r="646" spans="1:3" x14ac:dyDescent="0.25">
      <c r="A646" t="str">
        <f>"23/01/2012"</f>
        <v>23/01/2012</v>
      </c>
      <c r="B646" t="str">
        <f>"1.0128"</f>
        <v>1.0128</v>
      </c>
      <c r="C646" t="str">
        <f>"1.0135"</f>
        <v>1.0135</v>
      </c>
    </row>
    <row r="647" spans="1:3" x14ac:dyDescent="0.25">
      <c r="A647" t="str">
        <f>"24/01/2012"</f>
        <v>24/01/2012</v>
      </c>
      <c r="B647" t="str">
        <f>"1.0117"</f>
        <v>1.0117</v>
      </c>
      <c r="C647" t="str">
        <f>"1.0124"</f>
        <v>1.0124</v>
      </c>
    </row>
    <row r="648" spans="1:3" x14ac:dyDescent="0.25">
      <c r="A648" t="str">
        <f>"25/01/2012"</f>
        <v>25/01/2012</v>
      </c>
      <c r="B648" t="str">
        <f>"1.0131"</f>
        <v>1.0131</v>
      </c>
      <c r="C648" t="str">
        <f>"1.0139"</f>
        <v>1.0139</v>
      </c>
    </row>
    <row r="649" spans="1:3" x14ac:dyDescent="0.25">
      <c r="A649" t="str">
        <f>"27/01/2012"</f>
        <v>27/01/2012</v>
      </c>
      <c r="B649" t="str">
        <f>"0.9999"</f>
        <v>0.9999</v>
      </c>
      <c r="C649" t="str">
        <f>"1.0006"</f>
        <v>1.0006</v>
      </c>
    </row>
    <row r="650" spans="1:3" x14ac:dyDescent="0.25">
      <c r="A650" t="str">
        <f>"30/01/2012"</f>
        <v>30/01/2012</v>
      </c>
      <c r="B650" t="str">
        <f>"1.0051"</f>
        <v>1.0051</v>
      </c>
      <c r="C650" t="str">
        <f>"1.0058"</f>
        <v>1.0058</v>
      </c>
    </row>
    <row r="651" spans="1:3" x14ac:dyDescent="0.25">
      <c r="A651" t="str">
        <f>"31/01/2012"</f>
        <v>31/01/2012</v>
      </c>
      <c r="B651" t="str">
        <f>"1.0006"</f>
        <v>1.0006</v>
      </c>
      <c r="C651" t="str">
        <f>"1.0012"</f>
        <v>1.0012</v>
      </c>
    </row>
    <row r="652" spans="1:3" x14ac:dyDescent="0.25">
      <c r="A652" t="str">
        <f>"01/02/2012"</f>
        <v>01/02/2012</v>
      </c>
      <c r="B652" t="str">
        <f>"1.0028"</f>
        <v>1.0028</v>
      </c>
      <c r="C652" t="str">
        <f>"1.0035"</f>
        <v>1.0035</v>
      </c>
    </row>
    <row r="653" spans="1:3" x14ac:dyDescent="0.25">
      <c r="A653" t="str">
        <f>"02/02/2012"</f>
        <v>02/02/2012</v>
      </c>
      <c r="B653" t="str">
        <f>"0.9975"</f>
        <v>0.9975</v>
      </c>
      <c r="C653" t="str">
        <f>"0.9982"</f>
        <v>0.9982</v>
      </c>
    </row>
    <row r="654" spans="1:3" x14ac:dyDescent="0.25">
      <c r="A654" t="str">
        <f>"03/02/2012"</f>
        <v>03/02/2012</v>
      </c>
      <c r="B654" t="str">
        <f>"0.9996"</f>
        <v>0.9996</v>
      </c>
      <c r="C654" t="str">
        <f>"1.0003"</f>
        <v>1.0003</v>
      </c>
    </row>
    <row r="655" spans="1:3" x14ac:dyDescent="0.25">
      <c r="A655" t="str">
        <f>"06/02/2012"</f>
        <v>06/02/2012</v>
      </c>
      <c r="B655" t="str">
        <f>"0.9949"</f>
        <v>0.9949</v>
      </c>
      <c r="C655" t="str">
        <f>"0.9956"</f>
        <v>0.9956</v>
      </c>
    </row>
    <row r="656" spans="1:3" x14ac:dyDescent="0.25">
      <c r="A656" t="str">
        <f>"07/02/2012"</f>
        <v>07/02/2012</v>
      </c>
      <c r="B656" t="str">
        <f>"0.997"</f>
        <v>0.997</v>
      </c>
      <c r="C656" t="str">
        <f>"0.9977"</f>
        <v>0.9977</v>
      </c>
    </row>
    <row r="657" spans="1:3" x14ac:dyDescent="0.25">
      <c r="A657" t="str">
        <f>"08/02/2012"</f>
        <v>08/02/2012</v>
      </c>
      <c r="B657" t="str">
        <f>"0.9959"</f>
        <v>0.9959</v>
      </c>
      <c r="C657" t="str">
        <f>"0.9965"</f>
        <v>0.9965</v>
      </c>
    </row>
    <row r="658" spans="1:3" x14ac:dyDescent="0.25">
      <c r="A658" t="str">
        <f>"09/02/2012"</f>
        <v>09/02/2012</v>
      </c>
      <c r="B658" t="str">
        <f>"0.9965"</f>
        <v>0.9965</v>
      </c>
      <c r="C658" t="str">
        <f>"0.9973"</f>
        <v>0.9973</v>
      </c>
    </row>
    <row r="659" spans="1:3" x14ac:dyDescent="0.25">
      <c r="A659" t="str">
        <f>"10/02/2012"</f>
        <v>10/02/2012</v>
      </c>
      <c r="B659" t="str">
        <f>"0.9966"</f>
        <v>0.9966</v>
      </c>
      <c r="C659" t="str">
        <f>"0.9973"</f>
        <v>0.9973</v>
      </c>
    </row>
    <row r="660" spans="1:3" x14ac:dyDescent="0.25">
      <c r="A660" t="str">
        <f>"13/02/2012"</f>
        <v>13/02/2012</v>
      </c>
      <c r="B660" t="str">
        <f>"0.999"</f>
        <v>0.999</v>
      </c>
      <c r="C660" t="str">
        <f>"0.9997"</f>
        <v>0.9997</v>
      </c>
    </row>
    <row r="661" spans="1:3" x14ac:dyDescent="0.25">
      <c r="A661" t="str">
        <f>"14/02/2012"</f>
        <v>14/02/2012</v>
      </c>
      <c r="B661" t="str">
        <f>"1.0011"</f>
        <v>1.0011</v>
      </c>
      <c r="C661" t="str">
        <f>"1.0017"</f>
        <v>1.0017</v>
      </c>
    </row>
    <row r="662" spans="1:3" x14ac:dyDescent="0.25">
      <c r="A662" t="str">
        <f>"15/02/2012"</f>
        <v>15/02/2012</v>
      </c>
      <c r="B662" t="str">
        <f>"0.9964"</f>
        <v>0.9964</v>
      </c>
      <c r="C662" t="str">
        <f>"0.997"</f>
        <v>0.997</v>
      </c>
    </row>
    <row r="663" spans="1:3" x14ac:dyDescent="0.25">
      <c r="A663" t="str">
        <f>"16/02/2012"</f>
        <v>16/02/2012</v>
      </c>
      <c r="B663" t="str">
        <f>"1.0022"</f>
        <v>1.0022</v>
      </c>
      <c r="C663" t="str">
        <f>"1.0028"</f>
        <v>1.0028</v>
      </c>
    </row>
    <row r="664" spans="1:3" x14ac:dyDescent="0.25">
      <c r="A664" t="str">
        <f>"17/02/2012"</f>
        <v>17/02/2012</v>
      </c>
      <c r="B664" t="str">
        <f>"0.9964"</f>
        <v>0.9964</v>
      </c>
      <c r="C664" t="str">
        <f>"0.997"</f>
        <v>0.997</v>
      </c>
    </row>
    <row r="665" spans="1:3" x14ac:dyDescent="0.25">
      <c r="A665" t="str">
        <f>"21/02/2012"</f>
        <v>21/02/2012</v>
      </c>
      <c r="B665" t="str">
        <f>"0.9961"</f>
        <v>0.9961</v>
      </c>
      <c r="C665" t="str">
        <f>"0.9968"</f>
        <v>0.9968</v>
      </c>
    </row>
    <row r="666" spans="1:3" x14ac:dyDescent="0.25">
      <c r="A666" t="str">
        <f>"22/02/2012"</f>
        <v>22/02/2012</v>
      </c>
      <c r="B666" t="str">
        <f>"0.9963"</f>
        <v>0.9963</v>
      </c>
      <c r="C666" t="str">
        <f>"0.997"</f>
        <v>0.997</v>
      </c>
    </row>
    <row r="667" spans="1:3" x14ac:dyDescent="0.25">
      <c r="A667" t="str">
        <f>"23/02/2012"</f>
        <v>23/02/2012</v>
      </c>
      <c r="B667" t="str">
        <f>"0.9982"</f>
        <v>0.9982</v>
      </c>
      <c r="C667" t="str">
        <f>"0.9988"</f>
        <v>0.9988</v>
      </c>
    </row>
    <row r="668" spans="1:3" x14ac:dyDescent="0.25">
      <c r="A668" t="str">
        <f>"24/02/2012"</f>
        <v>24/02/2012</v>
      </c>
      <c r="B668" t="str">
        <f>"0.9975"</f>
        <v>0.9975</v>
      </c>
      <c r="C668" t="str">
        <f>"0.9981"</f>
        <v>0.9981</v>
      </c>
    </row>
    <row r="669" spans="1:3" x14ac:dyDescent="0.25">
      <c r="A669" t="str">
        <f>"27/02/2012"</f>
        <v>27/02/2012</v>
      </c>
      <c r="B669" t="str">
        <f>"1.0043"</f>
        <v>1.0043</v>
      </c>
      <c r="C669" t="str">
        <f>"1.0049"</f>
        <v>1.0049</v>
      </c>
    </row>
    <row r="670" spans="1:3" x14ac:dyDescent="0.25">
      <c r="A670" t="str">
        <f>"28/02/2012"</f>
        <v>28/02/2012</v>
      </c>
      <c r="B670" t="str">
        <f>"0.9968"</f>
        <v>0.9968</v>
      </c>
      <c r="C670" t="str">
        <f>"0.9974"</f>
        <v>0.9974</v>
      </c>
    </row>
    <row r="671" spans="1:3" x14ac:dyDescent="0.25">
      <c r="A671" t="str">
        <f t="shared" ref="A671" si="0">"29/02/2012"</f>
        <v>29/02/2012</v>
      </c>
      <c r="B671" t="str">
        <f>"0.9902"</f>
        <v>0.9902</v>
      </c>
      <c r="C671" t="str">
        <f>"0.9909"</f>
        <v>0.9909</v>
      </c>
    </row>
    <row r="672" spans="1:3" x14ac:dyDescent="0.25">
      <c r="A672" t="str">
        <f>"01/03/2012"</f>
        <v>01/03/2012</v>
      </c>
      <c r="B672" t="str">
        <f>"0.9876"</f>
        <v>0.9876</v>
      </c>
      <c r="C672" t="str">
        <f>"0.9883"</f>
        <v>0.9883</v>
      </c>
    </row>
    <row r="673" spans="1:3" x14ac:dyDescent="0.25">
      <c r="A673" t="str">
        <f>"02/03/2012"</f>
        <v>02/03/2012</v>
      </c>
      <c r="B673" t="str">
        <f>"0.9867"</f>
        <v>0.9867</v>
      </c>
      <c r="C673" t="str">
        <f>"0.9874"</f>
        <v>0.9874</v>
      </c>
    </row>
    <row r="674" spans="1:3" x14ac:dyDescent="0.25">
      <c r="A674" t="str">
        <f>"05/03/2012"</f>
        <v>05/03/2012</v>
      </c>
      <c r="B674" t="str">
        <f>"0.9935"</f>
        <v>0.9935</v>
      </c>
      <c r="C674" t="str">
        <f>"0.9942"</f>
        <v>0.9942</v>
      </c>
    </row>
    <row r="675" spans="1:3" x14ac:dyDescent="0.25">
      <c r="A675" t="str">
        <f>"06/03/2012"</f>
        <v>06/03/2012</v>
      </c>
      <c r="B675" t="str">
        <f>"0.9961"</f>
        <v>0.9961</v>
      </c>
      <c r="C675" t="str">
        <f>"0.9969"</f>
        <v>0.9969</v>
      </c>
    </row>
    <row r="676" spans="1:3" x14ac:dyDescent="0.25">
      <c r="A676" t="str">
        <f>"07/03/2012"</f>
        <v>07/03/2012</v>
      </c>
      <c r="B676" t="str">
        <f>"0.9999"</f>
        <v>0.9999</v>
      </c>
      <c r="C676" t="str">
        <f>"1.0006"</f>
        <v>1.0006</v>
      </c>
    </row>
    <row r="677" spans="1:3" x14ac:dyDescent="0.25">
      <c r="A677" t="str">
        <f>"09/03/2012"</f>
        <v>09/03/2012</v>
      </c>
      <c r="B677" t="str">
        <f>"0.9917"</f>
        <v>0.9917</v>
      </c>
      <c r="C677" t="str">
        <f>"0.9924"</f>
        <v>0.9924</v>
      </c>
    </row>
    <row r="678" spans="1:3" x14ac:dyDescent="0.25">
      <c r="A678" t="str">
        <f>"12/03/2012"</f>
        <v>12/03/2012</v>
      </c>
      <c r="B678" t="str">
        <f>"0.9924"</f>
        <v>0.9924</v>
      </c>
      <c r="C678" t="str">
        <f>"0.9931"</f>
        <v>0.9931</v>
      </c>
    </row>
    <row r="679" spans="1:3" x14ac:dyDescent="0.25">
      <c r="A679" t="str">
        <f>"13/03/2012"</f>
        <v>13/03/2012</v>
      </c>
      <c r="B679" t="str">
        <f>"0.9907"</f>
        <v>0.9907</v>
      </c>
      <c r="C679" t="str">
        <f>"0.9914"</f>
        <v>0.9914</v>
      </c>
    </row>
    <row r="680" spans="1:3" x14ac:dyDescent="0.25">
      <c r="A680" t="str">
        <f>"14/03/2012"</f>
        <v>14/03/2012</v>
      </c>
      <c r="B680" t="str">
        <f>"0.9907"</f>
        <v>0.9907</v>
      </c>
      <c r="C680" t="str">
        <f>"0.9914"</f>
        <v>0.9914</v>
      </c>
    </row>
    <row r="681" spans="1:3" x14ac:dyDescent="0.25">
      <c r="A681" t="str">
        <f>"15/03/2012"</f>
        <v>15/03/2012</v>
      </c>
      <c r="B681" t="str">
        <f>"0.9939"</f>
        <v>0.9939</v>
      </c>
      <c r="C681" t="str">
        <f>"0.9945"</f>
        <v>0.9945</v>
      </c>
    </row>
    <row r="682" spans="1:3" x14ac:dyDescent="0.25">
      <c r="A682" t="str">
        <f>"16/03/2012"</f>
        <v>16/03/2012</v>
      </c>
      <c r="B682" t="str">
        <f>"0.9924"</f>
        <v>0.9924</v>
      </c>
      <c r="C682" t="str">
        <f>"0.9931"</f>
        <v>0.9931</v>
      </c>
    </row>
    <row r="683" spans="1:3" x14ac:dyDescent="0.25">
      <c r="A683" t="str">
        <f>"19/03/2012"</f>
        <v>19/03/2012</v>
      </c>
      <c r="B683" t="str">
        <f>"0.9912"</f>
        <v>0.9912</v>
      </c>
      <c r="C683" t="str">
        <f>"0.9918"</f>
        <v>0.9918</v>
      </c>
    </row>
    <row r="684" spans="1:3" x14ac:dyDescent="0.25">
      <c r="A684" t="str">
        <f>"20/03/2012"</f>
        <v>20/03/2012</v>
      </c>
      <c r="B684" t="str">
        <f>"0.9882"</f>
        <v>0.9882</v>
      </c>
      <c r="C684" t="str">
        <f>"0.9889"</f>
        <v>0.9889</v>
      </c>
    </row>
    <row r="685" spans="1:3" x14ac:dyDescent="0.25">
      <c r="A685" t="str">
        <f>"21/03/2012"</f>
        <v>21/03/2012</v>
      </c>
      <c r="B685" t="str">
        <f>"0.9891"</f>
        <v>0.9891</v>
      </c>
      <c r="C685" t="str">
        <f>"0.9898"</f>
        <v>0.9898</v>
      </c>
    </row>
    <row r="686" spans="1:3" x14ac:dyDescent="0.25">
      <c r="A686" t="str">
        <f>"22/03/2012"</f>
        <v>22/03/2012</v>
      </c>
      <c r="B686" t="str">
        <f>"0.9957"</f>
        <v>0.9957</v>
      </c>
      <c r="C686" t="str">
        <f>"0.9963"</f>
        <v>0.9963</v>
      </c>
    </row>
    <row r="687" spans="1:3" x14ac:dyDescent="0.25">
      <c r="A687" t="str">
        <f>"26/03/2012"</f>
        <v>26/03/2012</v>
      </c>
      <c r="B687" t="str">
        <f>"0.9971"</f>
        <v>0.9971</v>
      </c>
      <c r="C687" t="str">
        <f>"0.9978"</f>
        <v>0.9978</v>
      </c>
    </row>
    <row r="688" spans="1:3" x14ac:dyDescent="0.25">
      <c r="A688" t="str">
        <f>"27/03/2012"</f>
        <v>27/03/2012</v>
      </c>
      <c r="B688" t="str">
        <f>"0.9917"</f>
        <v>0.9917</v>
      </c>
      <c r="C688" t="str">
        <f>"0.9924"</f>
        <v>0.9924</v>
      </c>
    </row>
    <row r="689" spans="1:3" x14ac:dyDescent="0.25">
      <c r="A689" t="str">
        <f>"28/03/2012"</f>
        <v>28/03/2012</v>
      </c>
      <c r="B689" t="str">
        <f>"0.9964"</f>
        <v>0.9964</v>
      </c>
      <c r="C689" t="str">
        <f>"0.997"</f>
        <v>0.997</v>
      </c>
    </row>
    <row r="690" spans="1:3" x14ac:dyDescent="0.25">
      <c r="A690" t="str">
        <f>"29/03/2012"</f>
        <v>29/03/2012</v>
      </c>
      <c r="B690" t="str">
        <f>"1.0003"</f>
        <v>1.0003</v>
      </c>
      <c r="C690" t="str">
        <f>"1.001"</f>
        <v>1.001</v>
      </c>
    </row>
    <row r="691" spans="1:3" x14ac:dyDescent="0.25">
      <c r="A691" t="str">
        <f>"30/03/2012"</f>
        <v>30/03/2012</v>
      </c>
      <c r="B691" t="str">
        <f>"0.9965"</f>
        <v>0.9965</v>
      </c>
      <c r="C691" t="str">
        <f>"0.9971"</f>
        <v>0.9971</v>
      </c>
    </row>
    <row r="692" spans="1:3" x14ac:dyDescent="0.25">
      <c r="A692" t="str">
        <f>"03/04/2012"</f>
        <v>03/04/2012</v>
      </c>
      <c r="B692" t="str">
        <f>"0.9905"</f>
        <v>0.9905</v>
      </c>
      <c r="C692" t="str">
        <f>"0.9911"</f>
        <v>0.9911</v>
      </c>
    </row>
    <row r="693" spans="1:3" x14ac:dyDescent="0.25">
      <c r="A693" t="str">
        <f>"04/04/2012"</f>
        <v>04/04/2012</v>
      </c>
      <c r="B693" t="str">
        <f>"0.9943"</f>
        <v>0.9943</v>
      </c>
      <c r="C693" t="str">
        <f>"0.9949"</f>
        <v>0.9949</v>
      </c>
    </row>
    <row r="694" spans="1:3" x14ac:dyDescent="0.25">
      <c r="A694" t="str">
        <f>"10/04/2012"</f>
        <v>10/04/2012</v>
      </c>
      <c r="B694" t="str">
        <f>"0.9961"</f>
        <v>0.9961</v>
      </c>
      <c r="C694" t="str">
        <f>"0.9967"</f>
        <v>0.9967</v>
      </c>
    </row>
    <row r="695" spans="1:3" x14ac:dyDescent="0.25">
      <c r="A695" t="str">
        <f>"11/04/2012"</f>
        <v>11/04/2012</v>
      </c>
      <c r="B695" t="str">
        <f>"1.002"</f>
        <v>1.002</v>
      </c>
      <c r="C695" t="str">
        <f>"1.0027"</f>
        <v>1.0027</v>
      </c>
    </row>
    <row r="696" spans="1:3" x14ac:dyDescent="0.25">
      <c r="A696" t="str">
        <f>"12/04/2012"</f>
        <v>12/04/2012</v>
      </c>
      <c r="B696" t="str">
        <f>"1.0022"</f>
        <v>1.0022</v>
      </c>
      <c r="C696" t="str">
        <f>"1.0028"</f>
        <v>1.0028</v>
      </c>
    </row>
    <row r="697" spans="1:3" x14ac:dyDescent="0.25">
      <c r="A697" t="str">
        <f>"13/04/2012"</f>
        <v>13/04/2012</v>
      </c>
      <c r="B697" t="str">
        <f>"0.9962"</f>
        <v>0.9962</v>
      </c>
      <c r="C697" t="str">
        <f>"0.9969"</f>
        <v>0.9969</v>
      </c>
    </row>
    <row r="698" spans="1:3" x14ac:dyDescent="0.25">
      <c r="A698" t="str">
        <f>"16/04/2012"</f>
        <v>16/04/2012</v>
      </c>
      <c r="B698" t="str">
        <f>"0.9999"</f>
        <v>0.9999</v>
      </c>
      <c r="C698" t="str">
        <f>"1.0005"</f>
        <v>1.0005</v>
      </c>
    </row>
    <row r="699" spans="1:3" x14ac:dyDescent="0.25">
      <c r="A699" t="str">
        <f>"17/04/2012"</f>
        <v>17/04/2012</v>
      </c>
      <c r="B699" t="str">
        <f>"0.9996"</f>
        <v>0.9996</v>
      </c>
      <c r="C699" t="str">
        <f>"1.0003"</f>
        <v>1.0003</v>
      </c>
    </row>
    <row r="700" spans="1:3" x14ac:dyDescent="0.25">
      <c r="A700" t="str">
        <f>"18/04/2012"</f>
        <v>18/04/2012</v>
      </c>
      <c r="B700" t="str">
        <f>"0.9901"</f>
        <v>0.9901</v>
      </c>
      <c r="C700" t="str">
        <f>"0.9908"</f>
        <v>0.9908</v>
      </c>
    </row>
    <row r="701" spans="1:3" x14ac:dyDescent="0.25">
      <c r="A701" t="str">
        <f>"19/04/2012"</f>
        <v>19/04/2012</v>
      </c>
      <c r="B701" t="str">
        <f>"0.9894"</f>
        <v>0.9894</v>
      </c>
      <c r="C701" t="str">
        <f>"0.9901"</f>
        <v>0.9901</v>
      </c>
    </row>
    <row r="702" spans="1:3" x14ac:dyDescent="0.25">
      <c r="A702" t="str">
        <f>"20/04/2012"</f>
        <v>20/04/2012</v>
      </c>
      <c r="B702" t="str">
        <f>"0.9947"</f>
        <v>0.9947</v>
      </c>
      <c r="C702" t="str">
        <f>"0.9953"</f>
        <v>0.9953</v>
      </c>
    </row>
    <row r="703" spans="1:3" x14ac:dyDescent="0.25">
      <c r="A703" t="str">
        <f>"23/04/2012"</f>
        <v>23/04/2012</v>
      </c>
      <c r="B703" t="str">
        <f>"0.994"</f>
        <v>0.994</v>
      </c>
      <c r="C703" t="str">
        <f>"0.9946"</f>
        <v>0.9946</v>
      </c>
    </row>
    <row r="704" spans="1:3" x14ac:dyDescent="0.25">
      <c r="A704" t="str">
        <f>"24/04/2012"</f>
        <v>24/04/2012</v>
      </c>
      <c r="B704" t="str">
        <f>"0.9905"</f>
        <v>0.9905</v>
      </c>
      <c r="C704" t="str">
        <f>"0.9911"</f>
        <v>0.9911</v>
      </c>
    </row>
    <row r="705" spans="1:3" x14ac:dyDescent="0.25">
      <c r="A705" t="str">
        <f>"25/04/2012"</f>
        <v>25/04/2012</v>
      </c>
      <c r="B705" t="str">
        <f>"0.9866"</f>
        <v>0.9866</v>
      </c>
      <c r="C705" t="str">
        <f>"0.9873"</f>
        <v>0.9873</v>
      </c>
    </row>
    <row r="706" spans="1:3" x14ac:dyDescent="0.25">
      <c r="A706" t="str">
        <f>"26/04/2012"</f>
        <v>26/04/2012</v>
      </c>
      <c r="B706" t="str">
        <f>"0.9825"</f>
        <v>0.9825</v>
      </c>
      <c r="C706" t="str">
        <f>"0.9832"</f>
        <v>0.9832</v>
      </c>
    </row>
    <row r="707" spans="1:3" x14ac:dyDescent="0.25">
      <c r="A707" t="str">
        <f>"27/04/2012"</f>
        <v>27/04/2012</v>
      </c>
      <c r="B707" t="str">
        <f>"0.9855"</f>
        <v>0.9855</v>
      </c>
      <c r="C707" t="str">
        <f>"0.9862"</f>
        <v>0.9862</v>
      </c>
    </row>
    <row r="708" spans="1:3" x14ac:dyDescent="0.25">
      <c r="A708" t="str">
        <f>"30/04/2012"</f>
        <v>30/04/2012</v>
      </c>
      <c r="B708" t="str">
        <f>"0.9807"</f>
        <v>0.9807</v>
      </c>
      <c r="C708" t="str">
        <f>"0.9814"</f>
        <v>0.9814</v>
      </c>
    </row>
    <row r="709" spans="1:3" x14ac:dyDescent="0.25">
      <c r="A709" t="str">
        <f>"02/05/2012"</f>
        <v>02/05/2012</v>
      </c>
      <c r="B709" t="str">
        <f>"0.9863"</f>
        <v>0.9863</v>
      </c>
      <c r="C709" t="str">
        <f>"0.987"</f>
        <v>0.987</v>
      </c>
    </row>
    <row r="710" spans="1:3" x14ac:dyDescent="0.25">
      <c r="A710" t="str">
        <f>"03/05/2012"</f>
        <v>03/05/2012</v>
      </c>
      <c r="B710" t="str">
        <f>"0.9833"</f>
        <v>0.9833</v>
      </c>
      <c r="C710" t="str">
        <f>"0.9839"</f>
        <v>0.9839</v>
      </c>
    </row>
    <row r="711" spans="1:3" x14ac:dyDescent="0.25">
      <c r="A711" t="str">
        <f>"04/05/2012"</f>
        <v>04/05/2012</v>
      </c>
      <c r="B711" t="str">
        <f>"0.9882"</f>
        <v>0.9882</v>
      </c>
      <c r="C711" t="str">
        <f>"0.9889"</f>
        <v>0.9889</v>
      </c>
    </row>
    <row r="712" spans="1:3" x14ac:dyDescent="0.25">
      <c r="A712" t="str">
        <f>"07/05/2012"</f>
        <v>07/05/2012</v>
      </c>
      <c r="B712" t="str">
        <f>"0.9965"</f>
        <v>0.9965</v>
      </c>
      <c r="C712" t="str">
        <f>"0.9971"</f>
        <v>0.9971</v>
      </c>
    </row>
    <row r="713" spans="1:3" x14ac:dyDescent="0.25">
      <c r="A713" t="str">
        <f>"08/05/2012"</f>
        <v>08/05/2012</v>
      </c>
      <c r="B713" t="str">
        <f>"0.9944"</f>
        <v>0.9944</v>
      </c>
      <c r="C713" t="str">
        <f>"0.9951"</f>
        <v>0.9951</v>
      </c>
    </row>
    <row r="714" spans="1:3" x14ac:dyDescent="0.25">
      <c r="A714" t="str">
        <f>"09/05/2012"</f>
        <v>09/05/2012</v>
      </c>
      <c r="B714" t="str">
        <f>"1.002"</f>
        <v>1.002</v>
      </c>
      <c r="C714" t="str">
        <f>"1.0027"</f>
        <v>1.0027</v>
      </c>
    </row>
    <row r="715" spans="1:3" x14ac:dyDescent="0.25">
      <c r="A715" t="str">
        <f>"10/05/2012"</f>
        <v>10/05/2012</v>
      </c>
      <c r="B715" t="str">
        <f>"1.002"</f>
        <v>1.002</v>
      </c>
      <c r="C715" t="str">
        <f>"1.0026"</f>
        <v>1.0026</v>
      </c>
    </row>
    <row r="716" spans="1:3" x14ac:dyDescent="0.25">
      <c r="A716" t="str">
        <f>"11/05/2012"</f>
        <v>11/05/2012</v>
      </c>
      <c r="B716" t="str">
        <f>"1.004"</f>
        <v>1.004</v>
      </c>
      <c r="C716" t="str">
        <f>"1.0047"</f>
        <v>1.0047</v>
      </c>
    </row>
    <row r="717" spans="1:3" x14ac:dyDescent="0.25">
      <c r="A717" t="str">
        <f>"14/05/2012"</f>
        <v>14/05/2012</v>
      </c>
      <c r="B717" t="str">
        <f>"1.0041"</f>
        <v>1.0041</v>
      </c>
      <c r="C717" t="str">
        <f>"1.0048"</f>
        <v>1.0048</v>
      </c>
    </row>
    <row r="718" spans="1:3" x14ac:dyDescent="0.25">
      <c r="A718" t="str">
        <f>"15/05/2012"</f>
        <v>15/05/2012</v>
      </c>
      <c r="B718" t="str">
        <f>"1.0012"</f>
        <v>1.0012</v>
      </c>
      <c r="C718" t="str">
        <f>"1.0019"</f>
        <v>1.0019</v>
      </c>
    </row>
    <row r="719" spans="1:3" x14ac:dyDescent="0.25">
      <c r="A719" t="str">
        <f>"16/05/2012"</f>
        <v>16/05/2012</v>
      </c>
      <c r="B719" t="str">
        <f>"1.009"</f>
        <v>1.009</v>
      </c>
      <c r="C719" t="str">
        <f>"1.0098"</f>
        <v>1.0098</v>
      </c>
    </row>
    <row r="720" spans="1:3" x14ac:dyDescent="0.25">
      <c r="A720" t="str">
        <f>"17/05/2012"</f>
        <v>17/05/2012</v>
      </c>
      <c r="B720" t="str">
        <f>"1.0108"</f>
        <v>1.0108</v>
      </c>
      <c r="C720" t="str">
        <f>"1.0115"</f>
        <v>1.0115</v>
      </c>
    </row>
    <row r="721" spans="1:3" x14ac:dyDescent="0.25">
      <c r="A721" t="str">
        <f>"18/05/2012"</f>
        <v>18/05/2012</v>
      </c>
      <c r="B721" t="str">
        <f>"1.021"</f>
        <v>1.021</v>
      </c>
      <c r="C721" t="str">
        <f>"1.0217"</f>
        <v>1.0217</v>
      </c>
    </row>
    <row r="722" spans="1:3" x14ac:dyDescent="0.25">
      <c r="A722" t="str">
        <f>"21/05/2012"</f>
        <v>21/05/2012</v>
      </c>
      <c r="B722" t="str">
        <f>"1.0199"</f>
        <v>1.0199</v>
      </c>
      <c r="C722" t="str">
        <f>"1.0206"</f>
        <v>1.0206</v>
      </c>
    </row>
    <row r="723" spans="1:3" x14ac:dyDescent="0.25">
      <c r="A723" t="str">
        <f>"22/05/2012"</f>
        <v>22/05/2012</v>
      </c>
      <c r="B723" t="str">
        <f>"1.0185"</f>
        <v>1.0185</v>
      </c>
      <c r="C723" t="str">
        <f>"1.0193"</f>
        <v>1.0193</v>
      </c>
    </row>
    <row r="724" spans="1:3" x14ac:dyDescent="0.25">
      <c r="A724" t="str">
        <f>"23/05/2012"</f>
        <v>23/05/2012</v>
      </c>
      <c r="B724" t="str">
        <f>"1.0219"</f>
        <v>1.0219</v>
      </c>
      <c r="C724" t="str">
        <f>"1.0226"</f>
        <v>1.0226</v>
      </c>
    </row>
    <row r="725" spans="1:3" x14ac:dyDescent="0.25">
      <c r="A725" t="str">
        <f>"24/05/2012"</f>
        <v>24/05/2012</v>
      </c>
      <c r="B725" t="str">
        <f>"1.0257"</f>
        <v>1.0257</v>
      </c>
      <c r="C725" t="str">
        <f>"1.0264"</f>
        <v>1.0264</v>
      </c>
    </row>
    <row r="726" spans="1:3" x14ac:dyDescent="0.25">
      <c r="A726" t="str">
        <f>"25/05/2012"</f>
        <v>25/05/2012</v>
      </c>
      <c r="B726" t="str">
        <f>"1.0279"</f>
        <v>1.0279</v>
      </c>
      <c r="C726" t="str">
        <f>"1.0286"</f>
        <v>1.0286</v>
      </c>
    </row>
    <row r="727" spans="1:3" x14ac:dyDescent="0.25">
      <c r="A727" t="str">
        <f>"28/05/2012"</f>
        <v>28/05/2012</v>
      </c>
      <c r="B727" t="str">
        <f>"1.0227"</f>
        <v>1.0227</v>
      </c>
      <c r="C727" t="str">
        <f>"1.0235"</f>
        <v>1.0235</v>
      </c>
    </row>
    <row r="728" spans="1:3" x14ac:dyDescent="0.25">
      <c r="A728" t="str">
        <f>"29/05/2012"</f>
        <v>29/05/2012</v>
      </c>
      <c r="B728" t="str">
        <f>"1.0236"</f>
        <v>1.0236</v>
      </c>
      <c r="C728" t="str">
        <f>"1.0243"</f>
        <v>1.0243</v>
      </c>
    </row>
    <row r="729" spans="1:3" x14ac:dyDescent="0.25">
      <c r="A729" t="str">
        <f>"30/05/2012"</f>
        <v>30/05/2012</v>
      </c>
      <c r="B729" t="str">
        <f>"1.0248"</f>
        <v>1.0248</v>
      </c>
      <c r="C729" t="str">
        <f>"1.0255"</f>
        <v>1.0255</v>
      </c>
    </row>
    <row r="730" spans="1:3" x14ac:dyDescent="0.25">
      <c r="A730" t="str">
        <f>"31/05/2012"</f>
        <v>31/05/2012</v>
      </c>
      <c r="B730" t="str">
        <f>"1.0299"</f>
        <v>1.0299</v>
      </c>
      <c r="C730" t="str">
        <f>"1.0307"</f>
        <v>1.0307</v>
      </c>
    </row>
    <row r="731" spans="1:3" x14ac:dyDescent="0.25">
      <c r="A731" t="str">
        <f>"01/06/2012"</f>
        <v>01/06/2012</v>
      </c>
      <c r="B731" t="str">
        <f>"1.0395"</f>
        <v>1.0395</v>
      </c>
      <c r="C731" t="str">
        <f>"1.0402"</f>
        <v>1.0402</v>
      </c>
    </row>
    <row r="732" spans="1:3" x14ac:dyDescent="0.25">
      <c r="A732" t="str">
        <f>"04/06/2012"</f>
        <v>04/06/2012</v>
      </c>
      <c r="B732" t="str">
        <f>"1.039"</f>
        <v>1.039</v>
      </c>
      <c r="C732" t="str">
        <f>"1.0397"</f>
        <v>1.0397</v>
      </c>
    </row>
    <row r="733" spans="1:3" x14ac:dyDescent="0.25">
      <c r="A733" t="str">
        <f>"05/06/2012"</f>
        <v>05/06/2012</v>
      </c>
      <c r="B733" t="str">
        <f>"1.0404"</f>
        <v>1.0404</v>
      </c>
      <c r="C733" t="str">
        <f>"1.041"</f>
        <v>1.041</v>
      </c>
    </row>
    <row r="734" spans="1:3" x14ac:dyDescent="0.25">
      <c r="A734" t="str">
        <f>"06/06/2012"</f>
        <v>06/06/2012</v>
      </c>
      <c r="B734" t="str">
        <f>"1.0325"</f>
        <v>1.0325</v>
      </c>
      <c r="C734" t="str">
        <f>"1.0333"</f>
        <v>1.0333</v>
      </c>
    </row>
    <row r="735" spans="1:3" x14ac:dyDescent="0.25">
      <c r="A735" t="str">
        <f>"07/06/2012"</f>
        <v>07/06/2012</v>
      </c>
      <c r="B735" t="str">
        <f>"1.0285"</f>
        <v>1.0285</v>
      </c>
      <c r="C735" t="str">
        <f>"1.0291"</f>
        <v>1.0291</v>
      </c>
    </row>
    <row r="736" spans="1:3" x14ac:dyDescent="0.25">
      <c r="A736" t="str">
        <f>"08/06/2012"</f>
        <v>08/06/2012</v>
      </c>
      <c r="B736" t="str">
        <f>"1.0308"</f>
        <v>1.0308</v>
      </c>
      <c r="C736" t="str">
        <f>"1.0315"</f>
        <v>1.0315</v>
      </c>
    </row>
    <row r="737" spans="1:3" x14ac:dyDescent="0.25">
      <c r="A737" t="str">
        <f>"11/06/2012"</f>
        <v>11/06/2012</v>
      </c>
      <c r="B737" t="str">
        <f>"1.0208"</f>
        <v>1.0208</v>
      </c>
      <c r="C737" t="str">
        <f>"1.0214"</f>
        <v>1.0214</v>
      </c>
    </row>
    <row r="738" spans="1:3" x14ac:dyDescent="0.25">
      <c r="A738" t="str">
        <f>"12/06/2012"</f>
        <v>12/06/2012</v>
      </c>
      <c r="B738" t="str">
        <f>"1.0281"</f>
        <v>1.0281</v>
      </c>
      <c r="C738" t="str">
        <f>"1.0287"</f>
        <v>1.0287</v>
      </c>
    </row>
    <row r="739" spans="1:3" x14ac:dyDescent="0.25">
      <c r="A739" t="str">
        <f>"13/06/2012"</f>
        <v>13/06/2012</v>
      </c>
      <c r="B739" t="str">
        <f>"1.0275"</f>
        <v>1.0275</v>
      </c>
      <c r="C739" t="str">
        <f>"1.0282"</f>
        <v>1.0282</v>
      </c>
    </row>
    <row r="740" spans="1:3" x14ac:dyDescent="0.25">
      <c r="A740" t="str">
        <f>"14/06/2012"</f>
        <v>14/06/2012</v>
      </c>
      <c r="B740" t="str">
        <f>"1.0268"</f>
        <v>1.0268</v>
      </c>
      <c r="C740" t="str">
        <f>"1.0275"</f>
        <v>1.0275</v>
      </c>
    </row>
    <row r="741" spans="1:3" x14ac:dyDescent="0.25">
      <c r="A741" t="str">
        <f>"15/06/2012"</f>
        <v>15/06/2012</v>
      </c>
      <c r="B741" t="str">
        <f>"1.0233"</f>
        <v>1.0233</v>
      </c>
      <c r="C741" t="str">
        <f>"1.024"</f>
        <v>1.024</v>
      </c>
    </row>
    <row r="742" spans="1:3" x14ac:dyDescent="0.25">
      <c r="A742" t="str">
        <f>"18/06/2012"</f>
        <v>18/06/2012</v>
      </c>
      <c r="B742" t="str">
        <f>"1.0208"</f>
        <v>1.0208</v>
      </c>
      <c r="C742" t="str">
        <f>"1.0214"</f>
        <v>1.0214</v>
      </c>
    </row>
    <row r="743" spans="1:3" x14ac:dyDescent="0.25">
      <c r="A743" t="str">
        <f>"19/06/2012"</f>
        <v>19/06/2012</v>
      </c>
      <c r="B743" t="str">
        <f>"1.0229"</f>
        <v>1.0229</v>
      </c>
      <c r="C743" t="str">
        <f>"1.0235"</f>
        <v>1.0235</v>
      </c>
    </row>
    <row r="744" spans="1:3" x14ac:dyDescent="0.25">
      <c r="A744" t="str">
        <f>"20/06/2012"</f>
        <v>20/06/2012</v>
      </c>
      <c r="B744" t="str">
        <f>"1.0183"</f>
        <v>1.0183</v>
      </c>
      <c r="C744" t="str">
        <f>"1.019"</f>
        <v>1.019</v>
      </c>
    </row>
    <row r="745" spans="1:3" x14ac:dyDescent="0.25">
      <c r="A745" t="str">
        <f>"21/06/2012"</f>
        <v>21/06/2012</v>
      </c>
      <c r="B745" t="str">
        <f>"1.0206"</f>
        <v>1.0206</v>
      </c>
      <c r="C745" t="str">
        <f>"1.0213"</f>
        <v>1.0213</v>
      </c>
    </row>
    <row r="746" spans="1:3" x14ac:dyDescent="0.25">
      <c r="A746" t="str">
        <f>"22/06/2012"</f>
        <v>22/06/2012</v>
      </c>
      <c r="B746" t="str">
        <f>"1.0289"</f>
        <v>1.0289</v>
      </c>
      <c r="C746" t="str">
        <f>"1.0296"</f>
        <v>1.0296</v>
      </c>
    </row>
    <row r="747" spans="1:3" x14ac:dyDescent="0.25">
      <c r="A747" t="str">
        <f>"25/06/2012"</f>
        <v>25/06/2012</v>
      </c>
      <c r="B747" t="str">
        <f>"1.0289"</f>
        <v>1.0289</v>
      </c>
      <c r="C747" t="str">
        <f>"1.0295"</f>
        <v>1.0295</v>
      </c>
    </row>
    <row r="748" spans="1:3" x14ac:dyDescent="0.25">
      <c r="A748" t="str">
        <f>"26/06/2012"</f>
        <v>26/06/2012</v>
      </c>
      <c r="B748" t="str">
        <f>"1.0286"</f>
        <v>1.0286</v>
      </c>
      <c r="C748" t="str">
        <f>"1.0293"</f>
        <v>1.0293</v>
      </c>
    </row>
    <row r="749" spans="1:3" x14ac:dyDescent="0.25">
      <c r="A749" t="str">
        <f>"27/06/2012"</f>
        <v>27/06/2012</v>
      </c>
      <c r="B749" t="str">
        <f>"1.0261"</f>
        <v>1.0261</v>
      </c>
      <c r="C749" t="str">
        <f>"1.0268"</f>
        <v>1.0268</v>
      </c>
    </row>
    <row r="750" spans="1:3" x14ac:dyDescent="0.25">
      <c r="A750" t="str">
        <f>"28/06/2012"</f>
        <v>28/06/2012</v>
      </c>
      <c r="B750" t="str">
        <f>"1.0234"</f>
        <v>1.0234</v>
      </c>
      <c r="C750" t="str">
        <f>"1.0241"</f>
        <v>1.0241</v>
      </c>
    </row>
    <row r="751" spans="1:3" x14ac:dyDescent="0.25">
      <c r="A751" t="str">
        <f>"29/06/2012"</f>
        <v>29/06/2012</v>
      </c>
      <c r="B751" t="str">
        <f>"1.0223"</f>
        <v>1.0223</v>
      </c>
      <c r="C751" t="str">
        <f>"1.023"</f>
        <v>1.023</v>
      </c>
    </row>
    <row r="752" spans="1:3" x14ac:dyDescent="0.25">
      <c r="A752" t="str">
        <f>"02/07/2012"</f>
        <v>02/07/2012</v>
      </c>
      <c r="B752" t="str">
        <f>"1.0173"</f>
        <v>1.0173</v>
      </c>
      <c r="C752" t="str">
        <f>"1.018"</f>
        <v>1.018</v>
      </c>
    </row>
    <row r="753" spans="1:3" x14ac:dyDescent="0.25">
      <c r="A753" t="str">
        <f>"03/07/2012"</f>
        <v>03/07/2012</v>
      </c>
      <c r="B753" t="str">
        <f>"1.0151"</f>
        <v>1.0151</v>
      </c>
      <c r="C753" t="str">
        <f>"1.0158"</f>
        <v>1.0158</v>
      </c>
    </row>
    <row r="754" spans="1:3" x14ac:dyDescent="0.25">
      <c r="A754" t="str">
        <f>"04/07/2012"</f>
        <v>04/07/2012</v>
      </c>
      <c r="B754" t="str">
        <f>"1.0129"</f>
        <v>1.0129</v>
      </c>
      <c r="C754" t="str">
        <f>"1.0136"</f>
        <v>1.0136</v>
      </c>
    </row>
    <row r="755" spans="1:3" x14ac:dyDescent="0.25">
      <c r="A755" t="str">
        <f>"05/07/2012"</f>
        <v>05/07/2012</v>
      </c>
      <c r="B755" t="str">
        <f>"1.0132"</f>
        <v>1.0132</v>
      </c>
      <c r="C755" t="str">
        <f>"1.0139"</f>
        <v>1.0139</v>
      </c>
    </row>
    <row r="756" spans="1:3" x14ac:dyDescent="0.25">
      <c r="A756" t="str">
        <f>"06/07/2012"</f>
        <v>06/07/2012</v>
      </c>
      <c r="B756" t="str">
        <f>"1.0146"</f>
        <v>1.0146</v>
      </c>
      <c r="C756" t="str">
        <f>"1.0153"</f>
        <v>1.0153</v>
      </c>
    </row>
    <row r="757" spans="1:3" x14ac:dyDescent="0.25">
      <c r="A757" t="str">
        <f>"09/07/2012"</f>
        <v>09/07/2012</v>
      </c>
      <c r="B757" t="str">
        <f>"1.0188"</f>
        <v>1.0188</v>
      </c>
      <c r="C757" t="str">
        <f>"1.0195"</f>
        <v>1.0195</v>
      </c>
    </row>
    <row r="758" spans="1:3" x14ac:dyDescent="0.25">
      <c r="A758" t="str">
        <f>"10/07/2012"</f>
        <v>10/07/2012</v>
      </c>
      <c r="B758" t="str">
        <f>"1.0178"</f>
        <v>1.0178</v>
      </c>
      <c r="C758" t="str">
        <f>"1.0186"</f>
        <v>1.0186</v>
      </c>
    </row>
    <row r="759" spans="1:3" x14ac:dyDescent="0.25">
      <c r="A759" t="str">
        <f>"11/07/2012"</f>
        <v>11/07/2012</v>
      </c>
      <c r="B759" t="str">
        <f>"1.0179"</f>
        <v>1.0179</v>
      </c>
      <c r="C759" t="str">
        <f>"1.0186"</f>
        <v>1.0186</v>
      </c>
    </row>
    <row r="760" spans="1:3" x14ac:dyDescent="0.25">
      <c r="A760" t="str">
        <f>"12/07/2012"</f>
        <v>12/07/2012</v>
      </c>
      <c r="B760" t="str">
        <f>"1.02"</f>
        <v>1.02</v>
      </c>
      <c r="C760" t="str">
        <f>"1.0207"</f>
        <v>1.0207</v>
      </c>
    </row>
    <row r="761" spans="1:3" x14ac:dyDescent="0.25">
      <c r="A761" t="str">
        <f>"13/07/2012"</f>
        <v>13/07/2012</v>
      </c>
      <c r="B761" t="str">
        <f>"1.0164"</f>
        <v>1.0164</v>
      </c>
      <c r="C761" t="str">
        <f>"1.0171"</f>
        <v>1.0171</v>
      </c>
    </row>
    <row r="762" spans="1:3" x14ac:dyDescent="0.25">
      <c r="A762" t="str">
        <f>"16/07/2012"</f>
        <v>16/07/2012</v>
      </c>
      <c r="B762" t="str">
        <f>"1.0153"</f>
        <v>1.0153</v>
      </c>
      <c r="C762" t="str">
        <f>"1.016"</f>
        <v>1.016</v>
      </c>
    </row>
    <row r="763" spans="1:3" x14ac:dyDescent="0.25">
      <c r="A763" t="str">
        <f>"17/07/2012"</f>
        <v>17/07/2012</v>
      </c>
      <c r="B763" t="str">
        <f>"1.0142"</f>
        <v>1.0142</v>
      </c>
      <c r="C763" t="str">
        <f>"1.015"</f>
        <v>1.015</v>
      </c>
    </row>
    <row r="764" spans="1:3" x14ac:dyDescent="0.25">
      <c r="A764" t="str">
        <f>"18/07/2012"</f>
        <v>18/07/2012</v>
      </c>
      <c r="B764" t="str">
        <f>"1.0126"</f>
        <v>1.0126</v>
      </c>
      <c r="C764" t="str">
        <f>"1.0134"</f>
        <v>1.0134</v>
      </c>
    </row>
    <row r="765" spans="1:3" x14ac:dyDescent="0.25">
      <c r="A765" t="str">
        <f>"19/07/2012"</f>
        <v>19/07/2012</v>
      </c>
      <c r="B765" t="str">
        <f>"1.0082"</f>
        <v>1.0082</v>
      </c>
      <c r="C765" t="str">
        <f>"1.0089"</f>
        <v>1.0089</v>
      </c>
    </row>
    <row r="766" spans="1:3" x14ac:dyDescent="0.25">
      <c r="A766" t="str">
        <f>"20/07/2012"</f>
        <v>20/07/2012</v>
      </c>
      <c r="B766" t="str">
        <f>"1.0087"</f>
        <v>1.0087</v>
      </c>
      <c r="C766" t="str">
        <f>"1.0094"</f>
        <v>1.0094</v>
      </c>
    </row>
    <row r="767" spans="1:3" x14ac:dyDescent="0.25">
      <c r="A767" t="str">
        <f>"23/07/2012"</f>
        <v>23/07/2012</v>
      </c>
      <c r="B767" t="str">
        <f>"1.0161"</f>
        <v>1.0161</v>
      </c>
      <c r="C767" t="str">
        <f>"1.0168"</f>
        <v>1.0168</v>
      </c>
    </row>
    <row r="768" spans="1:3" x14ac:dyDescent="0.25">
      <c r="A768" t="str">
        <f>"24/07/2012"</f>
        <v>24/07/2012</v>
      </c>
      <c r="B768" t="str">
        <f>"1.0189"</f>
        <v>1.0189</v>
      </c>
      <c r="C768" t="str">
        <f>"1.0196"</f>
        <v>1.0196</v>
      </c>
    </row>
    <row r="769" spans="1:3" x14ac:dyDescent="0.25">
      <c r="A769" t="str">
        <f>"25/07/2012"</f>
        <v>25/07/2012</v>
      </c>
      <c r="B769" t="str">
        <f>"1.0193"</f>
        <v>1.0193</v>
      </c>
      <c r="C769" t="str">
        <f>"1.02"</f>
        <v>1.02</v>
      </c>
    </row>
    <row r="770" spans="1:3" x14ac:dyDescent="0.25">
      <c r="A770" t="str">
        <f>"26/07/2012"</f>
        <v>26/07/2012</v>
      </c>
      <c r="B770" t="str">
        <f>"1.0122"</f>
        <v>1.0122</v>
      </c>
      <c r="C770" t="str">
        <f>"1.0128"</f>
        <v>1.0128</v>
      </c>
    </row>
    <row r="771" spans="1:3" x14ac:dyDescent="0.25">
      <c r="A771" t="str">
        <f>"27/07/2012"</f>
        <v>27/07/2012</v>
      </c>
      <c r="B771" t="str">
        <f>"1.0084"</f>
        <v>1.0084</v>
      </c>
      <c r="C771" t="str">
        <f>"1.0091"</f>
        <v>1.0091</v>
      </c>
    </row>
    <row r="772" spans="1:3" x14ac:dyDescent="0.25">
      <c r="A772" t="str">
        <f>"30/07/2012"</f>
        <v>30/07/2012</v>
      </c>
      <c r="B772" t="str">
        <f>"1.0037"</f>
        <v>1.0037</v>
      </c>
      <c r="C772" t="str">
        <f>"1.0043"</f>
        <v>1.0043</v>
      </c>
    </row>
    <row r="773" spans="1:3" x14ac:dyDescent="0.25">
      <c r="A773" t="str">
        <f>"31/07/2012"</f>
        <v>31/07/2012</v>
      </c>
      <c r="B773" t="str">
        <f>"1.0012"</f>
        <v>1.0012</v>
      </c>
      <c r="C773" t="str">
        <f>"1.0019"</f>
        <v>1.0019</v>
      </c>
    </row>
    <row r="774" spans="1:3" x14ac:dyDescent="0.25">
      <c r="A774" t="str">
        <f>"01/08/2012"</f>
        <v>01/08/2012</v>
      </c>
      <c r="B774" t="str">
        <f>"1.0021"</f>
        <v>1.0021</v>
      </c>
      <c r="C774" t="str">
        <f>"1.0027"</f>
        <v>1.0027</v>
      </c>
    </row>
    <row r="775" spans="1:3" x14ac:dyDescent="0.25">
      <c r="A775" t="str">
        <f>"02/08/2012"</f>
        <v>02/08/2012</v>
      </c>
      <c r="B775" t="str">
        <f>"1.0035"</f>
        <v>1.0035</v>
      </c>
      <c r="C775" t="str">
        <f>"1.0042"</f>
        <v>1.0042</v>
      </c>
    </row>
    <row r="776" spans="1:3" x14ac:dyDescent="0.25">
      <c r="A776" t="str">
        <f>"03/08/2012"</f>
        <v>03/08/2012</v>
      </c>
      <c r="B776" t="str">
        <f>"1.0021"</f>
        <v>1.0021</v>
      </c>
      <c r="C776" t="str">
        <f>"1.0027"</f>
        <v>1.0027</v>
      </c>
    </row>
    <row r="777" spans="1:3" x14ac:dyDescent="0.25">
      <c r="A777" t="str">
        <f>"06/08/2012"</f>
        <v>06/08/2012</v>
      </c>
      <c r="B777" t="str">
        <f>"1.0012"</f>
        <v>1.0012</v>
      </c>
      <c r="C777" t="str">
        <f>"1.0018"</f>
        <v>1.0018</v>
      </c>
    </row>
    <row r="778" spans="1:3" x14ac:dyDescent="0.25">
      <c r="A778" t="str">
        <f>"07/08/2012"</f>
        <v>07/08/2012</v>
      </c>
      <c r="B778" t="str">
        <f>"0.9981"</f>
        <v>0.9981</v>
      </c>
      <c r="C778" t="str">
        <f>"0.9988"</f>
        <v>0.9988</v>
      </c>
    </row>
    <row r="779" spans="1:3" x14ac:dyDescent="0.25">
      <c r="A779" t="str">
        <f>"08/08/2012"</f>
        <v>08/08/2012</v>
      </c>
      <c r="B779" t="str">
        <f>"0.9967"</f>
        <v>0.9967</v>
      </c>
      <c r="C779" t="str">
        <f>"0.9973"</f>
        <v>0.9973</v>
      </c>
    </row>
    <row r="780" spans="1:3" x14ac:dyDescent="0.25">
      <c r="A780" t="str">
        <f>"09/08/2012"</f>
        <v>09/08/2012</v>
      </c>
      <c r="B780" t="str">
        <f>"0.9943"</f>
        <v>0.9943</v>
      </c>
      <c r="C780" t="str">
        <f>"0.995"</f>
        <v>0.995</v>
      </c>
    </row>
    <row r="781" spans="1:3" x14ac:dyDescent="0.25">
      <c r="A781" t="str">
        <f>"10/08/2012"</f>
        <v>10/08/2012</v>
      </c>
      <c r="B781" t="str">
        <f>"0.9933"</f>
        <v>0.9933</v>
      </c>
      <c r="C781" t="str">
        <f>"0.9939"</f>
        <v>0.9939</v>
      </c>
    </row>
    <row r="782" spans="1:3" x14ac:dyDescent="0.25">
      <c r="A782" t="str">
        <f>"13/08/2012"</f>
        <v>13/08/2012</v>
      </c>
      <c r="B782" t="str">
        <f>"0.9919"</f>
        <v>0.9919</v>
      </c>
      <c r="C782" t="str">
        <f>"0.9926"</f>
        <v>0.9926</v>
      </c>
    </row>
    <row r="783" spans="1:3" x14ac:dyDescent="0.25">
      <c r="A783" t="str">
        <f>"14/08/2012"</f>
        <v>14/08/2012</v>
      </c>
      <c r="B783" t="str">
        <f>"0.9922"</f>
        <v>0.9922</v>
      </c>
      <c r="C783" t="str">
        <f>"0.9929"</f>
        <v>0.9929</v>
      </c>
    </row>
    <row r="784" spans="1:3" x14ac:dyDescent="0.25">
      <c r="A784" t="str">
        <f>"16/08/2012"</f>
        <v>16/08/2012</v>
      </c>
      <c r="B784" t="str">
        <f>"0.989"</f>
        <v>0.989</v>
      </c>
      <c r="C784" t="str">
        <f>"0.9897"</f>
        <v>0.9897</v>
      </c>
    </row>
    <row r="785" spans="1:3" x14ac:dyDescent="0.25">
      <c r="A785" t="str">
        <f>"17/08/2012"</f>
        <v>17/08/2012</v>
      </c>
      <c r="B785" t="str">
        <f>"0.9871"</f>
        <v>0.9871</v>
      </c>
      <c r="C785" t="str">
        <f>"0.9877"</f>
        <v>0.9877</v>
      </c>
    </row>
    <row r="786" spans="1:3" x14ac:dyDescent="0.25">
      <c r="A786" t="str">
        <f>"21/08/2012"</f>
        <v>21/08/2012</v>
      </c>
      <c r="B786" t="str">
        <f>"0.9876"</f>
        <v>0.9876</v>
      </c>
      <c r="C786" t="str">
        <f>"0.9883"</f>
        <v>0.9883</v>
      </c>
    </row>
    <row r="787" spans="1:3" x14ac:dyDescent="0.25">
      <c r="A787" t="str">
        <f>"22/08/2012"</f>
        <v>22/08/2012</v>
      </c>
      <c r="B787" t="str">
        <f>"0.9925"</f>
        <v>0.9925</v>
      </c>
      <c r="C787" t="str">
        <f>"0.9931"</f>
        <v>0.9931</v>
      </c>
    </row>
    <row r="788" spans="1:3" x14ac:dyDescent="0.25">
      <c r="A788" t="str">
        <f>"23/08/2012"</f>
        <v>23/08/2012</v>
      </c>
      <c r="B788" t="str">
        <f>"0.991"</f>
        <v>0.991</v>
      </c>
      <c r="C788" t="str">
        <f>"0.9916"</f>
        <v>0.9916</v>
      </c>
    </row>
    <row r="789" spans="1:3" x14ac:dyDescent="0.25">
      <c r="A789" t="str">
        <f>"24/08/2012"</f>
        <v>24/08/2012</v>
      </c>
      <c r="B789" t="str">
        <f>"0.9942"</f>
        <v>0.9942</v>
      </c>
      <c r="C789" t="str">
        <f>"0.9948"</f>
        <v>0.9948</v>
      </c>
    </row>
    <row r="790" spans="1:3" x14ac:dyDescent="0.25">
      <c r="A790" t="str">
        <f>"27/08/2012"</f>
        <v>27/08/2012</v>
      </c>
      <c r="B790" t="str">
        <f>"0.9912"</f>
        <v>0.9912</v>
      </c>
      <c r="C790" t="str">
        <f>"0.9918"</f>
        <v>0.9918</v>
      </c>
    </row>
    <row r="791" spans="1:3" x14ac:dyDescent="0.25">
      <c r="A791" t="str">
        <f>"28/08/2012"</f>
        <v>28/08/2012</v>
      </c>
      <c r="B791" t="str">
        <f>"0.9906"</f>
        <v>0.9906</v>
      </c>
      <c r="C791" t="str">
        <f>"0.9912"</f>
        <v>0.9912</v>
      </c>
    </row>
    <row r="792" spans="1:3" x14ac:dyDescent="0.25">
      <c r="A792" t="str">
        <f>"29/08/2012"</f>
        <v>29/08/2012</v>
      </c>
      <c r="B792" t="str">
        <f>"0.9887"</f>
        <v>0.9887</v>
      </c>
      <c r="C792" t="str">
        <f>"0.9893"</f>
        <v>0.9893</v>
      </c>
    </row>
    <row r="793" spans="1:3" x14ac:dyDescent="0.25">
      <c r="A793" t="str">
        <f>"30/08/2012"</f>
        <v>30/08/2012</v>
      </c>
      <c r="B793" t="str">
        <f>"0.9914"</f>
        <v>0.9914</v>
      </c>
      <c r="C793" t="str">
        <f>"0.992"</f>
        <v>0.992</v>
      </c>
    </row>
    <row r="794" spans="1:3" x14ac:dyDescent="0.25">
      <c r="A794" t="str">
        <f>"31/08/2012"</f>
        <v>31/08/2012</v>
      </c>
      <c r="B794" t="str">
        <f>"0.9917"</f>
        <v>0.9917</v>
      </c>
      <c r="C794" t="str">
        <f>"0.9923"</f>
        <v>0.9923</v>
      </c>
    </row>
    <row r="795" spans="1:3" x14ac:dyDescent="0.25">
      <c r="A795" t="str">
        <f>"03/09/2012"</f>
        <v>03/09/2012</v>
      </c>
      <c r="B795" t="str">
        <f>"0.9857"</f>
        <v>0.9857</v>
      </c>
      <c r="C795" t="str">
        <f>"0.9863"</f>
        <v>0.9863</v>
      </c>
    </row>
    <row r="796" spans="1:3" x14ac:dyDescent="0.25">
      <c r="A796" t="str">
        <f>"04/09/2012"</f>
        <v>04/09/2012</v>
      </c>
      <c r="B796" t="str">
        <f>"0.9857"</f>
        <v>0.9857</v>
      </c>
      <c r="C796" t="str">
        <f>"0.9863"</f>
        <v>0.9863</v>
      </c>
    </row>
    <row r="797" spans="1:3" x14ac:dyDescent="0.25">
      <c r="A797" t="str">
        <f>"05/09/2012"</f>
        <v>05/09/2012</v>
      </c>
      <c r="B797" t="str">
        <f>"0.9872"</f>
        <v>0.9872</v>
      </c>
      <c r="C797" t="str">
        <f>"0.9879"</f>
        <v>0.9879</v>
      </c>
    </row>
    <row r="798" spans="1:3" x14ac:dyDescent="0.25">
      <c r="A798" t="str">
        <f>"06/09/2012"</f>
        <v>06/09/2012</v>
      </c>
      <c r="B798" t="str">
        <f>"0.988"</f>
        <v>0.988</v>
      </c>
      <c r="C798" t="str">
        <f>"0.9887"</f>
        <v>0.9887</v>
      </c>
    </row>
    <row r="799" spans="1:3" x14ac:dyDescent="0.25">
      <c r="A799" t="str">
        <f>"07/09/2012"</f>
        <v>07/09/2012</v>
      </c>
      <c r="B799" t="str">
        <f>"0.9809"</f>
        <v>0.9809</v>
      </c>
      <c r="C799" t="str">
        <f>"0.9816"</f>
        <v>0.9816</v>
      </c>
    </row>
    <row r="800" spans="1:3" x14ac:dyDescent="0.25">
      <c r="A800" t="str">
        <f>"10/09/2012"</f>
        <v>10/09/2012</v>
      </c>
      <c r="B800" t="str">
        <f>"0.9768"</f>
        <v>0.9768</v>
      </c>
      <c r="C800" t="str">
        <f>"0.9774"</f>
        <v>0.9774</v>
      </c>
    </row>
    <row r="801" spans="1:3" x14ac:dyDescent="0.25">
      <c r="A801" t="str">
        <f>"11/09/2012"</f>
        <v>11/09/2012</v>
      </c>
      <c r="B801" t="str">
        <f>"0.9764"</f>
        <v>0.9764</v>
      </c>
      <c r="C801" t="str">
        <f>"0.9771"</f>
        <v>0.9771</v>
      </c>
    </row>
    <row r="802" spans="1:3" x14ac:dyDescent="0.25">
      <c r="A802" t="str">
        <f>"12/09/2012"</f>
        <v>12/09/2012</v>
      </c>
      <c r="B802" t="str">
        <f>"0.9721"</f>
        <v>0.9721</v>
      </c>
      <c r="C802" t="str">
        <f>"0.9728"</f>
        <v>0.9728</v>
      </c>
    </row>
    <row r="803" spans="1:3" x14ac:dyDescent="0.25">
      <c r="A803" t="str">
        <f>"13/09/2012"</f>
        <v>13/09/2012</v>
      </c>
      <c r="B803" t="str">
        <f>"0.9765"</f>
        <v>0.9765</v>
      </c>
      <c r="C803" t="str">
        <f>"0.9772"</f>
        <v>0.9772</v>
      </c>
    </row>
    <row r="804" spans="1:3" x14ac:dyDescent="0.25">
      <c r="A804" t="str">
        <f>"14/09/2012"</f>
        <v>14/09/2012</v>
      </c>
      <c r="B804" t="str">
        <f>"0.9653"</f>
        <v>0.9653</v>
      </c>
      <c r="C804" t="str">
        <f>"0.9659"</f>
        <v>0.9659</v>
      </c>
    </row>
    <row r="805" spans="1:3" x14ac:dyDescent="0.25">
      <c r="A805" t="str">
        <f>"17/09/2012"</f>
        <v>17/09/2012</v>
      </c>
      <c r="B805" t="str">
        <f>"0.9704"</f>
        <v>0.9704</v>
      </c>
      <c r="C805" t="str">
        <f>"0.971"</f>
        <v>0.971</v>
      </c>
    </row>
    <row r="806" spans="1:3" x14ac:dyDescent="0.25">
      <c r="A806" t="str">
        <f>"18/09/2012"</f>
        <v>18/09/2012</v>
      </c>
      <c r="B806" t="str">
        <f>"0.9752"</f>
        <v>0.9752</v>
      </c>
      <c r="C806" t="str">
        <f>"0.9758"</f>
        <v>0.9758</v>
      </c>
    </row>
    <row r="807" spans="1:3" x14ac:dyDescent="0.25">
      <c r="A807" t="str">
        <f>"20/09/2012"</f>
        <v>20/09/2012</v>
      </c>
      <c r="B807" t="str">
        <f>"0.979"</f>
        <v>0.979</v>
      </c>
      <c r="C807" t="str">
        <f>"0.9796"</f>
        <v>0.9796</v>
      </c>
    </row>
    <row r="808" spans="1:3" x14ac:dyDescent="0.25">
      <c r="A808" t="str">
        <f>"21/09/2012"</f>
        <v>21/09/2012</v>
      </c>
      <c r="B808" t="str">
        <f>"0.9743"</f>
        <v>0.9743</v>
      </c>
      <c r="C808" t="str">
        <f>"0.9749"</f>
        <v>0.9749</v>
      </c>
    </row>
    <row r="809" spans="1:3" x14ac:dyDescent="0.25">
      <c r="A809" t="str">
        <f>"24/09/2012"</f>
        <v>24/09/2012</v>
      </c>
      <c r="B809" t="str">
        <f>"0.981"</f>
        <v>0.981</v>
      </c>
      <c r="C809" t="str">
        <f>"0.9816"</f>
        <v>0.9816</v>
      </c>
    </row>
    <row r="810" spans="1:3" x14ac:dyDescent="0.25">
      <c r="A810" t="str">
        <f>"25/09/2012"</f>
        <v>25/09/2012</v>
      </c>
      <c r="B810" t="str">
        <f>"0.9802"</f>
        <v>0.9802</v>
      </c>
      <c r="C810" t="str">
        <f>"0.9808"</f>
        <v>0.9808</v>
      </c>
    </row>
    <row r="811" spans="1:3" x14ac:dyDescent="0.25">
      <c r="A811" t="str">
        <f>"26/09/2012"</f>
        <v>26/09/2012</v>
      </c>
      <c r="B811" t="str">
        <f>"0.982"</f>
        <v>0.982</v>
      </c>
      <c r="C811" t="str">
        <f>"0.9827"</f>
        <v>0.9827</v>
      </c>
    </row>
    <row r="812" spans="1:3" x14ac:dyDescent="0.25">
      <c r="A812" t="str">
        <f>"27/09/2012"</f>
        <v>27/09/2012</v>
      </c>
      <c r="B812" t="str">
        <f>"0.9832"</f>
        <v>0.9832</v>
      </c>
      <c r="C812" t="str">
        <f>"0.9839"</f>
        <v>0.9839</v>
      </c>
    </row>
    <row r="813" spans="1:3" x14ac:dyDescent="0.25">
      <c r="A813" t="str">
        <f>"28/09/2012"</f>
        <v>28/09/2012</v>
      </c>
      <c r="B813" t="str">
        <f>"0.9791"</f>
        <v>0.9791</v>
      </c>
      <c r="C813" t="str">
        <f>"0.9797"</f>
        <v>0.9797</v>
      </c>
    </row>
    <row r="814" spans="1:3" x14ac:dyDescent="0.25">
      <c r="A814" t="str">
        <f>"01/10/2012"</f>
        <v>01/10/2012</v>
      </c>
      <c r="B814" t="str">
        <f>"0.983"</f>
        <v>0.983</v>
      </c>
      <c r="C814" t="str">
        <f>"0.9836"</f>
        <v>0.9836</v>
      </c>
    </row>
    <row r="815" spans="1:3" x14ac:dyDescent="0.25">
      <c r="A815" t="str">
        <f>"03/10/2012"</f>
        <v>03/10/2012</v>
      </c>
      <c r="B815" t="str">
        <f>"0.9862"</f>
        <v>0.9862</v>
      </c>
      <c r="C815" t="str">
        <f>"0.9869"</f>
        <v>0.9869</v>
      </c>
    </row>
    <row r="816" spans="1:3" x14ac:dyDescent="0.25">
      <c r="A816" t="str">
        <f>"04/10/2012"</f>
        <v>04/10/2012</v>
      </c>
      <c r="B816" t="str">
        <f>"0.9856"</f>
        <v>0.9856</v>
      </c>
      <c r="C816" t="str">
        <f>"0.9862"</f>
        <v>0.9862</v>
      </c>
    </row>
    <row r="817" spans="1:3" x14ac:dyDescent="0.25">
      <c r="A817" t="str">
        <f>"05/10/2012"</f>
        <v>05/10/2012</v>
      </c>
      <c r="B817" t="str">
        <f>"0.9808"</f>
        <v>0.9808</v>
      </c>
      <c r="C817" t="str">
        <f>"0.9815"</f>
        <v>0.9815</v>
      </c>
    </row>
    <row r="818" spans="1:3" x14ac:dyDescent="0.25">
      <c r="A818" t="str">
        <f>"08/10/2012"</f>
        <v>08/10/2012</v>
      </c>
      <c r="B818" t="str">
        <f>"0.9786"</f>
        <v>0.9786</v>
      </c>
      <c r="C818" t="str">
        <f>"0.9793"</f>
        <v>0.9793</v>
      </c>
    </row>
    <row r="819" spans="1:3" x14ac:dyDescent="0.25">
      <c r="A819" t="str">
        <f>"09/10/2012"</f>
        <v>09/10/2012</v>
      </c>
      <c r="B819" t="str">
        <f>"0.9768"</f>
        <v>0.9768</v>
      </c>
      <c r="C819" t="str">
        <f>"0.9775"</f>
        <v>0.9775</v>
      </c>
    </row>
    <row r="820" spans="1:3" x14ac:dyDescent="0.25">
      <c r="A820" t="str">
        <f>"10/10/2012"</f>
        <v>10/10/2012</v>
      </c>
      <c r="B820" t="str">
        <f>"0.979"</f>
        <v>0.979</v>
      </c>
      <c r="C820" t="str">
        <f>"0.9797"</f>
        <v>0.9797</v>
      </c>
    </row>
    <row r="821" spans="1:3" x14ac:dyDescent="0.25">
      <c r="A821" t="str">
        <f>"11/10/2012"</f>
        <v>11/10/2012</v>
      </c>
      <c r="B821" t="str">
        <f>"0.9793"</f>
        <v>0.9793</v>
      </c>
      <c r="C821" t="str">
        <f>"0.98"</f>
        <v>0.98</v>
      </c>
    </row>
    <row r="822" spans="1:3" x14ac:dyDescent="0.25">
      <c r="A822" t="str">
        <f>"12/10/2012"</f>
        <v>12/10/2012</v>
      </c>
      <c r="B822" t="str">
        <f>"0.9787"</f>
        <v>0.9787</v>
      </c>
      <c r="C822" t="str">
        <f>"0.9794"</f>
        <v>0.9794</v>
      </c>
    </row>
    <row r="823" spans="1:3" x14ac:dyDescent="0.25">
      <c r="A823" t="str">
        <f>"15/10/2012"</f>
        <v>15/10/2012</v>
      </c>
      <c r="B823" t="str">
        <f>"0.9778"</f>
        <v>0.9778</v>
      </c>
      <c r="C823" t="str">
        <f>"0.9785"</f>
        <v>0.9785</v>
      </c>
    </row>
    <row r="824" spans="1:3" x14ac:dyDescent="0.25">
      <c r="A824" t="str">
        <f>"16/10/2012"</f>
        <v>16/10/2012</v>
      </c>
      <c r="B824" t="str">
        <f>"0.9812"</f>
        <v>0.9812</v>
      </c>
      <c r="C824" t="str">
        <f>"0.9819"</f>
        <v>0.9819</v>
      </c>
    </row>
    <row r="825" spans="1:3" x14ac:dyDescent="0.25">
      <c r="A825" t="str">
        <f>"17/10/2012"</f>
        <v>17/10/2012</v>
      </c>
      <c r="B825" t="str">
        <f>"0.9861"</f>
        <v>0.9861</v>
      </c>
      <c r="C825" t="str">
        <f>"0.9868"</f>
        <v>0.9868</v>
      </c>
    </row>
    <row r="826" spans="1:3" x14ac:dyDescent="0.25">
      <c r="A826" t="str">
        <f>"18/10/2012"</f>
        <v>18/10/2012</v>
      </c>
      <c r="B826" t="str">
        <f>"0.9784"</f>
        <v>0.9784</v>
      </c>
      <c r="C826" t="str">
        <f>"0.9791"</f>
        <v>0.9791</v>
      </c>
    </row>
    <row r="827" spans="1:3" x14ac:dyDescent="0.25">
      <c r="A827" t="str">
        <f>"19/10/2012"</f>
        <v>19/10/2012</v>
      </c>
      <c r="B827" t="str">
        <f>"0.9874"</f>
        <v>0.9874</v>
      </c>
      <c r="C827" t="str">
        <f>"0.9881"</f>
        <v>0.9881</v>
      </c>
    </row>
    <row r="828" spans="1:3" x14ac:dyDescent="0.25">
      <c r="A828" t="str">
        <f>"22/10/2012"</f>
        <v>22/10/2012</v>
      </c>
      <c r="B828" t="str">
        <f>"0.9929"</f>
        <v>0.9929</v>
      </c>
      <c r="C828" t="str">
        <f>"0.9936"</f>
        <v>0.9936</v>
      </c>
    </row>
    <row r="829" spans="1:3" x14ac:dyDescent="0.25">
      <c r="A829" t="str">
        <f>"23/10/2012"</f>
        <v>23/10/2012</v>
      </c>
      <c r="B829" t="str">
        <f>"0.9927"</f>
        <v>0.9927</v>
      </c>
      <c r="C829" t="str">
        <f>"0.9934"</f>
        <v>0.9934</v>
      </c>
    </row>
    <row r="830" spans="1:3" x14ac:dyDescent="0.25">
      <c r="A830" t="str">
        <f>"25/10/2012"</f>
        <v>25/10/2012</v>
      </c>
      <c r="B830" t="str">
        <f>"0.9908"</f>
        <v>0.9908</v>
      </c>
      <c r="C830" t="str">
        <f>"0.9915"</f>
        <v>0.9915</v>
      </c>
    </row>
    <row r="831" spans="1:3" x14ac:dyDescent="0.25">
      <c r="A831" t="str">
        <f>"26/10/2012"</f>
        <v>26/10/2012</v>
      </c>
      <c r="B831" t="str">
        <f>"0.9974"</f>
        <v>0.9974</v>
      </c>
      <c r="C831" t="str">
        <f>"0.9981"</f>
        <v>0.9981</v>
      </c>
    </row>
    <row r="832" spans="1:3" x14ac:dyDescent="0.25">
      <c r="A832" t="str">
        <f>"29/10/2012"</f>
        <v>29/10/2012</v>
      </c>
      <c r="B832" t="str">
        <f>"0.9987"</f>
        <v>0.9987</v>
      </c>
      <c r="C832" t="str">
        <f>"0.9994"</f>
        <v>0.9994</v>
      </c>
    </row>
    <row r="833" spans="1:3" x14ac:dyDescent="0.25">
      <c r="A833" t="str">
        <f>"30/10/2012"</f>
        <v>30/10/2012</v>
      </c>
      <c r="B833" t="str">
        <f>"1.0006"</f>
        <v>1.0006</v>
      </c>
      <c r="C833" t="str">
        <f>"1.0013"</f>
        <v>1.0013</v>
      </c>
    </row>
    <row r="834" spans="1:3" x14ac:dyDescent="0.25">
      <c r="A834" t="str">
        <f>"31/10/2012"</f>
        <v>31/10/2012</v>
      </c>
      <c r="B834" t="str">
        <f>"0.9966"</f>
        <v>0.9966</v>
      </c>
      <c r="C834" t="str">
        <f>"0.9972"</f>
        <v>0.9972</v>
      </c>
    </row>
    <row r="835" spans="1:3" x14ac:dyDescent="0.25">
      <c r="A835" t="str">
        <f>"01/11/2012"</f>
        <v>01/11/2012</v>
      </c>
      <c r="B835" t="str">
        <f>"0.9999"</f>
        <v>0.9999</v>
      </c>
      <c r="C835" t="str">
        <f>"1.0006"</f>
        <v>1.0006</v>
      </c>
    </row>
    <row r="836" spans="1:3" x14ac:dyDescent="0.25">
      <c r="A836" t="str">
        <f>"02/11/2012"</f>
        <v>02/11/2012</v>
      </c>
      <c r="B836" t="str">
        <f>"0.997"</f>
        <v>0.997</v>
      </c>
      <c r="C836" t="str">
        <f>"0.9976"</f>
        <v>0.9976</v>
      </c>
    </row>
    <row r="837" spans="1:3" x14ac:dyDescent="0.25">
      <c r="A837" t="str">
        <f>"05/11/2012"</f>
        <v>05/11/2012</v>
      </c>
      <c r="B837" t="str">
        <f>"0.9946"</f>
        <v>0.9946</v>
      </c>
      <c r="C837" t="str">
        <f>"0.9953"</f>
        <v>0.9953</v>
      </c>
    </row>
    <row r="838" spans="1:3" x14ac:dyDescent="0.25">
      <c r="A838" t="str">
        <f>"06/11/2012"</f>
        <v>06/11/2012</v>
      </c>
      <c r="B838" t="str">
        <f>"0.9951"</f>
        <v>0.9951</v>
      </c>
      <c r="C838" t="str">
        <f>"0.9958"</f>
        <v>0.9958</v>
      </c>
    </row>
    <row r="839" spans="1:3" x14ac:dyDescent="0.25">
      <c r="A839" t="str">
        <f>"07/11/2012"</f>
        <v>07/11/2012</v>
      </c>
      <c r="B839" t="str">
        <f>"0.9894"</f>
        <v>0.9894</v>
      </c>
      <c r="C839" t="str">
        <f>"0.9901"</f>
        <v>0.9901</v>
      </c>
    </row>
    <row r="840" spans="1:3" x14ac:dyDescent="0.25">
      <c r="A840" t="str">
        <f>"08/11/2012"</f>
        <v>08/11/2012</v>
      </c>
      <c r="B840" t="str">
        <f>"0.9966"</f>
        <v>0.9966</v>
      </c>
      <c r="C840" t="str">
        <f>"0.9973"</f>
        <v>0.9973</v>
      </c>
    </row>
    <row r="841" spans="1:3" x14ac:dyDescent="0.25">
      <c r="A841" t="str">
        <f>"09/11/2012"</f>
        <v>09/11/2012</v>
      </c>
      <c r="B841" t="str">
        <f>"0.9997"</f>
        <v>0.9997</v>
      </c>
      <c r="C841" t="str">
        <f>"1.0003"</f>
        <v>1.0003</v>
      </c>
    </row>
    <row r="842" spans="1:3" x14ac:dyDescent="0.25">
      <c r="A842" t="str">
        <f>"12/11/2012"</f>
        <v>12/11/2012</v>
      </c>
      <c r="B842" t="str">
        <f>"0.9989"</f>
        <v>0.9989</v>
      </c>
      <c r="C842" t="str">
        <f>"0.9995"</f>
        <v>0.9995</v>
      </c>
    </row>
    <row r="843" spans="1:3" x14ac:dyDescent="0.25">
      <c r="A843" t="str">
        <f>"15/11/2012"</f>
        <v>15/11/2012</v>
      </c>
      <c r="B843" t="str">
        <f>"1.0022"</f>
        <v>1.0022</v>
      </c>
      <c r="C843" t="str">
        <f>"1.0029"</f>
        <v>1.0029</v>
      </c>
    </row>
    <row r="844" spans="1:3" x14ac:dyDescent="0.25">
      <c r="A844" t="str">
        <f>"16/11/2012"</f>
        <v>16/11/2012</v>
      </c>
      <c r="B844" t="str">
        <f>"1.0006"</f>
        <v>1.0006</v>
      </c>
      <c r="C844" t="str">
        <f>"1.0012"</f>
        <v>1.0012</v>
      </c>
    </row>
    <row r="845" spans="1:3" x14ac:dyDescent="0.25">
      <c r="A845" t="str">
        <f>"19/11/2012"</f>
        <v>19/11/2012</v>
      </c>
      <c r="B845" t="str">
        <f>"0.9985"</f>
        <v>0.9985</v>
      </c>
      <c r="C845" t="str">
        <f>"0.9992"</f>
        <v>0.9992</v>
      </c>
    </row>
    <row r="846" spans="1:3" x14ac:dyDescent="0.25">
      <c r="A846" t="str">
        <f>"20/11/2012"</f>
        <v>20/11/2012</v>
      </c>
      <c r="B846" t="str">
        <f>"0.9962"</f>
        <v>0.9962</v>
      </c>
      <c r="C846" t="str">
        <f>"0.9969"</f>
        <v>0.9969</v>
      </c>
    </row>
    <row r="847" spans="1:3" x14ac:dyDescent="0.25">
      <c r="A847" t="str">
        <f>"21/11/2012"</f>
        <v>21/11/2012</v>
      </c>
      <c r="B847" t="str">
        <f>"0.9986"</f>
        <v>0.9986</v>
      </c>
      <c r="C847" t="str">
        <f>"0.9993"</f>
        <v>0.9993</v>
      </c>
    </row>
    <row r="848" spans="1:3" x14ac:dyDescent="0.25">
      <c r="A848" t="str">
        <f>"22/11/2012"</f>
        <v>22/11/2012</v>
      </c>
      <c r="B848" t="str">
        <f>"0.9968"</f>
        <v>0.9968</v>
      </c>
      <c r="C848" t="str">
        <f>"0.9974"</f>
        <v>0.9974</v>
      </c>
    </row>
    <row r="849" spans="1:3" x14ac:dyDescent="0.25">
      <c r="A849" t="str">
        <f>"23/11/2012"</f>
        <v>23/11/2012</v>
      </c>
      <c r="B849" t="str">
        <f>"0.9977"</f>
        <v>0.9977</v>
      </c>
      <c r="C849" t="str">
        <f>"0.9984"</f>
        <v>0.9984</v>
      </c>
    </row>
    <row r="850" spans="1:3" x14ac:dyDescent="0.25">
      <c r="A850" t="str">
        <f>"26/11/2012"</f>
        <v>26/11/2012</v>
      </c>
      <c r="B850" t="str">
        <f>"0.9924"</f>
        <v>0.9924</v>
      </c>
      <c r="C850" t="str">
        <f>"0.9931"</f>
        <v>0.9931</v>
      </c>
    </row>
    <row r="851" spans="1:3" x14ac:dyDescent="0.25">
      <c r="A851" t="str">
        <f>"27/11/2012"</f>
        <v>27/11/2012</v>
      </c>
      <c r="B851" t="str">
        <f>"0.993"</f>
        <v>0.993</v>
      </c>
      <c r="C851" t="str">
        <f>"0.9937"</f>
        <v>0.9937</v>
      </c>
    </row>
    <row r="852" spans="1:3" x14ac:dyDescent="0.25">
      <c r="A852" t="str">
        <f>"29/11/2012"</f>
        <v>29/11/2012</v>
      </c>
      <c r="B852" t="str">
        <f>"0.9921"</f>
        <v>0.9921</v>
      </c>
      <c r="C852" t="str">
        <f>"0.9928"</f>
        <v>0.9928</v>
      </c>
    </row>
    <row r="853" spans="1:3" x14ac:dyDescent="0.25">
      <c r="A853" t="str">
        <f>"30/11/2012"</f>
        <v>30/11/2012</v>
      </c>
      <c r="B853" t="str">
        <f>"0.9927"</f>
        <v>0.9927</v>
      </c>
      <c r="C853" t="str">
        <f>"0.9934"</f>
        <v>0.9934</v>
      </c>
    </row>
    <row r="854" spans="1:3" x14ac:dyDescent="0.25">
      <c r="A854" t="str">
        <f>"03/12/2012"</f>
        <v>03/12/2012</v>
      </c>
      <c r="B854" t="str">
        <f>"0.9923"</f>
        <v>0.9923</v>
      </c>
      <c r="C854" t="str">
        <f>"0.9929"</f>
        <v>0.9929</v>
      </c>
    </row>
    <row r="855" spans="1:3" x14ac:dyDescent="0.25">
      <c r="A855" t="str">
        <f>"04/12/2012"</f>
        <v>04/12/2012</v>
      </c>
      <c r="B855" t="str">
        <f>"0.9948"</f>
        <v>0.9948</v>
      </c>
      <c r="C855" t="str">
        <f>"0.9954"</f>
        <v>0.9954</v>
      </c>
    </row>
    <row r="856" spans="1:3" x14ac:dyDescent="0.25">
      <c r="A856" t="str">
        <f>"05/12/2012"</f>
        <v>05/12/2012</v>
      </c>
      <c r="B856" t="str">
        <f>"0.9919"</f>
        <v>0.9919</v>
      </c>
      <c r="C856" t="str">
        <f>"0.9926"</f>
        <v>0.9926</v>
      </c>
    </row>
    <row r="857" spans="1:3" x14ac:dyDescent="0.25">
      <c r="A857" t="str">
        <f>"06/12/2012"</f>
        <v>06/12/2012</v>
      </c>
      <c r="B857" t="str">
        <f>"0.9924"</f>
        <v>0.9924</v>
      </c>
      <c r="C857" t="str">
        <f>"0.9931"</f>
        <v>0.9931</v>
      </c>
    </row>
    <row r="858" spans="1:3" x14ac:dyDescent="0.25">
      <c r="A858" t="str">
        <f>"07/12/2012"</f>
        <v>07/12/2012</v>
      </c>
      <c r="B858" t="str">
        <f>"0.9914"</f>
        <v>0.9914</v>
      </c>
      <c r="C858" t="str">
        <f>"0.9921"</f>
        <v>0.9921</v>
      </c>
    </row>
    <row r="859" spans="1:3" x14ac:dyDescent="0.25">
      <c r="A859" t="str">
        <f>"10/12/2012"</f>
        <v>10/12/2012</v>
      </c>
      <c r="B859" t="str">
        <f>"0.9878"</f>
        <v>0.9878</v>
      </c>
      <c r="C859" t="str">
        <f>"0.9884"</f>
        <v>0.9884</v>
      </c>
    </row>
    <row r="860" spans="1:3" x14ac:dyDescent="0.25">
      <c r="A860" t="str">
        <f>"11/12/2012"</f>
        <v>11/12/2012</v>
      </c>
      <c r="B860" t="str">
        <f>"0.9864"</f>
        <v>0.9864</v>
      </c>
      <c r="C860" t="str">
        <f>"0.9871"</f>
        <v>0.9871</v>
      </c>
    </row>
    <row r="861" spans="1:3" x14ac:dyDescent="0.25">
      <c r="A861" t="str">
        <f>"12/12/2012"</f>
        <v>12/12/2012</v>
      </c>
      <c r="B861" t="str">
        <f>"0.9862"</f>
        <v>0.9862</v>
      </c>
      <c r="C861" t="str">
        <f>"0.9869"</f>
        <v>0.9869</v>
      </c>
    </row>
    <row r="862" spans="1:3" x14ac:dyDescent="0.25">
      <c r="A862" t="str">
        <f>"13/12/2012"</f>
        <v>13/12/2012</v>
      </c>
      <c r="B862" t="str">
        <f>"0.9837"</f>
        <v>0.9837</v>
      </c>
      <c r="C862" t="str">
        <f>"0.9844"</f>
        <v>0.9844</v>
      </c>
    </row>
    <row r="863" spans="1:3" x14ac:dyDescent="0.25">
      <c r="A863" t="str">
        <f>"14/12/2012"</f>
        <v>14/12/2012</v>
      </c>
      <c r="B863" t="str">
        <f>"0.9842"</f>
        <v>0.9842</v>
      </c>
      <c r="C863" t="str">
        <f>"0.9849"</f>
        <v>0.9849</v>
      </c>
    </row>
    <row r="864" spans="1:3" x14ac:dyDescent="0.25">
      <c r="A864" t="str">
        <f>"17/12/2012"</f>
        <v>17/12/2012</v>
      </c>
      <c r="B864" t="str">
        <f>"0.9862"</f>
        <v>0.9862</v>
      </c>
      <c r="C864" t="str">
        <f>"0.9869"</f>
        <v>0.9869</v>
      </c>
    </row>
    <row r="865" spans="1:3" x14ac:dyDescent="0.25">
      <c r="A865" t="str">
        <f>"18/12/2012"</f>
        <v>18/12/2012</v>
      </c>
      <c r="B865" t="str">
        <f>"0.9834"</f>
        <v>0.9834</v>
      </c>
      <c r="C865" t="str">
        <f>"0.9841"</f>
        <v>0.9841</v>
      </c>
    </row>
    <row r="866" spans="1:3" x14ac:dyDescent="0.25">
      <c r="A866" t="str">
        <f>"19/12/2012"</f>
        <v>19/12/2012</v>
      </c>
      <c r="B866" t="str">
        <f>"0.9866"</f>
        <v>0.9866</v>
      </c>
      <c r="C866" t="str">
        <f>"0.9873"</f>
        <v>0.9873</v>
      </c>
    </row>
    <row r="867" spans="1:3" x14ac:dyDescent="0.25">
      <c r="A867" t="str">
        <f>"20/12/2012"</f>
        <v>20/12/2012</v>
      </c>
      <c r="B867" t="str">
        <f>"0.989"</f>
        <v>0.989</v>
      </c>
      <c r="C867" t="str">
        <f>"0.9897"</f>
        <v>0.9897</v>
      </c>
    </row>
    <row r="868" spans="1:3" x14ac:dyDescent="0.25">
      <c r="A868" t="str">
        <f>"21/12/2012"</f>
        <v>21/12/2012</v>
      </c>
      <c r="B868" t="str">
        <f>"0.9904"</f>
        <v>0.9904</v>
      </c>
      <c r="C868" t="str">
        <f>"0.991"</f>
        <v>0.991</v>
      </c>
    </row>
    <row r="869" spans="1:3" x14ac:dyDescent="0.25">
      <c r="A869" t="str">
        <f>"24/12/2012"</f>
        <v>24/12/2012</v>
      </c>
      <c r="B869" t="str">
        <f>"0.9934"</f>
        <v>0.9934</v>
      </c>
      <c r="C869" t="str">
        <f>"0.9941"</f>
        <v>0.9941</v>
      </c>
    </row>
    <row r="870" spans="1:3" x14ac:dyDescent="0.25">
      <c r="A870" t="str">
        <f>"26/12/2012"</f>
        <v>26/12/2012</v>
      </c>
      <c r="B870" t="str">
        <f>"0.9928"</f>
        <v>0.9928</v>
      </c>
      <c r="C870" t="str">
        <f>"0.9935"</f>
        <v>0.9935</v>
      </c>
    </row>
    <row r="871" spans="1:3" x14ac:dyDescent="0.25">
      <c r="A871" t="str">
        <f>"27/12/2012"</f>
        <v>27/12/2012</v>
      </c>
      <c r="B871" t="str">
        <f>"0.9928"</f>
        <v>0.9928</v>
      </c>
      <c r="C871" t="str">
        <f>"0.9935"</f>
        <v>0.9935</v>
      </c>
    </row>
    <row r="872" spans="1:3" x14ac:dyDescent="0.25">
      <c r="A872" t="str">
        <f>"28/12/2012"</f>
        <v>28/12/2012</v>
      </c>
      <c r="B872" t="str">
        <f>"0.9947"</f>
        <v>0.9947</v>
      </c>
      <c r="C872" t="str">
        <f>"0.9954"</f>
        <v>0.9954</v>
      </c>
    </row>
    <row r="873" spans="1:3" x14ac:dyDescent="0.25">
      <c r="A873" t="str">
        <f>"31/12/2012"</f>
        <v>31/12/2012</v>
      </c>
      <c r="B873" t="str">
        <f>"0.9952"</f>
        <v>0.9952</v>
      </c>
      <c r="C873" t="str">
        <f>"0.9959"</f>
        <v>0.9959</v>
      </c>
    </row>
    <row r="874" spans="1:3" x14ac:dyDescent="0.25">
      <c r="A874" t="str">
        <f>"01/01/2013"</f>
        <v>01/01/2013</v>
      </c>
      <c r="B874" t="str">
        <f>"0.9943"</f>
        <v>0.9943</v>
      </c>
      <c r="C874" t="str">
        <f>"0.995"</f>
        <v>0.995</v>
      </c>
    </row>
    <row r="875" spans="1:3" x14ac:dyDescent="0.25">
      <c r="A875" t="str">
        <f>"02/01/2013"</f>
        <v>02/01/2013</v>
      </c>
      <c r="B875" t="str">
        <f>"0.9873"</f>
        <v>0.9873</v>
      </c>
      <c r="C875" t="str">
        <f>"0.9879"</f>
        <v>0.9879</v>
      </c>
    </row>
    <row r="876" spans="1:3" x14ac:dyDescent="0.25">
      <c r="A876" t="str">
        <f>"03/01/2013"</f>
        <v>03/01/2013</v>
      </c>
      <c r="B876" t="str">
        <f>"0.9861"</f>
        <v>0.9861</v>
      </c>
      <c r="C876" t="str">
        <f>"0.9868"</f>
        <v>0.9868</v>
      </c>
    </row>
    <row r="877" spans="1:3" x14ac:dyDescent="0.25">
      <c r="A877" t="str">
        <f>"04/01/2013"</f>
        <v>04/01/2013</v>
      </c>
      <c r="B877" t="str">
        <f>"0.9886"</f>
        <v>0.9886</v>
      </c>
      <c r="C877" t="str">
        <f>"0.9892"</f>
        <v>0.9892</v>
      </c>
    </row>
    <row r="878" spans="1:3" x14ac:dyDescent="0.25">
      <c r="A878" t="str">
        <f>"07/01/2013"</f>
        <v>07/01/2013</v>
      </c>
      <c r="B878" t="str">
        <f>"0.9874"</f>
        <v>0.9874</v>
      </c>
      <c r="C878" t="str">
        <f>"0.9881"</f>
        <v>0.9881</v>
      </c>
    </row>
    <row r="879" spans="1:3" x14ac:dyDescent="0.25">
      <c r="A879" t="str">
        <f>"08/01/2013"</f>
        <v>08/01/2013</v>
      </c>
      <c r="B879" t="str">
        <f>"0.9871"</f>
        <v>0.9871</v>
      </c>
      <c r="C879" t="str">
        <f>"0.9877"</f>
        <v>0.9877</v>
      </c>
    </row>
    <row r="880" spans="1:3" x14ac:dyDescent="0.25">
      <c r="A880" t="str">
        <f>"09/01/2013"</f>
        <v>09/01/2013</v>
      </c>
      <c r="B880" t="str">
        <f>"0.9876"</f>
        <v>0.9876</v>
      </c>
      <c r="C880" t="str">
        <f>"0.9883"</f>
        <v>0.9883</v>
      </c>
    </row>
    <row r="881" spans="1:3" x14ac:dyDescent="0.25">
      <c r="A881" t="str">
        <f>"10/01/2013"</f>
        <v>10/01/2013</v>
      </c>
      <c r="B881" t="str">
        <f>"0.987"</f>
        <v>0.987</v>
      </c>
      <c r="C881" t="str">
        <f>"0.9877"</f>
        <v>0.9877</v>
      </c>
    </row>
    <row r="882" spans="1:3" x14ac:dyDescent="0.25">
      <c r="A882" t="str">
        <f>"11/01/2013"</f>
        <v>11/01/2013</v>
      </c>
      <c r="B882" t="str">
        <f>"0.9833"</f>
        <v>0.9833</v>
      </c>
      <c r="C882" t="str">
        <f>"0.9839"</f>
        <v>0.9839</v>
      </c>
    </row>
    <row r="883" spans="1:3" x14ac:dyDescent="0.25">
      <c r="A883" t="str">
        <f>"14/01/2013"</f>
        <v>14/01/2013</v>
      </c>
      <c r="B883" t="str">
        <f>"0.9842"</f>
        <v>0.9842</v>
      </c>
      <c r="C883" t="str">
        <f>"0.9849"</f>
        <v>0.9849</v>
      </c>
    </row>
    <row r="884" spans="1:3" x14ac:dyDescent="0.25">
      <c r="A884" t="str">
        <f>"15/01/2013"</f>
        <v>15/01/2013</v>
      </c>
      <c r="B884" t="str">
        <f>"0.9843"</f>
        <v>0.9843</v>
      </c>
      <c r="C884" t="str">
        <f>"0.985"</f>
        <v>0.985</v>
      </c>
    </row>
    <row r="885" spans="1:3" x14ac:dyDescent="0.25">
      <c r="A885" t="str">
        <f>"16/01/2013"</f>
        <v>16/01/2013</v>
      </c>
      <c r="B885" t="str">
        <f>"0.9849"</f>
        <v>0.9849</v>
      </c>
      <c r="C885" t="str">
        <f>"0.9857"</f>
        <v>0.9857</v>
      </c>
    </row>
    <row r="886" spans="1:3" x14ac:dyDescent="0.25">
      <c r="A886" t="str">
        <f>"17/01/2013"</f>
        <v>17/01/2013</v>
      </c>
      <c r="B886" t="str">
        <f>"0.9871"</f>
        <v>0.9871</v>
      </c>
      <c r="C886" t="str">
        <f>"0.9878"</f>
        <v>0.9878</v>
      </c>
    </row>
    <row r="887" spans="1:3" x14ac:dyDescent="0.25">
      <c r="A887" t="str">
        <f>"18/01/2013"</f>
        <v>18/01/2013</v>
      </c>
      <c r="B887" t="str">
        <f>"0.987"</f>
        <v>0.987</v>
      </c>
      <c r="C887" t="str">
        <f>"0.9876"</f>
        <v>0.9876</v>
      </c>
    </row>
    <row r="888" spans="1:3" x14ac:dyDescent="0.25">
      <c r="A888" t="str">
        <f>"21/01/2013"</f>
        <v>21/01/2013</v>
      </c>
      <c r="B888" t="str">
        <f>"0.9913"</f>
        <v>0.9913</v>
      </c>
      <c r="C888" t="str">
        <f>"0.992"</f>
        <v>0.992</v>
      </c>
    </row>
    <row r="889" spans="1:3" x14ac:dyDescent="0.25">
      <c r="A889" t="str">
        <f>"22/01/2013"</f>
        <v>22/01/2013</v>
      </c>
      <c r="B889" t="str">
        <f>"0.9922"</f>
        <v>0.9922</v>
      </c>
      <c r="C889" t="str">
        <f>"0.9929"</f>
        <v>0.9929</v>
      </c>
    </row>
    <row r="890" spans="1:3" x14ac:dyDescent="0.25">
      <c r="A890" t="str">
        <f>"23/01/2013"</f>
        <v>23/01/2013</v>
      </c>
      <c r="B890" t="str">
        <f>"0.9914"</f>
        <v>0.9914</v>
      </c>
      <c r="C890" t="str">
        <f>"0.9921"</f>
        <v>0.9921</v>
      </c>
    </row>
    <row r="891" spans="1:3" x14ac:dyDescent="0.25">
      <c r="A891" t="str">
        <f>"24/01/2013"</f>
        <v>24/01/2013</v>
      </c>
      <c r="B891" t="str">
        <f>"1.00"</f>
        <v>1.00</v>
      </c>
      <c r="C891" t="str">
        <f>"1.0007"</f>
        <v>1.0007</v>
      </c>
    </row>
    <row r="892" spans="1:3" x14ac:dyDescent="0.25">
      <c r="A892" t="str">
        <f>"28/01/2013"</f>
        <v>28/01/2013</v>
      </c>
      <c r="B892" t="str">
        <f>"1.0083"</f>
        <v>1.0083</v>
      </c>
      <c r="C892" t="str">
        <f>"1.0089"</f>
        <v>1.0089</v>
      </c>
    </row>
    <row r="893" spans="1:3" x14ac:dyDescent="0.25">
      <c r="A893" t="str">
        <f>"29/01/2013"</f>
        <v>29/01/2013</v>
      </c>
      <c r="B893" t="str">
        <f>"1.0055"</f>
        <v>1.0055</v>
      </c>
      <c r="C893" t="str">
        <f>"1.0062"</f>
        <v>1.0062</v>
      </c>
    </row>
    <row r="894" spans="1:3" x14ac:dyDescent="0.25">
      <c r="A894" t="str">
        <f>"30/01/2013"</f>
        <v>30/01/2013</v>
      </c>
      <c r="B894" t="str">
        <f>"1.0019"</f>
        <v>1.0019</v>
      </c>
      <c r="C894" t="str">
        <f>"1.0026"</f>
        <v>1.0026</v>
      </c>
    </row>
    <row r="895" spans="1:3" x14ac:dyDescent="0.25">
      <c r="A895" t="str">
        <f>"31/01/2013"</f>
        <v>31/01/2013</v>
      </c>
      <c r="B895" t="str">
        <f>"1.0031"</f>
        <v>1.0031</v>
      </c>
      <c r="C895" t="str">
        <f>"1.0038"</f>
        <v>1.0038</v>
      </c>
    </row>
    <row r="896" spans="1:3" x14ac:dyDescent="0.25">
      <c r="A896" t="str">
        <f>"01/02/2013"</f>
        <v>01/02/2013</v>
      </c>
      <c r="B896" t="str">
        <f>"0.9976"</f>
        <v>0.9976</v>
      </c>
      <c r="C896" t="str">
        <f>"0.9982"</f>
        <v>0.9982</v>
      </c>
    </row>
    <row r="897" spans="1:3" x14ac:dyDescent="0.25">
      <c r="A897" t="str">
        <f>"04/02/2013"</f>
        <v>04/02/2013</v>
      </c>
      <c r="B897" t="str">
        <f>"0.9977"</f>
        <v>0.9977</v>
      </c>
      <c r="C897" t="str">
        <f>"0.9983"</f>
        <v>0.9983</v>
      </c>
    </row>
    <row r="898" spans="1:3" x14ac:dyDescent="0.25">
      <c r="A898" t="str">
        <f>"05/02/2013"</f>
        <v>05/02/2013</v>
      </c>
      <c r="B898" t="str">
        <f>"0.9992"</f>
        <v>0.9992</v>
      </c>
      <c r="C898" t="str">
        <f>"0.9998"</f>
        <v>0.9998</v>
      </c>
    </row>
    <row r="899" spans="1:3" x14ac:dyDescent="0.25">
      <c r="A899" t="str">
        <f>"06/02/2013"</f>
        <v>06/02/2013</v>
      </c>
      <c r="B899" t="str">
        <f>"0.9967"</f>
        <v>0.9967</v>
      </c>
      <c r="C899" t="str">
        <f>"0.9973"</f>
        <v>0.9973</v>
      </c>
    </row>
    <row r="900" spans="1:3" x14ac:dyDescent="0.25">
      <c r="A900" t="str">
        <f>"07/02/2013"</f>
        <v>07/02/2013</v>
      </c>
      <c r="B900" t="str">
        <f>"0.9962"</f>
        <v>0.9962</v>
      </c>
      <c r="C900" t="str">
        <f>"0.9968"</f>
        <v>0.9968</v>
      </c>
    </row>
    <row r="901" spans="1:3" x14ac:dyDescent="0.25">
      <c r="A901" t="str">
        <f>"08/02/2013"</f>
        <v>08/02/2013</v>
      </c>
      <c r="B901" t="str">
        <f>"0.9981"</f>
        <v>0.9981</v>
      </c>
      <c r="C901" t="str">
        <f>"0.9988"</f>
        <v>0.9988</v>
      </c>
    </row>
    <row r="902" spans="1:3" x14ac:dyDescent="0.25">
      <c r="A902" t="str">
        <f>"11/02/2013"</f>
        <v>11/02/2013</v>
      </c>
      <c r="B902" t="str">
        <f>"1.0048"</f>
        <v>1.0048</v>
      </c>
      <c r="C902" t="str">
        <f>"1.0054"</f>
        <v>1.0054</v>
      </c>
    </row>
    <row r="903" spans="1:3" x14ac:dyDescent="0.25">
      <c r="A903" t="str">
        <f>"12/02/2013"</f>
        <v>12/02/2013</v>
      </c>
      <c r="B903" t="str">
        <f>"1.0066"</f>
        <v>1.0066</v>
      </c>
      <c r="C903" t="str">
        <f>"1.0072"</f>
        <v>1.0072</v>
      </c>
    </row>
    <row r="904" spans="1:3" x14ac:dyDescent="0.25">
      <c r="A904" t="str">
        <f>"13/02/2013"</f>
        <v>13/02/2013</v>
      </c>
      <c r="B904" t="str">
        <f>"1.002"</f>
        <v>1.002</v>
      </c>
      <c r="C904" t="str">
        <f>"1.0026"</f>
        <v>1.0026</v>
      </c>
    </row>
    <row r="905" spans="1:3" x14ac:dyDescent="0.25">
      <c r="A905" t="str">
        <f>"14/02/2013"</f>
        <v>14/02/2013</v>
      </c>
      <c r="B905" t="str">
        <f>"1.0015"</f>
        <v>1.0015</v>
      </c>
      <c r="C905" t="str">
        <f>"1.0021"</f>
        <v>1.0021</v>
      </c>
    </row>
    <row r="906" spans="1:3" x14ac:dyDescent="0.25">
      <c r="A906" t="str">
        <f>"15/02/2013"</f>
        <v>15/02/2013</v>
      </c>
      <c r="B906" t="str">
        <f>"1.0003"</f>
        <v>1.0003</v>
      </c>
      <c r="C906" t="str">
        <f>"1.001"</f>
        <v>1.001</v>
      </c>
    </row>
    <row r="907" spans="1:3" x14ac:dyDescent="0.25">
      <c r="A907" t="str">
        <f>"18/02/2013"</f>
        <v>18/02/2013</v>
      </c>
      <c r="B907" t="str">
        <f>"1.008"</f>
        <v>1.008</v>
      </c>
      <c r="C907" t="str">
        <f>"1.0086"</f>
        <v>1.0086</v>
      </c>
    </row>
    <row r="908" spans="1:3" x14ac:dyDescent="0.25">
      <c r="A908" t="str">
        <f>"20/02/2013"</f>
        <v>20/02/2013</v>
      </c>
      <c r="B908" t="str">
        <f>"1.0117"</f>
        <v>1.0117</v>
      </c>
      <c r="C908" t="str">
        <f>"1.0123"</f>
        <v>1.0123</v>
      </c>
    </row>
    <row r="909" spans="1:3" x14ac:dyDescent="0.25">
      <c r="A909" t="str">
        <f>"21/02/2013"</f>
        <v>21/02/2013</v>
      </c>
      <c r="B909" t="str">
        <f>"1.0186"</f>
        <v>1.0186</v>
      </c>
      <c r="C909" t="str">
        <f>"1.0192"</f>
        <v>1.0192</v>
      </c>
    </row>
    <row r="910" spans="1:3" x14ac:dyDescent="0.25">
      <c r="A910" t="str">
        <f>"22/02/2013"</f>
        <v>22/02/2013</v>
      </c>
      <c r="B910" t="str">
        <f>"1.0161"</f>
        <v>1.0161</v>
      </c>
      <c r="C910" t="str">
        <f>"1.0167"</f>
        <v>1.0167</v>
      </c>
    </row>
    <row r="911" spans="1:3" x14ac:dyDescent="0.25">
      <c r="A911" t="str">
        <f>"25/02/2013"</f>
        <v>25/02/2013</v>
      </c>
      <c r="B911" t="str">
        <f>"1.0238"</f>
        <v>1.0238</v>
      </c>
      <c r="C911" t="str">
        <f>"1.0245"</f>
        <v>1.0245</v>
      </c>
    </row>
    <row r="912" spans="1:3" x14ac:dyDescent="0.25">
      <c r="A912" t="str">
        <f>"26/02/2013"</f>
        <v>26/02/2013</v>
      </c>
      <c r="B912" t="str">
        <f>"1.0252"</f>
        <v>1.0252</v>
      </c>
      <c r="C912" t="str">
        <f>"1.0258"</f>
        <v>1.0258</v>
      </c>
    </row>
    <row r="913" spans="1:3" x14ac:dyDescent="0.25">
      <c r="A913" t="str">
        <f>"27/02/2013"</f>
        <v>27/02/2013</v>
      </c>
      <c r="B913" t="str">
        <f>"1.0256"</f>
        <v>1.0256</v>
      </c>
      <c r="C913" t="str">
        <f>"1.0263"</f>
        <v>1.0263</v>
      </c>
    </row>
    <row r="914" spans="1:3" x14ac:dyDescent="0.25">
      <c r="A914" t="str">
        <f>"28/02/2013"</f>
        <v>28/02/2013</v>
      </c>
      <c r="B914" t="str">
        <f>"1.0232"</f>
        <v>1.0232</v>
      </c>
      <c r="C914" t="str">
        <f>"1.0239"</f>
        <v>1.0239</v>
      </c>
    </row>
    <row r="915" spans="1:3" x14ac:dyDescent="0.25">
      <c r="A915" t="str">
        <f>"01/03/2013"</f>
        <v>01/03/2013</v>
      </c>
      <c r="B915" t="str">
        <f>"1.0297"</f>
        <v>1.0297</v>
      </c>
      <c r="C915" t="str">
        <f>"1.0304"</f>
        <v>1.0304</v>
      </c>
    </row>
    <row r="916" spans="1:3" x14ac:dyDescent="0.25">
      <c r="A916" t="str">
        <f>"04/03/2013"</f>
        <v>04/03/2013</v>
      </c>
      <c r="B916" t="str">
        <f>"1.0307"</f>
        <v>1.0307</v>
      </c>
      <c r="C916" t="str">
        <f>"1.0314"</f>
        <v>1.0314</v>
      </c>
    </row>
    <row r="917" spans="1:3" x14ac:dyDescent="0.25">
      <c r="A917" t="str">
        <f>"05/03/2013"</f>
        <v>05/03/2013</v>
      </c>
      <c r="B917" t="str">
        <f>"1.026"</f>
        <v>1.026</v>
      </c>
      <c r="C917" t="str">
        <f>"1.0267"</f>
        <v>1.0267</v>
      </c>
    </row>
    <row r="918" spans="1:3" x14ac:dyDescent="0.25">
      <c r="A918" t="str">
        <f>"06/03/2013"</f>
        <v>06/03/2013</v>
      </c>
      <c r="B918" t="str">
        <f>"1.0261"</f>
        <v>1.0261</v>
      </c>
      <c r="C918" t="str">
        <f>"1.0269"</f>
        <v>1.0269</v>
      </c>
    </row>
    <row r="919" spans="1:3" x14ac:dyDescent="0.25">
      <c r="A919" t="str">
        <f>"07/03/2013"</f>
        <v>07/03/2013</v>
      </c>
      <c r="B919" t="str">
        <f>"1.0318"</f>
        <v>1.0318</v>
      </c>
      <c r="C919" t="str">
        <f>"1.0325"</f>
        <v>1.0325</v>
      </c>
    </row>
    <row r="920" spans="1:3" x14ac:dyDescent="0.25">
      <c r="A920" t="str">
        <f>"08/03/2013"</f>
        <v>08/03/2013</v>
      </c>
      <c r="B920" t="str">
        <f>"1.031"</f>
        <v>1.031</v>
      </c>
      <c r="C920" t="str">
        <f>"1.0318"</f>
        <v>1.0318</v>
      </c>
    </row>
    <row r="921" spans="1:3" x14ac:dyDescent="0.25">
      <c r="A921" t="str">
        <f>"11/03/2013"</f>
        <v>11/03/2013</v>
      </c>
      <c r="B921" t="str">
        <f>"1.0278"</f>
        <v>1.0278</v>
      </c>
      <c r="C921" t="str">
        <f>"1.0285"</f>
        <v>1.0285</v>
      </c>
    </row>
    <row r="922" spans="1:3" x14ac:dyDescent="0.25">
      <c r="A922" t="str">
        <f>"12/03/2013"</f>
        <v>12/03/2013</v>
      </c>
      <c r="B922" t="str">
        <f>"1.0266"</f>
        <v>1.0266</v>
      </c>
      <c r="C922" t="str">
        <f>"1.0274"</f>
        <v>1.0274</v>
      </c>
    </row>
    <row r="923" spans="1:3" x14ac:dyDescent="0.25">
      <c r="A923" t="str">
        <f>"13/03/2013"</f>
        <v>13/03/2013</v>
      </c>
      <c r="B923" t="str">
        <f>"1.0259"</f>
        <v>1.0259</v>
      </c>
      <c r="C923" t="str">
        <f>"1.0267"</f>
        <v>1.0267</v>
      </c>
    </row>
    <row r="924" spans="1:3" x14ac:dyDescent="0.25">
      <c r="A924" t="str">
        <f>"14/03/2013"</f>
        <v>14/03/2013</v>
      </c>
      <c r="B924" t="str">
        <f>"1.027"</f>
        <v>1.027</v>
      </c>
      <c r="C924" t="str">
        <f>"1.0277"</f>
        <v>1.0277</v>
      </c>
    </row>
    <row r="925" spans="1:3" x14ac:dyDescent="0.25">
      <c r="A925" t="str">
        <f>"15/03/2013"</f>
        <v>15/03/2013</v>
      </c>
      <c r="B925" t="str">
        <f>"1.0222"</f>
        <v>1.0222</v>
      </c>
      <c r="C925" t="str">
        <f>"1.0229"</f>
        <v>1.0229</v>
      </c>
    </row>
    <row r="926" spans="1:3" x14ac:dyDescent="0.25">
      <c r="A926" t="str">
        <f>"18/03/2013"</f>
        <v>18/03/2013</v>
      </c>
      <c r="B926" t="str">
        <f>"1.0236"</f>
        <v>1.0236</v>
      </c>
      <c r="C926" t="str">
        <f>"1.0243"</f>
        <v>1.0243</v>
      </c>
    </row>
    <row r="927" spans="1:3" x14ac:dyDescent="0.25">
      <c r="A927" t="str">
        <f>"19/03/2013"</f>
        <v>19/03/2013</v>
      </c>
      <c r="B927" t="str">
        <f>"1.022"</f>
        <v>1.022</v>
      </c>
      <c r="C927" t="str">
        <f>"1.0228"</f>
        <v>1.0228</v>
      </c>
    </row>
    <row r="928" spans="1:3" x14ac:dyDescent="0.25">
      <c r="A928" t="str">
        <f>"20/03/2013"</f>
        <v>20/03/2013</v>
      </c>
      <c r="B928" t="str">
        <f>"1.027"</f>
        <v>1.027</v>
      </c>
      <c r="C928" t="str">
        <f>"1.0277"</f>
        <v>1.0277</v>
      </c>
    </row>
    <row r="929" spans="1:3" x14ac:dyDescent="0.25">
      <c r="A929" t="str">
        <f>"21/03/2013"</f>
        <v>21/03/2013</v>
      </c>
      <c r="B929" t="str">
        <f>"1.025"</f>
        <v>1.025</v>
      </c>
      <c r="C929" t="str">
        <f>"1.0257"</f>
        <v>1.0257</v>
      </c>
    </row>
    <row r="930" spans="1:3" x14ac:dyDescent="0.25">
      <c r="A930" t="str">
        <f>"22/03/2013"</f>
        <v>22/03/2013</v>
      </c>
      <c r="B930" t="str">
        <f>"1.0243"</f>
        <v>1.0243</v>
      </c>
      <c r="C930" t="str">
        <f>"1.025"</f>
        <v>1.025</v>
      </c>
    </row>
    <row r="931" spans="1:3" x14ac:dyDescent="0.25">
      <c r="A931" t="str">
        <f>"25/03/2013"</f>
        <v>25/03/2013</v>
      </c>
      <c r="B931" t="str">
        <f>"1.0229"</f>
        <v>1.0229</v>
      </c>
      <c r="C931" t="str">
        <f>"1.0236"</f>
        <v>1.0236</v>
      </c>
    </row>
    <row r="932" spans="1:3" x14ac:dyDescent="0.25">
      <c r="A932" t="str">
        <f>"26/03/2013"</f>
        <v>26/03/2013</v>
      </c>
      <c r="B932" t="str">
        <f>"1.0201"</f>
        <v>1.0201</v>
      </c>
      <c r="C932" t="str">
        <f>"1.0209"</f>
        <v>1.0209</v>
      </c>
    </row>
    <row r="933" spans="1:3" x14ac:dyDescent="0.25">
      <c r="A933" t="str">
        <f>"28/03/2013"</f>
        <v>28/03/2013</v>
      </c>
      <c r="B933" t="str">
        <f>"1.0164"</f>
        <v>1.0164</v>
      </c>
      <c r="C933" t="str">
        <f>"1.0171"</f>
        <v>1.0171</v>
      </c>
    </row>
    <row r="934" spans="1:3" x14ac:dyDescent="0.25">
      <c r="A934" t="str">
        <f>"02/04/2013"</f>
        <v>02/04/2013</v>
      </c>
      <c r="B934" t="str">
        <f>"1.0153"</f>
        <v>1.0153</v>
      </c>
      <c r="C934" t="str">
        <f>"1.0159"</f>
        <v>1.0159</v>
      </c>
    </row>
    <row r="935" spans="1:3" x14ac:dyDescent="0.25">
      <c r="A935" t="str">
        <f>"03/04/2013"</f>
        <v>03/04/2013</v>
      </c>
      <c r="B935" t="str">
        <f>"1.0138"</f>
        <v>1.0138</v>
      </c>
      <c r="C935" t="str">
        <f>"1.0146"</f>
        <v>1.0146</v>
      </c>
    </row>
    <row r="936" spans="1:3" x14ac:dyDescent="0.25">
      <c r="A936" t="str">
        <f>"04/04/2013"</f>
        <v>04/04/2013</v>
      </c>
      <c r="B936" t="str">
        <f>"1.0147"</f>
        <v>1.0147</v>
      </c>
      <c r="C936" t="str">
        <f>"1.0154"</f>
        <v>1.0154</v>
      </c>
    </row>
    <row r="937" spans="1:3" x14ac:dyDescent="0.25">
      <c r="A937" t="str">
        <f>"05/04/2013"</f>
        <v>05/04/2013</v>
      </c>
      <c r="B937" t="str">
        <f>"1.013"</f>
        <v>1.013</v>
      </c>
      <c r="C937" t="str">
        <f>"1.0138"</f>
        <v>1.0138</v>
      </c>
    </row>
    <row r="938" spans="1:3" x14ac:dyDescent="0.25">
      <c r="A938" t="str">
        <f>"08/04/2013"</f>
        <v>08/04/2013</v>
      </c>
      <c r="B938" t="str">
        <f>"1.017"</f>
        <v>1.017</v>
      </c>
      <c r="C938" t="str">
        <f>"1.0178"</f>
        <v>1.0178</v>
      </c>
    </row>
    <row r="939" spans="1:3" x14ac:dyDescent="0.25">
      <c r="A939" t="str">
        <f>"09/04/2013"</f>
        <v>09/04/2013</v>
      </c>
      <c r="B939" t="str">
        <f>"1.0167"</f>
        <v>1.0167</v>
      </c>
      <c r="C939" t="str">
        <f>"1.0174"</f>
        <v>1.0174</v>
      </c>
    </row>
    <row r="940" spans="1:3" x14ac:dyDescent="0.25">
      <c r="A940" t="str">
        <f>"10/04/2013"</f>
        <v>10/04/2013</v>
      </c>
      <c r="B940" t="str">
        <f>"1.0154"</f>
        <v>1.0154</v>
      </c>
      <c r="C940" t="str">
        <f>"1.0162"</f>
        <v>1.0162</v>
      </c>
    </row>
    <row r="941" spans="1:3" x14ac:dyDescent="0.25">
      <c r="A941" t="str">
        <f>"12/04/2013"</f>
        <v>12/04/2013</v>
      </c>
      <c r="B941" t="str">
        <f>"1.01"</f>
        <v>1.01</v>
      </c>
      <c r="C941" t="str">
        <f>"1.0108"</f>
        <v>1.0108</v>
      </c>
    </row>
    <row r="942" spans="1:3" x14ac:dyDescent="0.25">
      <c r="A942" t="str">
        <f>"15/04/2013"</f>
        <v>15/04/2013</v>
      </c>
      <c r="B942" t="str">
        <f>"1.0194"</f>
        <v>1.0194</v>
      </c>
      <c r="C942" t="str">
        <f>"1.0201"</f>
        <v>1.0201</v>
      </c>
    </row>
    <row r="943" spans="1:3" x14ac:dyDescent="0.25">
      <c r="A943" t="str">
        <f>"16/04/2013"</f>
        <v>16/04/2013</v>
      </c>
      <c r="B943" t="str">
        <f>"1.0221"</f>
        <v>1.0221</v>
      </c>
      <c r="C943" t="str">
        <f>"1.0228"</f>
        <v>1.0228</v>
      </c>
    </row>
    <row r="944" spans="1:3" x14ac:dyDescent="0.25">
      <c r="A944" t="str">
        <f>"17/04/2013"</f>
        <v>17/04/2013</v>
      </c>
      <c r="B944" t="str">
        <f>"1.0229"</f>
        <v>1.0229</v>
      </c>
      <c r="C944" t="str">
        <f>"1.0237"</f>
        <v>1.0237</v>
      </c>
    </row>
    <row r="945" spans="1:3" x14ac:dyDescent="0.25">
      <c r="A945" t="str">
        <f>"18/04/2013"</f>
        <v>18/04/2013</v>
      </c>
      <c r="B945" t="str">
        <f>"1.0254"</f>
        <v>1.0254</v>
      </c>
      <c r="C945" t="str">
        <f>"1.0261"</f>
        <v>1.0261</v>
      </c>
    </row>
    <row r="946" spans="1:3" x14ac:dyDescent="0.25">
      <c r="A946" t="str">
        <f>"22/04/2013"</f>
        <v>22/04/2013</v>
      </c>
      <c r="B946" t="str">
        <f>"1.0254"</f>
        <v>1.0254</v>
      </c>
      <c r="C946" t="str">
        <f>"1.0262"</f>
        <v>1.0262</v>
      </c>
    </row>
    <row r="947" spans="1:3" x14ac:dyDescent="0.25">
      <c r="A947" t="str">
        <f>"23/04/2013"</f>
        <v>23/04/2013</v>
      </c>
      <c r="B947" t="str">
        <f>"1.0274"</f>
        <v>1.0274</v>
      </c>
      <c r="C947" t="str">
        <f>"1.0281"</f>
        <v>1.0281</v>
      </c>
    </row>
    <row r="948" spans="1:3" x14ac:dyDescent="0.25">
      <c r="A948" t="str">
        <f>"25/04/2013"</f>
        <v>25/04/2013</v>
      </c>
      <c r="B948" t="str">
        <f>"1.0235"</f>
        <v>1.0235</v>
      </c>
      <c r="C948" t="str">
        <f>"1.0242"</f>
        <v>1.0242</v>
      </c>
    </row>
    <row r="949" spans="1:3" x14ac:dyDescent="0.25">
      <c r="A949" t="str">
        <f>"26/04/2013"</f>
        <v>26/04/2013</v>
      </c>
      <c r="B949" t="str">
        <f>"1.0197"</f>
        <v>1.0197</v>
      </c>
      <c r="C949" t="str">
        <f>"1.0205"</f>
        <v>1.0205</v>
      </c>
    </row>
    <row r="950" spans="1:3" x14ac:dyDescent="0.25">
      <c r="A950" t="str">
        <f>"29/04/2013"</f>
        <v>29/04/2013</v>
      </c>
      <c r="B950" t="str">
        <f>"1.0153"</f>
        <v>1.0153</v>
      </c>
      <c r="C950" t="str">
        <f>"1.0161"</f>
        <v>1.0161</v>
      </c>
    </row>
    <row r="951" spans="1:3" x14ac:dyDescent="0.25">
      <c r="A951" t="str">
        <f>"30/04/2013"</f>
        <v>30/04/2013</v>
      </c>
      <c r="B951" t="str">
        <f>"1.0118"</f>
        <v>1.0118</v>
      </c>
      <c r="C951" t="str">
        <f>"1.0126"</f>
        <v>1.0126</v>
      </c>
    </row>
    <row r="952" spans="1:3" x14ac:dyDescent="0.25">
      <c r="A952" t="str">
        <f>"02/05/2013"</f>
        <v>02/05/2013</v>
      </c>
      <c r="B952" t="str">
        <f>"1.0081"</f>
        <v>1.0081</v>
      </c>
      <c r="C952" t="str">
        <f>"1.0088"</f>
        <v>1.0088</v>
      </c>
    </row>
    <row r="953" spans="1:3" x14ac:dyDescent="0.25">
      <c r="A953" t="str">
        <f>"03/05/2013"</f>
        <v>03/05/2013</v>
      </c>
      <c r="B953" t="str">
        <f>"1.0114"</f>
        <v>1.0114</v>
      </c>
      <c r="C953" t="str">
        <f>"1.0121"</f>
        <v>1.0121</v>
      </c>
    </row>
    <row r="954" spans="1:3" x14ac:dyDescent="0.25">
      <c r="A954" t="str">
        <f>"06/05/2013"</f>
        <v>06/05/2013</v>
      </c>
      <c r="B954" t="str">
        <f>"1.0076"</f>
        <v>1.0076</v>
      </c>
      <c r="C954" t="str">
        <f>"1.0083"</f>
        <v>1.0083</v>
      </c>
    </row>
    <row r="955" spans="1:3" x14ac:dyDescent="0.25">
      <c r="A955" t="str">
        <f>"07/05/2013"</f>
        <v>07/05/2013</v>
      </c>
      <c r="B955" t="str">
        <f>"1.0071"</f>
        <v>1.0071</v>
      </c>
      <c r="C955" t="str">
        <f>"1.0079"</f>
        <v>1.0079</v>
      </c>
    </row>
    <row r="956" spans="1:3" x14ac:dyDescent="0.25">
      <c r="A956" t="str">
        <f>"08/05/2013"</f>
        <v>08/05/2013</v>
      </c>
      <c r="B956" t="str">
        <f>"1.0052"</f>
        <v>1.0052</v>
      </c>
      <c r="C956" t="str">
        <f>"1.0059"</f>
        <v>1.0059</v>
      </c>
    </row>
    <row r="957" spans="1:3" x14ac:dyDescent="0.25">
      <c r="A957" t="str">
        <f>"09/05/2013"</f>
        <v>09/05/2013</v>
      </c>
      <c r="B957" t="str">
        <f>"1.0024"</f>
        <v>1.0024</v>
      </c>
      <c r="C957" t="str">
        <f>"1.0031"</f>
        <v>1.0031</v>
      </c>
    </row>
    <row r="958" spans="1:3" x14ac:dyDescent="0.25">
      <c r="A958" t="str">
        <f>"10/05/2013"</f>
        <v>10/05/2013</v>
      </c>
      <c r="B958" t="str">
        <f>"1.0078"</f>
        <v>1.0078</v>
      </c>
      <c r="C958" t="str">
        <f>"1.0086"</f>
        <v>1.0086</v>
      </c>
    </row>
    <row r="959" spans="1:3" x14ac:dyDescent="0.25">
      <c r="A959" t="str">
        <f>"13/05/2013"</f>
        <v>13/05/2013</v>
      </c>
      <c r="B959" t="str">
        <f>"1.0129"</f>
        <v>1.0129</v>
      </c>
      <c r="C959" t="str">
        <f>"1.0136"</f>
        <v>1.0136</v>
      </c>
    </row>
    <row r="960" spans="1:3" x14ac:dyDescent="0.25">
      <c r="A960" t="str">
        <f>"14/05/2013"</f>
        <v>14/05/2013</v>
      </c>
      <c r="B960" t="str">
        <f>"1.0107"</f>
        <v>1.0107</v>
      </c>
      <c r="C960" t="str">
        <f>"1.0115"</f>
        <v>1.0115</v>
      </c>
    </row>
    <row r="961" spans="1:3" x14ac:dyDescent="0.25">
      <c r="A961" t="str">
        <f>"15/05/2013"</f>
        <v>15/05/2013</v>
      </c>
      <c r="B961" t="str">
        <f>"1.0185"</f>
        <v>1.0185</v>
      </c>
      <c r="C961" t="str">
        <f>"1.0193"</f>
        <v>1.0193</v>
      </c>
    </row>
    <row r="962" spans="1:3" x14ac:dyDescent="0.25">
      <c r="A962" t="str">
        <f>"16/05/2013"</f>
        <v>16/05/2013</v>
      </c>
      <c r="B962" t="str">
        <f>"1.0173"</f>
        <v>1.0173</v>
      </c>
      <c r="C962" t="str">
        <f>"1.018"</f>
        <v>1.018</v>
      </c>
    </row>
    <row r="963" spans="1:3" x14ac:dyDescent="0.25">
      <c r="A963" t="str">
        <f>"17/05/2013"</f>
        <v>17/05/2013</v>
      </c>
      <c r="B963" t="str">
        <f>"1.0219"</f>
        <v>1.0219</v>
      </c>
      <c r="C963" t="str">
        <f>"1.0227"</f>
        <v>1.0227</v>
      </c>
    </row>
    <row r="964" spans="1:3" x14ac:dyDescent="0.25">
      <c r="A964" t="str">
        <f>"20/05/2013"</f>
        <v>20/05/2013</v>
      </c>
      <c r="B964" t="str">
        <f>"1.0284"</f>
        <v>1.0284</v>
      </c>
      <c r="C964" t="str">
        <f>"1.0291"</f>
        <v>1.0291</v>
      </c>
    </row>
    <row r="965" spans="1:3" x14ac:dyDescent="0.25">
      <c r="A965" t="str">
        <f>"21/05/2013"</f>
        <v>21/05/2013</v>
      </c>
      <c r="B965" t="str">
        <f>"1.0253"</f>
        <v>1.0253</v>
      </c>
      <c r="C965" t="str">
        <f>"1.0261"</f>
        <v>1.0261</v>
      </c>
    </row>
    <row r="966" spans="1:3" x14ac:dyDescent="0.25">
      <c r="A966" t="str">
        <f>"22/05/2013"</f>
        <v>22/05/2013</v>
      </c>
      <c r="B966" t="str">
        <f>"1.0273"</f>
        <v>1.0273</v>
      </c>
      <c r="C966" t="str">
        <f>"1.0281"</f>
        <v>1.0281</v>
      </c>
    </row>
    <row r="967" spans="1:3" x14ac:dyDescent="0.25">
      <c r="A967" t="str">
        <f>"23/05/2013"</f>
        <v>23/05/2013</v>
      </c>
      <c r="B967" t="str">
        <f>"1.0372"</f>
        <v>1.0372</v>
      </c>
      <c r="C967" t="str">
        <f>"1.038"</f>
        <v>1.038</v>
      </c>
    </row>
    <row r="968" spans="1:3" x14ac:dyDescent="0.25">
      <c r="A968" t="str">
        <f>"24/05/2013"</f>
        <v>24/05/2013</v>
      </c>
      <c r="B968" t="str">
        <f>"1.0326"</f>
        <v>1.0326</v>
      </c>
      <c r="C968" t="str">
        <f>"1.0333"</f>
        <v>1.0333</v>
      </c>
    </row>
    <row r="969" spans="1:3" x14ac:dyDescent="0.25">
      <c r="A969" t="str">
        <f>"27/05/2013"</f>
        <v>27/05/2013</v>
      </c>
      <c r="B969" t="str">
        <f>"1.0331"</f>
        <v>1.0331</v>
      </c>
      <c r="C969" t="str">
        <f>"1.0339"</f>
        <v>1.0339</v>
      </c>
    </row>
    <row r="970" spans="1:3" x14ac:dyDescent="0.25">
      <c r="A970" t="str">
        <f>"28/05/2013"</f>
        <v>28/05/2013</v>
      </c>
      <c r="B970" t="str">
        <f>"1.0345"</f>
        <v>1.0345</v>
      </c>
      <c r="C970" t="str">
        <f>"1.0352"</f>
        <v>1.0352</v>
      </c>
    </row>
    <row r="971" spans="1:3" x14ac:dyDescent="0.25">
      <c r="A971" t="str">
        <f>"29/05/2013"</f>
        <v>29/05/2013</v>
      </c>
      <c r="B971" t="str">
        <f>"1.0408"</f>
        <v>1.0408</v>
      </c>
      <c r="C971" t="str">
        <f>"1.0415"</f>
        <v>1.0415</v>
      </c>
    </row>
    <row r="972" spans="1:3" x14ac:dyDescent="0.25">
      <c r="A972" t="str">
        <f>"30/05/2013"</f>
        <v>30/05/2013</v>
      </c>
      <c r="B972" t="str">
        <f>"1.035"</f>
        <v>1.035</v>
      </c>
      <c r="C972" t="str">
        <f>"1.0358"</f>
        <v>1.0358</v>
      </c>
    </row>
    <row r="973" spans="1:3" x14ac:dyDescent="0.25">
      <c r="A973" t="str">
        <f>"31/05/2013"</f>
        <v>31/05/2013</v>
      </c>
      <c r="B973" t="str">
        <f>"1.0312"</f>
        <v>1.0312</v>
      </c>
      <c r="C973" t="str">
        <f>"1.0319"</f>
        <v>1.0319</v>
      </c>
    </row>
    <row r="974" spans="1:3" x14ac:dyDescent="0.25">
      <c r="A974" t="str">
        <f>"03/06/2013"</f>
        <v>03/06/2013</v>
      </c>
      <c r="B974" t="str">
        <f>"1.0367"</f>
        <v>1.0367</v>
      </c>
      <c r="C974" t="str">
        <f>"1.0375"</f>
        <v>1.0375</v>
      </c>
    </row>
    <row r="975" spans="1:3" x14ac:dyDescent="0.25">
      <c r="A975" t="str">
        <f>"04/06/2013"</f>
        <v>04/06/2013</v>
      </c>
      <c r="B975" t="str">
        <f>"1.0289"</f>
        <v>1.0289</v>
      </c>
      <c r="C975" t="str">
        <f>"1.0296"</f>
        <v>1.0296</v>
      </c>
    </row>
    <row r="976" spans="1:3" x14ac:dyDescent="0.25">
      <c r="A976" t="str">
        <f>"05/06/2013"</f>
        <v>05/06/2013</v>
      </c>
      <c r="B976" t="str">
        <f>"1.0338"</f>
        <v>1.0338</v>
      </c>
      <c r="C976" t="str">
        <f>"1.0346"</f>
        <v>1.0346</v>
      </c>
    </row>
    <row r="977" spans="1:3" x14ac:dyDescent="0.25">
      <c r="A977" t="str">
        <f>"06/06/2013"</f>
        <v>06/06/2013</v>
      </c>
      <c r="B977" t="str">
        <f>"1.0358"</f>
        <v>1.0358</v>
      </c>
      <c r="C977" t="str">
        <f>"1.0366"</f>
        <v>1.0366</v>
      </c>
    </row>
    <row r="978" spans="1:3" x14ac:dyDescent="0.25">
      <c r="A978" t="str">
        <f>"07/06/2013"</f>
        <v>07/06/2013</v>
      </c>
      <c r="B978" t="str">
        <f>"1.0271"</f>
        <v>1.0271</v>
      </c>
      <c r="C978" t="str">
        <f>"1.0278"</f>
        <v>1.0278</v>
      </c>
    </row>
    <row r="979" spans="1:3" x14ac:dyDescent="0.25">
      <c r="A979" t="str">
        <f>"10/06/2013"</f>
        <v>10/06/2013</v>
      </c>
      <c r="B979" t="str">
        <f>"1.0209"</f>
        <v>1.0209</v>
      </c>
      <c r="C979" t="str">
        <f>"1.0216"</f>
        <v>1.0216</v>
      </c>
    </row>
    <row r="980" spans="1:3" x14ac:dyDescent="0.25">
      <c r="A980" t="str">
        <f>"11/06/2013"</f>
        <v>11/06/2013</v>
      </c>
      <c r="B980" t="str">
        <f>"1.0189"</f>
        <v>1.0189</v>
      </c>
      <c r="C980" t="str">
        <f>"1.0197"</f>
        <v>1.0197</v>
      </c>
    </row>
    <row r="981" spans="1:3" x14ac:dyDescent="0.25">
      <c r="A981" t="str">
        <f>"12/06/2013"</f>
        <v>12/06/2013</v>
      </c>
      <c r="B981" t="str">
        <f>"1.0209"</f>
        <v>1.0209</v>
      </c>
      <c r="C981" t="str">
        <f>"1.0217"</f>
        <v>1.0217</v>
      </c>
    </row>
    <row r="982" spans="1:3" x14ac:dyDescent="0.25">
      <c r="A982" t="str">
        <f>"13/06/2013"</f>
        <v>13/06/2013</v>
      </c>
      <c r="B982" t="str">
        <f>"1.0216"</f>
        <v>1.0216</v>
      </c>
      <c r="C982" t="str">
        <f>"1.0224"</f>
        <v>1.0224</v>
      </c>
    </row>
    <row r="983" spans="1:3" x14ac:dyDescent="0.25">
      <c r="A983" t="str">
        <f>"14/06/2013"</f>
        <v>14/06/2013</v>
      </c>
      <c r="B983" t="str">
        <f>"1.0181"</f>
        <v>1.0181</v>
      </c>
      <c r="C983" t="str">
        <f>"1.0188"</f>
        <v>1.0188</v>
      </c>
    </row>
    <row r="984" spans="1:3" x14ac:dyDescent="0.25">
      <c r="A984" t="str">
        <f>"17/06/2013"</f>
        <v>17/06/2013</v>
      </c>
      <c r="B984" t="str">
        <f>"1.0165"</f>
        <v>1.0165</v>
      </c>
      <c r="C984" t="str">
        <f>"1.0173"</f>
        <v>1.0173</v>
      </c>
    </row>
    <row r="985" spans="1:3" x14ac:dyDescent="0.25">
      <c r="A985" t="str">
        <f>"18/06/2013"</f>
        <v>18/06/2013</v>
      </c>
      <c r="B985" t="str">
        <f>"1.0181"</f>
        <v>1.0181</v>
      </c>
      <c r="C985" t="str">
        <f>"1.0188"</f>
        <v>1.0188</v>
      </c>
    </row>
    <row r="986" spans="1:3" x14ac:dyDescent="0.25">
      <c r="A986" t="str">
        <f>"19/06/2013"</f>
        <v>19/06/2013</v>
      </c>
      <c r="B986" t="str">
        <f>"1.0226"</f>
        <v>1.0226</v>
      </c>
      <c r="C986" t="str">
        <f>"1.0234"</f>
        <v>1.0234</v>
      </c>
    </row>
    <row r="987" spans="1:3" x14ac:dyDescent="0.25">
      <c r="A987" t="str">
        <f>"20/06/2013"</f>
        <v>20/06/2013</v>
      </c>
      <c r="B987" t="str">
        <f>"1.0289"</f>
        <v>1.0289</v>
      </c>
      <c r="C987" t="str">
        <f>"1.0297"</f>
        <v>1.0297</v>
      </c>
    </row>
    <row r="988" spans="1:3" x14ac:dyDescent="0.25">
      <c r="A988" t="str">
        <f>"21/06/2013"</f>
        <v>21/06/2013</v>
      </c>
      <c r="B988" t="str">
        <f>"1.0375"</f>
        <v>1.0375</v>
      </c>
      <c r="C988" t="str">
        <f>"1.0383"</f>
        <v>1.0383</v>
      </c>
    </row>
    <row r="989" spans="1:3" x14ac:dyDescent="0.25">
      <c r="A989" t="str">
        <f>"24/06/2013"</f>
        <v>24/06/2013</v>
      </c>
      <c r="B989" t="str">
        <f>"1.0498"</f>
        <v>1.0498</v>
      </c>
      <c r="C989" t="str">
        <f>"1.0505"</f>
        <v>1.0505</v>
      </c>
    </row>
    <row r="990" spans="1:3" x14ac:dyDescent="0.25">
      <c r="A990" t="str">
        <f>"25/06/2013"</f>
        <v>25/06/2013</v>
      </c>
      <c r="B990" t="str">
        <f>"1.0521"</f>
        <v>1.0521</v>
      </c>
      <c r="C990" t="str">
        <f>"1.0529"</f>
        <v>1.0529</v>
      </c>
    </row>
    <row r="991" spans="1:3" x14ac:dyDescent="0.25">
      <c r="A991" t="str">
        <f>"26/06/2013"</f>
        <v>26/06/2013</v>
      </c>
      <c r="B991" t="str">
        <f>"1.051"</f>
        <v>1.051</v>
      </c>
      <c r="C991" t="str">
        <f>"1.0518"</f>
        <v>1.0518</v>
      </c>
    </row>
    <row r="992" spans="1:3" x14ac:dyDescent="0.25">
      <c r="A992" t="str">
        <f>"27/06/2013"</f>
        <v>27/06/2013</v>
      </c>
      <c r="B992" t="str">
        <f>"1.0433"</f>
        <v>1.0433</v>
      </c>
      <c r="C992" t="str">
        <f>"1.0441"</f>
        <v>1.0441</v>
      </c>
    </row>
    <row r="993" spans="1:3" x14ac:dyDescent="0.25">
      <c r="A993" t="str">
        <f>"28/06/2013"</f>
        <v>28/06/2013</v>
      </c>
      <c r="B993" t="str">
        <f>"1.0477"</f>
        <v>1.0477</v>
      </c>
      <c r="C993" t="str">
        <f>"1.0485"</f>
        <v>1.0485</v>
      </c>
    </row>
    <row r="994" spans="1:3" x14ac:dyDescent="0.25">
      <c r="A994" t="str">
        <f>"01/07/2013"</f>
        <v>01/07/2013</v>
      </c>
      <c r="B994" t="str">
        <f>"1.0509"</f>
        <v>1.0509</v>
      </c>
      <c r="C994" t="str">
        <f>"1.0516"</f>
        <v>1.0516</v>
      </c>
    </row>
    <row r="995" spans="1:3" x14ac:dyDescent="0.25">
      <c r="A995" t="str">
        <f>"02/07/2013"</f>
        <v>02/07/2013</v>
      </c>
      <c r="B995" t="str">
        <f>"1.0515"</f>
        <v>1.0515</v>
      </c>
      <c r="C995" t="str">
        <f>"1.0523"</f>
        <v>1.0523</v>
      </c>
    </row>
    <row r="996" spans="1:3" x14ac:dyDescent="0.25">
      <c r="A996" t="str">
        <f>"03/07/2013"</f>
        <v>03/07/2013</v>
      </c>
      <c r="B996" t="str">
        <f>"1.0547"</f>
        <v>1.0547</v>
      </c>
      <c r="C996" t="str">
        <f>"1.0556"</f>
        <v>1.0556</v>
      </c>
    </row>
    <row r="997" spans="1:3" x14ac:dyDescent="0.25">
      <c r="A997" t="str">
        <f>"04/07/2013"</f>
        <v>04/07/2013</v>
      </c>
      <c r="B997" t="str">
        <f>"1.0511"</f>
        <v>1.0511</v>
      </c>
      <c r="C997" t="str">
        <f>"1.052"</f>
        <v>1.052</v>
      </c>
    </row>
    <row r="998" spans="1:3" x14ac:dyDescent="0.25">
      <c r="A998" t="str">
        <f>"05/07/2013"</f>
        <v>05/07/2013</v>
      </c>
      <c r="B998" t="str">
        <f>"1.0531"</f>
        <v>1.0531</v>
      </c>
      <c r="C998" t="str">
        <f>"1.0539"</f>
        <v>1.0539</v>
      </c>
    </row>
    <row r="999" spans="1:3" x14ac:dyDescent="0.25">
      <c r="A999" t="str">
        <f>"08/07/2013"</f>
        <v>08/07/2013</v>
      </c>
      <c r="B999" t="str">
        <f>"1.0582"</f>
        <v>1.0582</v>
      </c>
      <c r="C999" t="str">
        <f>"1.059"</f>
        <v>1.059</v>
      </c>
    </row>
    <row r="1000" spans="1:3" x14ac:dyDescent="0.25">
      <c r="A1000" t="str">
        <f>"09/07/2013"</f>
        <v>09/07/2013</v>
      </c>
      <c r="B1000" t="str">
        <f>"1.0558"</f>
        <v>1.0558</v>
      </c>
      <c r="C1000" t="str">
        <f>"1.0567"</f>
        <v>1.0567</v>
      </c>
    </row>
    <row r="1001" spans="1:3" x14ac:dyDescent="0.25">
      <c r="A1001" t="str">
        <f>"10/07/2013"</f>
        <v>10/07/2013</v>
      </c>
      <c r="B1001" t="str">
        <f>"1.0523"</f>
        <v>1.0523</v>
      </c>
      <c r="C1001" t="str">
        <f>"1.0532"</f>
        <v>1.0532</v>
      </c>
    </row>
    <row r="1002" spans="1:3" x14ac:dyDescent="0.25">
      <c r="A1002" t="str">
        <f>"11/07/2013"</f>
        <v>11/07/2013</v>
      </c>
      <c r="B1002" t="str">
        <f>"1.0353"</f>
        <v>1.0353</v>
      </c>
      <c r="C1002" t="str">
        <f>"1.0361"</f>
        <v>1.0361</v>
      </c>
    </row>
    <row r="1003" spans="1:3" x14ac:dyDescent="0.25">
      <c r="A1003" t="str">
        <f>"12/07/2013"</f>
        <v>12/07/2013</v>
      </c>
      <c r="B1003" t="str">
        <f>"1.0363"</f>
        <v>1.0363</v>
      </c>
      <c r="C1003" t="str">
        <f>"1.0371"</f>
        <v>1.0371</v>
      </c>
    </row>
    <row r="1004" spans="1:3" x14ac:dyDescent="0.25">
      <c r="A1004" t="str">
        <f>"15/07/2013"</f>
        <v>15/07/2013</v>
      </c>
      <c r="B1004" t="str">
        <f>"1.0386"</f>
        <v>1.0386</v>
      </c>
      <c r="C1004" t="str">
        <f>"1.0395"</f>
        <v>1.0395</v>
      </c>
    </row>
    <row r="1005" spans="1:3" x14ac:dyDescent="0.25">
      <c r="A1005" t="str">
        <f>"16/07/2013"</f>
        <v>16/07/2013</v>
      </c>
      <c r="B1005" t="str">
        <f>"1.0436"</f>
        <v>1.0436</v>
      </c>
      <c r="C1005" t="str">
        <f>"1.0444"</f>
        <v>1.0444</v>
      </c>
    </row>
    <row r="1006" spans="1:3" x14ac:dyDescent="0.25">
      <c r="A1006" t="str">
        <f>"17/07/2013"</f>
        <v>17/07/2013</v>
      </c>
      <c r="B1006" t="str">
        <f>"1.0388"</f>
        <v>1.0388</v>
      </c>
      <c r="C1006" t="str">
        <f>"1.0397"</f>
        <v>1.0397</v>
      </c>
    </row>
    <row r="1007" spans="1:3" x14ac:dyDescent="0.25">
      <c r="A1007" t="str">
        <f>"18/07/2013"</f>
        <v>18/07/2013</v>
      </c>
      <c r="B1007" t="str">
        <f>"1.0432"</f>
        <v>1.0432</v>
      </c>
      <c r="C1007" t="str">
        <f>"1.044"</f>
        <v>1.044</v>
      </c>
    </row>
    <row r="1008" spans="1:3" x14ac:dyDescent="0.25">
      <c r="A1008" t="str">
        <f>"19/07/2013"</f>
        <v>19/07/2013</v>
      </c>
      <c r="B1008" t="str">
        <f>"1.037"</f>
        <v>1.037</v>
      </c>
      <c r="C1008" t="str">
        <f>"1.0378"</f>
        <v>1.0378</v>
      </c>
    </row>
    <row r="1009" spans="1:3" x14ac:dyDescent="0.25">
      <c r="A1009" t="str">
        <f>"22/07/2013"</f>
        <v>22/07/2013</v>
      </c>
      <c r="B1009" t="str">
        <f>"1.0359"</f>
        <v>1.0359</v>
      </c>
      <c r="C1009" t="str">
        <f>"1.0367"</f>
        <v>1.0367</v>
      </c>
    </row>
    <row r="1010" spans="1:3" x14ac:dyDescent="0.25">
      <c r="A1010" t="str">
        <f>"23/07/2013"</f>
        <v>23/07/2013</v>
      </c>
      <c r="B1010" t="str">
        <f>"1.0325"</f>
        <v>1.0325</v>
      </c>
      <c r="C1010" t="str">
        <f>"1.0334"</f>
        <v>1.0334</v>
      </c>
    </row>
    <row r="1011" spans="1:3" x14ac:dyDescent="0.25">
      <c r="A1011" t="str">
        <f>"24/07/2013"</f>
        <v>24/07/2013</v>
      </c>
      <c r="B1011" t="str">
        <f>"1.0304"</f>
        <v>1.0304</v>
      </c>
      <c r="C1011" t="str">
        <f>"1.0313"</f>
        <v>1.0313</v>
      </c>
    </row>
    <row r="1012" spans="1:3" x14ac:dyDescent="0.25">
      <c r="A1012" t="str">
        <f>"25/07/2013"</f>
        <v>25/07/2013</v>
      </c>
      <c r="B1012" t="str">
        <f>"1.0308"</f>
        <v>1.0308</v>
      </c>
      <c r="C1012" t="str">
        <f>"1.0316"</f>
        <v>1.0316</v>
      </c>
    </row>
    <row r="1013" spans="1:3" x14ac:dyDescent="0.25">
      <c r="A1013" t="str">
        <f>"26/07/2013"</f>
        <v>26/07/2013</v>
      </c>
      <c r="B1013" t="str">
        <f>"1.0277"</f>
        <v>1.0277</v>
      </c>
      <c r="C1013" t="str">
        <f>"1.0285"</f>
        <v>1.0285</v>
      </c>
    </row>
    <row r="1014" spans="1:3" x14ac:dyDescent="0.25">
      <c r="A1014" t="str">
        <f>"29/07/2013"</f>
        <v>29/07/2013</v>
      </c>
      <c r="B1014" t="str">
        <f>"1.0272"</f>
        <v>1.0272</v>
      </c>
      <c r="C1014" t="str">
        <f>"1.028"</f>
        <v>1.028</v>
      </c>
    </row>
    <row r="1015" spans="1:3" x14ac:dyDescent="0.25">
      <c r="A1015" t="str">
        <f>"30/07/2013"</f>
        <v>30/07/2013</v>
      </c>
      <c r="B1015" t="str">
        <f>"1.0276"</f>
        <v>1.0276</v>
      </c>
      <c r="C1015" t="str">
        <f>"1.0284"</f>
        <v>1.0284</v>
      </c>
    </row>
    <row r="1016" spans="1:3" x14ac:dyDescent="0.25">
      <c r="A1016" t="str">
        <f>"31/07/2013"</f>
        <v>31/07/2013</v>
      </c>
      <c r="B1016" t="str">
        <f>"1.03"</f>
        <v>1.03</v>
      </c>
      <c r="C1016" t="str">
        <f>"1.0308"</f>
        <v>1.0308</v>
      </c>
    </row>
    <row r="1017" spans="1:3" x14ac:dyDescent="0.25">
      <c r="A1017" t="str">
        <f>"01/08/2013"</f>
        <v>01/08/2013</v>
      </c>
      <c r="B1017" t="str">
        <f>"1.0296"</f>
        <v>1.0296</v>
      </c>
      <c r="C1017" t="str">
        <f>"1.0305"</f>
        <v>1.0305</v>
      </c>
    </row>
    <row r="1018" spans="1:3" x14ac:dyDescent="0.25">
      <c r="A1018" t="str">
        <f>"02/08/2013"</f>
        <v>02/08/2013</v>
      </c>
      <c r="B1018" t="str">
        <f>"1.0351"</f>
        <v>1.0351</v>
      </c>
      <c r="C1018" t="str">
        <f>"1.0359"</f>
        <v>1.0359</v>
      </c>
    </row>
    <row r="1019" spans="1:3" x14ac:dyDescent="0.25">
      <c r="A1019" t="str">
        <f>"05/08/2013"</f>
        <v>05/08/2013</v>
      </c>
      <c r="B1019" t="str">
        <f>"1.0399"</f>
        <v>1.0399</v>
      </c>
      <c r="C1019" t="str">
        <f>"1.0408"</f>
        <v>1.0408</v>
      </c>
    </row>
    <row r="1020" spans="1:3" x14ac:dyDescent="0.25">
      <c r="A1020" t="str">
        <f>"06/08/2013"</f>
        <v>06/08/2013</v>
      </c>
      <c r="B1020" t="str">
        <f>"1.0353"</f>
        <v>1.0353</v>
      </c>
      <c r="C1020" t="str">
        <f>"1.0361"</f>
        <v>1.0361</v>
      </c>
    </row>
    <row r="1021" spans="1:3" x14ac:dyDescent="0.25">
      <c r="A1021" t="str">
        <f>"07/08/2013"</f>
        <v>07/08/2013</v>
      </c>
      <c r="B1021" t="str">
        <f>"1.0383"</f>
        <v>1.0383</v>
      </c>
      <c r="C1021" t="str">
        <f>"1.0391"</f>
        <v>1.0391</v>
      </c>
    </row>
    <row r="1022" spans="1:3" x14ac:dyDescent="0.25">
      <c r="A1022" t="str">
        <f>"08/08/2013"</f>
        <v>08/08/2013</v>
      </c>
      <c r="B1022" t="str">
        <f>"1.042"</f>
        <v>1.042</v>
      </c>
      <c r="C1022" t="str">
        <f>"1.0428"</f>
        <v>1.0428</v>
      </c>
    </row>
    <row r="1023" spans="1:3" x14ac:dyDescent="0.25">
      <c r="A1023" t="str">
        <f>"12/08/2013"</f>
        <v>12/08/2013</v>
      </c>
      <c r="B1023" t="str">
        <f>"1.0288"</f>
        <v>1.0288</v>
      </c>
      <c r="C1023" t="str">
        <f>"1.0296"</f>
        <v>1.0296</v>
      </c>
    </row>
    <row r="1024" spans="1:3" x14ac:dyDescent="0.25">
      <c r="A1024" t="str">
        <f>"13/08/2013"</f>
        <v>13/08/2013</v>
      </c>
      <c r="B1024" t="str">
        <f>"1.0307"</f>
        <v>1.0307</v>
      </c>
      <c r="C1024" t="str">
        <f>"1.0316"</f>
        <v>1.0316</v>
      </c>
    </row>
    <row r="1025" spans="1:3" x14ac:dyDescent="0.25">
      <c r="A1025" t="str">
        <f>"14/08/2013"</f>
        <v>14/08/2013</v>
      </c>
      <c r="B1025" t="str">
        <f>"1.035"</f>
        <v>1.035</v>
      </c>
      <c r="C1025" t="str">
        <f>"1.0358"</f>
        <v>1.0358</v>
      </c>
    </row>
    <row r="1026" spans="1:3" x14ac:dyDescent="0.25">
      <c r="A1026" t="str">
        <f>"16/08/2013"</f>
        <v>16/08/2013</v>
      </c>
      <c r="B1026" t="str">
        <f>"1.0307"</f>
        <v>1.0307</v>
      </c>
      <c r="C1026" t="str">
        <f>"1.0315"</f>
        <v>1.0315</v>
      </c>
    </row>
    <row r="1027" spans="1:3" x14ac:dyDescent="0.25">
      <c r="A1027" t="str">
        <f>"19/08/2013"</f>
        <v>19/08/2013</v>
      </c>
      <c r="B1027" t="str">
        <f>"1.0332"</f>
        <v>1.0332</v>
      </c>
      <c r="C1027" t="str">
        <f>"1.034"</f>
        <v>1.034</v>
      </c>
    </row>
    <row r="1028" spans="1:3" x14ac:dyDescent="0.25">
      <c r="A1028" t="str">
        <f>"20/08/2013"</f>
        <v>20/08/2013</v>
      </c>
      <c r="B1028" t="str">
        <f>"1.0373"</f>
        <v>1.0373</v>
      </c>
      <c r="C1028" t="str">
        <f>"1.0381"</f>
        <v>1.0381</v>
      </c>
    </row>
    <row r="1029" spans="1:3" x14ac:dyDescent="0.25">
      <c r="A1029" t="str">
        <f>"21/08/2013"</f>
        <v>21/08/2013</v>
      </c>
      <c r="B1029" t="str">
        <f>"1.0423"</f>
        <v>1.0423</v>
      </c>
      <c r="C1029" t="str">
        <f>"1.0431"</f>
        <v>1.0431</v>
      </c>
    </row>
    <row r="1030" spans="1:3" x14ac:dyDescent="0.25">
      <c r="A1030" t="str">
        <f>"22/08/2013"</f>
        <v>22/08/2013</v>
      </c>
      <c r="B1030" t="str">
        <f>"1.0495"</f>
        <v>1.0495</v>
      </c>
      <c r="C1030" t="str">
        <f>"1.0503"</f>
        <v>1.0503</v>
      </c>
    </row>
    <row r="1031" spans="1:3" x14ac:dyDescent="0.25">
      <c r="A1031" t="str">
        <f>"23/08/2013"</f>
        <v>23/08/2013</v>
      </c>
      <c r="B1031" t="str">
        <f>"1.054"</f>
        <v>1.054</v>
      </c>
      <c r="C1031" t="str">
        <f>"1.0548"</f>
        <v>1.0548</v>
      </c>
    </row>
    <row r="1032" spans="1:3" x14ac:dyDescent="0.25">
      <c r="A1032" t="str">
        <f>"26/08/2013"</f>
        <v>26/08/2013</v>
      </c>
      <c r="B1032" t="str">
        <f>"1.0503"</f>
        <v>1.0503</v>
      </c>
      <c r="C1032" t="str">
        <f>"1.0511"</f>
        <v>1.0511</v>
      </c>
    </row>
    <row r="1033" spans="1:3" x14ac:dyDescent="0.25">
      <c r="A1033" t="str">
        <f>"27/08/2013"</f>
        <v>27/08/2013</v>
      </c>
      <c r="B1033" t="str">
        <f>"1.0514"</f>
        <v>1.0514</v>
      </c>
      <c r="C1033" t="str">
        <f>"1.0523"</f>
        <v>1.0523</v>
      </c>
    </row>
    <row r="1034" spans="1:3" x14ac:dyDescent="0.25">
      <c r="A1034" t="str">
        <f>"28/08/2013"</f>
        <v>28/08/2013</v>
      </c>
      <c r="B1034" t="str">
        <f>"1.0491"</f>
        <v>1.0491</v>
      </c>
      <c r="C1034" t="str">
        <f>"1.05"</f>
        <v>1.05</v>
      </c>
    </row>
    <row r="1035" spans="1:3" x14ac:dyDescent="0.25">
      <c r="A1035" t="str">
        <f>"29/08/2013"</f>
        <v>29/08/2013</v>
      </c>
      <c r="B1035" t="str">
        <f>"1.0481"</f>
        <v>1.0481</v>
      </c>
      <c r="C1035" t="str">
        <f>"1.0489"</f>
        <v>1.0489</v>
      </c>
    </row>
    <row r="1036" spans="1:3" x14ac:dyDescent="0.25">
      <c r="A1036" t="str">
        <f>"30/08/2013"</f>
        <v>30/08/2013</v>
      </c>
      <c r="B1036" t="str">
        <f>"1.0532"</f>
        <v>1.0532</v>
      </c>
      <c r="C1036" t="str">
        <f>"1.054"</f>
        <v>1.054</v>
      </c>
    </row>
    <row r="1037" spans="1:3" x14ac:dyDescent="0.25">
      <c r="A1037" t="str">
        <f>"02/09/2013"</f>
        <v>02/09/2013</v>
      </c>
      <c r="B1037" t="str">
        <f>"1.0521"</f>
        <v>1.0521</v>
      </c>
      <c r="C1037" t="str">
        <f>"1.0529"</f>
        <v>1.0529</v>
      </c>
    </row>
    <row r="1038" spans="1:3" x14ac:dyDescent="0.25">
      <c r="A1038" t="str">
        <f>"03/09/2013"</f>
        <v>03/09/2013</v>
      </c>
      <c r="B1038" t="str">
        <f>"1.0551"</f>
        <v>1.0551</v>
      </c>
      <c r="C1038" t="str">
        <f>"1.0559"</f>
        <v>1.0559</v>
      </c>
    </row>
    <row r="1039" spans="1:3" x14ac:dyDescent="0.25">
      <c r="A1039" t="str">
        <f>"04/09/2013"</f>
        <v>04/09/2013</v>
      </c>
      <c r="B1039" t="str">
        <f>"1.0541"</f>
        <v>1.0541</v>
      </c>
      <c r="C1039" t="str">
        <f>"1.0549"</f>
        <v>1.0549</v>
      </c>
    </row>
    <row r="1040" spans="1:3" x14ac:dyDescent="0.25">
      <c r="A1040" t="str">
        <f>"05/09/2013"</f>
        <v>05/09/2013</v>
      </c>
      <c r="B1040" t="str">
        <f>"1.0482"</f>
        <v>1.0482</v>
      </c>
      <c r="C1040" t="str">
        <f>"1.049"</f>
        <v>1.049</v>
      </c>
    </row>
    <row r="1041" spans="1:3" x14ac:dyDescent="0.25">
      <c r="A1041" t="str">
        <f>"06/09/2013"</f>
        <v>06/09/2013</v>
      </c>
      <c r="B1041" t="str">
        <f>"1.0489"</f>
        <v>1.0489</v>
      </c>
      <c r="C1041" t="str">
        <f>"1.0497"</f>
        <v>1.0497</v>
      </c>
    </row>
    <row r="1042" spans="1:3" x14ac:dyDescent="0.25">
      <c r="A1042" t="str">
        <f>"10/09/2013"</f>
        <v>10/09/2013</v>
      </c>
      <c r="B1042" t="str">
        <f>"1.0363"</f>
        <v>1.0363</v>
      </c>
      <c r="C1042" t="str">
        <f>"1.0371"</f>
        <v>1.0371</v>
      </c>
    </row>
    <row r="1043" spans="1:3" x14ac:dyDescent="0.25">
      <c r="A1043" t="str">
        <f>"11/09/2013"</f>
        <v>11/09/2013</v>
      </c>
      <c r="B1043" t="str">
        <f>"1.0364"</f>
        <v>1.0364</v>
      </c>
      <c r="C1043" t="str">
        <f>"1.0373"</f>
        <v>1.0373</v>
      </c>
    </row>
    <row r="1044" spans="1:3" x14ac:dyDescent="0.25">
      <c r="A1044" t="str">
        <f>"12/09/2013"</f>
        <v>12/09/2013</v>
      </c>
      <c r="B1044" t="str">
        <f>"1.0323"</f>
        <v>1.0323</v>
      </c>
      <c r="C1044" t="str">
        <f>"1.0331"</f>
        <v>1.0331</v>
      </c>
    </row>
    <row r="1045" spans="1:3" x14ac:dyDescent="0.25">
      <c r="A1045" t="str">
        <f>"13/09/2013"</f>
        <v>13/09/2013</v>
      </c>
      <c r="B1045" t="str">
        <f>"1.033"</f>
        <v>1.033</v>
      </c>
      <c r="C1045" t="str">
        <f>"1.0338"</f>
        <v>1.0338</v>
      </c>
    </row>
    <row r="1046" spans="1:3" x14ac:dyDescent="0.25">
      <c r="A1046" t="str">
        <f>"16/09/2013"</f>
        <v>16/09/2013</v>
      </c>
      <c r="B1046" t="str">
        <f>"1.0304"</f>
        <v>1.0304</v>
      </c>
      <c r="C1046" t="str">
        <f>"1.0312"</f>
        <v>1.0312</v>
      </c>
    </row>
    <row r="1047" spans="1:3" x14ac:dyDescent="0.25">
      <c r="A1047" t="str">
        <f>"17/09/2013"</f>
        <v>17/09/2013</v>
      </c>
      <c r="B1047" t="str">
        <f>"1.0331"</f>
        <v>1.0331</v>
      </c>
      <c r="C1047" t="str">
        <f>"1.0338"</f>
        <v>1.0338</v>
      </c>
    </row>
    <row r="1048" spans="1:3" x14ac:dyDescent="0.25">
      <c r="A1048" t="str">
        <f>"18/09/2013"</f>
        <v>18/09/2013</v>
      </c>
      <c r="B1048" t="str">
        <f>"1.0298"</f>
        <v>1.0298</v>
      </c>
      <c r="C1048" t="str">
        <f>"1.0306"</f>
        <v>1.0306</v>
      </c>
    </row>
    <row r="1049" spans="1:3" x14ac:dyDescent="0.25">
      <c r="A1049" t="str">
        <f>"19/09/2013"</f>
        <v>19/09/2013</v>
      </c>
      <c r="B1049" t="str">
        <f>"1.0223"</f>
        <v>1.0223</v>
      </c>
      <c r="C1049" t="str">
        <f>"1.0231"</f>
        <v>1.0231</v>
      </c>
    </row>
    <row r="1050" spans="1:3" x14ac:dyDescent="0.25">
      <c r="A1050" t="str">
        <f>"20/09/2013"</f>
        <v>20/09/2013</v>
      </c>
      <c r="B1050" t="str">
        <f>"1.0282"</f>
        <v>1.0282</v>
      </c>
      <c r="C1050" t="str">
        <f>"1.0289"</f>
        <v>1.0289</v>
      </c>
    </row>
    <row r="1051" spans="1:3" x14ac:dyDescent="0.25">
      <c r="A1051" t="str">
        <f>"23/09/2013"</f>
        <v>23/09/2013</v>
      </c>
      <c r="B1051" t="str">
        <f>"1.0296"</f>
        <v>1.0296</v>
      </c>
      <c r="C1051" t="str">
        <f>"1.0303"</f>
        <v>1.0303</v>
      </c>
    </row>
    <row r="1052" spans="1:3" x14ac:dyDescent="0.25">
      <c r="A1052" t="str">
        <f>"24/09/2013"</f>
        <v>24/09/2013</v>
      </c>
      <c r="B1052" t="str">
        <f>"1.0287"</f>
        <v>1.0287</v>
      </c>
      <c r="C1052" t="str">
        <f>"1.0294"</f>
        <v>1.0294</v>
      </c>
    </row>
    <row r="1053" spans="1:3" x14ac:dyDescent="0.25">
      <c r="A1053" t="str">
        <f>"25/09/2013"</f>
        <v>25/09/2013</v>
      </c>
      <c r="B1053" t="str">
        <f>"1.0305"</f>
        <v>1.0305</v>
      </c>
      <c r="C1053" t="str">
        <f>"1.0313"</f>
        <v>1.0313</v>
      </c>
    </row>
    <row r="1054" spans="1:3" x14ac:dyDescent="0.25">
      <c r="A1054" t="str">
        <f>"26/09/2013"</f>
        <v>26/09/2013</v>
      </c>
      <c r="B1054" t="str">
        <f>"1.0319"</f>
        <v>1.0319</v>
      </c>
      <c r="C1054" t="str">
        <f>"1.0326"</f>
        <v>1.0326</v>
      </c>
    </row>
    <row r="1055" spans="1:3" x14ac:dyDescent="0.25">
      <c r="A1055" t="str">
        <f>"27/09/2013"</f>
        <v>27/09/2013</v>
      </c>
      <c r="B1055" t="str">
        <f>"1.0313"</f>
        <v>1.0313</v>
      </c>
      <c r="C1055" t="str">
        <f>"1.0321"</f>
        <v>1.0321</v>
      </c>
    </row>
    <row r="1056" spans="1:3" x14ac:dyDescent="0.25">
      <c r="A1056" t="str">
        <f>"30/09/2013"</f>
        <v>30/09/2013</v>
      </c>
      <c r="B1056" t="str">
        <f>"1.0305"</f>
        <v>1.0305</v>
      </c>
      <c r="C1056" t="str">
        <f>"1.0313"</f>
        <v>1.0313</v>
      </c>
    </row>
    <row r="1057" spans="1:3" x14ac:dyDescent="0.25">
      <c r="A1057" t="str">
        <f>"01/10/2013"</f>
        <v>01/10/2013</v>
      </c>
      <c r="B1057" t="str">
        <f>"1.0311"</f>
        <v>1.0311</v>
      </c>
      <c r="C1057" t="str">
        <f>"1.032"</f>
        <v>1.032</v>
      </c>
    </row>
    <row r="1058" spans="1:3" x14ac:dyDescent="0.25">
      <c r="A1058" t="str">
        <f>"03/10/2013"</f>
        <v>03/10/2013</v>
      </c>
      <c r="B1058" t="str">
        <f>"1.0322"</f>
        <v>1.0322</v>
      </c>
      <c r="C1058" t="str">
        <f>"1.033"</f>
        <v>1.033</v>
      </c>
    </row>
    <row r="1059" spans="1:3" x14ac:dyDescent="0.25">
      <c r="A1059" t="str">
        <f>"04/10/2013"</f>
        <v>04/10/2013</v>
      </c>
      <c r="B1059" t="str">
        <f>"1.0326"</f>
        <v>1.0326</v>
      </c>
      <c r="C1059" t="str">
        <f>"1.0334"</f>
        <v>1.0334</v>
      </c>
    </row>
    <row r="1060" spans="1:3" x14ac:dyDescent="0.25">
      <c r="A1060" t="str">
        <f>"07/10/2013"</f>
        <v>07/10/2013</v>
      </c>
      <c r="B1060" t="str">
        <f>"1.0306"</f>
        <v>1.0306</v>
      </c>
      <c r="C1060" t="str">
        <f>"1.0314"</f>
        <v>1.0314</v>
      </c>
    </row>
    <row r="1061" spans="1:3" x14ac:dyDescent="0.25">
      <c r="A1061" t="str">
        <f>"08/10/2013"</f>
        <v>08/10/2013</v>
      </c>
      <c r="B1061" t="str">
        <f>"1.0324"</f>
        <v>1.0324</v>
      </c>
      <c r="C1061" t="str">
        <f>"1.0333"</f>
        <v>1.0333</v>
      </c>
    </row>
    <row r="1062" spans="1:3" x14ac:dyDescent="0.25">
      <c r="A1062" t="str">
        <f>"09/10/2013"</f>
        <v>09/10/2013</v>
      </c>
      <c r="B1062" t="str">
        <f>"1.0373"</f>
        <v>1.0373</v>
      </c>
      <c r="C1062" t="str">
        <f>"1.0382"</f>
        <v>1.0382</v>
      </c>
    </row>
    <row r="1063" spans="1:3" x14ac:dyDescent="0.25">
      <c r="A1063" t="str">
        <f>"10/10/2013"</f>
        <v>10/10/2013</v>
      </c>
      <c r="B1063" t="str">
        <f>"1.041"</f>
        <v>1.041</v>
      </c>
      <c r="C1063" t="str">
        <f>"1.0418"</f>
        <v>1.0418</v>
      </c>
    </row>
    <row r="1064" spans="1:3" x14ac:dyDescent="0.25">
      <c r="A1064" t="str">
        <f>"11/10/2013"</f>
        <v>11/10/2013</v>
      </c>
      <c r="B1064" t="str">
        <f>"1.04"</f>
        <v>1.04</v>
      </c>
      <c r="C1064" t="str">
        <f>"1.0407"</f>
        <v>1.0407</v>
      </c>
    </row>
    <row r="1065" spans="1:3" x14ac:dyDescent="0.25">
      <c r="A1065" t="str">
        <f>"14/10/2013"</f>
        <v>14/10/2013</v>
      </c>
      <c r="B1065" t="str">
        <f>"1.0357"</f>
        <v>1.0357</v>
      </c>
      <c r="C1065" t="str">
        <f>"1.0364"</f>
        <v>1.0364</v>
      </c>
    </row>
    <row r="1066" spans="1:3" x14ac:dyDescent="0.25">
      <c r="A1066" t="str">
        <f>"15/10/2013"</f>
        <v>15/10/2013</v>
      </c>
      <c r="B1066" t="str">
        <f>"1.0335"</f>
        <v>1.0335</v>
      </c>
      <c r="C1066" t="str">
        <f>"1.0343"</f>
        <v>1.0343</v>
      </c>
    </row>
    <row r="1067" spans="1:3" x14ac:dyDescent="0.25">
      <c r="A1067" t="str">
        <f>"17/10/2013"</f>
        <v>17/10/2013</v>
      </c>
      <c r="B1067" t="str">
        <f>"1.0322"</f>
        <v>1.0322</v>
      </c>
      <c r="C1067" t="str">
        <f>"1.033"</f>
        <v>1.033</v>
      </c>
    </row>
    <row r="1068" spans="1:3" x14ac:dyDescent="0.25">
      <c r="A1068" t="str">
        <f>"18/10/2013"</f>
        <v>18/10/2013</v>
      </c>
      <c r="B1068" t="str">
        <f>"1.0297"</f>
        <v>1.0297</v>
      </c>
      <c r="C1068" t="str">
        <f>"1.0305"</f>
        <v>1.0305</v>
      </c>
    </row>
    <row r="1069" spans="1:3" x14ac:dyDescent="0.25">
      <c r="A1069" t="str">
        <f>"21/10/2013"</f>
        <v>21/10/2013</v>
      </c>
      <c r="B1069" t="str">
        <f>"1.0293"</f>
        <v>1.0293</v>
      </c>
      <c r="C1069" t="str">
        <f>"1.0301"</f>
        <v>1.0301</v>
      </c>
    </row>
    <row r="1070" spans="1:3" x14ac:dyDescent="0.25">
      <c r="A1070" t="str">
        <f>"22/10/2013"</f>
        <v>22/10/2013</v>
      </c>
      <c r="B1070" t="str">
        <f>"1.0306"</f>
        <v>1.0306</v>
      </c>
      <c r="C1070" t="str">
        <f>"1.0314"</f>
        <v>1.0314</v>
      </c>
    </row>
    <row r="1071" spans="1:3" x14ac:dyDescent="0.25">
      <c r="A1071" t="str">
        <f>"23/10/2013"</f>
        <v>23/10/2013</v>
      </c>
      <c r="B1071" t="str">
        <f>"1.0306"</f>
        <v>1.0306</v>
      </c>
      <c r="C1071" t="str">
        <f>"1.0314"</f>
        <v>1.0314</v>
      </c>
    </row>
    <row r="1072" spans="1:3" x14ac:dyDescent="0.25">
      <c r="A1072" t="str">
        <f>"24/10/2013"</f>
        <v>24/10/2013</v>
      </c>
      <c r="B1072" t="str">
        <f>"1.0376"</f>
        <v>1.0376</v>
      </c>
      <c r="C1072" t="str">
        <f>"1.0384"</f>
        <v>1.0384</v>
      </c>
    </row>
    <row r="1073" spans="1:3" x14ac:dyDescent="0.25">
      <c r="A1073" t="str">
        <f>"25/10/2013"</f>
        <v>25/10/2013</v>
      </c>
      <c r="B1073" t="str">
        <f>"1.0413"</f>
        <v>1.0413</v>
      </c>
      <c r="C1073" t="str">
        <f>"1.0421"</f>
        <v>1.0421</v>
      </c>
    </row>
    <row r="1074" spans="1:3" x14ac:dyDescent="0.25">
      <c r="A1074" t="str">
        <f>"28/10/2013"</f>
        <v>28/10/2013</v>
      </c>
      <c r="B1074" t="str">
        <f>"1.0437"</f>
        <v>1.0437</v>
      </c>
      <c r="C1074" t="str">
        <f>"1.0445"</f>
        <v>1.0445</v>
      </c>
    </row>
    <row r="1075" spans="1:3" x14ac:dyDescent="0.25">
      <c r="A1075" t="str">
        <f>"29/10/2013"</f>
        <v>29/10/2013</v>
      </c>
      <c r="B1075" t="str">
        <f>"1.0452"</f>
        <v>1.0452</v>
      </c>
      <c r="C1075" t="str">
        <f>"1.046"</f>
        <v>1.046</v>
      </c>
    </row>
    <row r="1076" spans="1:3" x14ac:dyDescent="0.25">
      <c r="A1076" t="str">
        <f>"30/10/2013"</f>
        <v>30/10/2013</v>
      </c>
      <c r="B1076" t="str">
        <f>"1.046"</f>
        <v>1.046</v>
      </c>
      <c r="C1076" t="str">
        <f>"1.0468"</f>
        <v>1.0468</v>
      </c>
    </row>
    <row r="1077" spans="1:3" x14ac:dyDescent="0.25">
      <c r="A1077" t="str">
        <f>"31/10/2013"</f>
        <v>31/10/2013</v>
      </c>
      <c r="B1077" t="str">
        <f>"1.0484"</f>
        <v>1.0484</v>
      </c>
      <c r="C1077" t="str">
        <f>"1.0492"</f>
        <v>1.0492</v>
      </c>
    </row>
    <row r="1078" spans="1:3" x14ac:dyDescent="0.25">
      <c r="A1078" t="str">
        <f>"01/11/2013"</f>
        <v>01/11/2013</v>
      </c>
      <c r="B1078" t="str">
        <f>"1.0427"</f>
        <v>1.0427</v>
      </c>
      <c r="C1078" t="str">
        <f>"1.0435"</f>
        <v>1.0435</v>
      </c>
    </row>
    <row r="1079" spans="1:3" x14ac:dyDescent="0.25">
      <c r="A1079" t="str">
        <f>"05/11/2013"</f>
        <v>05/11/2013</v>
      </c>
      <c r="B1079" t="str">
        <f>"1.0438"</f>
        <v>1.0438</v>
      </c>
      <c r="C1079" t="str">
        <f>"1.0446"</f>
        <v>1.0446</v>
      </c>
    </row>
    <row r="1080" spans="1:3" x14ac:dyDescent="0.25">
      <c r="A1080" t="str">
        <f>"06/11/2013"</f>
        <v>06/11/2013</v>
      </c>
      <c r="B1080" t="str">
        <f>"1.0444"</f>
        <v>1.0444</v>
      </c>
      <c r="C1080" t="str">
        <f>"1.0453"</f>
        <v>1.0453</v>
      </c>
    </row>
    <row r="1081" spans="1:3" x14ac:dyDescent="0.25">
      <c r="A1081" t="str">
        <f>"07/11/2013"</f>
        <v>07/11/2013</v>
      </c>
      <c r="B1081" t="str">
        <f>"1.0421"</f>
        <v>1.0421</v>
      </c>
      <c r="C1081" t="str">
        <f>"1.043"</f>
        <v>1.043</v>
      </c>
    </row>
    <row r="1082" spans="1:3" x14ac:dyDescent="0.25">
      <c r="A1082" t="str">
        <f>"08/11/2013"</f>
        <v>08/11/2013</v>
      </c>
      <c r="B1082" t="str">
        <f>"1.0453"</f>
        <v>1.0453</v>
      </c>
      <c r="C1082" t="str">
        <f>"1.0461"</f>
        <v>1.0461</v>
      </c>
    </row>
    <row r="1083" spans="1:3" x14ac:dyDescent="0.25">
      <c r="A1083" t="str">
        <f>"11/11/2013"</f>
        <v>11/11/2013</v>
      </c>
      <c r="B1083" t="str">
        <f>"1.0479"</f>
        <v>1.0479</v>
      </c>
      <c r="C1083" t="str">
        <f>"1.0487"</f>
        <v>1.0487</v>
      </c>
    </row>
    <row r="1084" spans="1:3" x14ac:dyDescent="0.25">
      <c r="A1084" t="str">
        <f>"12/11/2013"</f>
        <v>12/11/2013</v>
      </c>
      <c r="B1084" t="str">
        <f>"1.0483"</f>
        <v>1.0483</v>
      </c>
      <c r="C1084" t="str">
        <f>"1.049"</f>
        <v>1.049</v>
      </c>
    </row>
    <row r="1085" spans="1:3" x14ac:dyDescent="0.25">
      <c r="A1085" t="str">
        <f>"13/11/2013"</f>
        <v>13/11/2013</v>
      </c>
      <c r="B1085" t="str">
        <f>"1.049"</f>
        <v>1.049</v>
      </c>
      <c r="C1085" t="str">
        <f>"1.0499"</f>
        <v>1.0499</v>
      </c>
    </row>
    <row r="1086" spans="1:3" x14ac:dyDescent="0.25">
      <c r="A1086" t="str">
        <f>"14/11/2013"</f>
        <v>14/11/2013</v>
      </c>
      <c r="B1086" t="str">
        <f>"1.0474"</f>
        <v>1.0474</v>
      </c>
      <c r="C1086" t="str">
        <f>"1.0482"</f>
        <v>1.0482</v>
      </c>
    </row>
    <row r="1087" spans="1:3" x14ac:dyDescent="0.25">
      <c r="A1087" t="str">
        <f>"18/11/2013"</f>
        <v>18/11/2013</v>
      </c>
      <c r="B1087" t="str">
        <f>"1.0432"</f>
        <v>1.0432</v>
      </c>
      <c r="C1087" t="str">
        <f>"1.044"</f>
        <v>1.044</v>
      </c>
    </row>
    <row r="1088" spans="1:3" x14ac:dyDescent="0.25">
      <c r="A1088" t="str">
        <f>"19/11/2013"</f>
        <v>19/11/2013</v>
      </c>
      <c r="B1088" t="str">
        <f>"1.0435"</f>
        <v>1.0435</v>
      </c>
      <c r="C1088" t="str">
        <f>"1.0444"</f>
        <v>1.0444</v>
      </c>
    </row>
    <row r="1089" spans="1:3" x14ac:dyDescent="0.25">
      <c r="A1089" t="str">
        <f>"20/11/2013"</f>
        <v>20/11/2013</v>
      </c>
      <c r="B1089" t="str">
        <f>"1.0468"</f>
        <v>1.0468</v>
      </c>
      <c r="C1089" t="str">
        <f>"1.0477"</f>
        <v>1.0477</v>
      </c>
    </row>
    <row r="1090" spans="1:3" x14ac:dyDescent="0.25">
      <c r="A1090" t="str">
        <f>"21/11/2013"</f>
        <v>21/11/2013</v>
      </c>
      <c r="B1090" t="str">
        <f>"1.0467"</f>
        <v>1.0467</v>
      </c>
      <c r="C1090" t="str">
        <f>"1.0475"</f>
        <v>1.0475</v>
      </c>
    </row>
    <row r="1091" spans="1:3" x14ac:dyDescent="0.25">
      <c r="A1091" t="str">
        <f>"22/11/2013"</f>
        <v>22/11/2013</v>
      </c>
      <c r="B1091" t="str">
        <f>"1.0542"</f>
        <v>1.0542</v>
      </c>
      <c r="C1091" t="str">
        <f>"1.0551"</f>
        <v>1.0551</v>
      </c>
    </row>
    <row r="1092" spans="1:3" x14ac:dyDescent="0.25">
      <c r="A1092" t="str">
        <f>"25/11/2013"</f>
        <v>25/11/2013</v>
      </c>
      <c r="B1092" t="str">
        <f>"1.0556"</f>
        <v>1.0556</v>
      </c>
      <c r="C1092" t="str">
        <f>"1.0565"</f>
        <v>1.0565</v>
      </c>
    </row>
    <row r="1093" spans="1:3" x14ac:dyDescent="0.25">
      <c r="A1093" t="str">
        <f>"26/11/2013"</f>
        <v>26/11/2013</v>
      </c>
      <c r="B1093" t="str">
        <f>"1.0531"</f>
        <v>1.0531</v>
      </c>
      <c r="C1093" t="str">
        <f>"1.0539"</f>
        <v>1.0539</v>
      </c>
    </row>
    <row r="1094" spans="1:3" x14ac:dyDescent="0.25">
      <c r="A1094" t="str">
        <f>"27/11/2013"</f>
        <v>27/11/2013</v>
      </c>
      <c r="B1094" t="str">
        <f>"1.0551"</f>
        <v>1.0551</v>
      </c>
      <c r="C1094" t="str">
        <f>"1.056"</f>
        <v>1.056</v>
      </c>
    </row>
    <row r="1095" spans="1:3" x14ac:dyDescent="0.25">
      <c r="A1095" t="str">
        <f>"28/11/2013"</f>
        <v>28/11/2013</v>
      </c>
      <c r="B1095" t="str">
        <f>"1.0586"</f>
        <v>1.0586</v>
      </c>
      <c r="C1095" t="str">
        <f>"1.0595"</f>
        <v>1.0595</v>
      </c>
    </row>
    <row r="1096" spans="1:3" x14ac:dyDescent="0.25">
      <c r="A1096" t="str">
        <f>"29/11/2013"</f>
        <v>29/11/2013</v>
      </c>
      <c r="B1096" t="str">
        <f>"1.0598"</f>
        <v>1.0598</v>
      </c>
      <c r="C1096" t="str">
        <f>"1.0606"</f>
        <v>1.0606</v>
      </c>
    </row>
    <row r="1097" spans="1:3" x14ac:dyDescent="0.25">
      <c r="A1097" t="str">
        <f>"02/12/2013"</f>
        <v>02/12/2013</v>
      </c>
      <c r="B1097" t="str">
        <f>"1.0622"</f>
        <v>1.0622</v>
      </c>
      <c r="C1097" t="str">
        <f>"1.063"</f>
        <v>1.063</v>
      </c>
    </row>
    <row r="1098" spans="1:3" x14ac:dyDescent="0.25">
      <c r="A1098" t="str">
        <f>"03/12/2013"</f>
        <v>03/12/2013</v>
      </c>
      <c r="B1098" t="str">
        <f>"1.0648"</f>
        <v>1.0648</v>
      </c>
      <c r="C1098" t="str">
        <f>"1.0657"</f>
        <v>1.0657</v>
      </c>
    </row>
    <row r="1099" spans="1:3" x14ac:dyDescent="0.25">
      <c r="A1099" t="str">
        <f>"04/12/2013"</f>
        <v>04/12/2013</v>
      </c>
      <c r="B1099" t="str">
        <f>"1.064"</f>
        <v>1.064</v>
      </c>
      <c r="C1099" t="str">
        <f>"1.0648"</f>
        <v>1.0648</v>
      </c>
    </row>
    <row r="1100" spans="1:3" x14ac:dyDescent="0.25">
      <c r="A1100" t="str">
        <f>"05/12/2013"</f>
        <v>05/12/2013</v>
      </c>
      <c r="B1100" t="str">
        <f>"1.0679"</f>
        <v>1.0679</v>
      </c>
      <c r="C1100" t="str">
        <f>"1.0688"</f>
        <v>1.0688</v>
      </c>
    </row>
    <row r="1101" spans="1:3" x14ac:dyDescent="0.25">
      <c r="A1101" t="str">
        <f>"06/12/2013"</f>
        <v>06/12/2013</v>
      </c>
      <c r="B1101" t="str">
        <f>"1.0657"</f>
        <v>1.0657</v>
      </c>
      <c r="C1101" t="str">
        <f>"1.0665"</f>
        <v>1.0665</v>
      </c>
    </row>
    <row r="1102" spans="1:3" x14ac:dyDescent="0.25">
      <c r="A1102" t="str">
        <f>"09/12/2013"</f>
        <v>09/12/2013</v>
      </c>
      <c r="B1102" t="str">
        <f>"1.0647"</f>
        <v>1.0647</v>
      </c>
      <c r="C1102" t="str">
        <f>"1.0656"</f>
        <v>1.0656</v>
      </c>
    </row>
    <row r="1103" spans="1:3" x14ac:dyDescent="0.25">
      <c r="A1103" t="str">
        <f>"10/12/2013"</f>
        <v>10/12/2013</v>
      </c>
      <c r="B1103" t="str">
        <f>"1.0633"</f>
        <v>1.0633</v>
      </c>
      <c r="C1103" t="str">
        <f>"1.0642"</f>
        <v>1.0642</v>
      </c>
    </row>
    <row r="1104" spans="1:3" x14ac:dyDescent="0.25">
      <c r="A1104" t="str">
        <f>"11/12/2013"</f>
        <v>11/12/2013</v>
      </c>
      <c r="B1104" t="str">
        <f>"1.0605"</f>
        <v>1.0605</v>
      </c>
      <c r="C1104" t="str">
        <f>"1.0614"</f>
        <v>1.0614</v>
      </c>
    </row>
    <row r="1105" spans="1:3" x14ac:dyDescent="0.25">
      <c r="A1105" t="str">
        <f>"12/12/2013"</f>
        <v>12/12/2013</v>
      </c>
      <c r="B1105" t="str">
        <f>"1.0589"</f>
        <v>1.0589</v>
      </c>
      <c r="C1105" t="str">
        <f>"1.0597"</f>
        <v>1.0597</v>
      </c>
    </row>
    <row r="1106" spans="1:3" x14ac:dyDescent="0.25">
      <c r="A1106" t="str">
        <f>"13/12/2013"</f>
        <v>13/12/2013</v>
      </c>
      <c r="B1106" t="str">
        <f>"1.0646"</f>
        <v>1.0646</v>
      </c>
      <c r="C1106" t="str">
        <f>"1.0654"</f>
        <v>1.0654</v>
      </c>
    </row>
    <row r="1107" spans="1:3" x14ac:dyDescent="0.25">
      <c r="A1107" t="str">
        <f>"16/12/2013"</f>
        <v>16/12/2013</v>
      </c>
      <c r="B1107" t="str">
        <f>"1.0585"</f>
        <v>1.0585</v>
      </c>
      <c r="C1107" t="str">
        <f>"1.0593"</f>
        <v>1.0593</v>
      </c>
    </row>
    <row r="1108" spans="1:3" x14ac:dyDescent="0.25">
      <c r="A1108" t="str">
        <f>"17/12/2013"</f>
        <v>17/12/2013</v>
      </c>
      <c r="B1108" t="str">
        <f>"1.0585"</f>
        <v>1.0585</v>
      </c>
      <c r="C1108" t="str">
        <f>"1.0593"</f>
        <v>1.0593</v>
      </c>
    </row>
    <row r="1109" spans="1:3" x14ac:dyDescent="0.25">
      <c r="A1109" t="str">
        <f>"18/12/2013"</f>
        <v>18/12/2013</v>
      </c>
      <c r="B1109" t="str">
        <f>"1.061"</f>
        <v>1.061</v>
      </c>
      <c r="C1109" t="str">
        <f>"1.0619"</f>
        <v>1.0619</v>
      </c>
    </row>
    <row r="1110" spans="1:3" x14ac:dyDescent="0.25">
      <c r="A1110" t="str">
        <f>"19/12/2013"</f>
        <v>19/12/2013</v>
      </c>
      <c r="B1110" t="str">
        <f>"1.0723"</f>
        <v>1.0723</v>
      </c>
      <c r="C1110" t="str">
        <f>"1.0732"</f>
        <v>1.0732</v>
      </c>
    </row>
    <row r="1111" spans="1:3" x14ac:dyDescent="0.25">
      <c r="A1111" t="str">
        <f>"20/12/2013"</f>
        <v>20/12/2013</v>
      </c>
      <c r="B1111" t="str">
        <f>"1.0669"</f>
        <v>1.0669</v>
      </c>
      <c r="C1111" t="str">
        <f>"1.0678"</f>
        <v>1.0678</v>
      </c>
    </row>
    <row r="1112" spans="1:3" x14ac:dyDescent="0.25">
      <c r="A1112" t="str">
        <f>"23/12/2013"</f>
        <v>23/12/2013</v>
      </c>
      <c r="B1112" t="str">
        <f>"1.0641"</f>
        <v>1.0641</v>
      </c>
      <c r="C1112" t="str">
        <f>"1.0649"</f>
        <v>1.0649</v>
      </c>
    </row>
    <row r="1113" spans="1:3" x14ac:dyDescent="0.25">
      <c r="A1113" t="str">
        <f>"24/12/2013"</f>
        <v>24/12/2013</v>
      </c>
      <c r="B1113" t="str">
        <f>"1.0625"</f>
        <v>1.0625</v>
      </c>
      <c r="C1113" t="str">
        <f>"1.0633"</f>
        <v>1.0633</v>
      </c>
    </row>
    <row r="1114" spans="1:3" x14ac:dyDescent="0.25">
      <c r="A1114" t="str">
        <f>"26/12/2013"</f>
        <v>26/12/2013</v>
      </c>
      <c r="B1114" t="str">
        <f>"1.0643"</f>
        <v>1.0643</v>
      </c>
      <c r="C1114" t="str">
        <f>"1.0651"</f>
        <v>1.0651</v>
      </c>
    </row>
    <row r="1115" spans="1:3" x14ac:dyDescent="0.25">
      <c r="A1115" t="str">
        <f>"27/12/2013"</f>
        <v>27/12/2013</v>
      </c>
      <c r="B1115" t="str">
        <f>"1.0635"</f>
        <v>1.0635</v>
      </c>
      <c r="C1115" t="str">
        <f>"1.0643"</f>
        <v>1.0643</v>
      </c>
    </row>
    <row r="1116" spans="1:3" x14ac:dyDescent="0.25">
      <c r="A1116" t="str">
        <f>"30/12/2013"</f>
        <v>30/12/2013</v>
      </c>
      <c r="B1116" t="str">
        <f>"1.0712"</f>
        <v>1.0712</v>
      </c>
      <c r="C1116" t="str">
        <f>"1.072"</f>
        <v>1.072</v>
      </c>
    </row>
    <row r="1117" spans="1:3" x14ac:dyDescent="0.25">
      <c r="A1117" t="str">
        <f>"31/12/2013"</f>
        <v>31/12/2013</v>
      </c>
      <c r="B1117" t="str">
        <f>"1.0649"</f>
        <v>1.0649</v>
      </c>
      <c r="C1117" t="str">
        <f>"1.0657"</f>
        <v>1.0657</v>
      </c>
    </row>
    <row r="1118" spans="1:3" x14ac:dyDescent="0.25">
      <c r="A1118" t="str">
        <f>"01/01/2014"</f>
        <v>01/01/2014</v>
      </c>
      <c r="B1118" t="str">
        <f>"1.072"</f>
        <v>1.072</v>
      </c>
      <c r="C1118" t="str">
        <f>"1.0728"</f>
        <v>1.0728</v>
      </c>
    </row>
    <row r="1119" spans="1:3" x14ac:dyDescent="0.25">
      <c r="A1119" t="str">
        <f>"02/01/2014"</f>
        <v>02/01/2014</v>
      </c>
      <c r="B1119" t="str">
        <f>"1.0637"</f>
        <v>1.0637</v>
      </c>
      <c r="C1119" t="str">
        <f>"1.0645"</f>
        <v>1.0645</v>
      </c>
    </row>
    <row r="1120" spans="1:3" x14ac:dyDescent="0.25">
      <c r="A1120" t="str">
        <f>"03/01/2014"</f>
        <v>03/01/2014</v>
      </c>
      <c r="B1120" t="str">
        <f>"1.0647"</f>
        <v>1.0647</v>
      </c>
      <c r="C1120" t="str">
        <f>"1.0655"</f>
        <v>1.0655</v>
      </c>
    </row>
    <row r="1121" spans="1:3" x14ac:dyDescent="0.25">
      <c r="A1121" t="str">
        <f>"06/01/2014"</f>
        <v>06/01/2014</v>
      </c>
      <c r="B1121" t="str">
        <f>"1.0623"</f>
        <v>1.0623</v>
      </c>
      <c r="C1121" t="str">
        <f>"1.0631"</f>
        <v>1.0631</v>
      </c>
    </row>
    <row r="1122" spans="1:3" x14ac:dyDescent="0.25">
      <c r="A1122" t="str">
        <f>"07/01/2014"</f>
        <v>07/01/2014</v>
      </c>
      <c r="B1122" t="str">
        <f>"1.0676"</f>
        <v>1.0676</v>
      </c>
      <c r="C1122" t="str">
        <f>"1.0684"</f>
        <v>1.0684</v>
      </c>
    </row>
    <row r="1123" spans="1:3" x14ac:dyDescent="0.25">
      <c r="A1123" t="str">
        <f>"08/01/2014"</f>
        <v>08/01/2014</v>
      </c>
      <c r="B1123" t="str">
        <f>"1.0791"</f>
        <v>1.0791</v>
      </c>
      <c r="C1123" t="str">
        <f>"1.0799"</f>
        <v>1.0799</v>
      </c>
    </row>
    <row r="1124" spans="1:3" x14ac:dyDescent="0.25">
      <c r="A1124" t="str">
        <f>"09/01/2014"</f>
        <v>09/01/2014</v>
      </c>
      <c r="B1124" t="str">
        <f>"1.0842"</f>
        <v>1.0842</v>
      </c>
      <c r="C1124" t="str">
        <f>"1.085"</f>
        <v>1.085</v>
      </c>
    </row>
    <row r="1125" spans="1:3" x14ac:dyDescent="0.25">
      <c r="A1125" t="str">
        <f>"10/01/2014"</f>
        <v>10/01/2014</v>
      </c>
      <c r="B1125" t="str">
        <f>"1.0843"</f>
        <v>1.0843</v>
      </c>
      <c r="C1125" t="str">
        <f>"1.0852"</f>
        <v>1.0852</v>
      </c>
    </row>
    <row r="1126" spans="1:3" x14ac:dyDescent="0.25">
      <c r="A1126" t="str">
        <f>"16/01/2014"</f>
        <v>16/01/2014</v>
      </c>
      <c r="B1126" t="str">
        <f>"1.0935"</f>
        <v>1.0935</v>
      </c>
      <c r="C1126" t="str">
        <f>"1.0943"</f>
        <v>1.0943</v>
      </c>
    </row>
    <row r="1127" spans="1:3" x14ac:dyDescent="0.25">
      <c r="A1127" t="str">
        <f>"17/01/2014"</f>
        <v>17/01/2014</v>
      </c>
      <c r="B1127" t="str">
        <f>"1.0937"</f>
        <v>1.0937</v>
      </c>
      <c r="C1127" t="str">
        <f>"1.0945"</f>
        <v>1.0945</v>
      </c>
    </row>
    <row r="1128" spans="1:3" x14ac:dyDescent="0.25">
      <c r="A1128" t="str">
        <f>"20/01/2014"</f>
        <v>20/01/2014</v>
      </c>
      <c r="B1128" t="str">
        <f>"1.0949"</f>
        <v>1.0949</v>
      </c>
      <c r="C1128" t="str">
        <f>"1.0957"</f>
        <v>1.0957</v>
      </c>
    </row>
    <row r="1129" spans="1:3" x14ac:dyDescent="0.25">
      <c r="A1129" t="str">
        <f>"21/01/2014"</f>
        <v>21/01/2014</v>
      </c>
      <c r="B1129" t="str">
        <f>"1.0954"</f>
        <v>1.0954</v>
      </c>
      <c r="C1129" t="str">
        <f>"1.0962"</f>
        <v>1.0962</v>
      </c>
    </row>
    <row r="1130" spans="1:3" x14ac:dyDescent="0.25">
      <c r="A1130" t="str">
        <f>"22/01/2014"</f>
        <v>22/01/2014</v>
      </c>
      <c r="B1130" t="str">
        <f>"1.0971"</f>
        <v>1.0971</v>
      </c>
      <c r="C1130" t="str">
        <f>"1.0979"</f>
        <v>1.0979</v>
      </c>
    </row>
    <row r="1131" spans="1:3" x14ac:dyDescent="0.25">
      <c r="A1131" t="str">
        <f>"23/01/2014"</f>
        <v>23/01/2014</v>
      </c>
      <c r="B1131" t="str">
        <f>"1.1145"</f>
        <v>1.1145</v>
      </c>
      <c r="C1131" t="str">
        <f>"1.1153"</f>
        <v>1.1153</v>
      </c>
    </row>
    <row r="1132" spans="1:3" x14ac:dyDescent="0.25">
      <c r="A1132" t="str">
        <f>"24/01/2014"</f>
        <v>24/01/2014</v>
      </c>
      <c r="B1132" t="str">
        <f>"1.1107"</f>
        <v>1.1107</v>
      </c>
      <c r="C1132" t="str">
        <f>"1.1115"</f>
        <v>1.1115</v>
      </c>
    </row>
    <row r="1133" spans="1:3" x14ac:dyDescent="0.25">
      <c r="A1133" t="str">
        <f>"27/01/2014"</f>
        <v>27/01/2014</v>
      </c>
      <c r="B1133" t="str">
        <f>"1.106"</f>
        <v>1.106</v>
      </c>
      <c r="C1133" t="str">
        <f>"1.1068"</f>
        <v>1.1068</v>
      </c>
    </row>
    <row r="1134" spans="1:3" x14ac:dyDescent="0.25">
      <c r="A1134" t="str">
        <f>"28/01/2014"</f>
        <v>28/01/2014</v>
      </c>
      <c r="B1134" t="str">
        <f>"1.11"</f>
        <v>1.11</v>
      </c>
      <c r="C1134" t="str">
        <f>"1.1108"</f>
        <v>1.1108</v>
      </c>
    </row>
    <row r="1135" spans="1:3" x14ac:dyDescent="0.25">
      <c r="A1135" t="str">
        <f>"29/01/2014"</f>
        <v>29/01/2014</v>
      </c>
      <c r="B1135" t="str">
        <f>"1.1146"</f>
        <v>1.1146</v>
      </c>
      <c r="C1135" t="str">
        <f>"1.1153"</f>
        <v>1.1153</v>
      </c>
    </row>
    <row r="1136" spans="1:3" x14ac:dyDescent="0.25">
      <c r="A1136" t="str">
        <f>"30/01/2014"</f>
        <v>30/01/2014</v>
      </c>
      <c r="B1136" t="str">
        <f>"1.1193"</f>
        <v>1.1193</v>
      </c>
      <c r="C1136" t="str">
        <f>"1.1201"</f>
        <v>1.1201</v>
      </c>
    </row>
    <row r="1137" spans="1:3" x14ac:dyDescent="0.25">
      <c r="A1137" t="str">
        <f>"31/01/2014"</f>
        <v>31/01/2014</v>
      </c>
      <c r="B1137" t="str">
        <f>"1.1178"</f>
        <v>1.1178</v>
      </c>
      <c r="C1137" t="str">
        <f>"1.1185"</f>
        <v>1.1185</v>
      </c>
    </row>
    <row r="1138" spans="1:3" x14ac:dyDescent="0.25">
      <c r="A1138" t="str">
        <f>"03/02/2014"</f>
        <v>03/02/2014</v>
      </c>
      <c r="B1138" t="str">
        <f>"1.1115"</f>
        <v>1.1115</v>
      </c>
      <c r="C1138" t="str">
        <f>"1.1123"</f>
        <v>1.1123</v>
      </c>
    </row>
    <row r="1139" spans="1:3" x14ac:dyDescent="0.25">
      <c r="A1139" t="str">
        <f>"04/02/2014"</f>
        <v>04/02/2014</v>
      </c>
      <c r="B1139" t="str">
        <f>"1.1086"</f>
        <v>1.1086</v>
      </c>
      <c r="C1139" t="str">
        <f>"1.1093"</f>
        <v>1.1093</v>
      </c>
    </row>
    <row r="1140" spans="1:3" x14ac:dyDescent="0.25">
      <c r="A1140" t="str">
        <f>"05/02/2014"</f>
        <v>05/02/2014</v>
      </c>
      <c r="B1140" t="str">
        <f>"1.1092"</f>
        <v>1.1092</v>
      </c>
      <c r="C1140" t="str">
        <f>"1.11"</f>
        <v>1.11</v>
      </c>
    </row>
    <row r="1141" spans="1:3" x14ac:dyDescent="0.25">
      <c r="A1141" t="str">
        <f>"06/02/2014"</f>
        <v>06/02/2014</v>
      </c>
      <c r="B1141" t="str">
        <f>"1.1066"</f>
        <v>1.1066</v>
      </c>
      <c r="C1141" t="str">
        <f>"1.1073"</f>
        <v>1.1073</v>
      </c>
    </row>
    <row r="1142" spans="1:3" x14ac:dyDescent="0.25">
      <c r="A1142" t="str">
        <f>"07/02/2014"</f>
        <v>07/02/2014</v>
      </c>
      <c r="B1142" t="str">
        <f>"1.1066"</f>
        <v>1.1066</v>
      </c>
      <c r="C1142" t="str">
        <f>"1.1073"</f>
        <v>1.1073</v>
      </c>
    </row>
    <row r="1143" spans="1:3" x14ac:dyDescent="0.25">
      <c r="A1143" t="str">
        <f>"10/02/2014"</f>
        <v>10/02/2014</v>
      </c>
      <c r="B1143" t="str">
        <f>"1.1031"</f>
        <v>1.1031</v>
      </c>
      <c r="C1143" t="str">
        <f>"1.1039"</f>
        <v>1.1039</v>
      </c>
    </row>
    <row r="1144" spans="1:3" x14ac:dyDescent="0.25">
      <c r="A1144" t="str">
        <f>"11/02/2014"</f>
        <v>11/02/2014</v>
      </c>
      <c r="B1144" t="str">
        <f>"1.1075"</f>
        <v>1.1075</v>
      </c>
      <c r="C1144" t="str">
        <f>"1.1082"</f>
        <v>1.1082</v>
      </c>
    </row>
    <row r="1145" spans="1:3" x14ac:dyDescent="0.25">
      <c r="A1145" t="str">
        <f>"12/02/2014"</f>
        <v>12/02/2014</v>
      </c>
      <c r="B1145" t="str">
        <f>"1.0999"</f>
        <v>1.0999</v>
      </c>
      <c r="C1145" t="str">
        <f>"1.1006"</f>
        <v>1.1006</v>
      </c>
    </row>
    <row r="1146" spans="1:3" x14ac:dyDescent="0.25">
      <c r="A1146" t="str">
        <f>"13/02/2014"</f>
        <v>13/02/2014</v>
      </c>
      <c r="B1146" t="str">
        <f>"1.1009"</f>
        <v>1.1009</v>
      </c>
      <c r="C1146" t="str">
        <f>"1.1016"</f>
        <v>1.1016</v>
      </c>
    </row>
    <row r="1147" spans="1:3" x14ac:dyDescent="0.25">
      <c r="A1147" t="str">
        <f>"14/02/2014"</f>
        <v>14/02/2014</v>
      </c>
      <c r="B1147" t="str">
        <f>"1.0955"</f>
        <v>1.0955</v>
      </c>
      <c r="C1147" t="str">
        <f>"1.0962"</f>
        <v>1.0962</v>
      </c>
    </row>
    <row r="1148" spans="1:3" x14ac:dyDescent="0.25">
      <c r="A1148" t="str">
        <f>"17/02/2014"</f>
        <v>17/02/2014</v>
      </c>
      <c r="B1148" t="str">
        <f>"1.0974"</f>
        <v>1.0974</v>
      </c>
      <c r="C1148" t="str">
        <f>"1.0981"</f>
        <v>1.0981</v>
      </c>
    </row>
    <row r="1149" spans="1:3" x14ac:dyDescent="0.25">
      <c r="A1149" t="str">
        <f>"18/02/2014"</f>
        <v>18/02/2014</v>
      </c>
      <c r="B1149" t="str">
        <f>"1.0956"</f>
        <v>1.0956</v>
      </c>
      <c r="C1149" t="str">
        <f>"1.0963"</f>
        <v>1.0963</v>
      </c>
    </row>
    <row r="1150" spans="1:3" x14ac:dyDescent="0.25">
      <c r="A1150" t="str">
        <f>"19/02/2014"</f>
        <v>19/02/2014</v>
      </c>
      <c r="B1150" t="str">
        <f>"1.0942"</f>
        <v>1.0942</v>
      </c>
      <c r="C1150" t="str">
        <f>"1.095"</f>
        <v>1.095</v>
      </c>
    </row>
    <row r="1151" spans="1:3" x14ac:dyDescent="0.25">
      <c r="A1151" t="str">
        <f>"20/02/2014"</f>
        <v>20/02/2014</v>
      </c>
      <c r="B1151" t="str">
        <f>"1.1076"</f>
        <v>1.1076</v>
      </c>
      <c r="C1151" t="str">
        <f>"1.1083"</f>
        <v>1.1083</v>
      </c>
    </row>
    <row r="1152" spans="1:3" x14ac:dyDescent="0.25">
      <c r="A1152" t="str">
        <f>"21/02/2014"</f>
        <v>21/02/2014</v>
      </c>
      <c r="B1152" t="str">
        <f>"1.1128"</f>
        <v>1.1128</v>
      </c>
      <c r="C1152" t="str">
        <f>"1.1135"</f>
        <v>1.1135</v>
      </c>
    </row>
    <row r="1153" spans="1:3" x14ac:dyDescent="0.25">
      <c r="A1153" t="str">
        <f>"24/02/2014"</f>
        <v>24/02/2014</v>
      </c>
      <c r="B1153" t="str">
        <f>"1.1114"</f>
        <v>1.1114</v>
      </c>
      <c r="C1153" t="str">
        <f>"1.1122"</f>
        <v>1.1122</v>
      </c>
    </row>
    <row r="1154" spans="1:3" x14ac:dyDescent="0.25">
      <c r="A1154" t="str">
        <f>"25/02/2014"</f>
        <v>25/02/2014</v>
      </c>
      <c r="B1154" t="str">
        <f>"1.1059"</f>
        <v>1.1059</v>
      </c>
      <c r="C1154" t="str">
        <f>"1.1066"</f>
        <v>1.1066</v>
      </c>
    </row>
    <row r="1155" spans="1:3" x14ac:dyDescent="0.25">
      <c r="A1155" t="str">
        <f>"26/02/2014"</f>
        <v>26/02/2014</v>
      </c>
      <c r="B1155" t="str">
        <f>"1.1091"</f>
        <v>1.1091</v>
      </c>
      <c r="C1155" t="str">
        <f>"1.1099"</f>
        <v>1.1099</v>
      </c>
    </row>
    <row r="1156" spans="1:3" x14ac:dyDescent="0.25">
      <c r="A1156" t="str">
        <f>"28/02/2014"</f>
        <v>28/02/2014</v>
      </c>
      <c r="B1156" t="str">
        <f>"1.1128"</f>
        <v>1.1128</v>
      </c>
      <c r="C1156" t="str">
        <f>"1.1136"</f>
        <v>1.1136</v>
      </c>
    </row>
    <row r="1157" spans="1:3" x14ac:dyDescent="0.25">
      <c r="A1157" t="str">
        <f>"03/03/2014"</f>
        <v>03/03/2014</v>
      </c>
      <c r="B1157" t="str">
        <f>"1.1058"</f>
        <v>1.1058</v>
      </c>
      <c r="C1157" t="str">
        <f>"1.1066"</f>
        <v>1.1066</v>
      </c>
    </row>
    <row r="1158" spans="1:3" x14ac:dyDescent="0.25">
      <c r="A1158" t="str">
        <f>"04/03/2014"</f>
        <v>04/03/2014</v>
      </c>
      <c r="B1158" t="str">
        <f>"1.1096"</f>
        <v>1.1096</v>
      </c>
      <c r="C1158" t="str">
        <f>"1.1105"</f>
        <v>1.1105</v>
      </c>
    </row>
    <row r="1159" spans="1:3" x14ac:dyDescent="0.25">
      <c r="A1159" t="str">
        <f>"05/03/2014"</f>
        <v>05/03/2014</v>
      </c>
      <c r="B1159" t="str">
        <f>"1.1093"</f>
        <v>1.1093</v>
      </c>
      <c r="C1159" t="str">
        <f>"1.1101"</f>
        <v>1.1101</v>
      </c>
    </row>
    <row r="1160" spans="1:3" x14ac:dyDescent="0.25">
      <c r="A1160" t="str">
        <f>"06/03/2014"</f>
        <v>06/03/2014</v>
      </c>
      <c r="B1160" t="str">
        <f>"1.1044"</f>
        <v>1.1044</v>
      </c>
      <c r="C1160" t="str">
        <f>"1.1052"</f>
        <v>1.1052</v>
      </c>
    </row>
    <row r="1161" spans="1:3" x14ac:dyDescent="0.25">
      <c r="A1161" t="str">
        <f>"07/03/2014"</f>
        <v>07/03/2014</v>
      </c>
      <c r="B1161" t="str">
        <f>"1.0998"</f>
        <v>1.0998</v>
      </c>
      <c r="C1161" t="str">
        <f>"1.1006"</f>
        <v>1.1006</v>
      </c>
    </row>
    <row r="1162" spans="1:3" x14ac:dyDescent="0.25">
      <c r="A1162" t="str">
        <f>"10/03/2014"</f>
        <v>10/03/2014</v>
      </c>
      <c r="B1162" t="str">
        <f>"1.1118"</f>
        <v>1.1118</v>
      </c>
      <c r="C1162" t="str">
        <f>"1.1126"</f>
        <v>1.1126</v>
      </c>
    </row>
    <row r="1163" spans="1:3" x14ac:dyDescent="0.25">
      <c r="A1163" t="str">
        <f>"11/03/2014"</f>
        <v>11/03/2014</v>
      </c>
      <c r="B1163" t="str">
        <f>"1.1115"</f>
        <v>1.1115</v>
      </c>
      <c r="C1163" t="str">
        <f>"1.1124"</f>
        <v>1.1124</v>
      </c>
    </row>
    <row r="1164" spans="1:3" x14ac:dyDescent="0.25">
      <c r="A1164" t="str">
        <f>"12/03/2014"</f>
        <v>12/03/2014</v>
      </c>
      <c r="B1164" t="str">
        <f>"1.1114"</f>
        <v>1.1114</v>
      </c>
      <c r="C1164" t="str">
        <f>"1.1122"</f>
        <v>1.1122</v>
      </c>
    </row>
    <row r="1165" spans="1:3" x14ac:dyDescent="0.25">
      <c r="A1165" t="str">
        <f>"13/03/2014"</f>
        <v>13/03/2014</v>
      </c>
      <c r="B1165" t="str">
        <f>"1.1093"</f>
        <v>1.1093</v>
      </c>
      <c r="C1165" t="str">
        <f>"1.1101"</f>
        <v>1.1101</v>
      </c>
    </row>
    <row r="1166" spans="1:3" x14ac:dyDescent="0.25">
      <c r="A1166" t="str">
        <f>"14/03/2014"</f>
        <v>14/03/2014</v>
      </c>
      <c r="B1166" t="str">
        <f>"1.1097"</f>
        <v>1.1097</v>
      </c>
      <c r="C1166" t="str">
        <f>"1.1105"</f>
        <v>1.1105</v>
      </c>
    </row>
    <row r="1167" spans="1:3" x14ac:dyDescent="0.25">
      <c r="A1167" t="str">
        <f>"18/03/2014"</f>
        <v>18/03/2014</v>
      </c>
      <c r="B1167" t="str">
        <f>"1.1056"</f>
        <v>1.1056</v>
      </c>
      <c r="C1167" t="str">
        <f>"1.1065"</f>
        <v>1.1065</v>
      </c>
    </row>
    <row r="1168" spans="1:3" x14ac:dyDescent="0.25">
      <c r="A1168" t="str">
        <f>"19/03/2014"</f>
        <v>19/03/2014</v>
      </c>
      <c r="B1168" t="str">
        <f>"1.1123"</f>
        <v>1.1123</v>
      </c>
      <c r="C1168" t="str">
        <f>"1.1131"</f>
        <v>1.1131</v>
      </c>
    </row>
    <row r="1169" spans="1:3" x14ac:dyDescent="0.25">
      <c r="A1169" t="str">
        <f>"20/03/2014"</f>
        <v>20/03/2014</v>
      </c>
      <c r="B1169" t="str">
        <f>"1.1247"</f>
        <v>1.1247</v>
      </c>
      <c r="C1169" t="str">
        <f>"1.1255"</f>
        <v>1.1255</v>
      </c>
    </row>
    <row r="1170" spans="1:3" x14ac:dyDescent="0.25">
      <c r="A1170" t="str">
        <f>"21/03/2014"</f>
        <v>21/03/2014</v>
      </c>
      <c r="B1170" t="str">
        <f>"1.1247"</f>
        <v>1.1247</v>
      </c>
      <c r="C1170" t="str">
        <f>"1.1255"</f>
        <v>1.1255</v>
      </c>
    </row>
    <row r="1171" spans="1:3" x14ac:dyDescent="0.25">
      <c r="A1171" t="str">
        <f>"24/03/2014"</f>
        <v>24/03/2014</v>
      </c>
      <c r="B1171" t="str">
        <f>"1.1233"</f>
        <v>1.1233</v>
      </c>
      <c r="C1171" t="str">
        <f>"1.1241"</f>
        <v>1.1241</v>
      </c>
    </row>
    <row r="1172" spans="1:3" x14ac:dyDescent="0.25">
      <c r="A1172" t="str">
        <f>"25/03/2014"</f>
        <v>25/03/2014</v>
      </c>
      <c r="B1172" t="str">
        <f>"1.1199"</f>
        <v>1.1199</v>
      </c>
      <c r="C1172" t="str">
        <f>"1.1207"</f>
        <v>1.1207</v>
      </c>
    </row>
    <row r="1173" spans="1:3" x14ac:dyDescent="0.25">
      <c r="A1173" t="str">
        <f>"26/03/2014"</f>
        <v>26/03/2014</v>
      </c>
      <c r="B1173" t="str">
        <f>"1.1157"</f>
        <v>1.1157</v>
      </c>
      <c r="C1173" t="str">
        <f>"1.1165"</f>
        <v>1.1165</v>
      </c>
    </row>
    <row r="1174" spans="1:3" x14ac:dyDescent="0.25">
      <c r="A1174" t="str">
        <f>"27/03/2014"</f>
        <v>27/03/2014</v>
      </c>
      <c r="B1174" t="str">
        <f>"1.1095"</f>
        <v>1.1095</v>
      </c>
      <c r="C1174" t="str">
        <f>"1.1103"</f>
        <v>1.1103</v>
      </c>
    </row>
    <row r="1175" spans="1:3" x14ac:dyDescent="0.25">
      <c r="A1175" t="str">
        <f>"28/03/2014"</f>
        <v>28/03/2014</v>
      </c>
      <c r="B1175" t="str">
        <f>"1.1016"</f>
        <v>1.1016</v>
      </c>
      <c r="C1175" t="str">
        <f>"1.1024"</f>
        <v>1.1024</v>
      </c>
    </row>
    <row r="1176" spans="1:3" x14ac:dyDescent="0.25">
      <c r="A1176" t="str">
        <f>"02/04/2014"</f>
        <v>02/04/2014</v>
      </c>
      <c r="B1176" t="str">
        <f>"1.1041"</f>
        <v>1.1041</v>
      </c>
      <c r="C1176" t="str">
        <f>"1.1049"</f>
        <v>1.1049</v>
      </c>
    </row>
    <row r="1177" spans="1:3" x14ac:dyDescent="0.25">
      <c r="A1177" t="str">
        <f>"03/04/2014"</f>
        <v>03/04/2014</v>
      </c>
      <c r="B1177" t="str">
        <f>"1.1027"</f>
        <v>1.1027</v>
      </c>
      <c r="C1177" t="str">
        <f>"1.1035"</f>
        <v>1.1035</v>
      </c>
    </row>
    <row r="1178" spans="1:3" x14ac:dyDescent="0.25">
      <c r="A1178" t="str">
        <f>"04/04/2014"</f>
        <v>04/04/2014</v>
      </c>
      <c r="B1178" t="str">
        <f>"1.1029"</f>
        <v>1.1029</v>
      </c>
      <c r="C1178" t="str">
        <f>"1.1037"</f>
        <v>1.1037</v>
      </c>
    </row>
    <row r="1179" spans="1:3" x14ac:dyDescent="0.25">
      <c r="A1179" t="str">
        <f>"07/04/2014"</f>
        <v>07/04/2014</v>
      </c>
      <c r="B1179" t="str">
        <f>"1.0977"</f>
        <v>1.0977</v>
      </c>
      <c r="C1179" t="str">
        <f>"1.0985"</f>
        <v>1.0985</v>
      </c>
    </row>
    <row r="1180" spans="1:3" x14ac:dyDescent="0.25">
      <c r="A1180" t="str">
        <f>"09/04/2014"</f>
        <v>09/04/2014</v>
      </c>
      <c r="B1180" t="str">
        <f>"1.0917"</f>
        <v>1.0917</v>
      </c>
      <c r="C1180" t="str">
        <f>"1.0926"</f>
        <v>1.0926</v>
      </c>
    </row>
    <row r="1181" spans="1:3" x14ac:dyDescent="0.25">
      <c r="A1181" t="str">
        <f>"10/04/2014"</f>
        <v>10/04/2014</v>
      </c>
      <c r="B1181" t="str">
        <f>"1.0896"</f>
        <v>1.0896</v>
      </c>
      <c r="C1181" t="str">
        <f>"1.0904"</f>
        <v>1.0904</v>
      </c>
    </row>
    <row r="1182" spans="1:3" x14ac:dyDescent="0.25">
      <c r="A1182" t="str">
        <f>"11/04/2014"</f>
        <v>11/04/2014</v>
      </c>
      <c r="B1182" t="str">
        <f>"1.0938"</f>
        <v>1.0938</v>
      </c>
      <c r="C1182" t="str">
        <f>"1.0946"</f>
        <v>1.0946</v>
      </c>
    </row>
    <row r="1183" spans="1:3" x14ac:dyDescent="0.25">
      <c r="A1183" t="str">
        <f>"15/04/2014"</f>
        <v>15/04/2014</v>
      </c>
      <c r="B1183" t="str">
        <f>"1.0975"</f>
        <v>1.0975</v>
      </c>
      <c r="C1183" t="str">
        <f>"1.0983"</f>
        <v>1.0983</v>
      </c>
    </row>
    <row r="1184" spans="1:3" x14ac:dyDescent="0.25">
      <c r="A1184" t="str">
        <f>"16/04/2014"</f>
        <v>16/04/2014</v>
      </c>
      <c r="B1184" t="str">
        <f>"1.0984"</f>
        <v>1.0984</v>
      </c>
      <c r="C1184" t="str">
        <f>"1.0992"</f>
        <v>1.0992</v>
      </c>
    </row>
    <row r="1185" spans="1:3" x14ac:dyDescent="0.25">
      <c r="A1185" t="str">
        <f>"17/04/2014"</f>
        <v>17/04/2014</v>
      </c>
      <c r="B1185" t="str">
        <f>"1.101"</f>
        <v>1.101</v>
      </c>
      <c r="C1185" t="str">
        <f>"1.1018"</f>
        <v>1.1018</v>
      </c>
    </row>
    <row r="1186" spans="1:3" x14ac:dyDescent="0.25">
      <c r="A1186" t="str">
        <f>"21/04/2014"</f>
        <v>21/04/2014</v>
      </c>
      <c r="B1186" t="str">
        <f>"1.1023"</f>
        <v>1.1023</v>
      </c>
      <c r="C1186" t="str">
        <f>"1.1031"</f>
        <v>1.1031</v>
      </c>
    </row>
    <row r="1187" spans="1:3" x14ac:dyDescent="0.25">
      <c r="A1187" t="str">
        <f>"22/04/2014"</f>
        <v>22/04/2014</v>
      </c>
      <c r="B1187" t="str">
        <f>"1.102"</f>
        <v>1.102</v>
      </c>
      <c r="C1187" t="str">
        <f>"1.1028"</f>
        <v>1.1028</v>
      </c>
    </row>
    <row r="1188" spans="1:3" x14ac:dyDescent="0.25">
      <c r="A1188" t="str">
        <f>"23/04/2014"</f>
        <v>23/04/2014</v>
      </c>
      <c r="B1188" t="str">
        <f>"1.1032"</f>
        <v>1.1032</v>
      </c>
      <c r="C1188" t="str">
        <f>"1.1041"</f>
        <v>1.1041</v>
      </c>
    </row>
    <row r="1189" spans="1:3" x14ac:dyDescent="0.25">
      <c r="A1189" t="str">
        <f>"25/04/2014"</f>
        <v>25/04/2014</v>
      </c>
      <c r="B1189" t="str">
        <f>"1.1028"</f>
        <v>1.1028</v>
      </c>
      <c r="C1189" t="str">
        <f>"1.1036"</f>
        <v>1.1036</v>
      </c>
    </row>
    <row r="1190" spans="1:3" x14ac:dyDescent="0.25">
      <c r="A1190" t="str">
        <f>"28/04/2014"</f>
        <v>28/04/2014</v>
      </c>
      <c r="B1190" t="str">
        <f>"1.1029"</f>
        <v>1.1029</v>
      </c>
      <c r="C1190" t="str">
        <f>"1.1037"</f>
        <v>1.1037</v>
      </c>
    </row>
    <row r="1191" spans="1:3" x14ac:dyDescent="0.25">
      <c r="A1191" t="str">
        <f>"29/04/2014"</f>
        <v>29/04/2014</v>
      </c>
      <c r="B1191" t="str">
        <f>"1.1025"</f>
        <v>1.1025</v>
      </c>
      <c r="C1191" t="str">
        <f>"1.1033"</f>
        <v>1.1033</v>
      </c>
    </row>
    <row r="1192" spans="1:3" x14ac:dyDescent="0.25">
      <c r="A1192" t="str">
        <f>"30/04/2014"</f>
        <v>30/04/2014</v>
      </c>
      <c r="B1192" t="str">
        <f>"1.0961"</f>
        <v>1.0961</v>
      </c>
      <c r="C1192" t="str">
        <f>"1.0969"</f>
        <v>1.0969</v>
      </c>
    </row>
    <row r="1193" spans="1:3" x14ac:dyDescent="0.25">
      <c r="A1193" t="str">
        <f>"02/05/2014"</f>
        <v>02/05/2014</v>
      </c>
      <c r="B1193" t="str">
        <f>"1.0959"</f>
        <v>1.0959</v>
      </c>
      <c r="C1193" t="str">
        <f>"1.0967"</f>
        <v>1.0967</v>
      </c>
    </row>
    <row r="1194" spans="1:3" x14ac:dyDescent="0.25">
      <c r="A1194" t="str">
        <f>"05/05/2014"</f>
        <v>05/05/2014</v>
      </c>
      <c r="B1194" t="str">
        <f>"1.0971"</f>
        <v>1.0971</v>
      </c>
      <c r="C1194" t="str">
        <f>"1.0979"</f>
        <v>1.0979</v>
      </c>
    </row>
    <row r="1195" spans="1:3" x14ac:dyDescent="0.25">
      <c r="A1195" t="str">
        <f>"06/05/2014"</f>
        <v>06/05/2014</v>
      </c>
      <c r="B1195" t="str">
        <f>"1.0955"</f>
        <v>1.0955</v>
      </c>
      <c r="C1195" t="str">
        <f>"1.0964"</f>
        <v>1.0964</v>
      </c>
    </row>
    <row r="1196" spans="1:3" x14ac:dyDescent="0.25">
      <c r="A1196" t="str">
        <f>"07/05/2014"</f>
        <v>07/05/2014</v>
      </c>
      <c r="B1196" t="str">
        <f>"1.0891"</f>
        <v>1.0891</v>
      </c>
      <c r="C1196" t="str">
        <f>"1.0899"</f>
        <v>1.0899</v>
      </c>
    </row>
    <row r="1197" spans="1:3" x14ac:dyDescent="0.25">
      <c r="A1197" t="str">
        <f>"08/05/2014"</f>
        <v>08/05/2014</v>
      </c>
      <c r="B1197" t="str">
        <f>"1.0893"</f>
        <v>1.0893</v>
      </c>
      <c r="C1197" t="str">
        <f>"1.0901"</f>
        <v>1.0901</v>
      </c>
    </row>
    <row r="1198" spans="1:3" x14ac:dyDescent="0.25">
      <c r="A1198" t="str">
        <f>"09/05/2014"</f>
        <v>09/05/2014</v>
      </c>
      <c r="B1198" t="str">
        <f>"1.083"</f>
        <v>1.083</v>
      </c>
      <c r="C1198" t="str">
        <f>"1.0837"</f>
        <v>1.0837</v>
      </c>
    </row>
    <row r="1199" spans="1:3" x14ac:dyDescent="0.25">
      <c r="A1199" t="str">
        <f>"12/05/2014"</f>
        <v>12/05/2014</v>
      </c>
      <c r="B1199" t="str">
        <f>"1.0898"</f>
        <v>1.0898</v>
      </c>
      <c r="C1199" t="str">
        <f>"1.0906"</f>
        <v>1.0906</v>
      </c>
    </row>
    <row r="1200" spans="1:3" x14ac:dyDescent="0.25">
      <c r="A1200" t="str">
        <f>"13/05/2014"</f>
        <v>13/05/2014</v>
      </c>
      <c r="B1200" t="str">
        <f>"1.0903"</f>
        <v>1.0903</v>
      </c>
      <c r="C1200" t="str">
        <f>"1.0912"</f>
        <v>1.0912</v>
      </c>
    </row>
    <row r="1201" spans="1:3" x14ac:dyDescent="0.25">
      <c r="A1201" t="str">
        <f>"15/05/2014"</f>
        <v>15/05/2014</v>
      </c>
      <c r="B1201" t="str">
        <f>"1.0871"</f>
        <v>1.0871</v>
      </c>
      <c r="C1201" t="str">
        <f>"1.0879"</f>
        <v>1.0879</v>
      </c>
    </row>
    <row r="1202" spans="1:3" x14ac:dyDescent="0.25">
      <c r="A1202" t="str">
        <f>"16/05/2014"</f>
        <v>16/05/2014</v>
      </c>
      <c r="B1202" t="str">
        <f>"1.0874"</f>
        <v>1.0874</v>
      </c>
      <c r="C1202" t="str">
        <f>"1.0882"</f>
        <v>1.0882</v>
      </c>
    </row>
    <row r="1203" spans="1:3" x14ac:dyDescent="0.25">
      <c r="A1203" t="str">
        <f>"19/05/2014"</f>
        <v>19/05/2014</v>
      </c>
      <c r="B1203" t="str">
        <f>"1.0862"</f>
        <v>1.0862</v>
      </c>
      <c r="C1203" t="str">
        <f>"1.087"</f>
        <v>1.087</v>
      </c>
    </row>
    <row r="1204" spans="1:3" x14ac:dyDescent="0.25">
      <c r="A1204" t="str">
        <f>"20/05/2014"</f>
        <v>20/05/2014</v>
      </c>
      <c r="B1204" t="str">
        <f>"1.0892"</f>
        <v>1.0892</v>
      </c>
      <c r="C1204" t="str">
        <f>"1.09"</f>
        <v>1.09</v>
      </c>
    </row>
    <row r="1205" spans="1:3" x14ac:dyDescent="0.25">
      <c r="A1205" t="str">
        <f>"21/05/2014"</f>
        <v>21/05/2014</v>
      </c>
      <c r="B1205" t="str">
        <f>"1.0912"</f>
        <v>1.0912</v>
      </c>
      <c r="C1205" t="str">
        <f>"1.0921"</f>
        <v>1.0921</v>
      </c>
    </row>
    <row r="1206" spans="1:3" x14ac:dyDescent="0.25">
      <c r="A1206" t="str">
        <f>"22/05/2014"</f>
        <v>22/05/2014</v>
      </c>
      <c r="B1206" t="str">
        <f>"1.0908"</f>
        <v>1.0908</v>
      </c>
      <c r="C1206" t="str">
        <f>"1.0916"</f>
        <v>1.0916</v>
      </c>
    </row>
    <row r="1207" spans="1:3" x14ac:dyDescent="0.25">
      <c r="A1207" t="str">
        <f>"23/05/2014"</f>
        <v>23/05/2014</v>
      </c>
      <c r="B1207" t="str">
        <f>"1.0895"</f>
        <v>1.0895</v>
      </c>
      <c r="C1207" t="str">
        <f>"1.0903"</f>
        <v>1.0903</v>
      </c>
    </row>
    <row r="1208" spans="1:3" x14ac:dyDescent="0.25">
      <c r="A1208" t="str">
        <f>"26/05/2014"</f>
        <v>26/05/2014</v>
      </c>
      <c r="B1208" t="str">
        <f>"1.0867"</f>
        <v>1.0867</v>
      </c>
      <c r="C1208" t="str">
        <f>"1.0876"</f>
        <v>1.0876</v>
      </c>
    </row>
    <row r="1209" spans="1:3" x14ac:dyDescent="0.25">
      <c r="A1209" t="str">
        <f>"27/05/2014"</f>
        <v>27/05/2014</v>
      </c>
      <c r="B1209" t="str">
        <f>"1.0846"</f>
        <v>1.0846</v>
      </c>
      <c r="C1209" t="str">
        <f>"1.0855"</f>
        <v>1.0855</v>
      </c>
    </row>
    <row r="1210" spans="1:3" x14ac:dyDescent="0.25">
      <c r="A1210" t="str">
        <f>"28/05/2014"</f>
        <v>28/05/2014</v>
      </c>
      <c r="B1210" t="str">
        <f>"1.0855"</f>
        <v>1.0855</v>
      </c>
      <c r="C1210" t="str">
        <f>"1.0863"</f>
        <v>1.0863</v>
      </c>
    </row>
    <row r="1211" spans="1:3" x14ac:dyDescent="0.25">
      <c r="A1211" t="str">
        <f>"29/05/2014"</f>
        <v>29/05/2014</v>
      </c>
      <c r="B1211" t="str">
        <f>"1.0862"</f>
        <v>1.0862</v>
      </c>
      <c r="C1211" t="str">
        <f>"1.0871"</f>
        <v>1.0871</v>
      </c>
    </row>
    <row r="1212" spans="1:3" x14ac:dyDescent="0.25">
      <c r="A1212" t="str">
        <f>"30/05/2014"</f>
        <v>30/05/2014</v>
      </c>
      <c r="B1212" t="str">
        <f>"1.0837"</f>
        <v>1.0837</v>
      </c>
      <c r="C1212" t="str">
        <f>"1.0845"</f>
        <v>1.0845</v>
      </c>
    </row>
    <row r="1213" spans="1:3" x14ac:dyDescent="0.25">
      <c r="A1213" t="str">
        <f>"02/06/2014"</f>
        <v>02/06/2014</v>
      </c>
      <c r="B1213" t="str">
        <f>"1.0855"</f>
        <v>1.0855</v>
      </c>
      <c r="C1213" t="str">
        <f>"1.0863"</f>
        <v>1.0863</v>
      </c>
    </row>
    <row r="1214" spans="1:3" x14ac:dyDescent="0.25">
      <c r="A1214" t="str">
        <f>"03/06/2014"</f>
        <v>03/06/2014</v>
      </c>
      <c r="B1214" t="str">
        <f>"1.09"</f>
        <v>1.09</v>
      </c>
      <c r="C1214" t="str">
        <f>"1.0909"</f>
        <v>1.0909</v>
      </c>
    </row>
    <row r="1215" spans="1:3" x14ac:dyDescent="0.25">
      <c r="A1215" t="str">
        <f>"04/06/2014"</f>
        <v>04/06/2014</v>
      </c>
      <c r="B1215" t="str">
        <f>"1.0932"</f>
        <v>1.0932</v>
      </c>
      <c r="C1215" t="str">
        <f>"1.0941"</f>
        <v>1.0941</v>
      </c>
    </row>
    <row r="1216" spans="1:3" x14ac:dyDescent="0.25">
      <c r="A1216" t="str">
        <f>"05/06/2014"</f>
        <v>05/06/2014</v>
      </c>
      <c r="B1216" t="str">
        <f>"1.0949"</f>
        <v>1.0949</v>
      </c>
      <c r="C1216" t="str">
        <f>"1.0958"</f>
        <v>1.0958</v>
      </c>
    </row>
    <row r="1217" spans="1:3" x14ac:dyDescent="0.25">
      <c r="A1217" t="str">
        <f>"06/06/2014"</f>
        <v>06/06/2014</v>
      </c>
      <c r="B1217" t="str">
        <f>"1.0924"</f>
        <v>1.0924</v>
      </c>
      <c r="C1217" t="str">
        <f>"1.0932"</f>
        <v>1.0932</v>
      </c>
    </row>
    <row r="1218" spans="1:3" x14ac:dyDescent="0.25">
      <c r="A1218" t="str">
        <f>"09/06/2014"</f>
        <v>09/06/2014</v>
      </c>
      <c r="B1218" t="str">
        <f>"1.0929"</f>
        <v>1.0929</v>
      </c>
      <c r="C1218" t="str">
        <f>"1.0937"</f>
        <v>1.0937</v>
      </c>
    </row>
    <row r="1219" spans="1:3" x14ac:dyDescent="0.25">
      <c r="A1219" t="str">
        <f>"10/06/2014"</f>
        <v>10/06/2014</v>
      </c>
      <c r="B1219" t="str">
        <f>"1.0901"</f>
        <v>1.0901</v>
      </c>
      <c r="C1219" t="str">
        <f>"1.0909"</f>
        <v>1.0909</v>
      </c>
    </row>
    <row r="1220" spans="1:3" x14ac:dyDescent="0.25">
      <c r="A1220" t="str">
        <f>"11/06/2014"</f>
        <v>11/06/2014</v>
      </c>
      <c r="B1220" t="str">
        <f>"1.0891"</f>
        <v>1.0891</v>
      </c>
      <c r="C1220" t="str">
        <f>"1.09"</f>
        <v>1.09</v>
      </c>
    </row>
    <row r="1221" spans="1:3" x14ac:dyDescent="0.25">
      <c r="A1221" t="str">
        <f>"12/06/2014"</f>
        <v>12/06/2014</v>
      </c>
      <c r="B1221" t="str">
        <f>"1.0861"</f>
        <v>1.0861</v>
      </c>
      <c r="C1221" t="str">
        <f>"1.0869"</f>
        <v>1.0869</v>
      </c>
    </row>
    <row r="1222" spans="1:3" x14ac:dyDescent="0.25">
      <c r="A1222" t="str">
        <f>"13/06/2014"</f>
        <v>13/06/2014</v>
      </c>
      <c r="B1222" t="str">
        <f>"1.0858"</f>
        <v>1.0858</v>
      </c>
      <c r="C1222" t="str">
        <f>"1.0867"</f>
        <v>1.0867</v>
      </c>
    </row>
    <row r="1223" spans="1:3" x14ac:dyDescent="0.25">
      <c r="A1223" t="str">
        <f>"16/06/2014"</f>
        <v>16/06/2014</v>
      </c>
      <c r="B1223" t="str">
        <f>"1.0852"</f>
        <v>1.0852</v>
      </c>
      <c r="C1223" t="str">
        <f>"1.086"</f>
        <v>1.086</v>
      </c>
    </row>
    <row r="1224" spans="1:3" x14ac:dyDescent="0.25">
      <c r="A1224" t="str">
        <f>"17/06/2014"</f>
        <v>17/06/2014</v>
      </c>
      <c r="B1224" t="str">
        <f>"1.0854"</f>
        <v>1.0854</v>
      </c>
      <c r="C1224" t="str">
        <f>"1.0862"</f>
        <v>1.0862</v>
      </c>
    </row>
    <row r="1225" spans="1:3" x14ac:dyDescent="0.25">
      <c r="A1225" t="str">
        <f>"18/06/2014"</f>
        <v>18/06/2014</v>
      </c>
      <c r="B1225" t="str">
        <f>"1.0871"</f>
        <v>1.0871</v>
      </c>
      <c r="C1225" t="str">
        <f>"1.0879"</f>
        <v>1.0879</v>
      </c>
    </row>
    <row r="1226" spans="1:3" x14ac:dyDescent="0.25">
      <c r="A1226" t="str">
        <f>"19/06/2014"</f>
        <v>19/06/2014</v>
      </c>
      <c r="B1226" t="str">
        <f>"1.0826"</f>
        <v>1.0826</v>
      </c>
      <c r="C1226" t="str">
        <f>"1.0835"</f>
        <v>1.0835</v>
      </c>
    </row>
    <row r="1227" spans="1:3" x14ac:dyDescent="0.25">
      <c r="A1227" t="str">
        <f>"20/06/2014"</f>
        <v>20/06/2014</v>
      </c>
      <c r="B1227" t="str">
        <f>"1.0815"</f>
        <v>1.0815</v>
      </c>
      <c r="C1227" t="str">
        <f>"1.0823"</f>
        <v>1.0823</v>
      </c>
    </row>
    <row r="1228" spans="1:3" x14ac:dyDescent="0.25">
      <c r="A1228" t="str">
        <f>"23/06/2014"</f>
        <v>23/06/2014</v>
      </c>
      <c r="B1228" t="str">
        <f>"1.0728"</f>
        <v>1.0728</v>
      </c>
      <c r="C1228" t="str">
        <f>"1.0736"</f>
        <v>1.0736</v>
      </c>
    </row>
    <row r="1229" spans="1:3" x14ac:dyDescent="0.25">
      <c r="A1229" t="str">
        <f>"24/06/2014"</f>
        <v>24/06/2014</v>
      </c>
      <c r="B1229" t="str">
        <f>"1.0721"</f>
        <v>1.0721</v>
      </c>
      <c r="C1229" t="str">
        <f>"1.0729"</f>
        <v>1.0729</v>
      </c>
    </row>
    <row r="1230" spans="1:3" x14ac:dyDescent="0.25">
      <c r="A1230" t="str">
        <f>"25/06/2014"</f>
        <v>25/06/2014</v>
      </c>
      <c r="B1230" t="str">
        <f>"1.075"</f>
        <v>1.075</v>
      </c>
      <c r="C1230" t="str">
        <f>"1.0758"</f>
        <v>1.0758</v>
      </c>
    </row>
    <row r="1231" spans="1:3" x14ac:dyDescent="0.25">
      <c r="A1231" t="str">
        <f>"26/06/2014"</f>
        <v>26/06/2014</v>
      </c>
      <c r="B1231" t="str">
        <f>"1.0719"</f>
        <v>1.0719</v>
      </c>
      <c r="C1231" t="str">
        <f>"1.0727"</f>
        <v>1.0727</v>
      </c>
    </row>
    <row r="1232" spans="1:3" x14ac:dyDescent="0.25">
      <c r="A1232" t="str">
        <f>"27/06/2014"</f>
        <v>27/06/2014</v>
      </c>
      <c r="B1232" t="str">
        <f>"1.0682"</f>
        <v>1.0682</v>
      </c>
      <c r="C1232" t="str">
        <f>"1.069"</f>
        <v>1.069</v>
      </c>
    </row>
    <row r="1233" spans="1:3" x14ac:dyDescent="0.25">
      <c r="A1233" t="str">
        <f>"30/06/2014"</f>
        <v>30/06/2014</v>
      </c>
      <c r="B1233" t="str">
        <f>"1.0675"</f>
        <v>1.0675</v>
      </c>
      <c r="C1233" t="str">
        <f>"1.0684"</f>
        <v>1.0684</v>
      </c>
    </row>
    <row r="1234" spans="1:3" x14ac:dyDescent="0.25">
      <c r="A1234" t="str">
        <f>"01/07/2014"</f>
        <v>01/07/2014</v>
      </c>
      <c r="B1234" t="str">
        <f>"1.0671"</f>
        <v>1.0671</v>
      </c>
      <c r="C1234" t="str">
        <f>"1.068"</f>
        <v>1.068</v>
      </c>
    </row>
    <row r="1235" spans="1:3" x14ac:dyDescent="0.25">
      <c r="A1235" t="str">
        <f>"02/07/2014"</f>
        <v>02/07/2014</v>
      </c>
      <c r="B1235" t="str">
        <f>"1.0639"</f>
        <v>1.0639</v>
      </c>
      <c r="C1235" t="str">
        <f>"1.0648"</f>
        <v>1.0648</v>
      </c>
    </row>
    <row r="1236" spans="1:3" x14ac:dyDescent="0.25">
      <c r="A1236" t="str">
        <f>"03/07/2014"</f>
        <v>03/07/2014</v>
      </c>
      <c r="B1236" t="str">
        <f>"1.0672"</f>
        <v>1.0672</v>
      </c>
      <c r="C1236" t="str">
        <f>"1.068"</f>
        <v>1.068</v>
      </c>
    </row>
    <row r="1237" spans="1:3" x14ac:dyDescent="0.25">
      <c r="A1237" t="str">
        <f>"04/07/2014"</f>
        <v>04/07/2014</v>
      </c>
      <c r="B1237" t="str">
        <f>"1.0638"</f>
        <v>1.0638</v>
      </c>
      <c r="C1237" t="str">
        <f>"1.0646"</f>
        <v>1.0646</v>
      </c>
    </row>
    <row r="1238" spans="1:3" x14ac:dyDescent="0.25">
      <c r="A1238" t="str">
        <f>"07/07/2014"</f>
        <v>07/07/2014</v>
      </c>
      <c r="B1238" t="str">
        <f>"1.0664"</f>
        <v>1.0664</v>
      </c>
      <c r="C1238" t="str">
        <f>"1.0672"</f>
        <v>1.0672</v>
      </c>
    </row>
    <row r="1239" spans="1:3" x14ac:dyDescent="0.25">
      <c r="A1239" t="str">
        <f>"08/07/2014"</f>
        <v>08/07/2014</v>
      </c>
      <c r="B1239" t="str">
        <f>"1.0678"</f>
        <v>1.0678</v>
      </c>
      <c r="C1239" t="str">
        <f>"1.0686"</f>
        <v>1.0686</v>
      </c>
    </row>
    <row r="1240" spans="1:3" x14ac:dyDescent="0.25">
      <c r="A1240" t="str">
        <f>"09/07/2014"</f>
        <v>09/07/2014</v>
      </c>
      <c r="B1240" t="str">
        <f>"1.0683"</f>
        <v>1.0683</v>
      </c>
      <c r="C1240" t="str">
        <f>"1.0691"</f>
        <v>1.0691</v>
      </c>
    </row>
    <row r="1241" spans="1:3" x14ac:dyDescent="0.25">
      <c r="A1241" t="str">
        <f>"10/07/2014"</f>
        <v>10/07/2014</v>
      </c>
      <c r="B1241" t="str">
        <f>"1.0655"</f>
        <v>1.0655</v>
      </c>
      <c r="C1241" t="str">
        <f>"1.0663"</f>
        <v>1.0663</v>
      </c>
    </row>
    <row r="1242" spans="1:3" x14ac:dyDescent="0.25">
      <c r="A1242" t="str">
        <f>"11/07/2014"</f>
        <v>11/07/2014</v>
      </c>
      <c r="B1242" t="str">
        <f>"1.0639"</f>
        <v>1.0639</v>
      </c>
      <c r="C1242" t="str">
        <f>"1.0647"</f>
        <v>1.0647</v>
      </c>
    </row>
    <row r="1243" spans="1:3" x14ac:dyDescent="0.25">
      <c r="A1243" t="str">
        <f>"14/07/2014"</f>
        <v>14/07/2014</v>
      </c>
      <c r="B1243" t="str">
        <f>"1.0743"</f>
        <v>1.0743</v>
      </c>
      <c r="C1243" t="str">
        <f>"1.0752"</f>
        <v>1.0752</v>
      </c>
    </row>
    <row r="1244" spans="1:3" x14ac:dyDescent="0.25">
      <c r="A1244" t="str">
        <f>"15/07/2014"</f>
        <v>15/07/2014</v>
      </c>
      <c r="B1244" t="str">
        <f>"1.0726"</f>
        <v>1.0726</v>
      </c>
      <c r="C1244" t="str">
        <f>"1.0734"</f>
        <v>1.0734</v>
      </c>
    </row>
    <row r="1245" spans="1:3" x14ac:dyDescent="0.25">
      <c r="A1245" t="str">
        <f>"16/07/2014"</f>
        <v>16/07/2014</v>
      </c>
      <c r="B1245" t="str">
        <f>"1.0763"</f>
        <v>1.0763</v>
      </c>
      <c r="C1245" t="str">
        <f>"1.0772"</f>
        <v>1.0772</v>
      </c>
    </row>
    <row r="1246" spans="1:3" x14ac:dyDescent="0.25">
      <c r="A1246" t="str">
        <f>"17/07/2014"</f>
        <v>17/07/2014</v>
      </c>
      <c r="B1246" t="str">
        <f>"1.0736"</f>
        <v>1.0736</v>
      </c>
      <c r="C1246" t="str">
        <f>"1.0744"</f>
        <v>1.0744</v>
      </c>
    </row>
    <row r="1247" spans="1:3" x14ac:dyDescent="0.25">
      <c r="A1247" t="str">
        <f>"18/07/2014"</f>
        <v>18/07/2014</v>
      </c>
      <c r="B1247" t="str">
        <f>"1.0747"</f>
        <v>1.0747</v>
      </c>
      <c r="C1247" t="str">
        <f>"1.0755"</f>
        <v>1.0755</v>
      </c>
    </row>
    <row r="1248" spans="1:3" x14ac:dyDescent="0.25">
      <c r="A1248" t="str">
        <f>"21/07/2014"</f>
        <v>21/07/2014</v>
      </c>
      <c r="B1248" t="str">
        <f>"1.0732"</f>
        <v>1.0732</v>
      </c>
      <c r="C1248" t="str">
        <f>"1.074"</f>
        <v>1.074</v>
      </c>
    </row>
    <row r="1249" spans="1:3" x14ac:dyDescent="0.25">
      <c r="A1249" t="str">
        <f>"22/07/2014"</f>
        <v>22/07/2014</v>
      </c>
      <c r="B1249" t="str">
        <f>"1.0742"</f>
        <v>1.0742</v>
      </c>
      <c r="C1249" t="str">
        <f>"1.075"</f>
        <v>1.075</v>
      </c>
    </row>
    <row r="1250" spans="1:3" x14ac:dyDescent="0.25">
      <c r="A1250" t="str">
        <f>"23/07/2014"</f>
        <v>23/07/2014</v>
      </c>
      <c r="B1250" t="str">
        <f>"1.0734"</f>
        <v>1.0734</v>
      </c>
      <c r="C1250" t="str">
        <f>"1.0742"</f>
        <v>1.0742</v>
      </c>
    </row>
    <row r="1251" spans="1:3" x14ac:dyDescent="0.25">
      <c r="A1251" t="str">
        <f>"24/07/2014"</f>
        <v>24/07/2014</v>
      </c>
      <c r="B1251" t="str">
        <f>"1.0739"</f>
        <v>1.0739</v>
      </c>
      <c r="C1251" t="str">
        <f>"1.0747"</f>
        <v>1.0747</v>
      </c>
    </row>
    <row r="1252" spans="1:3" x14ac:dyDescent="0.25">
      <c r="A1252" t="str">
        <f>"25/07/2014"</f>
        <v>25/07/2014</v>
      </c>
      <c r="B1252" t="str">
        <f>"1.0742"</f>
        <v>1.0742</v>
      </c>
      <c r="C1252" t="str">
        <f>"1.075"</f>
        <v>1.075</v>
      </c>
    </row>
    <row r="1253" spans="1:3" x14ac:dyDescent="0.25">
      <c r="A1253" t="str">
        <f>"28/07/2014"</f>
        <v>28/07/2014</v>
      </c>
      <c r="B1253" t="str">
        <f>"1.0813"</f>
        <v>1.0813</v>
      </c>
      <c r="C1253" t="str">
        <f>"1.0821"</f>
        <v>1.0821</v>
      </c>
    </row>
    <row r="1254" spans="1:3" x14ac:dyDescent="0.25">
      <c r="A1254" t="str">
        <f>"30/07/2014"</f>
        <v>30/07/2014</v>
      </c>
      <c r="B1254" t="str">
        <f>"1.0856"</f>
        <v>1.0856</v>
      </c>
      <c r="C1254" t="str">
        <f>"1.0864"</f>
        <v>1.0864</v>
      </c>
    </row>
    <row r="1255" spans="1:3" x14ac:dyDescent="0.25">
      <c r="A1255" t="str">
        <f>"31/07/2014"</f>
        <v>31/07/2014</v>
      </c>
      <c r="B1255" t="str">
        <f>"1.0905"</f>
        <v>1.0905</v>
      </c>
      <c r="C1255" t="str">
        <f>"1.0913"</f>
        <v>1.0913</v>
      </c>
    </row>
    <row r="1256" spans="1:3" x14ac:dyDescent="0.25">
      <c r="A1256" t="str">
        <f>"01/08/2014"</f>
        <v>01/08/2014</v>
      </c>
      <c r="B1256" t="str">
        <f>"1.092"</f>
        <v>1.092</v>
      </c>
      <c r="C1256" t="str">
        <f>"1.0928"</f>
        <v>1.0928</v>
      </c>
    </row>
    <row r="1257" spans="1:3" x14ac:dyDescent="0.25">
      <c r="A1257" t="str">
        <f>"04/08/2014"</f>
        <v>04/08/2014</v>
      </c>
      <c r="B1257" t="str">
        <f>"1.0924"</f>
        <v>1.0924</v>
      </c>
      <c r="C1257" t="str">
        <f>"1.0932"</f>
        <v>1.0932</v>
      </c>
    </row>
    <row r="1258" spans="1:3" x14ac:dyDescent="0.25">
      <c r="A1258" t="str">
        <f>"05/08/2014"</f>
        <v>05/08/2014</v>
      </c>
      <c r="B1258" t="str">
        <f>"1.0914"</f>
        <v>1.0914</v>
      </c>
      <c r="C1258" t="str">
        <f>"1.0922"</f>
        <v>1.0922</v>
      </c>
    </row>
    <row r="1259" spans="1:3" x14ac:dyDescent="0.25">
      <c r="A1259" t="str">
        <f>"06/08/2014"</f>
        <v>06/08/2014</v>
      </c>
      <c r="B1259" t="str">
        <f>"1.0966"</f>
        <v>1.0966</v>
      </c>
      <c r="C1259" t="str">
        <f>"1.0974"</f>
        <v>1.0974</v>
      </c>
    </row>
    <row r="1260" spans="1:3" x14ac:dyDescent="0.25">
      <c r="A1260" t="str">
        <f>"07/08/2014"</f>
        <v>07/08/2014</v>
      </c>
      <c r="B1260" t="str">
        <f>"1.0914"</f>
        <v>1.0914</v>
      </c>
      <c r="C1260" t="str">
        <f>"1.0922"</f>
        <v>1.0922</v>
      </c>
    </row>
    <row r="1261" spans="1:3" x14ac:dyDescent="0.25">
      <c r="A1261" t="str">
        <f>"08/08/2014"</f>
        <v>08/08/2014</v>
      </c>
      <c r="B1261" t="str">
        <f>"1.094"</f>
        <v>1.094</v>
      </c>
      <c r="C1261" t="str">
        <f>"1.0948"</f>
        <v>1.0948</v>
      </c>
    </row>
    <row r="1262" spans="1:3" x14ac:dyDescent="0.25">
      <c r="A1262" t="str">
        <f>"11/08/2014"</f>
        <v>11/08/2014</v>
      </c>
      <c r="B1262" t="str">
        <f>"1.0975"</f>
        <v>1.0975</v>
      </c>
      <c r="C1262" t="str">
        <f>"1.0983"</f>
        <v>1.0983</v>
      </c>
    </row>
    <row r="1263" spans="1:3" x14ac:dyDescent="0.25">
      <c r="A1263" t="str">
        <f>"12/08/2014"</f>
        <v>12/08/2014</v>
      </c>
      <c r="B1263" t="str">
        <f>"1.094"</f>
        <v>1.094</v>
      </c>
      <c r="C1263" t="str">
        <f>"1.0949"</f>
        <v>1.0949</v>
      </c>
    </row>
    <row r="1264" spans="1:3" x14ac:dyDescent="0.25">
      <c r="A1264" t="str">
        <f>"13/08/2014"</f>
        <v>13/08/2014</v>
      </c>
      <c r="B1264" t="str">
        <f>"1.0926"</f>
        <v>1.0926</v>
      </c>
      <c r="C1264" t="str">
        <f>"1.0934"</f>
        <v>1.0934</v>
      </c>
    </row>
    <row r="1265" spans="1:3" x14ac:dyDescent="0.25">
      <c r="A1265" t="str">
        <f>"14/08/2014"</f>
        <v>14/08/2014</v>
      </c>
      <c r="B1265" t="str">
        <f>"1.0917"</f>
        <v>1.0917</v>
      </c>
      <c r="C1265" t="str">
        <f>"1.0925"</f>
        <v>1.0925</v>
      </c>
    </row>
    <row r="1266" spans="1:3" x14ac:dyDescent="0.25">
      <c r="A1266" t="str">
        <f>"19/08/2014"</f>
        <v>19/08/2014</v>
      </c>
      <c r="B1266" t="str">
        <f>"1.0897"</f>
        <v>1.0897</v>
      </c>
      <c r="C1266" t="str">
        <f>"1.0905"</f>
        <v>1.0905</v>
      </c>
    </row>
    <row r="1267" spans="1:3" x14ac:dyDescent="0.25">
      <c r="A1267" t="str">
        <f>"20/08/2014"</f>
        <v>20/08/2014</v>
      </c>
      <c r="B1267" t="str">
        <f>"1.0953"</f>
        <v>1.0953</v>
      </c>
      <c r="C1267" t="str">
        <f>"1.0961"</f>
        <v>1.0961</v>
      </c>
    </row>
    <row r="1268" spans="1:3" x14ac:dyDescent="0.25">
      <c r="A1268" t="str">
        <f>"21/08/2014"</f>
        <v>21/08/2014</v>
      </c>
      <c r="B1268" t="str">
        <f>"1.0984"</f>
        <v>1.0984</v>
      </c>
      <c r="C1268" t="str">
        <f>"1.0992"</f>
        <v>1.0992</v>
      </c>
    </row>
    <row r="1269" spans="1:3" x14ac:dyDescent="0.25">
      <c r="A1269" t="str">
        <f>"22/08/2014"</f>
        <v>22/08/2014</v>
      </c>
      <c r="B1269" t="str">
        <f>"1.0937"</f>
        <v>1.0937</v>
      </c>
      <c r="C1269" t="str">
        <f>"1.0945"</f>
        <v>1.0945</v>
      </c>
    </row>
    <row r="1270" spans="1:3" x14ac:dyDescent="0.25">
      <c r="A1270" t="str">
        <f>"25/08/2014"</f>
        <v>25/08/2014</v>
      </c>
      <c r="B1270" t="str">
        <f>"1.0955"</f>
        <v>1.0955</v>
      </c>
      <c r="C1270" t="str">
        <f>"1.0963"</f>
        <v>1.0963</v>
      </c>
    </row>
    <row r="1271" spans="1:3" x14ac:dyDescent="0.25">
      <c r="A1271" t="str">
        <f>"26/08/2014"</f>
        <v>26/08/2014</v>
      </c>
      <c r="B1271" t="str">
        <f>"1.0974"</f>
        <v>1.0974</v>
      </c>
      <c r="C1271" t="str">
        <f>"1.0983"</f>
        <v>1.0983</v>
      </c>
    </row>
    <row r="1272" spans="1:3" x14ac:dyDescent="0.25">
      <c r="A1272" t="str">
        <f>"27/08/2014"</f>
        <v>27/08/2014</v>
      </c>
      <c r="B1272" t="str">
        <f>"1.0924"</f>
        <v>1.0924</v>
      </c>
      <c r="C1272" t="str">
        <f>"1.0933"</f>
        <v>1.0933</v>
      </c>
    </row>
    <row r="1273" spans="1:3" x14ac:dyDescent="0.25">
      <c r="A1273" t="str">
        <f>"28/08/2014"</f>
        <v>28/08/2014</v>
      </c>
      <c r="B1273" t="str">
        <f>"1.0846"</f>
        <v>1.0846</v>
      </c>
      <c r="C1273" t="str">
        <f>"1.0854"</f>
        <v>1.0854</v>
      </c>
    </row>
    <row r="1274" spans="1:3" x14ac:dyDescent="0.25">
      <c r="A1274" t="str">
        <f>"01/09/2014"</f>
        <v>01/09/2014</v>
      </c>
      <c r="B1274" t="str">
        <f>"1.0873"</f>
        <v>1.0873</v>
      </c>
      <c r="C1274" t="str">
        <f>"1.088"</f>
        <v>1.088</v>
      </c>
    </row>
    <row r="1275" spans="1:3" x14ac:dyDescent="0.25">
      <c r="A1275" t="str">
        <f>"02/09/2014"</f>
        <v>02/09/2014</v>
      </c>
      <c r="B1275" t="str">
        <f>"1.0898"</f>
        <v>1.0898</v>
      </c>
      <c r="C1275" t="str">
        <f>"1.0906"</f>
        <v>1.0906</v>
      </c>
    </row>
    <row r="1276" spans="1:3" x14ac:dyDescent="0.25">
      <c r="A1276" t="str">
        <f>"03/09/2014"</f>
        <v>03/09/2014</v>
      </c>
      <c r="B1276" t="str">
        <f>"1.094"</f>
        <v>1.094</v>
      </c>
      <c r="C1276" t="str">
        <f>"1.0948"</f>
        <v>1.0948</v>
      </c>
    </row>
    <row r="1277" spans="1:3" x14ac:dyDescent="0.25">
      <c r="A1277" t="str">
        <f>"04/09/2014"</f>
        <v>04/09/2014</v>
      </c>
      <c r="B1277" t="str">
        <f>"1.0895"</f>
        <v>1.0895</v>
      </c>
      <c r="C1277" t="str">
        <f>"1.0903"</f>
        <v>1.0903</v>
      </c>
    </row>
    <row r="1278" spans="1:3" x14ac:dyDescent="0.25">
      <c r="A1278" t="str">
        <f>"05/09/2014"</f>
        <v>05/09/2014</v>
      </c>
      <c r="B1278" t="str">
        <f>"1.0878"</f>
        <v>1.0878</v>
      </c>
      <c r="C1278" t="str">
        <f>"1.0885"</f>
        <v>1.0885</v>
      </c>
    </row>
    <row r="1279" spans="1:3" x14ac:dyDescent="0.25">
      <c r="A1279" t="str">
        <f>"08/09/2014"</f>
        <v>08/09/2014</v>
      </c>
      <c r="B1279" t="str">
        <f>"1.0898"</f>
        <v>1.0898</v>
      </c>
      <c r="C1279" t="str">
        <f>"1.0906"</f>
        <v>1.0906</v>
      </c>
    </row>
    <row r="1280" spans="1:3" x14ac:dyDescent="0.25">
      <c r="A1280" t="str">
        <f>"09/09/2014"</f>
        <v>09/09/2014</v>
      </c>
      <c r="B1280" t="str">
        <f>"1.0998"</f>
        <v>1.0998</v>
      </c>
      <c r="C1280" t="str">
        <f>"1.1006"</f>
        <v>1.1006</v>
      </c>
    </row>
    <row r="1281" spans="1:3" x14ac:dyDescent="0.25">
      <c r="A1281" t="str">
        <f>"10/09/2014"</f>
        <v>10/09/2014</v>
      </c>
      <c r="B1281" t="str">
        <f>"1.0978"</f>
        <v>1.0978</v>
      </c>
      <c r="C1281" t="str">
        <f>"1.0987"</f>
        <v>1.0987</v>
      </c>
    </row>
    <row r="1282" spans="1:3" x14ac:dyDescent="0.25">
      <c r="A1282" t="str">
        <f>"11/09/2014"</f>
        <v>11/09/2014</v>
      </c>
      <c r="B1282" t="str">
        <f>"1.0959"</f>
        <v>1.0959</v>
      </c>
      <c r="C1282" t="str">
        <f>"1.0968"</f>
        <v>1.0968</v>
      </c>
    </row>
    <row r="1283" spans="1:3" x14ac:dyDescent="0.25">
      <c r="A1283" t="str">
        <f>"12/09/2014"</f>
        <v>12/09/2014</v>
      </c>
      <c r="B1283" t="str">
        <f>"1.1059"</f>
        <v>1.1059</v>
      </c>
      <c r="C1283" t="str">
        <f>"1.1067"</f>
        <v>1.1067</v>
      </c>
    </row>
    <row r="1284" spans="1:3" x14ac:dyDescent="0.25">
      <c r="A1284" t="str">
        <f>"15/09/2014"</f>
        <v>15/09/2014</v>
      </c>
      <c r="B1284" t="str">
        <f>"1.1094"</f>
        <v>1.1094</v>
      </c>
      <c r="C1284" t="str">
        <f>"1.1102"</f>
        <v>1.1102</v>
      </c>
    </row>
    <row r="1285" spans="1:3" x14ac:dyDescent="0.25">
      <c r="A1285" t="str">
        <f>"16/09/2014"</f>
        <v>16/09/2014</v>
      </c>
      <c r="B1285" t="str">
        <f>"1.1062"</f>
        <v>1.1062</v>
      </c>
      <c r="C1285" t="str">
        <f>"1.107"</f>
        <v>1.107</v>
      </c>
    </row>
    <row r="1286" spans="1:3" x14ac:dyDescent="0.25">
      <c r="A1286" t="str">
        <f>"17/09/2014"</f>
        <v>17/09/2014</v>
      </c>
      <c r="B1286" t="str">
        <f>"1.0973"</f>
        <v>1.0973</v>
      </c>
      <c r="C1286" t="str">
        <f>"1.0982"</f>
        <v>1.0982</v>
      </c>
    </row>
    <row r="1287" spans="1:3" x14ac:dyDescent="0.25">
      <c r="A1287" t="str">
        <f>"18/09/2014"</f>
        <v>18/09/2014</v>
      </c>
      <c r="B1287" t="str">
        <f>"1.1009"</f>
        <v>1.1009</v>
      </c>
      <c r="C1287" t="str">
        <f>"1.1018"</f>
        <v>1.1018</v>
      </c>
    </row>
    <row r="1288" spans="1:3" x14ac:dyDescent="0.25">
      <c r="A1288" t="str">
        <f>"19/09/2014"</f>
        <v>19/09/2014</v>
      </c>
      <c r="B1288" t="str">
        <f>"1.0955"</f>
        <v>1.0955</v>
      </c>
      <c r="C1288" t="str">
        <f>"1.0963"</f>
        <v>1.0963</v>
      </c>
    </row>
    <row r="1289" spans="1:3" x14ac:dyDescent="0.25">
      <c r="A1289" t="str">
        <f>"22/09/2014"</f>
        <v>22/09/2014</v>
      </c>
      <c r="B1289" t="str">
        <f>"1.0932"</f>
        <v>1.0932</v>
      </c>
      <c r="C1289" t="str">
        <f>"1.094"</f>
        <v>1.094</v>
      </c>
    </row>
    <row r="1290" spans="1:3" x14ac:dyDescent="0.25">
      <c r="A1290" t="str">
        <f>"23/09/2014"</f>
        <v>23/09/2014</v>
      </c>
      <c r="B1290" t="str">
        <f>"1.1028"</f>
        <v>1.1028</v>
      </c>
      <c r="C1290" t="str">
        <f>"1.1036"</f>
        <v>1.1036</v>
      </c>
    </row>
    <row r="1291" spans="1:3" x14ac:dyDescent="0.25">
      <c r="A1291" t="str">
        <f>"24/09/2014"</f>
        <v>24/09/2014</v>
      </c>
      <c r="B1291" t="str">
        <f>"1.1078"</f>
        <v>1.1078</v>
      </c>
      <c r="C1291" t="str">
        <f>"1.1087"</f>
        <v>1.1087</v>
      </c>
    </row>
    <row r="1292" spans="1:3" x14ac:dyDescent="0.25">
      <c r="A1292" t="str">
        <f>"25/09/2014"</f>
        <v>25/09/2014</v>
      </c>
      <c r="B1292" t="str">
        <f>"1.1089"</f>
        <v>1.1089</v>
      </c>
      <c r="C1292" t="str">
        <f>"1.1097"</f>
        <v>1.1097</v>
      </c>
    </row>
    <row r="1293" spans="1:3" x14ac:dyDescent="0.25">
      <c r="A1293" t="str">
        <f>"26/09/2014"</f>
        <v>26/09/2014</v>
      </c>
      <c r="B1293" t="str">
        <f>"1.1119"</f>
        <v>1.1119</v>
      </c>
      <c r="C1293" t="str">
        <f>"1.1128"</f>
        <v>1.1128</v>
      </c>
    </row>
    <row r="1294" spans="1:3" x14ac:dyDescent="0.25">
      <c r="A1294" t="str">
        <f>"29/09/2014"</f>
        <v>29/09/2014</v>
      </c>
      <c r="B1294" t="str">
        <f>"1.1171"</f>
        <v>1.1171</v>
      </c>
      <c r="C1294" t="str">
        <f>"1.118"</f>
        <v>1.118</v>
      </c>
    </row>
    <row r="1295" spans="1:3" x14ac:dyDescent="0.25">
      <c r="A1295" t="str">
        <f>"30/09/2014"</f>
        <v>30/09/2014</v>
      </c>
      <c r="B1295" t="str">
        <f>"1.1143"</f>
        <v>1.1143</v>
      </c>
      <c r="C1295" t="str">
        <f>"1.1151"</f>
        <v>1.1151</v>
      </c>
    </row>
    <row r="1296" spans="1:3" x14ac:dyDescent="0.25">
      <c r="A1296" t="str">
        <f>"01/10/2014"</f>
        <v>01/10/2014</v>
      </c>
      <c r="B1296" t="str">
        <f>"1.1216"</f>
        <v>1.1216</v>
      </c>
      <c r="C1296" t="str">
        <f>"1.1224"</f>
        <v>1.1224</v>
      </c>
    </row>
    <row r="1297" spans="1:3" x14ac:dyDescent="0.25">
      <c r="A1297" t="str">
        <f>"07/10/2014"</f>
        <v>07/10/2014</v>
      </c>
      <c r="B1297" t="str">
        <f>"1.1179"</f>
        <v>1.1179</v>
      </c>
      <c r="C1297" t="str">
        <f>"1.1189"</f>
        <v>1.1189</v>
      </c>
    </row>
    <row r="1298" spans="1:3" x14ac:dyDescent="0.25">
      <c r="A1298" t="str">
        <f>"08/10/2014"</f>
        <v>08/10/2014</v>
      </c>
      <c r="B1298" t="str">
        <f>"1.118"</f>
        <v>1.118</v>
      </c>
      <c r="C1298" t="str">
        <f>"1.1189"</f>
        <v>1.1189</v>
      </c>
    </row>
    <row r="1299" spans="1:3" x14ac:dyDescent="0.25">
      <c r="A1299" t="str">
        <f>"09/10/2014"</f>
        <v>09/10/2014</v>
      </c>
      <c r="B1299" t="str">
        <f>"1.1095"</f>
        <v>1.1095</v>
      </c>
      <c r="C1299" t="str">
        <f>"1.1103"</f>
        <v>1.1103</v>
      </c>
    </row>
    <row r="1300" spans="1:3" x14ac:dyDescent="0.25">
      <c r="A1300" t="str">
        <f>"10/10/2014"</f>
        <v>10/10/2014</v>
      </c>
      <c r="B1300" t="str">
        <f>"1.119"</f>
        <v>1.119</v>
      </c>
      <c r="C1300" t="str">
        <f>"1.12"</f>
        <v>1.12</v>
      </c>
    </row>
    <row r="1301" spans="1:3" x14ac:dyDescent="0.25">
      <c r="A1301" t="str">
        <f>"13/10/2014"</f>
        <v>13/10/2014</v>
      </c>
      <c r="B1301" t="str">
        <f>"1.1203"</f>
        <v>1.1203</v>
      </c>
      <c r="C1301" t="str">
        <f>"1.1212"</f>
        <v>1.1212</v>
      </c>
    </row>
    <row r="1302" spans="1:3" x14ac:dyDescent="0.25">
      <c r="A1302" t="str">
        <f>"14/10/2014"</f>
        <v>14/10/2014</v>
      </c>
      <c r="B1302" t="str">
        <f>"1.1208"</f>
        <v>1.1208</v>
      </c>
      <c r="C1302" t="str">
        <f>"1.1217"</f>
        <v>1.1217</v>
      </c>
    </row>
    <row r="1303" spans="1:3" x14ac:dyDescent="0.25">
      <c r="A1303" t="str">
        <f>"16/10/2014"</f>
        <v>16/10/2014</v>
      </c>
      <c r="B1303" t="str">
        <f>"1.1267"</f>
        <v>1.1267</v>
      </c>
      <c r="C1303" t="str">
        <f>"1.1277"</f>
        <v>1.1277</v>
      </c>
    </row>
    <row r="1304" spans="1:3" x14ac:dyDescent="0.25">
      <c r="A1304" t="str">
        <f>"17/10/2014"</f>
        <v>17/10/2014</v>
      </c>
      <c r="B1304" t="str">
        <f>"1.1261"</f>
        <v>1.1261</v>
      </c>
      <c r="C1304" t="str">
        <f>"1.1271"</f>
        <v>1.1271</v>
      </c>
    </row>
    <row r="1305" spans="1:3" x14ac:dyDescent="0.25">
      <c r="A1305" t="str">
        <f>"20/10/2014"</f>
        <v>20/10/2014</v>
      </c>
      <c r="B1305" t="str">
        <f>"1.1274"</f>
        <v>1.1274</v>
      </c>
      <c r="C1305" t="str">
        <f>"1.1284"</f>
        <v>1.1284</v>
      </c>
    </row>
    <row r="1306" spans="1:3" x14ac:dyDescent="0.25">
      <c r="A1306" t="str">
        <f>"21/10/2014"</f>
        <v>21/10/2014</v>
      </c>
      <c r="B1306" t="str">
        <f>"1.1266"</f>
        <v>1.1266</v>
      </c>
      <c r="C1306" t="str">
        <f>"1.1276"</f>
        <v>1.1276</v>
      </c>
    </row>
    <row r="1307" spans="1:3" x14ac:dyDescent="0.25">
      <c r="A1307" t="str">
        <f>"22/10/2014"</f>
        <v>22/10/2014</v>
      </c>
      <c r="B1307" t="str">
        <f>"1.1219"</f>
        <v>1.1219</v>
      </c>
      <c r="C1307" t="str">
        <f>"1.1228"</f>
        <v>1.1228</v>
      </c>
    </row>
    <row r="1308" spans="1:3" x14ac:dyDescent="0.25">
      <c r="A1308" t="str">
        <f>"27/10/2014"</f>
        <v>27/10/2014</v>
      </c>
      <c r="B1308" t="str">
        <f>"1.1223"</f>
        <v>1.1223</v>
      </c>
      <c r="C1308" t="str">
        <f>"1.1232"</f>
        <v>1.1232</v>
      </c>
    </row>
    <row r="1309" spans="1:3" x14ac:dyDescent="0.25">
      <c r="A1309" t="str">
        <f>"28/10/2014"</f>
        <v>28/10/2014</v>
      </c>
      <c r="B1309" t="str">
        <f>"1.1243"</f>
        <v>1.1243</v>
      </c>
      <c r="C1309" t="str">
        <f>"1.1252"</f>
        <v>1.1252</v>
      </c>
    </row>
    <row r="1310" spans="1:3" x14ac:dyDescent="0.25">
      <c r="A1310" t="str">
        <f>"29/10/2014"</f>
        <v>29/10/2014</v>
      </c>
      <c r="B1310" t="str">
        <f>"1.1165"</f>
        <v>1.1165</v>
      </c>
      <c r="C1310" t="str">
        <f>"1.1173"</f>
        <v>1.1173</v>
      </c>
    </row>
    <row r="1311" spans="1:3" x14ac:dyDescent="0.25">
      <c r="A1311" t="str">
        <f>"30/10/2014"</f>
        <v>30/10/2014</v>
      </c>
      <c r="B1311" t="str">
        <f>"1.1198"</f>
        <v>1.1198</v>
      </c>
      <c r="C1311" t="str">
        <f>"1.1206"</f>
        <v>1.1206</v>
      </c>
    </row>
    <row r="1312" spans="1:3" x14ac:dyDescent="0.25">
      <c r="A1312" t="str">
        <f>"31/10/2014"</f>
        <v>31/10/2014</v>
      </c>
      <c r="B1312" t="str">
        <f>"1.1195"</f>
        <v>1.1195</v>
      </c>
      <c r="C1312" t="str">
        <f>"1.1204"</f>
        <v>1.1204</v>
      </c>
    </row>
    <row r="1313" spans="1:3" x14ac:dyDescent="0.25">
      <c r="A1313" t="str">
        <f>"03/11/2014"</f>
        <v>03/11/2014</v>
      </c>
      <c r="B1313" t="str">
        <f>"1.1287"</f>
        <v>1.1287</v>
      </c>
      <c r="C1313" t="str">
        <f>"1.1296"</f>
        <v>1.1296</v>
      </c>
    </row>
    <row r="1314" spans="1:3" x14ac:dyDescent="0.25">
      <c r="A1314" t="str">
        <f>"05/11/2014"</f>
        <v>05/11/2014</v>
      </c>
      <c r="B1314" t="str">
        <f>"1.14"</f>
        <v>1.14</v>
      </c>
      <c r="C1314" t="str">
        <f>"1.1409"</f>
        <v>1.1409</v>
      </c>
    </row>
    <row r="1315" spans="1:3" x14ac:dyDescent="0.25">
      <c r="A1315" t="str">
        <f>"07/11/2014"</f>
        <v>07/11/2014</v>
      </c>
      <c r="B1315" t="str">
        <f>"1.1442"</f>
        <v>1.1442</v>
      </c>
      <c r="C1315" t="str">
        <f>"1.1451"</f>
        <v>1.1451</v>
      </c>
    </row>
    <row r="1316" spans="1:3" x14ac:dyDescent="0.25">
      <c r="A1316" t="str">
        <f>"10/11/2014"</f>
        <v>10/11/2014</v>
      </c>
      <c r="B1316" t="str">
        <f>"1.1319"</f>
        <v>1.1319</v>
      </c>
      <c r="C1316" t="str">
        <f>"1.1327"</f>
        <v>1.1327</v>
      </c>
    </row>
    <row r="1317" spans="1:3" x14ac:dyDescent="0.25">
      <c r="A1317" t="str">
        <f>"11/11/2014"</f>
        <v>11/11/2014</v>
      </c>
      <c r="B1317" t="str">
        <f>"1.1383"</f>
        <v>1.1383</v>
      </c>
      <c r="C1317" t="str">
        <f>"1.1391"</f>
        <v>1.1391</v>
      </c>
    </row>
    <row r="1318" spans="1:3" x14ac:dyDescent="0.25">
      <c r="A1318" t="str">
        <f>"12/11/2014"</f>
        <v>12/11/2014</v>
      </c>
      <c r="B1318" t="str">
        <f>"1.1356"</f>
        <v>1.1356</v>
      </c>
      <c r="C1318" t="str">
        <f>"1.1364"</f>
        <v>1.1364</v>
      </c>
    </row>
    <row r="1319" spans="1:3" x14ac:dyDescent="0.25">
      <c r="A1319" t="str">
        <f>"13/11/2014"</f>
        <v>13/11/2014</v>
      </c>
      <c r="B1319" t="str">
        <f>"1.1319"</f>
        <v>1.1319</v>
      </c>
      <c r="C1319" t="str">
        <f>"1.1327"</f>
        <v>1.1327</v>
      </c>
    </row>
    <row r="1320" spans="1:3" x14ac:dyDescent="0.25">
      <c r="A1320" t="str">
        <f>"14/11/2014"</f>
        <v>14/11/2014</v>
      </c>
      <c r="B1320" t="str">
        <f>"1.1382"</f>
        <v>1.1382</v>
      </c>
      <c r="C1320" t="str">
        <f>"1.139"</f>
        <v>1.139</v>
      </c>
    </row>
    <row r="1321" spans="1:3" x14ac:dyDescent="0.25">
      <c r="A1321" t="str">
        <f>"17/11/2014"</f>
        <v>17/11/2014</v>
      </c>
      <c r="B1321" t="str">
        <f>"1.1277"</f>
        <v>1.1277</v>
      </c>
      <c r="C1321" t="str">
        <f>"1.1285"</f>
        <v>1.1285</v>
      </c>
    </row>
    <row r="1322" spans="1:3" x14ac:dyDescent="0.25">
      <c r="A1322" t="str">
        <f>"18/11/2014"</f>
        <v>18/11/2014</v>
      </c>
      <c r="B1322" t="str">
        <f>"1.1281"</f>
        <v>1.1281</v>
      </c>
      <c r="C1322" t="str">
        <f>"1.1289"</f>
        <v>1.1289</v>
      </c>
    </row>
    <row r="1323" spans="1:3" x14ac:dyDescent="0.25">
      <c r="A1323" t="str">
        <f>"19/11/2014"</f>
        <v>19/11/2014</v>
      </c>
      <c r="B1323" t="str">
        <f>"1.1334"</f>
        <v>1.1334</v>
      </c>
      <c r="C1323" t="str">
        <f>"1.1342"</f>
        <v>1.1342</v>
      </c>
    </row>
    <row r="1324" spans="1:3" x14ac:dyDescent="0.25">
      <c r="A1324" t="str">
        <f>"20/11/2014"</f>
        <v>20/11/2014</v>
      </c>
      <c r="B1324" t="str">
        <f>"1.1348"</f>
        <v>1.1348</v>
      </c>
      <c r="C1324" t="str">
        <f>"1.1356"</f>
        <v>1.1356</v>
      </c>
    </row>
    <row r="1325" spans="1:3" x14ac:dyDescent="0.25">
      <c r="A1325" t="str">
        <f>"21/11/2014"</f>
        <v>21/11/2014</v>
      </c>
      <c r="B1325" t="str">
        <f>"1.1302"</f>
        <v>1.1302</v>
      </c>
      <c r="C1325" t="str">
        <f>"1.131"</f>
        <v>1.131</v>
      </c>
    </row>
    <row r="1326" spans="1:3" x14ac:dyDescent="0.25">
      <c r="A1326" t="str">
        <f>"24/11/2014"</f>
        <v>24/11/2014</v>
      </c>
      <c r="B1326" t="str">
        <f>"1.1229"</f>
        <v>1.1229</v>
      </c>
      <c r="C1326" t="str">
        <f>"1.1239"</f>
        <v>1.1239</v>
      </c>
    </row>
    <row r="1327" spans="1:3" x14ac:dyDescent="0.25">
      <c r="A1327" t="str">
        <f>"25/11/2014"</f>
        <v>25/11/2014</v>
      </c>
      <c r="B1327" t="str">
        <f>"1.1289"</f>
        <v>1.1289</v>
      </c>
      <c r="C1327" t="str">
        <f>"1.1298"</f>
        <v>1.1298</v>
      </c>
    </row>
    <row r="1328" spans="1:3" x14ac:dyDescent="0.25">
      <c r="A1328" t="str">
        <f>"26/11/2014"</f>
        <v>26/11/2014</v>
      </c>
      <c r="B1328" t="str">
        <f>"1.1268"</f>
        <v>1.1268</v>
      </c>
      <c r="C1328" t="str">
        <f>"1.1277"</f>
        <v>1.1277</v>
      </c>
    </row>
    <row r="1329" spans="1:3" x14ac:dyDescent="0.25">
      <c r="A1329" t="str">
        <f>"27/11/2014"</f>
        <v>27/11/2014</v>
      </c>
      <c r="B1329" t="str">
        <f>"1.1264"</f>
        <v>1.1264</v>
      </c>
      <c r="C1329" t="str">
        <f>"1.1273"</f>
        <v>1.1273</v>
      </c>
    </row>
    <row r="1330" spans="1:3" x14ac:dyDescent="0.25">
      <c r="A1330" t="str">
        <f>"28/11/2014"</f>
        <v>28/11/2014</v>
      </c>
      <c r="B1330" t="str">
        <f>"1.1347"</f>
        <v>1.1347</v>
      </c>
      <c r="C1330" t="str">
        <f>"1.1355"</f>
        <v>1.1355</v>
      </c>
    </row>
    <row r="1331" spans="1:3" x14ac:dyDescent="0.25">
      <c r="A1331" t="str">
        <f>"01/12/2014"</f>
        <v>01/12/2014</v>
      </c>
      <c r="B1331" t="str">
        <f>"1.143"</f>
        <v>1.143</v>
      </c>
      <c r="C1331" t="str">
        <f>"1.1438"</f>
        <v>1.1438</v>
      </c>
    </row>
    <row r="1332" spans="1:3" x14ac:dyDescent="0.25">
      <c r="A1332" t="str">
        <f>"02/12/2014"</f>
        <v>02/12/2014</v>
      </c>
      <c r="B1332" t="str">
        <f>"1.1323"</f>
        <v>1.1323</v>
      </c>
      <c r="C1332" t="str">
        <f>"1.1332"</f>
        <v>1.1332</v>
      </c>
    </row>
    <row r="1333" spans="1:3" x14ac:dyDescent="0.25">
      <c r="A1333" t="str">
        <f>"04/12/2014"</f>
        <v>04/12/2014</v>
      </c>
      <c r="B1333" t="str">
        <f>"1.1365"</f>
        <v>1.1365</v>
      </c>
      <c r="C1333" t="str">
        <f>"1.1373"</f>
        <v>1.1373</v>
      </c>
    </row>
    <row r="1334" spans="1:3" x14ac:dyDescent="0.25">
      <c r="A1334" t="str">
        <f>"05/12/2014"</f>
        <v>05/12/2014</v>
      </c>
      <c r="B1334" t="str">
        <f>"1.1399"</f>
        <v>1.1399</v>
      </c>
      <c r="C1334" t="str">
        <f>"1.1407"</f>
        <v>1.1407</v>
      </c>
    </row>
    <row r="1335" spans="1:3" x14ac:dyDescent="0.25">
      <c r="A1335" t="str">
        <f>"08/12/2014"</f>
        <v>08/12/2014</v>
      </c>
      <c r="B1335" t="str">
        <f>"1.1442"</f>
        <v>1.1442</v>
      </c>
      <c r="C1335" t="str">
        <f>"1.145"</f>
        <v>1.145</v>
      </c>
    </row>
    <row r="1336" spans="1:3" x14ac:dyDescent="0.25">
      <c r="A1336" t="str">
        <f>"09/12/2014"</f>
        <v>09/12/2014</v>
      </c>
      <c r="B1336" t="str">
        <f>"1.149"</f>
        <v>1.149</v>
      </c>
      <c r="C1336" t="str">
        <f>"1.1499"</f>
        <v>1.1499</v>
      </c>
    </row>
    <row r="1337" spans="1:3" x14ac:dyDescent="0.25">
      <c r="A1337" t="str">
        <f>"10/12/2014"</f>
        <v>10/12/2014</v>
      </c>
      <c r="B1337" t="str">
        <f>"1.144"</f>
        <v>1.144</v>
      </c>
      <c r="C1337" t="str">
        <f>"1.1448"</f>
        <v>1.1448</v>
      </c>
    </row>
    <row r="1338" spans="1:3" x14ac:dyDescent="0.25">
      <c r="A1338" t="str">
        <f>"11/12/2014"</f>
        <v>11/12/2014</v>
      </c>
      <c r="B1338" t="str">
        <f>"1.1463"</f>
        <v>1.1463</v>
      </c>
      <c r="C1338" t="str">
        <f>"1.147"</f>
        <v>1.147</v>
      </c>
    </row>
    <row r="1339" spans="1:3" x14ac:dyDescent="0.25">
      <c r="A1339" t="str">
        <f>"12/12/2014"</f>
        <v>12/12/2014</v>
      </c>
      <c r="B1339" t="str">
        <f>"1.1535"</f>
        <v>1.1535</v>
      </c>
      <c r="C1339" t="str">
        <f>"1.1544"</f>
        <v>1.1544</v>
      </c>
    </row>
    <row r="1340" spans="1:3" x14ac:dyDescent="0.25">
      <c r="A1340" t="str">
        <f>"15/12/2014"</f>
        <v>15/12/2014</v>
      </c>
      <c r="B1340" t="str">
        <f>"1.1557"</f>
        <v>1.1557</v>
      </c>
      <c r="C1340" t="str">
        <f>"1.1565"</f>
        <v>1.1565</v>
      </c>
    </row>
    <row r="1341" spans="1:3" x14ac:dyDescent="0.25">
      <c r="A1341" t="str">
        <f>"16/12/2014"</f>
        <v>16/12/2014</v>
      </c>
      <c r="B1341" t="str">
        <f>"1.164"</f>
        <v>1.164</v>
      </c>
      <c r="C1341" t="str">
        <f>"1.1648"</f>
        <v>1.1648</v>
      </c>
    </row>
    <row r="1342" spans="1:3" x14ac:dyDescent="0.25">
      <c r="A1342" t="str">
        <f>"17/12/2014"</f>
        <v>17/12/2014</v>
      </c>
      <c r="B1342" t="str">
        <f>"1.1642"</f>
        <v>1.1642</v>
      </c>
      <c r="C1342" t="str">
        <f>"1.165"</f>
        <v>1.165</v>
      </c>
    </row>
    <row r="1343" spans="1:3" x14ac:dyDescent="0.25">
      <c r="A1343" t="str">
        <f>"18/12/2014"</f>
        <v>18/12/2014</v>
      </c>
      <c r="B1343" t="str">
        <f>"1.1629"</f>
        <v>1.1629</v>
      </c>
      <c r="C1343" t="str">
        <f>"1.1637"</f>
        <v>1.1637</v>
      </c>
    </row>
    <row r="1344" spans="1:3" x14ac:dyDescent="0.25">
      <c r="A1344" t="str">
        <f>"19/12/2014"</f>
        <v>19/12/2014</v>
      </c>
      <c r="B1344" t="str">
        <f>"1.1577"</f>
        <v>1.1577</v>
      </c>
      <c r="C1344" t="str">
        <f>"1.1585"</f>
        <v>1.1585</v>
      </c>
    </row>
    <row r="1345" spans="1:3" x14ac:dyDescent="0.25">
      <c r="A1345" t="str">
        <f>"22/12/2014"</f>
        <v>22/12/2014</v>
      </c>
      <c r="B1345" t="str">
        <f>"1.1601"</f>
        <v>1.1601</v>
      </c>
      <c r="C1345" t="str">
        <f>"1.1609"</f>
        <v>1.1609</v>
      </c>
    </row>
    <row r="1346" spans="1:3" x14ac:dyDescent="0.25">
      <c r="A1346" t="str">
        <f>"23/12/2014"</f>
        <v>23/12/2014</v>
      </c>
      <c r="B1346" t="str">
        <f>"1.1617"</f>
        <v>1.1617</v>
      </c>
      <c r="C1346" t="str">
        <f>"1.1625"</f>
        <v>1.1625</v>
      </c>
    </row>
    <row r="1347" spans="1:3" x14ac:dyDescent="0.25">
      <c r="A1347" t="str">
        <f>"24/12/2014"</f>
        <v>24/12/2014</v>
      </c>
      <c r="B1347" t="str">
        <f>"1.162"</f>
        <v>1.162</v>
      </c>
      <c r="C1347" t="str">
        <f>"1.1627"</f>
        <v>1.1627</v>
      </c>
    </row>
    <row r="1348" spans="1:3" x14ac:dyDescent="0.25">
      <c r="A1348" t="str">
        <f>"26/12/2014"</f>
        <v>26/12/2014</v>
      </c>
      <c r="B1348" t="str">
        <f>"1.1616"</f>
        <v>1.1616</v>
      </c>
      <c r="C1348" t="str">
        <f>"1.1624"</f>
        <v>1.1624</v>
      </c>
    </row>
    <row r="1349" spans="1:3" x14ac:dyDescent="0.25">
      <c r="A1349" t="str">
        <f>"29/12/2014"</f>
        <v>29/12/2014</v>
      </c>
      <c r="B1349" t="str">
        <f>"1.1625"</f>
        <v>1.1625</v>
      </c>
      <c r="C1349" t="str">
        <f>"1.1632"</f>
        <v>1.1632</v>
      </c>
    </row>
    <row r="1350" spans="1:3" x14ac:dyDescent="0.25">
      <c r="A1350" t="str">
        <f>"30/12/2014"</f>
        <v>30/12/2014</v>
      </c>
      <c r="B1350" t="str">
        <f>"1.1646"</f>
        <v>1.1646</v>
      </c>
      <c r="C1350" t="str">
        <f>"1.1653"</f>
        <v>1.1653</v>
      </c>
    </row>
    <row r="1351" spans="1:3" x14ac:dyDescent="0.25">
      <c r="A1351" t="str">
        <f>"31/12/2014"</f>
        <v>31/12/2014</v>
      </c>
      <c r="B1351" t="str">
        <f>"1.1584"</f>
        <v>1.1584</v>
      </c>
      <c r="C1351" t="str">
        <f>"1.1592"</f>
        <v>1.1592</v>
      </c>
    </row>
    <row r="1352" spans="1:3" x14ac:dyDescent="0.25">
      <c r="A1352" t="str">
        <f>"01/01/2015"</f>
        <v>01/01/2015</v>
      </c>
      <c r="B1352" t="str">
        <f>"1.1623"</f>
        <v>1.1623</v>
      </c>
      <c r="C1352" t="str">
        <f>"1.1631"</f>
        <v>1.1631</v>
      </c>
    </row>
    <row r="1353" spans="1:3" x14ac:dyDescent="0.25">
      <c r="A1353" t="str">
        <f>"02/01/2015"</f>
        <v>02/01/2015</v>
      </c>
      <c r="B1353" t="str">
        <f>"1.1647"</f>
        <v>1.1647</v>
      </c>
      <c r="C1353" t="str">
        <f>"1.1655"</f>
        <v>1.1655</v>
      </c>
    </row>
    <row r="1354" spans="1:3" x14ac:dyDescent="0.25">
      <c r="A1354" t="str">
        <f>"05/01/2015"</f>
        <v>05/01/2015</v>
      </c>
      <c r="B1354" t="str">
        <f>"1.1811"</f>
        <v>1.1811</v>
      </c>
      <c r="C1354" t="str">
        <f>"1.1818"</f>
        <v>1.1818</v>
      </c>
    </row>
    <row r="1355" spans="1:3" x14ac:dyDescent="0.25">
      <c r="A1355" t="str">
        <f>"06/01/2015"</f>
        <v>06/01/2015</v>
      </c>
      <c r="B1355" t="str">
        <f>"1.1744"</f>
        <v>1.1744</v>
      </c>
      <c r="C1355" t="str">
        <f>"1.1752"</f>
        <v>1.1752</v>
      </c>
    </row>
    <row r="1356" spans="1:3" x14ac:dyDescent="0.25">
      <c r="A1356" t="str">
        <f>"07/01/2015"</f>
        <v>07/01/2015</v>
      </c>
      <c r="B1356" t="str">
        <f>"1.183"</f>
        <v>1.183</v>
      </c>
      <c r="C1356" t="str">
        <f>"1.1838"</f>
        <v>1.1838</v>
      </c>
    </row>
    <row r="1357" spans="1:3" x14ac:dyDescent="0.25">
      <c r="A1357" t="str">
        <f>"08/01/2015"</f>
        <v>08/01/2015</v>
      </c>
      <c r="B1357" t="str">
        <f>"1.1829"</f>
        <v>1.1829</v>
      </c>
      <c r="C1357" t="str">
        <f>"1.1837"</f>
        <v>1.1837</v>
      </c>
    </row>
    <row r="1358" spans="1:3" x14ac:dyDescent="0.25">
      <c r="A1358" t="str">
        <f>"09/01/2015"</f>
        <v>09/01/2015</v>
      </c>
      <c r="B1358" t="str">
        <f>"1.1815"</f>
        <v>1.1815</v>
      </c>
      <c r="C1358" t="str">
        <f>"1.1823"</f>
        <v>1.1823</v>
      </c>
    </row>
    <row r="1359" spans="1:3" x14ac:dyDescent="0.25">
      <c r="A1359" t="str">
        <f>"12/01/2015"</f>
        <v>12/01/2015</v>
      </c>
      <c r="B1359" t="str">
        <f>"1.1846"</f>
        <v>1.1846</v>
      </c>
      <c r="C1359" t="str">
        <f>"1.1854"</f>
        <v>1.1854</v>
      </c>
    </row>
    <row r="1360" spans="1:3" x14ac:dyDescent="0.25">
      <c r="A1360" t="str">
        <f>"13/01/2015"</f>
        <v>13/01/2015</v>
      </c>
      <c r="B1360" t="str">
        <f>"1.196"</f>
        <v>1.196</v>
      </c>
      <c r="C1360" t="str">
        <f>"1.1969"</f>
        <v>1.1969</v>
      </c>
    </row>
    <row r="1361" spans="1:3" x14ac:dyDescent="0.25">
      <c r="A1361" t="str">
        <f>"14/01/2015"</f>
        <v>14/01/2015</v>
      </c>
      <c r="B1361" t="str">
        <f>"1.1988"</f>
        <v>1.1988</v>
      </c>
      <c r="C1361" t="str">
        <f>"1.1997"</f>
        <v>1.1997</v>
      </c>
    </row>
    <row r="1362" spans="1:3" x14ac:dyDescent="0.25">
      <c r="A1362" t="str">
        <f>"15/01/2015"</f>
        <v>15/01/2015</v>
      </c>
      <c r="B1362" t="str">
        <f>"1.1963"</f>
        <v>1.1963</v>
      </c>
      <c r="C1362" t="str">
        <f>"1.1972"</f>
        <v>1.1972</v>
      </c>
    </row>
    <row r="1363" spans="1:3" x14ac:dyDescent="0.25">
      <c r="A1363" t="str">
        <f>"16/01/2015"</f>
        <v>16/01/2015</v>
      </c>
      <c r="B1363" t="str">
        <f>"1.1966"</f>
        <v>1.1966</v>
      </c>
      <c r="C1363" t="str">
        <f>"1.1974"</f>
        <v>1.1974</v>
      </c>
    </row>
    <row r="1364" spans="1:3" x14ac:dyDescent="0.25">
      <c r="A1364" t="str">
        <f>"19/01/2015"</f>
        <v>19/01/2015</v>
      </c>
      <c r="B1364" t="str">
        <f>"1.197"</f>
        <v>1.197</v>
      </c>
      <c r="C1364" t="str">
        <f>"1.1978"</f>
        <v>1.1978</v>
      </c>
    </row>
    <row r="1365" spans="1:3" x14ac:dyDescent="0.25">
      <c r="A1365" t="str">
        <f>"20/01/2015"</f>
        <v>20/01/2015</v>
      </c>
      <c r="B1365" t="str">
        <f>"1.1978"</f>
        <v>1.1978</v>
      </c>
      <c r="C1365" t="str">
        <f>"1.1987"</f>
        <v>1.1987</v>
      </c>
    </row>
    <row r="1366" spans="1:3" x14ac:dyDescent="0.25">
      <c r="A1366" t="str">
        <f>"21/01/2015"</f>
        <v>21/01/2015</v>
      </c>
      <c r="B1366" t="str">
        <f>"1.2085"</f>
        <v>1.2085</v>
      </c>
      <c r="C1366" t="str">
        <f>"1.2094"</f>
        <v>1.2094</v>
      </c>
    </row>
    <row r="1367" spans="1:3" x14ac:dyDescent="0.25">
      <c r="A1367" t="str">
        <f>"22/01/2015"</f>
        <v>22/01/2015</v>
      </c>
      <c r="B1367" t="str">
        <f>"1.2358"</f>
        <v>1.2358</v>
      </c>
      <c r="C1367" t="str">
        <f>"1.2365"</f>
        <v>1.2365</v>
      </c>
    </row>
    <row r="1368" spans="1:3" x14ac:dyDescent="0.25">
      <c r="A1368" t="str">
        <f>"23/01/2015"</f>
        <v>23/01/2015</v>
      </c>
      <c r="B1368" t="str">
        <f>"1.2379"</f>
        <v>1.2379</v>
      </c>
      <c r="C1368" t="str">
        <f>"1.2386"</f>
        <v>1.2386</v>
      </c>
    </row>
    <row r="1369" spans="1:3" x14ac:dyDescent="0.25">
      <c r="A1369" t="str">
        <f>"27/01/2015"</f>
        <v>27/01/2015</v>
      </c>
      <c r="B1369" t="str">
        <f>"1.2485"</f>
        <v>1.2485</v>
      </c>
      <c r="C1369" t="str">
        <f>"1.2491"</f>
        <v>1.2491</v>
      </c>
    </row>
    <row r="1370" spans="1:3" x14ac:dyDescent="0.25">
      <c r="A1370" t="str">
        <f>"28/01/2015"</f>
        <v>28/01/2015</v>
      </c>
      <c r="B1370" t="str">
        <f>"1.2434"</f>
        <v>1.2434</v>
      </c>
      <c r="C1370" t="str">
        <f>"1.2441"</f>
        <v>1.2441</v>
      </c>
    </row>
    <row r="1371" spans="1:3" x14ac:dyDescent="0.25">
      <c r="A1371" t="str">
        <f>"29/01/2015"</f>
        <v>29/01/2015</v>
      </c>
      <c r="B1371" t="str">
        <f>"1.2527"</f>
        <v>1.2527</v>
      </c>
      <c r="C1371" t="str">
        <f>"1.2533"</f>
        <v>1.2533</v>
      </c>
    </row>
    <row r="1372" spans="1:3" x14ac:dyDescent="0.25">
      <c r="A1372" t="str">
        <f>"30/01/2015"</f>
        <v>30/01/2015</v>
      </c>
      <c r="B1372" t="str">
        <f>"1.2628"</f>
        <v>1.2628</v>
      </c>
      <c r="C1372" t="str">
        <f>"1.2633"</f>
        <v>1.2633</v>
      </c>
    </row>
    <row r="1373" spans="1:3" x14ac:dyDescent="0.25">
      <c r="A1373" t="str">
        <f>"02/02/2015"</f>
        <v>02/02/2015</v>
      </c>
      <c r="B1373" t="str">
        <f>"1.2739"</f>
        <v>1.2739</v>
      </c>
      <c r="C1373" t="str">
        <f>"1.2744"</f>
        <v>1.2744</v>
      </c>
    </row>
    <row r="1374" spans="1:3" x14ac:dyDescent="0.25">
      <c r="A1374" t="str">
        <f>"03/02/2015"</f>
        <v>03/02/2015</v>
      </c>
      <c r="B1374" t="str">
        <f>"1.2634"</f>
        <v>1.2634</v>
      </c>
      <c r="C1374" t="str">
        <f>"1.264"</f>
        <v>1.264</v>
      </c>
    </row>
    <row r="1375" spans="1:3" x14ac:dyDescent="0.25">
      <c r="A1375" t="str">
        <f>"04/02/2015"</f>
        <v>04/02/2015</v>
      </c>
      <c r="B1375" t="str">
        <f>"1.241"</f>
        <v>1.241</v>
      </c>
      <c r="C1375" t="str">
        <f>"1.2415"</f>
        <v>1.2415</v>
      </c>
    </row>
    <row r="1376" spans="1:3" x14ac:dyDescent="0.25">
      <c r="A1376" t="str">
        <f>"05/02/2015"</f>
        <v>05/02/2015</v>
      </c>
      <c r="B1376" t="str">
        <f>"1.255"</f>
        <v>1.255</v>
      </c>
      <c r="C1376" t="str">
        <f>"1.2556"</f>
        <v>1.2556</v>
      </c>
    </row>
    <row r="1377" spans="1:3" x14ac:dyDescent="0.25">
      <c r="A1377" t="str">
        <f>"06/02/2015"</f>
        <v>06/02/2015</v>
      </c>
      <c r="B1377" t="str">
        <f>"1.2438"</f>
        <v>1.2438</v>
      </c>
      <c r="C1377" t="str">
        <f>"1.2443"</f>
        <v>1.2443</v>
      </c>
    </row>
    <row r="1378" spans="1:3" x14ac:dyDescent="0.25">
      <c r="A1378" t="str">
        <f>"09/02/2015"</f>
        <v>09/02/2015</v>
      </c>
      <c r="B1378" t="str">
        <f>"1.251"</f>
        <v>1.251</v>
      </c>
      <c r="C1378" t="str">
        <f>"1.2516"</f>
        <v>1.2516</v>
      </c>
    </row>
    <row r="1379" spans="1:3" x14ac:dyDescent="0.25">
      <c r="A1379" t="str">
        <f>"10/02/2015"</f>
        <v>10/02/2015</v>
      </c>
      <c r="B1379" t="str">
        <f>"1.2459"</f>
        <v>1.2459</v>
      </c>
      <c r="C1379" t="str">
        <f>"1.2464"</f>
        <v>1.2464</v>
      </c>
    </row>
    <row r="1380" spans="1:3" x14ac:dyDescent="0.25">
      <c r="A1380" t="str">
        <f>"11/02/2015"</f>
        <v>11/02/2015</v>
      </c>
      <c r="B1380" t="str">
        <f>"1.2589"</f>
        <v>1.2589</v>
      </c>
      <c r="C1380" t="str">
        <f>"1.2594"</f>
        <v>1.2594</v>
      </c>
    </row>
    <row r="1381" spans="1:3" x14ac:dyDescent="0.25">
      <c r="A1381" t="str">
        <f>"12/02/2015"</f>
        <v>12/02/2015</v>
      </c>
      <c r="B1381" t="str">
        <f>"1.2638"</f>
        <v>1.2638</v>
      </c>
      <c r="C1381" t="str">
        <f>"1.2643"</f>
        <v>1.2643</v>
      </c>
    </row>
    <row r="1382" spans="1:3" x14ac:dyDescent="0.25">
      <c r="A1382" t="str">
        <f>"13/02/2015"</f>
        <v>13/02/2015</v>
      </c>
      <c r="B1382" t="str">
        <f>"1.2493"</f>
        <v>1.2493</v>
      </c>
      <c r="C1382" t="str">
        <f>"1.2498"</f>
        <v>1.2498</v>
      </c>
    </row>
    <row r="1383" spans="1:3" x14ac:dyDescent="0.25">
      <c r="A1383" t="str">
        <f>"16/02/2015"</f>
        <v>16/02/2015</v>
      </c>
      <c r="B1383" t="str">
        <f>"1.2431"</f>
        <v>1.2431</v>
      </c>
      <c r="C1383" t="str">
        <f>"1.2437"</f>
        <v>1.2437</v>
      </c>
    </row>
    <row r="1384" spans="1:3" x14ac:dyDescent="0.25">
      <c r="A1384" t="str">
        <f>"18/02/2015"</f>
        <v>18/02/2015</v>
      </c>
      <c r="B1384" t="str">
        <f>"1.2455"</f>
        <v>1.2455</v>
      </c>
      <c r="C1384" t="str">
        <f>"1.246"</f>
        <v>1.246</v>
      </c>
    </row>
    <row r="1385" spans="1:3" x14ac:dyDescent="0.25">
      <c r="A1385" t="str">
        <f>"20/02/2015"</f>
        <v>20/02/2015</v>
      </c>
      <c r="B1385" t="str">
        <f>"1.2531"</f>
        <v>1.2531</v>
      </c>
      <c r="C1385" t="str">
        <f>"1.2536"</f>
        <v>1.2536</v>
      </c>
    </row>
    <row r="1386" spans="1:3" x14ac:dyDescent="0.25">
      <c r="A1386" t="str">
        <f>"23/02/2015"</f>
        <v>23/02/2015</v>
      </c>
      <c r="B1386" t="str">
        <f>"1.2571"</f>
        <v>1.2571</v>
      </c>
      <c r="C1386" t="str">
        <f>"1.2576"</f>
        <v>1.2576</v>
      </c>
    </row>
    <row r="1387" spans="1:3" x14ac:dyDescent="0.25">
      <c r="A1387" t="str">
        <f>"24/02/2015"</f>
        <v>24/02/2015</v>
      </c>
      <c r="B1387" t="str">
        <f>"1.2487"</f>
        <v>1.2487</v>
      </c>
      <c r="C1387" t="str">
        <f>"1.2492"</f>
        <v>1.2492</v>
      </c>
    </row>
    <row r="1388" spans="1:3" x14ac:dyDescent="0.25">
      <c r="A1388" t="str">
        <f>"25/02/2015"</f>
        <v>25/02/2015</v>
      </c>
      <c r="B1388" t="str">
        <f>"1.2436"</f>
        <v>1.2436</v>
      </c>
      <c r="C1388" t="str">
        <f>"1.2441"</f>
        <v>1.2441</v>
      </c>
    </row>
    <row r="1389" spans="1:3" x14ac:dyDescent="0.25">
      <c r="A1389" t="str">
        <f>"26/02/2015"</f>
        <v>26/02/2015</v>
      </c>
      <c r="B1389" t="str">
        <f>"1.2516"</f>
        <v>1.2516</v>
      </c>
      <c r="C1389" t="str">
        <f>"1.2523"</f>
        <v>1.2523</v>
      </c>
    </row>
    <row r="1390" spans="1:3" x14ac:dyDescent="0.25">
      <c r="A1390" t="str">
        <f>"27/02/2015"</f>
        <v>27/02/2015</v>
      </c>
      <c r="B1390" t="str">
        <f>"1.2517"</f>
        <v>1.2517</v>
      </c>
      <c r="C1390" t="str">
        <f>"1.2523"</f>
        <v>1.2523</v>
      </c>
    </row>
    <row r="1391" spans="1:3" x14ac:dyDescent="0.25">
      <c r="A1391" t="str">
        <f>"02/03/2015"</f>
        <v>02/03/2015</v>
      </c>
      <c r="B1391" t="str">
        <f>"1.2535"</f>
        <v>1.2535</v>
      </c>
      <c r="C1391" t="str">
        <f>"1.2541"</f>
        <v>1.2541</v>
      </c>
    </row>
    <row r="1392" spans="1:3" x14ac:dyDescent="0.25">
      <c r="A1392" t="str">
        <f>"03/03/2015"</f>
        <v>03/03/2015</v>
      </c>
      <c r="B1392" t="str">
        <f>"1.2497"</f>
        <v>1.2497</v>
      </c>
      <c r="C1392" t="str">
        <f>"1.2503"</f>
        <v>1.2503</v>
      </c>
    </row>
    <row r="1393" spans="1:3" x14ac:dyDescent="0.25">
      <c r="A1393" t="str">
        <f>"04/03/2015"</f>
        <v>04/03/2015</v>
      </c>
      <c r="B1393" t="str">
        <f>"1.2428"</f>
        <v>1.2428</v>
      </c>
      <c r="C1393" t="str">
        <f>"1.2434"</f>
        <v>1.2434</v>
      </c>
    </row>
    <row r="1394" spans="1:3" x14ac:dyDescent="0.25">
      <c r="A1394" t="str">
        <f>"05/03/2015"</f>
        <v>05/03/2015</v>
      </c>
      <c r="B1394" t="str">
        <f>"1.2487"</f>
        <v>1.2487</v>
      </c>
      <c r="C1394" t="str">
        <f>"1.2493"</f>
        <v>1.2493</v>
      </c>
    </row>
    <row r="1395" spans="1:3" x14ac:dyDescent="0.25">
      <c r="A1395" t="str">
        <f>"09/03/2015"</f>
        <v>09/03/2015</v>
      </c>
      <c r="B1395" t="str">
        <f>"1.2605"</f>
        <v>1.2605</v>
      </c>
      <c r="C1395" t="str">
        <f>"1.2611"</f>
        <v>1.2611</v>
      </c>
    </row>
    <row r="1396" spans="1:3" x14ac:dyDescent="0.25">
      <c r="A1396" t="str">
        <f>"10/03/2015"</f>
        <v>10/03/2015</v>
      </c>
      <c r="B1396" t="str">
        <f>"1.2689"</f>
        <v>1.2689</v>
      </c>
      <c r="C1396" t="str">
        <f>"1.2696"</f>
        <v>1.2696</v>
      </c>
    </row>
    <row r="1397" spans="1:3" x14ac:dyDescent="0.25">
      <c r="A1397" t="str">
        <f>"11/03/2015"</f>
        <v>11/03/2015</v>
      </c>
      <c r="B1397" t="str">
        <f>"1.275"</f>
        <v>1.275</v>
      </c>
      <c r="C1397" t="str">
        <f>"1.2756"</f>
        <v>1.2756</v>
      </c>
    </row>
    <row r="1398" spans="1:3" x14ac:dyDescent="0.25">
      <c r="A1398" t="str">
        <f>"12/03/2015"</f>
        <v>12/03/2015</v>
      </c>
      <c r="B1398" t="str">
        <f>"1.2686"</f>
        <v>1.2686</v>
      </c>
      <c r="C1398" t="str">
        <f>"1.2692"</f>
        <v>1.2692</v>
      </c>
    </row>
    <row r="1399" spans="1:3" x14ac:dyDescent="0.25">
      <c r="A1399" t="str">
        <f>"13/03/2015"</f>
        <v>13/03/2015</v>
      </c>
      <c r="B1399" t="str">
        <f>"1.2784"</f>
        <v>1.2784</v>
      </c>
      <c r="C1399" t="str">
        <f>"1.279"</f>
        <v>1.279</v>
      </c>
    </row>
    <row r="1400" spans="1:3" x14ac:dyDescent="0.25">
      <c r="A1400" t="str">
        <f>"16/03/2015"</f>
        <v>16/03/2015</v>
      </c>
      <c r="B1400" t="str">
        <f>"1.2774"</f>
        <v>1.2774</v>
      </c>
      <c r="C1400" t="str">
        <f>"1.278"</f>
        <v>1.278</v>
      </c>
    </row>
    <row r="1401" spans="1:3" x14ac:dyDescent="0.25">
      <c r="A1401" t="str">
        <f>"17/03/2015"</f>
        <v>17/03/2015</v>
      </c>
      <c r="B1401" t="str">
        <f>"1.2789"</f>
        <v>1.2789</v>
      </c>
      <c r="C1401" t="str">
        <f>"1.2795"</f>
        <v>1.2795</v>
      </c>
    </row>
    <row r="1402" spans="1:3" x14ac:dyDescent="0.25">
      <c r="A1402" t="str">
        <f>"18/03/2015"</f>
        <v>18/03/2015</v>
      </c>
      <c r="B1402" t="str">
        <f>"1.2566"</f>
        <v>1.2566</v>
      </c>
      <c r="C1402" t="str">
        <f>"1.2572"</f>
        <v>1.2572</v>
      </c>
    </row>
    <row r="1403" spans="1:3" x14ac:dyDescent="0.25">
      <c r="A1403" t="str">
        <f>"19/03/2015"</f>
        <v>19/03/2015</v>
      </c>
      <c r="B1403" t="str">
        <f>"1.2718"</f>
        <v>1.2718</v>
      </c>
      <c r="C1403" t="str">
        <f>"1.2723"</f>
        <v>1.2723</v>
      </c>
    </row>
    <row r="1404" spans="1:3" x14ac:dyDescent="0.25">
      <c r="A1404" t="str">
        <f>"20/03/2015"</f>
        <v>20/03/2015</v>
      </c>
      <c r="B1404" t="str">
        <f>"1.2552"</f>
        <v>1.2552</v>
      </c>
      <c r="C1404" t="str">
        <f>"1.2557"</f>
        <v>1.2557</v>
      </c>
    </row>
    <row r="1405" spans="1:3" x14ac:dyDescent="0.25">
      <c r="A1405" t="str">
        <f>"23/03/2015"</f>
        <v>23/03/2015</v>
      </c>
      <c r="B1405" t="str">
        <f>"1.2523"</f>
        <v>1.2523</v>
      </c>
      <c r="C1405" t="str">
        <f>"1.2529"</f>
        <v>1.2529</v>
      </c>
    </row>
    <row r="1406" spans="1:3" x14ac:dyDescent="0.25">
      <c r="A1406" t="str">
        <f>"24/03/2015"</f>
        <v>24/03/2015</v>
      </c>
      <c r="B1406" t="str">
        <f>"1.2493"</f>
        <v>1.2493</v>
      </c>
      <c r="C1406" t="str">
        <f>"1.2499"</f>
        <v>1.2499</v>
      </c>
    </row>
    <row r="1407" spans="1:3" x14ac:dyDescent="0.25">
      <c r="A1407" t="str">
        <f>"25/03/2015"</f>
        <v>25/03/2015</v>
      </c>
      <c r="B1407" t="str">
        <f>"1.252"</f>
        <v>1.252</v>
      </c>
      <c r="C1407" t="str">
        <f>"1.2525"</f>
        <v>1.2525</v>
      </c>
    </row>
    <row r="1408" spans="1:3" x14ac:dyDescent="0.25">
      <c r="A1408" t="str">
        <f>"26/03/2015"</f>
        <v>26/03/2015</v>
      </c>
      <c r="B1408" t="str">
        <f>"1.2483"</f>
        <v>1.2483</v>
      </c>
      <c r="C1408" t="str">
        <f>"1.2488"</f>
        <v>1.2488</v>
      </c>
    </row>
    <row r="1409" spans="1:3" x14ac:dyDescent="0.25">
      <c r="A1409" t="str">
        <f>"27/03/2015"</f>
        <v>27/03/2015</v>
      </c>
      <c r="B1409" t="str">
        <f>"1.261"</f>
        <v>1.261</v>
      </c>
      <c r="C1409" t="str">
        <f>"1.2616"</f>
        <v>1.2616</v>
      </c>
    </row>
    <row r="1410" spans="1:3" x14ac:dyDescent="0.25">
      <c r="A1410" t="str">
        <f>"30/03/2015"</f>
        <v>30/03/2015</v>
      </c>
      <c r="B1410" t="str">
        <f>"1.2676"</f>
        <v>1.2676</v>
      </c>
      <c r="C1410" t="str">
        <f>"1.2681"</f>
        <v>1.2681</v>
      </c>
    </row>
    <row r="1411" spans="1:3" x14ac:dyDescent="0.25">
      <c r="A1411" t="str">
        <f>"31/03/2015"</f>
        <v>31/03/2015</v>
      </c>
      <c r="B1411" t="str">
        <f>"1.2686"</f>
        <v>1.2686</v>
      </c>
      <c r="C1411" t="str">
        <f>"1.2691"</f>
        <v>1.2691</v>
      </c>
    </row>
    <row r="1412" spans="1:3" x14ac:dyDescent="0.25">
      <c r="A1412" t="str">
        <f>"06/04/2015"</f>
        <v>06/04/2015</v>
      </c>
      <c r="B1412" t="str">
        <f>"1.2483"</f>
        <v>1.2483</v>
      </c>
      <c r="C1412" t="str">
        <f>"1.2488"</f>
        <v>1.2488</v>
      </c>
    </row>
    <row r="1413" spans="1:3" x14ac:dyDescent="0.25">
      <c r="A1413" t="str">
        <f>"07/04/2015"</f>
        <v>07/04/2015</v>
      </c>
      <c r="B1413" t="str">
        <f>"1.2506"</f>
        <v>1.2506</v>
      </c>
      <c r="C1413" t="str">
        <f>"1.2511"</f>
        <v>1.2511</v>
      </c>
    </row>
    <row r="1414" spans="1:3" x14ac:dyDescent="0.25">
      <c r="A1414" t="str">
        <f>"08/04/2015"</f>
        <v>08/04/2015</v>
      </c>
      <c r="B1414" t="str">
        <f>"1.2547"</f>
        <v>1.2547</v>
      </c>
      <c r="C1414" t="str">
        <f>"1.2553"</f>
        <v>1.2553</v>
      </c>
    </row>
    <row r="1415" spans="1:3" x14ac:dyDescent="0.25">
      <c r="A1415" t="str">
        <f>"09/04/2015"</f>
        <v>09/04/2015</v>
      </c>
      <c r="B1415" t="str">
        <f>"1.2579"</f>
        <v>1.2579</v>
      </c>
      <c r="C1415" t="str">
        <f>"1.2584"</f>
        <v>1.2584</v>
      </c>
    </row>
    <row r="1416" spans="1:3" x14ac:dyDescent="0.25">
      <c r="A1416" t="str">
        <f>"10/04/2015"</f>
        <v>10/04/2015</v>
      </c>
      <c r="B1416" t="str">
        <f>"1.2567"</f>
        <v>1.2567</v>
      </c>
      <c r="C1416" t="str">
        <f>"1.2572"</f>
        <v>1.2572</v>
      </c>
    </row>
    <row r="1417" spans="1:3" x14ac:dyDescent="0.25">
      <c r="A1417" t="str">
        <f>"13/04/2015"</f>
        <v>13/04/2015</v>
      </c>
      <c r="B1417" t="str">
        <f>"1.2597"</f>
        <v>1.2597</v>
      </c>
      <c r="C1417" t="str">
        <f>"1.2603"</f>
        <v>1.2603</v>
      </c>
    </row>
    <row r="1418" spans="1:3" x14ac:dyDescent="0.25">
      <c r="A1418" t="str">
        <f>"15/04/2015"</f>
        <v>15/04/2015</v>
      </c>
      <c r="B1418" t="str">
        <f>"1.2291"</f>
        <v>1.2291</v>
      </c>
      <c r="C1418" t="str">
        <f>"1.2297"</f>
        <v>1.2297</v>
      </c>
    </row>
    <row r="1419" spans="1:3" x14ac:dyDescent="0.25">
      <c r="A1419" t="str">
        <f>"16/04/2015"</f>
        <v>16/04/2015</v>
      </c>
      <c r="B1419" t="str">
        <f>"1.2189"</f>
        <v>1.2189</v>
      </c>
      <c r="C1419" t="str">
        <f>"1.2195"</f>
        <v>1.2195</v>
      </c>
    </row>
    <row r="1420" spans="1:3" x14ac:dyDescent="0.25">
      <c r="A1420" t="str">
        <f>"17/04/2015"</f>
        <v>17/04/2015</v>
      </c>
      <c r="B1420" t="str">
        <f>"1.2247"</f>
        <v>1.2247</v>
      </c>
      <c r="C1420" t="str">
        <f>"1.2252"</f>
        <v>1.2252</v>
      </c>
    </row>
    <row r="1421" spans="1:3" x14ac:dyDescent="0.25">
      <c r="A1421" t="str">
        <f>"20/04/2015"</f>
        <v>20/04/2015</v>
      </c>
      <c r="B1421" t="str">
        <f>"1.2226"</f>
        <v>1.2226</v>
      </c>
      <c r="C1421" t="str">
        <f>"1.2231"</f>
        <v>1.2231</v>
      </c>
    </row>
    <row r="1422" spans="1:3" x14ac:dyDescent="0.25">
      <c r="A1422" t="str">
        <f>"21/04/2015"</f>
        <v>21/04/2015</v>
      </c>
      <c r="B1422" t="str">
        <f>"1.2281"</f>
        <v>1.2281</v>
      </c>
      <c r="C1422" t="str">
        <f>"1.2287"</f>
        <v>1.2287</v>
      </c>
    </row>
    <row r="1423" spans="1:3" x14ac:dyDescent="0.25">
      <c r="A1423" t="str">
        <f>"22/04/2015"</f>
        <v>22/04/2015</v>
      </c>
      <c r="B1423" t="str">
        <f>"1.2238"</f>
        <v>1.2238</v>
      </c>
      <c r="C1423" t="str">
        <f>"1.2243"</f>
        <v>1.2243</v>
      </c>
    </row>
    <row r="1424" spans="1:3" x14ac:dyDescent="0.25">
      <c r="A1424" t="str">
        <f>"23/04/2015"</f>
        <v>23/04/2015</v>
      </c>
      <c r="B1424" t="str">
        <f>"1.2145"</f>
        <v>1.2145</v>
      </c>
      <c r="C1424" t="str">
        <f>"1.2151"</f>
        <v>1.2151</v>
      </c>
    </row>
    <row r="1425" spans="1:3" x14ac:dyDescent="0.25">
      <c r="A1425" t="str">
        <f>"24/04/2015"</f>
        <v>24/04/2015</v>
      </c>
      <c r="B1425" t="str">
        <f>"1.2175"</f>
        <v>1.2175</v>
      </c>
      <c r="C1425" t="str">
        <f>"1.218"</f>
        <v>1.218</v>
      </c>
    </row>
    <row r="1426" spans="1:3" x14ac:dyDescent="0.25">
      <c r="A1426" t="str">
        <f>"27/04/2015"</f>
        <v>27/04/2015</v>
      </c>
      <c r="B1426" t="str">
        <f>"1.2086"</f>
        <v>1.2086</v>
      </c>
      <c r="C1426" t="str">
        <f>"1.2091"</f>
        <v>1.2091</v>
      </c>
    </row>
    <row r="1427" spans="1:3" x14ac:dyDescent="0.25">
      <c r="A1427" t="str">
        <f>"28/04/2015"</f>
        <v>28/04/2015</v>
      </c>
      <c r="B1427" t="str">
        <f>"1.2034"</f>
        <v>1.2034</v>
      </c>
      <c r="C1427" t="str">
        <f>"1.2039"</f>
        <v>1.2039</v>
      </c>
    </row>
    <row r="1428" spans="1:3" x14ac:dyDescent="0.25">
      <c r="A1428" t="str">
        <f>"29/04/2015"</f>
        <v>29/04/2015</v>
      </c>
      <c r="B1428" t="str">
        <f>"1.202"</f>
        <v>1.202</v>
      </c>
      <c r="C1428" t="str">
        <f>"1.2025"</f>
        <v>1.2025</v>
      </c>
    </row>
    <row r="1429" spans="1:3" x14ac:dyDescent="0.25">
      <c r="A1429" t="str">
        <f>"30/04/2015"</f>
        <v>30/04/2015</v>
      </c>
      <c r="B1429" t="str">
        <f>"1.2077"</f>
        <v>1.2077</v>
      </c>
      <c r="C1429" t="str">
        <f>"1.2082"</f>
        <v>1.2082</v>
      </c>
    </row>
    <row r="1430" spans="1:3" x14ac:dyDescent="0.25">
      <c r="A1430" t="str">
        <f>"05/05/2015"</f>
        <v>05/05/2015</v>
      </c>
      <c r="B1430" t="str">
        <f>"1.2069"</f>
        <v>1.2069</v>
      </c>
      <c r="C1430" t="str">
        <f>"1.2075"</f>
        <v>1.2075</v>
      </c>
    </row>
    <row r="1431" spans="1:3" x14ac:dyDescent="0.25">
      <c r="A1431" t="str">
        <f>"06/05/2015"</f>
        <v>06/05/2015</v>
      </c>
      <c r="B1431" t="str">
        <f>"1.2039"</f>
        <v>1.2039</v>
      </c>
      <c r="C1431" t="str">
        <f>"1.2045"</f>
        <v>1.2045</v>
      </c>
    </row>
    <row r="1432" spans="1:3" x14ac:dyDescent="0.25">
      <c r="A1432" t="str">
        <f>"07/05/2015"</f>
        <v>07/05/2015</v>
      </c>
      <c r="B1432" t="str">
        <f>"1.213"</f>
        <v>1.213</v>
      </c>
      <c r="C1432" t="str">
        <f>"1.2135"</f>
        <v>1.2135</v>
      </c>
    </row>
    <row r="1433" spans="1:3" x14ac:dyDescent="0.25">
      <c r="A1433" t="str">
        <f>"08/05/2015"</f>
        <v>08/05/2015</v>
      </c>
      <c r="B1433" t="str">
        <f>"1.2072"</f>
        <v>1.2072</v>
      </c>
      <c r="C1433" t="str">
        <f>"1.2077"</f>
        <v>1.2077</v>
      </c>
    </row>
    <row r="1434" spans="1:3" x14ac:dyDescent="0.25">
      <c r="A1434" t="str">
        <f>"11/05/2015"</f>
        <v>11/05/2015</v>
      </c>
      <c r="B1434" t="str">
        <f>"1.2103"</f>
        <v>1.2103</v>
      </c>
      <c r="C1434" t="str">
        <f>"1.2108"</f>
        <v>1.2108</v>
      </c>
    </row>
    <row r="1435" spans="1:3" x14ac:dyDescent="0.25">
      <c r="A1435" t="str">
        <f>"12/05/2015"</f>
        <v>12/05/2015</v>
      </c>
      <c r="B1435" t="str">
        <f>"1.2019"</f>
        <v>1.2019</v>
      </c>
      <c r="C1435" t="str">
        <f>"1.2025"</f>
        <v>1.2025</v>
      </c>
    </row>
    <row r="1436" spans="1:3" x14ac:dyDescent="0.25">
      <c r="A1436" t="str">
        <f>"13/05/2015"</f>
        <v>13/05/2015</v>
      </c>
      <c r="B1436" t="str">
        <f>"1.1958"</f>
        <v>1.1958</v>
      </c>
      <c r="C1436" t="str">
        <f>"1.1964"</f>
        <v>1.1964</v>
      </c>
    </row>
    <row r="1437" spans="1:3" x14ac:dyDescent="0.25">
      <c r="A1437" t="str">
        <f>"14/05/2015"</f>
        <v>14/05/2015</v>
      </c>
      <c r="B1437" t="str">
        <f>"1.1983"</f>
        <v>1.1983</v>
      </c>
      <c r="C1437" t="str">
        <f>"1.1988"</f>
        <v>1.1988</v>
      </c>
    </row>
    <row r="1438" spans="1:3" x14ac:dyDescent="0.25">
      <c r="A1438" t="str">
        <f>"15/05/2015"</f>
        <v>15/05/2015</v>
      </c>
      <c r="B1438" t="str">
        <f>"1.2015"</f>
        <v>1.2015</v>
      </c>
      <c r="C1438" t="str">
        <f>"1.2021"</f>
        <v>1.2021</v>
      </c>
    </row>
    <row r="1439" spans="1:3" x14ac:dyDescent="0.25">
      <c r="A1439" t="str">
        <f>"18/05/2015"</f>
        <v>18/05/2015</v>
      </c>
      <c r="B1439" t="str">
        <f>"1.2161"</f>
        <v>1.2161</v>
      </c>
      <c r="C1439" t="str">
        <f>"1.2167"</f>
        <v>1.2167</v>
      </c>
    </row>
    <row r="1440" spans="1:3" x14ac:dyDescent="0.25">
      <c r="A1440" t="str">
        <f>"19/05/2015"</f>
        <v>19/05/2015</v>
      </c>
      <c r="B1440" t="str">
        <f>"1.2233"</f>
        <v>1.2233</v>
      </c>
      <c r="C1440" t="str">
        <f>"1.2239"</f>
        <v>1.2239</v>
      </c>
    </row>
    <row r="1441" spans="1:3" x14ac:dyDescent="0.25">
      <c r="A1441" t="str">
        <f>"20/05/2015"</f>
        <v>20/05/2015</v>
      </c>
      <c r="B1441" t="str">
        <f>"1.2209"</f>
        <v>1.2209</v>
      </c>
      <c r="C1441" t="str">
        <f>"1.2215"</f>
        <v>1.2215</v>
      </c>
    </row>
    <row r="1442" spans="1:3" x14ac:dyDescent="0.25">
      <c r="A1442" t="str">
        <f>"21/05/2015"</f>
        <v>21/05/2015</v>
      </c>
      <c r="B1442" t="str">
        <f>"1.2199"</f>
        <v>1.2199</v>
      </c>
      <c r="C1442" t="str">
        <f>"1.2205"</f>
        <v>1.2205</v>
      </c>
    </row>
    <row r="1443" spans="1:3" x14ac:dyDescent="0.25">
      <c r="A1443" t="str">
        <f>"22/05/2015"</f>
        <v>22/05/2015</v>
      </c>
      <c r="B1443" t="str">
        <f>"1.228"</f>
        <v>1.228</v>
      </c>
      <c r="C1443" t="str">
        <f>"1.2287"</f>
        <v>1.2287</v>
      </c>
    </row>
    <row r="1444" spans="1:3" x14ac:dyDescent="0.25">
      <c r="A1444" t="str">
        <f>"25/05/2015"</f>
        <v>25/05/2015</v>
      </c>
      <c r="B1444" t="str">
        <f>"1.2314"</f>
        <v>1.2314</v>
      </c>
      <c r="C1444" t="str">
        <f>"1.232"</f>
        <v>1.232</v>
      </c>
    </row>
    <row r="1445" spans="1:3" x14ac:dyDescent="0.25">
      <c r="A1445" t="str">
        <f>"26/05/2015"</f>
        <v>26/05/2015</v>
      </c>
      <c r="B1445" t="str">
        <f>"1.2435"</f>
        <v>1.2435</v>
      </c>
      <c r="C1445" t="str">
        <f>"1.2442"</f>
        <v>1.2442</v>
      </c>
    </row>
    <row r="1446" spans="1:3" x14ac:dyDescent="0.25">
      <c r="A1446" t="str">
        <f>"27/05/2015"</f>
        <v>27/05/2015</v>
      </c>
      <c r="B1446" t="str">
        <f>"1.2452"</f>
        <v>1.2452</v>
      </c>
      <c r="C1446" t="str">
        <f>"1.2458"</f>
        <v>1.2458</v>
      </c>
    </row>
    <row r="1447" spans="1:3" x14ac:dyDescent="0.25">
      <c r="A1447" t="str">
        <f>"28/05/2015"</f>
        <v>28/05/2015</v>
      </c>
      <c r="B1447" t="str">
        <f>"1.2436"</f>
        <v>1.2436</v>
      </c>
      <c r="C1447" t="str">
        <f>"1.2443"</f>
        <v>1.2443</v>
      </c>
    </row>
    <row r="1448" spans="1:3" x14ac:dyDescent="0.25">
      <c r="A1448" t="str">
        <f>"29/05/2015"</f>
        <v>29/05/2015</v>
      </c>
      <c r="B1448" t="str">
        <f>"1.2454"</f>
        <v>1.2454</v>
      </c>
      <c r="C1448" t="str">
        <f>"1.246"</f>
        <v>1.246</v>
      </c>
    </row>
    <row r="1449" spans="1:3" x14ac:dyDescent="0.25">
      <c r="A1449" t="str">
        <f>"01/06/2015"</f>
        <v>01/06/2015</v>
      </c>
      <c r="B1449" t="str">
        <f>"1.2522"</f>
        <v>1.2522</v>
      </c>
      <c r="C1449" t="str">
        <f>"1.2528"</f>
        <v>1.2528</v>
      </c>
    </row>
    <row r="1450" spans="1:3" x14ac:dyDescent="0.25">
      <c r="A1450" t="str">
        <f>"02/06/2015"</f>
        <v>02/06/2015</v>
      </c>
      <c r="B1450" t="str">
        <f>"1.2402"</f>
        <v>1.2402</v>
      </c>
      <c r="C1450" t="str">
        <f>"1.2408"</f>
        <v>1.2408</v>
      </c>
    </row>
    <row r="1451" spans="1:3" x14ac:dyDescent="0.25">
      <c r="A1451" t="str">
        <f>"03/06/2015"</f>
        <v>03/06/2015</v>
      </c>
      <c r="B1451" t="str">
        <f>"1.2452"</f>
        <v>1.2452</v>
      </c>
      <c r="C1451" t="str">
        <f>"1.2459"</f>
        <v>1.2459</v>
      </c>
    </row>
    <row r="1452" spans="1:3" x14ac:dyDescent="0.25">
      <c r="A1452" t="str">
        <f>"04/06/2015"</f>
        <v>04/06/2015</v>
      </c>
      <c r="B1452" t="str">
        <f>"1.2503"</f>
        <v>1.2503</v>
      </c>
      <c r="C1452" t="str">
        <f>"1.251"</f>
        <v>1.251</v>
      </c>
    </row>
    <row r="1453" spans="1:3" x14ac:dyDescent="0.25">
      <c r="A1453" t="str">
        <f>"05/06/2015"</f>
        <v>05/06/2015</v>
      </c>
      <c r="B1453" t="str">
        <f>"1.2446"</f>
        <v>1.2446</v>
      </c>
      <c r="C1453" t="str">
        <f>"1.2452"</f>
        <v>1.2452</v>
      </c>
    </row>
    <row r="1454" spans="1:3" x14ac:dyDescent="0.25">
      <c r="A1454" t="str">
        <f>"08/06/2015"</f>
        <v>08/06/2015</v>
      </c>
      <c r="B1454" t="str">
        <f>"1.2411"</f>
        <v>1.2411</v>
      </c>
      <c r="C1454" t="str">
        <f>"1.2417"</f>
        <v>1.2417</v>
      </c>
    </row>
    <row r="1455" spans="1:3" x14ac:dyDescent="0.25">
      <c r="A1455" t="str">
        <f>"09/06/2015"</f>
        <v>09/06/2015</v>
      </c>
      <c r="B1455" t="str">
        <f>"1.2337"</f>
        <v>1.2337</v>
      </c>
      <c r="C1455" t="str">
        <f>"1.2343"</f>
        <v>1.2343</v>
      </c>
    </row>
    <row r="1456" spans="1:3" x14ac:dyDescent="0.25">
      <c r="A1456" t="str">
        <f>"10/06/2015"</f>
        <v>10/06/2015</v>
      </c>
      <c r="B1456" t="str">
        <f>"1.2255"</f>
        <v>1.2255</v>
      </c>
      <c r="C1456" t="str">
        <f>"1.2262"</f>
        <v>1.2262</v>
      </c>
    </row>
    <row r="1457" spans="1:3" x14ac:dyDescent="0.25">
      <c r="A1457" t="str">
        <f>"11/06/2015"</f>
        <v>11/06/2015</v>
      </c>
      <c r="B1457" t="str">
        <f>"1.2292"</f>
        <v>1.2292</v>
      </c>
      <c r="C1457" t="str">
        <f>"1.2299"</f>
        <v>1.2299</v>
      </c>
    </row>
    <row r="1458" spans="1:3" x14ac:dyDescent="0.25">
      <c r="A1458" t="str">
        <f>"12/06/2015"</f>
        <v>12/06/2015</v>
      </c>
      <c r="B1458" t="str">
        <f>"1.2322"</f>
        <v>1.2322</v>
      </c>
      <c r="C1458" t="str">
        <f>"1.2328"</f>
        <v>1.2328</v>
      </c>
    </row>
    <row r="1459" spans="1:3" x14ac:dyDescent="0.25">
      <c r="A1459" t="str">
        <f>"15/06/2015"</f>
        <v>15/06/2015</v>
      </c>
      <c r="B1459" t="str">
        <f>"1.2325"</f>
        <v>1.2325</v>
      </c>
      <c r="C1459" t="str">
        <f>"1.2331"</f>
        <v>1.2331</v>
      </c>
    </row>
    <row r="1460" spans="1:3" x14ac:dyDescent="0.25">
      <c r="A1460" t="str">
        <f>"16/06/2015"</f>
        <v>16/06/2015</v>
      </c>
      <c r="B1460" t="str">
        <f>"1.2295"</f>
        <v>1.2295</v>
      </c>
      <c r="C1460" t="str">
        <f>"1.2301"</f>
        <v>1.2301</v>
      </c>
    </row>
    <row r="1461" spans="1:3" x14ac:dyDescent="0.25">
      <c r="A1461" t="str">
        <f>"17/06/2015"</f>
        <v>17/06/2015</v>
      </c>
      <c r="B1461" t="str">
        <f>"1.2296"</f>
        <v>1.2296</v>
      </c>
      <c r="C1461" t="str">
        <f>"1.2303"</f>
        <v>1.2303</v>
      </c>
    </row>
    <row r="1462" spans="1:3" x14ac:dyDescent="0.25">
      <c r="A1462" t="str">
        <f>"18/06/2015"</f>
        <v>18/06/2015</v>
      </c>
      <c r="B1462" t="str">
        <f>"1.2223"</f>
        <v>1.2223</v>
      </c>
      <c r="C1462" t="str">
        <f>"1.2229"</f>
        <v>1.2229</v>
      </c>
    </row>
    <row r="1463" spans="1:3" x14ac:dyDescent="0.25">
      <c r="A1463" t="str">
        <f>"19/06/2015"</f>
        <v>19/06/2015</v>
      </c>
      <c r="B1463" t="str">
        <f>"1.2269"</f>
        <v>1.2269</v>
      </c>
      <c r="C1463" t="str">
        <f>"1.2275"</f>
        <v>1.2275</v>
      </c>
    </row>
    <row r="1464" spans="1:3" x14ac:dyDescent="0.25">
      <c r="A1464" t="str">
        <f>"22/06/2015"</f>
        <v>22/06/2015</v>
      </c>
      <c r="B1464" t="str">
        <f>"1.2309"</f>
        <v>1.2309</v>
      </c>
      <c r="C1464" t="str">
        <f>"1.2315"</f>
        <v>1.2315</v>
      </c>
    </row>
    <row r="1465" spans="1:3" x14ac:dyDescent="0.25">
      <c r="A1465" t="str">
        <f>"23/06/2015"</f>
        <v>23/06/2015</v>
      </c>
      <c r="B1465" t="str">
        <f>"1.2327"</f>
        <v>1.2327</v>
      </c>
      <c r="C1465" t="str">
        <f>"1.2333"</f>
        <v>1.2333</v>
      </c>
    </row>
    <row r="1466" spans="1:3" x14ac:dyDescent="0.25">
      <c r="A1466" t="str">
        <f>"24/06/2015"</f>
        <v>24/06/2015</v>
      </c>
      <c r="B1466" t="str">
        <f>"1.2383"</f>
        <v>1.2383</v>
      </c>
      <c r="C1466" t="str">
        <f>"1.2389"</f>
        <v>1.2389</v>
      </c>
    </row>
    <row r="1467" spans="1:3" x14ac:dyDescent="0.25">
      <c r="A1467" t="str">
        <f>"25/06/2015"</f>
        <v>25/06/2015</v>
      </c>
      <c r="B1467" t="str">
        <f>"1.2328"</f>
        <v>1.2328</v>
      </c>
      <c r="C1467" t="str">
        <f>"1.2334"</f>
        <v>1.2334</v>
      </c>
    </row>
    <row r="1468" spans="1:3" x14ac:dyDescent="0.25">
      <c r="A1468" t="str">
        <f>"26/06/2015"</f>
        <v>26/06/2015</v>
      </c>
      <c r="B1468" t="str">
        <f>"1.2323"</f>
        <v>1.2323</v>
      </c>
      <c r="C1468" t="str">
        <f>"1.2329"</f>
        <v>1.2329</v>
      </c>
    </row>
    <row r="1469" spans="1:3" x14ac:dyDescent="0.25">
      <c r="A1469" t="str">
        <f>"29/06/2015"</f>
        <v>29/06/2015</v>
      </c>
      <c r="B1469" t="str">
        <f>"1.2404"</f>
        <v>1.2404</v>
      </c>
      <c r="C1469" t="str">
        <f>"1.241"</f>
        <v>1.241</v>
      </c>
    </row>
    <row r="1470" spans="1:3" x14ac:dyDescent="0.25">
      <c r="A1470" t="str">
        <f>"30/06/2015"</f>
        <v>30/06/2015</v>
      </c>
      <c r="B1470" t="str">
        <f>"1.2495"</f>
        <v>1.2495</v>
      </c>
      <c r="C1470" t="str">
        <f>"1.2501"</f>
        <v>1.2501</v>
      </c>
    </row>
    <row r="1471" spans="1:3" x14ac:dyDescent="0.25">
      <c r="A1471" t="str">
        <f>"01/07/2015"</f>
        <v>01/07/2015</v>
      </c>
      <c r="B1471" t="str">
        <f>"1.259"</f>
        <v>1.259</v>
      </c>
      <c r="C1471" t="str">
        <f>"1.2596"</f>
        <v>1.2596</v>
      </c>
    </row>
    <row r="1472" spans="1:3" x14ac:dyDescent="0.25">
      <c r="A1472" t="str">
        <f>"02/07/2015"</f>
        <v>02/07/2015</v>
      </c>
      <c r="B1472" t="str">
        <f>"1.254"</f>
        <v>1.254</v>
      </c>
      <c r="C1472" t="str">
        <f>"1.2545"</f>
        <v>1.2545</v>
      </c>
    </row>
    <row r="1473" spans="1:3" x14ac:dyDescent="0.25">
      <c r="A1473" t="str">
        <f>"03/07/2015"</f>
        <v>03/07/2015</v>
      </c>
      <c r="B1473" t="str">
        <f>"1.2576"</f>
        <v>1.2576</v>
      </c>
      <c r="C1473" t="str">
        <f>"1.2581"</f>
        <v>1.2581</v>
      </c>
    </row>
    <row r="1474" spans="1:3" x14ac:dyDescent="0.25">
      <c r="A1474" t="str">
        <f>"06/07/2015"</f>
        <v>06/07/2015</v>
      </c>
      <c r="B1474" t="str">
        <f>"1.2652"</f>
        <v>1.2652</v>
      </c>
      <c r="C1474" t="str">
        <f>"1.2657"</f>
        <v>1.2657</v>
      </c>
    </row>
    <row r="1475" spans="1:3" x14ac:dyDescent="0.25">
      <c r="A1475" t="str">
        <f>"07/07/2015"</f>
        <v>07/07/2015</v>
      </c>
      <c r="B1475" t="str">
        <f>"1.2706"</f>
        <v>1.2706</v>
      </c>
      <c r="C1475" t="str">
        <f>"1.2712"</f>
        <v>1.2712</v>
      </c>
    </row>
    <row r="1476" spans="1:3" x14ac:dyDescent="0.25">
      <c r="A1476" t="str">
        <f>"08/07/2015"</f>
        <v>08/07/2015</v>
      </c>
      <c r="B1476" t="str">
        <f>"1.2747"</f>
        <v>1.2747</v>
      </c>
      <c r="C1476" t="str">
        <f>"1.2752"</f>
        <v>1.2752</v>
      </c>
    </row>
    <row r="1477" spans="1:3" x14ac:dyDescent="0.25">
      <c r="A1477" t="str">
        <f>"09/07/2015"</f>
        <v>09/07/2015</v>
      </c>
      <c r="B1477" t="str">
        <f>"1.2707"</f>
        <v>1.2707</v>
      </c>
      <c r="C1477" t="str">
        <f>"1.2712"</f>
        <v>1.2712</v>
      </c>
    </row>
    <row r="1478" spans="1:3" x14ac:dyDescent="0.25">
      <c r="A1478" t="str">
        <f>"10/07/2015"</f>
        <v>10/07/2015</v>
      </c>
      <c r="B1478" t="str">
        <f>"1.2658"</f>
        <v>1.2658</v>
      </c>
      <c r="C1478" t="str">
        <f>"1.2663"</f>
        <v>1.2663</v>
      </c>
    </row>
    <row r="1479" spans="1:3" x14ac:dyDescent="0.25">
      <c r="A1479" t="str">
        <f>"13/07/2015"</f>
        <v>13/07/2015</v>
      </c>
      <c r="B1479" t="str">
        <f>"1.2742"</f>
        <v>1.2742</v>
      </c>
      <c r="C1479" t="str">
        <f>"1.2747"</f>
        <v>1.2747</v>
      </c>
    </row>
    <row r="1480" spans="1:3" x14ac:dyDescent="0.25">
      <c r="A1480" t="str">
        <f>"14/07/2015"</f>
        <v>14/07/2015</v>
      </c>
      <c r="B1480" t="str">
        <f>"1.2728"</f>
        <v>1.2728</v>
      </c>
      <c r="C1480" t="str">
        <f>"1.2734"</f>
        <v>1.2734</v>
      </c>
    </row>
    <row r="1481" spans="1:3" x14ac:dyDescent="0.25">
      <c r="A1481" t="str">
        <f>"15/07/2015"</f>
        <v>15/07/2015</v>
      </c>
      <c r="B1481" t="str">
        <f>"1.2914"</f>
        <v>1.2914</v>
      </c>
      <c r="C1481" t="str">
        <f>"1.2919"</f>
        <v>1.2919</v>
      </c>
    </row>
    <row r="1482" spans="1:3" x14ac:dyDescent="0.25">
      <c r="A1482" t="str">
        <f>"16/07/2015"</f>
        <v>16/07/2015</v>
      </c>
      <c r="B1482" t="str">
        <f>"1.2958"</f>
        <v>1.2958</v>
      </c>
      <c r="C1482" t="str">
        <f>"1.2962"</f>
        <v>1.2962</v>
      </c>
    </row>
    <row r="1483" spans="1:3" x14ac:dyDescent="0.25">
      <c r="A1483" t="str">
        <f>"17/07/2015"</f>
        <v>17/07/2015</v>
      </c>
      <c r="B1483" t="str">
        <f>"1.2972"</f>
        <v>1.2972</v>
      </c>
      <c r="C1483" t="str">
        <f>"1.2976"</f>
        <v>1.2976</v>
      </c>
    </row>
    <row r="1484" spans="1:3" x14ac:dyDescent="0.25">
      <c r="A1484" t="str">
        <f>"20/07/2015"</f>
        <v>20/07/2015</v>
      </c>
      <c r="B1484" t="str">
        <f>"1.2994"</f>
        <v>1.2994</v>
      </c>
      <c r="C1484" t="str">
        <f>"1.2998"</f>
        <v>1.2998</v>
      </c>
    </row>
    <row r="1485" spans="1:3" x14ac:dyDescent="0.25">
      <c r="A1485" t="str">
        <f>"21/07/2015"</f>
        <v>21/07/2015</v>
      </c>
      <c r="B1485" t="str">
        <f>"1.2949"</f>
        <v>1.2949</v>
      </c>
      <c r="C1485" t="str">
        <f>"1.2953"</f>
        <v>1.2953</v>
      </c>
    </row>
    <row r="1486" spans="1:3" x14ac:dyDescent="0.25">
      <c r="A1486" t="str">
        <f>"22/07/2015"</f>
        <v>22/07/2015</v>
      </c>
      <c r="B1486" t="str">
        <f>"1.3034"</f>
        <v>1.3034</v>
      </c>
      <c r="C1486" t="str">
        <f>"1.3037"</f>
        <v>1.3037</v>
      </c>
    </row>
    <row r="1487" spans="1:3" x14ac:dyDescent="0.25">
      <c r="A1487" t="str">
        <f>"23/07/2015"</f>
        <v>23/07/2015</v>
      </c>
      <c r="B1487" t="str">
        <f>"1.3035"</f>
        <v>1.3035</v>
      </c>
      <c r="C1487" t="str">
        <f>"1.3038"</f>
        <v>1.3038</v>
      </c>
    </row>
    <row r="1488" spans="1:3" x14ac:dyDescent="0.25">
      <c r="A1488" t="str">
        <f>"24/07/2015"</f>
        <v>24/07/2015</v>
      </c>
      <c r="B1488" t="str">
        <f>"1.3029"</f>
        <v>1.3029</v>
      </c>
      <c r="C1488" t="str">
        <f>"1.3032"</f>
        <v>1.3032</v>
      </c>
    </row>
    <row r="1489" spans="1:3" x14ac:dyDescent="0.25">
      <c r="A1489" t="str">
        <f>"27/07/2015"</f>
        <v>27/07/2015</v>
      </c>
      <c r="B1489" t="str">
        <f>"1.3039"</f>
        <v>1.3039</v>
      </c>
      <c r="C1489" t="str">
        <f>"1.3042"</f>
        <v>1.3042</v>
      </c>
    </row>
    <row r="1490" spans="1:3" x14ac:dyDescent="0.25">
      <c r="A1490" t="str">
        <f>"28/07/2015"</f>
        <v>28/07/2015</v>
      </c>
      <c r="B1490" t="str">
        <f>"1.2922"</f>
        <v>1.2922</v>
      </c>
      <c r="C1490" t="str">
        <f>"1.2925"</f>
        <v>1.2925</v>
      </c>
    </row>
    <row r="1491" spans="1:3" x14ac:dyDescent="0.25">
      <c r="A1491" t="str">
        <f>"29/07/2015"</f>
        <v>29/07/2015</v>
      </c>
      <c r="B1491" t="str">
        <f>"1.2937"</f>
        <v>1.2937</v>
      </c>
      <c r="C1491" t="str">
        <f>"1.294"</f>
        <v>1.294</v>
      </c>
    </row>
    <row r="1492" spans="1:3" x14ac:dyDescent="0.25">
      <c r="A1492" t="str">
        <f>"30/07/2015"</f>
        <v>30/07/2015</v>
      </c>
      <c r="B1492" t="str">
        <f>"1.3001"</f>
        <v>1.3001</v>
      </c>
      <c r="C1492" t="str">
        <f>"1.3004"</f>
        <v>1.3004</v>
      </c>
    </row>
    <row r="1493" spans="1:3" x14ac:dyDescent="0.25">
      <c r="A1493" t="str">
        <f>"31/07/2015"</f>
        <v>31/07/2015</v>
      </c>
      <c r="B1493" t="str">
        <f>"1.3092"</f>
        <v>1.3092</v>
      </c>
      <c r="C1493" t="str">
        <f>"1.3095"</f>
        <v>1.3095</v>
      </c>
    </row>
    <row r="1494" spans="1:3" x14ac:dyDescent="0.25">
      <c r="A1494" t="str">
        <f>"03/08/2015"</f>
        <v>03/08/2015</v>
      </c>
      <c r="B1494" t="str">
        <f>"1.3156"</f>
        <v>1.3156</v>
      </c>
      <c r="C1494" t="str">
        <f>"1.3159"</f>
        <v>1.3159</v>
      </c>
    </row>
    <row r="1495" spans="1:3" x14ac:dyDescent="0.25">
      <c r="A1495" t="str">
        <f>"04/08/2015"</f>
        <v>04/08/2015</v>
      </c>
      <c r="B1495" t="str">
        <f>"1.317"</f>
        <v>1.317</v>
      </c>
      <c r="C1495" t="str">
        <f>"1.3173"</f>
        <v>1.3173</v>
      </c>
    </row>
    <row r="1496" spans="1:3" x14ac:dyDescent="0.25">
      <c r="A1496" t="str">
        <f>"05/08/2015"</f>
        <v>05/08/2015</v>
      </c>
      <c r="B1496" t="str">
        <f>"1.3178"</f>
        <v>1.3178</v>
      </c>
      <c r="C1496" t="str">
        <f>"1.3181"</f>
        <v>1.3181</v>
      </c>
    </row>
    <row r="1497" spans="1:3" x14ac:dyDescent="0.25">
      <c r="A1497" t="str">
        <f>"06/08/2015"</f>
        <v>06/08/2015</v>
      </c>
      <c r="B1497" t="str">
        <f>"1.3111"</f>
        <v>1.3111</v>
      </c>
      <c r="C1497" t="str">
        <f>"1.3113"</f>
        <v>1.3113</v>
      </c>
    </row>
    <row r="1498" spans="1:3" x14ac:dyDescent="0.25">
      <c r="A1498" t="str">
        <f>"07/08/2015"</f>
        <v>07/08/2015</v>
      </c>
      <c r="B1498" t="str">
        <f>"1.3133"</f>
        <v>1.3133</v>
      </c>
      <c r="C1498" t="str">
        <f>"1.3135"</f>
        <v>1.3135</v>
      </c>
    </row>
    <row r="1499" spans="1:3" x14ac:dyDescent="0.25">
      <c r="A1499" t="str">
        <f>"10/08/2015"</f>
        <v>10/08/2015</v>
      </c>
      <c r="B1499" t="str">
        <f>"1.3002"</f>
        <v>1.3002</v>
      </c>
      <c r="C1499" t="str">
        <f>"1.3004"</f>
        <v>1.3004</v>
      </c>
    </row>
    <row r="1500" spans="1:3" x14ac:dyDescent="0.25">
      <c r="A1500" t="str">
        <f>"11/08/2015"</f>
        <v>11/08/2015</v>
      </c>
      <c r="B1500" t="str">
        <f>"1.3115"</f>
        <v>1.3115</v>
      </c>
      <c r="C1500" t="str">
        <f>"1.3117"</f>
        <v>1.3117</v>
      </c>
    </row>
    <row r="1501" spans="1:3" x14ac:dyDescent="0.25">
      <c r="A1501" t="str">
        <f>"12/08/2015"</f>
        <v>12/08/2015</v>
      </c>
      <c r="B1501" t="str">
        <f>"1.2977"</f>
        <v>1.2977</v>
      </c>
      <c r="C1501" t="str">
        <f>"1.298"</f>
        <v>1.298</v>
      </c>
    </row>
    <row r="1502" spans="1:3" x14ac:dyDescent="0.25">
      <c r="A1502" t="str">
        <f>"13/08/2015"</f>
        <v>13/08/2015</v>
      </c>
      <c r="B1502" t="str">
        <f>"1.3061"</f>
        <v>1.3061</v>
      </c>
      <c r="C1502" t="str">
        <f>"1.3064"</f>
        <v>1.3064</v>
      </c>
    </row>
    <row r="1503" spans="1:3" x14ac:dyDescent="0.25">
      <c r="A1503" t="str">
        <f>"14/08/2015"</f>
        <v>14/08/2015</v>
      </c>
      <c r="B1503" t="str">
        <f>"1.3089"</f>
        <v>1.3089</v>
      </c>
      <c r="C1503" t="str">
        <f>"1.3092"</f>
        <v>1.3092</v>
      </c>
    </row>
    <row r="1504" spans="1:3" x14ac:dyDescent="0.25">
      <c r="A1504" t="str">
        <f>"17/08/2015"</f>
        <v>17/08/2015</v>
      </c>
      <c r="B1504" t="str">
        <f>"1.3079"</f>
        <v>1.3079</v>
      </c>
      <c r="C1504" t="str">
        <f>"1.3082"</f>
        <v>1.3082</v>
      </c>
    </row>
    <row r="1505" spans="1:3" x14ac:dyDescent="0.25">
      <c r="A1505" t="str">
        <f>"19/08/2015"</f>
        <v>19/08/2015</v>
      </c>
      <c r="B1505" t="str">
        <f>"1.3129"</f>
        <v>1.3129</v>
      </c>
      <c r="C1505" t="str">
        <f>"1.3131"</f>
        <v>1.3131</v>
      </c>
    </row>
    <row r="1506" spans="1:3" x14ac:dyDescent="0.25">
      <c r="A1506" t="str">
        <f>"20/08/2015"</f>
        <v>20/08/2015</v>
      </c>
      <c r="B1506" t="str">
        <f>"1.3087"</f>
        <v>1.3087</v>
      </c>
      <c r="C1506" t="str">
        <f>"1.3089"</f>
        <v>1.3089</v>
      </c>
    </row>
    <row r="1507" spans="1:3" x14ac:dyDescent="0.25">
      <c r="A1507" t="str">
        <f>"21/08/2015"</f>
        <v>21/08/2015</v>
      </c>
      <c r="B1507" t="str">
        <f>"1.3096"</f>
        <v>1.3096</v>
      </c>
      <c r="C1507" t="str">
        <f>"1.3098"</f>
        <v>1.3098</v>
      </c>
    </row>
    <row r="1508" spans="1:3" x14ac:dyDescent="0.25">
      <c r="A1508" t="str">
        <f>"25/08/2015"</f>
        <v>25/08/2015</v>
      </c>
      <c r="B1508" t="str">
        <f>"1.3337"</f>
        <v>1.3337</v>
      </c>
      <c r="C1508" t="str">
        <f>"1.3339"</f>
        <v>1.3339</v>
      </c>
    </row>
    <row r="1509" spans="1:3" x14ac:dyDescent="0.25">
      <c r="A1509" t="str">
        <f>"26/08/2015"</f>
        <v>26/08/2015</v>
      </c>
      <c r="B1509" t="str">
        <f>"1.3293"</f>
        <v>1.3293</v>
      </c>
      <c r="C1509" t="str">
        <f>"1.3295"</f>
        <v>1.3295</v>
      </c>
    </row>
    <row r="1510" spans="1:3" x14ac:dyDescent="0.25">
      <c r="A1510" t="str">
        <f>"27/08/2015"</f>
        <v>27/08/2015</v>
      </c>
      <c r="B1510" t="str">
        <f>"1.3199"</f>
        <v>1.3199</v>
      </c>
      <c r="C1510" t="str">
        <f>"1.32"</f>
        <v>1.32</v>
      </c>
    </row>
    <row r="1511" spans="1:3" x14ac:dyDescent="0.25">
      <c r="A1511" t="str">
        <f>"28/08/2015"</f>
        <v>28/08/2015</v>
      </c>
      <c r="B1511" t="str">
        <f>"1.3201"</f>
        <v>1.3201</v>
      </c>
      <c r="C1511" t="str">
        <f>"1.3202"</f>
        <v>1.3202</v>
      </c>
    </row>
    <row r="1512" spans="1:3" x14ac:dyDescent="0.25">
      <c r="A1512" t="str">
        <f>"31/08/2015"</f>
        <v>31/08/2015</v>
      </c>
      <c r="B1512" t="str">
        <f>"1.314"</f>
        <v>1.314</v>
      </c>
      <c r="C1512" t="str">
        <f>"1.3141"</f>
        <v>1.3141</v>
      </c>
    </row>
    <row r="1513" spans="1:3" x14ac:dyDescent="0.25">
      <c r="A1513" t="str">
        <f>"01/09/2015"</f>
        <v>01/09/2015</v>
      </c>
      <c r="B1513" t="str">
        <f>"1.326"</f>
        <v>1.326</v>
      </c>
      <c r="C1513" t="str">
        <f>"1.3261"</f>
        <v>1.3261</v>
      </c>
    </row>
    <row r="1514" spans="1:3" x14ac:dyDescent="0.25">
      <c r="A1514" t="str">
        <f>"02/09/2015"</f>
        <v>02/09/2015</v>
      </c>
      <c r="B1514" t="str">
        <f>"1.327"</f>
        <v>1.327</v>
      </c>
      <c r="C1514" t="str">
        <f>"1.3271"</f>
        <v>1.3271</v>
      </c>
    </row>
    <row r="1515" spans="1:3" x14ac:dyDescent="0.25">
      <c r="A1515" t="str">
        <f>"03/09/2015"</f>
        <v>03/09/2015</v>
      </c>
      <c r="B1515" t="str">
        <f>"1.318"</f>
        <v>1.318</v>
      </c>
      <c r="C1515" t="str">
        <f>"1.3181"</f>
        <v>1.3181</v>
      </c>
    </row>
    <row r="1516" spans="1:3" x14ac:dyDescent="0.25">
      <c r="A1516" t="str">
        <f>"04/09/2015"</f>
        <v>04/09/2015</v>
      </c>
      <c r="B1516" t="str">
        <f>"1.3283"</f>
        <v>1.3283</v>
      </c>
      <c r="C1516" t="str">
        <f>"1.3284"</f>
        <v>1.3284</v>
      </c>
    </row>
    <row r="1517" spans="1:3" x14ac:dyDescent="0.25">
      <c r="A1517" t="str">
        <f>"07/09/2015"</f>
        <v>07/09/2015</v>
      </c>
      <c r="B1517" t="str">
        <f>"1.3308"</f>
        <v>1.3308</v>
      </c>
      <c r="C1517" t="str">
        <f>"1.3309"</f>
        <v>1.3309</v>
      </c>
    </row>
    <row r="1518" spans="1:3" x14ac:dyDescent="0.25">
      <c r="A1518" t="str">
        <f>"08/09/2015"</f>
        <v>08/09/2015</v>
      </c>
      <c r="B1518" t="str">
        <f>"1.3209"</f>
        <v>1.3209</v>
      </c>
      <c r="C1518" t="str">
        <f>"1.321"</f>
        <v>1.321</v>
      </c>
    </row>
    <row r="1519" spans="1:3" x14ac:dyDescent="0.25">
      <c r="A1519" t="str">
        <f>"09/09/2015"</f>
        <v>09/09/2015</v>
      </c>
      <c r="B1519" t="str">
        <f>"1.3259"</f>
        <v>1.3259</v>
      </c>
      <c r="C1519" t="str">
        <f>"1.326"</f>
        <v>1.326</v>
      </c>
    </row>
    <row r="1520" spans="1:3" x14ac:dyDescent="0.25">
      <c r="A1520" t="str">
        <f>"10/09/2015"</f>
        <v>10/09/2015</v>
      </c>
      <c r="B1520" t="str">
        <f>"1.3252"</f>
        <v>1.3252</v>
      </c>
      <c r="C1520" t="str">
        <f>"1.3254"</f>
        <v>1.3254</v>
      </c>
    </row>
    <row r="1521" spans="1:3" x14ac:dyDescent="0.25">
      <c r="A1521" t="str">
        <f>"11/09/2015"</f>
        <v>11/09/2015</v>
      </c>
      <c r="B1521" t="str">
        <f>"1.3266"</f>
        <v>1.3266</v>
      </c>
      <c r="C1521" t="str">
        <f>"1.3267"</f>
        <v>1.3267</v>
      </c>
    </row>
    <row r="1522" spans="1:3" x14ac:dyDescent="0.25">
      <c r="A1522" t="str">
        <f>"14/09/2015"</f>
        <v>14/09/2015</v>
      </c>
      <c r="B1522" t="str">
        <f>"1.3266"</f>
        <v>1.3266</v>
      </c>
      <c r="C1522" t="str">
        <f>"1.3268"</f>
        <v>1.3268</v>
      </c>
    </row>
    <row r="1523" spans="1:3" x14ac:dyDescent="0.25">
      <c r="A1523" t="str">
        <f>"15/09/2015"</f>
        <v>15/09/2015</v>
      </c>
      <c r="B1523" t="str">
        <f>"1.3249"</f>
        <v>1.3249</v>
      </c>
      <c r="C1523" t="str">
        <f>"1.3251"</f>
        <v>1.3251</v>
      </c>
    </row>
    <row r="1524" spans="1:3" x14ac:dyDescent="0.25">
      <c r="A1524" t="str">
        <f>"16/09/2015"</f>
        <v>16/09/2015</v>
      </c>
      <c r="B1524" t="str">
        <f>"1.3173"</f>
        <v>1.3173</v>
      </c>
      <c r="C1524" t="str">
        <f>"1.3174"</f>
        <v>1.3174</v>
      </c>
    </row>
    <row r="1525" spans="1:3" x14ac:dyDescent="0.25">
      <c r="A1525" t="str">
        <f>"18/09/2015"</f>
        <v>18/09/2015</v>
      </c>
      <c r="B1525" t="str">
        <f>"1.3227"</f>
        <v>1.3227</v>
      </c>
      <c r="C1525" t="str">
        <f>"1.3228"</f>
        <v>1.3228</v>
      </c>
    </row>
    <row r="1526" spans="1:3" x14ac:dyDescent="0.25">
      <c r="A1526" t="str">
        <f>"21/09/2015"</f>
        <v>21/09/2015</v>
      </c>
      <c r="B1526" t="str">
        <f>"1.3256"</f>
        <v>1.3256</v>
      </c>
      <c r="C1526" t="str">
        <f>"1.3257"</f>
        <v>1.3257</v>
      </c>
    </row>
    <row r="1527" spans="1:3" x14ac:dyDescent="0.25">
      <c r="A1527" t="str">
        <f>"22/09/2015"</f>
        <v>22/09/2015</v>
      </c>
      <c r="B1527" t="str">
        <f>"1.3272"</f>
        <v>1.3272</v>
      </c>
      <c r="C1527" t="str">
        <f>"1.3273"</f>
        <v>1.3273</v>
      </c>
    </row>
    <row r="1528" spans="1:3" x14ac:dyDescent="0.25">
      <c r="A1528" t="str">
        <f>"23/09/2015"</f>
        <v>23/09/2015</v>
      </c>
      <c r="B1528" t="str">
        <f>"1.3321"</f>
        <v>1.3321</v>
      </c>
      <c r="C1528" t="str">
        <f>"1.3323"</f>
        <v>1.3323</v>
      </c>
    </row>
    <row r="1529" spans="1:3" x14ac:dyDescent="0.25">
      <c r="A1529" t="str">
        <f>"24/09/2015"</f>
        <v>24/09/2015</v>
      </c>
      <c r="B1529" t="str">
        <f>"1.3306"</f>
        <v>1.3306</v>
      </c>
      <c r="C1529" t="str">
        <f>"1.3309"</f>
        <v>1.3309</v>
      </c>
    </row>
    <row r="1530" spans="1:3" x14ac:dyDescent="0.25">
      <c r="A1530" t="str">
        <f>"28/09/2015"</f>
        <v>28/09/2015</v>
      </c>
      <c r="B1530" t="str">
        <f>"1.3397"</f>
        <v>1.3397</v>
      </c>
      <c r="C1530" t="str">
        <f>"1.34"</f>
        <v>1.34</v>
      </c>
    </row>
    <row r="1531" spans="1:3" x14ac:dyDescent="0.25">
      <c r="A1531" t="str">
        <f>"29/09/2015"</f>
        <v>29/09/2015</v>
      </c>
      <c r="B1531" t="str">
        <f>"1.3423"</f>
        <v>1.3423</v>
      </c>
      <c r="C1531" t="str">
        <f>"1.3426"</f>
        <v>1.3426</v>
      </c>
    </row>
    <row r="1532" spans="1:3" x14ac:dyDescent="0.25">
      <c r="A1532" t="str">
        <f>"30/09/2015"</f>
        <v>30/09/2015</v>
      </c>
      <c r="B1532" t="str">
        <f>"1.3314"</f>
        <v>1.3314</v>
      </c>
      <c r="C1532" t="str">
        <f>"1.3317"</f>
        <v>1.3317</v>
      </c>
    </row>
    <row r="1533" spans="1:3" x14ac:dyDescent="0.25">
      <c r="A1533" t="str">
        <f>"01/10/2015"</f>
        <v>01/10/2015</v>
      </c>
      <c r="B1533" t="str">
        <f>"1.3268"</f>
        <v>1.3268</v>
      </c>
      <c r="C1533" t="str">
        <f>"1.327"</f>
        <v>1.327</v>
      </c>
    </row>
    <row r="1534" spans="1:3" x14ac:dyDescent="0.25">
      <c r="A1534" t="str">
        <f>"05/10/2015"</f>
        <v>05/10/2015</v>
      </c>
      <c r="B1534" t="str">
        <f>"1.3087"</f>
        <v>1.3087</v>
      </c>
      <c r="C1534" t="str">
        <f>"1.309"</f>
        <v>1.309</v>
      </c>
    </row>
    <row r="1535" spans="1:3" x14ac:dyDescent="0.25">
      <c r="A1535" t="str">
        <f>"06/10/2015"</f>
        <v>06/10/2015</v>
      </c>
      <c r="B1535" t="str">
        <f>"1.3035"</f>
        <v>1.3035</v>
      </c>
      <c r="C1535" t="str">
        <f>"1.3038"</f>
        <v>1.3038</v>
      </c>
    </row>
    <row r="1536" spans="1:3" x14ac:dyDescent="0.25">
      <c r="A1536" t="str">
        <f>"07/10/2015"</f>
        <v>07/10/2015</v>
      </c>
      <c r="B1536" t="str">
        <f>"1.3058"</f>
        <v>1.3058</v>
      </c>
      <c r="C1536" t="str">
        <f>"1.3061"</f>
        <v>1.3061</v>
      </c>
    </row>
    <row r="1537" spans="1:3" x14ac:dyDescent="0.25">
      <c r="A1537" t="str">
        <f>"08/10/2015"</f>
        <v>08/10/2015</v>
      </c>
      <c r="B1537" t="str">
        <f>"1.3017"</f>
        <v>1.3017</v>
      </c>
      <c r="C1537" t="str">
        <f>"1.302"</f>
        <v>1.302</v>
      </c>
    </row>
    <row r="1538" spans="1:3" x14ac:dyDescent="0.25">
      <c r="A1538" t="str">
        <f>"09/10/2015"</f>
        <v>09/10/2015</v>
      </c>
      <c r="B1538" t="str">
        <f>"1.2947"</f>
        <v>1.2947</v>
      </c>
      <c r="C1538" t="str">
        <f>"1.295"</f>
        <v>1.295</v>
      </c>
    </row>
    <row r="1539" spans="1:3" x14ac:dyDescent="0.25">
      <c r="A1539" t="str">
        <f>"12/10/2015"</f>
        <v>12/10/2015</v>
      </c>
      <c r="B1539" t="str">
        <f>"1.2998"</f>
        <v>1.2998</v>
      </c>
      <c r="C1539" t="str">
        <f>"1.3001"</f>
        <v>1.3001</v>
      </c>
    </row>
    <row r="1540" spans="1:3" x14ac:dyDescent="0.25">
      <c r="A1540" t="str">
        <f>"13/10/2015"</f>
        <v>13/10/2015</v>
      </c>
      <c r="B1540" t="str">
        <f>"1.3039"</f>
        <v>1.3039</v>
      </c>
      <c r="C1540" t="str">
        <f>"1.3042"</f>
        <v>1.3042</v>
      </c>
    </row>
    <row r="1541" spans="1:3" x14ac:dyDescent="0.25">
      <c r="A1541" t="str">
        <f>"14/10/2015"</f>
        <v>14/10/2015</v>
      </c>
      <c r="B1541" t="str">
        <f>"1.2937"</f>
        <v>1.2937</v>
      </c>
      <c r="C1541" t="str">
        <f>"1.294"</f>
        <v>1.294</v>
      </c>
    </row>
    <row r="1542" spans="1:3" x14ac:dyDescent="0.25">
      <c r="A1542" t="str">
        <f>"15/10/2015"</f>
        <v>15/10/2015</v>
      </c>
      <c r="B1542" t="str">
        <f>"1.2864"</f>
        <v>1.2864</v>
      </c>
      <c r="C1542" t="str">
        <f>"1.2866"</f>
        <v>1.2866</v>
      </c>
    </row>
    <row r="1543" spans="1:3" x14ac:dyDescent="0.25">
      <c r="A1543" t="str">
        <f>"16/10/2015"</f>
        <v>16/10/2015</v>
      </c>
      <c r="B1543" t="str">
        <f>"1.2916"</f>
        <v>1.2916</v>
      </c>
      <c r="C1543" t="str">
        <f>"1.2919"</f>
        <v>1.2919</v>
      </c>
    </row>
    <row r="1544" spans="1:3" x14ac:dyDescent="0.25">
      <c r="A1544" t="str">
        <f>"19/10/2015"</f>
        <v>19/10/2015</v>
      </c>
      <c r="B1544" t="str">
        <f>"1.3019"</f>
        <v>1.3019</v>
      </c>
      <c r="C1544" t="str">
        <f>"1.3023"</f>
        <v>1.3023</v>
      </c>
    </row>
    <row r="1545" spans="1:3" x14ac:dyDescent="0.25">
      <c r="A1545" t="str">
        <f>"20/10/2015"</f>
        <v>20/10/2015</v>
      </c>
      <c r="B1545" t="str">
        <f>"1.2981"</f>
        <v>1.2981</v>
      </c>
      <c r="C1545" t="str">
        <f>"1.2985"</f>
        <v>1.2985</v>
      </c>
    </row>
    <row r="1546" spans="1:3" x14ac:dyDescent="0.25">
      <c r="A1546" t="str">
        <f>"21/10/2015"</f>
        <v>21/10/2015</v>
      </c>
      <c r="B1546" t="str">
        <f>"1.2975"</f>
        <v>1.2975</v>
      </c>
      <c r="C1546" t="str">
        <f>"1.2978"</f>
        <v>1.2978</v>
      </c>
    </row>
    <row r="1547" spans="1:3" x14ac:dyDescent="0.25">
      <c r="A1547" t="str">
        <f>"23/10/2015"</f>
        <v>23/10/2015</v>
      </c>
      <c r="B1547" t="str">
        <f>"1.3167"</f>
        <v>1.3167</v>
      </c>
      <c r="C1547" t="str">
        <f>"1.317"</f>
        <v>1.317</v>
      </c>
    </row>
    <row r="1548" spans="1:3" x14ac:dyDescent="0.25">
      <c r="A1548" t="str">
        <f>"26/10/2015"</f>
        <v>26/10/2015</v>
      </c>
      <c r="B1548" t="str">
        <f>"1.3153"</f>
        <v>1.3153</v>
      </c>
      <c r="C1548" t="str">
        <f>"1.3156"</f>
        <v>1.3156</v>
      </c>
    </row>
    <row r="1549" spans="1:3" x14ac:dyDescent="0.25">
      <c r="A1549" t="str">
        <f>"27/10/2015"</f>
        <v>27/10/2015</v>
      </c>
      <c r="B1549" t="str">
        <f>"1.327"</f>
        <v>1.327</v>
      </c>
      <c r="C1549" t="str">
        <f>"1.3273"</f>
        <v>1.3273</v>
      </c>
    </row>
    <row r="1550" spans="1:3" x14ac:dyDescent="0.25">
      <c r="A1550" t="str">
        <f>"29/10/2015"</f>
        <v>29/10/2015</v>
      </c>
      <c r="B1550" t="str">
        <f>"1.3173"</f>
        <v>1.3173</v>
      </c>
      <c r="C1550" t="str">
        <f>"1.3176"</f>
        <v>1.3176</v>
      </c>
    </row>
    <row r="1551" spans="1:3" x14ac:dyDescent="0.25">
      <c r="A1551" t="str">
        <f>"30/10/2015"</f>
        <v>30/10/2015</v>
      </c>
      <c r="B1551" t="str">
        <f>"1.308"</f>
        <v>1.308</v>
      </c>
      <c r="C1551" t="str">
        <f>"1.3083"</f>
        <v>1.3083</v>
      </c>
    </row>
    <row r="1552" spans="1:3" x14ac:dyDescent="0.25">
      <c r="A1552" t="str">
        <f>"02/11/2015"</f>
        <v>02/11/2015</v>
      </c>
      <c r="B1552" t="str">
        <f>"1.3095"</f>
        <v>1.3095</v>
      </c>
      <c r="C1552" t="str">
        <f>"1.3097"</f>
        <v>1.3097</v>
      </c>
    </row>
    <row r="1553" spans="1:3" x14ac:dyDescent="0.25">
      <c r="A1553" t="str">
        <f>"03/11/2015"</f>
        <v>03/11/2015</v>
      </c>
      <c r="B1553" t="str">
        <f>"1.3061"</f>
        <v>1.3061</v>
      </c>
      <c r="C1553" t="str">
        <f>"1.3064"</f>
        <v>1.3064</v>
      </c>
    </row>
    <row r="1554" spans="1:3" x14ac:dyDescent="0.25">
      <c r="A1554" t="str">
        <f>"04/11/2015"</f>
        <v>04/11/2015</v>
      </c>
      <c r="B1554" t="str">
        <f>"1.3151"</f>
        <v>1.3151</v>
      </c>
      <c r="C1554" t="str">
        <f>"1.3154"</f>
        <v>1.3154</v>
      </c>
    </row>
    <row r="1555" spans="1:3" x14ac:dyDescent="0.25">
      <c r="A1555" t="str">
        <f>"05/11/2015"</f>
        <v>05/11/2015</v>
      </c>
      <c r="B1555" t="str">
        <f>"1.3171"</f>
        <v>1.3171</v>
      </c>
      <c r="C1555" t="str">
        <f>"1.3174"</f>
        <v>1.3174</v>
      </c>
    </row>
    <row r="1556" spans="1:3" x14ac:dyDescent="0.25">
      <c r="A1556" t="str">
        <f>"06/11/2015"</f>
        <v>06/11/2015</v>
      </c>
      <c r="B1556" t="str">
        <f>"1.3306"</f>
        <v>1.3306</v>
      </c>
      <c r="C1556" t="str">
        <f>"1.3309"</f>
        <v>1.3309</v>
      </c>
    </row>
    <row r="1557" spans="1:3" x14ac:dyDescent="0.25">
      <c r="A1557" t="str">
        <f>"09/11/2015"</f>
        <v>09/11/2015</v>
      </c>
      <c r="B1557" t="str">
        <f>"1.3288"</f>
        <v>1.3288</v>
      </c>
      <c r="C1557" t="str">
        <f>"1.3291"</f>
        <v>1.3291</v>
      </c>
    </row>
    <row r="1558" spans="1:3" x14ac:dyDescent="0.25">
      <c r="A1558" t="str">
        <f>"10/11/2015"</f>
        <v>10/11/2015</v>
      </c>
      <c r="B1558" t="str">
        <f>"1.3275"</f>
        <v>1.3275</v>
      </c>
      <c r="C1558" t="str">
        <f>"1.3278"</f>
        <v>1.3278</v>
      </c>
    </row>
    <row r="1559" spans="1:3" x14ac:dyDescent="0.25">
      <c r="A1559" t="str">
        <f>"13/11/2015"</f>
        <v>13/11/2015</v>
      </c>
      <c r="B1559" t="str">
        <f>"1.3323"</f>
        <v>1.3323</v>
      </c>
      <c r="C1559" t="str">
        <f>"1.3326"</f>
        <v>1.3326</v>
      </c>
    </row>
    <row r="1560" spans="1:3" x14ac:dyDescent="0.25">
      <c r="A1560" t="str">
        <f>"16/11/2015"</f>
        <v>16/11/2015</v>
      </c>
      <c r="B1560" t="str">
        <f>"1.3332"</f>
        <v>1.3332</v>
      </c>
      <c r="C1560" t="str">
        <f>"1.3335"</f>
        <v>1.3335</v>
      </c>
    </row>
    <row r="1561" spans="1:3" x14ac:dyDescent="0.25">
      <c r="A1561" t="str">
        <f>"17/11/2015"</f>
        <v>17/11/2015</v>
      </c>
      <c r="B1561" t="str">
        <f>"1.3322"</f>
        <v>1.3322</v>
      </c>
      <c r="C1561" t="str">
        <f>"1.3325"</f>
        <v>1.3325</v>
      </c>
    </row>
    <row r="1562" spans="1:3" x14ac:dyDescent="0.25">
      <c r="A1562" t="str">
        <f>"18/11/2015"</f>
        <v>18/11/2015</v>
      </c>
      <c r="B1562" t="str">
        <f>"1.3303"</f>
        <v>1.3303</v>
      </c>
      <c r="C1562" t="str">
        <f>"1.3306"</f>
        <v>1.3306</v>
      </c>
    </row>
    <row r="1563" spans="1:3" x14ac:dyDescent="0.25">
      <c r="A1563" t="str">
        <f>"19/11/2015"</f>
        <v>19/11/2015</v>
      </c>
      <c r="B1563" t="str">
        <f>"1.3285"</f>
        <v>1.3285</v>
      </c>
      <c r="C1563" t="str">
        <f>"1.3287"</f>
        <v>1.3287</v>
      </c>
    </row>
    <row r="1564" spans="1:3" x14ac:dyDescent="0.25">
      <c r="A1564" t="str">
        <f>"20/11/2015"</f>
        <v>20/11/2015</v>
      </c>
      <c r="B1564" t="str">
        <f>"1.3347"</f>
        <v>1.3347</v>
      </c>
      <c r="C1564" t="str">
        <f>"1.3349"</f>
        <v>1.3349</v>
      </c>
    </row>
    <row r="1565" spans="1:3" x14ac:dyDescent="0.25">
      <c r="A1565" t="str">
        <f>"23/11/2015"</f>
        <v>23/11/2015</v>
      </c>
      <c r="B1565" t="str">
        <f>"1.3366"</f>
        <v>1.3366</v>
      </c>
      <c r="C1565" t="str">
        <f>"1.3368"</f>
        <v>1.3368</v>
      </c>
    </row>
    <row r="1566" spans="1:3" x14ac:dyDescent="0.25">
      <c r="A1566" t="str">
        <f>"24/11/2015"</f>
        <v>24/11/2015</v>
      </c>
      <c r="B1566" t="str">
        <f>"1.3306"</f>
        <v>1.3306</v>
      </c>
      <c r="C1566" t="str">
        <f>"1.3308"</f>
        <v>1.3308</v>
      </c>
    </row>
    <row r="1567" spans="1:3" x14ac:dyDescent="0.25">
      <c r="A1567" t="str">
        <f>"26/11/2015"</f>
        <v>26/11/2015</v>
      </c>
      <c r="B1567" t="str">
        <f>"1.3295"</f>
        <v>1.3295</v>
      </c>
      <c r="C1567" t="str">
        <f>"1.3297"</f>
        <v>1.3297</v>
      </c>
    </row>
    <row r="1568" spans="1:3" x14ac:dyDescent="0.25">
      <c r="A1568" t="str">
        <f>"27/11/2015"</f>
        <v>27/11/2015</v>
      </c>
      <c r="B1568" t="str">
        <f>"1.3372"</f>
        <v>1.3372</v>
      </c>
      <c r="C1568" t="str">
        <f>"1.3373"</f>
        <v>1.3373</v>
      </c>
    </row>
    <row r="1569" spans="1:3" x14ac:dyDescent="0.25">
      <c r="A1569" t="str">
        <f>"30/11/2015"</f>
        <v>30/11/2015</v>
      </c>
      <c r="B1569" t="str">
        <f>"1.3363"</f>
        <v>1.3363</v>
      </c>
      <c r="C1569" t="str">
        <f>"1.3364"</f>
        <v>1.3364</v>
      </c>
    </row>
    <row r="1570" spans="1:3" x14ac:dyDescent="0.25">
      <c r="A1570" t="str">
        <f>"01/12/2015"</f>
        <v>01/12/2015</v>
      </c>
      <c r="B1570" t="str">
        <f>"1.3359"</f>
        <v>1.3359</v>
      </c>
      <c r="C1570" t="str">
        <f>"1.3359"</f>
        <v>1.3359</v>
      </c>
    </row>
    <row r="1571" spans="1:3" x14ac:dyDescent="0.25">
      <c r="A1571" t="str">
        <f>"02/12/2015"</f>
        <v>02/12/2015</v>
      </c>
      <c r="B1571" t="str">
        <f>"1.3344"</f>
        <v>1.3344</v>
      </c>
      <c r="C1571" t="str">
        <f>"1.3344"</f>
        <v>1.3344</v>
      </c>
    </row>
    <row r="1572" spans="1:3" x14ac:dyDescent="0.25">
      <c r="A1572" t="str">
        <f>"03/12/2015"</f>
        <v>03/12/2015</v>
      </c>
      <c r="B1572" t="str">
        <f>"1.3356"</f>
        <v>1.3356</v>
      </c>
      <c r="C1572" t="str">
        <f>"1.3356"</f>
        <v>1.3356</v>
      </c>
    </row>
    <row r="1573" spans="1:3" x14ac:dyDescent="0.25">
      <c r="A1573" t="str">
        <f>"04/12/2015"</f>
        <v>04/12/2015</v>
      </c>
      <c r="B1573" t="str">
        <f>"1.3363"</f>
        <v>1.3363</v>
      </c>
      <c r="C1573" t="str">
        <f>"1.3364"</f>
        <v>1.3364</v>
      </c>
    </row>
    <row r="1574" spans="1:3" x14ac:dyDescent="0.25">
      <c r="A1574" t="str">
        <f>"07/12/2015"</f>
        <v>07/12/2015</v>
      </c>
      <c r="B1574" t="str">
        <f>"1.3499"</f>
        <v>1.3499</v>
      </c>
      <c r="C1574" t="str">
        <f>"1.35"</f>
        <v>1.35</v>
      </c>
    </row>
    <row r="1575" spans="1:3" x14ac:dyDescent="0.25">
      <c r="A1575" t="str">
        <f>"08/12/2015"</f>
        <v>08/12/2015</v>
      </c>
      <c r="B1575" t="str">
        <f>"1.3586"</f>
        <v>1.3586</v>
      </c>
      <c r="C1575" t="str">
        <f>"1.3586"</f>
        <v>1.3586</v>
      </c>
    </row>
    <row r="1576" spans="1:3" x14ac:dyDescent="0.25">
      <c r="A1576" t="str">
        <f>"09/12/2015"</f>
        <v>09/12/2015</v>
      </c>
      <c r="B1576" t="str">
        <f>"1.358"</f>
        <v>1.358</v>
      </c>
      <c r="C1576" t="str">
        <f>"1.358"</f>
        <v>1.358</v>
      </c>
    </row>
    <row r="1577" spans="1:3" x14ac:dyDescent="0.25">
      <c r="A1577" t="str">
        <f>"10/12/2015"</f>
        <v>10/12/2015</v>
      </c>
      <c r="B1577" t="str">
        <f>"1.3625"</f>
        <v>1.3625</v>
      </c>
      <c r="C1577" t="str">
        <f>"1.3625"</f>
        <v>1.3625</v>
      </c>
    </row>
    <row r="1578" spans="1:3" x14ac:dyDescent="0.25">
      <c r="A1578" t="str">
        <f>"11/12/2015"</f>
        <v>11/12/2015</v>
      </c>
      <c r="B1578" t="str">
        <f>"1.3756"</f>
        <v>1.3756</v>
      </c>
      <c r="C1578" t="str">
        <f>"1.3756"</f>
        <v>1.3756</v>
      </c>
    </row>
    <row r="1579" spans="1:3" x14ac:dyDescent="0.25">
      <c r="A1579" t="str">
        <f>"14/12/2015"</f>
        <v>14/12/2015</v>
      </c>
      <c r="B1579" t="str">
        <f>"1.3734"</f>
        <v>1.3734</v>
      </c>
      <c r="C1579" t="str">
        <f>"1.3734"</f>
        <v>1.3734</v>
      </c>
    </row>
    <row r="1580" spans="1:3" x14ac:dyDescent="0.25">
      <c r="A1580" t="str">
        <f>"15/12/2015"</f>
        <v>15/12/2015</v>
      </c>
      <c r="B1580" t="str">
        <f>"1.3734"</f>
        <v>1.3734</v>
      </c>
      <c r="C1580" t="str">
        <f>"1.3734"</f>
        <v>1.3734</v>
      </c>
    </row>
    <row r="1581" spans="1:3" x14ac:dyDescent="0.25">
      <c r="A1581" t="str">
        <f>"16/12/2015"</f>
        <v>16/12/2015</v>
      </c>
      <c r="B1581" t="str">
        <f>"1.378"</f>
        <v>1.378</v>
      </c>
      <c r="C1581" t="str">
        <f>"1.378"</f>
        <v>1.378</v>
      </c>
    </row>
    <row r="1582" spans="1:3" x14ac:dyDescent="0.25">
      <c r="A1582" t="str">
        <f>"17/12/2015"</f>
        <v>17/12/2015</v>
      </c>
      <c r="B1582" t="str">
        <f>"1.3937"</f>
        <v>1.3937</v>
      </c>
      <c r="C1582" t="str">
        <f>"1.4079"</f>
        <v>1.4079</v>
      </c>
    </row>
    <row r="1583" spans="1:3" x14ac:dyDescent="0.25">
      <c r="A1583" t="str">
        <f>"18/12/2015"</f>
        <v>18/12/2015</v>
      </c>
      <c r="B1583" t="str">
        <f>"1.3958"</f>
        <v>1.3958</v>
      </c>
      <c r="C1583" t="str">
        <f>"1.3959"</f>
        <v>1.3959</v>
      </c>
    </row>
    <row r="1584" spans="1:3" x14ac:dyDescent="0.25">
      <c r="A1584" t="str">
        <f>"21/12/2015"</f>
        <v>21/12/2015</v>
      </c>
      <c r="B1584" t="str">
        <f>"1.3959"</f>
        <v>1.3959</v>
      </c>
      <c r="C1584" t="str">
        <f>"1.3958"</f>
        <v>1.3958</v>
      </c>
    </row>
    <row r="1585" spans="1:3" x14ac:dyDescent="0.25">
      <c r="A1585" t="str">
        <f>"22/12/2015"</f>
        <v>22/12/2015</v>
      </c>
      <c r="B1585" t="str">
        <f>"1.3928"</f>
        <v>1.3928</v>
      </c>
      <c r="C1585" t="str">
        <f>"1.3927"</f>
        <v>1.3927</v>
      </c>
    </row>
    <row r="1586" spans="1:3" x14ac:dyDescent="0.25">
      <c r="A1586" t="str">
        <f>"23/12/2015"</f>
        <v>23/12/2015</v>
      </c>
      <c r="B1586" t="str">
        <f>"1.3918"</f>
        <v>1.3918</v>
      </c>
      <c r="C1586" t="str">
        <f>"1.3917"</f>
        <v>1.3917</v>
      </c>
    </row>
    <row r="1587" spans="1:3" x14ac:dyDescent="0.25">
      <c r="A1587" t="str">
        <f>"28/12/2015"</f>
        <v>28/12/2015</v>
      </c>
      <c r="B1587" t="str">
        <f>"1.3887"</f>
        <v>1.3887</v>
      </c>
      <c r="C1587" t="str">
        <f>"1.3886"</f>
        <v>1.3886</v>
      </c>
    </row>
    <row r="1588" spans="1:3" x14ac:dyDescent="0.25">
      <c r="A1588" t="str">
        <f>"29/12/2015"</f>
        <v>29/12/2015</v>
      </c>
      <c r="B1588" t="str">
        <f>"1.3934"</f>
        <v>1.3934</v>
      </c>
      <c r="C1588" t="str">
        <f>"1.3933"</f>
        <v>1.3933</v>
      </c>
    </row>
    <row r="1589" spans="1:3" x14ac:dyDescent="0.25">
      <c r="A1589" t="str">
        <f>"30/12/2015"</f>
        <v>30/12/2015</v>
      </c>
      <c r="B1589" t="str">
        <f>"1.3869"</f>
        <v>1.3869</v>
      </c>
      <c r="C1589" t="str">
        <f>"1.3868"</f>
        <v>1.3868</v>
      </c>
    </row>
    <row r="1590" spans="1:3" x14ac:dyDescent="0.25">
      <c r="A1590" t="str">
        <f>"31/12/2015"</f>
        <v>31/12/2015</v>
      </c>
      <c r="B1590" t="str">
        <f>"1.3879"</f>
        <v>1.3879</v>
      </c>
      <c r="C1590" t="str">
        <f>"1.3878"</f>
        <v>1.3878</v>
      </c>
    </row>
    <row r="1591" spans="1:3" x14ac:dyDescent="0.25">
      <c r="A1591" t="str">
        <f>"01/01/2016"</f>
        <v>01/01/2016</v>
      </c>
      <c r="B1591" t="str">
        <f>"1.3856"</f>
        <v>1.3856</v>
      </c>
      <c r="C1591" t="str">
        <f>"1.3855"</f>
        <v>1.3855</v>
      </c>
    </row>
    <row r="1592" spans="1:3" x14ac:dyDescent="0.25">
      <c r="A1592" t="str">
        <f>"04/01/2016"</f>
        <v>04/01/2016</v>
      </c>
      <c r="B1592" t="str">
        <f>"1.3918"</f>
        <v>1.3918</v>
      </c>
      <c r="C1592" t="str">
        <f>"1.3917"</f>
        <v>1.3917</v>
      </c>
    </row>
    <row r="1593" spans="1:3" x14ac:dyDescent="0.25">
      <c r="A1593" t="str">
        <f>"05/01/2016"</f>
        <v>05/01/2016</v>
      </c>
      <c r="B1593" t="str">
        <f>"1.3927"</f>
        <v>1.3927</v>
      </c>
      <c r="C1593" t="str">
        <f>"1.3927"</f>
        <v>1.3927</v>
      </c>
    </row>
    <row r="1594" spans="1:3" x14ac:dyDescent="0.25">
      <c r="A1594" t="str">
        <f>"06/01/2016"</f>
        <v>06/01/2016</v>
      </c>
      <c r="B1594" t="str">
        <f>"1.4082"</f>
        <v>1.4082</v>
      </c>
      <c r="C1594" t="str">
        <f>"1.4082"</f>
        <v>1.4082</v>
      </c>
    </row>
    <row r="1595" spans="1:3" x14ac:dyDescent="0.25">
      <c r="A1595" t="str">
        <f>"07/01/2016"</f>
        <v>07/01/2016</v>
      </c>
      <c r="B1595" t="str">
        <f>"1.4132"</f>
        <v>1.4132</v>
      </c>
      <c r="C1595" t="str">
        <f>"1.4132"</f>
        <v>1.4132</v>
      </c>
    </row>
    <row r="1596" spans="1:3" x14ac:dyDescent="0.25">
      <c r="A1596" t="str">
        <f>"08/01/2016"</f>
        <v>08/01/2016</v>
      </c>
      <c r="B1596" t="str">
        <f>"1.4082"</f>
        <v>1.4082</v>
      </c>
      <c r="C1596" t="str">
        <f>"1.4082"</f>
        <v>1.4082</v>
      </c>
    </row>
    <row r="1597" spans="1:3" x14ac:dyDescent="0.25">
      <c r="A1597" t="str">
        <f>"11/01/2016"</f>
        <v>11/01/2016</v>
      </c>
      <c r="B1597" t="str">
        <f>"1.4156"</f>
        <v>1.4156</v>
      </c>
      <c r="C1597" t="str">
        <f>"1.4156"</f>
        <v>1.4156</v>
      </c>
    </row>
    <row r="1598" spans="1:3" x14ac:dyDescent="0.25">
      <c r="A1598" t="str">
        <f>"12/01/2016"</f>
        <v>12/01/2016</v>
      </c>
      <c r="B1598" t="str">
        <f>"1.4203"</f>
        <v>1.4203</v>
      </c>
      <c r="C1598" t="str">
        <f>"1.4203"</f>
        <v>1.4203</v>
      </c>
    </row>
    <row r="1599" spans="1:3" x14ac:dyDescent="0.25">
      <c r="A1599" t="str">
        <f>"13/01/2016"</f>
        <v>13/01/2016</v>
      </c>
      <c r="B1599" t="str">
        <f>"1.4219"</f>
        <v>1.4219</v>
      </c>
      <c r="C1599" t="str">
        <f>"1.4219"</f>
        <v>1.4219</v>
      </c>
    </row>
    <row r="1600" spans="1:3" x14ac:dyDescent="0.25">
      <c r="A1600" t="str">
        <f>"14/01/2016"</f>
        <v>14/01/2016</v>
      </c>
      <c r="B1600" t="str">
        <f>"1.4387"</f>
        <v>1.4387</v>
      </c>
      <c r="C1600" t="str">
        <f>"1.4386"</f>
        <v>1.4386</v>
      </c>
    </row>
    <row r="1601" spans="1:3" x14ac:dyDescent="0.25">
      <c r="A1601" t="str">
        <f>"15/01/2016"</f>
        <v>15/01/2016</v>
      </c>
      <c r="B1601" t="str">
        <f>"1.4504"</f>
        <v>1.4504</v>
      </c>
      <c r="C1601" t="str">
        <f>"1.4503"</f>
        <v>1.4503</v>
      </c>
    </row>
    <row r="1602" spans="1:3" x14ac:dyDescent="0.25">
      <c r="A1602" t="str">
        <f>"18/01/2016"</f>
        <v>18/01/2016</v>
      </c>
      <c r="B1602" t="str">
        <f>"1.4508"</f>
        <v>1.4508</v>
      </c>
      <c r="C1602" t="str">
        <f>"1.4506"</f>
        <v>1.4506</v>
      </c>
    </row>
    <row r="1603" spans="1:3" x14ac:dyDescent="0.25">
      <c r="A1603" t="str">
        <f>"19/01/2016"</f>
        <v>19/01/2016</v>
      </c>
      <c r="B1603" t="str">
        <f>"1.4439"</f>
        <v>1.4439</v>
      </c>
      <c r="C1603" t="str">
        <f>"1.4438"</f>
        <v>1.4438</v>
      </c>
    </row>
    <row r="1604" spans="1:3" x14ac:dyDescent="0.25">
      <c r="A1604" t="str">
        <f>"20/01/2016"</f>
        <v>20/01/2016</v>
      </c>
      <c r="B1604" t="str">
        <f>"1.4647"</f>
        <v>1.4647</v>
      </c>
      <c r="C1604" t="str">
        <f>"1.4645"</f>
        <v>1.4645</v>
      </c>
    </row>
    <row r="1605" spans="1:3" x14ac:dyDescent="0.25">
      <c r="A1605" t="str">
        <f>"21/01/2016"</f>
        <v>21/01/2016</v>
      </c>
      <c r="B1605" t="str">
        <f>"1.4475"</f>
        <v>1.4475</v>
      </c>
      <c r="C1605" t="str">
        <f>"1.4476"</f>
        <v>1.4476</v>
      </c>
    </row>
    <row r="1606" spans="1:3" x14ac:dyDescent="0.25">
      <c r="A1606" t="str">
        <f>"22/01/2016"</f>
        <v>22/01/2016</v>
      </c>
      <c r="B1606" t="str">
        <f>"1.4167"</f>
        <v>1.4167</v>
      </c>
      <c r="C1606" t="str">
        <f>"1.4168"</f>
        <v>1.4168</v>
      </c>
    </row>
    <row r="1607" spans="1:3" x14ac:dyDescent="0.25">
      <c r="A1607" t="str">
        <f>"25/01/2016"</f>
        <v>25/01/2016</v>
      </c>
      <c r="B1607" t="str">
        <f>"1.419"</f>
        <v>1.419</v>
      </c>
      <c r="C1607" t="str">
        <f>"1.419"</f>
        <v>1.419</v>
      </c>
    </row>
    <row r="1608" spans="1:3" x14ac:dyDescent="0.25">
      <c r="A1608" t="str">
        <f>"27/01/2016"</f>
        <v>27/01/2016</v>
      </c>
      <c r="B1608" t="str">
        <f>"1.4126"</f>
        <v>1.4126</v>
      </c>
      <c r="C1608" t="str">
        <f>"1.4127"</f>
        <v>1.4127</v>
      </c>
    </row>
    <row r="1609" spans="1:3" x14ac:dyDescent="0.25">
      <c r="A1609" t="str">
        <f>"28/01/2016"</f>
        <v>28/01/2016</v>
      </c>
      <c r="B1609" t="str">
        <f>"1.4083"</f>
        <v>1.4083</v>
      </c>
      <c r="C1609" t="str">
        <f>"1.4083"</f>
        <v>1.4083</v>
      </c>
    </row>
    <row r="1610" spans="1:3" x14ac:dyDescent="0.25">
      <c r="A1610" t="str">
        <f>"29/01/2016"</f>
        <v>29/01/2016</v>
      </c>
      <c r="B1610" t="str">
        <f>"1.4082"</f>
        <v>1.4082</v>
      </c>
      <c r="C1610" t="str">
        <f>"1.4082"</f>
        <v>1.4082</v>
      </c>
    </row>
    <row r="1611" spans="1:3" x14ac:dyDescent="0.25">
      <c r="A1611" t="str">
        <f>"01/02/2016"</f>
        <v>01/02/2016</v>
      </c>
      <c r="B1611" t="str">
        <f>"1.4041"</f>
        <v>1.4041</v>
      </c>
      <c r="C1611" t="str">
        <f>"1.4041"</f>
        <v>1.4041</v>
      </c>
    </row>
    <row r="1612" spans="1:3" x14ac:dyDescent="0.25">
      <c r="A1612" t="str">
        <f>"02/02/2016"</f>
        <v>02/02/2016</v>
      </c>
      <c r="B1612" t="str">
        <f>"1.4001"</f>
        <v>1.4001</v>
      </c>
      <c r="C1612" t="str">
        <f>"1.4001"</f>
        <v>1.4001</v>
      </c>
    </row>
    <row r="1613" spans="1:3" x14ac:dyDescent="0.25">
      <c r="A1613" t="str">
        <f>"03/02/2016"</f>
        <v>03/02/2016</v>
      </c>
      <c r="B1613" t="str">
        <f>"1.3968"</f>
        <v>1.3968</v>
      </c>
      <c r="C1613" t="str">
        <f>"1.3969"</f>
        <v>1.3969</v>
      </c>
    </row>
    <row r="1614" spans="1:3" x14ac:dyDescent="0.25">
      <c r="A1614" t="str">
        <f>"04/02/2016"</f>
        <v>04/02/2016</v>
      </c>
      <c r="B1614" t="str">
        <f>"1.3657"</f>
        <v>1.3657</v>
      </c>
      <c r="C1614" t="str">
        <f>"1.3658"</f>
        <v>1.3658</v>
      </c>
    </row>
    <row r="1615" spans="1:3" x14ac:dyDescent="0.25">
      <c r="A1615" t="str">
        <f>"05/02/2016"</f>
        <v>05/02/2016</v>
      </c>
      <c r="B1615" t="str">
        <f>"1.3729"</f>
        <v>1.3729</v>
      </c>
      <c r="C1615" t="str">
        <f>"1.373"</f>
        <v>1.373</v>
      </c>
    </row>
    <row r="1616" spans="1:3" x14ac:dyDescent="0.25">
      <c r="A1616" t="str">
        <f>"08/02/2016"</f>
        <v>08/02/2016</v>
      </c>
      <c r="B1616" t="str">
        <f>"1.3908"</f>
        <v>1.3908</v>
      </c>
      <c r="C1616" t="str">
        <f>"1.3908"</f>
        <v>1.3908</v>
      </c>
    </row>
    <row r="1617" spans="1:3" x14ac:dyDescent="0.25">
      <c r="A1617" t="str">
        <f>"09/02/2016"</f>
        <v>09/02/2016</v>
      </c>
      <c r="B1617" t="str">
        <f>"1.3877"</f>
        <v>1.3877</v>
      </c>
      <c r="C1617" t="str">
        <f>"1.3877"</f>
        <v>1.3877</v>
      </c>
    </row>
    <row r="1618" spans="1:3" x14ac:dyDescent="0.25">
      <c r="A1618" t="str">
        <f>"10/02/2016"</f>
        <v>10/02/2016</v>
      </c>
      <c r="B1618" t="str">
        <f>"1.3853"</f>
        <v>1.3853</v>
      </c>
      <c r="C1618" t="str">
        <f>"1.3853"</f>
        <v>1.3853</v>
      </c>
    </row>
    <row r="1619" spans="1:3" x14ac:dyDescent="0.25">
      <c r="A1619" t="str">
        <f>"11/02/2016"</f>
        <v>11/02/2016</v>
      </c>
      <c r="B1619" t="str">
        <f>"1.3995"</f>
        <v>1.3995</v>
      </c>
      <c r="C1619" t="str">
        <f>"1.3995"</f>
        <v>1.3995</v>
      </c>
    </row>
    <row r="1620" spans="1:3" x14ac:dyDescent="0.25">
      <c r="A1620" t="str">
        <f>"12/02/2016"</f>
        <v>12/02/2016</v>
      </c>
      <c r="B1620" t="str">
        <f>"1.3923"</f>
        <v>1.3923</v>
      </c>
      <c r="C1620" t="str">
        <f>"1.3923"</f>
        <v>1.3923</v>
      </c>
    </row>
    <row r="1621" spans="1:3" x14ac:dyDescent="0.25">
      <c r="A1621" t="str">
        <f>"15/02/2016"</f>
        <v>15/02/2016</v>
      </c>
      <c r="B1621" t="str">
        <f>"1.3811"</f>
        <v>1.3811</v>
      </c>
      <c r="C1621" t="str">
        <f>"1.3812"</f>
        <v>1.3812</v>
      </c>
    </row>
    <row r="1622" spans="1:3" x14ac:dyDescent="0.25">
      <c r="A1622" t="str">
        <f>"16/02/2016"</f>
        <v>16/02/2016</v>
      </c>
      <c r="B1622" t="str">
        <f>"1.3807"</f>
        <v>1.3807</v>
      </c>
      <c r="C1622" t="str">
        <f>"1.3808"</f>
        <v>1.3808</v>
      </c>
    </row>
    <row r="1623" spans="1:3" x14ac:dyDescent="0.25">
      <c r="A1623" t="str">
        <f>"17/02/2016"</f>
        <v>17/02/2016</v>
      </c>
      <c r="B1623" t="str">
        <f>"1.3828"</f>
        <v>1.3828</v>
      </c>
      <c r="C1623" t="str">
        <f>"1.3828"</f>
        <v>1.3828</v>
      </c>
    </row>
    <row r="1624" spans="1:3" x14ac:dyDescent="0.25">
      <c r="A1624" t="str">
        <f>"18/02/2016"</f>
        <v>18/02/2016</v>
      </c>
      <c r="B1624" t="str">
        <f>"1.3686"</f>
        <v>1.3686</v>
      </c>
      <c r="C1624" t="str">
        <f>"1.3686"</f>
        <v>1.3686</v>
      </c>
    </row>
    <row r="1625" spans="1:3" x14ac:dyDescent="0.25">
      <c r="A1625" t="str">
        <f>"22/02/2016"</f>
        <v>22/02/2016</v>
      </c>
      <c r="B1625" t="str">
        <f>"1.3758"</f>
        <v>1.3758</v>
      </c>
      <c r="C1625" t="str">
        <f>"1.3758"</f>
        <v>1.3758</v>
      </c>
    </row>
    <row r="1626" spans="1:3" x14ac:dyDescent="0.25">
      <c r="A1626" t="str">
        <f>"23/02/2016"</f>
        <v>23/02/2016</v>
      </c>
      <c r="B1626" t="str">
        <f>"1.372"</f>
        <v>1.372</v>
      </c>
      <c r="C1626" t="str">
        <f>"1.372"</f>
        <v>1.372</v>
      </c>
    </row>
    <row r="1627" spans="1:3" x14ac:dyDescent="0.25">
      <c r="A1627" t="str">
        <f>"24/02/2016"</f>
        <v>24/02/2016</v>
      </c>
      <c r="B1627" t="str">
        <f>"1.3808"</f>
        <v>1.3808</v>
      </c>
      <c r="C1627" t="str">
        <f>"1.3809"</f>
        <v>1.3809</v>
      </c>
    </row>
    <row r="1628" spans="1:3" x14ac:dyDescent="0.25">
      <c r="A1628" t="str">
        <f>"25/02/2016"</f>
        <v>25/02/2016</v>
      </c>
      <c r="B1628" t="str">
        <f>"1.3722"</f>
        <v>1.3722</v>
      </c>
      <c r="C1628" t="str">
        <f>"1.3723"</f>
        <v>1.3723</v>
      </c>
    </row>
    <row r="1629" spans="1:3" x14ac:dyDescent="0.25">
      <c r="A1629" t="str">
        <f>"26/02/2016"</f>
        <v>26/02/2016</v>
      </c>
      <c r="B1629" t="str">
        <f>"1.3529"</f>
        <v>1.3529</v>
      </c>
      <c r="C1629" t="str">
        <f>"1.353"</f>
        <v>1.353</v>
      </c>
    </row>
    <row r="1630" spans="1:3" x14ac:dyDescent="0.25">
      <c r="A1630" t="str">
        <f>"29/02/2016"</f>
        <v>29/02/2016</v>
      </c>
      <c r="B1630" t="str">
        <f>"1.3564"</f>
        <v>1.3564</v>
      </c>
      <c r="C1630" t="str">
        <f>"1.3564"</f>
        <v>1.3564</v>
      </c>
    </row>
    <row r="1631" spans="1:3" x14ac:dyDescent="0.25">
      <c r="A1631" t="str">
        <f>"01/03/2016"</f>
        <v>01/03/2016</v>
      </c>
      <c r="B1631" t="str">
        <f>"1.3516"</f>
        <v>1.3516</v>
      </c>
      <c r="C1631" t="str">
        <f>"1.3516"</f>
        <v>1.3516</v>
      </c>
    </row>
    <row r="1632" spans="1:3" x14ac:dyDescent="0.25">
      <c r="A1632" t="str">
        <f>"02/03/2016"</f>
        <v>02/03/2016</v>
      </c>
      <c r="B1632" t="str">
        <f>"1.346"</f>
        <v>1.346</v>
      </c>
      <c r="C1632" t="str">
        <f>"1.346"</f>
        <v>1.346</v>
      </c>
    </row>
    <row r="1633" spans="1:3" x14ac:dyDescent="0.25">
      <c r="A1633" t="str">
        <f>"03/03/2016"</f>
        <v>03/03/2016</v>
      </c>
      <c r="B1633" t="str">
        <f>"1.3435"</f>
        <v>1.3435</v>
      </c>
      <c r="C1633" t="str">
        <f>"1.3435"</f>
        <v>1.3435</v>
      </c>
    </row>
    <row r="1634" spans="1:3" x14ac:dyDescent="0.25">
      <c r="A1634" t="str">
        <f>"04/03/2016"</f>
        <v>04/03/2016</v>
      </c>
      <c r="B1634" t="str">
        <f>"1.3434"</f>
        <v>1.3434</v>
      </c>
      <c r="C1634" t="str">
        <f>"1.3434"</f>
        <v>1.3434</v>
      </c>
    </row>
    <row r="1635" spans="1:3" x14ac:dyDescent="0.25">
      <c r="A1635" t="str">
        <f>"08/03/2016"</f>
        <v>08/03/2016</v>
      </c>
      <c r="B1635" t="str">
        <f>"1.3329"</f>
        <v>1.3329</v>
      </c>
      <c r="C1635" t="str">
        <f>"1.3329"</f>
        <v>1.3329</v>
      </c>
    </row>
    <row r="1636" spans="1:3" x14ac:dyDescent="0.25">
      <c r="A1636" t="str">
        <f>"09/03/2016"</f>
        <v>09/03/2016</v>
      </c>
      <c r="B1636" t="str">
        <f>"1.3399"</f>
        <v>1.3399</v>
      </c>
      <c r="C1636" t="str">
        <f>"1.3399"</f>
        <v>1.3399</v>
      </c>
    </row>
    <row r="1637" spans="1:3" x14ac:dyDescent="0.25">
      <c r="A1637" t="str">
        <f>"10/03/2016"</f>
        <v>10/03/2016</v>
      </c>
      <c r="B1637" t="str">
        <f>"1.3277"</f>
        <v>1.3277</v>
      </c>
      <c r="C1637" t="str">
        <f>"1.3277"</f>
        <v>1.3277</v>
      </c>
    </row>
    <row r="1638" spans="1:3" x14ac:dyDescent="0.25">
      <c r="A1638" t="str">
        <f>"11/03/2016"</f>
        <v>11/03/2016</v>
      </c>
      <c r="B1638" t="str">
        <f>"1.3254"</f>
        <v>1.3254</v>
      </c>
      <c r="C1638" t="str">
        <f>"1.3254"</f>
        <v>1.3254</v>
      </c>
    </row>
    <row r="1639" spans="1:3" x14ac:dyDescent="0.25">
      <c r="A1639" t="str">
        <f>"14/03/2016"</f>
        <v>14/03/2016</v>
      </c>
      <c r="B1639" t="str">
        <f>"1.3238"</f>
        <v>1.3238</v>
      </c>
      <c r="C1639" t="str">
        <f>"1.3238"</f>
        <v>1.3238</v>
      </c>
    </row>
    <row r="1640" spans="1:3" x14ac:dyDescent="0.25">
      <c r="A1640" t="str">
        <f>"15/03/2016"</f>
        <v>15/03/2016</v>
      </c>
      <c r="B1640" t="str">
        <f>"1.3369"</f>
        <v>1.3369</v>
      </c>
      <c r="C1640" t="str">
        <f>"1.3369"</f>
        <v>1.3369</v>
      </c>
    </row>
    <row r="1641" spans="1:3" x14ac:dyDescent="0.25">
      <c r="A1641" t="str">
        <f>"16/03/2016"</f>
        <v>16/03/2016</v>
      </c>
      <c r="B1641" t="str">
        <f>"1.3368"</f>
        <v>1.3368</v>
      </c>
      <c r="C1641" t="str">
        <f>"1.3368"</f>
        <v>1.3368</v>
      </c>
    </row>
    <row r="1642" spans="1:3" x14ac:dyDescent="0.25">
      <c r="A1642" t="str">
        <f>"17/03/2016"</f>
        <v>17/03/2016</v>
      </c>
      <c r="B1642" t="str">
        <f>"1.301"</f>
        <v>1.301</v>
      </c>
      <c r="C1642" t="str">
        <f>"1.301"</f>
        <v>1.301</v>
      </c>
    </row>
    <row r="1643" spans="1:3" x14ac:dyDescent="0.25">
      <c r="A1643" t="str">
        <f>"18/03/2016"</f>
        <v>18/03/2016</v>
      </c>
      <c r="B1643" t="str">
        <f>"1.2987"</f>
        <v>1.2987</v>
      </c>
      <c r="C1643" t="str">
        <f>"1.2987"</f>
        <v>1.2987</v>
      </c>
    </row>
    <row r="1644" spans="1:3" x14ac:dyDescent="0.25">
      <c r="A1644" t="str">
        <f>"21/03/2016"</f>
        <v>21/03/2016</v>
      </c>
      <c r="B1644" t="str">
        <f>"1.3045"</f>
        <v>1.3045</v>
      </c>
      <c r="C1644" t="str">
        <f>"1.3045"</f>
        <v>1.3045</v>
      </c>
    </row>
    <row r="1645" spans="1:3" x14ac:dyDescent="0.25">
      <c r="A1645" t="str">
        <f>"22/03/2016"</f>
        <v>22/03/2016</v>
      </c>
      <c r="B1645" t="str">
        <f>"1.3075"</f>
        <v>1.3075</v>
      </c>
      <c r="C1645" t="str">
        <f>"1.3074"</f>
        <v>1.3074</v>
      </c>
    </row>
    <row r="1646" spans="1:3" x14ac:dyDescent="0.25">
      <c r="A1646" t="str">
        <f>"23/03/2016"</f>
        <v>23/03/2016</v>
      </c>
      <c r="B1646" t="str">
        <f>"1.3056"</f>
        <v>1.3056</v>
      </c>
      <c r="C1646" t="str">
        <f>"1.3055"</f>
        <v>1.3055</v>
      </c>
    </row>
    <row r="1647" spans="1:3" x14ac:dyDescent="0.25">
      <c r="A1647" t="str">
        <f>"28/03/2016"</f>
        <v>28/03/2016</v>
      </c>
      <c r="B1647" t="str">
        <f>"1.325"</f>
        <v>1.325</v>
      </c>
      <c r="C1647" t="str">
        <f>"1.325"</f>
        <v>1.325</v>
      </c>
    </row>
    <row r="1648" spans="1:3" x14ac:dyDescent="0.25">
      <c r="A1648" t="str">
        <f>"29/03/2016"</f>
        <v>29/03/2016</v>
      </c>
      <c r="B1648" t="str">
        <f>"1.3162"</f>
        <v>1.3162</v>
      </c>
      <c r="C1648" t="str">
        <f>"1.3162"</f>
        <v>1.3162</v>
      </c>
    </row>
    <row r="1649" spans="1:3" x14ac:dyDescent="0.25">
      <c r="A1649" t="str">
        <f>"30/03/2016"</f>
        <v>30/03/2016</v>
      </c>
      <c r="B1649" t="str">
        <f>"1.3031"</f>
        <v>1.3031</v>
      </c>
      <c r="C1649" t="str">
        <f>"1.3031"</f>
        <v>1.3031</v>
      </c>
    </row>
    <row r="1650" spans="1:3" x14ac:dyDescent="0.25">
      <c r="A1650" t="str">
        <f>"31/03/2016"</f>
        <v>31/03/2016</v>
      </c>
      <c r="B1650" t="str">
        <f>"1.293"</f>
        <v>1.293</v>
      </c>
      <c r="C1650" t="str">
        <f>"1.293"</f>
        <v>1.293</v>
      </c>
    </row>
    <row r="1651" spans="1:3" x14ac:dyDescent="0.25">
      <c r="A1651" t="str">
        <f>"04/04/2016"</f>
        <v>04/04/2016</v>
      </c>
      <c r="B1651" t="str">
        <f>"1.3043"</f>
        <v>1.3043</v>
      </c>
      <c r="C1651" t="str">
        <f>"1.3043"</f>
        <v>1.3043</v>
      </c>
    </row>
    <row r="1652" spans="1:3" x14ac:dyDescent="0.25">
      <c r="A1652" t="str">
        <f>"05/04/2016"</f>
        <v>05/04/2016</v>
      </c>
      <c r="B1652" t="str">
        <f>"1.3172"</f>
        <v>1.3172</v>
      </c>
      <c r="C1652" t="str">
        <f>"1.3172"</f>
        <v>1.3172</v>
      </c>
    </row>
    <row r="1653" spans="1:3" x14ac:dyDescent="0.25">
      <c r="A1653" t="str">
        <f>"06/04/2016"</f>
        <v>06/04/2016</v>
      </c>
      <c r="B1653" t="str">
        <f>"1.3182"</f>
        <v>1.3182</v>
      </c>
      <c r="C1653" t="str">
        <f>"1.3182"</f>
        <v>1.3182</v>
      </c>
    </row>
    <row r="1654" spans="1:3" x14ac:dyDescent="0.25">
      <c r="A1654" t="str">
        <f>"07/04/2016"</f>
        <v>07/04/2016</v>
      </c>
      <c r="B1654" t="str">
        <f>"1.3037"</f>
        <v>1.3037</v>
      </c>
      <c r="C1654" t="str">
        <f>"1.3037"</f>
        <v>1.3037</v>
      </c>
    </row>
    <row r="1655" spans="1:3" x14ac:dyDescent="0.25">
      <c r="A1655" t="str">
        <f>"11/04/2016"</f>
        <v>11/04/2016</v>
      </c>
      <c r="B1655" t="str">
        <f>"1.2979"</f>
        <v>1.2979</v>
      </c>
      <c r="C1655" t="str">
        <f>"1.2979"</f>
        <v>1.2979</v>
      </c>
    </row>
    <row r="1656" spans="1:3" x14ac:dyDescent="0.25">
      <c r="A1656" t="str">
        <f>"12/04/2016"</f>
        <v>12/04/2016</v>
      </c>
      <c r="B1656" t="str">
        <f>"1.287"</f>
        <v>1.287</v>
      </c>
      <c r="C1656" t="str">
        <f>"1.287"</f>
        <v>1.287</v>
      </c>
    </row>
    <row r="1657" spans="1:3" x14ac:dyDescent="0.25">
      <c r="A1657" t="str">
        <f>"13/04/2016"</f>
        <v>13/04/2016</v>
      </c>
      <c r="B1657" t="str">
        <f>"1.2767"</f>
        <v>1.2767</v>
      </c>
      <c r="C1657" t="str">
        <f>"1.2767"</f>
        <v>1.2767</v>
      </c>
    </row>
    <row r="1658" spans="1:3" x14ac:dyDescent="0.25">
      <c r="A1658" t="str">
        <f>"18/04/2016"</f>
        <v>18/04/2016</v>
      </c>
      <c r="B1658" t="str">
        <f>"1.2924"</f>
        <v>1.2924</v>
      </c>
      <c r="C1658" t="str">
        <f>"1.2924"</f>
        <v>1.2924</v>
      </c>
    </row>
    <row r="1659" spans="1:3" x14ac:dyDescent="0.25">
      <c r="A1659" t="str">
        <f>"20/04/2016"</f>
        <v>20/04/2016</v>
      </c>
      <c r="B1659" t="str">
        <f>"1.2665"</f>
        <v>1.2665</v>
      </c>
      <c r="C1659" t="str">
        <f>"1.2665"</f>
        <v>1.2665</v>
      </c>
    </row>
    <row r="1660" spans="1:3" x14ac:dyDescent="0.25">
      <c r="A1660" t="str">
        <f>"21/04/2016"</f>
        <v>21/04/2016</v>
      </c>
      <c r="B1660" t="str">
        <f>"1.2647"</f>
        <v>1.2647</v>
      </c>
      <c r="C1660" t="str">
        <f>"1.2647"</f>
        <v>1.2647</v>
      </c>
    </row>
    <row r="1661" spans="1:3" x14ac:dyDescent="0.25">
      <c r="A1661" t="str">
        <f>"22/04/2016"</f>
        <v>22/04/2016</v>
      </c>
      <c r="B1661" t="str">
        <f>"1.272"</f>
        <v>1.272</v>
      </c>
      <c r="C1661" t="str">
        <f>"1.272"</f>
        <v>1.272</v>
      </c>
    </row>
    <row r="1662" spans="1:3" x14ac:dyDescent="0.25">
      <c r="A1662" t="str">
        <f>"25/04/2016"</f>
        <v>25/04/2016</v>
      </c>
      <c r="B1662" t="str">
        <f>"1.2675"</f>
        <v>1.2675</v>
      </c>
      <c r="C1662" t="str">
        <f>"1.2675"</f>
        <v>1.2675</v>
      </c>
    </row>
    <row r="1663" spans="1:3" x14ac:dyDescent="0.25">
      <c r="A1663" t="str">
        <f>"26/04/2016"</f>
        <v>26/04/2016</v>
      </c>
      <c r="B1663" t="str">
        <f>"1.2655"</f>
        <v>1.2655</v>
      </c>
      <c r="C1663" t="str">
        <f>"1.2655"</f>
        <v>1.2655</v>
      </c>
    </row>
    <row r="1664" spans="1:3" x14ac:dyDescent="0.25">
      <c r="A1664" t="str">
        <f>"27/04/2016"</f>
        <v>27/04/2016</v>
      </c>
      <c r="B1664" t="str">
        <f>"1.2594"</f>
        <v>1.2594</v>
      </c>
      <c r="C1664" t="str">
        <f>"1.2594"</f>
        <v>1.2594</v>
      </c>
    </row>
    <row r="1665" spans="1:3" x14ac:dyDescent="0.25">
      <c r="A1665" t="str">
        <f>"28/04/2016"</f>
        <v>28/04/2016</v>
      </c>
      <c r="B1665" t="str">
        <f>"1.2596"</f>
        <v>1.2596</v>
      </c>
      <c r="C1665" t="str">
        <f>"1.2596"</f>
        <v>1.2596</v>
      </c>
    </row>
    <row r="1666" spans="1:3" x14ac:dyDescent="0.25">
      <c r="A1666" t="str">
        <f>"29/04/2016"</f>
        <v>29/04/2016</v>
      </c>
      <c r="B1666" t="str">
        <f>"1.2557"</f>
        <v>1.2557</v>
      </c>
      <c r="C1666" t="str">
        <f>"1.2557"</f>
        <v>1.2557</v>
      </c>
    </row>
    <row r="1667" spans="1:3" x14ac:dyDescent="0.25">
      <c r="A1667" t="str">
        <f>"02/05/2016"</f>
        <v>02/05/2016</v>
      </c>
      <c r="B1667" t="str">
        <f>"1.2522"</f>
        <v>1.2522</v>
      </c>
      <c r="C1667" t="str">
        <f>"1.2522"</f>
        <v>1.2522</v>
      </c>
    </row>
    <row r="1668" spans="1:3" x14ac:dyDescent="0.25">
      <c r="A1668" t="str">
        <f>"03/05/2016"</f>
        <v>03/05/2016</v>
      </c>
      <c r="B1668" t="str">
        <f>"1.2516"</f>
        <v>1.2516</v>
      </c>
      <c r="C1668" t="str">
        <f>"1.2516"</f>
        <v>1.2516</v>
      </c>
    </row>
    <row r="1669" spans="1:3" x14ac:dyDescent="0.25">
      <c r="A1669" t="str">
        <f>"04/05/2016"</f>
        <v>04/05/2016</v>
      </c>
      <c r="B1669" t="str">
        <f>"1.2747"</f>
        <v>1.2747</v>
      </c>
      <c r="C1669" t="str">
        <f>"1.2747"</f>
        <v>1.2747</v>
      </c>
    </row>
    <row r="1670" spans="1:3" x14ac:dyDescent="0.25">
      <c r="A1670" t="str">
        <f>"05/05/2016"</f>
        <v>05/05/2016</v>
      </c>
      <c r="B1670" t="str">
        <f>"1.2842"</f>
        <v>1.2842</v>
      </c>
      <c r="C1670" t="str">
        <f>"1.2842"</f>
        <v>1.2842</v>
      </c>
    </row>
    <row r="1671" spans="1:3" x14ac:dyDescent="0.25">
      <c r="A1671" t="str">
        <f>"06/05/2016"</f>
        <v>06/05/2016</v>
      </c>
      <c r="B1671" t="str">
        <f>"1.2888"</f>
        <v>1.2888</v>
      </c>
      <c r="C1671" t="str">
        <f>"1.2888"</f>
        <v>1.2888</v>
      </c>
    </row>
    <row r="1672" spans="1:3" x14ac:dyDescent="0.25">
      <c r="A1672" t="str">
        <f>"09/05/2016"</f>
        <v>09/05/2016</v>
      </c>
      <c r="B1672" t="str">
        <f>"1.2931"</f>
        <v>1.2931</v>
      </c>
      <c r="C1672" t="str">
        <f>"1.2932"</f>
        <v>1.2932</v>
      </c>
    </row>
    <row r="1673" spans="1:3" x14ac:dyDescent="0.25">
      <c r="A1673" t="str">
        <f>"10/05/2016"</f>
        <v>10/05/2016</v>
      </c>
      <c r="B1673" t="str">
        <f>"1.2977"</f>
        <v>1.2977</v>
      </c>
      <c r="C1673" t="str">
        <f>"1.2978"</f>
        <v>1.2978</v>
      </c>
    </row>
    <row r="1674" spans="1:3" x14ac:dyDescent="0.25">
      <c r="A1674" t="str">
        <f>"11/05/2016"</f>
        <v>11/05/2016</v>
      </c>
      <c r="B1674" t="str">
        <f>"1.2881"</f>
        <v>1.2881</v>
      </c>
      <c r="C1674" t="str">
        <f>"1.2882"</f>
        <v>1.2882</v>
      </c>
    </row>
    <row r="1675" spans="1:3" x14ac:dyDescent="0.25">
      <c r="A1675" t="str">
        <f>"12/05/2016"</f>
        <v>12/05/2016</v>
      </c>
      <c r="B1675" t="str">
        <f>"1.2838"</f>
        <v>1.2838</v>
      </c>
      <c r="C1675" t="str">
        <f>"1.2839"</f>
        <v>1.2839</v>
      </c>
    </row>
    <row r="1676" spans="1:3" x14ac:dyDescent="0.25">
      <c r="A1676" t="str">
        <f>"13/05/2016"</f>
        <v>13/05/2016</v>
      </c>
      <c r="B1676" t="str">
        <f>"1.2885"</f>
        <v>1.2885</v>
      </c>
      <c r="C1676" t="str">
        <f>"1.2885"</f>
        <v>1.2885</v>
      </c>
    </row>
    <row r="1677" spans="1:3" x14ac:dyDescent="0.25">
      <c r="A1677" t="str">
        <f>"16/05/2016"</f>
        <v>16/05/2016</v>
      </c>
      <c r="B1677" t="str">
        <f>"1.2906"</f>
        <v>1.2906</v>
      </c>
      <c r="C1677" t="str">
        <f>"1.2906"</f>
        <v>1.2906</v>
      </c>
    </row>
    <row r="1678" spans="1:3" x14ac:dyDescent="0.25">
      <c r="A1678" t="str">
        <f>"17/05/2016"</f>
        <v>17/05/2016</v>
      </c>
      <c r="B1678" t="str">
        <f>"1.2937"</f>
        <v>1.2937</v>
      </c>
      <c r="C1678" t="str">
        <f>"1.2938"</f>
        <v>1.2938</v>
      </c>
    </row>
    <row r="1679" spans="1:3" x14ac:dyDescent="0.25">
      <c r="A1679" t="str">
        <f>"18/05/2016"</f>
        <v>18/05/2016</v>
      </c>
      <c r="B1679" t="str">
        <f>"1.2957"</f>
        <v>1.2957</v>
      </c>
      <c r="C1679" t="str">
        <f>"1.2958"</f>
        <v>1.2958</v>
      </c>
    </row>
    <row r="1680" spans="1:3" x14ac:dyDescent="0.25">
      <c r="A1680" t="str">
        <f>"19/05/2016"</f>
        <v>19/05/2016</v>
      </c>
      <c r="B1680" t="str">
        <f>"1.3085"</f>
        <v>1.3085</v>
      </c>
      <c r="C1680" t="str">
        <f>"1.3086"</f>
        <v>1.3086</v>
      </c>
    </row>
    <row r="1681" spans="1:3" x14ac:dyDescent="0.25">
      <c r="A1681" t="str">
        <f>"20/05/2016"</f>
        <v>20/05/2016</v>
      </c>
      <c r="B1681" t="str">
        <f>"1.3124"</f>
        <v>1.3124</v>
      </c>
      <c r="C1681" t="str">
        <f>"1.3125"</f>
        <v>1.3125</v>
      </c>
    </row>
    <row r="1682" spans="1:3" x14ac:dyDescent="0.25">
      <c r="A1682" t="str">
        <f>"23/05/2016"</f>
        <v>23/05/2016</v>
      </c>
      <c r="B1682" t="str">
        <f>"1.3141"</f>
        <v>1.3141</v>
      </c>
      <c r="C1682" t="str">
        <f>"1.3142"</f>
        <v>1.3142</v>
      </c>
    </row>
    <row r="1683" spans="1:3" x14ac:dyDescent="0.25">
      <c r="A1683" t="str">
        <f>"24/05/2016"</f>
        <v>24/05/2016</v>
      </c>
      <c r="B1683" t="str">
        <f>"1.3162"</f>
        <v>1.3162</v>
      </c>
      <c r="C1683" t="str">
        <f>"1.3163"</f>
        <v>1.3163</v>
      </c>
    </row>
    <row r="1684" spans="1:3" x14ac:dyDescent="0.25">
      <c r="A1684" t="str">
        <f>"25/05/2016"</f>
        <v>25/05/2016</v>
      </c>
      <c r="B1684" t="str">
        <f>"1.3113"</f>
        <v>1.3113</v>
      </c>
      <c r="C1684" t="str">
        <f>"1.3113"</f>
        <v>1.3113</v>
      </c>
    </row>
    <row r="1685" spans="1:3" x14ac:dyDescent="0.25">
      <c r="A1685" t="str">
        <f>"26/05/2016"</f>
        <v>26/05/2016</v>
      </c>
      <c r="B1685" t="str">
        <f>"1.2947"</f>
        <v>1.2947</v>
      </c>
      <c r="C1685" t="str">
        <f>"1.2948"</f>
        <v>1.2948</v>
      </c>
    </row>
    <row r="1686" spans="1:3" x14ac:dyDescent="0.25">
      <c r="A1686" t="str">
        <f>"27/05/2016"</f>
        <v>27/05/2016</v>
      </c>
      <c r="B1686" t="str">
        <f>"1.304"</f>
        <v>1.304</v>
      </c>
      <c r="C1686" t="str">
        <f>"1.3041"</f>
        <v>1.3041</v>
      </c>
    </row>
    <row r="1687" spans="1:3" x14ac:dyDescent="0.25">
      <c r="A1687" t="str">
        <f>"30/05/2016"</f>
        <v>30/05/2016</v>
      </c>
      <c r="B1687" t="str">
        <f>"1.304"</f>
        <v>1.304</v>
      </c>
      <c r="C1687" t="str">
        <f>"1.3041"</f>
        <v>1.3041</v>
      </c>
    </row>
    <row r="1688" spans="1:3" x14ac:dyDescent="0.25">
      <c r="A1688" t="str">
        <f>"31/05/2016"</f>
        <v>31/05/2016</v>
      </c>
      <c r="B1688" t="str">
        <f>"1.3024"</f>
        <v>1.3024</v>
      </c>
      <c r="C1688" t="str">
        <f>"1.3025"</f>
        <v>1.3025</v>
      </c>
    </row>
    <row r="1689" spans="1:3" x14ac:dyDescent="0.25">
      <c r="A1689" t="str">
        <f>"01/06/2016"</f>
        <v>01/06/2016</v>
      </c>
      <c r="B1689" t="str">
        <f>"1.305"</f>
        <v>1.305</v>
      </c>
      <c r="C1689" t="str">
        <f>"1.305"</f>
        <v>1.305</v>
      </c>
    </row>
    <row r="1690" spans="1:3" x14ac:dyDescent="0.25">
      <c r="A1690" t="str">
        <f>"02/06/2016"</f>
        <v>02/06/2016</v>
      </c>
      <c r="B1690" t="str">
        <f>"1.31"</f>
        <v>1.31</v>
      </c>
      <c r="C1690" t="str">
        <f>"1.31"</f>
        <v>1.31</v>
      </c>
    </row>
    <row r="1691" spans="1:3" x14ac:dyDescent="0.25">
      <c r="A1691" t="str">
        <f>"03/06/2016"</f>
        <v>03/06/2016</v>
      </c>
      <c r="B1691" t="str">
        <f>"1.3093"</f>
        <v>1.3093</v>
      </c>
      <c r="C1691" t="str">
        <f>"1.3093"</f>
        <v>1.3093</v>
      </c>
    </row>
    <row r="1692" spans="1:3" x14ac:dyDescent="0.25">
      <c r="A1692" t="str">
        <f>"06/06/2016"</f>
        <v>06/06/2016</v>
      </c>
      <c r="B1692" t="str">
        <f>"1.2944"</f>
        <v>1.2944</v>
      </c>
      <c r="C1692" t="str">
        <f>"1.2944"</f>
        <v>1.2944</v>
      </c>
    </row>
    <row r="1693" spans="1:3" x14ac:dyDescent="0.25">
      <c r="A1693" t="str">
        <f>"07/06/2016"</f>
        <v>07/06/2016</v>
      </c>
      <c r="B1693" t="str">
        <f>"1.2774"</f>
        <v>1.2774</v>
      </c>
      <c r="C1693" t="str">
        <f>"1.2775"</f>
        <v>1.2775</v>
      </c>
    </row>
    <row r="1694" spans="1:3" x14ac:dyDescent="0.25">
      <c r="A1694" t="str">
        <f>"08/06/2016"</f>
        <v>08/06/2016</v>
      </c>
      <c r="B1694" t="str">
        <f>"1.2672"</f>
        <v>1.2672</v>
      </c>
      <c r="C1694" t="str">
        <f>"1.2672"</f>
        <v>1.2672</v>
      </c>
    </row>
    <row r="1695" spans="1:3" x14ac:dyDescent="0.25">
      <c r="A1695" t="str">
        <f>"09/06/2016"</f>
        <v>09/06/2016</v>
      </c>
      <c r="B1695" t="str">
        <f>"1.2753"</f>
        <v>1.2753</v>
      </c>
      <c r="C1695" t="str">
        <f>"1.2753"</f>
        <v>1.2753</v>
      </c>
    </row>
    <row r="1696" spans="1:3" x14ac:dyDescent="0.25">
      <c r="A1696" t="str">
        <f>"10/06/2016"</f>
        <v>10/06/2016</v>
      </c>
      <c r="B1696" t="str">
        <f>"1.2745"</f>
        <v>1.2745</v>
      </c>
      <c r="C1696" t="str">
        <f>"1.2745"</f>
        <v>1.2745</v>
      </c>
    </row>
    <row r="1697" spans="1:3" x14ac:dyDescent="0.25">
      <c r="A1697" t="str">
        <f>"13/06/2016"</f>
        <v>13/06/2016</v>
      </c>
      <c r="B1697" t="str">
        <f>"1.2777"</f>
        <v>1.2777</v>
      </c>
      <c r="C1697" t="str">
        <f>"1.2777"</f>
        <v>1.2777</v>
      </c>
    </row>
    <row r="1698" spans="1:3" x14ac:dyDescent="0.25">
      <c r="A1698" t="str">
        <f>"14/06/2016"</f>
        <v>14/06/2016</v>
      </c>
      <c r="B1698" t="str">
        <f>"1.2847"</f>
        <v>1.2847</v>
      </c>
      <c r="C1698" t="str">
        <f>"1.2847"</f>
        <v>1.2847</v>
      </c>
    </row>
    <row r="1699" spans="1:3" x14ac:dyDescent="0.25">
      <c r="A1699" t="str">
        <f>"15/06/2016"</f>
        <v>15/06/2016</v>
      </c>
      <c r="B1699" t="str">
        <f>"1.2871"</f>
        <v>1.2871</v>
      </c>
      <c r="C1699" t="str">
        <f>"1.2871"</f>
        <v>1.2871</v>
      </c>
    </row>
    <row r="1700" spans="1:3" x14ac:dyDescent="0.25">
      <c r="A1700" t="str">
        <f>"16/06/2016"</f>
        <v>16/06/2016</v>
      </c>
      <c r="B1700" t="str">
        <f>"1.3024"</f>
        <v>1.3024</v>
      </c>
      <c r="C1700" t="str">
        <f>"1.3024"</f>
        <v>1.3024</v>
      </c>
    </row>
    <row r="1701" spans="1:3" x14ac:dyDescent="0.25">
      <c r="A1701" t="str">
        <f>"17/06/2016"</f>
        <v>17/06/2016</v>
      </c>
      <c r="B1701" t="str">
        <f>"1.2915"</f>
        <v>1.2915</v>
      </c>
      <c r="C1701" t="str">
        <f>"1.2915"</f>
        <v>1.2915</v>
      </c>
    </row>
    <row r="1702" spans="1:3" x14ac:dyDescent="0.25">
      <c r="A1702" t="str">
        <f>"20/06/2016"</f>
        <v>20/06/2016</v>
      </c>
      <c r="B1702" t="str">
        <f>"1.2819"</f>
        <v>1.2819</v>
      </c>
      <c r="C1702" t="str">
        <f>"1.2819"</f>
        <v>1.2819</v>
      </c>
    </row>
    <row r="1703" spans="1:3" x14ac:dyDescent="0.25">
      <c r="A1703" t="str">
        <f>"21/06/2016"</f>
        <v>21/06/2016</v>
      </c>
      <c r="B1703" t="str">
        <f>"1.2778"</f>
        <v>1.2778</v>
      </c>
      <c r="C1703" t="str">
        <f>"1.2778"</f>
        <v>1.2778</v>
      </c>
    </row>
    <row r="1704" spans="1:3" x14ac:dyDescent="0.25">
      <c r="A1704" t="str">
        <f>"22/06/2016"</f>
        <v>22/06/2016</v>
      </c>
      <c r="B1704" t="str">
        <f>"1.2776"</f>
        <v>1.2776</v>
      </c>
      <c r="C1704" t="str">
        <f>"1.2775"</f>
        <v>1.2775</v>
      </c>
    </row>
    <row r="1705" spans="1:3" x14ac:dyDescent="0.25">
      <c r="A1705" t="str">
        <f>"23/06/2016"</f>
        <v>23/06/2016</v>
      </c>
      <c r="B1705" t="str">
        <f>"1.2745"</f>
        <v>1.2745</v>
      </c>
      <c r="C1705" t="str">
        <f>"1.2745"</f>
        <v>1.2745</v>
      </c>
    </row>
    <row r="1706" spans="1:3" x14ac:dyDescent="0.25">
      <c r="A1706" t="str">
        <f>"24/06/2016"</f>
        <v>24/06/2016</v>
      </c>
      <c r="B1706" t="str">
        <f>"1.3049"</f>
        <v>1.3049</v>
      </c>
      <c r="C1706" t="str">
        <f>"1.3048"</f>
        <v>1.3048</v>
      </c>
    </row>
    <row r="1707" spans="1:3" x14ac:dyDescent="0.25">
      <c r="A1707" t="str">
        <f>"27/06/2016"</f>
        <v>27/06/2016</v>
      </c>
      <c r="B1707" t="str">
        <f>"1.3044"</f>
        <v>1.3044</v>
      </c>
      <c r="C1707" t="str">
        <f>"1.3043"</f>
        <v>1.3043</v>
      </c>
    </row>
    <row r="1708" spans="1:3" x14ac:dyDescent="0.25">
      <c r="A1708" t="str">
        <f>"28/06/2016"</f>
        <v>28/06/2016</v>
      </c>
      <c r="B1708" t="str">
        <f>"1.3043"</f>
        <v>1.3043</v>
      </c>
      <c r="C1708" t="str">
        <f>"1.3043"</f>
        <v>1.3043</v>
      </c>
    </row>
    <row r="1709" spans="1:3" x14ac:dyDescent="0.25">
      <c r="A1709" t="str">
        <f>"29/06/2016"</f>
        <v>29/06/2016</v>
      </c>
      <c r="B1709" t="str">
        <f>"1.2999"</f>
        <v>1.2999</v>
      </c>
      <c r="C1709" t="str">
        <f>"1.2998"</f>
        <v>1.2998</v>
      </c>
    </row>
    <row r="1710" spans="1:3" x14ac:dyDescent="0.25">
      <c r="A1710" t="str">
        <f>"30/06/2016"</f>
        <v>30/06/2016</v>
      </c>
      <c r="B1710" t="str">
        <f>"1.2933"</f>
        <v>1.2933</v>
      </c>
      <c r="C1710" t="str">
        <f>"1.2932"</f>
        <v>1.2932</v>
      </c>
    </row>
    <row r="1711" spans="1:3" x14ac:dyDescent="0.25">
      <c r="A1711" t="str">
        <f>"01/07/2016"</f>
        <v>01/07/2016</v>
      </c>
      <c r="B1711" t="str">
        <f>"1.2933"</f>
        <v>1.2933</v>
      </c>
      <c r="C1711" t="str">
        <f>"1.2932"</f>
        <v>1.2932</v>
      </c>
    </row>
    <row r="1712" spans="1:3" x14ac:dyDescent="0.25">
      <c r="A1712" t="str">
        <f>"04/07/2016"</f>
        <v>04/07/2016</v>
      </c>
      <c r="B1712" t="str">
        <f>"1.2894"</f>
        <v>1.2894</v>
      </c>
      <c r="C1712" t="str">
        <f>"1.2894"</f>
        <v>1.2894</v>
      </c>
    </row>
    <row r="1713" spans="1:3" x14ac:dyDescent="0.25">
      <c r="A1713" t="str">
        <f>"05/07/2016"</f>
        <v>05/07/2016</v>
      </c>
      <c r="B1713" t="str">
        <f>"1.2925"</f>
        <v>1.2925</v>
      </c>
      <c r="C1713" t="str">
        <f>"1.2924"</f>
        <v>1.2924</v>
      </c>
    </row>
    <row r="1714" spans="1:3" x14ac:dyDescent="0.25">
      <c r="A1714" t="str">
        <f>"07/07/2016"</f>
        <v>07/07/2016</v>
      </c>
      <c r="B1714" t="str">
        <f>"1.2937"</f>
        <v>1.2937</v>
      </c>
      <c r="C1714" t="str">
        <f>"1.2937"</f>
        <v>1.2937</v>
      </c>
    </row>
    <row r="1715" spans="1:3" x14ac:dyDescent="0.25">
      <c r="A1715" t="str">
        <f>"08/07/2016"</f>
        <v>08/07/2016</v>
      </c>
      <c r="B1715" t="str">
        <f>"1.3001"</f>
        <v>1.3001</v>
      </c>
      <c r="C1715" t="str">
        <f>"1.3002"</f>
        <v>1.3002</v>
      </c>
    </row>
    <row r="1716" spans="1:3" x14ac:dyDescent="0.25">
      <c r="A1716" t="str">
        <f>"11/07/2016"</f>
        <v>11/07/2016</v>
      </c>
      <c r="B1716" t="str">
        <f>"1.3058"</f>
        <v>1.3058</v>
      </c>
      <c r="C1716" t="str">
        <f>"1.3059"</f>
        <v>1.3059</v>
      </c>
    </row>
    <row r="1717" spans="1:3" x14ac:dyDescent="0.25">
      <c r="A1717" t="str">
        <f>"12/07/2016"</f>
        <v>12/07/2016</v>
      </c>
      <c r="B1717" t="str">
        <f>"1.3026"</f>
        <v>1.3026</v>
      </c>
      <c r="C1717" t="str">
        <f>"1.3027"</f>
        <v>1.3027</v>
      </c>
    </row>
    <row r="1718" spans="1:3" x14ac:dyDescent="0.25">
      <c r="A1718" t="str">
        <f>"13/07/2016"</f>
        <v>13/07/2016</v>
      </c>
      <c r="B1718" t="str">
        <f>"1.3036"</f>
        <v>1.3036</v>
      </c>
      <c r="C1718" t="str">
        <f>"1.3036"</f>
        <v>1.3036</v>
      </c>
    </row>
    <row r="1719" spans="1:3" x14ac:dyDescent="0.25">
      <c r="A1719" t="str">
        <f>"14/07/2016"</f>
        <v>14/07/2016</v>
      </c>
      <c r="B1719" t="str">
        <f>"1.2933"</f>
        <v>1.2933</v>
      </c>
      <c r="C1719" t="str">
        <f>"1.2933"</f>
        <v>1.2933</v>
      </c>
    </row>
    <row r="1720" spans="1:3" x14ac:dyDescent="0.25">
      <c r="A1720" t="str">
        <f>"15/07/2016"</f>
        <v>15/07/2016</v>
      </c>
      <c r="B1720" t="str">
        <f>"1.2913"</f>
        <v>1.2913</v>
      </c>
      <c r="C1720" t="str">
        <f>"1.2913"</f>
        <v>1.2913</v>
      </c>
    </row>
    <row r="1721" spans="1:3" x14ac:dyDescent="0.25">
      <c r="A1721" t="str">
        <f>"18/07/2016"</f>
        <v>18/07/2016</v>
      </c>
      <c r="B1721" t="str">
        <f>"1.2956"</f>
        <v>1.2956</v>
      </c>
      <c r="C1721" t="str">
        <f>"1.2956"</f>
        <v>1.2956</v>
      </c>
    </row>
    <row r="1722" spans="1:3" x14ac:dyDescent="0.25">
      <c r="A1722" t="str">
        <f>"19/07/2016"</f>
        <v>19/07/2016</v>
      </c>
      <c r="B1722" t="str">
        <f>"1.2986"</f>
        <v>1.2986</v>
      </c>
      <c r="C1722" t="str">
        <f>"1.2986"</f>
        <v>1.2986</v>
      </c>
    </row>
    <row r="1723" spans="1:3" x14ac:dyDescent="0.25">
      <c r="A1723" t="str">
        <f>"20/07/2016"</f>
        <v>20/07/2016</v>
      </c>
      <c r="B1723" t="str">
        <f>"1.3063"</f>
        <v>1.3063</v>
      </c>
      <c r="C1723" t="str">
        <f>"1.3063"</f>
        <v>1.3063</v>
      </c>
    </row>
    <row r="1724" spans="1:3" x14ac:dyDescent="0.25">
      <c r="A1724" t="str">
        <f>"21/07/2016"</f>
        <v>21/07/2016</v>
      </c>
      <c r="B1724" t="str">
        <f>"1.3056"</f>
        <v>1.3056</v>
      </c>
      <c r="C1724" t="str">
        <f>"1.3056"</f>
        <v>1.3056</v>
      </c>
    </row>
    <row r="1725" spans="1:3" x14ac:dyDescent="0.25">
      <c r="A1725" t="str">
        <f>"22/07/2016"</f>
        <v>22/07/2016</v>
      </c>
      <c r="B1725" t="str">
        <f>"1.3126"</f>
        <v>1.3126</v>
      </c>
      <c r="C1725" t="str">
        <f>"1.3126"</f>
        <v>1.3126</v>
      </c>
    </row>
    <row r="1726" spans="1:3" x14ac:dyDescent="0.25">
      <c r="A1726" t="str">
        <f>"25/07/2016"</f>
        <v>25/07/2016</v>
      </c>
      <c r="B1726" t="str">
        <f>"1.3177"</f>
        <v>1.3177</v>
      </c>
      <c r="C1726" t="str">
        <f>"1.3176"</f>
        <v>1.3176</v>
      </c>
    </row>
    <row r="1727" spans="1:3" x14ac:dyDescent="0.25">
      <c r="A1727" t="str">
        <f>"26/07/2016"</f>
        <v>26/07/2016</v>
      </c>
      <c r="B1727" t="str">
        <f>"1.3238"</f>
        <v>1.3238</v>
      </c>
      <c r="C1727" t="str">
        <f>"1.3236"</f>
        <v>1.3236</v>
      </c>
    </row>
    <row r="1728" spans="1:3" x14ac:dyDescent="0.25">
      <c r="A1728" t="str">
        <f>"27/07/2016"</f>
        <v>27/07/2016</v>
      </c>
      <c r="B1728" t="str">
        <f>"1.3186"</f>
        <v>1.3186</v>
      </c>
      <c r="C1728" t="str">
        <f>"1.3184"</f>
        <v>1.3184</v>
      </c>
    </row>
    <row r="1729" spans="1:3" x14ac:dyDescent="0.25">
      <c r="A1729" t="str">
        <f>"28/07/2016"</f>
        <v>28/07/2016</v>
      </c>
      <c r="B1729" t="str">
        <f>"1.3131"</f>
        <v>1.3131</v>
      </c>
      <c r="C1729" t="str">
        <f>"1.3129"</f>
        <v>1.3129</v>
      </c>
    </row>
    <row r="1730" spans="1:3" x14ac:dyDescent="0.25">
      <c r="A1730" t="str">
        <f>"29/07/2016"</f>
        <v>29/07/2016</v>
      </c>
      <c r="B1730" t="str">
        <f>"1.3157"</f>
        <v>1.3157</v>
      </c>
      <c r="C1730" t="str">
        <f>"1.3155"</f>
        <v>1.3155</v>
      </c>
    </row>
    <row r="1731" spans="1:3" x14ac:dyDescent="0.25">
      <c r="A1731" t="str">
        <f>"01/08/2016"</f>
        <v>01/08/2016</v>
      </c>
      <c r="B1731" t="str">
        <f>"1.3066"</f>
        <v>1.3066</v>
      </c>
      <c r="C1731" t="str">
        <f>"1.3064"</f>
        <v>1.3064</v>
      </c>
    </row>
    <row r="1732" spans="1:3" x14ac:dyDescent="0.25">
      <c r="A1732" t="str">
        <f>"02/08/2016"</f>
        <v>02/08/2016</v>
      </c>
      <c r="B1732" t="str">
        <f>"1.3064"</f>
        <v>1.3064</v>
      </c>
      <c r="C1732" t="str">
        <f>"1.3062"</f>
        <v>1.3062</v>
      </c>
    </row>
    <row r="1733" spans="1:3" x14ac:dyDescent="0.25">
      <c r="A1733" t="str">
        <f>"03/08/2016"</f>
        <v>03/08/2016</v>
      </c>
      <c r="B1733" t="str">
        <f>"1.3116"</f>
        <v>1.3116</v>
      </c>
      <c r="C1733" t="str">
        <f>"1.3113"</f>
        <v>1.3113</v>
      </c>
    </row>
    <row r="1734" spans="1:3" x14ac:dyDescent="0.25">
      <c r="A1734" t="str">
        <f>"04/08/2016"</f>
        <v>04/08/2016</v>
      </c>
      <c r="B1734" t="str">
        <f>"1.3064"</f>
        <v>1.3064</v>
      </c>
      <c r="C1734" t="str">
        <f>"1.3061"</f>
        <v>1.3061</v>
      </c>
    </row>
    <row r="1735" spans="1:3" x14ac:dyDescent="0.25">
      <c r="A1735" t="str">
        <f>"05/08/2016"</f>
        <v>05/08/2016</v>
      </c>
      <c r="B1735" t="str">
        <f>"1.3026"</f>
        <v>1.3026</v>
      </c>
      <c r="C1735" t="str">
        <f>"1.3024"</f>
        <v>1.3024</v>
      </c>
    </row>
    <row r="1736" spans="1:3" x14ac:dyDescent="0.25">
      <c r="A1736" t="str">
        <f>"08/08/2016"</f>
        <v>08/08/2016</v>
      </c>
      <c r="B1736" t="str">
        <f>"1.316"</f>
        <v>1.316</v>
      </c>
      <c r="C1736" t="str">
        <f>"1.3158"</f>
        <v>1.3158</v>
      </c>
    </row>
    <row r="1737" spans="1:3" x14ac:dyDescent="0.25">
      <c r="A1737" t="str">
        <f>"09/08/2016"</f>
        <v>09/08/2016</v>
      </c>
      <c r="B1737" t="str">
        <f>"1.3158"</f>
        <v>1.3158</v>
      </c>
      <c r="C1737" t="str">
        <f>"1.3155"</f>
        <v>1.3155</v>
      </c>
    </row>
    <row r="1738" spans="1:3" x14ac:dyDescent="0.25">
      <c r="A1738" t="str">
        <f>"10/08/2016"</f>
        <v>10/08/2016</v>
      </c>
      <c r="B1738" t="str">
        <f>"1.3013"</f>
        <v>1.3013</v>
      </c>
      <c r="C1738" t="str">
        <f>"1.301"</f>
        <v>1.301</v>
      </c>
    </row>
    <row r="1739" spans="1:3" x14ac:dyDescent="0.25">
      <c r="A1739" t="str">
        <f>"11/08/2016"</f>
        <v>11/08/2016</v>
      </c>
      <c r="B1739" t="str">
        <f>"1.3042"</f>
        <v>1.3042</v>
      </c>
      <c r="C1739" t="str">
        <f>"1.3039"</f>
        <v>1.3039</v>
      </c>
    </row>
    <row r="1740" spans="1:3" x14ac:dyDescent="0.25">
      <c r="A1740" t="str">
        <f>"12/08/2016"</f>
        <v>12/08/2016</v>
      </c>
      <c r="B1740" t="str">
        <f>"1.2979"</f>
        <v>1.2979</v>
      </c>
      <c r="C1740" t="str">
        <f>"1.2977"</f>
        <v>1.2977</v>
      </c>
    </row>
    <row r="1741" spans="1:3" x14ac:dyDescent="0.25">
      <c r="A1741" t="str">
        <f>"16/08/2016"</f>
        <v>16/08/2016</v>
      </c>
      <c r="B1741" t="str">
        <f>"1.2808"</f>
        <v>1.2808</v>
      </c>
      <c r="C1741" t="str">
        <f>"1.2807"</f>
        <v>1.2807</v>
      </c>
    </row>
    <row r="1742" spans="1:3" x14ac:dyDescent="0.25">
      <c r="A1742" t="str">
        <f>"18/08/2016"</f>
        <v>18/08/2016</v>
      </c>
      <c r="B1742" t="str">
        <f>"1.2819"</f>
        <v>1.2819</v>
      </c>
      <c r="C1742" t="str">
        <f>"1.2818"</f>
        <v>1.2818</v>
      </c>
    </row>
    <row r="1743" spans="1:3" x14ac:dyDescent="0.25">
      <c r="A1743" t="str">
        <f>"19/08/2016"</f>
        <v>19/08/2016</v>
      </c>
      <c r="B1743" t="str">
        <f>"1.2822"</f>
        <v>1.2822</v>
      </c>
      <c r="C1743" t="str">
        <f>"1.2821"</f>
        <v>1.2821</v>
      </c>
    </row>
    <row r="1744" spans="1:3" x14ac:dyDescent="0.25">
      <c r="A1744" t="str">
        <f>"22/08/2016"</f>
        <v>22/08/2016</v>
      </c>
      <c r="B1744" t="str">
        <f>"1.2916"</f>
        <v>1.2916</v>
      </c>
      <c r="C1744" t="str">
        <f>"1.2915"</f>
        <v>1.2915</v>
      </c>
    </row>
    <row r="1745" spans="1:3" x14ac:dyDescent="0.25">
      <c r="A1745" t="str">
        <f>"23/08/2016"</f>
        <v>23/08/2016</v>
      </c>
      <c r="B1745" t="str">
        <f>"1.2916"</f>
        <v>1.2916</v>
      </c>
      <c r="C1745" t="str">
        <f>"1.2915"</f>
        <v>1.2915</v>
      </c>
    </row>
    <row r="1746" spans="1:3" x14ac:dyDescent="0.25">
      <c r="A1746" t="str">
        <f>"24/08/2016"</f>
        <v>24/08/2016</v>
      </c>
      <c r="B1746" t="str">
        <f>"1.2929"</f>
        <v>1.2929</v>
      </c>
      <c r="C1746" t="str">
        <f>"1.2928"</f>
        <v>1.2928</v>
      </c>
    </row>
    <row r="1747" spans="1:3" x14ac:dyDescent="0.25">
      <c r="A1747" t="str">
        <f>"25/08/2016"</f>
        <v>25/08/2016</v>
      </c>
      <c r="B1747" t="str">
        <f>"1.2931"</f>
        <v>1.2931</v>
      </c>
      <c r="C1747" t="str">
        <f>"1.293"</f>
        <v>1.293</v>
      </c>
    </row>
    <row r="1748" spans="1:3" x14ac:dyDescent="0.25">
      <c r="A1748" t="str">
        <f>"26/08/2016"</f>
        <v>26/08/2016</v>
      </c>
      <c r="B1748" t="str">
        <f>"1.29"</f>
        <v>1.29</v>
      </c>
      <c r="C1748" t="str">
        <f>"1.2899"</f>
        <v>1.2899</v>
      </c>
    </row>
    <row r="1749" spans="1:3" x14ac:dyDescent="0.25">
      <c r="A1749" t="str">
        <f>"29/08/2016"</f>
        <v>29/08/2016</v>
      </c>
      <c r="B1749" t="str">
        <f>"1.3012"</f>
        <v>1.3012</v>
      </c>
      <c r="C1749" t="str">
        <f>"1.3011"</f>
        <v>1.3011</v>
      </c>
    </row>
    <row r="1750" spans="1:3" x14ac:dyDescent="0.25">
      <c r="A1750" t="str">
        <f>"30/08/2016"</f>
        <v>30/08/2016</v>
      </c>
      <c r="B1750" t="str">
        <f>"1.3028"</f>
        <v>1.3028</v>
      </c>
      <c r="C1750" t="str">
        <f>"1.3027"</f>
        <v>1.3027</v>
      </c>
    </row>
    <row r="1751" spans="1:3" x14ac:dyDescent="0.25">
      <c r="A1751" t="str">
        <f>"31/08/2016"</f>
        <v>31/08/2016</v>
      </c>
      <c r="B1751" t="str">
        <f>"1.3102"</f>
        <v>1.3102</v>
      </c>
      <c r="C1751" t="str">
        <f>"1.31"</f>
        <v>1.31</v>
      </c>
    </row>
    <row r="1752" spans="1:3" x14ac:dyDescent="0.25">
      <c r="A1752" t="str">
        <f>"01/09/2016"</f>
        <v>01/09/2016</v>
      </c>
      <c r="B1752" t="str">
        <f>"1.3122"</f>
        <v>1.3122</v>
      </c>
      <c r="C1752" t="str">
        <f>"1.3121"</f>
        <v>1.3121</v>
      </c>
    </row>
    <row r="1753" spans="1:3" x14ac:dyDescent="0.25">
      <c r="A1753" t="str">
        <f>"02/09/2016"</f>
        <v>02/09/2016</v>
      </c>
      <c r="B1753" t="str">
        <f>"1.3095"</f>
        <v>1.3095</v>
      </c>
      <c r="C1753" t="str">
        <f>"1.3094"</f>
        <v>1.3094</v>
      </c>
    </row>
    <row r="1754" spans="1:3" x14ac:dyDescent="0.25">
      <c r="A1754" t="str">
        <f>"06/09/2016"</f>
        <v>06/09/2016</v>
      </c>
      <c r="B1754" t="str">
        <f>"1.29"</f>
        <v>1.29</v>
      </c>
      <c r="C1754" t="str">
        <f>"1.2899"</f>
        <v>1.2899</v>
      </c>
    </row>
    <row r="1755" spans="1:3" x14ac:dyDescent="0.25">
      <c r="A1755" t="str">
        <f>"07/09/2016"</f>
        <v>07/09/2016</v>
      </c>
      <c r="B1755" t="str">
        <f>"1.2853"</f>
        <v>1.2853</v>
      </c>
      <c r="C1755" t="str">
        <f>"1.2851"</f>
        <v>1.2851</v>
      </c>
    </row>
    <row r="1756" spans="1:3" x14ac:dyDescent="0.25">
      <c r="A1756" t="str">
        <f>"08/09/2016"</f>
        <v>08/09/2016</v>
      </c>
      <c r="B1756" t="str">
        <f>"1.2869"</f>
        <v>1.2869</v>
      </c>
      <c r="C1756" t="str">
        <f>"1.2868"</f>
        <v>1.2868</v>
      </c>
    </row>
    <row r="1757" spans="1:3" x14ac:dyDescent="0.25">
      <c r="A1757" t="str">
        <f>"09/09/2016"</f>
        <v>09/09/2016</v>
      </c>
      <c r="B1757" t="str">
        <f>"1.2915"</f>
        <v>1.2915</v>
      </c>
      <c r="C1757" t="str">
        <f>"1.2914"</f>
        <v>1.2914</v>
      </c>
    </row>
    <row r="1758" spans="1:3" x14ac:dyDescent="0.25">
      <c r="A1758" t="str">
        <f>"12/09/2016"</f>
        <v>12/09/2016</v>
      </c>
      <c r="B1758" t="str">
        <f>"1.3069"</f>
        <v>1.3069</v>
      </c>
      <c r="C1758" t="str">
        <f>"1.3067"</f>
        <v>1.3067</v>
      </c>
    </row>
    <row r="1759" spans="1:3" x14ac:dyDescent="0.25">
      <c r="A1759" t="str">
        <f>"14/09/2016"</f>
        <v>14/09/2016</v>
      </c>
      <c r="B1759" t="str">
        <f>"1.3152"</f>
        <v>1.3152</v>
      </c>
      <c r="C1759" t="str">
        <f>"1.315"</f>
        <v>1.315</v>
      </c>
    </row>
    <row r="1760" spans="1:3" x14ac:dyDescent="0.25">
      <c r="A1760" t="str">
        <f>"15/09/2016"</f>
        <v>15/09/2016</v>
      </c>
      <c r="B1760" t="str">
        <f>"1.3212"</f>
        <v>1.3212</v>
      </c>
      <c r="C1760" t="str">
        <f>"1.321"</f>
        <v>1.321</v>
      </c>
    </row>
    <row r="1761" spans="1:3" x14ac:dyDescent="0.25">
      <c r="A1761" t="str">
        <f>"16/09/2016"</f>
        <v>16/09/2016</v>
      </c>
      <c r="B1761" t="str">
        <f>"1.3211"</f>
        <v>1.3211</v>
      </c>
      <c r="C1761" t="str">
        <f>"1.3209"</f>
        <v>1.3209</v>
      </c>
    </row>
    <row r="1762" spans="1:3" x14ac:dyDescent="0.25">
      <c r="A1762" t="str">
        <f>"19/09/2016"</f>
        <v>19/09/2016</v>
      </c>
      <c r="B1762" t="str">
        <f>"1.3167"</f>
        <v>1.3167</v>
      </c>
      <c r="C1762" t="str">
        <f>"1.3165"</f>
        <v>1.3165</v>
      </c>
    </row>
    <row r="1763" spans="1:3" x14ac:dyDescent="0.25">
      <c r="A1763" t="str">
        <f>"20/09/2016"</f>
        <v>20/09/2016</v>
      </c>
      <c r="B1763" t="str">
        <f>"1.3225"</f>
        <v>1.3225</v>
      </c>
      <c r="C1763" t="str">
        <f>"1.3223"</f>
        <v>1.3223</v>
      </c>
    </row>
    <row r="1764" spans="1:3" x14ac:dyDescent="0.25">
      <c r="A1764" t="str">
        <f>"21/09/2016"</f>
        <v>21/09/2016</v>
      </c>
      <c r="B1764" t="str">
        <f>"1.3165"</f>
        <v>1.3165</v>
      </c>
      <c r="C1764" t="str">
        <f>"1.3163"</f>
        <v>1.3163</v>
      </c>
    </row>
    <row r="1765" spans="1:3" x14ac:dyDescent="0.25">
      <c r="A1765" t="str">
        <f>"22/09/2016"</f>
        <v>22/09/2016</v>
      </c>
      <c r="B1765" t="str">
        <f>"1.3032"</f>
        <v>1.3032</v>
      </c>
      <c r="C1765" t="str">
        <f>"1.303"</f>
        <v>1.303</v>
      </c>
    </row>
    <row r="1766" spans="1:3" x14ac:dyDescent="0.25">
      <c r="A1766" t="str">
        <f>"23/09/2016"</f>
        <v>23/09/2016</v>
      </c>
      <c r="B1766" t="str">
        <f>"1.3048"</f>
        <v>1.3048</v>
      </c>
      <c r="C1766" t="str">
        <f>"1.3047"</f>
        <v>1.3047</v>
      </c>
    </row>
    <row r="1767" spans="1:3" x14ac:dyDescent="0.25">
      <c r="A1767" t="str">
        <f>"26/09/2016"</f>
        <v>26/09/2016</v>
      </c>
      <c r="B1767" t="str">
        <f>"1.3178"</f>
        <v>1.3178</v>
      </c>
      <c r="C1767" t="str">
        <f>"1.3176"</f>
        <v>1.3176</v>
      </c>
    </row>
    <row r="1768" spans="1:3" x14ac:dyDescent="0.25">
      <c r="A1768" t="str">
        <f>"27/09/2016"</f>
        <v>27/09/2016</v>
      </c>
      <c r="B1768" t="str">
        <f>"1.3223"</f>
        <v>1.3223</v>
      </c>
      <c r="C1768" t="str">
        <f>"1.3221"</f>
        <v>1.3221</v>
      </c>
    </row>
    <row r="1769" spans="1:3" x14ac:dyDescent="0.25">
      <c r="A1769" t="str">
        <f>"28/09/2016"</f>
        <v>28/09/2016</v>
      </c>
      <c r="B1769" t="str">
        <f>"1.3222"</f>
        <v>1.3222</v>
      </c>
      <c r="C1769" t="str">
        <f>"1.322"</f>
        <v>1.322</v>
      </c>
    </row>
    <row r="1770" spans="1:3" x14ac:dyDescent="0.25">
      <c r="A1770" t="str">
        <f>"29/09/2016"</f>
        <v>29/09/2016</v>
      </c>
      <c r="B1770" t="str">
        <f>"1.3077"</f>
        <v>1.3077</v>
      </c>
      <c r="C1770" t="str">
        <f>"1.3075"</f>
        <v>1.3075</v>
      </c>
    </row>
    <row r="1771" spans="1:3" x14ac:dyDescent="0.25">
      <c r="A1771" t="str">
        <f>"30/09/2016"</f>
        <v>30/09/2016</v>
      </c>
      <c r="B1771" t="str">
        <f>"1.3152"</f>
        <v>1.3152</v>
      </c>
      <c r="C1771" t="str">
        <f>"1.315"</f>
        <v>1.315</v>
      </c>
    </row>
    <row r="1772" spans="1:3" x14ac:dyDescent="0.25">
      <c r="A1772" t="str">
        <f>"03/10/2016"</f>
        <v>03/10/2016</v>
      </c>
      <c r="B1772" t="str">
        <f>"1.3084"</f>
        <v>1.3084</v>
      </c>
      <c r="C1772" t="str">
        <f>"1.3082"</f>
        <v>1.3082</v>
      </c>
    </row>
    <row r="1773" spans="1:3" x14ac:dyDescent="0.25">
      <c r="A1773" t="str">
        <f>"04/10/2016"</f>
        <v>04/10/2016</v>
      </c>
      <c r="B1773" t="str">
        <f>"1.3164"</f>
        <v>1.3164</v>
      </c>
      <c r="C1773" t="str">
        <f>"1.3161"</f>
        <v>1.3161</v>
      </c>
    </row>
    <row r="1774" spans="1:3" x14ac:dyDescent="0.25">
      <c r="A1774" t="str">
        <f>"05/10/2016"</f>
        <v>05/10/2016</v>
      </c>
      <c r="B1774" t="str">
        <f>"1.3214"</f>
        <v>1.3214</v>
      </c>
      <c r="C1774" t="str">
        <f>"1.3212"</f>
        <v>1.3212</v>
      </c>
    </row>
    <row r="1775" spans="1:3" x14ac:dyDescent="0.25">
      <c r="A1775" t="str">
        <f>"06/10/2016"</f>
        <v>06/10/2016</v>
      </c>
      <c r="B1775" t="str">
        <f>"1.3204"</f>
        <v>1.3204</v>
      </c>
      <c r="C1775" t="str">
        <f>"1.3202"</f>
        <v>1.3202</v>
      </c>
    </row>
    <row r="1776" spans="1:3" x14ac:dyDescent="0.25">
      <c r="A1776" t="str">
        <f>"07/10/2016"</f>
        <v>07/10/2016</v>
      </c>
      <c r="B1776" t="str">
        <f>"1.3279"</f>
        <v>1.3279</v>
      </c>
      <c r="C1776" t="str">
        <f>"1.3277"</f>
        <v>1.3277</v>
      </c>
    </row>
    <row r="1777" spans="1:3" x14ac:dyDescent="0.25">
      <c r="A1777" t="str">
        <f>"10/10/2016"</f>
        <v>10/10/2016</v>
      </c>
      <c r="B1777" t="str">
        <f>"1.3254"</f>
        <v>1.3254</v>
      </c>
      <c r="C1777" t="str">
        <f>"1.3252"</f>
        <v>1.3252</v>
      </c>
    </row>
    <row r="1778" spans="1:3" x14ac:dyDescent="0.25">
      <c r="A1778" t="str">
        <f>"13/10/2016"</f>
        <v>13/10/2016</v>
      </c>
      <c r="B1778" t="str">
        <f>"1.3257"</f>
        <v>1.3257</v>
      </c>
      <c r="C1778" t="str">
        <f>"1.3255"</f>
        <v>1.3255</v>
      </c>
    </row>
    <row r="1779" spans="1:3" x14ac:dyDescent="0.25">
      <c r="A1779" t="str">
        <f>"14/10/2016"</f>
        <v>14/10/2016</v>
      </c>
      <c r="B1779" t="str">
        <f>"1.3168"</f>
        <v>1.3168</v>
      </c>
      <c r="C1779" t="str">
        <f>"1.3166"</f>
        <v>1.3166</v>
      </c>
    </row>
    <row r="1780" spans="1:3" x14ac:dyDescent="0.25">
      <c r="A1780" t="str">
        <f>"17/10/2016"</f>
        <v>17/10/2016</v>
      </c>
      <c r="B1780" t="str">
        <f>"1.3134"</f>
        <v>1.3134</v>
      </c>
      <c r="C1780" t="str">
        <f>"1.3132"</f>
        <v>1.3132</v>
      </c>
    </row>
    <row r="1781" spans="1:3" x14ac:dyDescent="0.25">
      <c r="A1781" t="str">
        <f>"18/10/2016"</f>
        <v>18/10/2016</v>
      </c>
      <c r="B1781" t="str">
        <f>"1.3094"</f>
        <v>1.3094</v>
      </c>
      <c r="C1781" t="str">
        <f>"1.3092"</f>
        <v>1.3092</v>
      </c>
    </row>
    <row r="1782" spans="1:3" x14ac:dyDescent="0.25">
      <c r="A1782" t="str">
        <f>"19/10/2016"</f>
        <v>19/10/2016</v>
      </c>
      <c r="B1782" t="str">
        <f>"1.3089"</f>
        <v>1.3089</v>
      </c>
      <c r="C1782" t="str">
        <f>"1.3087"</f>
        <v>1.3087</v>
      </c>
    </row>
    <row r="1783" spans="1:3" x14ac:dyDescent="0.25">
      <c r="A1783" t="str">
        <f>"20/10/2016"</f>
        <v>20/10/2016</v>
      </c>
      <c r="B1783" t="str">
        <f>"1.316"</f>
        <v>1.316</v>
      </c>
      <c r="C1783" t="str">
        <f>"1.3157"</f>
        <v>1.3157</v>
      </c>
    </row>
    <row r="1784" spans="1:3" x14ac:dyDescent="0.25">
      <c r="A1784" t="str">
        <f>"21/10/2016"</f>
        <v>21/10/2016</v>
      </c>
      <c r="B1784" t="str">
        <f>"1.3234"</f>
        <v>1.3234</v>
      </c>
      <c r="C1784" t="str">
        <f>"1.3231"</f>
        <v>1.3231</v>
      </c>
    </row>
    <row r="1785" spans="1:3" x14ac:dyDescent="0.25">
      <c r="A1785" t="str">
        <f>"24/10/2016"</f>
        <v>24/10/2016</v>
      </c>
      <c r="B1785" t="str">
        <f>"1.3356"</f>
        <v>1.3356</v>
      </c>
      <c r="C1785" t="str">
        <f>"1.3353"</f>
        <v>1.3353</v>
      </c>
    </row>
    <row r="1786" spans="1:3" x14ac:dyDescent="0.25">
      <c r="A1786" t="str">
        <f>"25/10/2016"</f>
        <v>25/10/2016</v>
      </c>
      <c r="B1786" t="str">
        <f>"1.3313"</f>
        <v>1.3313</v>
      </c>
      <c r="C1786" t="str">
        <f>"1.3311"</f>
        <v>1.3311</v>
      </c>
    </row>
    <row r="1787" spans="1:3" x14ac:dyDescent="0.25">
      <c r="A1787" t="str">
        <f>"26/10/2016"</f>
        <v>26/10/2016</v>
      </c>
      <c r="B1787" t="str">
        <f>"1.3372"</f>
        <v>1.3372</v>
      </c>
      <c r="C1787" t="str">
        <f>"1.337"</f>
        <v>1.337</v>
      </c>
    </row>
    <row r="1788" spans="1:3" x14ac:dyDescent="0.25">
      <c r="A1788" t="str">
        <f>"27/10/2016"</f>
        <v>27/10/2016</v>
      </c>
      <c r="B1788" t="str">
        <f>"1.339"</f>
        <v>1.339</v>
      </c>
      <c r="C1788" t="str">
        <f>"1.3387"</f>
        <v>1.3387</v>
      </c>
    </row>
    <row r="1789" spans="1:3" x14ac:dyDescent="0.25">
      <c r="A1789" t="str">
        <f>"28/10/2016"</f>
        <v>28/10/2016</v>
      </c>
      <c r="B1789" t="str">
        <f>"1.3387"</f>
        <v>1.3387</v>
      </c>
      <c r="C1789" t="str">
        <f>"1.3384"</f>
        <v>1.3384</v>
      </c>
    </row>
    <row r="1790" spans="1:3" x14ac:dyDescent="0.25">
      <c r="A1790" t="str">
        <f>"01/11/2016"</f>
        <v>01/11/2016</v>
      </c>
      <c r="B1790" t="str">
        <f>"1.3413"</f>
        <v>1.3413</v>
      </c>
      <c r="C1790" t="str">
        <f>"1.3411"</f>
        <v>1.3411</v>
      </c>
    </row>
    <row r="1791" spans="1:3" x14ac:dyDescent="0.25">
      <c r="A1791" t="str">
        <f>"02/11/2016"</f>
        <v>02/11/2016</v>
      </c>
      <c r="B1791" t="str">
        <f>"1.3396"</f>
        <v>1.3396</v>
      </c>
      <c r="C1791" t="str">
        <f>"1.3394"</f>
        <v>1.3394</v>
      </c>
    </row>
    <row r="1792" spans="1:3" x14ac:dyDescent="0.25">
      <c r="A1792" t="str">
        <f>"03/11/2016"</f>
        <v>03/11/2016</v>
      </c>
      <c r="B1792" t="str">
        <f>"1.3374"</f>
        <v>1.3374</v>
      </c>
      <c r="C1792" t="str">
        <f>"1.3373"</f>
        <v>1.3373</v>
      </c>
    </row>
    <row r="1793" spans="1:3" x14ac:dyDescent="0.25">
      <c r="A1793" t="str">
        <f>"04/11/2016"</f>
        <v>04/11/2016</v>
      </c>
      <c r="B1793" t="str">
        <f>"1.3416"</f>
        <v>1.3416</v>
      </c>
      <c r="C1793" t="str">
        <f>"1.3414"</f>
        <v>1.3414</v>
      </c>
    </row>
    <row r="1794" spans="1:3" x14ac:dyDescent="0.25">
      <c r="A1794" t="str">
        <f>"07/11/2016"</f>
        <v>07/11/2016</v>
      </c>
      <c r="B1794" t="str">
        <f>"1.3393"</f>
        <v>1.3393</v>
      </c>
      <c r="C1794" t="str">
        <f>"1.3391"</f>
        <v>1.3391</v>
      </c>
    </row>
    <row r="1795" spans="1:3" x14ac:dyDescent="0.25">
      <c r="A1795" t="str">
        <f>"08/11/2016"</f>
        <v>08/11/2016</v>
      </c>
      <c r="B1795" t="str">
        <f>"1.3384"</f>
        <v>1.3384</v>
      </c>
      <c r="C1795" t="str">
        <f>"1.3382"</f>
        <v>1.3382</v>
      </c>
    </row>
    <row r="1796" spans="1:3" x14ac:dyDescent="0.25">
      <c r="A1796" t="str">
        <f>"09/11/2016"</f>
        <v>09/11/2016</v>
      </c>
      <c r="B1796" t="str">
        <f>"1.3486"</f>
        <v>1.3486</v>
      </c>
      <c r="C1796" t="str">
        <f>"1.3484"</f>
        <v>1.3484</v>
      </c>
    </row>
    <row r="1797" spans="1:3" x14ac:dyDescent="0.25">
      <c r="A1797" t="str">
        <f>"10/11/2016"</f>
        <v>10/11/2016</v>
      </c>
      <c r="B1797" t="str">
        <f>"1.3425"</f>
        <v>1.3425</v>
      </c>
      <c r="C1797" t="str">
        <f>"1.3423"</f>
        <v>1.3423</v>
      </c>
    </row>
    <row r="1798" spans="1:3" x14ac:dyDescent="0.25">
      <c r="A1798" t="str">
        <f>"11/11/2016"</f>
        <v>11/11/2016</v>
      </c>
      <c r="B1798" t="str">
        <f>"1.3464"</f>
        <v>1.3464</v>
      </c>
      <c r="C1798" t="str">
        <f>"1.3462"</f>
        <v>1.3462</v>
      </c>
    </row>
    <row r="1799" spans="1:3" x14ac:dyDescent="0.25">
      <c r="A1799" t="str">
        <f>"15/11/2016"</f>
        <v>15/11/2016</v>
      </c>
      <c r="B1799" t="str">
        <f>"1.3509"</f>
        <v>1.3509</v>
      </c>
      <c r="C1799" t="str">
        <f>"1.3506"</f>
        <v>1.3506</v>
      </c>
    </row>
    <row r="1800" spans="1:3" x14ac:dyDescent="0.25">
      <c r="A1800" t="str">
        <f>"16/11/2016"</f>
        <v>16/11/2016</v>
      </c>
      <c r="B1800" t="str">
        <f>"1.3485"</f>
        <v>1.3485</v>
      </c>
      <c r="C1800" t="str">
        <f>"1.3482"</f>
        <v>1.3482</v>
      </c>
    </row>
    <row r="1801" spans="1:3" x14ac:dyDescent="0.25">
      <c r="A1801" t="str">
        <f>"17/11/2016"</f>
        <v>17/11/2016</v>
      </c>
      <c r="B1801" t="str">
        <f>"1.3409"</f>
        <v>1.3409</v>
      </c>
      <c r="C1801" t="str">
        <f>"1.3406"</f>
        <v>1.3406</v>
      </c>
    </row>
    <row r="1802" spans="1:3" x14ac:dyDescent="0.25">
      <c r="A1802" t="str">
        <f>"18/11/2016"</f>
        <v>18/11/2016</v>
      </c>
      <c r="B1802" t="str">
        <f>"1.3498"</f>
        <v>1.3498</v>
      </c>
      <c r="C1802" t="str">
        <f>"1.3495"</f>
        <v>1.3495</v>
      </c>
    </row>
    <row r="1803" spans="1:3" x14ac:dyDescent="0.25">
      <c r="A1803" t="str">
        <f>"21/11/2016"</f>
        <v>21/11/2016</v>
      </c>
      <c r="B1803" t="str">
        <f>"1.3481"</f>
        <v>1.3481</v>
      </c>
      <c r="C1803" t="str">
        <f>"1.3479"</f>
        <v>1.3479</v>
      </c>
    </row>
    <row r="1804" spans="1:3" x14ac:dyDescent="0.25">
      <c r="A1804" t="str">
        <f>"22/11/2016"</f>
        <v>22/11/2016</v>
      </c>
      <c r="B1804" t="str">
        <f>"1.3399"</f>
        <v>1.3399</v>
      </c>
      <c r="C1804" t="str">
        <f>"1.3397"</f>
        <v>1.3397</v>
      </c>
    </row>
    <row r="1805" spans="1:3" x14ac:dyDescent="0.25">
      <c r="A1805" t="str">
        <f>"23/11/2016"</f>
        <v>23/11/2016</v>
      </c>
      <c r="B1805" t="str">
        <f>"1.3443"</f>
        <v>1.3443</v>
      </c>
      <c r="C1805" t="str">
        <f>"1.344"</f>
        <v>1.344</v>
      </c>
    </row>
    <row r="1806" spans="1:3" x14ac:dyDescent="0.25">
      <c r="A1806" t="str">
        <f>"24/11/2016"</f>
        <v>24/11/2016</v>
      </c>
      <c r="B1806" t="str">
        <f>"1.3481"</f>
        <v>1.3481</v>
      </c>
      <c r="C1806" t="str">
        <f>"1.3477"</f>
        <v>1.3477</v>
      </c>
    </row>
    <row r="1807" spans="1:3" x14ac:dyDescent="0.25">
      <c r="A1807" t="str">
        <f>"25/11/2016"</f>
        <v>25/11/2016</v>
      </c>
      <c r="B1807" t="str">
        <f>"1.3484"</f>
        <v>1.3484</v>
      </c>
      <c r="C1807" t="str">
        <f>"1.348"</f>
        <v>1.348</v>
      </c>
    </row>
    <row r="1808" spans="1:3" x14ac:dyDescent="0.25">
      <c r="A1808" t="str">
        <f>"28/11/2016"</f>
        <v>28/11/2016</v>
      </c>
      <c r="B1808" t="str">
        <f>"1.3498"</f>
        <v>1.3498</v>
      </c>
      <c r="C1808" t="str">
        <f>"1.3495"</f>
        <v>1.3495</v>
      </c>
    </row>
    <row r="1809" spans="1:3" x14ac:dyDescent="0.25">
      <c r="A1809" t="str">
        <f>"29/11/2016"</f>
        <v>29/11/2016</v>
      </c>
      <c r="B1809" t="str">
        <f>"1.3433"</f>
        <v>1.3433</v>
      </c>
      <c r="C1809" t="str">
        <f>"1.3429"</f>
        <v>1.3429</v>
      </c>
    </row>
    <row r="1810" spans="1:3" x14ac:dyDescent="0.25">
      <c r="A1810" t="str">
        <f>"30/11/2016"</f>
        <v>30/11/2016</v>
      </c>
      <c r="B1810" t="str">
        <f>"1.3373"</f>
        <v>1.3373</v>
      </c>
      <c r="C1810" t="str">
        <f>"1.3368"</f>
        <v>1.3368</v>
      </c>
    </row>
    <row r="1811" spans="1:3" x14ac:dyDescent="0.25">
      <c r="A1811" t="str">
        <f>"01/12/2016"</f>
        <v>01/12/2016</v>
      </c>
      <c r="B1811" t="str">
        <f>"1.3405"</f>
        <v>1.3405</v>
      </c>
      <c r="C1811" t="str">
        <f>"1.34"</f>
        <v>1.34</v>
      </c>
    </row>
    <row r="1812" spans="1:3" x14ac:dyDescent="0.25">
      <c r="A1812" t="str">
        <f>"02/12/2016"</f>
        <v>02/12/2016</v>
      </c>
      <c r="B1812" t="str">
        <f>"1.3312"</f>
        <v>1.3312</v>
      </c>
      <c r="C1812" t="str">
        <f>"1.3308"</f>
        <v>1.3308</v>
      </c>
    </row>
    <row r="1813" spans="1:3" x14ac:dyDescent="0.25">
      <c r="A1813" t="str">
        <f>"05/12/2016"</f>
        <v>05/12/2016</v>
      </c>
      <c r="B1813" t="str">
        <f>"1.3313"</f>
        <v>1.3313</v>
      </c>
      <c r="C1813" t="str">
        <f>"1.3309"</f>
        <v>1.3309</v>
      </c>
    </row>
    <row r="1814" spans="1:3" x14ac:dyDescent="0.25">
      <c r="A1814" t="str">
        <f>"06/12/2016"</f>
        <v>06/12/2016</v>
      </c>
      <c r="B1814" t="str">
        <f>"1.3265"</f>
        <v>1.3265</v>
      </c>
      <c r="C1814" t="str">
        <f>"1.326"</f>
        <v>1.326</v>
      </c>
    </row>
    <row r="1815" spans="1:3" x14ac:dyDescent="0.25">
      <c r="A1815" t="str">
        <f>"07/12/2016"</f>
        <v>07/12/2016</v>
      </c>
      <c r="B1815" t="str">
        <f>"1.3283"</f>
        <v>1.3283</v>
      </c>
      <c r="C1815" t="str">
        <f>"1.3278"</f>
        <v>1.3278</v>
      </c>
    </row>
    <row r="1816" spans="1:3" x14ac:dyDescent="0.25">
      <c r="A1816" t="str">
        <f>"08/12/2016"</f>
        <v>08/12/2016</v>
      </c>
      <c r="B1816" t="str">
        <f>"1.3209"</f>
        <v>1.3209</v>
      </c>
      <c r="C1816" t="str">
        <f>"1.3204"</f>
        <v>1.3204</v>
      </c>
    </row>
    <row r="1817" spans="1:3" x14ac:dyDescent="0.25">
      <c r="A1817" t="str">
        <f>"09/12/2016"</f>
        <v>09/12/2016</v>
      </c>
      <c r="B1817" t="str">
        <f>"1.3164"</f>
        <v>1.3164</v>
      </c>
      <c r="C1817" t="str">
        <f>"1.3159"</f>
        <v>1.3159</v>
      </c>
    </row>
    <row r="1818" spans="1:3" x14ac:dyDescent="0.25">
      <c r="A1818" t="str">
        <f>"13/12/2016"</f>
        <v>13/12/2016</v>
      </c>
      <c r="B1818" t="str">
        <f>"1.3126"</f>
        <v>1.3126</v>
      </c>
      <c r="C1818" t="str">
        <f>"1.3119"</f>
        <v>1.3119</v>
      </c>
    </row>
    <row r="1819" spans="1:3" x14ac:dyDescent="0.25">
      <c r="A1819" t="str">
        <f>"14/12/2016"</f>
        <v>14/12/2016</v>
      </c>
      <c r="B1819" t="str">
        <f>"1.3136"</f>
        <v>1.3136</v>
      </c>
      <c r="C1819" t="str">
        <f>"1.3129"</f>
        <v>1.3129</v>
      </c>
    </row>
    <row r="1820" spans="1:3" x14ac:dyDescent="0.25">
      <c r="A1820" t="str">
        <f>"15/12/2016"</f>
        <v>15/12/2016</v>
      </c>
      <c r="B1820" t="str">
        <f>"1.3286"</f>
        <v>1.3286</v>
      </c>
      <c r="C1820" t="str">
        <f>"1.328"</f>
        <v>1.328</v>
      </c>
    </row>
    <row r="1821" spans="1:3" x14ac:dyDescent="0.25">
      <c r="A1821" t="str">
        <f>"16/12/2016"</f>
        <v>16/12/2016</v>
      </c>
      <c r="B1821" t="str">
        <f>"1.3359"</f>
        <v>1.3359</v>
      </c>
      <c r="C1821" t="str">
        <f>"1.3352"</f>
        <v>1.3352</v>
      </c>
    </row>
    <row r="1822" spans="1:3" x14ac:dyDescent="0.25">
      <c r="A1822" t="str">
        <f>"19/12/2016"</f>
        <v>19/12/2016</v>
      </c>
      <c r="B1822" t="str">
        <f>"1.3368"</f>
        <v>1.3368</v>
      </c>
      <c r="C1822" t="str">
        <f>"1.3361"</f>
        <v>1.3361</v>
      </c>
    </row>
    <row r="1823" spans="1:3" x14ac:dyDescent="0.25">
      <c r="A1823" t="str">
        <f>"20/12/2016"</f>
        <v>20/12/2016</v>
      </c>
      <c r="B1823" t="str">
        <f>"1.3411"</f>
        <v>1.3411</v>
      </c>
      <c r="C1823" t="str">
        <f>"1.3404"</f>
        <v>1.3404</v>
      </c>
    </row>
    <row r="1824" spans="1:3" x14ac:dyDescent="0.25">
      <c r="A1824" t="str">
        <f>"21/12/2016"</f>
        <v>21/12/2016</v>
      </c>
      <c r="B1824" t="str">
        <f>"1.3367"</f>
        <v>1.3367</v>
      </c>
      <c r="C1824" t="str">
        <f>"1.336"</f>
        <v>1.336</v>
      </c>
    </row>
    <row r="1825" spans="1:3" x14ac:dyDescent="0.25">
      <c r="A1825" t="str">
        <f>"22/12/2016"</f>
        <v>22/12/2016</v>
      </c>
      <c r="B1825" t="str">
        <f>"1.3463"</f>
        <v>1.3463</v>
      </c>
      <c r="C1825" t="str">
        <f>"1.3456"</f>
        <v>1.3456</v>
      </c>
    </row>
    <row r="1826" spans="1:3" x14ac:dyDescent="0.25">
      <c r="A1826" t="str">
        <f>"23/12/2016"</f>
        <v>23/12/2016</v>
      </c>
      <c r="B1826" t="str">
        <f>"1.3489"</f>
        <v>1.3489</v>
      </c>
      <c r="C1826" t="str">
        <f>"1.3481"</f>
        <v>1.3481</v>
      </c>
    </row>
    <row r="1827" spans="1:3" x14ac:dyDescent="0.25">
      <c r="A1827" t="str">
        <f>"26/12/2016"</f>
        <v>26/12/2016</v>
      </c>
      <c r="B1827" t="str">
        <f>"1.3494"</f>
        <v>1.3494</v>
      </c>
      <c r="C1827" t="str">
        <f>"1.3488"</f>
        <v>1.3488</v>
      </c>
    </row>
    <row r="1828" spans="1:3" x14ac:dyDescent="0.25">
      <c r="A1828" t="str">
        <f>"27/12/2016"</f>
        <v>27/12/2016</v>
      </c>
      <c r="B1828" t="str">
        <f>"1.3533"</f>
        <v>1.3533</v>
      </c>
      <c r="C1828" t="str">
        <f>"1.3525"</f>
        <v>1.3525</v>
      </c>
    </row>
    <row r="1829" spans="1:3" x14ac:dyDescent="0.25">
      <c r="A1829" t="str">
        <f>"28/12/2016"</f>
        <v>28/12/2016</v>
      </c>
      <c r="B1829" t="str">
        <f>"1.3576"</f>
        <v>1.3576</v>
      </c>
      <c r="C1829" t="str">
        <f>"1.3568"</f>
        <v>1.3568</v>
      </c>
    </row>
    <row r="1830" spans="1:3" x14ac:dyDescent="0.25">
      <c r="A1830" t="str">
        <f>"29/12/2016"</f>
        <v>29/12/2016</v>
      </c>
      <c r="B1830" t="str">
        <f>"1.352"</f>
        <v>1.352</v>
      </c>
      <c r="C1830" t="str">
        <f>"1.3513"</f>
        <v>1.3513</v>
      </c>
    </row>
    <row r="1831" spans="1:3" x14ac:dyDescent="0.25">
      <c r="A1831" t="str">
        <f>"30/12/2016"</f>
        <v>30/12/2016</v>
      </c>
      <c r="B1831" t="str">
        <f>"1.3472"</f>
        <v>1.3472</v>
      </c>
      <c r="C1831" t="str">
        <f>"1.3468"</f>
        <v>1.3468</v>
      </c>
    </row>
    <row r="1832" spans="1:3" x14ac:dyDescent="0.25">
      <c r="A1832" t="str">
        <f>"02/01/2017"</f>
        <v>02/01/2017</v>
      </c>
      <c r="B1832" t="str">
        <f>"1.3432"</f>
        <v>1.3432</v>
      </c>
      <c r="C1832" t="str">
        <f>"1.343"</f>
        <v>1.343</v>
      </c>
    </row>
    <row r="1833" spans="1:3" x14ac:dyDescent="0.25">
      <c r="A1833" t="str">
        <f>"03/01/2017"</f>
        <v>03/01/2017</v>
      </c>
      <c r="B1833" t="str">
        <f>"1.3442"</f>
        <v>1.3442</v>
      </c>
      <c r="C1833" t="str">
        <f>"1.3437"</f>
        <v>1.3437</v>
      </c>
    </row>
    <row r="1834" spans="1:3" x14ac:dyDescent="0.25">
      <c r="A1834" t="str">
        <f>"04/01/2017"</f>
        <v>04/01/2017</v>
      </c>
      <c r="B1834" t="str">
        <f>"1.3355"</f>
        <v>1.3355</v>
      </c>
      <c r="C1834" t="str">
        <f>"1.3351"</f>
        <v>1.3351</v>
      </c>
    </row>
    <row r="1835" spans="1:3" x14ac:dyDescent="0.25">
      <c r="A1835" t="str">
        <f>"05/01/2017"</f>
        <v>05/01/2017</v>
      </c>
      <c r="B1835" t="str">
        <f>"1.3301"</f>
        <v>1.3301</v>
      </c>
      <c r="C1835" t="str">
        <f>"1.3297"</f>
        <v>1.3297</v>
      </c>
    </row>
    <row r="1836" spans="1:3" x14ac:dyDescent="0.25">
      <c r="A1836" t="str">
        <f>"06/01/2017"</f>
        <v>06/01/2017</v>
      </c>
      <c r="B1836" t="str">
        <f>"1.3253"</f>
        <v>1.3253</v>
      </c>
      <c r="C1836" t="str">
        <f>"1.3249"</f>
        <v>1.3249</v>
      </c>
    </row>
    <row r="1837" spans="1:3" x14ac:dyDescent="0.25">
      <c r="A1837" t="str">
        <f>"09/01/2017"</f>
        <v>09/01/2017</v>
      </c>
      <c r="B1837" t="str">
        <f>"1.3252"</f>
        <v>1.3252</v>
      </c>
      <c r="C1837" t="str">
        <f>"1.3249"</f>
        <v>1.3249</v>
      </c>
    </row>
    <row r="1838" spans="1:3" x14ac:dyDescent="0.25">
      <c r="A1838" t="str">
        <f>"10/01/2017"</f>
        <v>10/01/2017</v>
      </c>
      <c r="B1838" t="str">
        <f>"1.3235"</f>
        <v>1.3235</v>
      </c>
      <c r="C1838" t="str">
        <f>"1.3231"</f>
        <v>1.3231</v>
      </c>
    </row>
    <row r="1839" spans="1:3" x14ac:dyDescent="0.25">
      <c r="A1839" t="str">
        <f>"11/01/2017"</f>
        <v>11/01/2017</v>
      </c>
      <c r="B1839" t="str">
        <f>"1.3244"</f>
        <v>1.3244</v>
      </c>
      <c r="C1839" t="str">
        <f>"1.3241"</f>
        <v>1.3241</v>
      </c>
    </row>
    <row r="1840" spans="1:3" x14ac:dyDescent="0.25">
      <c r="A1840" t="str">
        <f>"12/01/2017"</f>
        <v>12/01/2017</v>
      </c>
      <c r="B1840" t="str">
        <f>"1.3056"</f>
        <v>1.3056</v>
      </c>
      <c r="C1840" t="str">
        <f>"1.3053"</f>
        <v>1.3053</v>
      </c>
    </row>
    <row r="1841" spans="1:3" x14ac:dyDescent="0.25">
      <c r="A1841" t="str">
        <f>"13/01/2017"</f>
        <v>13/01/2017</v>
      </c>
      <c r="B1841" t="str">
        <f>"1.3129"</f>
        <v>1.3129</v>
      </c>
      <c r="C1841" t="str">
        <f>"1.3126"</f>
        <v>1.3126</v>
      </c>
    </row>
    <row r="1842" spans="1:3" x14ac:dyDescent="0.25">
      <c r="A1842" t="str">
        <f>"16/01/2017"</f>
        <v>16/01/2017</v>
      </c>
      <c r="B1842" t="str">
        <f>"1.3144"</f>
        <v>1.3144</v>
      </c>
      <c r="C1842" t="str">
        <f>"1.314"</f>
        <v>1.314</v>
      </c>
    </row>
    <row r="1843" spans="1:3" x14ac:dyDescent="0.25">
      <c r="A1843" t="str">
        <f>"17/01/2017"</f>
        <v>17/01/2017</v>
      </c>
      <c r="B1843" t="str">
        <f>"1.3039"</f>
        <v>1.3039</v>
      </c>
      <c r="C1843" t="str">
        <f>"1.3036"</f>
        <v>1.3036</v>
      </c>
    </row>
    <row r="1844" spans="1:3" x14ac:dyDescent="0.25">
      <c r="A1844" t="str">
        <f>"18/01/2017"</f>
        <v>18/01/2017</v>
      </c>
      <c r="B1844" t="str">
        <f>"1.3113"</f>
        <v>1.3113</v>
      </c>
      <c r="C1844" t="str">
        <f>"1.3109"</f>
        <v>1.3109</v>
      </c>
    </row>
    <row r="1845" spans="1:3" x14ac:dyDescent="0.25">
      <c r="A1845" t="str">
        <f>"19/01/2017"</f>
        <v>19/01/2017</v>
      </c>
      <c r="B1845" t="str">
        <f>"1.3264"</f>
        <v>1.3264</v>
      </c>
      <c r="C1845" t="str">
        <f>"1.3261"</f>
        <v>1.3261</v>
      </c>
    </row>
    <row r="1846" spans="1:3" x14ac:dyDescent="0.25">
      <c r="A1846" t="str">
        <f>"20/01/2017"</f>
        <v>20/01/2017</v>
      </c>
      <c r="B1846" t="str">
        <f>"1.3374"</f>
        <v>1.3374</v>
      </c>
      <c r="C1846" t="str">
        <f>"1.337"</f>
        <v>1.337</v>
      </c>
    </row>
    <row r="1847" spans="1:3" x14ac:dyDescent="0.25">
      <c r="A1847" t="str">
        <f>"23/01/2017"</f>
        <v>23/01/2017</v>
      </c>
      <c r="B1847" t="str">
        <f>"1.3293"</f>
        <v>1.3293</v>
      </c>
      <c r="C1847" t="str">
        <f>"1.3289"</f>
        <v>1.3289</v>
      </c>
    </row>
    <row r="1848" spans="1:3" x14ac:dyDescent="0.25">
      <c r="A1848" t="str">
        <f>"24/01/2017"</f>
        <v>24/01/2017</v>
      </c>
      <c r="B1848" t="str">
        <f>"1.3231"</f>
        <v>1.3231</v>
      </c>
      <c r="C1848" t="str">
        <f>"1.3227"</f>
        <v>1.3227</v>
      </c>
    </row>
    <row r="1849" spans="1:3" x14ac:dyDescent="0.25">
      <c r="A1849" t="str">
        <f>"25/01/2017"</f>
        <v>25/01/2017</v>
      </c>
      <c r="B1849" t="str">
        <f>"1.3133"</f>
        <v>1.3133</v>
      </c>
      <c r="C1849" t="str">
        <f>"1.3129"</f>
        <v>1.3129</v>
      </c>
    </row>
    <row r="1850" spans="1:3" x14ac:dyDescent="0.25">
      <c r="A1850" t="str">
        <f>"27/01/2017"</f>
        <v>27/01/2017</v>
      </c>
      <c r="B1850" t="str">
        <f>"1.3107"</f>
        <v>1.3107</v>
      </c>
      <c r="C1850" t="str">
        <f>"1.3103"</f>
        <v>1.3103</v>
      </c>
    </row>
    <row r="1851" spans="1:3" x14ac:dyDescent="0.25">
      <c r="A1851" t="str">
        <f>"30/01/2017"</f>
        <v>30/01/2017</v>
      </c>
      <c r="B1851" t="str">
        <f>"1.3132"</f>
        <v>1.3132</v>
      </c>
      <c r="C1851" t="str">
        <f>"1.3129"</f>
        <v>1.3129</v>
      </c>
    </row>
    <row r="1852" spans="1:3" x14ac:dyDescent="0.25">
      <c r="A1852" t="str">
        <f>"31/01/2017"</f>
        <v>31/01/2017</v>
      </c>
      <c r="B1852" t="str">
        <f>"1.3116"</f>
        <v>1.3116</v>
      </c>
      <c r="C1852" t="str">
        <f>"1.3112"</f>
        <v>1.3112</v>
      </c>
    </row>
    <row r="1853" spans="1:3" x14ac:dyDescent="0.25">
      <c r="A1853" t="str">
        <f>"01/02/2017"</f>
        <v>01/02/2017</v>
      </c>
      <c r="B1853" t="str">
        <f>"1.3082"</f>
        <v>1.3082</v>
      </c>
      <c r="C1853" t="str">
        <f>"1.3079"</f>
        <v>1.3079</v>
      </c>
    </row>
    <row r="1854" spans="1:3" x14ac:dyDescent="0.25">
      <c r="A1854" t="str">
        <f>"02/02/2017"</f>
        <v>02/02/2017</v>
      </c>
      <c r="B1854" t="str">
        <f>"1.2998"</f>
        <v>1.2998</v>
      </c>
      <c r="C1854" t="str">
        <f>"1.2995"</f>
        <v>1.2995</v>
      </c>
    </row>
    <row r="1855" spans="1:3" x14ac:dyDescent="0.25">
      <c r="A1855" t="str">
        <f>"03/02/2017"</f>
        <v>03/02/2017</v>
      </c>
      <c r="B1855" t="str">
        <f>"1.3043"</f>
        <v>1.3043</v>
      </c>
      <c r="C1855" t="str">
        <f>"1.3041"</f>
        <v>1.3041</v>
      </c>
    </row>
    <row r="1856" spans="1:3" x14ac:dyDescent="0.25">
      <c r="A1856" t="str">
        <f>"06/02/2017"</f>
        <v>06/02/2017</v>
      </c>
      <c r="B1856" t="str">
        <f>"1.3022"</f>
        <v>1.3022</v>
      </c>
      <c r="C1856" t="str">
        <f>"1.3019"</f>
        <v>1.3019</v>
      </c>
    </row>
    <row r="1857" spans="1:3" x14ac:dyDescent="0.25">
      <c r="A1857" t="str">
        <f>"07/02/2017"</f>
        <v>07/02/2017</v>
      </c>
      <c r="B1857" t="str">
        <f>"1.3206"</f>
        <v>1.3206</v>
      </c>
      <c r="C1857" t="str">
        <f>"1.3203"</f>
        <v>1.3203</v>
      </c>
    </row>
    <row r="1858" spans="1:3" x14ac:dyDescent="0.25">
      <c r="A1858" t="str">
        <f>"08/02/2017"</f>
        <v>08/02/2017</v>
      </c>
      <c r="B1858" t="str">
        <f>"1.3176"</f>
        <v>1.3176</v>
      </c>
      <c r="C1858" t="str">
        <f>"1.3174"</f>
        <v>1.3174</v>
      </c>
    </row>
    <row r="1859" spans="1:3" x14ac:dyDescent="0.25">
      <c r="A1859" t="str">
        <f>"09/02/2017"</f>
        <v>09/02/2017</v>
      </c>
      <c r="B1859" t="str">
        <f>"1.3132"</f>
        <v>1.3132</v>
      </c>
      <c r="C1859" t="str">
        <f>"1.313"</f>
        <v>1.313</v>
      </c>
    </row>
    <row r="1860" spans="1:3" x14ac:dyDescent="0.25">
      <c r="A1860" t="str">
        <f>"10/02/2017"</f>
        <v>10/02/2017</v>
      </c>
      <c r="B1860" t="str">
        <f>"1.3146"</f>
        <v>1.3146</v>
      </c>
      <c r="C1860" t="str">
        <f>"1.3143"</f>
        <v>1.3143</v>
      </c>
    </row>
    <row r="1861" spans="1:3" x14ac:dyDescent="0.25">
      <c r="A1861" t="str">
        <f>"13/02/2017"</f>
        <v>13/02/2017</v>
      </c>
      <c r="B1861" t="str">
        <f>"1.309"</f>
        <v>1.309</v>
      </c>
      <c r="C1861" t="str">
        <f>"1.3088"</f>
        <v>1.3088</v>
      </c>
    </row>
    <row r="1862" spans="1:3" x14ac:dyDescent="0.25">
      <c r="A1862" t="str">
        <f>"14/02/2017"</f>
        <v>14/02/2017</v>
      </c>
      <c r="B1862" t="str">
        <f>"1.3031"</f>
        <v>1.3031</v>
      </c>
      <c r="C1862" t="str">
        <f>"1.3029"</f>
        <v>1.3029</v>
      </c>
    </row>
    <row r="1863" spans="1:3" x14ac:dyDescent="0.25">
      <c r="A1863" t="str">
        <f>"15/02/2017"</f>
        <v>15/02/2017</v>
      </c>
      <c r="B1863" t="str">
        <f>"1.3082"</f>
        <v>1.3082</v>
      </c>
      <c r="C1863" t="str">
        <f>"1.308"</f>
        <v>1.308</v>
      </c>
    </row>
    <row r="1864" spans="1:3" x14ac:dyDescent="0.25">
      <c r="A1864" t="str">
        <f>"16/02/2017"</f>
        <v>16/02/2017</v>
      </c>
      <c r="B1864" t="str">
        <f>"1.303"</f>
        <v>1.303</v>
      </c>
      <c r="C1864" t="str">
        <f>"1.3028"</f>
        <v>1.3028</v>
      </c>
    </row>
    <row r="1865" spans="1:3" x14ac:dyDescent="0.25">
      <c r="A1865" t="str">
        <f>"17/02/2017"</f>
        <v>17/02/2017</v>
      </c>
      <c r="B1865" t="str">
        <f>"1.3092"</f>
        <v>1.3092</v>
      </c>
      <c r="C1865" t="str">
        <f>"1.309"</f>
        <v>1.309</v>
      </c>
    </row>
    <row r="1866" spans="1:3" x14ac:dyDescent="0.25">
      <c r="A1866" t="str">
        <f>"20/02/2017"</f>
        <v>20/02/2017</v>
      </c>
      <c r="B1866" t="str">
        <f>"1.3102"</f>
        <v>1.3102</v>
      </c>
      <c r="C1866" t="str">
        <f>"1.31"</f>
        <v>1.31</v>
      </c>
    </row>
    <row r="1867" spans="1:3" x14ac:dyDescent="0.25">
      <c r="A1867" t="str">
        <f>"22/02/2017"</f>
        <v>22/02/2017</v>
      </c>
      <c r="B1867" t="str">
        <f>"1.3167"</f>
        <v>1.3167</v>
      </c>
      <c r="C1867" t="str">
        <f>"1.3165"</f>
        <v>1.3165</v>
      </c>
    </row>
    <row r="1868" spans="1:3" x14ac:dyDescent="0.25">
      <c r="A1868" t="str">
        <f>"23/02/2017"</f>
        <v>23/02/2017</v>
      </c>
      <c r="B1868" t="str">
        <f>"1.3146"</f>
        <v>1.3146</v>
      </c>
      <c r="C1868" t="str">
        <f>"1.3144"</f>
        <v>1.3144</v>
      </c>
    </row>
    <row r="1869" spans="1:3" x14ac:dyDescent="0.25">
      <c r="A1869" t="str">
        <f>"27/02/2017"</f>
        <v>27/02/2017</v>
      </c>
      <c r="B1869" t="str">
        <f>"1.3114"</f>
        <v>1.3114</v>
      </c>
      <c r="C1869" t="str">
        <f>"1.3112"</f>
        <v>1.3112</v>
      </c>
    </row>
    <row r="1870" spans="1:3" x14ac:dyDescent="0.25">
      <c r="A1870" t="str">
        <f>"28/02/2017"</f>
        <v>28/02/2017</v>
      </c>
      <c r="B1870" t="str">
        <f>"1.3174"</f>
        <v>1.3174</v>
      </c>
      <c r="C1870" t="str">
        <f>"1.3171"</f>
        <v>1.3171</v>
      </c>
    </row>
    <row r="1871" spans="1:3" x14ac:dyDescent="0.25">
      <c r="A1871" t="str">
        <f>"01/03/2017"</f>
        <v>01/03/2017</v>
      </c>
      <c r="B1871" t="str">
        <f>"1.3329"</f>
        <v>1.3329</v>
      </c>
      <c r="C1871" t="str">
        <f>"1.3326"</f>
        <v>1.3326</v>
      </c>
    </row>
    <row r="1872" spans="1:3" x14ac:dyDescent="0.25">
      <c r="A1872" t="str">
        <f>"02/03/2017"</f>
        <v>02/03/2017</v>
      </c>
      <c r="B1872" t="str">
        <f>"1.3368"</f>
        <v>1.3368</v>
      </c>
      <c r="C1872" t="str">
        <f>"1.3365"</f>
        <v>1.3365</v>
      </c>
    </row>
    <row r="1873" spans="1:3" x14ac:dyDescent="0.25">
      <c r="A1873" t="str">
        <f>"03/03/2017"</f>
        <v>03/03/2017</v>
      </c>
      <c r="B1873" t="str">
        <f>"1.3387"</f>
        <v>1.3387</v>
      </c>
      <c r="C1873" t="str">
        <f>"1.3384"</f>
        <v>1.3384</v>
      </c>
    </row>
    <row r="1874" spans="1:3" x14ac:dyDescent="0.25">
      <c r="A1874" t="str">
        <f>"06/03/2017"</f>
        <v>06/03/2017</v>
      </c>
      <c r="B1874" t="str">
        <f>"1.3399"</f>
        <v>1.3399</v>
      </c>
      <c r="C1874" t="str">
        <f>"1.3395"</f>
        <v>1.3395</v>
      </c>
    </row>
    <row r="1875" spans="1:3" x14ac:dyDescent="0.25">
      <c r="A1875" t="str">
        <f>"07/03/2017"</f>
        <v>07/03/2017</v>
      </c>
      <c r="B1875" t="str">
        <f>"1.3409"</f>
        <v>1.3409</v>
      </c>
      <c r="C1875" t="str">
        <f>"1.3404"</f>
        <v>1.3404</v>
      </c>
    </row>
    <row r="1876" spans="1:3" x14ac:dyDescent="0.25">
      <c r="A1876" t="str">
        <f>"08/03/2017"</f>
        <v>08/03/2017</v>
      </c>
      <c r="B1876" t="str">
        <f>"1.3441"</f>
        <v>1.3441</v>
      </c>
      <c r="C1876" t="str">
        <f>"1.3436"</f>
        <v>1.3436</v>
      </c>
    </row>
    <row r="1877" spans="1:3" x14ac:dyDescent="0.25">
      <c r="A1877" t="str">
        <f>"09/03/2017"</f>
        <v>09/03/2017</v>
      </c>
      <c r="B1877" t="str">
        <f>"1.3527"</f>
        <v>1.3527</v>
      </c>
      <c r="C1877" t="str">
        <f>"1.3522"</f>
        <v>1.3522</v>
      </c>
    </row>
    <row r="1878" spans="1:3" x14ac:dyDescent="0.25">
      <c r="A1878" t="str">
        <f>"10/03/2017"</f>
        <v>10/03/2017</v>
      </c>
      <c r="B1878" t="str">
        <f>"1.3493"</f>
        <v>1.3493</v>
      </c>
      <c r="C1878" t="str">
        <f>"1.3487"</f>
        <v>1.3487</v>
      </c>
    </row>
    <row r="1879" spans="1:3" x14ac:dyDescent="0.25">
      <c r="A1879" t="str">
        <f>"14/03/2017"</f>
        <v>14/03/2017</v>
      </c>
      <c r="B1879" t="str">
        <f>"1.3469"</f>
        <v>1.3469</v>
      </c>
      <c r="C1879" t="str">
        <f>"1.3462"</f>
        <v>1.3462</v>
      </c>
    </row>
    <row r="1880" spans="1:3" x14ac:dyDescent="0.25">
      <c r="A1880" t="str">
        <f>"15/03/2017"</f>
        <v>15/03/2017</v>
      </c>
      <c r="B1880" t="str">
        <f>"1.3468"</f>
        <v>1.3468</v>
      </c>
      <c r="C1880" t="str">
        <f>"1.3462"</f>
        <v>1.3462</v>
      </c>
    </row>
    <row r="1881" spans="1:3" x14ac:dyDescent="0.25">
      <c r="A1881" t="str">
        <f>"16/03/2017"</f>
        <v>16/03/2017</v>
      </c>
      <c r="B1881" t="str">
        <f>"1.3311"</f>
        <v>1.3311</v>
      </c>
      <c r="C1881" t="str">
        <f>"1.3305"</f>
        <v>1.3305</v>
      </c>
    </row>
    <row r="1882" spans="1:3" x14ac:dyDescent="0.25">
      <c r="A1882" t="str">
        <f>"17/03/2017"</f>
        <v>17/03/2017</v>
      </c>
      <c r="B1882" t="str">
        <f>"1.3338"</f>
        <v>1.3338</v>
      </c>
      <c r="C1882" t="str">
        <f>"1.3331"</f>
        <v>1.3331</v>
      </c>
    </row>
    <row r="1883" spans="1:3" x14ac:dyDescent="0.25">
      <c r="A1883" t="str">
        <f>"20/03/2017"</f>
        <v>20/03/2017</v>
      </c>
      <c r="B1883" t="str">
        <f>"1.3353"</f>
        <v>1.3353</v>
      </c>
      <c r="C1883" t="str">
        <f>"1.3347"</f>
        <v>1.3347</v>
      </c>
    </row>
    <row r="1884" spans="1:3" x14ac:dyDescent="0.25">
      <c r="A1884" t="str">
        <f>"21/03/2017"</f>
        <v>21/03/2017</v>
      </c>
      <c r="B1884" t="str">
        <f>"1.3316"</f>
        <v>1.3316</v>
      </c>
      <c r="C1884" t="str">
        <f>"1.331"</f>
        <v>1.331</v>
      </c>
    </row>
    <row r="1885" spans="1:3" x14ac:dyDescent="0.25">
      <c r="A1885" t="str">
        <f>"22/03/2017"</f>
        <v>22/03/2017</v>
      </c>
      <c r="B1885" t="str">
        <f>"1.3383"</f>
        <v>1.3383</v>
      </c>
      <c r="C1885" t="str">
        <f>"1.3377"</f>
        <v>1.3377</v>
      </c>
    </row>
    <row r="1886" spans="1:3" x14ac:dyDescent="0.25">
      <c r="A1886" t="str">
        <f>"23/03/2017"</f>
        <v>23/03/2017</v>
      </c>
      <c r="B1886" t="str">
        <f>"1.3323"</f>
        <v>1.3323</v>
      </c>
      <c r="C1886" t="str">
        <f>"1.3317"</f>
        <v>1.3317</v>
      </c>
    </row>
    <row r="1887" spans="1:3" x14ac:dyDescent="0.25">
      <c r="A1887" t="str">
        <f>"24/03/2017"</f>
        <v>24/03/2017</v>
      </c>
      <c r="B1887" t="str">
        <f>"1.3356"</f>
        <v>1.3356</v>
      </c>
      <c r="C1887" t="str">
        <f>"1.335"</f>
        <v>1.335</v>
      </c>
    </row>
    <row r="1888" spans="1:3" x14ac:dyDescent="0.25">
      <c r="A1888" t="str">
        <f>"27/03/2017"</f>
        <v>27/03/2017</v>
      </c>
      <c r="B1888" t="str">
        <f>"1.3338"</f>
        <v>1.3338</v>
      </c>
      <c r="C1888" t="str">
        <f>"1.3332"</f>
        <v>1.3332</v>
      </c>
    </row>
    <row r="1889" spans="1:3" x14ac:dyDescent="0.25">
      <c r="A1889" t="str">
        <f>"29/03/2017"</f>
        <v>29/03/2017</v>
      </c>
      <c r="B1889" t="str">
        <f>"1.338"</f>
        <v>1.338</v>
      </c>
      <c r="C1889" t="str">
        <f>"1.3374"</f>
        <v>1.3374</v>
      </c>
    </row>
    <row r="1890" spans="1:3" x14ac:dyDescent="0.25">
      <c r="A1890" t="str">
        <f>"30/03/2017"</f>
        <v>30/03/2017</v>
      </c>
      <c r="B1890" t="str">
        <f>"1.3335"</f>
        <v>1.3335</v>
      </c>
      <c r="C1890" t="str">
        <f>"1.3328"</f>
        <v>1.3328</v>
      </c>
    </row>
    <row r="1891" spans="1:3" x14ac:dyDescent="0.25">
      <c r="A1891" t="str">
        <f>"31/03/2017"</f>
        <v>31/03/2017</v>
      </c>
      <c r="B1891" t="str">
        <f>"1.3344"</f>
        <v>1.3344</v>
      </c>
      <c r="C1891" t="str">
        <f>"1.3338"</f>
        <v>1.3338</v>
      </c>
    </row>
    <row r="1892" spans="1:3" x14ac:dyDescent="0.25">
      <c r="A1892" t="str">
        <f>"03/04/2017"</f>
        <v>03/04/2017</v>
      </c>
      <c r="B1892" t="str">
        <f>"1.3355"</f>
        <v>1.3355</v>
      </c>
      <c r="C1892" t="str">
        <f>"1.335"</f>
        <v>1.335</v>
      </c>
    </row>
    <row r="1893" spans="1:3" x14ac:dyDescent="0.25">
      <c r="A1893" t="str">
        <f>"05/04/2017"</f>
        <v>05/04/2017</v>
      </c>
      <c r="B1893" t="str">
        <f>"1.3398"</f>
        <v>1.3398</v>
      </c>
      <c r="C1893" t="str">
        <f>"1.3392"</f>
        <v>1.3392</v>
      </c>
    </row>
    <row r="1894" spans="1:3" x14ac:dyDescent="0.25">
      <c r="A1894" t="str">
        <f>"06/04/2017"</f>
        <v>06/04/2017</v>
      </c>
      <c r="B1894" t="str">
        <f>"1.3424"</f>
        <v>1.3424</v>
      </c>
      <c r="C1894" t="str">
        <f>"1.3419"</f>
        <v>1.3419</v>
      </c>
    </row>
    <row r="1895" spans="1:3" x14ac:dyDescent="0.25">
      <c r="A1895" t="str">
        <f>"07/04/2017"</f>
        <v>07/04/2017</v>
      </c>
      <c r="B1895" t="str">
        <f>"1.3409"</f>
        <v>1.3409</v>
      </c>
      <c r="C1895" t="str">
        <f>"1.3404"</f>
        <v>1.3404</v>
      </c>
    </row>
    <row r="1896" spans="1:3" x14ac:dyDescent="0.25">
      <c r="A1896" t="str">
        <f>"10/04/2017"</f>
        <v>10/04/2017</v>
      </c>
      <c r="B1896" t="str">
        <f>"1.3421"</f>
        <v>1.3421</v>
      </c>
      <c r="C1896" t="str">
        <f>"1.3416"</f>
        <v>1.3416</v>
      </c>
    </row>
    <row r="1897" spans="1:3" x14ac:dyDescent="0.25">
      <c r="A1897" t="str">
        <f>"11/04/2017"</f>
        <v>11/04/2017</v>
      </c>
      <c r="B1897" t="str">
        <f>"1.3321"</f>
        <v>1.3321</v>
      </c>
      <c r="C1897" t="str">
        <f>"1.3316"</f>
        <v>1.3316</v>
      </c>
    </row>
    <row r="1898" spans="1:3" x14ac:dyDescent="0.25">
      <c r="A1898" t="str">
        <f>"12/04/2017"</f>
        <v>12/04/2017</v>
      </c>
      <c r="B1898" t="str">
        <f>"1.3331"</f>
        <v>1.3331</v>
      </c>
      <c r="C1898" t="str">
        <f>"1.3325"</f>
        <v>1.3325</v>
      </c>
    </row>
    <row r="1899" spans="1:3" x14ac:dyDescent="0.25">
      <c r="A1899" t="str">
        <f>"13/04/2017"</f>
        <v>13/04/2017</v>
      </c>
      <c r="B1899" t="str">
        <f>"1.3244"</f>
        <v>1.3244</v>
      </c>
      <c r="C1899" t="str">
        <f>"1.3239"</f>
        <v>1.3239</v>
      </c>
    </row>
    <row r="1900" spans="1:3" x14ac:dyDescent="0.25">
      <c r="A1900" t="str">
        <f>"17/04/2017"</f>
        <v>17/04/2017</v>
      </c>
      <c r="B1900" t="str">
        <f>"1.3295"</f>
        <v>1.3295</v>
      </c>
      <c r="C1900" t="str">
        <f>"1.329"</f>
        <v>1.329</v>
      </c>
    </row>
    <row r="1901" spans="1:3" x14ac:dyDescent="0.25">
      <c r="A1901" t="str">
        <f>"18/04/2017"</f>
        <v>18/04/2017</v>
      </c>
      <c r="B1901" t="str">
        <f>"1.3347"</f>
        <v>1.3347</v>
      </c>
      <c r="C1901" t="str">
        <f>"1.3342"</f>
        <v>1.3342</v>
      </c>
    </row>
    <row r="1902" spans="1:3" x14ac:dyDescent="0.25">
      <c r="A1902" t="str">
        <f>"19/04/2017"</f>
        <v>19/04/2017</v>
      </c>
      <c r="B1902" t="str">
        <f>"1.3399"</f>
        <v>1.3399</v>
      </c>
      <c r="C1902" t="str">
        <f>"1.3394"</f>
        <v>1.3394</v>
      </c>
    </row>
    <row r="1903" spans="1:3" x14ac:dyDescent="0.25">
      <c r="A1903" t="str">
        <f>"20/04/2017"</f>
        <v>20/04/2017</v>
      </c>
      <c r="B1903" t="str">
        <f>"1.3488"</f>
        <v>1.3488</v>
      </c>
      <c r="C1903" t="str">
        <f>"1.3482"</f>
        <v>1.3482</v>
      </c>
    </row>
    <row r="1904" spans="1:3" x14ac:dyDescent="0.25">
      <c r="A1904" t="str">
        <f>"21/04/2017"</f>
        <v>21/04/2017</v>
      </c>
      <c r="B1904" t="str">
        <f>"1.3462"</f>
        <v>1.3462</v>
      </c>
      <c r="C1904" t="str">
        <f>"1.3457"</f>
        <v>1.3457</v>
      </c>
    </row>
    <row r="1905" spans="1:3" x14ac:dyDescent="0.25">
      <c r="A1905" t="str">
        <f>"24/04/2017"</f>
        <v>24/04/2017</v>
      </c>
      <c r="B1905" t="str">
        <f>"1.3436"</f>
        <v>1.3436</v>
      </c>
      <c r="C1905" t="str">
        <f>"1.3431"</f>
        <v>1.3431</v>
      </c>
    </row>
    <row r="1906" spans="1:3" x14ac:dyDescent="0.25">
      <c r="A1906" t="str">
        <f>"25/04/2017"</f>
        <v>25/04/2017</v>
      </c>
      <c r="B1906" t="str">
        <f>"1.3567"</f>
        <v>1.3567</v>
      </c>
      <c r="C1906" t="str">
        <f>"1.3561"</f>
        <v>1.3561</v>
      </c>
    </row>
    <row r="1907" spans="1:3" x14ac:dyDescent="0.25">
      <c r="A1907" t="str">
        <f>"26/04/2017"</f>
        <v>26/04/2017</v>
      </c>
      <c r="B1907" t="str">
        <f>"1.3583"</f>
        <v>1.3583</v>
      </c>
      <c r="C1907" t="str">
        <f>"1.3577"</f>
        <v>1.3577</v>
      </c>
    </row>
    <row r="1908" spans="1:3" x14ac:dyDescent="0.25">
      <c r="A1908" t="str">
        <f>"27/04/2017"</f>
        <v>27/04/2017</v>
      </c>
      <c r="B1908" t="str">
        <f>"1.3569"</f>
        <v>1.3569</v>
      </c>
      <c r="C1908" t="str">
        <f>"1.3563"</f>
        <v>1.3563</v>
      </c>
    </row>
    <row r="1909" spans="1:3" x14ac:dyDescent="0.25">
      <c r="A1909" t="str">
        <f>"28/04/2017"</f>
        <v>28/04/2017</v>
      </c>
      <c r="B1909" t="str">
        <f>"1.364"</f>
        <v>1.364</v>
      </c>
      <c r="C1909" t="str">
        <f>"1.3634"</f>
        <v>1.3634</v>
      </c>
    </row>
    <row r="1910" spans="1:3" x14ac:dyDescent="0.25">
      <c r="A1910" t="str">
        <f>"02/05/2017"</f>
        <v>02/05/2017</v>
      </c>
      <c r="B1910" t="str">
        <f>"1.3671"</f>
        <v>1.3671</v>
      </c>
      <c r="C1910" t="str">
        <f>"1.3665"</f>
        <v>1.3665</v>
      </c>
    </row>
    <row r="1911" spans="1:3" x14ac:dyDescent="0.25">
      <c r="A1911" t="str">
        <f>"03/05/2017"</f>
        <v>03/05/2017</v>
      </c>
      <c r="B1911" t="str">
        <f>"1.3718"</f>
        <v>1.3718</v>
      </c>
      <c r="C1911" t="str">
        <f>"1.3712"</f>
        <v>1.3712</v>
      </c>
    </row>
    <row r="1912" spans="1:3" x14ac:dyDescent="0.25">
      <c r="A1912" t="str">
        <f>"04/05/2017"</f>
        <v>04/05/2017</v>
      </c>
      <c r="B1912" t="str">
        <f>"1.3715"</f>
        <v>1.3715</v>
      </c>
      <c r="C1912" t="str">
        <f>"1.371"</f>
        <v>1.371</v>
      </c>
    </row>
    <row r="1913" spans="1:3" x14ac:dyDescent="0.25">
      <c r="A1913" t="str">
        <f>"05/05/2017"</f>
        <v>05/05/2017</v>
      </c>
      <c r="B1913" t="str">
        <f>"1.378"</f>
        <v>1.378</v>
      </c>
      <c r="C1913" t="str">
        <f>"1.3775"</f>
        <v>1.3775</v>
      </c>
    </row>
    <row r="1914" spans="1:3" x14ac:dyDescent="0.25">
      <c r="A1914" t="str">
        <f>"08/05/2017"</f>
        <v>08/05/2017</v>
      </c>
      <c r="B1914" t="str">
        <f>"1.3687"</f>
        <v>1.3687</v>
      </c>
      <c r="C1914" t="str">
        <f>"1.3682"</f>
        <v>1.3682</v>
      </c>
    </row>
    <row r="1915" spans="1:3" x14ac:dyDescent="0.25">
      <c r="A1915" t="str">
        <f>"09/05/2017"</f>
        <v>09/05/2017</v>
      </c>
      <c r="B1915" t="str">
        <f>"1.3697"</f>
        <v>1.3697</v>
      </c>
      <c r="C1915" t="str">
        <f>"1.3692"</f>
        <v>1.3692</v>
      </c>
    </row>
    <row r="1916" spans="1:3" x14ac:dyDescent="0.25">
      <c r="A1916" t="str">
        <f>"11/05/2017"</f>
        <v>11/05/2017</v>
      </c>
      <c r="B1916" t="str">
        <f>"1.371"</f>
        <v>1.371</v>
      </c>
      <c r="C1916" t="str">
        <f>"1.3704"</f>
        <v>1.3704</v>
      </c>
    </row>
    <row r="1917" spans="1:3" x14ac:dyDescent="0.25">
      <c r="A1917" t="str">
        <f>"12/05/2017"</f>
        <v>12/05/2017</v>
      </c>
      <c r="B1917" t="str">
        <f>"1.3722"</f>
        <v>1.3722</v>
      </c>
      <c r="C1917" t="str">
        <f>"1.3716"</f>
        <v>1.3716</v>
      </c>
    </row>
    <row r="1918" spans="1:3" x14ac:dyDescent="0.25">
      <c r="A1918" t="str">
        <f>"15/05/2017"</f>
        <v>15/05/2017</v>
      </c>
      <c r="B1918" t="str">
        <f>"1.3616"</f>
        <v>1.3616</v>
      </c>
      <c r="C1918" t="str">
        <f>"1.361"</f>
        <v>1.361</v>
      </c>
    </row>
    <row r="1919" spans="1:3" x14ac:dyDescent="0.25">
      <c r="A1919" t="str">
        <f>"16/05/2017"</f>
        <v>16/05/2017</v>
      </c>
      <c r="B1919" t="str">
        <f>"1.3634"</f>
        <v>1.3634</v>
      </c>
      <c r="C1919" t="str">
        <f>"1.3628"</f>
        <v>1.3628</v>
      </c>
    </row>
    <row r="1920" spans="1:3" x14ac:dyDescent="0.25">
      <c r="A1920" t="str">
        <f>"17/05/2017"</f>
        <v>17/05/2017</v>
      </c>
      <c r="B1920" t="str">
        <f>"1.3613"</f>
        <v>1.3613</v>
      </c>
      <c r="C1920" t="str">
        <f>"1.3607"</f>
        <v>1.3607</v>
      </c>
    </row>
    <row r="1921" spans="1:3" x14ac:dyDescent="0.25">
      <c r="A1921" t="str">
        <f>"18/05/2017"</f>
        <v>18/05/2017</v>
      </c>
      <c r="B1921" t="str">
        <f>"1.3645"</f>
        <v>1.3645</v>
      </c>
      <c r="C1921" t="str">
        <f>"1.3639"</f>
        <v>1.3639</v>
      </c>
    </row>
    <row r="1922" spans="1:3" x14ac:dyDescent="0.25">
      <c r="A1922" t="str">
        <f>"19/05/2017"</f>
        <v>19/05/2017</v>
      </c>
      <c r="B1922" t="str">
        <f>"1.3568"</f>
        <v>1.3568</v>
      </c>
      <c r="C1922" t="str">
        <f>"1.3562"</f>
        <v>1.3562</v>
      </c>
    </row>
    <row r="1923" spans="1:3" x14ac:dyDescent="0.25">
      <c r="A1923" t="str">
        <f>"22/05/2017"</f>
        <v>22/05/2017</v>
      </c>
      <c r="B1923" t="str">
        <f>"1.3505"</f>
        <v>1.3505</v>
      </c>
      <c r="C1923" t="str">
        <f>"1.3499"</f>
        <v>1.3499</v>
      </c>
    </row>
    <row r="1924" spans="1:3" x14ac:dyDescent="0.25">
      <c r="A1924" t="str">
        <f>"23/05/2017"</f>
        <v>23/05/2017</v>
      </c>
      <c r="B1924" t="str">
        <f>"1.346"</f>
        <v>1.346</v>
      </c>
      <c r="C1924" t="str">
        <f>"1.3454"</f>
        <v>1.3454</v>
      </c>
    </row>
    <row r="1925" spans="1:3" x14ac:dyDescent="0.25">
      <c r="A1925" t="str">
        <f>"24/05/2017"</f>
        <v>24/05/2017</v>
      </c>
      <c r="B1925" t="str">
        <f>"1.3503"</f>
        <v>1.3503</v>
      </c>
      <c r="C1925" t="str">
        <f>"1.3497"</f>
        <v>1.3497</v>
      </c>
    </row>
    <row r="1926" spans="1:3" x14ac:dyDescent="0.25">
      <c r="A1926" t="str">
        <f>"25/05/2017"</f>
        <v>25/05/2017</v>
      </c>
      <c r="B1926" t="str">
        <f>"1.3433"</f>
        <v>1.3433</v>
      </c>
      <c r="C1926" t="str">
        <f>"1.3427"</f>
        <v>1.3427</v>
      </c>
    </row>
    <row r="1927" spans="1:3" x14ac:dyDescent="0.25">
      <c r="A1927" t="str">
        <f>"26/05/2017"</f>
        <v>26/05/2017</v>
      </c>
      <c r="B1927" t="str">
        <f>"1.3451"</f>
        <v>1.3451</v>
      </c>
      <c r="C1927" t="str">
        <f>"1.3445"</f>
        <v>1.3445</v>
      </c>
    </row>
    <row r="1928" spans="1:3" x14ac:dyDescent="0.25">
      <c r="A1928" t="str">
        <f>"29/05/2017"</f>
        <v>29/05/2017</v>
      </c>
      <c r="B1928" t="str">
        <f>"1.3454"</f>
        <v>1.3454</v>
      </c>
      <c r="C1928" t="str">
        <f>"1.3448"</f>
        <v>1.3448</v>
      </c>
    </row>
    <row r="1929" spans="1:3" x14ac:dyDescent="0.25">
      <c r="A1929" t="str">
        <f>"30/05/2017"</f>
        <v>30/05/2017</v>
      </c>
      <c r="B1929" t="str">
        <f>"1.3466"</f>
        <v>1.3466</v>
      </c>
      <c r="C1929" t="str">
        <f>"1.346"</f>
        <v>1.346</v>
      </c>
    </row>
    <row r="1930" spans="1:3" x14ac:dyDescent="0.25">
      <c r="A1930" t="str">
        <f>"31/05/2017"</f>
        <v>31/05/2017</v>
      </c>
      <c r="B1930" t="str">
        <f>"1.3461"</f>
        <v>1.3461</v>
      </c>
      <c r="C1930" t="str">
        <f>"1.3453"</f>
        <v>1.3453</v>
      </c>
    </row>
    <row r="1931" spans="1:3" x14ac:dyDescent="0.25">
      <c r="A1931" t="str">
        <f>"01/06/2017"</f>
        <v>01/06/2017</v>
      </c>
      <c r="B1931" t="str">
        <f>"1.3506"</f>
        <v>1.3506</v>
      </c>
      <c r="C1931" t="str">
        <f>"1.3498"</f>
        <v>1.3498</v>
      </c>
    </row>
    <row r="1932" spans="1:3" x14ac:dyDescent="0.25">
      <c r="A1932" t="str">
        <f>"02/06/2017"</f>
        <v>02/06/2017</v>
      </c>
      <c r="B1932" t="str">
        <f>"1.3528"</f>
        <v>1.3528</v>
      </c>
      <c r="C1932" t="str">
        <f>"1.3521"</f>
        <v>1.3521</v>
      </c>
    </row>
    <row r="1933" spans="1:3" x14ac:dyDescent="0.25">
      <c r="A1933" t="str">
        <f>"05/06/2017"</f>
        <v>05/06/2017</v>
      </c>
      <c r="B1933" t="str">
        <f>"1.349"</f>
        <v>1.349</v>
      </c>
      <c r="C1933" t="str">
        <f>"1.3482"</f>
        <v>1.3482</v>
      </c>
    </row>
    <row r="1934" spans="1:3" x14ac:dyDescent="0.25">
      <c r="A1934" t="str">
        <f>"06/06/2017"</f>
        <v>06/06/2017</v>
      </c>
      <c r="B1934" t="str">
        <f>"1.3466"</f>
        <v>1.3466</v>
      </c>
      <c r="C1934" t="str">
        <f>"1.3458"</f>
        <v>1.3458</v>
      </c>
    </row>
    <row r="1935" spans="1:3" x14ac:dyDescent="0.25">
      <c r="A1935" t="str">
        <f>"07/06/2017"</f>
        <v>07/06/2017</v>
      </c>
      <c r="B1935" t="str">
        <f>"1.3456"</f>
        <v>1.3456</v>
      </c>
      <c r="C1935" t="str">
        <f>"1.3448"</f>
        <v>1.3448</v>
      </c>
    </row>
    <row r="1936" spans="1:3" x14ac:dyDescent="0.25">
      <c r="A1936" t="str">
        <f>"08/06/2017"</f>
        <v>08/06/2017</v>
      </c>
      <c r="B1936" t="str">
        <f>"1.3515"</f>
        <v>1.3515</v>
      </c>
      <c r="C1936" t="str">
        <f>"1.3507"</f>
        <v>1.3507</v>
      </c>
    </row>
    <row r="1937" spans="1:3" x14ac:dyDescent="0.25">
      <c r="A1937" t="str">
        <f>"09/06/2017"</f>
        <v>09/06/2017</v>
      </c>
      <c r="B1937" t="str">
        <f>"1.3513"</f>
        <v>1.3513</v>
      </c>
      <c r="C1937" t="str">
        <f>"1.3505"</f>
        <v>1.3505</v>
      </c>
    </row>
    <row r="1938" spans="1:3" x14ac:dyDescent="0.25">
      <c r="A1938" t="str">
        <f>"12/06/2017"</f>
        <v>12/06/2017</v>
      </c>
      <c r="B1938" t="str">
        <f>"1.3435"</f>
        <v>1.3435</v>
      </c>
      <c r="C1938" t="str">
        <f>"1.3426"</f>
        <v>1.3426</v>
      </c>
    </row>
    <row r="1939" spans="1:3" x14ac:dyDescent="0.25">
      <c r="A1939" t="str">
        <f>"13/06/2017"</f>
        <v>13/06/2017</v>
      </c>
      <c r="B1939" t="str">
        <f>"1.3268"</f>
        <v>1.3268</v>
      </c>
      <c r="C1939" t="str">
        <f>"1.326"</f>
        <v>1.326</v>
      </c>
    </row>
    <row r="1940" spans="1:3" x14ac:dyDescent="0.25">
      <c r="A1940" t="str">
        <f>"14/06/2017"</f>
        <v>14/06/2017</v>
      </c>
      <c r="B1940" t="str">
        <f>"1.3224"</f>
        <v>1.3224</v>
      </c>
      <c r="C1940" t="str">
        <f>"1.3215"</f>
        <v>1.3215</v>
      </c>
    </row>
    <row r="1941" spans="1:3" x14ac:dyDescent="0.25">
      <c r="A1941" t="str">
        <f>"15/06/2017"</f>
        <v>15/06/2017</v>
      </c>
      <c r="B1941" t="str">
        <f>"1.3287"</f>
        <v>1.3287</v>
      </c>
      <c r="C1941" t="str">
        <f>"1.3279"</f>
        <v>1.3279</v>
      </c>
    </row>
    <row r="1942" spans="1:3" x14ac:dyDescent="0.25">
      <c r="A1942" t="str">
        <f>"16/06/2017"</f>
        <v>16/06/2017</v>
      </c>
      <c r="B1942" t="str">
        <f>"1.3229"</f>
        <v>1.3229</v>
      </c>
      <c r="C1942" t="str">
        <f>"1.3221"</f>
        <v>1.3221</v>
      </c>
    </row>
    <row r="1943" spans="1:3" x14ac:dyDescent="0.25">
      <c r="A1943" t="str">
        <f>"19/06/2017"</f>
        <v>19/06/2017</v>
      </c>
      <c r="B1943" t="str">
        <f>"1.3222"</f>
        <v>1.3222</v>
      </c>
      <c r="C1943" t="str">
        <f>"1.3214"</f>
        <v>1.3214</v>
      </c>
    </row>
    <row r="1944" spans="1:3" x14ac:dyDescent="0.25">
      <c r="A1944" t="str">
        <f>"20/06/2017"</f>
        <v>20/06/2017</v>
      </c>
      <c r="B1944" t="str">
        <f>"1.3263"</f>
        <v>1.3263</v>
      </c>
      <c r="C1944" t="str">
        <f>"1.3255"</f>
        <v>1.3255</v>
      </c>
    </row>
    <row r="1945" spans="1:3" x14ac:dyDescent="0.25">
      <c r="A1945" t="str">
        <f>"21/06/2017"</f>
        <v>21/06/2017</v>
      </c>
      <c r="B1945" t="str">
        <f>"1.3295"</f>
        <v>1.3295</v>
      </c>
      <c r="C1945" t="str">
        <f>"1.3286"</f>
        <v>1.3286</v>
      </c>
    </row>
    <row r="1946" spans="1:3" x14ac:dyDescent="0.25">
      <c r="A1946" t="str">
        <f>"22/06/2017"</f>
        <v>22/06/2017</v>
      </c>
      <c r="B1946" t="str">
        <f>"1.3307"</f>
        <v>1.3307</v>
      </c>
      <c r="C1946" t="str">
        <f>"1.3298"</f>
        <v>1.3298</v>
      </c>
    </row>
    <row r="1947" spans="1:3" x14ac:dyDescent="0.25">
      <c r="A1947" t="str">
        <f>"23/06/2017"</f>
        <v>23/06/2017</v>
      </c>
      <c r="B1947" t="str">
        <f>"1.3231"</f>
        <v>1.3231</v>
      </c>
      <c r="C1947" t="str">
        <f>"1.3223"</f>
        <v>1.3223</v>
      </c>
    </row>
    <row r="1948" spans="1:3" x14ac:dyDescent="0.25">
      <c r="A1948" t="str">
        <f>"27/06/2017"</f>
        <v>27/06/2017</v>
      </c>
      <c r="B1948" t="str">
        <f>"1.3251"</f>
        <v>1.3251</v>
      </c>
      <c r="C1948" t="str">
        <f>"1.3243"</f>
        <v>1.3243</v>
      </c>
    </row>
    <row r="1949" spans="1:3" x14ac:dyDescent="0.25">
      <c r="A1949" t="str">
        <f>"28/06/2017"</f>
        <v>28/06/2017</v>
      </c>
      <c r="B1949" t="str">
        <f>"1.3079"</f>
        <v>1.3079</v>
      </c>
      <c r="C1949" t="str">
        <f>"1.307"</f>
        <v>1.307</v>
      </c>
    </row>
    <row r="1950" spans="1:3" x14ac:dyDescent="0.25">
      <c r="A1950" t="str">
        <f>"29/06/2017"</f>
        <v>29/06/2017</v>
      </c>
      <c r="B1950" t="str">
        <f>"1.3035"</f>
        <v>1.3035</v>
      </c>
      <c r="C1950" t="str">
        <f>"1.3027"</f>
        <v>1.3027</v>
      </c>
    </row>
    <row r="1951" spans="1:3" x14ac:dyDescent="0.25">
      <c r="A1951" t="str">
        <f>"30/06/2017"</f>
        <v>30/06/2017</v>
      </c>
      <c r="B1951" t="str">
        <f>"1.2972"</f>
        <v>1.2972</v>
      </c>
      <c r="C1951" t="str">
        <f>"1.2964"</f>
        <v>1.2964</v>
      </c>
    </row>
    <row r="1952" spans="1:3" x14ac:dyDescent="0.25">
      <c r="A1952" t="str">
        <f>"03/07/2017"</f>
        <v>03/07/2017</v>
      </c>
      <c r="B1952" t="str">
        <f>"1.2981"</f>
        <v>1.2981</v>
      </c>
      <c r="C1952" t="str">
        <f>"1.2973"</f>
        <v>1.2973</v>
      </c>
    </row>
    <row r="1953" spans="1:3" x14ac:dyDescent="0.25">
      <c r="A1953" t="str">
        <f>"04/07/2017"</f>
        <v>04/07/2017</v>
      </c>
      <c r="B1953" t="str">
        <f>"1.2987"</f>
        <v>1.2987</v>
      </c>
      <c r="C1953" t="str">
        <f>"1.2979"</f>
        <v>1.2979</v>
      </c>
    </row>
    <row r="1954" spans="1:3" x14ac:dyDescent="0.25">
      <c r="A1954" t="str">
        <f>"05/07/2017"</f>
        <v>05/07/2017</v>
      </c>
      <c r="B1954" t="str">
        <f>"1.2939"</f>
        <v>1.2939</v>
      </c>
      <c r="C1954" t="str">
        <f>"1.2932"</f>
        <v>1.2932</v>
      </c>
    </row>
    <row r="1955" spans="1:3" x14ac:dyDescent="0.25">
      <c r="A1955" t="str">
        <f>"06/07/2017"</f>
        <v>06/07/2017</v>
      </c>
      <c r="B1955" t="str">
        <f>"1.2934"</f>
        <v>1.2934</v>
      </c>
      <c r="C1955" t="str">
        <f>"1.2927"</f>
        <v>1.2927</v>
      </c>
    </row>
    <row r="1956" spans="1:3" x14ac:dyDescent="0.25">
      <c r="A1956" t="str">
        <f>"07/07/2017"</f>
        <v>07/07/2017</v>
      </c>
      <c r="B1956" t="str">
        <f>"1.2992"</f>
        <v>1.2992</v>
      </c>
      <c r="C1956" t="str">
        <f>"1.2985"</f>
        <v>1.2985</v>
      </c>
    </row>
    <row r="1957" spans="1:3" x14ac:dyDescent="0.25">
      <c r="A1957" t="str">
        <f>"10/07/2017"</f>
        <v>10/07/2017</v>
      </c>
      <c r="B1957" t="str">
        <f>"1.2926"</f>
        <v>1.2926</v>
      </c>
      <c r="C1957" t="str">
        <f>"1.292"</f>
        <v>1.292</v>
      </c>
    </row>
    <row r="1958" spans="1:3" x14ac:dyDescent="0.25">
      <c r="A1958" t="str">
        <f>"11/07/2017"</f>
        <v>11/07/2017</v>
      </c>
      <c r="B1958" t="str">
        <f>"1.2917"</f>
        <v>1.2917</v>
      </c>
      <c r="C1958" t="str">
        <f>"1.291"</f>
        <v>1.291</v>
      </c>
    </row>
    <row r="1959" spans="1:3" x14ac:dyDescent="0.25">
      <c r="A1959" t="str">
        <f>"12/07/2017"</f>
        <v>12/07/2017</v>
      </c>
      <c r="B1959" t="str">
        <f>"1.2936"</f>
        <v>1.2936</v>
      </c>
      <c r="C1959" t="str">
        <f>"1.2929"</f>
        <v>1.2929</v>
      </c>
    </row>
    <row r="1960" spans="1:3" x14ac:dyDescent="0.25">
      <c r="A1960" t="str">
        <f>"13/07/2017"</f>
        <v>13/07/2017</v>
      </c>
      <c r="B1960" t="str">
        <f>"1.2751"</f>
        <v>1.2751</v>
      </c>
      <c r="C1960" t="str">
        <f>"1.2745"</f>
        <v>1.2745</v>
      </c>
    </row>
    <row r="1961" spans="1:3" x14ac:dyDescent="0.25">
      <c r="A1961" t="str">
        <f>"14/07/2017"</f>
        <v>14/07/2017</v>
      </c>
      <c r="B1961" t="str">
        <f>"1.2734"</f>
        <v>1.2734</v>
      </c>
      <c r="C1961" t="str">
        <f>"1.2728"</f>
        <v>1.2728</v>
      </c>
    </row>
    <row r="1962" spans="1:3" x14ac:dyDescent="0.25">
      <c r="A1962" t="str">
        <f>"17/07/2017"</f>
        <v>17/07/2017</v>
      </c>
      <c r="B1962" t="str">
        <f>"1.2662"</f>
        <v>1.2662</v>
      </c>
      <c r="C1962" t="str">
        <f>"1.2656"</f>
        <v>1.2656</v>
      </c>
    </row>
    <row r="1963" spans="1:3" x14ac:dyDescent="0.25">
      <c r="A1963" t="str">
        <f>"18/07/2017"</f>
        <v>18/07/2017</v>
      </c>
      <c r="B1963" t="str">
        <f>"1.2599"</f>
        <v>1.2599</v>
      </c>
      <c r="C1963" t="str">
        <f>"1.2593"</f>
        <v>1.2593</v>
      </c>
    </row>
    <row r="1964" spans="1:3" x14ac:dyDescent="0.25">
      <c r="A1964" t="str">
        <f>"19/07/2017"</f>
        <v>19/07/2017</v>
      </c>
      <c r="B1964" t="str">
        <f>"1.2623"</f>
        <v>1.2623</v>
      </c>
      <c r="C1964" t="str">
        <f>"1.2617"</f>
        <v>1.2617</v>
      </c>
    </row>
    <row r="1965" spans="1:3" x14ac:dyDescent="0.25">
      <c r="A1965" t="str">
        <f>"20/07/2017"</f>
        <v>20/07/2017</v>
      </c>
      <c r="B1965" t="str">
        <f>"1.2621"</f>
        <v>1.2621</v>
      </c>
      <c r="C1965" t="str">
        <f>"1.2616"</f>
        <v>1.2616</v>
      </c>
    </row>
    <row r="1966" spans="1:3" x14ac:dyDescent="0.25">
      <c r="A1966" t="str">
        <f>"21/07/2017"</f>
        <v>21/07/2017</v>
      </c>
      <c r="B1966" t="str">
        <f>"1.2597"</f>
        <v>1.2597</v>
      </c>
      <c r="C1966" t="str">
        <f>"1.2591"</f>
        <v>1.2591</v>
      </c>
    </row>
    <row r="1967" spans="1:3" x14ac:dyDescent="0.25">
      <c r="A1967" t="str">
        <f>"24/07/2017"</f>
        <v>24/07/2017</v>
      </c>
      <c r="B1967" t="str">
        <f>"1.2528"</f>
        <v>1.2528</v>
      </c>
      <c r="C1967" t="str">
        <f>"1.2523"</f>
        <v>1.2523</v>
      </c>
    </row>
    <row r="1968" spans="1:3" x14ac:dyDescent="0.25">
      <c r="A1968" t="str">
        <f>"25/07/2017"</f>
        <v>25/07/2017</v>
      </c>
      <c r="B1968" t="str">
        <f>"1.2511"</f>
        <v>1.2511</v>
      </c>
      <c r="C1968" t="str">
        <f>"1.2505"</f>
        <v>1.2505</v>
      </c>
    </row>
    <row r="1969" spans="1:3" x14ac:dyDescent="0.25">
      <c r="A1969" t="str">
        <f>"26/07/2017"</f>
        <v>26/07/2017</v>
      </c>
      <c r="B1969" t="str">
        <f>"1.2511"</f>
        <v>1.2511</v>
      </c>
      <c r="C1969" t="str">
        <f>"1.2506"</f>
        <v>1.2506</v>
      </c>
    </row>
    <row r="1970" spans="1:3" x14ac:dyDescent="0.25">
      <c r="A1970" t="str">
        <f>"27/07/2017"</f>
        <v>27/07/2017</v>
      </c>
      <c r="B1970" t="str">
        <f>"1.2455"</f>
        <v>1.2455</v>
      </c>
      <c r="C1970" t="str">
        <f>"1.245"</f>
        <v>1.245</v>
      </c>
    </row>
    <row r="1971" spans="1:3" x14ac:dyDescent="0.25">
      <c r="A1971" t="str">
        <f>"28/07/2017"</f>
        <v>28/07/2017</v>
      </c>
      <c r="B1971" t="str">
        <f>"1.2542"</f>
        <v>1.2542</v>
      </c>
      <c r="C1971" t="str">
        <f>"1.2536"</f>
        <v>1.2536</v>
      </c>
    </row>
    <row r="1972" spans="1:3" x14ac:dyDescent="0.25">
      <c r="A1972" t="str">
        <f>"31/07/2017"</f>
        <v>31/07/2017</v>
      </c>
      <c r="B1972" t="str">
        <f>"1.246"</f>
        <v>1.246</v>
      </c>
      <c r="C1972" t="str">
        <f>"1.2454"</f>
        <v>1.2454</v>
      </c>
    </row>
    <row r="1973" spans="1:3" x14ac:dyDescent="0.25">
      <c r="A1973" t="str">
        <f>"01/08/2017"</f>
        <v>01/08/2017</v>
      </c>
      <c r="B1973" t="str">
        <f>"1.2483"</f>
        <v>1.2483</v>
      </c>
      <c r="C1973" t="str">
        <f>"1.2477"</f>
        <v>1.2477</v>
      </c>
    </row>
    <row r="1974" spans="1:3" x14ac:dyDescent="0.25">
      <c r="A1974" t="str">
        <f>"02/08/2017"</f>
        <v>02/08/2017</v>
      </c>
      <c r="B1974" t="str">
        <f>"1.2552"</f>
        <v>1.2552</v>
      </c>
      <c r="C1974" t="str">
        <f>"1.2546"</f>
        <v>1.2546</v>
      </c>
    </row>
    <row r="1975" spans="1:3" x14ac:dyDescent="0.25">
      <c r="A1975" t="str">
        <f>"03/08/2017"</f>
        <v>03/08/2017</v>
      </c>
      <c r="B1975" t="str">
        <f>"1.2608"</f>
        <v>1.2608</v>
      </c>
      <c r="C1975" t="str">
        <f>"1.2602"</f>
        <v>1.2602</v>
      </c>
    </row>
    <row r="1976" spans="1:3" x14ac:dyDescent="0.25">
      <c r="A1976" t="str">
        <f>"04/08/2017"</f>
        <v>04/08/2017</v>
      </c>
      <c r="B1976" t="str">
        <f>"1.2575"</f>
        <v>1.2575</v>
      </c>
      <c r="C1976" t="str">
        <f>"1.2569"</f>
        <v>1.2569</v>
      </c>
    </row>
    <row r="1977" spans="1:3" x14ac:dyDescent="0.25">
      <c r="A1977" t="str">
        <f>"07/08/2017"</f>
        <v>07/08/2017</v>
      </c>
      <c r="B1977" t="str">
        <f>"1.2683"</f>
        <v>1.2683</v>
      </c>
      <c r="C1977" t="str">
        <f>"1.2677"</f>
        <v>1.2677</v>
      </c>
    </row>
    <row r="1978" spans="1:3" x14ac:dyDescent="0.25">
      <c r="A1978" t="str">
        <f>"08/08/2017"</f>
        <v>08/08/2017</v>
      </c>
      <c r="B1978" t="str">
        <f>"1.2665"</f>
        <v>1.2665</v>
      </c>
      <c r="C1978" t="str">
        <f>"1.2658"</f>
        <v>1.2658</v>
      </c>
    </row>
    <row r="1979" spans="1:3" x14ac:dyDescent="0.25">
      <c r="A1979" t="str">
        <f>"09/08/2017"</f>
        <v>09/08/2017</v>
      </c>
      <c r="B1979" t="str">
        <f>"1.2681"</f>
        <v>1.2681</v>
      </c>
      <c r="C1979" t="str">
        <f>"1.2675"</f>
        <v>1.2675</v>
      </c>
    </row>
    <row r="1980" spans="1:3" x14ac:dyDescent="0.25">
      <c r="A1980" t="str">
        <f>"10/08/2017"</f>
        <v>10/08/2017</v>
      </c>
      <c r="B1980" t="str">
        <f>"1.272"</f>
        <v>1.272</v>
      </c>
      <c r="C1980" t="str">
        <f>"1.2715"</f>
        <v>1.2715</v>
      </c>
    </row>
    <row r="1981" spans="1:3" x14ac:dyDescent="0.25">
      <c r="A1981" t="str">
        <f>"11/08/2017"</f>
        <v>11/08/2017</v>
      </c>
      <c r="B1981" t="str">
        <f>"1.2718"</f>
        <v>1.2718</v>
      </c>
      <c r="C1981" t="str">
        <f>"1.2713"</f>
        <v>1.2713</v>
      </c>
    </row>
    <row r="1982" spans="1:3" x14ac:dyDescent="0.25">
      <c r="A1982" t="str">
        <f>"14/08/2017"</f>
        <v>14/08/2017</v>
      </c>
      <c r="B1982" t="str">
        <f>"1.27"</f>
        <v>1.27</v>
      </c>
      <c r="C1982" t="str">
        <f>"1.2695"</f>
        <v>1.2695</v>
      </c>
    </row>
    <row r="1983" spans="1:3" x14ac:dyDescent="0.25">
      <c r="A1983" t="str">
        <f>"16/08/2017"</f>
        <v>16/08/2017</v>
      </c>
      <c r="B1983" t="str">
        <f>"1.2757"</f>
        <v>1.2757</v>
      </c>
      <c r="C1983" t="str">
        <f>"1.2752"</f>
        <v>1.2752</v>
      </c>
    </row>
    <row r="1984" spans="1:3" x14ac:dyDescent="0.25">
      <c r="A1984" t="str">
        <f>"18/08/2017"</f>
        <v>18/08/2017</v>
      </c>
      <c r="B1984" t="str">
        <f>"1.2648"</f>
        <v>1.2648</v>
      </c>
      <c r="C1984" t="str">
        <f>"1.2643"</f>
        <v>1.2643</v>
      </c>
    </row>
    <row r="1985" spans="1:3" x14ac:dyDescent="0.25">
      <c r="A1985" t="str">
        <f>"21/08/2017"</f>
        <v>21/08/2017</v>
      </c>
      <c r="B1985" t="str">
        <f>"1.2598"</f>
        <v>1.2598</v>
      </c>
      <c r="C1985" t="str">
        <f>"1.2593"</f>
        <v>1.2593</v>
      </c>
    </row>
    <row r="1986" spans="1:3" x14ac:dyDescent="0.25">
      <c r="A1986" t="str">
        <f>"22/08/2017"</f>
        <v>22/08/2017</v>
      </c>
      <c r="B1986" t="str">
        <f>"1.2583"</f>
        <v>1.2583</v>
      </c>
      <c r="C1986" t="str">
        <f>"1.2578"</f>
        <v>1.2578</v>
      </c>
    </row>
    <row r="1987" spans="1:3" x14ac:dyDescent="0.25">
      <c r="A1987" t="str">
        <f>"23/08/2017"</f>
        <v>23/08/2017</v>
      </c>
      <c r="B1987" t="str">
        <f>"1.2568"</f>
        <v>1.2568</v>
      </c>
      <c r="C1987" t="str">
        <f>"1.2563"</f>
        <v>1.2563</v>
      </c>
    </row>
    <row r="1988" spans="1:3" x14ac:dyDescent="0.25">
      <c r="A1988" t="str">
        <f>"24/08/2017"</f>
        <v>24/08/2017</v>
      </c>
      <c r="B1988" t="str">
        <f>"1.2533"</f>
        <v>1.2533</v>
      </c>
      <c r="C1988" t="str">
        <f>"1.2529"</f>
        <v>1.2529</v>
      </c>
    </row>
    <row r="1989" spans="1:3" x14ac:dyDescent="0.25">
      <c r="A1989" t="str">
        <f>"28/08/2017"</f>
        <v>28/08/2017</v>
      </c>
      <c r="B1989" t="str">
        <f>"1.2468"</f>
        <v>1.2468</v>
      </c>
      <c r="C1989" t="str">
        <f>"1.2463"</f>
        <v>1.2463</v>
      </c>
    </row>
    <row r="1990" spans="1:3" x14ac:dyDescent="0.25">
      <c r="A1990" t="str">
        <f>"29/08/2017"</f>
        <v>29/08/2017</v>
      </c>
      <c r="B1990" t="str">
        <f>"1.2467"</f>
        <v>1.2467</v>
      </c>
      <c r="C1990" t="str">
        <f>"1.2462"</f>
        <v>1.2462</v>
      </c>
    </row>
    <row r="1991" spans="1:3" x14ac:dyDescent="0.25">
      <c r="A1991" t="str">
        <f>"30/08/2017"</f>
        <v>30/08/2017</v>
      </c>
      <c r="B1991" t="str">
        <f>"1.2504"</f>
        <v>1.2504</v>
      </c>
      <c r="C1991" t="str">
        <f>"1.25"</f>
        <v>1.25</v>
      </c>
    </row>
    <row r="1992" spans="1:3" x14ac:dyDescent="0.25">
      <c r="A1992" t="str">
        <f>"31/08/2017"</f>
        <v>31/08/2017</v>
      </c>
      <c r="B1992" t="str">
        <f>"1.2653"</f>
        <v>1.2653</v>
      </c>
      <c r="C1992" t="str">
        <f>"1.2649"</f>
        <v>1.2649</v>
      </c>
    </row>
    <row r="1993" spans="1:3" x14ac:dyDescent="0.25">
      <c r="A1993" t="str">
        <f>"01/09/2017"</f>
        <v>01/09/2017</v>
      </c>
      <c r="B1993" t="str">
        <f>"1.2462"</f>
        <v>1.2462</v>
      </c>
      <c r="C1993" t="str">
        <f>"1.2459"</f>
        <v>1.2459</v>
      </c>
    </row>
    <row r="1994" spans="1:3" x14ac:dyDescent="0.25">
      <c r="A1994" t="str">
        <f>"04/09/2017"</f>
        <v>04/09/2017</v>
      </c>
      <c r="B1994" t="str">
        <f>"1.2392"</f>
        <v>1.2392</v>
      </c>
      <c r="C1994" t="str">
        <f>"1.2389"</f>
        <v>1.2389</v>
      </c>
    </row>
    <row r="1995" spans="1:3" x14ac:dyDescent="0.25">
      <c r="A1995" t="str">
        <f>"05/09/2017"</f>
        <v>05/09/2017</v>
      </c>
      <c r="B1995" t="str">
        <f>"1.2395"</f>
        <v>1.2395</v>
      </c>
      <c r="C1995" t="str">
        <f>"1.2392"</f>
        <v>1.2392</v>
      </c>
    </row>
    <row r="1996" spans="1:3" x14ac:dyDescent="0.25">
      <c r="A1996" t="str">
        <f>"06/09/2017"</f>
        <v>06/09/2017</v>
      </c>
      <c r="B1996" t="str">
        <f>"1.2393"</f>
        <v>1.2393</v>
      </c>
      <c r="C1996" t="str">
        <f>"1.2389"</f>
        <v>1.2389</v>
      </c>
    </row>
    <row r="1997" spans="1:3" x14ac:dyDescent="0.25">
      <c r="A1997" t="str">
        <f>"07/09/2017"</f>
        <v>07/09/2017</v>
      </c>
      <c r="B1997" t="str">
        <f>"1.2177"</f>
        <v>1.2177</v>
      </c>
      <c r="C1997" t="str">
        <f>"1.2175"</f>
        <v>1.2175</v>
      </c>
    </row>
    <row r="1998" spans="1:3" x14ac:dyDescent="0.25">
      <c r="A1998" t="str">
        <f>"08/09/2017"</f>
        <v>08/09/2017</v>
      </c>
      <c r="B1998" t="str">
        <f>"1.2107"</f>
        <v>1.2107</v>
      </c>
      <c r="C1998" t="str">
        <f>"1.2105"</f>
        <v>1.2105</v>
      </c>
    </row>
    <row r="1999" spans="1:3" x14ac:dyDescent="0.25">
      <c r="A1999" t="str">
        <f>"11/09/2017"</f>
        <v>11/09/2017</v>
      </c>
      <c r="B1999" t="str">
        <f>"1.2113"</f>
        <v>1.2113</v>
      </c>
      <c r="C1999" t="str">
        <f>"1.2111"</f>
        <v>1.2111</v>
      </c>
    </row>
    <row r="2000" spans="1:3" x14ac:dyDescent="0.25">
      <c r="A2000" t="str">
        <f>"12/09/2017"</f>
        <v>12/09/2017</v>
      </c>
      <c r="B2000" t="str">
        <f>"1.2142"</f>
        <v>1.2142</v>
      </c>
      <c r="C2000" t="str">
        <f>"1.214"</f>
        <v>1.214</v>
      </c>
    </row>
    <row r="2001" spans="1:3" x14ac:dyDescent="0.25">
      <c r="A2001" t="str">
        <f>"13/09/2017"</f>
        <v>13/09/2017</v>
      </c>
      <c r="B2001" t="str">
        <f>"1.2146"</f>
        <v>1.2146</v>
      </c>
      <c r="C2001" t="str">
        <f>"1.2144"</f>
        <v>1.2144</v>
      </c>
    </row>
    <row r="2002" spans="1:3" x14ac:dyDescent="0.25">
      <c r="A2002" t="str">
        <f>"14/09/2017"</f>
        <v>14/09/2017</v>
      </c>
      <c r="B2002" t="str">
        <f>"1.2185"</f>
        <v>1.2185</v>
      </c>
      <c r="C2002" t="str">
        <f>"1.2183"</f>
        <v>1.2183</v>
      </c>
    </row>
    <row r="2003" spans="1:3" x14ac:dyDescent="0.25">
      <c r="A2003" t="str">
        <f>"15/09/2017"</f>
        <v>15/09/2017</v>
      </c>
      <c r="B2003" t="str">
        <f>"1.2174"</f>
        <v>1.2174</v>
      </c>
      <c r="C2003" t="str">
        <f>"1.2172"</f>
        <v>1.2172</v>
      </c>
    </row>
    <row r="2004" spans="1:3" x14ac:dyDescent="0.25">
      <c r="A2004" t="str">
        <f>"18/09/2017"</f>
        <v>18/09/2017</v>
      </c>
      <c r="B2004" t="str">
        <f>"1.2201"</f>
        <v>1.2201</v>
      </c>
      <c r="C2004" t="str">
        <f>"1.2199"</f>
        <v>1.2199</v>
      </c>
    </row>
    <row r="2005" spans="1:3" x14ac:dyDescent="0.25">
      <c r="A2005" t="str">
        <f>"19/09/2017"</f>
        <v>19/09/2017</v>
      </c>
      <c r="B2005" t="str">
        <f>"1.2283"</f>
        <v>1.2283</v>
      </c>
      <c r="C2005" t="str">
        <f>"1.2281"</f>
        <v>1.2281</v>
      </c>
    </row>
    <row r="2006" spans="1:3" x14ac:dyDescent="0.25">
      <c r="A2006" t="str">
        <f>"20/09/2017"</f>
        <v>20/09/2017</v>
      </c>
      <c r="B2006" t="str">
        <f>"1.2282"</f>
        <v>1.2282</v>
      </c>
      <c r="C2006" t="str">
        <f>"1.228"</f>
        <v>1.228</v>
      </c>
    </row>
    <row r="2007" spans="1:3" x14ac:dyDescent="0.25">
      <c r="A2007" t="str">
        <f>"21/09/2017"</f>
        <v>21/09/2017</v>
      </c>
      <c r="B2007" t="str">
        <f>"1.2361"</f>
        <v>1.2361</v>
      </c>
      <c r="C2007" t="str">
        <f>"1.2359"</f>
        <v>1.2359</v>
      </c>
    </row>
    <row r="2008" spans="1:3" x14ac:dyDescent="0.25">
      <c r="A2008" t="str">
        <f>"22/09/2017"</f>
        <v>22/09/2017</v>
      </c>
      <c r="B2008" t="str">
        <f>"1.227"</f>
        <v>1.227</v>
      </c>
      <c r="C2008" t="str">
        <f>"1.2267"</f>
        <v>1.2267</v>
      </c>
    </row>
    <row r="2009" spans="1:3" x14ac:dyDescent="0.25">
      <c r="A2009" t="str">
        <f>"25/09/2017"</f>
        <v>25/09/2017</v>
      </c>
      <c r="B2009" t="str">
        <f>"1.233"</f>
        <v>1.233</v>
      </c>
      <c r="C2009" t="str">
        <f>"1.2327"</f>
        <v>1.2327</v>
      </c>
    </row>
    <row r="2010" spans="1:3" x14ac:dyDescent="0.25">
      <c r="A2010" t="str">
        <f>"26/09/2017"</f>
        <v>26/09/2017</v>
      </c>
      <c r="B2010" t="str">
        <f>"1.2396"</f>
        <v>1.2396</v>
      </c>
      <c r="C2010" t="str">
        <f>"1.2392"</f>
        <v>1.2392</v>
      </c>
    </row>
    <row r="2011" spans="1:3" x14ac:dyDescent="0.25">
      <c r="A2011" t="str">
        <f>"27/09/2017"</f>
        <v>27/09/2017</v>
      </c>
      <c r="B2011" t="str">
        <f>"1.2395"</f>
        <v>1.2395</v>
      </c>
      <c r="C2011" t="str">
        <f>"1.2391"</f>
        <v>1.2391</v>
      </c>
    </row>
    <row r="2012" spans="1:3" x14ac:dyDescent="0.25">
      <c r="A2012" t="str">
        <f>"28/09/2017"</f>
        <v>28/09/2017</v>
      </c>
      <c r="B2012" t="str">
        <f>"1.2504"</f>
        <v>1.2504</v>
      </c>
      <c r="C2012" t="str">
        <f>"1.25"</f>
        <v>1.25</v>
      </c>
    </row>
    <row r="2013" spans="1:3" x14ac:dyDescent="0.25">
      <c r="A2013" t="str">
        <f>"29/09/2017"</f>
        <v>29/09/2017</v>
      </c>
      <c r="B2013" t="str">
        <f>"1.2426"</f>
        <v>1.2426</v>
      </c>
      <c r="C2013" t="str">
        <f>"1.2423"</f>
        <v>1.2423</v>
      </c>
    </row>
    <row r="2014" spans="1:3" x14ac:dyDescent="0.25">
      <c r="A2014" t="str">
        <f>"03/10/2017"</f>
        <v>03/10/2017</v>
      </c>
      <c r="B2014" t="str">
        <f>"1.2499"</f>
        <v>1.2499</v>
      </c>
      <c r="C2014" t="str">
        <f>"1.2496"</f>
        <v>1.2496</v>
      </c>
    </row>
    <row r="2015" spans="1:3" x14ac:dyDescent="0.25">
      <c r="A2015" t="str">
        <f>"04/10/2017"</f>
        <v>04/10/2017</v>
      </c>
      <c r="B2015" t="str">
        <f>"1.2466"</f>
        <v>1.2466</v>
      </c>
      <c r="C2015" t="str">
        <f>"1.2464"</f>
        <v>1.2464</v>
      </c>
    </row>
    <row r="2016" spans="1:3" x14ac:dyDescent="0.25">
      <c r="A2016" t="str">
        <f>"05/10/2017"</f>
        <v>05/10/2017</v>
      </c>
      <c r="B2016" t="str">
        <f>"1.2476"</f>
        <v>1.2476</v>
      </c>
      <c r="C2016" t="str">
        <f>"1.2473"</f>
        <v>1.2473</v>
      </c>
    </row>
    <row r="2017" spans="1:3" x14ac:dyDescent="0.25">
      <c r="A2017" t="str">
        <f>"06/10/2017"</f>
        <v>06/10/2017</v>
      </c>
      <c r="B2017" t="str">
        <f>"1.2574"</f>
        <v>1.2574</v>
      </c>
      <c r="C2017" t="str">
        <f>"1.2571"</f>
        <v>1.2571</v>
      </c>
    </row>
    <row r="2018" spans="1:3" x14ac:dyDescent="0.25">
      <c r="A2018" t="str">
        <f>"09/10/2017"</f>
        <v>09/10/2017</v>
      </c>
      <c r="B2018" t="str">
        <f>"1.2543"</f>
        <v>1.2543</v>
      </c>
      <c r="C2018" t="str">
        <f>"1.254"</f>
        <v>1.254</v>
      </c>
    </row>
    <row r="2019" spans="1:3" x14ac:dyDescent="0.25">
      <c r="A2019" t="str">
        <f>"10/10/2017"</f>
        <v>10/10/2017</v>
      </c>
      <c r="B2019" t="str">
        <f>"1.2517"</f>
        <v>1.2517</v>
      </c>
      <c r="C2019" t="str">
        <f>"1.2514"</f>
        <v>1.2514</v>
      </c>
    </row>
    <row r="2020" spans="1:3" x14ac:dyDescent="0.25">
      <c r="A2020" t="str">
        <f>"11/10/2017"</f>
        <v>11/10/2017</v>
      </c>
      <c r="B2020" t="str">
        <f>"1.2515"</f>
        <v>1.2515</v>
      </c>
      <c r="C2020" t="str">
        <f>"1.2512"</f>
        <v>1.2512</v>
      </c>
    </row>
    <row r="2021" spans="1:3" x14ac:dyDescent="0.25">
      <c r="A2021" t="str">
        <f>"12/10/2017"</f>
        <v>12/10/2017</v>
      </c>
      <c r="B2021" t="str">
        <f>"1.2474"</f>
        <v>1.2474</v>
      </c>
      <c r="C2021" t="str">
        <f>"1.2472"</f>
        <v>1.2472</v>
      </c>
    </row>
    <row r="2022" spans="1:3" x14ac:dyDescent="0.25">
      <c r="A2022" t="str">
        <f>"13/10/2017"</f>
        <v>13/10/2017</v>
      </c>
      <c r="B2022" t="str">
        <f>"1.2481"</f>
        <v>1.2481</v>
      </c>
      <c r="C2022" t="str">
        <f>"1.2479"</f>
        <v>1.2479</v>
      </c>
    </row>
    <row r="2023" spans="1:3" x14ac:dyDescent="0.25">
      <c r="A2023" t="str">
        <f>"16/10/2017"</f>
        <v>16/10/2017</v>
      </c>
      <c r="B2023" t="str">
        <f>"1.253"</f>
        <v>1.253</v>
      </c>
      <c r="C2023" t="str">
        <f>"1.2528"</f>
        <v>1.2528</v>
      </c>
    </row>
    <row r="2024" spans="1:3" x14ac:dyDescent="0.25">
      <c r="A2024" t="str">
        <f>"17/10/2017"</f>
        <v>17/10/2017</v>
      </c>
      <c r="B2024" t="str">
        <f>"1.2543"</f>
        <v>1.2543</v>
      </c>
      <c r="C2024" t="str">
        <f>"1.2541"</f>
        <v>1.2541</v>
      </c>
    </row>
    <row r="2025" spans="1:3" x14ac:dyDescent="0.25">
      <c r="A2025" t="str">
        <f>"18/10/2017"</f>
        <v>18/10/2017</v>
      </c>
      <c r="B2025" t="str">
        <f>"1.2522"</f>
        <v>1.2522</v>
      </c>
      <c r="C2025" t="str">
        <f>"1.2519"</f>
        <v>1.2519</v>
      </c>
    </row>
    <row r="2026" spans="1:3" x14ac:dyDescent="0.25">
      <c r="A2026" t="str">
        <f>"23/10/2017"</f>
        <v>23/10/2017</v>
      </c>
      <c r="B2026" t="str">
        <f>"1.2634"</f>
        <v>1.2634</v>
      </c>
      <c r="C2026" t="str">
        <f>"1.2631"</f>
        <v>1.2631</v>
      </c>
    </row>
    <row r="2027" spans="1:3" x14ac:dyDescent="0.25">
      <c r="A2027" t="str">
        <f>"24/10/2017"</f>
        <v>24/10/2017</v>
      </c>
      <c r="B2027" t="str">
        <f>"1.2651"</f>
        <v>1.2651</v>
      </c>
      <c r="C2027" t="str">
        <f>"1.2648"</f>
        <v>1.2648</v>
      </c>
    </row>
    <row r="2028" spans="1:3" x14ac:dyDescent="0.25">
      <c r="A2028" t="str">
        <f>"25/10/2017"</f>
        <v>25/10/2017</v>
      </c>
      <c r="B2028" t="str">
        <f>"1.2703"</f>
        <v>1.2703</v>
      </c>
      <c r="C2028" t="str">
        <f>"1.27"</f>
        <v>1.27</v>
      </c>
    </row>
    <row r="2029" spans="1:3" x14ac:dyDescent="0.25">
      <c r="A2029" t="str">
        <f>"26/10/2017"</f>
        <v>26/10/2017</v>
      </c>
      <c r="B2029" t="str">
        <f>"1.2795"</f>
        <v>1.2795</v>
      </c>
      <c r="C2029" t="str">
        <f>"1.2792"</f>
        <v>1.2792</v>
      </c>
    </row>
    <row r="2030" spans="1:3" x14ac:dyDescent="0.25">
      <c r="A2030" t="str">
        <f>"27/10/2017"</f>
        <v>27/10/2017</v>
      </c>
      <c r="B2030" t="str">
        <f>"1.2887"</f>
        <v>1.2887</v>
      </c>
      <c r="C2030" t="str">
        <f>"1.2884"</f>
        <v>1.2884</v>
      </c>
    </row>
    <row r="2031" spans="1:3" x14ac:dyDescent="0.25">
      <c r="A2031" t="str">
        <f>"30/10/2017"</f>
        <v>30/10/2017</v>
      </c>
      <c r="B2031" t="str">
        <f>"1.2831"</f>
        <v>1.2831</v>
      </c>
      <c r="C2031" t="str">
        <f>"1.2828"</f>
        <v>1.2828</v>
      </c>
    </row>
    <row r="2032" spans="1:3" x14ac:dyDescent="0.25">
      <c r="A2032" t="str">
        <f>"31/10/2017"</f>
        <v>31/10/2017</v>
      </c>
      <c r="B2032" t="str">
        <f>"1.2848"</f>
        <v>1.2848</v>
      </c>
      <c r="C2032" t="str">
        <f>"1.2845"</f>
        <v>1.2845</v>
      </c>
    </row>
    <row r="2033" spans="1:3" x14ac:dyDescent="0.25">
      <c r="A2033" t="str">
        <f>"01/11/2017"</f>
        <v>01/11/2017</v>
      </c>
      <c r="B2033" t="str">
        <f>"1.2882"</f>
        <v>1.2882</v>
      </c>
      <c r="C2033" t="str">
        <f>"1.2879"</f>
        <v>1.2879</v>
      </c>
    </row>
    <row r="2034" spans="1:3" x14ac:dyDescent="0.25">
      <c r="A2034" t="str">
        <f>"02/11/2017"</f>
        <v>02/11/2017</v>
      </c>
      <c r="B2034" t="str">
        <f>"1.2849"</f>
        <v>1.2849</v>
      </c>
      <c r="C2034" t="str">
        <f>"1.2846"</f>
        <v>1.2846</v>
      </c>
    </row>
    <row r="2035" spans="1:3" x14ac:dyDescent="0.25">
      <c r="A2035" t="str">
        <f>"03/11/2017"</f>
        <v>03/11/2017</v>
      </c>
      <c r="B2035" t="str">
        <f>"1.2833"</f>
        <v>1.2833</v>
      </c>
      <c r="C2035" t="str">
        <f>"1.283"</f>
        <v>1.283</v>
      </c>
    </row>
    <row r="2036" spans="1:3" x14ac:dyDescent="0.25">
      <c r="A2036" t="str">
        <f>"06/11/2017"</f>
        <v>06/11/2017</v>
      </c>
      <c r="B2036" t="str">
        <f>"1.2749"</f>
        <v>1.2749</v>
      </c>
      <c r="C2036" t="str">
        <f>"1.2746"</f>
        <v>1.2746</v>
      </c>
    </row>
    <row r="2037" spans="1:3" x14ac:dyDescent="0.25">
      <c r="A2037" t="str">
        <f>"07/11/2017"</f>
        <v>07/11/2017</v>
      </c>
      <c r="B2037" t="str">
        <f>"1.2758"</f>
        <v>1.2758</v>
      </c>
      <c r="C2037" t="str">
        <f>"1.2755"</f>
        <v>1.2755</v>
      </c>
    </row>
    <row r="2038" spans="1:3" x14ac:dyDescent="0.25">
      <c r="A2038" t="str">
        <f>"08/11/2017"</f>
        <v>08/11/2017</v>
      </c>
      <c r="B2038" t="str">
        <f>"1.2741"</f>
        <v>1.2741</v>
      </c>
      <c r="C2038" t="str">
        <f>"1.2738"</f>
        <v>1.2738</v>
      </c>
    </row>
    <row r="2039" spans="1:3" x14ac:dyDescent="0.25">
      <c r="A2039" t="str">
        <f>"09/11/2017"</f>
        <v>09/11/2017</v>
      </c>
      <c r="B2039" t="str">
        <f>"1.2694"</f>
        <v>1.2694</v>
      </c>
      <c r="C2039" t="str">
        <f>"1.2691"</f>
        <v>1.2691</v>
      </c>
    </row>
    <row r="2040" spans="1:3" x14ac:dyDescent="0.25">
      <c r="A2040" t="str">
        <f>"10/11/2017"</f>
        <v>10/11/2017</v>
      </c>
      <c r="B2040" t="str">
        <f>"1.2672"</f>
        <v>1.2672</v>
      </c>
      <c r="C2040" t="str">
        <f>"1.2669"</f>
        <v>1.2669</v>
      </c>
    </row>
    <row r="2041" spans="1:3" x14ac:dyDescent="0.25">
      <c r="A2041" t="str">
        <f>"13/11/2017"</f>
        <v>13/11/2017</v>
      </c>
      <c r="B2041" t="str">
        <f>"1.2703"</f>
        <v>1.2703</v>
      </c>
      <c r="C2041" t="str">
        <f>"1.27"</f>
        <v>1.27</v>
      </c>
    </row>
    <row r="2042" spans="1:3" x14ac:dyDescent="0.25">
      <c r="A2042" t="str">
        <f>"14/11/2017"</f>
        <v>14/11/2017</v>
      </c>
      <c r="B2042" t="str">
        <f>"1.2727"</f>
        <v>1.2727</v>
      </c>
      <c r="C2042" t="str">
        <f>"1.2723"</f>
        <v>1.2723</v>
      </c>
    </row>
    <row r="2043" spans="1:3" x14ac:dyDescent="0.25">
      <c r="A2043" t="str">
        <f>"15/11/2017"</f>
        <v>15/11/2017</v>
      </c>
      <c r="B2043" t="str">
        <f>"1.2738"</f>
        <v>1.2738</v>
      </c>
      <c r="C2043" t="str">
        <f>"1.2734"</f>
        <v>1.2734</v>
      </c>
    </row>
    <row r="2044" spans="1:3" x14ac:dyDescent="0.25">
      <c r="A2044" t="str">
        <f>"16/11/2017"</f>
        <v>16/11/2017</v>
      </c>
      <c r="B2044" t="str">
        <f>"1.2764"</f>
        <v>1.2764</v>
      </c>
      <c r="C2044" t="str">
        <f>"1.276"</f>
        <v>1.276</v>
      </c>
    </row>
    <row r="2045" spans="1:3" x14ac:dyDescent="0.25">
      <c r="A2045" t="str">
        <f>"17/11/2017"</f>
        <v>17/11/2017</v>
      </c>
      <c r="B2045" t="str">
        <f>"1.2733"</f>
        <v>1.2733</v>
      </c>
      <c r="C2045" t="str">
        <f>"1.273"</f>
        <v>1.273</v>
      </c>
    </row>
    <row r="2046" spans="1:3" x14ac:dyDescent="0.25">
      <c r="A2046" t="str">
        <f>"20/11/2017"</f>
        <v>20/11/2017</v>
      </c>
      <c r="B2046" t="str">
        <f>"1.2784"</f>
        <v>1.2784</v>
      </c>
      <c r="C2046" t="str">
        <f>"1.278"</f>
        <v>1.278</v>
      </c>
    </row>
    <row r="2047" spans="1:3" x14ac:dyDescent="0.25">
      <c r="A2047" t="str">
        <f>"21/11/2017"</f>
        <v>21/11/2017</v>
      </c>
      <c r="B2047" t="str">
        <f>"1.2805"</f>
        <v>1.2805</v>
      </c>
      <c r="C2047" t="str">
        <f>"1.2801"</f>
        <v>1.2801</v>
      </c>
    </row>
    <row r="2048" spans="1:3" x14ac:dyDescent="0.25">
      <c r="A2048" t="str">
        <f>"22/11/2017"</f>
        <v>22/11/2017</v>
      </c>
      <c r="B2048" t="str">
        <f>"1.2752"</f>
        <v>1.2752</v>
      </c>
      <c r="C2048" t="str">
        <f>"1.2748"</f>
        <v>1.2748</v>
      </c>
    </row>
    <row r="2049" spans="1:3" x14ac:dyDescent="0.25">
      <c r="A2049" t="str">
        <f>"23/11/2017"</f>
        <v>23/11/2017</v>
      </c>
      <c r="B2049" t="str">
        <f>"1.2676"</f>
        <v>1.2676</v>
      </c>
      <c r="C2049" t="str">
        <f>"1.2672"</f>
        <v>1.2672</v>
      </c>
    </row>
    <row r="2050" spans="1:3" x14ac:dyDescent="0.25">
      <c r="A2050" t="str">
        <f>"24/11/2017"</f>
        <v>24/11/2017</v>
      </c>
      <c r="B2050" t="str">
        <f>"1.2732"</f>
        <v>1.2732</v>
      </c>
      <c r="C2050" t="str">
        <f>"1.2728"</f>
        <v>1.2728</v>
      </c>
    </row>
    <row r="2051" spans="1:3" x14ac:dyDescent="0.25">
      <c r="A2051" t="str">
        <f>"27/11/2017"</f>
        <v>27/11/2017</v>
      </c>
      <c r="B2051" t="str">
        <f>"1.2685"</f>
        <v>1.2685</v>
      </c>
      <c r="C2051" t="str">
        <f>"1.2681"</f>
        <v>1.2681</v>
      </c>
    </row>
    <row r="2052" spans="1:3" x14ac:dyDescent="0.25">
      <c r="A2052" t="str">
        <f>"28/11/2017"</f>
        <v>28/11/2017</v>
      </c>
      <c r="B2052" t="str">
        <f>"1.2789"</f>
        <v>1.2789</v>
      </c>
      <c r="C2052" t="str">
        <f>"1.2785"</f>
        <v>1.2785</v>
      </c>
    </row>
    <row r="2053" spans="1:3" x14ac:dyDescent="0.25">
      <c r="A2053" t="str">
        <f>"29/11/2017"</f>
        <v>29/11/2017</v>
      </c>
      <c r="B2053" t="str">
        <f>"1.2843"</f>
        <v>1.2843</v>
      </c>
      <c r="C2053" t="str">
        <f>"1.2838"</f>
        <v>1.2838</v>
      </c>
    </row>
    <row r="2054" spans="1:3" x14ac:dyDescent="0.25">
      <c r="A2054" t="str">
        <f>"30/11/2017"</f>
        <v>30/11/2017</v>
      </c>
      <c r="B2054" t="str">
        <f>"1.2896"</f>
        <v>1.2896</v>
      </c>
      <c r="C2054" t="str">
        <f>"1.2889"</f>
        <v>1.2889</v>
      </c>
    </row>
    <row r="2055" spans="1:3" x14ac:dyDescent="0.25">
      <c r="A2055" t="str">
        <f>"04/12/2017"</f>
        <v>04/12/2017</v>
      </c>
      <c r="B2055" t="str">
        <f>"1.2717"</f>
        <v>1.2717</v>
      </c>
      <c r="C2055" t="str">
        <f>"1.2711"</f>
        <v>1.2711</v>
      </c>
    </row>
    <row r="2056" spans="1:3" x14ac:dyDescent="0.25">
      <c r="A2056" t="str">
        <f>"05/12/2017"</f>
        <v>05/12/2017</v>
      </c>
      <c r="B2056" t="str">
        <f>"1.2635"</f>
        <v>1.2635</v>
      </c>
      <c r="C2056" t="str">
        <f>"1.2628"</f>
        <v>1.2628</v>
      </c>
    </row>
    <row r="2057" spans="1:3" x14ac:dyDescent="0.25">
      <c r="A2057" t="str">
        <f>"06/12/2017"</f>
        <v>06/12/2017</v>
      </c>
      <c r="B2057" t="str">
        <f>"1.2671"</f>
        <v>1.2671</v>
      </c>
      <c r="C2057" t="str">
        <f>"1.2663"</f>
        <v>1.2663</v>
      </c>
    </row>
    <row r="2058" spans="1:3" x14ac:dyDescent="0.25">
      <c r="A2058" t="str">
        <f>"07/12/2017"</f>
        <v>07/12/2017</v>
      </c>
      <c r="B2058" t="str">
        <f>"1.2828"</f>
        <v>1.2828</v>
      </c>
      <c r="C2058" t="str">
        <f>"1.282"</f>
        <v>1.282</v>
      </c>
    </row>
    <row r="2059" spans="1:3" x14ac:dyDescent="0.25">
      <c r="A2059" t="str">
        <f>"08/12/2017"</f>
        <v>08/12/2017</v>
      </c>
      <c r="B2059" t="str">
        <f>"1.2851"</f>
        <v>1.2851</v>
      </c>
      <c r="C2059" t="str">
        <f>"1.2842"</f>
        <v>1.2842</v>
      </c>
    </row>
    <row r="2060" spans="1:3" x14ac:dyDescent="0.25">
      <c r="A2060" t="str">
        <f>"11/12/2017"</f>
        <v>11/12/2017</v>
      </c>
      <c r="B2060" t="str">
        <f>"1.2856"</f>
        <v>1.2856</v>
      </c>
      <c r="C2060" t="str">
        <f>"1.2847"</f>
        <v>1.2847</v>
      </c>
    </row>
    <row r="2061" spans="1:3" x14ac:dyDescent="0.25">
      <c r="A2061" t="str">
        <f>"12/12/2017"</f>
        <v>12/12/2017</v>
      </c>
      <c r="B2061" t="str">
        <f>"1.2819"</f>
        <v>1.2819</v>
      </c>
      <c r="C2061" t="str">
        <f>"1.2809"</f>
        <v>1.2809</v>
      </c>
    </row>
    <row r="2062" spans="1:3" x14ac:dyDescent="0.25">
      <c r="A2062" t="str">
        <f>"13/12/2017"</f>
        <v>13/12/2017</v>
      </c>
      <c r="B2062" t="str">
        <f>"1.2859"</f>
        <v>1.2859</v>
      </c>
      <c r="C2062" t="str">
        <f>"1.2849"</f>
        <v>1.2849</v>
      </c>
    </row>
    <row r="2063" spans="1:3" x14ac:dyDescent="0.25">
      <c r="A2063" t="str">
        <f>"14/12/2017"</f>
        <v>14/12/2017</v>
      </c>
      <c r="B2063" t="str">
        <f>"1.2829"</f>
        <v>1.2829</v>
      </c>
      <c r="C2063" t="str">
        <f>"1.2818"</f>
        <v>1.2818</v>
      </c>
    </row>
    <row r="2064" spans="1:3" x14ac:dyDescent="0.25">
      <c r="A2064" t="str">
        <f>"15/12/2017"</f>
        <v>15/12/2017</v>
      </c>
      <c r="B2064" t="str">
        <f>"1.2767"</f>
        <v>1.2767</v>
      </c>
      <c r="C2064" t="str">
        <f>"1.2754"</f>
        <v>1.2754</v>
      </c>
    </row>
    <row r="2065" spans="1:3" x14ac:dyDescent="0.25">
      <c r="A2065" t="str">
        <f>"18/12/2017"</f>
        <v>18/12/2017</v>
      </c>
      <c r="B2065" t="str">
        <f>"1.2873"</f>
        <v>1.2873</v>
      </c>
      <c r="C2065" t="str">
        <f>"1.2858"</f>
        <v>1.2858</v>
      </c>
    </row>
    <row r="2066" spans="1:3" x14ac:dyDescent="0.25">
      <c r="A2066" t="str">
        <f>"19/12/2017"</f>
        <v>19/12/2017</v>
      </c>
      <c r="B2066" t="str">
        <f>"1.2862"</f>
        <v>1.2862</v>
      </c>
      <c r="C2066" t="str">
        <f>"1.2849"</f>
        <v>1.2849</v>
      </c>
    </row>
    <row r="2067" spans="1:3" x14ac:dyDescent="0.25">
      <c r="A2067" t="str">
        <f>"20/12/2017"</f>
        <v>20/12/2017</v>
      </c>
      <c r="B2067" t="str">
        <f>"1.2858"</f>
        <v>1.2858</v>
      </c>
      <c r="C2067" t="str">
        <f>"1.2846"</f>
        <v>1.2846</v>
      </c>
    </row>
    <row r="2068" spans="1:3" x14ac:dyDescent="0.25">
      <c r="A2068" t="str">
        <f>"21/12/2017"</f>
        <v>21/12/2017</v>
      </c>
      <c r="B2068" t="str">
        <f>"1.2837"</f>
        <v>1.2837</v>
      </c>
      <c r="C2068" t="str">
        <f>"1.2825"</f>
        <v>1.2825</v>
      </c>
    </row>
    <row r="2069" spans="1:3" x14ac:dyDescent="0.25">
      <c r="A2069" t="str">
        <f>"22/12/2017"</f>
        <v>22/12/2017</v>
      </c>
      <c r="B2069" t="str">
        <f>"1.2707"</f>
        <v>1.2707</v>
      </c>
      <c r="C2069" t="str">
        <f>"1.2694"</f>
        <v>1.2694</v>
      </c>
    </row>
    <row r="2070" spans="1:3" x14ac:dyDescent="0.25">
      <c r="A2070" t="str">
        <f>"26/12/2017"</f>
        <v>26/12/2017</v>
      </c>
      <c r="B2070" t="str">
        <f>"1.2719"</f>
        <v>1.2719</v>
      </c>
      <c r="C2070" t="str">
        <f>"1.2706"</f>
        <v>1.2706</v>
      </c>
    </row>
    <row r="2071" spans="1:3" x14ac:dyDescent="0.25">
      <c r="A2071" t="str">
        <f>"27/12/2017"</f>
        <v>27/12/2017</v>
      </c>
      <c r="B2071" t="str">
        <f>"1.2646"</f>
        <v>1.2646</v>
      </c>
      <c r="C2071" t="str">
        <f>"1.2633"</f>
        <v>1.2633</v>
      </c>
    </row>
    <row r="2072" spans="1:3" x14ac:dyDescent="0.25">
      <c r="A2072" t="str">
        <f>"28/12/2017"</f>
        <v>28/12/2017</v>
      </c>
      <c r="B2072" t="str">
        <f>"1.2615"</f>
        <v>1.2615</v>
      </c>
      <c r="C2072" t="str">
        <f>"1.2607"</f>
        <v>1.2607</v>
      </c>
    </row>
    <row r="2073" spans="1:3" x14ac:dyDescent="0.25">
      <c r="A2073" t="str">
        <f>"29/12/2017"</f>
        <v>29/12/2017</v>
      </c>
      <c r="B2073" t="str">
        <f>"1.2534"</f>
        <v>1.2534</v>
      </c>
      <c r="C2073" t="str">
        <f>"1.2529"</f>
        <v>1.2529</v>
      </c>
    </row>
    <row r="2074" spans="1:3" x14ac:dyDescent="0.25">
      <c r="A2074" t="str">
        <f>"02/01/2018"</f>
        <v>02/01/2018</v>
      </c>
      <c r="B2074" t="str">
        <f>"1.2546"</f>
        <v>1.2546</v>
      </c>
      <c r="C2074" t="str">
        <f>"1.254"</f>
        <v>1.254</v>
      </c>
    </row>
    <row r="2075" spans="1:3" x14ac:dyDescent="0.25">
      <c r="A2075" t="str">
        <f>"03/01/2018"</f>
        <v>03/01/2018</v>
      </c>
      <c r="B2075" t="str">
        <f>"1.2519"</f>
        <v>1.2519</v>
      </c>
      <c r="C2075" t="str">
        <f>"1.2513"</f>
        <v>1.2513</v>
      </c>
    </row>
    <row r="2076" spans="1:3" x14ac:dyDescent="0.25">
      <c r="A2076" t="str">
        <f>"04/01/2018"</f>
        <v>04/01/2018</v>
      </c>
      <c r="B2076" t="str">
        <f>"1.252"</f>
        <v>1.252</v>
      </c>
      <c r="C2076" t="str">
        <f>"1.2514"</f>
        <v>1.2514</v>
      </c>
    </row>
    <row r="2077" spans="1:3" x14ac:dyDescent="0.25">
      <c r="A2077" t="str">
        <f>"05/01/2018"</f>
        <v>05/01/2018</v>
      </c>
      <c r="B2077" t="str">
        <f>"1.251"</f>
        <v>1.251</v>
      </c>
      <c r="C2077" t="str">
        <f>"1.2505"</f>
        <v>1.2505</v>
      </c>
    </row>
    <row r="2078" spans="1:3" x14ac:dyDescent="0.25">
      <c r="A2078" t="str">
        <f>"08/01/2018"</f>
        <v>08/01/2018</v>
      </c>
      <c r="B2078" t="str">
        <f>"1.2398"</f>
        <v>1.2398</v>
      </c>
      <c r="C2078" t="str">
        <f>"1.2394"</f>
        <v>1.2394</v>
      </c>
    </row>
    <row r="2079" spans="1:3" x14ac:dyDescent="0.25">
      <c r="A2079" t="str">
        <f>"09/01/2018"</f>
        <v>09/01/2018</v>
      </c>
      <c r="B2079" t="str">
        <f>"1.2431"</f>
        <v>1.2431</v>
      </c>
      <c r="C2079" t="str">
        <f>"1.2427"</f>
        <v>1.2427</v>
      </c>
    </row>
    <row r="2080" spans="1:3" x14ac:dyDescent="0.25">
      <c r="A2080" t="str">
        <f>"10/01/2018"</f>
        <v>10/01/2018</v>
      </c>
      <c r="B2080" t="str">
        <f>"1.2436"</f>
        <v>1.2436</v>
      </c>
      <c r="C2080" t="str">
        <f>"1.2432"</f>
        <v>1.2432</v>
      </c>
    </row>
    <row r="2081" spans="1:3" x14ac:dyDescent="0.25">
      <c r="A2081" t="str">
        <f>"11/01/2018"</f>
        <v>11/01/2018</v>
      </c>
      <c r="B2081" t="str">
        <f>"1.2575"</f>
        <v>1.2575</v>
      </c>
      <c r="C2081" t="str">
        <f>"1.2571"</f>
        <v>1.2571</v>
      </c>
    </row>
    <row r="2082" spans="1:3" x14ac:dyDescent="0.25">
      <c r="A2082" t="str">
        <f>"12/01/2018"</f>
        <v>12/01/2018</v>
      </c>
      <c r="B2082" t="str">
        <f>"1.2518"</f>
        <v>1.2518</v>
      </c>
      <c r="C2082" t="str">
        <f>"1.2514"</f>
        <v>1.2514</v>
      </c>
    </row>
    <row r="2083" spans="1:3" x14ac:dyDescent="0.25">
      <c r="A2083" t="str">
        <f>"15/01/2018"</f>
        <v>15/01/2018</v>
      </c>
      <c r="B2083" t="str">
        <f>"1.2434"</f>
        <v>1.2434</v>
      </c>
      <c r="C2083" t="str">
        <f>"1.243"</f>
        <v>1.243</v>
      </c>
    </row>
    <row r="2084" spans="1:3" x14ac:dyDescent="0.25">
      <c r="A2084" t="str">
        <f>"16/01/2018"</f>
        <v>16/01/2018</v>
      </c>
      <c r="B2084" t="str">
        <f>"1.2441"</f>
        <v>1.2441</v>
      </c>
      <c r="C2084" t="str">
        <f>"1.2437"</f>
        <v>1.2437</v>
      </c>
    </row>
    <row r="2085" spans="1:3" x14ac:dyDescent="0.25">
      <c r="A2085" t="str">
        <f>"17/01/2018"</f>
        <v>17/01/2018</v>
      </c>
      <c r="B2085" t="str">
        <f>"1.2438"</f>
        <v>1.2438</v>
      </c>
      <c r="C2085" t="str">
        <f>"1.2434"</f>
        <v>1.2434</v>
      </c>
    </row>
    <row r="2086" spans="1:3" x14ac:dyDescent="0.25">
      <c r="A2086" t="str">
        <f>"18/01/2018"</f>
        <v>18/01/2018</v>
      </c>
      <c r="B2086" t="str">
        <f>"1.2455"</f>
        <v>1.2455</v>
      </c>
      <c r="C2086" t="str">
        <f>"1.2451"</f>
        <v>1.2451</v>
      </c>
    </row>
    <row r="2087" spans="1:3" x14ac:dyDescent="0.25">
      <c r="A2087" t="str">
        <f>"19/01/2018"</f>
        <v>19/01/2018</v>
      </c>
      <c r="B2087" t="str">
        <f>"1.2421"</f>
        <v>1.2421</v>
      </c>
      <c r="C2087" t="str">
        <f>"1.2417"</f>
        <v>1.2417</v>
      </c>
    </row>
    <row r="2088" spans="1:3" x14ac:dyDescent="0.25">
      <c r="A2088" t="str">
        <f>"22/01/2018"</f>
        <v>22/01/2018</v>
      </c>
      <c r="B2088" t="str">
        <f>"1.2465"</f>
        <v>1.2465</v>
      </c>
      <c r="C2088" t="str">
        <f>"1.2461"</f>
        <v>1.2461</v>
      </c>
    </row>
    <row r="2089" spans="1:3" x14ac:dyDescent="0.25">
      <c r="A2089" t="str">
        <f>"23/01/2018"</f>
        <v>23/01/2018</v>
      </c>
      <c r="B2089" t="str">
        <f>"1.2489"</f>
        <v>1.2489</v>
      </c>
      <c r="C2089" t="str">
        <f>"1.2485"</f>
        <v>1.2485</v>
      </c>
    </row>
    <row r="2090" spans="1:3" x14ac:dyDescent="0.25">
      <c r="A2090" t="str">
        <f>"24/01/2018"</f>
        <v>24/01/2018</v>
      </c>
      <c r="B2090" t="str">
        <f>"1.234"</f>
        <v>1.234</v>
      </c>
      <c r="C2090" t="str">
        <f>"1.2336"</f>
        <v>1.2336</v>
      </c>
    </row>
    <row r="2091" spans="1:3" x14ac:dyDescent="0.25">
      <c r="A2091" t="str">
        <f>"25/01/2018"</f>
        <v>25/01/2018</v>
      </c>
      <c r="B2091" t="str">
        <f>"1.2323"</f>
        <v>1.2323</v>
      </c>
      <c r="C2091" t="str">
        <f>"1.232"</f>
        <v>1.232</v>
      </c>
    </row>
    <row r="2092" spans="1:3" x14ac:dyDescent="0.25">
      <c r="A2092" t="str">
        <f>"29/01/2018"</f>
        <v>29/01/2018</v>
      </c>
      <c r="B2092" t="str">
        <f>"1.2342"</f>
        <v>1.2342</v>
      </c>
      <c r="C2092" t="str">
        <f>"1.2339"</f>
        <v>1.2339</v>
      </c>
    </row>
    <row r="2093" spans="1:3" x14ac:dyDescent="0.25">
      <c r="A2093" t="str">
        <f>"30/01/2018"</f>
        <v>30/01/2018</v>
      </c>
      <c r="B2093" t="str">
        <f>"1.2314"</f>
        <v>1.2314</v>
      </c>
      <c r="C2093" t="str">
        <f>"1.2311"</f>
        <v>1.2311</v>
      </c>
    </row>
    <row r="2094" spans="1:3" x14ac:dyDescent="0.25">
      <c r="A2094" t="str">
        <f>"31/01/2018"</f>
        <v>31/01/2018</v>
      </c>
      <c r="B2094" t="str">
        <f>"1.228"</f>
        <v>1.228</v>
      </c>
      <c r="C2094" t="str">
        <f>"1.2276"</f>
        <v>1.2276</v>
      </c>
    </row>
    <row r="2095" spans="1:3" x14ac:dyDescent="0.25">
      <c r="A2095" t="str">
        <f>"01/02/2018"</f>
        <v>01/02/2018</v>
      </c>
      <c r="B2095" t="str">
        <f>"1.2328"</f>
        <v>1.2328</v>
      </c>
      <c r="C2095" t="str">
        <f>"1.2324"</f>
        <v>1.2324</v>
      </c>
    </row>
    <row r="2096" spans="1:3" x14ac:dyDescent="0.25">
      <c r="A2096" t="str">
        <f>"02/02/2018"</f>
        <v>02/02/2018</v>
      </c>
      <c r="B2096" t="str">
        <f>"1.2306"</f>
        <v>1.2306</v>
      </c>
      <c r="C2096" t="str">
        <f>"1.2302"</f>
        <v>1.2302</v>
      </c>
    </row>
    <row r="2097" spans="1:3" x14ac:dyDescent="0.25">
      <c r="A2097" t="str">
        <f>"05/02/2018"</f>
        <v>05/02/2018</v>
      </c>
      <c r="B2097" t="str">
        <f>"1.2425"</f>
        <v>1.2425</v>
      </c>
      <c r="C2097" t="str">
        <f>"1.2422"</f>
        <v>1.2422</v>
      </c>
    </row>
    <row r="2098" spans="1:3" x14ac:dyDescent="0.25">
      <c r="A2098" t="str">
        <f>"06/02/2018"</f>
        <v>06/02/2018</v>
      </c>
      <c r="B2098" t="str">
        <f>"1.2538"</f>
        <v>1.2538</v>
      </c>
      <c r="C2098" t="str">
        <f>"1.2535"</f>
        <v>1.2535</v>
      </c>
    </row>
    <row r="2099" spans="1:3" x14ac:dyDescent="0.25">
      <c r="A2099" t="str">
        <f>"07/02/2018"</f>
        <v>07/02/2018</v>
      </c>
      <c r="B2099" t="str">
        <f>"1.2519"</f>
        <v>1.2519</v>
      </c>
      <c r="C2099" t="str">
        <f>"1.2516"</f>
        <v>1.2516</v>
      </c>
    </row>
    <row r="2100" spans="1:3" x14ac:dyDescent="0.25">
      <c r="A2100" t="str">
        <f>"08/02/2018"</f>
        <v>08/02/2018</v>
      </c>
      <c r="B2100" t="str">
        <f>"1.2593"</f>
        <v>1.2593</v>
      </c>
      <c r="C2100" t="str">
        <f>"1.259"</f>
        <v>1.259</v>
      </c>
    </row>
    <row r="2101" spans="1:3" x14ac:dyDescent="0.25">
      <c r="A2101" t="str">
        <f>"09/02/2018"</f>
        <v>09/02/2018</v>
      </c>
      <c r="B2101" t="str">
        <f>"1.2613"</f>
        <v>1.2613</v>
      </c>
      <c r="C2101" t="str">
        <f>"1.2609"</f>
        <v>1.2609</v>
      </c>
    </row>
    <row r="2102" spans="1:3" x14ac:dyDescent="0.25">
      <c r="A2102" t="str">
        <f>"12/02/2018"</f>
        <v>12/02/2018</v>
      </c>
      <c r="B2102" t="str">
        <f>"1.2563"</f>
        <v>1.2563</v>
      </c>
      <c r="C2102" t="str">
        <f>"1.2559"</f>
        <v>1.2559</v>
      </c>
    </row>
    <row r="2103" spans="1:3" x14ac:dyDescent="0.25">
      <c r="A2103" t="str">
        <f>"14/02/2018"</f>
        <v>14/02/2018</v>
      </c>
      <c r="B2103" t="str">
        <f>"1.2578"</f>
        <v>1.2578</v>
      </c>
      <c r="C2103" t="str">
        <f>"1.2574"</f>
        <v>1.2574</v>
      </c>
    </row>
    <row r="2104" spans="1:3" x14ac:dyDescent="0.25">
      <c r="A2104" t="str">
        <f>"15/02/2018"</f>
        <v>15/02/2018</v>
      </c>
      <c r="B2104" t="str">
        <f>"1.2488"</f>
        <v>1.2488</v>
      </c>
      <c r="C2104" t="str">
        <f>"1.2484"</f>
        <v>1.2484</v>
      </c>
    </row>
    <row r="2105" spans="1:3" x14ac:dyDescent="0.25">
      <c r="A2105" t="str">
        <f>"16/02/2018"</f>
        <v>16/02/2018</v>
      </c>
      <c r="B2105" t="str">
        <f>"1.2476"</f>
        <v>1.2476</v>
      </c>
      <c r="C2105" t="str">
        <f>"1.2472"</f>
        <v>1.2472</v>
      </c>
    </row>
    <row r="2106" spans="1:3" x14ac:dyDescent="0.25">
      <c r="A2106" t="str">
        <f>"20/02/2018"</f>
        <v>20/02/2018</v>
      </c>
      <c r="B2106" t="str">
        <f>"1.2599"</f>
        <v>1.2599</v>
      </c>
      <c r="C2106" t="str">
        <f>"1.2595"</f>
        <v>1.2595</v>
      </c>
    </row>
    <row r="2107" spans="1:3" x14ac:dyDescent="0.25">
      <c r="A2107" t="str">
        <f>"21/02/2018"</f>
        <v>21/02/2018</v>
      </c>
      <c r="B2107" t="str">
        <f>"1.2662"</f>
        <v>1.2662</v>
      </c>
      <c r="C2107" t="str">
        <f>"1.2657"</f>
        <v>1.2657</v>
      </c>
    </row>
    <row r="2108" spans="1:3" x14ac:dyDescent="0.25">
      <c r="A2108" t="str">
        <f>"22/02/2018"</f>
        <v>22/02/2018</v>
      </c>
      <c r="B2108" t="str">
        <f>"1.2691"</f>
        <v>1.2691</v>
      </c>
      <c r="C2108" t="str">
        <f>"1.2686"</f>
        <v>1.2686</v>
      </c>
    </row>
    <row r="2109" spans="1:3" x14ac:dyDescent="0.25">
      <c r="A2109" t="str">
        <f>"23/02/2018"</f>
        <v>23/02/2018</v>
      </c>
      <c r="B2109" t="str">
        <f>"1.2709"</f>
        <v>1.2709</v>
      </c>
      <c r="C2109" t="str">
        <f>"1.2704"</f>
        <v>1.2704</v>
      </c>
    </row>
    <row r="2110" spans="1:3" x14ac:dyDescent="0.25">
      <c r="A2110" t="str">
        <f>"26/02/2018"</f>
        <v>26/02/2018</v>
      </c>
      <c r="B2110" t="str">
        <f>"1.2635"</f>
        <v>1.2635</v>
      </c>
      <c r="C2110" t="str">
        <f>"1.263"</f>
        <v>1.263</v>
      </c>
    </row>
    <row r="2111" spans="1:3" x14ac:dyDescent="0.25">
      <c r="A2111" t="str">
        <f>"27/02/2018"</f>
        <v>27/02/2018</v>
      </c>
      <c r="B2111" t="str">
        <f>"1.2694"</f>
        <v>1.2694</v>
      </c>
      <c r="C2111" t="str">
        <f>"1.2689"</f>
        <v>1.2689</v>
      </c>
    </row>
    <row r="2112" spans="1:3" x14ac:dyDescent="0.25">
      <c r="A2112" t="str">
        <f>"28/02/2018"</f>
        <v>28/02/2018</v>
      </c>
      <c r="B2112" t="str">
        <f>"1.2767"</f>
        <v>1.2767</v>
      </c>
      <c r="C2112" t="str">
        <f>"1.276"</f>
        <v>1.276</v>
      </c>
    </row>
    <row r="2113" spans="1:3" x14ac:dyDescent="0.25">
      <c r="A2113" t="str">
        <f>"01/03/2018"</f>
        <v>01/03/2018</v>
      </c>
      <c r="B2113" t="str">
        <f>"1.2847"</f>
        <v>1.2847</v>
      </c>
      <c r="C2113" t="str">
        <f>"1.2839"</f>
        <v>1.2839</v>
      </c>
    </row>
    <row r="2114" spans="1:3" x14ac:dyDescent="0.25">
      <c r="A2114" t="str">
        <f>"05/03/2018"</f>
        <v>05/03/2018</v>
      </c>
      <c r="B2114" t="str">
        <f>"1.2907"</f>
        <v>1.2907</v>
      </c>
      <c r="C2114" t="str">
        <f>"1.2898"</f>
        <v>1.2898</v>
      </c>
    </row>
    <row r="2115" spans="1:3" x14ac:dyDescent="0.25">
      <c r="A2115" t="str">
        <f>"06/03/2018"</f>
        <v>06/03/2018</v>
      </c>
      <c r="B2115" t="str">
        <f>"1.2952"</f>
        <v>1.2952</v>
      </c>
      <c r="C2115" t="str">
        <f>"1.2942"</f>
        <v>1.2942</v>
      </c>
    </row>
    <row r="2116" spans="1:3" x14ac:dyDescent="0.25">
      <c r="A2116" t="str">
        <f>"07/03/2018"</f>
        <v>07/03/2018</v>
      </c>
      <c r="B2116" t="str">
        <f>"1.2936"</f>
        <v>1.2936</v>
      </c>
      <c r="C2116" t="str">
        <f>"1.2926"</f>
        <v>1.2926</v>
      </c>
    </row>
    <row r="2117" spans="1:3" x14ac:dyDescent="0.25">
      <c r="A2117" t="str">
        <f>"08/03/2018"</f>
        <v>08/03/2018</v>
      </c>
      <c r="B2117" t="str">
        <f>"1.2949"</f>
        <v>1.2949</v>
      </c>
      <c r="C2117" t="str">
        <f>"1.2938"</f>
        <v>1.2938</v>
      </c>
    </row>
    <row r="2118" spans="1:3" x14ac:dyDescent="0.25">
      <c r="A2118" t="str">
        <f>"09/03/2018"</f>
        <v>09/03/2018</v>
      </c>
      <c r="B2118" t="str">
        <f>"1.2873"</f>
        <v>1.2873</v>
      </c>
      <c r="C2118" t="str">
        <f>"1.2862"</f>
        <v>1.2862</v>
      </c>
    </row>
    <row r="2119" spans="1:3" x14ac:dyDescent="0.25">
      <c r="A2119" t="str">
        <f>"12/03/2018"</f>
        <v>12/03/2018</v>
      </c>
      <c r="B2119" t="str">
        <f>"1.2836"</f>
        <v>1.2836</v>
      </c>
      <c r="C2119" t="str">
        <f>"1.2826"</f>
        <v>1.2826</v>
      </c>
    </row>
    <row r="2120" spans="1:3" x14ac:dyDescent="0.25">
      <c r="A2120" t="str">
        <f>"13/03/2018"</f>
        <v>13/03/2018</v>
      </c>
      <c r="B2120" t="str">
        <f>"1.287"</f>
        <v>1.287</v>
      </c>
      <c r="C2120" t="str">
        <f>"1.286"</f>
        <v>1.286</v>
      </c>
    </row>
    <row r="2121" spans="1:3" x14ac:dyDescent="0.25">
      <c r="A2121" t="str">
        <f>"14/03/2018"</f>
        <v>14/03/2018</v>
      </c>
      <c r="B2121" t="str">
        <f>"1.2955"</f>
        <v>1.2955</v>
      </c>
      <c r="C2121" t="str">
        <f>"1.2945"</f>
        <v>1.2945</v>
      </c>
    </row>
    <row r="2122" spans="1:3" x14ac:dyDescent="0.25">
      <c r="A2122" t="str">
        <f>"15/03/2018"</f>
        <v>15/03/2018</v>
      </c>
      <c r="B2122" t="str">
        <f>"1.2978"</f>
        <v>1.2978</v>
      </c>
      <c r="C2122" t="str">
        <f>"1.2968"</f>
        <v>1.2968</v>
      </c>
    </row>
    <row r="2123" spans="1:3" x14ac:dyDescent="0.25">
      <c r="A2123" t="str">
        <f>"16/03/2018"</f>
        <v>16/03/2018</v>
      </c>
      <c r="B2123" t="str">
        <f>"1.3091"</f>
        <v>1.3091</v>
      </c>
      <c r="C2123" t="str">
        <f>"1.3081"</f>
        <v>1.3081</v>
      </c>
    </row>
    <row r="2124" spans="1:3" x14ac:dyDescent="0.25">
      <c r="A2124" t="str">
        <f>"19/03/2018"</f>
        <v>19/03/2018</v>
      </c>
      <c r="B2124" t="str">
        <f>"1.3095"</f>
        <v>1.3095</v>
      </c>
      <c r="C2124" t="str">
        <f>"1.3085"</f>
        <v>1.3085</v>
      </c>
    </row>
    <row r="2125" spans="1:3" x14ac:dyDescent="0.25">
      <c r="A2125" t="str">
        <f>"20/03/2018"</f>
        <v>20/03/2018</v>
      </c>
      <c r="B2125" t="str">
        <f>"1.3063"</f>
        <v>1.3063</v>
      </c>
      <c r="C2125" t="str">
        <f>"1.3053"</f>
        <v>1.3053</v>
      </c>
    </row>
    <row r="2126" spans="1:3" x14ac:dyDescent="0.25">
      <c r="A2126" t="str">
        <f>"21/03/2018"</f>
        <v>21/03/2018</v>
      </c>
      <c r="B2126" t="str">
        <f>"1.3014"</f>
        <v>1.3014</v>
      </c>
      <c r="C2126" t="str">
        <f>"1.3005"</f>
        <v>1.3005</v>
      </c>
    </row>
    <row r="2127" spans="1:3" x14ac:dyDescent="0.25">
      <c r="A2127" t="str">
        <f>"22/03/2018"</f>
        <v>22/03/2018</v>
      </c>
      <c r="B2127" t="str">
        <f>"1.2864"</f>
        <v>1.2864</v>
      </c>
      <c r="C2127" t="str">
        <f>"1.2856"</f>
        <v>1.2856</v>
      </c>
    </row>
    <row r="2128" spans="1:3" x14ac:dyDescent="0.25">
      <c r="A2128" t="str">
        <f>"23/03/2018"</f>
        <v>23/03/2018</v>
      </c>
      <c r="B2128" t="str">
        <f>"1.2917"</f>
        <v>1.2917</v>
      </c>
      <c r="C2128" t="str">
        <f>"1.2908"</f>
        <v>1.2908</v>
      </c>
    </row>
    <row r="2129" spans="1:3" x14ac:dyDescent="0.25">
      <c r="A2129" t="str">
        <f>"26/03/2018"</f>
        <v>26/03/2018</v>
      </c>
      <c r="B2129" t="str">
        <f>"1.288"</f>
        <v>1.288</v>
      </c>
      <c r="C2129" t="str">
        <f>"1.2871"</f>
        <v>1.2871</v>
      </c>
    </row>
    <row r="2130" spans="1:3" x14ac:dyDescent="0.25">
      <c r="A2130" t="str">
        <f>"27/03/2018"</f>
        <v>27/03/2018</v>
      </c>
      <c r="B2130" t="str">
        <f>"1.2875"</f>
        <v>1.2875</v>
      </c>
      <c r="C2130" t="str">
        <f>"1.2867"</f>
        <v>1.2867</v>
      </c>
    </row>
    <row r="2131" spans="1:3" x14ac:dyDescent="0.25">
      <c r="A2131" t="str">
        <f>"28/03/2018"</f>
        <v>28/03/2018</v>
      </c>
      <c r="B2131" t="str">
        <f>"1.2865"</f>
        <v>1.2865</v>
      </c>
      <c r="C2131" t="str">
        <f>"1.2857"</f>
        <v>1.2857</v>
      </c>
    </row>
    <row r="2132" spans="1:3" x14ac:dyDescent="0.25">
      <c r="A2132" t="str">
        <f>"03/04/2018"</f>
        <v>03/04/2018</v>
      </c>
      <c r="B2132" t="str">
        <f>"1.2884"</f>
        <v>1.2884</v>
      </c>
      <c r="C2132" t="str">
        <f>"1.2877"</f>
        <v>1.2877</v>
      </c>
    </row>
    <row r="2133" spans="1:3" x14ac:dyDescent="0.25">
      <c r="A2133" t="str">
        <f>"04/04/2018"</f>
        <v>04/04/2018</v>
      </c>
      <c r="B2133" t="str">
        <f>"1.2828"</f>
        <v>1.2828</v>
      </c>
      <c r="C2133" t="str">
        <f>"1.282"</f>
        <v>1.282</v>
      </c>
    </row>
    <row r="2134" spans="1:3" x14ac:dyDescent="0.25">
      <c r="A2134" t="str">
        <f>"05/04/2018"</f>
        <v>05/04/2018</v>
      </c>
      <c r="B2134" t="str">
        <f>"1.2776"</f>
        <v>1.2776</v>
      </c>
      <c r="C2134" t="str">
        <f>"1.2769"</f>
        <v>1.2769</v>
      </c>
    </row>
    <row r="2135" spans="1:3" x14ac:dyDescent="0.25">
      <c r="A2135" t="str">
        <f>"06/04/2018"</f>
        <v>06/04/2018</v>
      </c>
      <c r="B2135" t="str">
        <f>"1.2784"</f>
        <v>1.2784</v>
      </c>
      <c r="C2135" t="str">
        <f>"1.2777"</f>
        <v>1.2777</v>
      </c>
    </row>
    <row r="2136" spans="1:3" x14ac:dyDescent="0.25">
      <c r="A2136" t="str">
        <f>"09/04/2018"</f>
        <v>09/04/2018</v>
      </c>
      <c r="B2136" t="str">
        <f>"1.2771"</f>
        <v>1.2771</v>
      </c>
      <c r="C2136" t="str">
        <f>"1.2764"</f>
        <v>1.2764</v>
      </c>
    </row>
    <row r="2137" spans="1:3" x14ac:dyDescent="0.25">
      <c r="A2137" t="str">
        <f>"10/04/2018"</f>
        <v>10/04/2018</v>
      </c>
      <c r="B2137" t="str">
        <f>"1.2674"</f>
        <v>1.2674</v>
      </c>
      <c r="C2137" t="str">
        <f>"1.2667"</f>
        <v>1.2667</v>
      </c>
    </row>
    <row r="2138" spans="1:3" x14ac:dyDescent="0.25">
      <c r="A2138" t="str">
        <f>"11/04/2018"</f>
        <v>11/04/2018</v>
      </c>
      <c r="B2138" t="str">
        <f>"1.2612"</f>
        <v>1.2612</v>
      </c>
      <c r="C2138" t="str">
        <f>"1.2604"</f>
        <v>1.2604</v>
      </c>
    </row>
    <row r="2139" spans="1:3" x14ac:dyDescent="0.25">
      <c r="A2139" t="str">
        <f>"12/04/2018"</f>
        <v>12/04/2018</v>
      </c>
      <c r="B2139" t="str">
        <f>"1.2584"</f>
        <v>1.2584</v>
      </c>
      <c r="C2139" t="str">
        <f>"1.2576"</f>
        <v>1.2576</v>
      </c>
    </row>
    <row r="2140" spans="1:3" x14ac:dyDescent="0.25">
      <c r="A2140" t="str">
        <f>"13/04/2018"</f>
        <v>13/04/2018</v>
      </c>
      <c r="B2140" t="str">
        <f>"1.2566"</f>
        <v>1.2566</v>
      </c>
      <c r="C2140" t="str">
        <f>"1.2559"</f>
        <v>1.2559</v>
      </c>
    </row>
    <row r="2141" spans="1:3" x14ac:dyDescent="0.25">
      <c r="A2141" t="str">
        <f>"16/04/2018"</f>
        <v>16/04/2018</v>
      </c>
      <c r="B2141" t="str">
        <f>"1.2607"</f>
        <v>1.2607</v>
      </c>
      <c r="C2141" t="str">
        <f>"1.26"</f>
        <v>1.26</v>
      </c>
    </row>
    <row r="2142" spans="1:3" x14ac:dyDescent="0.25">
      <c r="A2142" t="str">
        <f>"17/04/2018"</f>
        <v>17/04/2018</v>
      </c>
      <c r="B2142" t="str">
        <f>"1.2558"</f>
        <v>1.2558</v>
      </c>
      <c r="C2142" t="str">
        <f>"1.2551"</f>
        <v>1.2551</v>
      </c>
    </row>
    <row r="2143" spans="1:3" x14ac:dyDescent="0.25">
      <c r="A2143" t="str">
        <f>"18/04/2018"</f>
        <v>18/04/2018</v>
      </c>
      <c r="B2143" t="str">
        <f>"1.2577"</f>
        <v>1.2577</v>
      </c>
      <c r="C2143" t="str">
        <f>"1.257"</f>
        <v>1.257</v>
      </c>
    </row>
    <row r="2144" spans="1:3" x14ac:dyDescent="0.25">
      <c r="A2144" t="str">
        <f>"19/04/2018"</f>
        <v>19/04/2018</v>
      </c>
      <c r="B2144" t="str">
        <f>"1.2604"</f>
        <v>1.2604</v>
      </c>
      <c r="C2144" t="str">
        <f>"1.2597"</f>
        <v>1.2597</v>
      </c>
    </row>
    <row r="2145" spans="1:3" x14ac:dyDescent="0.25">
      <c r="A2145" t="str">
        <f>"20/04/2018"</f>
        <v>20/04/2018</v>
      </c>
      <c r="B2145" t="str">
        <f>"1.2657"</f>
        <v>1.2657</v>
      </c>
      <c r="C2145" t="str">
        <f>"1.265"</f>
        <v>1.265</v>
      </c>
    </row>
    <row r="2146" spans="1:3" x14ac:dyDescent="0.25">
      <c r="A2146" t="str">
        <f>"23/04/2018"</f>
        <v>23/04/2018</v>
      </c>
      <c r="B2146" t="str">
        <f>"1.2793"</f>
        <v>1.2793</v>
      </c>
      <c r="C2146" t="str">
        <f>"1.2786"</f>
        <v>1.2786</v>
      </c>
    </row>
    <row r="2147" spans="1:3" x14ac:dyDescent="0.25">
      <c r="A2147" t="str">
        <f>"24/04/2018"</f>
        <v>24/04/2018</v>
      </c>
      <c r="B2147" t="str">
        <f>"1.2833"</f>
        <v>1.2833</v>
      </c>
      <c r="C2147" t="str">
        <f>"1.2826"</f>
        <v>1.2826</v>
      </c>
    </row>
    <row r="2148" spans="1:3" x14ac:dyDescent="0.25">
      <c r="A2148" t="str">
        <f>"25/04/2018"</f>
        <v>25/04/2018</v>
      </c>
      <c r="B2148" t="str">
        <f>"1.2884"</f>
        <v>1.2884</v>
      </c>
      <c r="C2148" t="str">
        <f>"1.2876"</f>
        <v>1.2876</v>
      </c>
    </row>
    <row r="2149" spans="1:3" x14ac:dyDescent="0.25">
      <c r="A2149" t="str">
        <f>"26/04/2018"</f>
        <v>26/04/2018</v>
      </c>
      <c r="B2149" t="str">
        <f>"1.2833"</f>
        <v>1.2833</v>
      </c>
      <c r="C2149" t="str">
        <f>"1.2825"</f>
        <v>1.2825</v>
      </c>
    </row>
    <row r="2150" spans="1:3" x14ac:dyDescent="0.25">
      <c r="A2150" t="str">
        <f>"27/04/2018"</f>
        <v>27/04/2018</v>
      </c>
      <c r="B2150" t="str">
        <f>"1.2886"</f>
        <v>1.2886</v>
      </c>
      <c r="C2150" t="str">
        <f>"1.2878"</f>
        <v>1.2878</v>
      </c>
    </row>
    <row r="2151" spans="1:3" x14ac:dyDescent="0.25">
      <c r="A2151" t="str">
        <f>"02/05/2018"</f>
        <v>02/05/2018</v>
      </c>
      <c r="B2151" t="str">
        <f>"1.2834"</f>
        <v>1.2834</v>
      </c>
      <c r="C2151" t="str">
        <f>"1.2827"</f>
        <v>1.2827</v>
      </c>
    </row>
    <row r="2152" spans="1:3" x14ac:dyDescent="0.25">
      <c r="A2152" t="str">
        <f>"03/05/2018"</f>
        <v>03/05/2018</v>
      </c>
      <c r="B2152" t="str">
        <f>"1.284"</f>
        <v>1.284</v>
      </c>
      <c r="C2152" t="str">
        <f>"1.2833"</f>
        <v>1.2833</v>
      </c>
    </row>
    <row r="2153" spans="1:3" x14ac:dyDescent="0.25">
      <c r="A2153" t="str">
        <f>"04/05/2018"</f>
        <v>04/05/2018</v>
      </c>
      <c r="B2153" t="str">
        <f>"1.2874"</f>
        <v>1.2874</v>
      </c>
      <c r="C2153" t="str">
        <f>"1.2867"</f>
        <v>1.2867</v>
      </c>
    </row>
    <row r="2154" spans="1:3" x14ac:dyDescent="0.25">
      <c r="A2154" t="str">
        <f>"07/05/2018"</f>
        <v>07/05/2018</v>
      </c>
      <c r="B2154" t="str">
        <f>"1.2873"</f>
        <v>1.2873</v>
      </c>
      <c r="C2154" t="str">
        <f>"1.2866"</f>
        <v>1.2866</v>
      </c>
    </row>
    <row r="2155" spans="1:3" x14ac:dyDescent="0.25">
      <c r="A2155" t="str">
        <f>"08/05/2018"</f>
        <v>08/05/2018</v>
      </c>
      <c r="B2155" t="str">
        <f>"1.2964"</f>
        <v>1.2964</v>
      </c>
      <c r="C2155" t="str">
        <f>"1.2957"</f>
        <v>1.2957</v>
      </c>
    </row>
    <row r="2156" spans="1:3" x14ac:dyDescent="0.25">
      <c r="A2156" t="str">
        <f>"09/05/2018"</f>
        <v>09/05/2018</v>
      </c>
      <c r="B2156" t="str">
        <f>"1.2912"</f>
        <v>1.2912</v>
      </c>
      <c r="C2156" t="str">
        <f>"1.2905"</f>
        <v>1.2905</v>
      </c>
    </row>
    <row r="2157" spans="1:3" x14ac:dyDescent="0.25">
      <c r="A2157" t="str">
        <f>"10/05/2018"</f>
        <v>10/05/2018</v>
      </c>
      <c r="B2157" t="str">
        <f>"1.2782"</f>
        <v>1.2782</v>
      </c>
      <c r="C2157" t="str">
        <f>"1.2775"</f>
        <v>1.2775</v>
      </c>
    </row>
    <row r="2158" spans="1:3" x14ac:dyDescent="0.25">
      <c r="A2158" t="str">
        <f>"11/05/2018"</f>
        <v>11/05/2018</v>
      </c>
      <c r="B2158" t="str">
        <f>"1.2742"</f>
        <v>1.2742</v>
      </c>
      <c r="C2158" t="str">
        <f>"1.2735"</f>
        <v>1.2735</v>
      </c>
    </row>
    <row r="2159" spans="1:3" x14ac:dyDescent="0.25">
      <c r="A2159" t="str">
        <f>"14/05/2018"</f>
        <v>14/05/2018</v>
      </c>
      <c r="B2159" t="str">
        <f>"1.2768"</f>
        <v>1.2768</v>
      </c>
      <c r="C2159" t="str">
        <f>"1.2761"</f>
        <v>1.2761</v>
      </c>
    </row>
    <row r="2160" spans="1:3" x14ac:dyDescent="0.25">
      <c r="A2160" t="str">
        <f>"15/05/2018"</f>
        <v>15/05/2018</v>
      </c>
      <c r="B2160" t="str">
        <f>"1.2834"</f>
        <v>1.2834</v>
      </c>
      <c r="C2160" t="str">
        <f>"1.2827"</f>
        <v>1.2827</v>
      </c>
    </row>
    <row r="2161" spans="1:3" x14ac:dyDescent="0.25">
      <c r="A2161" t="str">
        <f>"16/05/2018"</f>
        <v>16/05/2018</v>
      </c>
      <c r="B2161" t="str">
        <f>"1.286"</f>
        <v>1.286</v>
      </c>
      <c r="C2161" t="str">
        <f>"1.2853"</f>
        <v>1.2853</v>
      </c>
    </row>
    <row r="2162" spans="1:3" x14ac:dyDescent="0.25">
      <c r="A2162" t="str">
        <f>"17/05/2018"</f>
        <v>17/05/2018</v>
      </c>
      <c r="B2162" t="str">
        <f>"1.2782"</f>
        <v>1.2782</v>
      </c>
      <c r="C2162" t="str">
        <f>"1.2775"</f>
        <v>1.2775</v>
      </c>
    </row>
    <row r="2163" spans="1:3" x14ac:dyDescent="0.25">
      <c r="A2163" t="str">
        <f>"18/05/2018"</f>
        <v>18/05/2018</v>
      </c>
      <c r="B2163" t="str">
        <f>"1.2817"</f>
        <v>1.2817</v>
      </c>
      <c r="C2163" t="str">
        <f>"1.281"</f>
        <v>1.281</v>
      </c>
    </row>
    <row r="2164" spans="1:3" x14ac:dyDescent="0.25">
      <c r="A2164" t="str">
        <f>"21/05/2018"</f>
        <v>21/05/2018</v>
      </c>
      <c r="B2164" t="str">
        <f>"1.2865"</f>
        <v>1.2865</v>
      </c>
      <c r="C2164" t="str">
        <f>"1.2858"</f>
        <v>1.2858</v>
      </c>
    </row>
    <row r="2165" spans="1:3" x14ac:dyDescent="0.25">
      <c r="A2165" t="str">
        <f>"22/05/2018"</f>
        <v>22/05/2018</v>
      </c>
      <c r="B2165" t="str">
        <f>"1.2776"</f>
        <v>1.2776</v>
      </c>
      <c r="C2165" t="str">
        <f>"1.2768"</f>
        <v>1.2768</v>
      </c>
    </row>
    <row r="2166" spans="1:3" x14ac:dyDescent="0.25">
      <c r="A2166" t="str">
        <f>"23/05/2018"</f>
        <v>23/05/2018</v>
      </c>
      <c r="B2166" t="str">
        <f>"1.2901"</f>
        <v>1.2901</v>
      </c>
      <c r="C2166" t="str">
        <f>"1.2893"</f>
        <v>1.2893</v>
      </c>
    </row>
    <row r="2167" spans="1:3" x14ac:dyDescent="0.25">
      <c r="A2167" t="str">
        <f>"24/05/2018"</f>
        <v>24/05/2018</v>
      </c>
      <c r="B2167" t="str">
        <f>"1.2873"</f>
        <v>1.2873</v>
      </c>
      <c r="C2167" t="str">
        <f>"1.2865"</f>
        <v>1.2865</v>
      </c>
    </row>
    <row r="2168" spans="1:3" x14ac:dyDescent="0.25">
      <c r="A2168" t="str">
        <f>"25/05/2018"</f>
        <v>25/05/2018</v>
      </c>
      <c r="B2168" t="str">
        <f>"1.293"</f>
        <v>1.293</v>
      </c>
      <c r="C2168" t="str">
        <f>"1.2922"</f>
        <v>1.2922</v>
      </c>
    </row>
    <row r="2169" spans="1:3" x14ac:dyDescent="0.25">
      <c r="A2169" t="str">
        <f>"28/05/2018"</f>
        <v>28/05/2018</v>
      </c>
      <c r="B2169" t="str">
        <f>"1.2985"</f>
        <v>1.2985</v>
      </c>
      <c r="C2169" t="str">
        <f>"1.2977"</f>
        <v>1.2977</v>
      </c>
    </row>
    <row r="2170" spans="1:3" x14ac:dyDescent="0.25">
      <c r="A2170" t="str">
        <f>"29/05/2018"</f>
        <v>29/05/2018</v>
      </c>
      <c r="B2170" t="str">
        <f>"1.3044"</f>
        <v>1.3044</v>
      </c>
      <c r="C2170" t="str">
        <f>"1.3036"</f>
        <v>1.3036</v>
      </c>
    </row>
    <row r="2171" spans="1:3" x14ac:dyDescent="0.25">
      <c r="A2171" t="str">
        <f>"30/05/2018"</f>
        <v>30/05/2018</v>
      </c>
      <c r="B2171" t="str">
        <f>"1.3026"</f>
        <v>1.3026</v>
      </c>
      <c r="C2171" t="str">
        <f>"1.3018"</f>
        <v>1.3018</v>
      </c>
    </row>
    <row r="2172" spans="1:3" x14ac:dyDescent="0.25">
      <c r="A2172" t="str">
        <f>"31/05/2018"</f>
        <v>31/05/2018</v>
      </c>
      <c r="B2172" t="str">
        <f>"1.2835"</f>
        <v>1.2835</v>
      </c>
      <c r="C2172" t="str">
        <f>"1.2823"</f>
        <v>1.2823</v>
      </c>
    </row>
    <row r="2173" spans="1:3" x14ac:dyDescent="0.25">
      <c r="A2173" t="str">
        <f>"01/06/2018"</f>
        <v>01/06/2018</v>
      </c>
      <c r="B2173" t="str">
        <f>"1.2951"</f>
        <v>1.2951</v>
      </c>
      <c r="C2173" t="str">
        <f>"1.294"</f>
        <v>1.294</v>
      </c>
    </row>
    <row r="2174" spans="1:3" x14ac:dyDescent="0.25">
      <c r="A2174" t="str">
        <f>"04/06/2018"</f>
        <v>04/06/2018</v>
      </c>
      <c r="B2174" t="str">
        <f>"1.2921"</f>
        <v>1.2921</v>
      </c>
      <c r="C2174" t="str">
        <f>"1.291"</f>
        <v>1.291</v>
      </c>
    </row>
    <row r="2175" spans="1:3" x14ac:dyDescent="0.25">
      <c r="A2175" t="str">
        <f>"05/06/2018"</f>
        <v>05/06/2018</v>
      </c>
      <c r="B2175" t="str">
        <f>"1.2984"</f>
        <v>1.2984</v>
      </c>
      <c r="C2175" t="str">
        <f>"1.2973"</f>
        <v>1.2973</v>
      </c>
    </row>
    <row r="2176" spans="1:3" x14ac:dyDescent="0.25">
      <c r="A2176" t="str">
        <f>"06/06/2018"</f>
        <v>06/06/2018</v>
      </c>
      <c r="B2176" t="str">
        <f>"1.2906"</f>
        <v>1.2906</v>
      </c>
      <c r="C2176" t="str">
        <f>"1.2895"</f>
        <v>1.2895</v>
      </c>
    </row>
    <row r="2177" spans="1:3" x14ac:dyDescent="0.25">
      <c r="A2177" t="str">
        <f>"07/06/2018"</f>
        <v>07/06/2018</v>
      </c>
      <c r="B2177" t="str">
        <f>"1.296"</f>
        <v>1.296</v>
      </c>
      <c r="C2177" t="str">
        <f>"1.2949"</f>
        <v>1.2949</v>
      </c>
    </row>
    <row r="2178" spans="1:3" x14ac:dyDescent="0.25">
      <c r="A2178" t="str">
        <f>"08/06/2018"</f>
        <v>08/06/2018</v>
      </c>
      <c r="B2178" t="str">
        <f>"1.3008"</f>
        <v>1.3008</v>
      </c>
      <c r="C2178" t="str">
        <f>"1.2998"</f>
        <v>1.2998</v>
      </c>
    </row>
    <row r="2179" spans="1:3" x14ac:dyDescent="0.25">
      <c r="A2179" t="str">
        <f>"11/06/2018"</f>
        <v>11/06/2018</v>
      </c>
      <c r="B2179" t="str">
        <f>"1.3012"</f>
        <v>1.3012</v>
      </c>
      <c r="C2179" t="str">
        <f>"1.3002"</f>
        <v>1.3002</v>
      </c>
    </row>
    <row r="2180" spans="1:3" x14ac:dyDescent="0.25">
      <c r="A2180" t="str">
        <f>"12/06/2018"</f>
        <v>12/06/2018</v>
      </c>
      <c r="B2180" t="str">
        <f>"1.3012"</f>
        <v>1.3012</v>
      </c>
      <c r="C2180" t="str">
        <f>"1.3002"</f>
        <v>1.3002</v>
      </c>
    </row>
    <row r="2181" spans="1:3" x14ac:dyDescent="0.25">
      <c r="A2181" t="str">
        <f>"13/06/2018"</f>
        <v>13/06/2018</v>
      </c>
      <c r="B2181" t="str">
        <f>"1.3024"</f>
        <v>1.3024</v>
      </c>
      <c r="C2181" t="str">
        <f>"1.3014"</f>
        <v>1.3014</v>
      </c>
    </row>
    <row r="2182" spans="1:3" x14ac:dyDescent="0.25">
      <c r="A2182" t="str">
        <f>"14/06/2018"</f>
        <v>14/06/2018</v>
      </c>
      <c r="B2182" t="str">
        <f>"1.2967"</f>
        <v>1.2967</v>
      </c>
      <c r="C2182" t="str">
        <f>"1.2959"</f>
        <v>1.2959</v>
      </c>
    </row>
    <row r="2183" spans="1:3" x14ac:dyDescent="0.25">
      <c r="A2183" t="str">
        <f>"15/06/2018"</f>
        <v>15/06/2018</v>
      </c>
      <c r="B2183" t="str">
        <f>"1.3128"</f>
        <v>1.3128</v>
      </c>
      <c r="C2183" t="str">
        <f>"1.312"</f>
        <v>1.312</v>
      </c>
    </row>
    <row r="2184" spans="1:3" x14ac:dyDescent="0.25">
      <c r="A2184" t="str">
        <f>"18/06/2018"</f>
        <v>18/06/2018</v>
      </c>
      <c r="B2184" t="str">
        <f>"1.3181"</f>
        <v>1.3181</v>
      </c>
      <c r="C2184" t="str">
        <f>"1.3174"</f>
        <v>1.3174</v>
      </c>
    </row>
    <row r="2185" spans="1:3" x14ac:dyDescent="0.25">
      <c r="A2185" t="str">
        <f>"19/06/2018"</f>
        <v>19/06/2018</v>
      </c>
      <c r="B2185" t="str">
        <f>"1.3291"</f>
        <v>1.3291</v>
      </c>
      <c r="C2185" t="str">
        <f>"1.3283"</f>
        <v>1.3283</v>
      </c>
    </row>
    <row r="2186" spans="1:3" x14ac:dyDescent="0.25">
      <c r="A2186" t="str">
        <f>"20/06/2018"</f>
        <v>20/06/2018</v>
      </c>
      <c r="B2186" t="str">
        <f>"1.3293"</f>
        <v>1.3293</v>
      </c>
      <c r="C2186" t="str">
        <f>"1.3286"</f>
        <v>1.3286</v>
      </c>
    </row>
    <row r="2187" spans="1:3" x14ac:dyDescent="0.25">
      <c r="A2187" t="str">
        <f>"21/06/2018"</f>
        <v>21/06/2018</v>
      </c>
      <c r="B2187" t="str">
        <f>"1.3319"</f>
        <v>1.3319</v>
      </c>
      <c r="C2187" t="str">
        <f>"1.3313"</f>
        <v>1.3313</v>
      </c>
    </row>
    <row r="2188" spans="1:3" x14ac:dyDescent="0.25">
      <c r="A2188" t="str">
        <f>"22/06/2018"</f>
        <v>22/06/2018</v>
      </c>
      <c r="B2188" t="str">
        <f>"1.328"</f>
        <v>1.328</v>
      </c>
      <c r="C2188" t="str">
        <f>"1.3273"</f>
        <v>1.3273</v>
      </c>
    </row>
    <row r="2189" spans="1:3" x14ac:dyDescent="0.25">
      <c r="A2189" t="str">
        <f>"25/06/2018"</f>
        <v>25/06/2018</v>
      </c>
      <c r="B2189" t="str">
        <f>"1.3301"</f>
        <v>1.3301</v>
      </c>
      <c r="C2189" t="str">
        <f>"1.3293"</f>
        <v>1.3293</v>
      </c>
    </row>
    <row r="2190" spans="1:3" x14ac:dyDescent="0.25">
      <c r="A2190" t="str">
        <f>"26/06/2018"</f>
        <v>26/06/2018</v>
      </c>
      <c r="B2190" t="str">
        <f>"1.3319"</f>
        <v>1.3319</v>
      </c>
      <c r="C2190" t="str">
        <f>"1.3311"</f>
        <v>1.3311</v>
      </c>
    </row>
    <row r="2191" spans="1:3" x14ac:dyDescent="0.25">
      <c r="A2191" t="str">
        <f>"27/06/2018"</f>
        <v>27/06/2018</v>
      </c>
      <c r="B2191" t="str">
        <f>"1.3314"</f>
        <v>1.3314</v>
      </c>
      <c r="C2191" t="str">
        <f>"1.3306"</f>
        <v>1.3306</v>
      </c>
    </row>
    <row r="2192" spans="1:3" x14ac:dyDescent="0.25">
      <c r="A2192" t="str">
        <f>"28/06/2018"</f>
        <v>28/06/2018</v>
      </c>
      <c r="B2192" t="str">
        <f>"1.3294"</f>
        <v>1.3294</v>
      </c>
      <c r="C2192" t="str">
        <f>"1.3286"</f>
        <v>1.3286</v>
      </c>
    </row>
    <row r="2193" spans="1:3" x14ac:dyDescent="0.25">
      <c r="A2193" t="str">
        <f>"29/06/2018"</f>
        <v>29/06/2018</v>
      </c>
      <c r="B2193" t="str">
        <f>"1.3248"</f>
        <v>1.3248</v>
      </c>
      <c r="C2193" t="str">
        <f>"1.3241"</f>
        <v>1.3241</v>
      </c>
    </row>
    <row r="2194" spans="1:3" x14ac:dyDescent="0.25">
      <c r="A2194" t="str">
        <f>"02/07/2018"</f>
        <v>02/07/2018</v>
      </c>
      <c r="B2194" t="str">
        <f>"1.318"</f>
        <v>1.318</v>
      </c>
      <c r="C2194" t="str">
        <f>"1.3173"</f>
        <v>1.3173</v>
      </c>
    </row>
    <row r="2195" spans="1:3" x14ac:dyDescent="0.25">
      <c r="A2195" t="str">
        <f>"03/07/2018"</f>
        <v>03/07/2018</v>
      </c>
      <c r="B2195" t="str">
        <f>"1.3151"</f>
        <v>1.3151</v>
      </c>
      <c r="C2195" t="str">
        <f>"1.3144"</f>
        <v>1.3144</v>
      </c>
    </row>
    <row r="2196" spans="1:3" x14ac:dyDescent="0.25">
      <c r="A2196" t="str">
        <f>"04/07/2018"</f>
        <v>04/07/2018</v>
      </c>
      <c r="B2196" t="str">
        <f>"1.3146"</f>
        <v>1.3146</v>
      </c>
      <c r="C2196" t="str">
        <f>"1.3138"</f>
        <v>1.3138</v>
      </c>
    </row>
    <row r="2197" spans="1:3" x14ac:dyDescent="0.25">
      <c r="A2197" t="str">
        <f>"05/07/2018"</f>
        <v>05/07/2018</v>
      </c>
      <c r="B2197" t="str">
        <f>"1.3139"</f>
        <v>1.3139</v>
      </c>
      <c r="C2197" t="str">
        <f>"1.3131"</f>
        <v>1.3131</v>
      </c>
    </row>
    <row r="2198" spans="1:3" x14ac:dyDescent="0.25">
      <c r="A2198" t="str">
        <f>"06/07/2018"</f>
        <v>06/07/2018</v>
      </c>
      <c r="B2198" t="str">
        <f>"1.3135"</f>
        <v>1.3135</v>
      </c>
      <c r="C2198" t="str">
        <f>"1.3127"</f>
        <v>1.3127</v>
      </c>
    </row>
    <row r="2199" spans="1:3" x14ac:dyDescent="0.25">
      <c r="A2199" t="str">
        <f>"09/07/2018"</f>
        <v>09/07/2018</v>
      </c>
      <c r="B2199" t="str">
        <f>"1.3077"</f>
        <v>1.3077</v>
      </c>
      <c r="C2199" t="str">
        <f>"1.307"</f>
        <v>1.307</v>
      </c>
    </row>
    <row r="2200" spans="1:3" x14ac:dyDescent="0.25">
      <c r="A2200" t="str">
        <f>"10/07/2018"</f>
        <v>10/07/2018</v>
      </c>
      <c r="B2200" t="str">
        <f>"1.3134"</f>
        <v>1.3134</v>
      </c>
      <c r="C2200" t="str">
        <f>"1.3126"</f>
        <v>1.3126</v>
      </c>
    </row>
    <row r="2201" spans="1:3" x14ac:dyDescent="0.25">
      <c r="A2201" t="str">
        <f>"11/07/2018"</f>
        <v>11/07/2018</v>
      </c>
      <c r="B2201" t="str">
        <f>"1.3153"</f>
        <v>1.3153</v>
      </c>
      <c r="C2201" t="str">
        <f>"1.3146"</f>
        <v>1.3146</v>
      </c>
    </row>
    <row r="2202" spans="1:3" x14ac:dyDescent="0.25">
      <c r="A2202" t="str">
        <f>"12/07/2018"</f>
        <v>12/07/2018</v>
      </c>
      <c r="B2202" t="str">
        <f>"1.3196"</f>
        <v>1.3196</v>
      </c>
      <c r="C2202" t="str">
        <f>"1.3189"</f>
        <v>1.3189</v>
      </c>
    </row>
    <row r="2203" spans="1:3" x14ac:dyDescent="0.25">
      <c r="A2203" t="str">
        <f>"13/07/2018"</f>
        <v>13/07/2018</v>
      </c>
      <c r="B2203" t="str">
        <f>"1.3203"</f>
        <v>1.3203</v>
      </c>
      <c r="C2203" t="str">
        <f>"1.3197"</f>
        <v>1.3197</v>
      </c>
    </row>
    <row r="2204" spans="1:3" x14ac:dyDescent="0.25">
      <c r="A2204" t="str">
        <f>"16/07/2018"</f>
        <v>16/07/2018</v>
      </c>
      <c r="B2204" t="str">
        <f>"1.3143"</f>
        <v>1.3143</v>
      </c>
      <c r="C2204" t="str">
        <f>"1.3137"</f>
        <v>1.3137</v>
      </c>
    </row>
    <row r="2205" spans="1:3" x14ac:dyDescent="0.25">
      <c r="A2205" t="str">
        <f>"17/07/2018"</f>
        <v>17/07/2018</v>
      </c>
      <c r="B2205" t="str">
        <f>"1.3153"</f>
        <v>1.3153</v>
      </c>
      <c r="C2205" t="str">
        <f>"1.3146"</f>
        <v>1.3146</v>
      </c>
    </row>
    <row r="2206" spans="1:3" x14ac:dyDescent="0.25">
      <c r="A2206" t="str">
        <f>"18/07/2018"</f>
        <v>18/07/2018</v>
      </c>
      <c r="B2206" t="str">
        <f>"1.3241"</f>
        <v>1.3241</v>
      </c>
      <c r="C2206" t="str">
        <f>"1.3234"</f>
        <v>1.3234</v>
      </c>
    </row>
    <row r="2207" spans="1:3" x14ac:dyDescent="0.25">
      <c r="A2207" t="str">
        <f>"19/07/2018"</f>
        <v>19/07/2018</v>
      </c>
      <c r="B2207" t="str">
        <f>"1.3238"</f>
        <v>1.3238</v>
      </c>
      <c r="C2207" t="str">
        <f>"1.3232"</f>
        <v>1.3232</v>
      </c>
    </row>
    <row r="2208" spans="1:3" x14ac:dyDescent="0.25">
      <c r="A2208" t="str">
        <f>"20/07/2018"</f>
        <v>20/07/2018</v>
      </c>
      <c r="B2208" t="str">
        <f>"1.3244"</f>
        <v>1.3244</v>
      </c>
      <c r="C2208" t="str">
        <f>"1.3238"</f>
        <v>1.3238</v>
      </c>
    </row>
    <row r="2209" spans="1:3" x14ac:dyDescent="0.25">
      <c r="A2209" t="str">
        <f>"23/07/2018"</f>
        <v>23/07/2018</v>
      </c>
      <c r="B2209" t="str">
        <f>"1.314"</f>
        <v>1.314</v>
      </c>
      <c r="C2209" t="str">
        <f>"1.3134"</f>
        <v>1.3134</v>
      </c>
    </row>
    <row r="2210" spans="1:3" x14ac:dyDescent="0.25">
      <c r="A2210" t="str">
        <f>"24/07/2018"</f>
        <v>24/07/2018</v>
      </c>
      <c r="B2210" t="str">
        <f>"1.3157"</f>
        <v>1.3157</v>
      </c>
      <c r="C2210" t="str">
        <f>"1.3151"</f>
        <v>1.3151</v>
      </c>
    </row>
    <row r="2211" spans="1:3" x14ac:dyDescent="0.25">
      <c r="A2211" t="str">
        <f>"25/07/2018"</f>
        <v>25/07/2018</v>
      </c>
      <c r="B2211" t="str">
        <f>"1.3129"</f>
        <v>1.3129</v>
      </c>
      <c r="C2211" t="str">
        <f>"1.3123"</f>
        <v>1.3123</v>
      </c>
    </row>
    <row r="2212" spans="1:3" x14ac:dyDescent="0.25">
      <c r="A2212" t="str">
        <f>"26/07/2018"</f>
        <v>26/07/2018</v>
      </c>
      <c r="B2212" t="str">
        <f>"1.3047"</f>
        <v>1.3047</v>
      </c>
      <c r="C2212" t="str">
        <f>"1.3041"</f>
        <v>1.3041</v>
      </c>
    </row>
    <row r="2213" spans="1:3" x14ac:dyDescent="0.25">
      <c r="A2213" t="str">
        <f>"27/07/2018"</f>
        <v>27/07/2018</v>
      </c>
      <c r="B2213" t="str">
        <f>"1.3066"</f>
        <v>1.3066</v>
      </c>
      <c r="C2213" t="str">
        <f>"1.306"</f>
        <v>1.306</v>
      </c>
    </row>
    <row r="2214" spans="1:3" x14ac:dyDescent="0.25">
      <c r="A2214" t="str">
        <f>"30/07/2018"</f>
        <v>30/07/2018</v>
      </c>
      <c r="B2214" t="str">
        <f>"1.3044"</f>
        <v>1.3044</v>
      </c>
      <c r="C2214" t="str">
        <f>"1.3038"</f>
        <v>1.3038</v>
      </c>
    </row>
    <row r="2215" spans="1:3" x14ac:dyDescent="0.25">
      <c r="A2215" t="str">
        <f>"31/07/2018"</f>
        <v>31/07/2018</v>
      </c>
      <c r="B2215" t="str">
        <f>"1.3036"</f>
        <v>1.3036</v>
      </c>
      <c r="C2215" t="str">
        <f>"1.3029"</f>
        <v>1.3029</v>
      </c>
    </row>
    <row r="2216" spans="1:3" x14ac:dyDescent="0.25">
      <c r="A2216" t="str">
        <f>"01/08/2018"</f>
        <v>01/08/2018</v>
      </c>
      <c r="B2216" t="str">
        <f>"1.302"</f>
        <v>1.302</v>
      </c>
      <c r="C2216" t="str">
        <f>"1.3013"</f>
        <v>1.3013</v>
      </c>
    </row>
    <row r="2217" spans="1:3" x14ac:dyDescent="0.25">
      <c r="A2217" t="str">
        <f>"02/08/2018"</f>
        <v>02/08/2018</v>
      </c>
      <c r="B2217" t="str">
        <f>"1.3019"</f>
        <v>1.3019</v>
      </c>
      <c r="C2217" t="str">
        <f>"1.3012"</f>
        <v>1.3012</v>
      </c>
    </row>
    <row r="2218" spans="1:3" x14ac:dyDescent="0.25">
      <c r="A2218" t="str">
        <f>"03/08/2018"</f>
        <v>03/08/2018</v>
      </c>
      <c r="B2218" t="str">
        <f>"1.2985"</f>
        <v>1.2985</v>
      </c>
      <c r="C2218" t="str">
        <f>"1.2979"</f>
        <v>1.2979</v>
      </c>
    </row>
    <row r="2219" spans="1:3" x14ac:dyDescent="0.25">
      <c r="A2219" t="str">
        <f>"06/08/2018"</f>
        <v>06/08/2018</v>
      </c>
      <c r="B2219" t="str">
        <f>"1.3025"</f>
        <v>1.3025</v>
      </c>
      <c r="C2219" t="str">
        <f>"1.3018"</f>
        <v>1.3018</v>
      </c>
    </row>
    <row r="2220" spans="1:3" x14ac:dyDescent="0.25">
      <c r="A2220" t="str">
        <f>"07/08/2018"</f>
        <v>07/08/2018</v>
      </c>
      <c r="B2220" t="str">
        <f>"1.2972"</f>
        <v>1.2972</v>
      </c>
      <c r="C2220" t="str">
        <f>"1.2965"</f>
        <v>1.2965</v>
      </c>
    </row>
    <row r="2221" spans="1:3" x14ac:dyDescent="0.25">
      <c r="A2221" t="str">
        <f>"08/08/2018"</f>
        <v>08/08/2018</v>
      </c>
      <c r="B2221" t="str">
        <f>"1.3082"</f>
        <v>1.3082</v>
      </c>
      <c r="C2221" t="str">
        <f>"1.3075"</f>
        <v>1.3075</v>
      </c>
    </row>
    <row r="2222" spans="1:3" x14ac:dyDescent="0.25">
      <c r="A2222" t="str">
        <f>"09/08/2018"</f>
        <v>09/08/2018</v>
      </c>
      <c r="B2222" t="str">
        <f>"1.3035"</f>
        <v>1.3035</v>
      </c>
      <c r="C2222" t="str">
        <f>"1.3028"</f>
        <v>1.3028</v>
      </c>
    </row>
    <row r="2223" spans="1:3" x14ac:dyDescent="0.25">
      <c r="A2223" t="str">
        <f>"10/08/2018"</f>
        <v>10/08/2018</v>
      </c>
      <c r="B2223" t="str">
        <f>"1.3098"</f>
        <v>1.3098</v>
      </c>
      <c r="C2223" t="str">
        <f>"1.3092"</f>
        <v>1.3092</v>
      </c>
    </row>
    <row r="2224" spans="1:3" x14ac:dyDescent="0.25">
      <c r="A2224" t="str">
        <f>"13/08/2018"</f>
        <v>13/08/2018</v>
      </c>
      <c r="B2224" t="str">
        <f>"1.3164"</f>
        <v>1.3164</v>
      </c>
      <c r="C2224" t="str">
        <f>"1.3158"</f>
        <v>1.3158</v>
      </c>
    </row>
    <row r="2225" spans="1:3" x14ac:dyDescent="0.25">
      <c r="A2225" t="str">
        <f>"14/08/2018"</f>
        <v>14/08/2018</v>
      </c>
      <c r="B2225" t="str">
        <f>"1.3088"</f>
        <v>1.3088</v>
      </c>
      <c r="C2225" t="str">
        <f>"1.3081"</f>
        <v>1.3081</v>
      </c>
    </row>
    <row r="2226" spans="1:3" x14ac:dyDescent="0.25">
      <c r="A2226" t="str">
        <f>"16/08/2018"</f>
        <v>16/08/2018</v>
      </c>
      <c r="B2226" t="str">
        <f>"1.3139"</f>
        <v>1.3139</v>
      </c>
      <c r="C2226" t="str">
        <f>"1.3133"</f>
        <v>1.3133</v>
      </c>
    </row>
    <row r="2227" spans="1:3" x14ac:dyDescent="0.25">
      <c r="A2227" t="str">
        <f>"20/08/2018"</f>
        <v>20/08/2018</v>
      </c>
      <c r="B2227" t="str">
        <f>"1.3074"</f>
        <v>1.3074</v>
      </c>
      <c r="C2227" t="str">
        <f>"1.3068"</f>
        <v>1.3068</v>
      </c>
    </row>
    <row r="2228" spans="1:3" x14ac:dyDescent="0.25">
      <c r="A2228" t="str">
        <f>"21/08/2018"</f>
        <v>21/08/2018</v>
      </c>
      <c r="B2228" t="str">
        <f>"1.3017"</f>
        <v>1.3017</v>
      </c>
      <c r="C2228" t="str">
        <f>"1.301"</f>
        <v>1.301</v>
      </c>
    </row>
    <row r="2229" spans="1:3" x14ac:dyDescent="0.25">
      <c r="A2229" t="str">
        <f>"23/08/2018"</f>
        <v>23/08/2018</v>
      </c>
      <c r="B2229" t="str">
        <f>"1.3034"</f>
        <v>1.3034</v>
      </c>
      <c r="C2229" t="str">
        <f>"1.3028"</f>
        <v>1.3028</v>
      </c>
    </row>
    <row r="2230" spans="1:3" x14ac:dyDescent="0.25">
      <c r="A2230" t="str">
        <f>"24/08/2018"</f>
        <v>24/08/2018</v>
      </c>
      <c r="B2230" t="str">
        <f>"1.307"</f>
        <v>1.307</v>
      </c>
      <c r="C2230" t="str">
        <f>"1.3064"</f>
        <v>1.3064</v>
      </c>
    </row>
    <row r="2231" spans="1:3" x14ac:dyDescent="0.25">
      <c r="A2231" t="str">
        <f>"27/08/2018"</f>
        <v>27/08/2018</v>
      </c>
      <c r="B2231" t="str">
        <f>"1.3052"</f>
        <v>1.3052</v>
      </c>
      <c r="C2231" t="str">
        <f>"1.3046"</f>
        <v>1.3046</v>
      </c>
    </row>
    <row r="2232" spans="1:3" x14ac:dyDescent="0.25">
      <c r="A2232" t="str">
        <f>"28/08/2018"</f>
        <v>28/08/2018</v>
      </c>
      <c r="B2232" t="str">
        <f>"1.2937"</f>
        <v>1.2937</v>
      </c>
      <c r="C2232" t="str">
        <f>"1.293"</f>
        <v>1.293</v>
      </c>
    </row>
    <row r="2233" spans="1:3" x14ac:dyDescent="0.25">
      <c r="A2233" t="str">
        <f>"29/08/2018"</f>
        <v>29/08/2018</v>
      </c>
      <c r="B2233" t="str">
        <f>"1.2941"</f>
        <v>1.2941</v>
      </c>
      <c r="C2233" t="str">
        <f>"1.2934"</f>
        <v>1.2934</v>
      </c>
    </row>
    <row r="2234" spans="1:3" x14ac:dyDescent="0.25">
      <c r="A2234" t="str">
        <f>"30/08/2018"</f>
        <v>30/08/2018</v>
      </c>
      <c r="B2234" t="str">
        <f>"1.293"</f>
        <v>1.293</v>
      </c>
      <c r="C2234" t="str">
        <f>"1.2924"</f>
        <v>1.2924</v>
      </c>
    </row>
    <row r="2235" spans="1:3" x14ac:dyDescent="0.25">
      <c r="A2235" t="str">
        <f>"31/08/2018"</f>
        <v>31/08/2018</v>
      </c>
      <c r="B2235" t="str">
        <f>"1.3003"</f>
        <v>1.3003</v>
      </c>
      <c r="C2235" t="str">
        <f>"1.2996"</f>
        <v>1.2996</v>
      </c>
    </row>
    <row r="2236" spans="1:3" x14ac:dyDescent="0.25">
      <c r="A2236" t="str">
        <f>"03/09/2018"</f>
        <v>03/09/2018</v>
      </c>
      <c r="B2236" t="str">
        <f>"1.3063"</f>
        <v>1.3063</v>
      </c>
      <c r="C2236" t="str">
        <f>"1.3056"</f>
        <v>1.3056</v>
      </c>
    </row>
    <row r="2237" spans="1:3" x14ac:dyDescent="0.25">
      <c r="A2237" t="str">
        <f>"04/09/2018"</f>
        <v>04/09/2018</v>
      </c>
      <c r="B2237" t="str">
        <f>"1.3153"</f>
        <v>1.3153</v>
      </c>
      <c r="C2237" t="str">
        <f>"1.3146"</f>
        <v>1.3146</v>
      </c>
    </row>
    <row r="2238" spans="1:3" x14ac:dyDescent="0.25">
      <c r="A2238" t="str">
        <f>"05/09/2018"</f>
        <v>05/09/2018</v>
      </c>
      <c r="B2238" t="str">
        <f>"1.3175"</f>
        <v>1.3175</v>
      </c>
      <c r="C2238" t="str">
        <f>"1.3166"</f>
        <v>1.3166</v>
      </c>
    </row>
    <row r="2239" spans="1:3" x14ac:dyDescent="0.25">
      <c r="A2239" t="str">
        <f>"06/09/2018"</f>
        <v>06/09/2018</v>
      </c>
      <c r="B2239" t="str">
        <f>"1.3182"</f>
        <v>1.3182</v>
      </c>
      <c r="C2239" t="str">
        <f>"1.3174"</f>
        <v>1.3174</v>
      </c>
    </row>
    <row r="2240" spans="1:3" x14ac:dyDescent="0.25">
      <c r="A2240" t="str">
        <f>"07/09/2018"</f>
        <v>07/09/2018</v>
      </c>
      <c r="B2240" t="str">
        <f>"1.3127"</f>
        <v>1.3127</v>
      </c>
      <c r="C2240" t="str">
        <f>"1.3119"</f>
        <v>1.3119</v>
      </c>
    </row>
    <row r="2241" spans="1:3" x14ac:dyDescent="0.25">
      <c r="A2241" t="str">
        <f>"10/09/2018"</f>
        <v>10/09/2018</v>
      </c>
      <c r="B2241" t="str">
        <f>"1.3187"</f>
        <v>1.3187</v>
      </c>
      <c r="C2241" t="str">
        <f>"1.3179"</f>
        <v>1.3179</v>
      </c>
    </row>
    <row r="2242" spans="1:3" x14ac:dyDescent="0.25">
      <c r="A2242" t="str">
        <f>"11/09/2018"</f>
        <v>11/09/2018</v>
      </c>
      <c r="B2242" t="str">
        <f>"1.3146"</f>
        <v>1.3146</v>
      </c>
      <c r="C2242" t="str">
        <f>"1.3138"</f>
        <v>1.3138</v>
      </c>
    </row>
    <row r="2243" spans="1:3" x14ac:dyDescent="0.25">
      <c r="A2243" t="str">
        <f>"12/09/2018"</f>
        <v>12/09/2018</v>
      </c>
      <c r="B2243" t="str">
        <f>"1.3069"</f>
        <v>1.3069</v>
      </c>
      <c r="C2243" t="str">
        <f>"1.306"</f>
        <v>1.306</v>
      </c>
    </row>
    <row r="2244" spans="1:3" x14ac:dyDescent="0.25">
      <c r="A2244" t="str">
        <f>"14/09/2018"</f>
        <v>14/09/2018</v>
      </c>
      <c r="B2244" t="str">
        <f>"1.2994"</f>
        <v>1.2994</v>
      </c>
      <c r="C2244" t="str">
        <f>"1.2985"</f>
        <v>1.2985</v>
      </c>
    </row>
    <row r="2245" spans="1:3" x14ac:dyDescent="0.25">
      <c r="A2245" t="str">
        <f>"17/09/2018"</f>
        <v>17/09/2018</v>
      </c>
      <c r="B2245" t="str">
        <f>"1.3026"</f>
        <v>1.3026</v>
      </c>
      <c r="C2245" t="str">
        <f>"1.3017"</f>
        <v>1.3017</v>
      </c>
    </row>
    <row r="2246" spans="1:3" x14ac:dyDescent="0.25">
      <c r="A2246" t="str">
        <f>"18/09/2018"</f>
        <v>18/09/2018</v>
      </c>
      <c r="B2246" t="str">
        <f>"1.3036"</f>
        <v>1.3036</v>
      </c>
      <c r="C2246" t="str">
        <f>"1.3027"</f>
        <v>1.3027</v>
      </c>
    </row>
    <row r="2247" spans="1:3" x14ac:dyDescent="0.25">
      <c r="A2247" t="str">
        <f>"19/09/2018"</f>
        <v>19/09/2018</v>
      </c>
      <c r="B2247" t="str">
        <f>"1.2959"</f>
        <v>1.2959</v>
      </c>
      <c r="C2247" t="str">
        <f>"1.295"</f>
        <v>1.295</v>
      </c>
    </row>
    <row r="2248" spans="1:3" x14ac:dyDescent="0.25">
      <c r="A2248" t="str">
        <f>"21/09/2018"</f>
        <v>21/09/2018</v>
      </c>
      <c r="B2248" t="str">
        <f>"1.2912"</f>
        <v>1.2912</v>
      </c>
      <c r="C2248" t="str">
        <f>"1.2903"</f>
        <v>1.2903</v>
      </c>
    </row>
    <row r="2249" spans="1:3" x14ac:dyDescent="0.25">
      <c r="A2249" t="str">
        <f>"24/09/2018"</f>
        <v>24/09/2018</v>
      </c>
      <c r="B2249" t="str">
        <f>"1.2943"</f>
        <v>1.2943</v>
      </c>
      <c r="C2249" t="str">
        <f>"1.2934"</f>
        <v>1.2934</v>
      </c>
    </row>
    <row r="2250" spans="1:3" x14ac:dyDescent="0.25">
      <c r="A2250" t="str">
        <f>"25/09/2018"</f>
        <v>25/09/2018</v>
      </c>
      <c r="B2250" t="str">
        <f>"1.2963"</f>
        <v>1.2963</v>
      </c>
      <c r="C2250" t="str">
        <f>"1.2955"</f>
        <v>1.2955</v>
      </c>
    </row>
    <row r="2251" spans="1:3" x14ac:dyDescent="0.25">
      <c r="A2251" t="str">
        <f>"26/09/2018"</f>
        <v>26/09/2018</v>
      </c>
      <c r="B2251" t="str">
        <f>"1.2958"</f>
        <v>1.2958</v>
      </c>
      <c r="C2251" t="str">
        <f>"1.2949"</f>
        <v>1.2949</v>
      </c>
    </row>
    <row r="2252" spans="1:3" x14ac:dyDescent="0.25">
      <c r="A2252" t="str">
        <f>"27/09/2018"</f>
        <v>27/09/2018</v>
      </c>
      <c r="B2252" t="str">
        <f>"1.3062"</f>
        <v>1.3062</v>
      </c>
      <c r="C2252" t="str">
        <f>"1.3053"</f>
        <v>1.3053</v>
      </c>
    </row>
    <row r="2253" spans="1:3" x14ac:dyDescent="0.25">
      <c r="A2253" t="str">
        <f>"28/09/2018"</f>
        <v>28/09/2018</v>
      </c>
      <c r="B2253" t="str">
        <f>"1.3015"</f>
        <v>1.3015</v>
      </c>
      <c r="C2253" t="str">
        <f>"1.3007"</f>
        <v>1.3007</v>
      </c>
    </row>
    <row r="2254" spans="1:3" x14ac:dyDescent="0.25">
      <c r="A2254" t="str">
        <f>"01/10/2018"</f>
        <v>01/10/2018</v>
      </c>
      <c r="B2254" t="str">
        <f>"1.2801"</f>
        <v>1.2801</v>
      </c>
      <c r="C2254" t="str">
        <f>"1.2793"</f>
        <v>1.2793</v>
      </c>
    </row>
    <row r="2255" spans="1:3" x14ac:dyDescent="0.25">
      <c r="A2255" t="str">
        <f>"03/10/2018"</f>
        <v>03/10/2018</v>
      </c>
      <c r="B2255" t="str">
        <f>"1.2833"</f>
        <v>1.2833</v>
      </c>
      <c r="C2255" t="str">
        <f>"1.2824"</f>
        <v>1.2824</v>
      </c>
    </row>
    <row r="2256" spans="1:3" x14ac:dyDescent="0.25">
      <c r="A2256" t="str">
        <f>"04/10/2018"</f>
        <v>04/10/2018</v>
      </c>
      <c r="B2256" t="str">
        <f>"1.2868"</f>
        <v>1.2868</v>
      </c>
      <c r="C2256" t="str">
        <f>"1.2859"</f>
        <v>1.2859</v>
      </c>
    </row>
    <row r="2257" spans="1:3" x14ac:dyDescent="0.25">
      <c r="A2257" t="str">
        <f>"05/10/2018"</f>
        <v>05/10/2018</v>
      </c>
      <c r="B2257" t="str">
        <f>"1.2924"</f>
        <v>1.2924</v>
      </c>
      <c r="C2257" t="str">
        <f>"1.2916"</f>
        <v>1.2916</v>
      </c>
    </row>
    <row r="2258" spans="1:3" x14ac:dyDescent="0.25">
      <c r="A2258" t="str">
        <f>"08/10/2018"</f>
        <v>08/10/2018</v>
      </c>
      <c r="B2258" t="str">
        <f>"1.2998"</f>
        <v>1.2998</v>
      </c>
      <c r="C2258" t="str">
        <f>"1.299"</f>
        <v>1.299</v>
      </c>
    </row>
    <row r="2259" spans="1:3" x14ac:dyDescent="0.25">
      <c r="A2259" t="str">
        <f>"09/10/2018"</f>
        <v>09/10/2018</v>
      </c>
      <c r="B2259" t="str">
        <f>"1.2997"</f>
        <v>1.2997</v>
      </c>
      <c r="C2259" t="str">
        <f>"1.2989"</f>
        <v>1.2989</v>
      </c>
    </row>
    <row r="2260" spans="1:3" x14ac:dyDescent="0.25">
      <c r="A2260" t="str">
        <f>"10/10/2018"</f>
        <v>10/10/2018</v>
      </c>
      <c r="B2260" t="str">
        <f>"1.2955"</f>
        <v>1.2955</v>
      </c>
      <c r="C2260" t="str">
        <f>"1.2947"</f>
        <v>1.2947</v>
      </c>
    </row>
    <row r="2261" spans="1:3" x14ac:dyDescent="0.25">
      <c r="A2261" t="str">
        <f>"11/10/2018"</f>
        <v>11/10/2018</v>
      </c>
      <c r="B2261" t="str">
        <f>"1.3042"</f>
        <v>1.3042</v>
      </c>
      <c r="C2261" t="str">
        <f>"1.3034"</f>
        <v>1.3034</v>
      </c>
    </row>
    <row r="2262" spans="1:3" x14ac:dyDescent="0.25">
      <c r="A2262" t="str">
        <f>"12/10/2018"</f>
        <v>12/10/2018</v>
      </c>
      <c r="B2262" t="str">
        <f>"1.3012"</f>
        <v>1.3012</v>
      </c>
      <c r="C2262" t="str">
        <f>"1.3004"</f>
        <v>1.3004</v>
      </c>
    </row>
    <row r="2263" spans="1:3" x14ac:dyDescent="0.25">
      <c r="A2263" t="str">
        <f>"15/10/2018"</f>
        <v>15/10/2018</v>
      </c>
      <c r="B2263" t="str">
        <f>"1.3018"</f>
        <v>1.3018</v>
      </c>
      <c r="C2263" t="str">
        <f>"1.3011"</f>
        <v>1.3011</v>
      </c>
    </row>
    <row r="2264" spans="1:3" x14ac:dyDescent="0.25">
      <c r="A2264" t="str">
        <f>"16/10/2018"</f>
        <v>16/10/2018</v>
      </c>
      <c r="B2264" t="str">
        <f>"1.2963"</f>
        <v>1.2963</v>
      </c>
      <c r="C2264" t="str">
        <f>"1.2956"</f>
        <v>1.2956</v>
      </c>
    </row>
    <row r="2265" spans="1:3" x14ac:dyDescent="0.25">
      <c r="A2265" t="str">
        <f>"17/10/2018"</f>
        <v>17/10/2018</v>
      </c>
      <c r="B2265" t="str">
        <f>"1.2968"</f>
        <v>1.2968</v>
      </c>
      <c r="C2265" t="str">
        <f>"1.2961"</f>
        <v>1.2961</v>
      </c>
    </row>
    <row r="2266" spans="1:3" x14ac:dyDescent="0.25">
      <c r="A2266" t="str">
        <f>"19/10/2018"</f>
        <v>19/10/2018</v>
      </c>
      <c r="B2266" t="str">
        <f>"1.3031"</f>
        <v>1.3031</v>
      </c>
      <c r="C2266" t="str">
        <f>"1.3024"</f>
        <v>1.3024</v>
      </c>
    </row>
    <row r="2267" spans="1:3" x14ac:dyDescent="0.25">
      <c r="A2267" t="str">
        <f>"22/10/2018"</f>
        <v>22/10/2018</v>
      </c>
      <c r="B2267" t="str">
        <f>"1.3095"</f>
        <v>1.3095</v>
      </c>
      <c r="C2267" t="str">
        <f>"1.3088"</f>
        <v>1.3088</v>
      </c>
    </row>
    <row r="2268" spans="1:3" x14ac:dyDescent="0.25">
      <c r="A2268" t="str">
        <f>"23/10/2018"</f>
        <v>23/10/2018</v>
      </c>
      <c r="B2268" t="str">
        <f>"1.3109"</f>
        <v>1.3109</v>
      </c>
      <c r="C2268" t="str">
        <f>"1.3102"</f>
        <v>1.3102</v>
      </c>
    </row>
    <row r="2269" spans="1:3" x14ac:dyDescent="0.25">
      <c r="A2269" t="str">
        <f>"24/10/2018"</f>
        <v>24/10/2018</v>
      </c>
      <c r="B2269" t="str">
        <f>"1.3089"</f>
        <v>1.3089</v>
      </c>
      <c r="C2269" t="str">
        <f>"1.3082"</f>
        <v>1.3082</v>
      </c>
    </row>
    <row r="2270" spans="1:3" x14ac:dyDescent="0.25">
      <c r="A2270" t="str">
        <f>"25/10/2018"</f>
        <v>25/10/2018</v>
      </c>
      <c r="B2270" t="str">
        <f>"1.3048"</f>
        <v>1.3048</v>
      </c>
      <c r="C2270" t="str">
        <f>"1.3041"</f>
        <v>1.3041</v>
      </c>
    </row>
    <row r="2271" spans="1:3" x14ac:dyDescent="0.25">
      <c r="A2271" t="str">
        <f>"26/10/2018"</f>
        <v>26/10/2018</v>
      </c>
      <c r="B2271" t="str">
        <f>"1.314"</f>
        <v>1.314</v>
      </c>
      <c r="C2271" t="str">
        <f>"1.3133"</f>
        <v>1.3133</v>
      </c>
    </row>
    <row r="2272" spans="1:3" x14ac:dyDescent="0.25">
      <c r="A2272" t="str">
        <f>"29/10/2018"</f>
        <v>29/10/2018</v>
      </c>
      <c r="B2272" t="str">
        <f>"1.3104"</f>
        <v>1.3104</v>
      </c>
      <c r="C2272" t="str">
        <f>"1.3097"</f>
        <v>1.3097</v>
      </c>
    </row>
    <row r="2273" spans="1:3" x14ac:dyDescent="0.25">
      <c r="A2273" t="str">
        <f>"30/10/2018"</f>
        <v>30/10/2018</v>
      </c>
      <c r="B2273" t="str">
        <f>"1.3114"</f>
        <v>1.3114</v>
      </c>
      <c r="C2273" t="str">
        <f>"1.3107"</f>
        <v>1.3107</v>
      </c>
    </row>
    <row r="2274" spans="1:3" x14ac:dyDescent="0.25">
      <c r="A2274" t="str">
        <f>"31/10/2018"</f>
        <v>31/10/2018</v>
      </c>
      <c r="B2274" t="str">
        <f>"1.3129"</f>
        <v>1.3129</v>
      </c>
      <c r="C2274" t="str">
        <f>"1.3122"</f>
        <v>1.3122</v>
      </c>
    </row>
    <row r="2275" spans="1:3" x14ac:dyDescent="0.25">
      <c r="A2275" t="str">
        <f>"01/11/2018"</f>
        <v>01/11/2018</v>
      </c>
      <c r="B2275" t="str">
        <f>"1.3112"</f>
        <v>1.3112</v>
      </c>
      <c r="C2275" t="str">
        <f>"1.3106"</f>
        <v>1.3106</v>
      </c>
    </row>
    <row r="2276" spans="1:3" x14ac:dyDescent="0.25">
      <c r="A2276" t="str">
        <f>"02/11/2018"</f>
        <v>02/11/2018</v>
      </c>
      <c r="B2276" t="str">
        <f>"1.3061"</f>
        <v>1.3061</v>
      </c>
      <c r="C2276" t="str">
        <f>"1.3054"</f>
        <v>1.3054</v>
      </c>
    </row>
    <row r="2277" spans="1:3" x14ac:dyDescent="0.25">
      <c r="A2277" t="str">
        <f>"05/11/2018"</f>
        <v>05/11/2018</v>
      </c>
      <c r="B2277" t="str">
        <f>"1.3106"</f>
        <v>1.3106</v>
      </c>
      <c r="C2277" t="str">
        <f>"1.3099"</f>
        <v>1.3099</v>
      </c>
    </row>
    <row r="2278" spans="1:3" x14ac:dyDescent="0.25">
      <c r="A2278" t="str">
        <f>"06/11/2018"</f>
        <v>06/11/2018</v>
      </c>
      <c r="B2278" t="str">
        <f>"1.3125"</f>
        <v>1.3125</v>
      </c>
      <c r="C2278" t="str">
        <f>"1.3118"</f>
        <v>1.3118</v>
      </c>
    </row>
    <row r="2279" spans="1:3" x14ac:dyDescent="0.25">
      <c r="A2279" t="str">
        <f>"09/11/2018"</f>
        <v>09/11/2018</v>
      </c>
      <c r="B2279" t="str">
        <f>"1.3179"</f>
        <v>1.3179</v>
      </c>
      <c r="C2279" t="str">
        <f>"1.3172"</f>
        <v>1.3172</v>
      </c>
    </row>
    <row r="2280" spans="1:3" x14ac:dyDescent="0.25">
      <c r="A2280" t="str">
        <f>"12/11/2018"</f>
        <v>12/11/2018</v>
      </c>
      <c r="B2280" t="str">
        <f>"1.3204"</f>
        <v>1.3204</v>
      </c>
      <c r="C2280" t="str">
        <f>"1.3198"</f>
        <v>1.3198</v>
      </c>
    </row>
    <row r="2281" spans="1:3" x14ac:dyDescent="0.25">
      <c r="A2281" t="str">
        <f>"13/11/2018"</f>
        <v>13/11/2018</v>
      </c>
      <c r="B2281" t="str">
        <f>"1.3239"</f>
        <v>1.3239</v>
      </c>
      <c r="C2281" t="str">
        <f>"1.3233"</f>
        <v>1.3233</v>
      </c>
    </row>
    <row r="2282" spans="1:3" x14ac:dyDescent="0.25">
      <c r="A2282" t="str">
        <f>"14/11/2018"</f>
        <v>14/11/2018</v>
      </c>
      <c r="B2282" t="str">
        <f>"1.3236"</f>
        <v>1.3236</v>
      </c>
      <c r="C2282" t="str">
        <f>"1.3229"</f>
        <v>1.3229</v>
      </c>
    </row>
    <row r="2283" spans="1:3" x14ac:dyDescent="0.25">
      <c r="A2283" t="str">
        <f>"15/11/2018"</f>
        <v>15/11/2018</v>
      </c>
      <c r="B2283" t="str">
        <f>"1.3229"</f>
        <v>1.3229</v>
      </c>
      <c r="C2283" t="str">
        <f>"1.3223"</f>
        <v>1.3223</v>
      </c>
    </row>
    <row r="2284" spans="1:3" x14ac:dyDescent="0.25">
      <c r="A2284" t="str">
        <f>"16/11/2018"</f>
        <v>16/11/2018</v>
      </c>
      <c r="B2284" t="str">
        <f>"1.317"</f>
        <v>1.317</v>
      </c>
      <c r="C2284" t="str">
        <f>"1.3164"</f>
        <v>1.3164</v>
      </c>
    </row>
    <row r="2285" spans="1:3" x14ac:dyDescent="0.25">
      <c r="A2285" t="str">
        <f>"19/11/2018"</f>
        <v>19/11/2018</v>
      </c>
      <c r="B2285" t="str">
        <f>"1.317"</f>
        <v>1.317</v>
      </c>
      <c r="C2285" t="str">
        <f>"1.3164"</f>
        <v>1.3164</v>
      </c>
    </row>
    <row r="2286" spans="1:3" x14ac:dyDescent="0.25">
      <c r="A2286" t="str">
        <f>"20/11/2018"</f>
        <v>20/11/2018</v>
      </c>
      <c r="B2286" t="str">
        <f>"1.318"</f>
        <v>1.318</v>
      </c>
      <c r="C2286" t="str">
        <f>"1.3174"</f>
        <v>1.3174</v>
      </c>
    </row>
    <row r="2287" spans="1:3" x14ac:dyDescent="0.25">
      <c r="A2287" t="str">
        <f>"22/11/2018"</f>
        <v>22/11/2018</v>
      </c>
      <c r="B2287" t="str">
        <f>"1.323"</f>
        <v>1.323</v>
      </c>
      <c r="C2287" t="str">
        <f>"1.3223"</f>
        <v>1.3223</v>
      </c>
    </row>
    <row r="2288" spans="1:3" x14ac:dyDescent="0.25">
      <c r="A2288" t="str">
        <f>"26/11/2018"</f>
        <v>26/11/2018</v>
      </c>
      <c r="B2288" t="str">
        <f>"1.321"</f>
        <v>1.321</v>
      </c>
      <c r="C2288" t="str">
        <f>"1.3203"</f>
        <v>1.3203</v>
      </c>
    </row>
    <row r="2289" spans="1:3" x14ac:dyDescent="0.25">
      <c r="A2289" t="str">
        <f>"27/11/2018"</f>
        <v>27/11/2018</v>
      </c>
      <c r="B2289" t="str">
        <f>"1.3251"</f>
        <v>1.3251</v>
      </c>
      <c r="C2289" t="str">
        <f>"1.3244"</f>
        <v>1.3244</v>
      </c>
    </row>
    <row r="2290" spans="1:3" x14ac:dyDescent="0.25">
      <c r="A2290" t="str">
        <f>"28/11/2018"</f>
        <v>28/11/2018</v>
      </c>
      <c r="B2290" t="str">
        <f>"1.3324"</f>
        <v>1.3324</v>
      </c>
      <c r="C2290" t="str">
        <f>"1.3316"</f>
        <v>1.3316</v>
      </c>
    </row>
    <row r="2291" spans="1:3" x14ac:dyDescent="0.25">
      <c r="A2291" t="str">
        <f>"29/11/2018"</f>
        <v>29/11/2018</v>
      </c>
      <c r="B2291" t="str">
        <f>"1.3298"</f>
        <v>1.3298</v>
      </c>
      <c r="C2291" t="str">
        <f>"1.329"</f>
        <v>1.329</v>
      </c>
    </row>
    <row r="2292" spans="1:3" x14ac:dyDescent="0.25">
      <c r="A2292" t="str">
        <f>"30/11/2018"</f>
        <v>30/11/2018</v>
      </c>
      <c r="B2292" t="str">
        <f>"1.3312"</f>
        <v>1.3312</v>
      </c>
      <c r="C2292" t="str">
        <f>"1.33"</f>
        <v>1.33</v>
      </c>
    </row>
    <row r="2293" spans="1:3" x14ac:dyDescent="0.25">
      <c r="A2293" t="str">
        <f>"03/12/2018"</f>
        <v>03/12/2018</v>
      </c>
      <c r="B2293" t="str">
        <f>"1.3196"</f>
        <v>1.3196</v>
      </c>
      <c r="C2293" t="str">
        <f>"1.3184"</f>
        <v>1.3184</v>
      </c>
    </row>
    <row r="2294" spans="1:3" x14ac:dyDescent="0.25">
      <c r="A2294" t="str">
        <f>"04/12/2018"</f>
        <v>04/12/2018</v>
      </c>
      <c r="B2294" t="str">
        <f>"1.3175"</f>
        <v>1.3175</v>
      </c>
      <c r="C2294" t="str">
        <f>"1.3162"</f>
        <v>1.3162</v>
      </c>
    </row>
    <row r="2295" spans="1:3" x14ac:dyDescent="0.25">
      <c r="A2295" t="str">
        <f>"05/12/2018"</f>
        <v>05/12/2018</v>
      </c>
      <c r="B2295" t="str">
        <f>"1.3285"</f>
        <v>1.3285</v>
      </c>
      <c r="C2295" t="str">
        <f>"1.3273"</f>
        <v>1.3273</v>
      </c>
    </row>
    <row r="2296" spans="1:3" x14ac:dyDescent="0.25">
      <c r="A2296" t="str">
        <f>"06/12/2018"</f>
        <v>06/12/2018</v>
      </c>
      <c r="B2296" t="str">
        <f>"1.3431"</f>
        <v>1.3431</v>
      </c>
      <c r="C2296" t="str">
        <f>"1.3419"</f>
        <v>1.3419</v>
      </c>
    </row>
    <row r="2297" spans="1:3" x14ac:dyDescent="0.25">
      <c r="A2297" t="str">
        <f>"07/12/2018"</f>
        <v>07/12/2018</v>
      </c>
      <c r="B2297" t="str">
        <f>"1.3395"</f>
        <v>1.3395</v>
      </c>
      <c r="C2297" t="str">
        <f>"1.3383"</f>
        <v>1.3383</v>
      </c>
    </row>
    <row r="2298" spans="1:3" x14ac:dyDescent="0.25">
      <c r="A2298" t="str">
        <f>"10/12/2018"</f>
        <v>10/12/2018</v>
      </c>
      <c r="B2298" t="str">
        <f>"1.3311"</f>
        <v>1.3311</v>
      </c>
      <c r="C2298" t="str">
        <f>"1.3299"</f>
        <v>1.3299</v>
      </c>
    </row>
    <row r="2299" spans="1:3" x14ac:dyDescent="0.25">
      <c r="A2299" t="str">
        <f>"11/12/2018"</f>
        <v>11/12/2018</v>
      </c>
      <c r="B2299" t="str">
        <f>"1.3394"</f>
        <v>1.3394</v>
      </c>
      <c r="C2299" t="str">
        <f>"1.3381"</f>
        <v>1.3381</v>
      </c>
    </row>
    <row r="2300" spans="1:3" x14ac:dyDescent="0.25">
      <c r="A2300" t="str">
        <f>"12/12/2018"</f>
        <v>12/12/2018</v>
      </c>
      <c r="B2300" t="str">
        <f>"1.3379"</f>
        <v>1.3379</v>
      </c>
      <c r="C2300" t="str">
        <f>"1.3366"</f>
        <v>1.3366</v>
      </c>
    </row>
    <row r="2301" spans="1:3" x14ac:dyDescent="0.25">
      <c r="A2301" t="str">
        <f>"13/12/2018"</f>
        <v>13/12/2018</v>
      </c>
      <c r="B2301" t="str">
        <f>"1.337"</f>
        <v>1.337</v>
      </c>
      <c r="C2301" t="str">
        <f>"1.336"</f>
        <v>1.336</v>
      </c>
    </row>
    <row r="2302" spans="1:3" x14ac:dyDescent="0.25">
      <c r="A2302" t="str">
        <f>"14/12/2018"</f>
        <v>14/12/2018</v>
      </c>
      <c r="B2302" t="str">
        <f>"1.339"</f>
        <v>1.339</v>
      </c>
      <c r="C2302" t="str">
        <f>"1.338"</f>
        <v>1.338</v>
      </c>
    </row>
    <row r="2303" spans="1:3" x14ac:dyDescent="0.25">
      <c r="A2303" t="str">
        <f>"17/12/2018"</f>
        <v>17/12/2018</v>
      </c>
      <c r="B2303" t="str">
        <f>"1.3386"</f>
        <v>1.3386</v>
      </c>
      <c r="C2303" t="str">
        <f>"1.3375"</f>
        <v>1.3375</v>
      </c>
    </row>
    <row r="2304" spans="1:3" x14ac:dyDescent="0.25">
      <c r="A2304" t="str">
        <f>"18/12/2018"</f>
        <v>18/12/2018</v>
      </c>
      <c r="B2304" t="str">
        <f>"1.3398"</f>
        <v>1.3398</v>
      </c>
      <c r="C2304" t="str">
        <f>"1.3386"</f>
        <v>1.3386</v>
      </c>
    </row>
    <row r="2305" spans="1:3" x14ac:dyDescent="0.25">
      <c r="A2305" t="str">
        <f>"19/12/2018"</f>
        <v>19/12/2018</v>
      </c>
      <c r="B2305" t="str">
        <f>"1.3456"</f>
        <v>1.3456</v>
      </c>
      <c r="C2305" t="str">
        <f>"1.3443"</f>
        <v>1.3443</v>
      </c>
    </row>
    <row r="2306" spans="1:3" x14ac:dyDescent="0.25">
      <c r="A2306" t="str">
        <f>"20/12/2018"</f>
        <v>20/12/2018</v>
      </c>
      <c r="B2306" t="str">
        <f>"1.3461"</f>
        <v>1.3461</v>
      </c>
      <c r="C2306" t="str">
        <f>"1.3446"</f>
        <v>1.3446</v>
      </c>
    </row>
    <row r="2307" spans="1:3" x14ac:dyDescent="0.25">
      <c r="A2307" t="str">
        <f>"21/12/2018"</f>
        <v>21/12/2018</v>
      </c>
      <c r="B2307" t="str">
        <f>"1.3539"</f>
        <v>1.3539</v>
      </c>
      <c r="C2307" t="str">
        <f>"1.3526"</f>
        <v>1.3526</v>
      </c>
    </row>
    <row r="2308" spans="1:3" x14ac:dyDescent="0.25">
      <c r="A2308" t="str">
        <f>"24/12/2018"</f>
        <v>24/12/2018</v>
      </c>
      <c r="B2308" t="str">
        <f>"1.3576"</f>
        <v>1.3576</v>
      </c>
      <c r="C2308" t="str">
        <f>"1.3564"</f>
        <v>1.3564</v>
      </c>
    </row>
    <row r="2309" spans="1:3" x14ac:dyDescent="0.25">
      <c r="A2309" t="str">
        <f>"26/12/2018"</f>
        <v>26/12/2018</v>
      </c>
      <c r="B2309" t="str">
        <f>"1.3602"</f>
        <v>1.3602</v>
      </c>
      <c r="C2309" t="str">
        <f>"1.359"</f>
        <v>1.359</v>
      </c>
    </row>
    <row r="2310" spans="1:3" x14ac:dyDescent="0.25">
      <c r="A2310" t="str">
        <f>"27/12/2018"</f>
        <v>27/12/2018</v>
      </c>
      <c r="B2310" t="str">
        <f>"1.3597"</f>
        <v>1.3597</v>
      </c>
      <c r="C2310" t="str">
        <f>"1.3585"</f>
        <v>1.3585</v>
      </c>
    </row>
    <row r="2311" spans="1:3" x14ac:dyDescent="0.25">
      <c r="A2311" t="str">
        <f>"28/12/2018"</f>
        <v>28/12/2018</v>
      </c>
      <c r="B2311" t="str">
        <f>"1.3617"</f>
        <v>1.3617</v>
      </c>
      <c r="C2311" t="str">
        <f>"1.3606"</f>
        <v>1.3606</v>
      </c>
    </row>
    <row r="2312" spans="1:3" x14ac:dyDescent="0.25">
      <c r="A2312" t="str">
        <f>"31/12/2018"</f>
        <v>31/12/2018</v>
      </c>
      <c r="B2312" t="str">
        <f>"1.3617"</f>
        <v>1.3617</v>
      </c>
      <c r="C2312" t="str">
        <f>"1.3607"</f>
        <v>1.3607</v>
      </c>
    </row>
    <row r="2313" spans="1:3" x14ac:dyDescent="0.25">
      <c r="A2313" t="str">
        <f>"01/01/2019"</f>
        <v>01/01/2019</v>
      </c>
      <c r="B2313" t="str">
        <f>"1.369"</f>
        <v>1.369</v>
      </c>
      <c r="C2313" t="str">
        <f>"1.368"</f>
        <v>1.368</v>
      </c>
    </row>
    <row r="2314" spans="1:3" x14ac:dyDescent="0.25">
      <c r="A2314" t="str">
        <f>"02/01/2019"</f>
        <v>02/01/2019</v>
      </c>
      <c r="B2314" t="str">
        <f>"1.3628"</f>
        <v>1.3628</v>
      </c>
      <c r="C2314" t="str">
        <f>"1.3617"</f>
        <v>1.3617</v>
      </c>
    </row>
    <row r="2315" spans="1:3" x14ac:dyDescent="0.25">
      <c r="A2315" t="str">
        <f>"03/01/2019"</f>
        <v>03/01/2019</v>
      </c>
      <c r="B2315" t="str">
        <f>"1.3619"</f>
        <v>1.3619</v>
      </c>
      <c r="C2315" t="str">
        <f>"1.3609"</f>
        <v>1.3609</v>
      </c>
    </row>
    <row r="2316" spans="1:3" x14ac:dyDescent="0.25">
      <c r="A2316" t="str">
        <f>"04/01/2019"</f>
        <v>04/01/2019</v>
      </c>
      <c r="B2316" t="str">
        <f>"1.3448"</f>
        <v>1.3448</v>
      </c>
      <c r="C2316" t="str">
        <f>"1.3438"</f>
        <v>1.3438</v>
      </c>
    </row>
    <row r="2317" spans="1:3" x14ac:dyDescent="0.25">
      <c r="A2317" t="str">
        <f>"07/01/2019"</f>
        <v>07/01/2019</v>
      </c>
      <c r="B2317" t="str">
        <f>"1.3366"</f>
        <v>1.3366</v>
      </c>
      <c r="C2317" t="str">
        <f>"1.3356"</f>
        <v>1.3356</v>
      </c>
    </row>
    <row r="2318" spans="1:3" x14ac:dyDescent="0.25">
      <c r="A2318" t="str">
        <f>"08/01/2019"</f>
        <v>08/01/2019</v>
      </c>
      <c r="B2318" t="str">
        <f>"1.328"</f>
        <v>1.328</v>
      </c>
      <c r="C2318" t="str">
        <f>"1.327"</f>
        <v>1.327</v>
      </c>
    </row>
    <row r="2319" spans="1:3" x14ac:dyDescent="0.25">
      <c r="A2319" t="str">
        <f>"09/01/2019"</f>
        <v>09/01/2019</v>
      </c>
      <c r="B2319" t="str">
        <f>"1.3241"</f>
        <v>1.3241</v>
      </c>
      <c r="C2319" t="str">
        <f>"1.3231"</f>
        <v>1.3231</v>
      </c>
    </row>
    <row r="2320" spans="1:3" x14ac:dyDescent="0.25">
      <c r="A2320" t="str">
        <f>"10/01/2019"</f>
        <v>10/01/2019</v>
      </c>
      <c r="B2320" t="str">
        <f>"1.3215"</f>
        <v>1.3215</v>
      </c>
      <c r="C2320" t="str">
        <f>"1.3206"</f>
        <v>1.3206</v>
      </c>
    </row>
    <row r="2321" spans="1:3" x14ac:dyDescent="0.25">
      <c r="A2321" t="str">
        <f>"11/01/2019"</f>
        <v>11/01/2019</v>
      </c>
      <c r="B2321" t="str">
        <f>"1.3201"</f>
        <v>1.3201</v>
      </c>
      <c r="C2321" t="str">
        <f>"1.3192"</f>
        <v>1.3192</v>
      </c>
    </row>
    <row r="2322" spans="1:3" x14ac:dyDescent="0.25">
      <c r="A2322" t="str">
        <f>"14/01/2019"</f>
        <v>14/01/2019</v>
      </c>
      <c r="B2322" t="str">
        <f>"1.3277"</f>
        <v>1.3277</v>
      </c>
      <c r="C2322" t="str">
        <f>"1.3268"</f>
        <v>1.3268</v>
      </c>
    </row>
    <row r="2323" spans="1:3" x14ac:dyDescent="0.25">
      <c r="A2323" t="str">
        <f>"15/01/2019"</f>
        <v>15/01/2019</v>
      </c>
      <c r="B2323" t="str">
        <f>"1.3259"</f>
        <v>1.3259</v>
      </c>
      <c r="C2323" t="str">
        <f>"1.3249"</f>
        <v>1.3249</v>
      </c>
    </row>
    <row r="2324" spans="1:3" x14ac:dyDescent="0.25">
      <c r="A2324" t="str">
        <f>"16/01/2019"</f>
        <v>16/01/2019</v>
      </c>
      <c r="B2324" t="str">
        <f>"1.3273"</f>
        <v>1.3273</v>
      </c>
      <c r="C2324" t="str">
        <f>"1.3263"</f>
        <v>1.3263</v>
      </c>
    </row>
    <row r="2325" spans="1:3" x14ac:dyDescent="0.25">
      <c r="A2325" t="str">
        <f>"17/01/2019"</f>
        <v>17/01/2019</v>
      </c>
      <c r="B2325" t="str">
        <f>"1.3284"</f>
        <v>1.3284</v>
      </c>
      <c r="C2325" t="str">
        <f>"1.3275"</f>
        <v>1.3275</v>
      </c>
    </row>
    <row r="2326" spans="1:3" x14ac:dyDescent="0.25">
      <c r="A2326" t="str">
        <f>"18/01/2019"</f>
        <v>18/01/2019</v>
      </c>
      <c r="B2326" t="str">
        <f>"1.3257"</f>
        <v>1.3257</v>
      </c>
      <c r="C2326" t="str">
        <f>"1.3248"</f>
        <v>1.3248</v>
      </c>
    </row>
    <row r="2327" spans="1:3" x14ac:dyDescent="0.25">
      <c r="A2327" t="str">
        <f>"21/01/2019"</f>
        <v>21/01/2019</v>
      </c>
      <c r="B2327" t="str">
        <f>"1.3294"</f>
        <v>1.3294</v>
      </c>
      <c r="C2327" t="str">
        <f>"1.3285"</f>
        <v>1.3285</v>
      </c>
    </row>
    <row r="2328" spans="1:3" x14ac:dyDescent="0.25">
      <c r="A2328" t="str">
        <f>"22/01/2019"</f>
        <v>22/01/2019</v>
      </c>
      <c r="B2328" t="str">
        <f>"1.3328"</f>
        <v>1.3328</v>
      </c>
      <c r="C2328" t="str">
        <f>"1.3318"</f>
        <v>1.3318</v>
      </c>
    </row>
    <row r="2329" spans="1:3" x14ac:dyDescent="0.25">
      <c r="A2329" t="str">
        <f>"23/01/2019"</f>
        <v>23/01/2019</v>
      </c>
      <c r="B2329" t="str">
        <f>"1.3321"</f>
        <v>1.3321</v>
      </c>
      <c r="C2329" t="str">
        <f>"1.3311"</f>
        <v>1.3311</v>
      </c>
    </row>
    <row r="2330" spans="1:3" x14ac:dyDescent="0.25">
      <c r="A2330" t="str">
        <f>"24/01/2019"</f>
        <v>24/01/2019</v>
      </c>
      <c r="B2330" t="str">
        <f>"1.336"</f>
        <v>1.336</v>
      </c>
      <c r="C2330" t="str">
        <f>"1.335"</f>
        <v>1.335</v>
      </c>
    </row>
    <row r="2331" spans="1:3" x14ac:dyDescent="0.25">
      <c r="A2331" t="str">
        <f>"25/01/2019"</f>
        <v>25/01/2019</v>
      </c>
      <c r="B2331" t="str">
        <f>"1.3317"</f>
        <v>1.3317</v>
      </c>
      <c r="C2331" t="str">
        <f>"1.3308"</f>
        <v>1.3308</v>
      </c>
    </row>
    <row r="2332" spans="1:3" x14ac:dyDescent="0.25">
      <c r="A2332" t="str">
        <f>"28/01/2019"</f>
        <v>28/01/2019</v>
      </c>
      <c r="B2332" t="str">
        <f>"1.3224"</f>
        <v>1.3224</v>
      </c>
      <c r="C2332" t="str">
        <f>"1.3215"</f>
        <v>1.3215</v>
      </c>
    </row>
    <row r="2333" spans="1:3" x14ac:dyDescent="0.25">
      <c r="A2333" t="str">
        <f>"29/01/2019"</f>
        <v>29/01/2019</v>
      </c>
      <c r="B2333" t="str">
        <f>"1.3264"</f>
        <v>1.3264</v>
      </c>
      <c r="C2333" t="str">
        <f>"1.3255"</f>
        <v>1.3255</v>
      </c>
    </row>
    <row r="2334" spans="1:3" x14ac:dyDescent="0.25">
      <c r="A2334" t="str">
        <f>"30/01/2019"</f>
        <v>30/01/2019</v>
      </c>
      <c r="B2334" t="str">
        <f>"1.3236"</f>
        <v>1.3236</v>
      </c>
      <c r="C2334" t="str">
        <f>"1.3227"</f>
        <v>1.3227</v>
      </c>
    </row>
    <row r="2335" spans="1:3" x14ac:dyDescent="0.25">
      <c r="A2335" t="str">
        <f>"31/01/2019"</f>
        <v>31/01/2019</v>
      </c>
      <c r="B2335" t="str">
        <f>"1.3135"</f>
        <v>1.3135</v>
      </c>
      <c r="C2335" t="str">
        <f>"1.3127"</f>
        <v>1.3127</v>
      </c>
    </row>
    <row r="2336" spans="1:3" x14ac:dyDescent="0.25">
      <c r="A2336" t="str">
        <f>"01/02/2019"</f>
        <v>01/02/2019</v>
      </c>
      <c r="B2336" t="str">
        <f>"1.3142"</f>
        <v>1.3142</v>
      </c>
      <c r="C2336" t="str">
        <f>"1.3134"</f>
        <v>1.3134</v>
      </c>
    </row>
    <row r="2337" spans="1:3" x14ac:dyDescent="0.25">
      <c r="A2337" t="str">
        <f>"04/02/2019"</f>
        <v>04/02/2019</v>
      </c>
      <c r="B2337" t="str">
        <f>"1.3099"</f>
        <v>1.3099</v>
      </c>
      <c r="C2337" t="str">
        <f>"1.3091"</f>
        <v>1.3091</v>
      </c>
    </row>
    <row r="2338" spans="1:3" x14ac:dyDescent="0.25">
      <c r="A2338" t="str">
        <f>"05/02/2019"</f>
        <v>05/02/2019</v>
      </c>
      <c r="B2338" t="str">
        <f>"1.3108"</f>
        <v>1.3108</v>
      </c>
      <c r="C2338" t="str">
        <f>"1.31"</f>
        <v>1.31</v>
      </c>
    </row>
    <row r="2339" spans="1:3" x14ac:dyDescent="0.25">
      <c r="A2339" t="str">
        <f>"06/02/2019"</f>
        <v>06/02/2019</v>
      </c>
      <c r="B2339" t="str">
        <f>"1.3149"</f>
        <v>1.3149</v>
      </c>
      <c r="C2339" t="str">
        <f>"1.3141"</f>
        <v>1.3141</v>
      </c>
    </row>
    <row r="2340" spans="1:3" x14ac:dyDescent="0.25">
      <c r="A2340" t="str">
        <f>"07/02/2019"</f>
        <v>07/02/2019</v>
      </c>
      <c r="B2340" t="str">
        <f>"1.3253"</f>
        <v>1.3253</v>
      </c>
      <c r="C2340" t="str">
        <f>"1.3245"</f>
        <v>1.3245</v>
      </c>
    </row>
    <row r="2341" spans="1:3" x14ac:dyDescent="0.25">
      <c r="A2341" t="str">
        <f>"08/02/2019"</f>
        <v>08/02/2019</v>
      </c>
      <c r="B2341" t="str">
        <f>"1.3318"</f>
        <v>1.3318</v>
      </c>
      <c r="C2341" t="str">
        <f>"1.331"</f>
        <v>1.331</v>
      </c>
    </row>
    <row r="2342" spans="1:3" x14ac:dyDescent="0.25">
      <c r="A2342" t="str">
        <f>"11/02/2019"</f>
        <v>11/02/2019</v>
      </c>
      <c r="B2342" t="str">
        <f>"1.3267"</f>
        <v>1.3267</v>
      </c>
      <c r="C2342" t="str">
        <f>"1.3259"</f>
        <v>1.3259</v>
      </c>
    </row>
    <row r="2343" spans="1:3" x14ac:dyDescent="0.25">
      <c r="A2343" t="str">
        <f>"12/02/2019"</f>
        <v>12/02/2019</v>
      </c>
      <c r="B2343" t="str">
        <f>"1.3289"</f>
        <v>1.3289</v>
      </c>
      <c r="C2343" t="str">
        <f>"1.3281"</f>
        <v>1.3281</v>
      </c>
    </row>
    <row r="2344" spans="1:3" x14ac:dyDescent="0.25">
      <c r="A2344" t="str">
        <f>"13/02/2019"</f>
        <v>13/02/2019</v>
      </c>
      <c r="B2344" t="str">
        <f>"1.3237"</f>
        <v>1.3237</v>
      </c>
      <c r="C2344" t="str">
        <f>"1.3229"</f>
        <v>1.3229</v>
      </c>
    </row>
    <row r="2345" spans="1:3" x14ac:dyDescent="0.25">
      <c r="A2345" t="str">
        <f>"14/02/2019"</f>
        <v>14/02/2019</v>
      </c>
      <c r="B2345" t="str">
        <f>"1.3267"</f>
        <v>1.3267</v>
      </c>
      <c r="C2345" t="str">
        <f>"1.3259"</f>
        <v>1.3259</v>
      </c>
    </row>
    <row r="2346" spans="1:3" x14ac:dyDescent="0.25">
      <c r="A2346" t="str">
        <f>"15/02/2019"</f>
        <v>15/02/2019</v>
      </c>
      <c r="B2346" t="str">
        <f>"1.329"</f>
        <v>1.329</v>
      </c>
      <c r="C2346" t="str">
        <f>"1.3282"</f>
        <v>1.3282</v>
      </c>
    </row>
    <row r="2347" spans="1:3" x14ac:dyDescent="0.25">
      <c r="A2347" t="str">
        <f>"18/02/2019"</f>
        <v>18/02/2019</v>
      </c>
      <c r="B2347" t="str">
        <f>"1.3233"</f>
        <v>1.3233</v>
      </c>
      <c r="C2347" t="str">
        <f>"1.3225"</f>
        <v>1.3225</v>
      </c>
    </row>
    <row r="2348" spans="1:3" x14ac:dyDescent="0.25">
      <c r="A2348" t="str">
        <f>"20/02/2019"</f>
        <v>20/02/2019</v>
      </c>
      <c r="B2348" t="str">
        <f>"1.3181"</f>
        <v>1.3181</v>
      </c>
      <c r="C2348" t="str">
        <f>"1.3173"</f>
        <v>1.3173</v>
      </c>
    </row>
    <row r="2349" spans="1:3" x14ac:dyDescent="0.25">
      <c r="A2349" t="str">
        <f>"21/02/2019"</f>
        <v>21/02/2019</v>
      </c>
      <c r="B2349" t="str">
        <f>"1.3169"</f>
        <v>1.3169</v>
      </c>
      <c r="C2349" t="str">
        <f>"1.3161"</f>
        <v>1.3161</v>
      </c>
    </row>
    <row r="2350" spans="1:3" x14ac:dyDescent="0.25">
      <c r="A2350" t="str">
        <f>"22/02/2019"</f>
        <v>22/02/2019</v>
      </c>
      <c r="B2350" t="str">
        <f>"1.3209"</f>
        <v>1.3209</v>
      </c>
      <c r="C2350" t="str">
        <f>"1.3201"</f>
        <v>1.3201</v>
      </c>
    </row>
    <row r="2351" spans="1:3" x14ac:dyDescent="0.25">
      <c r="A2351" t="str">
        <f>"25/02/2019"</f>
        <v>25/02/2019</v>
      </c>
      <c r="B2351" t="str">
        <f>"1.3117"</f>
        <v>1.3117</v>
      </c>
      <c r="C2351" t="str">
        <f>"1.3109"</f>
        <v>1.3109</v>
      </c>
    </row>
    <row r="2352" spans="1:3" x14ac:dyDescent="0.25">
      <c r="A2352" t="str">
        <f>"26/02/2019"</f>
        <v>26/02/2019</v>
      </c>
      <c r="B2352" t="str">
        <f>"1.3222"</f>
        <v>1.3222</v>
      </c>
      <c r="C2352" t="str">
        <f>"1.3214"</f>
        <v>1.3214</v>
      </c>
    </row>
    <row r="2353" spans="1:3" x14ac:dyDescent="0.25">
      <c r="A2353" t="str">
        <f>"27/02/2019"</f>
        <v>27/02/2019</v>
      </c>
      <c r="B2353" t="str">
        <f>"1.3145"</f>
        <v>1.3145</v>
      </c>
      <c r="C2353" t="str">
        <f>"1.3137"</f>
        <v>1.3137</v>
      </c>
    </row>
    <row r="2354" spans="1:3" x14ac:dyDescent="0.25">
      <c r="A2354" t="str">
        <f>"28/02/2019"</f>
        <v>28/02/2019</v>
      </c>
      <c r="B2354" t="str">
        <f>"1.3163"</f>
        <v>1.3163</v>
      </c>
      <c r="C2354" t="str">
        <f>"1.3153"</f>
        <v>1.3153</v>
      </c>
    </row>
    <row r="2355" spans="1:3" x14ac:dyDescent="0.25">
      <c r="A2355" t="str">
        <f>"01/03/2019"</f>
        <v>01/03/2019</v>
      </c>
      <c r="B2355" t="str">
        <f>"1.3133"</f>
        <v>1.3133</v>
      </c>
      <c r="C2355" t="str">
        <f>"1.3123"</f>
        <v>1.3123</v>
      </c>
    </row>
    <row r="2356" spans="1:3" x14ac:dyDescent="0.25">
      <c r="A2356" t="str">
        <f>"05/03/2019"</f>
        <v>05/03/2019</v>
      </c>
      <c r="B2356" t="str">
        <f>"1.3339"</f>
        <v>1.3339</v>
      </c>
      <c r="C2356" t="str">
        <f>"1.3329"</f>
        <v>1.3329</v>
      </c>
    </row>
    <row r="2357" spans="1:3" x14ac:dyDescent="0.25">
      <c r="A2357" t="str">
        <f>"06/03/2019"</f>
        <v>06/03/2019</v>
      </c>
      <c r="B2357" t="str">
        <f>"1.337"</f>
        <v>1.337</v>
      </c>
      <c r="C2357" t="str">
        <f>"1.3361"</f>
        <v>1.3361</v>
      </c>
    </row>
    <row r="2358" spans="1:3" x14ac:dyDescent="0.25">
      <c r="A2358" t="str">
        <f>"07/03/2019"</f>
        <v>07/03/2019</v>
      </c>
      <c r="B2358" t="str">
        <f>"1.3422"</f>
        <v>1.3422</v>
      </c>
      <c r="C2358" t="str">
        <f>"1.3413"</f>
        <v>1.3413</v>
      </c>
    </row>
    <row r="2359" spans="1:3" x14ac:dyDescent="0.25">
      <c r="A2359" t="str">
        <f>"08/03/2019"</f>
        <v>08/03/2019</v>
      </c>
      <c r="B2359" t="str">
        <f>"1.346"</f>
        <v>1.346</v>
      </c>
      <c r="C2359" t="str">
        <f>"1.3451"</f>
        <v>1.3451</v>
      </c>
    </row>
    <row r="2360" spans="1:3" x14ac:dyDescent="0.25">
      <c r="A2360" t="str">
        <f>"11/03/2019"</f>
        <v>11/03/2019</v>
      </c>
      <c r="B2360" t="str">
        <f>"1.3434"</f>
        <v>1.3434</v>
      </c>
      <c r="C2360" t="str">
        <f>"1.3425"</f>
        <v>1.3425</v>
      </c>
    </row>
    <row r="2361" spans="1:3" x14ac:dyDescent="0.25">
      <c r="A2361" t="str">
        <f>"12/03/2019"</f>
        <v>12/03/2019</v>
      </c>
      <c r="B2361" t="str">
        <f>"1.3411"</f>
        <v>1.3411</v>
      </c>
      <c r="C2361" t="str">
        <f>"1.3401"</f>
        <v>1.3401</v>
      </c>
    </row>
    <row r="2362" spans="1:3" x14ac:dyDescent="0.25">
      <c r="A2362" t="str">
        <f>"13/03/2019"</f>
        <v>13/03/2019</v>
      </c>
      <c r="B2362" t="str">
        <f>"1.3363"</f>
        <v>1.3363</v>
      </c>
      <c r="C2362" t="str">
        <f>"1.3353"</f>
        <v>1.3353</v>
      </c>
    </row>
    <row r="2363" spans="1:3" x14ac:dyDescent="0.25">
      <c r="A2363" t="str">
        <f>"14/03/2019"</f>
        <v>14/03/2019</v>
      </c>
      <c r="B2363" t="str">
        <f>"1.3331"</f>
        <v>1.3331</v>
      </c>
      <c r="C2363" t="str">
        <f>"1.3321"</f>
        <v>1.3321</v>
      </c>
    </row>
    <row r="2364" spans="1:3" x14ac:dyDescent="0.25">
      <c r="A2364" t="str">
        <f>"18/03/2019"</f>
        <v>18/03/2019</v>
      </c>
      <c r="B2364" t="str">
        <f>"1.3318"</f>
        <v>1.3318</v>
      </c>
      <c r="C2364" t="str">
        <f>"1.3307"</f>
        <v>1.3307</v>
      </c>
    </row>
    <row r="2365" spans="1:3" x14ac:dyDescent="0.25">
      <c r="A2365" t="str">
        <f>"19/03/2019"</f>
        <v>19/03/2019</v>
      </c>
      <c r="B2365" t="str">
        <f>"1.331"</f>
        <v>1.331</v>
      </c>
      <c r="C2365" t="str">
        <f>"1.3299"</f>
        <v>1.3299</v>
      </c>
    </row>
    <row r="2366" spans="1:3" x14ac:dyDescent="0.25">
      <c r="A2366" t="str">
        <f>"20/03/2019"</f>
        <v>20/03/2019</v>
      </c>
      <c r="B2366" t="str">
        <f>"1.3336"</f>
        <v>1.3336</v>
      </c>
      <c r="C2366" t="str">
        <f>"1.3325"</f>
        <v>1.3325</v>
      </c>
    </row>
    <row r="2367" spans="1:3" x14ac:dyDescent="0.25">
      <c r="A2367" t="str">
        <f>"22/03/2019"</f>
        <v>22/03/2019</v>
      </c>
      <c r="B2367" t="str">
        <f>"1.3391"</f>
        <v>1.3391</v>
      </c>
      <c r="C2367" t="str">
        <f>"1.338"</f>
        <v>1.338</v>
      </c>
    </row>
    <row r="2368" spans="1:3" x14ac:dyDescent="0.25">
      <c r="A2368" t="str">
        <f>"25/03/2019"</f>
        <v>25/03/2019</v>
      </c>
      <c r="B2368" t="str">
        <f>"1.3425"</f>
        <v>1.3425</v>
      </c>
      <c r="C2368" t="str">
        <f>"1.3414"</f>
        <v>1.3414</v>
      </c>
    </row>
    <row r="2369" spans="1:3" x14ac:dyDescent="0.25">
      <c r="A2369" t="str">
        <f>"26/03/2019"</f>
        <v>26/03/2019</v>
      </c>
      <c r="B2369" t="str">
        <f>"1.3396"</f>
        <v>1.3396</v>
      </c>
      <c r="C2369" t="str">
        <f>"1.3384"</f>
        <v>1.3384</v>
      </c>
    </row>
    <row r="2370" spans="1:3" x14ac:dyDescent="0.25">
      <c r="A2370" t="str">
        <f>"27/03/2019"</f>
        <v>27/03/2019</v>
      </c>
      <c r="B2370" t="str">
        <f>"1.3407"</f>
        <v>1.3407</v>
      </c>
      <c r="C2370" t="str">
        <f>"1.3395"</f>
        <v>1.3395</v>
      </c>
    </row>
    <row r="2371" spans="1:3" x14ac:dyDescent="0.25">
      <c r="A2371" t="str">
        <f>"28/03/2019"</f>
        <v>28/03/2019</v>
      </c>
      <c r="B2371" t="str">
        <f>"1.3437"</f>
        <v>1.3437</v>
      </c>
      <c r="C2371" t="str">
        <f>"1.3426"</f>
        <v>1.3426</v>
      </c>
    </row>
    <row r="2372" spans="1:3" x14ac:dyDescent="0.25">
      <c r="A2372" t="str">
        <f>"29/03/2019"</f>
        <v>29/03/2019</v>
      </c>
      <c r="B2372" t="str">
        <f>"1.3419"</f>
        <v>1.3419</v>
      </c>
      <c r="C2372" t="str">
        <f>"1.3409"</f>
        <v>1.3409</v>
      </c>
    </row>
    <row r="2373" spans="1:3" x14ac:dyDescent="0.25">
      <c r="A2373" t="str">
        <f>"02/04/2019"</f>
        <v>02/04/2019</v>
      </c>
      <c r="B2373" t="str">
        <f>"1.3318"</f>
        <v>1.3318</v>
      </c>
      <c r="C2373" t="str">
        <f>"1.3308"</f>
        <v>1.3308</v>
      </c>
    </row>
    <row r="2374" spans="1:3" x14ac:dyDescent="0.25">
      <c r="A2374" t="str">
        <f>"03/04/2019"</f>
        <v>03/04/2019</v>
      </c>
      <c r="B2374" t="str">
        <f>"1.3309"</f>
        <v>1.3309</v>
      </c>
      <c r="C2374" t="str">
        <f>"1.3298"</f>
        <v>1.3298</v>
      </c>
    </row>
    <row r="2375" spans="1:3" x14ac:dyDescent="0.25">
      <c r="A2375" t="str">
        <f>"04/04/2019"</f>
        <v>04/04/2019</v>
      </c>
      <c r="B2375" t="str">
        <f>"1.3351"</f>
        <v>1.3351</v>
      </c>
      <c r="C2375" t="str">
        <f>"1.3342"</f>
        <v>1.3342</v>
      </c>
    </row>
    <row r="2376" spans="1:3" x14ac:dyDescent="0.25">
      <c r="A2376" t="str">
        <f>"05/04/2019"</f>
        <v>05/04/2019</v>
      </c>
      <c r="B2376" t="str">
        <f>"1.3376"</f>
        <v>1.3376</v>
      </c>
      <c r="C2376" t="str">
        <f>"1.3367"</f>
        <v>1.3367</v>
      </c>
    </row>
    <row r="2377" spans="1:3" x14ac:dyDescent="0.25">
      <c r="A2377" t="str">
        <f>"08/04/2019"</f>
        <v>08/04/2019</v>
      </c>
      <c r="B2377" t="str">
        <f>"1.337"</f>
        <v>1.337</v>
      </c>
      <c r="C2377" t="str">
        <f>"1.3361"</f>
        <v>1.3361</v>
      </c>
    </row>
    <row r="2378" spans="1:3" x14ac:dyDescent="0.25">
      <c r="A2378" t="str">
        <f>"09/04/2019"</f>
        <v>09/04/2019</v>
      </c>
      <c r="B2378" t="str">
        <f>"1.3295"</f>
        <v>1.3295</v>
      </c>
      <c r="C2378" t="str">
        <f>"1.3286"</f>
        <v>1.3286</v>
      </c>
    </row>
    <row r="2379" spans="1:3" x14ac:dyDescent="0.25">
      <c r="A2379" t="str">
        <f>"10/04/2019"</f>
        <v>10/04/2019</v>
      </c>
      <c r="B2379" t="str">
        <f>"1.3323"</f>
        <v>1.3323</v>
      </c>
      <c r="C2379" t="str">
        <f>"1.3313"</f>
        <v>1.3313</v>
      </c>
    </row>
    <row r="2380" spans="1:3" x14ac:dyDescent="0.25">
      <c r="A2380" t="str">
        <f>"11/04/2019"</f>
        <v>11/04/2019</v>
      </c>
      <c r="B2380" t="str">
        <f>"1.3356"</f>
        <v>1.3356</v>
      </c>
      <c r="C2380" t="str">
        <f>"1.3347"</f>
        <v>1.3347</v>
      </c>
    </row>
    <row r="2381" spans="1:3" x14ac:dyDescent="0.25">
      <c r="A2381" t="str">
        <f>"12/04/2019"</f>
        <v>12/04/2019</v>
      </c>
      <c r="B2381" t="str">
        <f>"1.3331"</f>
        <v>1.3331</v>
      </c>
      <c r="C2381" t="str">
        <f>"1.3322"</f>
        <v>1.3322</v>
      </c>
    </row>
    <row r="2382" spans="1:3" x14ac:dyDescent="0.25">
      <c r="A2382" t="str">
        <f>"15/04/2019"</f>
        <v>15/04/2019</v>
      </c>
      <c r="B2382" t="str">
        <f>"1.3318"</f>
        <v>1.3318</v>
      </c>
      <c r="C2382" t="str">
        <f>"1.3309"</f>
        <v>1.3309</v>
      </c>
    </row>
    <row r="2383" spans="1:3" x14ac:dyDescent="0.25">
      <c r="A2383" t="str">
        <f>"16/04/2019"</f>
        <v>16/04/2019</v>
      </c>
      <c r="B2383" t="str">
        <f>"1.3378"</f>
        <v>1.3378</v>
      </c>
      <c r="C2383" t="str">
        <f>"1.3369"</f>
        <v>1.3369</v>
      </c>
    </row>
    <row r="2384" spans="1:3" x14ac:dyDescent="0.25">
      <c r="A2384" t="str">
        <f>"18/04/2019"</f>
        <v>18/04/2019</v>
      </c>
      <c r="B2384" t="str">
        <f>"1.3375"</f>
        <v>1.3375</v>
      </c>
      <c r="C2384" t="str">
        <f>"1.3366"</f>
        <v>1.3366</v>
      </c>
    </row>
    <row r="2385" spans="1:3" x14ac:dyDescent="0.25">
      <c r="A2385" t="str">
        <f>"22/04/2019"</f>
        <v>22/04/2019</v>
      </c>
      <c r="B2385" t="str">
        <f>"1.3365"</f>
        <v>1.3365</v>
      </c>
      <c r="C2385" t="str">
        <f>"1.3356"</f>
        <v>1.3356</v>
      </c>
    </row>
    <row r="2386" spans="1:3" x14ac:dyDescent="0.25">
      <c r="A2386" t="str">
        <f>"23/04/2019"</f>
        <v>23/04/2019</v>
      </c>
      <c r="B2386" t="str">
        <f>"1.3375"</f>
        <v>1.3375</v>
      </c>
      <c r="C2386" t="str">
        <f>"1.3365"</f>
        <v>1.3365</v>
      </c>
    </row>
    <row r="2387" spans="1:3" x14ac:dyDescent="0.25">
      <c r="A2387" t="str">
        <f>"24/04/2019"</f>
        <v>24/04/2019</v>
      </c>
      <c r="B2387" t="str">
        <f>"1.3453"</f>
        <v>1.3453</v>
      </c>
      <c r="C2387" t="str">
        <f>"1.3442"</f>
        <v>1.3442</v>
      </c>
    </row>
    <row r="2388" spans="1:3" x14ac:dyDescent="0.25">
      <c r="A2388" t="str">
        <f>"25/04/2019"</f>
        <v>25/04/2019</v>
      </c>
      <c r="B2388" t="str">
        <f>"1.3507"</f>
        <v>1.3507</v>
      </c>
      <c r="C2388" t="str">
        <f>"1.3497"</f>
        <v>1.3497</v>
      </c>
    </row>
    <row r="2389" spans="1:3" x14ac:dyDescent="0.25">
      <c r="A2389" t="str">
        <f>"26/04/2019"</f>
        <v>26/04/2019</v>
      </c>
      <c r="B2389" t="str">
        <f>"1.3487"</f>
        <v>1.3487</v>
      </c>
      <c r="C2389" t="str">
        <f>"1.3478"</f>
        <v>1.3478</v>
      </c>
    </row>
    <row r="2390" spans="1:3" x14ac:dyDescent="0.25">
      <c r="A2390" t="str">
        <f>"30/04/2019"</f>
        <v>30/04/2019</v>
      </c>
      <c r="B2390" t="str">
        <f>"1.3443"</f>
        <v>1.3443</v>
      </c>
      <c r="C2390" t="str">
        <f>"1.3432"</f>
        <v>1.3432</v>
      </c>
    </row>
    <row r="2391" spans="1:3" x14ac:dyDescent="0.25">
      <c r="A2391" t="str">
        <f>"02/05/2019"</f>
        <v>02/05/2019</v>
      </c>
      <c r="B2391" t="str">
        <f>"1.3434"</f>
        <v>1.3434</v>
      </c>
      <c r="C2391" t="str">
        <f>"1.3424"</f>
        <v>1.3424</v>
      </c>
    </row>
    <row r="2392" spans="1:3" x14ac:dyDescent="0.25">
      <c r="A2392" t="str">
        <f>"03/05/2019"</f>
        <v>03/05/2019</v>
      </c>
      <c r="B2392" t="str">
        <f>"1.3472"</f>
        <v>1.3472</v>
      </c>
      <c r="C2392" t="str">
        <f>"1.3462"</f>
        <v>1.3462</v>
      </c>
    </row>
    <row r="2393" spans="1:3" x14ac:dyDescent="0.25">
      <c r="A2393" t="str">
        <f>"06/05/2019"</f>
        <v>06/05/2019</v>
      </c>
      <c r="B2393" t="str">
        <f>"1.3473"</f>
        <v>1.3473</v>
      </c>
      <c r="C2393" t="str">
        <f>"1.3463"</f>
        <v>1.3463</v>
      </c>
    </row>
    <row r="2394" spans="1:3" x14ac:dyDescent="0.25">
      <c r="A2394" t="str">
        <f>"07/05/2019"</f>
        <v>07/05/2019</v>
      </c>
      <c r="B2394" t="str">
        <f>"1.3467"</f>
        <v>1.3467</v>
      </c>
      <c r="C2394" t="str">
        <f>"1.3457"</f>
        <v>1.3457</v>
      </c>
    </row>
    <row r="2395" spans="1:3" x14ac:dyDescent="0.25">
      <c r="A2395" t="str">
        <f>"08/05/2019"</f>
        <v>08/05/2019</v>
      </c>
      <c r="B2395" t="str">
        <f>"1.3464"</f>
        <v>1.3464</v>
      </c>
      <c r="C2395" t="str">
        <f>"1.3454"</f>
        <v>1.3454</v>
      </c>
    </row>
    <row r="2396" spans="1:3" x14ac:dyDescent="0.25">
      <c r="A2396" t="str">
        <f>"09/05/2019"</f>
        <v>09/05/2019</v>
      </c>
      <c r="B2396" t="str">
        <f>"1.3481"</f>
        <v>1.3481</v>
      </c>
      <c r="C2396" t="str">
        <f>"1.3471"</f>
        <v>1.3471</v>
      </c>
    </row>
    <row r="2397" spans="1:3" x14ac:dyDescent="0.25">
      <c r="A2397" t="str">
        <f>"10/05/2019"</f>
        <v>10/05/2019</v>
      </c>
      <c r="B2397" t="str">
        <f>"1.3472"</f>
        <v>1.3472</v>
      </c>
      <c r="C2397" t="str">
        <f>"1.3462"</f>
        <v>1.3462</v>
      </c>
    </row>
    <row r="2398" spans="1:3" x14ac:dyDescent="0.25">
      <c r="A2398" t="str">
        <f>"13/05/2019"</f>
        <v>13/05/2019</v>
      </c>
      <c r="B2398" t="str">
        <f>"1.3439"</f>
        <v>1.3439</v>
      </c>
      <c r="C2398" t="str">
        <f>"1.343"</f>
        <v>1.343</v>
      </c>
    </row>
    <row r="2399" spans="1:3" x14ac:dyDescent="0.25">
      <c r="A2399" t="str">
        <f>"14/05/2019"</f>
        <v>14/05/2019</v>
      </c>
      <c r="B2399" t="str">
        <f>"1.3464"</f>
        <v>1.3464</v>
      </c>
      <c r="C2399" t="str">
        <f>"1.3454"</f>
        <v>1.3454</v>
      </c>
    </row>
    <row r="2400" spans="1:3" x14ac:dyDescent="0.25">
      <c r="A2400" t="str">
        <f>"15/05/2019"</f>
        <v>15/05/2019</v>
      </c>
      <c r="B2400" t="str">
        <f>"1.3475"</f>
        <v>1.3475</v>
      </c>
      <c r="C2400" t="str">
        <f>"1.3465"</f>
        <v>1.3465</v>
      </c>
    </row>
    <row r="2401" spans="1:3" x14ac:dyDescent="0.25">
      <c r="A2401" t="str">
        <f>"16/05/2019"</f>
        <v>16/05/2019</v>
      </c>
      <c r="B2401" t="str">
        <f>"1.3406"</f>
        <v>1.3406</v>
      </c>
      <c r="C2401" t="str">
        <f>"1.3396"</f>
        <v>1.3396</v>
      </c>
    </row>
    <row r="2402" spans="1:3" x14ac:dyDescent="0.25">
      <c r="A2402" t="str">
        <f>"17/05/2019"</f>
        <v>17/05/2019</v>
      </c>
      <c r="B2402" t="str">
        <f>"1.349"</f>
        <v>1.349</v>
      </c>
      <c r="C2402" t="str">
        <f>"1.348"</f>
        <v>1.348</v>
      </c>
    </row>
    <row r="2403" spans="1:3" x14ac:dyDescent="0.25">
      <c r="A2403" t="str">
        <f>"20/05/2019"</f>
        <v>20/05/2019</v>
      </c>
      <c r="B2403" t="str">
        <f>"1.3439"</f>
        <v>1.3439</v>
      </c>
      <c r="C2403" t="str">
        <f>"1.3429"</f>
        <v>1.3429</v>
      </c>
    </row>
    <row r="2404" spans="1:3" x14ac:dyDescent="0.25">
      <c r="A2404" t="str">
        <f>"21/05/2019"</f>
        <v>21/05/2019</v>
      </c>
      <c r="B2404" t="str">
        <f>"1.3414"</f>
        <v>1.3414</v>
      </c>
      <c r="C2404" t="str">
        <f>"1.3404"</f>
        <v>1.3404</v>
      </c>
    </row>
    <row r="2405" spans="1:3" x14ac:dyDescent="0.25">
      <c r="A2405" t="str">
        <f>"22/05/2019"</f>
        <v>22/05/2019</v>
      </c>
      <c r="B2405" t="str">
        <f>"1.3387"</f>
        <v>1.3387</v>
      </c>
      <c r="C2405" t="str">
        <f>"1.3377"</f>
        <v>1.3377</v>
      </c>
    </row>
    <row r="2406" spans="1:3" x14ac:dyDescent="0.25">
      <c r="A2406" t="str">
        <f>"23/05/2019"</f>
        <v>23/05/2019</v>
      </c>
      <c r="B2406" t="str">
        <f>"1.3465"</f>
        <v>1.3465</v>
      </c>
      <c r="C2406" t="str">
        <f>"1.3456"</f>
        <v>1.3456</v>
      </c>
    </row>
    <row r="2407" spans="1:3" x14ac:dyDescent="0.25">
      <c r="A2407" t="str">
        <f>"24/05/2019"</f>
        <v>24/05/2019</v>
      </c>
      <c r="B2407" t="str">
        <f>"1.3448"</f>
        <v>1.3448</v>
      </c>
      <c r="C2407" t="str">
        <f>"1.3439"</f>
        <v>1.3439</v>
      </c>
    </row>
    <row r="2408" spans="1:3" x14ac:dyDescent="0.25">
      <c r="A2408" t="str">
        <f>"27/05/2019"</f>
        <v>27/05/2019</v>
      </c>
      <c r="B2408" t="str">
        <f>"1.3449"</f>
        <v>1.3449</v>
      </c>
      <c r="C2408" t="str">
        <f>"1.344"</f>
        <v>1.344</v>
      </c>
    </row>
    <row r="2409" spans="1:3" x14ac:dyDescent="0.25">
      <c r="A2409" t="str">
        <f>"28/05/2019"</f>
        <v>28/05/2019</v>
      </c>
      <c r="B2409" t="str">
        <f>"1.344"</f>
        <v>1.344</v>
      </c>
      <c r="C2409" t="str">
        <f>"1.3431"</f>
        <v>1.3431</v>
      </c>
    </row>
    <row r="2410" spans="1:3" x14ac:dyDescent="0.25">
      <c r="A2410" t="str">
        <f>"29/05/2019"</f>
        <v>29/05/2019</v>
      </c>
      <c r="B2410" t="str">
        <f>"1.3508"</f>
        <v>1.3508</v>
      </c>
      <c r="C2410" t="str">
        <f>"1.3499"</f>
        <v>1.3499</v>
      </c>
    </row>
    <row r="2411" spans="1:3" x14ac:dyDescent="0.25">
      <c r="A2411" t="str">
        <f>"30/05/2019"</f>
        <v>30/05/2019</v>
      </c>
      <c r="B2411" t="str">
        <f>"1.3491"</f>
        <v>1.3491</v>
      </c>
      <c r="C2411" t="str">
        <f>"1.3482"</f>
        <v>1.3482</v>
      </c>
    </row>
    <row r="2412" spans="1:3" x14ac:dyDescent="0.25">
      <c r="A2412" t="str">
        <f>"31/05/2019"</f>
        <v>31/05/2019</v>
      </c>
      <c r="B2412" t="str">
        <f>"1.3538"</f>
        <v>1.3538</v>
      </c>
      <c r="C2412" t="str">
        <f>"1.3527"</f>
        <v>1.3527</v>
      </c>
    </row>
    <row r="2413" spans="1:3" x14ac:dyDescent="0.25">
      <c r="A2413" t="str">
        <f>"03/06/2019"</f>
        <v>03/06/2019</v>
      </c>
      <c r="B2413" t="str">
        <f>"1.3489"</f>
        <v>1.3489</v>
      </c>
      <c r="C2413" t="str">
        <f>"1.3478"</f>
        <v>1.3478</v>
      </c>
    </row>
    <row r="2414" spans="1:3" x14ac:dyDescent="0.25">
      <c r="A2414" t="str">
        <f>"04/06/2019"</f>
        <v>04/06/2019</v>
      </c>
      <c r="B2414" t="str">
        <f>"1.3436"</f>
        <v>1.3436</v>
      </c>
      <c r="C2414" t="str">
        <f>"1.3426"</f>
        <v>1.3426</v>
      </c>
    </row>
    <row r="2415" spans="1:3" x14ac:dyDescent="0.25">
      <c r="A2415" t="str">
        <f>"06/06/2019"</f>
        <v>06/06/2019</v>
      </c>
      <c r="B2415" t="str">
        <f>"1.3412"</f>
        <v>1.3412</v>
      </c>
      <c r="C2415" t="str">
        <f>"1.3402"</f>
        <v>1.3402</v>
      </c>
    </row>
    <row r="2416" spans="1:3" x14ac:dyDescent="0.25">
      <c r="A2416" t="str">
        <f>"07/06/2019"</f>
        <v>07/06/2019</v>
      </c>
      <c r="B2416" t="str">
        <f>"1.3353"</f>
        <v>1.3353</v>
      </c>
      <c r="C2416" t="str">
        <f>"1.3343"</f>
        <v>1.3343</v>
      </c>
    </row>
    <row r="2417" spans="1:3" x14ac:dyDescent="0.25">
      <c r="A2417" t="str">
        <f>"10/06/2019"</f>
        <v>10/06/2019</v>
      </c>
      <c r="B2417" t="str">
        <f>"1.3275"</f>
        <v>1.3275</v>
      </c>
      <c r="C2417" t="str">
        <f>"1.3265"</f>
        <v>1.3265</v>
      </c>
    </row>
    <row r="2418" spans="1:3" x14ac:dyDescent="0.25">
      <c r="A2418" t="str">
        <f>"11/06/2019"</f>
        <v>11/06/2019</v>
      </c>
      <c r="B2418" t="str">
        <f>"1.3259"</f>
        <v>1.3259</v>
      </c>
      <c r="C2418" t="str">
        <f>"1.3249"</f>
        <v>1.3249</v>
      </c>
    </row>
    <row r="2419" spans="1:3" x14ac:dyDescent="0.25">
      <c r="A2419" t="str">
        <f>"12/06/2019"</f>
        <v>12/06/2019</v>
      </c>
      <c r="B2419" t="str">
        <f>"1.3294"</f>
        <v>1.3294</v>
      </c>
      <c r="C2419" t="str">
        <f>"1.3284"</f>
        <v>1.3284</v>
      </c>
    </row>
    <row r="2420" spans="1:3" x14ac:dyDescent="0.25">
      <c r="A2420" t="str">
        <f>"13/06/2019"</f>
        <v>13/06/2019</v>
      </c>
      <c r="B2420" t="str">
        <f>"1.3338"</f>
        <v>1.3338</v>
      </c>
      <c r="C2420" t="str">
        <f>"1.3328"</f>
        <v>1.3328</v>
      </c>
    </row>
    <row r="2421" spans="1:3" x14ac:dyDescent="0.25">
      <c r="A2421" t="str">
        <f>"14/06/2019"</f>
        <v>14/06/2019</v>
      </c>
      <c r="B2421" t="str">
        <f>"1.3341"</f>
        <v>1.3341</v>
      </c>
      <c r="C2421" t="str">
        <f>"1.3332"</f>
        <v>1.3332</v>
      </c>
    </row>
    <row r="2422" spans="1:3" x14ac:dyDescent="0.25">
      <c r="A2422" t="str">
        <f>"17/06/2019"</f>
        <v>17/06/2019</v>
      </c>
      <c r="B2422" t="str">
        <f>"1.3411"</f>
        <v>1.3411</v>
      </c>
      <c r="C2422" t="str">
        <f>"1.3401"</f>
        <v>1.3401</v>
      </c>
    </row>
    <row r="2423" spans="1:3" x14ac:dyDescent="0.25">
      <c r="A2423" t="str">
        <f>"18/06/2019"</f>
        <v>18/06/2019</v>
      </c>
      <c r="B2423" t="str">
        <f>"1.3424"</f>
        <v>1.3424</v>
      </c>
      <c r="C2423" t="str">
        <f>"1.3414"</f>
        <v>1.3414</v>
      </c>
    </row>
    <row r="2424" spans="1:3" x14ac:dyDescent="0.25">
      <c r="A2424" t="str">
        <f>"19/06/2019"</f>
        <v>19/06/2019</v>
      </c>
      <c r="B2424" t="str">
        <f>"1.3376"</f>
        <v>1.3376</v>
      </c>
      <c r="C2424" t="str">
        <f>"1.3366"</f>
        <v>1.3366</v>
      </c>
    </row>
    <row r="2425" spans="1:3" x14ac:dyDescent="0.25">
      <c r="A2425" t="str">
        <f>"20/06/2019"</f>
        <v>20/06/2019</v>
      </c>
      <c r="B2425" t="str">
        <f>"1.3183"</f>
        <v>1.3183</v>
      </c>
      <c r="C2425" t="str">
        <f>"1.3173"</f>
        <v>1.3173</v>
      </c>
    </row>
    <row r="2426" spans="1:3" x14ac:dyDescent="0.25">
      <c r="A2426" t="str">
        <f>"21/06/2019"</f>
        <v>21/06/2019</v>
      </c>
      <c r="B2426" t="str">
        <f>"1.319"</f>
        <v>1.319</v>
      </c>
      <c r="C2426" t="str">
        <f>"1.318"</f>
        <v>1.318</v>
      </c>
    </row>
    <row r="2427" spans="1:3" x14ac:dyDescent="0.25">
      <c r="A2427" t="str">
        <f>"24/06/2019"</f>
        <v>24/06/2019</v>
      </c>
      <c r="B2427" t="str">
        <f>"1.3179"</f>
        <v>1.3179</v>
      </c>
      <c r="C2427" t="str">
        <f>"1.3169"</f>
        <v>1.3169</v>
      </c>
    </row>
    <row r="2428" spans="1:3" x14ac:dyDescent="0.25">
      <c r="A2428" t="str">
        <f>"25/06/2019"</f>
        <v>25/06/2019</v>
      </c>
      <c r="B2428" t="str">
        <f>"1.3176"</f>
        <v>1.3176</v>
      </c>
      <c r="C2428" t="str">
        <f>"1.3166"</f>
        <v>1.3166</v>
      </c>
    </row>
    <row r="2429" spans="1:3" x14ac:dyDescent="0.25">
      <c r="A2429" t="str">
        <f>"26/06/2019"</f>
        <v>26/06/2019</v>
      </c>
      <c r="B2429" t="str">
        <f>"1.3151"</f>
        <v>1.3151</v>
      </c>
      <c r="C2429" t="str">
        <f>"1.314"</f>
        <v>1.314</v>
      </c>
    </row>
    <row r="2430" spans="1:3" x14ac:dyDescent="0.25">
      <c r="A2430" t="str">
        <f>"27/06/2019"</f>
        <v>27/06/2019</v>
      </c>
      <c r="B2430" t="str">
        <f>"1.3133"</f>
        <v>1.3133</v>
      </c>
      <c r="C2430" t="str">
        <f>"1.3122"</f>
        <v>1.3122</v>
      </c>
    </row>
    <row r="2431" spans="1:3" x14ac:dyDescent="0.25">
      <c r="A2431" t="str">
        <f>"28/06/2019"</f>
        <v>28/06/2019</v>
      </c>
      <c r="B2431" t="str">
        <f>"1.3094"</f>
        <v>1.3094</v>
      </c>
      <c r="C2431" t="str">
        <f>"1.3085"</f>
        <v>1.3085</v>
      </c>
    </row>
    <row r="2432" spans="1:3" x14ac:dyDescent="0.25">
      <c r="A2432" t="str">
        <f>"01/07/2019"</f>
        <v>01/07/2019</v>
      </c>
      <c r="B2432" t="str">
        <f>"1.3096"</f>
        <v>1.3096</v>
      </c>
      <c r="C2432" t="str">
        <f>"1.3087"</f>
        <v>1.3087</v>
      </c>
    </row>
    <row r="2433" spans="1:3" x14ac:dyDescent="0.25">
      <c r="A2433" t="str">
        <f>"02/07/2019"</f>
        <v>02/07/2019</v>
      </c>
      <c r="B2433" t="str">
        <f>"1.3124"</f>
        <v>1.3124</v>
      </c>
      <c r="C2433" t="str">
        <f>"1.3114"</f>
        <v>1.3114</v>
      </c>
    </row>
    <row r="2434" spans="1:3" x14ac:dyDescent="0.25">
      <c r="A2434" t="str">
        <f>"03/07/2019"</f>
        <v>03/07/2019</v>
      </c>
      <c r="B2434" t="str">
        <f>"1.3099"</f>
        <v>1.3099</v>
      </c>
      <c r="C2434" t="str">
        <f>"1.309"</f>
        <v>1.309</v>
      </c>
    </row>
    <row r="2435" spans="1:3" x14ac:dyDescent="0.25">
      <c r="A2435" t="str">
        <f>"04/07/2019"</f>
        <v>04/07/2019</v>
      </c>
      <c r="B2435" t="str">
        <f>"1.3068"</f>
        <v>1.3068</v>
      </c>
      <c r="C2435" t="str">
        <f>"1.3059"</f>
        <v>1.3059</v>
      </c>
    </row>
    <row r="2436" spans="1:3" x14ac:dyDescent="0.25">
      <c r="A2436" t="str">
        <f>"05/07/2019"</f>
        <v>05/07/2019</v>
      </c>
      <c r="B2436" t="str">
        <f>"1.3065"</f>
        <v>1.3065</v>
      </c>
      <c r="C2436" t="str">
        <f>"1.3056"</f>
        <v>1.3056</v>
      </c>
    </row>
    <row r="2437" spans="1:3" x14ac:dyDescent="0.25">
      <c r="A2437" t="str">
        <f>"08/07/2019"</f>
        <v>08/07/2019</v>
      </c>
      <c r="B2437" t="str">
        <f>"1.3072"</f>
        <v>1.3072</v>
      </c>
      <c r="C2437" t="str">
        <f>"1.3063"</f>
        <v>1.3063</v>
      </c>
    </row>
    <row r="2438" spans="1:3" x14ac:dyDescent="0.25">
      <c r="A2438" t="str">
        <f>"09/07/2019"</f>
        <v>09/07/2019</v>
      </c>
      <c r="B2438" t="str">
        <f>"1.3101"</f>
        <v>1.3101</v>
      </c>
      <c r="C2438" t="str">
        <f>"1.3092"</f>
        <v>1.3092</v>
      </c>
    </row>
    <row r="2439" spans="1:3" x14ac:dyDescent="0.25">
      <c r="A2439" t="str">
        <f>"10/07/2019"</f>
        <v>10/07/2019</v>
      </c>
      <c r="B2439" t="str">
        <f>"1.3131"</f>
        <v>1.3131</v>
      </c>
      <c r="C2439" t="str">
        <f>"1.3122"</f>
        <v>1.3122</v>
      </c>
    </row>
    <row r="2440" spans="1:3" x14ac:dyDescent="0.25">
      <c r="A2440" t="str">
        <f>"11/07/2019"</f>
        <v>11/07/2019</v>
      </c>
      <c r="B2440" t="str">
        <f>"1.3055"</f>
        <v>1.3055</v>
      </c>
      <c r="C2440" t="str">
        <f>"1.3047"</f>
        <v>1.3047</v>
      </c>
    </row>
    <row r="2441" spans="1:3" x14ac:dyDescent="0.25">
      <c r="A2441" t="str">
        <f>"12/07/2019"</f>
        <v>12/07/2019</v>
      </c>
      <c r="B2441" t="str">
        <f>"1.3038"</f>
        <v>1.3038</v>
      </c>
      <c r="C2441" t="str">
        <f>"1.303"</f>
        <v>1.303</v>
      </c>
    </row>
    <row r="2442" spans="1:3" x14ac:dyDescent="0.25">
      <c r="A2442" t="str">
        <f>"15/07/2019"</f>
        <v>15/07/2019</v>
      </c>
      <c r="B2442" t="str">
        <f>"1.3034"</f>
        <v>1.3034</v>
      </c>
      <c r="C2442" t="str">
        <f>"1.3026"</f>
        <v>1.3026</v>
      </c>
    </row>
    <row r="2443" spans="1:3" x14ac:dyDescent="0.25">
      <c r="A2443" t="str">
        <f>"16/07/2019"</f>
        <v>16/07/2019</v>
      </c>
      <c r="B2443" t="str">
        <f>"1.3048"</f>
        <v>1.3048</v>
      </c>
      <c r="C2443" t="str">
        <f>"1.304"</f>
        <v>1.304</v>
      </c>
    </row>
    <row r="2444" spans="1:3" x14ac:dyDescent="0.25">
      <c r="A2444" t="str">
        <f>"17/07/2019"</f>
        <v>17/07/2019</v>
      </c>
      <c r="B2444" t="str">
        <f>"1.3061"</f>
        <v>1.3061</v>
      </c>
      <c r="C2444" t="str">
        <f>"1.3053"</f>
        <v>1.3053</v>
      </c>
    </row>
    <row r="2445" spans="1:3" x14ac:dyDescent="0.25">
      <c r="A2445" t="str">
        <f>"18/07/2019"</f>
        <v>18/07/2019</v>
      </c>
      <c r="B2445" t="str">
        <f>"1.3062"</f>
        <v>1.3062</v>
      </c>
      <c r="C2445" t="str">
        <f>"1.3054"</f>
        <v>1.3054</v>
      </c>
    </row>
    <row r="2446" spans="1:3" x14ac:dyDescent="0.25">
      <c r="A2446" t="str">
        <f>"19/07/2019"</f>
        <v>19/07/2019</v>
      </c>
      <c r="B2446" t="str">
        <f>"1.3031"</f>
        <v>1.3031</v>
      </c>
      <c r="C2446" t="str">
        <f>"1.3024"</f>
        <v>1.3024</v>
      </c>
    </row>
    <row r="2447" spans="1:3" x14ac:dyDescent="0.25">
      <c r="A2447" t="str">
        <f>"22/07/2019"</f>
        <v>22/07/2019</v>
      </c>
      <c r="B2447" t="str">
        <f>"1.3063"</f>
        <v>1.3063</v>
      </c>
      <c r="C2447" t="str">
        <f>"1.3056"</f>
        <v>1.3056</v>
      </c>
    </row>
    <row r="2448" spans="1:3" x14ac:dyDescent="0.25">
      <c r="A2448" t="str">
        <f>"23/07/2019"</f>
        <v>23/07/2019</v>
      </c>
      <c r="B2448" t="str">
        <f>"1.3136"</f>
        <v>1.3136</v>
      </c>
      <c r="C2448" t="str">
        <f>"1.3128"</f>
        <v>1.3128</v>
      </c>
    </row>
    <row r="2449" spans="1:3" x14ac:dyDescent="0.25">
      <c r="A2449" t="str">
        <f>"24/07/2019"</f>
        <v>24/07/2019</v>
      </c>
      <c r="B2449" t="str">
        <f>"1.3139"</f>
        <v>1.3139</v>
      </c>
      <c r="C2449" t="str">
        <f>"1.3131"</f>
        <v>1.3131</v>
      </c>
    </row>
    <row r="2450" spans="1:3" x14ac:dyDescent="0.25">
      <c r="A2450" t="str">
        <f>"25/07/2019"</f>
        <v>25/07/2019</v>
      </c>
      <c r="B2450" t="str">
        <f>"1.313"</f>
        <v>1.313</v>
      </c>
      <c r="C2450" t="str">
        <f>"1.3122"</f>
        <v>1.3122</v>
      </c>
    </row>
    <row r="2451" spans="1:3" x14ac:dyDescent="0.25">
      <c r="A2451" t="str">
        <f>"26/07/2019"</f>
        <v>26/07/2019</v>
      </c>
      <c r="B2451" t="str">
        <f>"1.3182"</f>
        <v>1.3182</v>
      </c>
      <c r="C2451" t="str">
        <f>"1.3174"</f>
        <v>1.3174</v>
      </c>
    </row>
    <row r="2452" spans="1:3" x14ac:dyDescent="0.25">
      <c r="A2452" t="str">
        <f>"29/07/2019"</f>
        <v>29/07/2019</v>
      </c>
      <c r="B2452" t="str">
        <f>"1.3166"</f>
        <v>1.3166</v>
      </c>
      <c r="C2452" t="str">
        <f>"1.3158"</f>
        <v>1.3158</v>
      </c>
    </row>
    <row r="2453" spans="1:3" x14ac:dyDescent="0.25">
      <c r="A2453" t="str">
        <f>"30/07/2019"</f>
        <v>30/07/2019</v>
      </c>
      <c r="B2453" t="str">
        <f>"1.3178"</f>
        <v>1.3178</v>
      </c>
      <c r="C2453" t="str">
        <f>"1.317"</f>
        <v>1.317</v>
      </c>
    </row>
    <row r="2454" spans="1:3" x14ac:dyDescent="0.25">
      <c r="A2454" t="str">
        <f>"31/07/2019"</f>
        <v>31/07/2019</v>
      </c>
      <c r="B2454" t="str">
        <f>"1.3148"</f>
        <v>1.3148</v>
      </c>
      <c r="C2454" t="str">
        <f>"1.314"</f>
        <v>1.314</v>
      </c>
    </row>
    <row r="2455" spans="1:3" x14ac:dyDescent="0.25">
      <c r="A2455" t="str">
        <f>"01/08/2019"</f>
        <v>01/08/2019</v>
      </c>
      <c r="B2455" t="str">
        <f>"1.3224"</f>
        <v>1.3224</v>
      </c>
      <c r="C2455" t="str">
        <f>"1.3216"</f>
        <v>1.3216</v>
      </c>
    </row>
    <row r="2456" spans="1:3" x14ac:dyDescent="0.25">
      <c r="A2456" t="str">
        <f>"02/08/2019"</f>
        <v>02/08/2019</v>
      </c>
      <c r="B2456" t="str">
        <f>"1.3222"</f>
        <v>1.3222</v>
      </c>
      <c r="C2456" t="str">
        <f>"1.3215"</f>
        <v>1.3215</v>
      </c>
    </row>
    <row r="2457" spans="1:3" x14ac:dyDescent="0.25">
      <c r="A2457" t="str">
        <f>"05/08/2019"</f>
        <v>05/08/2019</v>
      </c>
      <c r="B2457" t="str">
        <f>"1.3219"</f>
        <v>1.3219</v>
      </c>
      <c r="C2457" t="str">
        <f>"1.3212"</f>
        <v>1.3212</v>
      </c>
    </row>
    <row r="2458" spans="1:3" x14ac:dyDescent="0.25">
      <c r="A2458" t="str">
        <f>"06/08/2019"</f>
        <v>06/08/2019</v>
      </c>
      <c r="B2458" t="str">
        <f>"1.3215"</f>
        <v>1.3215</v>
      </c>
      <c r="C2458" t="str">
        <f>"1.3207"</f>
        <v>1.3207</v>
      </c>
    </row>
    <row r="2459" spans="1:3" x14ac:dyDescent="0.25">
      <c r="A2459" t="str">
        <f>"07/08/2019"</f>
        <v>07/08/2019</v>
      </c>
      <c r="B2459" t="str">
        <f>"1.3296"</f>
        <v>1.3296</v>
      </c>
      <c r="C2459" t="str">
        <f>"1.3289"</f>
        <v>1.3289</v>
      </c>
    </row>
    <row r="2460" spans="1:3" x14ac:dyDescent="0.25">
      <c r="A2460" t="str">
        <f>"08/08/2019"</f>
        <v>08/08/2019</v>
      </c>
      <c r="B2460" t="str">
        <f>"1.3302"</f>
        <v>1.3302</v>
      </c>
      <c r="C2460" t="str">
        <f>"1.3296"</f>
        <v>1.3296</v>
      </c>
    </row>
    <row r="2461" spans="1:3" x14ac:dyDescent="0.25">
      <c r="A2461" t="str">
        <f>"09/08/2019"</f>
        <v>09/08/2019</v>
      </c>
      <c r="B2461" t="str">
        <f>"1.3219"</f>
        <v>1.3219</v>
      </c>
      <c r="C2461" t="str">
        <f>"1.3212"</f>
        <v>1.3212</v>
      </c>
    </row>
    <row r="2462" spans="1:3" x14ac:dyDescent="0.25">
      <c r="A2462" t="str">
        <f>"13/08/2019"</f>
        <v>13/08/2019</v>
      </c>
      <c r="B2462" t="str">
        <f>"1.3269"</f>
        <v>1.3269</v>
      </c>
      <c r="C2462" t="str">
        <f>"1.3261"</f>
        <v>1.3261</v>
      </c>
    </row>
    <row r="2463" spans="1:3" x14ac:dyDescent="0.25">
      <c r="A2463" t="str">
        <f>"14/08/2019"</f>
        <v>14/08/2019</v>
      </c>
      <c r="B2463" t="str">
        <f>"1.3296"</f>
        <v>1.3296</v>
      </c>
      <c r="C2463" t="str">
        <f>"1.3288"</f>
        <v>1.3288</v>
      </c>
    </row>
    <row r="2464" spans="1:3" x14ac:dyDescent="0.25">
      <c r="A2464" t="str">
        <f>"16/08/2019"</f>
        <v>16/08/2019</v>
      </c>
      <c r="B2464" t="str">
        <f>"1.3321"</f>
        <v>1.3321</v>
      </c>
      <c r="C2464" t="str">
        <f>"1.3314"</f>
        <v>1.3314</v>
      </c>
    </row>
    <row r="2465" spans="1:3" x14ac:dyDescent="0.25">
      <c r="A2465" t="str">
        <f>"19/08/2019"</f>
        <v>19/08/2019</v>
      </c>
      <c r="B2465" t="str">
        <f>"1.3276"</f>
        <v>1.3276</v>
      </c>
      <c r="C2465" t="str">
        <f>"1.3269"</f>
        <v>1.3269</v>
      </c>
    </row>
    <row r="2466" spans="1:3" x14ac:dyDescent="0.25">
      <c r="A2466" t="str">
        <f>"20/08/2019"</f>
        <v>20/08/2019</v>
      </c>
      <c r="B2466" t="str">
        <f>"1.3319"</f>
        <v>1.3319</v>
      </c>
      <c r="C2466" t="str">
        <f>"1.3312"</f>
        <v>1.3312</v>
      </c>
    </row>
    <row r="2467" spans="1:3" x14ac:dyDescent="0.25">
      <c r="A2467" t="str">
        <f>"21/08/2019"</f>
        <v>21/08/2019</v>
      </c>
      <c r="B2467" t="str">
        <f>"1.3311"</f>
        <v>1.3311</v>
      </c>
      <c r="C2467" t="str">
        <f>"1.3305"</f>
        <v>1.3305</v>
      </c>
    </row>
    <row r="2468" spans="1:3" x14ac:dyDescent="0.25">
      <c r="A2468" t="str">
        <f>"22/08/2019"</f>
        <v>22/08/2019</v>
      </c>
      <c r="B2468" t="str">
        <f>"1.3314"</f>
        <v>1.3314</v>
      </c>
      <c r="C2468" t="str">
        <f>"1.3308"</f>
        <v>1.3308</v>
      </c>
    </row>
    <row r="2469" spans="1:3" x14ac:dyDescent="0.25">
      <c r="A2469" t="str">
        <f>"23/08/2019"</f>
        <v>23/08/2019</v>
      </c>
      <c r="B2469" t="str">
        <f>"1.3335"</f>
        <v>1.3335</v>
      </c>
      <c r="C2469" t="str">
        <f>"1.3329"</f>
        <v>1.3329</v>
      </c>
    </row>
    <row r="2470" spans="1:3" x14ac:dyDescent="0.25">
      <c r="A2470" t="str">
        <f>"26/08/2019"</f>
        <v>26/08/2019</v>
      </c>
      <c r="B2470" t="str">
        <f>"1.3299"</f>
        <v>1.3299</v>
      </c>
      <c r="C2470" t="str">
        <f>"1.3293"</f>
        <v>1.3293</v>
      </c>
    </row>
    <row r="2471" spans="1:3" x14ac:dyDescent="0.25">
      <c r="A2471" t="str">
        <f>"27/08/2019"</f>
        <v>27/08/2019</v>
      </c>
      <c r="B2471" t="str">
        <f>"1.3241"</f>
        <v>1.3241</v>
      </c>
      <c r="C2471" t="str">
        <f>"1.3235"</f>
        <v>1.3235</v>
      </c>
    </row>
    <row r="2472" spans="1:3" x14ac:dyDescent="0.25">
      <c r="A2472" t="str">
        <f>"28/08/2019"</f>
        <v>28/08/2019</v>
      </c>
      <c r="B2472" t="str">
        <f>"1.3308"</f>
        <v>1.3308</v>
      </c>
      <c r="C2472" t="str">
        <f>"1.3302"</f>
        <v>1.3302</v>
      </c>
    </row>
    <row r="2473" spans="1:3" x14ac:dyDescent="0.25">
      <c r="A2473" t="str">
        <f>"29/08/2019"</f>
        <v>29/08/2019</v>
      </c>
      <c r="B2473" t="str">
        <f>"1.3288"</f>
        <v>1.3288</v>
      </c>
      <c r="C2473" t="str">
        <f>"1.3282"</f>
        <v>1.3282</v>
      </c>
    </row>
    <row r="2474" spans="1:3" x14ac:dyDescent="0.25">
      <c r="A2474" t="str">
        <f>"30/08/2019"</f>
        <v>30/08/2019</v>
      </c>
      <c r="B2474" t="str">
        <f>"1.3291"</f>
        <v>1.3291</v>
      </c>
      <c r="C2474" t="str">
        <f>"1.3285"</f>
        <v>1.3285</v>
      </c>
    </row>
    <row r="2475" spans="1:3" x14ac:dyDescent="0.25">
      <c r="A2475" t="str">
        <f>"03/09/2019"</f>
        <v>03/09/2019</v>
      </c>
      <c r="B2475" t="str">
        <f>"1.3364"</f>
        <v>1.3364</v>
      </c>
      <c r="C2475" t="str">
        <f>"1.3358"</f>
        <v>1.3358</v>
      </c>
    </row>
    <row r="2476" spans="1:3" x14ac:dyDescent="0.25">
      <c r="A2476" t="str">
        <f>"04/09/2019"</f>
        <v>04/09/2019</v>
      </c>
      <c r="B2476" t="str">
        <f>"1.3321"</f>
        <v>1.3321</v>
      </c>
      <c r="C2476" t="str">
        <f>"1.3314"</f>
        <v>1.3314</v>
      </c>
    </row>
    <row r="2477" spans="1:3" x14ac:dyDescent="0.25">
      <c r="A2477" t="str">
        <f>"05/09/2019"</f>
        <v>05/09/2019</v>
      </c>
      <c r="B2477" t="str">
        <f>"1.3197"</f>
        <v>1.3197</v>
      </c>
      <c r="C2477" t="str">
        <f>"1.3191"</f>
        <v>1.3191</v>
      </c>
    </row>
    <row r="2478" spans="1:3" x14ac:dyDescent="0.25">
      <c r="A2478" t="str">
        <f>"06/09/2019"</f>
        <v>06/09/2019</v>
      </c>
      <c r="B2478" t="str">
        <f>"1.3216"</f>
        <v>1.3216</v>
      </c>
      <c r="C2478" t="str">
        <f>"1.321"</f>
        <v>1.321</v>
      </c>
    </row>
    <row r="2479" spans="1:3" x14ac:dyDescent="0.25">
      <c r="A2479" t="str">
        <f>"09/09/2019"</f>
        <v>09/09/2019</v>
      </c>
      <c r="B2479" t="str">
        <f>"1.316"</f>
        <v>1.316</v>
      </c>
      <c r="C2479" t="str">
        <f>"1.3154"</f>
        <v>1.3154</v>
      </c>
    </row>
    <row r="2480" spans="1:3" x14ac:dyDescent="0.25">
      <c r="A2480" t="str">
        <f>"11/09/2019"</f>
        <v>11/09/2019</v>
      </c>
      <c r="B2480" t="str">
        <f>"1.3146"</f>
        <v>1.3146</v>
      </c>
      <c r="C2480" t="str">
        <f>"1.314"</f>
        <v>1.314</v>
      </c>
    </row>
    <row r="2481" spans="1:3" x14ac:dyDescent="0.25">
      <c r="A2481" t="str">
        <f>"12/09/2019"</f>
        <v>12/09/2019</v>
      </c>
      <c r="B2481" t="str">
        <f>"1.3189"</f>
        <v>1.3189</v>
      </c>
      <c r="C2481" t="str">
        <f>"1.3183"</f>
        <v>1.3183</v>
      </c>
    </row>
    <row r="2482" spans="1:3" x14ac:dyDescent="0.25">
      <c r="A2482" t="str">
        <f>"16/09/2019"</f>
        <v>16/09/2019</v>
      </c>
      <c r="B2482" t="str">
        <f>"1.3236"</f>
        <v>1.3236</v>
      </c>
      <c r="C2482" t="str">
        <f>"1.3231"</f>
        <v>1.3231</v>
      </c>
    </row>
    <row r="2483" spans="1:3" x14ac:dyDescent="0.25">
      <c r="A2483" t="str">
        <f>"17/09/2019"</f>
        <v>17/09/2019</v>
      </c>
      <c r="B2483" t="str">
        <f>"1.3258"</f>
        <v>1.3258</v>
      </c>
      <c r="C2483" t="str">
        <f>"1.3251"</f>
        <v>1.3251</v>
      </c>
    </row>
    <row r="2484" spans="1:3" x14ac:dyDescent="0.25">
      <c r="A2484" t="str">
        <f>"18/09/2019"</f>
        <v>18/09/2019</v>
      </c>
      <c r="B2484" t="str">
        <f>"1.3256"</f>
        <v>1.3256</v>
      </c>
      <c r="C2484" t="str">
        <f>"1.3249"</f>
        <v>1.3249</v>
      </c>
    </row>
    <row r="2485" spans="1:3" x14ac:dyDescent="0.25">
      <c r="A2485" t="str">
        <f>"19/09/2019"</f>
        <v>19/09/2019</v>
      </c>
      <c r="B2485" t="str">
        <f>"1.3295"</f>
        <v>1.3295</v>
      </c>
      <c r="C2485" t="str">
        <f>"1.3288"</f>
        <v>1.3288</v>
      </c>
    </row>
    <row r="2486" spans="1:3" x14ac:dyDescent="0.25">
      <c r="A2486" t="str">
        <f>"20/09/2019"</f>
        <v>20/09/2019</v>
      </c>
      <c r="B2486" t="str">
        <f>"1.3269"</f>
        <v>1.3269</v>
      </c>
      <c r="C2486" t="str">
        <f>"1.3262"</f>
        <v>1.3262</v>
      </c>
    </row>
    <row r="2487" spans="1:3" x14ac:dyDescent="0.25">
      <c r="A2487" t="str">
        <f>"23/09/2019"</f>
        <v>23/09/2019</v>
      </c>
      <c r="B2487" t="str">
        <f>"1.3283"</f>
        <v>1.3283</v>
      </c>
      <c r="C2487" t="str">
        <f>"1.3277"</f>
        <v>1.3277</v>
      </c>
    </row>
    <row r="2488" spans="1:3" x14ac:dyDescent="0.25">
      <c r="A2488" t="str">
        <f>"24/09/2019"</f>
        <v>24/09/2019</v>
      </c>
      <c r="B2488" t="str">
        <f>"1.326"</f>
        <v>1.326</v>
      </c>
      <c r="C2488" t="str">
        <f>"1.3254"</f>
        <v>1.3254</v>
      </c>
    </row>
    <row r="2489" spans="1:3" x14ac:dyDescent="0.25">
      <c r="A2489" t="str">
        <f>"25/09/2019"</f>
        <v>25/09/2019</v>
      </c>
      <c r="B2489" t="str">
        <f>"1.3266"</f>
        <v>1.3266</v>
      </c>
      <c r="C2489" t="str">
        <f>"1.3258"</f>
        <v>1.3258</v>
      </c>
    </row>
    <row r="2490" spans="1:3" x14ac:dyDescent="0.25">
      <c r="A2490" t="str">
        <f>"26/09/2019"</f>
        <v>26/09/2019</v>
      </c>
      <c r="B2490" t="str">
        <f>"1.3251"</f>
        <v>1.3251</v>
      </c>
      <c r="C2490" t="str">
        <f>"1.3244"</f>
        <v>1.3244</v>
      </c>
    </row>
    <row r="2491" spans="1:3" x14ac:dyDescent="0.25">
      <c r="A2491" t="str">
        <f>"27/09/2019"</f>
        <v>27/09/2019</v>
      </c>
      <c r="B2491" t="str">
        <f>"1.3255"</f>
        <v>1.3255</v>
      </c>
      <c r="C2491" t="str">
        <f>"1.3248"</f>
        <v>1.3248</v>
      </c>
    </row>
    <row r="2492" spans="1:3" x14ac:dyDescent="0.25">
      <c r="A2492" t="str">
        <f>"30/09/2019"</f>
        <v>30/09/2019</v>
      </c>
      <c r="B2492" t="str">
        <f>"1.3247"</f>
        <v>1.3247</v>
      </c>
      <c r="C2492" t="str">
        <f>"1.3241"</f>
        <v>1.3241</v>
      </c>
    </row>
    <row r="2493" spans="1:3" x14ac:dyDescent="0.25">
      <c r="A2493" t="str">
        <f>"01/10/2019"</f>
        <v>01/10/2019</v>
      </c>
      <c r="B2493" t="str">
        <f>"1.3273"</f>
        <v>1.3273</v>
      </c>
      <c r="C2493" t="str">
        <f>"1.3266"</f>
        <v>1.3266</v>
      </c>
    </row>
    <row r="2494" spans="1:3" x14ac:dyDescent="0.25">
      <c r="A2494" t="str">
        <f>"03/10/2019"</f>
        <v>03/10/2019</v>
      </c>
      <c r="B2494" t="str">
        <f>"1.332"</f>
        <v>1.332</v>
      </c>
      <c r="C2494" t="str">
        <f>"1.3315"</f>
        <v>1.3315</v>
      </c>
    </row>
    <row r="2495" spans="1:3" x14ac:dyDescent="0.25">
      <c r="A2495" t="str">
        <f>"04/10/2019"</f>
        <v>04/10/2019</v>
      </c>
      <c r="B2495" t="str">
        <f>"1.3319"</f>
        <v>1.3319</v>
      </c>
      <c r="C2495" t="str">
        <f>"1.3314"</f>
        <v>1.3314</v>
      </c>
    </row>
    <row r="2496" spans="1:3" x14ac:dyDescent="0.25">
      <c r="A2496" t="str">
        <f>"07/10/2019"</f>
        <v>07/10/2019</v>
      </c>
      <c r="B2496" t="str">
        <f>"1.3314"</f>
        <v>1.3314</v>
      </c>
      <c r="C2496" t="str">
        <f>"1.3311"</f>
        <v>1.3311</v>
      </c>
    </row>
    <row r="2497" spans="1:3" x14ac:dyDescent="0.25">
      <c r="A2497" t="str">
        <f>"09/10/2019"</f>
        <v>09/10/2019</v>
      </c>
      <c r="B2497" t="str">
        <f>"1.3311"</f>
        <v>1.3311</v>
      </c>
      <c r="C2497" t="str">
        <f>"1.3307"</f>
        <v>1.3307</v>
      </c>
    </row>
    <row r="2498" spans="1:3" x14ac:dyDescent="0.25">
      <c r="A2498" t="str">
        <f>"10/10/2019"</f>
        <v>10/10/2019</v>
      </c>
      <c r="B2498" t="str">
        <f>"1.3314"</f>
        <v>1.3314</v>
      </c>
      <c r="C2498" t="str">
        <f>"1.3311"</f>
        <v>1.3311</v>
      </c>
    </row>
    <row r="2499" spans="1:3" x14ac:dyDescent="0.25">
      <c r="A2499" t="str">
        <f>"11/10/2019"</f>
        <v>11/10/2019</v>
      </c>
      <c r="B2499" t="str">
        <f>"1.3273"</f>
        <v>1.3273</v>
      </c>
      <c r="C2499" t="str">
        <f>"1.327"</f>
        <v>1.327</v>
      </c>
    </row>
    <row r="2500" spans="1:3" x14ac:dyDescent="0.25">
      <c r="A2500" t="str">
        <f>"14/10/2019"</f>
        <v>14/10/2019</v>
      </c>
      <c r="B2500" t="str">
        <f>"1.3212"</f>
        <v>1.3212</v>
      </c>
      <c r="C2500" t="str">
        <f>"1.321"</f>
        <v>1.321</v>
      </c>
    </row>
    <row r="2501" spans="1:3" x14ac:dyDescent="0.25">
      <c r="A2501" t="str">
        <f>"15/10/2019"</f>
        <v>15/10/2019</v>
      </c>
      <c r="B2501" t="str">
        <f>"1.3229"</f>
        <v>1.3229</v>
      </c>
      <c r="C2501" t="str">
        <f>"1.3226"</f>
        <v>1.3226</v>
      </c>
    </row>
    <row r="2502" spans="1:3" x14ac:dyDescent="0.25">
      <c r="A2502" t="str">
        <f>"16/10/2019"</f>
        <v>16/10/2019</v>
      </c>
      <c r="B2502" t="str">
        <f>"1.3204"</f>
        <v>1.3204</v>
      </c>
      <c r="C2502" t="str">
        <f>"1.3201"</f>
        <v>1.3201</v>
      </c>
    </row>
    <row r="2503" spans="1:3" x14ac:dyDescent="0.25">
      <c r="A2503" t="str">
        <f>"17/10/2019"</f>
        <v>17/10/2019</v>
      </c>
      <c r="B2503" t="str">
        <f>"1.3171"</f>
        <v>1.3171</v>
      </c>
      <c r="C2503" t="str">
        <f>"1.3168"</f>
        <v>1.3168</v>
      </c>
    </row>
    <row r="2504" spans="1:3" x14ac:dyDescent="0.25">
      <c r="A2504" t="str">
        <f>"18/10/2019"</f>
        <v>18/10/2019</v>
      </c>
      <c r="B2504" t="str">
        <f>"1.3137"</f>
        <v>1.3137</v>
      </c>
      <c r="C2504" t="str">
        <f>"1.3134"</f>
        <v>1.3134</v>
      </c>
    </row>
    <row r="2505" spans="1:3" x14ac:dyDescent="0.25">
      <c r="A2505" t="str">
        <f>"22/10/2019"</f>
        <v>22/10/2019</v>
      </c>
      <c r="B2505" t="str">
        <f>"1.3102"</f>
        <v>1.3102</v>
      </c>
      <c r="C2505" t="str">
        <f>"1.3099"</f>
        <v>1.3099</v>
      </c>
    </row>
    <row r="2506" spans="1:3" x14ac:dyDescent="0.25">
      <c r="A2506" t="str">
        <f>"23/10/2019"</f>
        <v>23/10/2019</v>
      </c>
      <c r="B2506" t="str">
        <f>"1.3095"</f>
        <v>1.3095</v>
      </c>
      <c r="C2506" t="str">
        <f>"1.3092"</f>
        <v>1.3092</v>
      </c>
    </row>
    <row r="2507" spans="1:3" x14ac:dyDescent="0.25">
      <c r="A2507" t="str">
        <f>"24/10/2019"</f>
        <v>24/10/2019</v>
      </c>
      <c r="B2507" t="str">
        <f>"1.3078"</f>
        <v>1.3078</v>
      </c>
      <c r="C2507" t="str">
        <f>"1.3076"</f>
        <v>1.3076</v>
      </c>
    </row>
    <row r="2508" spans="1:3" x14ac:dyDescent="0.25">
      <c r="A2508" t="str">
        <f>"25/10/2019"</f>
        <v>25/10/2019</v>
      </c>
      <c r="B2508" t="str">
        <f>"1.3073"</f>
        <v>1.3073</v>
      </c>
      <c r="C2508" t="str">
        <f>"1.3071"</f>
        <v>1.3071</v>
      </c>
    </row>
    <row r="2509" spans="1:3" x14ac:dyDescent="0.25">
      <c r="A2509" t="str">
        <f>"29/10/2019"</f>
        <v>29/10/2019</v>
      </c>
      <c r="B2509" t="str">
        <f>"1.3057"</f>
        <v>1.3057</v>
      </c>
      <c r="C2509" t="str">
        <f>"1.3055"</f>
        <v>1.3055</v>
      </c>
    </row>
    <row r="2510" spans="1:3" x14ac:dyDescent="0.25">
      <c r="A2510" t="str">
        <f>"30/10/2019"</f>
        <v>30/10/2019</v>
      </c>
      <c r="B2510" t="str">
        <f>"1.3092"</f>
        <v>1.3092</v>
      </c>
      <c r="C2510" t="str">
        <f>"1.3091"</f>
        <v>1.3091</v>
      </c>
    </row>
    <row r="2511" spans="1:3" x14ac:dyDescent="0.25">
      <c r="A2511" t="str">
        <f>"31/10/2019"</f>
        <v>31/10/2019</v>
      </c>
      <c r="B2511" t="str">
        <f>"1.3159"</f>
        <v>1.3159</v>
      </c>
      <c r="C2511" t="str">
        <f>"1.3158"</f>
        <v>1.3158</v>
      </c>
    </row>
    <row r="2512" spans="1:3" x14ac:dyDescent="0.25">
      <c r="A2512" t="str">
        <f>"01/11/2019"</f>
        <v>01/11/2019</v>
      </c>
      <c r="B2512" t="str">
        <f>"1.3164"</f>
        <v>1.3164</v>
      </c>
      <c r="C2512" t="str">
        <f>"1.3164"</f>
        <v>1.3164</v>
      </c>
    </row>
    <row r="2513" spans="1:3" x14ac:dyDescent="0.25">
      <c r="A2513" t="str">
        <f>"04/11/2019"</f>
        <v>04/11/2019</v>
      </c>
      <c r="B2513" t="str">
        <f>"1.3137"</f>
        <v>1.3137</v>
      </c>
      <c r="C2513" t="str">
        <f>"1.3137"</f>
        <v>1.3137</v>
      </c>
    </row>
    <row r="2514" spans="1:3" x14ac:dyDescent="0.25">
      <c r="A2514" t="str">
        <f>"05/11/2019"</f>
        <v>05/11/2019</v>
      </c>
      <c r="B2514" t="str">
        <f>"1.3154"</f>
        <v>1.3154</v>
      </c>
      <c r="C2514" t="str">
        <f>"1.3154"</f>
        <v>1.3154</v>
      </c>
    </row>
    <row r="2515" spans="1:3" x14ac:dyDescent="0.25">
      <c r="A2515" t="str">
        <f>"06/11/2019"</f>
        <v>06/11/2019</v>
      </c>
      <c r="B2515" t="str">
        <f>"1.3169"</f>
        <v>1.3169</v>
      </c>
      <c r="C2515" t="str">
        <f>"1.3169"</f>
        <v>1.3169</v>
      </c>
    </row>
    <row r="2516" spans="1:3" x14ac:dyDescent="0.25">
      <c r="A2516" t="str">
        <f>"07/11/2019"</f>
        <v>07/11/2019</v>
      </c>
      <c r="B2516" t="str">
        <f>"1.3172"</f>
        <v>1.3172</v>
      </c>
      <c r="C2516" t="str">
        <f>"1.3172"</f>
        <v>1.3172</v>
      </c>
    </row>
    <row r="2517" spans="1:3" x14ac:dyDescent="0.25">
      <c r="A2517" t="str">
        <f>"08/11/2019"</f>
        <v>08/11/2019</v>
      </c>
      <c r="B2517" t="str">
        <f>"1.3199"</f>
        <v>1.3199</v>
      </c>
      <c r="C2517" t="str">
        <f>"1.3198"</f>
        <v>1.3198</v>
      </c>
    </row>
    <row r="2518" spans="1:3" x14ac:dyDescent="0.25">
      <c r="A2518" t="str">
        <f>"11/11/2019"</f>
        <v>11/11/2019</v>
      </c>
      <c r="B2518" t="str">
        <f>"1.3226"</f>
        <v>1.3226</v>
      </c>
      <c r="C2518" t="str">
        <f>"1.3225"</f>
        <v>1.3225</v>
      </c>
    </row>
    <row r="2519" spans="1:3" x14ac:dyDescent="0.25">
      <c r="A2519" t="str">
        <f>"13/11/2019"</f>
        <v>13/11/2019</v>
      </c>
      <c r="B2519" t="str">
        <f>"1.3265"</f>
        <v>1.3265</v>
      </c>
      <c r="C2519" t="str">
        <f>"1.3264"</f>
        <v>1.3264</v>
      </c>
    </row>
    <row r="2520" spans="1:3" x14ac:dyDescent="0.25">
      <c r="A2520" t="str">
        <f>"14/11/2019"</f>
        <v>14/11/2019</v>
      </c>
      <c r="B2520" t="str">
        <f>"1.3267"</f>
        <v>1.3267</v>
      </c>
      <c r="C2520" t="str">
        <f>"1.3266"</f>
        <v>1.3266</v>
      </c>
    </row>
    <row r="2521" spans="1:3" x14ac:dyDescent="0.25">
      <c r="A2521" t="str">
        <f>"15/11/2019"</f>
        <v>15/11/2019</v>
      </c>
      <c r="B2521" t="str">
        <f>"1.3245"</f>
        <v>1.3245</v>
      </c>
      <c r="C2521" t="str">
        <f>"1.3245"</f>
        <v>1.3245</v>
      </c>
    </row>
    <row r="2522" spans="1:3" x14ac:dyDescent="0.25">
      <c r="A2522" t="str">
        <f>"18/11/2019"</f>
        <v>18/11/2019</v>
      </c>
      <c r="B2522" t="str">
        <f>"1.3223"</f>
        <v>1.3223</v>
      </c>
      <c r="C2522" t="str">
        <f>"1.3223"</f>
        <v>1.3223</v>
      </c>
    </row>
    <row r="2523" spans="1:3" x14ac:dyDescent="0.25">
      <c r="A2523" t="str">
        <f>"19/11/2019"</f>
        <v>19/11/2019</v>
      </c>
      <c r="B2523" t="str">
        <f>"1.3209"</f>
        <v>1.3209</v>
      </c>
      <c r="C2523" t="str">
        <f>"1.3209"</f>
        <v>1.3209</v>
      </c>
    </row>
    <row r="2524" spans="1:3" x14ac:dyDescent="0.25">
      <c r="A2524" t="str">
        <f>"20/11/2019"</f>
        <v>20/11/2019</v>
      </c>
      <c r="B2524" t="str">
        <f>"1.3311"</f>
        <v>1.3311</v>
      </c>
      <c r="C2524" t="str">
        <f>"1.331"</f>
        <v>1.331</v>
      </c>
    </row>
    <row r="2525" spans="1:3" x14ac:dyDescent="0.25">
      <c r="A2525" t="str">
        <f>"21/11/2019"</f>
        <v>21/11/2019</v>
      </c>
      <c r="B2525" t="str">
        <f>"1.3309"</f>
        <v>1.3309</v>
      </c>
      <c r="C2525" t="str">
        <f>"1.3309"</f>
        <v>1.3309</v>
      </c>
    </row>
    <row r="2526" spans="1:3" x14ac:dyDescent="0.25">
      <c r="A2526" t="str">
        <f>"22/11/2019"</f>
        <v>22/11/2019</v>
      </c>
      <c r="B2526" t="str">
        <f>"1.3286"</f>
        <v>1.3286</v>
      </c>
      <c r="C2526" t="str">
        <f>"1.3286"</f>
        <v>1.3286</v>
      </c>
    </row>
    <row r="2527" spans="1:3" x14ac:dyDescent="0.25">
      <c r="A2527" t="str">
        <f>"25/11/2019"</f>
        <v>25/11/2019</v>
      </c>
      <c r="B2527" t="str">
        <f>"1.3299"</f>
        <v>1.3299</v>
      </c>
      <c r="C2527" t="str">
        <f>"1.3299"</f>
        <v>1.3299</v>
      </c>
    </row>
    <row r="2528" spans="1:3" x14ac:dyDescent="0.25">
      <c r="A2528" t="str">
        <f>"26/11/2019"</f>
        <v>26/11/2019</v>
      </c>
      <c r="B2528" t="str">
        <f>"1.3311"</f>
        <v>1.3311</v>
      </c>
      <c r="C2528" t="str">
        <f>"1.3311"</f>
        <v>1.3311</v>
      </c>
    </row>
    <row r="2529" spans="1:3" x14ac:dyDescent="0.25">
      <c r="A2529" t="str">
        <f>"27/11/2019"</f>
        <v>27/11/2019</v>
      </c>
      <c r="B2529" t="str">
        <f>"1.3265"</f>
        <v>1.3265</v>
      </c>
      <c r="C2529" t="str">
        <f>"1.3264"</f>
        <v>1.3264</v>
      </c>
    </row>
    <row r="2530" spans="1:3" x14ac:dyDescent="0.25">
      <c r="A2530" t="str">
        <f>"28/11/2019"</f>
        <v>28/11/2019</v>
      </c>
      <c r="B2530" t="str">
        <f>"1.3292"</f>
        <v>1.3292</v>
      </c>
      <c r="C2530" t="str">
        <f>"1.3291"</f>
        <v>1.3291</v>
      </c>
    </row>
    <row r="2531" spans="1:3" x14ac:dyDescent="0.25">
      <c r="A2531" t="str">
        <f>"29/11/2019"</f>
        <v>29/11/2019</v>
      </c>
      <c r="B2531" t="str">
        <f>"1.3286"</f>
        <v>1.3286</v>
      </c>
      <c r="C2531" t="str">
        <f>"1.3282"</f>
        <v>1.3282</v>
      </c>
    </row>
    <row r="2532" spans="1:3" x14ac:dyDescent="0.25">
      <c r="A2532" t="str">
        <f>"02/12/2019"</f>
        <v>02/12/2019</v>
      </c>
      <c r="B2532" t="str">
        <f>"1.3299"</f>
        <v>1.3299</v>
      </c>
      <c r="C2532" t="str">
        <f>"1.3294"</f>
        <v>1.3294</v>
      </c>
    </row>
    <row r="2533" spans="1:3" x14ac:dyDescent="0.25">
      <c r="A2533" t="str">
        <f>"03/12/2019"</f>
        <v>03/12/2019</v>
      </c>
      <c r="B2533" t="str">
        <f>"1.3298"</f>
        <v>1.3298</v>
      </c>
      <c r="C2533" t="str">
        <f>"1.3293"</f>
        <v>1.3293</v>
      </c>
    </row>
    <row r="2534" spans="1:3" x14ac:dyDescent="0.25">
      <c r="A2534" t="str">
        <f>"04/12/2019"</f>
        <v>04/12/2019</v>
      </c>
      <c r="B2534" t="str">
        <f>"1.3281"</f>
        <v>1.3281</v>
      </c>
      <c r="C2534" t="str">
        <f>"1.3277"</f>
        <v>1.3277</v>
      </c>
    </row>
    <row r="2535" spans="1:3" x14ac:dyDescent="0.25">
      <c r="A2535" t="str">
        <f>"05/12/2019"</f>
        <v>05/12/2019</v>
      </c>
      <c r="B2535" t="str">
        <f>"1.3177"</f>
        <v>1.3177</v>
      </c>
      <c r="C2535" t="str">
        <f>"1.3174"</f>
        <v>1.3174</v>
      </c>
    </row>
    <row r="2536" spans="1:3" x14ac:dyDescent="0.25">
      <c r="A2536" t="str">
        <f>"06/12/2019"</f>
        <v>06/12/2019</v>
      </c>
      <c r="B2536" t="str">
        <f>"1.3176"</f>
        <v>1.3176</v>
      </c>
      <c r="C2536" t="str">
        <f>"1.3173"</f>
        <v>1.3173</v>
      </c>
    </row>
    <row r="2537" spans="1:3" x14ac:dyDescent="0.25">
      <c r="A2537" t="str">
        <f>"09/12/2019"</f>
        <v>09/12/2019</v>
      </c>
      <c r="B2537" t="str">
        <f>"1.3262"</f>
        <v>1.3262</v>
      </c>
      <c r="C2537" t="str">
        <f>"1.3258"</f>
        <v>1.3258</v>
      </c>
    </row>
    <row r="2538" spans="1:3" x14ac:dyDescent="0.25">
      <c r="A2538" t="str">
        <f>"10/12/2019"</f>
        <v>10/12/2019</v>
      </c>
      <c r="B2538" t="str">
        <f>"1.3242"</f>
        <v>1.3242</v>
      </c>
      <c r="C2538" t="str">
        <f>"1.3238"</f>
        <v>1.3238</v>
      </c>
    </row>
    <row r="2539" spans="1:3" x14ac:dyDescent="0.25">
      <c r="A2539" t="str">
        <f>"11/12/2019"</f>
        <v>11/12/2019</v>
      </c>
      <c r="B2539" t="str">
        <f>"1.3234"</f>
        <v>1.3234</v>
      </c>
      <c r="C2539" t="str">
        <f>"1.3229"</f>
        <v>1.3229</v>
      </c>
    </row>
    <row r="2540" spans="1:3" x14ac:dyDescent="0.25">
      <c r="A2540" t="str">
        <f>"12/12/2019"</f>
        <v>12/12/2019</v>
      </c>
      <c r="B2540" t="str">
        <f>"1.3169"</f>
        <v>1.3169</v>
      </c>
      <c r="C2540" t="str">
        <f>"1.3164"</f>
        <v>1.3164</v>
      </c>
    </row>
    <row r="2541" spans="1:3" x14ac:dyDescent="0.25">
      <c r="A2541" t="str">
        <f>"13/12/2019"</f>
        <v>13/12/2019</v>
      </c>
      <c r="B2541" t="str">
        <f>"1.3163"</f>
        <v>1.3163</v>
      </c>
      <c r="C2541" t="str">
        <f>"1.316"</f>
        <v>1.316</v>
      </c>
    </row>
    <row r="2542" spans="1:3" x14ac:dyDescent="0.25">
      <c r="A2542" t="str">
        <f>"16/12/2019"</f>
        <v>16/12/2019</v>
      </c>
      <c r="B2542" t="str">
        <f>"1.313"</f>
        <v>1.313</v>
      </c>
      <c r="C2542" t="str">
        <f>"1.3126"</f>
        <v>1.3126</v>
      </c>
    </row>
    <row r="2543" spans="1:3" x14ac:dyDescent="0.25">
      <c r="A2543" t="str">
        <f>"17/12/2019"</f>
        <v>17/12/2019</v>
      </c>
      <c r="B2543" t="str">
        <f>"1.3166"</f>
        <v>1.3166</v>
      </c>
      <c r="C2543" t="str">
        <f>"1.3161"</f>
        <v>1.3161</v>
      </c>
    </row>
    <row r="2544" spans="1:3" x14ac:dyDescent="0.25">
      <c r="A2544" t="str">
        <f>"18/12/2019"</f>
        <v>18/12/2019</v>
      </c>
      <c r="B2544" t="str">
        <f>"1.3147"</f>
        <v>1.3147</v>
      </c>
      <c r="C2544" t="str">
        <f>"1.3142"</f>
        <v>1.3142</v>
      </c>
    </row>
    <row r="2545" spans="1:3" x14ac:dyDescent="0.25">
      <c r="A2545" t="str">
        <f>"19/12/2019"</f>
        <v>19/12/2019</v>
      </c>
      <c r="B2545" t="str">
        <f>"1.3119"</f>
        <v>1.3119</v>
      </c>
      <c r="C2545" t="str">
        <f>"1.3115"</f>
        <v>1.3115</v>
      </c>
    </row>
    <row r="2546" spans="1:3" x14ac:dyDescent="0.25">
      <c r="A2546" t="str">
        <f>"20/12/2019"</f>
        <v>20/12/2019</v>
      </c>
      <c r="B2546" t="str">
        <f>"1.3134"</f>
        <v>1.3134</v>
      </c>
      <c r="C2546" t="str">
        <f>"1.313"</f>
        <v>1.313</v>
      </c>
    </row>
    <row r="2547" spans="1:3" x14ac:dyDescent="0.25">
      <c r="A2547" t="str">
        <f>"23/12/2019"</f>
        <v>23/12/2019</v>
      </c>
      <c r="B2547" t="str">
        <f>"1.3154"</f>
        <v>1.3154</v>
      </c>
      <c r="C2547" t="str">
        <f>"1.3148"</f>
        <v>1.3148</v>
      </c>
    </row>
    <row r="2548" spans="1:3" x14ac:dyDescent="0.25">
      <c r="A2548" t="str">
        <f>"24/12/2019"</f>
        <v>24/12/2019</v>
      </c>
      <c r="B2548" t="str">
        <f>"1.3164"</f>
        <v>1.3164</v>
      </c>
      <c r="C2548" t="str">
        <f>"1.3157"</f>
        <v>1.3157</v>
      </c>
    </row>
    <row r="2549" spans="1:3" x14ac:dyDescent="0.25">
      <c r="A2549" t="str">
        <f>"26/12/2019"</f>
        <v>26/12/2019</v>
      </c>
      <c r="B2549" t="str">
        <f>"1.3154"</f>
        <v>1.3154</v>
      </c>
      <c r="C2549" t="str">
        <f>"1.3147"</f>
        <v>1.3147</v>
      </c>
    </row>
    <row r="2550" spans="1:3" x14ac:dyDescent="0.25">
      <c r="A2550" t="str">
        <f>"27/12/2019"</f>
        <v>27/12/2019</v>
      </c>
      <c r="B2550" t="str">
        <f>"1.309"</f>
        <v>1.309</v>
      </c>
      <c r="C2550" t="str">
        <f>"1.3084"</f>
        <v>1.3084</v>
      </c>
    </row>
    <row r="2551" spans="1:3" x14ac:dyDescent="0.25">
      <c r="A2551" t="str">
        <f>"30/12/2019"</f>
        <v>30/12/2019</v>
      </c>
      <c r="B2551" t="str">
        <f>"1.3071"</f>
        <v>1.3071</v>
      </c>
      <c r="C2551" t="str">
        <f>"1.3066"</f>
        <v>1.3066</v>
      </c>
    </row>
    <row r="2552" spans="1:3" x14ac:dyDescent="0.25">
      <c r="A2552" t="str">
        <f>"31/12/2019"</f>
        <v>31/12/2019</v>
      </c>
      <c r="B2552" t="str">
        <f>"1.3003"</f>
        <v>1.3003</v>
      </c>
      <c r="C2552" t="str">
        <f>"1.3001"</f>
        <v>1.3001</v>
      </c>
    </row>
    <row r="2553" spans="1:3" x14ac:dyDescent="0.25">
      <c r="A2553" t="str">
        <f>"02/01/2020"</f>
        <v>02/01/2020</v>
      </c>
      <c r="B2553" t="str">
        <f>"1.3004"</f>
        <v>1.3004</v>
      </c>
      <c r="C2553" t="str">
        <f>"1.3003"</f>
        <v>1.3003</v>
      </c>
    </row>
    <row r="2554" spans="1:3" x14ac:dyDescent="0.25">
      <c r="A2554" t="str">
        <f>"03/01/2020"</f>
        <v>03/01/2020</v>
      </c>
      <c r="B2554" t="str">
        <f>"1.3002"</f>
        <v>1.3002</v>
      </c>
      <c r="C2554" t="str">
        <f>"1.3001"</f>
        <v>1.3001</v>
      </c>
    </row>
    <row r="2555" spans="1:3" x14ac:dyDescent="0.25">
      <c r="A2555" t="str">
        <f>"06/01/2020"</f>
        <v>06/01/2020</v>
      </c>
      <c r="B2555" t="str">
        <f>"1.2977"</f>
        <v>1.2977</v>
      </c>
      <c r="C2555" t="str">
        <f>"1.2977"</f>
        <v>1.2977</v>
      </c>
    </row>
    <row r="2556" spans="1:3" x14ac:dyDescent="0.25">
      <c r="A2556" t="str">
        <f>"07/01/2020"</f>
        <v>07/01/2020</v>
      </c>
      <c r="B2556" t="str">
        <f>"1.2985"</f>
        <v>1.2985</v>
      </c>
      <c r="C2556" t="str">
        <f>"1.2985"</f>
        <v>1.2985</v>
      </c>
    </row>
    <row r="2557" spans="1:3" x14ac:dyDescent="0.25">
      <c r="A2557" t="str">
        <f>"08/01/2020"</f>
        <v>08/01/2020</v>
      </c>
      <c r="B2557" t="str">
        <f>"1.3008"</f>
        <v>1.3008</v>
      </c>
      <c r="C2557" t="str">
        <f>"1.3008"</f>
        <v>1.3008</v>
      </c>
    </row>
    <row r="2558" spans="1:3" x14ac:dyDescent="0.25">
      <c r="A2558" t="str">
        <f>"09/01/2020"</f>
        <v>09/01/2020</v>
      </c>
      <c r="B2558" t="str">
        <f>"1.3054"</f>
        <v>1.3054</v>
      </c>
      <c r="C2558" t="str">
        <f>"1.3054"</f>
        <v>1.3054</v>
      </c>
    </row>
    <row r="2559" spans="1:3" x14ac:dyDescent="0.25">
      <c r="A2559" t="str">
        <f>"10/01/2020"</f>
        <v>10/01/2020</v>
      </c>
      <c r="B2559" t="str">
        <f>"1.307"</f>
        <v>1.307</v>
      </c>
      <c r="C2559" t="str">
        <f>"1.307"</f>
        <v>1.307</v>
      </c>
    </row>
    <row r="2560" spans="1:3" x14ac:dyDescent="0.25">
      <c r="A2560" t="str">
        <f>"13/01/2020"</f>
        <v>13/01/2020</v>
      </c>
      <c r="B2560" t="str">
        <f>"1.3048"</f>
        <v>1.3048</v>
      </c>
      <c r="C2560" t="str">
        <f>"1.3048"</f>
        <v>1.3048</v>
      </c>
    </row>
    <row r="2561" spans="1:3" x14ac:dyDescent="0.25">
      <c r="A2561" t="str">
        <f>"14/01/2020"</f>
        <v>14/01/2020</v>
      </c>
      <c r="B2561" t="str">
        <f>"1.3057"</f>
        <v>1.3057</v>
      </c>
      <c r="C2561" t="str">
        <f>"1.3058"</f>
        <v>1.3058</v>
      </c>
    </row>
    <row r="2562" spans="1:3" x14ac:dyDescent="0.25">
      <c r="A2562" t="str">
        <f>"15/01/2020"</f>
        <v>15/01/2020</v>
      </c>
      <c r="B2562" t="str">
        <f>"1.306"</f>
        <v>1.306</v>
      </c>
      <c r="C2562" t="str">
        <f>"1.306"</f>
        <v>1.306</v>
      </c>
    </row>
    <row r="2563" spans="1:3" x14ac:dyDescent="0.25">
      <c r="A2563" t="str">
        <f>"16/01/2020"</f>
        <v>16/01/2020</v>
      </c>
      <c r="B2563" t="str">
        <f>"1.3039"</f>
        <v>1.3039</v>
      </c>
      <c r="C2563" t="str">
        <f>"1.304"</f>
        <v>1.304</v>
      </c>
    </row>
    <row r="2564" spans="1:3" x14ac:dyDescent="0.25">
      <c r="A2564" t="str">
        <f>"17/01/2020"</f>
        <v>17/01/2020</v>
      </c>
      <c r="B2564" t="str">
        <f>"1.305"</f>
        <v>1.305</v>
      </c>
      <c r="C2564" t="str">
        <f>"1.305"</f>
        <v>1.305</v>
      </c>
    </row>
    <row r="2565" spans="1:3" x14ac:dyDescent="0.25">
      <c r="A2565" t="str">
        <f>"20/01/2020"</f>
        <v>20/01/2020</v>
      </c>
      <c r="B2565" t="str">
        <f>"1.3069"</f>
        <v>1.3069</v>
      </c>
      <c r="C2565" t="str">
        <f>"1.307"</f>
        <v>1.307</v>
      </c>
    </row>
    <row r="2566" spans="1:3" x14ac:dyDescent="0.25">
      <c r="A2566" t="str">
        <f>"21/01/2020"</f>
        <v>21/01/2020</v>
      </c>
      <c r="B2566" t="str">
        <f>"1.3067"</f>
        <v>1.3067</v>
      </c>
      <c r="C2566" t="str">
        <f>"1.3068"</f>
        <v>1.3068</v>
      </c>
    </row>
    <row r="2567" spans="1:3" x14ac:dyDescent="0.25">
      <c r="A2567" t="str">
        <f>"22/01/2020"</f>
        <v>22/01/2020</v>
      </c>
      <c r="B2567" t="str">
        <f>"1.3064"</f>
        <v>1.3064</v>
      </c>
      <c r="C2567" t="str">
        <f>"1.3065"</f>
        <v>1.3065</v>
      </c>
    </row>
    <row r="2568" spans="1:3" x14ac:dyDescent="0.25">
      <c r="A2568" t="str">
        <f>"23/01/2020"</f>
        <v>23/01/2020</v>
      </c>
      <c r="B2568" t="str">
        <f>"1.3155"</f>
        <v>1.3155</v>
      </c>
      <c r="C2568" t="str">
        <f>"1.3156"</f>
        <v>1.3156</v>
      </c>
    </row>
    <row r="2569" spans="1:3" x14ac:dyDescent="0.25">
      <c r="A2569" t="str">
        <f>"24/01/2020"</f>
        <v>24/01/2020</v>
      </c>
      <c r="B2569" t="str">
        <f>"1.3134"</f>
        <v>1.3134</v>
      </c>
      <c r="C2569" t="str">
        <f>"1.3135"</f>
        <v>1.3135</v>
      </c>
    </row>
    <row r="2570" spans="1:3" x14ac:dyDescent="0.25">
      <c r="A2570" t="str">
        <f>"27/01/2020"</f>
        <v>27/01/2020</v>
      </c>
      <c r="B2570" t="str">
        <f>"1.3182"</f>
        <v>1.3182</v>
      </c>
      <c r="C2570" t="str">
        <f>"1.3183"</f>
        <v>1.3183</v>
      </c>
    </row>
    <row r="2571" spans="1:3" x14ac:dyDescent="0.25">
      <c r="A2571" t="str">
        <f>"28/01/2020"</f>
        <v>28/01/2020</v>
      </c>
      <c r="B2571" t="str">
        <f>"1.32"</f>
        <v>1.32</v>
      </c>
      <c r="C2571" t="str">
        <f>"1.3201"</f>
        <v>1.3201</v>
      </c>
    </row>
    <row r="2572" spans="1:3" x14ac:dyDescent="0.25">
      <c r="A2572" t="str">
        <f>"29/01/2020"</f>
        <v>29/01/2020</v>
      </c>
      <c r="B2572" t="str">
        <f>"1.3181"</f>
        <v>1.3181</v>
      </c>
      <c r="C2572" t="str">
        <f>"1.3182"</f>
        <v>1.3182</v>
      </c>
    </row>
    <row r="2573" spans="1:3" x14ac:dyDescent="0.25">
      <c r="A2573" t="str">
        <f>"30/01/2020"</f>
        <v>30/01/2020</v>
      </c>
      <c r="B2573" t="str">
        <f>"1.3225"</f>
        <v>1.3225</v>
      </c>
      <c r="C2573" t="str">
        <f>"1.3226"</f>
        <v>1.3226</v>
      </c>
    </row>
    <row r="2574" spans="1:3" x14ac:dyDescent="0.25">
      <c r="A2574" t="str">
        <f>"31/01/2020"</f>
        <v>31/01/2020</v>
      </c>
      <c r="B2574" t="str">
        <f>"1.3204"</f>
        <v>1.3204</v>
      </c>
      <c r="C2574" t="str">
        <f>"1.3205"</f>
        <v>1.3205</v>
      </c>
    </row>
    <row r="2575" spans="1:3" x14ac:dyDescent="0.25">
      <c r="A2575" t="str">
        <f>"03/02/2020"</f>
        <v>03/02/2020</v>
      </c>
      <c r="B2575" t="str">
        <f>"1.324"</f>
        <v>1.324</v>
      </c>
      <c r="C2575" t="str">
        <f>"1.3241"</f>
        <v>1.3241</v>
      </c>
    </row>
    <row r="2576" spans="1:3" x14ac:dyDescent="0.25">
      <c r="A2576" t="str">
        <f>"04/02/2020"</f>
        <v>04/02/2020</v>
      </c>
      <c r="B2576" t="str">
        <f>"1.3278"</f>
        <v>1.3278</v>
      </c>
      <c r="C2576" t="str">
        <f>"1.3279"</f>
        <v>1.3279</v>
      </c>
    </row>
    <row r="2577" spans="1:3" x14ac:dyDescent="0.25">
      <c r="A2577" t="str">
        <f>"05/02/2020"</f>
        <v>05/02/2020</v>
      </c>
      <c r="B2577" t="str">
        <f>"1.328"</f>
        <v>1.328</v>
      </c>
      <c r="C2577" t="str">
        <f>"1.3281"</f>
        <v>1.3281</v>
      </c>
    </row>
    <row r="2578" spans="1:3" x14ac:dyDescent="0.25">
      <c r="A2578" t="str">
        <f>"06/02/2020"</f>
        <v>06/02/2020</v>
      </c>
      <c r="B2578" t="str">
        <f>"1.3277"</f>
        <v>1.3277</v>
      </c>
      <c r="C2578" t="str">
        <f>"1.3278"</f>
        <v>1.3278</v>
      </c>
    </row>
    <row r="2579" spans="1:3" x14ac:dyDescent="0.25">
      <c r="A2579" t="str">
        <f>"07/02/2020"</f>
        <v>07/02/2020</v>
      </c>
      <c r="B2579" t="str">
        <f>"1.3307"</f>
        <v>1.3307</v>
      </c>
      <c r="C2579" t="str">
        <f>"1.3308"</f>
        <v>1.3308</v>
      </c>
    </row>
    <row r="2580" spans="1:3" x14ac:dyDescent="0.25">
      <c r="A2580" t="str">
        <f>"10/02/2020"</f>
        <v>10/02/2020</v>
      </c>
      <c r="B2580" t="str">
        <f>"1.3293"</f>
        <v>1.3293</v>
      </c>
      <c r="C2580" t="str">
        <f>"1.3294"</f>
        <v>1.3294</v>
      </c>
    </row>
    <row r="2581" spans="1:3" x14ac:dyDescent="0.25">
      <c r="A2581" t="str">
        <f>"11/02/2020"</f>
        <v>11/02/2020</v>
      </c>
      <c r="B2581" t="str">
        <f>"1.3293"</f>
        <v>1.3293</v>
      </c>
      <c r="C2581" t="str">
        <f>"1.3294"</f>
        <v>1.3294</v>
      </c>
    </row>
    <row r="2582" spans="1:3" x14ac:dyDescent="0.25">
      <c r="A2582" t="str">
        <f>"12/02/2020"</f>
        <v>12/02/2020</v>
      </c>
      <c r="B2582" t="str">
        <f>"1.3269"</f>
        <v>1.3269</v>
      </c>
      <c r="C2582" t="str">
        <f>"1.327"</f>
        <v>1.327</v>
      </c>
    </row>
    <row r="2583" spans="1:3" x14ac:dyDescent="0.25">
      <c r="A2583" t="str">
        <f>"13/02/2020"</f>
        <v>13/02/2020</v>
      </c>
      <c r="B2583" t="str">
        <f>"1.3264"</f>
        <v>1.3264</v>
      </c>
      <c r="C2583" t="str">
        <f>"1.3265"</f>
        <v>1.3265</v>
      </c>
    </row>
    <row r="2584" spans="1:3" x14ac:dyDescent="0.25">
      <c r="A2584" t="str">
        <f>"14/02/2020"</f>
        <v>14/02/2020</v>
      </c>
      <c r="B2584" t="str">
        <f>"1.3245"</f>
        <v>1.3245</v>
      </c>
      <c r="C2584" t="str">
        <f>"1.3246"</f>
        <v>1.3246</v>
      </c>
    </row>
    <row r="2585" spans="1:3" x14ac:dyDescent="0.25">
      <c r="A2585" t="str">
        <f>"17/02/2020"</f>
        <v>17/02/2020</v>
      </c>
      <c r="B2585" t="str">
        <f>"1.323"</f>
        <v>1.323</v>
      </c>
      <c r="C2585" t="str">
        <f>"1.3231"</f>
        <v>1.3231</v>
      </c>
    </row>
    <row r="2586" spans="1:3" x14ac:dyDescent="0.25">
      <c r="A2586" t="str">
        <f>"18/02/2020"</f>
        <v>18/02/2020</v>
      </c>
      <c r="B2586" t="str">
        <f>"1.3257"</f>
        <v>1.3257</v>
      </c>
      <c r="C2586" t="str">
        <f>"1.3258"</f>
        <v>1.3258</v>
      </c>
    </row>
    <row r="2587" spans="1:3" x14ac:dyDescent="0.25">
      <c r="A2587" t="str">
        <f>"20/02/2020"</f>
        <v>20/02/2020</v>
      </c>
      <c r="B2587" t="str">
        <f>"1.326"</f>
        <v>1.326</v>
      </c>
      <c r="C2587" t="str">
        <f>"1.326"</f>
        <v>1.326</v>
      </c>
    </row>
    <row r="2588" spans="1:3" x14ac:dyDescent="0.25">
      <c r="A2588" t="str">
        <f>"24/02/2020"</f>
        <v>24/02/2020</v>
      </c>
      <c r="B2588" t="str">
        <f>"1.3291"</f>
        <v>1.3291</v>
      </c>
      <c r="C2588" t="str">
        <f>"1.3291"</f>
        <v>1.3291</v>
      </c>
    </row>
    <row r="2589" spans="1:3" x14ac:dyDescent="0.25">
      <c r="A2589" t="str">
        <f>"25/02/2020"</f>
        <v>25/02/2020</v>
      </c>
      <c r="B2589" t="str">
        <f>"1.3298"</f>
        <v>1.3298</v>
      </c>
      <c r="C2589" t="str">
        <f>"1.3298"</f>
        <v>1.3298</v>
      </c>
    </row>
    <row r="2590" spans="1:3" x14ac:dyDescent="0.25">
      <c r="A2590" t="str">
        <f>"26/02/2020"</f>
        <v>26/02/2020</v>
      </c>
      <c r="B2590" t="str">
        <f>"1.33"</f>
        <v>1.33</v>
      </c>
      <c r="C2590" t="str">
        <f>"1.33"</f>
        <v>1.33</v>
      </c>
    </row>
    <row r="2591" spans="1:3" x14ac:dyDescent="0.25">
      <c r="A2591" t="str">
        <f>"27/02/2020"</f>
        <v>27/02/2020</v>
      </c>
      <c r="B2591" t="str">
        <f>"1.3341"</f>
        <v>1.3341</v>
      </c>
      <c r="C2591" t="str">
        <f>"1.3341"</f>
        <v>1.3341</v>
      </c>
    </row>
    <row r="2592" spans="1:3" x14ac:dyDescent="0.25">
      <c r="A2592" t="str">
        <f>"28/02/2020"</f>
        <v>28/02/2020</v>
      </c>
      <c r="B2592" t="str">
        <f>"1.3456"</f>
        <v>1.3456</v>
      </c>
      <c r="C2592" t="str">
        <f>"1.3456"</f>
        <v>1.3456</v>
      </c>
    </row>
    <row r="2593" spans="1:3" x14ac:dyDescent="0.25">
      <c r="A2593" t="str">
        <f>"02/03/2020"</f>
        <v>02/03/2020</v>
      </c>
      <c r="B2593" t="str">
        <f>"1.3374"</f>
        <v>1.3374</v>
      </c>
      <c r="C2593" t="str">
        <f>"1.3374"</f>
        <v>1.3374</v>
      </c>
    </row>
    <row r="2594" spans="1:3" x14ac:dyDescent="0.25">
      <c r="A2594" t="str">
        <f>"03/03/2020"</f>
        <v>03/03/2020</v>
      </c>
      <c r="B2594" t="str">
        <f>"1.3372"</f>
        <v>1.3372</v>
      </c>
      <c r="C2594" t="str">
        <f>"1.3371"</f>
        <v>1.3371</v>
      </c>
    </row>
    <row r="2595" spans="1:3" x14ac:dyDescent="0.25">
      <c r="A2595" t="str">
        <f>"04/03/2020"</f>
        <v>04/03/2020</v>
      </c>
      <c r="B2595" t="str">
        <f>"1.3352"</f>
        <v>1.3352</v>
      </c>
      <c r="C2595" t="str">
        <f>"1.3353"</f>
        <v>1.3353</v>
      </c>
    </row>
    <row r="2596" spans="1:3" x14ac:dyDescent="0.25">
      <c r="A2596" t="str">
        <f>"05/03/2020"</f>
        <v>05/03/2020</v>
      </c>
      <c r="B2596" t="str">
        <f>"1.342"</f>
        <v>1.342</v>
      </c>
      <c r="C2596" t="str">
        <f>"1.342"</f>
        <v>1.342</v>
      </c>
    </row>
    <row r="2597" spans="1:3" x14ac:dyDescent="0.25">
      <c r="A2597" t="str">
        <f>"06/03/2020"</f>
        <v>06/03/2020</v>
      </c>
      <c r="B2597" t="str">
        <f>"1.34"</f>
        <v>1.34</v>
      </c>
      <c r="C2597" t="str">
        <f>"1.3401"</f>
        <v>1.3401</v>
      </c>
    </row>
    <row r="2598" spans="1:3" x14ac:dyDescent="0.25">
      <c r="A2598" t="str">
        <f>"09/03/2020"</f>
        <v>09/03/2020</v>
      </c>
      <c r="B2598" t="str">
        <f>"1.3651"</f>
        <v>1.3651</v>
      </c>
      <c r="C2598" t="str">
        <f>"1.3653"</f>
        <v>1.3653</v>
      </c>
    </row>
    <row r="2599" spans="1:3" x14ac:dyDescent="0.25">
      <c r="A2599" t="str">
        <f>"11/03/2020"</f>
        <v>11/03/2020</v>
      </c>
      <c r="B2599" t="str">
        <f>"1.3727"</f>
        <v>1.3727</v>
      </c>
      <c r="C2599" t="str">
        <f>"1.3729"</f>
        <v>1.3729</v>
      </c>
    </row>
    <row r="2600" spans="1:3" x14ac:dyDescent="0.25">
      <c r="A2600" t="str">
        <f>"12/03/2020"</f>
        <v>12/03/2020</v>
      </c>
      <c r="B2600" t="str">
        <f>"1.3823"</f>
        <v>1.3823</v>
      </c>
      <c r="C2600" t="str">
        <f>"1.3824"</f>
        <v>1.3824</v>
      </c>
    </row>
    <row r="2601" spans="1:3" x14ac:dyDescent="0.25">
      <c r="A2601" t="str">
        <f>"13/03/2020"</f>
        <v>13/03/2020</v>
      </c>
      <c r="B2601" t="str">
        <f>"1.3812"</f>
        <v>1.3812</v>
      </c>
      <c r="C2601" t="str">
        <f>"1.3813"</f>
        <v>1.3813</v>
      </c>
    </row>
    <row r="2602" spans="1:3" x14ac:dyDescent="0.25">
      <c r="A2602" t="str">
        <f>"16/03/2020"</f>
        <v>16/03/2020</v>
      </c>
      <c r="B2602" t="str">
        <f>"1.391"</f>
        <v>1.391</v>
      </c>
      <c r="C2602" t="str">
        <f>"1.3912"</f>
        <v>1.3912</v>
      </c>
    </row>
    <row r="2603" spans="1:3" x14ac:dyDescent="0.25">
      <c r="A2603" t="str">
        <f>"17/03/2020"</f>
        <v>17/03/2020</v>
      </c>
      <c r="B2603" t="str">
        <f>"1.3982"</f>
        <v>1.3982</v>
      </c>
      <c r="C2603" t="str">
        <f>"1.3981"</f>
        <v>1.3981</v>
      </c>
    </row>
    <row r="2604" spans="1:3" x14ac:dyDescent="0.25">
      <c r="A2604" t="str">
        <f>"18/03/2020"</f>
        <v>18/03/2020</v>
      </c>
      <c r="B2604" t="str">
        <f>"1.4321"</f>
        <v>1.4321</v>
      </c>
      <c r="C2604" t="str">
        <f>"1.432"</f>
        <v>1.432</v>
      </c>
    </row>
    <row r="2605" spans="1:3" x14ac:dyDescent="0.25">
      <c r="A2605" t="str">
        <f>"19/03/2020"</f>
        <v>19/03/2020</v>
      </c>
      <c r="B2605" t="str">
        <f>"1.4582"</f>
        <v>1.4582</v>
      </c>
      <c r="C2605" t="str">
        <f>"1.4579"</f>
        <v>1.4579</v>
      </c>
    </row>
    <row r="2606" spans="1:3" x14ac:dyDescent="0.25">
      <c r="A2606" t="str">
        <f>"20/03/2020"</f>
        <v>20/03/2020</v>
      </c>
      <c r="B2606" t="str">
        <f>"1.4381"</f>
        <v>1.4381</v>
      </c>
      <c r="C2606" t="str">
        <f>"1.4378"</f>
        <v>1.4378</v>
      </c>
    </row>
    <row r="2607" spans="1:3" x14ac:dyDescent="0.25">
      <c r="A2607" t="str">
        <f>"23/03/2020"</f>
        <v>23/03/2020</v>
      </c>
      <c r="B2607" t="str">
        <f>"1.4479"</f>
        <v>1.4479</v>
      </c>
      <c r="C2607" t="str">
        <f>"1.4478"</f>
        <v>1.4478</v>
      </c>
    </row>
    <row r="2608" spans="1:3" x14ac:dyDescent="0.25">
      <c r="A2608" t="str">
        <f>"24/03/2020"</f>
        <v>24/03/2020</v>
      </c>
      <c r="B2608" t="str">
        <f>"1.4428"</f>
        <v>1.4428</v>
      </c>
      <c r="C2608" t="str">
        <f>"1.4429"</f>
        <v>1.4429</v>
      </c>
    </row>
    <row r="2609" spans="1:3" x14ac:dyDescent="0.25">
      <c r="A2609" t="str">
        <f>"26/03/2020"</f>
        <v>26/03/2020</v>
      </c>
      <c r="B2609" t="str">
        <f>"1.4122"</f>
        <v>1.4122</v>
      </c>
      <c r="C2609" t="str">
        <f>"1.4121"</f>
        <v>1.4121</v>
      </c>
    </row>
    <row r="2610" spans="1:3" x14ac:dyDescent="0.25">
      <c r="A2610" t="str">
        <f>"27/03/2020"</f>
        <v>27/03/2020</v>
      </c>
      <c r="B2610" t="str">
        <f>"1.4074"</f>
        <v>1.4074</v>
      </c>
      <c r="C2610" t="str">
        <f>"1.4071"</f>
        <v>1.4071</v>
      </c>
    </row>
    <row r="2611" spans="1:3" x14ac:dyDescent="0.25">
      <c r="A2611" t="str">
        <f>"30/03/2020"</f>
        <v>30/03/2020</v>
      </c>
      <c r="B2611" t="str">
        <f>"1.4152"</f>
        <v>1.4152</v>
      </c>
      <c r="C2611" t="str">
        <f>"1.4148"</f>
        <v>1.4148</v>
      </c>
    </row>
    <row r="2612" spans="1:3" x14ac:dyDescent="0.25">
      <c r="A2612" t="str">
        <f>"31/03/2020"</f>
        <v>31/03/2020</v>
      </c>
      <c r="B2612" t="str">
        <f>"1.4068"</f>
        <v>1.4068</v>
      </c>
      <c r="C2612" t="str">
        <f>"1.4063"</f>
        <v>1.4063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F1315-53D1-4D62-B15B-C32CCE875B29}">
  <dimension ref="A2:C2612"/>
  <sheetViews>
    <sheetView topLeftCell="A1352" workbookViewId="0">
      <selection activeCell="B1358" sqref="B1358"/>
    </sheetView>
  </sheetViews>
  <sheetFormatPr defaultRowHeight="15" x14ac:dyDescent="0.25"/>
  <cols>
    <col min="1" max="1" width="10.7109375" bestFit="1" customWidth="1"/>
    <col min="2" max="3" width="6.5703125" bestFit="1" customWidth="1"/>
  </cols>
  <sheetData>
    <row r="2" spans="1:3" x14ac:dyDescent="0.25">
      <c r="A2" t="str">
        <f>"29/05/2009"</f>
        <v>29/05/2009</v>
      </c>
      <c r="B2" t="str">
        <f>"1.3981"</f>
        <v>1.3981</v>
      </c>
      <c r="C2" t="str">
        <f>"1.3977"</f>
        <v>1.3977</v>
      </c>
    </row>
    <row r="3" spans="1:3" x14ac:dyDescent="0.25">
      <c r="A3" t="str">
        <f>"01/06/2009"</f>
        <v>01/06/2009</v>
      </c>
      <c r="B3" t="str">
        <f>"1.4151"</f>
        <v>1.4151</v>
      </c>
      <c r="C3" t="str">
        <f>"1.4148"</f>
        <v>1.4148</v>
      </c>
    </row>
    <row r="4" spans="1:3" x14ac:dyDescent="0.25">
      <c r="A4" t="str">
        <f>"02/06/2009"</f>
        <v>02/06/2009</v>
      </c>
      <c r="B4" t="str">
        <f>"1.4168"</f>
        <v>1.4168</v>
      </c>
      <c r="C4" t="str">
        <f>"1.4164"</f>
        <v>1.4164</v>
      </c>
    </row>
    <row r="5" spans="1:3" x14ac:dyDescent="0.25">
      <c r="A5" t="str">
        <f>"03/06/2009"</f>
        <v>03/06/2009</v>
      </c>
      <c r="B5" t="str">
        <f>"1.4292"</f>
        <v>1.4292</v>
      </c>
      <c r="C5" t="str">
        <f>"1.4288"</f>
        <v>1.4288</v>
      </c>
    </row>
    <row r="6" spans="1:3" x14ac:dyDescent="0.25">
      <c r="A6" t="str">
        <f>"04/06/2009"</f>
        <v>04/06/2009</v>
      </c>
      <c r="B6" t="str">
        <f>"1.418"</f>
        <v>1.418</v>
      </c>
      <c r="C6" t="str">
        <f>"1.4176"</f>
        <v>1.4176</v>
      </c>
    </row>
    <row r="7" spans="1:3" x14ac:dyDescent="0.25">
      <c r="A7" t="str">
        <f>"05/06/2009"</f>
        <v>05/06/2009</v>
      </c>
      <c r="B7" t="str">
        <f>"1.4202"</f>
        <v>1.4202</v>
      </c>
      <c r="C7" t="str">
        <f>"1.4198"</f>
        <v>1.4198</v>
      </c>
    </row>
    <row r="8" spans="1:3" x14ac:dyDescent="0.25">
      <c r="A8" t="str">
        <f>"08/06/2009"</f>
        <v>08/06/2009</v>
      </c>
      <c r="B8" t="str">
        <f>"1.3868"</f>
        <v>1.3868</v>
      </c>
      <c r="C8" t="str">
        <f>"1.3864"</f>
        <v>1.3864</v>
      </c>
    </row>
    <row r="9" spans="1:3" x14ac:dyDescent="0.25">
      <c r="A9" t="str">
        <f>"09/06/2009"</f>
        <v>09/06/2009</v>
      </c>
      <c r="B9" t="str">
        <f>"1.386"</f>
        <v>1.386</v>
      </c>
      <c r="C9" t="str">
        <f>"1.3855"</f>
        <v>1.3855</v>
      </c>
    </row>
    <row r="10" spans="1:3" x14ac:dyDescent="0.25">
      <c r="A10" t="str">
        <f>"10/06/2009"</f>
        <v>10/06/2009</v>
      </c>
      <c r="B10" t="str">
        <f>"1.4074"</f>
        <v>1.4074</v>
      </c>
      <c r="C10" t="str">
        <f>"1.4069"</f>
        <v>1.4069</v>
      </c>
    </row>
    <row r="11" spans="1:3" x14ac:dyDescent="0.25">
      <c r="A11" t="str">
        <f>"11/06/2009"</f>
        <v>11/06/2009</v>
      </c>
      <c r="B11" t="str">
        <f>"1.4029"</f>
        <v>1.4029</v>
      </c>
      <c r="C11" t="str">
        <f>"1.4025"</f>
        <v>1.4025</v>
      </c>
    </row>
    <row r="12" spans="1:3" x14ac:dyDescent="0.25">
      <c r="A12" t="str">
        <f>"12/06/2009"</f>
        <v>12/06/2009</v>
      </c>
      <c r="B12" t="str">
        <f>"1.4095"</f>
        <v>1.4095</v>
      </c>
      <c r="C12" t="str">
        <f>"1.4091"</f>
        <v>1.4091</v>
      </c>
    </row>
    <row r="13" spans="1:3" x14ac:dyDescent="0.25">
      <c r="A13" t="str">
        <f>"15/06/2009"</f>
        <v>15/06/2009</v>
      </c>
      <c r="B13" t="str">
        <f>"1.395"</f>
        <v>1.395</v>
      </c>
      <c r="C13" t="str">
        <f>"1.3946"</f>
        <v>1.3946</v>
      </c>
    </row>
    <row r="14" spans="1:3" x14ac:dyDescent="0.25">
      <c r="A14" t="str">
        <f>"16/06/2009"</f>
        <v>16/06/2009</v>
      </c>
      <c r="B14" t="str">
        <f>"1.3796"</f>
        <v>1.3796</v>
      </c>
      <c r="C14" t="str">
        <f>"1.3792"</f>
        <v>1.3792</v>
      </c>
    </row>
    <row r="15" spans="1:3" x14ac:dyDescent="0.25">
      <c r="A15" t="str">
        <f>"17/06/2009"</f>
        <v>17/06/2009</v>
      </c>
      <c r="B15" t="str">
        <f>"1.385"</f>
        <v>1.385</v>
      </c>
      <c r="C15" t="str">
        <f>"1.3846"</f>
        <v>1.3846</v>
      </c>
    </row>
    <row r="16" spans="1:3" x14ac:dyDescent="0.25">
      <c r="A16" t="str">
        <f>"18/06/2009"</f>
        <v>18/06/2009</v>
      </c>
      <c r="B16" t="str">
        <f>"1.395"</f>
        <v>1.395</v>
      </c>
      <c r="C16" t="str">
        <f>"1.3947"</f>
        <v>1.3947</v>
      </c>
    </row>
    <row r="17" spans="1:3" x14ac:dyDescent="0.25">
      <c r="A17" t="str">
        <f>"19/06/2009"</f>
        <v>19/06/2009</v>
      </c>
      <c r="B17" t="str">
        <f>"1.3923"</f>
        <v>1.3923</v>
      </c>
      <c r="C17" t="str">
        <f>"1.392"</f>
        <v>1.392</v>
      </c>
    </row>
    <row r="18" spans="1:3" x14ac:dyDescent="0.25">
      <c r="A18" t="str">
        <f>"22/06/2009"</f>
        <v>22/06/2009</v>
      </c>
      <c r="B18" t="str">
        <f>"1.3912"</f>
        <v>1.3912</v>
      </c>
      <c r="C18" t="str">
        <f>"1.3909"</f>
        <v>1.3909</v>
      </c>
    </row>
    <row r="19" spans="1:3" x14ac:dyDescent="0.25">
      <c r="A19" t="str">
        <f>"23/06/2009"</f>
        <v>23/06/2009</v>
      </c>
      <c r="B19" t="str">
        <f>"1.3855"</f>
        <v>1.3855</v>
      </c>
      <c r="C19" t="str">
        <f>"1.3852"</f>
        <v>1.3852</v>
      </c>
    </row>
    <row r="20" spans="1:3" x14ac:dyDescent="0.25">
      <c r="A20" t="str">
        <f>"24/06/2009"</f>
        <v>24/06/2009</v>
      </c>
      <c r="B20" t="str">
        <f>"1.4087"</f>
        <v>1.4087</v>
      </c>
      <c r="C20" t="str">
        <f>"1.4085"</f>
        <v>1.4085</v>
      </c>
    </row>
    <row r="21" spans="1:3" x14ac:dyDescent="0.25">
      <c r="A21" t="str">
        <f>"25/06/2009"</f>
        <v>25/06/2009</v>
      </c>
      <c r="B21" t="str">
        <f>"1.3957"</f>
        <v>1.3957</v>
      </c>
      <c r="C21" t="str">
        <f>"1.3956"</f>
        <v>1.3956</v>
      </c>
    </row>
    <row r="22" spans="1:3" x14ac:dyDescent="0.25">
      <c r="A22" t="str">
        <f>"26/06/2009"</f>
        <v>26/06/2009</v>
      </c>
      <c r="B22" t="str">
        <f>"1.4041"</f>
        <v>1.4041</v>
      </c>
      <c r="C22" t="str">
        <f>"1.4041"</f>
        <v>1.4041</v>
      </c>
    </row>
    <row r="23" spans="1:3" x14ac:dyDescent="0.25">
      <c r="A23" t="str">
        <f>"29/06/2009"</f>
        <v>29/06/2009</v>
      </c>
      <c r="B23" t="str">
        <f>"1.4027"</f>
        <v>1.4027</v>
      </c>
      <c r="C23" t="str">
        <f>"1.4027"</f>
        <v>1.4027</v>
      </c>
    </row>
    <row r="24" spans="1:3" x14ac:dyDescent="0.25">
      <c r="A24" t="str">
        <f>"30/06/2009"</f>
        <v>30/06/2009</v>
      </c>
      <c r="B24" t="str">
        <f>"1.4107"</f>
        <v>1.4107</v>
      </c>
      <c r="C24" t="str">
        <f>"1.4106"</f>
        <v>1.4106</v>
      </c>
    </row>
    <row r="25" spans="1:3" x14ac:dyDescent="0.25">
      <c r="A25" t="str">
        <f>"01/07/2009"</f>
        <v>01/07/2009</v>
      </c>
      <c r="B25" t="str">
        <f>"1.404"</f>
        <v>1.404</v>
      </c>
      <c r="C25" t="str">
        <f>"1.404"</f>
        <v>1.404</v>
      </c>
    </row>
    <row r="26" spans="1:3" x14ac:dyDescent="0.25">
      <c r="A26" t="str">
        <f>"03/07/2009"</f>
        <v>03/07/2009</v>
      </c>
      <c r="B26" t="str">
        <f>"1.3984"</f>
        <v>1.3984</v>
      </c>
      <c r="C26" t="str">
        <f>"1.3985"</f>
        <v>1.3985</v>
      </c>
    </row>
    <row r="27" spans="1:3" x14ac:dyDescent="0.25">
      <c r="A27" t="str">
        <f>"06/07/2009"</f>
        <v>06/07/2009</v>
      </c>
      <c r="B27" t="str">
        <f>"1.3962"</f>
        <v>1.3962</v>
      </c>
      <c r="C27" t="str">
        <f>"1.3962"</f>
        <v>1.3962</v>
      </c>
    </row>
    <row r="28" spans="1:3" x14ac:dyDescent="0.25">
      <c r="A28" t="str">
        <f>"07/07/2009"</f>
        <v>07/07/2009</v>
      </c>
      <c r="B28" t="str">
        <f>"1.3964"</f>
        <v>1.3964</v>
      </c>
      <c r="C28" t="str">
        <f>"1.3964"</f>
        <v>1.3964</v>
      </c>
    </row>
    <row r="29" spans="1:3" x14ac:dyDescent="0.25">
      <c r="A29" t="str">
        <f>"08/07/2009"</f>
        <v>08/07/2009</v>
      </c>
      <c r="B29" t="str">
        <f>"1.3902"</f>
        <v>1.3902</v>
      </c>
      <c r="C29" t="str">
        <f>"1.3903"</f>
        <v>1.3903</v>
      </c>
    </row>
    <row r="30" spans="1:3" x14ac:dyDescent="0.25">
      <c r="A30" t="str">
        <f>"09/07/2009"</f>
        <v>09/07/2009</v>
      </c>
      <c r="B30" t="str">
        <f>"1.3893"</f>
        <v>1.3893</v>
      </c>
      <c r="C30" t="str">
        <f>"1.3894"</f>
        <v>1.3894</v>
      </c>
    </row>
    <row r="31" spans="1:3" x14ac:dyDescent="0.25">
      <c r="A31" t="str">
        <f>"10/07/2009"</f>
        <v>10/07/2009</v>
      </c>
      <c r="B31" t="str">
        <f>"1.3969"</f>
        <v>1.3969</v>
      </c>
      <c r="C31" t="str">
        <f>"1.397"</f>
        <v>1.397</v>
      </c>
    </row>
    <row r="32" spans="1:3" x14ac:dyDescent="0.25">
      <c r="A32" t="str">
        <f>"13/07/2009"</f>
        <v>13/07/2009</v>
      </c>
      <c r="B32" t="str">
        <f>"1.3932"</f>
        <v>1.3932</v>
      </c>
      <c r="C32" t="str">
        <f>"1.3933"</f>
        <v>1.3933</v>
      </c>
    </row>
    <row r="33" spans="1:3" x14ac:dyDescent="0.25">
      <c r="A33" t="str">
        <f>"14/07/2009"</f>
        <v>14/07/2009</v>
      </c>
      <c r="B33" t="str">
        <f>"1.3983"</f>
        <v>1.3983</v>
      </c>
      <c r="C33" t="str">
        <f>"1.3983"</f>
        <v>1.3983</v>
      </c>
    </row>
    <row r="34" spans="1:3" x14ac:dyDescent="0.25">
      <c r="A34" t="str">
        <f>"15/07/2009"</f>
        <v>15/07/2009</v>
      </c>
      <c r="B34" t="str">
        <f>"1.3986"</f>
        <v>1.3986</v>
      </c>
      <c r="C34" t="str">
        <f>"1.3987"</f>
        <v>1.3987</v>
      </c>
    </row>
    <row r="35" spans="1:3" x14ac:dyDescent="0.25">
      <c r="A35" t="str">
        <f>"16/07/2009"</f>
        <v>16/07/2009</v>
      </c>
      <c r="B35" t="str">
        <f>"1.4069"</f>
        <v>1.4069</v>
      </c>
      <c r="C35" t="str">
        <f>"1.407"</f>
        <v>1.407</v>
      </c>
    </row>
    <row r="36" spans="1:3" x14ac:dyDescent="0.25">
      <c r="A36" t="str">
        <f>"17/07/2009"</f>
        <v>17/07/2009</v>
      </c>
      <c r="B36" t="str">
        <f>"1.4122"</f>
        <v>1.4122</v>
      </c>
      <c r="C36" t="str">
        <f>"1.4123"</f>
        <v>1.4123</v>
      </c>
    </row>
    <row r="37" spans="1:3" x14ac:dyDescent="0.25">
      <c r="A37" t="str">
        <f>"20/07/2009"</f>
        <v>20/07/2009</v>
      </c>
      <c r="B37" t="str">
        <f>"1.4159"</f>
        <v>1.4159</v>
      </c>
      <c r="C37" t="str">
        <f>"1.416"</f>
        <v>1.416</v>
      </c>
    </row>
    <row r="38" spans="1:3" x14ac:dyDescent="0.25">
      <c r="A38" t="str">
        <f>"21/07/2009"</f>
        <v>21/07/2009</v>
      </c>
      <c r="B38" t="str">
        <f>"1.4213"</f>
        <v>1.4213</v>
      </c>
      <c r="C38" t="str">
        <f>"1.4214"</f>
        <v>1.4214</v>
      </c>
    </row>
    <row r="39" spans="1:3" x14ac:dyDescent="0.25">
      <c r="A39" t="str">
        <f>"22/07/2009"</f>
        <v>22/07/2009</v>
      </c>
      <c r="B39" t="str">
        <f>"1.4194"</f>
        <v>1.4194</v>
      </c>
      <c r="C39" t="str">
        <f>"1.4194"</f>
        <v>1.4194</v>
      </c>
    </row>
    <row r="40" spans="1:3" x14ac:dyDescent="0.25">
      <c r="A40" t="str">
        <f>"23/07/2009"</f>
        <v>23/07/2009</v>
      </c>
      <c r="B40" t="str">
        <f>"1.4231"</f>
        <v>1.4231</v>
      </c>
      <c r="C40" t="str">
        <f>"1.4231"</f>
        <v>1.4231</v>
      </c>
    </row>
    <row r="41" spans="1:3" x14ac:dyDescent="0.25">
      <c r="A41" t="str">
        <f>"24/07/2009"</f>
        <v>24/07/2009</v>
      </c>
      <c r="B41" t="str">
        <f>"1.416"</f>
        <v>1.416</v>
      </c>
      <c r="C41" t="str">
        <f>"1.416"</f>
        <v>1.416</v>
      </c>
    </row>
    <row r="42" spans="1:3" x14ac:dyDescent="0.25">
      <c r="A42" t="str">
        <f>"27/07/2009"</f>
        <v>27/07/2009</v>
      </c>
      <c r="B42" t="str">
        <f>"1.4225"</f>
        <v>1.4225</v>
      </c>
      <c r="C42" t="str">
        <f>"1.4225"</f>
        <v>1.4225</v>
      </c>
    </row>
    <row r="43" spans="1:3" x14ac:dyDescent="0.25">
      <c r="A43" t="str">
        <f>"28/07/2009"</f>
        <v>28/07/2009</v>
      </c>
      <c r="B43" t="str">
        <f>"1.4243"</f>
        <v>1.4243</v>
      </c>
      <c r="C43" t="str">
        <f>"1.4243"</f>
        <v>1.4243</v>
      </c>
    </row>
    <row r="44" spans="1:3" x14ac:dyDescent="0.25">
      <c r="A44" t="str">
        <f>"29/07/2009"</f>
        <v>29/07/2009</v>
      </c>
      <c r="B44" t="str">
        <f>"1.418"</f>
        <v>1.418</v>
      </c>
      <c r="C44" t="str">
        <f>"1.418"</f>
        <v>1.418</v>
      </c>
    </row>
    <row r="45" spans="1:3" x14ac:dyDescent="0.25">
      <c r="A45" t="str">
        <f>"30/07/2009"</f>
        <v>30/07/2009</v>
      </c>
      <c r="B45" t="str">
        <f>"1.4049"</f>
        <v>1.4049</v>
      </c>
      <c r="C45" t="str">
        <f>"1.4049"</f>
        <v>1.4049</v>
      </c>
    </row>
    <row r="46" spans="1:3" x14ac:dyDescent="0.25">
      <c r="A46" t="str">
        <f>"31/07/2009"</f>
        <v>31/07/2009</v>
      </c>
      <c r="B46" t="str">
        <f>"1.4125"</f>
        <v>1.4125</v>
      </c>
      <c r="C46" t="str">
        <f>"1.4125"</f>
        <v>1.4125</v>
      </c>
    </row>
    <row r="47" spans="1:3" x14ac:dyDescent="0.25">
      <c r="A47" t="str">
        <f>"03/08/2009"</f>
        <v>03/08/2009</v>
      </c>
      <c r="B47" t="str">
        <f>"1.4241"</f>
        <v>1.4241</v>
      </c>
      <c r="C47" t="str">
        <f>"1.4242"</f>
        <v>1.4242</v>
      </c>
    </row>
    <row r="48" spans="1:3" x14ac:dyDescent="0.25">
      <c r="A48" t="str">
        <f>"04/08/2009"</f>
        <v>04/08/2009</v>
      </c>
      <c r="B48" t="str">
        <f>"1.4403"</f>
        <v>1.4403</v>
      </c>
      <c r="C48" t="str">
        <f>"1.4403"</f>
        <v>1.4403</v>
      </c>
    </row>
    <row r="49" spans="1:3" x14ac:dyDescent="0.25">
      <c r="A49" t="str">
        <f>"05/08/2009"</f>
        <v>05/08/2009</v>
      </c>
      <c r="B49" t="str">
        <f>"1.4414"</f>
        <v>1.4414</v>
      </c>
      <c r="C49" t="str">
        <f>"1.4414"</f>
        <v>1.4414</v>
      </c>
    </row>
    <row r="50" spans="1:3" x14ac:dyDescent="0.25">
      <c r="A50" t="str">
        <f>"06/08/2009"</f>
        <v>06/08/2009</v>
      </c>
      <c r="B50" t="str">
        <f>"1.439"</f>
        <v>1.439</v>
      </c>
      <c r="C50" t="str">
        <f>"1.439"</f>
        <v>1.439</v>
      </c>
    </row>
    <row r="51" spans="1:3" x14ac:dyDescent="0.25">
      <c r="A51" t="str">
        <f>"07/08/2009"</f>
        <v>07/08/2009</v>
      </c>
      <c r="B51" t="str">
        <f>"1.4357"</f>
        <v>1.4357</v>
      </c>
      <c r="C51" t="str">
        <f>"1.4357"</f>
        <v>1.4357</v>
      </c>
    </row>
    <row r="52" spans="1:3" x14ac:dyDescent="0.25">
      <c r="A52" t="str">
        <f>"10/08/2009"</f>
        <v>10/08/2009</v>
      </c>
      <c r="B52" t="str">
        <f>"1.4195"</f>
        <v>1.4195</v>
      </c>
      <c r="C52" t="str">
        <f>"1.4195"</f>
        <v>1.4195</v>
      </c>
    </row>
    <row r="53" spans="1:3" x14ac:dyDescent="0.25">
      <c r="A53" t="str">
        <f>"11/08/2009"</f>
        <v>11/08/2009</v>
      </c>
      <c r="B53" t="str">
        <f>"1.4145"</f>
        <v>1.4145</v>
      </c>
      <c r="C53" t="str">
        <f>"1.4145"</f>
        <v>1.4145</v>
      </c>
    </row>
    <row r="54" spans="1:3" x14ac:dyDescent="0.25">
      <c r="A54" t="str">
        <f>"12/08/2009"</f>
        <v>12/08/2009</v>
      </c>
      <c r="B54" t="str">
        <f>"1.4142"</f>
        <v>1.4142</v>
      </c>
      <c r="C54" t="str">
        <f>"1.4142"</f>
        <v>1.4142</v>
      </c>
    </row>
    <row r="55" spans="1:3" x14ac:dyDescent="0.25">
      <c r="A55" t="str">
        <f>"13/08/2009"</f>
        <v>13/08/2009</v>
      </c>
      <c r="B55" t="str">
        <f>"1.4219"</f>
        <v>1.4219</v>
      </c>
      <c r="C55" t="str">
        <f>"1.4219"</f>
        <v>1.4219</v>
      </c>
    </row>
    <row r="56" spans="1:3" x14ac:dyDescent="0.25">
      <c r="A56" t="str">
        <f>"14/08/2009"</f>
        <v>14/08/2009</v>
      </c>
      <c r="B56" t="str">
        <f>"1.4262"</f>
        <v>1.4262</v>
      </c>
      <c r="C56" t="str">
        <f>"1.4262"</f>
        <v>1.4262</v>
      </c>
    </row>
    <row r="57" spans="1:3" x14ac:dyDescent="0.25">
      <c r="A57" t="str">
        <f>"17/08/2009"</f>
        <v>17/08/2009</v>
      </c>
      <c r="B57" t="str">
        <f>"1.4147"</f>
        <v>1.4147</v>
      </c>
      <c r="C57" t="str">
        <f>"1.4147"</f>
        <v>1.4147</v>
      </c>
    </row>
    <row r="58" spans="1:3" x14ac:dyDescent="0.25">
      <c r="A58" t="str">
        <f>"18/08/2009"</f>
        <v>18/08/2009</v>
      </c>
      <c r="B58" t="str">
        <f>"1.4101"</f>
        <v>1.4101</v>
      </c>
      <c r="C58" t="str">
        <f>"1.4101"</f>
        <v>1.4101</v>
      </c>
    </row>
    <row r="59" spans="1:3" x14ac:dyDescent="0.25">
      <c r="A59" t="str">
        <f>"20/08/2009"</f>
        <v>20/08/2009</v>
      </c>
      <c r="B59" t="str">
        <f>"1.4222"</f>
        <v>1.4222</v>
      </c>
      <c r="C59" t="str">
        <f>"1.4222"</f>
        <v>1.4222</v>
      </c>
    </row>
    <row r="60" spans="1:3" x14ac:dyDescent="0.25">
      <c r="A60" t="str">
        <f>"21/08/2009"</f>
        <v>21/08/2009</v>
      </c>
      <c r="B60" t="str">
        <f>"1.4233"</f>
        <v>1.4233</v>
      </c>
      <c r="C60" t="str">
        <f>"1.4233"</f>
        <v>1.4233</v>
      </c>
    </row>
    <row r="61" spans="1:3" x14ac:dyDescent="0.25">
      <c r="A61" t="str">
        <f>"24/08/2009"</f>
        <v>24/08/2009</v>
      </c>
      <c r="B61" t="str">
        <f>"1.434"</f>
        <v>1.434</v>
      </c>
      <c r="C61" t="str">
        <f>"1.434"</f>
        <v>1.434</v>
      </c>
    </row>
    <row r="62" spans="1:3" x14ac:dyDescent="0.25">
      <c r="A62" t="str">
        <f>"25/08/2009"</f>
        <v>25/08/2009</v>
      </c>
      <c r="B62" t="str">
        <f>"1.43"</f>
        <v>1.43</v>
      </c>
      <c r="C62" t="str">
        <f>"1.43"</f>
        <v>1.43</v>
      </c>
    </row>
    <row r="63" spans="1:3" x14ac:dyDescent="0.25">
      <c r="A63" t="str">
        <f>"26/08/2009"</f>
        <v>26/08/2009</v>
      </c>
      <c r="B63" t="str">
        <f>"1.43"</f>
        <v>1.43</v>
      </c>
      <c r="C63" t="str">
        <f>"1.43"</f>
        <v>1.43</v>
      </c>
    </row>
    <row r="64" spans="1:3" x14ac:dyDescent="0.25">
      <c r="A64" t="str">
        <f>"27/08/2009"</f>
        <v>27/08/2009</v>
      </c>
      <c r="B64" t="str">
        <f>"1.4246"</f>
        <v>1.4246</v>
      </c>
      <c r="C64" t="str">
        <f>"1.4246"</f>
        <v>1.4246</v>
      </c>
    </row>
    <row r="65" spans="1:3" x14ac:dyDescent="0.25">
      <c r="A65" t="str">
        <f>"28/08/2009"</f>
        <v>28/08/2009</v>
      </c>
      <c r="B65" t="str">
        <f>"1.4357"</f>
        <v>1.4357</v>
      </c>
      <c r="C65" t="str">
        <f>"1.4357"</f>
        <v>1.4357</v>
      </c>
    </row>
    <row r="66" spans="1:3" x14ac:dyDescent="0.25">
      <c r="A66" t="str">
        <f>"31/08/2009"</f>
        <v>31/08/2009</v>
      </c>
      <c r="B66" t="str">
        <f>"1.4281"</f>
        <v>1.4281</v>
      </c>
      <c r="C66" t="str">
        <f>"1.4281"</f>
        <v>1.4281</v>
      </c>
    </row>
    <row r="67" spans="1:3" x14ac:dyDescent="0.25">
      <c r="A67" t="str">
        <f>"01/09/2009"</f>
        <v>01/09/2009</v>
      </c>
      <c r="B67" t="str">
        <f>"1.4345"</f>
        <v>1.4345</v>
      </c>
      <c r="C67" t="str">
        <f>"1.4345"</f>
        <v>1.4345</v>
      </c>
    </row>
    <row r="68" spans="1:3" x14ac:dyDescent="0.25">
      <c r="A68" t="str">
        <f>"02/09/2009"</f>
        <v>02/09/2009</v>
      </c>
      <c r="B68" t="str">
        <f>"1.4216"</f>
        <v>1.4216</v>
      </c>
      <c r="C68" t="str">
        <f>"1.4216"</f>
        <v>1.4216</v>
      </c>
    </row>
    <row r="69" spans="1:3" x14ac:dyDescent="0.25">
      <c r="A69" t="str">
        <f>"03/09/2009"</f>
        <v>03/09/2009</v>
      </c>
      <c r="B69" t="str">
        <f>"1.4277"</f>
        <v>1.4277</v>
      </c>
      <c r="C69" t="str">
        <f>"1.4277"</f>
        <v>1.4277</v>
      </c>
    </row>
    <row r="70" spans="1:3" x14ac:dyDescent="0.25">
      <c r="A70" t="str">
        <f>"04/09/2009"</f>
        <v>04/09/2009</v>
      </c>
      <c r="B70" t="str">
        <f>"1.4248"</f>
        <v>1.4248</v>
      </c>
      <c r="C70" t="str">
        <f>"1.4248"</f>
        <v>1.4248</v>
      </c>
    </row>
    <row r="71" spans="1:3" x14ac:dyDescent="0.25">
      <c r="A71" t="str">
        <f>"07/09/2009"</f>
        <v>07/09/2009</v>
      </c>
      <c r="B71" t="str">
        <f>"1.433"</f>
        <v>1.433</v>
      </c>
      <c r="C71" t="str">
        <f>"1.433"</f>
        <v>1.433</v>
      </c>
    </row>
    <row r="72" spans="1:3" x14ac:dyDescent="0.25">
      <c r="A72" t="str">
        <f>"08/09/2009"</f>
        <v>08/09/2009</v>
      </c>
      <c r="B72" t="str">
        <f>"1.4341"</f>
        <v>1.4341</v>
      </c>
      <c r="C72" t="str">
        <f>"1.4341"</f>
        <v>1.4341</v>
      </c>
    </row>
    <row r="73" spans="1:3" x14ac:dyDescent="0.25">
      <c r="A73" t="str">
        <f>"09/09/2009"</f>
        <v>09/09/2009</v>
      </c>
      <c r="B73" t="str">
        <f>"1.4489"</f>
        <v>1.4489</v>
      </c>
      <c r="C73" t="str">
        <f>"1.4489"</f>
        <v>1.4489</v>
      </c>
    </row>
    <row r="74" spans="1:3" x14ac:dyDescent="0.25">
      <c r="A74" t="str">
        <f>"10/09/2009"</f>
        <v>10/09/2009</v>
      </c>
      <c r="B74" t="str">
        <f>"1.4565"</f>
        <v>1.4565</v>
      </c>
      <c r="C74" t="str">
        <f>"1.4565"</f>
        <v>1.4565</v>
      </c>
    </row>
    <row r="75" spans="1:3" x14ac:dyDescent="0.25">
      <c r="A75" t="str">
        <f>"11/09/2009"</f>
        <v>11/09/2009</v>
      </c>
      <c r="B75" t="str">
        <f>"1.46"</f>
        <v>1.46</v>
      </c>
      <c r="C75" t="str">
        <f>"1.4599"</f>
        <v>1.4599</v>
      </c>
    </row>
    <row r="76" spans="1:3" x14ac:dyDescent="0.25">
      <c r="A76" t="str">
        <f>"14/09/2009"</f>
        <v>14/09/2009</v>
      </c>
      <c r="B76" t="str">
        <f>"1.4545"</f>
        <v>1.4545</v>
      </c>
      <c r="C76" t="str">
        <f>"1.4545"</f>
        <v>1.4545</v>
      </c>
    </row>
    <row r="77" spans="1:3" x14ac:dyDescent="0.25">
      <c r="A77" t="str">
        <f>"15/09/2009"</f>
        <v>15/09/2009</v>
      </c>
      <c r="B77" t="str">
        <f>"1.4612"</f>
        <v>1.4612</v>
      </c>
      <c r="C77" t="str">
        <f>"1.4612"</f>
        <v>1.4612</v>
      </c>
    </row>
    <row r="78" spans="1:3" x14ac:dyDescent="0.25">
      <c r="A78" t="str">
        <f>"16/09/2009"</f>
        <v>16/09/2009</v>
      </c>
      <c r="B78" t="str">
        <f>"1.4675"</f>
        <v>1.4675</v>
      </c>
      <c r="C78" t="str">
        <f>"1.4675"</f>
        <v>1.4675</v>
      </c>
    </row>
    <row r="79" spans="1:3" x14ac:dyDescent="0.25">
      <c r="A79" t="str">
        <f>"17/09/2009"</f>
        <v>17/09/2009</v>
      </c>
      <c r="B79" t="str">
        <f>"1.473"</f>
        <v>1.473</v>
      </c>
      <c r="C79" t="str">
        <f>"1.473"</f>
        <v>1.473</v>
      </c>
    </row>
    <row r="80" spans="1:3" x14ac:dyDescent="0.25">
      <c r="A80" t="str">
        <f>"18/09/2009"</f>
        <v>18/09/2009</v>
      </c>
      <c r="B80" t="str">
        <f>"1.4714"</f>
        <v>1.4714</v>
      </c>
      <c r="C80" t="str">
        <f>"1.4714"</f>
        <v>1.4714</v>
      </c>
    </row>
    <row r="81" spans="1:3" x14ac:dyDescent="0.25">
      <c r="A81" t="str">
        <f>"22/09/2009"</f>
        <v>22/09/2009</v>
      </c>
      <c r="B81" t="str">
        <f>"1.4718"</f>
        <v>1.4718</v>
      </c>
      <c r="C81" t="str">
        <f>"1.4718"</f>
        <v>1.4718</v>
      </c>
    </row>
    <row r="82" spans="1:3" x14ac:dyDescent="0.25">
      <c r="A82" t="str">
        <f>"23/09/2009"</f>
        <v>23/09/2009</v>
      </c>
      <c r="B82" t="str">
        <f>"1.4816"</f>
        <v>1.4816</v>
      </c>
      <c r="C82" t="str">
        <f>"1.4816"</f>
        <v>1.4816</v>
      </c>
    </row>
    <row r="83" spans="1:3" x14ac:dyDescent="0.25">
      <c r="A83" t="str">
        <f>"24/09/2009"</f>
        <v>24/09/2009</v>
      </c>
      <c r="B83" t="str">
        <f>"1.4722"</f>
        <v>1.4722</v>
      </c>
      <c r="C83" t="str">
        <f>"1.4722"</f>
        <v>1.4722</v>
      </c>
    </row>
    <row r="84" spans="1:3" x14ac:dyDescent="0.25">
      <c r="A84" t="str">
        <f>"25/09/2009"</f>
        <v>25/09/2009</v>
      </c>
      <c r="B84" t="str">
        <f>"1.4649"</f>
        <v>1.4649</v>
      </c>
      <c r="C84" t="str">
        <f>"1.4648"</f>
        <v>1.4648</v>
      </c>
    </row>
    <row r="85" spans="1:3" x14ac:dyDescent="0.25">
      <c r="A85" t="str">
        <f>"29/09/2009"</f>
        <v>29/09/2009</v>
      </c>
      <c r="B85" t="str">
        <f>"1.4635"</f>
        <v>1.4635</v>
      </c>
      <c r="C85" t="str">
        <f>"1.4635"</f>
        <v>1.4635</v>
      </c>
    </row>
    <row r="86" spans="1:3" x14ac:dyDescent="0.25">
      <c r="A86" t="str">
        <f>"01/10/2009"</f>
        <v>01/10/2009</v>
      </c>
      <c r="B86" t="str">
        <f>"1.4625"</f>
        <v>1.4625</v>
      </c>
      <c r="C86" t="str">
        <f>"1.4625"</f>
        <v>1.4625</v>
      </c>
    </row>
    <row r="87" spans="1:3" x14ac:dyDescent="0.25">
      <c r="A87" t="str">
        <f>"05/10/2009"</f>
        <v>05/10/2009</v>
      </c>
      <c r="B87" t="str">
        <f>"1.4629"</f>
        <v>1.4629</v>
      </c>
      <c r="C87" t="str">
        <f>"1.4628"</f>
        <v>1.4628</v>
      </c>
    </row>
    <row r="88" spans="1:3" x14ac:dyDescent="0.25">
      <c r="A88" t="str">
        <f>"06/10/2009"</f>
        <v>06/10/2009</v>
      </c>
      <c r="B88" t="str">
        <f>"1.4705"</f>
        <v>1.4705</v>
      </c>
      <c r="C88" t="str">
        <f>"1.4704"</f>
        <v>1.4704</v>
      </c>
    </row>
    <row r="89" spans="1:3" x14ac:dyDescent="0.25">
      <c r="A89" t="str">
        <f>"07/10/2009"</f>
        <v>07/10/2009</v>
      </c>
      <c r="B89" t="str">
        <f>"1.4697"</f>
        <v>1.4697</v>
      </c>
      <c r="C89" t="str">
        <f>"1.4697"</f>
        <v>1.4697</v>
      </c>
    </row>
    <row r="90" spans="1:3" x14ac:dyDescent="0.25">
      <c r="A90" t="str">
        <f>"08/10/2009"</f>
        <v>08/10/2009</v>
      </c>
      <c r="B90" t="str">
        <f>"1.4763"</f>
        <v>1.4763</v>
      </c>
      <c r="C90" t="str">
        <f>"1.4762"</f>
        <v>1.4762</v>
      </c>
    </row>
    <row r="91" spans="1:3" x14ac:dyDescent="0.25">
      <c r="A91" t="str">
        <f>"09/10/2009"</f>
        <v>09/10/2009</v>
      </c>
      <c r="B91" t="str">
        <f>"1.4718"</f>
        <v>1.4718</v>
      </c>
      <c r="C91" t="str">
        <f>"1.4717"</f>
        <v>1.4717</v>
      </c>
    </row>
    <row r="92" spans="1:3" x14ac:dyDescent="0.25">
      <c r="A92" t="str">
        <f>"12/10/2009"</f>
        <v>12/10/2009</v>
      </c>
      <c r="B92" t="str">
        <f>"1.47"</f>
        <v>1.47</v>
      </c>
      <c r="C92" t="str">
        <f>"1.4699"</f>
        <v>1.4699</v>
      </c>
    </row>
    <row r="93" spans="1:3" x14ac:dyDescent="0.25">
      <c r="A93" t="str">
        <f>"14/10/2009"</f>
        <v>14/10/2009</v>
      </c>
      <c r="B93" t="str">
        <f>"1.4884"</f>
        <v>1.4884</v>
      </c>
      <c r="C93" t="str">
        <f>"1.4883"</f>
        <v>1.4883</v>
      </c>
    </row>
    <row r="94" spans="1:3" x14ac:dyDescent="0.25">
      <c r="A94" t="str">
        <f>"15/10/2009"</f>
        <v>15/10/2009</v>
      </c>
      <c r="B94" t="str">
        <f>"1.4956"</f>
        <v>1.4956</v>
      </c>
      <c r="C94" t="str">
        <f>"1.4955"</f>
        <v>1.4955</v>
      </c>
    </row>
    <row r="95" spans="1:3" x14ac:dyDescent="0.25">
      <c r="A95" t="str">
        <f>"16/10/2009"</f>
        <v>16/10/2009</v>
      </c>
      <c r="B95" t="str">
        <f>"1.4934"</f>
        <v>1.4934</v>
      </c>
      <c r="C95" t="str">
        <f>"1.4933"</f>
        <v>1.4933</v>
      </c>
    </row>
    <row r="96" spans="1:3" x14ac:dyDescent="0.25">
      <c r="A96" t="str">
        <f>"20/10/2009"</f>
        <v>20/10/2009</v>
      </c>
      <c r="B96" t="str">
        <f>"1.4978"</f>
        <v>1.4978</v>
      </c>
      <c r="C96" t="str">
        <f>"1.4977"</f>
        <v>1.4977</v>
      </c>
    </row>
    <row r="97" spans="1:3" x14ac:dyDescent="0.25">
      <c r="A97" t="str">
        <f>"21/10/2009"</f>
        <v>21/10/2009</v>
      </c>
      <c r="B97" t="str">
        <f>"1.4921"</f>
        <v>1.4921</v>
      </c>
      <c r="C97" t="str">
        <f>"1.492"</f>
        <v>1.492</v>
      </c>
    </row>
    <row r="98" spans="1:3" x14ac:dyDescent="0.25">
      <c r="A98" t="str">
        <f>"22/10/2009"</f>
        <v>22/10/2009</v>
      </c>
      <c r="B98" t="str">
        <f>"1.4987"</f>
        <v>1.4987</v>
      </c>
      <c r="C98" t="str">
        <f>"1.4985"</f>
        <v>1.4985</v>
      </c>
    </row>
    <row r="99" spans="1:3" x14ac:dyDescent="0.25">
      <c r="A99" t="str">
        <f>"23/10/2009"</f>
        <v>23/10/2009</v>
      </c>
      <c r="B99" t="str">
        <f>"1.5033"</f>
        <v>1.5033</v>
      </c>
      <c r="C99" t="str">
        <f>"1.5032"</f>
        <v>1.5032</v>
      </c>
    </row>
    <row r="100" spans="1:3" x14ac:dyDescent="0.25">
      <c r="A100" t="str">
        <f>"26/10/2009"</f>
        <v>26/10/2009</v>
      </c>
      <c r="B100" t="str">
        <f>"1.5036"</f>
        <v>1.5036</v>
      </c>
      <c r="C100" t="str">
        <f>"1.5035"</f>
        <v>1.5035</v>
      </c>
    </row>
    <row r="101" spans="1:3" x14ac:dyDescent="0.25">
      <c r="A101" t="str">
        <f>"27/10/2009"</f>
        <v>27/10/2009</v>
      </c>
      <c r="B101" t="str">
        <f>"1.4885"</f>
        <v>1.4885</v>
      </c>
      <c r="C101" t="str">
        <f>"1.4884"</f>
        <v>1.4884</v>
      </c>
    </row>
    <row r="102" spans="1:3" x14ac:dyDescent="0.25">
      <c r="A102" t="str">
        <f>"28/10/2009"</f>
        <v>28/10/2009</v>
      </c>
      <c r="B102" t="str">
        <f>"1.4816"</f>
        <v>1.4816</v>
      </c>
      <c r="C102" t="str">
        <f>"1.4815"</f>
        <v>1.4815</v>
      </c>
    </row>
    <row r="103" spans="1:3" x14ac:dyDescent="0.25">
      <c r="A103" t="str">
        <f>"29/10/2009"</f>
        <v>29/10/2009</v>
      </c>
      <c r="B103" t="str">
        <f>"1.4716"</f>
        <v>1.4716</v>
      </c>
      <c r="C103" t="str">
        <f>"1.4715"</f>
        <v>1.4715</v>
      </c>
    </row>
    <row r="104" spans="1:3" x14ac:dyDescent="0.25">
      <c r="A104" t="str">
        <f>"30/10/2009"</f>
        <v>30/10/2009</v>
      </c>
      <c r="B104" t="str">
        <f>"1.4855"</f>
        <v>1.4855</v>
      </c>
      <c r="C104" t="str">
        <f>"1.4853"</f>
        <v>1.4853</v>
      </c>
    </row>
    <row r="105" spans="1:3" x14ac:dyDescent="0.25">
      <c r="A105" t="str">
        <f>"03/11/2009"</f>
        <v>03/11/2009</v>
      </c>
      <c r="B105" t="str">
        <f>"1.4783"</f>
        <v>1.4783</v>
      </c>
      <c r="C105" t="str">
        <f>"1.4782"</f>
        <v>1.4782</v>
      </c>
    </row>
    <row r="106" spans="1:3" x14ac:dyDescent="0.25">
      <c r="A106" t="str">
        <f>"04/11/2009"</f>
        <v>04/11/2009</v>
      </c>
      <c r="B106" t="str">
        <f>"1.4726"</f>
        <v>1.4726</v>
      </c>
      <c r="C106" t="str">
        <f>"1.4725"</f>
        <v>1.4725</v>
      </c>
    </row>
    <row r="107" spans="1:3" x14ac:dyDescent="0.25">
      <c r="A107" t="str">
        <f>"05/11/2009"</f>
        <v>05/11/2009</v>
      </c>
      <c r="B107" t="str">
        <f>"1.4831"</f>
        <v>1.4831</v>
      </c>
      <c r="C107" t="str">
        <f>"1.483"</f>
        <v>1.483</v>
      </c>
    </row>
    <row r="108" spans="1:3" x14ac:dyDescent="0.25">
      <c r="A108" t="str">
        <f>"06/11/2009"</f>
        <v>06/11/2009</v>
      </c>
      <c r="B108" t="str">
        <f>"1.4873"</f>
        <v>1.4873</v>
      </c>
      <c r="C108" t="str">
        <f>"1.4872"</f>
        <v>1.4872</v>
      </c>
    </row>
    <row r="109" spans="1:3" x14ac:dyDescent="0.25">
      <c r="A109" t="str">
        <f>"09/11/2009"</f>
        <v>09/11/2009</v>
      </c>
      <c r="B109" t="str">
        <f>"1.4921"</f>
        <v>1.4921</v>
      </c>
      <c r="C109" t="str">
        <f>"1.4919"</f>
        <v>1.4919</v>
      </c>
    </row>
    <row r="110" spans="1:3" x14ac:dyDescent="0.25">
      <c r="A110" t="str">
        <f>"10/11/2009"</f>
        <v>10/11/2009</v>
      </c>
      <c r="B110" t="str">
        <f>"1.4979"</f>
        <v>1.4979</v>
      </c>
      <c r="C110" t="str">
        <f>"1.4978"</f>
        <v>1.4978</v>
      </c>
    </row>
    <row r="111" spans="1:3" x14ac:dyDescent="0.25">
      <c r="A111" t="str">
        <f>"11/11/2009"</f>
        <v>11/11/2009</v>
      </c>
      <c r="B111" t="str">
        <f>"1.4984"</f>
        <v>1.4984</v>
      </c>
      <c r="C111" t="str">
        <f>"1.4983"</f>
        <v>1.4983</v>
      </c>
    </row>
    <row r="112" spans="1:3" x14ac:dyDescent="0.25">
      <c r="A112" t="str">
        <f>"12/11/2009"</f>
        <v>12/11/2009</v>
      </c>
      <c r="B112" t="str">
        <f>"1.4996"</f>
        <v>1.4996</v>
      </c>
      <c r="C112" t="str">
        <f>"1.4994"</f>
        <v>1.4994</v>
      </c>
    </row>
    <row r="113" spans="1:3" x14ac:dyDescent="0.25">
      <c r="A113" t="str">
        <f>"13/11/2009"</f>
        <v>13/11/2009</v>
      </c>
      <c r="B113" t="str">
        <f>"1.4859"</f>
        <v>1.4859</v>
      </c>
      <c r="C113" t="str">
        <f>"1.4857"</f>
        <v>1.4857</v>
      </c>
    </row>
    <row r="114" spans="1:3" x14ac:dyDescent="0.25">
      <c r="A114" t="str">
        <f>"16/11/2009"</f>
        <v>16/11/2009</v>
      </c>
      <c r="B114" t="str">
        <f>"1.4947"</f>
        <v>1.4947</v>
      </c>
      <c r="C114" t="str">
        <f>"1.4945"</f>
        <v>1.4945</v>
      </c>
    </row>
    <row r="115" spans="1:3" x14ac:dyDescent="0.25">
      <c r="A115" t="str">
        <f>"17/11/2009"</f>
        <v>17/11/2009</v>
      </c>
      <c r="B115" t="str">
        <f>"1.4947"</f>
        <v>1.4947</v>
      </c>
      <c r="C115" t="str">
        <f>"1.4945"</f>
        <v>1.4945</v>
      </c>
    </row>
    <row r="116" spans="1:3" x14ac:dyDescent="0.25">
      <c r="A116" t="str">
        <f>"18/11/2009"</f>
        <v>18/11/2009</v>
      </c>
      <c r="B116" t="str">
        <f>"1.4875"</f>
        <v>1.4875</v>
      </c>
      <c r="C116" t="str">
        <f>"1.4873"</f>
        <v>1.4873</v>
      </c>
    </row>
    <row r="117" spans="1:3" x14ac:dyDescent="0.25">
      <c r="A117" t="str">
        <f>"19/11/2009"</f>
        <v>19/11/2009</v>
      </c>
      <c r="B117" t="str">
        <f>"1.4922"</f>
        <v>1.4922</v>
      </c>
      <c r="C117" t="str">
        <f>"1.492"</f>
        <v>1.492</v>
      </c>
    </row>
    <row r="118" spans="1:3" x14ac:dyDescent="0.25">
      <c r="A118" t="str">
        <f>"20/11/2009"</f>
        <v>20/11/2009</v>
      </c>
      <c r="B118" t="str">
        <f>"1.4901"</f>
        <v>1.4901</v>
      </c>
      <c r="C118" t="str">
        <f>"1.4898"</f>
        <v>1.4898</v>
      </c>
    </row>
    <row r="119" spans="1:3" x14ac:dyDescent="0.25">
      <c r="A119" t="str">
        <f>"23/11/2009"</f>
        <v>23/11/2009</v>
      </c>
      <c r="B119" t="str">
        <f>"1.4917"</f>
        <v>1.4917</v>
      </c>
      <c r="C119" t="str">
        <f>"1.4914"</f>
        <v>1.4914</v>
      </c>
    </row>
    <row r="120" spans="1:3" x14ac:dyDescent="0.25">
      <c r="A120" t="str">
        <f>"24/11/2009"</f>
        <v>24/11/2009</v>
      </c>
      <c r="B120" t="str">
        <f>"1.4939"</f>
        <v>1.4939</v>
      </c>
      <c r="C120" t="str">
        <f>"1.4937"</f>
        <v>1.4937</v>
      </c>
    </row>
    <row r="121" spans="1:3" x14ac:dyDescent="0.25">
      <c r="A121" t="str">
        <f>"25/11/2009"</f>
        <v>25/11/2009</v>
      </c>
      <c r="B121" t="str">
        <f>"1.4989"</f>
        <v>1.4989</v>
      </c>
      <c r="C121" t="str">
        <f>"1.4986"</f>
        <v>1.4986</v>
      </c>
    </row>
    <row r="122" spans="1:3" x14ac:dyDescent="0.25">
      <c r="A122" t="str">
        <f>"26/11/2009"</f>
        <v>26/11/2009</v>
      </c>
      <c r="B122" t="str">
        <f>"1.5111"</f>
        <v>1.5111</v>
      </c>
      <c r="C122" t="str">
        <f>"1.5108"</f>
        <v>1.5108</v>
      </c>
    </row>
    <row r="123" spans="1:3" x14ac:dyDescent="0.25">
      <c r="A123" t="str">
        <f>"27/11/2009"</f>
        <v>27/11/2009</v>
      </c>
      <c r="B123" t="str">
        <f>"1.4941"</f>
        <v>1.4941</v>
      </c>
      <c r="C123" t="str">
        <f>"1.4939"</f>
        <v>1.4939</v>
      </c>
    </row>
    <row r="124" spans="1:3" x14ac:dyDescent="0.25">
      <c r="A124" t="str">
        <f>"30/11/2009"</f>
        <v>30/11/2009</v>
      </c>
      <c r="B124" t="str">
        <f>"1.5062"</f>
        <v>1.5062</v>
      </c>
      <c r="C124" t="str">
        <f>"1.5061"</f>
        <v>1.5061</v>
      </c>
    </row>
    <row r="125" spans="1:3" x14ac:dyDescent="0.25">
      <c r="A125" t="str">
        <f>"01/12/2009"</f>
        <v>01/12/2009</v>
      </c>
      <c r="B125" t="str">
        <f>"1.502"</f>
        <v>1.502</v>
      </c>
      <c r="C125" t="str">
        <f>"1.5019"</f>
        <v>1.5019</v>
      </c>
    </row>
    <row r="126" spans="1:3" x14ac:dyDescent="0.25">
      <c r="A126" t="str">
        <f>"02/12/2009"</f>
        <v>02/12/2009</v>
      </c>
      <c r="B126" t="str">
        <f>"1.5098"</f>
        <v>1.5098</v>
      </c>
      <c r="C126" t="str">
        <f>"1.5096"</f>
        <v>1.5096</v>
      </c>
    </row>
    <row r="127" spans="1:3" x14ac:dyDescent="0.25">
      <c r="A127" t="str">
        <f>"03/12/2009"</f>
        <v>03/12/2009</v>
      </c>
      <c r="B127" t="str">
        <f>"1.5092"</f>
        <v>1.5092</v>
      </c>
      <c r="C127" t="str">
        <f>"1.509"</f>
        <v>1.509</v>
      </c>
    </row>
    <row r="128" spans="1:3" x14ac:dyDescent="0.25">
      <c r="A128" t="str">
        <f>"04/12/2009"</f>
        <v>04/12/2009</v>
      </c>
      <c r="B128" t="str">
        <f>"1.5056"</f>
        <v>1.5056</v>
      </c>
      <c r="C128" t="str">
        <f>"1.5055"</f>
        <v>1.5055</v>
      </c>
    </row>
    <row r="129" spans="1:3" x14ac:dyDescent="0.25">
      <c r="A129" t="str">
        <f>"07/12/2009"</f>
        <v>07/12/2009</v>
      </c>
      <c r="B129" t="str">
        <f>"1.4884"</f>
        <v>1.4884</v>
      </c>
      <c r="C129" t="str">
        <f>"1.4882"</f>
        <v>1.4882</v>
      </c>
    </row>
    <row r="130" spans="1:3" x14ac:dyDescent="0.25">
      <c r="A130" t="str">
        <f>"08/12/2009"</f>
        <v>08/12/2009</v>
      </c>
      <c r="B130" t="str">
        <f>"1.4837"</f>
        <v>1.4837</v>
      </c>
      <c r="C130" t="str">
        <f>"1.4836"</f>
        <v>1.4836</v>
      </c>
    </row>
    <row r="131" spans="1:3" x14ac:dyDescent="0.25">
      <c r="A131" t="str">
        <f>"09/12/2009"</f>
        <v>09/12/2009</v>
      </c>
      <c r="B131" t="str">
        <f>"1.4729"</f>
        <v>1.4729</v>
      </c>
      <c r="C131" t="str">
        <f>"1.4728"</f>
        <v>1.4728</v>
      </c>
    </row>
    <row r="132" spans="1:3" x14ac:dyDescent="0.25">
      <c r="A132" t="str">
        <f>"10/12/2009"</f>
        <v>10/12/2009</v>
      </c>
      <c r="B132" t="str">
        <f>"1.474"</f>
        <v>1.474</v>
      </c>
      <c r="C132" t="str">
        <f>"1.4739"</f>
        <v>1.4739</v>
      </c>
    </row>
    <row r="133" spans="1:3" x14ac:dyDescent="0.25">
      <c r="A133" t="str">
        <f>"11/12/2009"</f>
        <v>11/12/2009</v>
      </c>
      <c r="B133" t="str">
        <f>"1.4723"</f>
        <v>1.4723</v>
      </c>
      <c r="C133" t="str">
        <f>"1.4722"</f>
        <v>1.4722</v>
      </c>
    </row>
    <row r="134" spans="1:3" x14ac:dyDescent="0.25">
      <c r="A134" t="str">
        <f>"14/12/2009"</f>
        <v>14/12/2009</v>
      </c>
      <c r="B134" t="str">
        <f>"1.4609"</f>
        <v>1.4609</v>
      </c>
      <c r="C134" t="str">
        <f>"1.4607"</f>
        <v>1.4607</v>
      </c>
    </row>
    <row r="135" spans="1:3" x14ac:dyDescent="0.25">
      <c r="A135" t="str">
        <f>"15/12/2009"</f>
        <v>15/12/2009</v>
      </c>
      <c r="B135" t="str">
        <f>"1.4649"</f>
        <v>1.4649</v>
      </c>
      <c r="C135" t="str">
        <f>"1.4647"</f>
        <v>1.4647</v>
      </c>
    </row>
    <row r="136" spans="1:3" x14ac:dyDescent="0.25">
      <c r="A136" t="str">
        <f>"16/12/2009"</f>
        <v>16/12/2009</v>
      </c>
      <c r="B136" t="str">
        <f>"1.4541"</f>
        <v>1.4541</v>
      </c>
      <c r="C136" t="str">
        <f>"1.454"</f>
        <v>1.454</v>
      </c>
    </row>
    <row r="137" spans="1:3" x14ac:dyDescent="0.25">
      <c r="A137" t="str">
        <f>"17/12/2009"</f>
        <v>17/12/2009</v>
      </c>
      <c r="B137" t="str">
        <f>"1.4406"</f>
        <v>1.4406</v>
      </c>
      <c r="C137" t="str">
        <f>"1.4405"</f>
        <v>1.4405</v>
      </c>
    </row>
    <row r="138" spans="1:3" x14ac:dyDescent="0.25">
      <c r="A138" t="str">
        <f>"18/12/2009"</f>
        <v>18/12/2009</v>
      </c>
      <c r="B138" t="str">
        <f>"1.4395"</f>
        <v>1.4395</v>
      </c>
      <c r="C138" t="str">
        <f>"1.4394"</f>
        <v>1.4394</v>
      </c>
    </row>
    <row r="139" spans="1:3" x14ac:dyDescent="0.25">
      <c r="A139" t="str">
        <f>"21/12/2009"</f>
        <v>21/12/2009</v>
      </c>
      <c r="B139" t="str">
        <f>"1.4356"</f>
        <v>1.4356</v>
      </c>
      <c r="C139" t="str">
        <f>"1.4355"</f>
        <v>1.4355</v>
      </c>
    </row>
    <row r="140" spans="1:3" x14ac:dyDescent="0.25">
      <c r="A140" t="str">
        <f>"22/12/2009"</f>
        <v>22/12/2009</v>
      </c>
      <c r="B140" t="str">
        <f>"1.4289"</f>
        <v>1.4289</v>
      </c>
      <c r="C140" t="str">
        <f>"1.4288"</f>
        <v>1.4288</v>
      </c>
    </row>
    <row r="141" spans="1:3" x14ac:dyDescent="0.25">
      <c r="A141" t="str">
        <f>"23/12/2009"</f>
        <v>23/12/2009</v>
      </c>
      <c r="B141" t="str">
        <f>"1.4254"</f>
        <v>1.4254</v>
      </c>
      <c r="C141" t="str">
        <f>"1.4254"</f>
        <v>1.4254</v>
      </c>
    </row>
    <row r="142" spans="1:3" x14ac:dyDescent="0.25">
      <c r="A142" t="str">
        <f>"24/12/2009"</f>
        <v>24/12/2009</v>
      </c>
      <c r="B142" t="str">
        <f>"1.4349"</f>
        <v>1.4349</v>
      </c>
      <c r="C142" t="str">
        <f>"1.4348"</f>
        <v>1.4348</v>
      </c>
    </row>
    <row r="143" spans="1:3" x14ac:dyDescent="0.25">
      <c r="A143" t="str">
        <f>"29/12/2009"</f>
        <v>29/12/2009</v>
      </c>
      <c r="B143" t="str">
        <f>"1.4354"</f>
        <v>1.4354</v>
      </c>
      <c r="C143" t="str">
        <f>"1.4353"</f>
        <v>1.4353</v>
      </c>
    </row>
    <row r="144" spans="1:3" x14ac:dyDescent="0.25">
      <c r="A144" t="str">
        <f>"30/12/2009"</f>
        <v>30/12/2009</v>
      </c>
      <c r="B144" t="str">
        <f>"1.4308"</f>
        <v>1.4308</v>
      </c>
      <c r="C144" t="str">
        <f>"1.4307"</f>
        <v>1.4307</v>
      </c>
    </row>
    <row r="145" spans="1:3" x14ac:dyDescent="0.25">
      <c r="A145" t="str">
        <f>"31/12/2009"</f>
        <v>31/12/2009</v>
      </c>
      <c r="B145" t="str">
        <f>"1.4364"</f>
        <v>1.4364</v>
      </c>
      <c r="C145" t="str">
        <f>"1.4363"</f>
        <v>1.4363</v>
      </c>
    </row>
    <row r="146" spans="1:3" x14ac:dyDescent="0.25">
      <c r="A146" t="str">
        <f>"01/01/2010"</f>
        <v>01/01/2010</v>
      </c>
      <c r="B146" t="str">
        <f>"1.4323"</f>
        <v>1.4323</v>
      </c>
      <c r="C146" t="str">
        <f>"1.4322"</f>
        <v>1.4322</v>
      </c>
    </row>
    <row r="147" spans="1:3" x14ac:dyDescent="0.25">
      <c r="A147" t="str">
        <f>"04/01/2010"</f>
        <v>04/01/2010</v>
      </c>
      <c r="B147" t="str">
        <f>"1.4285"</f>
        <v>1.4285</v>
      </c>
      <c r="C147" t="str">
        <f>"1.4284"</f>
        <v>1.4284</v>
      </c>
    </row>
    <row r="148" spans="1:3" x14ac:dyDescent="0.25">
      <c r="A148" t="str">
        <f>"05/01/2010"</f>
        <v>05/01/2010</v>
      </c>
      <c r="B148" t="str">
        <f>"1.4424"</f>
        <v>1.4424</v>
      </c>
      <c r="C148" t="str">
        <f>"1.4423"</f>
        <v>1.4423</v>
      </c>
    </row>
    <row r="149" spans="1:3" x14ac:dyDescent="0.25">
      <c r="A149" t="str">
        <f>"06/01/2010"</f>
        <v>06/01/2010</v>
      </c>
      <c r="B149" t="str">
        <f>"1.4355"</f>
        <v>1.4355</v>
      </c>
      <c r="C149" t="str">
        <f>"1.4354"</f>
        <v>1.4354</v>
      </c>
    </row>
    <row r="150" spans="1:3" x14ac:dyDescent="0.25">
      <c r="A150" t="str">
        <f>"07/01/2010"</f>
        <v>07/01/2010</v>
      </c>
      <c r="B150" t="str">
        <f>"1.4397"</f>
        <v>1.4397</v>
      </c>
      <c r="C150" t="str">
        <f>"1.4396"</f>
        <v>1.4396</v>
      </c>
    </row>
    <row r="151" spans="1:3" x14ac:dyDescent="0.25">
      <c r="A151" t="str">
        <f>"08/01/2010"</f>
        <v>08/01/2010</v>
      </c>
      <c r="B151" t="str">
        <f>"1.4314"</f>
        <v>1.4314</v>
      </c>
      <c r="C151" t="str">
        <f>"1.4313"</f>
        <v>1.4313</v>
      </c>
    </row>
    <row r="152" spans="1:3" x14ac:dyDescent="0.25">
      <c r="A152" t="str">
        <f>"11/01/2010"</f>
        <v>11/01/2010</v>
      </c>
      <c r="B152" t="str">
        <f>"1.4514"</f>
        <v>1.4514</v>
      </c>
      <c r="C152" t="str">
        <f>"1.4513"</f>
        <v>1.4513</v>
      </c>
    </row>
    <row r="153" spans="1:3" x14ac:dyDescent="0.25">
      <c r="A153" t="str">
        <f>"12/01/2010"</f>
        <v>12/01/2010</v>
      </c>
      <c r="B153" t="str">
        <f>"1.4478"</f>
        <v>1.4478</v>
      </c>
      <c r="C153" t="str">
        <f>"1.4477"</f>
        <v>1.4477</v>
      </c>
    </row>
    <row r="154" spans="1:3" x14ac:dyDescent="0.25">
      <c r="A154" t="str">
        <f>"13/01/2010"</f>
        <v>13/01/2010</v>
      </c>
      <c r="B154" t="str">
        <f>"1.4475"</f>
        <v>1.4475</v>
      </c>
      <c r="C154" t="str">
        <f>"1.4474"</f>
        <v>1.4474</v>
      </c>
    </row>
    <row r="155" spans="1:3" x14ac:dyDescent="0.25">
      <c r="A155" t="str">
        <f>"14/01/2010"</f>
        <v>14/01/2010</v>
      </c>
      <c r="B155" t="str">
        <f>"1.4543"</f>
        <v>1.4543</v>
      </c>
      <c r="C155" t="str">
        <f>"1.4542"</f>
        <v>1.4542</v>
      </c>
    </row>
    <row r="156" spans="1:3" x14ac:dyDescent="0.25">
      <c r="A156" t="str">
        <f>"15/01/2010"</f>
        <v>15/01/2010</v>
      </c>
      <c r="B156" t="str">
        <f>"1.4426"</f>
        <v>1.4426</v>
      </c>
      <c r="C156" t="str">
        <f>"1.4425"</f>
        <v>1.4425</v>
      </c>
    </row>
    <row r="157" spans="1:3" x14ac:dyDescent="0.25">
      <c r="A157" t="str">
        <f>"18/01/2010"</f>
        <v>18/01/2010</v>
      </c>
      <c r="B157" t="str">
        <f>"1.4358"</f>
        <v>1.4358</v>
      </c>
      <c r="C157" t="str">
        <f>"1.4357"</f>
        <v>1.4357</v>
      </c>
    </row>
    <row r="158" spans="1:3" x14ac:dyDescent="0.25">
      <c r="A158" t="str">
        <f>"19/01/2010"</f>
        <v>19/01/2010</v>
      </c>
      <c r="B158" t="str">
        <f>"1.439"</f>
        <v>1.439</v>
      </c>
      <c r="C158" t="str">
        <f>"1.4389"</f>
        <v>1.4389</v>
      </c>
    </row>
    <row r="159" spans="1:3" x14ac:dyDescent="0.25">
      <c r="A159" t="str">
        <f>"20/01/2010"</f>
        <v>20/01/2010</v>
      </c>
      <c r="B159" t="str">
        <f>"1.4203"</f>
        <v>1.4203</v>
      </c>
      <c r="C159" t="str">
        <f>"1.4202"</f>
        <v>1.4202</v>
      </c>
    </row>
    <row r="160" spans="1:3" x14ac:dyDescent="0.25">
      <c r="A160" t="str">
        <f>"21/01/2010"</f>
        <v>21/01/2010</v>
      </c>
      <c r="B160" t="str">
        <f>"1.4098"</f>
        <v>1.4098</v>
      </c>
      <c r="C160" t="str">
        <f>"1.4097"</f>
        <v>1.4097</v>
      </c>
    </row>
    <row r="161" spans="1:3" x14ac:dyDescent="0.25">
      <c r="A161" t="str">
        <f>"22/01/2010"</f>
        <v>22/01/2010</v>
      </c>
      <c r="B161" t="str">
        <f>"1.4119"</f>
        <v>1.4119</v>
      </c>
      <c r="C161" t="str">
        <f>"1.4118"</f>
        <v>1.4118</v>
      </c>
    </row>
    <row r="162" spans="1:3" x14ac:dyDescent="0.25">
      <c r="A162" t="str">
        <f>"25/01/2010"</f>
        <v>25/01/2010</v>
      </c>
      <c r="B162" t="str">
        <f>"1.4157"</f>
        <v>1.4157</v>
      </c>
      <c r="C162" t="str">
        <f>"1.4156"</f>
        <v>1.4156</v>
      </c>
    </row>
    <row r="163" spans="1:3" x14ac:dyDescent="0.25">
      <c r="A163" t="str">
        <f>"27/01/2010"</f>
        <v>27/01/2010</v>
      </c>
      <c r="B163" t="str">
        <f>"1.408"</f>
        <v>1.408</v>
      </c>
      <c r="C163" t="str">
        <f>"1.4079"</f>
        <v>1.4079</v>
      </c>
    </row>
    <row r="164" spans="1:3" x14ac:dyDescent="0.25">
      <c r="A164" t="str">
        <f>"28/01/2010"</f>
        <v>28/01/2010</v>
      </c>
      <c r="B164" t="str">
        <f>"1.4015"</f>
        <v>1.4015</v>
      </c>
      <c r="C164" t="str">
        <f>"1.4014"</f>
        <v>1.4014</v>
      </c>
    </row>
    <row r="165" spans="1:3" x14ac:dyDescent="0.25">
      <c r="A165" t="str">
        <f>"29/01/2010"</f>
        <v>29/01/2010</v>
      </c>
      <c r="B165" t="str">
        <f>"1.3955"</f>
        <v>1.3955</v>
      </c>
      <c r="C165" t="str">
        <f>"1.3954"</f>
        <v>1.3954</v>
      </c>
    </row>
    <row r="166" spans="1:3" x14ac:dyDescent="0.25">
      <c r="A166" t="str">
        <f>"01/02/2010"</f>
        <v>01/02/2010</v>
      </c>
      <c r="B166" t="str">
        <f>"1.3866"</f>
        <v>1.3866</v>
      </c>
      <c r="C166" t="str">
        <f>"1.3865"</f>
        <v>1.3865</v>
      </c>
    </row>
    <row r="167" spans="1:3" x14ac:dyDescent="0.25">
      <c r="A167" t="str">
        <f>"02/02/2010"</f>
        <v>02/02/2010</v>
      </c>
      <c r="B167" t="str">
        <f>"1.3892"</f>
        <v>1.3892</v>
      </c>
      <c r="C167" t="str">
        <f>"1.3891"</f>
        <v>1.3891</v>
      </c>
    </row>
    <row r="168" spans="1:3" x14ac:dyDescent="0.25">
      <c r="A168" t="str">
        <f>"03/02/2010"</f>
        <v>03/02/2010</v>
      </c>
      <c r="B168" t="str">
        <f>"1.3961"</f>
        <v>1.3961</v>
      </c>
      <c r="C168" t="str">
        <f>"1.396"</f>
        <v>1.396</v>
      </c>
    </row>
    <row r="169" spans="1:3" x14ac:dyDescent="0.25">
      <c r="A169" t="str">
        <f>"04/02/2010"</f>
        <v>04/02/2010</v>
      </c>
      <c r="B169" t="str">
        <f>"1.389"</f>
        <v>1.389</v>
      </c>
      <c r="C169" t="str">
        <f>"1.3889"</f>
        <v>1.3889</v>
      </c>
    </row>
    <row r="170" spans="1:3" x14ac:dyDescent="0.25">
      <c r="A170" t="str">
        <f>"05/02/2010"</f>
        <v>05/02/2010</v>
      </c>
      <c r="B170" t="str">
        <f>"1.3715"</f>
        <v>1.3715</v>
      </c>
      <c r="C170" t="str">
        <f>"1.3714"</f>
        <v>1.3714</v>
      </c>
    </row>
    <row r="171" spans="1:3" x14ac:dyDescent="0.25">
      <c r="A171" t="str">
        <f>"08/02/2010"</f>
        <v>08/02/2010</v>
      </c>
      <c r="B171" t="str">
        <f>"1.3637"</f>
        <v>1.3637</v>
      </c>
      <c r="C171" t="str">
        <f>"1.3636"</f>
        <v>1.3636</v>
      </c>
    </row>
    <row r="172" spans="1:3" x14ac:dyDescent="0.25">
      <c r="A172" t="str">
        <f>"09/02/2010"</f>
        <v>09/02/2010</v>
      </c>
      <c r="B172" t="str">
        <f>"1.3671"</f>
        <v>1.3671</v>
      </c>
      <c r="C172" t="str">
        <f>"1.367"</f>
        <v>1.367</v>
      </c>
    </row>
    <row r="173" spans="1:3" x14ac:dyDescent="0.25">
      <c r="A173" t="str">
        <f>"10/02/2010"</f>
        <v>10/02/2010</v>
      </c>
      <c r="B173" t="str">
        <f>"1.3754"</f>
        <v>1.3754</v>
      </c>
      <c r="C173" t="str">
        <f>"1.3754"</f>
        <v>1.3754</v>
      </c>
    </row>
    <row r="174" spans="1:3" x14ac:dyDescent="0.25">
      <c r="A174" t="str">
        <f>"11/02/2010"</f>
        <v>11/02/2010</v>
      </c>
      <c r="B174" t="str">
        <f>"1.378"</f>
        <v>1.378</v>
      </c>
      <c r="C174" t="str">
        <f>"1.3779"</f>
        <v>1.3779</v>
      </c>
    </row>
    <row r="175" spans="1:3" x14ac:dyDescent="0.25">
      <c r="A175" t="str">
        <f>"15/02/2010"</f>
        <v>15/02/2010</v>
      </c>
      <c r="B175" t="str">
        <f>"1.3608"</f>
        <v>1.3608</v>
      </c>
      <c r="C175" t="str">
        <f>"1.3608"</f>
        <v>1.3608</v>
      </c>
    </row>
    <row r="176" spans="1:3" x14ac:dyDescent="0.25">
      <c r="A176" t="str">
        <f>"16/02/2010"</f>
        <v>16/02/2010</v>
      </c>
      <c r="B176" t="str">
        <f>"1.3627"</f>
        <v>1.3627</v>
      </c>
      <c r="C176" t="str">
        <f>"1.3626"</f>
        <v>1.3626</v>
      </c>
    </row>
    <row r="177" spans="1:3" x14ac:dyDescent="0.25">
      <c r="A177" t="str">
        <f>"17/02/2010"</f>
        <v>17/02/2010</v>
      </c>
      <c r="B177" t="str">
        <f>"1.3766"</f>
        <v>1.3766</v>
      </c>
      <c r="C177" t="str">
        <f>"1.3765"</f>
        <v>1.3765</v>
      </c>
    </row>
    <row r="178" spans="1:3" x14ac:dyDescent="0.25">
      <c r="A178" t="str">
        <f>"18/02/2010"</f>
        <v>18/02/2010</v>
      </c>
      <c r="B178" t="str">
        <f>"1.3572"</f>
        <v>1.3572</v>
      </c>
      <c r="C178" t="str">
        <f>"1.3571"</f>
        <v>1.3571</v>
      </c>
    </row>
    <row r="179" spans="1:3" x14ac:dyDescent="0.25">
      <c r="A179" t="str">
        <f>"19/02/2010"</f>
        <v>19/02/2010</v>
      </c>
      <c r="B179" t="str">
        <f>"1.3482"</f>
        <v>1.3482</v>
      </c>
      <c r="C179" t="str">
        <f>"1.3481"</f>
        <v>1.3481</v>
      </c>
    </row>
    <row r="180" spans="1:3" x14ac:dyDescent="0.25">
      <c r="A180" t="str">
        <f>"22/02/2010"</f>
        <v>22/02/2010</v>
      </c>
      <c r="B180" t="str">
        <f>"1.3648"</f>
        <v>1.3648</v>
      </c>
      <c r="C180" t="str">
        <f>"1.3647"</f>
        <v>1.3647</v>
      </c>
    </row>
    <row r="181" spans="1:3" x14ac:dyDescent="0.25">
      <c r="A181" t="str">
        <f>"23/02/2010"</f>
        <v>23/02/2010</v>
      </c>
      <c r="B181" t="str">
        <f>"1.3608"</f>
        <v>1.3608</v>
      </c>
      <c r="C181" t="str">
        <f>"1.3607"</f>
        <v>1.3607</v>
      </c>
    </row>
    <row r="182" spans="1:3" x14ac:dyDescent="0.25">
      <c r="A182" t="str">
        <f>"24/02/2010"</f>
        <v>24/02/2010</v>
      </c>
      <c r="B182" t="str">
        <f>"1.3545"</f>
        <v>1.3545</v>
      </c>
      <c r="C182" t="str">
        <f>"1.3544"</f>
        <v>1.3544</v>
      </c>
    </row>
    <row r="183" spans="1:3" x14ac:dyDescent="0.25">
      <c r="A183" t="str">
        <f>"25/02/2010"</f>
        <v>25/02/2010</v>
      </c>
      <c r="B183" t="str">
        <f>"1.3482"</f>
        <v>1.3482</v>
      </c>
      <c r="C183" t="str">
        <f>"1.3481"</f>
        <v>1.3481</v>
      </c>
    </row>
    <row r="184" spans="1:3" x14ac:dyDescent="0.25">
      <c r="A184" t="str">
        <f>"26/02/2010"</f>
        <v>26/02/2010</v>
      </c>
      <c r="B184" t="str">
        <f>"1.358"</f>
        <v>1.358</v>
      </c>
      <c r="C184" t="str">
        <f>"1.3579"</f>
        <v>1.3579</v>
      </c>
    </row>
    <row r="185" spans="1:3" x14ac:dyDescent="0.25">
      <c r="A185" t="str">
        <f>"02/03/2010"</f>
        <v>02/03/2010</v>
      </c>
      <c r="B185" t="str">
        <f>"1.352"</f>
        <v>1.352</v>
      </c>
      <c r="C185" t="str">
        <f>"1.3519"</f>
        <v>1.3519</v>
      </c>
    </row>
    <row r="186" spans="1:3" x14ac:dyDescent="0.25">
      <c r="A186" t="str">
        <f>"03/03/2010"</f>
        <v>03/03/2010</v>
      </c>
      <c r="B186" t="str">
        <f>"1.3632"</f>
        <v>1.3632</v>
      </c>
      <c r="C186" t="str">
        <f>"1.3631"</f>
        <v>1.3631</v>
      </c>
    </row>
    <row r="187" spans="1:3" x14ac:dyDescent="0.25">
      <c r="A187" t="str">
        <f>"04/03/2010"</f>
        <v>04/03/2010</v>
      </c>
      <c r="B187" t="str">
        <f>"1.3684"</f>
        <v>1.3684</v>
      </c>
      <c r="C187" t="str">
        <f>"1.3683"</f>
        <v>1.3683</v>
      </c>
    </row>
    <row r="188" spans="1:3" x14ac:dyDescent="0.25">
      <c r="A188" t="str">
        <f>"05/03/2010"</f>
        <v>05/03/2010</v>
      </c>
      <c r="B188" t="str">
        <f>"1.359"</f>
        <v>1.359</v>
      </c>
      <c r="C188" t="str">
        <f>"1.3589"</f>
        <v>1.3589</v>
      </c>
    </row>
    <row r="189" spans="1:3" x14ac:dyDescent="0.25">
      <c r="A189" t="str">
        <f>"08/03/2010"</f>
        <v>08/03/2010</v>
      </c>
      <c r="B189" t="str">
        <f>"1.368"</f>
        <v>1.368</v>
      </c>
      <c r="C189" t="str">
        <f>"1.3679"</f>
        <v>1.3679</v>
      </c>
    </row>
    <row r="190" spans="1:3" x14ac:dyDescent="0.25">
      <c r="A190" t="str">
        <f>"09/03/2010"</f>
        <v>09/03/2010</v>
      </c>
      <c r="B190" t="str">
        <f>"1.3628"</f>
        <v>1.3628</v>
      </c>
      <c r="C190" t="str">
        <f>"1.3628"</f>
        <v>1.3628</v>
      </c>
    </row>
    <row r="191" spans="1:3" x14ac:dyDescent="0.25">
      <c r="A191" t="str">
        <f>"10/03/2010"</f>
        <v>10/03/2010</v>
      </c>
      <c r="B191" t="str">
        <f>"1.3599"</f>
        <v>1.3599</v>
      </c>
      <c r="C191" t="str">
        <f>"1.3599"</f>
        <v>1.3599</v>
      </c>
    </row>
    <row r="192" spans="1:3" x14ac:dyDescent="0.25">
      <c r="A192" t="str">
        <f>"11/03/2010"</f>
        <v>11/03/2010</v>
      </c>
      <c r="B192" t="str">
        <f>"1.3636"</f>
        <v>1.3636</v>
      </c>
      <c r="C192" t="str">
        <f>"1.3635"</f>
        <v>1.3635</v>
      </c>
    </row>
    <row r="193" spans="1:3" x14ac:dyDescent="0.25">
      <c r="A193" t="str">
        <f>"12/03/2010"</f>
        <v>12/03/2010</v>
      </c>
      <c r="B193" t="str">
        <f>"1.3683"</f>
        <v>1.3683</v>
      </c>
      <c r="C193" t="str">
        <f>"1.3683"</f>
        <v>1.3683</v>
      </c>
    </row>
    <row r="194" spans="1:3" x14ac:dyDescent="0.25">
      <c r="A194" t="str">
        <f>"15/03/2010"</f>
        <v>15/03/2010</v>
      </c>
      <c r="B194" t="str">
        <f>"1.3738"</f>
        <v>1.3738</v>
      </c>
      <c r="C194" t="str">
        <f>"1.3738"</f>
        <v>1.3738</v>
      </c>
    </row>
    <row r="195" spans="1:3" x14ac:dyDescent="0.25">
      <c r="A195" t="str">
        <f>"17/03/2010"</f>
        <v>17/03/2010</v>
      </c>
      <c r="B195" t="str">
        <f>"1.3777"</f>
        <v>1.3777</v>
      </c>
      <c r="C195" t="str">
        <f>"1.3777"</f>
        <v>1.3777</v>
      </c>
    </row>
    <row r="196" spans="1:3" x14ac:dyDescent="0.25">
      <c r="A196" t="str">
        <f>"18/03/2010"</f>
        <v>18/03/2010</v>
      </c>
      <c r="B196" t="str">
        <f>"1.3726"</f>
        <v>1.3726</v>
      </c>
      <c r="C196" t="str">
        <f>"1.3726"</f>
        <v>1.3726</v>
      </c>
    </row>
    <row r="197" spans="1:3" x14ac:dyDescent="0.25">
      <c r="A197" t="str">
        <f>"19/03/2010"</f>
        <v>19/03/2010</v>
      </c>
      <c r="B197" t="str">
        <f>"1.3624"</f>
        <v>1.3624</v>
      </c>
      <c r="C197" t="str">
        <f>"1.3624"</f>
        <v>1.3624</v>
      </c>
    </row>
    <row r="198" spans="1:3" x14ac:dyDescent="0.25">
      <c r="A198" t="str">
        <f>"22/03/2010"</f>
        <v>22/03/2010</v>
      </c>
      <c r="B198" t="str">
        <f>"1.3518"</f>
        <v>1.3518</v>
      </c>
      <c r="C198" t="str">
        <f>"1.3518"</f>
        <v>1.3518</v>
      </c>
    </row>
    <row r="199" spans="1:3" x14ac:dyDescent="0.25">
      <c r="A199" t="str">
        <f>"23/03/2010"</f>
        <v>23/03/2010</v>
      </c>
      <c r="B199" t="str">
        <f>"1.3555"</f>
        <v>1.3555</v>
      </c>
      <c r="C199" t="str">
        <f>"1.3556"</f>
        <v>1.3556</v>
      </c>
    </row>
    <row r="200" spans="1:3" x14ac:dyDescent="0.25">
      <c r="A200" t="str">
        <f>"25/03/2010"</f>
        <v>25/03/2010</v>
      </c>
      <c r="B200" t="str">
        <f>"1.3326"</f>
        <v>1.3326</v>
      </c>
      <c r="C200" t="str">
        <f>"1.3326"</f>
        <v>1.3326</v>
      </c>
    </row>
    <row r="201" spans="1:3" x14ac:dyDescent="0.25">
      <c r="A201" t="str">
        <f>"26/03/2010"</f>
        <v>26/03/2010</v>
      </c>
      <c r="B201" t="str">
        <f>"1.3327"</f>
        <v>1.3327</v>
      </c>
      <c r="C201" t="str">
        <f>"1.3327"</f>
        <v>1.3327</v>
      </c>
    </row>
    <row r="202" spans="1:3" x14ac:dyDescent="0.25">
      <c r="A202" t="str">
        <f>"29/03/2010"</f>
        <v>29/03/2010</v>
      </c>
      <c r="B202" t="str">
        <f>"1.3438"</f>
        <v>1.3438</v>
      </c>
      <c r="C202" t="str">
        <f>"1.3438"</f>
        <v>1.3438</v>
      </c>
    </row>
    <row r="203" spans="1:3" x14ac:dyDescent="0.25">
      <c r="A203" t="str">
        <f>"30/03/2010"</f>
        <v>30/03/2010</v>
      </c>
      <c r="B203" t="str">
        <f>"1.3489"</f>
        <v>1.3489</v>
      </c>
      <c r="C203" t="str">
        <f>"1.3489"</f>
        <v>1.3489</v>
      </c>
    </row>
    <row r="204" spans="1:3" x14ac:dyDescent="0.25">
      <c r="A204" t="str">
        <f>"31/03/2010"</f>
        <v>31/03/2010</v>
      </c>
      <c r="B204" t="str">
        <f>"1.3402"</f>
        <v>1.3402</v>
      </c>
      <c r="C204" t="str">
        <f>"1.3402"</f>
        <v>1.3402</v>
      </c>
    </row>
    <row r="205" spans="1:3" x14ac:dyDescent="0.25">
      <c r="A205" t="str">
        <f>"05/04/2010"</f>
        <v>05/04/2010</v>
      </c>
      <c r="B205" t="str">
        <f>"1.352"</f>
        <v>1.352</v>
      </c>
      <c r="C205" t="str">
        <f>"1.352"</f>
        <v>1.352</v>
      </c>
    </row>
    <row r="206" spans="1:3" x14ac:dyDescent="0.25">
      <c r="A206" t="str">
        <f>"06/04/2010"</f>
        <v>06/04/2010</v>
      </c>
      <c r="B206" t="str">
        <f>"1.3428"</f>
        <v>1.3428</v>
      </c>
      <c r="C206" t="str">
        <f>"1.3428"</f>
        <v>1.3428</v>
      </c>
    </row>
    <row r="207" spans="1:3" x14ac:dyDescent="0.25">
      <c r="A207" t="str">
        <f>"07/04/2010"</f>
        <v>07/04/2010</v>
      </c>
      <c r="B207" t="str">
        <f>"1.3382"</f>
        <v>1.3382</v>
      </c>
      <c r="C207" t="str">
        <f>"1.3382"</f>
        <v>1.3382</v>
      </c>
    </row>
    <row r="208" spans="1:3" x14ac:dyDescent="0.25">
      <c r="A208" t="str">
        <f>"08/04/2010"</f>
        <v>08/04/2010</v>
      </c>
      <c r="B208" t="str">
        <f>"1.333"</f>
        <v>1.333</v>
      </c>
      <c r="C208" t="str">
        <f>"1.333"</f>
        <v>1.333</v>
      </c>
    </row>
    <row r="209" spans="1:3" x14ac:dyDescent="0.25">
      <c r="A209" t="str">
        <f>"09/04/2010"</f>
        <v>09/04/2010</v>
      </c>
      <c r="B209" t="str">
        <f>"1.336"</f>
        <v>1.336</v>
      </c>
      <c r="C209" t="str">
        <f>"1.336"</f>
        <v>1.336</v>
      </c>
    </row>
    <row r="210" spans="1:3" x14ac:dyDescent="0.25">
      <c r="A210" t="str">
        <f>"12/04/2010"</f>
        <v>12/04/2010</v>
      </c>
      <c r="B210" t="str">
        <f>"1.3652"</f>
        <v>1.3652</v>
      </c>
      <c r="C210" t="str">
        <f>"1.3652"</f>
        <v>1.3652</v>
      </c>
    </row>
    <row r="211" spans="1:3" x14ac:dyDescent="0.25">
      <c r="A211" t="str">
        <f>"13/04/2010"</f>
        <v>13/04/2010</v>
      </c>
      <c r="B211" t="str">
        <f>"1.3588"</f>
        <v>1.3588</v>
      </c>
      <c r="C211" t="str">
        <f>"1.3588"</f>
        <v>1.3588</v>
      </c>
    </row>
    <row r="212" spans="1:3" x14ac:dyDescent="0.25">
      <c r="A212" t="str">
        <f>"15/04/2010"</f>
        <v>15/04/2010</v>
      </c>
      <c r="B212" t="str">
        <f>"1.3648"</f>
        <v>1.3648</v>
      </c>
      <c r="C212" t="str">
        <f>"1.3648"</f>
        <v>1.3648</v>
      </c>
    </row>
    <row r="213" spans="1:3" x14ac:dyDescent="0.25">
      <c r="A213" t="str">
        <f>"16/04/2010"</f>
        <v>16/04/2010</v>
      </c>
      <c r="B213" t="str">
        <f>"1.3553"</f>
        <v>1.3553</v>
      </c>
      <c r="C213" t="str">
        <f>"1.3553"</f>
        <v>1.3553</v>
      </c>
    </row>
    <row r="214" spans="1:3" x14ac:dyDescent="0.25">
      <c r="A214" t="str">
        <f>"19/04/2010"</f>
        <v>19/04/2010</v>
      </c>
      <c r="B214" t="str">
        <f>"1.3456"</f>
        <v>1.3456</v>
      </c>
      <c r="C214" t="str">
        <f>"1.3457"</f>
        <v>1.3457</v>
      </c>
    </row>
    <row r="215" spans="1:3" x14ac:dyDescent="0.25">
      <c r="A215" t="str">
        <f>"20/04/2010"</f>
        <v>20/04/2010</v>
      </c>
      <c r="B215" t="str">
        <f>"1.3474"</f>
        <v>1.3474</v>
      </c>
      <c r="C215" t="str">
        <f>"1.3475"</f>
        <v>1.3475</v>
      </c>
    </row>
    <row r="216" spans="1:3" x14ac:dyDescent="0.25">
      <c r="A216" t="str">
        <f>"21/04/2010"</f>
        <v>21/04/2010</v>
      </c>
      <c r="B216" t="str">
        <f>"1.3419"</f>
        <v>1.3419</v>
      </c>
      <c r="C216" t="str">
        <f>"1.342"</f>
        <v>1.342</v>
      </c>
    </row>
    <row r="217" spans="1:3" x14ac:dyDescent="0.25">
      <c r="A217" t="str">
        <f>"22/04/2010"</f>
        <v>22/04/2010</v>
      </c>
      <c r="B217" t="str">
        <f>"1.3387"</f>
        <v>1.3387</v>
      </c>
      <c r="C217" t="str">
        <f>"1.3388"</f>
        <v>1.3388</v>
      </c>
    </row>
    <row r="218" spans="1:3" x14ac:dyDescent="0.25">
      <c r="A218" t="str">
        <f>"23/04/2010"</f>
        <v>23/04/2010</v>
      </c>
      <c r="B218" t="str">
        <f>"1.322"</f>
        <v>1.322</v>
      </c>
      <c r="C218" t="str">
        <f>"1.322"</f>
        <v>1.322</v>
      </c>
    </row>
    <row r="219" spans="1:3" x14ac:dyDescent="0.25">
      <c r="A219" t="str">
        <f>"26/04/2010"</f>
        <v>26/04/2010</v>
      </c>
      <c r="B219" t="str">
        <f>"1.3366"</f>
        <v>1.3366</v>
      </c>
      <c r="C219" t="str">
        <f>"1.3367"</f>
        <v>1.3367</v>
      </c>
    </row>
    <row r="220" spans="1:3" x14ac:dyDescent="0.25">
      <c r="A220" t="str">
        <f>"27/04/2010"</f>
        <v>27/04/2010</v>
      </c>
      <c r="B220" t="str">
        <f>"1.3374"</f>
        <v>1.3374</v>
      </c>
      <c r="C220" t="str">
        <f>"1.3375"</f>
        <v>1.3375</v>
      </c>
    </row>
    <row r="221" spans="1:3" x14ac:dyDescent="0.25">
      <c r="A221" t="str">
        <f>"28/04/2010"</f>
        <v>28/04/2010</v>
      </c>
      <c r="B221" t="str">
        <f>"1.3209"</f>
        <v>1.3209</v>
      </c>
      <c r="C221" t="str">
        <f>"1.321"</f>
        <v>1.321</v>
      </c>
    </row>
    <row r="222" spans="1:3" x14ac:dyDescent="0.25">
      <c r="A222" t="str">
        <f>"29/04/2010"</f>
        <v>29/04/2010</v>
      </c>
      <c r="B222" t="str">
        <f>"1.3215"</f>
        <v>1.3215</v>
      </c>
      <c r="C222" t="str">
        <f>"1.3217"</f>
        <v>1.3217</v>
      </c>
    </row>
    <row r="223" spans="1:3" x14ac:dyDescent="0.25">
      <c r="A223" t="str">
        <f>"30/04/2010"</f>
        <v>30/04/2010</v>
      </c>
      <c r="B223" t="str">
        <f>"1.3246"</f>
        <v>1.3246</v>
      </c>
      <c r="C223" t="str">
        <f>"1.3247"</f>
        <v>1.3247</v>
      </c>
    </row>
    <row r="224" spans="1:3" x14ac:dyDescent="0.25">
      <c r="A224" t="str">
        <f>"03/05/2010"</f>
        <v>03/05/2010</v>
      </c>
      <c r="B224" t="str">
        <f>"1.322"</f>
        <v>1.322</v>
      </c>
      <c r="C224" t="str">
        <f>"1.3221"</f>
        <v>1.3221</v>
      </c>
    </row>
    <row r="225" spans="1:3" x14ac:dyDescent="0.25">
      <c r="A225" t="str">
        <f>"04/05/2010"</f>
        <v>04/05/2010</v>
      </c>
      <c r="B225" t="str">
        <f>"1.3204"</f>
        <v>1.3204</v>
      </c>
      <c r="C225" t="str">
        <f>"1.3205"</f>
        <v>1.3205</v>
      </c>
    </row>
    <row r="226" spans="1:3" x14ac:dyDescent="0.25">
      <c r="A226" t="str">
        <f>"05/05/2010"</f>
        <v>05/05/2010</v>
      </c>
      <c r="B226" t="str">
        <f>"1.2961"</f>
        <v>1.2961</v>
      </c>
      <c r="C226" t="str">
        <f>"1.2963"</f>
        <v>1.2963</v>
      </c>
    </row>
    <row r="227" spans="1:3" x14ac:dyDescent="0.25">
      <c r="A227" t="str">
        <f>"06/05/2010"</f>
        <v>06/05/2010</v>
      </c>
      <c r="B227" t="str">
        <f>"1.2844"</f>
        <v>1.2844</v>
      </c>
      <c r="C227" t="str">
        <f>"1.2846"</f>
        <v>1.2846</v>
      </c>
    </row>
    <row r="228" spans="1:3" x14ac:dyDescent="0.25">
      <c r="A228" t="str">
        <f>"07/05/2010"</f>
        <v>07/05/2010</v>
      </c>
      <c r="B228" t="str">
        <f>"1.2701"</f>
        <v>1.2701</v>
      </c>
      <c r="C228" t="str">
        <f>"1.2705"</f>
        <v>1.2705</v>
      </c>
    </row>
    <row r="229" spans="1:3" x14ac:dyDescent="0.25">
      <c r="A229" t="str">
        <f>"10/05/2010"</f>
        <v>10/05/2010</v>
      </c>
      <c r="B229" t="str">
        <f>"1.2942"</f>
        <v>1.2942</v>
      </c>
      <c r="C229" t="str">
        <f>"1.2943"</f>
        <v>1.2943</v>
      </c>
    </row>
    <row r="230" spans="1:3" x14ac:dyDescent="0.25">
      <c r="A230" t="str">
        <f>"11/05/2010"</f>
        <v>11/05/2010</v>
      </c>
      <c r="B230" t="str">
        <f>"1.2755"</f>
        <v>1.2755</v>
      </c>
      <c r="C230" t="str">
        <f>"1.2756"</f>
        <v>1.2756</v>
      </c>
    </row>
    <row r="231" spans="1:3" x14ac:dyDescent="0.25">
      <c r="A231" t="str">
        <f>"12/05/2010"</f>
        <v>12/05/2010</v>
      </c>
      <c r="B231" t="str">
        <f>"1.2639"</f>
        <v>1.2639</v>
      </c>
      <c r="C231" t="str">
        <f>"1.2641"</f>
        <v>1.2641</v>
      </c>
    </row>
    <row r="232" spans="1:3" x14ac:dyDescent="0.25">
      <c r="A232" t="str">
        <f>"13/05/2010"</f>
        <v>13/05/2010</v>
      </c>
      <c r="B232" t="str">
        <f>"1.2653"</f>
        <v>1.2653</v>
      </c>
      <c r="C232" t="str">
        <f>"1.2655"</f>
        <v>1.2655</v>
      </c>
    </row>
    <row r="233" spans="1:3" x14ac:dyDescent="0.25">
      <c r="A233" t="str">
        <f>"14/05/2010"</f>
        <v>14/05/2010</v>
      </c>
      <c r="B233" t="str">
        <f>"1.2538"</f>
        <v>1.2538</v>
      </c>
      <c r="C233" t="str">
        <f>"1.254"</f>
        <v>1.254</v>
      </c>
    </row>
    <row r="234" spans="1:3" x14ac:dyDescent="0.25">
      <c r="A234" t="str">
        <f>"17/05/2010"</f>
        <v>17/05/2010</v>
      </c>
      <c r="B234" t="str">
        <f>"1.2284"</f>
        <v>1.2284</v>
      </c>
      <c r="C234" t="str">
        <f>"1.2286"</f>
        <v>1.2286</v>
      </c>
    </row>
    <row r="235" spans="1:3" x14ac:dyDescent="0.25">
      <c r="A235" t="str">
        <f>"18/05/2010"</f>
        <v>18/05/2010</v>
      </c>
      <c r="B235" t="str">
        <f>"1.2339"</f>
        <v>1.2339</v>
      </c>
      <c r="C235" t="str">
        <f>"1.2341"</f>
        <v>1.2341</v>
      </c>
    </row>
    <row r="236" spans="1:3" x14ac:dyDescent="0.25">
      <c r="A236" t="str">
        <f>"19/05/2010"</f>
        <v>19/05/2010</v>
      </c>
      <c r="B236" t="str">
        <f>"1.2218"</f>
        <v>1.2218</v>
      </c>
      <c r="C236" t="str">
        <f>"1.2221"</f>
        <v>1.2221</v>
      </c>
    </row>
    <row r="237" spans="1:3" x14ac:dyDescent="0.25">
      <c r="A237" t="str">
        <f>"20/05/2010"</f>
        <v>20/05/2010</v>
      </c>
      <c r="B237" t="str">
        <f>"1.237"</f>
        <v>1.237</v>
      </c>
      <c r="C237" t="str">
        <f>"1.2372"</f>
        <v>1.2372</v>
      </c>
    </row>
    <row r="238" spans="1:3" x14ac:dyDescent="0.25">
      <c r="A238" t="str">
        <f>"21/05/2010"</f>
        <v>21/05/2010</v>
      </c>
      <c r="B238" t="str">
        <f>"1.2579"</f>
        <v>1.2579</v>
      </c>
      <c r="C238" t="str">
        <f>"1.2581"</f>
        <v>1.2581</v>
      </c>
    </row>
    <row r="239" spans="1:3" x14ac:dyDescent="0.25">
      <c r="A239" t="str">
        <f>"24/05/2010"</f>
        <v>24/05/2010</v>
      </c>
      <c r="B239" t="str">
        <f>"1.2494"</f>
        <v>1.2494</v>
      </c>
      <c r="C239" t="str">
        <f>"1.2497"</f>
        <v>1.2497</v>
      </c>
    </row>
    <row r="240" spans="1:3" x14ac:dyDescent="0.25">
      <c r="A240" t="str">
        <f>"25/05/2010"</f>
        <v>25/05/2010</v>
      </c>
      <c r="B240" t="str">
        <f>"1.2305"</f>
        <v>1.2305</v>
      </c>
      <c r="C240" t="str">
        <f>"1.2309"</f>
        <v>1.2309</v>
      </c>
    </row>
    <row r="241" spans="1:3" x14ac:dyDescent="0.25">
      <c r="A241" t="str">
        <f>"26/05/2010"</f>
        <v>26/05/2010</v>
      </c>
      <c r="B241" t="str">
        <f>"1.2292"</f>
        <v>1.2292</v>
      </c>
      <c r="C241" t="str">
        <f>"1.2298"</f>
        <v>1.2298</v>
      </c>
    </row>
    <row r="242" spans="1:3" x14ac:dyDescent="0.25">
      <c r="A242" t="str">
        <f>"28/05/2010"</f>
        <v>28/05/2010</v>
      </c>
      <c r="B242" t="str">
        <f>"1.2296"</f>
        <v>1.2296</v>
      </c>
      <c r="C242" t="str">
        <f>"1.2299"</f>
        <v>1.2299</v>
      </c>
    </row>
    <row r="243" spans="1:3" x14ac:dyDescent="0.25">
      <c r="A243" t="str">
        <f>"31/05/2010"</f>
        <v>31/05/2010</v>
      </c>
      <c r="B243" t="str">
        <f>"1.2327"</f>
        <v>1.2327</v>
      </c>
      <c r="C243" t="str">
        <f>"1.2331"</f>
        <v>1.2331</v>
      </c>
    </row>
    <row r="244" spans="1:3" x14ac:dyDescent="0.25">
      <c r="A244" t="str">
        <f>"01/06/2010"</f>
        <v>01/06/2010</v>
      </c>
      <c r="B244" t="str">
        <f>"1.2254"</f>
        <v>1.2254</v>
      </c>
      <c r="C244" t="str">
        <f>"1.2258"</f>
        <v>1.2258</v>
      </c>
    </row>
    <row r="245" spans="1:3" x14ac:dyDescent="0.25">
      <c r="A245" t="str">
        <f>"02/06/2010"</f>
        <v>02/06/2010</v>
      </c>
      <c r="B245" t="str">
        <f>"1.2198"</f>
        <v>1.2198</v>
      </c>
      <c r="C245" t="str">
        <f>"1.2202"</f>
        <v>1.2202</v>
      </c>
    </row>
    <row r="246" spans="1:3" x14ac:dyDescent="0.25">
      <c r="A246" t="str">
        <f>"03/06/2010"</f>
        <v>03/06/2010</v>
      </c>
      <c r="B246" t="str">
        <f>"1.2282"</f>
        <v>1.2282</v>
      </c>
      <c r="C246" t="str">
        <f>"1.2285"</f>
        <v>1.2285</v>
      </c>
    </row>
    <row r="247" spans="1:3" x14ac:dyDescent="0.25">
      <c r="A247" t="str">
        <f>"04/06/2010"</f>
        <v>04/06/2010</v>
      </c>
      <c r="B247" t="str">
        <f>"1.2181"</f>
        <v>1.2181</v>
      </c>
      <c r="C247" t="str">
        <f>"1.2183"</f>
        <v>1.2183</v>
      </c>
    </row>
    <row r="248" spans="1:3" x14ac:dyDescent="0.25">
      <c r="A248" t="str">
        <f>"07/06/2010"</f>
        <v>07/06/2010</v>
      </c>
      <c r="B248" t="str">
        <f>"1.1902"</f>
        <v>1.1902</v>
      </c>
      <c r="C248" t="str">
        <f>"1.1905"</f>
        <v>1.1905</v>
      </c>
    </row>
    <row r="249" spans="1:3" x14ac:dyDescent="0.25">
      <c r="A249" t="str">
        <f>"08/06/2010"</f>
        <v>08/06/2010</v>
      </c>
      <c r="B249" t="str">
        <f>"1.1964"</f>
        <v>1.1964</v>
      </c>
      <c r="C249" t="str">
        <f>"1.1967"</f>
        <v>1.1967</v>
      </c>
    </row>
    <row r="250" spans="1:3" x14ac:dyDescent="0.25">
      <c r="A250" t="str">
        <f>"09/06/2010"</f>
        <v>09/06/2010</v>
      </c>
      <c r="B250" t="str">
        <f>"1.1954"</f>
        <v>1.1954</v>
      </c>
      <c r="C250" t="str">
        <f>"1.1957"</f>
        <v>1.1957</v>
      </c>
    </row>
    <row r="251" spans="1:3" x14ac:dyDescent="0.25">
      <c r="A251" t="str">
        <f>"10/06/2010"</f>
        <v>10/06/2010</v>
      </c>
      <c r="B251" t="str">
        <f>"1.2038"</f>
        <v>1.2038</v>
      </c>
      <c r="C251" t="str">
        <f>"1.2041"</f>
        <v>1.2041</v>
      </c>
    </row>
    <row r="252" spans="1:3" x14ac:dyDescent="0.25">
      <c r="A252" t="str">
        <f>"11/06/2010"</f>
        <v>11/06/2010</v>
      </c>
      <c r="B252" t="str">
        <f>"1.2105"</f>
        <v>1.2105</v>
      </c>
      <c r="C252" t="str">
        <f>"1.2107"</f>
        <v>1.2107</v>
      </c>
    </row>
    <row r="253" spans="1:3" x14ac:dyDescent="0.25">
      <c r="A253" t="str">
        <f>"14/06/2010"</f>
        <v>14/06/2010</v>
      </c>
      <c r="B253" t="str">
        <f>"1.2174"</f>
        <v>1.2174</v>
      </c>
      <c r="C253" t="str">
        <f>"1.2176"</f>
        <v>1.2176</v>
      </c>
    </row>
    <row r="254" spans="1:3" x14ac:dyDescent="0.25">
      <c r="A254" t="str">
        <f>"15/06/2010"</f>
        <v>15/06/2010</v>
      </c>
      <c r="B254" t="str">
        <f>"1.2217"</f>
        <v>1.2217</v>
      </c>
      <c r="C254" t="str">
        <f>"1.222"</f>
        <v>1.222</v>
      </c>
    </row>
    <row r="255" spans="1:3" x14ac:dyDescent="0.25">
      <c r="A255" t="str">
        <f>"16/06/2010"</f>
        <v>16/06/2010</v>
      </c>
      <c r="B255" t="str">
        <f>"1.2312"</f>
        <v>1.2312</v>
      </c>
      <c r="C255" t="str">
        <f>"1.2315"</f>
        <v>1.2315</v>
      </c>
    </row>
    <row r="256" spans="1:3" x14ac:dyDescent="0.25">
      <c r="A256" t="str">
        <f>"17/06/2010"</f>
        <v>17/06/2010</v>
      </c>
      <c r="B256" t="str">
        <f>"1.2272"</f>
        <v>1.2272</v>
      </c>
      <c r="C256" t="str">
        <f>"1.2275"</f>
        <v>1.2275</v>
      </c>
    </row>
    <row r="257" spans="1:3" x14ac:dyDescent="0.25">
      <c r="A257" t="str">
        <f>"18/06/2010"</f>
        <v>18/06/2010</v>
      </c>
      <c r="B257" t="str">
        <f>"1.2403"</f>
        <v>1.2403</v>
      </c>
      <c r="C257" t="str">
        <f>"1.2406"</f>
        <v>1.2406</v>
      </c>
    </row>
    <row r="258" spans="1:3" x14ac:dyDescent="0.25">
      <c r="A258" t="str">
        <f>"21/06/2010"</f>
        <v>21/06/2010</v>
      </c>
      <c r="B258" t="str">
        <f>"1.2435"</f>
        <v>1.2435</v>
      </c>
      <c r="C258" t="str">
        <f>"1.2438"</f>
        <v>1.2438</v>
      </c>
    </row>
    <row r="259" spans="1:3" x14ac:dyDescent="0.25">
      <c r="A259" t="str">
        <f>"22/06/2010"</f>
        <v>22/06/2010</v>
      </c>
      <c r="B259" t="str">
        <f>"1.2305"</f>
        <v>1.2305</v>
      </c>
      <c r="C259" t="str">
        <f>"1.2307"</f>
        <v>1.2307</v>
      </c>
    </row>
    <row r="260" spans="1:3" x14ac:dyDescent="0.25">
      <c r="A260" t="str">
        <f>"23/06/2010"</f>
        <v>23/06/2010</v>
      </c>
      <c r="B260" t="str">
        <f>"1.2262"</f>
        <v>1.2262</v>
      </c>
      <c r="C260" t="str">
        <f>"1.2264"</f>
        <v>1.2264</v>
      </c>
    </row>
    <row r="261" spans="1:3" x14ac:dyDescent="0.25">
      <c r="A261" t="str">
        <f>"24/06/2010"</f>
        <v>24/06/2010</v>
      </c>
      <c r="B261" t="str">
        <f>"1.2338"</f>
        <v>1.2338</v>
      </c>
      <c r="C261" t="str">
        <f>"1.234"</f>
        <v>1.234</v>
      </c>
    </row>
    <row r="262" spans="1:3" x14ac:dyDescent="0.25">
      <c r="A262" t="str">
        <f>"25/06/2010"</f>
        <v>25/06/2010</v>
      </c>
      <c r="B262" t="str">
        <f>"1.2319"</f>
        <v>1.2319</v>
      </c>
      <c r="C262" t="str">
        <f>"1.2321"</f>
        <v>1.2321</v>
      </c>
    </row>
    <row r="263" spans="1:3" x14ac:dyDescent="0.25">
      <c r="A263" t="str">
        <f>"28/06/2010"</f>
        <v>28/06/2010</v>
      </c>
      <c r="B263" t="str">
        <f>"1.2374"</f>
        <v>1.2374</v>
      </c>
      <c r="C263" t="str">
        <f>"1.2376"</f>
        <v>1.2376</v>
      </c>
    </row>
    <row r="264" spans="1:3" x14ac:dyDescent="0.25">
      <c r="A264" t="str">
        <f>"29/06/2010"</f>
        <v>29/06/2010</v>
      </c>
      <c r="B264" t="str">
        <f>"1.2266"</f>
        <v>1.2266</v>
      </c>
      <c r="C264" t="str">
        <f>"1.2268"</f>
        <v>1.2268</v>
      </c>
    </row>
    <row r="265" spans="1:3" x14ac:dyDescent="0.25">
      <c r="A265" t="str">
        <f>"30/06/2010"</f>
        <v>30/06/2010</v>
      </c>
      <c r="B265" t="str">
        <f>"1.2217"</f>
        <v>1.2217</v>
      </c>
      <c r="C265" t="str">
        <f>"1.2219"</f>
        <v>1.2219</v>
      </c>
    </row>
    <row r="266" spans="1:3" x14ac:dyDescent="0.25">
      <c r="A266" t="str">
        <f>"01/07/2010"</f>
        <v>01/07/2010</v>
      </c>
      <c r="B266" t="str">
        <f>"1.2205"</f>
        <v>1.2205</v>
      </c>
      <c r="C266" t="str">
        <f>"1.2207"</f>
        <v>1.2207</v>
      </c>
    </row>
    <row r="267" spans="1:3" x14ac:dyDescent="0.25">
      <c r="A267" t="str">
        <f>"02/07/2010"</f>
        <v>02/07/2010</v>
      </c>
      <c r="B267" t="str">
        <f>"1.2512"</f>
        <v>1.2512</v>
      </c>
      <c r="C267" t="str">
        <f>"1.2513"</f>
        <v>1.2513</v>
      </c>
    </row>
    <row r="268" spans="1:3" x14ac:dyDescent="0.25">
      <c r="A268" t="str">
        <f>"05/07/2010"</f>
        <v>05/07/2010</v>
      </c>
      <c r="B268" t="str">
        <f>"1.2542"</f>
        <v>1.2542</v>
      </c>
      <c r="C268" t="str">
        <f>"1.2544"</f>
        <v>1.2544</v>
      </c>
    </row>
    <row r="269" spans="1:3" x14ac:dyDescent="0.25">
      <c r="A269" t="str">
        <f>"06/07/2010"</f>
        <v>06/07/2010</v>
      </c>
      <c r="B269" t="str">
        <f>"1.2531"</f>
        <v>1.2531</v>
      </c>
      <c r="C269" t="str">
        <f>"1.2532"</f>
        <v>1.2532</v>
      </c>
    </row>
    <row r="270" spans="1:3" x14ac:dyDescent="0.25">
      <c r="A270" t="str">
        <f>"07/07/2010"</f>
        <v>07/07/2010</v>
      </c>
      <c r="B270" t="str">
        <f>"1.2582"</f>
        <v>1.2582</v>
      </c>
      <c r="C270" t="str">
        <f>"1.2583"</f>
        <v>1.2583</v>
      </c>
    </row>
    <row r="271" spans="1:3" x14ac:dyDescent="0.25">
      <c r="A271" t="str">
        <f>"08/07/2010"</f>
        <v>08/07/2010</v>
      </c>
      <c r="B271" t="str">
        <f>"1.2653"</f>
        <v>1.2653</v>
      </c>
      <c r="C271" t="str">
        <f>"1.2653"</f>
        <v>1.2653</v>
      </c>
    </row>
    <row r="272" spans="1:3" x14ac:dyDescent="0.25">
      <c r="A272" t="str">
        <f>"09/07/2010"</f>
        <v>09/07/2010</v>
      </c>
      <c r="B272" t="str">
        <f>"1.2686"</f>
        <v>1.2686</v>
      </c>
      <c r="C272" t="str">
        <f>"1.2686"</f>
        <v>1.2686</v>
      </c>
    </row>
    <row r="273" spans="1:3" x14ac:dyDescent="0.25">
      <c r="A273" t="str">
        <f>"12/07/2010"</f>
        <v>12/07/2010</v>
      </c>
      <c r="B273" t="str">
        <f>"1.2599"</f>
        <v>1.2599</v>
      </c>
      <c r="C273" t="str">
        <f>"1.2599"</f>
        <v>1.2599</v>
      </c>
    </row>
    <row r="274" spans="1:3" x14ac:dyDescent="0.25">
      <c r="A274" t="str">
        <f>"13/07/2010"</f>
        <v>13/07/2010</v>
      </c>
      <c r="B274" t="str">
        <f>"1.2591"</f>
        <v>1.2591</v>
      </c>
      <c r="C274" t="str">
        <f>"1.2591"</f>
        <v>1.2591</v>
      </c>
    </row>
    <row r="275" spans="1:3" x14ac:dyDescent="0.25">
      <c r="A275" t="str">
        <f>"14/07/2010"</f>
        <v>14/07/2010</v>
      </c>
      <c r="B275" t="str">
        <f>"1.2719"</f>
        <v>1.2719</v>
      </c>
      <c r="C275" t="str">
        <f>"1.2719"</f>
        <v>1.2719</v>
      </c>
    </row>
    <row r="276" spans="1:3" x14ac:dyDescent="0.25">
      <c r="A276" t="str">
        <f>"15/07/2010"</f>
        <v>15/07/2010</v>
      </c>
      <c r="B276" t="str">
        <f>"1.2744"</f>
        <v>1.2744</v>
      </c>
      <c r="C276" t="str">
        <f>"1.2744"</f>
        <v>1.2744</v>
      </c>
    </row>
    <row r="277" spans="1:3" x14ac:dyDescent="0.25">
      <c r="A277" t="str">
        <f>"16/07/2010"</f>
        <v>16/07/2010</v>
      </c>
      <c r="B277" t="str">
        <f>"1.2928"</f>
        <v>1.2928</v>
      </c>
      <c r="C277" t="str">
        <f>"1.2927"</f>
        <v>1.2927</v>
      </c>
    </row>
    <row r="278" spans="1:3" x14ac:dyDescent="0.25">
      <c r="A278" t="str">
        <f>"19/07/2010"</f>
        <v>19/07/2010</v>
      </c>
      <c r="B278" t="str">
        <f>"1.2904"</f>
        <v>1.2904</v>
      </c>
      <c r="C278" t="str">
        <f>"1.2903"</f>
        <v>1.2903</v>
      </c>
    </row>
    <row r="279" spans="1:3" x14ac:dyDescent="0.25">
      <c r="A279" t="str">
        <f>"20/07/2010"</f>
        <v>20/07/2010</v>
      </c>
      <c r="B279" t="str">
        <f>"1.2968"</f>
        <v>1.2968</v>
      </c>
      <c r="C279" t="str">
        <f>"1.2967"</f>
        <v>1.2967</v>
      </c>
    </row>
    <row r="280" spans="1:3" x14ac:dyDescent="0.25">
      <c r="A280" t="str">
        <f>"21/07/2010"</f>
        <v>21/07/2010</v>
      </c>
      <c r="B280" t="str">
        <f>"1.2887"</f>
        <v>1.2887</v>
      </c>
      <c r="C280" t="str">
        <f>"1.2887"</f>
        <v>1.2887</v>
      </c>
    </row>
    <row r="281" spans="1:3" x14ac:dyDescent="0.25">
      <c r="A281" t="str">
        <f>"22/07/2010"</f>
        <v>22/07/2010</v>
      </c>
      <c r="B281" t="str">
        <f>"1.2775"</f>
        <v>1.2775</v>
      </c>
      <c r="C281" t="str">
        <f>"1.2774"</f>
        <v>1.2774</v>
      </c>
    </row>
    <row r="282" spans="1:3" x14ac:dyDescent="0.25">
      <c r="A282" t="str">
        <f>"23/07/2010"</f>
        <v>23/07/2010</v>
      </c>
      <c r="B282" t="str">
        <f>"1.2896"</f>
        <v>1.2896</v>
      </c>
      <c r="C282" t="str">
        <f>"1.2895"</f>
        <v>1.2895</v>
      </c>
    </row>
    <row r="283" spans="1:3" x14ac:dyDescent="0.25">
      <c r="A283" t="str">
        <f>"26/07/2010"</f>
        <v>26/07/2010</v>
      </c>
      <c r="B283" t="str">
        <f>"1.2934"</f>
        <v>1.2934</v>
      </c>
      <c r="C283" t="str">
        <f>"1.2933"</f>
        <v>1.2933</v>
      </c>
    </row>
    <row r="284" spans="1:3" x14ac:dyDescent="0.25">
      <c r="A284" t="str">
        <f>"27/07/2010"</f>
        <v>27/07/2010</v>
      </c>
      <c r="B284" t="str">
        <f>"1.3001"</f>
        <v>1.3001</v>
      </c>
      <c r="C284" t="str">
        <f>"1.30"</f>
        <v>1.30</v>
      </c>
    </row>
    <row r="285" spans="1:3" x14ac:dyDescent="0.25">
      <c r="A285" t="str">
        <f>"28/07/2010"</f>
        <v>28/07/2010</v>
      </c>
      <c r="B285" t="str">
        <f>"1.2996"</f>
        <v>1.2996</v>
      </c>
      <c r="C285" t="str">
        <f>"1.2995"</f>
        <v>1.2995</v>
      </c>
    </row>
    <row r="286" spans="1:3" x14ac:dyDescent="0.25">
      <c r="A286" t="str">
        <f>"29/07/2010"</f>
        <v>29/07/2010</v>
      </c>
      <c r="B286" t="str">
        <f>"1.3012"</f>
        <v>1.3012</v>
      </c>
      <c r="C286" t="str">
        <f>"1.3011"</f>
        <v>1.3011</v>
      </c>
    </row>
    <row r="287" spans="1:3" x14ac:dyDescent="0.25">
      <c r="A287" t="str">
        <f>"30/07/2010"</f>
        <v>30/07/2010</v>
      </c>
      <c r="B287" t="str">
        <f>"1.3059"</f>
        <v>1.3059</v>
      </c>
      <c r="C287" t="str">
        <f>"1.3058"</f>
        <v>1.3058</v>
      </c>
    </row>
    <row r="288" spans="1:3" x14ac:dyDescent="0.25">
      <c r="A288" t="str">
        <f>"02/08/2010"</f>
        <v>02/08/2010</v>
      </c>
      <c r="B288" t="str">
        <f>"1.3076"</f>
        <v>1.3076</v>
      </c>
      <c r="C288" t="str">
        <f>"1.3076"</f>
        <v>1.3076</v>
      </c>
    </row>
    <row r="289" spans="1:3" x14ac:dyDescent="0.25">
      <c r="A289" t="str">
        <f>"03/08/2010"</f>
        <v>03/08/2010</v>
      </c>
      <c r="B289" t="str">
        <f>"1.3169"</f>
        <v>1.3169</v>
      </c>
      <c r="C289" t="str">
        <f>"1.3168"</f>
        <v>1.3168</v>
      </c>
    </row>
    <row r="290" spans="1:3" x14ac:dyDescent="0.25">
      <c r="A290" t="str">
        <f>"04/08/2010"</f>
        <v>04/08/2010</v>
      </c>
      <c r="B290" t="str">
        <f>"1.3209"</f>
        <v>1.3209</v>
      </c>
      <c r="C290" t="str">
        <f>"1.3208"</f>
        <v>1.3208</v>
      </c>
    </row>
    <row r="291" spans="1:3" x14ac:dyDescent="0.25">
      <c r="A291" t="str">
        <f>"05/08/2010"</f>
        <v>05/08/2010</v>
      </c>
      <c r="B291" t="str">
        <f>"1.315"</f>
        <v>1.315</v>
      </c>
      <c r="C291" t="str">
        <f>"1.3149"</f>
        <v>1.3149</v>
      </c>
    </row>
    <row r="292" spans="1:3" x14ac:dyDescent="0.25">
      <c r="A292" t="str">
        <f>"06/08/2010"</f>
        <v>06/08/2010</v>
      </c>
      <c r="B292" t="str">
        <f>"1.319"</f>
        <v>1.319</v>
      </c>
      <c r="C292" t="str">
        <f>"1.3189"</f>
        <v>1.3189</v>
      </c>
    </row>
    <row r="293" spans="1:3" x14ac:dyDescent="0.25">
      <c r="A293" t="str">
        <f>"09/08/2010"</f>
        <v>09/08/2010</v>
      </c>
      <c r="B293" t="str">
        <f>"1.3277"</f>
        <v>1.3277</v>
      </c>
      <c r="C293" t="str">
        <f>"1.3276"</f>
        <v>1.3276</v>
      </c>
    </row>
    <row r="294" spans="1:3" x14ac:dyDescent="0.25">
      <c r="A294" t="str">
        <f>"10/08/2010"</f>
        <v>10/08/2010</v>
      </c>
      <c r="B294" t="str">
        <f>"1.3155"</f>
        <v>1.3155</v>
      </c>
      <c r="C294" t="str">
        <f>"1.3153"</f>
        <v>1.3153</v>
      </c>
    </row>
    <row r="295" spans="1:3" x14ac:dyDescent="0.25">
      <c r="A295" t="str">
        <f>"11/08/2010"</f>
        <v>11/08/2010</v>
      </c>
      <c r="B295" t="str">
        <f>"1.3118"</f>
        <v>1.3118</v>
      </c>
      <c r="C295" t="str">
        <f>"1.3117"</f>
        <v>1.3117</v>
      </c>
    </row>
    <row r="296" spans="1:3" x14ac:dyDescent="0.25">
      <c r="A296" t="str">
        <f>"12/08/2010"</f>
        <v>12/08/2010</v>
      </c>
      <c r="B296" t="str">
        <f>"1.2884"</f>
        <v>1.2884</v>
      </c>
      <c r="C296" t="str">
        <f>"1.2883"</f>
        <v>1.2883</v>
      </c>
    </row>
    <row r="297" spans="1:3" x14ac:dyDescent="0.25">
      <c r="A297" t="str">
        <f>"13/08/2010"</f>
        <v>13/08/2010</v>
      </c>
      <c r="B297" t="str">
        <f>"1.2861"</f>
        <v>1.2861</v>
      </c>
      <c r="C297" t="str">
        <f>"1.286"</f>
        <v>1.286</v>
      </c>
    </row>
    <row r="298" spans="1:3" x14ac:dyDescent="0.25">
      <c r="A298" t="str">
        <f>"16/08/2010"</f>
        <v>16/08/2010</v>
      </c>
      <c r="B298" t="str">
        <f>"1.2791"</f>
        <v>1.2791</v>
      </c>
      <c r="C298" t="str">
        <f>"1.279"</f>
        <v>1.279</v>
      </c>
    </row>
    <row r="299" spans="1:3" x14ac:dyDescent="0.25">
      <c r="A299" t="str">
        <f>"17/08/2010"</f>
        <v>17/08/2010</v>
      </c>
      <c r="B299" t="str">
        <f>"1.284"</f>
        <v>1.284</v>
      </c>
      <c r="C299" t="str">
        <f>"1.2839"</f>
        <v>1.2839</v>
      </c>
    </row>
    <row r="300" spans="1:3" x14ac:dyDescent="0.25">
      <c r="A300" t="str">
        <f>"18/08/2010"</f>
        <v>18/08/2010</v>
      </c>
      <c r="B300" t="str">
        <f>"1.2848"</f>
        <v>1.2848</v>
      </c>
      <c r="C300" t="str">
        <f>"1.2847"</f>
        <v>1.2847</v>
      </c>
    </row>
    <row r="301" spans="1:3" x14ac:dyDescent="0.25">
      <c r="A301" t="str">
        <f>"20/08/2010"</f>
        <v>20/08/2010</v>
      </c>
      <c r="B301" t="str">
        <f>"1.2801"</f>
        <v>1.2801</v>
      </c>
      <c r="C301" t="str">
        <f>"1.28"</f>
        <v>1.28</v>
      </c>
    </row>
    <row r="302" spans="1:3" x14ac:dyDescent="0.25">
      <c r="A302" t="str">
        <f>"23/08/2010"</f>
        <v>23/08/2010</v>
      </c>
      <c r="B302" t="str">
        <f>"1.271"</f>
        <v>1.271</v>
      </c>
      <c r="C302" t="str">
        <f>"1.271"</f>
        <v>1.271</v>
      </c>
    </row>
    <row r="303" spans="1:3" x14ac:dyDescent="0.25">
      <c r="A303" t="str">
        <f>"24/08/2010"</f>
        <v>24/08/2010</v>
      </c>
      <c r="B303" t="str">
        <f>"1.2639"</f>
        <v>1.2639</v>
      </c>
      <c r="C303" t="str">
        <f>"1.2639"</f>
        <v>1.2639</v>
      </c>
    </row>
    <row r="304" spans="1:3" x14ac:dyDescent="0.25">
      <c r="A304" t="str">
        <f>"25/08/2010"</f>
        <v>25/08/2010</v>
      </c>
      <c r="B304" t="str">
        <f>"1.2649"</f>
        <v>1.2649</v>
      </c>
      <c r="C304" t="str">
        <f>"1.2648"</f>
        <v>1.2648</v>
      </c>
    </row>
    <row r="305" spans="1:3" x14ac:dyDescent="0.25">
      <c r="A305" t="str">
        <f>"26/08/2010"</f>
        <v>26/08/2010</v>
      </c>
      <c r="B305" t="str">
        <f>"1.2707"</f>
        <v>1.2707</v>
      </c>
      <c r="C305" t="str">
        <f>"1.2706"</f>
        <v>1.2706</v>
      </c>
    </row>
    <row r="306" spans="1:3" x14ac:dyDescent="0.25">
      <c r="A306" t="str">
        <f>"27/08/2010"</f>
        <v>27/08/2010</v>
      </c>
      <c r="B306" t="str">
        <f>"1.2722"</f>
        <v>1.2722</v>
      </c>
      <c r="C306" t="str">
        <f>"1.2721"</f>
        <v>1.2721</v>
      </c>
    </row>
    <row r="307" spans="1:3" x14ac:dyDescent="0.25">
      <c r="A307" t="str">
        <f>"30/08/2010"</f>
        <v>30/08/2010</v>
      </c>
      <c r="B307" t="str">
        <f>"1.2739"</f>
        <v>1.2739</v>
      </c>
      <c r="C307" t="str">
        <f>"1.2739"</f>
        <v>1.2739</v>
      </c>
    </row>
    <row r="308" spans="1:3" x14ac:dyDescent="0.25">
      <c r="A308" t="str">
        <f>"31/08/2010"</f>
        <v>31/08/2010</v>
      </c>
      <c r="B308" t="str">
        <f>"1.265"</f>
        <v>1.265</v>
      </c>
      <c r="C308" t="str">
        <f>"1.2649"</f>
        <v>1.2649</v>
      </c>
    </row>
    <row r="309" spans="1:3" x14ac:dyDescent="0.25">
      <c r="A309" t="str">
        <f>"01/09/2010"</f>
        <v>01/09/2010</v>
      </c>
      <c r="B309" t="str">
        <f>"1.2705"</f>
        <v>1.2705</v>
      </c>
      <c r="C309" t="str">
        <f>"1.2705"</f>
        <v>1.2705</v>
      </c>
    </row>
    <row r="310" spans="1:3" x14ac:dyDescent="0.25">
      <c r="A310" t="str">
        <f>"02/09/2010"</f>
        <v>02/09/2010</v>
      </c>
      <c r="B310" t="str">
        <f>"1.2789"</f>
        <v>1.2789</v>
      </c>
      <c r="C310" t="str">
        <f>"1.2788"</f>
        <v>1.2788</v>
      </c>
    </row>
    <row r="311" spans="1:3" x14ac:dyDescent="0.25">
      <c r="A311" t="str">
        <f>"03/09/2010"</f>
        <v>03/09/2010</v>
      </c>
      <c r="B311" t="str">
        <f>"1.2825"</f>
        <v>1.2825</v>
      </c>
      <c r="C311" t="str">
        <f>"1.2824"</f>
        <v>1.2824</v>
      </c>
    </row>
    <row r="312" spans="1:3" x14ac:dyDescent="0.25">
      <c r="A312" t="str">
        <f>"06/09/2010"</f>
        <v>06/09/2010</v>
      </c>
      <c r="B312" t="str">
        <f>"1.2895"</f>
        <v>1.2895</v>
      </c>
      <c r="C312" t="str">
        <f>"1.2894"</f>
        <v>1.2894</v>
      </c>
    </row>
    <row r="313" spans="1:3" x14ac:dyDescent="0.25">
      <c r="A313" t="str">
        <f>"07/09/2010"</f>
        <v>07/09/2010</v>
      </c>
      <c r="B313" t="str">
        <f>"1.2813"</f>
        <v>1.2813</v>
      </c>
      <c r="C313" t="str">
        <f>"1.2812"</f>
        <v>1.2812</v>
      </c>
    </row>
    <row r="314" spans="1:3" x14ac:dyDescent="0.25">
      <c r="A314" t="str">
        <f>"08/09/2010"</f>
        <v>08/09/2010</v>
      </c>
      <c r="B314" t="str">
        <f>"1.2701"</f>
        <v>1.2701</v>
      </c>
      <c r="C314" t="str">
        <f>"1.27"</f>
        <v>1.27</v>
      </c>
    </row>
    <row r="315" spans="1:3" x14ac:dyDescent="0.25">
      <c r="A315" t="str">
        <f>"09/09/2010"</f>
        <v>09/09/2010</v>
      </c>
      <c r="B315" t="str">
        <f>"1.2714"</f>
        <v>1.2714</v>
      </c>
      <c r="C315" t="str">
        <f>"1.2713"</f>
        <v>1.2713</v>
      </c>
    </row>
    <row r="316" spans="1:3" x14ac:dyDescent="0.25">
      <c r="A316" t="str">
        <f>"13/09/2010"</f>
        <v>13/09/2010</v>
      </c>
      <c r="B316" t="str">
        <f>"1.2803"</f>
        <v>1.2803</v>
      </c>
      <c r="C316" t="str">
        <f>"1.2802"</f>
        <v>1.2802</v>
      </c>
    </row>
    <row r="317" spans="1:3" x14ac:dyDescent="0.25">
      <c r="A317" t="str">
        <f>"14/09/2010"</f>
        <v>14/09/2010</v>
      </c>
      <c r="B317" t="str">
        <f>"1.2877"</f>
        <v>1.2877</v>
      </c>
      <c r="C317" t="str">
        <f>"1.2875"</f>
        <v>1.2875</v>
      </c>
    </row>
    <row r="318" spans="1:3" x14ac:dyDescent="0.25">
      <c r="A318" t="str">
        <f>"15/09/2010"</f>
        <v>15/09/2010</v>
      </c>
      <c r="B318" t="str">
        <f>"1.2967"</f>
        <v>1.2967</v>
      </c>
      <c r="C318" t="str">
        <f>"1.2966"</f>
        <v>1.2966</v>
      </c>
    </row>
    <row r="319" spans="1:3" x14ac:dyDescent="0.25">
      <c r="A319" t="str">
        <f>"16/09/2010"</f>
        <v>16/09/2010</v>
      </c>
      <c r="B319" t="str">
        <f>"1.2994"</f>
        <v>1.2994</v>
      </c>
      <c r="C319" t="str">
        <f>"1.2993"</f>
        <v>1.2993</v>
      </c>
    </row>
    <row r="320" spans="1:3" x14ac:dyDescent="0.25">
      <c r="A320" t="str">
        <f>"17/09/2010"</f>
        <v>17/09/2010</v>
      </c>
      <c r="B320" t="str">
        <f>"1.3121"</f>
        <v>1.3121</v>
      </c>
      <c r="C320" t="str">
        <f>"1.312"</f>
        <v>1.312</v>
      </c>
    </row>
    <row r="321" spans="1:3" x14ac:dyDescent="0.25">
      <c r="A321" t="str">
        <f>"20/09/2010"</f>
        <v>20/09/2010</v>
      </c>
      <c r="B321" t="str">
        <f>"1.3072"</f>
        <v>1.3072</v>
      </c>
      <c r="C321" t="str">
        <f>"1.3071"</f>
        <v>1.3071</v>
      </c>
    </row>
    <row r="322" spans="1:3" x14ac:dyDescent="0.25">
      <c r="A322" t="str">
        <f>"21/09/2010"</f>
        <v>21/09/2010</v>
      </c>
      <c r="B322" t="str">
        <f>"1.3092"</f>
        <v>1.3092</v>
      </c>
      <c r="C322" t="str">
        <f>"1.3091"</f>
        <v>1.3091</v>
      </c>
    </row>
    <row r="323" spans="1:3" x14ac:dyDescent="0.25">
      <c r="A323" t="str">
        <f>"22/09/2010"</f>
        <v>22/09/2010</v>
      </c>
      <c r="B323" t="str">
        <f>"1.3294"</f>
        <v>1.3294</v>
      </c>
      <c r="C323" t="str">
        <f>"1.3292"</f>
        <v>1.3292</v>
      </c>
    </row>
    <row r="324" spans="1:3" x14ac:dyDescent="0.25">
      <c r="A324" t="str">
        <f>"23/09/2010"</f>
        <v>23/09/2010</v>
      </c>
      <c r="B324" t="str">
        <f>"1.339"</f>
        <v>1.339</v>
      </c>
      <c r="C324" t="str">
        <f>"1.3389"</f>
        <v>1.3389</v>
      </c>
    </row>
    <row r="325" spans="1:3" x14ac:dyDescent="0.25">
      <c r="A325" t="str">
        <f>"24/09/2010"</f>
        <v>24/09/2010</v>
      </c>
      <c r="B325" t="str">
        <f>"1.3321"</f>
        <v>1.3321</v>
      </c>
      <c r="C325" t="str">
        <f>"1.332"</f>
        <v>1.332</v>
      </c>
    </row>
    <row r="326" spans="1:3" x14ac:dyDescent="0.25">
      <c r="A326" t="str">
        <f>"27/09/2010"</f>
        <v>27/09/2010</v>
      </c>
      <c r="B326" t="str">
        <f>"1.3468"</f>
        <v>1.3468</v>
      </c>
      <c r="C326" t="str">
        <f>"1.3467"</f>
        <v>1.3467</v>
      </c>
    </row>
    <row r="327" spans="1:3" x14ac:dyDescent="0.25">
      <c r="A327" t="str">
        <f>"28/09/2010"</f>
        <v>28/09/2010</v>
      </c>
      <c r="B327" t="str">
        <f>"1.3463"</f>
        <v>1.3463</v>
      </c>
      <c r="C327" t="str">
        <f>"1.3462"</f>
        <v>1.3462</v>
      </c>
    </row>
    <row r="328" spans="1:3" x14ac:dyDescent="0.25">
      <c r="A328" t="str">
        <f>"29/09/2010"</f>
        <v>29/09/2010</v>
      </c>
      <c r="B328" t="str">
        <f>"1.3591"</f>
        <v>1.3591</v>
      </c>
      <c r="C328" t="str">
        <f>"1.359"</f>
        <v>1.359</v>
      </c>
    </row>
    <row r="329" spans="1:3" x14ac:dyDescent="0.25">
      <c r="A329" t="str">
        <f>"01/10/2010"</f>
        <v>01/10/2010</v>
      </c>
      <c r="B329" t="str">
        <f>"1.3665"</f>
        <v>1.3665</v>
      </c>
      <c r="C329" t="str">
        <f>"1.3662"</f>
        <v>1.3662</v>
      </c>
    </row>
    <row r="330" spans="1:3" x14ac:dyDescent="0.25">
      <c r="A330" t="str">
        <f>"04/10/2010"</f>
        <v>04/10/2010</v>
      </c>
      <c r="B330" t="str">
        <f>"1.376"</f>
        <v>1.376</v>
      </c>
      <c r="C330" t="str">
        <f>"1.3757"</f>
        <v>1.3757</v>
      </c>
    </row>
    <row r="331" spans="1:3" x14ac:dyDescent="0.25">
      <c r="A331" t="str">
        <f>"05/10/2010"</f>
        <v>05/10/2010</v>
      </c>
      <c r="B331" t="str">
        <f>"1.3644"</f>
        <v>1.3644</v>
      </c>
      <c r="C331" t="str">
        <f>"1.3641"</f>
        <v>1.3641</v>
      </c>
    </row>
    <row r="332" spans="1:3" x14ac:dyDescent="0.25">
      <c r="A332" t="str">
        <f>"06/10/2010"</f>
        <v>06/10/2010</v>
      </c>
      <c r="B332" t="str">
        <f>"1.384"</f>
        <v>1.384</v>
      </c>
      <c r="C332" t="str">
        <f>"1.3837"</f>
        <v>1.3837</v>
      </c>
    </row>
    <row r="333" spans="1:3" x14ac:dyDescent="0.25">
      <c r="A333" t="str">
        <f>"07/10/2010"</f>
        <v>07/10/2010</v>
      </c>
      <c r="B333" t="str">
        <f>"1.3917"</f>
        <v>1.3917</v>
      </c>
      <c r="C333" t="str">
        <f>"1.3913"</f>
        <v>1.3913</v>
      </c>
    </row>
    <row r="334" spans="1:3" x14ac:dyDescent="0.25">
      <c r="A334" t="str">
        <f>"08/10/2010"</f>
        <v>08/10/2010</v>
      </c>
      <c r="B334" t="str">
        <f>"1.395"</f>
        <v>1.395</v>
      </c>
      <c r="C334" t="str">
        <f>"1.3946"</f>
        <v>1.3946</v>
      </c>
    </row>
    <row r="335" spans="1:3" x14ac:dyDescent="0.25">
      <c r="A335" t="str">
        <f>"11/10/2010"</f>
        <v>11/10/2010</v>
      </c>
      <c r="B335" t="str">
        <f>"1.397"</f>
        <v>1.397</v>
      </c>
      <c r="C335" t="str">
        <f>"1.3966"</f>
        <v>1.3966</v>
      </c>
    </row>
    <row r="336" spans="1:3" x14ac:dyDescent="0.25">
      <c r="A336" t="str">
        <f>"12/10/2010"</f>
        <v>12/10/2010</v>
      </c>
      <c r="B336" t="str">
        <f>"1.387"</f>
        <v>1.387</v>
      </c>
      <c r="C336" t="str">
        <f>"1.3866"</f>
        <v>1.3866</v>
      </c>
    </row>
    <row r="337" spans="1:3" x14ac:dyDescent="0.25">
      <c r="A337" t="str">
        <f>"13/10/2010"</f>
        <v>13/10/2010</v>
      </c>
      <c r="B337" t="str">
        <f>"1.3966"</f>
        <v>1.3966</v>
      </c>
      <c r="C337" t="str">
        <f>"1.3962"</f>
        <v>1.3962</v>
      </c>
    </row>
    <row r="338" spans="1:3" x14ac:dyDescent="0.25">
      <c r="A338" t="str">
        <f>"14/10/2010"</f>
        <v>14/10/2010</v>
      </c>
      <c r="B338" t="str">
        <f>"1.4068"</f>
        <v>1.4068</v>
      </c>
      <c r="C338" t="str">
        <f>"1.4064"</f>
        <v>1.4064</v>
      </c>
    </row>
    <row r="339" spans="1:3" x14ac:dyDescent="0.25">
      <c r="A339" t="str">
        <f>"15/10/2010"</f>
        <v>15/10/2010</v>
      </c>
      <c r="B339" t="str">
        <f>"1.4044"</f>
        <v>1.4044</v>
      </c>
      <c r="C339" t="str">
        <f>"1.404"</f>
        <v>1.404</v>
      </c>
    </row>
    <row r="340" spans="1:3" x14ac:dyDescent="0.25">
      <c r="A340" t="str">
        <f>"18/10/2010"</f>
        <v>18/10/2010</v>
      </c>
      <c r="B340" t="str">
        <f>"1.3888"</f>
        <v>1.3888</v>
      </c>
      <c r="C340" t="str">
        <f>"1.3883"</f>
        <v>1.3883</v>
      </c>
    </row>
    <row r="341" spans="1:3" x14ac:dyDescent="0.25">
      <c r="A341" t="str">
        <f>"19/10/2010"</f>
        <v>19/10/2010</v>
      </c>
      <c r="B341" t="str">
        <f>"1.3924"</f>
        <v>1.3924</v>
      </c>
      <c r="C341" t="str">
        <f>"1.3918"</f>
        <v>1.3918</v>
      </c>
    </row>
    <row r="342" spans="1:3" x14ac:dyDescent="0.25">
      <c r="A342" t="str">
        <f>"20/10/2010"</f>
        <v>20/10/2010</v>
      </c>
      <c r="B342" t="str">
        <f>"1.3781"</f>
        <v>1.3781</v>
      </c>
      <c r="C342" t="str">
        <f>"1.3775"</f>
        <v>1.3775</v>
      </c>
    </row>
    <row r="343" spans="1:3" x14ac:dyDescent="0.25">
      <c r="A343" t="str">
        <f>"21/10/2010"</f>
        <v>21/10/2010</v>
      </c>
      <c r="B343" t="str">
        <f>"1.3912"</f>
        <v>1.3912</v>
      </c>
      <c r="C343" t="str">
        <f>"1.3906"</f>
        <v>1.3906</v>
      </c>
    </row>
    <row r="344" spans="1:3" x14ac:dyDescent="0.25">
      <c r="A344" t="str">
        <f>"22/10/2010"</f>
        <v>22/10/2010</v>
      </c>
      <c r="B344" t="str">
        <f>"1.3928"</f>
        <v>1.3928</v>
      </c>
      <c r="C344" t="str">
        <f>"1.3923"</f>
        <v>1.3923</v>
      </c>
    </row>
    <row r="345" spans="1:3" x14ac:dyDescent="0.25">
      <c r="A345" t="str">
        <f>"25/10/2010"</f>
        <v>25/10/2010</v>
      </c>
      <c r="B345" t="str">
        <f>"1.4037"</f>
        <v>1.4037</v>
      </c>
      <c r="C345" t="str">
        <f>"1.4031"</f>
        <v>1.4031</v>
      </c>
    </row>
    <row r="346" spans="1:3" x14ac:dyDescent="0.25">
      <c r="A346" t="str">
        <f>"26/10/2010"</f>
        <v>26/10/2010</v>
      </c>
      <c r="B346" t="str">
        <f>"1.3959"</f>
        <v>1.3959</v>
      </c>
      <c r="C346" t="str">
        <f>"1.3953"</f>
        <v>1.3953</v>
      </c>
    </row>
    <row r="347" spans="1:3" x14ac:dyDescent="0.25">
      <c r="A347" t="str">
        <f>"27/10/2010"</f>
        <v>27/10/2010</v>
      </c>
      <c r="B347" t="str">
        <f>"1.3816"</f>
        <v>1.3816</v>
      </c>
      <c r="C347" t="str">
        <f>"1.381"</f>
        <v>1.381</v>
      </c>
    </row>
    <row r="348" spans="1:3" x14ac:dyDescent="0.25">
      <c r="A348" t="str">
        <f>"28/10/2010"</f>
        <v>28/10/2010</v>
      </c>
      <c r="B348" t="str">
        <f>"1.3821"</f>
        <v>1.3821</v>
      </c>
      <c r="C348" t="str">
        <f>"1.3816"</f>
        <v>1.3816</v>
      </c>
    </row>
    <row r="349" spans="1:3" x14ac:dyDescent="0.25">
      <c r="A349" t="str">
        <f>"29/10/2010"</f>
        <v>29/10/2010</v>
      </c>
      <c r="B349" t="str">
        <f>"1.39"</f>
        <v>1.39</v>
      </c>
      <c r="C349" t="str">
        <f>"1.3895"</f>
        <v>1.3895</v>
      </c>
    </row>
    <row r="350" spans="1:3" x14ac:dyDescent="0.25">
      <c r="A350" t="str">
        <f>"01/11/2010"</f>
        <v>01/11/2010</v>
      </c>
      <c r="B350" t="str">
        <f>"1.3973"</f>
        <v>1.3973</v>
      </c>
      <c r="C350" t="str">
        <f>"1.3968"</f>
        <v>1.3968</v>
      </c>
    </row>
    <row r="351" spans="1:3" x14ac:dyDescent="0.25">
      <c r="A351" t="str">
        <f>"02/11/2010"</f>
        <v>02/11/2010</v>
      </c>
      <c r="B351" t="str">
        <f>"1.3914"</f>
        <v>1.3914</v>
      </c>
      <c r="C351" t="str">
        <f>"1.3909"</f>
        <v>1.3909</v>
      </c>
    </row>
    <row r="352" spans="1:3" x14ac:dyDescent="0.25">
      <c r="A352" t="str">
        <f>"03/11/2010"</f>
        <v>03/11/2010</v>
      </c>
      <c r="B352" t="str">
        <f>"1.4018"</f>
        <v>1.4018</v>
      </c>
      <c r="C352" t="str">
        <f>"1.4013"</f>
        <v>1.4013</v>
      </c>
    </row>
    <row r="353" spans="1:3" x14ac:dyDescent="0.25">
      <c r="A353" t="str">
        <f>"04/11/2010"</f>
        <v>04/11/2010</v>
      </c>
      <c r="B353" t="str">
        <f>"1.4136"</f>
        <v>1.4136</v>
      </c>
      <c r="C353" t="str">
        <f>"1.413"</f>
        <v>1.413</v>
      </c>
    </row>
    <row r="354" spans="1:3" x14ac:dyDescent="0.25">
      <c r="A354" t="str">
        <f>"08/11/2010"</f>
        <v>08/11/2010</v>
      </c>
      <c r="B354" t="str">
        <f>"1.395"</f>
        <v>1.395</v>
      </c>
      <c r="C354" t="str">
        <f>"1.3945"</f>
        <v>1.3945</v>
      </c>
    </row>
    <row r="355" spans="1:3" x14ac:dyDescent="0.25">
      <c r="A355" t="str">
        <f>"09/11/2010"</f>
        <v>09/11/2010</v>
      </c>
      <c r="B355" t="str">
        <f>"1.3867"</f>
        <v>1.3867</v>
      </c>
      <c r="C355" t="str">
        <f>"1.3862"</f>
        <v>1.3862</v>
      </c>
    </row>
    <row r="356" spans="1:3" x14ac:dyDescent="0.25">
      <c r="A356" t="str">
        <f>"10/11/2010"</f>
        <v>10/11/2010</v>
      </c>
      <c r="B356" t="str">
        <f>"1.3757"</f>
        <v>1.3757</v>
      </c>
      <c r="C356" t="str">
        <f>"1.3753"</f>
        <v>1.3753</v>
      </c>
    </row>
    <row r="357" spans="1:3" x14ac:dyDescent="0.25">
      <c r="A357" t="str">
        <f>"11/11/2010"</f>
        <v>11/11/2010</v>
      </c>
      <c r="B357" t="str">
        <f>"1.3798"</f>
        <v>1.3798</v>
      </c>
      <c r="C357" t="str">
        <f>"1.3793"</f>
        <v>1.3793</v>
      </c>
    </row>
    <row r="358" spans="1:3" x14ac:dyDescent="0.25">
      <c r="A358" t="str">
        <f>"12/11/2010"</f>
        <v>12/11/2010</v>
      </c>
      <c r="B358" t="str">
        <f>"1.3619"</f>
        <v>1.3619</v>
      </c>
      <c r="C358" t="str">
        <f>"1.3615"</f>
        <v>1.3615</v>
      </c>
    </row>
    <row r="359" spans="1:3" x14ac:dyDescent="0.25">
      <c r="A359" t="str">
        <f>"15/11/2010"</f>
        <v>15/11/2010</v>
      </c>
      <c r="B359" t="str">
        <f>"1.3675"</f>
        <v>1.3675</v>
      </c>
      <c r="C359" t="str">
        <f>"1.3671"</f>
        <v>1.3671</v>
      </c>
    </row>
    <row r="360" spans="1:3" x14ac:dyDescent="0.25">
      <c r="A360" t="str">
        <f>"16/11/2010"</f>
        <v>16/11/2010</v>
      </c>
      <c r="B360" t="str">
        <f>"1.3617"</f>
        <v>1.3617</v>
      </c>
      <c r="C360" t="str">
        <f>"1.3613"</f>
        <v>1.3613</v>
      </c>
    </row>
    <row r="361" spans="1:3" x14ac:dyDescent="0.25">
      <c r="A361" t="str">
        <f>"18/11/2010"</f>
        <v>18/11/2010</v>
      </c>
      <c r="B361" t="str">
        <f>"1.3587"</f>
        <v>1.3587</v>
      </c>
      <c r="C361" t="str">
        <f>"1.3584"</f>
        <v>1.3584</v>
      </c>
    </row>
    <row r="362" spans="1:3" x14ac:dyDescent="0.25">
      <c r="A362" t="str">
        <f>"22/11/2010"</f>
        <v>22/11/2010</v>
      </c>
      <c r="B362" t="str">
        <f>"1.3764"</f>
        <v>1.3764</v>
      </c>
      <c r="C362" t="str">
        <f>"1.376"</f>
        <v>1.376</v>
      </c>
    </row>
    <row r="363" spans="1:3" x14ac:dyDescent="0.25">
      <c r="A363" t="str">
        <f>"23/11/2010"</f>
        <v>23/11/2010</v>
      </c>
      <c r="B363" t="str">
        <f>"1.3582"</f>
        <v>1.3582</v>
      </c>
      <c r="C363" t="str">
        <f>"1.3579"</f>
        <v>1.3579</v>
      </c>
    </row>
    <row r="364" spans="1:3" x14ac:dyDescent="0.25">
      <c r="A364" t="str">
        <f>"24/11/2010"</f>
        <v>24/11/2010</v>
      </c>
      <c r="B364" t="str">
        <f>"1.3392"</f>
        <v>1.3392</v>
      </c>
      <c r="C364" t="str">
        <f>"1.3389"</f>
        <v>1.3389</v>
      </c>
    </row>
    <row r="365" spans="1:3" x14ac:dyDescent="0.25">
      <c r="A365" t="str">
        <f>"25/11/2010"</f>
        <v>25/11/2010</v>
      </c>
      <c r="B365" t="str">
        <f>"1.3329"</f>
        <v>1.3329</v>
      </c>
      <c r="C365" t="str">
        <f>"1.3327"</f>
        <v>1.3327</v>
      </c>
    </row>
    <row r="366" spans="1:3" x14ac:dyDescent="0.25">
      <c r="A366" t="str">
        <f>"26/11/2010"</f>
        <v>26/11/2010</v>
      </c>
      <c r="B366" t="str">
        <f>"1.3331"</f>
        <v>1.3331</v>
      </c>
      <c r="C366" t="str">
        <f>"1.3328"</f>
        <v>1.3328</v>
      </c>
    </row>
    <row r="367" spans="1:3" x14ac:dyDescent="0.25">
      <c r="A367" t="str">
        <f>"29/11/2010"</f>
        <v>29/11/2010</v>
      </c>
      <c r="B367" t="str">
        <f>"1.324"</f>
        <v>1.324</v>
      </c>
      <c r="C367" t="str">
        <f>"1.3238"</f>
        <v>1.3238</v>
      </c>
    </row>
    <row r="368" spans="1:3" x14ac:dyDescent="0.25">
      <c r="A368" t="str">
        <f>"30/11/2010"</f>
        <v>30/11/2010</v>
      </c>
      <c r="B368" t="str">
        <f>"1.3098"</f>
        <v>1.3098</v>
      </c>
      <c r="C368" t="str">
        <f>"1.3096"</f>
        <v>1.3096</v>
      </c>
    </row>
    <row r="369" spans="1:3" x14ac:dyDescent="0.25">
      <c r="A369" t="str">
        <f>"01/12/2010"</f>
        <v>01/12/2010</v>
      </c>
      <c r="B369" t="str">
        <f>"1.3009"</f>
        <v>1.3009</v>
      </c>
      <c r="C369" t="str">
        <f>"1.3008"</f>
        <v>1.3008</v>
      </c>
    </row>
    <row r="370" spans="1:3" x14ac:dyDescent="0.25">
      <c r="A370" t="str">
        <f>"02/12/2010"</f>
        <v>02/12/2010</v>
      </c>
      <c r="B370" t="str">
        <f>"1.3095"</f>
        <v>1.3095</v>
      </c>
      <c r="C370" t="str">
        <f>"1.3093"</f>
        <v>1.3093</v>
      </c>
    </row>
    <row r="371" spans="1:3" x14ac:dyDescent="0.25">
      <c r="A371" t="str">
        <f>"03/12/2010"</f>
        <v>03/12/2010</v>
      </c>
      <c r="B371" t="str">
        <f>"1.3202"</f>
        <v>1.3202</v>
      </c>
      <c r="C371" t="str">
        <f>"1.32"</f>
        <v>1.32</v>
      </c>
    </row>
    <row r="372" spans="1:3" x14ac:dyDescent="0.25">
      <c r="A372" t="str">
        <f>"06/12/2010"</f>
        <v>06/12/2010</v>
      </c>
      <c r="B372" t="str">
        <f>"1.335"</f>
        <v>1.335</v>
      </c>
      <c r="C372" t="str">
        <f>"1.3347"</f>
        <v>1.3347</v>
      </c>
    </row>
    <row r="373" spans="1:3" x14ac:dyDescent="0.25">
      <c r="A373" t="str">
        <f>"07/12/2010"</f>
        <v>07/12/2010</v>
      </c>
      <c r="B373" t="str">
        <f>"1.3342"</f>
        <v>1.3342</v>
      </c>
      <c r="C373" t="str">
        <f>"1.3339"</f>
        <v>1.3339</v>
      </c>
    </row>
    <row r="374" spans="1:3" x14ac:dyDescent="0.25">
      <c r="A374" t="str">
        <f>"08/12/2010"</f>
        <v>08/12/2010</v>
      </c>
      <c r="B374" t="str">
        <f>"1.3221"</f>
        <v>1.3221</v>
      </c>
      <c r="C374" t="str">
        <f>"1.3218"</f>
        <v>1.3218</v>
      </c>
    </row>
    <row r="375" spans="1:3" x14ac:dyDescent="0.25">
      <c r="A375" t="str">
        <f>"09/12/2010"</f>
        <v>09/12/2010</v>
      </c>
      <c r="B375" t="str">
        <f>"1.3309"</f>
        <v>1.3309</v>
      </c>
      <c r="C375" t="str">
        <f>"1.3307"</f>
        <v>1.3307</v>
      </c>
    </row>
    <row r="376" spans="1:3" x14ac:dyDescent="0.25">
      <c r="A376" t="str">
        <f>"10/12/2010"</f>
        <v>10/12/2010</v>
      </c>
      <c r="B376" t="str">
        <f>"1.3248"</f>
        <v>1.3248</v>
      </c>
      <c r="C376" t="str">
        <f>"1.3247"</f>
        <v>1.3247</v>
      </c>
    </row>
    <row r="377" spans="1:3" x14ac:dyDescent="0.25">
      <c r="A377" t="str">
        <f>"13/12/2010"</f>
        <v>13/12/2010</v>
      </c>
      <c r="B377" t="str">
        <f>"1.3197"</f>
        <v>1.3197</v>
      </c>
      <c r="C377" t="str">
        <f>"1.3196"</f>
        <v>1.3196</v>
      </c>
    </row>
    <row r="378" spans="1:3" x14ac:dyDescent="0.25">
      <c r="A378" t="str">
        <f>"14/12/2010"</f>
        <v>14/12/2010</v>
      </c>
      <c r="B378" t="str">
        <f>"1.3385"</f>
        <v>1.3385</v>
      </c>
      <c r="C378" t="str">
        <f>"1.3384"</f>
        <v>1.3384</v>
      </c>
    </row>
    <row r="379" spans="1:3" x14ac:dyDescent="0.25">
      <c r="A379" t="str">
        <f>"15/12/2010"</f>
        <v>15/12/2010</v>
      </c>
      <c r="B379" t="str">
        <f>"1.3354"</f>
        <v>1.3354</v>
      </c>
      <c r="C379" t="str">
        <f>"1.3353"</f>
        <v>1.3353</v>
      </c>
    </row>
    <row r="380" spans="1:3" x14ac:dyDescent="0.25">
      <c r="A380" t="str">
        <f>"16/12/2010"</f>
        <v>16/12/2010</v>
      </c>
      <c r="B380" t="str">
        <f>"1.3211"</f>
        <v>1.3211</v>
      </c>
      <c r="C380" t="str">
        <f>"1.3211"</f>
        <v>1.3211</v>
      </c>
    </row>
    <row r="381" spans="1:3" x14ac:dyDescent="0.25">
      <c r="A381" t="str">
        <f>"20/12/2010"</f>
        <v>20/12/2010</v>
      </c>
      <c r="B381" t="str">
        <f>"1.3145"</f>
        <v>1.3145</v>
      </c>
      <c r="C381" t="str">
        <f>"1.3145"</f>
        <v>1.3145</v>
      </c>
    </row>
    <row r="382" spans="1:3" x14ac:dyDescent="0.25">
      <c r="A382" t="str">
        <f>"21/12/2010"</f>
        <v>21/12/2010</v>
      </c>
      <c r="B382" t="str">
        <f>"1.3169"</f>
        <v>1.3169</v>
      </c>
      <c r="C382" t="str">
        <f>"1.317"</f>
        <v>1.317</v>
      </c>
    </row>
    <row r="383" spans="1:3" x14ac:dyDescent="0.25">
      <c r="A383" t="str">
        <f>"22/12/2010"</f>
        <v>22/12/2010</v>
      </c>
      <c r="B383" t="str">
        <f>"1.3133"</f>
        <v>1.3133</v>
      </c>
      <c r="C383" t="str">
        <f>"1.3133"</f>
        <v>1.3133</v>
      </c>
    </row>
    <row r="384" spans="1:3" x14ac:dyDescent="0.25">
      <c r="A384" t="str">
        <f>"23/12/2010"</f>
        <v>23/12/2010</v>
      </c>
      <c r="B384" t="str">
        <f>"1.3113"</f>
        <v>1.3113</v>
      </c>
      <c r="C384" t="str">
        <f>"1.3113"</f>
        <v>1.3113</v>
      </c>
    </row>
    <row r="385" spans="1:3" x14ac:dyDescent="0.25">
      <c r="A385" t="str">
        <f>"24/12/2010"</f>
        <v>24/12/2010</v>
      </c>
      <c r="B385" t="str">
        <f>"1.3129"</f>
        <v>1.3129</v>
      </c>
      <c r="C385" t="str">
        <f>"1.3129"</f>
        <v>1.3129</v>
      </c>
    </row>
    <row r="386" spans="1:3" x14ac:dyDescent="0.25">
      <c r="A386" t="str">
        <f>"27/12/2010"</f>
        <v>27/12/2010</v>
      </c>
      <c r="B386" t="str">
        <f>"1.3127"</f>
        <v>1.3127</v>
      </c>
      <c r="C386" t="str">
        <f>"1.3127"</f>
        <v>1.3127</v>
      </c>
    </row>
    <row r="387" spans="1:3" x14ac:dyDescent="0.25">
      <c r="A387" t="str">
        <f>"28/12/2010"</f>
        <v>28/12/2010</v>
      </c>
      <c r="B387" t="str">
        <f>"1.3244"</f>
        <v>1.3244</v>
      </c>
      <c r="C387" t="str">
        <f>"1.3244"</f>
        <v>1.3244</v>
      </c>
    </row>
    <row r="388" spans="1:3" x14ac:dyDescent="0.25">
      <c r="A388" t="str">
        <f>"29/12/2010"</f>
        <v>29/12/2010</v>
      </c>
      <c r="B388" t="str">
        <f>"1.3127"</f>
        <v>1.3127</v>
      </c>
      <c r="C388" t="str">
        <f>"1.3127"</f>
        <v>1.3127</v>
      </c>
    </row>
    <row r="389" spans="1:3" x14ac:dyDescent="0.25">
      <c r="A389" t="str">
        <f>"30/12/2010"</f>
        <v>30/12/2010</v>
      </c>
      <c r="B389" t="str">
        <f>"1.3229"</f>
        <v>1.3229</v>
      </c>
      <c r="C389" t="str">
        <f>"1.3228"</f>
        <v>1.3228</v>
      </c>
    </row>
    <row r="390" spans="1:3" x14ac:dyDescent="0.25">
      <c r="A390" t="str">
        <f>"31/12/2010"</f>
        <v>31/12/2010</v>
      </c>
      <c r="B390" t="str">
        <f>"1.3296"</f>
        <v>1.3296</v>
      </c>
      <c r="C390" t="str">
        <f>"1.3295"</f>
        <v>1.3295</v>
      </c>
    </row>
    <row r="391" spans="1:3" x14ac:dyDescent="0.25">
      <c r="A391" t="str">
        <f>"03/01/2011"</f>
        <v>03/01/2011</v>
      </c>
      <c r="B391" t="str">
        <f>"1.3289"</f>
        <v>1.3289</v>
      </c>
      <c r="C391" t="str">
        <f>"1.3288"</f>
        <v>1.3288</v>
      </c>
    </row>
    <row r="392" spans="1:3" x14ac:dyDescent="0.25">
      <c r="A392" t="str">
        <f>"04/01/2011"</f>
        <v>04/01/2011</v>
      </c>
      <c r="B392" t="str">
        <f>"1.3353"</f>
        <v>1.3353</v>
      </c>
      <c r="C392" t="str">
        <f>"1.3352"</f>
        <v>1.3352</v>
      </c>
    </row>
    <row r="393" spans="1:3" x14ac:dyDescent="0.25">
      <c r="A393" t="str">
        <f>"05/01/2011"</f>
        <v>05/01/2011</v>
      </c>
      <c r="B393" t="str">
        <f>"1.3281"</f>
        <v>1.3281</v>
      </c>
      <c r="C393" t="str">
        <f>"1.328"</f>
        <v>1.328</v>
      </c>
    </row>
    <row r="394" spans="1:3" x14ac:dyDescent="0.25">
      <c r="A394" t="str">
        <f>"06/01/2011"</f>
        <v>06/01/2011</v>
      </c>
      <c r="B394" t="str">
        <f>"1.314"</f>
        <v>1.314</v>
      </c>
      <c r="C394" t="str">
        <f>"1.3138"</f>
        <v>1.3138</v>
      </c>
    </row>
    <row r="395" spans="1:3" x14ac:dyDescent="0.25">
      <c r="A395" t="str">
        <f>"07/01/2011"</f>
        <v>07/01/2011</v>
      </c>
      <c r="B395" t="str">
        <f>"1.2995"</f>
        <v>1.2995</v>
      </c>
      <c r="C395" t="str">
        <f>"1.2994"</f>
        <v>1.2994</v>
      </c>
    </row>
    <row r="396" spans="1:3" x14ac:dyDescent="0.25">
      <c r="A396" t="str">
        <f>"10/01/2011"</f>
        <v>10/01/2011</v>
      </c>
      <c r="B396" t="str">
        <f>"1.2905"</f>
        <v>1.2905</v>
      </c>
      <c r="C396" t="str">
        <f>"1.2904"</f>
        <v>1.2904</v>
      </c>
    </row>
    <row r="397" spans="1:3" x14ac:dyDescent="0.25">
      <c r="A397" t="str">
        <f>"11/01/2011"</f>
        <v>11/01/2011</v>
      </c>
      <c r="B397" t="str">
        <f>"1.2944"</f>
        <v>1.2944</v>
      </c>
      <c r="C397" t="str">
        <f>"1.2942"</f>
        <v>1.2942</v>
      </c>
    </row>
    <row r="398" spans="1:3" x14ac:dyDescent="0.25">
      <c r="A398" t="str">
        <f>"12/01/2011"</f>
        <v>12/01/2011</v>
      </c>
      <c r="B398" t="str">
        <f>"1.2998"</f>
        <v>1.2998</v>
      </c>
      <c r="C398" t="str">
        <f>"1.2996"</f>
        <v>1.2996</v>
      </c>
    </row>
    <row r="399" spans="1:3" x14ac:dyDescent="0.25">
      <c r="A399" t="str">
        <f>"13/01/2011"</f>
        <v>13/01/2011</v>
      </c>
      <c r="B399" t="str">
        <f>"1.3102"</f>
        <v>1.3102</v>
      </c>
      <c r="C399" t="str">
        <f>"1.3099"</f>
        <v>1.3099</v>
      </c>
    </row>
    <row r="400" spans="1:3" x14ac:dyDescent="0.25">
      <c r="A400" t="str">
        <f>"14/01/2011"</f>
        <v>14/01/2011</v>
      </c>
      <c r="B400" t="str">
        <f>"1.3333"</f>
        <v>1.3333</v>
      </c>
      <c r="C400" t="str">
        <f>"1.333"</f>
        <v>1.333</v>
      </c>
    </row>
    <row r="401" spans="1:3" x14ac:dyDescent="0.25">
      <c r="A401" t="str">
        <f>"17/01/2011"</f>
        <v>17/01/2011</v>
      </c>
      <c r="B401" t="str">
        <f>"1.334"</f>
        <v>1.334</v>
      </c>
      <c r="C401" t="str">
        <f>"1.3337"</f>
        <v>1.3337</v>
      </c>
    </row>
    <row r="402" spans="1:3" x14ac:dyDescent="0.25">
      <c r="A402" t="str">
        <f>"18/01/2011"</f>
        <v>18/01/2011</v>
      </c>
      <c r="B402" t="str">
        <f>"1.3302"</f>
        <v>1.3302</v>
      </c>
      <c r="C402" t="str">
        <f>"1.3299"</f>
        <v>1.3299</v>
      </c>
    </row>
    <row r="403" spans="1:3" x14ac:dyDescent="0.25">
      <c r="A403" t="str">
        <f>"19/01/2011"</f>
        <v>19/01/2011</v>
      </c>
      <c r="B403" t="str">
        <f>"1.3443"</f>
        <v>1.3443</v>
      </c>
      <c r="C403" t="str">
        <f>"1.3439"</f>
        <v>1.3439</v>
      </c>
    </row>
    <row r="404" spans="1:3" x14ac:dyDescent="0.25">
      <c r="A404" t="str">
        <f>"20/01/2011"</f>
        <v>20/01/2011</v>
      </c>
      <c r="B404" t="str">
        <f>"1.3456"</f>
        <v>1.3456</v>
      </c>
      <c r="C404" t="str">
        <f>"1.3453"</f>
        <v>1.3453</v>
      </c>
    </row>
    <row r="405" spans="1:3" x14ac:dyDescent="0.25">
      <c r="A405" t="str">
        <f>"21/01/2011"</f>
        <v>21/01/2011</v>
      </c>
      <c r="B405" t="str">
        <f>"1.35"</f>
        <v>1.35</v>
      </c>
      <c r="C405" t="str">
        <f>"1.3496"</f>
        <v>1.3496</v>
      </c>
    </row>
    <row r="406" spans="1:3" x14ac:dyDescent="0.25">
      <c r="A406" t="str">
        <f>"24/01/2011"</f>
        <v>24/01/2011</v>
      </c>
      <c r="B406" t="str">
        <f>"1.3595"</f>
        <v>1.3595</v>
      </c>
      <c r="C406" t="str">
        <f>"1.359"</f>
        <v>1.359</v>
      </c>
    </row>
    <row r="407" spans="1:3" x14ac:dyDescent="0.25">
      <c r="A407" t="str">
        <f>"25/01/2011"</f>
        <v>25/01/2011</v>
      </c>
      <c r="B407" t="str">
        <f>"1.3658"</f>
        <v>1.3658</v>
      </c>
      <c r="C407" t="str">
        <f>"1.3653"</f>
        <v>1.3653</v>
      </c>
    </row>
    <row r="408" spans="1:3" x14ac:dyDescent="0.25">
      <c r="A408" t="str">
        <f>"27/01/2011"</f>
        <v>27/01/2011</v>
      </c>
      <c r="B408" t="str">
        <f>"1.3705"</f>
        <v>1.3705</v>
      </c>
      <c r="C408" t="str">
        <f>"1.37"</f>
        <v>1.37</v>
      </c>
    </row>
    <row r="409" spans="1:3" x14ac:dyDescent="0.25">
      <c r="A409" t="str">
        <f>"28/01/2011"</f>
        <v>28/01/2011</v>
      </c>
      <c r="B409" t="str">
        <f>"1.3703"</f>
        <v>1.3703</v>
      </c>
      <c r="C409" t="str">
        <f>"1.3698"</f>
        <v>1.3698</v>
      </c>
    </row>
    <row r="410" spans="1:3" x14ac:dyDescent="0.25">
      <c r="A410" t="str">
        <f>"31/01/2011"</f>
        <v>31/01/2011</v>
      </c>
      <c r="B410" t="str">
        <f>"1.3597"</f>
        <v>1.3597</v>
      </c>
      <c r="C410" t="str">
        <f>"1.3592"</f>
        <v>1.3592</v>
      </c>
    </row>
    <row r="411" spans="1:3" x14ac:dyDescent="0.25">
      <c r="A411" t="str">
        <f>"01/02/2011"</f>
        <v>01/02/2011</v>
      </c>
      <c r="B411" t="str">
        <f>"1.3723"</f>
        <v>1.3723</v>
      </c>
      <c r="C411" t="str">
        <f>"1.3717"</f>
        <v>1.3717</v>
      </c>
    </row>
    <row r="412" spans="1:3" x14ac:dyDescent="0.25">
      <c r="A412" t="str">
        <f>"02/02/2011"</f>
        <v>02/02/2011</v>
      </c>
      <c r="B412" t="str">
        <f>"1.3855"</f>
        <v>1.3855</v>
      </c>
      <c r="C412" t="str">
        <f>"1.385"</f>
        <v>1.385</v>
      </c>
    </row>
    <row r="413" spans="1:3" x14ac:dyDescent="0.25">
      <c r="A413" t="str">
        <f>"03/02/2011"</f>
        <v>03/02/2011</v>
      </c>
      <c r="B413" t="str">
        <f>"1.3788"</f>
        <v>1.3788</v>
      </c>
      <c r="C413" t="str">
        <f>"1.3784"</f>
        <v>1.3784</v>
      </c>
    </row>
    <row r="414" spans="1:3" x14ac:dyDescent="0.25">
      <c r="A414" t="str">
        <f>"04/02/2011"</f>
        <v>04/02/2011</v>
      </c>
      <c r="B414" t="str">
        <f>"1.3633"</f>
        <v>1.3633</v>
      </c>
      <c r="C414" t="str">
        <f>"1.3629"</f>
        <v>1.3629</v>
      </c>
    </row>
    <row r="415" spans="1:3" x14ac:dyDescent="0.25">
      <c r="A415" t="str">
        <f>"07/02/2011"</f>
        <v>07/02/2011</v>
      </c>
      <c r="B415" t="str">
        <f>"1.3614"</f>
        <v>1.3614</v>
      </c>
      <c r="C415" t="str">
        <f>"1.361"</f>
        <v>1.361</v>
      </c>
    </row>
    <row r="416" spans="1:3" x14ac:dyDescent="0.25">
      <c r="A416" t="str">
        <f>"08/02/2011"</f>
        <v>08/02/2011</v>
      </c>
      <c r="B416" t="str">
        <f>"1.3616"</f>
        <v>1.3616</v>
      </c>
      <c r="C416" t="str">
        <f>"1.3612"</f>
        <v>1.3612</v>
      </c>
    </row>
    <row r="417" spans="1:3" x14ac:dyDescent="0.25">
      <c r="A417" t="str">
        <f>"09/02/2011"</f>
        <v>09/02/2011</v>
      </c>
      <c r="B417" t="str">
        <f>"1.3647"</f>
        <v>1.3647</v>
      </c>
      <c r="C417" t="str">
        <f>"1.3642"</f>
        <v>1.3642</v>
      </c>
    </row>
    <row r="418" spans="1:3" x14ac:dyDescent="0.25">
      <c r="A418" t="str">
        <f>"10/02/2011"</f>
        <v>10/02/2011</v>
      </c>
      <c r="B418" t="str">
        <f>"1.3709"</f>
        <v>1.3709</v>
      </c>
      <c r="C418" t="str">
        <f>"1.3704"</f>
        <v>1.3704</v>
      </c>
    </row>
    <row r="419" spans="1:3" x14ac:dyDescent="0.25">
      <c r="A419" t="str">
        <f>"11/02/2011"</f>
        <v>11/02/2011</v>
      </c>
      <c r="B419" t="str">
        <f>"1.3578"</f>
        <v>1.3578</v>
      </c>
      <c r="C419" t="str">
        <f>"1.3573"</f>
        <v>1.3573</v>
      </c>
    </row>
    <row r="420" spans="1:3" x14ac:dyDescent="0.25">
      <c r="A420" t="str">
        <f>"14/02/2011"</f>
        <v>14/02/2011</v>
      </c>
      <c r="B420" t="str">
        <f>"1.3533"</f>
        <v>1.3533</v>
      </c>
      <c r="C420" t="str">
        <f>"1.3529"</f>
        <v>1.3529</v>
      </c>
    </row>
    <row r="421" spans="1:3" x14ac:dyDescent="0.25">
      <c r="A421" t="str">
        <f>"15/02/2011"</f>
        <v>15/02/2011</v>
      </c>
      <c r="B421" t="str">
        <f>"1.3513"</f>
        <v>1.3513</v>
      </c>
      <c r="C421" t="str">
        <f>"1.3509"</f>
        <v>1.3509</v>
      </c>
    </row>
    <row r="422" spans="1:3" x14ac:dyDescent="0.25">
      <c r="A422" t="str">
        <f>"17/02/2011"</f>
        <v>17/02/2011</v>
      </c>
      <c r="B422" t="str">
        <f>"1.3586"</f>
        <v>1.3586</v>
      </c>
      <c r="C422" t="str">
        <f>"1.3582"</f>
        <v>1.3582</v>
      </c>
    </row>
    <row r="423" spans="1:3" x14ac:dyDescent="0.25">
      <c r="A423" t="str">
        <f>"18/02/2011"</f>
        <v>18/02/2011</v>
      </c>
      <c r="B423" t="str">
        <f>"1.3614"</f>
        <v>1.3614</v>
      </c>
      <c r="C423" t="str">
        <f>"1.3609"</f>
        <v>1.3609</v>
      </c>
    </row>
    <row r="424" spans="1:3" x14ac:dyDescent="0.25">
      <c r="A424" t="str">
        <f>"21/02/2011"</f>
        <v>21/02/2011</v>
      </c>
      <c r="B424" t="str">
        <f>"1.3672"</f>
        <v>1.3672</v>
      </c>
      <c r="C424" t="str">
        <f>"1.3668"</f>
        <v>1.3668</v>
      </c>
    </row>
    <row r="425" spans="1:3" x14ac:dyDescent="0.25">
      <c r="A425" t="str">
        <f>"22/02/2011"</f>
        <v>22/02/2011</v>
      </c>
      <c r="B425" t="str">
        <f>"1.3588"</f>
        <v>1.3588</v>
      </c>
      <c r="C425" t="str">
        <f>"1.3584"</f>
        <v>1.3584</v>
      </c>
    </row>
    <row r="426" spans="1:3" x14ac:dyDescent="0.25">
      <c r="A426" t="str">
        <f>"23/02/2011"</f>
        <v>23/02/2011</v>
      </c>
      <c r="B426" t="str">
        <f>"1.3693"</f>
        <v>1.3693</v>
      </c>
      <c r="C426" t="str">
        <f>"1.3689"</f>
        <v>1.3689</v>
      </c>
    </row>
    <row r="427" spans="1:3" x14ac:dyDescent="0.25">
      <c r="A427" t="str">
        <f>"24/02/2011"</f>
        <v>24/02/2011</v>
      </c>
      <c r="B427" t="str">
        <f>"1.3775"</f>
        <v>1.3775</v>
      </c>
      <c r="C427" t="str">
        <f>"1.3769"</f>
        <v>1.3769</v>
      </c>
    </row>
    <row r="428" spans="1:3" x14ac:dyDescent="0.25">
      <c r="A428" t="str">
        <f>"25/02/2011"</f>
        <v>25/02/2011</v>
      </c>
      <c r="B428" t="str">
        <f>"1.3825"</f>
        <v>1.3825</v>
      </c>
      <c r="C428" t="str">
        <f>"1.382"</f>
        <v>1.382</v>
      </c>
    </row>
    <row r="429" spans="1:3" x14ac:dyDescent="0.25">
      <c r="A429" t="str">
        <f>"28/02/2011"</f>
        <v>28/02/2011</v>
      </c>
      <c r="B429" t="str">
        <f>"1.3757"</f>
        <v>1.3757</v>
      </c>
      <c r="C429" t="str">
        <f>"1.3752"</f>
        <v>1.3752</v>
      </c>
    </row>
    <row r="430" spans="1:3" x14ac:dyDescent="0.25">
      <c r="A430" t="str">
        <f>"01/03/2011"</f>
        <v>01/03/2011</v>
      </c>
      <c r="B430" t="str">
        <f>"1.381"</f>
        <v>1.381</v>
      </c>
      <c r="C430" t="str">
        <f>"1.3805"</f>
        <v>1.3805</v>
      </c>
    </row>
    <row r="431" spans="1:3" x14ac:dyDescent="0.25">
      <c r="A431" t="str">
        <f>"03/03/2011"</f>
        <v>03/03/2011</v>
      </c>
      <c r="B431" t="str">
        <f>"1.3859"</f>
        <v>1.3859</v>
      </c>
      <c r="C431" t="str">
        <f>"1.3853"</f>
        <v>1.3853</v>
      </c>
    </row>
    <row r="432" spans="1:3" x14ac:dyDescent="0.25">
      <c r="A432" t="str">
        <f>"04/03/2011"</f>
        <v>04/03/2011</v>
      </c>
      <c r="B432" t="str">
        <f>"1.3956"</f>
        <v>1.3956</v>
      </c>
      <c r="C432" t="str">
        <f>"1.395"</f>
        <v>1.395</v>
      </c>
    </row>
    <row r="433" spans="1:3" x14ac:dyDescent="0.25">
      <c r="A433" t="str">
        <f>"07/03/2011"</f>
        <v>07/03/2011</v>
      </c>
      <c r="B433" t="str">
        <f>"1.3972"</f>
        <v>1.3972</v>
      </c>
      <c r="C433" t="str">
        <f>"1.3966"</f>
        <v>1.3966</v>
      </c>
    </row>
    <row r="434" spans="1:3" x14ac:dyDescent="0.25">
      <c r="A434" t="str">
        <f>"08/03/2011"</f>
        <v>08/03/2011</v>
      </c>
      <c r="B434" t="str">
        <f>"1.3987"</f>
        <v>1.3987</v>
      </c>
      <c r="C434" t="str">
        <f>"1.3981"</f>
        <v>1.3981</v>
      </c>
    </row>
    <row r="435" spans="1:3" x14ac:dyDescent="0.25">
      <c r="A435" t="str">
        <f>"09/03/2011"</f>
        <v>09/03/2011</v>
      </c>
      <c r="B435" t="str">
        <f>"1.389"</f>
        <v>1.389</v>
      </c>
      <c r="C435" t="str">
        <f>"1.3885"</f>
        <v>1.3885</v>
      </c>
    </row>
    <row r="436" spans="1:3" x14ac:dyDescent="0.25">
      <c r="A436" t="str">
        <f>"10/03/2011"</f>
        <v>10/03/2011</v>
      </c>
      <c r="B436" t="str">
        <f>"1.3868"</f>
        <v>1.3868</v>
      </c>
      <c r="C436" t="str">
        <f>"1.3863"</f>
        <v>1.3863</v>
      </c>
    </row>
    <row r="437" spans="1:3" x14ac:dyDescent="0.25">
      <c r="A437" t="str">
        <f>"11/03/2011"</f>
        <v>11/03/2011</v>
      </c>
      <c r="B437" t="str">
        <f>"1.3826"</f>
        <v>1.3826</v>
      </c>
      <c r="C437" t="str">
        <f>"1.3822"</f>
        <v>1.3822</v>
      </c>
    </row>
    <row r="438" spans="1:3" x14ac:dyDescent="0.25">
      <c r="A438" t="str">
        <f>"14/03/2011"</f>
        <v>14/03/2011</v>
      </c>
      <c r="B438" t="str">
        <f>"1.3925"</f>
        <v>1.3925</v>
      </c>
      <c r="C438" t="str">
        <f>"1.392"</f>
        <v>1.392</v>
      </c>
    </row>
    <row r="439" spans="1:3" x14ac:dyDescent="0.25">
      <c r="A439" t="str">
        <f>"15/03/2011"</f>
        <v>15/03/2011</v>
      </c>
      <c r="B439" t="str">
        <f>"1.3905"</f>
        <v>1.3905</v>
      </c>
      <c r="C439" t="str">
        <f>"1.39"</f>
        <v>1.39</v>
      </c>
    </row>
    <row r="440" spans="1:3" x14ac:dyDescent="0.25">
      <c r="A440" t="str">
        <f>"16/03/2011"</f>
        <v>16/03/2011</v>
      </c>
      <c r="B440" t="str">
        <f>"1.3969"</f>
        <v>1.3969</v>
      </c>
      <c r="C440" t="str">
        <f>"1.3964"</f>
        <v>1.3964</v>
      </c>
    </row>
    <row r="441" spans="1:3" x14ac:dyDescent="0.25">
      <c r="A441" t="str">
        <f>"17/03/2011"</f>
        <v>17/03/2011</v>
      </c>
      <c r="B441" t="str">
        <f>"1.392"</f>
        <v>1.392</v>
      </c>
      <c r="C441" t="str">
        <f>"1.3915"</f>
        <v>1.3915</v>
      </c>
    </row>
    <row r="442" spans="1:3" x14ac:dyDescent="0.25">
      <c r="A442" t="str">
        <f>"18/03/2011"</f>
        <v>18/03/2011</v>
      </c>
      <c r="B442" t="str">
        <f>"1.4067"</f>
        <v>1.4067</v>
      </c>
      <c r="C442" t="str">
        <f>"1.406"</f>
        <v>1.406</v>
      </c>
    </row>
    <row r="443" spans="1:3" x14ac:dyDescent="0.25">
      <c r="A443" t="str">
        <f>"21/03/2011"</f>
        <v>21/03/2011</v>
      </c>
      <c r="B443" t="str">
        <f>"1.4172"</f>
        <v>1.4172</v>
      </c>
      <c r="C443" t="str">
        <f>"1.4165"</f>
        <v>1.4165</v>
      </c>
    </row>
    <row r="444" spans="1:3" x14ac:dyDescent="0.25">
      <c r="A444" t="str">
        <f>"22/03/2011"</f>
        <v>22/03/2011</v>
      </c>
      <c r="B444" t="str">
        <f>"1.422"</f>
        <v>1.422</v>
      </c>
      <c r="C444" t="str">
        <f>"1.4213"</f>
        <v>1.4213</v>
      </c>
    </row>
    <row r="445" spans="1:3" x14ac:dyDescent="0.25">
      <c r="A445" t="str">
        <f>"23/03/2011"</f>
        <v>23/03/2011</v>
      </c>
      <c r="B445" t="str">
        <f>"1.4178"</f>
        <v>1.4178</v>
      </c>
      <c r="C445" t="str">
        <f>"1.417"</f>
        <v>1.417</v>
      </c>
    </row>
    <row r="446" spans="1:3" x14ac:dyDescent="0.25">
      <c r="A446" t="str">
        <f>"24/03/2011"</f>
        <v>24/03/2011</v>
      </c>
      <c r="B446" t="str">
        <f>"1.408"</f>
        <v>1.408</v>
      </c>
      <c r="C446" t="str">
        <f>"1.4073"</f>
        <v>1.4073</v>
      </c>
    </row>
    <row r="447" spans="1:3" x14ac:dyDescent="0.25">
      <c r="A447" t="str">
        <f>"25/03/2011"</f>
        <v>25/03/2011</v>
      </c>
      <c r="B447" t="str">
        <f>"1.4169"</f>
        <v>1.4169</v>
      </c>
      <c r="C447" t="str">
        <f>"1.4162"</f>
        <v>1.4162</v>
      </c>
    </row>
    <row r="448" spans="1:3" x14ac:dyDescent="0.25">
      <c r="A448" t="str">
        <f>"28/03/2011"</f>
        <v>28/03/2011</v>
      </c>
      <c r="B448" t="str">
        <f>"1.4055"</f>
        <v>1.4055</v>
      </c>
      <c r="C448" t="str">
        <f>"1.4048"</f>
        <v>1.4048</v>
      </c>
    </row>
    <row r="449" spans="1:3" x14ac:dyDescent="0.25">
      <c r="A449" t="str">
        <f>"29/03/2011"</f>
        <v>29/03/2011</v>
      </c>
      <c r="B449" t="str">
        <f>"1.4097"</f>
        <v>1.4097</v>
      </c>
      <c r="C449" t="str">
        <f>"1.409"</f>
        <v>1.409</v>
      </c>
    </row>
    <row r="450" spans="1:3" x14ac:dyDescent="0.25">
      <c r="A450" t="str">
        <f>"30/03/2011"</f>
        <v>30/03/2011</v>
      </c>
      <c r="B450" t="str">
        <f>"1.4081"</f>
        <v>1.4081</v>
      </c>
      <c r="C450" t="str">
        <f>"1.4073"</f>
        <v>1.4073</v>
      </c>
    </row>
    <row r="451" spans="1:3" x14ac:dyDescent="0.25">
      <c r="A451" t="str">
        <f>"31/03/2011"</f>
        <v>31/03/2011</v>
      </c>
      <c r="B451" t="str">
        <f>"1.4141"</f>
        <v>1.4141</v>
      </c>
      <c r="C451" t="str">
        <f>"1.4133"</f>
        <v>1.4133</v>
      </c>
    </row>
    <row r="452" spans="1:3" x14ac:dyDescent="0.25">
      <c r="A452" t="str">
        <f>"01/04/2011"</f>
        <v>01/04/2011</v>
      </c>
      <c r="B452" t="str">
        <f>"1.4172"</f>
        <v>1.4172</v>
      </c>
      <c r="C452" t="str">
        <f>"1.4164"</f>
        <v>1.4164</v>
      </c>
    </row>
    <row r="453" spans="1:3" x14ac:dyDescent="0.25">
      <c r="A453" t="str">
        <f>"05/04/2011"</f>
        <v>05/04/2011</v>
      </c>
      <c r="B453" t="str">
        <f>"1.4205"</f>
        <v>1.4205</v>
      </c>
      <c r="C453" t="str">
        <f>"1.4196"</f>
        <v>1.4196</v>
      </c>
    </row>
    <row r="454" spans="1:3" x14ac:dyDescent="0.25">
      <c r="A454" t="str">
        <f>"06/04/2011"</f>
        <v>06/04/2011</v>
      </c>
      <c r="B454" t="str">
        <f>"1.4256"</f>
        <v>1.4256</v>
      </c>
      <c r="C454" t="str">
        <f>"1.4247"</f>
        <v>1.4247</v>
      </c>
    </row>
    <row r="455" spans="1:3" x14ac:dyDescent="0.25">
      <c r="A455" t="str">
        <f>"07/04/2011"</f>
        <v>07/04/2011</v>
      </c>
      <c r="B455" t="str">
        <f>"1.4303"</f>
        <v>1.4303</v>
      </c>
      <c r="C455" t="str">
        <f>"1.4294"</f>
        <v>1.4294</v>
      </c>
    </row>
    <row r="456" spans="1:3" x14ac:dyDescent="0.25">
      <c r="A456" t="str">
        <f>"08/04/2011"</f>
        <v>08/04/2011</v>
      </c>
      <c r="B456" t="str">
        <f>"1.4399"</f>
        <v>1.4399</v>
      </c>
      <c r="C456" t="str">
        <f>"1.4389"</f>
        <v>1.4389</v>
      </c>
    </row>
    <row r="457" spans="1:3" x14ac:dyDescent="0.25">
      <c r="A457" t="str">
        <f>"11/04/2011"</f>
        <v>11/04/2011</v>
      </c>
      <c r="B457" t="str">
        <f>"1.4461"</f>
        <v>1.4461</v>
      </c>
      <c r="C457" t="str">
        <f>"1.4451"</f>
        <v>1.4451</v>
      </c>
    </row>
    <row r="458" spans="1:3" x14ac:dyDescent="0.25">
      <c r="A458" t="str">
        <f>"13/04/2011"</f>
        <v>13/04/2011</v>
      </c>
      <c r="B458" t="str">
        <f>"1.4477"</f>
        <v>1.4477</v>
      </c>
      <c r="C458" t="str">
        <f>"1.4466"</f>
        <v>1.4466</v>
      </c>
    </row>
    <row r="459" spans="1:3" x14ac:dyDescent="0.25">
      <c r="A459" t="str">
        <f>"15/04/2011"</f>
        <v>15/04/2011</v>
      </c>
      <c r="B459" t="str">
        <f>"1.4468"</f>
        <v>1.4468</v>
      </c>
      <c r="C459" t="str">
        <f>"1.4458"</f>
        <v>1.4458</v>
      </c>
    </row>
    <row r="460" spans="1:3" x14ac:dyDescent="0.25">
      <c r="A460" t="str">
        <f>"18/04/2011"</f>
        <v>18/04/2011</v>
      </c>
      <c r="B460" t="str">
        <f>"1.4383"</f>
        <v>1.4383</v>
      </c>
      <c r="C460" t="str">
        <f>"1.4373"</f>
        <v>1.4373</v>
      </c>
    </row>
    <row r="461" spans="1:3" x14ac:dyDescent="0.25">
      <c r="A461" t="str">
        <f>"19/04/2011"</f>
        <v>19/04/2011</v>
      </c>
      <c r="B461" t="str">
        <f>"1.4223"</f>
        <v>1.4223</v>
      </c>
      <c r="C461" t="str">
        <f>"1.4212"</f>
        <v>1.4212</v>
      </c>
    </row>
    <row r="462" spans="1:3" x14ac:dyDescent="0.25">
      <c r="A462" t="str">
        <f>"20/04/2011"</f>
        <v>20/04/2011</v>
      </c>
      <c r="B462" t="str">
        <f>"1.439"</f>
        <v>1.439</v>
      </c>
      <c r="C462" t="str">
        <f>"1.4379"</f>
        <v>1.4379</v>
      </c>
    </row>
    <row r="463" spans="1:3" x14ac:dyDescent="0.25">
      <c r="A463" t="str">
        <f>"21/04/2011"</f>
        <v>21/04/2011</v>
      </c>
      <c r="B463" t="str">
        <f>"1.4568"</f>
        <v>1.4568</v>
      </c>
      <c r="C463" t="str">
        <f>"1.4557"</f>
        <v>1.4557</v>
      </c>
    </row>
    <row r="464" spans="1:3" x14ac:dyDescent="0.25">
      <c r="A464" t="str">
        <f>"25/04/2011"</f>
        <v>25/04/2011</v>
      </c>
      <c r="B464" t="str">
        <f>"1.4552"</f>
        <v>1.4552</v>
      </c>
      <c r="C464" t="str">
        <f>"1.4541"</f>
        <v>1.4541</v>
      </c>
    </row>
    <row r="465" spans="1:3" x14ac:dyDescent="0.25">
      <c r="A465" t="str">
        <f>"26/04/2011"</f>
        <v>26/04/2011</v>
      </c>
      <c r="B465" t="str">
        <f>"1.4526"</f>
        <v>1.4526</v>
      </c>
      <c r="C465" t="str">
        <f>"1.4513"</f>
        <v>1.4513</v>
      </c>
    </row>
    <row r="466" spans="1:3" x14ac:dyDescent="0.25">
      <c r="A466" t="str">
        <f>"27/04/2011"</f>
        <v>27/04/2011</v>
      </c>
      <c r="B466" t="str">
        <f>"1.4686"</f>
        <v>1.4686</v>
      </c>
      <c r="C466" t="str">
        <f>"1.4673"</f>
        <v>1.4673</v>
      </c>
    </row>
    <row r="467" spans="1:3" x14ac:dyDescent="0.25">
      <c r="A467" t="str">
        <f>"28/04/2011"</f>
        <v>28/04/2011</v>
      </c>
      <c r="B467" t="str">
        <f>"1.4863"</f>
        <v>1.4863</v>
      </c>
      <c r="C467" t="str">
        <f>"1.4849"</f>
        <v>1.4849</v>
      </c>
    </row>
    <row r="468" spans="1:3" x14ac:dyDescent="0.25">
      <c r="A468" t="str">
        <f>"29/04/2011"</f>
        <v>29/04/2011</v>
      </c>
      <c r="B468" t="str">
        <f>"1.4832"</f>
        <v>1.4832</v>
      </c>
      <c r="C468" t="str">
        <f>"1.4819"</f>
        <v>1.4819</v>
      </c>
    </row>
    <row r="469" spans="1:3" x14ac:dyDescent="0.25">
      <c r="A469" t="str">
        <f>"02/05/2011"</f>
        <v>02/05/2011</v>
      </c>
      <c r="B469" t="str">
        <f>"1.4791"</f>
        <v>1.4791</v>
      </c>
      <c r="C469" t="str">
        <f>"1.4778"</f>
        <v>1.4778</v>
      </c>
    </row>
    <row r="470" spans="1:3" x14ac:dyDescent="0.25">
      <c r="A470" t="str">
        <f>"03/05/2011"</f>
        <v>03/05/2011</v>
      </c>
      <c r="B470" t="str">
        <f>"1.4796"</f>
        <v>1.4796</v>
      </c>
      <c r="C470" t="str">
        <f>"1.4783"</f>
        <v>1.4783</v>
      </c>
    </row>
    <row r="471" spans="1:3" x14ac:dyDescent="0.25">
      <c r="A471" t="str">
        <f>"04/05/2011"</f>
        <v>04/05/2011</v>
      </c>
      <c r="B471" t="str">
        <f>"1.4807"</f>
        <v>1.4807</v>
      </c>
      <c r="C471" t="str">
        <f>"1.4794"</f>
        <v>1.4794</v>
      </c>
    </row>
    <row r="472" spans="1:3" x14ac:dyDescent="0.25">
      <c r="A472" t="str">
        <f>"05/05/2011"</f>
        <v>05/05/2011</v>
      </c>
      <c r="B472" t="str">
        <f>"1.4864"</f>
        <v>1.4864</v>
      </c>
      <c r="C472" t="str">
        <f>"1.4852"</f>
        <v>1.4852</v>
      </c>
    </row>
    <row r="473" spans="1:3" x14ac:dyDescent="0.25">
      <c r="A473" t="str">
        <f>"06/05/2011"</f>
        <v>06/05/2011</v>
      </c>
      <c r="B473" t="str">
        <f>"1.4546"</f>
        <v>1.4546</v>
      </c>
      <c r="C473" t="str">
        <f>"1.4534"</f>
        <v>1.4534</v>
      </c>
    </row>
    <row r="474" spans="1:3" x14ac:dyDescent="0.25">
      <c r="A474" t="str">
        <f>"09/05/2011"</f>
        <v>09/05/2011</v>
      </c>
      <c r="B474" t="str">
        <f>"1.4388"</f>
        <v>1.4388</v>
      </c>
      <c r="C474" t="str">
        <f>"1.4375"</f>
        <v>1.4375</v>
      </c>
    </row>
    <row r="475" spans="1:3" x14ac:dyDescent="0.25">
      <c r="A475" t="str">
        <f>"10/05/2011"</f>
        <v>10/05/2011</v>
      </c>
      <c r="B475" t="str">
        <f>"1.4327"</f>
        <v>1.4327</v>
      </c>
      <c r="C475" t="str">
        <f>"1.4315"</f>
        <v>1.4315</v>
      </c>
    </row>
    <row r="476" spans="1:3" x14ac:dyDescent="0.25">
      <c r="A476" t="str">
        <f>"11/05/2011"</f>
        <v>11/05/2011</v>
      </c>
      <c r="B476" t="str">
        <f>"1.4405"</f>
        <v>1.4405</v>
      </c>
      <c r="C476" t="str">
        <f>"1.4395"</f>
        <v>1.4395</v>
      </c>
    </row>
    <row r="477" spans="1:3" x14ac:dyDescent="0.25">
      <c r="A477" t="str">
        <f>"12/05/2011"</f>
        <v>12/05/2011</v>
      </c>
      <c r="B477" t="str">
        <f>"1.4224"</f>
        <v>1.4224</v>
      </c>
      <c r="C477" t="str">
        <f>"1.4214"</f>
        <v>1.4214</v>
      </c>
    </row>
    <row r="478" spans="1:3" x14ac:dyDescent="0.25">
      <c r="A478" t="str">
        <f>"13/05/2011"</f>
        <v>13/05/2011</v>
      </c>
      <c r="B478" t="str">
        <f>"1.4201"</f>
        <v>1.4201</v>
      </c>
      <c r="C478" t="str">
        <f>"1.419"</f>
        <v>1.419</v>
      </c>
    </row>
    <row r="479" spans="1:3" x14ac:dyDescent="0.25">
      <c r="A479" t="str">
        <f>"16/05/2011"</f>
        <v>16/05/2011</v>
      </c>
      <c r="B479" t="str">
        <f>"1.4092"</f>
        <v>1.4092</v>
      </c>
      <c r="C479" t="str">
        <f>"1.4081"</f>
        <v>1.4081</v>
      </c>
    </row>
    <row r="480" spans="1:3" x14ac:dyDescent="0.25">
      <c r="A480" t="str">
        <f>"18/05/2011"</f>
        <v>18/05/2011</v>
      </c>
      <c r="B480" t="str">
        <f>"1.4276"</f>
        <v>1.4276</v>
      </c>
      <c r="C480" t="str">
        <f>"1.4266"</f>
        <v>1.4266</v>
      </c>
    </row>
    <row r="481" spans="1:3" x14ac:dyDescent="0.25">
      <c r="A481" t="str">
        <f>"19/05/2011"</f>
        <v>19/05/2011</v>
      </c>
      <c r="B481" t="str">
        <f>"1.4289"</f>
        <v>1.4289</v>
      </c>
      <c r="C481" t="str">
        <f>"1.4278"</f>
        <v>1.4278</v>
      </c>
    </row>
    <row r="482" spans="1:3" x14ac:dyDescent="0.25">
      <c r="A482" t="str">
        <f>"20/05/2011"</f>
        <v>20/05/2011</v>
      </c>
      <c r="B482" t="str">
        <f>"1.4311"</f>
        <v>1.4311</v>
      </c>
      <c r="C482" t="str">
        <f>"1.43"</f>
        <v>1.43</v>
      </c>
    </row>
    <row r="483" spans="1:3" x14ac:dyDescent="0.25">
      <c r="A483" t="str">
        <f>"23/05/2011"</f>
        <v>23/05/2011</v>
      </c>
      <c r="B483" t="str">
        <f>"1.4087"</f>
        <v>1.4087</v>
      </c>
      <c r="C483" t="str">
        <f>"1.4076"</f>
        <v>1.4076</v>
      </c>
    </row>
    <row r="484" spans="1:3" x14ac:dyDescent="0.25">
      <c r="A484" t="str">
        <f>"24/05/2011"</f>
        <v>24/05/2011</v>
      </c>
      <c r="B484" t="str">
        <f>"1.4056"</f>
        <v>1.4056</v>
      </c>
      <c r="C484" t="str">
        <f>"1.4045"</f>
        <v>1.4045</v>
      </c>
    </row>
    <row r="485" spans="1:3" x14ac:dyDescent="0.25">
      <c r="A485" t="str">
        <f>"25/05/2011"</f>
        <v>25/05/2011</v>
      </c>
      <c r="B485" t="str">
        <f>"1.4058"</f>
        <v>1.4058</v>
      </c>
      <c r="C485" t="str">
        <f>"1.4047"</f>
        <v>1.4047</v>
      </c>
    </row>
    <row r="486" spans="1:3" x14ac:dyDescent="0.25">
      <c r="A486" t="str">
        <f>"26/05/2011"</f>
        <v>26/05/2011</v>
      </c>
      <c r="B486" t="str">
        <f>"1.4146"</f>
        <v>1.4146</v>
      </c>
      <c r="C486" t="str">
        <f>"1.4135"</f>
        <v>1.4135</v>
      </c>
    </row>
    <row r="487" spans="1:3" x14ac:dyDescent="0.25">
      <c r="A487" t="str">
        <f>"27/05/2011"</f>
        <v>27/05/2011</v>
      </c>
      <c r="B487" t="str">
        <f>"1.4259"</f>
        <v>1.4259</v>
      </c>
      <c r="C487" t="str">
        <f>"1.4249"</f>
        <v>1.4249</v>
      </c>
    </row>
    <row r="488" spans="1:3" x14ac:dyDescent="0.25">
      <c r="A488" t="str">
        <f>"30/05/2011"</f>
        <v>30/05/2011</v>
      </c>
      <c r="B488" t="str">
        <f>"1.4283"</f>
        <v>1.4283</v>
      </c>
      <c r="C488" t="str">
        <f>"1.4273"</f>
        <v>1.4273</v>
      </c>
    </row>
    <row r="489" spans="1:3" x14ac:dyDescent="0.25">
      <c r="A489" t="str">
        <f>"31/05/2011"</f>
        <v>31/05/2011</v>
      </c>
      <c r="B489" t="str">
        <f>"1.4382"</f>
        <v>1.4382</v>
      </c>
      <c r="C489" t="str">
        <f>"1.4371"</f>
        <v>1.4371</v>
      </c>
    </row>
    <row r="490" spans="1:3" x14ac:dyDescent="0.25">
      <c r="A490" t="str">
        <f>"01/06/2011"</f>
        <v>01/06/2011</v>
      </c>
      <c r="B490" t="str">
        <f>"1.4422"</f>
        <v>1.4422</v>
      </c>
      <c r="C490" t="str">
        <f>"1.4411"</f>
        <v>1.4411</v>
      </c>
    </row>
    <row r="491" spans="1:3" x14ac:dyDescent="0.25">
      <c r="A491" t="str">
        <f>"02/06/2011"</f>
        <v>02/06/2011</v>
      </c>
      <c r="B491" t="str">
        <f>"1.4357"</f>
        <v>1.4357</v>
      </c>
      <c r="C491" t="str">
        <f>"1.4347"</f>
        <v>1.4347</v>
      </c>
    </row>
    <row r="492" spans="1:3" x14ac:dyDescent="0.25">
      <c r="A492" t="str">
        <f>"03/06/2011"</f>
        <v>03/06/2011</v>
      </c>
      <c r="B492" t="str">
        <f>"1.4486"</f>
        <v>1.4486</v>
      </c>
      <c r="C492" t="str">
        <f>"1.4475"</f>
        <v>1.4475</v>
      </c>
    </row>
    <row r="493" spans="1:3" x14ac:dyDescent="0.25">
      <c r="A493" t="str">
        <f>"06/06/2011"</f>
        <v>06/06/2011</v>
      </c>
      <c r="B493" t="str">
        <f>"1.4638"</f>
        <v>1.4638</v>
      </c>
      <c r="C493" t="str">
        <f>"1.4627"</f>
        <v>1.4627</v>
      </c>
    </row>
    <row r="494" spans="1:3" x14ac:dyDescent="0.25">
      <c r="A494" t="str">
        <f>"07/06/2011"</f>
        <v>07/06/2011</v>
      </c>
      <c r="B494" t="str">
        <f>"1.4598"</f>
        <v>1.4598</v>
      </c>
      <c r="C494" t="str">
        <f>"1.4586"</f>
        <v>1.4586</v>
      </c>
    </row>
    <row r="495" spans="1:3" x14ac:dyDescent="0.25">
      <c r="A495" t="str">
        <f>"08/06/2011"</f>
        <v>08/06/2011</v>
      </c>
      <c r="B495" t="str">
        <f>"1.4656"</f>
        <v>1.4656</v>
      </c>
      <c r="C495" t="str">
        <f>"1.4644"</f>
        <v>1.4644</v>
      </c>
    </row>
    <row r="496" spans="1:3" x14ac:dyDescent="0.25">
      <c r="A496" t="str">
        <f>"09/06/2011"</f>
        <v>09/06/2011</v>
      </c>
      <c r="B496" t="str">
        <f>"1.4614"</f>
        <v>1.4614</v>
      </c>
      <c r="C496" t="str">
        <f>"1.4602"</f>
        <v>1.4602</v>
      </c>
    </row>
    <row r="497" spans="1:3" x14ac:dyDescent="0.25">
      <c r="A497" t="str">
        <f>"13/06/2011"</f>
        <v>13/06/2011</v>
      </c>
      <c r="B497" t="str">
        <f>"1.4336"</f>
        <v>1.4336</v>
      </c>
      <c r="C497" t="str">
        <f>"1.4325"</f>
        <v>1.4325</v>
      </c>
    </row>
    <row r="498" spans="1:3" x14ac:dyDescent="0.25">
      <c r="A498" t="str">
        <f>"14/06/2011"</f>
        <v>14/06/2011</v>
      </c>
      <c r="B498" t="str">
        <f>"1.4431"</f>
        <v>1.4431</v>
      </c>
      <c r="C498" t="str">
        <f>"1.4419"</f>
        <v>1.4419</v>
      </c>
    </row>
    <row r="499" spans="1:3" x14ac:dyDescent="0.25">
      <c r="A499" t="str">
        <f>"15/06/2011"</f>
        <v>15/06/2011</v>
      </c>
      <c r="B499" t="str">
        <f>"1.4411"</f>
        <v>1.4411</v>
      </c>
      <c r="C499" t="str">
        <f>"1.4399"</f>
        <v>1.4399</v>
      </c>
    </row>
    <row r="500" spans="1:3" x14ac:dyDescent="0.25">
      <c r="A500" t="str">
        <f>"16/06/2011"</f>
        <v>16/06/2011</v>
      </c>
      <c r="B500" t="str">
        <f>"1.4129"</f>
        <v>1.4129</v>
      </c>
      <c r="C500" t="str">
        <f>"1.4117"</f>
        <v>1.4117</v>
      </c>
    </row>
    <row r="501" spans="1:3" x14ac:dyDescent="0.25">
      <c r="A501" t="str">
        <f>"17/06/2011"</f>
        <v>17/06/2011</v>
      </c>
      <c r="B501" t="str">
        <f>"1.4146"</f>
        <v>1.4146</v>
      </c>
      <c r="C501" t="str">
        <f>"1.4134"</f>
        <v>1.4134</v>
      </c>
    </row>
    <row r="502" spans="1:3" x14ac:dyDescent="0.25">
      <c r="A502" t="str">
        <f>"20/06/2011"</f>
        <v>20/06/2011</v>
      </c>
      <c r="B502" t="str">
        <f>"1.4239"</f>
        <v>1.4239</v>
      </c>
      <c r="C502" t="str">
        <f>"1.4226"</f>
        <v>1.4226</v>
      </c>
    </row>
    <row r="503" spans="1:3" x14ac:dyDescent="0.25">
      <c r="A503" t="str">
        <f>"21/06/2011"</f>
        <v>21/06/2011</v>
      </c>
      <c r="B503" t="str">
        <f>"1.4332"</f>
        <v>1.4332</v>
      </c>
      <c r="C503" t="str">
        <f>"1.4318"</f>
        <v>1.4318</v>
      </c>
    </row>
    <row r="504" spans="1:3" x14ac:dyDescent="0.25">
      <c r="A504" t="str">
        <f>"22/06/2011"</f>
        <v>22/06/2011</v>
      </c>
      <c r="B504" t="str">
        <f>"1.4363"</f>
        <v>1.4363</v>
      </c>
      <c r="C504" t="str">
        <f>"1.4351"</f>
        <v>1.4351</v>
      </c>
    </row>
    <row r="505" spans="1:3" x14ac:dyDescent="0.25">
      <c r="A505" t="str">
        <f>"23/06/2011"</f>
        <v>23/06/2011</v>
      </c>
      <c r="B505" t="str">
        <f>"1.4307"</f>
        <v>1.4307</v>
      </c>
      <c r="C505" t="str">
        <f>"1.4296"</f>
        <v>1.4296</v>
      </c>
    </row>
    <row r="506" spans="1:3" x14ac:dyDescent="0.25">
      <c r="A506" t="str">
        <f>"24/06/2011"</f>
        <v>24/06/2011</v>
      </c>
      <c r="B506" t="str">
        <f>"1.4262"</f>
        <v>1.4262</v>
      </c>
      <c r="C506" t="str">
        <f>"1.4251"</f>
        <v>1.4251</v>
      </c>
    </row>
    <row r="507" spans="1:3" x14ac:dyDescent="0.25">
      <c r="A507" t="str">
        <f>"27/06/2011"</f>
        <v>27/06/2011</v>
      </c>
      <c r="B507" t="str">
        <f>"1.4125"</f>
        <v>1.4125</v>
      </c>
      <c r="C507" t="str">
        <f>"1.4114"</f>
        <v>1.4114</v>
      </c>
    </row>
    <row r="508" spans="1:3" x14ac:dyDescent="0.25">
      <c r="A508" t="str">
        <f>"28/06/2011"</f>
        <v>28/06/2011</v>
      </c>
      <c r="B508" t="str">
        <f>"1.4297"</f>
        <v>1.4297</v>
      </c>
      <c r="C508" t="str">
        <f>"1.4286"</f>
        <v>1.4286</v>
      </c>
    </row>
    <row r="509" spans="1:3" x14ac:dyDescent="0.25">
      <c r="A509" t="str">
        <f>"29/06/2011"</f>
        <v>29/06/2011</v>
      </c>
      <c r="B509" t="str">
        <f>"1.4358"</f>
        <v>1.4358</v>
      </c>
      <c r="C509" t="str">
        <f>"1.4345"</f>
        <v>1.4345</v>
      </c>
    </row>
    <row r="510" spans="1:3" x14ac:dyDescent="0.25">
      <c r="A510" t="str">
        <f>"30/06/2011"</f>
        <v>30/06/2011</v>
      </c>
      <c r="B510" t="str">
        <f>"1.451"</f>
        <v>1.451</v>
      </c>
      <c r="C510" t="str">
        <f>"1.4497"</f>
        <v>1.4497</v>
      </c>
    </row>
    <row r="511" spans="1:3" x14ac:dyDescent="0.25">
      <c r="A511" t="str">
        <f>"01/07/2011"</f>
        <v>01/07/2011</v>
      </c>
      <c r="B511" t="str">
        <f>"1.4497"</f>
        <v>1.4497</v>
      </c>
      <c r="C511" t="str">
        <f>"1.4484"</f>
        <v>1.4484</v>
      </c>
    </row>
    <row r="512" spans="1:3" x14ac:dyDescent="0.25">
      <c r="A512" t="str">
        <f>"04/07/2011"</f>
        <v>04/07/2011</v>
      </c>
      <c r="B512" t="str">
        <f>"1.4558"</f>
        <v>1.4558</v>
      </c>
      <c r="C512" t="str">
        <f>"1.4544"</f>
        <v>1.4544</v>
      </c>
    </row>
    <row r="513" spans="1:3" x14ac:dyDescent="0.25">
      <c r="A513" t="str">
        <f>"05/07/2011"</f>
        <v>05/07/2011</v>
      </c>
      <c r="B513" t="str">
        <f>"1.4479"</f>
        <v>1.4479</v>
      </c>
      <c r="C513" t="str">
        <f>"1.4466"</f>
        <v>1.4466</v>
      </c>
    </row>
    <row r="514" spans="1:3" x14ac:dyDescent="0.25">
      <c r="A514" t="str">
        <f>"06/07/2011"</f>
        <v>06/07/2011</v>
      </c>
      <c r="B514" t="str">
        <f>"1.4457"</f>
        <v>1.4457</v>
      </c>
      <c r="C514" t="str">
        <f>"1.4444"</f>
        <v>1.4444</v>
      </c>
    </row>
    <row r="515" spans="1:3" x14ac:dyDescent="0.25">
      <c r="A515" t="str">
        <f>"07/07/2011"</f>
        <v>07/07/2011</v>
      </c>
      <c r="B515" t="str">
        <f>"1.4326"</f>
        <v>1.4326</v>
      </c>
      <c r="C515" t="str">
        <f>"1.4313"</f>
        <v>1.4313</v>
      </c>
    </row>
    <row r="516" spans="1:3" x14ac:dyDescent="0.25">
      <c r="A516" t="str">
        <f>"08/07/2011"</f>
        <v>08/07/2011</v>
      </c>
      <c r="B516" t="str">
        <f>"1.434"</f>
        <v>1.434</v>
      </c>
      <c r="C516" t="str">
        <f>"1.4326"</f>
        <v>1.4326</v>
      </c>
    </row>
    <row r="517" spans="1:3" x14ac:dyDescent="0.25">
      <c r="A517" t="str">
        <f>"11/07/2011"</f>
        <v>11/07/2011</v>
      </c>
      <c r="B517" t="str">
        <f>"1.4192"</f>
        <v>1.4192</v>
      </c>
      <c r="C517" t="str">
        <f>"1.4178"</f>
        <v>1.4178</v>
      </c>
    </row>
    <row r="518" spans="1:3" x14ac:dyDescent="0.25">
      <c r="A518" t="str">
        <f>"12/07/2011"</f>
        <v>12/07/2011</v>
      </c>
      <c r="B518" t="str">
        <f>"1.3955"</f>
        <v>1.3955</v>
      </c>
      <c r="C518" t="str">
        <f>"1.3943"</f>
        <v>1.3943</v>
      </c>
    </row>
    <row r="519" spans="1:3" x14ac:dyDescent="0.25">
      <c r="A519" t="str">
        <f>"13/07/2011"</f>
        <v>13/07/2011</v>
      </c>
      <c r="B519" t="str">
        <f>"1.3999"</f>
        <v>1.3999</v>
      </c>
      <c r="C519" t="str">
        <f>"1.3986"</f>
        <v>1.3986</v>
      </c>
    </row>
    <row r="520" spans="1:3" x14ac:dyDescent="0.25">
      <c r="A520" t="str">
        <f>"14/07/2011"</f>
        <v>14/07/2011</v>
      </c>
      <c r="B520" t="str">
        <f>"1.4211"</f>
        <v>1.4211</v>
      </c>
      <c r="C520" t="str">
        <f>"1.4198"</f>
        <v>1.4198</v>
      </c>
    </row>
    <row r="521" spans="1:3" x14ac:dyDescent="0.25">
      <c r="A521" t="str">
        <f>"15/07/2011"</f>
        <v>15/07/2011</v>
      </c>
      <c r="B521" t="str">
        <f>"1.4166"</f>
        <v>1.4166</v>
      </c>
      <c r="C521" t="str">
        <f>"1.4152"</f>
        <v>1.4152</v>
      </c>
    </row>
    <row r="522" spans="1:3" x14ac:dyDescent="0.25">
      <c r="A522" t="str">
        <f>"18/07/2011"</f>
        <v>18/07/2011</v>
      </c>
      <c r="B522" t="str">
        <f>"1.4067"</f>
        <v>1.4067</v>
      </c>
      <c r="C522" t="str">
        <f>"1.4053"</f>
        <v>1.4053</v>
      </c>
    </row>
    <row r="523" spans="1:3" x14ac:dyDescent="0.25">
      <c r="A523" t="str">
        <f>"19/07/2011"</f>
        <v>19/07/2011</v>
      </c>
      <c r="B523" t="str">
        <f>"1.4111"</f>
        <v>1.4111</v>
      </c>
      <c r="C523" t="str">
        <f>"1.4097"</f>
        <v>1.4097</v>
      </c>
    </row>
    <row r="524" spans="1:3" x14ac:dyDescent="0.25">
      <c r="A524" t="str">
        <f>"20/07/2011"</f>
        <v>20/07/2011</v>
      </c>
      <c r="B524" t="str">
        <f>"1.4157"</f>
        <v>1.4157</v>
      </c>
      <c r="C524" t="str">
        <f>"1.4144"</f>
        <v>1.4144</v>
      </c>
    </row>
    <row r="525" spans="1:3" x14ac:dyDescent="0.25">
      <c r="A525" t="str">
        <f>"21/07/2011"</f>
        <v>21/07/2011</v>
      </c>
      <c r="B525" t="str">
        <f>"1.4255"</f>
        <v>1.4255</v>
      </c>
      <c r="C525" t="str">
        <f>"1.4243"</f>
        <v>1.4243</v>
      </c>
    </row>
    <row r="526" spans="1:3" x14ac:dyDescent="0.25">
      <c r="A526" t="str">
        <f>"22/07/2011"</f>
        <v>22/07/2011</v>
      </c>
      <c r="B526" t="str">
        <f>"1.4384"</f>
        <v>1.4384</v>
      </c>
      <c r="C526" t="str">
        <f>"1.4371"</f>
        <v>1.4371</v>
      </c>
    </row>
    <row r="527" spans="1:3" x14ac:dyDescent="0.25">
      <c r="A527" t="str">
        <f>"25/07/2011"</f>
        <v>25/07/2011</v>
      </c>
      <c r="B527" t="str">
        <f>"1.4383"</f>
        <v>1.4383</v>
      </c>
      <c r="C527" t="str">
        <f>"1.4369"</f>
        <v>1.4369</v>
      </c>
    </row>
    <row r="528" spans="1:3" x14ac:dyDescent="0.25">
      <c r="A528" t="str">
        <f>"26/07/2011"</f>
        <v>26/07/2011</v>
      </c>
      <c r="B528" t="str">
        <f>"1.4473"</f>
        <v>1.4473</v>
      </c>
      <c r="C528" t="str">
        <f>"1.446"</f>
        <v>1.446</v>
      </c>
    </row>
    <row r="529" spans="1:3" x14ac:dyDescent="0.25">
      <c r="A529" t="str">
        <f>"27/07/2011"</f>
        <v>27/07/2011</v>
      </c>
      <c r="B529" t="str">
        <f>"1.4515"</f>
        <v>1.4515</v>
      </c>
      <c r="C529" t="str">
        <f>"1.4501"</f>
        <v>1.4501</v>
      </c>
    </row>
    <row r="530" spans="1:3" x14ac:dyDescent="0.25">
      <c r="A530" t="str">
        <f>"28/07/2011"</f>
        <v>28/07/2011</v>
      </c>
      <c r="B530" t="str">
        <f>"1.4367"</f>
        <v>1.4367</v>
      </c>
      <c r="C530" t="str">
        <f>"1.4356"</f>
        <v>1.4356</v>
      </c>
    </row>
    <row r="531" spans="1:3" x14ac:dyDescent="0.25">
      <c r="A531" t="str">
        <f>"29/07/2011"</f>
        <v>29/07/2011</v>
      </c>
      <c r="B531" t="str">
        <f>"1.4342"</f>
        <v>1.4342</v>
      </c>
      <c r="C531" t="str">
        <f>"1.4331"</f>
        <v>1.4331</v>
      </c>
    </row>
    <row r="532" spans="1:3" x14ac:dyDescent="0.25">
      <c r="A532" t="str">
        <f>"01/08/2011"</f>
        <v>01/08/2011</v>
      </c>
      <c r="B532" t="str">
        <f>"1.4393"</f>
        <v>1.4393</v>
      </c>
      <c r="C532" t="str">
        <f>"1.4381"</f>
        <v>1.4381</v>
      </c>
    </row>
    <row r="533" spans="1:3" x14ac:dyDescent="0.25">
      <c r="A533" t="str">
        <f>"02/08/2011"</f>
        <v>02/08/2011</v>
      </c>
      <c r="B533" t="str">
        <f>"1.4255"</f>
        <v>1.4255</v>
      </c>
      <c r="C533" t="str">
        <f>"1.4245"</f>
        <v>1.4245</v>
      </c>
    </row>
    <row r="534" spans="1:3" x14ac:dyDescent="0.25">
      <c r="A534" t="str">
        <f>"03/08/2011"</f>
        <v>03/08/2011</v>
      </c>
      <c r="B534" t="str">
        <f>"1.4208"</f>
        <v>1.4208</v>
      </c>
      <c r="C534" t="str">
        <f>"1.4201"</f>
        <v>1.4201</v>
      </c>
    </row>
    <row r="535" spans="1:3" x14ac:dyDescent="0.25">
      <c r="A535" t="str">
        <f>"04/08/2011"</f>
        <v>04/08/2011</v>
      </c>
      <c r="B535" t="str">
        <f>"1.4296"</f>
        <v>1.4296</v>
      </c>
      <c r="C535" t="str">
        <f>"1.4287"</f>
        <v>1.4287</v>
      </c>
    </row>
    <row r="536" spans="1:3" x14ac:dyDescent="0.25">
      <c r="A536" t="str">
        <f>"09/08/2011"</f>
        <v>09/08/2011</v>
      </c>
      <c r="B536" t="str">
        <f>"1.4223"</f>
        <v>1.4223</v>
      </c>
      <c r="C536" t="str">
        <f>"1.4218"</f>
        <v>1.4218</v>
      </c>
    </row>
    <row r="537" spans="1:3" x14ac:dyDescent="0.25">
      <c r="A537" t="str">
        <f>"10/08/2011"</f>
        <v>10/08/2011</v>
      </c>
      <c r="B537" t="str">
        <f>"1.4344"</f>
        <v>1.4344</v>
      </c>
      <c r="C537" t="str">
        <f>"1.4339"</f>
        <v>1.4339</v>
      </c>
    </row>
    <row r="538" spans="1:3" x14ac:dyDescent="0.25">
      <c r="A538" t="str">
        <f>"11/08/2011"</f>
        <v>11/08/2011</v>
      </c>
      <c r="B538" t="str">
        <f>"1.4218"</f>
        <v>1.4218</v>
      </c>
      <c r="C538" t="str">
        <f>"1.4212"</f>
        <v>1.4212</v>
      </c>
    </row>
    <row r="539" spans="1:3" x14ac:dyDescent="0.25">
      <c r="A539" t="str">
        <f>"12/08/2011"</f>
        <v>12/08/2011</v>
      </c>
      <c r="B539" t="str">
        <f>"1.4184"</f>
        <v>1.4184</v>
      </c>
      <c r="C539" t="str">
        <f>"1.4179"</f>
        <v>1.4179</v>
      </c>
    </row>
    <row r="540" spans="1:3" x14ac:dyDescent="0.25">
      <c r="A540" t="str">
        <f>"16/08/2011"</f>
        <v>16/08/2011</v>
      </c>
      <c r="B540" t="str">
        <f>"1.4427"</f>
        <v>1.4427</v>
      </c>
      <c r="C540" t="str">
        <f>"1.442"</f>
        <v>1.442</v>
      </c>
    </row>
    <row r="541" spans="1:3" x14ac:dyDescent="0.25">
      <c r="A541" t="str">
        <f>"17/08/2011"</f>
        <v>17/08/2011</v>
      </c>
      <c r="B541" t="str">
        <f>"1.4399"</f>
        <v>1.4399</v>
      </c>
      <c r="C541" t="str">
        <f>"1.4393"</f>
        <v>1.4393</v>
      </c>
    </row>
    <row r="542" spans="1:3" x14ac:dyDescent="0.25">
      <c r="A542" t="str">
        <f>"18/08/2011"</f>
        <v>18/08/2011</v>
      </c>
      <c r="B542" t="str">
        <f>"1.4388"</f>
        <v>1.4388</v>
      </c>
      <c r="C542" t="str">
        <f>"1.4382"</f>
        <v>1.4382</v>
      </c>
    </row>
    <row r="543" spans="1:3" x14ac:dyDescent="0.25">
      <c r="A543" t="str">
        <f>"19/08/2011"</f>
        <v>19/08/2011</v>
      </c>
      <c r="B543" t="str">
        <f>"1.4308"</f>
        <v>1.4308</v>
      </c>
      <c r="C543" t="str">
        <f>"1.4302"</f>
        <v>1.4302</v>
      </c>
    </row>
    <row r="544" spans="1:3" x14ac:dyDescent="0.25">
      <c r="A544" t="str">
        <f>"22/08/2011"</f>
        <v>22/08/2011</v>
      </c>
      <c r="B544" t="str">
        <f>"1.4368"</f>
        <v>1.4368</v>
      </c>
      <c r="C544" t="str">
        <f>"1.4363"</f>
        <v>1.4363</v>
      </c>
    </row>
    <row r="545" spans="1:3" x14ac:dyDescent="0.25">
      <c r="A545" t="str">
        <f>"23/08/2011"</f>
        <v>23/08/2011</v>
      </c>
      <c r="B545" t="str">
        <f>"1.4369"</f>
        <v>1.4369</v>
      </c>
      <c r="C545" t="str">
        <f>"1.4364"</f>
        <v>1.4364</v>
      </c>
    </row>
    <row r="546" spans="1:3" x14ac:dyDescent="0.25">
      <c r="A546" t="str">
        <f>"24/08/2011"</f>
        <v>24/08/2011</v>
      </c>
      <c r="B546" t="str">
        <f>"1.4409"</f>
        <v>1.4409</v>
      </c>
      <c r="C546" t="str">
        <f>"1.4403"</f>
        <v>1.4403</v>
      </c>
    </row>
    <row r="547" spans="1:3" x14ac:dyDescent="0.25">
      <c r="A547" t="str">
        <f>"25/08/2011"</f>
        <v>25/08/2011</v>
      </c>
      <c r="B547" t="str">
        <f>"1.4409"</f>
        <v>1.4409</v>
      </c>
      <c r="C547" t="str">
        <f>"1.4403"</f>
        <v>1.4403</v>
      </c>
    </row>
    <row r="548" spans="1:3" x14ac:dyDescent="0.25">
      <c r="A548" t="str">
        <f>"26/08/2011"</f>
        <v>26/08/2011</v>
      </c>
      <c r="B548" t="str">
        <f>"1.4414"</f>
        <v>1.4414</v>
      </c>
      <c r="C548" t="str">
        <f>"1.4409"</f>
        <v>1.4409</v>
      </c>
    </row>
    <row r="549" spans="1:3" x14ac:dyDescent="0.25">
      <c r="A549" t="str">
        <f>"29/08/2011"</f>
        <v>29/08/2011</v>
      </c>
      <c r="B549" t="str">
        <f>"1.4494"</f>
        <v>1.4494</v>
      </c>
      <c r="C549" t="str">
        <f>"1.4489"</f>
        <v>1.4489</v>
      </c>
    </row>
    <row r="550" spans="1:3" x14ac:dyDescent="0.25">
      <c r="A550" t="str">
        <f>"30/08/2011"</f>
        <v>30/08/2011</v>
      </c>
      <c r="B550" t="str">
        <f>"1.4526"</f>
        <v>1.4526</v>
      </c>
      <c r="C550" t="str">
        <f>"1.4519"</f>
        <v>1.4519</v>
      </c>
    </row>
    <row r="551" spans="1:3" x14ac:dyDescent="0.25">
      <c r="A551" t="str">
        <f>"02/09/2011"</f>
        <v>02/09/2011</v>
      </c>
      <c r="B551" t="str">
        <f>"1.4266"</f>
        <v>1.4266</v>
      </c>
      <c r="C551" t="str">
        <f>"1.4261"</f>
        <v>1.4261</v>
      </c>
    </row>
    <row r="552" spans="1:3" x14ac:dyDescent="0.25">
      <c r="A552" t="str">
        <f>"05/09/2011"</f>
        <v>05/09/2011</v>
      </c>
      <c r="B552" t="str">
        <f>"1.4166"</f>
        <v>1.4166</v>
      </c>
      <c r="C552" t="str">
        <f>"1.4162"</f>
        <v>1.4162</v>
      </c>
    </row>
    <row r="553" spans="1:3" x14ac:dyDescent="0.25">
      <c r="A553" t="str">
        <f>"06/09/2011"</f>
        <v>06/09/2011</v>
      </c>
      <c r="B553" t="str">
        <f>"1.4069"</f>
        <v>1.4069</v>
      </c>
      <c r="C553" t="str">
        <f>"1.4065"</f>
        <v>1.4065</v>
      </c>
    </row>
    <row r="554" spans="1:3" x14ac:dyDescent="0.25">
      <c r="A554" t="str">
        <f>"07/09/2011"</f>
        <v>07/09/2011</v>
      </c>
      <c r="B554" t="str">
        <f>"1.4043"</f>
        <v>1.4043</v>
      </c>
      <c r="C554" t="str">
        <f>"1.4039"</f>
        <v>1.4039</v>
      </c>
    </row>
    <row r="555" spans="1:3" x14ac:dyDescent="0.25">
      <c r="A555" t="str">
        <f>"08/09/2011"</f>
        <v>08/09/2011</v>
      </c>
      <c r="B555" t="str">
        <f>"1.4058"</f>
        <v>1.4058</v>
      </c>
      <c r="C555" t="str">
        <f>"1.4054"</f>
        <v>1.4054</v>
      </c>
    </row>
    <row r="556" spans="1:3" x14ac:dyDescent="0.25">
      <c r="A556" t="str">
        <f>"09/09/2011"</f>
        <v>09/09/2011</v>
      </c>
      <c r="B556" t="str">
        <f>"1.3908"</f>
        <v>1.3908</v>
      </c>
      <c r="C556" t="str">
        <f>"1.3903"</f>
        <v>1.3903</v>
      </c>
    </row>
    <row r="557" spans="1:3" x14ac:dyDescent="0.25">
      <c r="A557" t="str">
        <f>"12/09/2011"</f>
        <v>12/09/2011</v>
      </c>
      <c r="B557" t="str">
        <f>"1.3567"</f>
        <v>1.3567</v>
      </c>
      <c r="C557" t="str">
        <f>"1.3564"</f>
        <v>1.3564</v>
      </c>
    </row>
    <row r="558" spans="1:3" x14ac:dyDescent="0.25">
      <c r="A558" t="str">
        <f>"13/09/2011"</f>
        <v>13/09/2011</v>
      </c>
      <c r="B558" t="str">
        <f>"1.3685"</f>
        <v>1.3685</v>
      </c>
      <c r="C558" t="str">
        <f>"1.3682"</f>
        <v>1.3682</v>
      </c>
    </row>
    <row r="559" spans="1:3" x14ac:dyDescent="0.25">
      <c r="A559" t="str">
        <f>"14/09/2011"</f>
        <v>14/09/2011</v>
      </c>
      <c r="B559" t="str">
        <f>"1.3628"</f>
        <v>1.3628</v>
      </c>
      <c r="C559" t="str">
        <f>"1.3624"</f>
        <v>1.3624</v>
      </c>
    </row>
    <row r="560" spans="1:3" x14ac:dyDescent="0.25">
      <c r="A560" t="str">
        <f>"15/09/2011"</f>
        <v>15/09/2011</v>
      </c>
      <c r="B560" t="str">
        <f>"1.3717"</f>
        <v>1.3717</v>
      </c>
      <c r="C560" t="str">
        <f>"1.3712"</f>
        <v>1.3712</v>
      </c>
    </row>
    <row r="561" spans="1:3" x14ac:dyDescent="0.25">
      <c r="A561" t="str">
        <f>"16/09/2011"</f>
        <v>16/09/2011</v>
      </c>
      <c r="B561" t="str">
        <f>"1.3859"</f>
        <v>1.3859</v>
      </c>
      <c r="C561" t="str">
        <f>"1.3854"</f>
        <v>1.3854</v>
      </c>
    </row>
    <row r="562" spans="1:3" x14ac:dyDescent="0.25">
      <c r="A562" t="str">
        <f>"19/09/2011"</f>
        <v>19/09/2011</v>
      </c>
      <c r="B562" t="str">
        <f>"1.3662"</f>
        <v>1.3662</v>
      </c>
      <c r="C562" t="str">
        <f>"1.3657"</f>
        <v>1.3657</v>
      </c>
    </row>
    <row r="563" spans="1:3" x14ac:dyDescent="0.25">
      <c r="A563" t="str">
        <f>"20/09/2011"</f>
        <v>20/09/2011</v>
      </c>
      <c r="B563" t="str">
        <f>"1.3616"</f>
        <v>1.3616</v>
      </c>
      <c r="C563" t="str">
        <f>"1.3612"</f>
        <v>1.3612</v>
      </c>
    </row>
    <row r="564" spans="1:3" x14ac:dyDescent="0.25">
      <c r="A564" t="str">
        <f>"21/09/2011"</f>
        <v>21/09/2011</v>
      </c>
      <c r="B564" t="str">
        <f>"1.3716"</f>
        <v>1.3716</v>
      </c>
      <c r="C564" t="str">
        <f>"1.3711"</f>
        <v>1.3711</v>
      </c>
    </row>
    <row r="565" spans="1:3" x14ac:dyDescent="0.25">
      <c r="A565" t="str">
        <f>"22/09/2011"</f>
        <v>22/09/2011</v>
      </c>
      <c r="B565" t="str">
        <f>"1.3541"</f>
        <v>1.3541</v>
      </c>
      <c r="C565" t="str">
        <f>"1.3537"</f>
        <v>1.3537</v>
      </c>
    </row>
    <row r="566" spans="1:3" x14ac:dyDescent="0.25">
      <c r="A566" t="str">
        <f>"23/09/2011"</f>
        <v>23/09/2011</v>
      </c>
      <c r="B566" t="str">
        <f>"1.3507"</f>
        <v>1.3507</v>
      </c>
      <c r="C566" t="str">
        <f>"1.3503"</f>
        <v>1.3503</v>
      </c>
    </row>
    <row r="567" spans="1:3" x14ac:dyDescent="0.25">
      <c r="A567" t="str">
        <f>"26/09/2011"</f>
        <v>26/09/2011</v>
      </c>
      <c r="B567" t="str">
        <f>"1.3409"</f>
        <v>1.3409</v>
      </c>
      <c r="C567" t="str">
        <f>"1.3405"</f>
        <v>1.3405</v>
      </c>
    </row>
    <row r="568" spans="1:3" x14ac:dyDescent="0.25">
      <c r="A568" t="str">
        <f>"27/09/2011"</f>
        <v>27/09/2011</v>
      </c>
      <c r="B568" t="str">
        <f>"1.3528"</f>
        <v>1.3528</v>
      </c>
      <c r="C568" t="str">
        <f>"1.3524"</f>
        <v>1.3524</v>
      </c>
    </row>
    <row r="569" spans="1:3" x14ac:dyDescent="0.25">
      <c r="A569" t="str">
        <f>"28/09/2011"</f>
        <v>28/09/2011</v>
      </c>
      <c r="B569" t="str">
        <f>"1.3562"</f>
        <v>1.3562</v>
      </c>
      <c r="C569" t="str">
        <f>"1.3557"</f>
        <v>1.3557</v>
      </c>
    </row>
    <row r="570" spans="1:3" x14ac:dyDescent="0.25">
      <c r="A570" t="str">
        <f>"29/09/2011"</f>
        <v>29/09/2011</v>
      </c>
      <c r="B570" t="str">
        <f>"1.3628"</f>
        <v>1.3628</v>
      </c>
      <c r="C570" t="str">
        <f>"1.3624"</f>
        <v>1.3624</v>
      </c>
    </row>
    <row r="571" spans="1:3" x14ac:dyDescent="0.25">
      <c r="A571" t="str">
        <f>"30/09/2011"</f>
        <v>30/09/2011</v>
      </c>
      <c r="B571" t="str">
        <f>"1.3531"</f>
        <v>1.3531</v>
      </c>
      <c r="C571" t="str">
        <f>"1.3527"</f>
        <v>1.3527</v>
      </c>
    </row>
    <row r="572" spans="1:3" x14ac:dyDescent="0.25">
      <c r="A572" t="str">
        <f>"03/10/2011"</f>
        <v>03/10/2011</v>
      </c>
      <c r="B572" t="str">
        <f>"1.3326"</f>
        <v>1.3326</v>
      </c>
      <c r="C572" t="str">
        <f>"1.3323"</f>
        <v>1.3323</v>
      </c>
    </row>
    <row r="573" spans="1:3" x14ac:dyDescent="0.25">
      <c r="A573" t="str">
        <f>"04/10/2011"</f>
        <v>04/10/2011</v>
      </c>
      <c r="B573" t="str">
        <f>"1.3201"</f>
        <v>1.3201</v>
      </c>
      <c r="C573" t="str">
        <f>"1.3197"</f>
        <v>1.3197</v>
      </c>
    </row>
    <row r="574" spans="1:3" x14ac:dyDescent="0.25">
      <c r="A574" t="str">
        <f>"05/10/2011"</f>
        <v>05/10/2011</v>
      </c>
      <c r="B574" t="str">
        <f>"1.3299"</f>
        <v>1.3299</v>
      </c>
      <c r="C574" t="str">
        <f>"1.3295"</f>
        <v>1.3295</v>
      </c>
    </row>
    <row r="575" spans="1:3" x14ac:dyDescent="0.25">
      <c r="A575" t="str">
        <f>"07/10/2011"</f>
        <v>07/10/2011</v>
      </c>
      <c r="B575" t="str">
        <f>"1.3431"</f>
        <v>1.3431</v>
      </c>
      <c r="C575" t="str">
        <f>"1.3425"</f>
        <v>1.3425</v>
      </c>
    </row>
    <row r="576" spans="1:3" x14ac:dyDescent="0.25">
      <c r="A576" t="str">
        <f>"10/10/2011"</f>
        <v>10/10/2011</v>
      </c>
      <c r="B576" t="str">
        <f>"1.346"</f>
        <v>1.346</v>
      </c>
      <c r="C576" t="str">
        <f>"1.3454"</f>
        <v>1.3454</v>
      </c>
    </row>
    <row r="577" spans="1:3" x14ac:dyDescent="0.25">
      <c r="A577" t="str">
        <f>"11/10/2011"</f>
        <v>11/10/2011</v>
      </c>
      <c r="B577" t="str">
        <f>"1.3631"</f>
        <v>1.3631</v>
      </c>
      <c r="C577" t="str">
        <f>"1.3626"</f>
        <v>1.3626</v>
      </c>
    </row>
    <row r="578" spans="1:3" x14ac:dyDescent="0.25">
      <c r="A578" t="str">
        <f>"12/10/2011"</f>
        <v>12/10/2011</v>
      </c>
      <c r="B578" t="str">
        <f>"1.3622"</f>
        <v>1.3622</v>
      </c>
      <c r="C578" t="str">
        <f>"1.3617"</f>
        <v>1.3617</v>
      </c>
    </row>
    <row r="579" spans="1:3" x14ac:dyDescent="0.25">
      <c r="A579" t="str">
        <f>"13/10/2011"</f>
        <v>13/10/2011</v>
      </c>
      <c r="B579" t="str">
        <f>"1.3801"</f>
        <v>1.3801</v>
      </c>
      <c r="C579" t="str">
        <f>"1.3796"</f>
        <v>1.3796</v>
      </c>
    </row>
    <row r="580" spans="1:3" x14ac:dyDescent="0.25">
      <c r="A580" t="str">
        <f>"14/10/2011"</f>
        <v>14/10/2011</v>
      </c>
      <c r="B580" t="str">
        <f>"1.3772"</f>
        <v>1.3772</v>
      </c>
      <c r="C580" t="str">
        <f>"1.3767"</f>
        <v>1.3767</v>
      </c>
    </row>
    <row r="581" spans="1:3" x14ac:dyDescent="0.25">
      <c r="A581" t="str">
        <f>"17/10/2011"</f>
        <v>17/10/2011</v>
      </c>
      <c r="B581" t="str">
        <f>"1.3853"</f>
        <v>1.3853</v>
      </c>
      <c r="C581" t="str">
        <f>"1.3848"</f>
        <v>1.3848</v>
      </c>
    </row>
    <row r="582" spans="1:3" x14ac:dyDescent="0.25">
      <c r="A582" t="str">
        <f>"18/10/2011"</f>
        <v>18/10/2011</v>
      </c>
      <c r="B582" t="str">
        <f>"1.3771"</f>
        <v>1.3771</v>
      </c>
      <c r="C582" t="str">
        <f>"1.3765"</f>
        <v>1.3765</v>
      </c>
    </row>
    <row r="583" spans="1:3" x14ac:dyDescent="0.25">
      <c r="A583" t="str">
        <f>"19/10/2011"</f>
        <v>19/10/2011</v>
      </c>
      <c r="B583" t="str">
        <f>"1.3807"</f>
        <v>1.3807</v>
      </c>
      <c r="C583" t="str">
        <f>"1.3803"</f>
        <v>1.3803</v>
      </c>
    </row>
    <row r="584" spans="1:3" x14ac:dyDescent="0.25">
      <c r="A584" t="str">
        <f>"20/10/2011"</f>
        <v>20/10/2011</v>
      </c>
      <c r="B584" t="str">
        <f>"1.3721"</f>
        <v>1.3721</v>
      </c>
      <c r="C584" t="str">
        <f>"1.3716"</f>
        <v>1.3716</v>
      </c>
    </row>
    <row r="585" spans="1:3" x14ac:dyDescent="0.25">
      <c r="A585" t="str">
        <f>"21/10/2011"</f>
        <v>21/10/2011</v>
      </c>
      <c r="B585" t="str">
        <f>"1.3778"</f>
        <v>1.3778</v>
      </c>
      <c r="C585" t="str">
        <f>"1.3772"</f>
        <v>1.3772</v>
      </c>
    </row>
    <row r="586" spans="1:3" x14ac:dyDescent="0.25">
      <c r="A586" t="str">
        <f>"24/10/2011"</f>
        <v>24/10/2011</v>
      </c>
      <c r="B586" t="str">
        <f>"1.3884"</f>
        <v>1.3884</v>
      </c>
      <c r="C586" t="str">
        <f>"1.3879"</f>
        <v>1.3879</v>
      </c>
    </row>
    <row r="587" spans="1:3" x14ac:dyDescent="0.25">
      <c r="A587" t="str">
        <f>"25/10/2011"</f>
        <v>25/10/2011</v>
      </c>
      <c r="B587" t="str">
        <f>"1.3905"</f>
        <v>1.3905</v>
      </c>
      <c r="C587" t="str">
        <f>"1.39"</f>
        <v>1.39</v>
      </c>
    </row>
    <row r="588" spans="1:3" x14ac:dyDescent="0.25">
      <c r="A588" t="str">
        <f>"28/10/2011"</f>
        <v>28/10/2011</v>
      </c>
      <c r="B588" t="str">
        <f>"1.4171"</f>
        <v>1.4171</v>
      </c>
      <c r="C588" t="str">
        <f>"1.4166"</f>
        <v>1.4166</v>
      </c>
    </row>
    <row r="589" spans="1:3" x14ac:dyDescent="0.25">
      <c r="A589" t="str">
        <f>"31/10/2011"</f>
        <v>31/10/2011</v>
      </c>
      <c r="B589" t="str">
        <f>"1.4001"</f>
        <v>1.4001</v>
      </c>
      <c r="C589" t="str">
        <f>"1.3997"</f>
        <v>1.3997</v>
      </c>
    </row>
    <row r="590" spans="1:3" x14ac:dyDescent="0.25">
      <c r="A590" t="str">
        <f>"01/11/2011"</f>
        <v>01/11/2011</v>
      </c>
      <c r="B590" t="str">
        <f>"1.3817"</f>
        <v>1.3817</v>
      </c>
      <c r="C590" t="str">
        <f>"1.3813"</f>
        <v>1.3813</v>
      </c>
    </row>
    <row r="591" spans="1:3" x14ac:dyDescent="0.25">
      <c r="A591" t="str">
        <f>"02/11/2011"</f>
        <v>02/11/2011</v>
      </c>
      <c r="B591" t="str">
        <f>"1.3719"</f>
        <v>1.3719</v>
      </c>
      <c r="C591" t="str">
        <f>"1.3716"</f>
        <v>1.3716</v>
      </c>
    </row>
    <row r="592" spans="1:3" x14ac:dyDescent="0.25">
      <c r="A592" t="str">
        <f>"03/11/2011"</f>
        <v>03/11/2011</v>
      </c>
      <c r="B592" t="str">
        <f>"1.3694"</f>
        <v>1.3694</v>
      </c>
      <c r="C592" t="str">
        <f>"1.3691"</f>
        <v>1.3691</v>
      </c>
    </row>
    <row r="593" spans="1:3" x14ac:dyDescent="0.25">
      <c r="A593" t="str">
        <f>"04/11/2011"</f>
        <v>04/11/2011</v>
      </c>
      <c r="B593" t="str">
        <f>"1.3814"</f>
        <v>1.3814</v>
      </c>
      <c r="C593" t="str">
        <f>"1.3812"</f>
        <v>1.3812</v>
      </c>
    </row>
    <row r="594" spans="1:3" x14ac:dyDescent="0.25">
      <c r="A594" t="str">
        <f>"08/11/2011"</f>
        <v>08/11/2011</v>
      </c>
      <c r="B594" t="str">
        <f>"1.3748"</f>
        <v>1.3748</v>
      </c>
      <c r="C594" t="str">
        <f>"1.3746"</f>
        <v>1.3746</v>
      </c>
    </row>
    <row r="595" spans="1:3" x14ac:dyDescent="0.25">
      <c r="A595" t="str">
        <f>"09/11/2011"</f>
        <v>09/11/2011</v>
      </c>
      <c r="B595" t="str">
        <f>"1.3836"</f>
        <v>1.3836</v>
      </c>
      <c r="C595" t="str">
        <f>"1.3834"</f>
        <v>1.3834</v>
      </c>
    </row>
    <row r="596" spans="1:3" x14ac:dyDescent="0.25">
      <c r="A596" t="str">
        <f>"11/11/2011"</f>
        <v>11/11/2011</v>
      </c>
      <c r="B596" t="str">
        <f>"1.3627"</f>
        <v>1.3627</v>
      </c>
      <c r="C596" t="str">
        <f>"1.3626"</f>
        <v>1.3626</v>
      </c>
    </row>
    <row r="597" spans="1:3" x14ac:dyDescent="0.25">
      <c r="A597" t="str">
        <f>"14/11/2011"</f>
        <v>14/11/2011</v>
      </c>
      <c r="B597" t="str">
        <f>"1.3772"</f>
        <v>1.3772</v>
      </c>
      <c r="C597" t="str">
        <f>"1.377"</f>
        <v>1.377</v>
      </c>
    </row>
    <row r="598" spans="1:3" x14ac:dyDescent="0.25">
      <c r="A598" t="str">
        <f>"15/11/2011"</f>
        <v>15/11/2011</v>
      </c>
      <c r="B598" t="str">
        <f>"1.3601"</f>
        <v>1.3601</v>
      </c>
      <c r="C598" t="str">
        <f>"1.36"</f>
        <v>1.36</v>
      </c>
    </row>
    <row r="599" spans="1:3" x14ac:dyDescent="0.25">
      <c r="A599" t="str">
        <f>"16/11/2011"</f>
        <v>16/11/2011</v>
      </c>
      <c r="B599" t="str">
        <f>"1.3455"</f>
        <v>1.3455</v>
      </c>
      <c r="C599" t="str">
        <f>"1.3454"</f>
        <v>1.3454</v>
      </c>
    </row>
    <row r="600" spans="1:3" x14ac:dyDescent="0.25">
      <c r="A600" t="str">
        <f>"17/11/2011"</f>
        <v>17/11/2011</v>
      </c>
      <c r="B600" t="str">
        <f>"1.3475"</f>
        <v>1.3475</v>
      </c>
      <c r="C600" t="str">
        <f>"1.3474"</f>
        <v>1.3474</v>
      </c>
    </row>
    <row r="601" spans="1:3" x14ac:dyDescent="0.25">
      <c r="A601" t="str">
        <f>"18/11/2011"</f>
        <v>18/11/2011</v>
      </c>
      <c r="B601" t="str">
        <f>"1.3478"</f>
        <v>1.3478</v>
      </c>
      <c r="C601" t="str">
        <f>"1.3478"</f>
        <v>1.3478</v>
      </c>
    </row>
    <row r="602" spans="1:3" x14ac:dyDescent="0.25">
      <c r="A602" t="str">
        <f>"21/11/2011"</f>
        <v>21/11/2011</v>
      </c>
      <c r="B602" t="str">
        <f>"1.3523"</f>
        <v>1.3523</v>
      </c>
      <c r="C602" t="str">
        <f>"1.3523"</f>
        <v>1.3523</v>
      </c>
    </row>
    <row r="603" spans="1:3" x14ac:dyDescent="0.25">
      <c r="A603" t="str">
        <f>"22/11/2011"</f>
        <v>22/11/2011</v>
      </c>
      <c r="B603" t="str">
        <f>"1.3474"</f>
        <v>1.3474</v>
      </c>
      <c r="C603" t="str">
        <f>"1.3474"</f>
        <v>1.3474</v>
      </c>
    </row>
    <row r="604" spans="1:3" x14ac:dyDescent="0.25">
      <c r="A604" t="str">
        <f>"23/11/2011"</f>
        <v>23/11/2011</v>
      </c>
      <c r="B604" t="str">
        <f>"1.3473"</f>
        <v>1.3473</v>
      </c>
      <c r="C604" t="str">
        <f>"1.3473"</f>
        <v>1.3473</v>
      </c>
    </row>
    <row r="605" spans="1:3" x14ac:dyDescent="0.25">
      <c r="A605" t="str">
        <f>"24/11/2011"</f>
        <v>24/11/2011</v>
      </c>
      <c r="B605" t="str">
        <f>"1.3398"</f>
        <v>1.3398</v>
      </c>
      <c r="C605" t="str">
        <f>"1.3399"</f>
        <v>1.3399</v>
      </c>
    </row>
    <row r="606" spans="1:3" x14ac:dyDescent="0.25">
      <c r="A606" t="str">
        <f>"25/11/2011"</f>
        <v>25/11/2011</v>
      </c>
      <c r="B606" t="str">
        <f>"1.3258"</f>
        <v>1.3258</v>
      </c>
      <c r="C606" t="str">
        <f>"1.3259"</f>
        <v>1.3259</v>
      </c>
    </row>
    <row r="607" spans="1:3" x14ac:dyDescent="0.25">
      <c r="A607" t="str">
        <f>"28/11/2011"</f>
        <v>28/11/2011</v>
      </c>
      <c r="B607" t="str">
        <f>"1.3386"</f>
        <v>1.3386</v>
      </c>
      <c r="C607" t="str">
        <f>"1.3387"</f>
        <v>1.3387</v>
      </c>
    </row>
    <row r="608" spans="1:3" x14ac:dyDescent="0.25">
      <c r="A608" t="str">
        <f>"29/11/2011"</f>
        <v>29/11/2011</v>
      </c>
      <c r="B608" t="str">
        <f>"1.3412"</f>
        <v>1.3412</v>
      </c>
      <c r="C608" t="str">
        <f>"1.3417"</f>
        <v>1.3417</v>
      </c>
    </row>
    <row r="609" spans="1:3" x14ac:dyDescent="0.25">
      <c r="A609" t="str">
        <f>"30/11/2011"</f>
        <v>30/11/2011</v>
      </c>
      <c r="B609" t="str">
        <f>"1.3287"</f>
        <v>1.3287</v>
      </c>
      <c r="C609" t="str">
        <f>"1.3293"</f>
        <v>1.3293</v>
      </c>
    </row>
    <row r="610" spans="1:3" x14ac:dyDescent="0.25">
      <c r="A610" t="str">
        <f>"01/12/2011"</f>
        <v>01/12/2011</v>
      </c>
      <c r="B610" t="str">
        <f>"1.3481"</f>
        <v>1.3481</v>
      </c>
      <c r="C610" t="str">
        <f>"1.3484"</f>
        <v>1.3484</v>
      </c>
    </row>
    <row r="611" spans="1:3" x14ac:dyDescent="0.25">
      <c r="A611" t="str">
        <f>"02/12/2011"</f>
        <v>02/12/2011</v>
      </c>
      <c r="B611" t="str">
        <f>"1.3486"</f>
        <v>1.3486</v>
      </c>
      <c r="C611" t="str">
        <f>"1.349"</f>
        <v>1.349</v>
      </c>
    </row>
    <row r="612" spans="1:3" x14ac:dyDescent="0.25">
      <c r="A612" t="str">
        <f>"05/12/2011"</f>
        <v>05/12/2011</v>
      </c>
      <c r="B612" t="str">
        <f>"1.3451"</f>
        <v>1.3451</v>
      </c>
      <c r="C612" t="str">
        <f>"1.3455"</f>
        <v>1.3455</v>
      </c>
    </row>
    <row r="613" spans="1:3" x14ac:dyDescent="0.25">
      <c r="A613" t="str">
        <f>"07/12/2011"</f>
        <v>07/12/2011</v>
      </c>
      <c r="B613" t="str">
        <f>"1.3415"</f>
        <v>1.3415</v>
      </c>
      <c r="C613" t="str">
        <f>"1.3417"</f>
        <v>1.3417</v>
      </c>
    </row>
    <row r="614" spans="1:3" x14ac:dyDescent="0.25">
      <c r="A614" t="str">
        <f>"08/12/2011"</f>
        <v>08/12/2011</v>
      </c>
      <c r="B614" t="str">
        <f>"1.3404"</f>
        <v>1.3404</v>
      </c>
      <c r="C614" t="str">
        <f>"1.3408"</f>
        <v>1.3408</v>
      </c>
    </row>
    <row r="615" spans="1:3" x14ac:dyDescent="0.25">
      <c r="A615" t="str">
        <f>"09/12/2011"</f>
        <v>09/12/2011</v>
      </c>
      <c r="B615" t="str">
        <f>"1.3323"</f>
        <v>1.3323</v>
      </c>
      <c r="C615" t="str">
        <f>"1.3327"</f>
        <v>1.3327</v>
      </c>
    </row>
    <row r="616" spans="1:3" x14ac:dyDescent="0.25">
      <c r="A616" t="str">
        <f>"12/12/2011"</f>
        <v>12/12/2011</v>
      </c>
      <c r="B616" t="str">
        <f>"1.3263"</f>
        <v>1.3263</v>
      </c>
      <c r="C616" t="str">
        <f>"1.3269"</f>
        <v>1.3269</v>
      </c>
    </row>
    <row r="617" spans="1:3" x14ac:dyDescent="0.25">
      <c r="A617" t="str">
        <f>"13/12/2011"</f>
        <v>13/12/2011</v>
      </c>
      <c r="B617" t="str">
        <f>"1.3194"</f>
        <v>1.3194</v>
      </c>
      <c r="C617" t="str">
        <f>"1.3202"</f>
        <v>1.3202</v>
      </c>
    </row>
    <row r="618" spans="1:3" x14ac:dyDescent="0.25">
      <c r="A618" t="str">
        <f>"14/12/2011"</f>
        <v>14/12/2011</v>
      </c>
      <c r="B618" t="str">
        <f>"1.3031"</f>
        <v>1.3031</v>
      </c>
      <c r="C618" t="str">
        <f>"1.3042"</f>
        <v>1.3042</v>
      </c>
    </row>
    <row r="619" spans="1:3" x14ac:dyDescent="0.25">
      <c r="A619" t="str">
        <f>"15/12/2011"</f>
        <v>15/12/2011</v>
      </c>
      <c r="B619" t="str">
        <f>"1.2987"</f>
        <v>1.2987</v>
      </c>
      <c r="C619" t="str">
        <f>"1.2996"</f>
        <v>1.2996</v>
      </c>
    </row>
    <row r="620" spans="1:3" x14ac:dyDescent="0.25">
      <c r="A620" t="str">
        <f>"16/12/2011"</f>
        <v>16/12/2011</v>
      </c>
      <c r="B620" t="str">
        <f>"1.3038"</f>
        <v>1.3038</v>
      </c>
      <c r="C620" t="str">
        <f>"1.3045"</f>
        <v>1.3045</v>
      </c>
    </row>
    <row r="621" spans="1:3" x14ac:dyDescent="0.25">
      <c r="A621" t="str">
        <f>"19/12/2011"</f>
        <v>19/12/2011</v>
      </c>
      <c r="B621" t="str">
        <f>"1.3025"</f>
        <v>1.3025</v>
      </c>
      <c r="C621" t="str">
        <f>"1.3031"</f>
        <v>1.3031</v>
      </c>
    </row>
    <row r="622" spans="1:3" x14ac:dyDescent="0.25">
      <c r="A622" t="str">
        <f>"20/12/2011"</f>
        <v>20/12/2011</v>
      </c>
      <c r="B622" t="str">
        <f>"1.3072"</f>
        <v>1.3072</v>
      </c>
      <c r="C622" t="str">
        <f>"1.3076"</f>
        <v>1.3076</v>
      </c>
    </row>
    <row r="623" spans="1:3" x14ac:dyDescent="0.25">
      <c r="A623" t="str">
        <f>"21/12/2011"</f>
        <v>21/12/2011</v>
      </c>
      <c r="B623" t="str">
        <f>"1.3117"</f>
        <v>1.3117</v>
      </c>
      <c r="C623" t="str">
        <f>"1.3122"</f>
        <v>1.3122</v>
      </c>
    </row>
    <row r="624" spans="1:3" x14ac:dyDescent="0.25">
      <c r="A624" t="str">
        <f>"22/12/2011"</f>
        <v>22/12/2011</v>
      </c>
      <c r="B624" t="str">
        <f>"1.3067"</f>
        <v>1.3067</v>
      </c>
      <c r="C624" t="str">
        <f>"1.3073"</f>
        <v>1.3073</v>
      </c>
    </row>
    <row r="625" spans="1:3" x14ac:dyDescent="0.25">
      <c r="A625" t="str">
        <f>"23/12/2011"</f>
        <v>23/12/2011</v>
      </c>
      <c r="B625" t="str">
        <f>"1.3079"</f>
        <v>1.3079</v>
      </c>
      <c r="C625" t="str">
        <f>"1.3085"</f>
        <v>1.3085</v>
      </c>
    </row>
    <row r="626" spans="1:3" x14ac:dyDescent="0.25">
      <c r="A626" t="str">
        <f>"26/12/2011"</f>
        <v>26/12/2011</v>
      </c>
      <c r="B626" t="str">
        <f>"1.3066"</f>
        <v>1.3066</v>
      </c>
      <c r="C626" t="str">
        <f>"1.3072"</f>
        <v>1.3072</v>
      </c>
    </row>
    <row r="627" spans="1:3" x14ac:dyDescent="0.25">
      <c r="A627" t="str">
        <f>"27/12/2011"</f>
        <v>27/12/2011</v>
      </c>
      <c r="B627" t="str">
        <f>"1.3074"</f>
        <v>1.3074</v>
      </c>
      <c r="C627" t="str">
        <f>"1.308"</f>
        <v>1.308</v>
      </c>
    </row>
    <row r="628" spans="1:3" x14ac:dyDescent="0.25">
      <c r="A628" t="str">
        <f>"28/12/2011"</f>
        <v>28/12/2011</v>
      </c>
      <c r="B628" t="str">
        <f>"1.3066"</f>
        <v>1.3066</v>
      </c>
      <c r="C628" t="str">
        <f>"1.3072"</f>
        <v>1.3072</v>
      </c>
    </row>
    <row r="629" spans="1:3" x14ac:dyDescent="0.25">
      <c r="A629" t="str">
        <f>"29/12/2011"</f>
        <v>29/12/2011</v>
      </c>
      <c r="B629" t="str">
        <f>"1.2924"</f>
        <v>1.2924</v>
      </c>
      <c r="C629" t="str">
        <f>"1.2928"</f>
        <v>1.2928</v>
      </c>
    </row>
    <row r="630" spans="1:3" x14ac:dyDescent="0.25">
      <c r="A630" t="str">
        <f>"30/12/2011"</f>
        <v>30/12/2011</v>
      </c>
      <c r="B630" t="str">
        <f>"1.2941"</f>
        <v>1.2941</v>
      </c>
      <c r="C630" t="str">
        <f>"1.2944"</f>
        <v>1.2944</v>
      </c>
    </row>
    <row r="631" spans="1:3" x14ac:dyDescent="0.25">
      <c r="A631" t="str">
        <f>"02/01/2012"</f>
        <v>02/01/2012</v>
      </c>
      <c r="B631" t="str">
        <f>"1.2927"</f>
        <v>1.2927</v>
      </c>
      <c r="C631" t="str">
        <f>"1.2929"</f>
        <v>1.2929</v>
      </c>
    </row>
    <row r="632" spans="1:3" x14ac:dyDescent="0.25">
      <c r="A632" t="str">
        <f>"03/01/2012"</f>
        <v>03/01/2012</v>
      </c>
      <c r="B632" t="str">
        <f>"1.2974"</f>
        <v>1.2974</v>
      </c>
      <c r="C632" t="str">
        <f>"1.2977"</f>
        <v>1.2977</v>
      </c>
    </row>
    <row r="633" spans="1:3" x14ac:dyDescent="0.25">
      <c r="A633" t="str">
        <f>"04/01/2012"</f>
        <v>04/01/2012</v>
      </c>
      <c r="B633" t="str">
        <f>"1.3034"</f>
        <v>1.3034</v>
      </c>
      <c r="C633" t="str">
        <f>"1.3035"</f>
        <v>1.3035</v>
      </c>
    </row>
    <row r="634" spans="1:3" x14ac:dyDescent="0.25">
      <c r="A634" t="str">
        <f>"05/01/2012"</f>
        <v>05/01/2012</v>
      </c>
      <c r="B634" t="str">
        <f>"1.2928"</f>
        <v>1.2928</v>
      </c>
      <c r="C634" t="str">
        <f>"1.293"</f>
        <v>1.293</v>
      </c>
    </row>
    <row r="635" spans="1:3" x14ac:dyDescent="0.25">
      <c r="A635" t="str">
        <f>"06/01/2012"</f>
        <v>06/01/2012</v>
      </c>
      <c r="B635" t="str">
        <f>"1.2789"</f>
        <v>1.2789</v>
      </c>
      <c r="C635" t="str">
        <f>"1.279"</f>
        <v>1.279</v>
      </c>
    </row>
    <row r="636" spans="1:3" x14ac:dyDescent="0.25">
      <c r="A636" t="str">
        <f>"09/01/2012"</f>
        <v>09/01/2012</v>
      </c>
      <c r="B636" t="str">
        <f>"1.2716"</f>
        <v>1.2716</v>
      </c>
      <c r="C636" t="str">
        <f>"1.2717"</f>
        <v>1.2717</v>
      </c>
    </row>
    <row r="637" spans="1:3" x14ac:dyDescent="0.25">
      <c r="A637" t="str">
        <f>"10/01/2012"</f>
        <v>10/01/2012</v>
      </c>
      <c r="B637" t="str">
        <f>"1.2799"</f>
        <v>1.2799</v>
      </c>
      <c r="C637" t="str">
        <f>"1.28"</f>
        <v>1.28</v>
      </c>
    </row>
    <row r="638" spans="1:3" x14ac:dyDescent="0.25">
      <c r="A638" t="str">
        <f>"11/01/2012"</f>
        <v>11/01/2012</v>
      </c>
      <c r="B638" t="str">
        <f>"1.2755"</f>
        <v>1.2755</v>
      </c>
      <c r="C638" t="str">
        <f>"1.2756"</f>
        <v>1.2756</v>
      </c>
    </row>
    <row r="639" spans="1:3" x14ac:dyDescent="0.25">
      <c r="A639" t="str">
        <f>"12/01/2012"</f>
        <v>12/01/2012</v>
      </c>
      <c r="B639" t="str">
        <f>"1.2718"</f>
        <v>1.2718</v>
      </c>
      <c r="C639" t="str">
        <f>"1.2719"</f>
        <v>1.2719</v>
      </c>
    </row>
    <row r="640" spans="1:3" x14ac:dyDescent="0.25">
      <c r="A640" t="str">
        <f>"13/01/2012"</f>
        <v>13/01/2012</v>
      </c>
      <c r="B640" t="str">
        <f>"1.2823"</f>
        <v>1.2823</v>
      </c>
      <c r="C640" t="str">
        <f>"1.2824"</f>
        <v>1.2824</v>
      </c>
    </row>
    <row r="641" spans="1:3" x14ac:dyDescent="0.25">
      <c r="A641" t="str">
        <f>"16/01/2012"</f>
        <v>16/01/2012</v>
      </c>
      <c r="B641" t="str">
        <f>"1.2657"</f>
        <v>1.2657</v>
      </c>
      <c r="C641" t="str">
        <f>"1.2657"</f>
        <v>1.2657</v>
      </c>
    </row>
    <row r="642" spans="1:3" x14ac:dyDescent="0.25">
      <c r="A642" t="str">
        <f>"17/01/2012"</f>
        <v>17/01/2012</v>
      </c>
      <c r="B642" t="str">
        <f>"1.2732"</f>
        <v>1.2732</v>
      </c>
      <c r="C642" t="str">
        <f>"1.2732"</f>
        <v>1.2732</v>
      </c>
    </row>
    <row r="643" spans="1:3" x14ac:dyDescent="0.25">
      <c r="A643" t="str">
        <f>"18/01/2012"</f>
        <v>18/01/2012</v>
      </c>
      <c r="B643" t="str">
        <f>"1.276"</f>
        <v>1.276</v>
      </c>
      <c r="C643" t="str">
        <f>"1.2761"</f>
        <v>1.2761</v>
      </c>
    </row>
    <row r="644" spans="1:3" x14ac:dyDescent="0.25">
      <c r="A644" t="str">
        <f>"19/01/2012"</f>
        <v>19/01/2012</v>
      </c>
      <c r="B644" t="str">
        <f>"1.2907"</f>
        <v>1.2907</v>
      </c>
      <c r="C644" t="str">
        <f>"1.2907"</f>
        <v>1.2907</v>
      </c>
    </row>
    <row r="645" spans="1:3" x14ac:dyDescent="0.25">
      <c r="A645" t="str">
        <f>"20/01/2012"</f>
        <v>20/01/2012</v>
      </c>
      <c r="B645" t="str">
        <f>"1.2965"</f>
        <v>1.2965</v>
      </c>
      <c r="C645" t="str">
        <f>"1.2965"</f>
        <v>1.2965</v>
      </c>
    </row>
    <row r="646" spans="1:3" x14ac:dyDescent="0.25">
      <c r="A646" t="str">
        <f>"23/01/2012"</f>
        <v>23/01/2012</v>
      </c>
      <c r="B646" t="str">
        <f>"1.2922"</f>
        <v>1.2922</v>
      </c>
      <c r="C646" t="str">
        <f>"1.2923"</f>
        <v>1.2923</v>
      </c>
    </row>
    <row r="647" spans="1:3" x14ac:dyDescent="0.25">
      <c r="A647" t="str">
        <f>"24/01/2012"</f>
        <v>24/01/2012</v>
      </c>
      <c r="B647" t="str">
        <f>"1.3006"</f>
        <v>1.3006</v>
      </c>
      <c r="C647" t="str">
        <f>"1.3006"</f>
        <v>1.3006</v>
      </c>
    </row>
    <row r="648" spans="1:3" x14ac:dyDescent="0.25">
      <c r="A648" t="str">
        <f>"25/01/2012"</f>
        <v>25/01/2012</v>
      </c>
      <c r="B648" t="str">
        <f>"1.2993"</f>
        <v>1.2993</v>
      </c>
      <c r="C648" t="str">
        <f>"1.2993"</f>
        <v>1.2993</v>
      </c>
    </row>
    <row r="649" spans="1:3" x14ac:dyDescent="0.25">
      <c r="A649" t="str">
        <f>"27/01/2012"</f>
        <v>27/01/2012</v>
      </c>
      <c r="B649" t="str">
        <f>"1.315"</f>
        <v>1.315</v>
      </c>
      <c r="C649" t="str">
        <f>"1.3151"</f>
        <v>1.3151</v>
      </c>
    </row>
    <row r="650" spans="1:3" x14ac:dyDescent="0.25">
      <c r="A650" t="str">
        <f>"30/01/2012"</f>
        <v>30/01/2012</v>
      </c>
      <c r="B650" t="str">
        <f>"1.3128"</f>
        <v>1.3128</v>
      </c>
      <c r="C650" t="str">
        <f>"1.3128"</f>
        <v>1.3128</v>
      </c>
    </row>
    <row r="651" spans="1:3" x14ac:dyDescent="0.25">
      <c r="A651" t="str">
        <f>"31/01/2012"</f>
        <v>31/01/2012</v>
      </c>
      <c r="B651" t="str">
        <f>"1.3191"</f>
        <v>1.3191</v>
      </c>
      <c r="C651" t="str">
        <f>"1.3192"</f>
        <v>1.3192</v>
      </c>
    </row>
    <row r="652" spans="1:3" x14ac:dyDescent="0.25">
      <c r="A652" t="str">
        <f>"01/02/2012"</f>
        <v>01/02/2012</v>
      </c>
      <c r="B652" t="str">
        <f>"1.3072"</f>
        <v>1.3072</v>
      </c>
      <c r="C652" t="str">
        <f>"1.3072"</f>
        <v>1.3072</v>
      </c>
    </row>
    <row r="653" spans="1:3" x14ac:dyDescent="0.25">
      <c r="A653" t="str">
        <f>"02/02/2012"</f>
        <v>02/02/2012</v>
      </c>
      <c r="B653" t="str">
        <f>"1.3176"</f>
        <v>1.3176</v>
      </c>
      <c r="C653" t="str">
        <f>"1.3176"</f>
        <v>1.3176</v>
      </c>
    </row>
    <row r="654" spans="1:3" x14ac:dyDescent="0.25">
      <c r="A654" t="str">
        <f>"03/02/2012"</f>
        <v>03/02/2012</v>
      </c>
      <c r="B654" t="str">
        <f>"1.3131"</f>
        <v>1.3131</v>
      </c>
      <c r="C654" t="str">
        <f>"1.3132"</f>
        <v>1.3132</v>
      </c>
    </row>
    <row r="655" spans="1:3" x14ac:dyDescent="0.25">
      <c r="A655" t="str">
        <f>"06/02/2012"</f>
        <v>06/02/2012</v>
      </c>
      <c r="B655" t="str">
        <f>"1.3089"</f>
        <v>1.3089</v>
      </c>
      <c r="C655" t="str">
        <f>"1.309"</f>
        <v>1.309</v>
      </c>
    </row>
    <row r="656" spans="1:3" x14ac:dyDescent="0.25">
      <c r="A656" t="str">
        <f>"07/02/2012"</f>
        <v>07/02/2012</v>
      </c>
      <c r="B656" t="str">
        <f>"1.31"</f>
        <v>1.31</v>
      </c>
      <c r="C656" t="str">
        <f>"1.31"</f>
        <v>1.31</v>
      </c>
    </row>
    <row r="657" spans="1:3" x14ac:dyDescent="0.25">
      <c r="A657" t="str">
        <f>"08/02/2012"</f>
        <v>08/02/2012</v>
      </c>
      <c r="B657" t="str">
        <f>"1.3244"</f>
        <v>1.3244</v>
      </c>
      <c r="C657" t="str">
        <f>"1.3245"</f>
        <v>1.3245</v>
      </c>
    </row>
    <row r="658" spans="1:3" x14ac:dyDescent="0.25">
      <c r="A658" t="str">
        <f>"09/02/2012"</f>
        <v>09/02/2012</v>
      </c>
      <c r="B658" t="str">
        <f>"1.3262"</f>
        <v>1.3262</v>
      </c>
      <c r="C658" t="str">
        <f>"1.3262"</f>
        <v>1.3262</v>
      </c>
    </row>
    <row r="659" spans="1:3" x14ac:dyDescent="0.25">
      <c r="A659" t="str">
        <f>"10/02/2012"</f>
        <v>10/02/2012</v>
      </c>
      <c r="B659" t="str">
        <f>"1.3266"</f>
        <v>1.3266</v>
      </c>
      <c r="C659" t="str">
        <f>"1.3267"</f>
        <v>1.3267</v>
      </c>
    </row>
    <row r="660" spans="1:3" x14ac:dyDescent="0.25">
      <c r="A660" t="str">
        <f>"13/02/2012"</f>
        <v>13/02/2012</v>
      </c>
      <c r="B660" t="str">
        <f>"1.3255"</f>
        <v>1.3255</v>
      </c>
      <c r="C660" t="str">
        <f>"1.3255"</f>
        <v>1.3255</v>
      </c>
    </row>
    <row r="661" spans="1:3" x14ac:dyDescent="0.25">
      <c r="A661" t="str">
        <f>"14/02/2012"</f>
        <v>14/02/2012</v>
      </c>
      <c r="B661" t="str">
        <f>"1.3167"</f>
        <v>1.3167</v>
      </c>
      <c r="C661" t="str">
        <f>"1.3167"</f>
        <v>1.3167</v>
      </c>
    </row>
    <row r="662" spans="1:3" x14ac:dyDescent="0.25">
      <c r="A662" t="str">
        <f>"15/02/2012"</f>
        <v>15/02/2012</v>
      </c>
      <c r="B662" t="str">
        <f>"1.3164"</f>
        <v>1.3164</v>
      </c>
      <c r="C662" t="str">
        <f>"1.3164"</f>
        <v>1.3164</v>
      </c>
    </row>
    <row r="663" spans="1:3" x14ac:dyDescent="0.25">
      <c r="A663" t="str">
        <f>"16/02/2012"</f>
        <v>16/02/2012</v>
      </c>
      <c r="B663" t="str">
        <f>"1.3025"</f>
        <v>1.3025</v>
      </c>
      <c r="C663" t="str">
        <f>"1.3025"</f>
        <v>1.3025</v>
      </c>
    </row>
    <row r="664" spans="1:3" x14ac:dyDescent="0.25">
      <c r="A664" t="str">
        <f>"17/02/2012"</f>
        <v>17/02/2012</v>
      </c>
      <c r="B664" t="str">
        <f>"1.3125"</f>
        <v>1.3125</v>
      </c>
      <c r="C664" t="str">
        <f>"1.3126"</f>
        <v>1.3126</v>
      </c>
    </row>
    <row r="665" spans="1:3" x14ac:dyDescent="0.25">
      <c r="A665" t="str">
        <f>"21/02/2012"</f>
        <v>21/02/2012</v>
      </c>
      <c r="B665" t="str">
        <f>"1.3226"</f>
        <v>1.3226</v>
      </c>
      <c r="C665" t="str">
        <f>"1.3227"</f>
        <v>1.3227</v>
      </c>
    </row>
    <row r="666" spans="1:3" x14ac:dyDescent="0.25">
      <c r="A666" t="str">
        <f>"22/02/2012"</f>
        <v>22/02/2012</v>
      </c>
      <c r="B666" t="str">
        <f>"1.3238"</f>
        <v>1.3238</v>
      </c>
      <c r="C666" t="str">
        <f>"1.3239"</f>
        <v>1.3239</v>
      </c>
    </row>
    <row r="667" spans="1:3" x14ac:dyDescent="0.25">
      <c r="A667" t="str">
        <f>"23/02/2012"</f>
        <v>23/02/2012</v>
      </c>
      <c r="B667" t="str">
        <f>"1.3307"</f>
        <v>1.3307</v>
      </c>
      <c r="C667" t="str">
        <f>"1.3309"</f>
        <v>1.3309</v>
      </c>
    </row>
    <row r="668" spans="1:3" x14ac:dyDescent="0.25">
      <c r="A668" t="str">
        <f>"24/02/2012"</f>
        <v>24/02/2012</v>
      </c>
      <c r="B668" t="str">
        <f>"1.339"</f>
        <v>1.339</v>
      </c>
      <c r="C668" t="str">
        <f>"1.3391"</f>
        <v>1.3391</v>
      </c>
    </row>
    <row r="669" spans="1:3" x14ac:dyDescent="0.25">
      <c r="A669" t="str">
        <f>"27/02/2012"</f>
        <v>27/02/2012</v>
      </c>
      <c r="B669" t="str">
        <f>"1.3413"</f>
        <v>1.3413</v>
      </c>
      <c r="C669" t="str">
        <f>"1.3414"</f>
        <v>1.3414</v>
      </c>
    </row>
    <row r="670" spans="1:3" x14ac:dyDescent="0.25">
      <c r="A670" t="str">
        <f>"28/02/2012"</f>
        <v>28/02/2012</v>
      </c>
      <c r="B670" t="str">
        <f>"1.3427"</f>
        <v>1.3427</v>
      </c>
      <c r="C670" t="str">
        <f>"1.3427"</f>
        <v>1.3427</v>
      </c>
    </row>
    <row r="671" spans="1:3" x14ac:dyDescent="0.25">
      <c r="A671" t="str">
        <f t="shared" ref="A671" si="0">"29/02/2012"</f>
        <v>29/02/2012</v>
      </c>
      <c r="B671" t="str">
        <f>"1.3438"</f>
        <v>1.3438</v>
      </c>
      <c r="C671" t="str">
        <f>"1.344"</f>
        <v>1.344</v>
      </c>
    </row>
    <row r="672" spans="1:3" x14ac:dyDescent="0.25">
      <c r="A672" t="str">
        <f>"01/03/2012"</f>
        <v>01/03/2012</v>
      </c>
      <c r="B672" t="str">
        <f>"1.3348"</f>
        <v>1.3348</v>
      </c>
      <c r="C672" t="str">
        <f>"1.335"</f>
        <v>1.335</v>
      </c>
    </row>
    <row r="673" spans="1:3" x14ac:dyDescent="0.25">
      <c r="A673" t="str">
        <f>"02/03/2012"</f>
        <v>02/03/2012</v>
      </c>
      <c r="B673" t="str">
        <f>"1.33"</f>
        <v>1.33</v>
      </c>
      <c r="C673" t="str">
        <f>"1.3302"</f>
        <v>1.3302</v>
      </c>
    </row>
    <row r="674" spans="1:3" x14ac:dyDescent="0.25">
      <c r="A674" t="str">
        <f>"05/03/2012"</f>
        <v>05/03/2012</v>
      </c>
      <c r="B674" t="str">
        <f>"1.3201"</f>
        <v>1.3201</v>
      </c>
      <c r="C674" t="str">
        <f>"1.3203"</f>
        <v>1.3203</v>
      </c>
    </row>
    <row r="675" spans="1:3" x14ac:dyDescent="0.25">
      <c r="A675" t="str">
        <f>"06/03/2012"</f>
        <v>06/03/2012</v>
      </c>
      <c r="B675" t="str">
        <f>"1.3195"</f>
        <v>1.3195</v>
      </c>
      <c r="C675" t="str">
        <f>"1.3198"</f>
        <v>1.3198</v>
      </c>
    </row>
    <row r="676" spans="1:3" x14ac:dyDescent="0.25">
      <c r="A676" t="str">
        <f>"07/03/2012"</f>
        <v>07/03/2012</v>
      </c>
      <c r="B676" t="str">
        <f>"1.3159"</f>
        <v>1.3159</v>
      </c>
      <c r="C676" t="str">
        <f>"1.3162"</f>
        <v>1.3162</v>
      </c>
    </row>
    <row r="677" spans="1:3" x14ac:dyDescent="0.25">
      <c r="A677" t="str">
        <f>"09/03/2012"</f>
        <v>09/03/2012</v>
      </c>
      <c r="B677" t="str">
        <f>"1.3222"</f>
        <v>1.3222</v>
      </c>
      <c r="C677" t="str">
        <f>"1.3223"</f>
        <v>1.3223</v>
      </c>
    </row>
    <row r="678" spans="1:3" x14ac:dyDescent="0.25">
      <c r="A678" t="str">
        <f>"12/03/2012"</f>
        <v>12/03/2012</v>
      </c>
      <c r="B678" t="str">
        <f>"1.3097"</f>
        <v>1.3097</v>
      </c>
      <c r="C678" t="str">
        <f>"1.3098"</f>
        <v>1.3098</v>
      </c>
    </row>
    <row r="679" spans="1:3" x14ac:dyDescent="0.25">
      <c r="A679" t="str">
        <f>"13/03/2012"</f>
        <v>13/03/2012</v>
      </c>
      <c r="B679" t="str">
        <f>"1.3179"</f>
        <v>1.3179</v>
      </c>
      <c r="C679" t="str">
        <f>"1.318"</f>
        <v>1.318</v>
      </c>
    </row>
    <row r="680" spans="1:3" x14ac:dyDescent="0.25">
      <c r="A680" t="str">
        <f>"14/03/2012"</f>
        <v>14/03/2012</v>
      </c>
      <c r="B680" t="str">
        <f>"1.3042"</f>
        <v>1.3042</v>
      </c>
      <c r="C680" t="str">
        <f>"1.3044"</f>
        <v>1.3044</v>
      </c>
    </row>
    <row r="681" spans="1:3" x14ac:dyDescent="0.25">
      <c r="A681" t="str">
        <f>"15/03/2012"</f>
        <v>15/03/2012</v>
      </c>
      <c r="B681" t="str">
        <f>"1.3041"</f>
        <v>1.3041</v>
      </c>
      <c r="C681" t="str">
        <f>"1.3043"</f>
        <v>1.3043</v>
      </c>
    </row>
    <row r="682" spans="1:3" x14ac:dyDescent="0.25">
      <c r="A682" t="str">
        <f>"16/03/2012"</f>
        <v>16/03/2012</v>
      </c>
      <c r="B682" t="str">
        <f>"1.309"</f>
        <v>1.309</v>
      </c>
      <c r="C682" t="str">
        <f>"1.3092"</f>
        <v>1.3092</v>
      </c>
    </row>
    <row r="683" spans="1:3" x14ac:dyDescent="0.25">
      <c r="A683" t="str">
        <f>"19/03/2012"</f>
        <v>19/03/2012</v>
      </c>
      <c r="B683" t="str">
        <f>"1.3173"</f>
        <v>1.3173</v>
      </c>
      <c r="C683" t="str">
        <f>"1.3175"</f>
        <v>1.3175</v>
      </c>
    </row>
    <row r="684" spans="1:3" x14ac:dyDescent="0.25">
      <c r="A684" t="str">
        <f>"20/03/2012"</f>
        <v>20/03/2012</v>
      </c>
      <c r="B684" t="str">
        <f>"1.3234"</f>
        <v>1.3234</v>
      </c>
      <c r="C684" t="str">
        <f>"1.3236"</f>
        <v>1.3236</v>
      </c>
    </row>
    <row r="685" spans="1:3" x14ac:dyDescent="0.25">
      <c r="A685" t="str">
        <f>"21/03/2012"</f>
        <v>21/03/2012</v>
      </c>
      <c r="B685" t="str">
        <f>"1.3267"</f>
        <v>1.3267</v>
      </c>
      <c r="C685" t="str">
        <f>"1.3269"</f>
        <v>1.3269</v>
      </c>
    </row>
    <row r="686" spans="1:3" x14ac:dyDescent="0.25">
      <c r="A686" t="str">
        <f>"22/03/2012"</f>
        <v>22/03/2012</v>
      </c>
      <c r="B686" t="str">
        <f>"1.3158"</f>
        <v>1.3158</v>
      </c>
      <c r="C686" t="str">
        <f>"1.316"</f>
        <v>1.316</v>
      </c>
    </row>
    <row r="687" spans="1:3" x14ac:dyDescent="0.25">
      <c r="A687" t="str">
        <f>"26/03/2012"</f>
        <v>26/03/2012</v>
      </c>
      <c r="B687" t="str">
        <f>"1.3236"</f>
        <v>1.3236</v>
      </c>
      <c r="C687" t="str">
        <f>"1.3238"</f>
        <v>1.3238</v>
      </c>
    </row>
    <row r="688" spans="1:3" x14ac:dyDescent="0.25">
      <c r="A688" t="str">
        <f>"27/03/2012"</f>
        <v>27/03/2012</v>
      </c>
      <c r="B688" t="str">
        <f>"1.3348"</f>
        <v>1.3348</v>
      </c>
      <c r="C688" t="str">
        <f>"1.3349"</f>
        <v>1.3349</v>
      </c>
    </row>
    <row r="689" spans="1:3" x14ac:dyDescent="0.25">
      <c r="A689" t="str">
        <f>"28/03/2012"</f>
        <v>28/03/2012</v>
      </c>
      <c r="B689" t="str">
        <f>"1.3353"</f>
        <v>1.3353</v>
      </c>
      <c r="C689" t="str">
        <f>"1.3355"</f>
        <v>1.3355</v>
      </c>
    </row>
    <row r="690" spans="1:3" x14ac:dyDescent="0.25">
      <c r="A690" t="str">
        <f>"29/03/2012"</f>
        <v>29/03/2012</v>
      </c>
      <c r="B690" t="str">
        <f>"1.3288"</f>
        <v>1.3288</v>
      </c>
      <c r="C690" t="str">
        <f>"1.3289"</f>
        <v>1.3289</v>
      </c>
    </row>
    <row r="691" spans="1:3" x14ac:dyDescent="0.25">
      <c r="A691" t="str">
        <f>"30/03/2012"</f>
        <v>30/03/2012</v>
      </c>
      <c r="B691" t="str">
        <f>"1.3347"</f>
        <v>1.3347</v>
      </c>
      <c r="C691" t="str">
        <f>"1.3348"</f>
        <v>1.3348</v>
      </c>
    </row>
    <row r="692" spans="1:3" x14ac:dyDescent="0.25">
      <c r="A692" t="str">
        <f>"03/04/2012"</f>
        <v>03/04/2012</v>
      </c>
      <c r="B692" t="str">
        <f>"1.3341"</f>
        <v>1.3341</v>
      </c>
      <c r="C692" t="str">
        <f>"1.3342"</f>
        <v>1.3342</v>
      </c>
    </row>
    <row r="693" spans="1:3" x14ac:dyDescent="0.25">
      <c r="A693" t="str">
        <f>"04/04/2012"</f>
        <v>04/04/2012</v>
      </c>
      <c r="B693" t="str">
        <f>"1.3166"</f>
        <v>1.3166</v>
      </c>
      <c r="C693" t="str">
        <f>"1.3167"</f>
        <v>1.3167</v>
      </c>
    </row>
    <row r="694" spans="1:3" x14ac:dyDescent="0.25">
      <c r="A694" t="str">
        <f>"10/04/2012"</f>
        <v>10/04/2012</v>
      </c>
      <c r="B694" t="str">
        <f>"1.313"</f>
        <v>1.313</v>
      </c>
      <c r="C694" t="str">
        <f>"1.3132"</f>
        <v>1.3132</v>
      </c>
    </row>
    <row r="695" spans="1:3" x14ac:dyDescent="0.25">
      <c r="A695" t="str">
        <f>"11/04/2012"</f>
        <v>11/04/2012</v>
      </c>
      <c r="B695" t="str">
        <f>"1.3141"</f>
        <v>1.3141</v>
      </c>
      <c r="C695" t="str">
        <f>"1.3143"</f>
        <v>1.3143</v>
      </c>
    </row>
    <row r="696" spans="1:3" x14ac:dyDescent="0.25">
      <c r="A696" t="str">
        <f>"12/04/2012"</f>
        <v>12/04/2012</v>
      </c>
      <c r="B696" t="str">
        <f>"1.3128"</f>
        <v>1.3128</v>
      </c>
      <c r="C696" t="str">
        <f>"1.3129"</f>
        <v>1.3129</v>
      </c>
    </row>
    <row r="697" spans="1:3" x14ac:dyDescent="0.25">
      <c r="A697" t="str">
        <f>"13/04/2012"</f>
        <v>13/04/2012</v>
      </c>
      <c r="B697" t="str">
        <f>"1.317"</f>
        <v>1.317</v>
      </c>
      <c r="C697" t="str">
        <f>"1.3171"</f>
        <v>1.3171</v>
      </c>
    </row>
    <row r="698" spans="1:3" x14ac:dyDescent="0.25">
      <c r="A698" t="str">
        <f>"16/04/2012"</f>
        <v>16/04/2012</v>
      </c>
      <c r="B698" t="str">
        <f>"1.3018"</f>
        <v>1.3018</v>
      </c>
      <c r="C698" t="str">
        <f>"1.3019"</f>
        <v>1.3019</v>
      </c>
    </row>
    <row r="699" spans="1:3" x14ac:dyDescent="0.25">
      <c r="A699" t="str">
        <f>"17/04/2012"</f>
        <v>17/04/2012</v>
      </c>
      <c r="B699" t="str">
        <f>"1.3121"</f>
        <v>1.3121</v>
      </c>
      <c r="C699" t="str">
        <f>"1.3123"</f>
        <v>1.3123</v>
      </c>
    </row>
    <row r="700" spans="1:3" x14ac:dyDescent="0.25">
      <c r="A700" t="str">
        <f>"18/04/2012"</f>
        <v>18/04/2012</v>
      </c>
      <c r="B700" t="str">
        <f>"1.308"</f>
        <v>1.308</v>
      </c>
      <c r="C700" t="str">
        <f>"1.3081"</f>
        <v>1.3081</v>
      </c>
    </row>
    <row r="701" spans="1:3" x14ac:dyDescent="0.25">
      <c r="A701" t="str">
        <f>"19/04/2012"</f>
        <v>19/04/2012</v>
      </c>
      <c r="B701" t="str">
        <f>"1.3118"</f>
        <v>1.3118</v>
      </c>
      <c r="C701" t="str">
        <f>"1.3119"</f>
        <v>1.3119</v>
      </c>
    </row>
    <row r="702" spans="1:3" x14ac:dyDescent="0.25">
      <c r="A702" t="str">
        <f>"20/04/2012"</f>
        <v>20/04/2012</v>
      </c>
      <c r="B702" t="str">
        <f>"1.3145"</f>
        <v>1.3145</v>
      </c>
      <c r="C702" t="str">
        <f>"1.3146"</f>
        <v>1.3146</v>
      </c>
    </row>
    <row r="703" spans="1:3" x14ac:dyDescent="0.25">
      <c r="A703" t="str">
        <f>"23/04/2012"</f>
        <v>23/04/2012</v>
      </c>
      <c r="B703" t="str">
        <f>"1.318"</f>
        <v>1.318</v>
      </c>
      <c r="C703" t="str">
        <f>"1.3181"</f>
        <v>1.3181</v>
      </c>
    </row>
    <row r="704" spans="1:3" x14ac:dyDescent="0.25">
      <c r="A704" t="str">
        <f>"24/04/2012"</f>
        <v>24/04/2012</v>
      </c>
      <c r="B704" t="str">
        <f>"1.3171"</f>
        <v>1.3171</v>
      </c>
      <c r="C704" t="str">
        <f>"1.3172"</f>
        <v>1.3172</v>
      </c>
    </row>
    <row r="705" spans="1:3" x14ac:dyDescent="0.25">
      <c r="A705" t="str">
        <f>"25/04/2012"</f>
        <v>25/04/2012</v>
      </c>
      <c r="B705" t="str">
        <f>"1.3209"</f>
        <v>1.3209</v>
      </c>
      <c r="C705" t="str">
        <f>"1.321"</f>
        <v>1.321</v>
      </c>
    </row>
    <row r="706" spans="1:3" x14ac:dyDescent="0.25">
      <c r="A706" t="str">
        <f>"26/04/2012"</f>
        <v>26/04/2012</v>
      </c>
      <c r="B706" t="str">
        <f>"1.3226"</f>
        <v>1.3226</v>
      </c>
      <c r="C706" t="str">
        <f>"1.3227"</f>
        <v>1.3227</v>
      </c>
    </row>
    <row r="707" spans="1:3" x14ac:dyDescent="0.25">
      <c r="A707" t="str">
        <f>"27/04/2012"</f>
        <v>27/04/2012</v>
      </c>
      <c r="B707" t="str">
        <f>"1.3199"</f>
        <v>1.3199</v>
      </c>
      <c r="C707" t="str">
        <f>"1.3201"</f>
        <v>1.3201</v>
      </c>
    </row>
    <row r="708" spans="1:3" x14ac:dyDescent="0.25">
      <c r="A708" t="str">
        <f>"30/04/2012"</f>
        <v>30/04/2012</v>
      </c>
      <c r="B708" t="str">
        <f>"1.3257"</f>
        <v>1.3257</v>
      </c>
      <c r="C708" t="str">
        <f>"1.3258"</f>
        <v>1.3258</v>
      </c>
    </row>
    <row r="709" spans="1:3" x14ac:dyDescent="0.25">
      <c r="A709" t="str">
        <f>"02/05/2012"</f>
        <v>02/05/2012</v>
      </c>
      <c r="B709" t="str">
        <f>"1.3153"</f>
        <v>1.3153</v>
      </c>
      <c r="C709" t="str">
        <f>"1.3155"</f>
        <v>1.3155</v>
      </c>
    </row>
    <row r="710" spans="1:3" x14ac:dyDescent="0.25">
      <c r="A710" t="str">
        <f>"03/05/2012"</f>
        <v>03/05/2012</v>
      </c>
      <c r="B710" t="str">
        <f>"1.3133"</f>
        <v>1.3133</v>
      </c>
      <c r="C710" t="str">
        <f>"1.3135"</f>
        <v>1.3135</v>
      </c>
    </row>
    <row r="711" spans="1:3" x14ac:dyDescent="0.25">
      <c r="A711" t="str">
        <f>"04/05/2012"</f>
        <v>04/05/2012</v>
      </c>
      <c r="B711" t="str">
        <f>"1.3154"</f>
        <v>1.3154</v>
      </c>
      <c r="C711" t="str">
        <f>"1.3156"</f>
        <v>1.3156</v>
      </c>
    </row>
    <row r="712" spans="1:3" x14ac:dyDescent="0.25">
      <c r="A712" t="str">
        <f>"07/05/2012"</f>
        <v>07/05/2012</v>
      </c>
      <c r="B712" t="str">
        <f>"1.3032"</f>
        <v>1.3032</v>
      </c>
      <c r="C712" t="str">
        <f>"1.3033"</f>
        <v>1.3033</v>
      </c>
    </row>
    <row r="713" spans="1:3" x14ac:dyDescent="0.25">
      <c r="A713" t="str">
        <f>"08/05/2012"</f>
        <v>08/05/2012</v>
      </c>
      <c r="B713" t="str">
        <f>"1.3018"</f>
        <v>1.3018</v>
      </c>
      <c r="C713" t="str">
        <f>"1.3019"</f>
        <v>1.3019</v>
      </c>
    </row>
    <row r="714" spans="1:3" x14ac:dyDescent="0.25">
      <c r="A714" t="str">
        <f>"09/05/2012"</f>
        <v>09/05/2012</v>
      </c>
      <c r="B714" t="str">
        <f>"1.2971"</f>
        <v>1.2971</v>
      </c>
      <c r="C714" t="str">
        <f>"1.2972"</f>
        <v>1.2972</v>
      </c>
    </row>
    <row r="715" spans="1:3" x14ac:dyDescent="0.25">
      <c r="A715" t="str">
        <f>"10/05/2012"</f>
        <v>10/05/2012</v>
      </c>
      <c r="B715" t="str">
        <f>"1.2943"</f>
        <v>1.2943</v>
      </c>
      <c r="C715" t="str">
        <f>"1.2944"</f>
        <v>1.2944</v>
      </c>
    </row>
    <row r="716" spans="1:3" x14ac:dyDescent="0.25">
      <c r="A716" t="str">
        <f>"11/05/2012"</f>
        <v>11/05/2012</v>
      </c>
      <c r="B716" t="str">
        <f>"1.2922"</f>
        <v>1.2922</v>
      </c>
      <c r="C716" t="str">
        <f>"1.2923"</f>
        <v>1.2923</v>
      </c>
    </row>
    <row r="717" spans="1:3" x14ac:dyDescent="0.25">
      <c r="A717" t="str">
        <f>"14/05/2012"</f>
        <v>14/05/2012</v>
      </c>
      <c r="B717" t="str">
        <f>"1.2873"</f>
        <v>1.2873</v>
      </c>
      <c r="C717" t="str">
        <f>"1.2875"</f>
        <v>1.2875</v>
      </c>
    </row>
    <row r="718" spans="1:3" x14ac:dyDescent="0.25">
      <c r="A718" t="str">
        <f>"15/05/2012"</f>
        <v>15/05/2012</v>
      </c>
      <c r="B718" t="str">
        <f>"1.2848"</f>
        <v>1.2848</v>
      </c>
      <c r="C718" t="str">
        <f>"1.2849"</f>
        <v>1.2849</v>
      </c>
    </row>
    <row r="719" spans="1:3" x14ac:dyDescent="0.25">
      <c r="A719" t="str">
        <f>"16/05/2012"</f>
        <v>16/05/2012</v>
      </c>
      <c r="B719" t="str">
        <f>"1.2715"</f>
        <v>1.2715</v>
      </c>
      <c r="C719" t="str">
        <f>"1.2716"</f>
        <v>1.2716</v>
      </c>
    </row>
    <row r="720" spans="1:3" x14ac:dyDescent="0.25">
      <c r="A720" t="str">
        <f>"17/05/2012"</f>
        <v>17/05/2012</v>
      </c>
      <c r="B720" t="str">
        <f>"1.2739"</f>
        <v>1.2739</v>
      </c>
      <c r="C720" t="str">
        <f>"1.274"</f>
        <v>1.274</v>
      </c>
    </row>
    <row r="721" spans="1:3" x14ac:dyDescent="0.25">
      <c r="A721" t="str">
        <f>"18/05/2012"</f>
        <v>18/05/2012</v>
      </c>
      <c r="B721" t="str">
        <f>"1.2676"</f>
        <v>1.2676</v>
      </c>
      <c r="C721" t="str">
        <f>"1.2677"</f>
        <v>1.2677</v>
      </c>
    </row>
    <row r="722" spans="1:3" x14ac:dyDescent="0.25">
      <c r="A722" t="str">
        <f>"21/05/2012"</f>
        <v>21/05/2012</v>
      </c>
      <c r="B722" t="str">
        <f>"1.2772"</f>
        <v>1.2772</v>
      </c>
      <c r="C722" t="str">
        <f>"1.2773"</f>
        <v>1.2773</v>
      </c>
    </row>
    <row r="723" spans="1:3" x14ac:dyDescent="0.25">
      <c r="A723" t="str">
        <f>"22/05/2012"</f>
        <v>22/05/2012</v>
      </c>
      <c r="B723" t="str">
        <f>"1.2746"</f>
        <v>1.2746</v>
      </c>
      <c r="C723" t="str">
        <f>"1.2747"</f>
        <v>1.2747</v>
      </c>
    </row>
    <row r="724" spans="1:3" x14ac:dyDescent="0.25">
      <c r="A724" t="str">
        <f>"23/05/2012"</f>
        <v>23/05/2012</v>
      </c>
      <c r="B724" t="str">
        <f>"1.2671"</f>
        <v>1.2671</v>
      </c>
      <c r="C724" t="str">
        <f>"1.2672"</f>
        <v>1.2672</v>
      </c>
    </row>
    <row r="725" spans="1:3" x14ac:dyDescent="0.25">
      <c r="A725" t="str">
        <f>"24/05/2012"</f>
        <v>24/05/2012</v>
      </c>
      <c r="B725" t="str">
        <f>"1.2577"</f>
        <v>1.2577</v>
      </c>
      <c r="C725" t="str">
        <f>"1.2578"</f>
        <v>1.2578</v>
      </c>
    </row>
    <row r="726" spans="1:3" x14ac:dyDescent="0.25">
      <c r="A726" t="str">
        <f>"25/05/2012"</f>
        <v>25/05/2012</v>
      </c>
      <c r="B726" t="str">
        <f>"1.2532"</f>
        <v>1.2532</v>
      </c>
      <c r="C726" t="str">
        <f>"1.2533"</f>
        <v>1.2533</v>
      </c>
    </row>
    <row r="727" spans="1:3" x14ac:dyDescent="0.25">
      <c r="A727" t="str">
        <f>"28/05/2012"</f>
        <v>28/05/2012</v>
      </c>
      <c r="B727" t="str">
        <f>"1.2582"</f>
        <v>1.2582</v>
      </c>
      <c r="C727" t="str">
        <f>"1.2583"</f>
        <v>1.2583</v>
      </c>
    </row>
    <row r="728" spans="1:3" x14ac:dyDescent="0.25">
      <c r="A728" t="str">
        <f>"29/05/2012"</f>
        <v>29/05/2012</v>
      </c>
      <c r="B728" t="str">
        <f>"1.2532"</f>
        <v>1.2532</v>
      </c>
      <c r="C728" t="str">
        <f>"1.2533"</f>
        <v>1.2533</v>
      </c>
    </row>
    <row r="729" spans="1:3" x14ac:dyDescent="0.25">
      <c r="A729" t="str">
        <f>"30/05/2012"</f>
        <v>30/05/2012</v>
      </c>
      <c r="B729" t="str">
        <f>"1.2473"</f>
        <v>1.2473</v>
      </c>
      <c r="C729" t="str">
        <f>"1.2475"</f>
        <v>1.2475</v>
      </c>
    </row>
    <row r="730" spans="1:3" x14ac:dyDescent="0.25">
      <c r="A730" t="str">
        <f>"31/05/2012"</f>
        <v>31/05/2012</v>
      </c>
      <c r="B730" t="str">
        <f>"1.2376"</f>
        <v>1.2376</v>
      </c>
      <c r="C730" t="str">
        <f>"1.2377"</f>
        <v>1.2377</v>
      </c>
    </row>
    <row r="731" spans="1:3" x14ac:dyDescent="0.25">
      <c r="A731" t="str">
        <f>"01/06/2012"</f>
        <v>01/06/2012</v>
      </c>
      <c r="B731" t="str">
        <f>"1.2323"</f>
        <v>1.2323</v>
      </c>
      <c r="C731" t="str">
        <f>"1.2325"</f>
        <v>1.2325</v>
      </c>
    </row>
    <row r="732" spans="1:3" x14ac:dyDescent="0.25">
      <c r="A732" t="str">
        <f>"04/06/2012"</f>
        <v>04/06/2012</v>
      </c>
      <c r="B732" t="str">
        <f>"1.2431"</f>
        <v>1.2431</v>
      </c>
      <c r="C732" t="str">
        <f>"1.2433"</f>
        <v>1.2433</v>
      </c>
    </row>
    <row r="733" spans="1:3" x14ac:dyDescent="0.25">
      <c r="A733" t="str">
        <f>"05/06/2012"</f>
        <v>05/06/2012</v>
      </c>
      <c r="B733" t="str">
        <f>"1.2433"</f>
        <v>1.2433</v>
      </c>
      <c r="C733" t="str">
        <f>"1.2435"</f>
        <v>1.2435</v>
      </c>
    </row>
    <row r="734" spans="1:3" x14ac:dyDescent="0.25">
      <c r="A734" t="str">
        <f>"06/06/2012"</f>
        <v>06/06/2012</v>
      </c>
      <c r="B734" t="str">
        <f>"1.2497"</f>
        <v>1.2497</v>
      </c>
      <c r="C734" t="str">
        <f>"1.2498"</f>
        <v>1.2498</v>
      </c>
    </row>
    <row r="735" spans="1:3" x14ac:dyDescent="0.25">
      <c r="A735" t="str">
        <f>"07/06/2012"</f>
        <v>07/06/2012</v>
      </c>
      <c r="B735" t="str">
        <f>"1.2575"</f>
        <v>1.2575</v>
      </c>
      <c r="C735" t="str">
        <f>"1.2576"</f>
        <v>1.2576</v>
      </c>
    </row>
    <row r="736" spans="1:3" x14ac:dyDescent="0.25">
      <c r="A736" t="str">
        <f>"08/06/2012"</f>
        <v>08/06/2012</v>
      </c>
      <c r="B736" t="str">
        <f>"1.2526"</f>
        <v>1.2526</v>
      </c>
      <c r="C736" t="str">
        <f>"1.2528"</f>
        <v>1.2528</v>
      </c>
    </row>
    <row r="737" spans="1:3" x14ac:dyDescent="0.25">
      <c r="A737" t="str">
        <f>"11/06/2012"</f>
        <v>11/06/2012</v>
      </c>
      <c r="B737" t="str">
        <f>"1.2639"</f>
        <v>1.2639</v>
      </c>
      <c r="C737" t="str">
        <f>"1.264"</f>
        <v>1.264</v>
      </c>
    </row>
    <row r="738" spans="1:3" x14ac:dyDescent="0.25">
      <c r="A738" t="str">
        <f>"12/06/2012"</f>
        <v>12/06/2012</v>
      </c>
      <c r="B738" t="str">
        <f>"1.2506"</f>
        <v>1.2506</v>
      </c>
      <c r="C738" t="str">
        <f>"1.2507"</f>
        <v>1.2507</v>
      </c>
    </row>
    <row r="739" spans="1:3" x14ac:dyDescent="0.25">
      <c r="A739" t="str">
        <f>"13/06/2012"</f>
        <v>13/06/2012</v>
      </c>
      <c r="B739" t="str">
        <f>"1.249"</f>
        <v>1.249</v>
      </c>
      <c r="C739" t="str">
        <f>"1.2492"</f>
        <v>1.2492</v>
      </c>
    </row>
    <row r="740" spans="1:3" x14ac:dyDescent="0.25">
      <c r="A740" t="str">
        <f>"14/06/2012"</f>
        <v>14/06/2012</v>
      </c>
      <c r="B740" t="str">
        <f>"1.2579"</f>
        <v>1.2579</v>
      </c>
      <c r="C740" t="str">
        <f>"1.2582"</f>
        <v>1.2582</v>
      </c>
    </row>
    <row r="741" spans="1:3" x14ac:dyDescent="0.25">
      <c r="A741" t="str">
        <f>"15/06/2012"</f>
        <v>15/06/2012</v>
      </c>
      <c r="B741" t="str">
        <f>"1.2609"</f>
        <v>1.2609</v>
      </c>
      <c r="C741" t="str">
        <f>"1.2612"</f>
        <v>1.2612</v>
      </c>
    </row>
    <row r="742" spans="1:3" x14ac:dyDescent="0.25">
      <c r="A742" t="str">
        <f>"18/06/2012"</f>
        <v>18/06/2012</v>
      </c>
      <c r="B742" t="str">
        <f>"1.2703"</f>
        <v>1.2703</v>
      </c>
      <c r="C742" t="str">
        <f>"1.2706"</f>
        <v>1.2706</v>
      </c>
    </row>
    <row r="743" spans="1:3" x14ac:dyDescent="0.25">
      <c r="A743" t="str">
        <f>"19/06/2012"</f>
        <v>19/06/2012</v>
      </c>
      <c r="B743" t="str">
        <f>"1.2595"</f>
        <v>1.2595</v>
      </c>
      <c r="C743" t="str">
        <f>"1.2598"</f>
        <v>1.2598</v>
      </c>
    </row>
    <row r="744" spans="1:3" x14ac:dyDescent="0.25">
      <c r="A744" t="str">
        <f>"20/06/2012"</f>
        <v>20/06/2012</v>
      </c>
      <c r="B744" t="str">
        <f>"1.2684"</f>
        <v>1.2684</v>
      </c>
      <c r="C744" t="str">
        <f>"1.2687"</f>
        <v>1.2687</v>
      </c>
    </row>
    <row r="745" spans="1:3" x14ac:dyDescent="0.25">
      <c r="A745" t="str">
        <f>"21/06/2012"</f>
        <v>21/06/2012</v>
      </c>
      <c r="B745" t="str">
        <f>"1.267"</f>
        <v>1.267</v>
      </c>
      <c r="C745" t="str">
        <f>"1.2672"</f>
        <v>1.2672</v>
      </c>
    </row>
    <row r="746" spans="1:3" x14ac:dyDescent="0.25">
      <c r="A746" t="str">
        <f>"22/06/2012"</f>
        <v>22/06/2012</v>
      </c>
      <c r="B746" t="str">
        <f>"1.2539"</f>
        <v>1.2539</v>
      </c>
      <c r="C746" t="str">
        <f>"1.2541"</f>
        <v>1.2541</v>
      </c>
    </row>
    <row r="747" spans="1:3" x14ac:dyDescent="0.25">
      <c r="A747" t="str">
        <f>"25/06/2012"</f>
        <v>25/06/2012</v>
      </c>
      <c r="B747" t="str">
        <f>"1.2486"</f>
        <v>1.2486</v>
      </c>
      <c r="C747" t="str">
        <f>"1.2488"</f>
        <v>1.2488</v>
      </c>
    </row>
    <row r="748" spans="1:3" x14ac:dyDescent="0.25">
      <c r="A748" t="str">
        <f>"26/06/2012"</f>
        <v>26/06/2012</v>
      </c>
      <c r="B748" t="str">
        <f>"1.2504"</f>
        <v>1.2504</v>
      </c>
      <c r="C748" t="str">
        <f>"1.2508"</f>
        <v>1.2508</v>
      </c>
    </row>
    <row r="749" spans="1:3" x14ac:dyDescent="0.25">
      <c r="A749" t="str">
        <f>"27/06/2012"</f>
        <v>27/06/2012</v>
      </c>
      <c r="B749" t="str">
        <f>"1.2494"</f>
        <v>1.2494</v>
      </c>
      <c r="C749" t="str">
        <f>"1.2497"</f>
        <v>1.2497</v>
      </c>
    </row>
    <row r="750" spans="1:3" x14ac:dyDescent="0.25">
      <c r="A750" t="str">
        <f>"28/06/2012"</f>
        <v>28/06/2012</v>
      </c>
      <c r="B750" t="str">
        <f>"1.2517"</f>
        <v>1.2517</v>
      </c>
      <c r="C750" t="str">
        <f>"1.252"</f>
        <v>1.252</v>
      </c>
    </row>
    <row r="751" spans="1:3" x14ac:dyDescent="0.25">
      <c r="A751" t="str">
        <f>"29/06/2012"</f>
        <v>29/06/2012</v>
      </c>
      <c r="B751" t="str">
        <f>"1.2589"</f>
        <v>1.2589</v>
      </c>
      <c r="C751" t="str">
        <f>"1.2592"</f>
        <v>1.2592</v>
      </c>
    </row>
    <row r="752" spans="1:3" x14ac:dyDescent="0.25">
      <c r="A752" t="str">
        <f>"02/07/2012"</f>
        <v>02/07/2012</v>
      </c>
      <c r="B752" t="str">
        <f>"1.2622"</f>
        <v>1.2622</v>
      </c>
      <c r="C752" t="str">
        <f>"1.2625"</f>
        <v>1.2625</v>
      </c>
    </row>
    <row r="753" spans="1:3" x14ac:dyDescent="0.25">
      <c r="A753" t="str">
        <f>"03/07/2012"</f>
        <v>03/07/2012</v>
      </c>
      <c r="B753" t="str">
        <f>"1.2584"</f>
        <v>1.2584</v>
      </c>
      <c r="C753" t="str">
        <f>"1.2588"</f>
        <v>1.2588</v>
      </c>
    </row>
    <row r="754" spans="1:3" x14ac:dyDescent="0.25">
      <c r="A754" t="str">
        <f>"04/07/2012"</f>
        <v>04/07/2012</v>
      </c>
      <c r="B754" t="str">
        <f>"1.2566"</f>
        <v>1.2566</v>
      </c>
      <c r="C754" t="str">
        <f>"1.257"</f>
        <v>1.257</v>
      </c>
    </row>
    <row r="755" spans="1:3" x14ac:dyDescent="0.25">
      <c r="A755" t="str">
        <f>"05/07/2012"</f>
        <v>05/07/2012</v>
      </c>
      <c r="B755" t="str">
        <f>"1.2505"</f>
        <v>1.2505</v>
      </c>
      <c r="C755" t="str">
        <f>"1.2509"</f>
        <v>1.2509</v>
      </c>
    </row>
    <row r="756" spans="1:3" x14ac:dyDescent="0.25">
      <c r="A756" t="str">
        <f>"06/07/2012"</f>
        <v>06/07/2012</v>
      </c>
      <c r="B756" t="str">
        <f>"1.2385"</f>
        <v>1.2385</v>
      </c>
      <c r="C756" t="str">
        <f>"1.239"</f>
        <v>1.239</v>
      </c>
    </row>
    <row r="757" spans="1:3" x14ac:dyDescent="0.25">
      <c r="A757" t="str">
        <f>"09/07/2012"</f>
        <v>09/07/2012</v>
      </c>
      <c r="B757" t="str">
        <f>"1.2286"</f>
        <v>1.2286</v>
      </c>
      <c r="C757" t="str">
        <f>"1.2292"</f>
        <v>1.2292</v>
      </c>
    </row>
    <row r="758" spans="1:3" x14ac:dyDescent="0.25">
      <c r="A758" t="str">
        <f>"10/07/2012"</f>
        <v>10/07/2012</v>
      </c>
      <c r="B758" t="str">
        <f>"1.2307"</f>
        <v>1.2307</v>
      </c>
      <c r="C758" t="str">
        <f>"1.2312"</f>
        <v>1.2312</v>
      </c>
    </row>
    <row r="759" spans="1:3" x14ac:dyDescent="0.25">
      <c r="A759" t="str">
        <f>"11/07/2012"</f>
        <v>11/07/2012</v>
      </c>
      <c r="B759" t="str">
        <f>"1.2278"</f>
        <v>1.2278</v>
      </c>
      <c r="C759" t="str">
        <f>"1.2282"</f>
        <v>1.2282</v>
      </c>
    </row>
    <row r="760" spans="1:3" x14ac:dyDescent="0.25">
      <c r="A760" t="str">
        <f>"12/07/2012"</f>
        <v>12/07/2012</v>
      </c>
      <c r="B760" t="str">
        <f>"1.2242"</f>
        <v>1.2242</v>
      </c>
      <c r="C760" t="str">
        <f>"1.2246"</f>
        <v>1.2246</v>
      </c>
    </row>
    <row r="761" spans="1:3" x14ac:dyDescent="0.25">
      <c r="A761" t="str">
        <f>"13/07/2012"</f>
        <v>13/07/2012</v>
      </c>
      <c r="B761" t="str">
        <f>"1.2199"</f>
        <v>1.2199</v>
      </c>
      <c r="C761" t="str">
        <f>"1.2203"</f>
        <v>1.2203</v>
      </c>
    </row>
    <row r="762" spans="1:3" x14ac:dyDescent="0.25">
      <c r="A762" t="str">
        <f>"16/07/2012"</f>
        <v>16/07/2012</v>
      </c>
      <c r="B762" t="str">
        <f>"1.219"</f>
        <v>1.219</v>
      </c>
      <c r="C762" t="str">
        <f>"1.2195"</f>
        <v>1.2195</v>
      </c>
    </row>
    <row r="763" spans="1:3" x14ac:dyDescent="0.25">
      <c r="A763" t="str">
        <f>"17/07/2012"</f>
        <v>17/07/2012</v>
      </c>
      <c r="B763" t="str">
        <f>"1.228"</f>
        <v>1.228</v>
      </c>
      <c r="C763" t="str">
        <f>"1.2285"</f>
        <v>1.2285</v>
      </c>
    </row>
    <row r="764" spans="1:3" x14ac:dyDescent="0.25">
      <c r="A764" t="str">
        <f>"18/07/2012"</f>
        <v>18/07/2012</v>
      </c>
      <c r="B764" t="str">
        <f>"1.2282"</f>
        <v>1.2282</v>
      </c>
      <c r="C764" t="str">
        <f>"1.2286"</f>
        <v>1.2286</v>
      </c>
    </row>
    <row r="765" spans="1:3" x14ac:dyDescent="0.25">
      <c r="A765" t="str">
        <f>"19/07/2012"</f>
        <v>19/07/2012</v>
      </c>
      <c r="B765" t="str">
        <f>"1.2302"</f>
        <v>1.2302</v>
      </c>
      <c r="C765" t="str">
        <f>"1.2307"</f>
        <v>1.2307</v>
      </c>
    </row>
    <row r="766" spans="1:3" x14ac:dyDescent="0.25">
      <c r="A766" t="str">
        <f>"20/07/2012"</f>
        <v>20/07/2012</v>
      </c>
      <c r="B766" t="str">
        <f>"1.2231"</f>
        <v>1.2231</v>
      </c>
      <c r="C766" t="str">
        <f>"1.2235"</f>
        <v>1.2235</v>
      </c>
    </row>
    <row r="767" spans="1:3" x14ac:dyDescent="0.25">
      <c r="A767" t="str">
        <f>"23/07/2012"</f>
        <v>23/07/2012</v>
      </c>
      <c r="B767" t="str">
        <f>"1.2122"</f>
        <v>1.2122</v>
      </c>
      <c r="C767" t="str">
        <f>"1.2127"</f>
        <v>1.2127</v>
      </c>
    </row>
    <row r="768" spans="1:3" x14ac:dyDescent="0.25">
      <c r="A768" t="str">
        <f>"24/07/2012"</f>
        <v>24/07/2012</v>
      </c>
      <c r="B768" t="str">
        <f>"1.211"</f>
        <v>1.211</v>
      </c>
      <c r="C768" t="str">
        <f>"1.2114"</f>
        <v>1.2114</v>
      </c>
    </row>
    <row r="769" spans="1:3" x14ac:dyDescent="0.25">
      <c r="A769" t="str">
        <f>"25/07/2012"</f>
        <v>25/07/2012</v>
      </c>
      <c r="B769" t="str">
        <f>"1.2124"</f>
        <v>1.2124</v>
      </c>
      <c r="C769" t="str">
        <f>"1.2128"</f>
        <v>1.2128</v>
      </c>
    </row>
    <row r="770" spans="1:3" x14ac:dyDescent="0.25">
      <c r="A770" t="str">
        <f>"26/07/2012"</f>
        <v>26/07/2012</v>
      </c>
      <c r="B770" t="str">
        <f>"1.2183"</f>
        <v>1.2183</v>
      </c>
      <c r="C770" t="str">
        <f>"1.2187"</f>
        <v>1.2187</v>
      </c>
    </row>
    <row r="771" spans="1:3" x14ac:dyDescent="0.25">
      <c r="A771" t="str">
        <f>"27/07/2012"</f>
        <v>27/07/2012</v>
      </c>
      <c r="B771" t="str">
        <f>"1.2288"</f>
        <v>1.2288</v>
      </c>
      <c r="C771" t="str">
        <f>"1.2291"</f>
        <v>1.2291</v>
      </c>
    </row>
    <row r="772" spans="1:3" x14ac:dyDescent="0.25">
      <c r="A772" t="str">
        <f>"30/07/2012"</f>
        <v>30/07/2012</v>
      </c>
      <c r="B772" t="str">
        <f>"1.2273"</f>
        <v>1.2273</v>
      </c>
      <c r="C772" t="str">
        <f>"1.2278"</f>
        <v>1.2278</v>
      </c>
    </row>
    <row r="773" spans="1:3" x14ac:dyDescent="0.25">
      <c r="A773" t="str">
        <f>"31/07/2012"</f>
        <v>31/07/2012</v>
      </c>
      <c r="B773" t="str">
        <f>"1.2287"</f>
        <v>1.2287</v>
      </c>
      <c r="C773" t="str">
        <f>"1.2292"</f>
        <v>1.2292</v>
      </c>
    </row>
    <row r="774" spans="1:3" x14ac:dyDescent="0.25">
      <c r="A774" t="str">
        <f>"01/08/2012"</f>
        <v>01/08/2012</v>
      </c>
      <c r="B774" t="str">
        <f>"1.2311"</f>
        <v>1.2311</v>
      </c>
      <c r="C774" t="str">
        <f>"1.2316"</f>
        <v>1.2316</v>
      </c>
    </row>
    <row r="775" spans="1:3" x14ac:dyDescent="0.25">
      <c r="A775" t="str">
        <f>"02/08/2012"</f>
        <v>02/08/2012</v>
      </c>
      <c r="B775" t="str">
        <f>"1.2264"</f>
        <v>1.2264</v>
      </c>
      <c r="C775" t="str">
        <f>"1.2269"</f>
        <v>1.2269</v>
      </c>
    </row>
    <row r="776" spans="1:3" x14ac:dyDescent="0.25">
      <c r="A776" t="str">
        <f>"03/08/2012"</f>
        <v>03/08/2012</v>
      </c>
      <c r="B776" t="str">
        <f>"1.2277"</f>
        <v>1.2277</v>
      </c>
      <c r="C776" t="str">
        <f>"1.2281"</f>
        <v>1.2281</v>
      </c>
    </row>
    <row r="777" spans="1:3" x14ac:dyDescent="0.25">
      <c r="A777" t="str">
        <f>"06/08/2012"</f>
        <v>06/08/2012</v>
      </c>
      <c r="B777" t="str">
        <f>"1.2358"</f>
        <v>1.2358</v>
      </c>
      <c r="C777" t="str">
        <f>"1.2362"</f>
        <v>1.2362</v>
      </c>
    </row>
    <row r="778" spans="1:3" x14ac:dyDescent="0.25">
      <c r="A778" t="str">
        <f>"07/08/2012"</f>
        <v>07/08/2012</v>
      </c>
      <c r="B778" t="str">
        <f>"1.2418"</f>
        <v>1.2418</v>
      </c>
      <c r="C778" t="str">
        <f>"1.2422"</f>
        <v>1.2422</v>
      </c>
    </row>
    <row r="779" spans="1:3" x14ac:dyDescent="0.25">
      <c r="A779" t="str">
        <f>"08/08/2012"</f>
        <v>08/08/2012</v>
      </c>
      <c r="B779" t="str">
        <f>"1.2363"</f>
        <v>1.2363</v>
      </c>
      <c r="C779" t="str">
        <f>"1.2367"</f>
        <v>1.2367</v>
      </c>
    </row>
    <row r="780" spans="1:3" x14ac:dyDescent="0.25">
      <c r="A780" t="str">
        <f>"09/08/2012"</f>
        <v>09/08/2012</v>
      </c>
      <c r="B780" t="str">
        <f>"1.231"</f>
        <v>1.231</v>
      </c>
      <c r="C780" t="str">
        <f>"1.2313"</f>
        <v>1.2313</v>
      </c>
    </row>
    <row r="781" spans="1:3" x14ac:dyDescent="0.25">
      <c r="A781" t="str">
        <f>"10/08/2012"</f>
        <v>10/08/2012</v>
      </c>
      <c r="B781" t="str">
        <f>"1.2272"</f>
        <v>1.2272</v>
      </c>
      <c r="C781" t="str">
        <f>"1.2275"</f>
        <v>1.2275</v>
      </c>
    </row>
    <row r="782" spans="1:3" x14ac:dyDescent="0.25">
      <c r="A782" t="str">
        <f>"13/08/2012"</f>
        <v>13/08/2012</v>
      </c>
      <c r="B782" t="str">
        <f>"1.2275"</f>
        <v>1.2275</v>
      </c>
      <c r="C782" t="str">
        <f>"1.2279"</f>
        <v>1.2279</v>
      </c>
    </row>
    <row r="783" spans="1:3" x14ac:dyDescent="0.25">
      <c r="A783" t="str">
        <f>"14/08/2012"</f>
        <v>14/08/2012</v>
      </c>
      <c r="B783" t="str">
        <f>"1.2367"</f>
        <v>1.2367</v>
      </c>
      <c r="C783" t="str">
        <f>"1.2371"</f>
        <v>1.2371</v>
      </c>
    </row>
    <row r="784" spans="1:3" x14ac:dyDescent="0.25">
      <c r="A784" t="str">
        <f>"16/08/2012"</f>
        <v>16/08/2012</v>
      </c>
      <c r="B784" t="str">
        <f>"1.2273"</f>
        <v>1.2273</v>
      </c>
      <c r="C784" t="str">
        <f>"1.2276"</f>
        <v>1.2276</v>
      </c>
    </row>
    <row r="785" spans="1:3" x14ac:dyDescent="0.25">
      <c r="A785" t="str">
        <f>"17/08/2012"</f>
        <v>17/08/2012</v>
      </c>
      <c r="B785" t="str">
        <f>"1.2371"</f>
        <v>1.2371</v>
      </c>
      <c r="C785" t="str">
        <f>"1.2374"</f>
        <v>1.2374</v>
      </c>
    </row>
    <row r="786" spans="1:3" x14ac:dyDescent="0.25">
      <c r="A786" t="str">
        <f>"21/08/2012"</f>
        <v>21/08/2012</v>
      </c>
      <c r="B786" t="str">
        <f>"1.2353"</f>
        <v>1.2353</v>
      </c>
      <c r="C786" t="str">
        <f>"1.2357"</f>
        <v>1.2357</v>
      </c>
    </row>
    <row r="787" spans="1:3" x14ac:dyDescent="0.25">
      <c r="A787" t="str">
        <f>"22/08/2012"</f>
        <v>22/08/2012</v>
      </c>
      <c r="B787" t="str">
        <f>"1.2444"</f>
        <v>1.2444</v>
      </c>
      <c r="C787" t="str">
        <f>"1.2447"</f>
        <v>1.2447</v>
      </c>
    </row>
    <row r="788" spans="1:3" x14ac:dyDescent="0.25">
      <c r="A788" t="str">
        <f>"23/08/2012"</f>
        <v>23/08/2012</v>
      </c>
      <c r="B788" t="str">
        <f>"1.2557"</f>
        <v>1.2557</v>
      </c>
      <c r="C788" t="str">
        <f>"1.2561"</f>
        <v>1.2561</v>
      </c>
    </row>
    <row r="789" spans="1:3" x14ac:dyDescent="0.25">
      <c r="A789" t="str">
        <f>"24/08/2012"</f>
        <v>24/08/2012</v>
      </c>
      <c r="B789" t="str">
        <f>"1.2503"</f>
        <v>1.2503</v>
      </c>
      <c r="C789" t="str">
        <f>"1.2507"</f>
        <v>1.2507</v>
      </c>
    </row>
    <row r="790" spans="1:3" x14ac:dyDescent="0.25">
      <c r="A790" t="str">
        <f>"27/08/2012"</f>
        <v>27/08/2012</v>
      </c>
      <c r="B790" t="str">
        <f>"1.251"</f>
        <v>1.251</v>
      </c>
      <c r="C790" t="str">
        <f>"1.2513"</f>
        <v>1.2513</v>
      </c>
    </row>
    <row r="791" spans="1:3" x14ac:dyDescent="0.25">
      <c r="A791" t="str">
        <f>"28/08/2012"</f>
        <v>28/08/2012</v>
      </c>
      <c r="B791" t="str">
        <f>"1.2485"</f>
        <v>1.2485</v>
      </c>
      <c r="C791" t="str">
        <f>"1.2488"</f>
        <v>1.2488</v>
      </c>
    </row>
    <row r="792" spans="1:3" x14ac:dyDescent="0.25">
      <c r="A792" t="str">
        <f>"29/08/2012"</f>
        <v>29/08/2012</v>
      </c>
      <c r="B792" t="str">
        <f>"1.2557"</f>
        <v>1.2557</v>
      </c>
      <c r="C792" t="str">
        <f>"1.256"</f>
        <v>1.256</v>
      </c>
    </row>
    <row r="793" spans="1:3" x14ac:dyDescent="0.25">
      <c r="A793" t="str">
        <f>"30/08/2012"</f>
        <v>30/08/2012</v>
      </c>
      <c r="B793" t="str">
        <f>"1.255"</f>
        <v>1.255</v>
      </c>
      <c r="C793" t="str">
        <f>"1.2554"</f>
        <v>1.2554</v>
      </c>
    </row>
    <row r="794" spans="1:3" x14ac:dyDescent="0.25">
      <c r="A794" t="str">
        <f>"31/08/2012"</f>
        <v>31/08/2012</v>
      </c>
      <c r="B794" t="str">
        <f>"1.2576"</f>
        <v>1.2576</v>
      </c>
      <c r="C794" t="str">
        <f>"1.258"</f>
        <v>1.258</v>
      </c>
    </row>
    <row r="795" spans="1:3" x14ac:dyDescent="0.25">
      <c r="A795" t="str">
        <f>"03/09/2012"</f>
        <v>03/09/2012</v>
      </c>
      <c r="B795" t="str">
        <f>"1.257"</f>
        <v>1.257</v>
      </c>
      <c r="C795" t="str">
        <f>"1.2573"</f>
        <v>1.2573</v>
      </c>
    </row>
    <row r="796" spans="1:3" x14ac:dyDescent="0.25">
      <c r="A796" t="str">
        <f>"04/09/2012"</f>
        <v>04/09/2012</v>
      </c>
      <c r="B796" t="str">
        <f>"1.2618"</f>
        <v>1.2618</v>
      </c>
      <c r="C796" t="str">
        <f>"1.2622"</f>
        <v>1.2622</v>
      </c>
    </row>
    <row r="797" spans="1:3" x14ac:dyDescent="0.25">
      <c r="A797" t="str">
        <f>"05/09/2012"</f>
        <v>05/09/2012</v>
      </c>
      <c r="B797" t="str">
        <f>"1.2527"</f>
        <v>1.2527</v>
      </c>
      <c r="C797" t="str">
        <f>"1.2531"</f>
        <v>1.2531</v>
      </c>
    </row>
    <row r="798" spans="1:3" x14ac:dyDescent="0.25">
      <c r="A798" t="str">
        <f>"06/09/2012"</f>
        <v>06/09/2012</v>
      </c>
      <c r="B798" t="str">
        <f>"1.2621"</f>
        <v>1.2621</v>
      </c>
      <c r="C798" t="str">
        <f>"1.2625"</f>
        <v>1.2625</v>
      </c>
    </row>
    <row r="799" spans="1:3" x14ac:dyDescent="0.25">
      <c r="A799" t="str">
        <f>"07/09/2012"</f>
        <v>07/09/2012</v>
      </c>
      <c r="B799" t="str">
        <f>"1.2675"</f>
        <v>1.2675</v>
      </c>
      <c r="C799" t="str">
        <f>"1.2679"</f>
        <v>1.2679</v>
      </c>
    </row>
    <row r="800" spans="1:3" x14ac:dyDescent="0.25">
      <c r="A800" t="str">
        <f>"10/09/2012"</f>
        <v>10/09/2012</v>
      </c>
      <c r="B800" t="str">
        <f>"1.2778"</f>
        <v>1.2778</v>
      </c>
      <c r="C800" t="str">
        <f>"1.2781"</f>
        <v>1.2781</v>
      </c>
    </row>
    <row r="801" spans="1:3" x14ac:dyDescent="0.25">
      <c r="A801" t="str">
        <f>"11/09/2012"</f>
        <v>11/09/2012</v>
      </c>
      <c r="B801" t="str">
        <f>"1.2774"</f>
        <v>1.2774</v>
      </c>
      <c r="C801" t="str">
        <f>"1.2778"</f>
        <v>1.2778</v>
      </c>
    </row>
    <row r="802" spans="1:3" x14ac:dyDescent="0.25">
      <c r="A802" t="str">
        <f>"12/09/2012"</f>
        <v>12/09/2012</v>
      </c>
      <c r="B802" t="str">
        <f>"1.2871"</f>
        <v>1.2871</v>
      </c>
      <c r="C802" t="str">
        <f>"1.2874"</f>
        <v>1.2874</v>
      </c>
    </row>
    <row r="803" spans="1:3" x14ac:dyDescent="0.25">
      <c r="A803" t="str">
        <f>"13/09/2012"</f>
        <v>13/09/2012</v>
      </c>
      <c r="B803" t="str">
        <f>"1.2903"</f>
        <v>1.2903</v>
      </c>
      <c r="C803" t="str">
        <f>"1.2906"</f>
        <v>1.2906</v>
      </c>
    </row>
    <row r="804" spans="1:3" x14ac:dyDescent="0.25">
      <c r="A804" t="str">
        <f>"14/09/2012"</f>
        <v>14/09/2012</v>
      </c>
      <c r="B804" t="str">
        <f>"1.3041"</f>
        <v>1.3041</v>
      </c>
      <c r="C804" t="str">
        <f>"1.3044"</f>
        <v>1.3044</v>
      </c>
    </row>
    <row r="805" spans="1:3" x14ac:dyDescent="0.25">
      <c r="A805" t="str">
        <f>"17/09/2012"</f>
        <v>17/09/2012</v>
      </c>
      <c r="B805" t="str">
        <f>"1.3127"</f>
        <v>1.3127</v>
      </c>
      <c r="C805" t="str">
        <f>"1.313"</f>
        <v>1.313</v>
      </c>
    </row>
    <row r="806" spans="1:3" x14ac:dyDescent="0.25">
      <c r="A806" t="str">
        <f>"18/09/2012"</f>
        <v>18/09/2012</v>
      </c>
      <c r="B806" t="str">
        <f>"1.3084"</f>
        <v>1.3084</v>
      </c>
      <c r="C806" t="str">
        <f>"1.3087"</f>
        <v>1.3087</v>
      </c>
    </row>
    <row r="807" spans="1:3" x14ac:dyDescent="0.25">
      <c r="A807" t="str">
        <f>"20/09/2012"</f>
        <v>20/09/2012</v>
      </c>
      <c r="B807" t="str">
        <f>"1.2982"</f>
        <v>1.2982</v>
      </c>
      <c r="C807" t="str">
        <f>"1.2985"</f>
        <v>1.2985</v>
      </c>
    </row>
    <row r="808" spans="1:3" x14ac:dyDescent="0.25">
      <c r="A808" t="str">
        <f>"21/09/2012"</f>
        <v>21/09/2012</v>
      </c>
      <c r="B808" t="str">
        <f>"1.3021"</f>
        <v>1.3021</v>
      </c>
      <c r="C808" t="str">
        <f>"1.3025"</f>
        <v>1.3025</v>
      </c>
    </row>
    <row r="809" spans="1:3" x14ac:dyDescent="0.25">
      <c r="A809" t="str">
        <f>"24/09/2012"</f>
        <v>24/09/2012</v>
      </c>
      <c r="B809" t="str">
        <f>"1.2905"</f>
        <v>1.2905</v>
      </c>
      <c r="C809" t="str">
        <f>"1.2909"</f>
        <v>1.2909</v>
      </c>
    </row>
    <row r="810" spans="1:3" x14ac:dyDescent="0.25">
      <c r="A810" t="str">
        <f>"25/09/2012"</f>
        <v>25/09/2012</v>
      </c>
      <c r="B810" t="str">
        <f>"1.2901"</f>
        <v>1.2901</v>
      </c>
      <c r="C810" t="str">
        <f>"1.2905"</f>
        <v>1.2905</v>
      </c>
    </row>
    <row r="811" spans="1:3" x14ac:dyDescent="0.25">
      <c r="A811" t="str">
        <f>"26/09/2012"</f>
        <v>26/09/2012</v>
      </c>
      <c r="B811" t="str">
        <f>"1.2866"</f>
        <v>1.2866</v>
      </c>
      <c r="C811" t="str">
        <f>"1.2871"</f>
        <v>1.2871</v>
      </c>
    </row>
    <row r="812" spans="1:3" x14ac:dyDescent="0.25">
      <c r="A812" t="str">
        <f>"27/09/2012"</f>
        <v>27/09/2012</v>
      </c>
      <c r="B812" t="str">
        <f>"1.2877"</f>
        <v>1.2877</v>
      </c>
      <c r="C812" t="str">
        <f>"1.2881"</f>
        <v>1.2881</v>
      </c>
    </row>
    <row r="813" spans="1:3" x14ac:dyDescent="0.25">
      <c r="A813" t="str">
        <f>"28/09/2012"</f>
        <v>28/09/2012</v>
      </c>
      <c r="B813" t="str">
        <f>"1.2929"</f>
        <v>1.2929</v>
      </c>
      <c r="C813" t="str">
        <f>"1.2932"</f>
        <v>1.2932</v>
      </c>
    </row>
    <row r="814" spans="1:3" x14ac:dyDescent="0.25">
      <c r="A814" t="str">
        <f>"01/10/2012"</f>
        <v>01/10/2012</v>
      </c>
      <c r="B814" t="str">
        <f>"1.2896"</f>
        <v>1.2896</v>
      </c>
      <c r="C814" t="str">
        <f>"1.29"</f>
        <v>1.29</v>
      </c>
    </row>
    <row r="815" spans="1:3" x14ac:dyDescent="0.25">
      <c r="A815" t="str">
        <f>"03/10/2012"</f>
        <v>03/10/2012</v>
      </c>
      <c r="B815" t="str">
        <f>"1.2923"</f>
        <v>1.2923</v>
      </c>
      <c r="C815" t="str">
        <f>"1.2926"</f>
        <v>1.2926</v>
      </c>
    </row>
    <row r="816" spans="1:3" x14ac:dyDescent="0.25">
      <c r="A816" t="str">
        <f>"04/10/2012"</f>
        <v>04/10/2012</v>
      </c>
      <c r="B816" t="str">
        <f>"1.295"</f>
        <v>1.295</v>
      </c>
      <c r="C816" t="str">
        <f>"1.2954"</f>
        <v>1.2954</v>
      </c>
    </row>
    <row r="817" spans="1:3" x14ac:dyDescent="0.25">
      <c r="A817" t="str">
        <f>"05/10/2012"</f>
        <v>05/10/2012</v>
      </c>
      <c r="B817" t="str">
        <f>"1.3012"</f>
        <v>1.3012</v>
      </c>
      <c r="C817" t="str">
        <f>"1.3015"</f>
        <v>1.3015</v>
      </c>
    </row>
    <row r="818" spans="1:3" x14ac:dyDescent="0.25">
      <c r="A818" t="str">
        <f>"08/10/2012"</f>
        <v>08/10/2012</v>
      </c>
      <c r="B818" t="str">
        <f>"1.2985"</f>
        <v>1.2985</v>
      </c>
      <c r="C818" t="str">
        <f>"1.2988"</f>
        <v>1.2988</v>
      </c>
    </row>
    <row r="819" spans="1:3" x14ac:dyDescent="0.25">
      <c r="A819" t="str">
        <f>"09/10/2012"</f>
        <v>09/10/2012</v>
      </c>
      <c r="B819" t="str">
        <f>"1.2933"</f>
        <v>1.2933</v>
      </c>
      <c r="C819" t="str">
        <f>"1.2937"</f>
        <v>1.2937</v>
      </c>
    </row>
    <row r="820" spans="1:3" x14ac:dyDescent="0.25">
      <c r="A820" t="str">
        <f>"10/10/2012"</f>
        <v>10/10/2012</v>
      </c>
      <c r="B820" t="str">
        <f>"1.2851"</f>
        <v>1.2851</v>
      </c>
      <c r="C820" t="str">
        <f>"1.2855"</f>
        <v>1.2855</v>
      </c>
    </row>
    <row r="821" spans="1:3" x14ac:dyDescent="0.25">
      <c r="A821" t="str">
        <f>"11/10/2012"</f>
        <v>11/10/2012</v>
      </c>
      <c r="B821" t="str">
        <f>"1.2918"</f>
        <v>1.2918</v>
      </c>
      <c r="C821" t="str">
        <f>"1.2922"</f>
        <v>1.2922</v>
      </c>
    </row>
    <row r="822" spans="1:3" x14ac:dyDescent="0.25">
      <c r="A822" t="str">
        <f>"12/10/2012"</f>
        <v>12/10/2012</v>
      </c>
      <c r="B822" t="str">
        <f>"1.2925"</f>
        <v>1.2925</v>
      </c>
      <c r="C822" t="str">
        <f>"1.2929"</f>
        <v>1.2929</v>
      </c>
    </row>
    <row r="823" spans="1:3" x14ac:dyDescent="0.25">
      <c r="A823" t="str">
        <f>"15/10/2012"</f>
        <v>15/10/2012</v>
      </c>
      <c r="B823" t="str">
        <f>"1.2973"</f>
        <v>1.2973</v>
      </c>
      <c r="C823" t="str">
        <f>"1.2976"</f>
        <v>1.2976</v>
      </c>
    </row>
    <row r="824" spans="1:3" x14ac:dyDescent="0.25">
      <c r="A824" t="str">
        <f>"16/10/2012"</f>
        <v>16/10/2012</v>
      </c>
      <c r="B824" t="str">
        <f>"1.2986"</f>
        <v>1.2986</v>
      </c>
      <c r="C824" t="str">
        <f>"1.2989"</f>
        <v>1.2989</v>
      </c>
    </row>
    <row r="825" spans="1:3" x14ac:dyDescent="0.25">
      <c r="A825" t="str">
        <f>"17/10/2012"</f>
        <v>17/10/2012</v>
      </c>
      <c r="B825" t="str">
        <f>"1.3088"</f>
        <v>1.3088</v>
      </c>
      <c r="C825" t="str">
        <f>"1.3092"</f>
        <v>1.3092</v>
      </c>
    </row>
    <row r="826" spans="1:3" x14ac:dyDescent="0.25">
      <c r="A826" t="str">
        <f>"18/10/2012"</f>
        <v>18/10/2012</v>
      </c>
      <c r="B826" t="str">
        <f>"1.3094"</f>
        <v>1.3094</v>
      </c>
      <c r="C826" t="str">
        <f>"1.3098"</f>
        <v>1.3098</v>
      </c>
    </row>
    <row r="827" spans="1:3" x14ac:dyDescent="0.25">
      <c r="A827" t="str">
        <f>"19/10/2012"</f>
        <v>19/10/2012</v>
      </c>
      <c r="B827" t="str">
        <f>"1.305"</f>
        <v>1.305</v>
      </c>
      <c r="C827" t="str">
        <f>"1.3053"</f>
        <v>1.3053</v>
      </c>
    </row>
    <row r="828" spans="1:3" x14ac:dyDescent="0.25">
      <c r="A828" t="str">
        <f>"22/10/2012"</f>
        <v>22/10/2012</v>
      </c>
      <c r="B828" t="str">
        <f>"1.3071"</f>
        <v>1.3071</v>
      </c>
      <c r="C828" t="str">
        <f>"1.3074"</f>
        <v>1.3074</v>
      </c>
    </row>
    <row r="829" spans="1:3" x14ac:dyDescent="0.25">
      <c r="A829" t="str">
        <f>"23/10/2012"</f>
        <v>23/10/2012</v>
      </c>
      <c r="B829" t="str">
        <f>"1.3053"</f>
        <v>1.3053</v>
      </c>
      <c r="C829" t="str">
        <f>"1.3056"</f>
        <v>1.3056</v>
      </c>
    </row>
    <row r="830" spans="1:3" x14ac:dyDescent="0.25">
      <c r="A830" t="str">
        <f>"25/10/2012"</f>
        <v>25/10/2012</v>
      </c>
      <c r="B830" t="str">
        <f>"1.3003"</f>
        <v>1.3003</v>
      </c>
      <c r="C830" t="str">
        <f>"1.3006"</f>
        <v>1.3006</v>
      </c>
    </row>
    <row r="831" spans="1:3" x14ac:dyDescent="0.25">
      <c r="A831" t="str">
        <f>"26/10/2012"</f>
        <v>26/10/2012</v>
      </c>
      <c r="B831" t="str">
        <f>"1.2907"</f>
        <v>1.2907</v>
      </c>
      <c r="C831" t="str">
        <f>"1.291"</f>
        <v>1.291</v>
      </c>
    </row>
    <row r="832" spans="1:3" x14ac:dyDescent="0.25">
      <c r="A832" t="str">
        <f>"29/10/2012"</f>
        <v>29/10/2012</v>
      </c>
      <c r="B832" t="str">
        <f>"1.2919"</f>
        <v>1.2919</v>
      </c>
      <c r="C832" t="str">
        <f>"1.2922"</f>
        <v>1.2922</v>
      </c>
    </row>
    <row r="833" spans="1:3" x14ac:dyDescent="0.25">
      <c r="A833" t="str">
        <f>"30/10/2012"</f>
        <v>30/10/2012</v>
      </c>
      <c r="B833" t="str">
        <f>"1.2948"</f>
        <v>1.2948</v>
      </c>
      <c r="C833" t="str">
        <f>"1.2952"</f>
        <v>1.2952</v>
      </c>
    </row>
    <row r="834" spans="1:3" x14ac:dyDescent="0.25">
      <c r="A834" t="str">
        <f>"31/10/2012"</f>
        <v>31/10/2012</v>
      </c>
      <c r="B834" t="str">
        <f>"1.3016"</f>
        <v>1.3016</v>
      </c>
      <c r="C834" t="str">
        <f>"1.3019"</f>
        <v>1.3019</v>
      </c>
    </row>
    <row r="835" spans="1:3" x14ac:dyDescent="0.25">
      <c r="A835" t="str">
        <f>"01/11/2012"</f>
        <v>01/11/2012</v>
      </c>
      <c r="B835" t="str">
        <f>"1.2963"</f>
        <v>1.2963</v>
      </c>
      <c r="C835" t="str">
        <f>"1.2966"</f>
        <v>1.2966</v>
      </c>
    </row>
    <row r="836" spans="1:3" x14ac:dyDescent="0.25">
      <c r="A836" t="str">
        <f>"02/11/2012"</f>
        <v>02/11/2012</v>
      </c>
      <c r="B836" t="str">
        <f>"1.2898"</f>
        <v>1.2898</v>
      </c>
      <c r="C836" t="str">
        <f>"1.2902"</f>
        <v>1.2902</v>
      </c>
    </row>
    <row r="837" spans="1:3" x14ac:dyDescent="0.25">
      <c r="A837" t="str">
        <f>"05/11/2012"</f>
        <v>05/11/2012</v>
      </c>
      <c r="B837" t="str">
        <f>"1.283"</f>
        <v>1.283</v>
      </c>
      <c r="C837" t="str">
        <f>"1.2834"</f>
        <v>1.2834</v>
      </c>
    </row>
    <row r="838" spans="1:3" x14ac:dyDescent="0.25">
      <c r="A838" t="str">
        <f>"06/11/2012"</f>
        <v>06/11/2012</v>
      </c>
      <c r="B838" t="str">
        <f>"1.2789"</f>
        <v>1.2789</v>
      </c>
      <c r="C838" t="str">
        <f>"1.2792"</f>
        <v>1.2792</v>
      </c>
    </row>
    <row r="839" spans="1:3" x14ac:dyDescent="0.25">
      <c r="A839" t="str">
        <f>"07/11/2012"</f>
        <v>07/11/2012</v>
      </c>
      <c r="B839" t="str">
        <f>"1.2872"</f>
        <v>1.2872</v>
      </c>
      <c r="C839" t="str">
        <f>"1.2875"</f>
        <v>1.2875</v>
      </c>
    </row>
    <row r="840" spans="1:3" x14ac:dyDescent="0.25">
      <c r="A840" t="str">
        <f>"08/11/2012"</f>
        <v>08/11/2012</v>
      </c>
      <c r="B840" t="str">
        <f>"1.2761"</f>
        <v>1.2761</v>
      </c>
      <c r="C840" t="str">
        <f>"1.2764"</f>
        <v>1.2764</v>
      </c>
    </row>
    <row r="841" spans="1:3" x14ac:dyDescent="0.25">
      <c r="A841" t="str">
        <f>"09/11/2012"</f>
        <v>09/11/2012</v>
      </c>
      <c r="B841" t="str">
        <f>"1.2772"</f>
        <v>1.2772</v>
      </c>
      <c r="C841" t="str">
        <f>"1.2775"</f>
        <v>1.2775</v>
      </c>
    </row>
    <row r="842" spans="1:3" x14ac:dyDescent="0.25">
      <c r="A842" t="str">
        <f>"12/11/2012"</f>
        <v>12/11/2012</v>
      </c>
      <c r="B842" t="str">
        <f>"1.2731"</f>
        <v>1.2731</v>
      </c>
      <c r="C842" t="str">
        <f>"1.2734"</f>
        <v>1.2734</v>
      </c>
    </row>
    <row r="843" spans="1:3" x14ac:dyDescent="0.25">
      <c r="A843" t="str">
        <f>"15/11/2012"</f>
        <v>15/11/2012</v>
      </c>
      <c r="B843" t="str">
        <f>"1.2754"</f>
        <v>1.2754</v>
      </c>
      <c r="C843" t="str">
        <f>"1.2757"</f>
        <v>1.2757</v>
      </c>
    </row>
    <row r="844" spans="1:3" x14ac:dyDescent="0.25">
      <c r="A844" t="str">
        <f>"16/11/2012"</f>
        <v>16/11/2012</v>
      </c>
      <c r="B844" t="str">
        <f>"1.2772"</f>
        <v>1.2772</v>
      </c>
      <c r="C844" t="str">
        <f>"1.2775"</f>
        <v>1.2775</v>
      </c>
    </row>
    <row r="845" spans="1:3" x14ac:dyDescent="0.25">
      <c r="A845" t="str">
        <f>"19/11/2012"</f>
        <v>19/11/2012</v>
      </c>
      <c r="B845" t="str">
        <f>"1.2768"</f>
        <v>1.2768</v>
      </c>
      <c r="C845" t="str">
        <f>"1.2771"</f>
        <v>1.2771</v>
      </c>
    </row>
    <row r="846" spans="1:3" x14ac:dyDescent="0.25">
      <c r="A846" t="str">
        <f>"20/11/2012"</f>
        <v>20/11/2012</v>
      </c>
      <c r="B846" t="str">
        <f>"1.2804"</f>
        <v>1.2804</v>
      </c>
      <c r="C846" t="str">
        <f>"1.2808"</f>
        <v>1.2808</v>
      </c>
    </row>
    <row r="847" spans="1:3" x14ac:dyDescent="0.25">
      <c r="A847" t="str">
        <f>"21/11/2012"</f>
        <v>21/11/2012</v>
      </c>
      <c r="B847" t="str">
        <f>"1.2755"</f>
        <v>1.2755</v>
      </c>
      <c r="C847" t="str">
        <f>"1.2758"</f>
        <v>1.2758</v>
      </c>
    </row>
    <row r="848" spans="1:3" x14ac:dyDescent="0.25">
      <c r="A848" t="str">
        <f>"22/11/2012"</f>
        <v>22/11/2012</v>
      </c>
      <c r="B848" t="str">
        <f>"1.2866"</f>
        <v>1.2866</v>
      </c>
      <c r="C848" t="str">
        <f>"1.2868"</f>
        <v>1.2868</v>
      </c>
    </row>
    <row r="849" spans="1:3" x14ac:dyDescent="0.25">
      <c r="A849" t="str">
        <f>"23/11/2012"</f>
        <v>23/11/2012</v>
      </c>
      <c r="B849" t="str">
        <f>"1.2882"</f>
        <v>1.2882</v>
      </c>
      <c r="C849" t="str">
        <f>"1.2886"</f>
        <v>1.2886</v>
      </c>
    </row>
    <row r="850" spans="1:3" x14ac:dyDescent="0.25">
      <c r="A850" t="str">
        <f>"26/11/2012"</f>
        <v>26/11/2012</v>
      </c>
      <c r="B850" t="str">
        <f>"1.2955"</f>
        <v>1.2955</v>
      </c>
      <c r="C850" t="str">
        <f>"1.2958"</f>
        <v>1.2958</v>
      </c>
    </row>
    <row r="851" spans="1:3" x14ac:dyDescent="0.25">
      <c r="A851" t="str">
        <f>"27/11/2012"</f>
        <v>27/11/2012</v>
      </c>
      <c r="B851" t="str">
        <f>"1.2983"</f>
        <v>1.2983</v>
      </c>
      <c r="C851" t="str">
        <f>"1.2986"</f>
        <v>1.2986</v>
      </c>
    </row>
    <row r="852" spans="1:3" x14ac:dyDescent="0.25">
      <c r="A852" t="str">
        <f>"29/11/2012"</f>
        <v>29/11/2012</v>
      </c>
      <c r="B852" t="str">
        <f>"1.2953"</f>
        <v>1.2953</v>
      </c>
      <c r="C852" t="str">
        <f>"1.2957"</f>
        <v>1.2957</v>
      </c>
    </row>
    <row r="853" spans="1:3" x14ac:dyDescent="0.25">
      <c r="A853" t="str">
        <f>"30/11/2012"</f>
        <v>30/11/2012</v>
      </c>
      <c r="B853" t="str">
        <f>"1.2998"</f>
        <v>1.2998</v>
      </c>
      <c r="C853" t="str">
        <f>"1.3002"</f>
        <v>1.3002</v>
      </c>
    </row>
    <row r="854" spans="1:3" x14ac:dyDescent="0.25">
      <c r="A854" t="str">
        <f>"03/12/2012"</f>
        <v>03/12/2012</v>
      </c>
      <c r="B854" t="str">
        <f>"1.3037"</f>
        <v>1.3037</v>
      </c>
      <c r="C854" t="str">
        <f>"1.3042"</f>
        <v>1.3042</v>
      </c>
    </row>
    <row r="855" spans="1:3" x14ac:dyDescent="0.25">
      <c r="A855" t="str">
        <f>"04/12/2012"</f>
        <v>04/12/2012</v>
      </c>
      <c r="B855" t="str">
        <f>"1.3058"</f>
        <v>1.3058</v>
      </c>
      <c r="C855" t="str">
        <f>"1.3062"</f>
        <v>1.3062</v>
      </c>
    </row>
    <row r="856" spans="1:3" x14ac:dyDescent="0.25">
      <c r="A856" t="str">
        <f>"05/12/2012"</f>
        <v>05/12/2012</v>
      </c>
      <c r="B856" t="str">
        <f>"1.3119"</f>
        <v>1.3119</v>
      </c>
      <c r="C856" t="str">
        <f>"1.3123"</f>
        <v>1.3123</v>
      </c>
    </row>
    <row r="857" spans="1:3" x14ac:dyDescent="0.25">
      <c r="A857" t="str">
        <f>"06/12/2012"</f>
        <v>06/12/2012</v>
      </c>
      <c r="B857" t="str">
        <f>"1.3056"</f>
        <v>1.3056</v>
      </c>
      <c r="C857" t="str">
        <f>"1.306"</f>
        <v>1.306</v>
      </c>
    </row>
    <row r="858" spans="1:3" x14ac:dyDescent="0.25">
      <c r="A858" t="str">
        <f>"07/12/2012"</f>
        <v>07/12/2012</v>
      </c>
      <c r="B858" t="str">
        <f>"1.2968"</f>
        <v>1.2968</v>
      </c>
      <c r="C858" t="str">
        <f>"1.2973"</f>
        <v>1.2973</v>
      </c>
    </row>
    <row r="859" spans="1:3" x14ac:dyDescent="0.25">
      <c r="A859" t="str">
        <f>"10/12/2012"</f>
        <v>10/12/2012</v>
      </c>
      <c r="B859" t="str">
        <f>"1.2895"</f>
        <v>1.2895</v>
      </c>
      <c r="C859" t="str">
        <f>"1.2899"</f>
        <v>1.2899</v>
      </c>
    </row>
    <row r="860" spans="1:3" x14ac:dyDescent="0.25">
      <c r="A860" t="str">
        <f>"11/12/2012"</f>
        <v>11/12/2012</v>
      </c>
      <c r="B860" t="str">
        <f>"1.2955"</f>
        <v>1.2955</v>
      </c>
      <c r="C860" t="str">
        <f>"1.2959"</f>
        <v>1.2959</v>
      </c>
    </row>
    <row r="861" spans="1:3" x14ac:dyDescent="0.25">
      <c r="A861" t="str">
        <f>"12/12/2012"</f>
        <v>12/12/2012</v>
      </c>
      <c r="B861" t="str">
        <f>"1.3003"</f>
        <v>1.3003</v>
      </c>
      <c r="C861" t="str">
        <f>"1.3007"</f>
        <v>1.3007</v>
      </c>
    </row>
    <row r="862" spans="1:3" x14ac:dyDescent="0.25">
      <c r="A862" t="str">
        <f>"13/12/2012"</f>
        <v>13/12/2012</v>
      </c>
      <c r="B862" t="str">
        <f>"1.3083"</f>
        <v>1.3083</v>
      </c>
      <c r="C862" t="str">
        <f>"1.3087"</f>
        <v>1.3087</v>
      </c>
    </row>
    <row r="863" spans="1:3" x14ac:dyDescent="0.25">
      <c r="A863" t="str">
        <f>"14/12/2012"</f>
        <v>14/12/2012</v>
      </c>
      <c r="B863" t="str">
        <f>"1.3088"</f>
        <v>1.3088</v>
      </c>
      <c r="C863" t="str">
        <f>"1.3092"</f>
        <v>1.3092</v>
      </c>
    </row>
    <row r="864" spans="1:3" x14ac:dyDescent="0.25">
      <c r="A864" t="str">
        <f>"17/12/2012"</f>
        <v>17/12/2012</v>
      </c>
      <c r="B864" t="str">
        <f>"1.3158"</f>
        <v>1.3158</v>
      </c>
      <c r="C864" t="str">
        <f>"1.3163"</f>
        <v>1.3163</v>
      </c>
    </row>
    <row r="865" spans="1:3" x14ac:dyDescent="0.25">
      <c r="A865" t="str">
        <f>"18/12/2012"</f>
        <v>18/12/2012</v>
      </c>
      <c r="B865" t="str">
        <f>"1.317"</f>
        <v>1.317</v>
      </c>
      <c r="C865" t="str">
        <f>"1.3175"</f>
        <v>1.3175</v>
      </c>
    </row>
    <row r="866" spans="1:3" x14ac:dyDescent="0.25">
      <c r="A866" t="str">
        <f>"19/12/2012"</f>
        <v>19/12/2012</v>
      </c>
      <c r="B866" t="str">
        <f>"1.3247"</f>
        <v>1.3247</v>
      </c>
      <c r="C866" t="str">
        <f>"1.3252"</f>
        <v>1.3252</v>
      </c>
    </row>
    <row r="867" spans="1:3" x14ac:dyDescent="0.25">
      <c r="A867" t="str">
        <f>"20/12/2012"</f>
        <v>20/12/2012</v>
      </c>
      <c r="B867" t="str">
        <f>"1.3221"</f>
        <v>1.3221</v>
      </c>
      <c r="C867" t="str">
        <f>"1.3226"</f>
        <v>1.3226</v>
      </c>
    </row>
    <row r="868" spans="1:3" x14ac:dyDescent="0.25">
      <c r="A868" t="str">
        <f>"21/12/2012"</f>
        <v>21/12/2012</v>
      </c>
      <c r="B868" t="str">
        <f>"1.3209"</f>
        <v>1.3209</v>
      </c>
      <c r="C868" t="str">
        <f>"1.3215"</f>
        <v>1.3215</v>
      </c>
    </row>
    <row r="869" spans="1:3" x14ac:dyDescent="0.25">
      <c r="A869" t="str">
        <f>"24/12/2012"</f>
        <v>24/12/2012</v>
      </c>
      <c r="B869" t="str">
        <f>"1.3215"</f>
        <v>1.3215</v>
      </c>
      <c r="C869" t="str">
        <f>"1.322"</f>
        <v>1.322</v>
      </c>
    </row>
    <row r="870" spans="1:3" x14ac:dyDescent="0.25">
      <c r="A870" t="str">
        <f>"26/12/2012"</f>
        <v>26/12/2012</v>
      </c>
      <c r="B870" t="str">
        <f>"1.3178"</f>
        <v>1.3178</v>
      </c>
      <c r="C870" t="str">
        <f>"1.3183"</f>
        <v>1.3183</v>
      </c>
    </row>
    <row r="871" spans="1:3" x14ac:dyDescent="0.25">
      <c r="A871" t="str">
        <f>"27/12/2012"</f>
        <v>27/12/2012</v>
      </c>
      <c r="B871" t="str">
        <f>"1.323"</f>
        <v>1.323</v>
      </c>
      <c r="C871" t="str">
        <f>"1.3235"</f>
        <v>1.3235</v>
      </c>
    </row>
    <row r="872" spans="1:3" x14ac:dyDescent="0.25">
      <c r="A872" t="str">
        <f>"28/12/2012"</f>
        <v>28/12/2012</v>
      </c>
      <c r="B872" t="str">
        <f>"1.3243"</f>
        <v>1.3243</v>
      </c>
      <c r="C872" t="str">
        <f>"1.3247"</f>
        <v>1.3247</v>
      </c>
    </row>
    <row r="873" spans="1:3" x14ac:dyDescent="0.25">
      <c r="A873" t="str">
        <f>"31/12/2012"</f>
        <v>31/12/2012</v>
      </c>
      <c r="B873" t="str">
        <f>"1.3212"</f>
        <v>1.3212</v>
      </c>
      <c r="C873" t="str">
        <f>"1.3215"</f>
        <v>1.3215</v>
      </c>
    </row>
    <row r="874" spans="1:3" x14ac:dyDescent="0.25">
      <c r="A874" t="str">
        <f>"01/01/2013"</f>
        <v>01/01/2013</v>
      </c>
      <c r="B874" t="str">
        <f>"1.3219"</f>
        <v>1.3219</v>
      </c>
      <c r="C874" t="str">
        <f>"1.3222"</f>
        <v>1.3222</v>
      </c>
    </row>
    <row r="875" spans="1:3" x14ac:dyDescent="0.25">
      <c r="A875" t="str">
        <f>"02/01/2013"</f>
        <v>02/01/2013</v>
      </c>
      <c r="B875" t="str">
        <f>"1.3271"</f>
        <v>1.3271</v>
      </c>
      <c r="C875" t="str">
        <f>"1.3275"</f>
        <v>1.3275</v>
      </c>
    </row>
    <row r="876" spans="1:3" x14ac:dyDescent="0.25">
      <c r="A876" t="str">
        <f>"03/01/2013"</f>
        <v>03/01/2013</v>
      </c>
      <c r="B876" t="str">
        <f>"1.3139"</f>
        <v>1.3139</v>
      </c>
      <c r="C876" t="str">
        <f>"1.3142"</f>
        <v>1.3142</v>
      </c>
    </row>
    <row r="877" spans="1:3" x14ac:dyDescent="0.25">
      <c r="A877" t="str">
        <f>"04/01/2013"</f>
        <v>04/01/2013</v>
      </c>
      <c r="B877" t="str">
        <f>"1.3034"</f>
        <v>1.3034</v>
      </c>
      <c r="C877" t="str">
        <f>"1.3037"</f>
        <v>1.3037</v>
      </c>
    </row>
    <row r="878" spans="1:3" x14ac:dyDescent="0.25">
      <c r="A878" t="str">
        <f>"07/01/2013"</f>
        <v>07/01/2013</v>
      </c>
      <c r="B878" t="str">
        <f>"1.303"</f>
        <v>1.303</v>
      </c>
      <c r="C878" t="str">
        <f>"1.3033"</f>
        <v>1.3033</v>
      </c>
    </row>
    <row r="879" spans="1:3" x14ac:dyDescent="0.25">
      <c r="A879" t="str">
        <f>"08/01/2013"</f>
        <v>08/01/2013</v>
      </c>
      <c r="B879" t="str">
        <f>"1.3125"</f>
        <v>1.3125</v>
      </c>
      <c r="C879" t="str">
        <f>"1.3129"</f>
        <v>1.3129</v>
      </c>
    </row>
    <row r="880" spans="1:3" x14ac:dyDescent="0.25">
      <c r="A880" t="str">
        <f>"09/01/2013"</f>
        <v>09/01/2013</v>
      </c>
      <c r="B880" t="str">
        <f>"1.3072"</f>
        <v>1.3072</v>
      </c>
      <c r="C880" t="str">
        <f>"1.3076"</f>
        <v>1.3076</v>
      </c>
    </row>
    <row r="881" spans="1:3" x14ac:dyDescent="0.25">
      <c r="A881" t="str">
        <f>"10/01/2013"</f>
        <v>10/01/2013</v>
      </c>
      <c r="B881" t="str">
        <f>"1.3048"</f>
        <v>1.3048</v>
      </c>
      <c r="C881" t="str">
        <f>"1.3052"</f>
        <v>1.3052</v>
      </c>
    </row>
    <row r="882" spans="1:3" x14ac:dyDescent="0.25">
      <c r="A882" t="str">
        <f>"11/01/2013"</f>
        <v>11/01/2013</v>
      </c>
      <c r="B882" t="str">
        <f>"1.3259"</f>
        <v>1.3259</v>
      </c>
      <c r="C882" t="str">
        <f>"1.3262"</f>
        <v>1.3262</v>
      </c>
    </row>
    <row r="883" spans="1:3" x14ac:dyDescent="0.25">
      <c r="A883" t="str">
        <f>"14/01/2013"</f>
        <v>14/01/2013</v>
      </c>
      <c r="B883" t="str">
        <f>"1.3387"</f>
        <v>1.3387</v>
      </c>
      <c r="C883" t="str">
        <f>"1.3391"</f>
        <v>1.3391</v>
      </c>
    </row>
    <row r="884" spans="1:3" x14ac:dyDescent="0.25">
      <c r="A884" t="str">
        <f>"15/01/2013"</f>
        <v>15/01/2013</v>
      </c>
      <c r="B884" t="str">
        <f>"1.3351"</f>
        <v>1.3351</v>
      </c>
      <c r="C884" t="str">
        <f>"1.3355"</f>
        <v>1.3355</v>
      </c>
    </row>
    <row r="885" spans="1:3" x14ac:dyDescent="0.25">
      <c r="A885" t="str">
        <f>"16/01/2013"</f>
        <v>16/01/2013</v>
      </c>
      <c r="B885" t="str">
        <f>"1.3291"</f>
        <v>1.3291</v>
      </c>
      <c r="C885" t="str">
        <f>"1.3294"</f>
        <v>1.3294</v>
      </c>
    </row>
    <row r="886" spans="1:3" x14ac:dyDescent="0.25">
      <c r="A886" t="str">
        <f>"17/01/2013"</f>
        <v>17/01/2013</v>
      </c>
      <c r="B886" t="str">
        <f>"1.328"</f>
        <v>1.328</v>
      </c>
      <c r="C886" t="str">
        <f>"1.3283"</f>
        <v>1.3283</v>
      </c>
    </row>
    <row r="887" spans="1:3" x14ac:dyDescent="0.25">
      <c r="A887" t="str">
        <f>"18/01/2013"</f>
        <v>18/01/2013</v>
      </c>
      <c r="B887" t="str">
        <f>"1.3383"</f>
        <v>1.3383</v>
      </c>
      <c r="C887" t="str">
        <f>"1.3386"</f>
        <v>1.3386</v>
      </c>
    </row>
    <row r="888" spans="1:3" x14ac:dyDescent="0.25">
      <c r="A888" t="str">
        <f>"21/01/2013"</f>
        <v>21/01/2013</v>
      </c>
      <c r="B888" t="str">
        <f>"1.3322"</f>
        <v>1.3322</v>
      </c>
      <c r="C888" t="str">
        <f>"1.3325"</f>
        <v>1.3325</v>
      </c>
    </row>
    <row r="889" spans="1:3" x14ac:dyDescent="0.25">
      <c r="A889" t="str">
        <f>"22/01/2013"</f>
        <v>22/01/2013</v>
      </c>
      <c r="B889" t="str">
        <f>"1.334"</f>
        <v>1.334</v>
      </c>
      <c r="C889" t="str">
        <f>"1.3343"</f>
        <v>1.3343</v>
      </c>
    </row>
    <row r="890" spans="1:3" x14ac:dyDescent="0.25">
      <c r="A890" t="str">
        <f>"23/01/2013"</f>
        <v>23/01/2013</v>
      </c>
      <c r="B890" t="str">
        <f>"1.3294"</f>
        <v>1.3294</v>
      </c>
      <c r="C890" t="str">
        <f>"1.3297"</f>
        <v>1.3297</v>
      </c>
    </row>
    <row r="891" spans="1:3" x14ac:dyDescent="0.25">
      <c r="A891" t="str">
        <f>"24/01/2013"</f>
        <v>24/01/2013</v>
      </c>
      <c r="B891" t="str">
        <f>"1.3316"</f>
        <v>1.3316</v>
      </c>
      <c r="C891" t="str">
        <f>"1.3319"</f>
        <v>1.3319</v>
      </c>
    </row>
    <row r="892" spans="1:3" x14ac:dyDescent="0.25">
      <c r="A892" t="str">
        <f>"28/01/2013"</f>
        <v>28/01/2013</v>
      </c>
      <c r="B892" t="str">
        <f>"1.3453"</f>
        <v>1.3453</v>
      </c>
      <c r="C892" t="str">
        <f>"1.3455"</f>
        <v>1.3455</v>
      </c>
    </row>
    <row r="893" spans="1:3" x14ac:dyDescent="0.25">
      <c r="A893" t="str">
        <f>"29/01/2013"</f>
        <v>29/01/2013</v>
      </c>
      <c r="B893" t="str">
        <f>"1.3457"</f>
        <v>1.3457</v>
      </c>
      <c r="C893" t="str">
        <f>"1.3459"</f>
        <v>1.3459</v>
      </c>
    </row>
    <row r="894" spans="1:3" x14ac:dyDescent="0.25">
      <c r="A894" t="str">
        <f>"30/01/2013"</f>
        <v>30/01/2013</v>
      </c>
      <c r="B894" t="str">
        <f>"1.3487"</f>
        <v>1.3487</v>
      </c>
      <c r="C894" t="str">
        <f>"1.3489"</f>
        <v>1.3489</v>
      </c>
    </row>
    <row r="895" spans="1:3" x14ac:dyDescent="0.25">
      <c r="A895" t="str">
        <f>"31/01/2013"</f>
        <v>31/01/2013</v>
      </c>
      <c r="B895" t="str">
        <f>"1.3569"</f>
        <v>1.3569</v>
      </c>
      <c r="C895" t="str">
        <f>"1.3571"</f>
        <v>1.3571</v>
      </c>
    </row>
    <row r="896" spans="1:3" x14ac:dyDescent="0.25">
      <c r="A896" t="str">
        <f>"01/02/2013"</f>
        <v>01/02/2013</v>
      </c>
      <c r="B896" t="str">
        <f>"1.3619"</f>
        <v>1.3619</v>
      </c>
      <c r="C896" t="str">
        <f>"1.3621"</f>
        <v>1.3621</v>
      </c>
    </row>
    <row r="897" spans="1:3" x14ac:dyDescent="0.25">
      <c r="A897" t="str">
        <f>"04/02/2013"</f>
        <v>04/02/2013</v>
      </c>
      <c r="B897" t="str">
        <f>"1.3626"</f>
        <v>1.3626</v>
      </c>
      <c r="C897" t="str">
        <f>"1.3628"</f>
        <v>1.3628</v>
      </c>
    </row>
    <row r="898" spans="1:3" x14ac:dyDescent="0.25">
      <c r="A898" t="str">
        <f>"05/02/2013"</f>
        <v>05/02/2013</v>
      </c>
      <c r="B898" t="str">
        <f>"1.349"</f>
        <v>1.349</v>
      </c>
      <c r="C898" t="str">
        <f>"1.3493"</f>
        <v>1.3493</v>
      </c>
    </row>
    <row r="899" spans="1:3" x14ac:dyDescent="0.25">
      <c r="A899" t="str">
        <f>"06/02/2013"</f>
        <v>06/02/2013</v>
      </c>
      <c r="B899" t="str">
        <f>"1.358"</f>
        <v>1.358</v>
      </c>
      <c r="C899" t="str">
        <f>"1.3582"</f>
        <v>1.3582</v>
      </c>
    </row>
    <row r="900" spans="1:3" x14ac:dyDescent="0.25">
      <c r="A900" t="str">
        <f>"07/02/2013"</f>
        <v>07/02/2013</v>
      </c>
      <c r="B900" t="str">
        <f>"1.3508"</f>
        <v>1.3508</v>
      </c>
      <c r="C900" t="str">
        <f>"1.3511"</f>
        <v>1.3511</v>
      </c>
    </row>
    <row r="901" spans="1:3" x14ac:dyDescent="0.25">
      <c r="A901" t="str">
        <f>"08/02/2013"</f>
        <v>08/02/2013</v>
      </c>
      <c r="B901" t="str">
        <f>"1.3406"</f>
        <v>1.3406</v>
      </c>
      <c r="C901" t="str">
        <f>"1.3408"</f>
        <v>1.3408</v>
      </c>
    </row>
    <row r="902" spans="1:3" x14ac:dyDescent="0.25">
      <c r="A902" t="str">
        <f>"11/02/2013"</f>
        <v>11/02/2013</v>
      </c>
      <c r="B902" t="str">
        <f>"1.3369"</f>
        <v>1.3369</v>
      </c>
      <c r="C902" t="str">
        <f>"1.3372"</f>
        <v>1.3372</v>
      </c>
    </row>
    <row r="903" spans="1:3" x14ac:dyDescent="0.25">
      <c r="A903" t="str">
        <f>"12/02/2013"</f>
        <v>12/02/2013</v>
      </c>
      <c r="B903" t="str">
        <f>"1.3386"</f>
        <v>1.3386</v>
      </c>
      <c r="C903" t="str">
        <f>"1.3388"</f>
        <v>1.3388</v>
      </c>
    </row>
    <row r="904" spans="1:3" x14ac:dyDescent="0.25">
      <c r="A904" t="str">
        <f>"13/02/2013"</f>
        <v>13/02/2013</v>
      </c>
      <c r="B904" t="str">
        <f>"1.3448"</f>
        <v>1.3448</v>
      </c>
      <c r="C904" t="str">
        <f>"1.345"</f>
        <v>1.345</v>
      </c>
    </row>
    <row r="905" spans="1:3" x14ac:dyDescent="0.25">
      <c r="A905" t="str">
        <f>"14/02/2013"</f>
        <v>14/02/2013</v>
      </c>
      <c r="B905" t="str">
        <f>"1.3324"</f>
        <v>1.3324</v>
      </c>
      <c r="C905" t="str">
        <f>"1.3326"</f>
        <v>1.3326</v>
      </c>
    </row>
    <row r="906" spans="1:3" x14ac:dyDescent="0.25">
      <c r="A906" t="str">
        <f>"15/02/2013"</f>
        <v>15/02/2013</v>
      </c>
      <c r="B906" t="str">
        <f>"1.3362"</f>
        <v>1.3362</v>
      </c>
      <c r="C906" t="str">
        <f>"1.3364"</f>
        <v>1.3364</v>
      </c>
    </row>
    <row r="907" spans="1:3" x14ac:dyDescent="0.25">
      <c r="A907" t="str">
        <f>"18/02/2013"</f>
        <v>18/02/2013</v>
      </c>
      <c r="B907" t="str">
        <f>"1.3335"</f>
        <v>1.3335</v>
      </c>
      <c r="C907" t="str">
        <f>"1.3337"</f>
        <v>1.3337</v>
      </c>
    </row>
    <row r="908" spans="1:3" x14ac:dyDescent="0.25">
      <c r="A908" t="str">
        <f>"20/02/2013"</f>
        <v>20/02/2013</v>
      </c>
      <c r="B908" t="str">
        <f>"1.3411"</f>
        <v>1.3411</v>
      </c>
      <c r="C908" t="str">
        <f>"1.3413"</f>
        <v>1.3413</v>
      </c>
    </row>
    <row r="909" spans="1:3" x14ac:dyDescent="0.25">
      <c r="A909" t="str">
        <f>"21/02/2013"</f>
        <v>21/02/2013</v>
      </c>
      <c r="B909" t="str">
        <f>"1.3256"</f>
        <v>1.3256</v>
      </c>
      <c r="C909" t="str">
        <f>"1.3258"</f>
        <v>1.3258</v>
      </c>
    </row>
    <row r="910" spans="1:3" x14ac:dyDescent="0.25">
      <c r="A910" t="str">
        <f>"22/02/2013"</f>
        <v>22/02/2013</v>
      </c>
      <c r="B910" t="str">
        <f>"1.3215"</f>
        <v>1.3215</v>
      </c>
      <c r="C910" t="str">
        <f>"1.3217"</f>
        <v>1.3217</v>
      </c>
    </row>
    <row r="911" spans="1:3" x14ac:dyDescent="0.25">
      <c r="A911" t="str">
        <f>"25/02/2013"</f>
        <v>25/02/2013</v>
      </c>
      <c r="B911" t="str">
        <f>"1.3188"</f>
        <v>1.3188</v>
      </c>
      <c r="C911" t="str">
        <f>"1.3191"</f>
        <v>1.3191</v>
      </c>
    </row>
    <row r="912" spans="1:3" x14ac:dyDescent="0.25">
      <c r="A912" t="str">
        <f>"26/02/2013"</f>
        <v>26/02/2013</v>
      </c>
      <c r="B912" t="str">
        <f>"1.3052"</f>
        <v>1.3052</v>
      </c>
      <c r="C912" t="str">
        <f>"1.3055"</f>
        <v>1.3055</v>
      </c>
    </row>
    <row r="913" spans="1:3" x14ac:dyDescent="0.25">
      <c r="A913" t="str">
        <f>"27/02/2013"</f>
        <v>27/02/2013</v>
      </c>
      <c r="B913" t="str">
        <f>"1.3072"</f>
        <v>1.3072</v>
      </c>
      <c r="C913" t="str">
        <f>"1.3075"</f>
        <v>1.3075</v>
      </c>
    </row>
    <row r="914" spans="1:3" x14ac:dyDescent="0.25">
      <c r="A914" t="str">
        <f>"28/02/2013"</f>
        <v>28/02/2013</v>
      </c>
      <c r="B914" t="str">
        <f>"1.3143"</f>
        <v>1.3143</v>
      </c>
      <c r="C914" t="str">
        <f>"1.3146"</f>
        <v>1.3146</v>
      </c>
    </row>
    <row r="915" spans="1:3" x14ac:dyDescent="0.25">
      <c r="A915" t="str">
        <f>"01/03/2013"</f>
        <v>01/03/2013</v>
      </c>
      <c r="B915" t="str">
        <f>"1.3076"</f>
        <v>1.3076</v>
      </c>
      <c r="C915" t="str">
        <f>"1.3079"</f>
        <v>1.3079</v>
      </c>
    </row>
    <row r="916" spans="1:3" x14ac:dyDescent="0.25">
      <c r="A916" t="str">
        <f>"04/03/2013"</f>
        <v>04/03/2013</v>
      </c>
      <c r="B916" t="str">
        <f>"1.3016"</f>
        <v>1.3016</v>
      </c>
      <c r="C916" t="str">
        <f>"1.3019"</f>
        <v>1.3019</v>
      </c>
    </row>
    <row r="917" spans="1:3" x14ac:dyDescent="0.25">
      <c r="A917" t="str">
        <f>"05/03/2013"</f>
        <v>05/03/2013</v>
      </c>
      <c r="B917" t="str">
        <f>"1.3031"</f>
        <v>1.3031</v>
      </c>
      <c r="C917" t="str">
        <f>"1.3034"</f>
        <v>1.3034</v>
      </c>
    </row>
    <row r="918" spans="1:3" x14ac:dyDescent="0.25">
      <c r="A918" t="str">
        <f>"06/03/2013"</f>
        <v>06/03/2013</v>
      </c>
      <c r="B918" t="str">
        <f>"1.3064"</f>
        <v>1.3064</v>
      </c>
      <c r="C918" t="str">
        <f>"1.3066"</f>
        <v>1.3066</v>
      </c>
    </row>
    <row r="919" spans="1:3" x14ac:dyDescent="0.25">
      <c r="A919" t="str">
        <f>"07/03/2013"</f>
        <v>07/03/2013</v>
      </c>
      <c r="B919" t="str">
        <f>"1.2987"</f>
        <v>1.2987</v>
      </c>
      <c r="C919" t="str">
        <f>"1.299"</f>
        <v>1.299</v>
      </c>
    </row>
    <row r="920" spans="1:3" x14ac:dyDescent="0.25">
      <c r="A920" t="str">
        <f>"08/03/2013"</f>
        <v>08/03/2013</v>
      </c>
      <c r="B920" t="str">
        <f>"1.3097"</f>
        <v>1.3097</v>
      </c>
      <c r="C920" t="str">
        <f>"1.3099"</f>
        <v>1.3099</v>
      </c>
    </row>
    <row r="921" spans="1:3" x14ac:dyDescent="0.25">
      <c r="A921" t="str">
        <f>"11/03/2013"</f>
        <v>11/03/2013</v>
      </c>
      <c r="B921" t="str">
        <f>"1.3004"</f>
        <v>1.3004</v>
      </c>
      <c r="C921" t="str">
        <f>"1.3007"</f>
        <v>1.3007</v>
      </c>
    </row>
    <row r="922" spans="1:3" x14ac:dyDescent="0.25">
      <c r="A922" t="str">
        <f>"12/03/2013"</f>
        <v>12/03/2013</v>
      </c>
      <c r="B922" t="str">
        <f>"1.3024"</f>
        <v>1.3024</v>
      </c>
      <c r="C922" t="str">
        <f>"1.3026"</f>
        <v>1.3026</v>
      </c>
    </row>
    <row r="923" spans="1:3" x14ac:dyDescent="0.25">
      <c r="A923" t="str">
        <f>"13/03/2013"</f>
        <v>13/03/2013</v>
      </c>
      <c r="B923" t="str">
        <f>"1.304"</f>
        <v>1.304</v>
      </c>
      <c r="C923" t="str">
        <f>"1.3042"</f>
        <v>1.3042</v>
      </c>
    </row>
    <row r="924" spans="1:3" x14ac:dyDescent="0.25">
      <c r="A924" t="str">
        <f>"14/03/2013"</f>
        <v>14/03/2013</v>
      </c>
      <c r="B924" t="str">
        <f>"1.2952"</f>
        <v>1.2952</v>
      </c>
      <c r="C924" t="str">
        <f>"1.2954"</f>
        <v>1.2954</v>
      </c>
    </row>
    <row r="925" spans="1:3" x14ac:dyDescent="0.25">
      <c r="A925" t="str">
        <f>"15/03/2013"</f>
        <v>15/03/2013</v>
      </c>
      <c r="B925" t="str">
        <f>"1.302"</f>
        <v>1.302</v>
      </c>
      <c r="C925" t="str">
        <f>"1.3023"</f>
        <v>1.3023</v>
      </c>
    </row>
    <row r="926" spans="1:3" x14ac:dyDescent="0.25">
      <c r="A926" t="str">
        <f>"18/03/2013"</f>
        <v>18/03/2013</v>
      </c>
      <c r="B926" t="str">
        <f>"1.2899"</f>
        <v>1.2899</v>
      </c>
      <c r="C926" t="str">
        <f>"1.2902"</f>
        <v>1.2902</v>
      </c>
    </row>
    <row r="927" spans="1:3" x14ac:dyDescent="0.25">
      <c r="A927" t="str">
        <f>"19/03/2013"</f>
        <v>19/03/2013</v>
      </c>
      <c r="B927" t="str">
        <f>"1.2955"</f>
        <v>1.2955</v>
      </c>
      <c r="C927" t="str">
        <f>"1.2958"</f>
        <v>1.2958</v>
      </c>
    </row>
    <row r="928" spans="1:3" x14ac:dyDescent="0.25">
      <c r="A928" t="str">
        <f>"20/03/2013"</f>
        <v>20/03/2013</v>
      </c>
      <c r="B928" t="str">
        <f>"1.2876"</f>
        <v>1.2876</v>
      </c>
      <c r="C928" t="str">
        <f>"1.2879"</f>
        <v>1.2879</v>
      </c>
    </row>
    <row r="929" spans="1:3" x14ac:dyDescent="0.25">
      <c r="A929" t="str">
        <f>"21/03/2013"</f>
        <v>21/03/2013</v>
      </c>
      <c r="B929" t="str">
        <f>"1.2946"</f>
        <v>1.2946</v>
      </c>
      <c r="C929" t="str">
        <f>"1.2949"</f>
        <v>1.2949</v>
      </c>
    </row>
    <row r="930" spans="1:3" x14ac:dyDescent="0.25">
      <c r="A930" t="str">
        <f>"22/03/2013"</f>
        <v>22/03/2013</v>
      </c>
      <c r="B930" t="str">
        <f>"1.2914"</f>
        <v>1.2914</v>
      </c>
      <c r="C930" t="str">
        <f>"1.2917"</f>
        <v>1.2917</v>
      </c>
    </row>
    <row r="931" spans="1:3" x14ac:dyDescent="0.25">
      <c r="A931" t="str">
        <f>"25/03/2013"</f>
        <v>25/03/2013</v>
      </c>
      <c r="B931" t="str">
        <f>"1.3039"</f>
        <v>1.3039</v>
      </c>
      <c r="C931" t="str">
        <f>"1.3042"</f>
        <v>1.3042</v>
      </c>
    </row>
    <row r="932" spans="1:3" x14ac:dyDescent="0.25">
      <c r="A932" t="str">
        <f>"26/03/2013"</f>
        <v>26/03/2013</v>
      </c>
      <c r="B932" t="str">
        <f>"1.2868"</f>
        <v>1.2868</v>
      </c>
      <c r="C932" t="str">
        <f>"1.2871"</f>
        <v>1.2871</v>
      </c>
    </row>
    <row r="933" spans="1:3" x14ac:dyDescent="0.25">
      <c r="A933" t="str">
        <f>"28/03/2013"</f>
        <v>28/03/2013</v>
      </c>
      <c r="B933" t="str">
        <f>"1.2781"</f>
        <v>1.2781</v>
      </c>
      <c r="C933" t="str">
        <f>"1.2783"</f>
        <v>1.2783</v>
      </c>
    </row>
    <row r="934" spans="1:3" x14ac:dyDescent="0.25">
      <c r="A934" t="str">
        <f>"02/04/2013"</f>
        <v>02/04/2013</v>
      </c>
      <c r="B934" t="str">
        <f>"1.2864"</f>
        <v>1.2864</v>
      </c>
      <c r="C934" t="str">
        <f>"1.2867"</f>
        <v>1.2867</v>
      </c>
    </row>
    <row r="935" spans="1:3" x14ac:dyDescent="0.25">
      <c r="A935" t="str">
        <f>"03/04/2013"</f>
        <v>03/04/2013</v>
      </c>
      <c r="B935" t="str">
        <f>"1.2822"</f>
        <v>1.2822</v>
      </c>
      <c r="C935" t="str">
        <f>"1.2824"</f>
        <v>1.2824</v>
      </c>
    </row>
    <row r="936" spans="1:3" x14ac:dyDescent="0.25">
      <c r="A936" t="str">
        <f>"04/04/2013"</f>
        <v>04/04/2013</v>
      </c>
      <c r="B936" t="str">
        <f>"1.2849"</f>
        <v>1.2849</v>
      </c>
      <c r="C936" t="str">
        <f>"1.2851"</f>
        <v>1.2851</v>
      </c>
    </row>
    <row r="937" spans="1:3" x14ac:dyDescent="0.25">
      <c r="A937" t="str">
        <f>"05/04/2013"</f>
        <v>05/04/2013</v>
      </c>
      <c r="B937" t="str">
        <f>"1.2935"</f>
        <v>1.2935</v>
      </c>
      <c r="C937" t="str">
        <f>"1.2937"</f>
        <v>1.2937</v>
      </c>
    </row>
    <row r="938" spans="1:3" x14ac:dyDescent="0.25">
      <c r="A938" t="str">
        <f>"08/04/2013"</f>
        <v>08/04/2013</v>
      </c>
      <c r="B938" t="str">
        <f>"1.2989"</f>
        <v>1.2989</v>
      </c>
      <c r="C938" t="str">
        <f>"1.2991"</f>
        <v>1.2991</v>
      </c>
    </row>
    <row r="939" spans="1:3" x14ac:dyDescent="0.25">
      <c r="A939" t="str">
        <f>"09/04/2013"</f>
        <v>09/04/2013</v>
      </c>
      <c r="B939" t="str">
        <f>"1.3047"</f>
        <v>1.3047</v>
      </c>
      <c r="C939" t="str">
        <f>"1.305"</f>
        <v>1.305</v>
      </c>
    </row>
    <row r="940" spans="1:3" x14ac:dyDescent="0.25">
      <c r="A940" t="str">
        <f>"10/04/2013"</f>
        <v>10/04/2013</v>
      </c>
      <c r="B940" t="str">
        <f>"1.3086"</f>
        <v>1.3086</v>
      </c>
      <c r="C940" t="str">
        <f>"1.3088"</f>
        <v>1.3088</v>
      </c>
    </row>
    <row r="941" spans="1:3" x14ac:dyDescent="0.25">
      <c r="A941" t="str">
        <f>"12/04/2013"</f>
        <v>12/04/2013</v>
      </c>
      <c r="B941" t="str">
        <f>"1.3114"</f>
        <v>1.3114</v>
      </c>
      <c r="C941" t="str">
        <f>"1.3116"</f>
        <v>1.3116</v>
      </c>
    </row>
    <row r="942" spans="1:3" x14ac:dyDescent="0.25">
      <c r="A942" t="str">
        <f>"15/04/2013"</f>
        <v>15/04/2013</v>
      </c>
      <c r="B942" t="str">
        <f>"1.3074"</f>
        <v>1.3074</v>
      </c>
      <c r="C942" t="str">
        <f>"1.3076"</f>
        <v>1.3076</v>
      </c>
    </row>
    <row r="943" spans="1:3" x14ac:dyDescent="0.25">
      <c r="A943" t="str">
        <f>"16/04/2013"</f>
        <v>16/04/2013</v>
      </c>
      <c r="B943" t="str">
        <f>"1.3074"</f>
        <v>1.3074</v>
      </c>
      <c r="C943" t="str">
        <f>"1.3077"</f>
        <v>1.3077</v>
      </c>
    </row>
    <row r="944" spans="1:3" x14ac:dyDescent="0.25">
      <c r="A944" t="str">
        <f>"17/04/2013"</f>
        <v>17/04/2013</v>
      </c>
      <c r="B944" t="str">
        <f>"1.3172"</f>
        <v>1.3172</v>
      </c>
      <c r="C944" t="str">
        <f>"1.3174"</f>
        <v>1.3174</v>
      </c>
    </row>
    <row r="945" spans="1:3" x14ac:dyDescent="0.25">
      <c r="A945" t="str">
        <f>"18/04/2013"</f>
        <v>18/04/2013</v>
      </c>
      <c r="B945" t="str">
        <f>"1.306"</f>
        <v>1.306</v>
      </c>
      <c r="C945" t="str">
        <f>"1.3062"</f>
        <v>1.3062</v>
      </c>
    </row>
    <row r="946" spans="1:3" x14ac:dyDescent="0.25">
      <c r="A946" t="str">
        <f>"22/04/2013"</f>
        <v>22/04/2013</v>
      </c>
      <c r="B946" t="str">
        <f>"1.3072"</f>
        <v>1.3072</v>
      </c>
      <c r="C946" t="str">
        <f>"1.3074"</f>
        <v>1.3074</v>
      </c>
    </row>
    <row r="947" spans="1:3" x14ac:dyDescent="0.25">
      <c r="A947" t="str">
        <f>"23/04/2013"</f>
        <v>23/04/2013</v>
      </c>
      <c r="B947" t="str">
        <f>"1.3039"</f>
        <v>1.3039</v>
      </c>
      <c r="C947" t="str">
        <f>"1.3042"</f>
        <v>1.3042</v>
      </c>
    </row>
    <row r="948" spans="1:3" x14ac:dyDescent="0.25">
      <c r="A948" t="str">
        <f>"25/04/2013"</f>
        <v>25/04/2013</v>
      </c>
      <c r="B948" t="str">
        <f>"1.3042"</f>
        <v>1.3042</v>
      </c>
      <c r="C948" t="str">
        <f>"1.3044"</f>
        <v>1.3044</v>
      </c>
    </row>
    <row r="949" spans="1:3" x14ac:dyDescent="0.25">
      <c r="A949" t="str">
        <f>"26/04/2013"</f>
        <v>26/04/2013</v>
      </c>
      <c r="B949" t="str">
        <f>"1.3043"</f>
        <v>1.3043</v>
      </c>
      <c r="C949" t="str">
        <f>"1.3046"</f>
        <v>1.3046</v>
      </c>
    </row>
    <row r="950" spans="1:3" x14ac:dyDescent="0.25">
      <c r="A950" t="str">
        <f>"29/04/2013"</f>
        <v>29/04/2013</v>
      </c>
      <c r="B950" t="str">
        <f>"1.3048"</f>
        <v>1.3048</v>
      </c>
      <c r="C950" t="str">
        <f>"1.3051"</f>
        <v>1.3051</v>
      </c>
    </row>
    <row r="951" spans="1:3" x14ac:dyDescent="0.25">
      <c r="A951" t="str">
        <f>"30/04/2013"</f>
        <v>30/04/2013</v>
      </c>
      <c r="B951" t="str">
        <f>"1.3096"</f>
        <v>1.3096</v>
      </c>
      <c r="C951" t="str">
        <f>"1.3098"</f>
        <v>1.3098</v>
      </c>
    </row>
    <row r="952" spans="1:3" x14ac:dyDescent="0.25">
      <c r="A952" t="str">
        <f>"02/05/2013"</f>
        <v>02/05/2013</v>
      </c>
      <c r="B952" t="str">
        <f>"1.3171"</f>
        <v>1.3171</v>
      </c>
      <c r="C952" t="str">
        <f>"1.3174"</f>
        <v>1.3174</v>
      </c>
    </row>
    <row r="953" spans="1:3" x14ac:dyDescent="0.25">
      <c r="A953" t="str">
        <f>"03/05/2013"</f>
        <v>03/05/2013</v>
      </c>
      <c r="B953" t="str">
        <f>"1.3072"</f>
        <v>1.3072</v>
      </c>
      <c r="C953" t="str">
        <f>"1.3074"</f>
        <v>1.3074</v>
      </c>
    </row>
    <row r="954" spans="1:3" x14ac:dyDescent="0.25">
      <c r="A954" t="str">
        <f>"06/05/2013"</f>
        <v>06/05/2013</v>
      </c>
      <c r="B954" t="str">
        <f>"1.3119"</f>
        <v>1.3119</v>
      </c>
      <c r="C954" t="str">
        <f>"1.3122"</f>
        <v>1.3122</v>
      </c>
    </row>
    <row r="955" spans="1:3" x14ac:dyDescent="0.25">
      <c r="A955" t="str">
        <f>"07/05/2013"</f>
        <v>07/05/2013</v>
      </c>
      <c r="B955" t="str">
        <f>"1.3087"</f>
        <v>1.3087</v>
      </c>
      <c r="C955" t="str">
        <f>"1.309"</f>
        <v>1.309</v>
      </c>
    </row>
    <row r="956" spans="1:3" x14ac:dyDescent="0.25">
      <c r="A956" t="str">
        <f>"08/05/2013"</f>
        <v>08/05/2013</v>
      </c>
      <c r="B956" t="str">
        <f>"1.3092"</f>
        <v>1.3092</v>
      </c>
      <c r="C956" t="str">
        <f>"1.3094"</f>
        <v>1.3094</v>
      </c>
    </row>
    <row r="957" spans="1:3" x14ac:dyDescent="0.25">
      <c r="A957" t="str">
        <f>"09/05/2013"</f>
        <v>09/05/2013</v>
      </c>
      <c r="B957" t="str">
        <f>"1.3158"</f>
        <v>1.3158</v>
      </c>
      <c r="C957" t="str">
        <f>"1.316"</f>
        <v>1.316</v>
      </c>
    </row>
    <row r="958" spans="1:3" x14ac:dyDescent="0.25">
      <c r="A958" t="str">
        <f>"10/05/2013"</f>
        <v>10/05/2013</v>
      </c>
      <c r="B958" t="str">
        <f>"1.3046"</f>
        <v>1.3046</v>
      </c>
      <c r="C958" t="str">
        <f>"1.3048"</f>
        <v>1.3048</v>
      </c>
    </row>
    <row r="959" spans="1:3" x14ac:dyDescent="0.25">
      <c r="A959" t="str">
        <f>"13/05/2013"</f>
        <v>13/05/2013</v>
      </c>
      <c r="B959" t="str">
        <f>"1.2978"</f>
        <v>1.2978</v>
      </c>
      <c r="C959" t="str">
        <f>"1.298"</f>
        <v>1.298</v>
      </c>
    </row>
    <row r="960" spans="1:3" x14ac:dyDescent="0.25">
      <c r="A960" t="str">
        <f>"14/05/2013"</f>
        <v>14/05/2013</v>
      </c>
      <c r="B960" t="str">
        <f>"1.3003"</f>
        <v>1.3003</v>
      </c>
      <c r="C960" t="str">
        <f>"1.3005"</f>
        <v>1.3005</v>
      </c>
    </row>
    <row r="961" spans="1:3" x14ac:dyDescent="0.25">
      <c r="A961" t="str">
        <f>"15/05/2013"</f>
        <v>15/05/2013</v>
      </c>
      <c r="B961" t="str">
        <f>"1.2936"</f>
        <v>1.2936</v>
      </c>
      <c r="C961" t="str">
        <f>"1.2938"</f>
        <v>1.2938</v>
      </c>
    </row>
    <row r="962" spans="1:3" x14ac:dyDescent="0.25">
      <c r="A962" t="str">
        <f>"16/05/2013"</f>
        <v>16/05/2013</v>
      </c>
      <c r="B962" t="str">
        <f>"1.2859"</f>
        <v>1.2859</v>
      </c>
      <c r="C962" t="str">
        <f>"1.2862"</f>
        <v>1.2862</v>
      </c>
    </row>
    <row r="963" spans="1:3" x14ac:dyDescent="0.25">
      <c r="A963" t="str">
        <f>"17/05/2013"</f>
        <v>17/05/2013</v>
      </c>
      <c r="B963" t="str">
        <f>"1.2862"</f>
        <v>1.2862</v>
      </c>
      <c r="C963" t="str">
        <f>"1.2864"</f>
        <v>1.2864</v>
      </c>
    </row>
    <row r="964" spans="1:3" x14ac:dyDescent="0.25">
      <c r="A964" t="str">
        <f>"20/05/2013"</f>
        <v>20/05/2013</v>
      </c>
      <c r="B964" t="str">
        <f>"1.284"</f>
        <v>1.284</v>
      </c>
      <c r="C964" t="str">
        <f>"1.2843"</f>
        <v>1.2843</v>
      </c>
    </row>
    <row r="965" spans="1:3" x14ac:dyDescent="0.25">
      <c r="A965" t="str">
        <f>"21/05/2013"</f>
        <v>21/05/2013</v>
      </c>
      <c r="B965" t="str">
        <f>"1.2888"</f>
        <v>1.2888</v>
      </c>
      <c r="C965" t="str">
        <f>"1.289"</f>
        <v>1.289</v>
      </c>
    </row>
    <row r="966" spans="1:3" x14ac:dyDescent="0.25">
      <c r="A966" t="str">
        <f>"22/05/2013"</f>
        <v>22/05/2013</v>
      </c>
      <c r="B966" t="str">
        <f>"1.2918"</f>
        <v>1.2918</v>
      </c>
      <c r="C966" t="str">
        <f>"1.292"</f>
        <v>1.292</v>
      </c>
    </row>
    <row r="967" spans="1:3" x14ac:dyDescent="0.25">
      <c r="A967" t="str">
        <f>"23/05/2013"</f>
        <v>23/05/2013</v>
      </c>
      <c r="B967" t="str">
        <f>"1.285"</f>
        <v>1.285</v>
      </c>
      <c r="C967" t="str">
        <f>"1.2852"</f>
        <v>1.2852</v>
      </c>
    </row>
    <row r="968" spans="1:3" x14ac:dyDescent="0.25">
      <c r="A968" t="str">
        <f>"24/05/2013"</f>
        <v>24/05/2013</v>
      </c>
      <c r="B968" t="str">
        <f>"1.2937"</f>
        <v>1.2937</v>
      </c>
      <c r="C968" t="str">
        <f>"1.2939"</f>
        <v>1.2939</v>
      </c>
    </row>
    <row r="969" spans="1:3" x14ac:dyDescent="0.25">
      <c r="A969" t="str">
        <f>"27/05/2013"</f>
        <v>27/05/2013</v>
      </c>
      <c r="B969" t="str">
        <f>"1.2922"</f>
        <v>1.2922</v>
      </c>
      <c r="C969" t="str">
        <f>"1.2924"</f>
        <v>1.2924</v>
      </c>
    </row>
    <row r="970" spans="1:3" x14ac:dyDescent="0.25">
      <c r="A970" t="str">
        <f>"28/05/2013"</f>
        <v>28/05/2013</v>
      </c>
      <c r="B970" t="str">
        <f>"1.2918"</f>
        <v>1.2918</v>
      </c>
      <c r="C970" t="str">
        <f>"1.292"</f>
        <v>1.292</v>
      </c>
    </row>
    <row r="971" spans="1:3" x14ac:dyDescent="0.25">
      <c r="A971" t="str">
        <f>"29/05/2013"</f>
        <v>29/05/2013</v>
      </c>
      <c r="B971" t="str">
        <f>"1.2856"</f>
        <v>1.2856</v>
      </c>
      <c r="C971" t="str">
        <f>"1.2857"</f>
        <v>1.2857</v>
      </c>
    </row>
    <row r="972" spans="1:3" x14ac:dyDescent="0.25">
      <c r="A972" t="str">
        <f>"30/05/2013"</f>
        <v>30/05/2013</v>
      </c>
      <c r="B972" t="str">
        <f>"1.296"</f>
        <v>1.296</v>
      </c>
      <c r="C972" t="str">
        <f>"1.2962"</f>
        <v>1.2962</v>
      </c>
    </row>
    <row r="973" spans="1:3" x14ac:dyDescent="0.25">
      <c r="A973" t="str">
        <f>"31/05/2013"</f>
        <v>31/05/2013</v>
      </c>
      <c r="B973" t="str">
        <f>"1.3037"</f>
        <v>1.3037</v>
      </c>
      <c r="C973" t="str">
        <f>"1.3039"</f>
        <v>1.3039</v>
      </c>
    </row>
    <row r="974" spans="1:3" x14ac:dyDescent="0.25">
      <c r="A974" t="str">
        <f>"03/06/2013"</f>
        <v>03/06/2013</v>
      </c>
      <c r="B974" t="str">
        <f>"1.3011"</f>
        <v>1.3011</v>
      </c>
      <c r="C974" t="str">
        <f>"1.3013"</f>
        <v>1.3013</v>
      </c>
    </row>
    <row r="975" spans="1:3" x14ac:dyDescent="0.25">
      <c r="A975" t="str">
        <f>"04/06/2013"</f>
        <v>04/06/2013</v>
      </c>
      <c r="B975" t="str">
        <f>"1.3063"</f>
        <v>1.3063</v>
      </c>
      <c r="C975" t="str">
        <f>"1.3065"</f>
        <v>1.3065</v>
      </c>
    </row>
    <row r="976" spans="1:3" x14ac:dyDescent="0.25">
      <c r="A976" t="str">
        <f>"05/06/2013"</f>
        <v>05/06/2013</v>
      </c>
      <c r="B976" t="str">
        <f>"1.3089"</f>
        <v>1.3089</v>
      </c>
      <c r="C976" t="str">
        <f>"1.3091"</f>
        <v>1.3091</v>
      </c>
    </row>
    <row r="977" spans="1:3" x14ac:dyDescent="0.25">
      <c r="A977" t="str">
        <f>"06/06/2013"</f>
        <v>06/06/2013</v>
      </c>
      <c r="B977" t="str">
        <f>"1.3102"</f>
        <v>1.3102</v>
      </c>
      <c r="C977" t="str">
        <f>"1.3103"</f>
        <v>1.3103</v>
      </c>
    </row>
    <row r="978" spans="1:3" x14ac:dyDescent="0.25">
      <c r="A978" t="str">
        <f>"07/06/2013"</f>
        <v>07/06/2013</v>
      </c>
      <c r="B978" t="str">
        <f>"1.3261"</f>
        <v>1.3261</v>
      </c>
      <c r="C978" t="str">
        <f>"1.3263"</f>
        <v>1.3263</v>
      </c>
    </row>
    <row r="979" spans="1:3" x14ac:dyDescent="0.25">
      <c r="A979" t="str">
        <f>"10/06/2013"</f>
        <v>10/06/2013</v>
      </c>
      <c r="B979" t="str">
        <f>"1.3194"</f>
        <v>1.3194</v>
      </c>
      <c r="C979" t="str">
        <f>"1.3196"</f>
        <v>1.3196</v>
      </c>
    </row>
    <row r="980" spans="1:3" x14ac:dyDescent="0.25">
      <c r="A980" t="str">
        <f>"11/06/2013"</f>
        <v>11/06/2013</v>
      </c>
      <c r="B980" t="str">
        <f>"1.3271"</f>
        <v>1.3271</v>
      </c>
      <c r="C980" t="str">
        <f>"1.3273"</f>
        <v>1.3273</v>
      </c>
    </row>
    <row r="981" spans="1:3" x14ac:dyDescent="0.25">
      <c r="A981" t="str">
        <f>"12/06/2013"</f>
        <v>12/06/2013</v>
      </c>
      <c r="B981" t="str">
        <f>"1.3307"</f>
        <v>1.3307</v>
      </c>
      <c r="C981" t="str">
        <f>"1.3309"</f>
        <v>1.3309</v>
      </c>
    </row>
    <row r="982" spans="1:3" x14ac:dyDescent="0.25">
      <c r="A982" t="str">
        <f>"13/06/2013"</f>
        <v>13/06/2013</v>
      </c>
      <c r="B982" t="str">
        <f>"1.3353"</f>
        <v>1.3353</v>
      </c>
      <c r="C982" t="str">
        <f>"1.3355"</f>
        <v>1.3355</v>
      </c>
    </row>
    <row r="983" spans="1:3" x14ac:dyDescent="0.25">
      <c r="A983" t="str">
        <f>"14/06/2013"</f>
        <v>14/06/2013</v>
      </c>
      <c r="B983" t="str">
        <f>"1.3344"</f>
        <v>1.3344</v>
      </c>
      <c r="C983" t="str">
        <f>"1.3346"</f>
        <v>1.3346</v>
      </c>
    </row>
    <row r="984" spans="1:3" x14ac:dyDescent="0.25">
      <c r="A984" t="str">
        <f>"17/06/2013"</f>
        <v>17/06/2013</v>
      </c>
      <c r="B984" t="str">
        <f>"1.3322"</f>
        <v>1.3322</v>
      </c>
      <c r="C984" t="str">
        <f>"1.3324"</f>
        <v>1.3324</v>
      </c>
    </row>
    <row r="985" spans="1:3" x14ac:dyDescent="0.25">
      <c r="A985" t="str">
        <f>"18/06/2013"</f>
        <v>18/06/2013</v>
      </c>
      <c r="B985" t="str">
        <f>"1.3351"</f>
        <v>1.3351</v>
      </c>
      <c r="C985" t="str">
        <f>"1.3353"</f>
        <v>1.3353</v>
      </c>
    </row>
    <row r="986" spans="1:3" x14ac:dyDescent="0.25">
      <c r="A986" t="str">
        <f>"19/06/2013"</f>
        <v>19/06/2013</v>
      </c>
      <c r="B986" t="str">
        <f>"1.339"</f>
        <v>1.339</v>
      </c>
      <c r="C986" t="str">
        <f>"1.3392"</f>
        <v>1.3392</v>
      </c>
    </row>
    <row r="987" spans="1:3" x14ac:dyDescent="0.25">
      <c r="A987" t="str">
        <f>"20/06/2013"</f>
        <v>20/06/2013</v>
      </c>
      <c r="B987" t="str">
        <f>"1.3255"</f>
        <v>1.3255</v>
      </c>
      <c r="C987" t="str">
        <f>"1.3257"</f>
        <v>1.3257</v>
      </c>
    </row>
    <row r="988" spans="1:3" x14ac:dyDescent="0.25">
      <c r="A988" t="str">
        <f>"21/06/2013"</f>
        <v>21/06/2013</v>
      </c>
      <c r="B988" t="str">
        <f>"1.3233"</f>
        <v>1.3233</v>
      </c>
      <c r="C988" t="str">
        <f>"1.3235"</f>
        <v>1.3235</v>
      </c>
    </row>
    <row r="989" spans="1:3" x14ac:dyDescent="0.25">
      <c r="A989" t="str">
        <f>"24/06/2013"</f>
        <v>24/06/2013</v>
      </c>
      <c r="B989" t="str">
        <f>"1.3099"</f>
        <v>1.3099</v>
      </c>
      <c r="C989" t="str">
        <f>"1.3101"</f>
        <v>1.3101</v>
      </c>
    </row>
    <row r="990" spans="1:3" x14ac:dyDescent="0.25">
      <c r="A990" t="str">
        <f>"25/06/2013"</f>
        <v>25/06/2013</v>
      </c>
      <c r="B990" t="str">
        <f>"1.3113"</f>
        <v>1.3113</v>
      </c>
      <c r="C990" t="str">
        <f>"1.3115"</f>
        <v>1.3115</v>
      </c>
    </row>
    <row r="991" spans="1:3" x14ac:dyDescent="0.25">
      <c r="A991" t="str">
        <f>"26/06/2013"</f>
        <v>26/06/2013</v>
      </c>
      <c r="B991" t="str">
        <f>"1.3061"</f>
        <v>1.3061</v>
      </c>
      <c r="C991" t="str">
        <f>"1.3063"</f>
        <v>1.3063</v>
      </c>
    </row>
    <row r="992" spans="1:3" x14ac:dyDescent="0.25">
      <c r="A992" t="str">
        <f>"27/06/2013"</f>
        <v>27/06/2013</v>
      </c>
      <c r="B992" t="str">
        <f>"1.3032"</f>
        <v>1.3032</v>
      </c>
      <c r="C992" t="str">
        <f>"1.3033"</f>
        <v>1.3033</v>
      </c>
    </row>
    <row r="993" spans="1:3" x14ac:dyDescent="0.25">
      <c r="A993" t="str">
        <f>"28/06/2013"</f>
        <v>28/06/2013</v>
      </c>
      <c r="B993" t="str">
        <f>"1.3064"</f>
        <v>1.3064</v>
      </c>
      <c r="C993" t="str">
        <f>"1.3066"</f>
        <v>1.3066</v>
      </c>
    </row>
    <row r="994" spans="1:3" x14ac:dyDescent="0.25">
      <c r="A994" t="str">
        <f>"01/07/2013"</f>
        <v>01/07/2013</v>
      </c>
      <c r="B994" t="str">
        <f>"1.3025"</f>
        <v>1.3025</v>
      </c>
      <c r="C994" t="str">
        <f>"1.3026"</f>
        <v>1.3026</v>
      </c>
    </row>
    <row r="995" spans="1:3" x14ac:dyDescent="0.25">
      <c r="A995" t="str">
        <f>"02/07/2013"</f>
        <v>02/07/2013</v>
      </c>
      <c r="B995" t="str">
        <f>"1.3062"</f>
        <v>1.3062</v>
      </c>
      <c r="C995" t="str">
        <f>"1.3064"</f>
        <v>1.3064</v>
      </c>
    </row>
    <row r="996" spans="1:3" x14ac:dyDescent="0.25">
      <c r="A996" t="str">
        <f>"03/07/2013"</f>
        <v>03/07/2013</v>
      </c>
      <c r="B996" t="str">
        <f>"1.3025"</f>
        <v>1.3025</v>
      </c>
      <c r="C996" t="str">
        <f>"1.3026"</f>
        <v>1.3026</v>
      </c>
    </row>
    <row r="997" spans="1:3" x14ac:dyDescent="0.25">
      <c r="A997" t="str">
        <f>"04/07/2013"</f>
        <v>04/07/2013</v>
      </c>
      <c r="B997" t="str">
        <f>"1.2994"</f>
        <v>1.2994</v>
      </c>
      <c r="C997" t="str">
        <f>"1.2995"</f>
        <v>1.2995</v>
      </c>
    </row>
    <row r="998" spans="1:3" x14ac:dyDescent="0.25">
      <c r="A998" t="str">
        <f>"05/07/2013"</f>
        <v>05/07/2013</v>
      </c>
      <c r="B998" t="str">
        <f>"1.2899"</f>
        <v>1.2899</v>
      </c>
      <c r="C998" t="str">
        <f>"1.2901"</f>
        <v>1.2901</v>
      </c>
    </row>
    <row r="999" spans="1:3" x14ac:dyDescent="0.25">
      <c r="A999" t="str">
        <f>"08/07/2013"</f>
        <v>08/07/2013</v>
      </c>
      <c r="B999" t="str">
        <f>"1.2814"</f>
        <v>1.2814</v>
      </c>
      <c r="C999" t="str">
        <f>"1.2816"</f>
        <v>1.2816</v>
      </c>
    </row>
    <row r="1000" spans="1:3" x14ac:dyDescent="0.25">
      <c r="A1000" t="str">
        <f>"09/07/2013"</f>
        <v>09/07/2013</v>
      </c>
      <c r="B1000" t="str">
        <f>"1.286"</f>
        <v>1.286</v>
      </c>
      <c r="C1000" t="str">
        <f>"1.2861"</f>
        <v>1.2861</v>
      </c>
    </row>
    <row r="1001" spans="1:3" x14ac:dyDescent="0.25">
      <c r="A1001" t="str">
        <f>"10/07/2013"</f>
        <v>10/07/2013</v>
      </c>
      <c r="B1001" t="str">
        <f>"1.2778"</f>
        <v>1.2778</v>
      </c>
      <c r="C1001" t="str">
        <f>"1.278"</f>
        <v>1.278</v>
      </c>
    </row>
    <row r="1002" spans="1:3" x14ac:dyDescent="0.25">
      <c r="A1002" t="str">
        <f>"11/07/2013"</f>
        <v>11/07/2013</v>
      </c>
      <c r="B1002" t="str">
        <f>"1.3135"</f>
        <v>1.3135</v>
      </c>
      <c r="C1002" t="str">
        <f>"1.3136"</f>
        <v>1.3136</v>
      </c>
    </row>
    <row r="1003" spans="1:3" x14ac:dyDescent="0.25">
      <c r="A1003" t="str">
        <f>"12/07/2013"</f>
        <v>12/07/2013</v>
      </c>
      <c r="B1003" t="str">
        <f>"1.3081"</f>
        <v>1.3081</v>
      </c>
      <c r="C1003" t="str">
        <f>"1.3082"</f>
        <v>1.3082</v>
      </c>
    </row>
    <row r="1004" spans="1:3" x14ac:dyDescent="0.25">
      <c r="A1004" t="str">
        <f>"15/07/2013"</f>
        <v>15/07/2013</v>
      </c>
      <c r="B1004" t="str">
        <f>"1.3072"</f>
        <v>1.3072</v>
      </c>
      <c r="C1004" t="str">
        <f>"1.3074"</f>
        <v>1.3074</v>
      </c>
    </row>
    <row r="1005" spans="1:3" x14ac:dyDescent="0.25">
      <c r="A1005" t="str">
        <f>"16/07/2013"</f>
        <v>16/07/2013</v>
      </c>
      <c r="B1005" t="str">
        <f>"1.3069"</f>
        <v>1.3069</v>
      </c>
      <c r="C1005" t="str">
        <f>"1.3071"</f>
        <v>1.3071</v>
      </c>
    </row>
    <row r="1006" spans="1:3" x14ac:dyDescent="0.25">
      <c r="A1006" t="str">
        <f>"17/07/2013"</f>
        <v>17/07/2013</v>
      </c>
      <c r="B1006" t="str">
        <f>"1.3141"</f>
        <v>1.3141</v>
      </c>
      <c r="C1006" t="str">
        <f>"1.3142"</f>
        <v>1.3142</v>
      </c>
    </row>
    <row r="1007" spans="1:3" x14ac:dyDescent="0.25">
      <c r="A1007" t="str">
        <f>"18/07/2013"</f>
        <v>18/07/2013</v>
      </c>
      <c r="B1007" t="str">
        <f>"1.3094"</f>
        <v>1.3094</v>
      </c>
      <c r="C1007" t="str">
        <f>"1.3096"</f>
        <v>1.3096</v>
      </c>
    </row>
    <row r="1008" spans="1:3" x14ac:dyDescent="0.25">
      <c r="A1008" t="str">
        <f>"19/07/2013"</f>
        <v>19/07/2013</v>
      </c>
      <c r="B1008" t="str">
        <f>"1.3136"</f>
        <v>1.3136</v>
      </c>
      <c r="C1008" t="str">
        <f>"1.3137"</f>
        <v>1.3137</v>
      </c>
    </row>
    <row r="1009" spans="1:3" x14ac:dyDescent="0.25">
      <c r="A1009" t="str">
        <f>"22/07/2013"</f>
        <v>22/07/2013</v>
      </c>
      <c r="B1009" t="str">
        <f>"1.3156"</f>
        <v>1.3156</v>
      </c>
      <c r="C1009" t="str">
        <f>"1.3157"</f>
        <v>1.3157</v>
      </c>
    </row>
    <row r="1010" spans="1:3" x14ac:dyDescent="0.25">
      <c r="A1010" t="str">
        <f>"23/07/2013"</f>
        <v>23/07/2013</v>
      </c>
      <c r="B1010" t="str">
        <f>"1.3197"</f>
        <v>1.3197</v>
      </c>
      <c r="C1010" t="str">
        <f>"1.3199"</f>
        <v>1.3199</v>
      </c>
    </row>
    <row r="1011" spans="1:3" x14ac:dyDescent="0.25">
      <c r="A1011" t="str">
        <f>"24/07/2013"</f>
        <v>24/07/2013</v>
      </c>
      <c r="B1011" t="str">
        <f>"1.3211"</f>
        <v>1.3211</v>
      </c>
      <c r="C1011" t="str">
        <f>"1.3212"</f>
        <v>1.3212</v>
      </c>
    </row>
    <row r="1012" spans="1:3" x14ac:dyDescent="0.25">
      <c r="A1012" t="str">
        <f>"25/07/2013"</f>
        <v>25/07/2013</v>
      </c>
      <c r="B1012" t="str">
        <f>"1.3203"</f>
        <v>1.3203</v>
      </c>
      <c r="C1012" t="str">
        <f>"1.3204"</f>
        <v>1.3204</v>
      </c>
    </row>
    <row r="1013" spans="1:3" x14ac:dyDescent="0.25">
      <c r="A1013" t="str">
        <f>"26/07/2013"</f>
        <v>26/07/2013</v>
      </c>
      <c r="B1013" t="str">
        <f>"1.3276"</f>
        <v>1.3276</v>
      </c>
      <c r="C1013" t="str">
        <f>"1.3278"</f>
        <v>1.3278</v>
      </c>
    </row>
    <row r="1014" spans="1:3" x14ac:dyDescent="0.25">
      <c r="A1014" t="str">
        <f>"29/07/2013"</f>
        <v>29/07/2013</v>
      </c>
      <c r="B1014" t="str">
        <f>"1.3282"</f>
        <v>1.3282</v>
      </c>
      <c r="C1014" t="str">
        <f>"1.3283"</f>
        <v>1.3283</v>
      </c>
    </row>
    <row r="1015" spans="1:3" x14ac:dyDescent="0.25">
      <c r="A1015" t="str">
        <f>"30/07/2013"</f>
        <v>30/07/2013</v>
      </c>
      <c r="B1015" t="str">
        <f>"1.3256"</f>
        <v>1.3256</v>
      </c>
      <c r="C1015" t="str">
        <f>"1.3257"</f>
        <v>1.3257</v>
      </c>
    </row>
    <row r="1016" spans="1:3" x14ac:dyDescent="0.25">
      <c r="A1016" t="str">
        <f>"31/07/2013"</f>
        <v>31/07/2013</v>
      </c>
      <c r="B1016" t="str">
        <f>"1.3257"</f>
        <v>1.3257</v>
      </c>
      <c r="C1016" t="str">
        <f>"1.3258"</f>
        <v>1.3258</v>
      </c>
    </row>
    <row r="1017" spans="1:3" x14ac:dyDescent="0.25">
      <c r="A1017" t="str">
        <f>"01/08/2013"</f>
        <v>01/08/2013</v>
      </c>
      <c r="B1017" t="str">
        <f>"1.3274"</f>
        <v>1.3274</v>
      </c>
      <c r="C1017" t="str">
        <f>"1.3275"</f>
        <v>1.3275</v>
      </c>
    </row>
    <row r="1018" spans="1:3" x14ac:dyDescent="0.25">
      <c r="A1018" t="str">
        <f>"02/08/2013"</f>
        <v>02/08/2013</v>
      </c>
      <c r="B1018" t="str">
        <f>"1.3211"</f>
        <v>1.3211</v>
      </c>
      <c r="C1018" t="str">
        <f>"1.3212"</f>
        <v>1.3212</v>
      </c>
    </row>
    <row r="1019" spans="1:3" x14ac:dyDescent="0.25">
      <c r="A1019" t="str">
        <f>"05/08/2013"</f>
        <v>05/08/2013</v>
      </c>
      <c r="B1019" t="str">
        <f>"1.3275"</f>
        <v>1.3275</v>
      </c>
      <c r="C1019" t="str">
        <f>"1.3276"</f>
        <v>1.3276</v>
      </c>
    </row>
    <row r="1020" spans="1:3" x14ac:dyDescent="0.25">
      <c r="A1020" t="str">
        <f>"06/08/2013"</f>
        <v>06/08/2013</v>
      </c>
      <c r="B1020" t="str">
        <f>"1.3263"</f>
        <v>1.3263</v>
      </c>
      <c r="C1020" t="str">
        <f>"1.3264"</f>
        <v>1.3264</v>
      </c>
    </row>
    <row r="1021" spans="1:3" x14ac:dyDescent="0.25">
      <c r="A1021" t="str">
        <f>"07/08/2013"</f>
        <v>07/08/2013</v>
      </c>
      <c r="B1021" t="str">
        <f>"1.3297"</f>
        <v>1.3297</v>
      </c>
      <c r="C1021" t="str">
        <f>"1.3299"</f>
        <v>1.3299</v>
      </c>
    </row>
    <row r="1022" spans="1:3" x14ac:dyDescent="0.25">
      <c r="A1022" t="str">
        <f>"08/08/2013"</f>
        <v>08/08/2013</v>
      </c>
      <c r="B1022" t="str">
        <f>"1.3333"</f>
        <v>1.3333</v>
      </c>
      <c r="C1022" t="str">
        <f>"1.3334"</f>
        <v>1.3334</v>
      </c>
    </row>
    <row r="1023" spans="1:3" x14ac:dyDescent="0.25">
      <c r="A1023" t="str">
        <f>"12/08/2013"</f>
        <v>12/08/2013</v>
      </c>
      <c r="B1023" t="str">
        <f>"1.3326"</f>
        <v>1.3326</v>
      </c>
      <c r="C1023" t="str">
        <f>"1.3327"</f>
        <v>1.3327</v>
      </c>
    </row>
    <row r="1024" spans="1:3" x14ac:dyDescent="0.25">
      <c r="A1024" t="str">
        <f>"13/08/2013"</f>
        <v>13/08/2013</v>
      </c>
      <c r="B1024" t="str">
        <f>"1.3309"</f>
        <v>1.3309</v>
      </c>
      <c r="C1024" t="str">
        <f>"1.3311"</f>
        <v>1.3311</v>
      </c>
    </row>
    <row r="1025" spans="1:3" x14ac:dyDescent="0.25">
      <c r="A1025" t="str">
        <f>"14/08/2013"</f>
        <v>14/08/2013</v>
      </c>
      <c r="B1025" t="str">
        <f>"1.3263"</f>
        <v>1.3263</v>
      </c>
      <c r="C1025" t="str">
        <f>"1.3264"</f>
        <v>1.3264</v>
      </c>
    </row>
    <row r="1026" spans="1:3" x14ac:dyDescent="0.25">
      <c r="A1026" t="str">
        <f>"16/08/2013"</f>
        <v>16/08/2013</v>
      </c>
      <c r="B1026" t="str">
        <f>"1.3342"</f>
        <v>1.3342</v>
      </c>
      <c r="C1026" t="str">
        <f>"1.3343"</f>
        <v>1.3343</v>
      </c>
    </row>
    <row r="1027" spans="1:3" x14ac:dyDescent="0.25">
      <c r="A1027" t="str">
        <f>"19/08/2013"</f>
        <v>19/08/2013</v>
      </c>
      <c r="B1027" t="str">
        <f>"1.3324"</f>
        <v>1.3324</v>
      </c>
      <c r="C1027" t="str">
        <f>"1.3325"</f>
        <v>1.3325</v>
      </c>
    </row>
    <row r="1028" spans="1:3" x14ac:dyDescent="0.25">
      <c r="A1028" t="str">
        <f>"20/08/2013"</f>
        <v>20/08/2013</v>
      </c>
      <c r="B1028" t="str">
        <f>"1.3347"</f>
        <v>1.3347</v>
      </c>
      <c r="C1028" t="str">
        <f>"1.3348"</f>
        <v>1.3348</v>
      </c>
    </row>
    <row r="1029" spans="1:3" x14ac:dyDescent="0.25">
      <c r="A1029" t="str">
        <f>"21/08/2013"</f>
        <v>21/08/2013</v>
      </c>
      <c r="B1029" t="str">
        <f>"1.3422"</f>
        <v>1.3422</v>
      </c>
      <c r="C1029" t="str">
        <f>"1.3424"</f>
        <v>1.3424</v>
      </c>
    </row>
    <row r="1030" spans="1:3" x14ac:dyDescent="0.25">
      <c r="A1030" t="str">
        <f>"22/08/2013"</f>
        <v>22/08/2013</v>
      </c>
      <c r="B1030" t="str">
        <f>"1.3338"</f>
        <v>1.3338</v>
      </c>
      <c r="C1030" t="str">
        <f>"1.334"</f>
        <v>1.334</v>
      </c>
    </row>
    <row r="1031" spans="1:3" x14ac:dyDescent="0.25">
      <c r="A1031" t="str">
        <f>"23/08/2013"</f>
        <v>23/08/2013</v>
      </c>
      <c r="B1031" t="str">
        <f>"1.3346"</f>
        <v>1.3346</v>
      </c>
      <c r="C1031" t="str">
        <f>"1.3347"</f>
        <v>1.3347</v>
      </c>
    </row>
    <row r="1032" spans="1:3" x14ac:dyDescent="0.25">
      <c r="A1032" t="str">
        <f>"26/08/2013"</f>
        <v>26/08/2013</v>
      </c>
      <c r="B1032" t="str">
        <f>"1.3379"</f>
        <v>1.3379</v>
      </c>
      <c r="C1032" t="str">
        <f>"1.338"</f>
        <v>1.338</v>
      </c>
    </row>
    <row r="1033" spans="1:3" x14ac:dyDescent="0.25">
      <c r="A1033" t="str">
        <f>"27/08/2013"</f>
        <v>27/08/2013</v>
      </c>
      <c r="B1033" t="str">
        <f>"1.3375"</f>
        <v>1.3375</v>
      </c>
      <c r="C1033" t="str">
        <f>"1.3376"</f>
        <v>1.3376</v>
      </c>
    </row>
    <row r="1034" spans="1:3" x14ac:dyDescent="0.25">
      <c r="A1034" t="str">
        <f>"28/08/2013"</f>
        <v>28/08/2013</v>
      </c>
      <c r="B1034" t="str">
        <f>"1.3383"</f>
        <v>1.3383</v>
      </c>
      <c r="C1034" t="str">
        <f>"1.3384"</f>
        <v>1.3384</v>
      </c>
    </row>
    <row r="1035" spans="1:3" x14ac:dyDescent="0.25">
      <c r="A1035" t="str">
        <f>"29/08/2013"</f>
        <v>29/08/2013</v>
      </c>
      <c r="B1035" t="str">
        <f>"1.3335"</f>
        <v>1.3335</v>
      </c>
      <c r="C1035" t="str">
        <f>"1.3336"</f>
        <v>1.3336</v>
      </c>
    </row>
    <row r="1036" spans="1:3" x14ac:dyDescent="0.25">
      <c r="A1036" t="str">
        <f>"30/08/2013"</f>
        <v>30/08/2013</v>
      </c>
      <c r="B1036" t="str">
        <f>"1.324"</f>
        <v>1.324</v>
      </c>
      <c r="C1036" t="str">
        <f>"1.3241"</f>
        <v>1.3241</v>
      </c>
    </row>
    <row r="1037" spans="1:3" x14ac:dyDescent="0.25">
      <c r="A1037" t="str">
        <f>"02/09/2013"</f>
        <v>02/09/2013</v>
      </c>
      <c r="B1037" t="str">
        <f>"1.3203"</f>
        <v>1.3203</v>
      </c>
      <c r="C1037" t="str">
        <f>"1.3205"</f>
        <v>1.3205</v>
      </c>
    </row>
    <row r="1038" spans="1:3" x14ac:dyDescent="0.25">
      <c r="A1038" t="str">
        <f>"03/09/2013"</f>
        <v>03/09/2013</v>
      </c>
      <c r="B1038" t="str">
        <f>"1.3191"</f>
        <v>1.3191</v>
      </c>
      <c r="C1038" t="str">
        <f>"1.3192"</f>
        <v>1.3192</v>
      </c>
    </row>
    <row r="1039" spans="1:3" x14ac:dyDescent="0.25">
      <c r="A1039" t="str">
        <f>"04/09/2013"</f>
        <v>04/09/2013</v>
      </c>
      <c r="B1039" t="str">
        <f>"1.3165"</f>
        <v>1.3165</v>
      </c>
      <c r="C1039" t="str">
        <f>"1.3166"</f>
        <v>1.3166</v>
      </c>
    </row>
    <row r="1040" spans="1:3" x14ac:dyDescent="0.25">
      <c r="A1040" t="str">
        <f>"05/09/2013"</f>
        <v>05/09/2013</v>
      </c>
      <c r="B1040" t="str">
        <f>"1.3192"</f>
        <v>1.3192</v>
      </c>
      <c r="C1040" t="str">
        <f>"1.3193"</f>
        <v>1.3193</v>
      </c>
    </row>
    <row r="1041" spans="1:3" x14ac:dyDescent="0.25">
      <c r="A1041" t="str">
        <f>"06/09/2013"</f>
        <v>06/09/2013</v>
      </c>
      <c r="B1041" t="str">
        <f>"1.3123"</f>
        <v>1.3123</v>
      </c>
      <c r="C1041" t="str">
        <f>"1.3124"</f>
        <v>1.3124</v>
      </c>
    </row>
    <row r="1042" spans="1:3" x14ac:dyDescent="0.25">
      <c r="A1042" t="str">
        <f>"10/09/2013"</f>
        <v>10/09/2013</v>
      </c>
      <c r="B1042" t="str">
        <f>"1.3269"</f>
        <v>1.3269</v>
      </c>
      <c r="C1042" t="str">
        <f>"1.327"</f>
        <v>1.327</v>
      </c>
    </row>
    <row r="1043" spans="1:3" x14ac:dyDescent="0.25">
      <c r="A1043" t="str">
        <f>"11/09/2013"</f>
        <v>11/09/2013</v>
      </c>
      <c r="B1043" t="str">
        <f>"1.3251"</f>
        <v>1.3251</v>
      </c>
      <c r="C1043" t="str">
        <f>"1.3252"</f>
        <v>1.3252</v>
      </c>
    </row>
    <row r="1044" spans="1:3" x14ac:dyDescent="0.25">
      <c r="A1044" t="str">
        <f>"12/09/2013"</f>
        <v>12/09/2013</v>
      </c>
      <c r="B1044" t="str">
        <f>"1.3311"</f>
        <v>1.3311</v>
      </c>
      <c r="C1044" t="str">
        <f>"1.3312"</f>
        <v>1.3312</v>
      </c>
    </row>
    <row r="1045" spans="1:3" x14ac:dyDescent="0.25">
      <c r="A1045" t="str">
        <f>"13/09/2013"</f>
        <v>13/09/2013</v>
      </c>
      <c r="B1045" t="str">
        <f>"1.3283"</f>
        <v>1.3283</v>
      </c>
      <c r="C1045" t="str">
        <f>"1.3284"</f>
        <v>1.3284</v>
      </c>
    </row>
    <row r="1046" spans="1:3" x14ac:dyDescent="0.25">
      <c r="A1046" t="str">
        <f>"16/09/2013"</f>
        <v>16/09/2013</v>
      </c>
      <c r="B1046" t="str">
        <f>"1.3365"</f>
        <v>1.3365</v>
      </c>
      <c r="C1046" t="str">
        <f>"1.3366"</f>
        <v>1.3366</v>
      </c>
    </row>
    <row r="1047" spans="1:3" x14ac:dyDescent="0.25">
      <c r="A1047" t="str">
        <f>"17/09/2013"</f>
        <v>17/09/2013</v>
      </c>
      <c r="B1047" t="str">
        <f>"1.3331"</f>
        <v>1.3331</v>
      </c>
      <c r="C1047" t="str">
        <f>"1.3332"</f>
        <v>1.3332</v>
      </c>
    </row>
    <row r="1048" spans="1:3" x14ac:dyDescent="0.25">
      <c r="A1048" t="str">
        <f>"18/09/2013"</f>
        <v>18/09/2013</v>
      </c>
      <c r="B1048" t="str">
        <f>"1.3355"</f>
        <v>1.3355</v>
      </c>
      <c r="C1048" t="str">
        <f>"1.3356"</f>
        <v>1.3356</v>
      </c>
    </row>
    <row r="1049" spans="1:3" x14ac:dyDescent="0.25">
      <c r="A1049" t="str">
        <f>"19/09/2013"</f>
        <v>19/09/2013</v>
      </c>
      <c r="B1049" t="str">
        <f>"1.3526"</f>
        <v>1.3526</v>
      </c>
      <c r="C1049" t="str">
        <f>"1.3527"</f>
        <v>1.3527</v>
      </c>
    </row>
    <row r="1050" spans="1:3" x14ac:dyDescent="0.25">
      <c r="A1050" t="str">
        <f>"20/09/2013"</f>
        <v>20/09/2013</v>
      </c>
      <c r="B1050" t="str">
        <f>"1.3538"</f>
        <v>1.3538</v>
      </c>
      <c r="C1050" t="str">
        <f>"1.3539"</f>
        <v>1.3539</v>
      </c>
    </row>
    <row r="1051" spans="1:3" x14ac:dyDescent="0.25">
      <c r="A1051" t="str">
        <f>"23/09/2013"</f>
        <v>23/09/2013</v>
      </c>
      <c r="B1051" t="str">
        <f>"1.3525"</f>
        <v>1.3525</v>
      </c>
      <c r="C1051" t="str">
        <f>"1.3526"</f>
        <v>1.3526</v>
      </c>
    </row>
    <row r="1052" spans="1:3" x14ac:dyDescent="0.25">
      <c r="A1052" t="str">
        <f>"24/09/2013"</f>
        <v>24/09/2013</v>
      </c>
      <c r="B1052" t="str">
        <f>"1.3492"</f>
        <v>1.3492</v>
      </c>
      <c r="C1052" t="str">
        <f>"1.3493"</f>
        <v>1.3493</v>
      </c>
    </row>
    <row r="1053" spans="1:3" x14ac:dyDescent="0.25">
      <c r="A1053" t="str">
        <f>"25/09/2013"</f>
        <v>25/09/2013</v>
      </c>
      <c r="B1053" t="str">
        <f>"1.3466"</f>
        <v>1.3466</v>
      </c>
      <c r="C1053" t="str">
        <f>"1.3467"</f>
        <v>1.3467</v>
      </c>
    </row>
    <row r="1054" spans="1:3" x14ac:dyDescent="0.25">
      <c r="A1054" t="str">
        <f>"26/09/2013"</f>
        <v>26/09/2013</v>
      </c>
      <c r="B1054" t="str">
        <f>"1.3525"</f>
        <v>1.3525</v>
      </c>
      <c r="C1054" t="str">
        <f>"1.3526"</f>
        <v>1.3526</v>
      </c>
    </row>
    <row r="1055" spans="1:3" x14ac:dyDescent="0.25">
      <c r="A1055" t="str">
        <f>"27/09/2013"</f>
        <v>27/09/2013</v>
      </c>
      <c r="B1055" t="str">
        <f>"1.3482"</f>
        <v>1.3482</v>
      </c>
      <c r="C1055" t="str">
        <f>"1.3483"</f>
        <v>1.3483</v>
      </c>
    </row>
    <row r="1056" spans="1:3" x14ac:dyDescent="0.25">
      <c r="A1056" t="str">
        <f>"30/09/2013"</f>
        <v>30/09/2013</v>
      </c>
      <c r="B1056" t="str">
        <f>"1.3502"</f>
        <v>1.3502</v>
      </c>
      <c r="C1056" t="str">
        <f>"1.3503"</f>
        <v>1.3503</v>
      </c>
    </row>
    <row r="1057" spans="1:3" x14ac:dyDescent="0.25">
      <c r="A1057" t="str">
        <f>"01/10/2013"</f>
        <v>01/10/2013</v>
      </c>
      <c r="B1057" t="str">
        <f>"1.3541"</f>
        <v>1.3541</v>
      </c>
      <c r="C1057" t="str">
        <f>"1.3542"</f>
        <v>1.3542</v>
      </c>
    </row>
    <row r="1058" spans="1:3" x14ac:dyDescent="0.25">
      <c r="A1058" t="str">
        <f>"03/10/2013"</f>
        <v>03/10/2013</v>
      </c>
      <c r="B1058" t="str">
        <f>"1.3608"</f>
        <v>1.3608</v>
      </c>
      <c r="C1058" t="str">
        <f>"1.3608"</f>
        <v>1.3608</v>
      </c>
    </row>
    <row r="1059" spans="1:3" x14ac:dyDescent="0.25">
      <c r="A1059" t="str">
        <f>"04/10/2013"</f>
        <v>04/10/2013</v>
      </c>
      <c r="B1059" t="str">
        <f>"1.3625"</f>
        <v>1.3625</v>
      </c>
      <c r="C1059" t="str">
        <f>"1.3626"</f>
        <v>1.3626</v>
      </c>
    </row>
    <row r="1060" spans="1:3" x14ac:dyDescent="0.25">
      <c r="A1060" t="str">
        <f>"07/10/2013"</f>
        <v>07/10/2013</v>
      </c>
      <c r="B1060" t="str">
        <f>"1.3565"</f>
        <v>1.3565</v>
      </c>
      <c r="C1060" t="str">
        <f>"1.3566"</f>
        <v>1.3566</v>
      </c>
    </row>
    <row r="1061" spans="1:3" x14ac:dyDescent="0.25">
      <c r="A1061" t="str">
        <f>"08/10/2013"</f>
        <v>08/10/2013</v>
      </c>
      <c r="B1061" t="str">
        <f>"1.356"</f>
        <v>1.356</v>
      </c>
      <c r="C1061" t="str">
        <f>"1.3561"</f>
        <v>1.3561</v>
      </c>
    </row>
    <row r="1062" spans="1:3" x14ac:dyDescent="0.25">
      <c r="A1062" t="str">
        <f>"09/10/2013"</f>
        <v>09/10/2013</v>
      </c>
      <c r="B1062" t="str">
        <f>"1.3567"</f>
        <v>1.3567</v>
      </c>
      <c r="C1062" t="str">
        <f>"1.3569"</f>
        <v>1.3569</v>
      </c>
    </row>
    <row r="1063" spans="1:3" x14ac:dyDescent="0.25">
      <c r="A1063" t="str">
        <f>"10/10/2013"</f>
        <v>10/10/2013</v>
      </c>
      <c r="B1063" t="str">
        <f>"1.3501"</f>
        <v>1.3501</v>
      </c>
      <c r="C1063" t="str">
        <f>"1.3502"</f>
        <v>1.3502</v>
      </c>
    </row>
    <row r="1064" spans="1:3" x14ac:dyDescent="0.25">
      <c r="A1064" t="str">
        <f>"11/10/2013"</f>
        <v>11/10/2013</v>
      </c>
      <c r="B1064" t="str">
        <f>"1.3538"</f>
        <v>1.3538</v>
      </c>
      <c r="C1064" t="str">
        <f>"1.3539"</f>
        <v>1.3539</v>
      </c>
    </row>
    <row r="1065" spans="1:3" x14ac:dyDescent="0.25">
      <c r="A1065" t="str">
        <f>"14/10/2013"</f>
        <v>14/10/2013</v>
      </c>
      <c r="B1065" t="str">
        <f>"1.3562"</f>
        <v>1.3562</v>
      </c>
      <c r="C1065" t="str">
        <f>"1.3564"</f>
        <v>1.3564</v>
      </c>
    </row>
    <row r="1066" spans="1:3" x14ac:dyDescent="0.25">
      <c r="A1066" t="str">
        <f>"15/10/2013"</f>
        <v>15/10/2013</v>
      </c>
      <c r="B1066" t="str">
        <f>"1.3566"</f>
        <v>1.3566</v>
      </c>
      <c r="C1066" t="str">
        <f>"1.3567"</f>
        <v>1.3567</v>
      </c>
    </row>
    <row r="1067" spans="1:3" x14ac:dyDescent="0.25">
      <c r="A1067" t="str">
        <f>"17/10/2013"</f>
        <v>17/10/2013</v>
      </c>
      <c r="B1067" t="str">
        <f>"1.3542"</f>
        <v>1.3542</v>
      </c>
      <c r="C1067" t="str">
        <f>"1.3543"</f>
        <v>1.3543</v>
      </c>
    </row>
    <row r="1068" spans="1:3" x14ac:dyDescent="0.25">
      <c r="A1068" t="str">
        <f>"18/10/2013"</f>
        <v>18/10/2013</v>
      </c>
      <c r="B1068" t="str">
        <f>"1.3663"</f>
        <v>1.3663</v>
      </c>
      <c r="C1068" t="str">
        <f>"1.3664"</f>
        <v>1.3664</v>
      </c>
    </row>
    <row r="1069" spans="1:3" x14ac:dyDescent="0.25">
      <c r="A1069" t="str">
        <f>"21/10/2013"</f>
        <v>21/10/2013</v>
      </c>
      <c r="B1069" t="str">
        <f>"1.3673"</f>
        <v>1.3673</v>
      </c>
      <c r="C1069" t="str">
        <f>"1.3674"</f>
        <v>1.3674</v>
      </c>
    </row>
    <row r="1070" spans="1:3" x14ac:dyDescent="0.25">
      <c r="A1070" t="str">
        <f>"22/10/2013"</f>
        <v>22/10/2013</v>
      </c>
      <c r="B1070" t="str">
        <f>"1.3665"</f>
        <v>1.3665</v>
      </c>
      <c r="C1070" t="str">
        <f>"1.3666"</f>
        <v>1.3666</v>
      </c>
    </row>
    <row r="1071" spans="1:3" x14ac:dyDescent="0.25">
      <c r="A1071" t="str">
        <f>"23/10/2013"</f>
        <v>23/10/2013</v>
      </c>
      <c r="B1071" t="str">
        <f>"1.3771"</f>
        <v>1.3771</v>
      </c>
      <c r="C1071" t="str">
        <f>"1.3772"</f>
        <v>1.3772</v>
      </c>
    </row>
    <row r="1072" spans="1:3" x14ac:dyDescent="0.25">
      <c r="A1072" t="str">
        <f>"24/10/2013"</f>
        <v>24/10/2013</v>
      </c>
      <c r="B1072" t="str">
        <f>"1.3788"</f>
        <v>1.3788</v>
      </c>
      <c r="C1072" t="str">
        <f>"1.3789"</f>
        <v>1.3789</v>
      </c>
    </row>
    <row r="1073" spans="1:3" x14ac:dyDescent="0.25">
      <c r="A1073" t="str">
        <f>"25/10/2013"</f>
        <v>25/10/2013</v>
      </c>
      <c r="B1073" t="str">
        <f>"1.3819"</f>
        <v>1.3819</v>
      </c>
      <c r="C1073" t="str">
        <f>"1.382"</f>
        <v>1.382</v>
      </c>
    </row>
    <row r="1074" spans="1:3" x14ac:dyDescent="0.25">
      <c r="A1074" t="str">
        <f>"28/10/2013"</f>
        <v>28/10/2013</v>
      </c>
      <c r="B1074" t="str">
        <f>"1.3809"</f>
        <v>1.3809</v>
      </c>
      <c r="C1074" t="str">
        <f>"1.3809"</f>
        <v>1.3809</v>
      </c>
    </row>
    <row r="1075" spans="1:3" x14ac:dyDescent="0.25">
      <c r="A1075" t="str">
        <f>"29/10/2013"</f>
        <v>29/10/2013</v>
      </c>
      <c r="B1075" t="str">
        <f>"1.3775"</f>
        <v>1.3775</v>
      </c>
      <c r="C1075" t="str">
        <f>"1.3776"</f>
        <v>1.3776</v>
      </c>
    </row>
    <row r="1076" spans="1:3" x14ac:dyDescent="0.25">
      <c r="A1076" t="str">
        <f>"30/10/2013"</f>
        <v>30/10/2013</v>
      </c>
      <c r="B1076" t="str">
        <f>"1.3739"</f>
        <v>1.3739</v>
      </c>
      <c r="C1076" t="str">
        <f>"1.374"</f>
        <v>1.374</v>
      </c>
    </row>
    <row r="1077" spans="1:3" x14ac:dyDescent="0.25">
      <c r="A1077" t="str">
        <f>"31/10/2013"</f>
        <v>31/10/2013</v>
      </c>
      <c r="B1077" t="str">
        <f>"1.3709"</f>
        <v>1.3709</v>
      </c>
      <c r="C1077" t="str">
        <f>"1.371"</f>
        <v>1.371</v>
      </c>
    </row>
    <row r="1078" spans="1:3" x14ac:dyDescent="0.25">
      <c r="A1078" t="str">
        <f>"01/11/2013"</f>
        <v>01/11/2013</v>
      </c>
      <c r="B1078" t="str">
        <f>"1.3558"</f>
        <v>1.3558</v>
      </c>
      <c r="C1078" t="str">
        <f>"1.3559"</f>
        <v>1.3559</v>
      </c>
    </row>
    <row r="1079" spans="1:3" x14ac:dyDescent="0.25">
      <c r="A1079" t="str">
        <f>"05/11/2013"</f>
        <v>05/11/2013</v>
      </c>
      <c r="B1079" t="str">
        <f>"1.3502"</f>
        <v>1.3502</v>
      </c>
      <c r="C1079" t="str">
        <f>"1.3502"</f>
        <v>1.3502</v>
      </c>
    </row>
    <row r="1080" spans="1:3" x14ac:dyDescent="0.25">
      <c r="A1080" t="str">
        <f>"06/11/2013"</f>
        <v>06/11/2013</v>
      </c>
      <c r="B1080" t="str">
        <f>"1.3515"</f>
        <v>1.3515</v>
      </c>
      <c r="C1080" t="str">
        <f>"1.3516"</f>
        <v>1.3516</v>
      </c>
    </row>
    <row r="1081" spans="1:3" x14ac:dyDescent="0.25">
      <c r="A1081" t="str">
        <f>"07/11/2013"</f>
        <v>07/11/2013</v>
      </c>
      <c r="B1081" t="str">
        <f>"1.3522"</f>
        <v>1.3522</v>
      </c>
      <c r="C1081" t="str">
        <f>"1.3522"</f>
        <v>1.3522</v>
      </c>
    </row>
    <row r="1082" spans="1:3" x14ac:dyDescent="0.25">
      <c r="A1082" t="str">
        <f>"08/11/2013"</f>
        <v>08/11/2013</v>
      </c>
      <c r="B1082" t="str">
        <f>"1.3408"</f>
        <v>1.3408</v>
      </c>
      <c r="C1082" t="str">
        <f>"1.3409"</f>
        <v>1.3409</v>
      </c>
    </row>
    <row r="1083" spans="1:3" x14ac:dyDescent="0.25">
      <c r="A1083" t="str">
        <f>"11/11/2013"</f>
        <v>11/11/2013</v>
      </c>
      <c r="B1083" t="str">
        <f>"1.3362"</f>
        <v>1.3362</v>
      </c>
      <c r="C1083" t="str">
        <f>"1.3363"</f>
        <v>1.3363</v>
      </c>
    </row>
    <row r="1084" spans="1:3" x14ac:dyDescent="0.25">
      <c r="A1084" t="str">
        <f>"12/11/2013"</f>
        <v>12/11/2013</v>
      </c>
      <c r="B1084" t="str">
        <f>"1.3399"</f>
        <v>1.3399</v>
      </c>
      <c r="C1084" t="str">
        <f>"1.34"</f>
        <v>1.34</v>
      </c>
    </row>
    <row r="1085" spans="1:3" x14ac:dyDescent="0.25">
      <c r="A1085" t="str">
        <f>"13/11/2013"</f>
        <v>13/11/2013</v>
      </c>
      <c r="B1085" t="str">
        <f>"1.3446"</f>
        <v>1.3446</v>
      </c>
      <c r="C1085" t="str">
        <f>"1.3447"</f>
        <v>1.3447</v>
      </c>
    </row>
    <row r="1086" spans="1:3" x14ac:dyDescent="0.25">
      <c r="A1086" t="str">
        <f>"14/11/2013"</f>
        <v>14/11/2013</v>
      </c>
      <c r="B1086" t="str">
        <f>"1.3467"</f>
        <v>1.3467</v>
      </c>
      <c r="C1086" t="str">
        <f>"1.3468"</f>
        <v>1.3468</v>
      </c>
    </row>
    <row r="1087" spans="1:3" x14ac:dyDescent="0.25">
      <c r="A1087" t="str">
        <f>"18/11/2013"</f>
        <v>18/11/2013</v>
      </c>
      <c r="B1087" t="str">
        <f>"1.3491"</f>
        <v>1.3491</v>
      </c>
      <c r="C1087" t="str">
        <f>"1.3492"</f>
        <v>1.3492</v>
      </c>
    </row>
    <row r="1088" spans="1:3" x14ac:dyDescent="0.25">
      <c r="A1088" t="str">
        <f>"19/11/2013"</f>
        <v>19/11/2013</v>
      </c>
      <c r="B1088" t="str">
        <f>"1.3506"</f>
        <v>1.3506</v>
      </c>
      <c r="C1088" t="str">
        <f>"1.3507"</f>
        <v>1.3507</v>
      </c>
    </row>
    <row r="1089" spans="1:3" x14ac:dyDescent="0.25">
      <c r="A1089" t="str">
        <f>"20/11/2013"</f>
        <v>20/11/2013</v>
      </c>
      <c r="B1089" t="str">
        <f>"1.3552"</f>
        <v>1.3552</v>
      </c>
      <c r="C1089" t="str">
        <f>"1.3553"</f>
        <v>1.3553</v>
      </c>
    </row>
    <row r="1090" spans="1:3" x14ac:dyDescent="0.25">
      <c r="A1090" t="str">
        <f>"21/11/2013"</f>
        <v>21/11/2013</v>
      </c>
      <c r="B1090" t="str">
        <f>"1.3421"</f>
        <v>1.3421</v>
      </c>
      <c r="C1090" t="str">
        <f>"1.3422"</f>
        <v>1.3422</v>
      </c>
    </row>
    <row r="1091" spans="1:3" x14ac:dyDescent="0.25">
      <c r="A1091" t="str">
        <f>"22/11/2013"</f>
        <v>22/11/2013</v>
      </c>
      <c r="B1091" t="str">
        <f>"1.3467"</f>
        <v>1.3467</v>
      </c>
      <c r="C1091" t="str">
        <f>"1.3467"</f>
        <v>1.3467</v>
      </c>
    </row>
    <row r="1092" spans="1:3" x14ac:dyDescent="0.25">
      <c r="A1092" t="str">
        <f>"25/11/2013"</f>
        <v>25/11/2013</v>
      </c>
      <c r="B1092" t="str">
        <f>"1.3545"</f>
        <v>1.3545</v>
      </c>
      <c r="C1092" t="str">
        <f>"1.3545"</f>
        <v>1.3545</v>
      </c>
    </row>
    <row r="1093" spans="1:3" x14ac:dyDescent="0.25">
      <c r="A1093" t="str">
        <f>"26/11/2013"</f>
        <v>26/11/2013</v>
      </c>
      <c r="B1093" t="str">
        <f>"1.3533"</f>
        <v>1.3533</v>
      </c>
      <c r="C1093" t="str">
        <f>"1.3533"</f>
        <v>1.3533</v>
      </c>
    </row>
    <row r="1094" spans="1:3" x14ac:dyDescent="0.25">
      <c r="A1094" t="str">
        <f>"27/11/2013"</f>
        <v>27/11/2013</v>
      </c>
      <c r="B1094" t="str">
        <f>"1.3594"</f>
        <v>1.3594</v>
      </c>
      <c r="C1094" t="str">
        <f>"1.3594"</f>
        <v>1.3594</v>
      </c>
    </row>
    <row r="1095" spans="1:3" x14ac:dyDescent="0.25">
      <c r="A1095" t="str">
        <f>"28/11/2013"</f>
        <v>28/11/2013</v>
      </c>
      <c r="B1095" t="str">
        <f>"1.3578"</f>
        <v>1.3578</v>
      </c>
      <c r="C1095" t="str">
        <f>"1.3577"</f>
        <v>1.3577</v>
      </c>
    </row>
    <row r="1096" spans="1:3" x14ac:dyDescent="0.25">
      <c r="A1096" t="str">
        <f>"29/11/2013"</f>
        <v>29/11/2013</v>
      </c>
      <c r="B1096" t="str">
        <f>"1.3611"</f>
        <v>1.3611</v>
      </c>
      <c r="C1096" t="str">
        <f>"1.361"</f>
        <v>1.361</v>
      </c>
    </row>
    <row r="1097" spans="1:3" x14ac:dyDescent="0.25">
      <c r="A1097" t="str">
        <f>"02/12/2013"</f>
        <v>02/12/2013</v>
      </c>
      <c r="B1097" t="str">
        <f>"1.3603"</f>
        <v>1.3603</v>
      </c>
      <c r="C1097" t="str">
        <f>"1.3603"</f>
        <v>1.3603</v>
      </c>
    </row>
    <row r="1098" spans="1:3" x14ac:dyDescent="0.25">
      <c r="A1098" t="str">
        <f>"03/12/2013"</f>
        <v>03/12/2013</v>
      </c>
      <c r="B1098" t="str">
        <f>"1.3532"</f>
        <v>1.3532</v>
      </c>
      <c r="C1098" t="str">
        <f>"1.3531"</f>
        <v>1.3531</v>
      </c>
    </row>
    <row r="1099" spans="1:3" x14ac:dyDescent="0.25">
      <c r="A1099" t="str">
        <f>"04/12/2013"</f>
        <v>04/12/2013</v>
      </c>
      <c r="B1099" t="str">
        <f>"1.3587"</f>
        <v>1.3587</v>
      </c>
      <c r="C1099" t="str">
        <f>"1.3587"</f>
        <v>1.3587</v>
      </c>
    </row>
    <row r="1100" spans="1:3" x14ac:dyDescent="0.25">
      <c r="A1100" t="str">
        <f>"05/12/2013"</f>
        <v>05/12/2013</v>
      </c>
      <c r="B1100" t="str">
        <f>"1.3603"</f>
        <v>1.3603</v>
      </c>
      <c r="C1100" t="str">
        <f>"1.3603"</f>
        <v>1.3603</v>
      </c>
    </row>
    <row r="1101" spans="1:3" x14ac:dyDescent="0.25">
      <c r="A1101" t="str">
        <f>"06/12/2013"</f>
        <v>06/12/2013</v>
      </c>
      <c r="B1101" t="str">
        <f>"1.3665"</f>
        <v>1.3665</v>
      </c>
      <c r="C1101" t="str">
        <f>"1.3664"</f>
        <v>1.3664</v>
      </c>
    </row>
    <row r="1102" spans="1:3" x14ac:dyDescent="0.25">
      <c r="A1102" t="str">
        <f>"09/12/2013"</f>
        <v>09/12/2013</v>
      </c>
      <c r="B1102" t="str">
        <f>"1.3702"</f>
        <v>1.3702</v>
      </c>
      <c r="C1102" t="str">
        <f>"1.3701"</f>
        <v>1.3701</v>
      </c>
    </row>
    <row r="1103" spans="1:3" x14ac:dyDescent="0.25">
      <c r="A1103" t="str">
        <f>"10/12/2013"</f>
        <v>10/12/2013</v>
      </c>
      <c r="B1103" t="str">
        <f>"1.3756"</f>
        <v>1.3756</v>
      </c>
      <c r="C1103" t="str">
        <f>"1.3755"</f>
        <v>1.3755</v>
      </c>
    </row>
    <row r="1104" spans="1:3" x14ac:dyDescent="0.25">
      <c r="A1104" t="str">
        <f>"11/12/2013"</f>
        <v>11/12/2013</v>
      </c>
      <c r="B1104" t="str">
        <f>"1.3758"</f>
        <v>1.3758</v>
      </c>
      <c r="C1104" t="str">
        <f>"1.3757"</f>
        <v>1.3757</v>
      </c>
    </row>
    <row r="1105" spans="1:3" x14ac:dyDescent="0.25">
      <c r="A1105" t="str">
        <f>"12/12/2013"</f>
        <v>12/12/2013</v>
      </c>
      <c r="B1105" t="str">
        <f>"1.3795"</f>
        <v>1.3795</v>
      </c>
      <c r="C1105" t="str">
        <f>"1.3794"</f>
        <v>1.3794</v>
      </c>
    </row>
    <row r="1106" spans="1:3" x14ac:dyDescent="0.25">
      <c r="A1106" t="str">
        <f>"13/12/2013"</f>
        <v>13/12/2013</v>
      </c>
      <c r="B1106" t="str">
        <f>"1.375"</f>
        <v>1.375</v>
      </c>
      <c r="C1106" t="str">
        <f>"1.3749"</f>
        <v>1.3749</v>
      </c>
    </row>
    <row r="1107" spans="1:3" x14ac:dyDescent="0.25">
      <c r="A1107" t="str">
        <f>"16/12/2013"</f>
        <v>16/12/2013</v>
      </c>
      <c r="B1107" t="str">
        <f>"1.3755"</f>
        <v>1.3755</v>
      </c>
      <c r="C1107" t="str">
        <f>"1.3754"</f>
        <v>1.3754</v>
      </c>
    </row>
    <row r="1108" spans="1:3" x14ac:dyDescent="0.25">
      <c r="A1108" t="str">
        <f>"17/12/2013"</f>
        <v>17/12/2013</v>
      </c>
      <c r="B1108" t="str">
        <f>"1.3768"</f>
        <v>1.3768</v>
      </c>
      <c r="C1108" t="str">
        <f>"1.3767"</f>
        <v>1.3767</v>
      </c>
    </row>
    <row r="1109" spans="1:3" x14ac:dyDescent="0.25">
      <c r="A1109" t="str">
        <f>"18/12/2013"</f>
        <v>18/12/2013</v>
      </c>
      <c r="B1109" t="str">
        <f>"1.3773"</f>
        <v>1.3773</v>
      </c>
      <c r="C1109" t="str">
        <f>"1.3771"</f>
        <v>1.3771</v>
      </c>
    </row>
    <row r="1110" spans="1:3" x14ac:dyDescent="0.25">
      <c r="A1110" t="str">
        <f>"19/12/2013"</f>
        <v>19/12/2013</v>
      </c>
      <c r="B1110" t="str">
        <f>"1.3663"</f>
        <v>1.3663</v>
      </c>
      <c r="C1110" t="str">
        <f>"1.3662"</f>
        <v>1.3662</v>
      </c>
    </row>
    <row r="1111" spans="1:3" x14ac:dyDescent="0.25">
      <c r="A1111" t="str">
        <f>"20/12/2013"</f>
        <v>20/12/2013</v>
      </c>
      <c r="B1111" t="str">
        <f>"1.3643"</f>
        <v>1.3643</v>
      </c>
      <c r="C1111" t="str">
        <f>"1.3642"</f>
        <v>1.3642</v>
      </c>
    </row>
    <row r="1112" spans="1:3" x14ac:dyDescent="0.25">
      <c r="A1112" t="str">
        <f>"23/12/2013"</f>
        <v>23/12/2013</v>
      </c>
      <c r="B1112" t="str">
        <f>"1.3675"</f>
        <v>1.3675</v>
      </c>
      <c r="C1112" t="str">
        <f>"1.3674"</f>
        <v>1.3674</v>
      </c>
    </row>
    <row r="1113" spans="1:3" x14ac:dyDescent="0.25">
      <c r="A1113" t="str">
        <f>"24/12/2013"</f>
        <v>24/12/2013</v>
      </c>
      <c r="B1113" t="str">
        <f>"1.3676"</f>
        <v>1.3676</v>
      </c>
      <c r="C1113" t="str">
        <f>"1.3675"</f>
        <v>1.3675</v>
      </c>
    </row>
    <row r="1114" spans="1:3" x14ac:dyDescent="0.25">
      <c r="A1114" t="str">
        <f>"26/12/2013"</f>
        <v>26/12/2013</v>
      </c>
      <c r="B1114" t="str">
        <f>"1.3674"</f>
        <v>1.3674</v>
      </c>
      <c r="C1114" t="str">
        <f>"1.3673"</f>
        <v>1.3673</v>
      </c>
    </row>
    <row r="1115" spans="1:3" x14ac:dyDescent="0.25">
      <c r="A1115" t="str">
        <f>"27/12/2013"</f>
        <v>27/12/2013</v>
      </c>
      <c r="B1115" t="str">
        <f>"1.3734"</f>
        <v>1.3734</v>
      </c>
      <c r="C1115" t="str">
        <f>"1.3733"</f>
        <v>1.3733</v>
      </c>
    </row>
    <row r="1116" spans="1:3" x14ac:dyDescent="0.25">
      <c r="A1116" t="str">
        <f>"30/12/2013"</f>
        <v>30/12/2013</v>
      </c>
      <c r="B1116" t="str">
        <f>"1.3741"</f>
        <v>1.3741</v>
      </c>
      <c r="C1116" t="str">
        <f>"1.374"</f>
        <v>1.374</v>
      </c>
    </row>
    <row r="1117" spans="1:3" x14ac:dyDescent="0.25">
      <c r="A1117" t="str">
        <f>"31/12/2013"</f>
        <v>31/12/2013</v>
      </c>
      <c r="B1117" t="str">
        <f>"1.3795"</f>
        <v>1.3795</v>
      </c>
      <c r="C1117" t="str">
        <f>"1.3795"</f>
        <v>1.3795</v>
      </c>
    </row>
    <row r="1118" spans="1:3" x14ac:dyDescent="0.25">
      <c r="A1118" t="str">
        <f>"01/01/2014"</f>
        <v>01/01/2014</v>
      </c>
      <c r="B1118" t="str">
        <f>"1.376"</f>
        <v>1.376</v>
      </c>
      <c r="C1118" t="str">
        <f>"1.376"</f>
        <v>1.376</v>
      </c>
    </row>
    <row r="1119" spans="1:3" x14ac:dyDescent="0.25">
      <c r="A1119" t="str">
        <f>"02/01/2014"</f>
        <v>02/01/2014</v>
      </c>
      <c r="B1119" t="str">
        <f>"1.3752"</f>
        <v>1.3752</v>
      </c>
      <c r="C1119" t="str">
        <f>"1.3752"</f>
        <v>1.3752</v>
      </c>
    </row>
    <row r="1120" spans="1:3" x14ac:dyDescent="0.25">
      <c r="A1120" t="str">
        <f>"03/01/2014"</f>
        <v>03/01/2014</v>
      </c>
      <c r="B1120" t="str">
        <f>"1.3663"</f>
        <v>1.3663</v>
      </c>
      <c r="C1120" t="str">
        <f>"1.3662"</f>
        <v>1.3662</v>
      </c>
    </row>
    <row r="1121" spans="1:3" x14ac:dyDescent="0.25">
      <c r="A1121" t="str">
        <f>"06/01/2014"</f>
        <v>06/01/2014</v>
      </c>
      <c r="B1121" t="str">
        <f>"1.3581"</f>
        <v>1.3581</v>
      </c>
      <c r="C1121" t="str">
        <f>"1.3581"</f>
        <v>1.3581</v>
      </c>
    </row>
    <row r="1122" spans="1:3" x14ac:dyDescent="0.25">
      <c r="A1122" t="str">
        <f>"07/01/2014"</f>
        <v>07/01/2014</v>
      </c>
      <c r="B1122" t="str">
        <f>"1.3627"</f>
        <v>1.3627</v>
      </c>
      <c r="C1122" t="str">
        <f>"1.3627"</f>
        <v>1.3627</v>
      </c>
    </row>
    <row r="1123" spans="1:3" x14ac:dyDescent="0.25">
      <c r="A1123" t="str">
        <f>"08/01/2014"</f>
        <v>08/01/2014</v>
      </c>
      <c r="B1123" t="str">
        <f>"1.3623"</f>
        <v>1.3623</v>
      </c>
      <c r="C1123" t="str">
        <f>"1.3622"</f>
        <v>1.3622</v>
      </c>
    </row>
    <row r="1124" spans="1:3" x14ac:dyDescent="0.25">
      <c r="A1124" t="str">
        <f>"09/01/2014"</f>
        <v>09/01/2014</v>
      </c>
      <c r="B1124" t="str">
        <f>"1.3577"</f>
        <v>1.3577</v>
      </c>
      <c r="C1124" t="str">
        <f>"1.3576"</f>
        <v>1.3576</v>
      </c>
    </row>
    <row r="1125" spans="1:3" x14ac:dyDescent="0.25">
      <c r="A1125" t="str">
        <f>"10/01/2014"</f>
        <v>10/01/2014</v>
      </c>
      <c r="B1125" t="str">
        <f>"1.3609"</f>
        <v>1.3609</v>
      </c>
      <c r="C1125" t="str">
        <f>"1.3609"</f>
        <v>1.3609</v>
      </c>
    </row>
    <row r="1126" spans="1:3" x14ac:dyDescent="0.25">
      <c r="A1126" t="str">
        <f>"16/01/2014"</f>
        <v>16/01/2014</v>
      </c>
      <c r="B1126" t="str">
        <f>"1.3626"</f>
        <v>1.3626</v>
      </c>
      <c r="C1126" t="str">
        <f>"1.3624"</f>
        <v>1.3624</v>
      </c>
    </row>
    <row r="1127" spans="1:3" x14ac:dyDescent="0.25">
      <c r="A1127" t="str">
        <f>"17/01/2014"</f>
        <v>17/01/2014</v>
      </c>
      <c r="B1127" t="str">
        <f>"1.3615"</f>
        <v>1.3615</v>
      </c>
      <c r="C1127" t="str">
        <f>"1.3614"</f>
        <v>1.3614</v>
      </c>
    </row>
    <row r="1128" spans="1:3" x14ac:dyDescent="0.25">
      <c r="A1128" t="str">
        <f>"20/01/2014"</f>
        <v>20/01/2014</v>
      </c>
      <c r="B1128" t="str">
        <f>"1.3528"</f>
        <v>1.3528</v>
      </c>
      <c r="C1128" t="str">
        <f>"1.3527"</f>
        <v>1.3527</v>
      </c>
    </row>
    <row r="1129" spans="1:3" x14ac:dyDescent="0.25">
      <c r="A1129" t="str">
        <f>"21/01/2014"</f>
        <v>21/01/2014</v>
      </c>
      <c r="B1129" t="str">
        <f>"1.3545"</f>
        <v>1.3545</v>
      </c>
      <c r="C1129" t="str">
        <f>"1.3544"</f>
        <v>1.3544</v>
      </c>
    </row>
    <row r="1130" spans="1:3" x14ac:dyDescent="0.25">
      <c r="A1130" t="str">
        <f>"22/01/2014"</f>
        <v>22/01/2014</v>
      </c>
      <c r="B1130" t="str">
        <f>"1.356"</f>
        <v>1.356</v>
      </c>
      <c r="C1130" t="str">
        <f>"1.3559"</f>
        <v>1.3559</v>
      </c>
    </row>
    <row r="1131" spans="1:3" x14ac:dyDescent="0.25">
      <c r="A1131" t="str">
        <f>"23/01/2014"</f>
        <v>23/01/2014</v>
      </c>
      <c r="B1131" t="str">
        <f>"1.3544"</f>
        <v>1.3544</v>
      </c>
      <c r="C1131" t="str">
        <f>"1.3543"</f>
        <v>1.3543</v>
      </c>
    </row>
    <row r="1132" spans="1:3" x14ac:dyDescent="0.25">
      <c r="A1132" t="str">
        <f>"24/01/2014"</f>
        <v>24/01/2014</v>
      </c>
      <c r="B1132" t="str">
        <f>"1.3684"</f>
        <v>1.3684</v>
      </c>
      <c r="C1132" t="str">
        <f>"1.3683"</f>
        <v>1.3683</v>
      </c>
    </row>
    <row r="1133" spans="1:3" x14ac:dyDescent="0.25">
      <c r="A1133" t="str">
        <f>"27/01/2014"</f>
        <v>27/01/2014</v>
      </c>
      <c r="B1133" t="str">
        <f>"1.3683"</f>
        <v>1.3683</v>
      </c>
      <c r="C1133" t="str">
        <f>"1.3682"</f>
        <v>1.3682</v>
      </c>
    </row>
    <row r="1134" spans="1:3" x14ac:dyDescent="0.25">
      <c r="A1134" t="str">
        <f>"28/01/2014"</f>
        <v>28/01/2014</v>
      </c>
      <c r="B1134" t="str">
        <f>"1.3676"</f>
        <v>1.3676</v>
      </c>
      <c r="C1134" t="str">
        <f>"1.3675"</f>
        <v>1.3675</v>
      </c>
    </row>
    <row r="1135" spans="1:3" x14ac:dyDescent="0.25">
      <c r="A1135" t="str">
        <f>"29/01/2014"</f>
        <v>29/01/2014</v>
      </c>
      <c r="B1135" t="str">
        <f>"1.3654"</f>
        <v>1.3654</v>
      </c>
      <c r="C1135" t="str">
        <f>"1.3653"</f>
        <v>1.3653</v>
      </c>
    </row>
    <row r="1136" spans="1:3" x14ac:dyDescent="0.25">
      <c r="A1136" t="str">
        <f>"30/01/2014"</f>
        <v>30/01/2014</v>
      </c>
      <c r="B1136" t="str">
        <f>"1.3651"</f>
        <v>1.3651</v>
      </c>
      <c r="C1136" t="str">
        <f>"1.3651"</f>
        <v>1.3651</v>
      </c>
    </row>
    <row r="1137" spans="1:3" x14ac:dyDescent="0.25">
      <c r="A1137" t="str">
        <f>"31/01/2014"</f>
        <v>31/01/2014</v>
      </c>
      <c r="B1137" t="str">
        <f>"1.3546"</f>
        <v>1.3546</v>
      </c>
      <c r="C1137" t="str">
        <f>"1.3545"</f>
        <v>1.3545</v>
      </c>
    </row>
    <row r="1138" spans="1:3" x14ac:dyDescent="0.25">
      <c r="A1138" t="str">
        <f>"03/02/2014"</f>
        <v>03/02/2014</v>
      </c>
      <c r="B1138" t="str">
        <f>"1.3484"</f>
        <v>1.3484</v>
      </c>
      <c r="C1138" t="str">
        <f>"1.3484"</f>
        <v>1.3484</v>
      </c>
    </row>
    <row r="1139" spans="1:3" x14ac:dyDescent="0.25">
      <c r="A1139" t="str">
        <f>"04/02/2014"</f>
        <v>04/02/2014</v>
      </c>
      <c r="B1139" t="str">
        <f>"1.3508"</f>
        <v>1.3508</v>
      </c>
      <c r="C1139" t="str">
        <f>"1.3507"</f>
        <v>1.3507</v>
      </c>
    </row>
    <row r="1140" spans="1:3" x14ac:dyDescent="0.25">
      <c r="A1140" t="str">
        <f>"05/02/2014"</f>
        <v>05/02/2014</v>
      </c>
      <c r="B1140" t="str">
        <f>"1.3512"</f>
        <v>1.3512</v>
      </c>
      <c r="C1140" t="str">
        <f>"1.3512"</f>
        <v>1.3512</v>
      </c>
    </row>
    <row r="1141" spans="1:3" x14ac:dyDescent="0.25">
      <c r="A1141" t="str">
        <f>"06/02/2014"</f>
        <v>06/02/2014</v>
      </c>
      <c r="B1141" t="str">
        <f>"1.3524"</f>
        <v>1.3524</v>
      </c>
      <c r="C1141" t="str">
        <f>"1.3524"</f>
        <v>1.3524</v>
      </c>
    </row>
    <row r="1142" spans="1:3" x14ac:dyDescent="0.25">
      <c r="A1142" t="str">
        <f>"07/02/2014"</f>
        <v>07/02/2014</v>
      </c>
      <c r="B1142" t="str">
        <f>"1.359"</f>
        <v>1.359</v>
      </c>
      <c r="C1142" t="str">
        <f>"1.359"</f>
        <v>1.359</v>
      </c>
    </row>
    <row r="1143" spans="1:3" x14ac:dyDescent="0.25">
      <c r="A1143" t="str">
        <f>"10/02/2014"</f>
        <v>10/02/2014</v>
      </c>
      <c r="B1143" t="str">
        <f>"1.3625"</f>
        <v>1.3625</v>
      </c>
      <c r="C1143" t="str">
        <f>"1.3624"</f>
        <v>1.3624</v>
      </c>
    </row>
    <row r="1144" spans="1:3" x14ac:dyDescent="0.25">
      <c r="A1144" t="str">
        <f>"11/02/2014"</f>
        <v>11/02/2014</v>
      </c>
      <c r="B1144" t="str">
        <f>"1.3667"</f>
        <v>1.3667</v>
      </c>
      <c r="C1144" t="str">
        <f>"1.3666"</f>
        <v>1.3666</v>
      </c>
    </row>
    <row r="1145" spans="1:3" x14ac:dyDescent="0.25">
      <c r="A1145" t="str">
        <f>"12/02/2014"</f>
        <v>12/02/2014</v>
      </c>
      <c r="B1145" t="str">
        <f>"1.3627"</f>
        <v>1.3627</v>
      </c>
      <c r="C1145" t="str">
        <f>"1.3627"</f>
        <v>1.3627</v>
      </c>
    </row>
    <row r="1146" spans="1:3" x14ac:dyDescent="0.25">
      <c r="A1146" t="str">
        <f>"13/02/2014"</f>
        <v>13/02/2014</v>
      </c>
      <c r="B1146" t="str">
        <f>"1.3615"</f>
        <v>1.3615</v>
      </c>
      <c r="C1146" t="str">
        <f>"1.3615"</f>
        <v>1.3615</v>
      </c>
    </row>
    <row r="1147" spans="1:3" x14ac:dyDescent="0.25">
      <c r="A1147" t="str">
        <f>"14/02/2014"</f>
        <v>14/02/2014</v>
      </c>
      <c r="B1147" t="str">
        <f>"1.3681"</f>
        <v>1.3681</v>
      </c>
      <c r="C1147" t="str">
        <f>"1.3681"</f>
        <v>1.3681</v>
      </c>
    </row>
    <row r="1148" spans="1:3" x14ac:dyDescent="0.25">
      <c r="A1148" t="str">
        <f>"17/02/2014"</f>
        <v>17/02/2014</v>
      </c>
      <c r="B1148" t="str">
        <f>"1.3712"</f>
        <v>1.3712</v>
      </c>
      <c r="C1148" t="str">
        <f>"1.3712"</f>
        <v>1.3712</v>
      </c>
    </row>
    <row r="1149" spans="1:3" x14ac:dyDescent="0.25">
      <c r="A1149" t="str">
        <f>"18/02/2014"</f>
        <v>18/02/2014</v>
      </c>
      <c r="B1149" t="str">
        <f>"1.3715"</f>
        <v>1.3715</v>
      </c>
      <c r="C1149" t="str">
        <f>"1.3715"</f>
        <v>1.3715</v>
      </c>
    </row>
    <row r="1150" spans="1:3" x14ac:dyDescent="0.25">
      <c r="A1150" t="str">
        <f>"19/02/2014"</f>
        <v>19/02/2014</v>
      </c>
      <c r="B1150" t="str">
        <f>"1.3765"</f>
        <v>1.3765</v>
      </c>
      <c r="C1150" t="str">
        <f>"1.3765"</f>
        <v>1.3765</v>
      </c>
    </row>
    <row r="1151" spans="1:3" x14ac:dyDescent="0.25">
      <c r="A1151" t="str">
        <f>"20/02/2014"</f>
        <v>20/02/2014</v>
      </c>
      <c r="B1151" t="str">
        <f>"1.3751"</f>
        <v>1.3751</v>
      </c>
      <c r="C1151" t="str">
        <f>"1.3751"</f>
        <v>1.3751</v>
      </c>
    </row>
    <row r="1152" spans="1:3" x14ac:dyDescent="0.25">
      <c r="A1152" t="str">
        <f>"21/02/2014"</f>
        <v>21/02/2014</v>
      </c>
      <c r="B1152" t="str">
        <f>"1.3717"</f>
        <v>1.3717</v>
      </c>
      <c r="C1152" t="str">
        <f>"1.3717"</f>
        <v>1.3717</v>
      </c>
    </row>
    <row r="1153" spans="1:3" x14ac:dyDescent="0.25">
      <c r="A1153" t="str">
        <f>"24/02/2014"</f>
        <v>24/02/2014</v>
      </c>
      <c r="B1153" t="str">
        <f>"1.3737"</f>
        <v>1.3737</v>
      </c>
      <c r="C1153" t="str">
        <f>"1.3737"</f>
        <v>1.3737</v>
      </c>
    </row>
    <row r="1154" spans="1:3" x14ac:dyDescent="0.25">
      <c r="A1154" t="str">
        <f>"25/02/2014"</f>
        <v>25/02/2014</v>
      </c>
      <c r="B1154" t="str">
        <f>"1.3735"</f>
        <v>1.3735</v>
      </c>
      <c r="C1154" t="str">
        <f>"1.3735"</f>
        <v>1.3735</v>
      </c>
    </row>
    <row r="1155" spans="1:3" x14ac:dyDescent="0.25">
      <c r="A1155" t="str">
        <f>"26/02/2014"</f>
        <v>26/02/2014</v>
      </c>
      <c r="B1155" t="str">
        <f>"1.3741"</f>
        <v>1.3741</v>
      </c>
      <c r="C1155" t="str">
        <f>"1.3741"</f>
        <v>1.3741</v>
      </c>
    </row>
    <row r="1156" spans="1:3" x14ac:dyDescent="0.25">
      <c r="A1156" t="str">
        <f>"28/02/2014"</f>
        <v>28/02/2014</v>
      </c>
      <c r="B1156" t="str">
        <f>"1.37"</f>
        <v>1.37</v>
      </c>
      <c r="C1156" t="str">
        <f>"1.37"</f>
        <v>1.37</v>
      </c>
    </row>
    <row r="1157" spans="1:3" x14ac:dyDescent="0.25">
      <c r="A1157" t="str">
        <f>"03/03/2014"</f>
        <v>03/03/2014</v>
      </c>
      <c r="B1157" t="str">
        <f>"1.3777"</f>
        <v>1.3777</v>
      </c>
      <c r="C1157" t="str">
        <f>"1.3776"</f>
        <v>1.3776</v>
      </c>
    </row>
    <row r="1158" spans="1:3" x14ac:dyDescent="0.25">
      <c r="A1158" t="str">
        <f>"04/03/2014"</f>
        <v>04/03/2014</v>
      </c>
      <c r="B1158" t="str">
        <f>"1.3733"</f>
        <v>1.3733</v>
      </c>
      <c r="C1158" t="str">
        <f>"1.3733"</f>
        <v>1.3733</v>
      </c>
    </row>
    <row r="1159" spans="1:3" x14ac:dyDescent="0.25">
      <c r="A1159" t="str">
        <f>"05/03/2014"</f>
        <v>05/03/2014</v>
      </c>
      <c r="B1159" t="str">
        <f>"1.3733"</f>
        <v>1.3733</v>
      </c>
      <c r="C1159" t="str">
        <f>"1.3732"</f>
        <v>1.3732</v>
      </c>
    </row>
    <row r="1160" spans="1:3" x14ac:dyDescent="0.25">
      <c r="A1160" t="str">
        <f>"06/03/2014"</f>
        <v>06/03/2014</v>
      </c>
      <c r="B1160" t="str">
        <f>"1.3726"</f>
        <v>1.3726</v>
      </c>
      <c r="C1160" t="str">
        <f>"1.3726"</f>
        <v>1.3726</v>
      </c>
    </row>
    <row r="1161" spans="1:3" x14ac:dyDescent="0.25">
      <c r="A1161" t="str">
        <f>"07/03/2014"</f>
        <v>07/03/2014</v>
      </c>
      <c r="B1161" t="str">
        <f>"1.3859"</f>
        <v>1.3859</v>
      </c>
      <c r="C1161" t="str">
        <f>"1.3858"</f>
        <v>1.3858</v>
      </c>
    </row>
    <row r="1162" spans="1:3" x14ac:dyDescent="0.25">
      <c r="A1162" t="str">
        <f>"10/03/2014"</f>
        <v>10/03/2014</v>
      </c>
      <c r="B1162" t="str">
        <f>"1.3885"</f>
        <v>1.3885</v>
      </c>
      <c r="C1162" t="str">
        <f>"1.3884"</f>
        <v>1.3884</v>
      </c>
    </row>
    <row r="1163" spans="1:3" x14ac:dyDescent="0.25">
      <c r="A1163" t="str">
        <f>"11/03/2014"</f>
        <v>11/03/2014</v>
      </c>
      <c r="B1163" t="str">
        <f>"1.3868"</f>
        <v>1.3868</v>
      </c>
      <c r="C1163" t="str">
        <f>"1.3867"</f>
        <v>1.3867</v>
      </c>
    </row>
    <row r="1164" spans="1:3" x14ac:dyDescent="0.25">
      <c r="A1164" t="str">
        <f>"12/03/2014"</f>
        <v>12/03/2014</v>
      </c>
      <c r="B1164" t="str">
        <f>"1.3851"</f>
        <v>1.3851</v>
      </c>
      <c r="C1164" t="str">
        <f>"1.3851"</f>
        <v>1.3851</v>
      </c>
    </row>
    <row r="1165" spans="1:3" x14ac:dyDescent="0.25">
      <c r="A1165" t="str">
        <f>"13/03/2014"</f>
        <v>13/03/2014</v>
      </c>
      <c r="B1165" t="str">
        <f>"1.3935"</f>
        <v>1.3935</v>
      </c>
      <c r="C1165" t="str">
        <f>"1.3935"</f>
        <v>1.3935</v>
      </c>
    </row>
    <row r="1166" spans="1:3" x14ac:dyDescent="0.25">
      <c r="A1166" t="str">
        <f>"14/03/2014"</f>
        <v>14/03/2014</v>
      </c>
      <c r="B1166" t="str">
        <f>"1.3861"</f>
        <v>1.3861</v>
      </c>
      <c r="C1166" t="str">
        <f>"1.386"</f>
        <v>1.386</v>
      </c>
    </row>
    <row r="1167" spans="1:3" x14ac:dyDescent="0.25">
      <c r="A1167" t="str">
        <f>"18/03/2014"</f>
        <v>18/03/2014</v>
      </c>
      <c r="B1167" t="str">
        <f>"1.3931"</f>
        <v>1.3931</v>
      </c>
      <c r="C1167" t="str">
        <f>"1.3931"</f>
        <v>1.3931</v>
      </c>
    </row>
    <row r="1168" spans="1:3" x14ac:dyDescent="0.25">
      <c r="A1168" t="str">
        <f>"19/03/2014"</f>
        <v>19/03/2014</v>
      </c>
      <c r="B1168" t="str">
        <f>"1.3923"</f>
        <v>1.3923</v>
      </c>
      <c r="C1168" t="str">
        <f>"1.3922"</f>
        <v>1.3922</v>
      </c>
    </row>
    <row r="1169" spans="1:3" x14ac:dyDescent="0.25">
      <c r="A1169" t="str">
        <f>"20/03/2014"</f>
        <v>20/03/2014</v>
      </c>
      <c r="B1169" t="str">
        <f>"1.3832"</f>
        <v>1.3832</v>
      </c>
      <c r="C1169" t="str">
        <f>"1.3831"</f>
        <v>1.3831</v>
      </c>
    </row>
    <row r="1170" spans="1:3" x14ac:dyDescent="0.25">
      <c r="A1170" t="str">
        <f>"21/03/2014"</f>
        <v>21/03/2014</v>
      </c>
      <c r="B1170" t="str">
        <f>"1.3783"</f>
        <v>1.3783</v>
      </c>
      <c r="C1170" t="str">
        <f>"1.3782"</f>
        <v>1.3782</v>
      </c>
    </row>
    <row r="1171" spans="1:3" x14ac:dyDescent="0.25">
      <c r="A1171" t="str">
        <f>"24/03/2014"</f>
        <v>24/03/2014</v>
      </c>
      <c r="B1171" t="str">
        <f>"1.3801"</f>
        <v>1.3801</v>
      </c>
      <c r="C1171" t="str">
        <f>"1.38"</f>
        <v>1.38</v>
      </c>
    </row>
    <row r="1172" spans="1:3" x14ac:dyDescent="0.25">
      <c r="A1172" t="str">
        <f>"25/03/2014"</f>
        <v>25/03/2014</v>
      </c>
      <c r="B1172" t="str">
        <f>"1.3834"</f>
        <v>1.3834</v>
      </c>
      <c r="C1172" t="str">
        <f>"1.3833"</f>
        <v>1.3833</v>
      </c>
    </row>
    <row r="1173" spans="1:3" x14ac:dyDescent="0.25">
      <c r="A1173" t="str">
        <f>"26/03/2014"</f>
        <v>26/03/2014</v>
      </c>
      <c r="B1173" t="str">
        <f>"1.3813"</f>
        <v>1.3813</v>
      </c>
      <c r="C1173" t="str">
        <f>"1.3812"</f>
        <v>1.3812</v>
      </c>
    </row>
    <row r="1174" spans="1:3" x14ac:dyDescent="0.25">
      <c r="A1174" t="str">
        <f>"27/03/2014"</f>
        <v>27/03/2014</v>
      </c>
      <c r="B1174" t="str">
        <f>"1.3785"</f>
        <v>1.3785</v>
      </c>
      <c r="C1174" t="str">
        <f>"1.3784"</f>
        <v>1.3784</v>
      </c>
    </row>
    <row r="1175" spans="1:3" x14ac:dyDescent="0.25">
      <c r="A1175" t="str">
        <f>"28/03/2014"</f>
        <v>28/03/2014</v>
      </c>
      <c r="B1175" t="str">
        <f>"1.375"</f>
        <v>1.375</v>
      </c>
      <c r="C1175" t="str">
        <f>"1.3749"</f>
        <v>1.3749</v>
      </c>
    </row>
    <row r="1176" spans="1:3" x14ac:dyDescent="0.25">
      <c r="A1176" t="str">
        <f>"02/04/2014"</f>
        <v>02/04/2014</v>
      </c>
      <c r="B1176" t="str">
        <f>"1.3805"</f>
        <v>1.3805</v>
      </c>
      <c r="C1176" t="str">
        <f>"1.3803"</f>
        <v>1.3803</v>
      </c>
    </row>
    <row r="1177" spans="1:3" x14ac:dyDescent="0.25">
      <c r="A1177" t="str">
        <f>"03/04/2014"</f>
        <v>03/04/2014</v>
      </c>
      <c r="B1177" t="str">
        <f>"1.3756"</f>
        <v>1.3756</v>
      </c>
      <c r="C1177" t="str">
        <f>"1.3755"</f>
        <v>1.3755</v>
      </c>
    </row>
    <row r="1178" spans="1:3" x14ac:dyDescent="0.25">
      <c r="A1178" t="str">
        <f>"04/04/2014"</f>
        <v>04/04/2014</v>
      </c>
      <c r="B1178" t="str">
        <f>"1.3712"</f>
        <v>1.3712</v>
      </c>
      <c r="C1178" t="str">
        <f>"1.3711"</f>
        <v>1.3711</v>
      </c>
    </row>
    <row r="1179" spans="1:3" x14ac:dyDescent="0.25">
      <c r="A1179" t="str">
        <f>"07/04/2014"</f>
        <v>07/04/2014</v>
      </c>
      <c r="B1179" t="str">
        <f>"1.3698"</f>
        <v>1.3698</v>
      </c>
      <c r="C1179" t="str">
        <f>"1.3696"</f>
        <v>1.3696</v>
      </c>
    </row>
    <row r="1180" spans="1:3" x14ac:dyDescent="0.25">
      <c r="A1180" t="str">
        <f>"09/04/2014"</f>
        <v>09/04/2014</v>
      </c>
      <c r="B1180" t="str">
        <f>"1.3791"</f>
        <v>1.3791</v>
      </c>
      <c r="C1180" t="str">
        <f>"1.379"</f>
        <v>1.379</v>
      </c>
    </row>
    <row r="1181" spans="1:3" x14ac:dyDescent="0.25">
      <c r="A1181" t="str">
        <f>"10/04/2014"</f>
        <v>10/04/2014</v>
      </c>
      <c r="B1181" t="str">
        <f>"1.3847"</f>
        <v>1.3847</v>
      </c>
      <c r="C1181" t="str">
        <f>"1.3845"</f>
        <v>1.3845</v>
      </c>
    </row>
    <row r="1182" spans="1:3" x14ac:dyDescent="0.25">
      <c r="A1182" t="str">
        <f>"11/04/2014"</f>
        <v>11/04/2014</v>
      </c>
      <c r="B1182" t="str">
        <f>"1.3892"</f>
        <v>1.3892</v>
      </c>
      <c r="C1182" t="str">
        <f>"1.3891"</f>
        <v>1.3891</v>
      </c>
    </row>
    <row r="1183" spans="1:3" x14ac:dyDescent="0.25">
      <c r="A1183" t="str">
        <f>"15/04/2014"</f>
        <v>15/04/2014</v>
      </c>
      <c r="B1183" t="str">
        <f>"1.3817"</f>
        <v>1.3817</v>
      </c>
      <c r="C1183" t="str">
        <f>"1.3815"</f>
        <v>1.3815</v>
      </c>
    </row>
    <row r="1184" spans="1:3" x14ac:dyDescent="0.25">
      <c r="A1184" t="str">
        <f>"16/04/2014"</f>
        <v>16/04/2014</v>
      </c>
      <c r="B1184" t="str">
        <f>"1.3818"</f>
        <v>1.3818</v>
      </c>
      <c r="C1184" t="str">
        <f>"1.3817"</f>
        <v>1.3817</v>
      </c>
    </row>
    <row r="1185" spans="1:3" x14ac:dyDescent="0.25">
      <c r="A1185" t="str">
        <f>"17/04/2014"</f>
        <v>17/04/2014</v>
      </c>
      <c r="B1185" t="str">
        <f>"1.3838"</f>
        <v>1.3838</v>
      </c>
      <c r="C1185" t="str">
        <f>"1.3837"</f>
        <v>1.3837</v>
      </c>
    </row>
    <row r="1186" spans="1:3" x14ac:dyDescent="0.25">
      <c r="A1186" t="str">
        <f>"21/04/2014"</f>
        <v>21/04/2014</v>
      </c>
      <c r="B1186" t="str">
        <f>"1.3813"</f>
        <v>1.3813</v>
      </c>
      <c r="C1186" t="str">
        <f>"1.3812"</f>
        <v>1.3812</v>
      </c>
    </row>
    <row r="1187" spans="1:3" x14ac:dyDescent="0.25">
      <c r="A1187" t="str">
        <f>"22/04/2014"</f>
        <v>22/04/2014</v>
      </c>
      <c r="B1187" t="str">
        <f>"1.3795"</f>
        <v>1.3795</v>
      </c>
      <c r="C1187" t="str">
        <f>"1.3794"</f>
        <v>1.3794</v>
      </c>
    </row>
    <row r="1188" spans="1:3" x14ac:dyDescent="0.25">
      <c r="A1188" t="str">
        <f>"23/04/2014"</f>
        <v>23/04/2014</v>
      </c>
      <c r="B1188" t="str">
        <f>"1.3818"</f>
        <v>1.3818</v>
      </c>
      <c r="C1188" t="str">
        <f>"1.3817"</f>
        <v>1.3817</v>
      </c>
    </row>
    <row r="1189" spans="1:3" x14ac:dyDescent="0.25">
      <c r="A1189" t="str">
        <f>"25/04/2014"</f>
        <v>25/04/2014</v>
      </c>
      <c r="B1189" t="str">
        <f>"1.3832"</f>
        <v>1.3832</v>
      </c>
      <c r="C1189" t="str">
        <f>"1.383"</f>
        <v>1.383</v>
      </c>
    </row>
    <row r="1190" spans="1:3" x14ac:dyDescent="0.25">
      <c r="A1190" t="str">
        <f>"28/04/2014"</f>
        <v>28/04/2014</v>
      </c>
      <c r="B1190" t="str">
        <f>"1.3822"</f>
        <v>1.3822</v>
      </c>
      <c r="C1190" t="str">
        <f>"1.3821"</f>
        <v>1.3821</v>
      </c>
    </row>
    <row r="1191" spans="1:3" x14ac:dyDescent="0.25">
      <c r="A1191" t="str">
        <f>"29/04/2014"</f>
        <v>29/04/2014</v>
      </c>
      <c r="B1191" t="str">
        <f>"1.3862"</f>
        <v>1.3862</v>
      </c>
      <c r="C1191" t="str">
        <f>"1.386"</f>
        <v>1.386</v>
      </c>
    </row>
    <row r="1192" spans="1:3" x14ac:dyDescent="0.25">
      <c r="A1192" t="str">
        <f>"30/04/2014"</f>
        <v>30/04/2014</v>
      </c>
      <c r="B1192" t="str">
        <f>"1.381"</f>
        <v>1.381</v>
      </c>
      <c r="C1192" t="str">
        <f>"1.3808"</f>
        <v>1.3808</v>
      </c>
    </row>
    <row r="1193" spans="1:3" x14ac:dyDescent="0.25">
      <c r="A1193" t="str">
        <f>"02/05/2014"</f>
        <v>02/05/2014</v>
      </c>
      <c r="B1193" t="str">
        <f>"1.3861"</f>
        <v>1.3861</v>
      </c>
      <c r="C1193" t="str">
        <f>"1.386"</f>
        <v>1.386</v>
      </c>
    </row>
    <row r="1194" spans="1:3" x14ac:dyDescent="0.25">
      <c r="A1194" t="str">
        <f>"05/05/2014"</f>
        <v>05/05/2014</v>
      </c>
      <c r="B1194" t="str">
        <f>"1.3875"</f>
        <v>1.3875</v>
      </c>
      <c r="C1194" t="str">
        <f>"1.3874"</f>
        <v>1.3874</v>
      </c>
    </row>
    <row r="1195" spans="1:3" x14ac:dyDescent="0.25">
      <c r="A1195" t="str">
        <f>"06/05/2014"</f>
        <v>06/05/2014</v>
      </c>
      <c r="B1195" t="str">
        <f>"1.3882"</f>
        <v>1.3882</v>
      </c>
      <c r="C1195" t="str">
        <f>"1.3881"</f>
        <v>1.3881</v>
      </c>
    </row>
    <row r="1196" spans="1:3" x14ac:dyDescent="0.25">
      <c r="A1196" t="str">
        <f>"07/05/2014"</f>
        <v>07/05/2014</v>
      </c>
      <c r="B1196" t="str">
        <f>"1.3925"</f>
        <v>1.3925</v>
      </c>
      <c r="C1196" t="str">
        <f>"1.3923"</f>
        <v>1.3923</v>
      </c>
    </row>
    <row r="1197" spans="1:3" x14ac:dyDescent="0.25">
      <c r="A1197" t="str">
        <f>"08/05/2014"</f>
        <v>08/05/2014</v>
      </c>
      <c r="B1197" t="str">
        <f>"1.3914"</f>
        <v>1.3914</v>
      </c>
      <c r="C1197" t="str">
        <f>"1.3913"</f>
        <v>1.3913</v>
      </c>
    </row>
    <row r="1198" spans="1:3" x14ac:dyDescent="0.25">
      <c r="A1198" t="str">
        <f>"09/05/2014"</f>
        <v>09/05/2014</v>
      </c>
      <c r="B1198" t="str">
        <f>"1.3839"</f>
        <v>1.3839</v>
      </c>
      <c r="C1198" t="str">
        <f>"1.3838"</f>
        <v>1.3838</v>
      </c>
    </row>
    <row r="1199" spans="1:3" x14ac:dyDescent="0.25">
      <c r="A1199" t="str">
        <f>"12/05/2014"</f>
        <v>12/05/2014</v>
      </c>
      <c r="B1199" t="str">
        <f>"1.3761"</f>
        <v>1.3761</v>
      </c>
      <c r="C1199" t="str">
        <f>"1.376"</f>
        <v>1.376</v>
      </c>
    </row>
    <row r="1200" spans="1:3" x14ac:dyDescent="0.25">
      <c r="A1200" t="str">
        <f>"13/05/2014"</f>
        <v>13/05/2014</v>
      </c>
      <c r="B1200" t="str">
        <f>"1.3757"</f>
        <v>1.3757</v>
      </c>
      <c r="C1200" t="str">
        <f>"1.3755"</f>
        <v>1.3755</v>
      </c>
    </row>
    <row r="1201" spans="1:3" x14ac:dyDescent="0.25">
      <c r="A1201" t="str">
        <f>"15/05/2014"</f>
        <v>15/05/2014</v>
      </c>
      <c r="B1201" t="str">
        <f>"1.3717"</f>
        <v>1.3717</v>
      </c>
      <c r="C1201" t="str">
        <f>"1.3716"</f>
        <v>1.3716</v>
      </c>
    </row>
    <row r="1202" spans="1:3" x14ac:dyDescent="0.25">
      <c r="A1202" t="str">
        <f>"16/05/2014"</f>
        <v>16/05/2014</v>
      </c>
      <c r="B1202" t="str">
        <f>"1.3715"</f>
        <v>1.3715</v>
      </c>
      <c r="C1202" t="str">
        <f>"1.3714"</f>
        <v>1.3714</v>
      </c>
    </row>
    <row r="1203" spans="1:3" x14ac:dyDescent="0.25">
      <c r="A1203" t="str">
        <f>"19/05/2014"</f>
        <v>19/05/2014</v>
      </c>
      <c r="B1203" t="str">
        <f>"1.3703"</f>
        <v>1.3703</v>
      </c>
      <c r="C1203" t="str">
        <f>"1.3701"</f>
        <v>1.3701</v>
      </c>
    </row>
    <row r="1204" spans="1:3" x14ac:dyDescent="0.25">
      <c r="A1204" t="str">
        <f>"20/05/2014"</f>
        <v>20/05/2014</v>
      </c>
      <c r="B1204" t="str">
        <f>"1.3702"</f>
        <v>1.3702</v>
      </c>
      <c r="C1204" t="str">
        <f>"1.3701"</f>
        <v>1.3701</v>
      </c>
    </row>
    <row r="1205" spans="1:3" x14ac:dyDescent="0.25">
      <c r="A1205" t="str">
        <f>"21/05/2014"</f>
        <v>21/05/2014</v>
      </c>
      <c r="B1205" t="str">
        <f>"1.3702"</f>
        <v>1.3702</v>
      </c>
      <c r="C1205" t="str">
        <f>"1.3701"</f>
        <v>1.3701</v>
      </c>
    </row>
    <row r="1206" spans="1:3" x14ac:dyDescent="0.25">
      <c r="A1206" t="str">
        <f>"22/05/2014"</f>
        <v>22/05/2014</v>
      </c>
      <c r="B1206" t="str">
        <f>"1.3671"</f>
        <v>1.3671</v>
      </c>
      <c r="C1206" t="str">
        <f>"1.3669"</f>
        <v>1.3669</v>
      </c>
    </row>
    <row r="1207" spans="1:3" x14ac:dyDescent="0.25">
      <c r="A1207" t="str">
        <f>"23/05/2014"</f>
        <v>23/05/2014</v>
      </c>
      <c r="B1207" t="str">
        <f>"1.3647"</f>
        <v>1.3647</v>
      </c>
      <c r="C1207" t="str">
        <f>"1.3646"</f>
        <v>1.3646</v>
      </c>
    </row>
    <row r="1208" spans="1:3" x14ac:dyDescent="0.25">
      <c r="A1208" t="str">
        <f>"26/05/2014"</f>
        <v>26/05/2014</v>
      </c>
      <c r="B1208" t="str">
        <f>"1.3618"</f>
        <v>1.3618</v>
      </c>
      <c r="C1208" t="str">
        <f>"1.3617"</f>
        <v>1.3617</v>
      </c>
    </row>
    <row r="1209" spans="1:3" x14ac:dyDescent="0.25">
      <c r="A1209" t="str">
        <f>"27/05/2014"</f>
        <v>27/05/2014</v>
      </c>
      <c r="B1209" t="str">
        <f>"1.3657"</f>
        <v>1.3657</v>
      </c>
      <c r="C1209" t="str">
        <f>"1.3656"</f>
        <v>1.3656</v>
      </c>
    </row>
    <row r="1210" spans="1:3" x14ac:dyDescent="0.25">
      <c r="A1210" t="str">
        <f>"28/05/2014"</f>
        <v>28/05/2014</v>
      </c>
      <c r="B1210" t="str">
        <f>"1.3633"</f>
        <v>1.3633</v>
      </c>
      <c r="C1210" t="str">
        <f>"1.3632"</f>
        <v>1.3632</v>
      </c>
    </row>
    <row r="1211" spans="1:3" x14ac:dyDescent="0.25">
      <c r="A1211" t="str">
        <f>"29/05/2014"</f>
        <v>29/05/2014</v>
      </c>
      <c r="B1211" t="str">
        <f>"1.3605"</f>
        <v>1.3605</v>
      </c>
      <c r="C1211" t="str">
        <f>"1.3604"</f>
        <v>1.3604</v>
      </c>
    </row>
    <row r="1212" spans="1:3" x14ac:dyDescent="0.25">
      <c r="A1212" t="str">
        <f>"30/05/2014"</f>
        <v>30/05/2014</v>
      </c>
      <c r="B1212" t="str">
        <f>"1.3601"</f>
        <v>1.3601</v>
      </c>
      <c r="C1212" t="str">
        <f>"1.36"</f>
        <v>1.36</v>
      </c>
    </row>
    <row r="1213" spans="1:3" x14ac:dyDescent="0.25">
      <c r="A1213" t="str">
        <f>"02/06/2014"</f>
        <v>02/06/2014</v>
      </c>
      <c r="B1213" t="str">
        <f>"1.3628"</f>
        <v>1.3628</v>
      </c>
      <c r="C1213" t="str">
        <f>"1.3627"</f>
        <v>1.3627</v>
      </c>
    </row>
    <row r="1214" spans="1:3" x14ac:dyDescent="0.25">
      <c r="A1214" t="str">
        <f>"03/06/2014"</f>
        <v>03/06/2014</v>
      </c>
      <c r="B1214" t="str">
        <f>"1.3603"</f>
        <v>1.3603</v>
      </c>
      <c r="C1214" t="str">
        <f>"1.3603"</f>
        <v>1.3603</v>
      </c>
    </row>
    <row r="1215" spans="1:3" x14ac:dyDescent="0.25">
      <c r="A1215" t="str">
        <f>"04/06/2014"</f>
        <v>04/06/2014</v>
      </c>
      <c r="B1215" t="str">
        <f>"1.361"</f>
        <v>1.361</v>
      </c>
      <c r="C1215" t="str">
        <f>"1.361"</f>
        <v>1.361</v>
      </c>
    </row>
    <row r="1216" spans="1:3" x14ac:dyDescent="0.25">
      <c r="A1216" t="str">
        <f>"05/06/2014"</f>
        <v>05/06/2014</v>
      </c>
      <c r="B1216" t="str">
        <f>"1.36"</f>
        <v>1.36</v>
      </c>
      <c r="C1216" t="str">
        <f>"1.36"</f>
        <v>1.36</v>
      </c>
    </row>
    <row r="1217" spans="1:3" x14ac:dyDescent="0.25">
      <c r="A1217" t="str">
        <f>"06/06/2014"</f>
        <v>06/06/2014</v>
      </c>
      <c r="B1217" t="str">
        <f>"1.3655"</f>
        <v>1.3655</v>
      </c>
      <c r="C1217" t="str">
        <f>"1.3655"</f>
        <v>1.3655</v>
      </c>
    </row>
    <row r="1218" spans="1:3" x14ac:dyDescent="0.25">
      <c r="A1218" t="str">
        <f>"09/06/2014"</f>
        <v>09/06/2014</v>
      </c>
      <c r="B1218" t="str">
        <f>"1.3645"</f>
        <v>1.3645</v>
      </c>
      <c r="C1218" t="str">
        <f>"1.3645"</f>
        <v>1.3645</v>
      </c>
    </row>
    <row r="1219" spans="1:3" x14ac:dyDescent="0.25">
      <c r="A1219" t="str">
        <f>"10/06/2014"</f>
        <v>10/06/2014</v>
      </c>
      <c r="B1219" t="str">
        <f>"1.359"</f>
        <v>1.359</v>
      </c>
      <c r="C1219" t="str">
        <f>"1.359"</f>
        <v>1.359</v>
      </c>
    </row>
    <row r="1220" spans="1:3" x14ac:dyDescent="0.25">
      <c r="A1220" t="str">
        <f>"11/06/2014"</f>
        <v>11/06/2014</v>
      </c>
      <c r="B1220" t="str">
        <f>"1.3531"</f>
        <v>1.3531</v>
      </c>
      <c r="C1220" t="str">
        <f>"1.3531"</f>
        <v>1.3531</v>
      </c>
    </row>
    <row r="1221" spans="1:3" x14ac:dyDescent="0.25">
      <c r="A1221" t="str">
        <f>"12/06/2014"</f>
        <v>12/06/2014</v>
      </c>
      <c r="B1221" t="str">
        <f>"1.354"</f>
        <v>1.354</v>
      </c>
      <c r="C1221" t="str">
        <f>"1.3541"</f>
        <v>1.3541</v>
      </c>
    </row>
    <row r="1222" spans="1:3" x14ac:dyDescent="0.25">
      <c r="A1222" t="str">
        <f>"13/06/2014"</f>
        <v>13/06/2014</v>
      </c>
      <c r="B1222" t="str">
        <f>"1.3558"</f>
        <v>1.3558</v>
      </c>
      <c r="C1222" t="str">
        <f>"1.356"</f>
        <v>1.356</v>
      </c>
    </row>
    <row r="1223" spans="1:3" x14ac:dyDescent="0.25">
      <c r="A1223" t="str">
        <f>"16/06/2014"</f>
        <v>16/06/2014</v>
      </c>
      <c r="B1223" t="str">
        <f>"1.3541"</f>
        <v>1.3541</v>
      </c>
      <c r="C1223" t="str">
        <f>"1.3542"</f>
        <v>1.3542</v>
      </c>
    </row>
    <row r="1224" spans="1:3" x14ac:dyDescent="0.25">
      <c r="A1224" t="str">
        <f>"17/06/2014"</f>
        <v>17/06/2014</v>
      </c>
      <c r="B1224" t="str">
        <f>"1.3561"</f>
        <v>1.3561</v>
      </c>
      <c r="C1224" t="str">
        <f>"1.3564"</f>
        <v>1.3564</v>
      </c>
    </row>
    <row r="1225" spans="1:3" x14ac:dyDescent="0.25">
      <c r="A1225" t="str">
        <f>"18/06/2014"</f>
        <v>18/06/2014</v>
      </c>
      <c r="B1225" t="str">
        <f>"1.3544"</f>
        <v>1.3544</v>
      </c>
      <c r="C1225" t="str">
        <f>"1.3546"</f>
        <v>1.3546</v>
      </c>
    </row>
    <row r="1226" spans="1:3" x14ac:dyDescent="0.25">
      <c r="A1226" t="str">
        <f>"19/06/2014"</f>
        <v>19/06/2014</v>
      </c>
      <c r="B1226" t="str">
        <f>"1.359"</f>
        <v>1.359</v>
      </c>
      <c r="C1226" t="str">
        <f>"1.3592"</f>
        <v>1.3592</v>
      </c>
    </row>
    <row r="1227" spans="1:3" x14ac:dyDescent="0.25">
      <c r="A1227" t="str">
        <f>"20/06/2014"</f>
        <v>20/06/2014</v>
      </c>
      <c r="B1227" t="str">
        <f>"1.3624"</f>
        <v>1.3624</v>
      </c>
      <c r="C1227" t="str">
        <f>"1.3625"</f>
        <v>1.3625</v>
      </c>
    </row>
    <row r="1228" spans="1:3" x14ac:dyDescent="0.25">
      <c r="A1228" t="str">
        <f>"23/06/2014"</f>
        <v>23/06/2014</v>
      </c>
      <c r="B1228" t="str">
        <f>"1.3605"</f>
        <v>1.3605</v>
      </c>
      <c r="C1228" t="str">
        <f>"1.3606"</f>
        <v>1.3606</v>
      </c>
    </row>
    <row r="1229" spans="1:3" x14ac:dyDescent="0.25">
      <c r="A1229" t="str">
        <f>"24/06/2014"</f>
        <v>24/06/2014</v>
      </c>
      <c r="B1229" t="str">
        <f>"1.3595"</f>
        <v>1.3595</v>
      </c>
      <c r="C1229" t="str">
        <f>"1.3596"</f>
        <v>1.3596</v>
      </c>
    </row>
    <row r="1230" spans="1:3" x14ac:dyDescent="0.25">
      <c r="A1230" t="str">
        <f>"25/06/2014"</f>
        <v>25/06/2014</v>
      </c>
      <c r="B1230" t="str">
        <f>"1.3607"</f>
        <v>1.3607</v>
      </c>
      <c r="C1230" t="str">
        <f>"1.3609"</f>
        <v>1.3609</v>
      </c>
    </row>
    <row r="1231" spans="1:3" x14ac:dyDescent="0.25">
      <c r="A1231" t="str">
        <f>"26/06/2014"</f>
        <v>26/06/2014</v>
      </c>
      <c r="B1231" t="str">
        <f>"1.3632"</f>
        <v>1.3632</v>
      </c>
      <c r="C1231" t="str">
        <f>"1.3633"</f>
        <v>1.3633</v>
      </c>
    </row>
    <row r="1232" spans="1:3" x14ac:dyDescent="0.25">
      <c r="A1232" t="str">
        <f>"27/06/2014"</f>
        <v>27/06/2014</v>
      </c>
      <c r="B1232" t="str">
        <f>"1.3628"</f>
        <v>1.3628</v>
      </c>
      <c r="C1232" t="str">
        <f>"1.3629"</f>
        <v>1.3629</v>
      </c>
    </row>
    <row r="1233" spans="1:3" x14ac:dyDescent="0.25">
      <c r="A1233" t="str">
        <f>"30/06/2014"</f>
        <v>30/06/2014</v>
      </c>
      <c r="B1233" t="str">
        <f>"1.3645"</f>
        <v>1.3645</v>
      </c>
      <c r="C1233" t="str">
        <f>"1.3646"</f>
        <v>1.3646</v>
      </c>
    </row>
    <row r="1234" spans="1:3" x14ac:dyDescent="0.25">
      <c r="A1234" t="str">
        <f>"01/07/2014"</f>
        <v>01/07/2014</v>
      </c>
      <c r="B1234" t="str">
        <f>"1.3687"</f>
        <v>1.3687</v>
      </c>
      <c r="C1234" t="str">
        <f>"1.3689"</f>
        <v>1.3689</v>
      </c>
    </row>
    <row r="1235" spans="1:3" x14ac:dyDescent="0.25">
      <c r="A1235" t="str">
        <f>"02/07/2014"</f>
        <v>02/07/2014</v>
      </c>
      <c r="B1235" t="str">
        <f>"1.3676"</f>
        <v>1.3676</v>
      </c>
      <c r="C1235" t="str">
        <f>"1.3677"</f>
        <v>1.3677</v>
      </c>
    </row>
    <row r="1236" spans="1:3" x14ac:dyDescent="0.25">
      <c r="A1236" t="str">
        <f>"03/07/2014"</f>
        <v>03/07/2014</v>
      </c>
      <c r="B1236" t="str">
        <f>"1.3648"</f>
        <v>1.3648</v>
      </c>
      <c r="C1236" t="str">
        <f>"1.3649"</f>
        <v>1.3649</v>
      </c>
    </row>
    <row r="1237" spans="1:3" x14ac:dyDescent="0.25">
      <c r="A1237" t="str">
        <f>"04/07/2014"</f>
        <v>04/07/2014</v>
      </c>
      <c r="B1237" t="str">
        <f>"1.3608"</f>
        <v>1.3608</v>
      </c>
      <c r="C1237" t="str">
        <f>"1.3609"</f>
        <v>1.3609</v>
      </c>
    </row>
    <row r="1238" spans="1:3" x14ac:dyDescent="0.25">
      <c r="A1238" t="str">
        <f>"07/07/2014"</f>
        <v>07/07/2014</v>
      </c>
      <c r="B1238" t="str">
        <f>"1.3585"</f>
        <v>1.3585</v>
      </c>
      <c r="C1238" t="str">
        <f>"1.3586"</f>
        <v>1.3586</v>
      </c>
    </row>
    <row r="1239" spans="1:3" x14ac:dyDescent="0.25">
      <c r="A1239" t="str">
        <f>"08/07/2014"</f>
        <v>08/07/2014</v>
      </c>
      <c r="B1239" t="str">
        <f>"1.3604"</f>
        <v>1.3604</v>
      </c>
      <c r="C1239" t="str">
        <f>"1.3605"</f>
        <v>1.3605</v>
      </c>
    </row>
    <row r="1240" spans="1:3" x14ac:dyDescent="0.25">
      <c r="A1240" t="str">
        <f>"09/07/2014"</f>
        <v>09/07/2014</v>
      </c>
      <c r="B1240" t="str">
        <f>"1.3615"</f>
        <v>1.3615</v>
      </c>
      <c r="C1240" t="str">
        <f>"1.3616"</f>
        <v>1.3616</v>
      </c>
    </row>
    <row r="1241" spans="1:3" x14ac:dyDescent="0.25">
      <c r="A1241" t="str">
        <f>"10/07/2014"</f>
        <v>10/07/2014</v>
      </c>
      <c r="B1241" t="str">
        <f>"1.3645"</f>
        <v>1.3645</v>
      </c>
      <c r="C1241" t="str">
        <f>"1.3647"</f>
        <v>1.3647</v>
      </c>
    </row>
    <row r="1242" spans="1:3" x14ac:dyDescent="0.25">
      <c r="A1242" t="str">
        <f>"11/07/2014"</f>
        <v>11/07/2014</v>
      </c>
      <c r="B1242" t="str">
        <f>"1.3601"</f>
        <v>1.3601</v>
      </c>
      <c r="C1242" t="str">
        <f>"1.3603"</f>
        <v>1.3603</v>
      </c>
    </row>
    <row r="1243" spans="1:3" x14ac:dyDescent="0.25">
      <c r="A1243" t="str">
        <f>"14/07/2014"</f>
        <v>14/07/2014</v>
      </c>
      <c r="B1243" t="str">
        <f>"1.3603"</f>
        <v>1.3603</v>
      </c>
      <c r="C1243" t="str">
        <f>"1.3605"</f>
        <v>1.3605</v>
      </c>
    </row>
    <row r="1244" spans="1:3" x14ac:dyDescent="0.25">
      <c r="A1244" t="str">
        <f>"15/07/2014"</f>
        <v>15/07/2014</v>
      </c>
      <c r="B1244" t="str">
        <f>"1.3617"</f>
        <v>1.3617</v>
      </c>
      <c r="C1244" t="str">
        <f>"1.3619"</f>
        <v>1.3619</v>
      </c>
    </row>
    <row r="1245" spans="1:3" x14ac:dyDescent="0.25">
      <c r="A1245" t="str">
        <f>"16/07/2014"</f>
        <v>16/07/2014</v>
      </c>
      <c r="B1245" t="str">
        <f>"1.3561"</f>
        <v>1.3561</v>
      </c>
      <c r="C1245" t="str">
        <f>"1.3562"</f>
        <v>1.3562</v>
      </c>
    </row>
    <row r="1246" spans="1:3" x14ac:dyDescent="0.25">
      <c r="A1246" t="str">
        <f>"17/07/2014"</f>
        <v>17/07/2014</v>
      </c>
      <c r="B1246" t="str">
        <f>"1.3526"</f>
        <v>1.3526</v>
      </c>
      <c r="C1246" t="str">
        <f>"1.3528"</f>
        <v>1.3528</v>
      </c>
    </row>
    <row r="1247" spans="1:3" x14ac:dyDescent="0.25">
      <c r="A1247" t="str">
        <f>"18/07/2014"</f>
        <v>18/07/2014</v>
      </c>
      <c r="B1247" t="str">
        <f>"1.3525"</f>
        <v>1.3525</v>
      </c>
      <c r="C1247" t="str">
        <f>"1.3527"</f>
        <v>1.3527</v>
      </c>
    </row>
    <row r="1248" spans="1:3" x14ac:dyDescent="0.25">
      <c r="A1248" t="str">
        <f>"21/07/2014"</f>
        <v>21/07/2014</v>
      </c>
      <c r="B1248" t="str">
        <f>"1.3546"</f>
        <v>1.3546</v>
      </c>
      <c r="C1248" t="str">
        <f>"1.3548"</f>
        <v>1.3548</v>
      </c>
    </row>
    <row r="1249" spans="1:3" x14ac:dyDescent="0.25">
      <c r="A1249" t="str">
        <f>"22/07/2014"</f>
        <v>22/07/2014</v>
      </c>
      <c r="B1249" t="str">
        <f>"1.3524"</f>
        <v>1.3524</v>
      </c>
      <c r="C1249" t="str">
        <f>"1.3526"</f>
        <v>1.3526</v>
      </c>
    </row>
    <row r="1250" spans="1:3" x14ac:dyDescent="0.25">
      <c r="A1250" t="str">
        <f>"23/07/2014"</f>
        <v>23/07/2014</v>
      </c>
      <c r="B1250" t="str">
        <f>"1.3463"</f>
        <v>1.3463</v>
      </c>
      <c r="C1250" t="str">
        <f>"1.3464"</f>
        <v>1.3464</v>
      </c>
    </row>
    <row r="1251" spans="1:3" x14ac:dyDescent="0.25">
      <c r="A1251" t="str">
        <f>"24/07/2014"</f>
        <v>24/07/2014</v>
      </c>
      <c r="B1251" t="str">
        <f>"1.346"</f>
        <v>1.346</v>
      </c>
      <c r="C1251" t="str">
        <f>"1.3461"</f>
        <v>1.3461</v>
      </c>
    </row>
    <row r="1252" spans="1:3" x14ac:dyDescent="0.25">
      <c r="A1252" t="str">
        <f>"25/07/2014"</f>
        <v>25/07/2014</v>
      </c>
      <c r="B1252" t="str">
        <f>"1.3467"</f>
        <v>1.3467</v>
      </c>
      <c r="C1252" t="str">
        <f>"1.3467"</f>
        <v>1.3467</v>
      </c>
    </row>
    <row r="1253" spans="1:3" x14ac:dyDescent="0.25">
      <c r="A1253" t="str">
        <f>"28/07/2014"</f>
        <v>28/07/2014</v>
      </c>
      <c r="B1253" t="str">
        <f>"1.3428"</f>
        <v>1.3428</v>
      </c>
      <c r="C1253" t="str">
        <f>"1.3429"</f>
        <v>1.3429</v>
      </c>
    </row>
    <row r="1254" spans="1:3" x14ac:dyDescent="0.25">
      <c r="A1254" t="str">
        <f>"30/07/2014"</f>
        <v>30/07/2014</v>
      </c>
      <c r="B1254" t="str">
        <f>"1.3408"</f>
        <v>1.3408</v>
      </c>
      <c r="C1254" t="str">
        <f>"1.3409"</f>
        <v>1.3409</v>
      </c>
    </row>
    <row r="1255" spans="1:3" x14ac:dyDescent="0.25">
      <c r="A1255" t="str">
        <f>"31/07/2014"</f>
        <v>31/07/2014</v>
      </c>
      <c r="B1255" t="str">
        <f>"1.3394"</f>
        <v>1.3394</v>
      </c>
      <c r="C1255" t="str">
        <f>"1.3395"</f>
        <v>1.3395</v>
      </c>
    </row>
    <row r="1256" spans="1:3" x14ac:dyDescent="0.25">
      <c r="A1256" t="str">
        <f>"01/08/2014"</f>
        <v>01/08/2014</v>
      </c>
      <c r="B1256" t="str">
        <f>"1.3384"</f>
        <v>1.3384</v>
      </c>
      <c r="C1256" t="str">
        <f>"1.3385"</f>
        <v>1.3385</v>
      </c>
    </row>
    <row r="1257" spans="1:3" x14ac:dyDescent="0.25">
      <c r="A1257" t="str">
        <f>"04/08/2014"</f>
        <v>04/08/2014</v>
      </c>
      <c r="B1257" t="str">
        <f>"1.3423"</f>
        <v>1.3423</v>
      </c>
      <c r="C1257" t="str">
        <f>"1.3424"</f>
        <v>1.3424</v>
      </c>
    </row>
    <row r="1258" spans="1:3" x14ac:dyDescent="0.25">
      <c r="A1258" t="str">
        <f>"05/08/2014"</f>
        <v>05/08/2014</v>
      </c>
      <c r="B1258" t="str">
        <f>"1.3419"</f>
        <v>1.3419</v>
      </c>
      <c r="C1258" t="str">
        <f>"1.3421"</f>
        <v>1.3421</v>
      </c>
    </row>
    <row r="1259" spans="1:3" x14ac:dyDescent="0.25">
      <c r="A1259" t="str">
        <f>"06/08/2014"</f>
        <v>06/08/2014</v>
      </c>
      <c r="B1259" t="str">
        <f>"1.3368"</f>
        <v>1.3368</v>
      </c>
      <c r="C1259" t="str">
        <f>"1.337"</f>
        <v>1.337</v>
      </c>
    </row>
    <row r="1260" spans="1:3" x14ac:dyDescent="0.25">
      <c r="A1260" t="str">
        <f>"07/08/2014"</f>
        <v>07/08/2014</v>
      </c>
      <c r="B1260" t="str">
        <f>"1.3388"</f>
        <v>1.3388</v>
      </c>
      <c r="C1260" t="str">
        <f>"1.339"</f>
        <v>1.339</v>
      </c>
    </row>
    <row r="1261" spans="1:3" x14ac:dyDescent="0.25">
      <c r="A1261" t="str">
        <f>"08/08/2014"</f>
        <v>08/08/2014</v>
      </c>
      <c r="B1261" t="str">
        <f>"1.3357"</f>
        <v>1.3357</v>
      </c>
      <c r="C1261" t="str">
        <f>"1.3358"</f>
        <v>1.3358</v>
      </c>
    </row>
    <row r="1262" spans="1:3" x14ac:dyDescent="0.25">
      <c r="A1262" t="str">
        <f>"11/08/2014"</f>
        <v>11/08/2014</v>
      </c>
      <c r="B1262" t="str">
        <f>"1.34"</f>
        <v>1.34</v>
      </c>
      <c r="C1262" t="str">
        <f>"1.3402"</f>
        <v>1.3402</v>
      </c>
    </row>
    <row r="1263" spans="1:3" x14ac:dyDescent="0.25">
      <c r="A1263" t="str">
        <f>"12/08/2014"</f>
        <v>12/08/2014</v>
      </c>
      <c r="B1263" t="str">
        <f>"1.3374"</f>
        <v>1.3374</v>
      </c>
      <c r="C1263" t="str">
        <f>"1.3375"</f>
        <v>1.3375</v>
      </c>
    </row>
    <row r="1264" spans="1:3" x14ac:dyDescent="0.25">
      <c r="A1264" t="str">
        <f>"13/08/2014"</f>
        <v>13/08/2014</v>
      </c>
      <c r="B1264" t="str">
        <f>"1.3366"</f>
        <v>1.3366</v>
      </c>
      <c r="C1264" t="str">
        <f>"1.3367"</f>
        <v>1.3367</v>
      </c>
    </row>
    <row r="1265" spans="1:3" x14ac:dyDescent="0.25">
      <c r="A1265" t="str">
        <f>"14/08/2014"</f>
        <v>14/08/2014</v>
      </c>
      <c r="B1265" t="str">
        <f>"1.3363"</f>
        <v>1.3363</v>
      </c>
      <c r="C1265" t="str">
        <f>"1.3365"</f>
        <v>1.3365</v>
      </c>
    </row>
    <row r="1266" spans="1:3" x14ac:dyDescent="0.25">
      <c r="A1266" t="str">
        <f>"19/08/2014"</f>
        <v>19/08/2014</v>
      </c>
      <c r="B1266" t="str">
        <f>"1.3357"</f>
        <v>1.3357</v>
      </c>
      <c r="C1266" t="str">
        <f>"1.3359"</f>
        <v>1.3359</v>
      </c>
    </row>
    <row r="1267" spans="1:3" x14ac:dyDescent="0.25">
      <c r="A1267" t="str">
        <f>"20/08/2014"</f>
        <v>20/08/2014</v>
      </c>
      <c r="B1267" t="str">
        <f>"1.3305"</f>
        <v>1.3305</v>
      </c>
      <c r="C1267" t="str">
        <f>"1.3307"</f>
        <v>1.3307</v>
      </c>
    </row>
    <row r="1268" spans="1:3" x14ac:dyDescent="0.25">
      <c r="A1268" t="str">
        <f>"21/08/2014"</f>
        <v>21/08/2014</v>
      </c>
      <c r="B1268" t="str">
        <f>"1.3246"</f>
        <v>1.3246</v>
      </c>
      <c r="C1268" t="str">
        <f>"1.3248"</f>
        <v>1.3248</v>
      </c>
    </row>
    <row r="1269" spans="1:3" x14ac:dyDescent="0.25">
      <c r="A1269" t="str">
        <f>"22/08/2014"</f>
        <v>22/08/2014</v>
      </c>
      <c r="B1269" t="str">
        <f>"1.3284"</f>
        <v>1.3284</v>
      </c>
      <c r="C1269" t="str">
        <f>"1.3286"</f>
        <v>1.3286</v>
      </c>
    </row>
    <row r="1270" spans="1:3" x14ac:dyDescent="0.25">
      <c r="A1270" t="str">
        <f>"25/08/2014"</f>
        <v>25/08/2014</v>
      </c>
      <c r="B1270" t="str">
        <f>"1.3205"</f>
        <v>1.3205</v>
      </c>
      <c r="C1270" t="str">
        <f>"1.3207"</f>
        <v>1.3207</v>
      </c>
    </row>
    <row r="1271" spans="1:3" x14ac:dyDescent="0.25">
      <c r="A1271" t="str">
        <f>"26/08/2014"</f>
        <v>26/08/2014</v>
      </c>
      <c r="B1271" t="str">
        <f>"1.3203"</f>
        <v>1.3203</v>
      </c>
      <c r="C1271" t="str">
        <f>"1.3205"</f>
        <v>1.3205</v>
      </c>
    </row>
    <row r="1272" spans="1:3" x14ac:dyDescent="0.25">
      <c r="A1272" t="str">
        <f>"27/08/2014"</f>
        <v>27/08/2014</v>
      </c>
      <c r="B1272" t="str">
        <f>"1.316"</f>
        <v>1.316</v>
      </c>
      <c r="C1272" t="str">
        <f>"1.3162"</f>
        <v>1.3162</v>
      </c>
    </row>
    <row r="1273" spans="1:3" x14ac:dyDescent="0.25">
      <c r="A1273" t="str">
        <f>"28/08/2014"</f>
        <v>28/08/2014</v>
      </c>
      <c r="B1273" t="str">
        <f>"1.3213"</f>
        <v>1.3213</v>
      </c>
      <c r="C1273" t="str">
        <f>"1.3215"</f>
        <v>1.3215</v>
      </c>
    </row>
    <row r="1274" spans="1:3" x14ac:dyDescent="0.25">
      <c r="A1274" t="str">
        <f>"01/09/2014"</f>
        <v>01/09/2014</v>
      </c>
      <c r="B1274" t="str">
        <f>"1.3124"</f>
        <v>1.3124</v>
      </c>
      <c r="C1274" t="str">
        <f>"1.3126"</f>
        <v>1.3126</v>
      </c>
    </row>
    <row r="1275" spans="1:3" x14ac:dyDescent="0.25">
      <c r="A1275" t="str">
        <f>"02/09/2014"</f>
        <v>02/09/2014</v>
      </c>
      <c r="B1275" t="str">
        <f>"1.3121"</f>
        <v>1.3121</v>
      </c>
      <c r="C1275" t="str">
        <f>"1.3123"</f>
        <v>1.3123</v>
      </c>
    </row>
    <row r="1276" spans="1:3" x14ac:dyDescent="0.25">
      <c r="A1276" t="str">
        <f>"03/09/2014"</f>
        <v>03/09/2014</v>
      </c>
      <c r="B1276" t="str">
        <f>"1.3126"</f>
        <v>1.3126</v>
      </c>
      <c r="C1276" t="str">
        <f>"1.3129"</f>
        <v>1.3129</v>
      </c>
    </row>
    <row r="1277" spans="1:3" x14ac:dyDescent="0.25">
      <c r="A1277" t="str">
        <f>"04/09/2014"</f>
        <v>04/09/2014</v>
      </c>
      <c r="B1277" t="str">
        <f>"1.3145"</f>
        <v>1.3145</v>
      </c>
      <c r="C1277" t="str">
        <f>"1.3148"</f>
        <v>1.3148</v>
      </c>
    </row>
    <row r="1278" spans="1:3" x14ac:dyDescent="0.25">
      <c r="A1278" t="str">
        <f>"05/09/2014"</f>
        <v>05/09/2014</v>
      </c>
      <c r="B1278" t="str">
        <f>"1.2936"</f>
        <v>1.2936</v>
      </c>
      <c r="C1278" t="str">
        <f>"1.2939"</f>
        <v>1.2939</v>
      </c>
    </row>
    <row r="1279" spans="1:3" x14ac:dyDescent="0.25">
      <c r="A1279" t="str">
        <f>"08/09/2014"</f>
        <v>08/09/2014</v>
      </c>
      <c r="B1279" t="str">
        <f>"1.2936"</f>
        <v>1.2936</v>
      </c>
      <c r="C1279" t="str">
        <f>"1.2939"</f>
        <v>1.2939</v>
      </c>
    </row>
    <row r="1280" spans="1:3" x14ac:dyDescent="0.25">
      <c r="A1280" t="str">
        <f>"09/09/2014"</f>
        <v>09/09/2014</v>
      </c>
      <c r="B1280" t="str">
        <f>"1.2874"</f>
        <v>1.2874</v>
      </c>
      <c r="C1280" t="str">
        <f>"1.2878"</f>
        <v>1.2878</v>
      </c>
    </row>
    <row r="1281" spans="1:3" x14ac:dyDescent="0.25">
      <c r="A1281" t="str">
        <f>"10/09/2014"</f>
        <v>10/09/2014</v>
      </c>
      <c r="B1281" t="str">
        <f>"1.2926"</f>
        <v>1.2926</v>
      </c>
      <c r="C1281" t="str">
        <f>"1.2929"</f>
        <v>1.2929</v>
      </c>
    </row>
    <row r="1282" spans="1:3" x14ac:dyDescent="0.25">
      <c r="A1282" t="str">
        <f>"11/09/2014"</f>
        <v>11/09/2014</v>
      </c>
      <c r="B1282" t="str">
        <f>"1.291"</f>
        <v>1.291</v>
      </c>
      <c r="C1282" t="str">
        <f>"1.2912"</f>
        <v>1.2912</v>
      </c>
    </row>
    <row r="1283" spans="1:3" x14ac:dyDescent="0.25">
      <c r="A1283" t="str">
        <f>"12/09/2014"</f>
        <v>12/09/2014</v>
      </c>
      <c r="B1283" t="str">
        <f>"1.2917"</f>
        <v>1.2917</v>
      </c>
      <c r="C1283" t="str">
        <f>"1.292"</f>
        <v>1.292</v>
      </c>
    </row>
    <row r="1284" spans="1:3" x14ac:dyDescent="0.25">
      <c r="A1284" t="str">
        <f>"15/09/2014"</f>
        <v>15/09/2014</v>
      </c>
      <c r="B1284" t="str">
        <f>"1.2962"</f>
        <v>1.2962</v>
      </c>
      <c r="C1284" t="str">
        <f>"1.2964"</f>
        <v>1.2964</v>
      </c>
    </row>
    <row r="1285" spans="1:3" x14ac:dyDescent="0.25">
      <c r="A1285" t="str">
        <f>"16/09/2014"</f>
        <v>16/09/2014</v>
      </c>
      <c r="B1285" t="str">
        <f>"1.2941"</f>
        <v>1.2941</v>
      </c>
      <c r="C1285" t="str">
        <f>"1.2944"</f>
        <v>1.2944</v>
      </c>
    </row>
    <row r="1286" spans="1:3" x14ac:dyDescent="0.25">
      <c r="A1286" t="str">
        <f>"17/09/2014"</f>
        <v>17/09/2014</v>
      </c>
      <c r="B1286" t="str">
        <f>"1.2952"</f>
        <v>1.2952</v>
      </c>
      <c r="C1286" t="str">
        <f>"1.2955"</f>
        <v>1.2955</v>
      </c>
    </row>
    <row r="1287" spans="1:3" x14ac:dyDescent="0.25">
      <c r="A1287" t="str">
        <f>"18/09/2014"</f>
        <v>18/09/2014</v>
      </c>
      <c r="B1287" t="str">
        <f>"1.2861"</f>
        <v>1.2861</v>
      </c>
      <c r="C1287" t="str">
        <f>"1.2864"</f>
        <v>1.2864</v>
      </c>
    </row>
    <row r="1288" spans="1:3" x14ac:dyDescent="0.25">
      <c r="A1288" t="str">
        <f>"19/09/2014"</f>
        <v>19/09/2014</v>
      </c>
      <c r="B1288" t="str">
        <f>"1.2924"</f>
        <v>1.2924</v>
      </c>
      <c r="C1288" t="str">
        <f>"1.2926"</f>
        <v>1.2926</v>
      </c>
    </row>
    <row r="1289" spans="1:3" x14ac:dyDescent="0.25">
      <c r="A1289" t="str">
        <f>"22/09/2014"</f>
        <v>22/09/2014</v>
      </c>
      <c r="B1289" t="str">
        <f>"1.2864"</f>
        <v>1.2864</v>
      </c>
      <c r="C1289" t="str">
        <f>"1.2867"</f>
        <v>1.2867</v>
      </c>
    </row>
    <row r="1290" spans="1:3" x14ac:dyDescent="0.25">
      <c r="A1290" t="str">
        <f>"23/09/2014"</f>
        <v>23/09/2014</v>
      </c>
      <c r="B1290" t="str">
        <f>"1.2852"</f>
        <v>1.2852</v>
      </c>
      <c r="C1290" t="str">
        <f>"1.2855"</f>
        <v>1.2855</v>
      </c>
    </row>
    <row r="1291" spans="1:3" x14ac:dyDescent="0.25">
      <c r="A1291" t="str">
        <f>"24/09/2014"</f>
        <v>24/09/2014</v>
      </c>
      <c r="B1291" t="str">
        <f>"1.2856"</f>
        <v>1.2856</v>
      </c>
      <c r="C1291" t="str">
        <f>"1.2858"</f>
        <v>1.2858</v>
      </c>
    </row>
    <row r="1292" spans="1:3" x14ac:dyDescent="0.25">
      <c r="A1292" t="str">
        <f>"25/09/2014"</f>
        <v>25/09/2014</v>
      </c>
      <c r="B1292" t="str">
        <f>"1.2767"</f>
        <v>1.2767</v>
      </c>
      <c r="C1292" t="str">
        <f>"1.2769"</f>
        <v>1.2769</v>
      </c>
    </row>
    <row r="1293" spans="1:3" x14ac:dyDescent="0.25">
      <c r="A1293" t="str">
        <f>"26/09/2014"</f>
        <v>26/09/2014</v>
      </c>
      <c r="B1293" t="str">
        <f>"1.2748"</f>
        <v>1.2748</v>
      </c>
      <c r="C1293" t="str">
        <f>"1.275"</f>
        <v>1.275</v>
      </c>
    </row>
    <row r="1294" spans="1:3" x14ac:dyDescent="0.25">
      <c r="A1294" t="str">
        <f>"29/09/2014"</f>
        <v>29/09/2014</v>
      </c>
      <c r="B1294" t="str">
        <f>"1.2676"</f>
        <v>1.2676</v>
      </c>
      <c r="C1294" t="str">
        <f>"1.2678"</f>
        <v>1.2678</v>
      </c>
    </row>
    <row r="1295" spans="1:3" x14ac:dyDescent="0.25">
      <c r="A1295" t="str">
        <f>"30/09/2014"</f>
        <v>30/09/2014</v>
      </c>
      <c r="B1295" t="str">
        <f>"1.2695"</f>
        <v>1.2695</v>
      </c>
      <c r="C1295" t="str">
        <f>"1.2698"</f>
        <v>1.2698</v>
      </c>
    </row>
    <row r="1296" spans="1:3" x14ac:dyDescent="0.25">
      <c r="A1296" t="str">
        <f>"01/10/2014"</f>
        <v>01/10/2014</v>
      </c>
      <c r="B1296" t="str">
        <f>"1.2613"</f>
        <v>1.2613</v>
      </c>
      <c r="C1296" t="str">
        <f>"1.2615"</f>
        <v>1.2615</v>
      </c>
    </row>
    <row r="1297" spans="1:3" x14ac:dyDescent="0.25">
      <c r="A1297" t="str">
        <f>"07/10/2014"</f>
        <v>07/10/2014</v>
      </c>
      <c r="B1297" t="str">
        <f>"1.2615"</f>
        <v>1.2615</v>
      </c>
      <c r="C1297" t="str">
        <f>"1.2617"</f>
        <v>1.2617</v>
      </c>
    </row>
    <row r="1298" spans="1:3" x14ac:dyDescent="0.25">
      <c r="A1298" t="str">
        <f>"08/10/2014"</f>
        <v>08/10/2014</v>
      </c>
      <c r="B1298" t="str">
        <f>"1.2635"</f>
        <v>1.2635</v>
      </c>
      <c r="C1298" t="str">
        <f>"1.2638"</f>
        <v>1.2638</v>
      </c>
    </row>
    <row r="1299" spans="1:3" x14ac:dyDescent="0.25">
      <c r="A1299" t="str">
        <f>"09/10/2014"</f>
        <v>09/10/2014</v>
      </c>
      <c r="B1299" t="str">
        <f>"1.275"</f>
        <v>1.275</v>
      </c>
      <c r="C1299" t="str">
        <f>"1.2753"</f>
        <v>1.2753</v>
      </c>
    </row>
    <row r="1300" spans="1:3" x14ac:dyDescent="0.25">
      <c r="A1300" t="str">
        <f>"10/10/2014"</f>
        <v>10/10/2014</v>
      </c>
      <c r="B1300" t="str">
        <f>"1.2701"</f>
        <v>1.2701</v>
      </c>
      <c r="C1300" t="str">
        <f>"1.2704"</f>
        <v>1.2704</v>
      </c>
    </row>
    <row r="1301" spans="1:3" x14ac:dyDescent="0.25">
      <c r="A1301" t="str">
        <f>"13/10/2014"</f>
        <v>13/10/2014</v>
      </c>
      <c r="B1301" t="str">
        <f>"1.2682"</f>
        <v>1.2682</v>
      </c>
      <c r="C1301" t="str">
        <f>"1.2685"</f>
        <v>1.2685</v>
      </c>
    </row>
    <row r="1302" spans="1:3" x14ac:dyDescent="0.25">
      <c r="A1302" t="str">
        <f>"14/10/2014"</f>
        <v>14/10/2014</v>
      </c>
      <c r="B1302" t="str">
        <f>"1.2721"</f>
        <v>1.2721</v>
      </c>
      <c r="C1302" t="str">
        <f>"1.2724"</f>
        <v>1.2724</v>
      </c>
    </row>
    <row r="1303" spans="1:3" x14ac:dyDescent="0.25">
      <c r="A1303" t="str">
        <f>"16/10/2014"</f>
        <v>16/10/2014</v>
      </c>
      <c r="B1303" t="str">
        <f>"1.2817"</f>
        <v>1.2817</v>
      </c>
      <c r="C1303" t="str">
        <f>"1.2819"</f>
        <v>1.2819</v>
      </c>
    </row>
    <row r="1304" spans="1:3" x14ac:dyDescent="0.25">
      <c r="A1304" t="str">
        <f>"17/10/2014"</f>
        <v>17/10/2014</v>
      </c>
      <c r="B1304" t="str">
        <f>"1.2795"</f>
        <v>1.2795</v>
      </c>
      <c r="C1304" t="str">
        <f>"1.2798"</f>
        <v>1.2798</v>
      </c>
    </row>
    <row r="1305" spans="1:3" x14ac:dyDescent="0.25">
      <c r="A1305" t="str">
        <f>"20/10/2014"</f>
        <v>20/10/2014</v>
      </c>
      <c r="B1305" t="str">
        <f>"1.2752"</f>
        <v>1.2752</v>
      </c>
      <c r="C1305" t="str">
        <f>"1.2755"</f>
        <v>1.2755</v>
      </c>
    </row>
    <row r="1306" spans="1:3" x14ac:dyDescent="0.25">
      <c r="A1306" t="str">
        <f>"21/10/2014"</f>
        <v>21/10/2014</v>
      </c>
      <c r="B1306" t="str">
        <f>"1.282"</f>
        <v>1.282</v>
      </c>
      <c r="C1306" t="str">
        <f>"1.2822"</f>
        <v>1.2822</v>
      </c>
    </row>
    <row r="1307" spans="1:3" x14ac:dyDescent="0.25">
      <c r="A1307" t="str">
        <f>"22/10/2014"</f>
        <v>22/10/2014</v>
      </c>
      <c r="B1307" t="str">
        <f>"1.2724"</f>
        <v>1.2724</v>
      </c>
      <c r="C1307" t="str">
        <f>"1.2726"</f>
        <v>1.2726</v>
      </c>
    </row>
    <row r="1308" spans="1:3" x14ac:dyDescent="0.25">
      <c r="A1308" t="str">
        <f>"27/10/2014"</f>
        <v>27/10/2014</v>
      </c>
      <c r="B1308" t="str">
        <f>"1.2703"</f>
        <v>1.2703</v>
      </c>
      <c r="C1308" t="str">
        <f>"1.2705"</f>
        <v>1.2705</v>
      </c>
    </row>
    <row r="1309" spans="1:3" x14ac:dyDescent="0.25">
      <c r="A1309" t="str">
        <f>"28/10/2014"</f>
        <v>28/10/2014</v>
      </c>
      <c r="B1309" t="str">
        <f>"1.2705"</f>
        <v>1.2705</v>
      </c>
      <c r="C1309" t="str">
        <f>"1.2707"</f>
        <v>1.2707</v>
      </c>
    </row>
    <row r="1310" spans="1:3" x14ac:dyDescent="0.25">
      <c r="A1310" t="str">
        <f>"29/10/2014"</f>
        <v>29/10/2014</v>
      </c>
      <c r="B1310" t="str">
        <f>"1.2736"</f>
        <v>1.2736</v>
      </c>
      <c r="C1310" t="str">
        <f>"1.2738"</f>
        <v>1.2738</v>
      </c>
    </row>
    <row r="1311" spans="1:3" x14ac:dyDescent="0.25">
      <c r="A1311" t="str">
        <f>"30/10/2014"</f>
        <v>30/10/2014</v>
      </c>
      <c r="B1311" t="str">
        <f>"1.262"</f>
        <v>1.262</v>
      </c>
      <c r="C1311" t="str">
        <f>"1.2622"</f>
        <v>1.2622</v>
      </c>
    </row>
    <row r="1312" spans="1:3" x14ac:dyDescent="0.25">
      <c r="A1312" t="str">
        <f>"31/10/2014"</f>
        <v>31/10/2014</v>
      </c>
      <c r="B1312" t="str">
        <f>"1.2599"</f>
        <v>1.2599</v>
      </c>
      <c r="C1312" t="str">
        <f>"1.2601"</f>
        <v>1.2601</v>
      </c>
    </row>
    <row r="1313" spans="1:3" x14ac:dyDescent="0.25">
      <c r="A1313" t="str">
        <f>"03/11/2014"</f>
        <v>03/11/2014</v>
      </c>
      <c r="B1313" t="str">
        <f>"1.248"</f>
        <v>1.248</v>
      </c>
      <c r="C1313" t="str">
        <f>"1.2482"</f>
        <v>1.2482</v>
      </c>
    </row>
    <row r="1314" spans="1:3" x14ac:dyDescent="0.25">
      <c r="A1314" t="str">
        <f>"05/11/2014"</f>
        <v>05/11/2014</v>
      </c>
      <c r="B1314" t="str">
        <f>"1.2557"</f>
        <v>1.2557</v>
      </c>
      <c r="C1314" t="str">
        <f>"1.2559"</f>
        <v>1.2559</v>
      </c>
    </row>
    <row r="1315" spans="1:3" x14ac:dyDescent="0.25">
      <c r="A1315" t="str">
        <f>"07/11/2014"</f>
        <v>07/11/2014</v>
      </c>
      <c r="B1315" t="str">
        <f>"1.2374"</f>
        <v>1.2374</v>
      </c>
      <c r="C1315" t="str">
        <f>"1.2377"</f>
        <v>1.2377</v>
      </c>
    </row>
    <row r="1316" spans="1:3" x14ac:dyDescent="0.25">
      <c r="A1316" t="str">
        <f>"10/11/2014"</f>
        <v>10/11/2014</v>
      </c>
      <c r="B1316" t="str">
        <f>"1.2485"</f>
        <v>1.2485</v>
      </c>
      <c r="C1316" t="str">
        <f>"1.2487"</f>
        <v>1.2487</v>
      </c>
    </row>
    <row r="1317" spans="1:3" x14ac:dyDescent="0.25">
      <c r="A1317" t="str">
        <f>"11/11/2014"</f>
        <v>11/11/2014</v>
      </c>
      <c r="B1317" t="str">
        <f>"1.2426"</f>
        <v>1.2426</v>
      </c>
      <c r="C1317" t="str">
        <f>"1.2429"</f>
        <v>1.2429</v>
      </c>
    </row>
    <row r="1318" spans="1:3" x14ac:dyDescent="0.25">
      <c r="A1318" t="str">
        <f>"12/11/2014"</f>
        <v>12/11/2014</v>
      </c>
      <c r="B1318" t="str">
        <f>"1.2469"</f>
        <v>1.2469</v>
      </c>
      <c r="C1318" t="str">
        <f>"1.2472"</f>
        <v>1.2472</v>
      </c>
    </row>
    <row r="1319" spans="1:3" x14ac:dyDescent="0.25">
      <c r="A1319" t="str">
        <f>"13/11/2014"</f>
        <v>13/11/2014</v>
      </c>
      <c r="B1319" t="str">
        <f>"1.2446"</f>
        <v>1.2446</v>
      </c>
      <c r="C1319" t="str">
        <f>"1.2448"</f>
        <v>1.2448</v>
      </c>
    </row>
    <row r="1320" spans="1:3" x14ac:dyDescent="0.25">
      <c r="A1320" t="str">
        <f>"14/11/2014"</f>
        <v>14/11/2014</v>
      </c>
      <c r="B1320" t="str">
        <f>"1.2456"</f>
        <v>1.2456</v>
      </c>
      <c r="C1320" t="str">
        <f>"1.2458"</f>
        <v>1.2458</v>
      </c>
    </row>
    <row r="1321" spans="1:3" x14ac:dyDescent="0.25">
      <c r="A1321" t="str">
        <f>"17/11/2014"</f>
        <v>17/11/2014</v>
      </c>
      <c r="B1321" t="str">
        <f>"1.2555"</f>
        <v>1.2555</v>
      </c>
      <c r="C1321" t="str">
        <f>"1.2558"</f>
        <v>1.2558</v>
      </c>
    </row>
    <row r="1322" spans="1:3" x14ac:dyDescent="0.25">
      <c r="A1322" t="str">
        <f>"18/11/2014"</f>
        <v>18/11/2014</v>
      </c>
      <c r="B1322" t="str">
        <f>"1.2474"</f>
        <v>1.2474</v>
      </c>
      <c r="C1322" t="str">
        <f>"1.2476"</f>
        <v>1.2476</v>
      </c>
    </row>
    <row r="1323" spans="1:3" x14ac:dyDescent="0.25">
      <c r="A1323" t="str">
        <f>"19/11/2014"</f>
        <v>19/11/2014</v>
      </c>
      <c r="B1323" t="str">
        <f>"1.2518"</f>
        <v>1.2518</v>
      </c>
      <c r="C1323" t="str">
        <f>"1.2521"</f>
        <v>1.2521</v>
      </c>
    </row>
    <row r="1324" spans="1:3" x14ac:dyDescent="0.25">
      <c r="A1324" t="str">
        <f>"20/11/2014"</f>
        <v>20/11/2014</v>
      </c>
      <c r="B1324" t="str">
        <f>"1.2543"</f>
        <v>1.2543</v>
      </c>
      <c r="C1324" t="str">
        <f>"1.2546"</f>
        <v>1.2546</v>
      </c>
    </row>
    <row r="1325" spans="1:3" x14ac:dyDescent="0.25">
      <c r="A1325" t="str">
        <f>"21/11/2014"</f>
        <v>21/11/2014</v>
      </c>
      <c r="B1325" t="str">
        <f>"1.2563"</f>
        <v>1.2563</v>
      </c>
      <c r="C1325" t="str">
        <f>"1.2566"</f>
        <v>1.2566</v>
      </c>
    </row>
    <row r="1326" spans="1:3" x14ac:dyDescent="0.25">
      <c r="A1326" t="str">
        <f>"24/11/2014"</f>
        <v>24/11/2014</v>
      </c>
      <c r="B1326" t="str">
        <f>"1.2393"</f>
        <v>1.2393</v>
      </c>
      <c r="C1326" t="str">
        <f>"1.2396"</f>
        <v>1.2396</v>
      </c>
    </row>
    <row r="1327" spans="1:3" x14ac:dyDescent="0.25">
      <c r="A1327" t="str">
        <f>"25/11/2014"</f>
        <v>25/11/2014</v>
      </c>
      <c r="B1327" t="str">
        <f>"1.2422"</f>
        <v>1.2422</v>
      </c>
      <c r="C1327" t="str">
        <f>"1.2425"</f>
        <v>1.2425</v>
      </c>
    </row>
    <row r="1328" spans="1:3" x14ac:dyDescent="0.25">
      <c r="A1328" t="str">
        <f>"26/11/2014"</f>
        <v>26/11/2014</v>
      </c>
      <c r="B1328" t="str">
        <f>"1.2471"</f>
        <v>1.2471</v>
      </c>
      <c r="C1328" t="str">
        <f>"1.2473"</f>
        <v>1.2473</v>
      </c>
    </row>
    <row r="1329" spans="1:3" x14ac:dyDescent="0.25">
      <c r="A1329" t="str">
        <f>"27/11/2014"</f>
        <v>27/11/2014</v>
      </c>
      <c r="B1329" t="str">
        <f>"1.2507"</f>
        <v>1.2507</v>
      </c>
      <c r="C1329" t="str">
        <f>"1.2509"</f>
        <v>1.2509</v>
      </c>
    </row>
    <row r="1330" spans="1:3" x14ac:dyDescent="0.25">
      <c r="A1330" t="str">
        <f>"28/11/2014"</f>
        <v>28/11/2014</v>
      </c>
      <c r="B1330" t="str">
        <f>"1.2447"</f>
        <v>1.2447</v>
      </c>
      <c r="C1330" t="str">
        <f>"1.2449"</f>
        <v>1.2449</v>
      </c>
    </row>
    <row r="1331" spans="1:3" x14ac:dyDescent="0.25">
      <c r="A1331" t="str">
        <f>"01/12/2014"</f>
        <v>01/12/2014</v>
      </c>
      <c r="B1331" t="str">
        <f>"1.2453"</f>
        <v>1.2453</v>
      </c>
      <c r="C1331" t="str">
        <f>"1.2455"</f>
        <v>1.2455</v>
      </c>
    </row>
    <row r="1332" spans="1:3" x14ac:dyDescent="0.25">
      <c r="A1332" t="str">
        <f>"02/12/2014"</f>
        <v>02/12/2014</v>
      </c>
      <c r="B1332" t="str">
        <f>"1.2467"</f>
        <v>1.2467</v>
      </c>
      <c r="C1332" t="str">
        <f>"1.2469"</f>
        <v>1.2469</v>
      </c>
    </row>
    <row r="1333" spans="1:3" x14ac:dyDescent="0.25">
      <c r="A1333" t="str">
        <f>"04/12/2014"</f>
        <v>04/12/2014</v>
      </c>
      <c r="B1333" t="str">
        <f>"1.2304"</f>
        <v>1.2304</v>
      </c>
      <c r="C1333" t="str">
        <f>"1.2307"</f>
        <v>1.2307</v>
      </c>
    </row>
    <row r="1334" spans="1:3" x14ac:dyDescent="0.25">
      <c r="A1334" t="str">
        <f>"05/12/2014"</f>
        <v>05/12/2014</v>
      </c>
      <c r="B1334" t="str">
        <f>"1.2376"</f>
        <v>1.2376</v>
      </c>
      <c r="C1334" t="str">
        <f>"1.2378"</f>
        <v>1.2378</v>
      </c>
    </row>
    <row r="1335" spans="1:3" x14ac:dyDescent="0.25">
      <c r="A1335" t="str">
        <f>"08/12/2014"</f>
        <v>08/12/2014</v>
      </c>
      <c r="B1335" t="str">
        <f>"1.2286"</f>
        <v>1.2286</v>
      </c>
      <c r="C1335" t="str">
        <f>"1.2288"</f>
        <v>1.2288</v>
      </c>
    </row>
    <row r="1336" spans="1:3" x14ac:dyDescent="0.25">
      <c r="A1336" t="str">
        <f>"09/12/2014"</f>
        <v>09/12/2014</v>
      </c>
      <c r="B1336" t="str">
        <f>"1.2309"</f>
        <v>1.2309</v>
      </c>
      <c r="C1336" t="str">
        <f>"1.2312"</f>
        <v>1.2312</v>
      </c>
    </row>
    <row r="1337" spans="1:3" x14ac:dyDescent="0.25">
      <c r="A1337" t="str">
        <f>"10/12/2014"</f>
        <v>10/12/2014</v>
      </c>
      <c r="B1337" t="str">
        <f>"1.2389"</f>
        <v>1.2389</v>
      </c>
      <c r="C1337" t="str">
        <f>"1.2391"</f>
        <v>1.2391</v>
      </c>
    </row>
    <row r="1338" spans="1:3" x14ac:dyDescent="0.25">
      <c r="A1338" t="str">
        <f>"11/12/2014"</f>
        <v>11/12/2014</v>
      </c>
      <c r="B1338" t="str">
        <f>"1.2453"</f>
        <v>1.2453</v>
      </c>
      <c r="C1338" t="str">
        <f>"1.2454"</f>
        <v>1.2454</v>
      </c>
    </row>
    <row r="1339" spans="1:3" x14ac:dyDescent="0.25">
      <c r="A1339" t="str">
        <f>"12/12/2014"</f>
        <v>12/12/2014</v>
      </c>
      <c r="B1339" t="str">
        <f>"1.2397"</f>
        <v>1.2397</v>
      </c>
      <c r="C1339" t="str">
        <f>"1.2399"</f>
        <v>1.2399</v>
      </c>
    </row>
    <row r="1340" spans="1:3" x14ac:dyDescent="0.25">
      <c r="A1340" t="str">
        <f>"15/12/2014"</f>
        <v>15/12/2014</v>
      </c>
      <c r="B1340" t="str">
        <f>"1.2442"</f>
        <v>1.2442</v>
      </c>
      <c r="C1340" t="str">
        <f>"1.2444"</f>
        <v>1.2444</v>
      </c>
    </row>
    <row r="1341" spans="1:3" x14ac:dyDescent="0.25">
      <c r="A1341" t="str">
        <f>"16/12/2014"</f>
        <v>16/12/2014</v>
      </c>
      <c r="B1341" t="str">
        <f>"1.2458"</f>
        <v>1.2458</v>
      </c>
      <c r="C1341" t="str">
        <f>"1.2461"</f>
        <v>1.2461</v>
      </c>
    </row>
    <row r="1342" spans="1:3" x14ac:dyDescent="0.25">
      <c r="A1342" t="str">
        <f>"17/12/2014"</f>
        <v>17/12/2014</v>
      </c>
      <c r="B1342" t="str">
        <f>"1.2487"</f>
        <v>1.2487</v>
      </c>
      <c r="C1342" t="str">
        <f>"1.249"</f>
        <v>1.249</v>
      </c>
    </row>
    <row r="1343" spans="1:3" x14ac:dyDescent="0.25">
      <c r="A1343" t="str">
        <f>"18/12/2014"</f>
        <v>18/12/2014</v>
      </c>
      <c r="B1343" t="str">
        <f>"1.2345"</f>
        <v>1.2345</v>
      </c>
      <c r="C1343" t="str">
        <f>"1.2348"</f>
        <v>1.2348</v>
      </c>
    </row>
    <row r="1344" spans="1:3" x14ac:dyDescent="0.25">
      <c r="A1344" t="str">
        <f>"19/12/2014"</f>
        <v>19/12/2014</v>
      </c>
      <c r="B1344" t="str">
        <f>"1.2277"</f>
        <v>1.2277</v>
      </c>
      <c r="C1344" t="str">
        <f>"1.2281"</f>
        <v>1.2281</v>
      </c>
    </row>
    <row r="1345" spans="1:3" x14ac:dyDescent="0.25">
      <c r="A1345" t="str">
        <f>"22/12/2014"</f>
        <v>22/12/2014</v>
      </c>
      <c r="B1345" t="str">
        <f>"1.2241"</f>
        <v>1.2241</v>
      </c>
      <c r="C1345" t="str">
        <f>"1.2245"</f>
        <v>1.2245</v>
      </c>
    </row>
    <row r="1346" spans="1:3" x14ac:dyDescent="0.25">
      <c r="A1346" t="str">
        <f>"23/12/2014"</f>
        <v>23/12/2014</v>
      </c>
      <c r="B1346" t="str">
        <f>"1.223"</f>
        <v>1.223</v>
      </c>
      <c r="C1346" t="str">
        <f>"1.2233"</f>
        <v>1.2233</v>
      </c>
    </row>
    <row r="1347" spans="1:3" x14ac:dyDescent="0.25">
      <c r="A1347" t="str">
        <f>"24/12/2014"</f>
        <v>24/12/2014</v>
      </c>
      <c r="B1347" t="str">
        <f>"1.2177"</f>
        <v>1.2177</v>
      </c>
      <c r="C1347" t="str">
        <f>"1.2181"</f>
        <v>1.2181</v>
      </c>
    </row>
    <row r="1348" spans="1:3" x14ac:dyDescent="0.25">
      <c r="A1348" t="str">
        <f>"26/12/2014"</f>
        <v>26/12/2014</v>
      </c>
      <c r="B1348" t="str">
        <f>"1.2218"</f>
        <v>1.2218</v>
      </c>
      <c r="C1348" t="str">
        <f>"1.2222"</f>
        <v>1.2222</v>
      </c>
    </row>
    <row r="1349" spans="1:3" x14ac:dyDescent="0.25">
      <c r="A1349" t="str">
        <f>"29/12/2014"</f>
        <v>29/12/2014</v>
      </c>
      <c r="B1349" t="str">
        <f>"1.219"</f>
        <v>1.219</v>
      </c>
      <c r="C1349" t="str">
        <f>"1.2193"</f>
        <v>1.2193</v>
      </c>
    </row>
    <row r="1350" spans="1:3" x14ac:dyDescent="0.25">
      <c r="A1350" t="str">
        <f>"30/12/2014"</f>
        <v>30/12/2014</v>
      </c>
      <c r="B1350" t="str">
        <f>"1.2136"</f>
        <v>1.2136</v>
      </c>
      <c r="C1350" t="str">
        <f>"1.214"</f>
        <v>1.214</v>
      </c>
    </row>
    <row r="1351" spans="1:3" x14ac:dyDescent="0.25">
      <c r="A1351" t="str">
        <f>"31/12/2014"</f>
        <v>31/12/2014</v>
      </c>
      <c r="B1351" t="str">
        <f>"1.2152"</f>
        <v>1.2152</v>
      </c>
      <c r="C1351" t="str">
        <f>"1.2156"</f>
        <v>1.2156</v>
      </c>
    </row>
    <row r="1352" spans="1:3" x14ac:dyDescent="0.25">
      <c r="A1352" t="str">
        <f>"01/01/2015"</f>
        <v>01/01/2015</v>
      </c>
      <c r="B1352" t="str">
        <f>"1.2103"</f>
        <v>1.2103</v>
      </c>
      <c r="C1352" t="str">
        <f>"1.2107"</f>
        <v>1.2107</v>
      </c>
    </row>
    <row r="1353" spans="1:3" x14ac:dyDescent="0.25">
      <c r="A1353" t="str">
        <f>"02/01/2015"</f>
        <v>02/01/2015</v>
      </c>
      <c r="B1353" t="str">
        <f>"1.2057"</f>
        <v>1.2057</v>
      </c>
      <c r="C1353" t="str">
        <f>"1.206"</f>
        <v>1.206</v>
      </c>
    </row>
    <row r="1354" spans="1:3" x14ac:dyDescent="0.25">
      <c r="A1354" t="str">
        <f>"05/01/2015"</f>
        <v>05/01/2015</v>
      </c>
      <c r="B1354" t="str">
        <f>"1.1943"</f>
        <v>1.1943</v>
      </c>
      <c r="C1354" t="str">
        <f>"1.1947"</f>
        <v>1.1947</v>
      </c>
    </row>
    <row r="1355" spans="1:3" x14ac:dyDescent="0.25">
      <c r="A1355" t="str">
        <f>"06/01/2015"</f>
        <v>06/01/2015</v>
      </c>
      <c r="B1355" t="str">
        <f>"1.1947"</f>
        <v>1.1947</v>
      </c>
      <c r="C1355" t="str">
        <f>"1.195"</f>
        <v>1.195</v>
      </c>
    </row>
    <row r="1356" spans="1:3" x14ac:dyDescent="0.25">
      <c r="A1356" t="str">
        <f>"07/01/2015"</f>
        <v>07/01/2015</v>
      </c>
      <c r="B1356" t="str">
        <f>"1.1875"</f>
        <v>1.1875</v>
      </c>
      <c r="C1356" t="str">
        <f>"1.1878"</f>
        <v>1.1878</v>
      </c>
    </row>
    <row r="1357" spans="1:3" x14ac:dyDescent="0.25">
      <c r="A1357" t="str">
        <f>"08/01/2015"</f>
        <v>08/01/2015</v>
      </c>
      <c r="B1357" t="str">
        <f>"1.1826"</f>
        <v>1.1826</v>
      </c>
      <c r="C1357" t="str">
        <f>"1.1829"</f>
        <v>1.1829</v>
      </c>
    </row>
    <row r="1358" spans="1:3" x14ac:dyDescent="0.25">
      <c r="A1358" s="2" t="str">
        <f>"09/01/2015"</f>
        <v>09/01/2015</v>
      </c>
      <c r="B1358" s="2"/>
      <c r="C1358" s="2"/>
    </row>
    <row r="1359" spans="1:3" x14ac:dyDescent="0.25">
      <c r="A1359" t="str">
        <f>"12/01/2015"</f>
        <v>12/01/2015</v>
      </c>
      <c r="B1359" t="str">
        <f>"1.1853"</f>
        <v>1.1853</v>
      </c>
      <c r="C1359" t="str">
        <f>"1.1856"</f>
        <v>1.1856</v>
      </c>
    </row>
    <row r="1360" spans="1:3" x14ac:dyDescent="0.25">
      <c r="A1360" t="str">
        <f>"13/01/2015"</f>
        <v>13/01/2015</v>
      </c>
      <c r="B1360" t="str">
        <f>"1.1842"</f>
        <v>1.1842</v>
      </c>
      <c r="C1360" t="str">
        <f>"1.1845"</f>
        <v>1.1845</v>
      </c>
    </row>
    <row r="1361" spans="1:3" x14ac:dyDescent="0.25">
      <c r="A1361" t="str">
        <f>"14/01/2015"</f>
        <v>14/01/2015</v>
      </c>
      <c r="B1361" t="str">
        <f>"1.1781"</f>
        <v>1.1781</v>
      </c>
      <c r="C1361" t="str">
        <f>"1.1785"</f>
        <v>1.1785</v>
      </c>
    </row>
    <row r="1362" spans="1:3" x14ac:dyDescent="0.25">
      <c r="A1362" t="str">
        <f>"15/01/2015"</f>
        <v>15/01/2015</v>
      </c>
      <c r="B1362" t="str">
        <f>"1.1781"</f>
        <v>1.1781</v>
      </c>
      <c r="C1362" t="str">
        <f>"1.1784"</f>
        <v>1.1784</v>
      </c>
    </row>
    <row r="1363" spans="1:3" x14ac:dyDescent="0.25">
      <c r="A1363" t="str">
        <f>"16/01/2015"</f>
        <v>16/01/2015</v>
      </c>
      <c r="B1363" t="str">
        <f>"1.1633"</f>
        <v>1.1633</v>
      </c>
      <c r="C1363" t="str">
        <f>"1.1637"</f>
        <v>1.1637</v>
      </c>
    </row>
    <row r="1364" spans="1:3" x14ac:dyDescent="0.25">
      <c r="A1364" t="str">
        <f>"19/01/2015"</f>
        <v>19/01/2015</v>
      </c>
      <c r="B1364" t="str">
        <f>"1.1558"</f>
        <v>1.1558</v>
      </c>
      <c r="C1364" t="str">
        <f>"1.1562"</f>
        <v>1.1562</v>
      </c>
    </row>
    <row r="1365" spans="1:3" x14ac:dyDescent="0.25">
      <c r="A1365" t="str">
        <f>"20/01/2015"</f>
        <v>20/01/2015</v>
      </c>
      <c r="B1365" t="str">
        <f>"1.1579"</f>
        <v>1.1579</v>
      </c>
      <c r="C1365" t="str">
        <f>"1.1583"</f>
        <v>1.1583</v>
      </c>
    </row>
    <row r="1366" spans="1:3" x14ac:dyDescent="0.25">
      <c r="A1366" t="str">
        <f>"21/01/2015"</f>
        <v>21/01/2015</v>
      </c>
      <c r="B1366" t="str">
        <f>"1.1565"</f>
        <v>1.1565</v>
      </c>
      <c r="C1366" t="str">
        <f>"1.1569"</f>
        <v>1.1569</v>
      </c>
    </row>
    <row r="1367" spans="1:3" x14ac:dyDescent="0.25">
      <c r="A1367" t="str">
        <f>"22/01/2015"</f>
        <v>22/01/2015</v>
      </c>
      <c r="B1367" t="str">
        <f>"1.1603"</f>
        <v>1.1603</v>
      </c>
      <c r="C1367" t="str">
        <f>"1.1606"</f>
        <v>1.1606</v>
      </c>
    </row>
    <row r="1368" spans="1:3" x14ac:dyDescent="0.25">
      <c r="A1368" t="str">
        <f>"23/01/2015"</f>
        <v>23/01/2015</v>
      </c>
      <c r="B1368" t="str">
        <f>"1.1362"</f>
        <v>1.1362</v>
      </c>
      <c r="C1368" t="str">
        <f>"1.1365"</f>
        <v>1.1365</v>
      </c>
    </row>
    <row r="1369" spans="1:3" x14ac:dyDescent="0.25">
      <c r="A1369" t="str">
        <f>"27/01/2015"</f>
        <v>27/01/2015</v>
      </c>
      <c r="B1369" t="str">
        <f>"1.1243"</f>
        <v>1.1243</v>
      </c>
      <c r="C1369" t="str">
        <f>"1.1246"</f>
        <v>1.1246</v>
      </c>
    </row>
    <row r="1370" spans="1:3" x14ac:dyDescent="0.25">
      <c r="A1370" t="str">
        <f>"28/01/2015"</f>
        <v>28/01/2015</v>
      </c>
      <c r="B1370" t="str">
        <f>"1.1334"</f>
        <v>1.1334</v>
      </c>
      <c r="C1370" t="str">
        <f>"1.1336"</f>
        <v>1.1336</v>
      </c>
    </row>
    <row r="1371" spans="1:3" x14ac:dyDescent="0.25">
      <c r="A1371" t="str">
        <f>"29/01/2015"</f>
        <v>29/01/2015</v>
      </c>
      <c r="B1371" t="str">
        <f>"1.1269"</f>
        <v>1.1269</v>
      </c>
      <c r="C1371" t="str">
        <f>"1.1271"</f>
        <v>1.1271</v>
      </c>
    </row>
    <row r="1372" spans="1:3" x14ac:dyDescent="0.25">
      <c r="A1372" t="str">
        <f>"30/01/2015"</f>
        <v>30/01/2015</v>
      </c>
      <c r="B1372" t="str">
        <f>"1.1324"</f>
        <v>1.1324</v>
      </c>
      <c r="C1372" t="str">
        <f>"1.1326"</f>
        <v>1.1326</v>
      </c>
    </row>
    <row r="1373" spans="1:3" x14ac:dyDescent="0.25">
      <c r="A1373" t="str">
        <f>"02/02/2015"</f>
        <v>02/02/2015</v>
      </c>
      <c r="B1373" t="str">
        <f>"1.1311"</f>
        <v>1.1311</v>
      </c>
      <c r="C1373" t="str">
        <f>"1.1314"</f>
        <v>1.1314</v>
      </c>
    </row>
    <row r="1374" spans="1:3" x14ac:dyDescent="0.25">
      <c r="A1374" t="str">
        <f>"03/02/2015"</f>
        <v>03/02/2015</v>
      </c>
      <c r="B1374" t="str">
        <f>"1.1325"</f>
        <v>1.1325</v>
      </c>
      <c r="C1374" t="str">
        <f>"1.1328"</f>
        <v>1.1328</v>
      </c>
    </row>
    <row r="1375" spans="1:3" x14ac:dyDescent="0.25">
      <c r="A1375" t="str">
        <f>"04/02/2015"</f>
        <v>04/02/2015</v>
      </c>
      <c r="B1375" t="str">
        <f>"1.147"</f>
        <v>1.147</v>
      </c>
      <c r="C1375" t="str">
        <f>"1.1472"</f>
        <v>1.1472</v>
      </c>
    </row>
    <row r="1376" spans="1:3" x14ac:dyDescent="0.25">
      <c r="A1376" t="str">
        <f>"05/02/2015"</f>
        <v>05/02/2015</v>
      </c>
      <c r="B1376" t="str">
        <f>"1.1355"</f>
        <v>1.1355</v>
      </c>
      <c r="C1376" t="str">
        <f>"1.1358"</f>
        <v>1.1358</v>
      </c>
    </row>
    <row r="1377" spans="1:3" x14ac:dyDescent="0.25">
      <c r="A1377" t="str">
        <f>"06/02/2015"</f>
        <v>06/02/2015</v>
      </c>
      <c r="B1377" t="str">
        <f>"1.1469"</f>
        <v>1.1469</v>
      </c>
      <c r="C1377" t="str">
        <f>"1.1471"</f>
        <v>1.1471</v>
      </c>
    </row>
    <row r="1378" spans="1:3" x14ac:dyDescent="0.25">
      <c r="A1378" t="str">
        <f>"09/02/2015"</f>
        <v>09/02/2015</v>
      </c>
      <c r="B1378" t="str">
        <f>"1.1334"</f>
        <v>1.1334</v>
      </c>
      <c r="C1378" t="str">
        <f>"1.1337"</f>
        <v>1.1337</v>
      </c>
    </row>
    <row r="1379" spans="1:3" x14ac:dyDescent="0.25">
      <c r="A1379" t="str">
        <f>"10/02/2015"</f>
        <v>10/02/2015</v>
      </c>
      <c r="B1379" t="str">
        <f>"1.1335"</f>
        <v>1.1335</v>
      </c>
      <c r="C1379" t="str">
        <f>"1.1338"</f>
        <v>1.1338</v>
      </c>
    </row>
    <row r="1380" spans="1:3" x14ac:dyDescent="0.25">
      <c r="A1380" t="str">
        <f>"11/02/2015"</f>
        <v>11/02/2015</v>
      </c>
      <c r="B1380" t="str">
        <f>"1.1317"</f>
        <v>1.1317</v>
      </c>
      <c r="C1380" t="str">
        <f>"1.132"</f>
        <v>1.132</v>
      </c>
    </row>
    <row r="1381" spans="1:3" x14ac:dyDescent="0.25">
      <c r="A1381" t="str">
        <f>"12/02/2015"</f>
        <v>12/02/2015</v>
      </c>
      <c r="B1381" t="str">
        <f>"1.1312"</f>
        <v>1.1312</v>
      </c>
      <c r="C1381" t="str">
        <f>"1.1315"</f>
        <v>1.1315</v>
      </c>
    </row>
    <row r="1382" spans="1:3" x14ac:dyDescent="0.25">
      <c r="A1382" t="str">
        <f>"13/02/2015"</f>
        <v>13/02/2015</v>
      </c>
      <c r="B1382" t="str">
        <f>"1.1422"</f>
        <v>1.1422</v>
      </c>
      <c r="C1382" t="str">
        <f>"1.1426"</f>
        <v>1.1426</v>
      </c>
    </row>
    <row r="1383" spans="1:3" x14ac:dyDescent="0.25">
      <c r="A1383" t="str">
        <f>"16/02/2015"</f>
        <v>16/02/2015</v>
      </c>
      <c r="B1383" t="str">
        <f>"1.1415"</f>
        <v>1.1415</v>
      </c>
      <c r="C1383" t="str">
        <f>"1.1418"</f>
        <v>1.1418</v>
      </c>
    </row>
    <row r="1384" spans="1:3" x14ac:dyDescent="0.25">
      <c r="A1384" t="str">
        <f>"18/02/2015"</f>
        <v>18/02/2015</v>
      </c>
      <c r="B1384" t="str">
        <f>"1.1397"</f>
        <v>1.1397</v>
      </c>
      <c r="C1384" t="str">
        <f>"1.14"</f>
        <v>1.14</v>
      </c>
    </row>
    <row r="1385" spans="1:3" x14ac:dyDescent="0.25">
      <c r="A1385" t="str">
        <f>"20/02/2015"</f>
        <v>20/02/2015</v>
      </c>
      <c r="B1385" t="str">
        <f>"1.138"</f>
        <v>1.138</v>
      </c>
      <c r="C1385" t="str">
        <f>"1.1383"</f>
        <v>1.1383</v>
      </c>
    </row>
    <row r="1386" spans="1:3" x14ac:dyDescent="0.25">
      <c r="A1386" t="str">
        <f>"23/02/2015"</f>
        <v>23/02/2015</v>
      </c>
      <c r="B1386" t="str">
        <f>"1.1334"</f>
        <v>1.1334</v>
      </c>
      <c r="C1386" t="str">
        <f>"1.1338"</f>
        <v>1.1338</v>
      </c>
    </row>
    <row r="1387" spans="1:3" x14ac:dyDescent="0.25">
      <c r="A1387" t="str">
        <f>"24/02/2015"</f>
        <v>24/02/2015</v>
      </c>
      <c r="B1387" t="str">
        <f>"1.134"</f>
        <v>1.134</v>
      </c>
      <c r="C1387" t="str">
        <f>"1.1343"</f>
        <v>1.1343</v>
      </c>
    </row>
    <row r="1388" spans="1:3" x14ac:dyDescent="0.25">
      <c r="A1388" t="str">
        <f>"25/02/2015"</f>
        <v>25/02/2015</v>
      </c>
      <c r="B1388" t="str">
        <f>"1.136"</f>
        <v>1.136</v>
      </c>
      <c r="C1388" t="str">
        <f>"1.1364"</f>
        <v>1.1364</v>
      </c>
    </row>
    <row r="1389" spans="1:3" x14ac:dyDescent="0.25">
      <c r="A1389" t="str">
        <f>"26/02/2015"</f>
        <v>26/02/2015</v>
      </c>
      <c r="B1389" t="str">
        <f>"1.1197"</f>
        <v>1.1197</v>
      </c>
      <c r="C1389" t="str">
        <f>"1.1201"</f>
        <v>1.1201</v>
      </c>
    </row>
    <row r="1390" spans="1:3" x14ac:dyDescent="0.25">
      <c r="A1390" t="str">
        <f>"27/02/2015"</f>
        <v>27/02/2015</v>
      </c>
      <c r="B1390" t="str">
        <f>"1.1195"</f>
        <v>1.1195</v>
      </c>
      <c r="C1390" t="str">
        <f>"1.1199"</f>
        <v>1.1199</v>
      </c>
    </row>
    <row r="1391" spans="1:3" x14ac:dyDescent="0.25">
      <c r="A1391" t="str">
        <f>"02/03/2015"</f>
        <v>02/03/2015</v>
      </c>
      <c r="B1391" t="str">
        <f>"1.1183"</f>
        <v>1.1183</v>
      </c>
      <c r="C1391" t="str">
        <f>"1.1187"</f>
        <v>1.1187</v>
      </c>
    </row>
    <row r="1392" spans="1:3" x14ac:dyDescent="0.25">
      <c r="A1392" t="str">
        <f>"03/03/2015"</f>
        <v>03/03/2015</v>
      </c>
      <c r="B1392" t="str">
        <f>"1.1176"</f>
        <v>1.1176</v>
      </c>
      <c r="C1392" t="str">
        <f>"1.118"</f>
        <v>1.118</v>
      </c>
    </row>
    <row r="1393" spans="1:3" x14ac:dyDescent="0.25">
      <c r="A1393" t="str">
        <f>"04/03/2015"</f>
        <v>04/03/2015</v>
      </c>
      <c r="B1393" t="str">
        <f>"1.1078"</f>
        <v>1.1078</v>
      </c>
      <c r="C1393" t="str">
        <f>"1.1082"</f>
        <v>1.1082</v>
      </c>
    </row>
    <row r="1394" spans="1:3" x14ac:dyDescent="0.25">
      <c r="A1394" t="str">
        <f>"05/03/2015"</f>
        <v>05/03/2015</v>
      </c>
      <c r="B1394" t="str">
        <f>"1.103"</f>
        <v>1.103</v>
      </c>
      <c r="C1394" t="str">
        <f>"1.1034"</f>
        <v>1.1034</v>
      </c>
    </row>
    <row r="1395" spans="1:3" x14ac:dyDescent="0.25">
      <c r="A1395" t="str">
        <f>"09/03/2015"</f>
        <v>09/03/2015</v>
      </c>
      <c r="B1395" t="str">
        <f>"1.0851"</f>
        <v>1.0851</v>
      </c>
      <c r="C1395" t="str">
        <f>"1.0855"</f>
        <v>1.0855</v>
      </c>
    </row>
    <row r="1396" spans="1:3" x14ac:dyDescent="0.25">
      <c r="A1396" t="str">
        <f>"10/03/2015"</f>
        <v>10/03/2015</v>
      </c>
      <c r="B1396" t="str">
        <f>"1.0697"</f>
        <v>1.0697</v>
      </c>
      <c r="C1396" t="str">
        <f>"1.0701"</f>
        <v>1.0701</v>
      </c>
    </row>
    <row r="1397" spans="1:3" x14ac:dyDescent="0.25">
      <c r="A1397" t="str">
        <f>"11/03/2015"</f>
        <v>11/03/2015</v>
      </c>
      <c r="B1397" t="str">
        <f>"1.0546"</f>
        <v>1.0546</v>
      </c>
      <c r="C1397" t="str">
        <f>"1.055"</f>
        <v>1.055</v>
      </c>
    </row>
    <row r="1398" spans="1:3" x14ac:dyDescent="0.25">
      <c r="A1398" t="str">
        <f>"12/03/2015"</f>
        <v>12/03/2015</v>
      </c>
      <c r="B1398" t="str">
        <f>"1.0634"</f>
        <v>1.0634</v>
      </c>
      <c r="C1398" t="str">
        <f>"1.0637"</f>
        <v>1.0637</v>
      </c>
    </row>
    <row r="1399" spans="1:3" x14ac:dyDescent="0.25">
      <c r="A1399" t="str">
        <f>"13/03/2015"</f>
        <v>13/03/2015</v>
      </c>
      <c r="B1399" t="str">
        <f>"1.0495"</f>
        <v>1.0495</v>
      </c>
      <c r="C1399" t="str">
        <f>"1.0498"</f>
        <v>1.0498</v>
      </c>
    </row>
    <row r="1400" spans="1:3" x14ac:dyDescent="0.25">
      <c r="A1400" t="str">
        <f>"16/03/2015"</f>
        <v>16/03/2015</v>
      </c>
      <c r="B1400" t="str">
        <f>"1.0567"</f>
        <v>1.0567</v>
      </c>
      <c r="C1400" t="str">
        <f>"1.0571"</f>
        <v>1.0571</v>
      </c>
    </row>
    <row r="1401" spans="1:3" x14ac:dyDescent="0.25">
      <c r="A1401" t="str">
        <f>"17/03/2015"</f>
        <v>17/03/2015</v>
      </c>
      <c r="B1401" t="str">
        <f>"1.0597"</f>
        <v>1.0597</v>
      </c>
      <c r="C1401" t="str">
        <f>"1.0601"</f>
        <v>1.0601</v>
      </c>
    </row>
    <row r="1402" spans="1:3" x14ac:dyDescent="0.25">
      <c r="A1402" t="str">
        <f>"18/03/2015"</f>
        <v>18/03/2015</v>
      </c>
      <c r="B1402" t="str">
        <f>"1.0863"</f>
        <v>1.0863</v>
      </c>
      <c r="C1402" t="str">
        <f>"1.0867"</f>
        <v>1.0867</v>
      </c>
    </row>
    <row r="1403" spans="1:3" x14ac:dyDescent="0.25">
      <c r="A1403" t="str">
        <f>"19/03/2015"</f>
        <v>19/03/2015</v>
      </c>
      <c r="B1403" t="str">
        <f>"1.0659"</f>
        <v>1.0659</v>
      </c>
      <c r="C1403" t="str">
        <f>"1.0663"</f>
        <v>1.0663</v>
      </c>
    </row>
    <row r="1404" spans="1:3" x14ac:dyDescent="0.25">
      <c r="A1404" t="str">
        <f>"20/03/2015"</f>
        <v>20/03/2015</v>
      </c>
      <c r="B1404" t="str">
        <f>"1.082"</f>
        <v>1.082</v>
      </c>
      <c r="C1404" t="str">
        <f>"1.0824"</f>
        <v>1.0824</v>
      </c>
    </row>
    <row r="1405" spans="1:3" x14ac:dyDescent="0.25">
      <c r="A1405" t="str">
        <f>"23/03/2015"</f>
        <v>23/03/2015</v>
      </c>
      <c r="B1405" t="str">
        <f>"1.0945"</f>
        <v>1.0945</v>
      </c>
      <c r="C1405" t="str">
        <f>"1.0949"</f>
        <v>1.0949</v>
      </c>
    </row>
    <row r="1406" spans="1:3" x14ac:dyDescent="0.25">
      <c r="A1406" t="str">
        <f>"24/03/2015"</f>
        <v>24/03/2015</v>
      </c>
      <c r="B1406" t="str">
        <f>"1.0924"</f>
        <v>1.0924</v>
      </c>
      <c r="C1406" t="str">
        <f>"1.0928"</f>
        <v>1.0928</v>
      </c>
    </row>
    <row r="1407" spans="1:3" x14ac:dyDescent="0.25">
      <c r="A1407" t="str">
        <f>"25/03/2015"</f>
        <v>25/03/2015</v>
      </c>
      <c r="B1407" t="str">
        <f>"1.0969"</f>
        <v>1.0969</v>
      </c>
      <c r="C1407" t="str">
        <f>"1.0973"</f>
        <v>1.0973</v>
      </c>
    </row>
    <row r="1408" spans="1:3" x14ac:dyDescent="0.25">
      <c r="A1408" t="str">
        <f>"26/03/2015"</f>
        <v>26/03/2015</v>
      </c>
      <c r="B1408" t="str">
        <f>"1.0884"</f>
        <v>1.0884</v>
      </c>
      <c r="C1408" t="str">
        <f>"1.0888"</f>
        <v>1.0888</v>
      </c>
    </row>
    <row r="1409" spans="1:3" x14ac:dyDescent="0.25">
      <c r="A1409" t="str">
        <f>"27/03/2015"</f>
        <v>27/03/2015</v>
      </c>
      <c r="B1409" t="str">
        <f>"1.0888"</f>
        <v>1.0888</v>
      </c>
      <c r="C1409" t="str">
        <f>"1.0892"</f>
        <v>1.0892</v>
      </c>
    </row>
    <row r="1410" spans="1:3" x14ac:dyDescent="0.25">
      <c r="A1410" t="str">
        <f>"30/03/2015"</f>
        <v>30/03/2015</v>
      </c>
      <c r="B1410" t="str">
        <f>"1.0833"</f>
        <v>1.0833</v>
      </c>
      <c r="C1410" t="str">
        <f>"1.0838"</f>
        <v>1.0838</v>
      </c>
    </row>
    <row r="1411" spans="1:3" x14ac:dyDescent="0.25">
      <c r="A1411" t="str">
        <f>"31/03/2015"</f>
        <v>31/03/2015</v>
      </c>
      <c r="B1411" t="str">
        <f>"1.0731"</f>
        <v>1.0731</v>
      </c>
      <c r="C1411" t="str">
        <f>"1.0735"</f>
        <v>1.0735</v>
      </c>
    </row>
    <row r="1412" spans="1:3" x14ac:dyDescent="0.25">
      <c r="A1412" t="str">
        <f>"06/04/2015"</f>
        <v>06/04/2015</v>
      </c>
      <c r="B1412" t="str">
        <f>"1.0921"</f>
        <v>1.0921</v>
      </c>
      <c r="C1412" t="str">
        <f>"1.0925"</f>
        <v>1.0925</v>
      </c>
    </row>
    <row r="1413" spans="1:3" x14ac:dyDescent="0.25">
      <c r="A1413" t="str">
        <f>"07/04/2015"</f>
        <v>07/04/2015</v>
      </c>
      <c r="B1413" t="str">
        <f>"1.0814"</f>
        <v>1.0814</v>
      </c>
      <c r="C1413" t="str">
        <f>"1.0818"</f>
        <v>1.0818</v>
      </c>
    </row>
    <row r="1414" spans="1:3" x14ac:dyDescent="0.25">
      <c r="A1414" t="str">
        <f>"08/04/2015"</f>
        <v>08/04/2015</v>
      </c>
      <c r="B1414" t="str">
        <f>"1.078"</f>
        <v>1.078</v>
      </c>
      <c r="C1414" t="str">
        <f>"1.0784"</f>
        <v>1.0784</v>
      </c>
    </row>
    <row r="1415" spans="1:3" x14ac:dyDescent="0.25">
      <c r="A1415" t="str">
        <f>"09/04/2015"</f>
        <v>09/04/2015</v>
      </c>
      <c r="B1415" t="str">
        <f>"1.0659"</f>
        <v>1.0659</v>
      </c>
      <c r="C1415" t="str">
        <f>"1.0663"</f>
        <v>1.0663</v>
      </c>
    </row>
    <row r="1416" spans="1:3" x14ac:dyDescent="0.25">
      <c r="A1416" t="str">
        <f>"10/04/2015"</f>
        <v>10/04/2015</v>
      </c>
      <c r="B1416" t="str">
        <f>"1.0604"</f>
        <v>1.0604</v>
      </c>
      <c r="C1416" t="str">
        <f>"1.0608"</f>
        <v>1.0608</v>
      </c>
    </row>
    <row r="1417" spans="1:3" x14ac:dyDescent="0.25">
      <c r="A1417" t="str">
        <f>"13/04/2015"</f>
        <v>13/04/2015</v>
      </c>
      <c r="B1417" t="str">
        <f>"1.0566"</f>
        <v>1.0566</v>
      </c>
      <c r="C1417" t="str">
        <f>"1.057"</f>
        <v>1.057</v>
      </c>
    </row>
    <row r="1418" spans="1:3" x14ac:dyDescent="0.25">
      <c r="A1418" t="str">
        <f>"15/04/2015"</f>
        <v>15/04/2015</v>
      </c>
      <c r="B1418" t="str">
        <f>"1.0683"</f>
        <v>1.0683</v>
      </c>
      <c r="C1418" t="str">
        <f>"1.0687"</f>
        <v>1.0687</v>
      </c>
    </row>
    <row r="1419" spans="1:3" x14ac:dyDescent="0.25">
      <c r="A1419" t="str">
        <f>"16/04/2015"</f>
        <v>16/04/2015</v>
      </c>
      <c r="B1419" t="str">
        <f>"1.0761"</f>
        <v>1.0761</v>
      </c>
      <c r="C1419" t="str">
        <f>"1.0765"</f>
        <v>1.0765</v>
      </c>
    </row>
    <row r="1420" spans="1:3" x14ac:dyDescent="0.25">
      <c r="A1420" t="str">
        <f>"17/04/2015"</f>
        <v>17/04/2015</v>
      </c>
      <c r="B1420" t="str">
        <f>"1.0805"</f>
        <v>1.0805</v>
      </c>
      <c r="C1420" t="str">
        <f>"1.0809"</f>
        <v>1.0809</v>
      </c>
    </row>
    <row r="1421" spans="1:3" x14ac:dyDescent="0.25">
      <c r="A1421" t="str">
        <f>"20/04/2015"</f>
        <v>20/04/2015</v>
      </c>
      <c r="B1421" t="str">
        <f>"1.0737"</f>
        <v>1.0737</v>
      </c>
      <c r="C1421" t="str">
        <f>"1.0741"</f>
        <v>1.0741</v>
      </c>
    </row>
    <row r="1422" spans="1:3" x14ac:dyDescent="0.25">
      <c r="A1422" t="str">
        <f>"21/04/2015"</f>
        <v>21/04/2015</v>
      </c>
      <c r="B1422" t="str">
        <f>"1.0735"</f>
        <v>1.0735</v>
      </c>
      <c r="C1422" t="str">
        <f>"1.0739"</f>
        <v>1.0739</v>
      </c>
    </row>
    <row r="1423" spans="1:3" x14ac:dyDescent="0.25">
      <c r="A1423" t="str">
        <f>"22/04/2015"</f>
        <v>22/04/2015</v>
      </c>
      <c r="B1423" t="str">
        <f>"1.0725"</f>
        <v>1.0725</v>
      </c>
      <c r="C1423" t="str">
        <f>"1.0729"</f>
        <v>1.0729</v>
      </c>
    </row>
    <row r="1424" spans="1:3" x14ac:dyDescent="0.25">
      <c r="A1424" t="str">
        <f>"23/04/2015"</f>
        <v>23/04/2015</v>
      </c>
      <c r="B1424" t="str">
        <f>"1.0824"</f>
        <v>1.0824</v>
      </c>
      <c r="C1424" t="str">
        <f>"1.0828"</f>
        <v>1.0828</v>
      </c>
    </row>
    <row r="1425" spans="1:3" x14ac:dyDescent="0.25">
      <c r="A1425" t="str">
        <f>"24/04/2015"</f>
        <v>24/04/2015</v>
      </c>
      <c r="B1425" t="str">
        <f>"1.0872"</f>
        <v>1.0872</v>
      </c>
      <c r="C1425" t="str">
        <f>"1.0876"</f>
        <v>1.0876</v>
      </c>
    </row>
    <row r="1426" spans="1:3" x14ac:dyDescent="0.25">
      <c r="A1426" t="str">
        <f>"27/04/2015"</f>
        <v>27/04/2015</v>
      </c>
      <c r="B1426" t="str">
        <f>"1.0891"</f>
        <v>1.0891</v>
      </c>
      <c r="C1426" t="str">
        <f>"1.0895"</f>
        <v>1.0895</v>
      </c>
    </row>
    <row r="1427" spans="1:3" x14ac:dyDescent="0.25">
      <c r="A1427" t="str">
        <f>"28/04/2015"</f>
        <v>28/04/2015</v>
      </c>
      <c r="B1427" t="str">
        <f>"1.0981"</f>
        <v>1.0981</v>
      </c>
      <c r="C1427" t="str">
        <f>"1.0985"</f>
        <v>1.0985</v>
      </c>
    </row>
    <row r="1428" spans="1:3" x14ac:dyDescent="0.25">
      <c r="A1428" t="str">
        <f>"29/04/2015"</f>
        <v>29/04/2015</v>
      </c>
      <c r="B1428" t="str">
        <f>"1.1128"</f>
        <v>1.1128</v>
      </c>
      <c r="C1428" t="str">
        <f>"1.1132"</f>
        <v>1.1132</v>
      </c>
    </row>
    <row r="1429" spans="1:3" x14ac:dyDescent="0.25">
      <c r="A1429" t="str">
        <f>"30/04/2015"</f>
        <v>30/04/2015</v>
      </c>
      <c r="B1429" t="str">
        <f>"1.1223"</f>
        <v>1.1223</v>
      </c>
      <c r="C1429" t="str">
        <f>"1.1227"</f>
        <v>1.1227</v>
      </c>
    </row>
    <row r="1430" spans="1:3" x14ac:dyDescent="0.25">
      <c r="A1430" t="str">
        <f>"05/05/2015"</f>
        <v>05/05/2015</v>
      </c>
      <c r="B1430" t="str">
        <f>"1.1185"</f>
        <v>1.1185</v>
      </c>
      <c r="C1430" t="str">
        <f>"1.1189"</f>
        <v>1.1189</v>
      </c>
    </row>
    <row r="1431" spans="1:3" x14ac:dyDescent="0.25">
      <c r="A1431" t="str">
        <f>"06/05/2015"</f>
        <v>06/05/2015</v>
      </c>
      <c r="B1431" t="str">
        <f>"1.1224"</f>
        <v>1.1224</v>
      </c>
      <c r="C1431" t="str">
        <f>"1.1228"</f>
        <v>1.1228</v>
      </c>
    </row>
    <row r="1432" spans="1:3" x14ac:dyDescent="0.25">
      <c r="A1432" t="str">
        <f>"07/05/2015"</f>
        <v>07/05/2015</v>
      </c>
      <c r="B1432" t="str">
        <f>"1.1266"</f>
        <v>1.1266</v>
      </c>
      <c r="C1432" t="str">
        <f>"1.127"</f>
        <v>1.127</v>
      </c>
    </row>
    <row r="1433" spans="1:3" x14ac:dyDescent="0.25">
      <c r="A1433" t="str">
        <f>"08/05/2015"</f>
        <v>08/05/2015</v>
      </c>
      <c r="B1433" t="str">
        <f>"1.1198"</f>
        <v>1.1198</v>
      </c>
      <c r="C1433" t="str">
        <f>"1.1202"</f>
        <v>1.1202</v>
      </c>
    </row>
    <row r="1434" spans="1:3" x14ac:dyDescent="0.25">
      <c r="A1434" t="str">
        <f>"11/05/2015"</f>
        <v>11/05/2015</v>
      </c>
      <c r="B1434" t="str">
        <f>"1.1155"</f>
        <v>1.1155</v>
      </c>
      <c r="C1434" t="str">
        <f>"1.116"</f>
        <v>1.116</v>
      </c>
    </row>
    <row r="1435" spans="1:3" x14ac:dyDescent="0.25">
      <c r="A1435" t="str">
        <f>"12/05/2015"</f>
        <v>12/05/2015</v>
      </c>
      <c r="B1435" t="str">
        <f>"1.1213"</f>
        <v>1.1213</v>
      </c>
      <c r="C1435" t="str">
        <f>"1.1217"</f>
        <v>1.1217</v>
      </c>
    </row>
    <row r="1436" spans="1:3" x14ac:dyDescent="0.25">
      <c r="A1436" t="str">
        <f>"13/05/2015"</f>
        <v>13/05/2015</v>
      </c>
      <c r="B1436" t="str">
        <f>"1.1354"</f>
        <v>1.1354</v>
      </c>
      <c r="C1436" t="str">
        <f>"1.1358"</f>
        <v>1.1358</v>
      </c>
    </row>
    <row r="1437" spans="1:3" x14ac:dyDescent="0.25">
      <c r="A1437" t="str">
        <f>"14/05/2015"</f>
        <v>14/05/2015</v>
      </c>
      <c r="B1437" t="str">
        <f>"1.1409"</f>
        <v>1.1409</v>
      </c>
      <c r="C1437" t="str">
        <f>"1.1413"</f>
        <v>1.1413</v>
      </c>
    </row>
    <row r="1438" spans="1:3" x14ac:dyDescent="0.25">
      <c r="A1438" t="str">
        <f>"15/05/2015"</f>
        <v>15/05/2015</v>
      </c>
      <c r="B1438" t="str">
        <f>"1.145"</f>
        <v>1.145</v>
      </c>
      <c r="C1438" t="str">
        <f>"1.1454"</f>
        <v>1.1454</v>
      </c>
    </row>
    <row r="1439" spans="1:3" x14ac:dyDescent="0.25">
      <c r="A1439" t="str">
        <f>"18/05/2015"</f>
        <v>18/05/2015</v>
      </c>
      <c r="B1439" t="str">
        <f>"1.1315"</f>
        <v>1.1315</v>
      </c>
      <c r="C1439" t="str">
        <f>"1.132"</f>
        <v>1.132</v>
      </c>
    </row>
    <row r="1440" spans="1:3" x14ac:dyDescent="0.25">
      <c r="A1440" t="str">
        <f>"19/05/2015"</f>
        <v>19/05/2015</v>
      </c>
      <c r="B1440" t="str">
        <f>"1.1149"</f>
        <v>1.1149</v>
      </c>
      <c r="C1440" t="str">
        <f>"1.1153"</f>
        <v>1.1153</v>
      </c>
    </row>
    <row r="1441" spans="1:3" x14ac:dyDescent="0.25">
      <c r="A1441" t="str">
        <f>"20/05/2015"</f>
        <v>20/05/2015</v>
      </c>
      <c r="B1441" t="str">
        <f>"1.1093"</f>
        <v>1.1093</v>
      </c>
      <c r="C1441" t="str">
        <f>"1.1097"</f>
        <v>1.1097</v>
      </c>
    </row>
    <row r="1442" spans="1:3" x14ac:dyDescent="0.25">
      <c r="A1442" t="str">
        <f>"21/05/2015"</f>
        <v>21/05/2015</v>
      </c>
      <c r="B1442" t="str">
        <f>"1.1112"</f>
        <v>1.1112</v>
      </c>
      <c r="C1442" t="str">
        <f>"1.1116"</f>
        <v>1.1116</v>
      </c>
    </row>
    <row r="1443" spans="1:3" x14ac:dyDescent="0.25">
      <c r="A1443" t="str">
        <f>"22/05/2015"</f>
        <v>22/05/2015</v>
      </c>
      <c r="B1443" t="str">
        <f>"1.1012"</f>
        <v>1.1012</v>
      </c>
      <c r="C1443" t="str">
        <f>"1.1016"</f>
        <v>1.1016</v>
      </c>
    </row>
    <row r="1444" spans="1:3" x14ac:dyDescent="0.25">
      <c r="A1444" t="str">
        <f>"25/05/2015"</f>
        <v>25/05/2015</v>
      </c>
      <c r="B1444" t="str">
        <f>"1.0977"</f>
        <v>1.0977</v>
      </c>
      <c r="C1444" t="str">
        <f>"1.0982"</f>
        <v>1.0982</v>
      </c>
    </row>
    <row r="1445" spans="1:3" x14ac:dyDescent="0.25">
      <c r="A1445" t="str">
        <f>"26/05/2015"</f>
        <v>26/05/2015</v>
      </c>
      <c r="B1445" t="str">
        <f>"1.0873"</f>
        <v>1.0873</v>
      </c>
      <c r="C1445" t="str">
        <f>"1.0878"</f>
        <v>1.0878</v>
      </c>
    </row>
    <row r="1446" spans="1:3" x14ac:dyDescent="0.25">
      <c r="A1446" t="str">
        <f>"27/05/2015"</f>
        <v>27/05/2015</v>
      </c>
      <c r="B1446" t="str">
        <f>"1.0904"</f>
        <v>1.0904</v>
      </c>
      <c r="C1446" t="str">
        <f>"1.0909"</f>
        <v>1.0909</v>
      </c>
    </row>
    <row r="1447" spans="1:3" x14ac:dyDescent="0.25">
      <c r="A1447" t="str">
        <f>"28/05/2015"</f>
        <v>28/05/2015</v>
      </c>
      <c r="B1447" t="str">
        <f>"1.0948"</f>
        <v>1.0948</v>
      </c>
      <c r="C1447" t="str">
        <f>"1.0952"</f>
        <v>1.0952</v>
      </c>
    </row>
    <row r="1448" spans="1:3" x14ac:dyDescent="0.25">
      <c r="A1448" t="str">
        <f>"29/05/2015"</f>
        <v>29/05/2015</v>
      </c>
      <c r="B1448" t="str">
        <f>"1.0986"</f>
        <v>1.0986</v>
      </c>
      <c r="C1448" t="str">
        <f>"1.099"</f>
        <v>1.099</v>
      </c>
    </row>
    <row r="1449" spans="1:3" x14ac:dyDescent="0.25">
      <c r="A1449" t="str">
        <f>"01/06/2015"</f>
        <v>01/06/2015</v>
      </c>
      <c r="B1449" t="str">
        <f>"1.0927"</f>
        <v>1.0927</v>
      </c>
      <c r="C1449" t="str">
        <f>"1.0931"</f>
        <v>1.0931</v>
      </c>
    </row>
    <row r="1450" spans="1:3" x14ac:dyDescent="0.25">
      <c r="A1450" t="str">
        <f>"02/06/2015"</f>
        <v>02/06/2015</v>
      </c>
      <c r="B1450" t="str">
        <f>"1.1151"</f>
        <v>1.1151</v>
      </c>
      <c r="C1450" t="str">
        <f>"1.1155"</f>
        <v>1.1155</v>
      </c>
    </row>
    <row r="1451" spans="1:3" x14ac:dyDescent="0.25">
      <c r="A1451" t="str">
        <f>"03/06/2015"</f>
        <v>03/06/2015</v>
      </c>
      <c r="B1451" t="str">
        <f>"1.1274"</f>
        <v>1.1274</v>
      </c>
      <c r="C1451" t="str">
        <f>"1.1278"</f>
        <v>1.1278</v>
      </c>
    </row>
    <row r="1452" spans="1:3" x14ac:dyDescent="0.25">
      <c r="A1452" t="str">
        <f>"04/06/2015"</f>
        <v>04/06/2015</v>
      </c>
      <c r="B1452" t="str">
        <f>"1.1237"</f>
        <v>1.1237</v>
      </c>
      <c r="C1452" t="str">
        <f>"1.1241"</f>
        <v>1.1241</v>
      </c>
    </row>
    <row r="1453" spans="1:3" x14ac:dyDescent="0.25">
      <c r="A1453" t="str">
        <f>"05/06/2015"</f>
        <v>05/06/2015</v>
      </c>
      <c r="B1453" t="str">
        <f>"1.1112"</f>
        <v>1.1112</v>
      </c>
      <c r="C1453" t="str">
        <f>"1.1116"</f>
        <v>1.1116</v>
      </c>
    </row>
    <row r="1454" spans="1:3" x14ac:dyDescent="0.25">
      <c r="A1454" t="str">
        <f>"08/06/2015"</f>
        <v>08/06/2015</v>
      </c>
      <c r="B1454" t="str">
        <f>"1.1291"</f>
        <v>1.1291</v>
      </c>
      <c r="C1454" t="str">
        <f>"1.1295"</f>
        <v>1.1295</v>
      </c>
    </row>
    <row r="1455" spans="1:3" x14ac:dyDescent="0.25">
      <c r="A1455" t="str">
        <f>"09/06/2015"</f>
        <v>09/06/2015</v>
      </c>
      <c r="B1455" t="str">
        <f>"1.1282"</f>
        <v>1.1282</v>
      </c>
      <c r="C1455" t="str">
        <f>"1.1286"</f>
        <v>1.1286</v>
      </c>
    </row>
    <row r="1456" spans="1:3" x14ac:dyDescent="0.25">
      <c r="A1456" t="str">
        <f>"10/06/2015"</f>
        <v>10/06/2015</v>
      </c>
      <c r="B1456" t="str">
        <f>"1.1324"</f>
        <v>1.1324</v>
      </c>
      <c r="C1456" t="str">
        <f>"1.1328"</f>
        <v>1.1328</v>
      </c>
    </row>
    <row r="1457" spans="1:3" x14ac:dyDescent="0.25">
      <c r="A1457" t="str">
        <f>"11/06/2015"</f>
        <v>11/06/2015</v>
      </c>
      <c r="B1457" t="str">
        <f>"1.1257"</f>
        <v>1.1257</v>
      </c>
      <c r="C1457" t="str">
        <f>"1.1261"</f>
        <v>1.1261</v>
      </c>
    </row>
    <row r="1458" spans="1:3" x14ac:dyDescent="0.25">
      <c r="A1458" t="str">
        <f>"12/06/2015"</f>
        <v>12/06/2015</v>
      </c>
      <c r="B1458" t="str">
        <f>"1.1265"</f>
        <v>1.1265</v>
      </c>
      <c r="C1458" t="str">
        <f>"1.1269"</f>
        <v>1.1269</v>
      </c>
    </row>
    <row r="1459" spans="1:3" x14ac:dyDescent="0.25">
      <c r="A1459" t="str">
        <f>"15/06/2015"</f>
        <v>15/06/2015</v>
      </c>
      <c r="B1459" t="str">
        <f>"1.1283"</f>
        <v>1.1283</v>
      </c>
      <c r="C1459" t="str">
        <f>"1.1287"</f>
        <v>1.1287</v>
      </c>
    </row>
    <row r="1460" spans="1:3" x14ac:dyDescent="0.25">
      <c r="A1460" t="str">
        <f>"16/06/2015"</f>
        <v>16/06/2015</v>
      </c>
      <c r="B1460" t="str">
        <f>"1.1247"</f>
        <v>1.1247</v>
      </c>
      <c r="C1460" t="str">
        <f>"1.1251"</f>
        <v>1.1251</v>
      </c>
    </row>
    <row r="1461" spans="1:3" x14ac:dyDescent="0.25">
      <c r="A1461" t="str">
        <f>"17/06/2015"</f>
        <v>17/06/2015</v>
      </c>
      <c r="B1461" t="str">
        <f>"1.1259"</f>
        <v>1.1259</v>
      </c>
      <c r="C1461" t="str">
        <f>"1.1263"</f>
        <v>1.1263</v>
      </c>
    </row>
    <row r="1462" spans="1:3" x14ac:dyDescent="0.25">
      <c r="A1462" t="str">
        <f>"18/06/2015"</f>
        <v>18/06/2015</v>
      </c>
      <c r="B1462" t="str">
        <f>"1.1359"</f>
        <v>1.1359</v>
      </c>
      <c r="C1462" t="str">
        <f>"1.1363"</f>
        <v>1.1363</v>
      </c>
    </row>
    <row r="1463" spans="1:3" x14ac:dyDescent="0.25">
      <c r="A1463" t="str">
        <f>"19/06/2015"</f>
        <v>19/06/2015</v>
      </c>
      <c r="B1463" t="str">
        <f>"1.1351"</f>
        <v>1.1351</v>
      </c>
      <c r="C1463" t="str">
        <f>"1.1355"</f>
        <v>1.1355</v>
      </c>
    </row>
    <row r="1464" spans="1:3" x14ac:dyDescent="0.25">
      <c r="A1464" t="str">
        <f>"22/06/2015"</f>
        <v>22/06/2015</v>
      </c>
      <c r="B1464" t="str">
        <f>"1.134"</f>
        <v>1.134</v>
      </c>
      <c r="C1464" t="str">
        <f>"1.1344"</f>
        <v>1.1344</v>
      </c>
    </row>
    <row r="1465" spans="1:3" x14ac:dyDescent="0.25">
      <c r="A1465" t="str">
        <f>"23/06/2015"</f>
        <v>23/06/2015</v>
      </c>
      <c r="B1465" t="str">
        <f>"1.1167"</f>
        <v>1.1167</v>
      </c>
      <c r="C1465" t="str">
        <f>"1.1171"</f>
        <v>1.1171</v>
      </c>
    </row>
    <row r="1466" spans="1:3" x14ac:dyDescent="0.25">
      <c r="A1466" t="str">
        <f>"24/06/2015"</f>
        <v>24/06/2015</v>
      </c>
      <c r="B1466" t="str">
        <f>"1.1204"</f>
        <v>1.1204</v>
      </c>
      <c r="C1466" t="str">
        <f>"1.1208"</f>
        <v>1.1208</v>
      </c>
    </row>
    <row r="1467" spans="1:3" x14ac:dyDescent="0.25">
      <c r="A1467" t="str">
        <f>"25/06/2015"</f>
        <v>25/06/2015</v>
      </c>
      <c r="B1467" t="str">
        <f>"1.1204"</f>
        <v>1.1204</v>
      </c>
      <c r="C1467" t="str">
        <f>"1.1208"</f>
        <v>1.1208</v>
      </c>
    </row>
    <row r="1468" spans="1:3" x14ac:dyDescent="0.25">
      <c r="A1468" t="str">
        <f>"26/06/2015"</f>
        <v>26/06/2015</v>
      </c>
      <c r="B1468" t="str">
        <f>"1.1166"</f>
        <v>1.1166</v>
      </c>
      <c r="C1468" t="str">
        <f>"1.117"</f>
        <v>1.117</v>
      </c>
    </row>
    <row r="1469" spans="1:3" x14ac:dyDescent="0.25">
      <c r="A1469" t="str">
        <f>"29/06/2015"</f>
        <v>29/06/2015</v>
      </c>
      <c r="B1469" t="str">
        <f>"1.1235"</f>
        <v>1.1235</v>
      </c>
      <c r="C1469" t="str">
        <f>"1.124"</f>
        <v>1.124</v>
      </c>
    </row>
    <row r="1470" spans="1:3" x14ac:dyDescent="0.25">
      <c r="A1470" t="str">
        <f>"30/06/2015"</f>
        <v>30/06/2015</v>
      </c>
      <c r="B1470" t="str">
        <f>"1.1146"</f>
        <v>1.1146</v>
      </c>
      <c r="C1470" t="str">
        <f>"1.1151"</f>
        <v>1.1151</v>
      </c>
    </row>
    <row r="1471" spans="1:3" x14ac:dyDescent="0.25">
      <c r="A1471" t="str">
        <f>"01/07/2015"</f>
        <v>01/07/2015</v>
      </c>
      <c r="B1471" t="str">
        <f>"1.1053"</f>
        <v>1.1053</v>
      </c>
      <c r="C1471" t="str">
        <f>"1.1057"</f>
        <v>1.1057</v>
      </c>
    </row>
    <row r="1472" spans="1:3" x14ac:dyDescent="0.25">
      <c r="A1472" t="str">
        <f>"02/07/2015"</f>
        <v>02/07/2015</v>
      </c>
      <c r="B1472" t="str">
        <f>"1.1084"</f>
        <v>1.1084</v>
      </c>
      <c r="C1472" t="str">
        <f>"1.1088"</f>
        <v>1.1088</v>
      </c>
    </row>
    <row r="1473" spans="1:3" x14ac:dyDescent="0.25">
      <c r="A1473" t="str">
        <f>"03/07/2015"</f>
        <v>03/07/2015</v>
      </c>
      <c r="B1473" t="str">
        <f>"1.1113"</f>
        <v>1.1113</v>
      </c>
      <c r="C1473" t="str">
        <f>"1.1117"</f>
        <v>1.1117</v>
      </c>
    </row>
    <row r="1474" spans="1:3" x14ac:dyDescent="0.25">
      <c r="A1474" t="str">
        <f>"06/07/2015"</f>
        <v>06/07/2015</v>
      </c>
      <c r="B1474" t="str">
        <f>"1.1056"</f>
        <v>1.1056</v>
      </c>
      <c r="C1474" t="str">
        <f>"1.1061"</f>
        <v>1.1061</v>
      </c>
    </row>
    <row r="1475" spans="1:3" x14ac:dyDescent="0.25">
      <c r="A1475" t="str">
        <f>"07/07/2015"</f>
        <v>07/07/2015</v>
      </c>
      <c r="B1475" t="str">
        <f>"1.1011"</f>
        <v>1.1011</v>
      </c>
      <c r="C1475" t="str">
        <f>"1.1016"</f>
        <v>1.1016</v>
      </c>
    </row>
    <row r="1476" spans="1:3" x14ac:dyDescent="0.25">
      <c r="A1476" t="str">
        <f>"08/07/2015"</f>
        <v>08/07/2015</v>
      </c>
      <c r="B1476" t="str">
        <f>"1.1076"</f>
        <v>1.1076</v>
      </c>
      <c r="C1476" t="str">
        <f>"1.1081"</f>
        <v>1.1081</v>
      </c>
    </row>
    <row r="1477" spans="1:3" x14ac:dyDescent="0.25">
      <c r="A1477" t="str">
        <f>"09/07/2015"</f>
        <v>09/07/2015</v>
      </c>
      <c r="B1477" t="str">
        <f>"1.1035"</f>
        <v>1.1035</v>
      </c>
      <c r="C1477" t="str">
        <f>"1.1039"</f>
        <v>1.1039</v>
      </c>
    </row>
    <row r="1478" spans="1:3" x14ac:dyDescent="0.25">
      <c r="A1478" t="str">
        <f>"10/07/2015"</f>
        <v>10/07/2015</v>
      </c>
      <c r="B1478" t="str">
        <f>"1.1161"</f>
        <v>1.1161</v>
      </c>
      <c r="C1478" t="str">
        <f>"1.1165"</f>
        <v>1.1165</v>
      </c>
    </row>
    <row r="1479" spans="1:3" x14ac:dyDescent="0.25">
      <c r="A1479" t="str">
        <f>"13/07/2015"</f>
        <v>13/07/2015</v>
      </c>
      <c r="B1479" t="str">
        <f>"1.1001"</f>
        <v>1.1001</v>
      </c>
      <c r="C1479" t="str">
        <f>"1.1005"</f>
        <v>1.1005</v>
      </c>
    </row>
    <row r="1480" spans="1:3" x14ac:dyDescent="0.25">
      <c r="A1480" t="str">
        <f>"14/07/2015"</f>
        <v>14/07/2015</v>
      </c>
      <c r="B1480" t="str">
        <f>"1.1008"</f>
        <v>1.1008</v>
      </c>
      <c r="C1480" t="str">
        <f>"1.1012"</f>
        <v>1.1012</v>
      </c>
    </row>
    <row r="1481" spans="1:3" x14ac:dyDescent="0.25">
      <c r="A1481" t="str">
        <f>"15/07/2015"</f>
        <v>15/07/2015</v>
      </c>
      <c r="B1481" t="str">
        <f>"1.0949"</f>
        <v>1.0949</v>
      </c>
      <c r="C1481" t="str">
        <f>"1.0953"</f>
        <v>1.0953</v>
      </c>
    </row>
    <row r="1482" spans="1:3" x14ac:dyDescent="0.25">
      <c r="A1482" t="str">
        <f>"16/07/2015"</f>
        <v>16/07/2015</v>
      </c>
      <c r="B1482" t="str">
        <f>"1.0874"</f>
        <v>1.0874</v>
      </c>
      <c r="C1482" t="str">
        <f>"1.0878"</f>
        <v>1.0878</v>
      </c>
    </row>
    <row r="1483" spans="1:3" x14ac:dyDescent="0.25">
      <c r="A1483" t="str">
        <f>"17/07/2015"</f>
        <v>17/07/2015</v>
      </c>
      <c r="B1483" t="str">
        <f>"1.0829"</f>
        <v>1.0829</v>
      </c>
      <c r="C1483" t="str">
        <f>"1.0833"</f>
        <v>1.0833</v>
      </c>
    </row>
    <row r="1484" spans="1:3" x14ac:dyDescent="0.25">
      <c r="A1484" t="str">
        <f>"20/07/2015"</f>
        <v>20/07/2015</v>
      </c>
      <c r="B1484" t="str">
        <f>"1.0825"</f>
        <v>1.0825</v>
      </c>
      <c r="C1484" t="str">
        <f>"1.0829"</f>
        <v>1.0829</v>
      </c>
    </row>
    <row r="1485" spans="1:3" x14ac:dyDescent="0.25">
      <c r="A1485" t="str">
        <f>"21/07/2015"</f>
        <v>21/07/2015</v>
      </c>
      <c r="B1485" t="str">
        <f>"1.0935"</f>
        <v>1.0935</v>
      </c>
      <c r="C1485" t="str">
        <f>"1.0939"</f>
        <v>1.0939</v>
      </c>
    </row>
    <row r="1486" spans="1:3" x14ac:dyDescent="0.25">
      <c r="A1486" t="str">
        <f>"22/07/2015"</f>
        <v>22/07/2015</v>
      </c>
      <c r="B1486" t="str">
        <f>"1.0928"</f>
        <v>1.0928</v>
      </c>
      <c r="C1486" t="str">
        <f>"1.0932"</f>
        <v>1.0932</v>
      </c>
    </row>
    <row r="1487" spans="1:3" x14ac:dyDescent="0.25">
      <c r="A1487" t="str">
        <f>"23/07/2015"</f>
        <v>23/07/2015</v>
      </c>
      <c r="B1487" t="str">
        <f>"1.0941"</f>
        <v>1.0941</v>
      </c>
      <c r="C1487" t="str">
        <f>"1.0945"</f>
        <v>1.0945</v>
      </c>
    </row>
    <row r="1488" spans="1:3" x14ac:dyDescent="0.25">
      <c r="A1488" t="str">
        <f>"24/07/2015"</f>
        <v>24/07/2015</v>
      </c>
      <c r="B1488" t="str">
        <f>"1.0976"</f>
        <v>1.0976</v>
      </c>
      <c r="C1488" t="str">
        <f>"1.098"</f>
        <v>1.098</v>
      </c>
    </row>
    <row r="1489" spans="1:3" x14ac:dyDescent="0.25">
      <c r="A1489" t="str">
        <f>"27/07/2015"</f>
        <v>27/07/2015</v>
      </c>
      <c r="B1489" t="str">
        <f>"1.1087"</f>
        <v>1.1087</v>
      </c>
      <c r="C1489" t="str">
        <f>"1.1091"</f>
        <v>1.1091</v>
      </c>
    </row>
    <row r="1490" spans="1:3" x14ac:dyDescent="0.25">
      <c r="A1490" t="str">
        <f>"28/07/2015"</f>
        <v>28/07/2015</v>
      </c>
      <c r="B1490" t="str">
        <f>"1.1059"</f>
        <v>1.1059</v>
      </c>
      <c r="C1490" t="str">
        <f>"1.1063"</f>
        <v>1.1063</v>
      </c>
    </row>
    <row r="1491" spans="1:3" x14ac:dyDescent="0.25">
      <c r="A1491" t="str">
        <f>"29/07/2015"</f>
        <v>29/07/2015</v>
      </c>
      <c r="B1491" t="str">
        <f>"1.1064"</f>
        <v>1.1064</v>
      </c>
      <c r="C1491" t="str">
        <f>"1.1068"</f>
        <v>1.1068</v>
      </c>
    </row>
    <row r="1492" spans="1:3" x14ac:dyDescent="0.25">
      <c r="A1492" t="str">
        <f>"30/07/2015"</f>
        <v>30/07/2015</v>
      </c>
      <c r="B1492" t="str">
        <f>"1.0932"</f>
        <v>1.0932</v>
      </c>
      <c r="C1492" t="str">
        <f>"1.0936"</f>
        <v>1.0936</v>
      </c>
    </row>
    <row r="1493" spans="1:3" x14ac:dyDescent="0.25">
      <c r="A1493" t="str">
        <f>"31/07/2015"</f>
        <v>31/07/2015</v>
      </c>
      <c r="B1493" t="str">
        <f>"1.0984"</f>
        <v>1.0984</v>
      </c>
      <c r="C1493" t="str">
        <f>"1.0988"</f>
        <v>1.0988</v>
      </c>
    </row>
    <row r="1494" spans="1:3" x14ac:dyDescent="0.25">
      <c r="A1494" t="str">
        <f>"03/08/2015"</f>
        <v>03/08/2015</v>
      </c>
      <c r="B1494" t="str">
        <f>"1.095"</f>
        <v>1.095</v>
      </c>
      <c r="C1494" t="str">
        <f>"1.0955"</f>
        <v>1.0955</v>
      </c>
    </row>
    <row r="1495" spans="1:3" x14ac:dyDescent="0.25">
      <c r="A1495" t="str">
        <f>"04/08/2015"</f>
        <v>04/08/2015</v>
      </c>
      <c r="B1495" t="str">
        <f>"1.0939"</f>
        <v>1.0939</v>
      </c>
      <c r="C1495" t="str">
        <f>"1.0943"</f>
        <v>1.0943</v>
      </c>
    </row>
    <row r="1496" spans="1:3" x14ac:dyDescent="0.25">
      <c r="A1496" t="str">
        <f>"05/08/2015"</f>
        <v>05/08/2015</v>
      </c>
      <c r="B1496" t="str">
        <f>"1.0905"</f>
        <v>1.0905</v>
      </c>
      <c r="C1496" t="str">
        <f>"1.0909"</f>
        <v>1.0909</v>
      </c>
    </row>
    <row r="1497" spans="1:3" x14ac:dyDescent="0.25">
      <c r="A1497" t="str">
        <f>"06/08/2015"</f>
        <v>06/08/2015</v>
      </c>
      <c r="B1497" t="str">
        <f>"1.0924"</f>
        <v>1.0924</v>
      </c>
      <c r="C1497" t="str">
        <f>"1.0928"</f>
        <v>1.0928</v>
      </c>
    </row>
    <row r="1498" spans="1:3" x14ac:dyDescent="0.25">
      <c r="A1498" t="str">
        <f>"07/08/2015"</f>
        <v>07/08/2015</v>
      </c>
      <c r="B1498" t="str">
        <f>"1.0966"</f>
        <v>1.0966</v>
      </c>
      <c r="C1498" t="str">
        <f>"1.097"</f>
        <v>1.097</v>
      </c>
    </row>
    <row r="1499" spans="1:3" x14ac:dyDescent="0.25">
      <c r="A1499" t="str">
        <f>"10/08/2015"</f>
        <v>10/08/2015</v>
      </c>
      <c r="B1499" t="str">
        <f>"1.1019"</f>
        <v>1.1019</v>
      </c>
      <c r="C1499" t="str">
        <f>"1.1023"</f>
        <v>1.1023</v>
      </c>
    </row>
    <row r="1500" spans="1:3" x14ac:dyDescent="0.25">
      <c r="A1500" t="str">
        <f>"11/08/2015"</f>
        <v>11/08/2015</v>
      </c>
      <c r="B1500" t="str">
        <f>"1.1041"</f>
        <v>1.1041</v>
      </c>
      <c r="C1500" t="str">
        <f>"1.1045"</f>
        <v>1.1045</v>
      </c>
    </row>
    <row r="1501" spans="1:3" x14ac:dyDescent="0.25">
      <c r="A1501" t="str">
        <f>"12/08/2015"</f>
        <v>12/08/2015</v>
      </c>
      <c r="B1501" t="str">
        <f>"1.1158"</f>
        <v>1.1158</v>
      </c>
      <c r="C1501" t="str">
        <f>"1.1162"</f>
        <v>1.1162</v>
      </c>
    </row>
    <row r="1502" spans="1:3" x14ac:dyDescent="0.25">
      <c r="A1502" t="str">
        <f>"13/08/2015"</f>
        <v>13/08/2015</v>
      </c>
      <c r="B1502" t="str">
        <f>"1.1149"</f>
        <v>1.1149</v>
      </c>
      <c r="C1502" t="str">
        <f>"1.1153"</f>
        <v>1.1153</v>
      </c>
    </row>
    <row r="1503" spans="1:3" x14ac:dyDescent="0.25">
      <c r="A1503" t="str">
        <f>"14/08/2015"</f>
        <v>14/08/2015</v>
      </c>
      <c r="B1503" t="str">
        <f>"1.1109"</f>
        <v>1.1109</v>
      </c>
      <c r="C1503" t="str">
        <f>"1.1113"</f>
        <v>1.1113</v>
      </c>
    </row>
    <row r="1504" spans="1:3" x14ac:dyDescent="0.25">
      <c r="A1504" t="str">
        <f>"17/08/2015"</f>
        <v>17/08/2015</v>
      </c>
      <c r="B1504" t="str">
        <f>"1.1077"</f>
        <v>1.1077</v>
      </c>
      <c r="C1504" t="str">
        <f>"1.1082"</f>
        <v>1.1082</v>
      </c>
    </row>
    <row r="1505" spans="1:3" x14ac:dyDescent="0.25">
      <c r="A1505" t="str">
        <f>"19/08/2015"</f>
        <v>19/08/2015</v>
      </c>
      <c r="B1505" t="str">
        <f>"1.112"</f>
        <v>1.112</v>
      </c>
      <c r="C1505" t="str">
        <f>"1.1124"</f>
        <v>1.1124</v>
      </c>
    </row>
    <row r="1506" spans="1:3" x14ac:dyDescent="0.25">
      <c r="A1506" t="str">
        <f>"20/08/2015"</f>
        <v>20/08/2015</v>
      </c>
      <c r="B1506" t="str">
        <f>"1.1241"</f>
        <v>1.1241</v>
      </c>
      <c r="C1506" t="str">
        <f>"1.1245"</f>
        <v>1.1245</v>
      </c>
    </row>
    <row r="1507" spans="1:3" x14ac:dyDescent="0.25">
      <c r="A1507" t="str">
        <f>"21/08/2015"</f>
        <v>21/08/2015</v>
      </c>
      <c r="B1507" t="str">
        <f>"1.1281"</f>
        <v>1.1281</v>
      </c>
      <c r="C1507" t="str">
        <f>"1.1285"</f>
        <v>1.1285</v>
      </c>
    </row>
    <row r="1508" spans="1:3" x14ac:dyDescent="0.25">
      <c r="A1508" t="str">
        <f>"25/08/2015"</f>
        <v>25/08/2015</v>
      </c>
      <c r="B1508" t="str">
        <f>"1.1516"</f>
        <v>1.1516</v>
      </c>
      <c r="C1508" t="str">
        <f>"1.1521"</f>
        <v>1.1521</v>
      </c>
    </row>
    <row r="1509" spans="1:3" x14ac:dyDescent="0.25">
      <c r="A1509" t="str">
        <f>"26/08/2015"</f>
        <v>26/08/2015</v>
      </c>
      <c r="B1509" t="str">
        <f>"1.1314"</f>
        <v>1.1314</v>
      </c>
      <c r="C1509" t="str">
        <f>"1.1319"</f>
        <v>1.1319</v>
      </c>
    </row>
    <row r="1510" spans="1:3" x14ac:dyDescent="0.25">
      <c r="A1510" t="str">
        <f>"27/08/2015"</f>
        <v>27/08/2015</v>
      </c>
      <c r="B1510" t="str">
        <f>"1.1245"</f>
        <v>1.1245</v>
      </c>
      <c r="C1510" t="str">
        <f>"1.125"</f>
        <v>1.125</v>
      </c>
    </row>
    <row r="1511" spans="1:3" x14ac:dyDescent="0.25">
      <c r="A1511" t="str">
        <f>"28/08/2015"</f>
        <v>28/08/2015</v>
      </c>
      <c r="B1511" t="str">
        <f>"1.1184"</f>
        <v>1.1184</v>
      </c>
      <c r="C1511" t="str">
        <f>"1.1189"</f>
        <v>1.1189</v>
      </c>
    </row>
    <row r="1512" spans="1:3" x14ac:dyDescent="0.25">
      <c r="A1512" t="str">
        <f>"31/08/2015"</f>
        <v>31/08/2015</v>
      </c>
      <c r="B1512" t="str">
        <f>"1.121"</f>
        <v>1.121</v>
      </c>
      <c r="C1512" t="str">
        <f>"1.1215"</f>
        <v>1.1215</v>
      </c>
    </row>
    <row r="1513" spans="1:3" x14ac:dyDescent="0.25">
      <c r="A1513" t="str">
        <f>"01/09/2015"</f>
        <v>01/09/2015</v>
      </c>
      <c r="B1513" t="str">
        <f>"1.1314"</f>
        <v>1.1314</v>
      </c>
      <c r="C1513" t="str">
        <f>"1.1319"</f>
        <v>1.1319</v>
      </c>
    </row>
    <row r="1514" spans="1:3" x14ac:dyDescent="0.25">
      <c r="A1514" t="str">
        <f>"02/09/2015"</f>
        <v>02/09/2015</v>
      </c>
      <c r="B1514" t="str">
        <f>"1.1227"</f>
        <v>1.1227</v>
      </c>
      <c r="C1514" t="str">
        <f>"1.1232"</f>
        <v>1.1232</v>
      </c>
    </row>
    <row r="1515" spans="1:3" x14ac:dyDescent="0.25">
      <c r="A1515" t="str">
        <f>"03/09/2015"</f>
        <v>03/09/2015</v>
      </c>
      <c r="B1515" t="str">
        <f>"1.1123"</f>
        <v>1.1123</v>
      </c>
      <c r="C1515" t="str">
        <f>"1.1128"</f>
        <v>1.1128</v>
      </c>
    </row>
    <row r="1516" spans="1:3" x14ac:dyDescent="0.25">
      <c r="A1516" t="str">
        <f>"04/09/2015"</f>
        <v>04/09/2015</v>
      </c>
      <c r="B1516" t="str">
        <f>"1.1148"</f>
        <v>1.1148</v>
      </c>
      <c r="C1516" t="str">
        <f>"1.1153"</f>
        <v>1.1153</v>
      </c>
    </row>
    <row r="1517" spans="1:3" x14ac:dyDescent="0.25">
      <c r="A1517" t="str">
        <f>"07/09/2015"</f>
        <v>07/09/2015</v>
      </c>
      <c r="B1517" t="str">
        <f>"1.1169"</f>
        <v>1.1169</v>
      </c>
      <c r="C1517" t="str">
        <f>"1.1174"</f>
        <v>1.1174</v>
      </c>
    </row>
    <row r="1518" spans="1:3" x14ac:dyDescent="0.25">
      <c r="A1518" t="str">
        <f>"08/09/2015"</f>
        <v>08/09/2015</v>
      </c>
      <c r="B1518" t="str">
        <f>"1.1202"</f>
        <v>1.1202</v>
      </c>
      <c r="C1518" t="str">
        <f>"1.1208"</f>
        <v>1.1208</v>
      </c>
    </row>
    <row r="1519" spans="1:3" x14ac:dyDescent="0.25">
      <c r="A1519" t="str">
        <f>"09/09/2015"</f>
        <v>09/09/2015</v>
      </c>
      <c r="B1519" t="str">
        <f>"1.1207"</f>
        <v>1.1207</v>
      </c>
      <c r="C1519" t="str">
        <f>"1.1212"</f>
        <v>1.1212</v>
      </c>
    </row>
    <row r="1520" spans="1:3" x14ac:dyDescent="0.25">
      <c r="A1520" t="str">
        <f>"10/09/2015"</f>
        <v>10/09/2015</v>
      </c>
      <c r="B1520" t="str">
        <f>"1.1279"</f>
        <v>1.1279</v>
      </c>
      <c r="C1520" t="str">
        <f>"1.1284"</f>
        <v>1.1284</v>
      </c>
    </row>
    <row r="1521" spans="1:3" x14ac:dyDescent="0.25">
      <c r="A1521" t="str">
        <f>"11/09/2015"</f>
        <v>11/09/2015</v>
      </c>
      <c r="B1521" t="str">
        <f>"1.1337"</f>
        <v>1.1337</v>
      </c>
      <c r="C1521" t="str">
        <f>"1.1342"</f>
        <v>1.1342</v>
      </c>
    </row>
    <row r="1522" spans="1:3" x14ac:dyDescent="0.25">
      <c r="A1522" t="str">
        <f>"14/09/2015"</f>
        <v>14/09/2015</v>
      </c>
      <c r="B1522" t="str">
        <f>"1.1316"</f>
        <v>1.1316</v>
      </c>
      <c r="C1522" t="str">
        <f>"1.1321"</f>
        <v>1.1321</v>
      </c>
    </row>
    <row r="1523" spans="1:3" x14ac:dyDescent="0.25">
      <c r="A1523" t="str">
        <f>"15/09/2015"</f>
        <v>15/09/2015</v>
      </c>
      <c r="B1523" t="str">
        <f>"1.1269"</f>
        <v>1.1269</v>
      </c>
      <c r="C1523" t="str">
        <f>"1.1275"</f>
        <v>1.1275</v>
      </c>
    </row>
    <row r="1524" spans="1:3" x14ac:dyDescent="0.25">
      <c r="A1524" t="str">
        <f>"16/09/2015"</f>
        <v>16/09/2015</v>
      </c>
      <c r="B1524" t="str">
        <f>"1.129"</f>
        <v>1.129</v>
      </c>
      <c r="C1524" t="str">
        <f>"1.1296"</f>
        <v>1.1296</v>
      </c>
    </row>
    <row r="1525" spans="1:3" x14ac:dyDescent="0.25">
      <c r="A1525" t="str">
        <f>"18/09/2015"</f>
        <v>18/09/2015</v>
      </c>
      <c r="B1525" t="str">
        <f>"1.1297"</f>
        <v>1.1297</v>
      </c>
      <c r="C1525" t="str">
        <f>"1.1302"</f>
        <v>1.1302</v>
      </c>
    </row>
    <row r="1526" spans="1:3" x14ac:dyDescent="0.25">
      <c r="A1526" t="str">
        <f>"21/09/2015"</f>
        <v>21/09/2015</v>
      </c>
      <c r="B1526" t="str">
        <f>"1.1189"</f>
        <v>1.1189</v>
      </c>
      <c r="C1526" t="str">
        <f>"1.1194"</f>
        <v>1.1194</v>
      </c>
    </row>
    <row r="1527" spans="1:3" x14ac:dyDescent="0.25">
      <c r="A1527" t="str">
        <f>"22/09/2015"</f>
        <v>22/09/2015</v>
      </c>
      <c r="B1527" t="str">
        <f>"1.112"</f>
        <v>1.112</v>
      </c>
      <c r="C1527" t="str">
        <f>"1.1126"</f>
        <v>1.1126</v>
      </c>
    </row>
    <row r="1528" spans="1:3" x14ac:dyDescent="0.25">
      <c r="A1528" t="str">
        <f>"23/09/2015"</f>
        <v>23/09/2015</v>
      </c>
      <c r="B1528" t="str">
        <f>"1.1185"</f>
        <v>1.1185</v>
      </c>
      <c r="C1528" t="str">
        <f>"1.119"</f>
        <v>1.119</v>
      </c>
    </row>
    <row r="1529" spans="1:3" x14ac:dyDescent="0.25">
      <c r="A1529" t="str">
        <f>"24/09/2015"</f>
        <v>24/09/2015</v>
      </c>
      <c r="B1529" t="str">
        <f>"1.1229"</f>
        <v>1.1229</v>
      </c>
      <c r="C1529" t="str">
        <f>"1.1234"</f>
        <v>1.1234</v>
      </c>
    </row>
    <row r="1530" spans="1:3" x14ac:dyDescent="0.25">
      <c r="A1530" t="str">
        <f>"28/09/2015"</f>
        <v>28/09/2015</v>
      </c>
      <c r="B1530" t="str">
        <f>"1.1244"</f>
        <v>1.1244</v>
      </c>
      <c r="C1530" t="str">
        <f>"1.1249"</f>
        <v>1.1249</v>
      </c>
    </row>
    <row r="1531" spans="1:3" x14ac:dyDescent="0.25">
      <c r="A1531" t="str">
        <f>"29/09/2015"</f>
        <v>29/09/2015</v>
      </c>
      <c r="B1531" t="str">
        <f>"1.1248"</f>
        <v>1.1248</v>
      </c>
      <c r="C1531" t="str">
        <f>"1.1253"</f>
        <v>1.1253</v>
      </c>
    </row>
    <row r="1532" spans="1:3" x14ac:dyDescent="0.25">
      <c r="A1532" t="str">
        <f>"30/09/2015"</f>
        <v>30/09/2015</v>
      </c>
      <c r="B1532" t="str">
        <f>"1.1176"</f>
        <v>1.1176</v>
      </c>
      <c r="C1532" t="str">
        <f>"1.1181"</f>
        <v>1.1181</v>
      </c>
    </row>
    <row r="1533" spans="1:3" x14ac:dyDescent="0.25">
      <c r="A1533" t="str">
        <f>"01/10/2015"</f>
        <v>01/10/2015</v>
      </c>
      <c r="B1533" t="str">
        <f>"1.1195"</f>
        <v>1.1195</v>
      </c>
      <c r="C1533" t="str">
        <f>"1.12"</f>
        <v>1.12</v>
      </c>
    </row>
    <row r="1534" spans="1:3" x14ac:dyDescent="0.25">
      <c r="A1534" t="str">
        <f>"05/10/2015"</f>
        <v>05/10/2015</v>
      </c>
      <c r="B1534" t="str">
        <f>"1.1188"</f>
        <v>1.1188</v>
      </c>
      <c r="C1534" t="str">
        <f>"1.1193"</f>
        <v>1.1193</v>
      </c>
    </row>
    <row r="1535" spans="1:3" x14ac:dyDescent="0.25">
      <c r="A1535" t="str">
        <f>"06/10/2015"</f>
        <v>06/10/2015</v>
      </c>
      <c r="B1535" t="str">
        <f>"1.1272"</f>
        <v>1.1272</v>
      </c>
      <c r="C1535" t="str">
        <f>"1.1277"</f>
        <v>1.1277</v>
      </c>
    </row>
    <row r="1536" spans="1:3" x14ac:dyDescent="0.25">
      <c r="A1536" t="str">
        <f>"07/10/2015"</f>
        <v>07/10/2015</v>
      </c>
      <c r="B1536" t="str">
        <f>"1.1237"</f>
        <v>1.1237</v>
      </c>
      <c r="C1536" t="str">
        <f>"1.1242"</f>
        <v>1.1242</v>
      </c>
    </row>
    <row r="1537" spans="1:3" x14ac:dyDescent="0.25">
      <c r="A1537" t="str">
        <f>"08/10/2015"</f>
        <v>08/10/2015</v>
      </c>
      <c r="B1537" t="str">
        <f>"1.1275"</f>
        <v>1.1275</v>
      </c>
      <c r="C1537" t="str">
        <f>"1.128"</f>
        <v>1.128</v>
      </c>
    </row>
    <row r="1538" spans="1:3" x14ac:dyDescent="0.25">
      <c r="A1538" t="str">
        <f>"09/10/2015"</f>
        <v>09/10/2015</v>
      </c>
      <c r="B1538" t="str">
        <f>"1.1357"</f>
        <v>1.1357</v>
      </c>
      <c r="C1538" t="str">
        <f>"1.1362"</f>
        <v>1.1362</v>
      </c>
    </row>
    <row r="1539" spans="1:3" x14ac:dyDescent="0.25">
      <c r="A1539" t="str">
        <f>"12/10/2015"</f>
        <v>12/10/2015</v>
      </c>
      <c r="B1539" t="str">
        <f>"1.1358"</f>
        <v>1.1358</v>
      </c>
      <c r="C1539" t="str">
        <f>"1.1363"</f>
        <v>1.1363</v>
      </c>
    </row>
    <row r="1540" spans="1:3" x14ac:dyDescent="0.25">
      <c r="A1540" t="str">
        <f>"13/10/2015"</f>
        <v>13/10/2015</v>
      </c>
      <c r="B1540" t="str">
        <f>"1.1379"</f>
        <v>1.1379</v>
      </c>
      <c r="C1540" t="str">
        <f>"1.1384"</f>
        <v>1.1384</v>
      </c>
    </row>
    <row r="1541" spans="1:3" x14ac:dyDescent="0.25">
      <c r="A1541" t="str">
        <f>"14/10/2015"</f>
        <v>14/10/2015</v>
      </c>
      <c r="B1541" t="str">
        <f>"1.1473"</f>
        <v>1.1473</v>
      </c>
      <c r="C1541" t="str">
        <f>"1.1478"</f>
        <v>1.1478</v>
      </c>
    </row>
    <row r="1542" spans="1:3" x14ac:dyDescent="0.25">
      <c r="A1542" t="str">
        <f>"15/10/2015"</f>
        <v>15/10/2015</v>
      </c>
      <c r="B1542" t="str">
        <f>"1.1386"</f>
        <v>1.1386</v>
      </c>
      <c r="C1542" t="str">
        <f>"1.1391"</f>
        <v>1.1391</v>
      </c>
    </row>
    <row r="1543" spans="1:3" x14ac:dyDescent="0.25">
      <c r="A1543" t="str">
        <f>"16/10/2015"</f>
        <v>16/10/2015</v>
      </c>
      <c r="B1543" t="str">
        <f>"1.1347"</f>
        <v>1.1347</v>
      </c>
      <c r="C1543" t="str">
        <f>"1.1352"</f>
        <v>1.1352</v>
      </c>
    </row>
    <row r="1544" spans="1:3" x14ac:dyDescent="0.25">
      <c r="A1544" t="str">
        <f>"19/10/2015"</f>
        <v>19/10/2015</v>
      </c>
      <c r="B1544" t="str">
        <f>"1.1327"</f>
        <v>1.1327</v>
      </c>
      <c r="C1544" t="str">
        <f>"1.1332"</f>
        <v>1.1332</v>
      </c>
    </row>
    <row r="1545" spans="1:3" x14ac:dyDescent="0.25">
      <c r="A1545" t="str">
        <f>"20/10/2015"</f>
        <v>20/10/2015</v>
      </c>
      <c r="B1545" t="str">
        <f>"1.1345"</f>
        <v>1.1345</v>
      </c>
      <c r="C1545" t="str">
        <f>"1.135"</f>
        <v>1.135</v>
      </c>
    </row>
    <row r="1546" spans="1:3" x14ac:dyDescent="0.25">
      <c r="A1546" t="str">
        <f>"21/10/2015"</f>
        <v>21/10/2015</v>
      </c>
      <c r="B1546" t="str">
        <f>"1.1358"</f>
        <v>1.1358</v>
      </c>
      <c r="C1546" t="str">
        <f>"1.1363"</f>
        <v>1.1363</v>
      </c>
    </row>
    <row r="1547" spans="1:3" x14ac:dyDescent="0.25">
      <c r="A1547" t="str">
        <f>"23/10/2015"</f>
        <v>23/10/2015</v>
      </c>
      <c r="B1547" t="str">
        <f>"1.1017"</f>
        <v>1.1017</v>
      </c>
      <c r="C1547" t="str">
        <f>"1.1022"</f>
        <v>1.1022</v>
      </c>
    </row>
    <row r="1548" spans="1:3" x14ac:dyDescent="0.25">
      <c r="A1548" t="str">
        <f>"26/10/2015"</f>
        <v>26/10/2015</v>
      </c>
      <c r="B1548" t="str">
        <f>"1.1057"</f>
        <v>1.1057</v>
      </c>
      <c r="C1548" t="str">
        <f>"1.1062"</f>
        <v>1.1062</v>
      </c>
    </row>
    <row r="1549" spans="1:3" x14ac:dyDescent="0.25">
      <c r="A1549" t="str">
        <f>"27/10/2015"</f>
        <v>27/10/2015</v>
      </c>
      <c r="B1549" t="str">
        <f>"1.105"</f>
        <v>1.105</v>
      </c>
      <c r="C1549" t="str">
        <f>"1.1055"</f>
        <v>1.1055</v>
      </c>
    </row>
    <row r="1550" spans="1:3" x14ac:dyDescent="0.25">
      <c r="A1550" t="str">
        <f>"29/10/2015"</f>
        <v>29/10/2015</v>
      </c>
      <c r="B1550" t="str">
        <f>"1.0977"</f>
        <v>1.0977</v>
      </c>
      <c r="C1550" t="str">
        <f>"1.0981"</f>
        <v>1.0981</v>
      </c>
    </row>
    <row r="1551" spans="1:3" x14ac:dyDescent="0.25">
      <c r="A1551" t="str">
        <f>"30/10/2015"</f>
        <v>30/10/2015</v>
      </c>
      <c r="B1551" t="str">
        <f>"1.1005"</f>
        <v>1.1005</v>
      </c>
      <c r="C1551" t="str">
        <f>"1.1009"</f>
        <v>1.1009</v>
      </c>
    </row>
    <row r="1552" spans="1:3" x14ac:dyDescent="0.25">
      <c r="A1552" t="str">
        <f>"02/11/2015"</f>
        <v>02/11/2015</v>
      </c>
      <c r="B1552" t="str">
        <f>"1.1015"</f>
        <v>1.1015</v>
      </c>
      <c r="C1552" t="str">
        <f>"1.1019"</f>
        <v>1.1019</v>
      </c>
    </row>
    <row r="1553" spans="1:3" x14ac:dyDescent="0.25">
      <c r="A1553" t="str">
        <f>"03/11/2015"</f>
        <v>03/11/2015</v>
      </c>
      <c r="B1553" t="str">
        <f>"1.0964"</f>
        <v>1.0964</v>
      </c>
      <c r="C1553" t="str">
        <f>"1.0968"</f>
        <v>1.0968</v>
      </c>
    </row>
    <row r="1554" spans="1:3" x14ac:dyDescent="0.25">
      <c r="A1554" t="str">
        <f>"04/11/2015"</f>
        <v>04/11/2015</v>
      </c>
      <c r="B1554" t="str">
        <f>"1.0865"</f>
        <v>1.0865</v>
      </c>
      <c r="C1554" t="str">
        <f>"1.0869"</f>
        <v>1.0869</v>
      </c>
    </row>
    <row r="1555" spans="1:3" x14ac:dyDescent="0.25">
      <c r="A1555" t="str">
        <f>"05/11/2015"</f>
        <v>05/11/2015</v>
      </c>
      <c r="B1555" t="str">
        <f>"1.0883"</f>
        <v>1.0883</v>
      </c>
      <c r="C1555" t="str">
        <f>"1.0887"</f>
        <v>1.0887</v>
      </c>
    </row>
    <row r="1556" spans="1:3" x14ac:dyDescent="0.25">
      <c r="A1556" t="str">
        <f>"06/11/2015"</f>
        <v>06/11/2015</v>
      </c>
      <c r="B1556" t="str">
        <f>"1.074"</f>
        <v>1.074</v>
      </c>
      <c r="C1556" t="str">
        <f>"1.0744"</f>
        <v>1.0744</v>
      </c>
    </row>
    <row r="1557" spans="1:3" x14ac:dyDescent="0.25">
      <c r="A1557" t="str">
        <f>"09/11/2015"</f>
        <v>09/11/2015</v>
      </c>
      <c r="B1557" t="str">
        <f>"1.0751"</f>
        <v>1.0751</v>
      </c>
      <c r="C1557" t="str">
        <f>"1.0755"</f>
        <v>1.0755</v>
      </c>
    </row>
    <row r="1558" spans="1:3" x14ac:dyDescent="0.25">
      <c r="A1558" t="str">
        <f>"10/11/2015"</f>
        <v>10/11/2015</v>
      </c>
      <c r="B1558" t="str">
        <f>"1.0724"</f>
        <v>1.0724</v>
      </c>
      <c r="C1558" t="str">
        <f>"1.0728"</f>
        <v>1.0728</v>
      </c>
    </row>
    <row r="1559" spans="1:3" x14ac:dyDescent="0.25">
      <c r="A1559" t="str">
        <f>"13/11/2015"</f>
        <v>13/11/2015</v>
      </c>
      <c r="B1559" t="str">
        <f>"1.0772"</f>
        <v>1.0772</v>
      </c>
      <c r="C1559" t="str">
        <f>"1.0776"</f>
        <v>1.0776</v>
      </c>
    </row>
    <row r="1560" spans="1:3" x14ac:dyDescent="0.25">
      <c r="A1560" t="str">
        <f>"16/11/2015"</f>
        <v>16/11/2015</v>
      </c>
      <c r="B1560" t="str">
        <f>"1.0686"</f>
        <v>1.0686</v>
      </c>
      <c r="C1560" t="str">
        <f>"1.069"</f>
        <v>1.069</v>
      </c>
    </row>
    <row r="1561" spans="1:3" x14ac:dyDescent="0.25">
      <c r="A1561" t="str">
        <f>"17/11/2015"</f>
        <v>17/11/2015</v>
      </c>
      <c r="B1561" t="str">
        <f>"1.0642"</f>
        <v>1.0642</v>
      </c>
      <c r="C1561" t="str">
        <f>"1.0647"</f>
        <v>1.0647</v>
      </c>
    </row>
    <row r="1562" spans="1:3" x14ac:dyDescent="0.25">
      <c r="A1562" t="str">
        <f>"18/11/2015"</f>
        <v>18/11/2015</v>
      </c>
      <c r="B1562" t="str">
        <f>"1.0659"</f>
        <v>1.0659</v>
      </c>
      <c r="C1562" t="str">
        <f>"1.0664"</f>
        <v>1.0664</v>
      </c>
    </row>
    <row r="1563" spans="1:3" x14ac:dyDescent="0.25">
      <c r="A1563" t="str">
        <f>"19/11/2015"</f>
        <v>19/11/2015</v>
      </c>
      <c r="B1563" t="str">
        <f>"1.0734"</f>
        <v>1.0734</v>
      </c>
      <c r="C1563" t="str">
        <f>"1.0739"</f>
        <v>1.0739</v>
      </c>
    </row>
    <row r="1564" spans="1:3" x14ac:dyDescent="0.25">
      <c r="A1564" t="str">
        <f>"20/11/2015"</f>
        <v>20/11/2015</v>
      </c>
      <c r="B1564" t="str">
        <f>"1.0645"</f>
        <v>1.0645</v>
      </c>
      <c r="C1564" t="str">
        <f>"1.065"</f>
        <v>1.065</v>
      </c>
    </row>
    <row r="1565" spans="1:3" x14ac:dyDescent="0.25">
      <c r="A1565" t="str">
        <f>"23/11/2015"</f>
        <v>23/11/2015</v>
      </c>
      <c r="B1565" t="str">
        <f>"1.0636"</f>
        <v>1.0636</v>
      </c>
      <c r="C1565" t="str">
        <f>"1.0642"</f>
        <v>1.0642</v>
      </c>
    </row>
    <row r="1566" spans="1:3" x14ac:dyDescent="0.25">
      <c r="A1566" t="str">
        <f>"24/11/2015"</f>
        <v>24/11/2015</v>
      </c>
      <c r="B1566" t="str">
        <f>"1.0643"</f>
        <v>1.0643</v>
      </c>
      <c r="C1566" t="str">
        <f>"1.0649"</f>
        <v>1.0649</v>
      </c>
    </row>
    <row r="1567" spans="1:3" x14ac:dyDescent="0.25">
      <c r="A1567" t="str">
        <f>"26/11/2015"</f>
        <v>26/11/2015</v>
      </c>
      <c r="B1567" t="str">
        <f>"1.061"</f>
        <v>1.061</v>
      </c>
      <c r="C1567" t="str">
        <f>"1.0616"</f>
        <v>1.0616</v>
      </c>
    </row>
    <row r="1568" spans="1:3" x14ac:dyDescent="0.25">
      <c r="A1568" t="str">
        <f>"27/11/2015"</f>
        <v>27/11/2015</v>
      </c>
      <c r="B1568" t="str">
        <f>"1.0592"</f>
        <v>1.0592</v>
      </c>
      <c r="C1568" t="str">
        <f>"1.0604"</f>
        <v>1.0604</v>
      </c>
    </row>
    <row r="1569" spans="1:3" x14ac:dyDescent="0.25">
      <c r="A1569" t="str">
        <f>"30/11/2015"</f>
        <v>30/11/2015</v>
      </c>
      <c r="B1569" t="str">
        <f>"1.0564"</f>
        <v>1.0564</v>
      </c>
      <c r="C1569" t="str">
        <f>"1.0575"</f>
        <v>1.0575</v>
      </c>
    </row>
    <row r="1570" spans="1:3" x14ac:dyDescent="0.25">
      <c r="A1570" t="str">
        <f>"01/12/2015"</f>
        <v>01/12/2015</v>
      </c>
      <c r="B1570" t="str">
        <f>"1.0632"</f>
        <v>1.0632</v>
      </c>
      <c r="C1570" t="str">
        <f>"1.0643"</f>
        <v>1.0643</v>
      </c>
    </row>
    <row r="1571" spans="1:3" x14ac:dyDescent="0.25">
      <c r="A1571" t="str">
        <f>"02/12/2015"</f>
        <v>02/12/2015</v>
      </c>
      <c r="B1571" t="str">
        <f>"1.0614"</f>
        <v>1.0614</v>
      </c>
      <c r="C1571" t="str">
        <f>"1.0625"</f>
        <v>1.0625</v>
      </c>
    </row>
    <row r="1572" spans="1:3" x14ac:dyDescent="0.25">
      <c r="A1572" t="str">
        <f>"03/12/2015"</f>
        <v>03/12/2015</v>
      </c>
      <c r="B1572" t="str">
        <f>"1.0939"</f>
        <v>1.0939</v>
      </c>
      <c r="C1572" t="str">
        <f>"1.095"</f>
        <v>1.095</v>
      </c>
    </row>
    <row r="1573" spans="1:3" x14ac:dyDescent="0.25">
      <c r="A1573" t="str">
        <f>"04/12/2015"</f>
        <v>04/12/2015</v>
      </c>
      <c r="B1573" t="str">
        <f>"1.088"</f>
        <v>1.088</v>
      </c>
      <c r="C1573" t="str">
        <f>"1.0889"</f>
        <v>1.0889</v>
      </c>
    </row>
    <row r="1574" spans="1:3" x14ac:dyDescent="0.25">
      <c r="A1574" t="str">
        <f>"07/12/2015"</f>
        <v>07/12/2015</v>
      </c>
      <c r="B1574" t="str">
        <f>"1.0837"</f>
        <v>1.0837</v>
      </c>
      <c r="C1574" t="str">
        <f>"1.0847"</f>
        <v>1.0847</v>
      </c>
    </row>
    <row r="1575" spans="1:3" x14ac:dyDescent="0.25">
      <c r="A1575" t="str">
        <f>"08/12/2015"</f>
        <v>08/12/2015</v>
      </c>
      <c r="B1575" t="str">
        <f>"1.0892"</f>
        <v>1.0892</v>
      </c>
      <c r="C1575" t="str">
        <f>"1.0902"</f>
        <v>1.0902</v>
      </c>
    </row>
    <row r="1576" spans="1:3" x14ac:dyDescent="0.25">
      <c r="A1576" t="str">
        <f>"09/12/2015"</f>
        <v>09/12/2015</v>
      </c>
      <c r="B1576" t="str">
        <f>"1.1024"</f>
        <v>1.1024</v>
      </c>
      <c r="C1576" t="str">
        <f>"1.1034"</f>
        <v>1.1034</v>
      </c>
    </row>
    <row r="1577" spans="1:3" x14ac:dyDescent="0.25">
      <c r="A1577" t="str">
        <f>"10/12/2015"</f>
        <v>10/12/2015</v>
      </c>
      <c r="B1577" t="str">
        <f>"1.0941"</f>
        <v>1.0941</v>
      </c>
      <c r="C1577" t="str">
        <f>"1.0951"</f>
        <v>1.0951</v>
      </c>
    </row>
    <row r="1578" spans="1:3" x14ac:dyDescent="0.25">
      <c r="A1578" t="str">
        <f>"11/12/2015"</f>
        <v>11/12/2015</v>
      </c>
      <c r="B1578" t="str">
        <f>"1.0986"</f>
        <v>1.0986</v>
      </c>
      <c r="C1578" t="str">
        <f>"1.0997"</f>
        <v>1.0997</v>
      </c>
    </row>
    <row r="1579" spans="1:3" x14ac:dyDescent="0.25">
      <c r="A1579" t="str">
        <f>"14/12/2015"</f>
        <v>14/12/2015</v>
      </c>
      <c r="B1579" t="str">
        <f>"1.0992"</f>
        <v>1.0992</v>
      </c>
      <c r="C1579" t="str">
        <f>"1.1004"</f>
        <v>1.1004</v>
      </c>
    </row>
    <row r="1580" spans="1:3" x14ac:dyDescent="0.25">
      <c r="A1580" t="str">
        <f>"15/12/2015"</f>
        <v>15/12/2015</v>
      </c>
      <c r="B1580" t="str">
        <f>"1.0929"</f>
        <v>1.0929</v>
      </c>
      <c r="C1580" t="str">
        <f>"1.0941"</f>
        <v>1.0941</v>
      </c>
    </row>
    <row r="1581" spans="1:3" x14ac:dyDescent="0.25">
      <c r="A1581" t="str">
        <f>"16/12/2015"</f>
        <v>16/12/2015</v>
      </c>
      <c r="B1581" t="str">
        <f>"1.0912"</f>
        <v>1.0912</v>
      </c>
      <c r="C1581" t="str">
        <f>"1.0925"</f>
        <v>1.0925</v>
      </c>
    </row>
    <row r="1582" spans="1:3" x14ac:dyDescent="0.25">
      <c r="A1582" t="str">
        <f>"17/12/2015"</f>
        <v>17/12/2015</v>
      </c>
      <c r="B1582" t="str">
        <f>"1.0826"</f>
        <v>1.0826</v>
      </c>
      <c r="C1582" t="str">
        <f>"1.0814"</f>
        <v>1.0814</v>
      </c>
    </row>
    <row r="1583" spans="1:3" x14ac:dyDescent="0.25">
      <c r="A1583" t="str">
        <f>"18/12/2015"</f>
        <v>18/12/2015</v>
      </c>
      <c r="B1583" t="str">
        <f>"1.0867"</f>
        <v>1.0867</v>
      </c>
      <c r="C1583" t="str">
        <f>"1.0907"</f>
        <v>1.0907</v>
      </c>
    </row>
    <row r="1584" spans="1:3" x14ac:dyDescent="0.25">
      <c r="A1584" t="str">
        <f>"21/12/2015"</f>
        <v>21/12/2015</v>
      </c>
      <c r="B1584" t="str">
        <f>"1.0864"</f>
        <v>1.0864</v>
      </c>
      <c r="C1584" t="str">
        <f>"1.0876"</f>
        <v>1.0876</v>
      </c>
    </row>
    <row r="1585" spans="1:3" x14ac:dyDescent="0.25">
      <c r="A1585" t="str">
        <f>"22/12/2015"</f>
        <v>22/12/2015</v>
      </c>
      <c r="B1585" t="str">
        <f>"1.0943"</f>
        <v>1.0943</v>
      </c>
      <c r="C1585" t="str">
        <f>"1.0955"</f>
        <v>1.0955</v>
      </c>
    </row>
    <row r="1586" spans="1:3" x14ac:dyDescent="0.25">
      <c r="A1586" t="str">
        <f>"23/12/2015"</f>
        <v>23/12/2015</v>
      </c>
      <c r="B1586" t="str">
        <f>"1.0928"</f>
        <v>1.0928</v>
      </c>
      <c r="C1586" t="str">
        <f>"1.094"</f>
        <v>1.094</v>
      </c>
    </row>
    <row r="1587" spans="1:3" x14ac:dyDescent="0.25">
      <c r="A1587" t="str">
        <f>"28/12/2015"</f>
        <v>28/12/2015</v>
      </c>
      <c r="B1587" t="str">
        <f>"1.0991"</f>
        <v>1.0991</v>
      </c>
      <c r="C1587" t="str">
        <f>"1.1001"</f>
        <v>1.1001</v>
      </c>
    </row>
    <row r="1588" spans="1:3" x14ac:dyDescent="0.25">
      <c r="A1588" t="str">
        <f>"29/12/2015"</f>
        <v>29/12/2015</v>
      </c>
      <c r="B1588" t="str">
        <f>"1.0967"</f>
        <v>1.0967</v>
      </c>
      <c r="C1588" t="str">
        <f>"1.0976"</f>
        <v>1.0976</v>
      </c>
    </row>
    <row r="1589" spans="1:3" x14ac:dyDescent="0.25">
      <c r="A1589" t="str">
        <f>"30/12/2015"</f>
        <v>30/12/2015</v>
      </c>
      <c r="B1589" t="str">
        <f>"1.0927"</f>
        <v>1.0927</v>
      </c>
      <c r="C1589" t="str">
        <f>"1.0935"</f>
        <v>1.0935</v>
      </c>
    </row>
    <row r="1590" spans="1:3" x14ac:dyDescent="0.25">
      <c r="A1590" t="str">
        <f>"31/12/2015"</f>
        <v>31/12/2015</v>
      </c>
      <c r="B1590" t="str">
        <f>"1.0902"</f>
        <v>1.0902</v>
      </c>
      <c r="C1590" t="str">
        <f>"1.091"</f>
        <v>1.091</v>
      </c>
    </row>
    <row r="1591" spans="1:3" x14ac:dyDescent="0.25">
      <c r="A1591" t="str">
        <f>"01/01/2016"</f>
        <v>01/01/2016</v>
      </c>
      <c r="B1591" t="str">
        <f>"1.0855"</f>
        <v>1.0855</v>
      </c>
      <c r="C1591" t="str">
        <f>"1.0863"</f>
        <v>1.0863</v>
      </c>
    </row>
    <row r="1592" spans="1:3" x14ac:dyDescent="0.25">
      <c r="A1592" t="str">
        <f>"04/01/2016"</f>
        <v>04/01/2016</v>
      </c>
      <c r="B1592" t="str">
        <f>"1.0909"</f>
        <v>1.0909</v>
      </c>
      <c r="C1592" t="str">
        <f>"1.0918"</f>
        <v>1.0918</v>
      </c>
    </row>
    <row r="1593" spans="1:3" x14ac:dyDescent="0.25">
      <c r="A1593" t="str">
        <f>"05/01/2016"</f>
        <v>05/01/2016</v>
      </c>
      <c r="B1593" t="str">
        <f>"1.076"</f>
        <v>1.076</v>
      </c>
      <c r="C1593" t="str">
        <f>"1.0769"</f>
        <v>1.0769</v>
      </c>
    </row>
    <row r="1594" spans="1:3" x14ac:dyDescent="0.25">
      <c r="A1594" t="str">
        <f>"06/01/2016"</f>
        <v>06/01/2016</v>
      </c>
      <c r="B1594" t="str">
        <f>"1.0748"</f>
        <v>1.0748</v>
      </c>
      <c r="C1594" t="str">
        <f>"1.0756"</f>
        <v>1.0756</v>
      </c>
    </row>
    <row r="1595" spans="1:3" x14ac:dyDescent="0.25">
      <c r="A1595" t="str">
        <f>"07/01/2016"</f>
        <v>07/01/2016</v>
      </c>
      <c r="B1595" t="str">
        <f>"1.0868"</f>
        <v>1.0868</v>
      </c>
      <c r="C1595" t="str">
        <f>"1.0876"</f>
        <v>1.0876</v>
      </c>
    </row>
    <row r="1596" spans="1:3" x14ac:dyDescent="0.25">
      <c r="A1596" t="str">
        <f>"08/01/2016"</f>
        <v>08/01/2016</v>
      </c>
      <c r="B1596" t="str">
        <f>"1.0876"</f>
        <v>1.0876</v>
      </c>
      <c r="C1596" t="str">
        <f>"1.0884"</f>
        <v>1.0884</v>
      </c>
    </row>
    <row r="1597" spans="1:3" x14ac:dyDescent="0.25">
      <c r="A1597" t="str">
        <f>"11/01/2016"</f>
        <v>11/01/2016</v>
      </c>
      <c r="B1597" t="str">
        <f>"1.0913"</f>
        <v>1.0913</v>
      </c>
      <c r="C1597" t="str">
        <f>"1.0922"</f>
        <v>1.0922</v>
      </c>
    </row>
    <row r="1598" spans="1:3" x14ac:dyDescent="0.25">
      <c r="A1598" t="str">
        <f>"12/01/2016"</f>
        <v>12/01/2016</v>
      </c>
      <c r="B1598" t="str">
        <f>"1.0847"</f>
        <v>1.0847</v>
      </c>
      <c r="C1598" t="str">
        <f>"1.0856"</f>
        <v>1.0856</v>
      </c>
    </row>
    <row r="1599" spans="1:3" x14ac:dyDescent="0.25">
      <c r="A1599" t="str">
        <f>"13/01/2016"</f>
        <v>13/01/2016</v>
      </c>
      <c r="B1599" t="str">
        <f>"1.0827"</f>
        <v>1.0827</v>
      </c>
      <c r="C1599" t="str">
        <f>"1.0836"</f>
        <v>1.0836</v>
      </c>
    </row>
    <row r="1600" spans="1:3" x14ac:dyDescent="0.25">
      <c r="A1600" t="str">
        <f>"14/01/2016"</f>
        <v>14/01/2016</v>
      </c>
      <c r="B1600" t="str">
        <f>"1.094"</f>
        <v>1.094</v>
      </c>
      <c r="C1600" t="str">
        <f>"1.0948"</f>
        <v>1.0948</v>
      </c>
    </row>
    <row r="1601" spans="1:3" x14ac:dyDescent="0.25">
      <c r="A1601" t="str">
        <f>"15/01/2016"</f>
        <v>15/01/2016</v>
      </c>
      <c r="B1601" t="str">
        <f>"1.0895"</f>
        <v>1.0895</v>
      </c>
      <c r="C1601" t="str">
        <f>"1.0903"</f>
        <v>1.0903</v>
      </c>
    </row>
    <row r="1602" spans="1:3" x14ac:dyDescent="0.25">
      <c r="A1602" t="str">
        <f>"18/01/2016"</f>
        <v>18/01/2016</v>
      </c>
      <c r="B1602" t="str">
        <f>"1.0897"</f>
        <v>1.0897</v>
      </c>
      <c r="C1602" t="str">
        <f>"1.0906"</f>
        <v>1.0906</v>
      </c>
    </row>
    <row r="1603" spans="1:3" x14ac:dyDescent="0.25">
      <c r="A1603" t="str">
        <f>"19/01/2016"</f>
        <v>19/01/2016</v>
      </c>
      <c r="B1603" t="str">
        <f>"1.0868"</f>
        <v>1.0868</v>
      </c>
      <c r="C1603" t="str">
        <f>"1.0877"</f>
        <v>1.0877</v>
      </c>
    </row>
    <row r="1604" spans="1:3" x14ac:dyDescent="0.25">
      <c r="A1604" t="str">
        <f>"20/01/2016"</f>
        <v>20/01/2016</v>
      </c>
      <c r="B1604" t="str">
        <f>"1.0907"</f>
        <v>1.0907</v>
      </c>
      <c r="C1604" t="str">
        <f>"1.0915"</f>
        <v>1.0915</v>
      </c>
    </row>
    <row r="1605" spans="1:3" x14ac:dyDescent="0.25">
      <c r="A1605" t="str">
        <f>"21/01/2016"</f>
        <v>21/01/2016</v>
      </c>
      <c r="B1605" t="str">
        <f>"1.0904"</f>
        <v>1.0904</v>
      </c>
      <c r="C1605" t="str">
        <f>"1.0912"</f>
        <v>1.0912</v>
      </c>
    </row>
    <row r="1606" spans="1:3" x14ac:dyDescent="0.25">
      <c r="A1606" t="str">
        <f>"22/01/2016"</f>
        <v>22/01/2016</v>
      </c>
      <c r="B1606" t="str">
        <f>"1.0826"</f>
        <v>1.0826</v>
      </c>
      <c r="C1606" t="str">
        <f>"1.0834"</f>
        <v>1.0834</v>
      </c>
    </row>
    <row r="1607" spans="1:3" x14ac:dyDescent="0.25">
      <c r="A1607" t="str">
        <f>"25/01/2016"</f>
        <v>25/01/2016</v>
      </c>
      <c r="B1607" t="str">
        <f>"1.0815"</f>
        <v>1.0815</v>
      </c>
      <c r="C1607" t="str">
        <f>"1.0823"</f>
        <v>1.0823</v>
      </c>
    </row>
    <row r="1608" spans="1:3" x14ac:dyDescent="0.25">
      <c r="A1608" t="str">
        <f>"27/01/2016"</f>
        <v>27/01/2016</v>
      </c>
      <c r="B1608" t="str">
        <f>"1.0874"</f>
        <v>1.0874</v>
      </c>
      <c r="C1608" t="str">
        <f>"1.0882"</f>
        <v>1.0882</v>
      </c>
    </row>
    <row r="1609" spans="1:3" x14ac:dyDescent="0.25">
      <c r="A1609" t="str">
        <f>"28/01/2016"</f>
        <v>28/01/2016</v>
      </c>
      <c r="B1609" t="str">
        <f>"1.0907"</f>
        <v>1.0907</v>
      </c>
      <c r="C1609" t="str">
        <f>"1.0914"</f>
        <v>1.0914</v>
      </c>
    </row>
    <row r="1610" spans="1:3" x14ac:dyDescent="0.25">
      <c r="A1610" t="str">
        <f>"29/01/2016"</f>
        <v>29/01/2016</v>
      </c>
      <c r="B1610" t="str">
        <f>"1.0917"</f>
        <v>1.0917</v>
      </c>
      <c r="C1610" t="str">
        <f>"1.0924"</f>
        <v>1.0924</v>
      </c>
    </row>
    <row r="1611" spans="1:3" x14ac:dyDescent="0.25">
      <c r="A1611" t="str">
        <f>"01/02/2016"</f>
        <v>01/02/2016</v>
      </c>
      <c r="B1611" t="str">
        <f>"1.0862"</f>
        <v>1.0862</v>
      </c>
      <c r="C1611" t="str">
        <f>"1.0869"</f>
        <v>1.0869</v>
      </c>
    </row>
    <row r="1612" spans="1:3" x14ac:dyDescent="0.25">
      <c r="A1612" t="str">
        <f>"02/02/2016"</f>
        <v>02/02/2016</v>
      </c>
      <c r="B1612" t="str">
        <f>"1.0914"</f>
        <v>1.0914</v>
      </c>
      <c r="C1612" t="str">
        <f>"1.0921"</f>
        <v>1.0921</v>
      </c>
    </row>
    <row r="1613" spans="1:3" x14ac:dyDescent="0.25">
      <c r="A1613" t="str">
        <f>"03/02/2016"</f>
        <v>03/02/2016</v>
      </c>
      <c r="B1613" t="str">
        <f>"1.0929"</f>
        <v>1.0929</v>
      </c>
      <c r="C1613" t="str">
        <f>"1.0937"</f>
        <v>1.0937</v>
      </c>
    </row>
    <row r="1614" spans="1:3" x14ac:dyDescent="0.25">
      <c r="A1614" t="str">
        <f>"04/02/2016"</f>
        <v>04/02/2016</v>
      </c>
      <c r="B1614" t="str">
        <f>"1.1184"</f>
        <v>1.1184</v>
      </c>
      <c r="C1614" t="str">
        <f>"1.1191"</f>
        <v>1.1191</v>
      </c>
    </row>
    <row r="1615" spans="1:3" x14ac:dyDescent="0.25">
      <c r="A1615" t="str">
        <f>"05/02/2016"</f>
        <v>05/02/2016</v>
      </c>
      <c r="B1615" t="str">
        <f>"1.1194"</f>
        <v>1.1194</v>
      </c>
      <c r="C1615" t="str">
        <f>"1.1201"</f>
        <v>1.1201</v>
      </c>
    </row>
    <row r="1616" spans="1:3" x14ac:dyDescent="0.25">
      <c r="A1616" t="str">
        <f>"08/02/2016"</f>
        <v>08/02/2016</v>
      </c>
      <c r="B1616" t="str">
        <f>"1.1117"</f>
        <v>1.1117</v>
      </c>
      <c r="C1616" t="str">
        <f>"1.1125"</f>
        <v>1.1125</v>
      </c>
    </row>
    <row r="1617" spans="1:3" x14ac:dyDescent="0.25">
      <c r="A1617" t="str">
        <f>"09/02/2016"</f>
        <v>09/02/2016</v>
      </c>
      <c r="B1617" t="str">
        <f>"1.1213"</f>
        <v>1.1213</v>
      </c>
      <c r="C1617" t="str">
        <f>"1.1221"</f>
        <v>1.1221</v>
      </c>
    </row>
    <row r="1618" spans="1:3" x14ac:dyDescent="0.25">
      <c r="A1618" t="str">
        <f>"10/02/2016"</f>
        <v>10/02/2016</v>
      </c>
      <c r="B1618" t="str">
        <f>"1.1263"</f>
        <v>1.1263</v>
      </c>
      <c r="C1618" t="str">
        <f>"1.1271"</f>
        <v>1.1271</v>
      </c>
    </row>
    <row r="1619" spans="1:3" x14ac:dyDescent="0.25">
      <c r="A1619" t="str">
        <f>"11/02/2016"</f>
        <v>11/02/2016</v>
      </c>
      <c r="B1619" t="str">
        <f>"1.134"</f>
        <v>1.134</v>
      </c>
      <c r="C1619" t="str">
        <f>"1.1348"</f>
        <v>1.1348</v>
      </c>
    </row>
    <row r="1620" spans="1:3" x14ac:dyDescent="0.25">
      <c r="A1620" t="str">
        <f>"12/02/2016"</f>
        <v>12/02/2016</v>
      </c>
      <c r="B1620" t="str">
        <f>"1.127"</f>
        <v>1.127</v>
      </c>
      <c r="C1620" t="str">
        <f>"1.1278"</f>
        <v>1.1278</v>
      </c>
    </row>
    <row r="1621" spans="1:3" x14ac:dyDescent="0.25">
      <c r="A1621" t="str">
        <f>"15/02/2016"</f>
        <v>15/02/2016</v>
      </c>
      <c r="B1621" t="str">
        <f>"1.1217"</f>
        <v>1.1217</v>
      </c>
      <c r="C1621" t="str">
        <f>"1.1225"</f>
        <v>1.1225</v>
      </c>
    </row>
    <row r="1622" spans="1:3" x14ac:dyDescent="0.25">
      <c r="A1622" t="str">
        <f>"16/02/2016"</f>
        <v>16/02/2016</v>
      </c>
      <c r="B1622" t="str">
        <f>"1.1165"</f>
        <v>1.1165</v>
      </c>
      <c r="C1622" t="str">
        <f>"1.1173"</f>
        <v>1.1173</v>
      </c>
    </row>
    <row r="1623" spans="1:3" x14ac:dyDescent="0.25">
      <c r="A1623" t="str">
        <f>"17/02/2016"</f>
        <v>17/02/2016</v>
      </c>
      <c r="B1623" t="str">
        <f>"1.1148"</f>
        <v>1.1148</v>
      </c>
      <c r="C1623" t="str">
        <f>"1.1157"</f>
        <v>1.1157</v>
      </c>
    </row>
    <row r="1624" spans="1:3" x14ac:dyDescent="0.25">
      <c r="A1624" t="str">
        <f>"18/02/2016"</f>
        <v>18/02/2016</v>
      </c>
      <c r="B1624" t="str">
        <f>"1.1097"</f>
        <v>1.1097</v>
      </c>
      <c r="C1624" t="str">
        <f>"1.1105"</f>
        <v>1.1105</v>
      </c>
    </row>
    <row r="1625" spans="1:3" x14ac:dyDescent="0.25">
      <c r="A1625" t="str">
        <f>"22/02/2016"</f>
        <v>22/02/2016</v>
      </c>
      <c r="B1625" t="str">
        <f>"1.1037"</f>
        <v>1.1037</v>
      </c>
      <c r="C1625" t="str">
        <f>"1.1045"</f>
        <v>1.1045</v>
      </c>
    </row>
    <row r="1626" spans="1:3" x14ac:dyDescent="0.25">
      <c r="A1626" t="str">
        <f>"23/02/2016"</f>
        <v>23/02/2016</v>
      </c>
      <c r="B1626" t="str">
        <f>"1.104"</f>
        <v>1.104</v>
      </c>
      <c r="C1626" t="str">
        <f>"1.1049"</f>
        <v>1.1049</v>
      </c>
    </row>
    <row r="1627" spans="1:3" x14ac:dyDescent="0.25">
      <c r="A1627" t="str">
        <f>"24/02/2016"</f>
        <v>24/02/2016</v>
      </c>
      <c r="B1627" t="str">
        <f>"1.1021"</f>
        <v>1.1021</v>
      </c>
      <c r="C1627" t="str">
        <f>"1.103"</f>
        <v>1.103</v>
      </c>
    </row>
    <row r="1628" spans="1:3" x14ac:dyDescent="0.25">
      <c r="A1628" t="str">
        <f>"25/02/2016"</f>
        <v>25/02/2016</v>
      </c>
      <c r="B1628" t="str">
        <f>"1.1026"</f>
        <v>1.1026</v>
      </c>
      <c r="C1628" t="str">
        <f>"1.1035"</f>
        <v>1.1035</v>
      </c>
    </row>
    <row r="1629" spans="1:3" x14ac:dyDescent="0.25">
      <c r="A1629" t="str">
        <f>"26/02/2016"</f>
        <v>26/02/2016</v>
      </c>
      <c r="B1629" t="str">
        <f>"1.1063"</f>
        <v>1.1063</v>
      </c>
      <c r="C1629" t="str">
        <f>"1.1072"</f>
        <v>1.1072</v>
      </c>
    </row>
    <row r="1630" spans="1:3" x14ac:dyDescent="0.25">
      <c r="A1630" t="str">
        <f>"29/02/2016"</f>
        <v>29/02/2016</v>
      </c>
      <c r="B1630" t="str">
        <f>"1.0881"</f>
        <v>1.0881</v>
      </c>
      <c r="C1630" t="str">
        <f>"1.0891"</f>
        <v>1.0891</v>
      </c>
    </row>
    <row r="1631" spans="1:3" x14ac:dyDescent="0.25">
      <c r="A1631" t="str">
        <f>"01/03/2016"</f>
        <v>01/03/2016</v>
      </c>
      <c r="B1631" t="str">
        <f>"1.0862"</f>
        <v>1.0862</v>
      </c>
      <c r="C1631" t="str">
        <f>"1.0872"</f>
        <v>1.0872</v>
      </c>
    </row>
    <row r="1632" spans="1:3" x14ac:dyDescent="0.25">
      <c r="A1632" t="str">
        <f>"02/03/2016"</f>
        <v>02/03/2016</v>
      </c>
      <c r="B1632" t="str">
        <f>"1.0851"</f>
        <v>1.0851</v>
      </c>
      <c r="C1632" t="str">
        <f>"1.0861"</f>
        <v>1.0861</v>
      </c>
    </row>
    <row r="1633" spans="1:3" x14ac:dyDescent="0.25">
      <c r="A1633" t="str">
        <f>"03/03/2016"</f>
        <v>03/03/2016</v>
      </c>
      <c r="B1633" t="str">
        <f>"1.0881"</f>
        <v>1.0881</v>
      </c>
      <c r="C1633" t="str">
        <f>"1.0891"</f>
        <v>1.0891</v>
      </c>
    </row>
    <row r="1634" spans="1:3" x14ac:dyDescent="0.25">
      <c r="A1634" t="str">
        <f>"04/03/2016"</f>
        <v>04/03/2016</v>
      </c>
      <c r="B1634" t="str">
        <f>"1.0985"</f>
        <v>1.0985</v>
      </c>
      <c r="C1634" t="str">
        <f>"1.0996"</f>
        <v>1.0996</v>
      </c>
    </row>
    <row r="1635" spans="1:3" x14ac:dyDescent="0.25">
      <c r="A1635" t="str">
        <f>"08/03/2016"</f>
        <v>08/03/2016</v>
      </c>
      <c r="B1635" t="str">
        <f>"1.1017"</f>
        <v>1.1017</v>
      </c>
      <c r="C1635" t="str">
        <f>"1.1028"</f>
        <v>1.1028</v>
      </c>
    </row>
    <row r="1636" spans="1:3" x14ac:dyDescent="0.25">
      <c r="A1636" t="str">
        <f>"09/03/2016"</f>
        <v>09/03/2016</v>
      </c>
      <c r="B1636" t="str">
        <f>"1.0971"</f>
        <v>1.0971</v>
      </c>
      <c r="C1636" t="str">
        <f>"1.0981"</f>
        <v>1.0981</v>
      </c>
    </row>
    <row r="1637" spans="1:3" x14ac:dyDescent="0.25">
      <c r="A1637" t="str">
        <f>"10/03/2016"</f>
        <v>10/03/2016</v>
      </c>
      <c r="B1637" t="str">
        <f>"1.0972"</f>
        <v>1.0972</v>
      </c>
      <c r="C1637" t="str">
        <f>"1.0983"</f>
        <v>1.0983</v>
      </c>
    </row>
    <row r="1638" spans="1:3" x14ac:dyDescent="0.25">
      <c r="A1638" t="str">
        <f>"11/03/2016"</f>
        <v>11/03/2016</v>
      </c>
      <c r="B1638" t="str">
        <f>"1.1085"</f>
        <v>1.1085</v>
      </c>
      <c r="C1638" t="str">
        <f>"1.1095"</f>
        <v>1.1095</v>
      </c>
    </row>
    <row r="1639" spans="1:3" x14ac:dyDescent="0.25">
      <c r="A1639" t="str">
        <f>"14/03/2016"</f>
        <v>14/03/2016</v>
      </c>
      <c r="B1639" t="str">
        <f>"1.111"</f>
        <v>1.111</v>
      </c>
      <c r="C1639" t="str">
        <f>"1.1121"</f>
        <v>1.1121</v>
      </c>
    </row>
    <row r="1640" spans="1:3" x14ac:dyDescent="0.25">
      <c r="A1640" t="str">
        <f>"15/03/2016"</f>
        <v>15/03/2016</v>
      </c>
      <c r="B1640" t="str">
        <f>"1.1098"</f>
        <v>1.1098</v>
      </c>
      <c r="C1640" t="str">
        <f>"1.1109"</f>
        <v>1.1109</v>
      </c>
    </row>
    <row r="1641" spans="1:3" x14ac:dyDescent="0.25">
      <c r="A1641" t="str">
        <f>"16/03/2016"</f>
        <v>16/03/2016</v>
      </c>
      <c r="B1641" t="str">
        <f>"1.1084"</f>
        <v>1.1084</v>
      </c>
      <c r="C1641" t="str">
        <f>"1.1094"</f>
        <v>1.1094</v>
      </c>
    </row>
    <row r="1642" spans="1:3" x14ac:dyDescent="0.25">
      <c r="A1642" t="str">
        <f>"17/03/2016"</f>
        <v>17/03/2016</v>
      </c>
      <c r="B1642" t="str">
        <f>"1.1324"</f>
        <v>1.1324</v>
      </c>
      <c r="C1642" t="str">
        <f>"1.1334"</f>
        <v>1.1334</v>
      </c>
    </row>
    <row r="1643" spans="1:3" x14ac:dyDescent="0.25">
      <c r="A1643" t="str">
        <f>"18/03/2016"</f>
        <v>18/03/2016</v>
      </c>
      <c r="B1643" t="str">
        <f>"1.1273"</f>
        <v>1.1273</v>
      </c>
      <c r="C1643" t="str">
        <f>"1.1283"</f>
        <v>1.1283</v>
      </c>
    </row>
    <row r="1644" spans="1:3" x14ac:dyDescent="0.25">
      <c r="A1644" t="str">
        <f>"21/03/2016"</f>
        <v>21/03/2016</v>
      </c>
      <c r="B1644" t="str">
        <f>"1.1274"</f>
        <v>1.1274</v>
      </c>
      <c r="C1644" t="str">
        <f>"1.1285"</f>
        <v>1.1285</v>
      </c>
    </row>
    <row r="1645" spans="1:3" x14ac:dyDescent="0.25">
      <c r="A1645" t="str">
        <f>"22/03/2016"</f>
        <v>22/03/2016</v>
      </c>
      <c r="B1645" t="str">
        <f>"1.1208"</f>
        <v>1.1208</v>
      </c>
      <c r="C1645" t="str">
        <f>"1.1219"</f>
        <v>1.1219</v>
      </c>
    </row>
    <row r="1646" spans="1:3" x14ac:dyDescent="0.25">
      <c r="A1646" t="str">
        <f>"23/03/2016"</f>
        <v>23/03/2016</v>
      </c>
      <c r="B1646" t="str">
        <f>"1.1196"</f>
        <v>1.1196</v>
      </c>
      <c r="C1646" t="str">
        <f>"1.1206"</f>
        <v>1.1206</v>
      </c>
    </row>
    <row r="1647" spans="1:3" x14ac:dyDescent="0.25">
      <c r="A1647" t="str">
        <f>"28/03/2016"</f>
        <v>28/03/2016</v>
      </c>
      <c r="B1647" t="str">
        <f>"1.1164"</f>
        <v>1.1164</v>
      </c>
      <c r="C1647" t="str">
        <f>"1.1174"</f>
        <v>1.1174</v>
      </c>
    </row>
    <row r="1648" spans="1:3" x14ac:dyDescent="0.25">
      <c r="A1648" t="str">
        <f>"29/03/2016"</f>
        <v>29/03/2016</v>
      </c>
      <c r="B1648" t="str">
        <f>"1.1197"</f>
        <v>1.1197</v>
      </c>
      <c r="C1648" t="str">
        <f>"1.1207"</f>
        <v>1.1207</v>
      </c>
    </row>
    <row r="1649" spans="1:3" x14ac:dyDescent="0.25">
      <c r="A1649" t="str">
        <f>"30/03/2016"</f>
        <v>30/03/2016</v>
      </c>
      <c r="B1649" t="str">
        <f>"1.1328"</f>
        <v>1.1328</v>
      </c>
      <c r="C1649" t="str">
        <f>"1.1338"</f>
        <v>1.1338</v>
      </c>
    </row>
    <row r="1650" spans="1:3" x14ac:dyDescent="0.25">
      <c r="A1650" t="str">
        <f>"31/03/2016"</f>
        <v>31/03/2016</v>
      </c>
      <c r="B1650" t="str">
        <f>"1.1381"</f>
        <v>1.1381</v>
      </c>
      <c r="C1650" t="str">
        <f>"1.1391"</f>
        <v>1.1391</v>
      </c>
    </row>
    <row r="1651" spans="1:3" x14ac:dyDescent="0.25">
      <c r="A1651" t="str">
        <f>"04/04/2016"</f>
        <v>04/04/2016</v>
      </c>
      <c r="B1651" t="str">
        <f>"1.137"</f>
        <v>1.137</v>
      </c>
      <c r="C1651" t="str">
        <f>"1.138"</f>
        <v>1.138</v>
      </c>
    </row>
    <row r="1652" spans="1:3" x14ac:dyDescent="0.25">
      <c r="A1652" t="str">
        <f>"05/04/2016"</f>
        <v>05/04/2016</v>
      </c>
      <c r="B1652" t="str">
        <f>"1.1362"</f>
        <v>1.1362</v>
      </c>
      <c r="C1652" t="str">
        <f>"1.1372"</f>
        <v>1.1372</v>
      </c>
    </row>
    <row r="1653" spans="1:3" x14ac:dyDescent="0.25">
      <c r="A1653" t="str">
        <f>"06/04/2016"</f>
        <v>06/04/2016</v>
      </c>
      <c r="B1653" t="str">
        <f>"1.1333"</f>
        <v>1.1333</v>
      </c>
      <c r="C1653" t="str">
        <f>"1.1343"</f>
        <v>1.1343</v>
      </c>
    </row>
    <row r="1654" spans="1:3" x14ac:dyDescent="0.25">
      <c r="A1654" t="str">
        <f>"07/04/2016"</f>
        <v>07/04/2016</v>
      </c>
      <c r="B1654" t="str">
        <f>"1.1418"</f>
        <v>1.1418</v>
      </c>
      <c r="C1654" t="str">
        <f>"1.1428"</f>
        <v>1.1428</v>
      </c>
    </row>
    <row r="1655" spans="1:3" x14ac:dyDescent="0.25">
      <c r="A1655" t="str">
        <f>"11/04/2016"</f>
        <v>11/04/2016</v>
      </c>
      <c r="B1655" t="str">
        <f>"1.1403"</f>
        <v>1.1403</v>
      </c>
      <c r="C1655" t="str">
        <f>"1.1413"</f>
        <v>1.1413</v>
      </c>
    </row>
    <row r="1656" spans="1:3" x14ac:dyDescent="0.25">
      <c r="A1656" t="str">
        <f>"12/04/2016"</f>
        <v>12/04/2016</v>
      </c>
      <c r="B1656" t="str">
        <f>"1.1404"</f>
        <v>1.1404</v>
      </c>
      <c r="C1656" t="str">
        <f>"1.1415"</f>
        <v>1.1415</v>
      </c>
    </row>
    <row r="1657" spans="1:3" x14ac:dyDescent="0.25">
      <c r="A1657" t="str">
        <f>"13/04/2016"</f>
        <v>13/04/2016</v>
      </c>
      <c r="B1657" t="str">
        <f>"1.1363"</f>
        <v>1.1363</v>
      </c>
      <c r="C1657" t="str">
        <f>"1.1373"</f>
        <v>1.1373</v>
      </c>
    </row>
    <row r="1658" spans="1:3" x14ac:dyDescent="0.25">
      <c r="A1658" t="str">
        <f>"18/04/2016"</f>
        <v>18/04/2016</v>
      </c>
      <c r="B1658" t="str">
        <f>"1.1307"</f>
        <v>1.1307</v>
      </c>
      <c r="C1658" t="str">
        <f>"1.1317"</f>
        <v>1.1317</v>
      </c>
    </row>
    <row r="1659" spans="1:3" x14ac:dyDescent="0.25">
      <c r="A1659" t="str">
        <f>"20/04/2016"</f>
        <v>20/04/2016</v>
      </c>
      <c r="B1659" t="str">
        <f>"1.1377"</f>
        <v>1.1377</v>
      </c>
      <c r="C1659" t="str">
        <f>"1.1387"</f>
        <v>1.1387</v>
      </c>
    </row>
    <row r="1660" spans="1:3" x14ac:dyDescent="0.25">
      <c r="A1660" t="str">
        <f>"21/04/2016"</f>
        <v>21/04/2016</v>
      </c>
      <c r="B1660" t="str">
        <f>"1.135"</f>
        <v>1.135</v>
      </c>
      <c r="C1660" t="str">
        <f>"1.136"</f>
        <v>1.136</v>
      </c>
    </row>
    <row r="1661" spans="1:3" x14ac:dyDescent="0.25">
      <c r="A1661" t="str">
        <f>"22/04/2016"</f>
        <v>22/04/2016</v>
      </c>
      <c r="B1661" t="str">
        <f>"1.1267"</f>
        <v>1.1267</v>
      </c>
      <c r="C1661" t="str">
        <f>"1.1277"</f>
        <v>1.1277</v>
      </c>
    </row>
    <row r="1662" spans="1:3" x14ac:dyDescent="0.25">
      <c r="A1662" t="str">
        <f>"25/04/2016"</f>
        <v>25/04/2016</v>
      </c>
      <c r="B1662" t="str">
        <f>"1.1258"</f>
        <v>1.1258</v>
      </c>
      <c r="C1662" t="str">
        <f>"1.1268"</f>
        <v>1.1268</v>
      </c>
    </row>
    <row r="1663" spans="1:3" x14ac:dyDescent="0.25">
      <c r="A1663" t="str">
        <f>"26/04/2016"</f>
        <v>26/04/2016</v>
      </c>
      <c r="B1663" t="str">
        <f>"1.128"</f>
        <v>1.128</v>
      </c>
      <c r="C1663" t="str">
        <f>"1.1291"</f>
        <v>1.1291</v>
      </c>
    </row>
    <row r="1664" spans="1:3" x14ac:dyDescent="0.25">
      <c r="A1664" t="str">
        <f>"27/04/2016"</f>
        <v>27/04/2016</v>
      </c>
      <c r="B1664" t="str">
        <f>"1.1307"</f>
        <v>1.1307</v>
      </c>
      <c r="C1664" t="str">
        <f>"1.1317"</f>
        <v>1.1317</v>
      </c>
    </row>
    <row r="1665" spans="1:3" x14ac:dyDescent="0.25">
      <c r="A1665" t="str">
        <f>"28/04/2016"</f>
        <v>28/04/2016</v>
      </c>
      <c r="B1665" t="str">
        <f>"1.1349"</f>
        <v>1.1349</v>
      </c>
      <c r="C1665" t="str">
        <f>"1.1359"</f>
        <v>1.1359</v>
      </c>
    </row>
    <row r="1666" spans="1:3" x14ac:dyDescent="0.25">
      <c r="A1666" t="str">
        <f>"29/04/2016"</f>
        <v>29/04/2016</v>
      </c>
      <c r="B1666" t="str">
        <f>"1.145"</f>
        <v>1.145</v>
      </c>
      <c r="C1666" t="str">
        <f>"1.146"</f>
        <v>1.146</v>
      </c>
    </row>
    <row r="1667" spans="1:3" x14ac:dyDescent="0.25">
      <c r="A1667" t="str">
        <f>"02/05/2016"</f>
        <v>02/05/2016</v>
      </c>
      <c r="B1667" t="str">
        <f>"1.1479"</f>
        <v>1.1479</v>
      </c>
      <c r="C1667" t="str">
        <f>"1.149"</f>
        <v>1.149</v>
      </c>
    </row>
    <row r="1668" spans="1:3" x14ac:dyDescent="0.25">
      <c r="A1668" t="str">
        <f>"03/05/2016"</f>
        <v>03/05/2016</v>
      </c>
      <c r="B1668" t="str">
        <f>"1.1538"</f>
        <v>1.1538</v>
      </c>
      <c r="C1668" t="str">
        <f>"1.1548"</f>
        <v>1.1548</v>
      </c>
    </row>
    <row r="1669" spans="1:3" x14ac:dyDescent="0.25">
      <c r="A1669" t="str">
        <f>"04/05/2016"</f>
        <v>04/05/2016</v>
      </c>
      <c r="B1669" t="str">
        <f>"1.1498"</f>
        <v>1.1498</v>
      </c>
      <c r="C1669" t="str">
        <f>"1.1508"</f>
        <v>1.1508</v>
      </c>
    </row>
    <row r="1670" spans="1:3" x14ac:dyDescent="0.25">
      <c r="A1670" t="str">
        <f>"05/05/2016"</f>
        <v>05/05/2016</v>
      </c>
      <c r="B1670" t="str">
        <f>"1.143"</f>
        <v>1.143</v>
      </c>
      <c r="C1670" t="str">
        <f>"1.144"</f>
        <v>1.144</v>
      </c>
    </row>
    <row r="1671" spans="1:3" x14ac:dyDescent="0.25">
      <c r="A1671" t="str">
        <f>"06/05/2016"</f>
        <v>06/05/2016</v>
      </c>
      <c r="B1671" t="str">
        <f>"1.1421"</f>
        <v>1.1421</v>
      </c>
      <c r="C1671" t="str">
        <f>"1.1431"</f>
        <v>1.1431</v>
      </c>
    </row>
    <row r="1672" spans="1:3" x14ac:dyDescent="0.25">
      <c r="A1672" t="str">
        <f>"09/05/2016"</f>
        <v>09/05/2016</v>
      </c>
      <c r="B1672" t="str">
        <f>"1.1385"</f>
        <v>1.1385</v>
      </c>
      <c r="C1672" t="str">
        <f>"1.1396"</f>
        <v>1.1396</v>
      </c>
    </row>
    <row r="1673" spans="1:3" x14ac:dyDescent="0.25">
      <c r="A1673" t="str">
        <f>"10/05/2016"</f>
        <v>10/05/2016</v>
      </c>
      <c r="B1673" t="str">
        <f>"1.1369"</f>
        <v>1.1369</v>
      </c>
      <c r="C1673" t="str">
        <f>"1.138"</f>
        <v>1.138</v>
      </c>
    </row>
    <row r="1674" spans="1:3" x14ac:dyDescent="0.25">
      <c r="A1674" t="str">
        <f>"11/05/2016"</f>
        <v>11/05/2016</v>
      </c>
      <c r="B1674" t="str">
        <f>"1.1398"</f>
        <v>1.1398</v>
      </c>
      <c r="C1674" t="str">
        <f>"1.1408"</f>
        <v>1.1408</v>
      </c>
    </row>
    <row r="1675" spans="1:3" x14ac:dyDescent="0.25">
      <c r="A1675" t="str">
        <f>"12/05/2016"</f>
        <v>12/05/2016</v>
      </c>
      <c r="B1675" t="str">
        <f>"1.1386"</f>
        <v>1.1386</v>
      </c>
      <c r="C1675" t="str">
        <f>"1.1396"</f>
        <v>1.1396</v>
      </c>
    </row>
    <row r="1676" spans="1:3" x14ac:dyDescent="0.25">
      <c r="A1676" t="str">
        <f>"13/05/2016"</f>
        <v>13/05/2016</v>
      </c>
      <c r="B1676" t="str">
        <f>"1.1317"</f>
        <v>1.1317</v>
      </c>
      <c r="C1676" t="str">
        <f>"1.1327"</f>
        <v>1.1327</v>
      </c>
    </row>
    <row r="1677" spans="1:3" x14ac:dyDescent="0.25">
      <c r="A1677" t="str">
        <f>"16/05/2016"</f>
        <v>16/05/2016</v>
      </c>
      <c r="B1677" t="str">
        <f>"1.1319"</f>
        <v>1.1319</v>
      </c>
      <c r="C1677" t="str">
        <f>"1.133"</f>
        <v>1.133</v>
      </c>
    </row>
    <row r="1678" spans="1:3" x14ac:dyDescent="0.25">
      <c r="A1678" t="str">
        <f>"17/05/2016"</f>
        <v>17/05/2016</v>
      </c>
      <c r="B1678" t="str">
        <f>"1.132"</f>
        <v>1.132</v>
      </c>
      <c r="C1678" t="str">
        <f>"1.133"</f>
        <v>1.133</v>
      </c>
    </row>
    <row r="1679" spans="1:3" x14ac:dyDescent="0.25">
      <c r="A1679" t="str">
        <f>"18/05/2016"</f>
        <v>18/05/2016</v>
      </c>
      <c r="B1679" t="str">
        <f>"1.1283"</f>
        <v>1.1283</v>
      </c>
      <c r="C1679" t="str">
        <f>"1.1293"</f>
        <v>1.1293</v>
      </c>
    </row>
    <row r="1680" spans="1:3" x14ac:dyDescent="0.25">
      <c r="A1680" t="str">
        <f>"19/05/2016"</f>
        <v>19/05/2016</v>
      </c>
      <c r="B1680" t="str">
        <f>"1.1218"</f>
        <v>1.1218</v>
      </c>
      <c r="C1680" t="str">
        <f>"1.1228"</f>
        <v>1.1228</v>
      </c>
    </row>
    <row r="1681" spans="1:3" x14ac:dyDescent="0.25">
      <c r="A1681" t="str">
        <f>"20/05/2016"</f>
        <v>20/05/2016</v>
      </c>
      <c r="B1681" t="str">
        <f>"1.1214"</f>
        <v>1.1214</v>
      </c>
      <c r="C1681" t="str">
        <f>"1.1224"</f>
        <v>1.1224</v>
      </c>
    </row>
    <row r="1682" spans="1:3" x14ac:dyDescent="0.25">
      <c r="A1682" t="str">
        <f>"23/05/2016"</f>
        <v>23/05/2016</v>
      </c>
      <c r="B1682" t="str">
        <f>"1.1216"</f>
        <v>1.1216</v>
      </c>
      <c r="C1682" t="str">
        <f>"1.1227"</f>
        <v>1.1227</v>
      </c>
    </row>
    <row r="1683" spans="1:3" x14ac:dyDescent="0.25">
      <c r="A1683" t="str">
        <f>"24/05/2016"</f>
        <v>24/05/2016</v>
      </c>
      <c r="B1683" t="str">
        <f>"1.1212"</f>
        <v>1.1212</v>
      </c>
      <c r="C1683" t="str">
        <f>"1.1222"</f>
        <v>1.1222</v>
      </c>
    </row>
    <row r="1684" spans="1:3" x14ac:dyDescent="0.25">
      <c r="A1684" t="str">
        <f>"25/05/2016"</f>
        <v>25/05/2016</v>
      </c>
      <c r="B1684" t="str">
        <f>"1.1148"</f>
        <v>1.1148</v>
      </c>
      <c r="C1684" t="str">
        <f>"1.1158"</f>
        <v>1.1158</v>
      </c>
    </row>
    <row r="1685" spans="1:3" x14ac:dyDescent="0.25">
      <c r="A1685" t="str">
        <f>"26/05/2016"</f>
        <v>26/05/2016</v>
      </c>
      <c r="B1685" t="str">
        <f>"1.1172"</f>
        <v>1.1172</v>
      </c>
      <c r="C1685" t="str">
        <f>"1.1182"</f>
        <v>1.1182</v>
      </c>
    </row>
    <row r="1686" spans="1:3" x14ac:dyDescent="0.25">
      <c r="A1686" t="str">
        <f>"27/05/2016"</f>
        <v>27/05/2016</v>
      </c>
      <c r="B1686" t="str">
        <f>"1.117"</f>
        <v>1.117</v>
      </c>
      <c r="C1686" t="str">
        <f>"1.118"</f>
        <v>1.118</v>
      </c>
    </row>
    <row r="1687" spans="1:3" x14ac:dyDescent="0.25">
      <c r="A1687" t="str">
        <f>"30/05/2016"</f>
        <v>30/05/2016</v>
      </c>
      <c r="B1687" t="str">
        <f>"1.1139"</f>
        <v>1.1139</v>
      </c>
      <c r="C1687" t="str">
        <f>"1.115"</f>
        <v>1.115</v>
      </c>
    </row>
    <row r="1688" spans="1:3" x14ac:dyDescent="0.25">
      <c r="A1688" t="str">
        <f>"31/05/2016"</f>
        <v>31/05/2016</v>
      </c>
      <c r="B1688" t="str">
        <f>"1.1161"</f>
        <v>1.1161</v>
      </c>
      <c r="C1688" t="str">
        <f>"1.1174"</f>
        <v>1.1174</v>
      </c>
    </row>
    <row r="1689" spans="1:3" x14ac:dyDescent="0.25">
      <c r="A1689" t="str">
        <f>"01/06/2016"</f>
        <v>01/06/2016</v>
      </c>
      <c r="B1689" t="str">
        <f>"1.1183"</f>
        <v>1.1183</v>
      </c>
      <c r="C1689" t="str">
        <f>"1.1196"</f>
        <v>1.1196</v>
      </c>
    </row>
    <row r="1690" spans="1:3" x14ac:dyDescent="0.25">
      <c r="A1690" t="str">
        <f>"02/06/2016"</f>
        <v>02/06/2016</v>
      </c>
      <c r="B1690" t="str">
        <f>"1.1193"</f>
        <v>1.1193</v>
      </c>
      <c r="C1690" t="str">
        <f>"1.1205"</f>
        <v>1.1205</v>
      </c>
    </row>
    <row r="1691" spans="1:3" x14ac:dyDescent="0.25">
      <c r="A1691" t="str">
        <f>"03/06/2016"</f>
        <v>03/06/2016</v>
      </c>
      <c r="B1691" t="str">
        <f>"1.1143"</f>
        <v>1.1143</v>
      </c>
      <c r="C1691" t="str">
        <f>"1.1155"</f>
        <v>1.1155</v>
      </c>
    </row>
    <row r="1692" spans="1:3" x14ac:dyDescent="0.25">
      <c r="A1692" t="str">
        <f>"06/06/2016"</f>
        <v>06/06/2016</v>
      </c>
      <c r="B1692" t="str">
        <f>"1.1344"</f>
        <v>1.1344</v>
      </c>
      <c r="C1692" t="str">
        <f>"1.1356"</f>
        <v>1.1356</v>
      </c>
    </row>
    <row r="1693" spans="1:3" x14ac:dyDescent="0.25">
      <c r="A1693" t="str">
        <f>"07/06/2016"</f>
        <v>07/06/2016</v>
      </c>
      <c r="B1693" t="str">
        <f>"1.1348"</f>
        <v>1.1348</v>
      </c>
      <c r="C1693" t="str">
        <f>"1.1361"</f>
        <v>1.1361</v>
      </c>
    </row>
    <row r="1694" spans="1:3" x14ac:dyDescent="0.25">
      <c r="A1694" t="str">
        <f>"08/06/2016"</f>
        <v>08/06/2016</v>
      </c>
      <c r="B1694" t="str">
        <f>"1.1379"</f>
        <v>1.1379</v>
      </c>
      <c r="C1694" t="str">
        <f>"1.1392"</f>
        <v>1.1392</v>
      </c>
    </row>
    <row r="1695" spans="1:3" x14ac:dyDescent="0.25">
      <c r="A1695" t="str">
        <f>"09/06/2016"</f>
        <v>09/06/2016</v>
      </c>
      <c r="B1695" t="str">
        <f>"1.1341"</f>
        <v>1.1341</v>
      </c>
      <c r="C1695" t="str">
        <f>"1.1353"</f>
        <v>1.1353</v>
      </c>
    </row>
    <row r="1696" spans="1:3" x14ac:dyDescent="0.25">
      <c r="A1696" t="str">
        <f>"10/06/2016"</f>
        <v>10/06/2016</v>
      </c>
      <c r="B1696" t="str">
        <f>"1.1304"</f>
        <v>1.1304</v>
      </c>
      <c r="C1696" t="str">
        <f>"1.1316"</f>
        <v>1.1316</v>
      </c>
    </row>
    <row r="1697" spans="1:3" x14ac:dyDescent="0.25">
      <c r="A1697" t="str">
        <f>"13/06/2016"</f>
        <v>13/06/2016</v>
      </c>
      <c r="B1697" t="str">
        <f>"1.1269"</f>
        <v>1.1269</v>
      </c>
      <c r="C1697" t="str">
        <f>"1.1282"</f>
        <v>1.1282</v>
      </c>
    </row>
    <row r="1698" spans="1:3" x14ac:dyDescent="0.25">
      <c r="A1698" t="str">
        <f>"14/06/2016"</f>
        <v>14/06/2016</v>
      </c>
      <c r="B1698" t="str">
        <f>"1.1225"</f>
        <v>1.1225</v>
      </c>
      <c r="C1698" t="str">
        <f>"1.1239"</f>
        <v>1.1239</v>
      </c>
    </row>
    <row r="1699" spans="1:3" x14ac:dyDescent="0.25">
      <c r="A1699" t="str">
        <f>"15/06/2016"</f>
        <v>15/06/2016</v>
      </c>
      <c r="B1699" t="str">
        <f>"1.1206"</f>
        <v>1.1206</v>
      </c>
      <c r="C1699" t="str">
        <f>"1.122"</f>
        <v>1.122</v>
      </c>
    </row>
    <row r="1700" spans="1:3" x14ac:dyDescent="0.25">
      <c r="A1700" t="str">
        <f>"16/06/2016"</f>
        <v>16/06/2016</v>
      </c>
      <c r="B1700" t="str">
        <f>"1.1184"</f>
        <v>1.1184</v>
      </c>
      <c r="C1700" t="str">
        <f>"1.1198"</f>
        <v>1.1198</v>
      </c>
    </row>
    <row r="1701" spans="1:3" x14ac:dyDescent="0.25">
      <c r="A1701" t="str">
        <f>"17/06/2016"</f>
        <v>17/06/2016</v>
      </c>
      <c r="B1701" t="str">
        <f>"1.1256"</f>
        <v>1.1256</v>
      </c>
      <c r="C1701" t="str">
        <f>"1.127"</f>
        <v>1.127</v>
      </c>
    </row>
    <row r="1702" spans="1:3" x14ac:dyDescent="0.25">
      <c r="A1702" t="str">
        <f>"20/06/2016"</f>
        <v>20/06/2016</v>
      </c>
      <c r="B1702" t="str">
        <f>"1.1327"</f>
        <v>1.1327</v>
      </c>
      <c r="C1702" t="str">
        <f>"1.134"</f>
        <v>1.134</v>
      </c>
    </row>
    <row r="1703" spans="1:3" x14ac:dyDescent="0.25">
      <c r="A1703" t="str">
        <f>"21/06/2016"</f>
        <v>21/06/2016</v>
      </c>
      <c r="B1703" t="str">
        <f>"1.1327"</f>
        <v>1.1327</v>
      </c>
      <c r="C1703" t="str">
        <f>"1.1342"</f>
        <v>1.1342</v>
      </c>
    </row>
    <row r="1704" spans="1:3" x14ac:dyDescent="0.25">
      <c r="A1704" t="str">
        <f>"22/06/2016"</f>
        <v>22/06/2016</v>
      </c>
      <c r="B1704" t="str">
        <f>"1.1287"</f>
        <v>1.1287</v>
      </c>
      <c r="C1704" t="str">
        <f>"1.1302"</f>
        <v>1.1302</v>
      </c>
    </row>
    <row r="1705" spans="1:3" x14ac:dyDescent="0.25">
      <c r="A1705" t="str">
        <f>"23/06/2016"</f>
        <v>23/06/2016</v>
      </c>
      <c r="B1705" t="str">
        <f>"1.1387"</f>
        <v>1.1387</v>
      </c>
      <c r="C1705" t="str">
        <f>"1.1401"</f>
        <v>1.1401</v>
      </c>
    </row>
    <row r="1706" spans="1:3" x14ac:dyDescent="0.25">
      <c r="A1706" t="str">
        <f>"24/06/2016"</f>
        <v>24/06/2016</v>
      </c>
      <c r="B1706" t="str">
        <f>"1.1047"</f>
        <v>1.1047</v>
      </c>
      <c r="C1706" t="str">
        <f>"1.1064"</f>
        <v>1.1064</v>
      </c>
    </row>
    <row r="1707" spans="1:3" x14ac:dyDescent="0.25">
      <c r="A1707" t="str">
        <f>"27/06/2016"</f>
        <v>27/06/2016</v>
      </c>
      <c r="B1707" t="str">
        <f>"1.099"</f>
        <v>1.099</v>
      </c>
      <c r="C1707" t="str">
        <f>"1.1003"</f>
        <v>1.1003</v>
      </c>
    </row>
    <row r="1708" spans="1:3" x14ac:dyDescent="0.25">
      <c r="A1708" t="str">
        <f>"28/06/2016"</f>
        <v>28/06/2016</v>
      </c>
      <c r="B1708" t="str">
        <f>"1.1073"</f>
        <v>1.1073</v>
      </c>
      <c r="C1708" t="str">
        <f>"1.1085"</f>
        <v>1.1085</v>
      </c>
    </row>
    <row r="1709" spans="1:3" x14ac:dyDescent="0.25">
      <c r="A1709" t="str">
        <f>"29/06/2016"</f>
        <v>29/06/2016</v>
      </c>
      <c r="B1709" t="str">
        <f>"1.1077"</f>
        <v>1.1077</v>
      </c>
      <c r="C1709" t="str">
        <f>"1.109"</f>
        <v>1.109</v>
      </c>
    </row>
    <row r="1710" spans="1:3" x14ac:dyDescent="0.25">
      <c r="A1710" t="str">
        <f>"30/06/2016"</f>
        <v>30/06/2016</v>
      </c>
      <c r="B1710" t="str">
        <f>"1.1122"</f>
        <v>1.1122</v>
      </c>
      <c r="C1710" t="str">
        <f>"1.1134"</f>
        <v>1.1134</v>
      </c>
    </row>
    <row r="1711" spans="1:3" x14ac:dyDescent="0.25">
      <c r="A1711" t="str">
        <f>"01/07/2016"</f>
        <v>01/07/2016</v>
      </c>
      <c r="B1711" t="str">
        <f>"1.1124"</f>
        <v>1.1124</v>
      </c>
      <c r="C1711" t="str">
        <f>"1.1136"</f>
        <v>1.1136</v>
      </c>
    </row>
    <row r="1712" spans="1:3" x14ac:dyDescent="0.25">
      <c r="A1712" t="str">
        <f>"04/07/2016"</f>
        <v>04/07/2016</v>
      </c>
      <c r="B1712" t="str">
        <f>"1.1135"</f>
        <v>1.1135</v>
      </c>
      <c r="C1712" t="str">
        <f>"1.1147"</f>
        <v>1.1147</v>
      </c>
    </row>
    <row r="1713" spans="1:3" x14ac:dyDescent="0.25">
      <c r="A1713" t="str">
        <f>"05/07/2016"</f>
        <v>05/07/2016</v>
      </c>
      <c r="B1713" t="str">
        <f>"1.1158"</f>
        <v>1.1158</v>
      </c>
      <c r="C1713" t="str">
        <f>"1.117"</f>
        <v>1.117</v>
      </c>
    </row>
    <row r="1714" spans="1:3" x14ac:dyDescent="0.25">
      <c r="A1714" t="str">
        <f>"07/07/2016"</f>
        <v>07/07/2016</v>
      </c>
      <c r="B1714" t="str">
        <f>"1.1074"</f>
        <v>1.1074</v>
      </c>
      <c r="C1714" t="str">
        <f>"1.1087"</f>
        <v>1.1087</v>
      </c>
    </row>
    <row r="1715" spans="1:3" x14ac:dyDescent="0.25">
      <c r="A1715" t="str">
        <f>"08/07/2016"</f>
        <v>08/07/2016</v>
      </c>
      <c r="B1715" t="str">
        <f>"1.1065"</f>
        <v>1.1065</v>
      </c>
      <c r="C1715" t="str">
        <f>"1.1078"</f>
        <v>1.1078</v>
      </c>
    </row>
    <row r="1716" spans="1:3" x14ac:dyDescent="0.25">
      <c r="A1716" t="str">
        <f>"11/07/2016"</f>
        <v>11/07/2016</v>
      </c>
      <c r="B1716" t="str">
        <f>"1.1025"</f>
        <v>1.1025</v>
      </c>
      <c r="C1716" t="str">
        <f>"1.1038"</f>
        <v>1.1038</v>
      </c>
    </row>
    <row r="1717" spans="1:3" x14ac:dyDescent="0.25">
      <c r="A1717" t="str">
        <f>"12/07/2016"</f>
        <v>12/07/2016</v>
      </c>
      <c r="B1717" t="str">
        <f>"1.1099"</f>
        <v>1.1099</v>
      </c>
      <c r="C1717" t="str">
        <f>"1.1112"</f>
        <v>1.1112</v>
      </c>
    </row>
    <row r="1718" spans="1:3" x14ac:dyDescent="0.25">
      <c r="A1718" t="str">
        <f>"13/07/2016"</f>
        <v>13/07/2016</v>
      </c>
      <c r="B1718" t="str">
        <f>"1.1077"</f>
        <v>1.1077</v>
      </c>
      <c r="C1718" t="str">
        <f>"1.109"</f>
        <v>1.109</v>
      </c>
    </row>
    <row r="1719" spans="1:3" x14ac:dyDescent="0.25">
      <c r="A1719" t="str">
        <f>"14/07/2016"</f>
        <v>14/07/2016</v>
      </c>
      <c r="B1719" t="str">
        <f>"1.116"</f>
        <v>1.116</v>
      </c>
      <c r="C1719" t="str">
        <f>"1.1173"</f>
        <v>1.1173</v>
      </c>
    </row>
    <row r="1720" spans="1:3" x14ac:dyDescent="0.25">
      <c r="A1720" t="str">
        <f>"15/07/2016"</f>
        <v>15/07/2016</v>
      </c>
      <c r="B1720" t="str">
        <f>"1.1082"</f>
        <v>1.1082</v>
      </c>
      <c r="C1720" t="str">
        <f>"1.1095"</f>
        <v>1.1095</v>
      </c>
    </row>
    <row r="1721" spans="1:3" x14ac:dyDescent="0.25">
      <c r="A1721" t="str">
        <f>"18/07/2016"</f>
        <v>18/07/2016</v>
      </c>
      <c r="B1721" t="str">
        <f>"1.105"</f>
        <v>1.105</v>
      </c>
      <c r="C1721" t="str">
        <f>"1.1065"</f>
        <v>1.1065</v>
      </c>
    </row>
    <row r="1722" spans="1:3" x14ac:dyDescent="0.25">
      <c r="A1722" t="str">
        <f>"19/07/2016"</f>
        <v>19/07/2016</v>
      </c>
      <c r="B1722" t="str">
        <f>"1.1074"</f>
        <v>1.1074</v>
      </c>
      <c r="C1722" t="str">
        <f>"1.1088"</f>
        <v>1.1088</v>
      </c>
    </row>
    <row r="1723" spans="1:3" x14ac:dyDescent="0.25">
      <c r="A1723" t="str">
        <f>"20/07/2016"</f>
        <v>20/07/2016</v>
      </c>
      <c r="B1723" t="str">
        <f>"1.1011"</f>
        <v>1.1011</v>
      </c>
      <c r="C1723" t="str">
        <f>"1.1024"</f>
        <v>1.1024</v>
      </c>
    </row>
    <row r="1724" spans="1:3" x14ac:dyDescent="0.25">
      <c r="A1724" t="str">
        <f>"21/07/2016"</f>
        <v>21/07/2016</v>
      </c>
      <c r="B1724" t="str">
        <f>"1.1014"</f>
        <v>1.1014</v>
      </c>
      <c r="C1724" t="str">
        <f>"1.1027"</f>
        <v>1.1027</v>
      </c>
    </row>
    <row r="1725" spans="1:3" x14ac:dyDescent="0.25">
      <c r="A1725" t="str">
        <f>"22/07/2016"</f>
        <v>22/07/2016</v>
      </c>
      <c r="B1725" t="str">
        <f>"1.1017"</f>
        <v>1.1017</v>
      </c>
      <c r="C1725" t="str">
        <f>"1.103"</f>
        <v>1.103</v>
      </c>
    </row>
    <row r="1726" spans="1:3" x14ac:dyDescent="0.25">
      <c r="A1726" t="str">
        <f>"25/07/2016"</f>
        <v>25/07/2016</v>
      </c>
      <c r="B1726" t="str">
        <f>"1.0985"</f>
        <v>1.0985</v>
      </c>
      <c r="C1726" t="str">
        <f>"1.0999"</f>
        <v>1.0999</v>
      </c>
    </row>
    <row r="1727" spans="1:3" x14ac:dyDescent="0.25">
      <c r="A1727" t="str">
        <f>"26/07/2016"</f>
        <v>26/07/2016</v>
      </c>
      <c r="B1727" t="str">
        <f>"1.0993"</f>
        <v>1.0993</v>
      </c>
      <c r="C1727" t="str">
        <f>"1.1007"</f>
        <v>1.1007</v>
      </c>
    </row>
    <row r="1728" spans="1:3" x14ac:dyDescent="0.25">
      <c r="A1728" t="str">
        <f>"27/07/2016"</f>
        <v>27/07/2016</v>
      </c>
      <c r="B1728" t="str">
        <f>"1.0992"</f>
        <v>1.0992</v>
      </c>
      <c r="C1728" t="str">
        <f>"1.1007"</f>
        <v>1.1007</v>
      </c>
    </row>
    <row r="1729" spans="1:3" x14ac:dyDescent="0.25">
      <c r="A1729" t="str">
        <f>"28/07/2016"</f>
        <v>28/07/2016</v>
      </c>
      <c r="B1729" t="str">
        <f>"1.1071"</f>
        <v>1.1071</v>
      </c>
      <c r="C1729" t="str">
        <f>"1.1084"</f>
        <v>1.1084</v>
      </c>
    </row>
    <row r="1730" spans="1:3" x14ac:dyDescent="0.25">
      <c r="A1730" t="str">
        <f>"29/07/2016"</f>
        <v>29/07/2016</v>
      </c>
      <c r="B1730" t="str">
        <f>"1.1109"</f>
        <v>1.1109</v>
      </c>
      <c r="C1730" t="str">
        <f>"1.1122"</f>
        <v>1.1122</v>
      </c>
    </row>
    <row r="1731" spans="1:3" x14ac:dyDescent="0.25">
      <c r="A1731" t="str">
        <f>"01/08/2016"</f>
        <v>01/08/2016</v>
      </c>
      <c r="B1731" t="str">
        <f>"1.1166"</f>
        <v>1.1166</v>
      </c>
      <c r="C1731" t="str">
        <f>"1.118"</f>
        <v>1.118</v>
      </c>
    </row>
    <row r="1732" spans="1:3" x14ac:dyDescent="0.25">
      <c r="A1732" t="str">
        <f>"02/08/2016"</f>
        <v>02/08/2016</v>
      </c>
      <c r="B1732" t="str">
        <f>"1.1191"</f>
        <v>1.1191</v>
      </c>
      <c r="C1732" t="str">
        <f>"1.1205"</f>
        <v>1.1205</v>
      </c>
    </row>
    <row r="1733" spans="1:3" x14ac:dyDescent="0.25">
      <c r="A1733" t="str">
        <f>"03/08/2016"</f>
        <v>03/08/2016</v>
      </c>
      <c r="B1733" t="str">
        <f>"1.1199"</f>
        <v>1.1199</v>
      </c>
      <c r="C1733" t="str">
        <f>"1.1213"</f>
        <v>1.1213</v>
      </c>
    </row>
    <row r="1734" spans="1:3" x14ac:dyDescent="0.25">
      <c r="A1734" t="str">
        <f>"04/08/2016"</f>
        <v>04/08/2016</v>
      </c>
      <c r="B1734" t="str">
        <f>"1.1127"</f>
        <v>1.1127</v>
      </c>
      <c r="C1734" t="str">
        <f>"1.1141"</f>
        <v>1.1141</v>
      </c>
    </row>
    <row r="1735" spans="1:3" x14ac:dyDescent="0.25">
      <c r="A1735" t="str">
        <f>"05/08/2016"</f>
        <v>05/08/2016</v>
      </c>
      <c r="B1735" t="str">
        <f>"1.1136"</f>
        <v>1.1136</v>
      </c>
      <c r="C1735" t="str">
        <f>"1.1149"</f>
        <v>1.1149</v>
      </c>
    </row>
    <row r="1736" spans="1:3" x14ac:dyDescent="0.25">
      <c r="A1736" t="str">
        <f>"08/08/2016"</f>
        <v>08/08/2016</v>
      </c>
      <c r="B1736" t="str">
        <f>"1.1083"</f>
        <v>1.1083</v>
      </c>
      <c r="C1736" t="str">
        <f>"1.1097"</f>
        <v>1.1097</v>
      </c>
    </row>
    <row r="1737" spans="1:3" x14ac:dyDescent="0.25">
      <c r="A1737" t="str">
        <f>"09/08/2016"</f>
        <v>09/08/2016</v>
      </c>
      <c r="B1737" t="str">
        <f>"1.1076"</f>
        <v>1.1076</v>
      </c>
      <c r="C1737" t="str">
        <f>"1.109"</f>
        <v>1.109</v>
      </c>
    </row>
    <row r="1738" spans="1:3" x14ac:dyDescent="0.25">
      <c r="A1738" t="str">
        <f>"10/08/2016"</f>
        <v>10/08/2016</v>
      </c>
      <c r="B1738" t="str">
        <f>"1.1183"</f>
        <v>1.1183</v>
      </c>
      <c r="C1738" t="str">
        <f>"1.1196"</f>
        <v>1.1196</v>
      </c>
    </row>
    <row r="1739" spans="1:3" x14ac:dyDescent="0.25">
      <c r="A1739" t="str">
        <f>"11/08/2016"</f>
        <v>11/08/2016</v>
      </c>
      <c r="B1739" t="str">
        <f>"1.115"</f>
        <v>1.115</v>
      </c>
      <c r="C1739" t="str">
        <f>"1.1163"</f>
        <v>1.1163</v>
      </c>
    </row>
    <row r="1740" spans="1:3" x14ac:dyDescent="0.25">
      <c r="A1740" t="str">
        <f>"12/08/2016"</f>
        <v>12/08/2016</v>
      </c>
      <c r="B1740" t="str">
        <f>"1.1138"</f>
        <v>1.1138</v>
      </c>
      <c r="C1740" t="str">
        <f>"1.1151"</f>
        <v>1.1151</v>
      </c>
    </row>
    <row r="1741" spans="1:3" x14ac:dyDescent="0.25">
      <c r="A1741" t="str">
        <f>"16/08/2016"</f>
        <v>16/08/2016</v>
      </c>
      <c r="B1741" t="str">
        <f>"1.1302"</f>
        <v>1.1302</v>
      </c>
      <c r="C1741" t="str">
        <f>"1.1315"</f>
        <v>1.1315</v>
      </c>
    </row>
    <row r="1742" spans="1:3" x14ac:dyDescent="0.25">
      <c r="A1742" t="str">
        <f>"18/08/2016"</f>
        <v>18/08/2016</v>
      </c>
      <c r="B1742" t="str">
        <f>"1.1334"</f>
        <v>1.1334</v>
      </c>
      <c r="C1742" t="str">
        <f>"1.1347"</f>
        <v>1.1347</v>
      </c>
    </row>
    <row r="1743" spans="1:3" x14ac:dyDescent="0.25">
      <c r="A1743" t="str">
        <f>"19/08/2016"</f>
        <v>19/08/2016</v>
      </c>
      <c r="B1743" t="str">
        <f>"1.1328"</f>
        <v>1.1328</v>
      </c>
      <c r="C1743" t="str">
        <f>"1.1341"</f>
        <v>1.1341</v>
      </c>
    </row>
    <row r="1744" spans="1:3" x14ac:dyDescent="0.25">
      <c r="A1744" t="str">
        <f>"22/08/2016"</f>
        <v>22/08/2016</v>
      </c>
      <c r="B1744" t="str">
        <f>"1.1282"</f>
        <v>1.1282</v>
      </c>
      <c r="C1744" t="str">
        <f>"1.1295"</f>
        <v>1.1295</v>
      </c>
    </row>
    <row r="1745" spans="1:3" x14ac:dyDescent="0.25">
      <c r="A1745" t="str">
        <f>"23/08/2016"</f>
        <v>23/08/2016</v>
      </c>
      <c r="B1745" t="str">
        <f>"1.1338"</f>
        <v>1.1338</v>
      </c>
      <c r="C1745" t="str">
        <f>"1.1351"</f>
        <v>1.1351</v>
      </c>
    </row>
    <row r="1746" spans="1:3" x14ac:dyDescent="0.25">
      <c r="A1746" t="str">
        <f>"24/08/2016"</f>
        <v>24/08/2016</v>
      </c>
      <c r="B1746" t="str">
        <f>"1.1295"</f>
        <v>1.1295</v>
      </c>
      <c r="C1746" t="str">
        <f>"1.1308"</f>
        <v>1.1308</v>
      </c>
    </row>
    <row r="1747" spans="1:3" x14ac:dyDescent="0.25">
      <c r="A1747" t="str">
        <f>"25/08/2016"</f>
        <v>25/08/2016</v>
      </c>
      <c r="B1747" t="str">
        <f>"1.1284"</f>
        <v>1.1284</v>
      </c>
      <c r="C1747" t="str">
        <f>"1.1297"</f>
        <v>1.1297</v>
      </c>
    </row>
    <row r="1748" spans="1:3" x14ac:dyDescent="0.25">
      <c r="A1748" t="str">
        <f>"26/08/2016"</f>
        <v>26/08/2016</v>
      </c>
      <c r="B1748" t="str">
        <f>"1.1286"</f>
        <v>1.1286</v>
      </c>
      <c r="C1748" t="str">
        <f>"1.1299"</f>
        <v>1.1299</v>
      </c>
    </row>
    <row r="1749" spans="1:3" x14ac:dyDescent="0.25">
      <c r="A1749" t="str">
        <f>"29/08/2016"</f>
        <v>29/08/2016</v>
      </c>
      <c r="B1749" t="str">
        <f>"1.1173"</f>
        <v>1.1173</v>
      </c>
      <c r="C1749" t="str">
        <f>"1.1186"</f>
        <v>1.1186</v>
      </c>
    </row>
    <row r="1750" spans="1:3" x14ac:dyDescent="0.25">
      <c r="A1750" t="str">
        <f>"30/08/2016"</f>
        <v>30/08/2016</v>
      </c>
      <c r="B1750" t="str">
        <f>"1.1169"</f>
        <v>1.1169</v>
      </c>
      <c r="C1750" t="str">
        <f>"1.1185"</f>
        <v>1.1185</v>
      </c>
    </row>
    <row r="1751" spans="1:3" x14ac:dyDescent="0.25">
      <c r="A1751" t="str">
        <f>"31/08/2016"</f>
        <v>31/08/2016</v>
      </c>
      <c r="B1751" t="str">
        <f>"1.1158"</f>
        <v>1.1158</v>
      </c>
      <c r="C1751" t="str">
        <f>"1.1173"</f>
        <v>1.1173</v>
      </c>
    </row>
    <row r="1752" spans="1:3" x14ac:dyDescent="0.25">
      <c r="A1752" t="str">
        <f>"01/09/2016"</f>
        <v>01/09/2016</v>
      </c>
      <c r="B1752" t="str">
        <f>"1.1153"</f>
        <v>1.1153</v>
      </c>
      <c r="C1752" t="str">
        <f>"1.1168"</f>
        <v>1.1168</v>
      </c>
    </row>
    <row r="1753" spans="1:3" x14ac:dyDescent="0.25">
      <c r="A1753" t="str">
        <f>"02/09/2016"</f>
        <v>02/09/2016</v>
      </c>
      <c r="B1753" t="str">
        <f>"1.1192"</f>
        <v>1.1192</v>
      </c>
      <c r="C1753" t="str">
        <f>"1.1206"</f>
        <v>1.1206</v>
      </c>
    </row>
    <row r="1754" spans="1:3" x14ac:dyDescent="0.25">
      <c r="A1754" t="str">
        <f>"06/09/2016"</f>
        <v>06/09/2016</v>
      </c>
      <c r="B1754" t="str">
        <f>"1.1166"</f>
        <v>1.1166</v>
      </c>
      <c r="C1754" t="str">
        <f>"1.1182"</f>
        <v>1.1182</v>
      </c>
    </row>
    <row r="1755" spans="1:3" x14ac:dyDescent="0.25">
      <c r="A1755" t="str">
        <f>"07/09/2016"</f>
        <v>07/09/2016</v>
      </c>
      <c r="B1755" t="str">
        <f>"1.1237"</f>
        <v>1.1237</v>
      </c>
      <c r="C1755" t="str">
        <f>"1.1252"</f>
        <v>1.1252</v>
      </c>
    </row>
    <row r="1756" spans="1:3" x14ac:dyDescent="0.25">
      <c r="A1756" t="str">
        <f>"08/09/2016"</f>
        <v>08/09/2016</v>
      </c>
      <c r="B1756" t="str">
        <f>"1.1254"</f>
        <v>1.1254</v>
      </c>
      <c r="C1756" t="str">
        <f>"1.1268"</f>
        <v>1.1268</v>
      </c>
    </row>
    <row r="1757" spans="1:3" x14ac:dyDescent="0.25">
      <c r="A1757" t="str">
        <f>"09/09/2016"</f>
        <v>09/09/2016</v>
      </c>
      <c r="B1757" t="str">
        <f>"1.1279"</f>
        <v>1.1279</v>
      </c>
      <c r="C1757" t="str">
        <f>"1.1293"</f>
        <v>1.1293</v>
      </c>
    </row>
    <row r="1758" spans="1:3" x14ac:dyDescent="0.25">
      <c r="A1758" t="str">
        <f>"12/09/2016"</f>
        <v>12/09/2016</v>
      </c>
      <c r="B1758" t="str">
        <f>"1.1241"</f>
        <v>1.1241</v>
      </c>
      <c r="C1758" t="str">
        <f>"1.1255"</f>
        <v>1.1255</v>
      </c>
    </row>
    <row r="1759" spans="1:3" x14ac:dyDescent="0.25">
      <c r="A1759" t="str">
        <f>"14/09/2016"</f>
        <v>14/09/2016</v>
      </c>
      <c r="B1759" t="str">
        <f>"1.1224"</f>
        <v>1.1224</v>
      </c>
      <c r="C1759" t="str">
        <f>"1.1239"</f>
        <v>1.1239</v>
      </c>
    </row>
    <row r="1760" spans="1:3" x14ac:dyDescent="0.25">
      <c r="A1760" t="str">
        <f>"15/09/2016"</f>
        <v>15/09/2016</v>
      </c>
      <c r="B1760" t="str">
        <f>"1.1244"</f>
        <v>1.1244</v>
      </c>
      <c r="C1760" t="str">
        <f>"1.1259"</f>
        <v>1.1259</v>
      </c>
    </row>
    <row r="1761" spans="1:3" x14ac:dyDescent="0.25">
      <c r="A1761" t="str">
        <f>"16/09/2016"</f>
        <v>16/09/2016</v>
      </c>
      <c r="B1761" t="str">
        <f>"1.1223"</f>
        <v>1.1223</v>
      </c>
      <c r="C1761" t="str">
        <f>"1.1238"</f>
        <v>1.1238</v>
      </c>
    </row>
    <row r="1762" spans="1:3" x14ac:dyDescent="0.25">
      <c r="A1762" t="str">
        <f>"19/09/2016"</f>
        <v>19/09/2016</v>
      </c>
      <c r="B1762" t="str">
        <f>"1.1162"</f>
        <v>1.1162</v>
      </c>
      <c r="C1762" t="str">
        <f>"1.1177"</f>
        <v>1.1177</v>
      </c>
    </row>
    <row r="1763" spans="1:3" x14ac:dyDescent="0.25">
      <c r="A1763" t="str">
        <f>"20/09/2016"</f>
        <v>20/09/2016</v>
      </c>
      <c r="B1763" t="str">
        <f>"1.1177"</f>
        <v>1.1177</v>
      </c>
      <c r="C1763" t="str">
        <f>"1.1193"</f>
        <v>1.1193</v>
      </c>
    </row>
    <row r="1764" spans="1:3" x14ac:dyDescent="0.25">
      <c r="A1764" t="str">
        <f>"21/09/2016"</f>
        <v>21/09/2016</v>
      </c>
      <c r="B1764" t="str">
        <f>"1.1142"</f>
        <v>1.1142</v>
      </c>
      <c r="C1764" t="str">
        <f>"1.1158"</f>
        <v>1.1158</v>
      </c>
    </row>
    <row r="1765" spans="1:3" x14ac:dyDescent="0.25">
      <c r="A1765" t="str">
        <f>"22/09/2016"</f>
        <v>22/09/2016</v>
      </c>
      <c r="B1765" t="str">
        <f>"1.1235"</f>
        <v>1.1235</v>
      </c>
      <c r="C1765" t="str">
        <f>"1.1251"</f>
        <v>1.1251</v>
      </c>
    </row>
    <row r="1766" spans="1:3" x14ac:dyDescent="0.25">
      <c r="A1766" t="str">
        <f>"23/09/2016"</f>
        <v>23/09/2016</v>
      </c>
      <c r="B1766" t="str">
        <f>"1.1217"</f>
        <v>1.1217</v>
      </c>
      <c r="C1766" t="str">
        <f>"1.1232"</f>
        <v>1.1232</v>
      </c>
    </row>
    <row r="1767" spans="1:3" x14ac:dyDescent="0.25">
      <c r="A1767" t="str">
        <f>"26/09/2016"</f>
        <v>26/09/2016</v>
      </c>
      <c r="B1767" t="str">
        <f>"1.125"</f>
        <v>1.125</v>
      </c>
      <c r="C1767" t="str">
        <f>"1.1266"</f>
        <v>1.1266</v>
      </c>
    </row>
    <row r="1768" spans="1:3" x14ac:dyDescent="0.25">
      <c r="A1768" t="str">
        <f>"27/09/2016"</f>
        <v>27/09/2016</v>
      </c>
      <c r="B1768" t="str">
        <f>"1.1228"</f>
        <v>1.1228</v>
      </c>
      <c r="C1768" t="str">
        <f>"1.1246"</f>
        <v>1.1246</v>
      </c>
    </row>
    <row r="1769" spans="1:3" x14ac:dyDescent="0.25">
      <c r="A1769" t="str">
        <f>"28/09/2016"</f>
        <v>28/09/2016</v>
      </c>
      <c r="B1769" t="str">
        <f>"1.1208"</f>
        <v>1.1208</v>
      </c>
      <c r="C1769" t="str">
        <f>"1.1225"</f>
        <v>1.1225</v>
      </c>
    </row>
    <row r="1770" spans="1:3" x14ac:dyDescent="0.25">
      <c r="A1770" t="str">
        <f>"29/09/2016"</f>
        <v>29/09/2016</v>
      </c>
      <c r="B1770" t="str">
        <f>"1.123"</f>
        <v>1.123</v>
      </c>
      <c r="C1770" t="str">
        <f>"1.1244"</f>
        <v>1.1244</v>
      </c>
    </row>
    <row r="1771" spans="1:3" x14ac:dyDescent="0.25">
      <c r="A1771" t="str">
        <f>"30/09/2016"</f>
        <v>30/09/2016</v>
      </c>
      <c r="B1771" t="str">
        <f>"1.1173"</f>
        <v>1.1173</v>
      </c>
      <c r="C1771" t="str">
        <f>"1.1189"</f>
        <v>1.1189</v>
      </c>
    </row>
    <row r="1772" spans="1:3" x14ac:dyDescent="0.25">
      <c r="A1772" t="str">
        <f>"03/10/2016"</f>
        <v>03/10/2016</v>
      </c>
      <c r="B1772" t="str">
        <f>"1.1236"</f>
        <v>1.1236</v>
      </c>
      <c r="C1772" t="str">
        <f>"1.1253"</f>
        <v>1.1253</v>
      </c>
    </row>
    <row r="1773" spans="1:3" x14ac:dyDescent="0.25">
      <c r="A1773" t="str">
        <f>"04/10/2016"</f>
        <v>04/10/2016</v>
      </c>
      <c r="B1773" t="str">
        <f>"1.1165"</f>
        <v>1.1165</v>
      </c>
      <c r="C1773" t="str">
        <f>"1.1181"</f>
        <v>1.1181</v>
      </c>
    </row>
    <row r="1774" spans="1:3" x14ac:dyDescent="0.25">
      <c r="A1774" t="str">
        <f>"05/10/2016"</f>
        <v>05/10/2016</v>
      </c>
      <c r="B1774" t="str">
        <f>"1.1224"</f>
        <v>1.1224</v>
      </c>
      <c r="C1774" t="str">
        <f>"1.1238"</f>
        <v>1.1238</v>
      </c>
    </row>
    <row r="1775" spans="1:3" x14ac:dyDescent="0.25">
      <c r="A1775" t="str">
        <f>"06/10/2016"</f>
        <v>06/10/2016</v>
      </c>
      <c r="B1775" t="str">
        <f>"1.1182"</f>
        <v>1.1182</v>
      </c>
      <c r="C1775" t="str">
        <f>"1.1197"</f>
        <v>1.1197</v>
      </c>
    </row>
    <row r="1776" spans="1:3" x14ac:dyDescent="0.25">
      <c r="A1776" t="str">
        <f>"07/10/2016"</f>
        <v>07/10/2016</v>
      </c>
      <c r="B1776" t="str">
        <f>"1.1141"</f>
        <v>1.1141</v>
      </c>
      <c r="C1776" t="str">
        <f>"1.1156"</f>
        <v>1.1156</v>
      </c>
    </row>
    <row r="1777" spans="1:3" x14ac:dyDescent="0.25">
      <c r="A1777" t="str">
        <f>"10/10/2016"</f>
        <v>10/10/2016</v>
      </c>
      <c r="B1777" t="str">
        <f>"1.1162"</f>
        <v>1.1162</v>
      </c>
      <c r="C1777" t="str">
        <f>"1.1176"</f>
        <v>1.1176</v>
      </c>
    </row>
    <row r="1778" spans="1:3" x14ac:dyDescent="0.25">
      <c r="A1778" t="str">
        <f>"13/10/2016"</f>
        <v>13/10/2016</v>
      </c>
      <c r="B1778" t="str">
        <f>"1.1024"</f>
        <v>1.1024</v>
      </c>
      <c r="C1778" t="str">
        <f>"1.1038"</f>
        <v>1.1038</v>
      </c>
    </row>
    <row r="1779" spans="1:3" x14ac:dyDescent="0.25">
      <c r="A1779" t="str">
        <f>"14/10/2016"</f>
        <v>14/10/2016</v>
      </c>
      <c r="B1779" t="str">
        <f>"1.1006"</f>
        <v>1.1006</v>
      </c>
      <c r="C1779" t="str">
        <f>"1.102"</f>
        <v>1.102</v>
      </c>
    </row>
    <row r="1780" spans="1:3" x14ac:dyDescent="0.25">
      <c r="A1780" t="str">
        <f>"17/10/2016"</f>
        <v>17/10/2016</v>
      </c>
      <c r="B1780" t="str">
        <f>"1.0998"</f>
        <v>1.0998</v>
      </c>
      <c r="C1780" t="str">
        <f>"1.1013"</f>
        <v>1.1013</v>
      </c>
    </row>
    <row r="1781" spans="1:3" x14ac:dyDescent="0.25">
      <c r="A1781" t="str">
        <f>"18/10/2016"</f>
        <v>18/10/2016</v>
      </c>
      <c r="B1781" t="str">
        <f>"1.1017"</f>
        <v>1.1017</v>
      </c>
      <c r="C1781" t="str">
        <f>"1.1032"</f>
        <v>1.1032</v>
      </c>
    </row>
    <row r="1782" spans="1:3" x14ac:dyDescent="0.25">
      <c r="A1782" t="str">
        <f>"19/10/2016"</f>
        <v>19/10/2016</v>
      </c>
      <c r="B1782" t="str">
        <f>"1.0974"</f>
        <v>1.0974</v>
      </c>
      <c r="C1782" t="str">
        <f>"1.0987"</f>
        <v>1.0987</v>
      </c>
    </row>
    <row r="1783" spans="1:3" x14ac:dyDescent="0.25">
      <c r="A1783" t="str">
        <f>"20/10/2016"</f>
        <v>20/10/2016</v>
      </c>
      <c r="B1783" t="str">
        <f>"1.0984"</f>
        <v>1.0984</v>
      </c>
      <c r="C1783" t="str">
        <f>"1.0998"</f>
        <v>1.0998</v>
      </c>
    </row>
    <row r="1784" spans="1:3" x14ac:dyDescent="0.25">
      <c r="A1784" t="str">
        <f>"21/10/2016"</f>
        <v>21/10/2016</v>
      </c>
      <c r="B1784" t="str">
        <f>"1.0893"</f>
        <v>1.0893</v>
      </c>
      <c r="C1784" t="str">
        <f>"1.0906"</f>
        <v>1.0906</v>
      </c>
    </row>
    <row r="1785" spans="1:3" x14ac:dyDescent="0.25">
      <c r="A1785" t="str">
        <f>"24/10/2016"</f>
        <v>24/10/2016</v>
      </c>
      <c r="B1785" t="str">
        <f>"1.0893"</f>
        <v>1.0893</v>
      </c>
      <c r="C1785" t="str">
        <f>"1.0907"</f>
        <v>1.0907</v>
      </c>
    </row>
    <row r="1786" spans="1:3" x14ac:dyDescent="0.25">
      <c r="A1786" t="str">
        <f>"25/10/2016"</f>
        <v>25/10/2016</v>
      </c>
      <c r="B1786" t="str">
        <f>"1.0876"</f>
        <v>1.0876</v>
      </c>
      <c r="C1786" t="str">
        <f>"1.089"</f>
        <v>1.089</v>
      </c>
    </row>
    <row r="1787" spans="1:3" x14ac:dyDescent="0.25">
      <c r="A1787" t="str">
        <f>"26/10/2016"</f>
        <v>26/10/2016</v>
      </c>
      <c r="B1787" t="str">
        <f>"1.0915"</f>
        <v>1.0915</v>
      </c>
      <c r="C1787" t="str">
        <f>"1.0928"</f>
        <v>1.0928</v>
      </c>
    </row>
    <row r="1788" spans="1:3" x14ac:dyDescent="0.25">
      <c r="A1788" t="str">
        <f>"27/10/2016"</f>
        <v>27/10/2016</v>
      </c>
      <c r="B1788" t="str">
        <f>"1.0899"</f>
        <v>1.0899</v>
      </c>
      <c r="C1788" t="str">
        <f>"1.0912"</f>
        <v>1.0912</v>
      </c>
    </row>
    <row r="1789" spans="1:3" x14ac:dyDescent="0.25">
      <c r="A1789" t="str">
        <f>"28/10/2016"</f>
        <v>28/10/2016</v>
      </c>
      <c r="B1789" t="str">
        <f>"1.0978"</f>
        <v>1.0978</v>
      </c>
      <c r="C1789" t="str">
        <f>"1.0932"</f>
        <v>1.0932</v>
      </c>
    </row>
    <row r="1790" spans="1:3" x14ac:dyDescent="0.25">
      <c r="A1790" t="str">
        <f>"01/11/2016"</f>
        <v>01/11/2016</v>
      </c>
      <c r="B1790" t="str">
        <f>"1.0965"</f>
        <v>1.0965</v>
      </c>
      <c r="C1790" t="str">
        <f>"1.0979"</f>
        <v>1.0979</v>
      </c>
    </row>
    <row r="1791" spans="1:3" x14ac:dyDescent="0.25">
      <c r="A1791" t="str">
        <f>"02/11/2016"</f>
        <v>02/11/2016</v>
      </c>
      <c r="B1791" t="str">
        <f>"1.1069"</f>
        <v>1.1069</v>
      </c>
      <c r="C1791" t="str">
        <f>"1.1082"</f>
        <v>1.1082</v>
      </c>
    </row>
    <row r="1792" spans="1:3" x14ac:dyDescent="0.25">
      <c r="A1792" t="str">
        <f>"03/11/2016"</f>
        <v>03/11/2016</v>
      </c>
      <c r="B1792" t="str">
        <f>"1.1117"</f>
        <v>1.1117</v>
      </c>
      <c r="C1792" t="str">
        <f>"1.1129"</f>
        <v>1.1129</v>
      </c>
    </row>
    <row r="1793" spans="1:3" x14ac:dyDescent="0.25">
      <c r="A1793" t="str">
        <f>"04/11/2016"</f>
        <v>04/11/2016</v>
      </c>
      <c r="B1793" t="str">
        <f>"1.1098"</f>
        <v>1.1098</v>
      </c>
      <c r="C1793" t="str">
        <f>"1.111"</f>
        <v>1.111</v>
      </c>
    </row>
    <row r="1794" spans="1:3" x14ac:dyDescent="0.25">
      <c r="A1794" t="str">
        <f>"07/11/2016"</f>
        <v>07/11/2016</v>
      </c>
      <c r="B1794" t="str">
        <f>"1.1064"</f>
        <v>1.1064</v>
      </c>
      <c r="C1794" t="str">
        <f>"1.1076"</f>
        <v>1.1076</v>
      </c>
    </row>
    <row r="1795" spans="1:3" x14ac:dyDescent="0.25">
      <c r="A1795" t="str">
        <f>"08/11/2016"</f>
        <v>08/11/2016</v>
      </c>
      <c r="B1795" t="str">
        <f>"1.1042"</f>
        <v>1.1042</v>
      </c>
      <c r="C1795" t="str">
        <f>"1.1055"</f>
        <v>1.1055</v>
      </c>
    </row>
    <row r="1796" spans="1:3" x14ac:dyDescent="0.25">
      <c r="A1796" t="str">
        <f>"09/11/2016"</f>
        <v>09/11/2016</v>
      </c>
      <c r="B1796" t="str">
        <f>"1.1251"</f>
        <v>1.1251</v>
      </c>
      <c r="C1796" t="str">
        <f>"1.1263"</f>
        <v>1.1263</v>
      </c>
    </row>
    <row r="1797" spans="1:3" x14ac:dyDescent="0.25">
      <c r="A1797" t="str">
        <f>"10/11/2016"</f>
        <v>10/11/2016</v>
      </c>
      <c r="B1797" t="str">
        <f>"1.0914"</f>
        <v>1.0914</v>
      </c>
      <c r="C1797" t="str">
        <f>"1.0925"</f>
        <v>1.0925</v>
      </c>
    </row>
    <row r="1798" spans="1:3" x14ac:dyDescent="0.25">
      <c r="A1798" t="str">
        <f>"11/11/2016"</f>
        <v>11/11/2016</v>
      </c>
      <c r="B1798" t="str">
        <f>"1.0905"</f>
        <v>1.0905</v>
      </c>
      <c r="C1798" t="str">
        <f>"1.0916"</f>
        <v>1.0916</v>
      </c>
    </row>
    <row r="1799" spans="1:3" x14ac:dyDescent="0.25">
      <c r="A1799" t="str">
        <f>"15/11/2016"</f>
        <v>15/11/2016</v>
      </c>
      <c r="B1799" t="str">
        <f>"1.0799"</f>
        <v>1.0799</v>
      </c>
      <c r="C1799" t="str">
        <f>"1.0811"</f>
        <v>1.0811</v>
      </c>
    </row>
    <row r="1800" spans="1:3" x14ac:dyDescent="0.25">
      <c r="A1800" t="str">
        <f>"16/11/2016"</f>
        <v>16/11/2016</v>
      </c>
      <c r="B1800" t="str">
        <f>"1.0703"</f>
        <v>1.0703</v>
      </c>
      <c r="C1800" t="str">
        <f>"1.0715"</f>
        <v>1.0715</v>
      </c>
    </row>
    <row r="1801" spans="1:3" x14ac:dyDescent="0.25">
      <c r="A1801" t="str">
        <f>"17/11/2016"</f>
        <v>17/11/2016</v>
      </c>
      <c r="B1801" t="str">
        <f>"1.0736"</f>
        <v>1.0736</v>
      </c>
      <c r="C1801" t="str">
        <f>"1.0747"</f>
        <v>1.0747</v>
      </c>
    </row>
    <row r="1802" spans="1:3" x14ac:dyDescent="0.25">
      <c r="A1802" t="str">
        <f>"18/11/2016"</f>
        <v>18/11/2016</v>
      </c>
      <c r="B1802" t="str">
        <f>"1.0625"</f>
        <v>1.0625</v>
      </c>
      <c r="C1802" t="str">
        <f>"1.0636"</f>
        <v>1.0636</v>
      </c>
    </row>
    <row r="1803" spans="1:3" x14ac:dyDescent="0.25">
      <c r="A1803" t="str">
        <f>"21/11/2016"</f>
        <v>21/11/2016</v>
      </c>
      <c r="B1803" t="str">
        <f>"1.0593"</f>
        <v>1.0593</v>
      </c>
      <c r="C1803" t="str">
        <f>"1.0604"</f>
        <v>1.0604</v>
      </c>
    </row>
    <row r="1804" spans="1:3" x14ac:dyDescent="0.25">
      <c r="A1804" t="str">
        <f>"22/11/2016"</f>
        <v>22/11/2016</v>
      </c>
      <c r="B1804" t="str">
        <f>"1.0621"</f>
        <v>1.0621</v>
      </c>
      <c r="C1804" t="str">
        <f>"1.0634"</f>
        <v>1.0634</v>
      </c>
    </row>
    <row r="1805" spans="1:3" x14ac:dyDescent="0.25">
      <c r="A1805" t="str">
        <f>"23/11/2016"</f>
        <v>23/11/2016</v>
      </c>
      <c r="B1805" t="str">
        <f>"1.0626"</f>
        <v>1.0626</v>
      </c>
      <c r="C1805" t="str">
        <f>"1.0639"</f>
        <v>1.0639</v>
      </c>
    </row>
    <row r="1806" spans="1:3" x14ac:dyDescent="0.25">
      <c r="A1806" t="str">
        <f>"24/11/2016"</f>
        <v>24/11/2016</v>
      </c>
      <c r="B1806" t="str">
        <f>"1.0572"</f>
        <v>1.0572</v>
      </c>
      <c r="C1806" t="str">
        <f>"1.0584"</f>
        <v>1.0584</v>
      </c>
    </row>
    <row r="1807" spans="1:3" x14ac:dyDescent="0.25">
      <c r="A1807" t="str">
        <f>"25/11/2016"</f>
        <v>25/11/2016</v>
      </c>
      <c r="B1807" t="str">
        <f>"1.0588"</f>
        <v>1.0588</v>
      </c>
      <c r="C1807" t="str">
        <f>"1.06"</f>
        <v>1.06</v>
      </c>
    </row>
    <row r="1808" spans="1:3" x14ac:dyDescent="0.25">
      <c r="A1808" t="str">
        <f>"28/11/2016"</f>
        <v>28/11/2016</v>
      </c>
      <c r="B1808" t="str">
        <f>"1.0591"</f>
        <v>1.0591</v>
      </c>
      <c r="C1808" t="str">
        <f>"1.0604"</f>
        <v>1.0604</v>
      </c>
    </row>
    <row r="1809" spans="1:3" x14ac:dyDescent="0.25">
      <c r="A1809" t="str">
        <f>"29/11/2016"</f>
        <v>29/11/2016</v>
      </c>
      <c r="B1809" t="str">
        <f>"1.0599"</f>
        <v>1.0599</v>
      </c>
      <c r="C1809" t="str">
        <f>"1.0619"</f>
        <v>1.0619</v>
      </c>
    </row>
    <row r="1810" spans="1:3" x14ac:dyDescent="0.25">
      <c r="A1810" t="str">
        <f>"30/11/2016"</f>
        <v>30/11/2016</v>
      </c>
      <c r="B1810" t="str">
        <f>"1.0599"</f>
        <v>1.0599</v>
      </c>
      <c r="C1810" t="str">
        <f>"1.0675"</f>
        <v>1.0675</v>
      </c>
    </row>
    <row r="1811" spans="1:3" x14ac:dyDescent="0.25">
      <c r="A1811" t="str">
        <f>"01/12/2016"</f>
        <v>01/12/2016</v>
      </c>
      <c r="B1811" t="str">
        <f>"1.06"</f>
        <v>1.06</v>
      </c>
      <c r="C1811" t="str">
        <f>"1.0619"</f>
        <v>1.0619</v>
      </c>
    </row>
    <row r="1812" spans="1:3" x14ac:dyDescent="0.25">
      <c r="A1812" t="str">
        <f>"02/12/2016"</f>
        <v>02/12/2016</v>
      </c>
      <c r="B1812" t="str">
        <f>"1.0682"</f>
        <v>1.0682</v>
      </c>
      <c r="C1812" t="str">
        <f>"1.0701"</f>
        <v>1.0701</v>
      </c>
    </row>
    <row r="1813" spans="1:3" x14ac:dyDescent="0.25">
      <c r="A1813" t="str">
        <f>"05/12/2016"</f>
        <v>05/12/2016</v>
      </c>
      <c r="B1813" t="str">
        <f>"1.07"</f>
        <v>1.07</v>
      </c>
      <c r="C1813" t="str">
        <f>"1.0721"</f>
        <v>1.0721</v>
      </c>
    </row>
    <row r="1814" spans="1:3" x14ac:dyDescent="0.25">
      <c r="A1814" t="str">
        <f>"06/12/2016"</f>
        <v>06/12/2016</v>
      </c>
      <c r="B1814" t="str">
        <f>"1.0766"</f>
        <v>1.0766</v>
      </c>
      <c r="C1814" t="str">
        <f>"1.0787"</f>
        <v>1.0787</v>
      </c>
    </row>
    <row r="1815" spans="1:3" x14ac:dyDescent="0.25">
      <c r="A1815" t="str">
        <f>"07/12/2016"</f>
        <v>07/12/2016</v>
      </c>
      <c r="B1815" t="str">
        <f>"1.0719"</f>
        <v>1.0719</v>
      </c>
      <c r="C1815" t="str">
        <f>"1.0739"</f>
        <v>1.0739</v>
      </c>
    </row>
    <row r="1816" spans="1:3" x14ac:dyDescent="0.25">
      <c r="A1816" t="str">
        <f>"08/12/2016"</f>
        <v>08/12/2016</v>
      </c>
      <c r="B1816" t="str">
        <f>"1.0784"</f>
        <v>1.0784</v>
      </c>
      <c r="C1816" t="str">
        <f>"1.0803"</f>
        <v>1.0803</v>
      </c>
    </row>
    <row r="1817" spans="1:3" x14ac:dyDescent="0.25">
      <c r="A1817" t="str">
        <f>"09/12/2016"</f>
        <v>09/12/2016</v>
      </c>
      <c r="B1817" t="str">
        <f>"1.0596"</f>
        <v>1.0596</v>
      </c>
      <c r="C1817" t="str">
        <f>"1.0616"</f>
        <v>1.0616</v>
      </c>
    </row>
    <row r="1818" spans="1:3" x14ac:dyDescent="0.25">
      <c r="A1818" t="str">
        <f>"13/12/2016"</f>
        <v>13/12/2016</v>
      </c>
      <c r="B1818" t="str">
        <f>"1.0604"</f>
        <v>1.0604</v>
      </c>
      <c r="C1818" t="str">
        <f>"1.0626"</f>
        <v>1.0626</v>
      </c>
    </row>
    <row r="1819" spans="1:3" x14ac:dyDescent="0.25">
      <c r="A1819" t="str">
        <f>"14/12/2016"</f>
        <v>14/12/2016</v>
      </c>
      <c r="B1819" t="str">
        <f>"1.0636"</f>
        <v>1.0636</v>
      </c>
      <c r="C1819" t="str">
        <f>"1.0657"</f>
        <v>1.0657</v>
      </c>
    </row>
    <row r="1820" spans="1:3" x14ac:dyDescent="0.25">
      <c r="A1820" t="str">
        <f>"15/12/2016"</f>
        <v>15/12/2016</v>
      </c>
      <c r="B1820" t="str">
        <f>"1.0514"</f>
        <v>1.0514</v>
      </c>
      <c r="C1820" t="str">
        <f>"1.0534"</f>
        <v>1.0534</v>
      </c>
    </row>
    <row r="1821" spans="1:3" x14ac:dyDescent="0.25">
      <c r="A1821" t="str">
        <f>"16/12/2016"</f>
        <v>16/12/2016</v>
      </c>
      <c r="B1821" t="str">
        <f>"1.0448"</f>
        <v>1.0448</v>
      </c>
      <c r="C1821" t="str">
        <f>"1.0469"</f>
        <v>1.0469</v>
      </c>
    </row>
    <row r="1822" spans="1:3" x14ac:dyDescent="0.25">
      <c r="A1822" t="str">
        <f>"19/12/2016"</f>
        <v>19/12/2016</v>
      </c>
      <c r="B1822" t="str">
        <f>"1.0431"</f>
        <v>1.0431</v>
      </c>
      <c r="C1822" t="str">
        <f>"1.0453"</f>
        <v>1.0453</v>
      </c>
    </row>
    <row r="1823" spans="1:3" x14ac:dyDescent="0.25">
      <c r="A1823" t="str">
        <f>"20/12/2016"</f>
        <v>20/12/2016</v>
      </c>
      <c r="B1823" t="str">
        <f>"1.0379"</f>
        <v>1.0379</v>
      </c>
      <c r="C1823" t="str">
        <f>"1.0401"</f>
        <v>1.0401</v>
      </c>
    </row>
    <row r="1824" spans="1:3" x14ac:dyDescent="0.25">
      <c r="A1824" t="str">
        <f>"21/12/2016"</f>
        <v>21/12/2016</v>
      </c>
      <c r="B1824" t="str">
        <f>"1.041"</f>
        <v>1.041</v>
      </c>
      <c r="C1824" t="str">
        <f>"1.0431"</f>
        <v>1.0431</v>
      </c>
    </row>
    <row r="1825" spans="1:3" x14ac:dyDescent="0.25">
      <c r="A1825" t="str">
        <f>"22/12/2016"</f>
        <v>22/12/2016</v>
      </c>
      <c r="B1825" t="str">
        <f>"1.046"</f>
        <v>1.046</v>
      </c>
      <c r="C1825" t="str">
        <f>"1.0481"</f>
        <v>1.0481</v>
      </c>
    </row>
    <row r="1826" spans="1:3" x14ac:dyDescent="0.25">
      <c r="A1826" t="str">
        <f>"23/12/2016"</f>
        <v>23/12/2016</v>
      </c>
      <c r="B1826" t="str">
        <f>"1.044"</f>
        <v>1.044</v>
      </c>
      <c r="C1826" t="str">
        <f>"1.0463"</f>
        <v>1.0463</v>
      </c>
    </row>
    <row r="1827" spans="1:3" x14ac:dyDescent="0.25">
      <c r="A1827" t="str">
        <f>"26/12/2016"</f>
        <v>26/12/2016</v>
      </c>
      <c r="B1827" t="str">
        <f>"1.0453"</f>
        <v>1.0453</v>
      </c>
      <c r="C1827" t="str">
        <f>"1.0476"</f>
        <v>1.0476</v>
      </c>
    </row>
    <row r="1828" spans="1:3" x14ac:dyDescent="0.25">
      <c r="A1828" t="str">
        <f>"27/12/2016"</f>
        <v>27/12/2016</v>
      </c>
      <c r="B1828" t="str">
        <f>"1.0451"</f>
        <v>1.0451</v>
      </c>
      <c r="C1828" t="str">
        <f>"1.0474"</f>
        <v>1.0474</v>
      </c>
    </row>
    <row r="1829" spans="1:3" x14ac:dyDescent="0.25">
      <c r="A1829" t="str">
        <f>"28/12/2016"</f>
        <v>28/12/2016</v>
      </c>
      <c r="B1829" t="str">
        <f>"1.0394"</f>
        <v>1.0394</v>
      </c>
      <c r="C1829" t="str">
        <f>"1.0419"</f>
        <v>1.0419</v>
      </c>
    </row>
    <row r="1830" spans="1:3" x14ac:dyDescent="0.25">
      <c r="A1830" t="str">
        <f>"29/12/2016"</f>
        <v>29/12/2016</v>
      </c>
      <c r="B1830" t="str">
        <f>"1.0462"</f>
        <v>1.0462</v>
      </c>
      <c r="C1830" t="str">
        <f>"1.0479"</f>
        <v>1.0479</v>
      </c>
    </row>
    <row r="1831" spans="1:3" x14ac:dyDescent="0.25">
      <c r="A1831" t="str">
        <f>"30/12/2016"</f>
        <v>30/12/2016</v>
      </c>
      <c r="B1831" t="str">
        <f>"1.0508"</f>
        <v>1.0508</v>
      </c>
      <c r="C1831" t="str">
        <f>"1.0577"</f>
        <v>1.0577</v>
      </c>
    </row>
    <row r="1832" spans="1:3" x14ac:dyDescent="0.25">
      <c r="A1832" t="str">
        <f>"02/01/2017"</f>
        <v>02/01/2017</v>
      </c>
      <c r="B1832" t="str">
        <f>"1.0478"</f>
        <v>1.0478</v>
      </c>
      <c r="C1832" t="str">
        <f>"1.0493"</f>
        <v>1.0493</v>
      </c>
    </row>
    <row r="1833" spans="1:3" x14ac:dyDescent="0.25">
      <c r="A1833" t="str">
        <f>"03/01/2017"</f>
        <v>03/01/2017</v>
      </c>
      <c r="B1833" t="str">
        <f>"1.0382"</f>
        <v>1.0382</v>
      </c>
      <c r="C1833" t="str">
        <f>"1.0397"</f>
        <v>1.0397</v>
      </c>
    </row>
    <row r="1834" spans="1:3" x14ac:dyDescent="0.25">
      <c r="A1834" t="str">
        <f>"04/01/2017"</f>
        <v>04/01/2017</v>
      </c>
      <c r="B1834" t="str">
        <f>"1.0436"</f>
        <v>1.0436</v>
      </c>
      <c r="C1834" t="str">
        <f>"1.045"</f>
        <v>1.045</v>
      </c>
    </row>
    <row r="1835" spans="1:3" x14ac:dyDescent="0.25">
      <c r="A1835" t="str">
        <f>"05/01/2017"</f>
        <v>05/01/2017</v>
      </c>
      <c r="B1835" t="str">
        <f>"1.0493"</f>
        <v>1.0493</v>
      </c>
      <c r="C1835" t="str">
        <f>"1.0507"</f>
        <v>1.0507</v>
      </c>
    </row>
    <row r="1836" spans="1:3" x14ac:dyDescent="0.25">
      <c r="A1836" t="str">
        <f>"06/01/2017"</f>
        <v>06/01/2017</v>
      </c>
      <c r="B1836" t="str">
        <f>"1.0593"</f>
        <v>1.0593</v>
      </c>
      <c r="C1836" t="str">
        <f>"1.0607"</f>
        <v>1.0607</v>
      </c>
    </row>
    <row r="1837" spans="1:3" x14ac:dyDescent="0.25">
      <c r="A1837" t="str">
        <f>"09/01/2017"</f>
        <v>09/01/2017</v>
      </c>
      <c r="B1837" t="str">
        <f>"1.0526"</f>
        <v>1.0526</v>
      </c>
      <c r="C1837" t="str">
        <f>"1.0541"</f>
        <v>1.0541</v>
      </c>
    </row>
    <row r="1838" spans="1:3" x14ac:dyDescent="0.25">
      <c r="A1838" t="str">
        <f>"10/01/2017"</f>
        <v>10/01/2017</v>
      </c>
      <c r="B1838" t="str">
        <f>"1.0583"</f>
        <v>1.0583</v>
      </c>
      <c r="C1838" t="str">
        <f>"1.0597"</f>
        <v>1.0597</v>
      </c>
    </row>
    <row r="1839" spans="1:3" x14ac:dyDescent="0.25">
      <c r="A1839" t="str">
        <f>"11/01/2017"</f>
        <v>11/01/2017</v>
      </c>
      <c r="B1839" t="str">
        <f>"1.0505"</f>
        <v>1.0505</v>
      </c>
      <c r="C1839" t="str">
        <f>"1.0518"</f>
        <v>1.0518</v>
      </c>
    </row>
    <row r="1840" spans="1:3" x14ac:dyDescent="0.25">
      <c r="A1840" t="str">
        <f>"12/01/2017"</f>
        <v>12/01/2017</v>
      </c>
      <c r="B1840" t="str">
        <f>"1.0644"</f>
        <v>1.0644</v>
      </c>
      <c r="C1840" t="str">
        <f>"1.0657"</f>
        <v>1.0657</v>
      </c>
    </row>
    <row r="1841" spans="1:3" x14ac:dyDescent="0.25">
      <c r="A1841" t="str">
        <f>"13/01/2017"</f>
        <v>13/01/2017</v>
      </c>
      <c r="B1841" t="str">
        <f>"1.0652"</f>
        <v>1.0652</v>
      </c>
      <c r="C1841" t="str">
        <f>"1.0665"</f>
        <v>1.0665</v>
      </c>
    </row>
    <row r="1842" spans="1:3" x14ac:dyDescent="0.25">
      <c r="A1842" t="str">
        <f>"16/01/2017"</f>
        <v>16/01/2017</v>
      </c>
      <c r="B1842" t="str">
        <f>"1.0612"</f>
        <v>1.0612</v>
      </c>
      <c r="C1842" t="str">
        <f>"1.0626"</f>
        <v>1.0626</v>
      </c>
    </row>
    <row r="1843" spans="1:3" x14ac:dyDescent="0.25">
      <c r="A1843" t="str">
        <f>"17/01/2017"</f>
        <v>17/01/2017</v>
      </c>
      <c r="B1843" t="str">
        <f>"1.0708"</f>
        <v>1.0708</v>
      </c>
      <c r="C1843" t="str">
        <f>"1.0722"</f>
        <v>1.0722</v>
      </c>
    </row>
    <row r="1844" spans="1:3" x14ac:dyDescent="0.25">
      <c r="A1844" t="str">
        <f>"18/01/2017"</f>
        <v>18/01/2017</v>
      </c>
      <c r="B1844" t="str">
        <f>"1.0661"</f>
        <v>1.0661</v>
      </c>
      <c r="C1844" t="str">
        <f>"1.0675"</f>
        <v>1.0675</v>
      </c>
    </row>
    <row r="1845" spans="1:3" x14ac:dyDescent="0.25">
      <c r="A1845" t="str">
        <f>"19/01/2017"</f>
        <v>19/01/2017</v>
      </c>
      <c r="B1845" t="str">
        <f>"1.0638"</f>
        <v>1.0638</v>
      </c>
      <c r="C1845" t="str">
        <f>"1.0651"</f>
        <v>1.0651</v>
      </c>
    </row>
    <row r="1846" spans="1:3" x14ac:dyDescent="0.25">
      <c r="A1846" t="str">
        <f>"20/01/2017"</f>
        <v>20/01/2017</v>
      </c>
      <c r="B1846" t="str">
        <f>"1.063"</f>
        <v>1.063</v>
      </c>
      <c r="C1846" t="str">
        <f>"1.0643"</f>
        <v>1.0643</v>
      </c>
    </row>
    <row r="1847" spans="1:3" x14ac:dyDescent="0.25">
      <c r="A1847" t="str">
        <f>"23/01/2017"</f>
        <v>23/01/2017</v>
      </c>
      <c r="B1847" t="str">
        <f>"1.0727"</f>
        <v>1.0727</v>
      </c>
      <c r="C1847" t="str">
        <f>"1.0741"</f>
        <v>1.0741</v>
      </c>
    </row>
    <row r="1848" spans="1:3" x14ac:dyDescent="0.25">
      <c r="A1848" t="str">
        <f>"24/01/2017"</f>
        <v>24/01/2017</v>
      </c>
      <c r="B1848" t="str">
        <f>"1.0754"</f>
        <v>1.0754</v>
      </c>
      <c r="C1848" t="str">
        <f>"1.0768"</f>
        <v>1.0768</v>
      </c>
    </row>
    <row r="1849" spans="1:3" x14ac:dyDescent="0.25">
      <c r="A1849" t="str">
        <f>"25/01/2017"</f>
        <v>25/01/2017</v>
      </c>
      <c r="B1849" t="str">
        <f>"1.075"</f>
        <v>1.075</v>
      </c>
      <c r="C1849" t="str">
        <f>"1.0763"</f>
        <v>1.0763</v>
      </c>
    </row>
    <row r="1850" spans="1:3" x14ac:dyDescent="0.25">
      <c r="A1850" t="str">
        <f>"27/01/2017"</f>
        <v>27/01/2017</v>
      </c>
      <c r="B1850" t="str">
        <f>"1.0693"</f>
        <v>1.0693</v>
      </c>
      <c r="C1850" t="str">
        <f>"1.0705"</f>
        <v>1.0705</v>
      </c>
    </row>
    <row r="1851" spans="1:3" x14ac:dyDescent="0.25">
      <c r="A1851" t="str">
        <f>"30/01/2017"</f>
        <v>30/01/2017</v>
      </c>
      <c r="B1851" t="str">
        <f>"1.073"</f>
        <v>1.073</v>
      </c>
      <c r="C1851" t="str">
        <f>"1.0742"</f>
        <v>1.0742</v>
      </c>
    </row>
    <row r="1852" spans="1:3" x14ac:dyDescent="0.25">
      <c r="A1852" t="str">
        <f>"31/01/2017"</f>
        <v>31/01/2017</v>
      </c>
      <c r="B1852" t="str">
        <f>"1.0783"</f>
        <v>1.0783</v>
      </c>
      <c r="C1852" t="str">
        <f>"1.0718"</f>
        <v>1.0718</v>
      </c>
    </row>
    <row r="1853" spans="1:3" x14ac:dyDescent="0.25">
      <c r="A1853" t="str">
        <f>"01/02/2017"</f>
        <v>01/02/2017</v>
      </c>
      <c r="B1853" t="str">
        <f>"1.0789"</f>
        <v>1.0789</v>
      </c>
      <c r="C1853" t="str">
        <f>"1.08"</f>
        <v>1.08</v>
      </c>
    </row>
    <row r="1854" spans="1:3" x14ac:dyDescent="0.25">
      <c r="A1854" t="str">
        <f>"02/02/2017"</f>
        <v>02/02/2017</v>
      </c>
      <c r="B1854" t="str">
        <f>"1.0806"</f>
        <v>1.0806</v>
      </c>
      <c r="C1854" t="str">
        <f>"1.0817"</f>
        <v>1.0817</v>
      </c>
    </row>
    <row r="1855" spans="1:3" x14ac:dyDescent="0.25">
      <c r="A1855" t="str">
        <f>"03/02/2017"</f>
        <v>03/02/2017</v>
      </c>
      <c r="B1855" t="str">
        <f>"1.0731"</f>
        <v>1.0731</v>
      </c>
      <c r="C1855" t="str">
        <f>"1.0742"</f>
        <v>1.0742</v>
      </c>
    </row>
    <row r="1856" spans="1:3" x14ac:dyDescent="0.25">
      <c r="A1856" t="str">
        <f>"06/02/2017"</f>
        <v>06/02/2017</v>
      </c>
      <c r="B1856" t="str">
        <f>"1.0735"</f>
        <v>1.0735</v>
      </c>
      <c r="C1856" t="str">
        <f>"1.0746"</f>
        <v>1.0746</v>
      </c>
    </row>
    <row r="1857" spans="1:3" x14ac:dyDescent="0.25">
      <c r="A1857" t="str">
        <f>"07/02/2017"</f>
        <v>07/02/2017</v>
      </c>
      <c r="B1857" t="str">
        <f>"1.0669"</f>
        <v>1.0669</v>
      </c>
      <c r="C1857" t="str">
        <f>"1.068"</f>
        <v>1.068</v>
      </c>
    </row>
    <row r="1858" spans="1:3" x14ac:dyDescent="0.25">
      <c r="A1858" t="str">
        <f>"08/02/2017"</f>
        <v>08/02/2017</v>
      </c>
      <c r="B1858" t="str">
        <f>"1.068"</f>
        <v>1.068</v>
      </c>
      <c r="C1858" t="str">
        <f>"1.0691"</f>
        <v>1.0691</v>
      </c>
    </row>
    <row r="1859" spans="1:3" x14ac:dyDescent="0.25">
      <c r="A1859" t="str">
        <f>"09/02/2017"</f>
        <v>09/02/2017</v>
      </c>
      <c r="B1859" t="str">
        <f>"1.0675"</f>
        <v>1.0675</v>
      </c>
      <c r="C1859" t="str">
        <f>"1.0686"</f>
        <v>1.0686</v>
      </c>
    </row>
    <row r="1860" spans="1:3" x14ac:dyDescent="0.25">
      <c r="A1860" t="str">
        <f>"10/02/2017"</f>
        <v>10/02/2017</v>
      </c>
      <c r="B1860" t="str">
        <f>"1.0643"</f>
        <v>1.0643</v>
      </c>
      <c r="C1860" t="str">
        <f>"1.0654"</f>
        <v>1.0654</v>
      </c>
    </row>
    <row r="1861" spans="1:3" x14ac:dyDescent="0.25">
      <c r="A1861" t="str">
        <f>"13/02/2017"</f>
        <v>13/02/2017</v>
      </c>
      <c r="B1861" t="str">
        <f>"1.0641"</f>
        <v>1.0641</v>
      </c>
      <c r="C1861" t="str">
        <f>"1.0652"</f>
        <v>1.0652</v>
      </c>
    </row>
    <row r="1862" spans="1:3" x14ac:dyDescent="0.25">
      <c r="A1862" t="str">
        <f>"14/02/2017"</f>
        <v>14/02/2017</v>
      </c>
      <c r="B1862" t="str">
        <f>"1.0629"</f>
        <v>1.0629</v>
      </c>
      <c r="C1862" t="str">
        <f>"1.064"</f>
        <v>1.064</v>
      </c>
    </row>
    <row r="1863" spans="1:3" x14ac:dyDescent="0.25">
      <c r="A1863" t="str">
        <f>"15/02/2017"</f>
        <v>15/02/2017</v>
      </c>
      <c r="B1863" t="str">
        <f>"1.0553"</f>
        <v>1.0553</v>
      </c>
      <c r="C1863" t="str">
        <f>"1.0564"</f>
        <v>1.0564</v>
      </c>
    </row>
    <row r="1864" spans="1:3" x14ac:dyDescent="0.25">
      <c r="A1864" t="str">
        <f>"16/02/2017"</f>
        <v>16/02/2017</v>
      </c>
      <c r="B1864" t="str">
        <f>"1.0635"</f>
        <v>1.0635</v>
      </c>
      <c r="C1864" t="str">
        <f>"1.0646"</f>
        <v>1.0646</v>
      </c>
    </row>
    <row r="1865" spans="1:3" x14ac:dyDescent="0.25">
      <c r="A1865" t="str">
        <f>"17/02/2017"</f>
        <v>17/02/2017</v>
      </c>
      <c r="B1865" t="str">
        <f>"1.0642"</f>
        <v>1.0642</v>
      </c>
      <c r="C1865" t="str">
        <f>"1.0653"</f>
        <v>1.0653</v>
      </c>
    </row>
    <row r="1866" spans="1:3" x14ac:dyDescent="0.25">
      <c r="A1866" t="str">
        <f>"20/02/2017"</f>
        <v>20/02/2017</v>
      </c>
      <c r="B1866" t="str">
        <f>"1.0623"</f>
        <v>1.0623</v>
      </c>
      <c r="C1866" t="str">
        <f>"1.0634"</f>
        <v>1.0634</v>
      </c>
    </row>
    <row r="1867" spans="1:3" x14ac:dyDescent="0.25">
      <c r="A1867" t="str">
        <f>"22/02/2017"</f>
        <v>22/02/2017</v>
      </c>
      <c r="B1867" t="str">
        <f>"1.0501"</f>
        <v>1.0501</v>
      </c>
      <c r="C1867" t="str">
        <f>"1.0512"</f>
        <v>1.0512</v>
      </c>
    </row>
    <row r="1868" spans="1:3" x14ac:dyDescent="0.25">
      <c r="A1868" t="str">
        <f>"23/02/2017"</f>
        <v>23/02/2017</v>
      </c>
      <c r="B1868" t="str">
        <f>"1.0549"</f>
        <v>1.0549</v>
      </c>
      <c r="C1868" t="str">
        <f>"1.056"</f>
        <v>1.056</v>
      </c>
    </row>
    <row r="1869" spans="1:3" x14ac:dyDescent="0.25">
      <c r="A1869" t="str">
        <f>"27/02/2017"</f>
        <v>27/02/2017</v>
      </c>
      <c r="B1869" t="str">
        <f>"1.058"</f>
        <v>1.058</v>
      </c>
      <c r="C1869" t="str">
        <f>"1.0597"</f>
        <v>1.0597</v>
      </c>
    </row>
    <row r="1870" spans="1:3" x14ac:dyDescent="0.25">
      <c r="A1870" t="str">
        <f>"28/02/2017"</f>
        <v>28/02/2017</v>
      </c>
      <c r="B1870" t="str">
        <f>"1.0607"</f>
        <v>1.0607</v>
      </c>
      <c r="C1870" t="str">
        <f>"1.0613"</f>
        <v>1.0613</v>
      </c>
    </row>
    <row r="1871" spans="1:3" x14ac:dyDescent="0.25">
      <c r="A1871" t="str">
        <f>"01/03/2017"</f>
        <v>01/03/2017</v>
      </c>
      <c r="B1871" t="str">
        <f>"1.0527"</f>
        <v>1.0527</v>
      </c>
      <c r="C1871" t="str">
        <f>"1.0543"</f>
        <v>1.0543</v>
      </c>
    </row>
    <row r="1872" spans="1:3" x14ac:dyDescent="0.25">
      <c r="A1872" t="str">
        <f>"02/03/2017"</f>
        <v>02/03/2017</v>
      </c>
      <c r="B1872" t="str">
        <f>"1.0531"</f>
        <v>1.0531</v>
      </c>
      <c r="C1872" t="str">
        <f>"1.0547"</f>
        <v>1.0547</v>
      </c>
    </row>
    <row r="1873" spans="1:3" x14ac:dyDescent="0.25">
      <c r="A1873" t="str">
        <f>"03/03/2017"</f>
        <v>03/03/2017</v>
      </c>
      <c r="B1873" t="str">
        <f>"1.0521"</f>
        <v>1.0521</v>
      </c>
      <c r="C1873" t="str">
        <f>"1.0536"</f>
        <v>1.0536</v>
      </c>
    </row>
    <row r="1874" spans="1:3" x14ac:dyDescent="0.25">
      <c r="A1874" t="str">
        <f>"06/03/2017"</f>
        <v>06/03/2017</v>
      </c>
      <c r="B1874" t="str">
        <f>"1.0578"</f>
        <v>1.0578</v>
      </c>
      <c r="C1874" t="str">
        <f>"1.0595"</f>
        <v>1.0595</v>
      </c>
    </row>
    <row r="1875" spans="1:3" x14ac:dyDescent="0.25">
      <c r="A1875" t="str">
        <f>"07/03/2017"</f>
        <v>07/03/2017</v>
      </c>
      <c r="B1875" t="str">
        <f>"1.0574"</f>
        <v>1.0574</v>
      </c>
      <c r="C1875" t="str">
        <f>"1.0591"</f>
        <v>1.0591</v>
      </c>
    </row>
    <row r="1876" spans="1:3" x14ac:dyDescent="0.25">
      <c r="A1876" t="str">
        <f>"08/03/2017"</f>
        <v>08/03/2017</v>
      </c>
      <c r="B1876" t="str">
        <f>"1.056"</f>
        <v>1.056</v>
      </c>
      <c r="C1876" t="str">
        <f>"1.0576"</f>
        <v>1.0576</v>
      </c>
    </row>
    <row r="1877" spans="1:3" x14ac:dyDescent="0.25">
      <c r="A1877" t="str">
        <f>"09/03/2017"</f>
        <v>09/03/2017</v>
      </c>
      <c r="B1877" t="str">
        <f>"1.0563"</f>
        <v>1.0563</v>
      </c>
      <c r="C1877" t="str">
        <f>"1.0579"</f>
        <v>1.0579</v>
      </c>
    </row>
    <row r="1878" spans="1:3" x14ac:dyDescent="0.25">
      <c r="A1878" t="str">
        <f>"10/03/2017"</f>
        <v>10/03/2017</v>
      </c>
      <c r="B1878" t="str">
        <f>"1.0605"</f>
        <v>1.0605</v>
      </c>
      <c r="C1878" t="str">
        <f>"1.0623"</f>
        <v>1.0623</v>
      </c>
    </row>
    <row r="1879" spans="1:3" x14ac:dyDescent="0.25">
      <c r="A1879" t="str">
        <f>"14/03/2017"</f>
        <v>14/03/2017</v>
      </c>
      <c r="B1879" t="str">
        <f>"1.0633"</f>
        <v>1.0633</v>
      </c>
      <c r="C1879" t="str">
        <f>"1.0651"</f>
        <v>1.0651</v>
      </c>
    </row>
    <row r="1880" spans="1:3" x14ac:dyDescent="0.25">
      <c r="A1880" t="str">
        <f>"15/03/2017"</f>
        <v>15/03/2017</v>
      </c>
      <c r="B1880" t="str">
        <f>"1.0615"</f>
        <v>1.0615</v>
      </c>
      <c r="C1880" t="str">
        <f>"1.0632"</f>
        <v>1.0632</v>
      </c>
    </row>
    <row r="1881" spans="1:3" x14ac:dyDescent="0.25">
      <c r="A1881" t="str">
        <f>"16/03/2017"</f>
        <v>16/03/2017</v>
      </c>
      <c r="B1881" t="str">
        <f>"1.0727"</f>
        <v>1.0727</v>
      </c>
      <c r="C1881" t="str">
        <f>"1.0744"</f>
        <v>1.0744</v>
      </c>
    </row>
    <row r="1882" spans="1:3" x14ac:dyDescent="0.25">
      <c r="A1882" t="str">
        <f>"17/03/2017"</f>
        <v>17/03/2017</v>
      </c>
      <c r="B1882" t="str">
        <f>"1.0741"</f>
        <v>1.0741</v>
      </c>
      <c r="C1882" t="str">
        <f>"1.0759"</f>
        <v>1.0759</v>
      </c>
    </row>
    <row r="1883" spans="1:3" x14ac:dyDescent="0.25">
      <c r="A1883" t="str">
        <f>"20/03/2017"</f>
        <v>20/03/2017</v>
      </c>
      <c r="B1883" t="str">
        <f>"1.0752"</f>
        <v>1.0752</v>
      </c>
      <c r="C1883" t="str">
        <f>"1.0771"</f>
        <v>1.0771</v>
      </c>
    </row>
    <row r="1884" spans="1:3" x14ac:dyDescent="0.25">
      <c r="A1884" t="str">
        <f>"21/03/2017"</f>
        <v>21/03/2017</v>
      </c>
      <c r="B1884" t="str">
        <f>"1.0803"</f>
        <v>1.0803</v>
      </c>
      <c r="C1884" t="str">
        <f>"1.0821"</f>
        <v>1.0821</v>
      </c>
    </row>
    <row r="1885" spans="1:3" x14ac:dyDescent="0.25">
      <c r="A1885" t="str">
        <f>"22/03/2017"</f>
        <v>22/03/2017</v>
      </c>
      <c r="B1885" t="str">
        <f>"1.0787"</f>
        <v>1.0787</v>
      </c>
      <c r="C1885" t="str">
        <f>"1.0805"</f>
        <v>1.0805</v>
      </c>
    </row>
    <row r="1886" spans="1:3" x14ac:dyDescent="0.25">
      <c r="A1886" t="str">
        <f>"23/03/2017"</f>
        <v>23/03/2017</v>
      </c>
      <c r="B1886" t="str">
        <f>"1.0791"</f>
        <v>1.0791</v>
      </c>
      <c r="C1886" t="str">
        <f>"1.0809"</f>
        <v>1.0809</v>
      </c>
    </row>
    <row r="1887" spans="1:3" x14ac:dyDescent="0.25">
      <c r="A1887" t="str">
        <f>"24/03/2017"</f>
        <v>24/03/2017</v>
      </c>
      <c r="B1887" t="str">
        <f>"1.08"</f>
        <v>1.08</v>
      </c>
      <c r="C1887" t="str">
        <f>"1.0817"</f>
        <v>1.0817</v>
      </c>
    </row>
    <row r="1888" spans="1:3" x14ac:dyDescent="0.25">
      <c r="A1888" t="str">
        <f>"27/03/2017"</f>
        <v>27/03/2017</v>
      </c>
      <c r="B1888" t="str">
        <f>"1.0868"</f>
        <v>1.0868</v>
      </c>
      <c r="C1888" t="str">
        <f>"1.0884"</f>
        <v>1.0884</v>
      </c>
    </row>
    <row r="1889" spans="1:3" x14ac:dyDescent="0.25">
      <c r="A1889" t="str">
        <f>"29/03/2017"</f>
        <v>29/03/2017</v>
      </c>
      <c r="B1889" t="str">
        <f>"1.0752"</f>
        <v>1.0752</v>
      </c>
      <c r="C1889" t="str">
        <f>"1.0767"</f>
        <v>1.0767</v>
      </c>
    </row>
    <row r="1890" spans="1:3" x14ac:dyDescent="0.25">
      <c r="A1890" t="str">
        <f>"30/03/2017"</f>
        <v>30/03/2017</v>
      </c>
      <c r="B1890" t="str">
        <f>"1.0744"</f>
        <v>1.0744</v>
      </c>
      <c r="C1890" t="str">
        <f>"1.0758"</f>
        <v>1.0758</v>
      </c>
    </row>
    <row r="1891" spans="1:3" x14ac:dyDescent="0.25">
      <c r="A1891" t="str">
        <f>"31/03/2017"</f>
        <v>31/03/2017</v>
      </c>
      <c r="B1891" t="str">
        <f>"1.0648"</f>
        <v>1.0648</v>
      </c>
      <c r="C1891" t="str">
        <f>"1.0702"</f>
        <v>1.0702</v>
      </c>
    </row>
    <row r="1892" spans="1:3" x14ac:dyDescent="0.25">
      <c r="A1892" t="str">
        <f>"03/04/2017"</f>
        <v>03/04/2017</v>
      </c>
      <c r="B1892" t="str">
        <f>"1.0663"</f>
        <v>1.0663</v>
      </c>
      <c r="C1892" t="str">
        <f>"1.0677"</f>
        <v>1.0677</v>
      </c>
    </row>
    <row r="1893" spans="1:3" x14ac:dyDescent="0.25">
      <c r="A1893" t="str">
        <f>"05/04/2017"</f>
        <v>05/04/2017</v>
      </c>
      <c r="B1893" t="str">
        <f>"1.067"</f>
        <v>1.067</v>
      </c>
      <c r="C1893" t="str">
        <f>"1.0684"</f>
        <v>1.0684</v>
      </c>
    </row>
    <row r="1894" spans="1:3" x14ac:dyDescent="0.25">
      <c r="A1894" t="str">
        <f>"06/04/2017"</f>
        <v>06/04/2017</v>
      </c>
      <c r="B1894" t="str">
        <f>"1.0673"</f>
        <v>1.0673</v>
      </c>
      <c r="C1894" t="str">
        <f>"1.0687"</f>
        <v>1.0687</v>
      </c>
    </row>
    <row r="1895" spans="1:3" x14ac:dyDescent="0.25">
      <c r="A1895" t="str">
        <f>"07/04/2017"</f>
        <v>07/04/2017</v>
      </c>
      <c r="B1895" t="str">
        <f>"1.0629"</f>
        <v>1.0629</v>
      </c>
      <c r="C1895" t="str">
        <f>"1.0643"</f>
        <v>1.0643</v>
      </c>
    </row>
    <row r="1896" spans="1:3" x14ac:dyDescent="0.25">
      <c r="A1896" t="str">
        <f>"10/04/2017"</f>
        <v>10/04/2017</v>
      </c>
      <c r="B1896" t="str">
        <f>"1.0584"</f>
        <v>1.0584</v>
      </c>
      <c r="C1896" t="str">
        <f>"1.0598"</f>
        <v>1.0598</v>
      </c>
    </row>
    <row r="1897" spans="1:3" x14ac:dyDescent="0.25">
      <c r="A1897" t="str">
        <f>"11/04/2017"</f>
        <v>11/04/2017</v>
      </c>
      <c r="B1897" t="str">
        <f>"1.061"</f>
        <v>1.061</v>
      </c>
      <c r="C1897" t="str">
        <f>"1.0626"</f>
        <v>1.0626</v>
      </c>
    </row>
    <row r="1898" spans="1:3" x14ac:dyDescent="0.25">
      <c r="A1898" t="str">
        <f>"12/04/2017"</f>
        <v>12/04/2017</v>
      </c>
      <c r="B1898" t="str">
        <f>"1.0602"</f>
        <v>1.0602</v>
      </c>
      <c r="C1898" t="str">
        <f>"1.0617"</f>
        <v>1.0617</v>
      </c>
    </row>
    <row r="1899" spans="1:3" x14ac:dyDescent="0.25">
      <c r="A1899" t="str">
        <f>"13/04/2017"</f>
        <v>13/04/2017</v>
      </c>
      <c r="B1899" t="str">
        <f>"1.0636"</f>
        <v>1.0636</v>
      </c>
      <c r="C1899" t="str">
        <f>"1.0651"</f>
        <v>1.0651</v>
      </c>
    </row>
    <row r="1900" spans="1:3" x14ac:dyDescent="0.25">
      <c r="A1900" t="str">
        <f>"17/04/2017"</f>
        <v>17/04/2017</v>
      </c>
      <c r="B1900" t="str">
        <f>"1.0637"</f>
        <v>1.0637</v>
      </c>
      <c r="C1900" t="str">
        <f>"1.0652"</f>
        <v>1.0652</v>
      </c>
    </row>
    <row r="1901" spans="1:3" x14ac:dyDescent="0.25">
      <c r="A1901" t="str">
        <f>"18/04/2017"</f>
        <v>18/04/2017</v>
      </c>
      <c r="B1901" t="str">
        <f>"1.0676"</f>
        <v>1.0676</v>
      </c>
      <c r="C1901" t="str">
        <f>"1.0692"</f>
        <v>1.0692</v>
      </c>
    </row>
    <row r="1902" spans="1:3" x14ac:dyDescent="0.25">
      <c r="A1902" t="str">
        <f>"19/04/2017"</f>
        <v>19/04/2017</v>
      </c>
      <c r="B1902" t="str">
        <f>"1.0718"</f>
        <v>1.0718</v>
      </c>
      <c r="C1902" t="str">
        <f>"1.0734"</f>
        <v>1.0734</v>
      </c>
    </row>
    <row r="1903" spans="1:3" x14ac:dyDescent="0.25">
      <c r="A1903" t="str">
        <f>"20/04/2017"</f>
        <v>20/04/2017</v>
      </c>
      <c r="B1903" t="str">
        <f>"1.0743"</f>
        <v>1.0743</v>
      </c>
      <c r="C1903" t="str">
        <f>"1.0758"</f>
        <v>1.0758</v>
      </c>
    </row>
    <row r="1904" spans="1:3" x14ac:dyDescent="0.25">
      <c r="A1904" t="str">
        <f>"21/04/2017"</f>
        <v>21/04/2017</v>
      </c>
      <c r="B1904" t="str">
        <f>"1.0704"</f>
        <v>1.0704</v>
      </c>
      <c r="C1904" t="str">
        <f>"1.0719"</f>
        <v>1.0719</v>
      </c>
    </row>
    <row r="1905" spans="1:3" x14ac:dyDescent="0.25">
      <c r="A1905" t="str">
        <f>"24/04/2017"</f>
        <v>24/04/2017</v>
      </c>
      <c r="B1905" t="str">
        <f>"1.0854"</f>
        <v>1.0854</v>
      </c>
      <c r="C1905" t="str">
        <f>"1.0869"</f>
        <v>1.0869</v>
      </c>
    </row>
    <row r="1906" spans="1:3" x14ac:dyDescent="0.25">
      <c r="A1906" t="str">
        <f>"25/04/2017"</f>
        <v>25/04/2017</v>
      </c>
      <c r="B1906" t="str">
        <f>"1.0877"</f>
        <v>1.0877</v>
      </c>
      <c r="C1906" t="str">
        <f>"1.0893"</f>
        <v>1.0893</v>
      </c>
    </row>
    <row r="1907" spans="1:3" x14ac:dyDescent="0.25">
      <c r="A1907" t="str">
        <f>"26/04/2017"</f>
        <v>26/04/2017</v>
      </c>
      <c r="B1907" t="str">
        <f>"1.0894"</f>
        <v>1.0894</v>
      </c>
      <c r="C1907" t="str">
        <f>"1.0911"</f>
        <v>1.0911</v>
      </c>
    </row>
    <row r="1908" spans="1:3" x14ac:dyDescent="0.25">
      <c r="A1908" t="str">
        <f>"27/04/2017"</f>
        <v>27/04/2017</v>
      </c>
      <c r="B1908" t="str">
        <f>"1.0898"</f>
        <v>1.0898</v>
      </c>
      <c r="C1908" t="str">
        <f>"1.0914"</f>
        <v>1.0914</v>
      </c>
    </row>
    <row r="1909" spans="1:3" x14ac:dyDescent="0.25">
      <c r="A1909" t="str">
        <f>"28/04/2017"</f>
        <v>28/04/2017</v>
      </c>
      <c r="B1909" t="str">
        <f>"1.0887"</f>
        <v>1.0887</v>
      </c>
      <c r="C1909" t="str">
        <f>"1.095"</f>
        <v>1.095</v>
      </c>
    </row>
    <row r="1910" spans="1:3" x14ac:dyDescent="0.25">
      <c r="A1910" t="str">
        <f>"02/05/2017"</f>
        <v>02/05/2017</v>
      </c>
      <c r="B1910" t="str">
        <f>"1.0915"</f>
        <v>1.0915</v>
      </c>
      <c r="C1910" t="str">
        <f>"1.0931"</f>
        <v>1.0931</v>
      </c>
    </row>
    <row r="1911" spans="1:3" x14ac:dyDescent="0.25">
      <c r="A1911" t="str">
        <f>"03/05/2017"</f>
        <v>03/05/2017</v>
      </c>
      <c r="B1911" t="str">
        <f>"1.0912"</f>
        <v>1.0912</v>
      </c>
      <c r="C1911" t="str">
        <f>"1.0928"</f>
        <v>1.0928</v>
      </c>
    </row>
    <row r="1912" spans="1:3" x14ac:dyDescent="0.25">
      <c r="A1912" t="str">
        <f>"04/05/2017"</f>
        <v>04/05/2017</v>
      </c>
      <c r="B1912" t="str">
        <f>"1.0895"</f>
        <v>1.0895</v>
      </c>
      <c r="C1912" t="str">
        <f>"1.0911"</f>
        <v>1.0911</v>
      </c>
    </row>
    <row r="1913" spans="1:3" x14ac:dyDescent="0.25">
      <c r="A1913" t="str">
        <f>"05/05/2017"</f>
        <v>05/05/2017</v>
      </c>
      <c r="B1913" t="str">
        <f>"1.0956"</f>
        <v>1.0956</v>
      </c>
      <c r="C1913" t="str">
        <f>"1.0971"</f>
        <v>1.0971</v>
      </c>
    </row>
    <row r="1914" spans="1:3" x14ac:dyDescent="0.25">
      <c r="A1914" t="str">
        <f>"08/05/2017"</f>
        <v>08/05/2017</v>
      </c>
      <c r="B1914" t="str">
        <f>"1.095"</f>
        <v>1.095</v>
      </c>
      <c r="C1914" t="str">
        <f>"1.0966"</f>
        <v>1.0966</v>
      </c>
    </row>
    <row r="1915" spans="1:3" x14ac:dyDescent="0.25">
      <c r="A1915" t="str">
        <f>"09/05/2017"</f>
        <v>09/05/2017</v>
      </c>
      <c r="B1915" t="str">
        <f>"1.093"</f>
        <v>1.093</v>
      </c>
      <c r="C1915" t="str">
        <f>"1.0945"</f>
        <v>1.0945</v>
      </c>
    </row>
    <row r="1916" spans="1:3" x14ac:dyDescent="0.25">
      <c r="A1916" t="str">
        <f>"11/05/2017"</f>
        <v>11/05/2017</v>
      </c>
      <c r="B1916" t="str">
        <f>"1.0868"</f>
        <v>1.0868</v>
      </c>
      <c r="C1916" t="str">
        <f>"1.0883"</f>
        <v>1.0883</v>
      </c>
    </row>
    <row r="1917" spans="1:3" x14ac:dyDescent="0.25">
      <c r="A1917" t="str">
        <f>"12/05/2017"</f>
        <v>12/05/2017</v>
      </c>
      <c r="B1917" t="str">
        <f>"1.0876"</f>
        <v>1.0876</v>
      </c>
      <c r="C1917" t="str">
        <f>"1.0891"</f>
        <v>1.0891</v>
      </c>
    </row>
    <row r="1918" spans="1:3" x14ac:dyDescent="0.25">
      <c r="A1918" t="str">
        <f>"15/05/2017"</f>
        <v>15/05/2017</v>
      </c>
      <c r="B1918" t="str">
        <f>"1.0971"</f>
        <v>1.0971</v>
      </c>
      <c r="C1918" t="str">
        <f>"1.0988"</f>
        <v>1.0988</v>
      </c>
    </row>
    <row r="1919" spans="1:3" x14ac:dyDescent="0.25">
      <c r="A1919" t="str">
        <f>"16/05/2017"</f>
        <v>16/05/2017</v>
      </c>
      <c r="B1919" t="str">
        <f>"1.106"</f>
        <v>1.106</v>
      </c>
      <c r="C1919" t="str">
        <f>"1.1076"</f>
        <v>1.1076</v>
      </c>
    </row>
    <row r="1920" spans="1:3" x14ac:dyDescent="0.25">
      <c r="A1920" t="str">
        <f>"17/05/2017"</f>
        <v>17/05/2017</v>
      </c>
      <c r="B1920" t="str">
        <f>"1.1105"</f>
        <v>1.1105</v>
      </c>
      <c r="C1920" t="str">
        <f>"1.1121"</f>
        <v>1.1121</v>
      </c>
    </row>
    <row r="1921" spans="1:3" x14ac:dyDescent="0.25">
      <c r="A1921" t="str">
        <f>"18/05/2017"</f>
        <v>18/05/2017</v>
      </c>
      <c r="B1921" t="str">
        <f>"1.1128"</f>
        <v>1.1128</v>
      </c>
      <c r="C1921" t="str">
        <f>"1.1144"</f>
        <v>1.1144</v>
      </c>
    </row>
    <row r="1922" spans="1:3" x14ac:dyDescent="0.25">
      <c r="A1922" t="str">
        <f>"19/05/2017"</f>
        <v>19/05/2017</v>
      </c>
      <c r="B1922" t="str">
        <f>"1.1171"</f>
        <v>1.1171</v>
      </c>
      <c r="C1922" t="str">
        <f>"1.1187"</f>
        <v>1.1187</v>
      </c>
    </row>
    <row r="1923" spans="1:3" x14ac:dyDescent="0.25">
      <c r="A1923" t="str">
        <f>"22/05/2017"</f>
        <v>22/05/2017</v>
      </c>
      <c r="B1923" t="str">
        <f>"1.1237"</f>
        <v>1.1237</v>
      </c>
      <c r="C1923" t="str">
        <f>"1.1254"</f>
        <v>1.1254</v>
      </c>
    </row>
    <row r="1924" spans="1:3" x14ac:dyDescent="0.25">
      <c r="A1924" t="str">
        <f>"23/05/2017"</f>
        <v>23/05/2017</v>
      </c>
      <c r="B1924" t="str">
        <f>"1.1234"</f>
        <v>1.1234</v>
      </c>
      <c r="C1924" t="str">
        <f>"1.1251"</f>
        <v>1.1251</v>
      </c>
    </row>
    <row r="1925" spans="1:3" x14ac:dyDescent="0.25">
      <c r="A1925" t="str">
        <f>"24/05/2017"</f>
        <v>24/05/2017</v>
      </c>
      <c r="B1925" t="str">
        <f>"1.119"</f>
        <v>1.119</v>
      </c>
      <c r="C1925" t="str">
        <f>"1.1206"</f>
        <v>1.1206</v>
      </c>
    </row>
    <row r="1926" spans="1:3" x14ac:dyDescent="0.25">
      <c r="A1926" t="str">
        <f>"25/05/2017"</f>
        <v>25/05/2017</v>
      </c>
      <c r="B1926" t="str">
        <f>"1.1209"</f>
        <v>1.1209</v>
      </c>
      <c r="C1926" t="str">
        <f>"1.1226"</f>
        <v>1.1226</v>
      </c>
    </row>
    <row r="1927" spans="1:3" x14ac:dyDescent="0.25">
      <c r="A1927" t="str">
        <f>"26/05/2017"</f>
        <v>26/05/2017</v>
      </c>
      <c r="B1927" t="str">
        <f>"1.1204"</f>
        <v>1.1204</v>
      </c>
      <c r="C1927" t="str">
        <f>"1.1221"</f>
        <v>1.1221</v>
      </c>
    </row>
    <row r="1928" spans="1:3" x14ac:dyDescent="0.25">
      <c r="A1928" t="str">
        <f>"29/05/2017"</f>
        <v>29/05/2017</v>
      </c>
      <c r="B1928" t="str">
        <f>"1.1186"</f>
        <v>1.1186</v>
      </c>
      <c r="C1928" t="str">
        <f>"1.1202"</f>
        <v>1.1202</v>
      </c>
    </row>
    <row r="1929" spans="1:3" x14ac:dyDescent="0.25">
      <c r="A1929" t="str">
        <f>"30/05/2017"</f>
        <v>30/05/2017</v>
      </c>
      <c r="B1929" t="str">
        <f>"1.1151"</f>
        <v>1.1151</v>
      </c>
      <c r="C1929" t="str">
        <f>"1.117"</f>
        <v>1.117</v>
      </c>
    </row>
    <row r="1930" spans="1:3" x14ac:dyDescent="0.25">
      <c r="A1930" t="str">
        <f>"31/05/2017"</f>
        <v>31/05/2017</v>
      </c>
      <c r="B1930" t="str">
        <f>"1.1237"</f>
        <v>1.1237</v>
      </c>
      <c r="C1930" t="str">
        <f>"1.1239"</f>
        <v>1.1239</v>
      </c>
    </row>
    <row r="1931" spans="1:3" x14ac:dyDescent="0.25">
      <c r="A1931" t="str">
        <f>"01/06/2017"</f>
        <v>01/06/2017</v>
      </c>
      <c r="B1931" t="str">
        <f>"1.1222"</f>
        <v>1.1222</v>
      </c>
      <c r="C1931" t="str">
        <f>"1.124"</f>
        <v>1.124</v>
      </c>
    </row>
    <row r="1932" spans="1:3" x14ac:dyDescent="0.25">
      <c r="A1932" t="str">
        <f>"02/06/2017"</f>
        <v>02/06/2017</v>
      </c>
      <c r="B1932" t="str">
        <f>"1.1212"</f>
        <v>1.1212</v>
      </c>
      <c r="C1932" t="str">
        <f>"1.123"</f>
        <v>1.123</v>
      </c>
    </row>
    <row r="1933" spans="1:3" x14ac:dyDescent="0.25">
      <c r="A1933" t="str">
        <f>"05/06/2017"</f>
        <v>05/06/2017</v>
      </c>
      <c r="B1933" t="str">
        <f>"1.1244"</f>
        <v>1.1244</v>
      </c>
      <c r="C1933" t="str">
        <f>"1.1262"</f>
        <v>1.1262</v>
      </c>
    </row>
    <row r="1934" spans="1:3" x14ac:dyDescent="0.25">
      <c r="A1934" t="str">
        <f>"06/06/2017"</f>
        <v>06/06/2017</v>
      </c>
      <c r="B1934" t="str">
        <f>"1.1251"</f>
        <v>1.1251</v>
      </c>
      <c r="C1934" t="str">
        <f>"1.127"</f>
        <v>1.127</v>
      </c>
    </row>
    <row r="1935" spans="1:3" x14ac:dyDescent="0.25">
      <c r="A1935" t="str">
        <f>"07/06/2017"</f>
        <v>07/06/2017</v>
      </c>
      <c r="B1935" t="str">
        <f>"1.1214"</f>
        <v>1.1214</v>
      </c>
      <c r="C1935" t="str">
        <f>"1.1233"</f>
        <v>1.1233</v>
      </c>
    </row>
    <row r="1936" spans="1:3" x14ac:dyDescent="0.25">
      <c r="A1936" t="str">
        <f>"08/06/2017"</f>
        <v>08/06/2017</v>
      </c>
      <c r="B1936" t="str">
        <f>"1.1252"</f>
        <v>1.1252</v>
      </c>
      <c r="C1936" t="str">
        <f>"1.127"</f>
        <v>1.127</v>
      </c>
    </row>
    <row r="1937" spans="1:3" x14ac:dyDescent="0.25">
      <c r="A1937" t="str">
        <f>"09/06/2017"</f>
        <v>09/06/2017</v>
      </c>
      <c r="B1937" t="str">
        <f>"1.1177"</f>
        <v>1.1177</v>
      </c>
      <c r="C1937" t="str">
        <f>"1.1196"</f>
        <v>1.1196</v>
      </c>
    </row>
    <row r="1938" spans="1:3" x14ac:dyDescent="0.25">
      <c r="A1938" t="str">
        <f>"12/06/2017"</f>
        <v>12/06/2017</v>
      </c>
      <c r="B1938" t="str">
        <f>"1.1225"</f>
        <v>1.1225</v>
      </c>
      <c r="C1938" t="str">
        <f>"1.1244"</f>
        <v>1.1244</v>
      </c>
    </row>
    <row r="1939" spans="1:3" x14ac:dyDescent="0.25">
      <c r="A1939" t="str">
        <f>"13/06/2017"</f>
        <v>13/06/2017</v>
      </c>
      <c r="B1939" t="str">
        <f>"1.1213"</f>
        <v>1.1213</v>
      </c>
      <c r="C1939" t="str">
        <f>"1.1233"</f>
        <v>1.1233</v>
      </c>
    </row>
    <row r="1940" spans="1:3" x14ac:dyDescent="0.25">
      <c r="A1940" t="str">
        <f>"14/06/2017"</f>
        <v>14/06/2017</v>
      </c>
      <c r="B1940" t="str">
        <f>"1.1205"</f>
        <v>1.1205</v>
      </c>
      <c r="C1940" t="str">
        <f>"1.1224"</f>
        <v>1.1224</v>
      </c>
    </row>
    <row r="1941" spans="1:3" x14ac:dyDescent="0.25">
      <c r="A1941" t="str">
        <f>"15/06/2017"</f>
        <v>15/06/2017</v>
      </c>
      <c r="B1941" t="str">
        <f>"1.116"</f>
        <v>1.116</v>
      </c>
      <c r="C1941" t="str">
        <f>"1.1179"</f>
        <v>1.1179</v>
      </c>
    </row>
    <row r="1942" spans="1:3" x14ac:dyDescent="0.25">
      <c r="A1942" t="str">
        <f>"16/06/2017"</f>
        <v>16/06/2017</v>
      </c>
      <c r="B1942" t="str">
        <f>"1.1173"</f>
        <v>1.1173</v>
      </c>
      <c r="C1942" t="str">
        <f>"1.1192"</f>
        <v>1.1192</v>
      </c>
    </row>
    <row r="1943" spans="1:3" x14ac:dyDescent="0.25">
      <c r="A1943" t="str">
        <f>"19/06/2017"</f>
        <v>19/06/2017</v>
      </c>
      <c r="B1943" t="str">
        <f>"1.1195"</f>
        <v>1.1195</v>
      </c>
      <c r="C1943" t="str">
        <f>"1.1214"</f>
        <v>1.1214</v>
      </c>
    </row>
    <row r="1944" spans="1:3" x14ac:dyDescent="0.25">
      <c r="A1944" t="str">
        <f>"20/06/2017"</f>
        <v>20/06/2017</v>
      </c>
      <c r="B1944" t="str">
        <f>"1.1145"</f>
        <v>1.1145</v>
      </c>
      <c r="C1944" t="str">
        <f>"1.1165"</f>
        <v>1.1165</v>
      </c>
    </row>
    <row r="1945" spans="1:3" x14ac:dyDescent="0.25">
      <c r="A1945" t="str">
        <f>"21/06/2017"</f>
        <v>21/06/2017</v>
      </c>
      <c r="B1945" t="str">
        <f>"1.1144"</f>
        <v>1.1144</v>
      </c>
      <c r="C1945" t="str">
        <f>"1.1164"</f>
        <v>1.1164</v>
      </c>
    </row>
    <row r="1946" spans="1:3" x14ac:dyDescent="0.25">
      <c r="A1946" t="str">
        <f>"22/06/2017"</f>
        <v>22/06/2017</v>
      </c>
      <c r="B1946" t="str">
        <f>"1.1163"</f>
        <v>1.1163</v>
      </c>
      <c r="C1946" t="str">
        <f>"1.1182"</f>
        <v>1.1182</v>
      </c>
    </row>
    <row r="1947" spans="1:3" x14ac:dyDescent="0.25">
      <c r="A1947" t="str">
        <f>"23/06/2017"</f>
        <v>23/06/2017</v>
      </c>
      <c r="B1947" t="str">
        <f>"1.1166"</f>
        <v>1.1166</v>
      </c>
      <c r="C1947" t="str">
        <f>"1.1185"</f>
        <v>1.1185</v>
      </c>
    </row>
    <row r="1948" spans="1:3" x14ac:dyDescent="0.25">
      <c r="A1948" t="str">
        <f>"27/06/2017"</f>
        <v>27/06/2017</v>
      </c>
      <c r="B1948" t="str">
        <f>"1.1188"</f>
        <v>1.1188</v>
      </c>
      <c r="C1948" t="str">
        <f>"1.1208"</f>
        <v>1.1208</v>
      </c>
    </row>
    <row r="1949" spans="1:3" x14ac:dyDescent="0.25">
      <c r="A1949" t="str">
        <f>"28/06/2017"</f>
        <v>28/06/2017</v>
      </c>
      <c r="B1949" t="str">
        <f>"1.1375"</f>
        <v>1.1375</v>
      </c>
      <c r="C1949" t="str">
        <f>"1.1394"</f>
        <v>1.1394</v>
      </c>
    </row>
    <row r="1950" spans="1:3" x14ac:dyDescent="0.25">
      <c r="A1950" t="str">
        <f>"29/06/2017"</f>
        <v>29/06/2017</v>
      </c>
      <c r="B1950" t="str">
        <f>"1.1414"</f>
        <v>1.1414</v>
      </c>
      <c r="C1950" t="str">
        <f>"1.1432"</f>
        <v>1.1432</v>
      </c>
    </row>
    <row r="1951" spans="1:3" x14ac:dyDescent="0.25">
      <c r="A1951" t="str">
        <f>"30/06/2017"</f>
        <v>30/06/2017</v>
      </c>
      <c r="B1951" t="str">
        <f>"1.1423"</f>
        <v>1.1423</v>
      </c>
      <c r="C1951" t="str">
        <f>"1.1429"</f>
        <v>1.1429</v>
      </c>
    </row>
    <row r="1952" spans="1:3" x14ac:dyDescent="0.25">
      <c r="A1952" t="str">
        <f>"03/07/2017"</f>
        <v>03/07/2017</v>
      </c>
      <c r="B1952" t="str">
        <f>"1.137"</f>
        <v>1.137</v>
      </c>
      <c r="C1952" t="str">
        <f>"1.1389"</f>
        <v>1.1389</v>
      </c>
    </row>
    <row r="1953" spans="1:3" x14ac:dyDescent="0.25">
      <c r="A1953" t="str">
        <f>"04/07/2017"</f>
        <v>04/07/2017</v>
      </c>
      <c r="B1953" t="str">
        <f>"1.1343"</f>
        <v>1.1343</v>
      </c>
      <c r="C1953" t="str">
        <f>"1.1361"</f>
        <v>1.1361</v>
      </c>
    </row>
    <row r="1954" spans="1:3" x14ac:dyDescent="0.25">
      <c r="A1954" t="str">
        <f>"05/07/2017"</f>
        <v>05/07/2017</v>
      </c>
      <c r="B1954" t="str">
        <f>"1.1357"</f>
        <v>1.1357</v>
      </c>
      <c r="C1954" t="str">
        <f>"1.1375"</f>
        <v>1.1375</v>
      </c>
    </row>
    <row r="1955" spans="1:3" x14ac:dyDescent="0.25">
      <c r="A1955" t="str">
        <f>"06/07/2017"</f>
        <v>06/07/2017</v>
      </c>
      <c r="B1955" t="str">
        <f>"1.1371"</f>
        <v>1.1371</v>
      </c>
      <c r="C1955" t="str">
        <f>"1.1389"</f>
        <v>1.1389</v>
      </c>
    </row>
    <row r="1956" spans="1:3" x14ac:dyDescent="0.25">
      <c r="A1956" t="str">
        <f>"07/07/2017"</f>
        <v>07/07/2017</v>
      </c>
      <c r="B1956" t="str">
        <f>"1.1412"</f>
        <v>1.1412</v>
      </c>
      <c r="C1956" t="str">
        <f>"1.143"</f>
        <v>1.143</v>
      </c>
    </row>
    <row r="1957" spans="1:3" x14ac:dyDescent="0.25">
      <c r="A1957" t="str">
        <f>"10/07/2017"</f>
        <v>10/07/2017</v>
      </c>
      <c r="B1957" t="str">
        <f>"1.1386"</f>
        <v>1.1386</v>
      </c>
      <c r="C1957" t="str">
        <f>"1.1405"</f>
        <v>1.1405</v>
      </c>
    </row>
    <row r="1958" spans="1:3" x14ac:dyDescent="0.25">
      <c r="A1958" t="str">
        <f>"11/07/2017"</f>
        <v>11/07/2017</v>
      </c>
      <c r="B1958" t="str">
        <f>"1.1396"</f>
        <v>1.1396</v>
      </c>
      <c r="C1958" t="str">
        <f>"1.1415"</f>
        <v>1.1415</v>
      </c>
    </row>
    <row r="1959" spans="1:3" x14ac:dyDescent="0.25">
      <c r="A1959" t="str">
        <f>"12/07/2017"</f>
        <v>12/07/2017</v>
      </c>
      <c r="B1959" t="str">
        <f>"1.1457"</f>
        <v>1.1457</v>
      </c>
      <c r="C1959" t="str">
        <f>"1.1475"</f>
        <v>1.1475</v>
      </c>
    </row>
    <row r="1960" spans="1:3" x14ac:dyDescent="0.25">
      <c r="A1960" t="str">
        <f>"13/07/2017"</f>
        <v>13/07/2017</v>
      </c>
      <c r="B1960" t="str">
        <f>"1.1402"</f>
        <v>1.1402</v>
      </c>
      <c r="C1960" t="str">
        <f>"1.142"</f>
        <v>1.142</v>
      </c>
    </row>
    <row r="1961" spans="1:3" x14ac:dyDescent="0.25">
      <c r="A1961" t="str">
        <f>"14/07/2017"</f>
        <v>14/07/2017</v>
      </c>
      <c r="B1961" t="str">
        <f>"1.1418"</f>
        <v>1.1418</v>
      </c>
      <c r="C1961" t="str">
        <f>"1.1436"</f>
        <v>1.1436</v>
      </c>
    </row>
    <row r="1962" spans="1:3" x14ac:dyDescent="0.25">
      <c r="A1962" t="str">
        <f>"17/07/2017"</f>
        <v>17/07/2017</v>
      </c>
      <c r="B1962" t="str">
        <f>"1.1463"</f>
        <v>1.1463</v>
      </c>
      <c r="C1962" t="str">
        <f>"1.1483"</f>
        <v>1.1483</v>
      </c>
    </row>
    <row r="1963" spans="1:3" x14ac:dyDescent="0.25">
      <c r="A1963" t="str">
        <f>"18/07/2017"</f>
        <v>18/07/2017</v>
      </c>
      <c r="B1963" t="str">
        <f>"1.1552"</f>
        <v>1.1552</v>
      </c>
      <c r="C1963" t="str">
        <f>"1.1572"</f>
        <v>1.1572</v>
      </c>
    </row>
    <row r="1964" spans="1:3" x14ac:dyDescent="0.25">
      <c r="A1964" t="str">
        <f>"19/07/2017"</f>
        <v>19/07/2017</v>
      </c>
      <c r="B1964" t="str">
        <f>"1.1522"</f>
        <v>1.1522</v>
      </c>
      <c r="C1964" t="str">
        <f>"1.1541"</f>
        <v>1.1541</v>
      </c>
    </row>
    <row r="1965" spans="1:3" x14ac:dyDescent="0.25">
      <c r="A1965" t="str">
        <f>"20/07/2017"</f>
        <v>20/07/2017</v>
      </c>
      <c r="B1965" t="str">
        <f>"1.1496"</f>
        <v>1.1496</v>
      </c>
      <c r="C1965" t="str">
        <f>"1.1514"</f>
        <v>1.1514</v>
      </c>
    </row>
    <row r="1966" spans="1:3" x14ac:dyDescent="0.25">
      <c r="A1966" t="str">
        <f>"21/07/2017"</f>
        <v>21/07/2017</v>
      </c>
      <c r="B1966" t="str">
        <f>"1.1645"</f>
        <v>1.1645</v>
      </c>
      <c r="C1966" t="str">
        <f>"1.1664"</f>
        <v>1.1664</v>
      </c>
    </row>
    <row r="1967" spans="1:3" x14ac:dyDescent="0.25">
      <c r="A1967" t="str">
        <f>"24/07/2017"</f>
        <v>24/07/2017</v>
      </c>
      <c r="B1967" t="str">
        <f>"1.1645"</f>
        <v>1.1645</v>
      </c>
      <c r="C1967" t="str">
        <f>"1.1665"</f>
        <v>1.1665</v>
      </c>
    </row>
    <row r="1968" spans="1:3" x14ac:dyDescent="0.25">
      <c r="A1968" t="str">
        <f>"25/07/2017"</f>
        <v>25/07/2017</v>
      </c>
      <c r="B1968" t="str">
        <f>"1.1658"</f>
        <v>1.1658</v>
      </c>
      <c r="C1968" t="str">
        <f>"1.1677"</f>
        <v>1.1677</v>
      </c>
    </row>
    <row r="1969" spans="1:3" x14ac:dyDescent="0.25">
      <c r="A1969" t="str">
        <f>"26/07/2017"</f>
        <v>26/07/2017</v>
      </c>
      <c r="B1969" t="str">
        <f>"1.1646"</f>
        <v>1.1646</v>
      </c>
      <c r="C1969" t="str">
        <f>"1.1665"</f>
        <v>1.1665</v>
      </c>
    </row>
    <row r="1970" spans="1:3" x14ac:dyDescent="0.25">
      <c r="A1970" t="str">
        <f>"27/07/2017"</f>
        <v>27/07/2017</v>
      </c>
      <c r="B1970" t="str">
        <f>"1.1706"</f>
        <v>1.1706</v>
      </c>
      <c r="C1970" t="str">
        <f>"1.1725"</f>
        <v>1.1725</v>
      </c>
    </row>
    <row r="1971" spans="1:3" x14ac:dyDescent="0.25">
      <c r="A1971" t="str">
        <f>"28/07/2017"</f>
        <v>28/07/2017</v>
      </c>
      <c r="B1971" t="str">
        <f>"1.1712"</f>
        <v>1.1712</v>
      </c>
      <c r="C1971" t="str">
        <f>"1.1731"</f>
        <v>1.1731</v>
      </c>
    </row>
    <row r="1972" spans="1:3" x14ac:dyDescent="0.25">
      <c r="A1972" t="str">
        <f>"31/07/2017"</f>
        <v>31/07/2017</v>
      </c>
      <c r="B1972" t="str">
        <f>"1.181"</f>
        <v>1.181</v>
      </c>
      <c r="C1972" t="str">
        <f>"1.1754"</f>
        <v>1.1754</v>
      </c>
    </row>
    <row r="1973" spans="1:3" x14ac:dyDescent="0.25">
      <c r="A1973" t="str">
        <f>"01/08/2017"</f>
        <v>01/08/2017</v>
      </c>
      <c r="B1973" t="str">
        <f>"1.182"</f>
        <v>1.182</v>
      </c>
      <c r="C1973" t="str">
        <f>"1.184"</f>
        <v>1.184</v>
      </c>
    </row>
    <row r="1974" spans="1:3" x14ac:dyDescent="0.25">
      <c r="A1974" t="str">
        <f>"02/08/2017"</f>
        <v>02/08/2017</v>
      </c>
      <c r="B1974" t="str">
        <f>"1.1823"</f>
        <v>1.1823</v>
      </c>
      <c r="C1974" t="str">
        <f>"1.1842"</f>
        <v>1.1842</v>
      </c>
    </row>
    <row r="1975" spans="1:3" x14ac:dyDescent="0.25">
      <c r="A1975" t="str">
        <f>"03/08/2017"</f>
        <v>03/08/2017</v>
      </c>
      <c r="B1975" t="str">
        <f>"1.1847"</f>
        <v>1.1847</v>
      </c>
      <c r="C1975" t="str">
        <f>"1.1866"</f>
        <v>1.1866</v>
      </c>
    </row>
    <row r="1976" spans="1:3" x14ac:dyDescent="0.25">
      <c r="A1976" t="str">
        <f>"04/08/2017"</f>
        <v>04/08/2017</v>
      </c>
      <c r="B1976" t="str">
        <f>"1.1874"</f>
        <v>1.1874</v>
      </c>
      <c r="C1976" t="str">
        <f>"1.1892"</f>
        <v>1.1892</v>
      </c>
    </row>
    <row r="1977" spans="1:3" x14ac:dyDescent="0.25">
      <c r="A1977" t="str">
        <f>"07/08/2017"</f>
        <v>07/08/2017</v>
      </c>
      <c r="B1977" t="str">
        <f>"1.1798"</f>
        <v>1.1798</v>
      </c>
      <c r="C1977" t="str">
        <f>"1.1818"</f>
        <v>1.1818</v>
      </c>
    </row>
    <row r="1978" spans="1:3" x14ac:dyDescent="0.25">
      <c r="A1978" t="str">
        <f>"08/08/2017"</f>
        <v>08/08/2017</v>
      </c>
      <c r="B1978" t="str">
        <f>"1.1813"</f>
        <v>1.1813</v>
      </c>
      <c r="C1978" t="str">
        <f>"1.1832"</f>
        <v>1.1832</v>
      </c>
    </row>
    <row r="1979" spans="1:3" x14ac:dyDescent="0.25">
      <c r="A1979" t="str">
        <f>"09/08/2017"</f>
        <v>09/08/2017</v>
      </c>
      <c r="B1979" t="str">
        <f>"1.1739"</f>
        <v>1.1739</v>
      </c>
      <c r="C1979" t="str">
        <f>"1.1757"</f>
        <v>1.1757</v>
      </c>
    </row>
    <row r="1980" spans="1:3" x14ac:dyDescent="0.25">
      <c r="A1980" t="str">
        <f>"10/08/2017"</f>
        <v>10/08/2017</v>
      </c>
      <c r="B1980" t="str">
        <f>"1.1715"</f>
        <v>1.1715</v>
      </c>
      <c r="C1980" t="str">
        <f>"1.1733"</f>
        <v>1.1733</v>
      </c>
    </row>
    <row r="1981" spans="1:3" x14ac:dyDescent="0.25">
      <c r="A1981" t="str">
        <f>"11/08/2017"</f>
        <v>11/08/2017</v>
      </c>
      <c r="B1981" t="str">
        <f>"1.1767"</f>
        <v>1.1767</v>
      </c>
      <c r="C1981" t="str">
        <f>"1.1786"</f>
        <v>1.1786</v>
      </c>
    </row>
    <row r="1982" spans="1:3" x14ac:dyDescent="0.25">
      <c r="A1982" t="str">
        <f>"14/08/2017"</f>
        <v>14/08/2017</v>
      </c>
      <c r="B1982" t="str">
        <f>"1.1796"</f>
        <v>1.1796</v>
      </c>
      <c r="C1982" t="str">
        <f>"1.1816"</f>
        <v>1.1816</v>
      </c>
    </row>
    <row r="1983" spans="1:3" x14ac:dyDescent="0.25">
      <c r="A1983" t="str">
        <f>"16/08/2017"</f>
        <v>16/08/2017</v>
      </c>
      <c r="B1983" t="str">
        <f>"1.174"</f>
        <v>1.174</v>
      </c>
      <c r="C1983" t="str">
        <f>"1.1759"</f>
        <v>1.1759</v>
      </c>
    </row>
    <row r="1984" spans="1:3" x14ac:dyDescent="0.25">
      <c r="A1984" t="str">
        <f>"18/08/2017"</f>
        <v>18/08/2017</v>
      </c>
      <c r="B1984" t="str">
        <f>"1.1741"</f>
        <v>1.1741</v>
      </c>
      <c r="C1984" t="str">
        <f>"1.176"</f>
        <v>1.176</v>
      </c>
    </row>
    <row r="1985" spans="1:3" x14ac:dyDescent="0.25">
      <c r="A1985" t="str">
        <f>"21/08/2017"</f>
        <v>21/08/2017</v>
      </c>
      <c r="B1985" t="str">
        <f>"1.1761"</f>
        <v>1.1761</v>
      </c>
      <c r="C1985" t="str">
        <f>"1.1781"</f>
        <v>1.1781</v>
      </c>
    </row>
    <row r="1986" spans="1:3" x14ac:dyDescent="0.25">
      <c r="A1986" t="str">
        <f>"22/08/2017"</f>
        <v>22/08/2017</v>
      </c>
      <c r="B1986" t="str">
        <f>"1.176"</f>
        <v>1.176</v>
      </c>
      <c r="C1986" t="str">
        <f>"1.1779"</f>
        <v>1.1779</v>
      </c>
    </row>
    <row r="1987" spans="1:3" x14ac:dyDescent="0.25">
      <c r="A1987" t="str">
        <f>"23/08/2017"</f>
        <v>23/08/2017</v>
      </c>
      <c r="B1987" t="str">
        <f>"1.1796"</f>
        <v>1.1796</v>
      </c>
      <c r="C1987" t="str">
        <f>"1.1815"</f>
        <v>1.1815</v>
      </c>
    </row>
    <row r="1988" spans="1:3" x14ac:dyDescent="0.25">
      <c r="A1988" t="str">
        <f>"24/08/2017"</f>
        <v>24/08/2017</v>
      </c>
      <c r="B1988" t="str">
        <f>"1.1798"</f>
        <v>1.1798</v>
      </c>
      <c r="C1988" t="str">
        <f>"1.1817"</f>
        <v>1.1817</v>
      </c>
    </row>
    <row r="1989" spans="1:3" x14ac:dyDescent="0.25">
      <c r="A1989" t="str">
        <f>"28/08/2017"</f>
        <v>28/08/2017</v>
      </c>
      <c r="B1989" t="str">
        <f>"1.1926"</f>
        <v>1.1926</v>
      </c>
      <c r="C1989" t="str">
        <f>"1.1944"</f>
        <v>1.1944</v>
      </c>
    </row>
    <row r="1990" spans="1:3" x14ac:dyDescent="0.25">
      <c r="A1990" t="str">
        <f>"29/08/2017"</f>
        <v>29/08/2017</v>
      </c>
      <c r="B1990" t="str">
        <f>"1.2044"</f>
        <v>1.2044</v>
      </c>
      <c r="C1990" t="str">
        <f>"1.2062"</f>
        <v>1.2062</v>
      </c>
    </row>
    <row r="1991" spans="1:3" x14ac:dyDescent="0.25">
      <c r="A1991" t="str">
        <f>"30/08/2017"</f>
        <v>30/08/2017</v>
      </c>
      <c r="B1991" t="str">
        <f>"1.1981"</f>
        <v>1.1981</v>
      </c>
      <c r="C1991" t="str">
        <f>"1.2002"</f>
        <v>1.2002</v>
      </c>
    </row>
    <row r="1992" spans="1:3" x14ac:dyDescent="0.25">
      <c r="A1992" t="str">
        <f>"31/08/2017"</f>
        <v>31/08/2017</v>
      </c>
      <c r="B1992" t="str">
        <f>"1.188"</f>
        <v>1.188</v>
      </c>
      <c r="C1992" t="str">
        <f>"1.1864"</f>
        <v>1.1864</v>
      </c>
    </row>
    <row r="1993" spans="1:3" x14ac:dyDescent="0.25">
      <c r="A1993" t="str">
        <f>"01/09/2017"</f>
        <v>01/09/2017</v>
      </c>
      <c r="B1993" t="str">
        <f>"1.1917"</f>
        <v>1.1917</v>
      </c>
      <c r="C1993" t="str">
        <f>"1.1936"</f>
        <v>1.1936</v>
      </c>
    </row>
    <row r="1994" spans="1:3" x14ac:dyDescent="0.25">
      <c r="A1994" t="str">
        <f>"04/09/2017"</f>
        <v>04/09/2017</v>
      </c>
      <c r="B1994" t="str">
        <f>"1.1884"</f>
        <v>1.1884</v>
      </c>
      <c r="C1994" t="str">
        <f>"1.1903"</f>
        <v>1.1903</v>
      </c>
    </row>
    <row r="1995" spans="1:3" x14ac:dyDescent="0.25">
      <c r="A1995" t="str">
        <f>"05/09/2017"</f>
        <v>05/09/2017</v>
      </c>
      <c r="B1995" t="str">
        <f>"1.1886"</f>
        <v>1.1886</v>
      </c>
      <c r="C1995" t="str">
        <f>"1.1907"</f>
        <v>1.1907</v>
      </c>
    </row>
    <row r="1996" spans="1:3" x14ac:dyDescent="0.25">
      <c r="A1996" t="str">
        <f>"06/09/2017"</f>
        <v>06/09/2017</v>
      </c>
      <c r="B1996" t="str">
        <f>"1.1923"</f>
        <v>1.1923</v>
      </c>
      <c r="C1996" t="str">
        <f>"1.1943"</f>
        <v>1.1943</v>
      </c>
    </row>
    <row r="1997" spans="1:3" x14ac:dyDescent="0.25">
      <c r="A1997" t="str">
        <f>"07/09/2017"</f>
        <v>07/09/2017</v>
      </c>
      <c r="B1997" t="str">
        <f>"1.1982"</f>
        <v>1.1982</v>
      </c>
      <c r="C1997" t="str">
        <f>"1.2001"</f>
        <v>1.2001</v>
      </c>
    </row>
    <row r="1998" spans="1:3" x14ac:dyDescent="0.25">
      <c r="A1998" t="str">
        <f>"08/09/2017"</f>
        <v>08/09/2017</v>
      </c>
      <c r="B1998" t="str">
        <f>"1.2059"</f>
        <v>1.2059</v>
      </c>
      <c r="C1998" t="str">
        <f>"1.2078"</f>
        <v>1.2078</v>
      </c>
    </row>
    <row r="1999" spans="1:3" x14ac:dyDescent="0.25">
      <c r="A1999" t="str">
        <f>"11/09/2017"</f>
        <v>11/09/2017</v>
      </c>
      <c r="B1999" t="str">
        <f>"1.2002"</f>
        <v>1.2002</v>
      </c>
      <c r="C1999" t="str">
        <f>"1.2021"</f>
        <v>1.2021</v>
      </c>
    </row>
    <row r="2000" spans="1:3" x14ac:dyDescent="0.25">
      <c r="A2000" t="str">
        <f>"12/09/2017"</f>
        <v>12/09/2017</v>
      </c>
      <c r="B2000" t="str">
        <f>"1.193"</f>
        <v>1.193</v>
      </c>
      <c r="C2000" t="str">
        <f>"1.195"</f>
        <v>1.195</v>
      </c>
    </row>
    <row r="2001" spans="1:3" x14ac:dyDescent="0.25">
      <c r="A2001" t="str">
        <f>"13/09/2017"</f>
        <v>13/09/2017</v>
      </c>
      <c r="B2001" t="str">
        <f>"1.1979"</f>
        <v>1.1979</v>
      </c>
      <c r="C2001" t="str">
        <f>"1.1999"</f>
        <v>1.1999</v>
      </c>
    </row>
    <row r="2002" spans="1:3" x14ac:dyDescent="0.25">
      <c r="A2002" t="str">
        <f>"14/09/2017"</f>
        <v>14/09/2017</v>
      </c>
      <c r="B2002" t="str">
        <f>"1.1882"</f>
        <v>1.1882</v>
      </c>
      <c r="C2002" t="str">
        <f>"1.1901"</f>
        <v>1.1901</v>
      </c>
    </row>
    <row r="2003" spans="1:3" x14ac:dyDescent="0.25">
      <c r="A2003" t="str">
        <f>"15/09/2017"</f>
        <v>15/09/2017</v>
      </c>
      <c r="B2003" t="str">
        <f>"1.1911"</f>
        <v>1.1911</v>
      </c>
      <c r="C2003" t="str">
        <f>"1.193"</f>
        <v>1.193</v>
      </c>
    </row>
    <row r="2004" spans="1:3" x14ac:dyDescent="0.25">
      <c r="A2004" t="str">
        <f>"18/09/2017"</f>
        <v>18/09/2017</v>
      </c>
      <c r="B2004" t="str">
        <f>"1.1963"</f>
        <v>1.1963</v>
      </c>
      <c r="C2004" t="str">
        <f>"1.1982"</f>
        <v>1.1982</v>
      </c>
    </row>
    <row r="2005" spans="1:3" x14ac:dyDescent="0.25">
      <c r="A2005" t="str">
        <f>"19/09/2017"</f>
        <v>19/09/2017</v>
      </c>
      <c r="B2005" t="str">
        <f>"1.1967"</f>
        <v>1.1967</v>
      </c>
      <c r="C2005" t="str">
        <f>"1.1988"</f>
        <v>1.1988</v>
      </c>
    </row>
    <row r="2006" spans="1:3" x14ac:dyDescent="0.25">
      <c r="A2006" t="str">
        <f>"20/09/2017"</f>
        <v>20/09/2017</v>
      </c>
      <c r="B2006" t="str">
        <f>"1.2009"</f>
        <v>1.2009</v>
      </c>
      <c r="C2006" t="str">
        <f>"1.2029"</f>
        <v>1.2029</v>
      </c>
    </row>
    <row r="2007" spans="1:3" x14ac:dyDescent="0.25">
      <c r="A2007" t="str">
        <f>"21/09/2017"</f>
        <v>21/09/2017</v>
      </c>
      <c r="B2007" t="str">
        <f>"1.1893"</f>
        <v>1.1893</v>
      </c>
      <c r="C2007" t="str">
        <f>"1.1912"</f>
        <v>1.1912</v>
      </c>
    </row>
    <row r="2008" spans="1:3" x14ac:dyDescent="0.25">
      <c r="A2008" t="str">
        <f>"22/09/2017"</f>
        <v>22/09/2017</v>
      </c>
      <c r="B2008" t="str">
        <f>"1.1973"</f>
        <v>1.1973</v>
      </c>
      <c r="C2008" t="str">
        <f>"1.1993"</f>
        <v>1.1993</v>
      </c>
    </row>
    <row r="2009" spans="1:3" x14ac:dyDescent="0.25">
      <c r="A2009" t="str">
        <f>"25/09/2017"</f>
        <v>25/09/2017</v>
      </c>
      <c r="B2009" t="str">
        <f>"1.1874"</f>
        <v>1.1874</v>
      </c>
      <c r="C2009" t="str">
        <f>"1.1894"</f>
        <v>1.1894</v>
      </c>
    </row>
    <row r="2010" spans="1:3" x14ac:dyDescent="0.25">
      <c r="A2010" t="str">
        <f>"26/09/2017"</f>
        <v>26/09/2017</v>
      </c>
      <c r="B2010" t="str">
        <f>"1.1793"</f>
        <v>1.1793</v>
      </c>
      <c r="C2010" t="str">
        <f>"1.1814"</f>
        <v>1.1814</v>
      </c>
    </row>
    <row r="2011" spans="1:3" x14ac:dyDescent="0.25">
      <c r="A2011" t="str">
        <f>"27/09/2017"</f>
        <v>27/09/2017</v>
      </c>
      <c r="B2011" t="str">
        <f>"1.1744"</f>
        <v>1.1744</v>
      </c>
      <c r="C2011" t="str">
        <f>"1.1766"</f>
        <v>1.1766</v>
      </c>
    </row>
    <row r="2012" spans="1:3" x14ac:dyDescent="0.25">
      <c r="A2012" t="str">
        <f>"28/09/2017"</f>
        <v>28/09/2017</v>
      </c>
      <c r="B2012" t="str">
        <f>"1.1732"</f>
        <v>1.1732</v>
      </c>
      <c r="C2012" t="str">
        <f>"1.1752"</f>
        <v>1.1752</v>
      </c>
    </row>
    <row r="2013" spans="1:3" x14ac:dyDescent="0.25">
      <c r="A2013" t="str">
        <f>"29/09/2017"</f>
        <v>29/09/2017</v>
      </c>
      <c r="B2013" t="str">
        <f>"1.1811"</f>
        <v>1.1811</v>
      </c>
      <c r="C2013" t="str">
        <f>"1.1831"</f>
        <v>1.1831</v>
      </c>
    </row>
    <row r="2014" spans="1:3" x14ac:dyDescent="0.25">
      <c r="A2014" t="str">
        <f>"03/10/2017"</f>
        <v>03/10/2017</v>
      </c>
      <c r="B2014" t="str">
        <f>"1.1757"</f>
        <v>1.1757</v>
      </c>
      <c r="C2014" t="str">
        <f>"1.1777"</f>
        <v>1.1777</v>
      </c>
    </row>
    <row r="2015" spans="1:3" x14ac:dyDescent="0.25">
      <c r="A2015" t="str">
        <f>"04/10/2017"</f>
        <v>04/10/2017</v>
      </c>
      <c r="B2015" t="str">
        <f>"1.1773"</f>
        <v>1.1773</v>
      </c>
      <c r="C2015" t="str">
        <f>"1.1792"</f>
        <v>1.1792</v>
      </c>
    </row>
    <row r="2016" spans="1:3" x14ac:dyDescent="0.25">
      <c r="A2016" t="str">
        <f>"05/10/2017"</f>
        <v>05/10/2017</v>
      </c>
      <c r="B2016" t="str">
        <f>"1.1739"</f>
        <v>1.1739</v>
      </c>
      <c r="C2016" t="str">
        <f>"1.1758"</f>
        <v>1.1758</v>
      </c>
    </row>
    <row r="2017" spans="1:3" x14ac:dyDescent="0.25">
      <c r="A2017" t="str">
        <f>"06/10/2017"</f>
        <v>06/10/2017</v>
      </c>
      <c r="B2017" t="str">
        <f>"1.1709"</f>
        <v>1.1709</v>
      </c>
      <c r="C2017" t="str">
        <f>"1.1728"</f>
        <v>1.1728</v>
      </c>
    </row>
    <row r="2018" spans="1:3" x14ac:dyDescent="0.25">
      <c r="A2018" t="str">
        <f>"09/10/2017"</f>
        <v>09/10/2017</v>
      </c>
      <c r="B2018" t="str">
        <f>"1.1741"</f>
        <v>1.1741</v>
      </c>
      <c r="C2018" t="str">
        <f>"1.1761"</f>
        <v>1.1761</v>
      </c>
    </row>
    <row r="2019" spans="1:3" x14ac:dyDescent="0.25">
      <c r="A2019" t="str">
        <f>"10/10/2017"</f>
        <v>10/10/2017</v>
      </c>
      <c r="B2019" t="str">
        <f>"1.178"</f>
        <v>1.178</v>
      </c>
      <c r="C2019" t="str">
        <f>"1.18"</f>
        <v>1.18</v>
      </c>
    </row>
    <row r="2020" spans="1:3" x14ac:dyDescent="0.25">
      <c r="A2020" t="str">
        <f>"11/10/2017"</f>
        <v>11/10/2017</v>
      </c>
      <c r="B2020" t="str">
        <f>"1.1821"</f>
        <v>1.1821</v>
      </c>
      <c r="C2020" t="str">
        <f>"1.184"</f>
        <v>1.184</v>
      </c>
    </row>
    <row r="2021" spans="1:3" x14ac:dyDescent="0.25">
      <c r="A2021" t="str">
        <f>"12/10/2017"</f>
        <v>12/10/2017</v>
      </c>
      <c r="B2021" t="str">
        <f>"1.186"</f>
        <v>1.186</v>
      </c>
      <c r="C2021" t="str">
        <f>"1.1879"</f>
        <v>1.1879</v>
      </c>
    </row>
    <row r="2022" spans="1:3" x14ac:dyDescent="0.25">
      <c r="A2022" t="str">
        <f>"13/10/2017"</f>
        <v>13/10/2017</v>
      </c>
      <c r="B2022" t="str">
        <f>"1.1819"</f>
        <v>1.1819</v>
      </c>
      <c r="C2022" t="str">
        <f>"1.1838"</f>
        <v>1.1838</v>
      </c>
    </row>
    <row r="2023" spans="1:3" x14ac:dyDescent="0.25">
      <c r="A2023" t="str">
        <f>"16/10/2017"</f>
        <v>16/10/2017</v>
      </c>
      <c r="B2023" t="str">
        <f>"1.1811"</f>
        <v>1.1811</v>
      </c>
      <c r="C2023" t="str">
        <f>"1.1831"</f>
        <v>1.1831</v>
      </c>
    </row>
    <row r="2024" spans="1:3" x14ac:dyDescent="0.25">
      <c r="A2024" t="str">
        <f>"17/10/2017"</f>
        <v>17/10/2017</v>
      </c>
      <c r="B2024" t="str">
        <f>"1.1756"</f>
        <v>1.1756</v>
      </c>
      <c r="C2024" t="str">
        <f>"1.1775"</f>
        <v>1.1775</v>
      </c>
    </row>
    <row r="2025" spans="1:3" x14ac:dyDescent="0.25">
      <c r="A2025" t="str">
        <f>"18/10/2017"</f>
        <v>18/10/2017</v>
      </c>
      <c r="B2025" t="str">
        <f>"1.1749"</f>
        <v>1.1749</v>
      </c>
      <c r="C2025" t="str">
        <f>"1.1768"</f>
        <v>1.1768</v>
      </c>
    </row>
    <row r="2026" spans="1:3" x14ac:dyDescent="0.25">
      <c r="A2026" t="str">
        <f>"23/10/2017"</f>
        <v>23/10/2017</v>
      </c>
      <c r="B2026" t="str">
        <f>"1.1739"</f>
        <v>1.1739</v>
      </c>
      <c r="C2026" t="str">
        <f>"1.1759"</f>
        <v>1.1759</v>
      </c>
    </row>
    <row r="2027" spans="1:3" x14ac:dyDescent="0.25">
      <c r="A2027" t="str">
        <f>"24/10/2017"</f>
        <v>24/10/2017</v>
      </c>
      <c r="B2027" t="str">
        <f>"1.1763"</f>
        <v>1.1763</v>
      </c>
      <c r="C2027" t="str">
        <f>"1.1783"</f>
        <v>1.1783</v>
      </c>
    </row>
    <row r="2028" spans="1:3" x14ac:dyDescent="0.25">
      <c r="A2028" t="str">
        <f>"25/10/2017"</f>
        <v>25/10/2017</v>
      </c>
      <c r="B2028" t="str">
        <f>"1.1773"</f>
        <v>1.1773</v>
      </c>
      <c r="C2028" t="str">
        <f>"1.1792"</f>
        <v>1.1792</v>
      </c>
    </row>
    <row r="2029" spans="1:3" x14ac:dyDescent="0.25">
      <c r="A2029" t="str">
        <f>"26/10/2017"</f>
        <v>26/10/2017</v>
      </c>
      <c r="B2029" t="str">
        <f>"1.1808"</f>
        <v>1.1808</v>
      </c>
      <c r="C2029" t="str">
        <f>"1.1827"</f>
        <v>1.1827</v>
      </c>
    </row>
    <row r="2030" spans="1:3" x14ac:dyDescent="0.25">
      <c r="A2030" t="str">
        <f>"27/10/2017"</f>
        <v>27/10/2017</v>
      </c>
      <c r="B2030" t="str">
        <f>"1.1613"</f>
        <v>1.1613</v>
      </c>
      <c r="C2030" t="str">
        <f>"1.1631"</f>
        <v>1.1631</v>
      </c>
    </row>
    <row r="2031" spans="1:3" x14ac:dyDescent="0.25">
      <c r="A2031" t="str">
        <f>"30/10/2017"</f>
        <v>30/10/2017</v>
      </c>
      <c r="B2031" t="str">
        <f>"1.1635"</f>
        <v>1.1635</v>
      </c>
      <c r="C2031" t="str">
        <f>"1.1653"</f>
        <v>1.1653</v>
      </c>
    </row>
    <row r="2032" spans="1:3" x14ac:dyDescent="0.25">
      <c r="A2032" t="str">
        <f>"31/10/2017"</f>
        <v>31/10/2017</v>
      </c>
      <c r="B2032" t="str">
        <f>"1.1647"</f>
        <v>1.1647</v>
      </c>
      <c r="C2032" t="str">
        <f>"1.1653"</f>
        <v>1.1653</v>
      </c>
    </row>
    <row r="2033" spans="1:3" x14ac:dyDescent="0.25">
      <c r="A2033" t="str">
        <f>"01/11/2017"</f>
        <v>01/11/2017</v>
      </c>
      <c r="B2033" t="str">
        <f>"1.1633"</f>
        <v>1.1633</v>
      </c>
      <c r="C2033" t="str">
        <f>"1.1652"</f>
        <v>1.1652</v>
      </c>
    </row>
    <row r="2034" spans="1:3" x14ac:dyDescent="0.25">
      <c r="A2034" t="str">
        <f>"02/11/2017"</f>
        <v>02/11/2017</v>
      </c>
      <c r="B2034" t="str">
        <f>"1.1651"</f>
        <v>1.1651</v>
      </c>
      <c r="C2034" t="str">
        <f>"1.1669"</f>
        <v>1.1669</v>
      </c>
    </row>
    <row r="2035" spans="1:3" x14ac:dyDescent="0.25">
      <c r="A2035" t="str">
        <f>"03/11/2017"</f>
        <v>03/11/2017</v>
      </c>
      <c r="B2035" t="str">
        <f>"1.1645"</f>
        <v>1.1645</v>
      </c>
      <c r="C2035" t="str">
        <f>"1.1663"</f>
        <v>1.1663</v>
      </c>
    </row>
    <row r="2036" spans="1:3" x14ac:dyDescent="0.25">
      <c r="A2036" t="str">
        <f>"06/11/2017"</f>
        <v>06/11/2017</v>
      </c>
      <c r="B2036" t="str">
        <f>"1.1596"</f>
        <v>1.1596</v>
      </c>
      <c r="C2036" t="str">
        <f>"1.1614"</f>
        <v>1.1614</v>
      </c>
    </row>
    <row r="2037" spans="1:3" x14ac:dyDescent="0.25">
      <c r="A2037" t="str">
        <f>"07/11/2017"</f>
        <v>07/11/2017</v>
      </c>
      <c r="B2037" t="str">
        <f>"1.1561"</f>
        <v>1.1561</v>
      </c>
      <c r="C2037" t="str">
        <f>"1.158"</f>
        <v>1.158</v>
      </c>
    </row>
    <row r="2038" spans="1:3" x14ac:dyDescent="0.25">
      <c r="A2038" t="str">
        <f>"08/11/2017"</f>
        <v>08/11/2017</v>
      </c>
      <c r="B2038" t="str">
        <f>"1.1601"</f>
        <v>1.1601</v>
      </c>
      <c r="C2038" t="str">
        <f>"1.1619"</f>
        <v>1.1619</v>
      </c>
    </row>
    <row r="2039" spans="1:3" x14ac:dyDescent="0.25">
      <c r="A2039" t="str">
        <f>"09/11/2017"</f>
        <v>09/11/2017</v>
      </c>
      <c r="B2039" t="str">
        <f>"1.1633"</f>
        <v>1.1633</v>
      </c>
      <c r="C2039" t="str">
        <f>"1.1651"</f>
        <v>1.1651</v>
      </c>
    </row>
    <row r="2040" spans="1:3" x14ac:dyDescent="0.25">
      <c r="A2040" t="str">
        <f>"10/11/2017"</f>
        <v>10/11/2017</v>
      </c>
      <c r="B2040" t="str">
        <f>"1.1641"</f>
        <v>1.1641</v>
      </c>
      <c r="C2040" t="str">
        <f>"1.1659"</f>
        <v>1.1659</v>
      </c>
    </row>
    <row r="2041" spans="1:3" x14ac:dyDescent="0.25">
      <c r="A2041" t="str">
        <f>"13/11/2017"</f>
        <v>13/11/2017</v>
      </c>
      <c r="B2041" t="str">
        <f>"1.1651"</f>
        <v>1.1651</v>
      </c>
      <c r="C2041" t="str">
        <f>"1.1669"</f>
        <v>1.1669</v>
      </c>
    </row>
    <row r="2042" spans="1:3" x14ac:dyDescent="0.25">
      <c r="A2042" t="str">
        <f>"14/11/2017"</f>
        <v>14/11/2017</v>
      </c>
      <c r="B2042" t="str">
        <f>"1.1726"</f>
        <v>1.1726</v>
      </c>
      <c r="C2042" t="str">
        <f>"1.1745"</f>
        <v>1.1745</v>
      </c>
    </row>
    <row r="2043" spans="1:3" x14ac:dyDescent="0.25">
      <c r="A2043" t="str">
        <f>"15/11/2017"</f>
        <v>15/11/2017</v>
      </c>
      <c r="B2043" t="str">
        <f>"1.1844"</f>
        <v>1.1844</v>
      </c>
      <c r="C2043" t="str">
        <f>"1.1862"</f>
        <v>1.1862</v>
      </c>
    </row>
    <row r="2044" spans="1:3" x14ac:dyDescent="0.25">
      <c r="A2044" t="str">
        <f>"16/11/2017"</f>
        <v>16/11/2017</v>
      </c>
      <c r="B2044" t="str">
        <f>"1.1766"</f>
        <v>1.1766</v>
      </c>
      <c r="C2044" t="str">
        <f>"1.1784"</f>
        <v>1.1784</v>
      </c>
    </row>
    <row r="2045" spans="1:3" x14ac:dyDescent="0.25">
      <c r="A2045" t="str">
        <f>"17/11/2017"</f>
        <v>17/11/2017</v>
      </c>
      <c r="B2045" t="str">
        <f>"1.1806"</f>
        <v>1.1806</v>
      </c>
      <c r="C2045" t="str">
        <f>"1.1824"</f>
        <v>1.1824</v>
      </c>
    </row>
    <row r="2046" spans="1:3" x14ac:dyDescent="0.25">
      <c r="A2046" t="str">
        <f>"20/11/2017"</f>
        <v>20/11/2017</v>
      </c>
      <c r="B2046" t="str">
        <f>"1.1788"</f>
        <v>1.1788</v>
      </c>
      <c r="C2046" t="str">
        <f>"1.1806"</f>
        <v>1.1806</v>
      </c>
    </row>
    <row r="2047" spans="1:3" x14ac:dyDescent="0.25">
      <c r="A2047" t="str">
        <f>"21/11/2017"</f>
        <v>21/11/2017</v>
      </c>
      <c r="B2047" t="str">
        <f>"1.1726"</f>
        <v>1.1726</v>
      </c>
      <c r="C2047" t="str">
        <f>"1.1747"</f>
        <v>1.1747</v>
      </c>
    </row>
    <row r="2048" spans="1:3" x14ac:dyDescent="0.25">
      <c r="A2048" t="str">
        <f>"22/11/2017"</f>
        <v>22/11/2017</v>
      </c>
      <c r="B2048" t="str">
        <f>"1.1751"</f>
        <v>1.1751</v>
      </c>
      <c r="C2048" t="str">
        <f>"1.1772"</f>
        <v>1.1772</v>
      </c>
    </row>
    <row r="2049" spans="1:3" x14ac:dyDescent="0.25">
      <c r="A2049" t="str">
        <f>"23/11/2017"</f>
        <v>23/11/2017</v>
      </c>
      <c r="B2049" t="str">
        <f>"1.1847"</f>
        <v>1.1847</v>
      </c>
      <c r="C2049" t="str">
        <f>"1.1866"</f>
        <v>1.1866</v>
      </c>
    </row>
    <row r="2050" spans="1:3" x14ac:dyDescent="0.25">
      <c r="A2050" t="str">
        <f>"24/11/2017"</f>
        <v>24/11/2017</v>
      </c>
      <c r="B2050" t="str">
        <f>"1.1862"</f>
        <v>1.1862</v>
      </c>
      <c r="C2050" t="str">
        <f>"1.1881"</f>
        <v>1.1881</v>
      </c>
    </row>
    <row r="2051" spans="1:3" x14ac:dyDescent="0.25">
      <c r="A2051" t="str">
        <f>"27/11/2017"</f>
        <v>27/11/2017</v>
      </c>
      <c r="B2051" t="str">
        <f>"1.1937"</f>
        <v>1.1937</v>
      </c>
      <c r="C2051" t="str">
        <f>"1.1957"</f>
        <v>1.1957</v>
      </c>
    </row>
    <row r="2052" spans="1:3" x14ac:dyDescent="0.25">
      <c r="A2052" t="str">
        <f>"28/11/2017"</f>
        <v>28/11/2017</v>
      </c>
      <c r="B2052" t="str">
        <f>"1.1882"</f>
        <v>1.1882</v>
      </c>
      <c r="C2052" t="str">
        <f>"1.1901"</f>
        <v>1.1901</v>
      </c>
    </row>
    <row r="2053" spans="1:3" x14ac:dyDescent="0.25">
      <c r="A2053" t="str">
        <f>"29/11/2017"</f>
        <v>29/11/2017</v>
      </c>
      <c r="B2053" t="str">
        <f>"1.1836"</f>
        <v>1.1836</v>
      </c>
      <c r="C2053" t="str">
        <f>"1.1864"</f>
        <v>1.1864</v>
      </c>
    </row>
    <row r="2054" spans="1:3" x14ac:dyDescent="0.25">
      <c r="A2054" t="str">
        <f>"30/11/2017"</f>
        <v>30/11/2017</v>
      </c>
      <c r="B2054" t="str">
        <f>"1.1891"</f>
        <v>1.1891</v>
      </c>
      <c r="C2054" t="str">
        <f>"1.1864"</f>
        <v>1.1864</v>
      </c>
    </row>
    <row r="2055" spans="1:3" x14ac:dyDescent="0.25">
      <c r="A2055" t="str">
        <f>"04/12/2017"</f>
        <v>04/12/2017</v>
      </c>
      <c r="B2055" t="str">
        <f>"1.187"</f>
        <v>1.187</v>
      </c>
      <c r="C2055" t="str">
        <f>"1.1898"</f>
        <v>1.1898</v>
      </c>
    </row>
    <row r="2056" spans="1:3" x14ac:dyDescent="0.25">
      <c r="A2056" t="str">
        <f>"05/12/2017"</f>
        <v>05/12/2017</v>
      </c>
      <c r="B2056" t="str">
        <f>"1.1872"</f>
        <v>1.1872</v>
      </c>
      <c r="C2056" t="str">
        <f>"1.1901"</f>
        <v>1.1901</v>
      </c>
    </row>
    <row r="2057" spans="1:3" x14ac:dyDescent="0.25">
      <c r="A2057" t="str">
        <f>"06/12/2017"</f>
        <v>06/12/2017</v>
      </c>
      <c r="B2057" t="str">
        <f>"1.1816"</f>
        <v>1.1816</v>
      </c>
      <c r="C2057" t="str">
        <f>"1.1846"</f>
        <v>1.1846</v>
      </c>
    </row>
    <row r="2058" spans="1:3" x14ac:dyDescent="0.25">
      <c r="A2058" t="str">
        <f>"07/12/2017"</f>
        <v>07/12/2017</v>
      </c>
      <c r="B2058" t="str">
        <f>"1.1781"</f>
        <v>1.1781</v>
      </c>
      <c r="C2058" t="str">
        <f>"1.1813"</f>
        <v>1.1813</v>
      </c>
    </row>
    <row r="2059" spans="1:3" x14ac:dyDescent="0.25">
      <c r="A2059" t="str">
        <f>"08/12/2017"</f>
        <v>08/12/2017</v>
      </c>
      <c r="B2059" t="str">
        <f>"1.1737"</f>
        <v>1.1737</v>
      </c>
      <c r="C2059" t="str">
        <f>"1.1771"</f>
        <v>1.1771</v>
      </c>
    </row>
    <row r="2060" spans="1:3" x14ac:dyDescent="0.25">
      <c r="A2060" t="str">
        <f>"11/12/2017"</f>
        <v>11/12/2017</v>
      </c>
      <c r="B2060" t="str">
        <f>"1.1792"</f>
        <v>1.1792</v>
      </c>
      <c r="C2060" t="str">
        <f>"1.1826"</f>
        <v>1.1826</v>
      </c>
    </row>
    <row r="2061" spans="1:3" x14ac:dyDescent="0.25">
      <c r="A2061" t="str">
        <f>"12/12/2017"</f>
        <v>12/12/2017</v>
      </c>
      <c r="B2061" t="str">
        <f>"1.1772"</f>
        <v>1.1772</v>
      </c>
      <c r="C2061" t="str">
        <f>"1.1807"</f>
        <v>1.1807</v>
      </c>
    </row>
    <row r="2062" spans="1:3" x14ac:dyDescent="0.25">
      <c r="A2062" t="str">
        <f>"13/12/2017"</f>
        <v>13/12/2017</v>
      </c>
      <c r="B2062" t="str">
        <f>"1.1743"</f>
        <v>1.1743</v>
      </c>
      <c r="C2062" t="str">
        <f>"1.1779"</f>
        <v>1.1779</v>
      </c>
    </row>
    <row r="2063" spans="1:3" x14ac:dyDescent="0.25">
      <c r="A2063" t="str">
        <f>"14/12/2017"</f>
        <v>14/12/2017</v>
      </c>
      <c r="B2063" t="str">
        <f>"1.1824"</f>
        <v>1.1824</v>
      </c>
      <c r="C2063" t="str">
        <f>"1.1861"</f>
        <v>1.1861</v>
      </c>
    </row>
    <row r="2064" spans="1:3" x14ac:dyDescent="0.25">
      <c r="A2064" t="str">
        <f>"15/12/2017"</f>
        <v>15/12/2017</v>
      </c>
      <c r="B2064" t="str">
        <f>"1.1803"</f>
        <v>1.1803</v>
      </c>
      <c r="C2064" t="str">
        <f>"1.1846"</f>
        <v>1.1846</v>
      </c>
    </row>
    <row r="2065" spans="1:3" x14ac:dyDescent="0.25">
      <c r="A2065" t="str">
        <f>"18/12/2017"</f>
        <v>18/12/2017</v>
      </c>
      <c r="B2065" t="str">
        <f>"1.1789"</f>
        <v>1.1789</v>
      </c>
      <c r="C2065" t="str">
        <f>"1.1833"</f>
        <v>1.1833</v>
      </c>
    </row>
    <row r="2066" spans="1:3" x14ac:dyDescent="0.25">
      <c r="A2066" t="str">
        <f>"19/12/2017"</f>
        <v>19/12/2017</v>
      </c>
      <c r="B2066" t="str">
        <f>"1.1813"</f>
        <v>1.1813</v>
      </c>
      <c r="C2066" t="str">
        <f>"1.1851"</f>
        <v>1.1851</v>
      </c>
    </row>
    <row r="2067" spans="1:3" x14ac:dyDescent="0.25">
      <c r="A2067" t="str">
        <f>"20/12/2017"</f>
        <v>20/12/2017</v>
      </c>
      <c r="B2067" t="str">
        <f>"1.1845"</f>
        <v>1.1845</v>
      </c>
      <c r="C2067" t="str">
        <f>"1.1879"</f>
        <v>1.1879</v>
      </c>
    </row>
    <row r="2068" spans="1:3" x14ac:dyDescent="0.25">
      <c r="A2068" t="str">
        <f>"21/12/2017"</f>
        <v>21/12/2017</v>
      </c>
      <c r="B2068" t="str">
        <f>"1.1871"</f>
        <v>1.1871</v>
      </c>
      <c r="C2068" t="str">
        <f>"1.191"</f>
        <v>1.191</v>
      </c>
    </row>
    <row r="2069" spans="1:3" x14ac:dyDescent="0.25">
      <c r="A2069" t="str">
        <f>"22/12/2017"</f>
        <v>22/12/2017</v>
      </c>
      <c r="B2069" t="str">
        <f>"1.185"</f>
        <v>1.185</v>
      </c>
      <c r="C2069" t="str">
        <f>"1.1892"</f>
        <v>1.1892</v>
      </c>
    </row>
    <row r="2070" spans="1:3" x14ac:dyDescent="0.25">
      <c r="A2070" t="str">
        <f>"26/12/2017"</f>
        <v>26/12/2017</v>
      </c>
      <c r="B2070" t="str">
        <f>"1.1854"</f>
        <v>1.1854</v>
      </c>
      <c r="C2070" t="str">
        <f>"1.1894"</f>
        <v>1.1894</v>
      </c>
    </row>
    <row r="2071" spans="1:3" x14ac:dyDescent="0.25">
      <c r="A2071" t="str">
        <f>"27/12/2017"</f>
        <v>27/12/2017</v>
      </c>
      <c r="B2071" t="str">
        <f>"1.1891"</f>
        <v>1.1891</v>
      </c>
      <c r="C2071" t="str">
        <f>"1.193"</f>
        <v>1.193</v>
      </c>
    </row>
    <row r="2072" spans="1:3" x14ac:dyDescent="0.25">
      <c r="A2072" t="str">
        <f>"28/12/2017"</f>
        <v>28/12/2017</v>
      </c>
      <c r="B2072" t="str">
        <f>"1.1932"</f>
        <v>1.1932</v>
      </c>
      <c r="C2072" t="str">
        <f>"1.1953"</f>
        <v>1.1953</v>
      </c>
    </row>
    <row r="2073" spans="1:3" x14ac:dyDescent="0.25">
      <c r="A2073" t="str">
        <f>"29/12/2017"</f>
        <v>29/12/2017</v>
      </c>
      <c r="B2073" t="str">
        <f>"1.1989"</f>
        <v>1.1989</v>
      </c>
      <c r="C2073" t="str">
        <f>"1.2003"</f>
        <v>1.2003</v>
      </c>
    </row>
    <row r="2074" spans="1:3" x14ac:dyDescent="0.25">
      <c r="A2074" t="str">
        <f>"02/01/2018"</f>
        <v>02/01/2018</v>
      </c>
      <c r="B2074" t="str">
        <f>"1.2066"</f>
        <v>1.2066</v>
      </c>
      <c r="C2074" t="str">
        <f>"1.2087"</f>
        <v>1.2087</v>
      </c>
    </row>
    <row r="2075" spans="1:3" x14ac:dyDescent="0.25">
      <c r="A2075" t="str">
        <f>"03/01/2018"</f>
        <v>03/01/2018</v>
      </c>
      <c r="B2075" t="str">
        <f>"1.2015"</f>
        <v>1.2015</v>
      </c>
      <c r="C2075" t="str">
        <f>"1.2036"</f>
        <v>1.2036</v>
      </c>
    </row>
    <row r="2076" spans="1:3" x14ac:dyDescent="0.25">
      <c r="A2076" t="str">
        <f>"04/01/2018"</f>
        <v>04/01/2018</v>
      </c>
      <c r="B2076" t="str">
        <f>"1.2051"</f>
        <v>1.2051</v>
      </c>
      <c r="C2076" t="str">
        <f>"1.2072"</f>
        <v>1.2072</v>
      </c>
    </row>
    <row r="2077" spans="1:3" x14ac:dyDescent="0.25">
      <c r="A2077" t="str">
        <f>"05/01/2018"</f>
        <v>05/01/2018</v>
      </c>
      <c r="B2077" t="str">
        <f>"1.2052"</f>
        <v>1.2052</v>
      </c>
      <c r="C2077" t="str">
        <f>"1.2073"</f>
        <v>1.2073</v>
      </c>
    </row>
    <row r="2078" spans="1:3" x14ac:dyDescent="0.25">
      <c r="A2078" t="str">
        <f>"08/01/2018"</f>
        <v>08/01/2018</v>
      </c>
      <c r="B2078" t="str">
        <f>"1.1991"</f>
        <v>1.1991</v>
      </c>
      <c r="C2078" t="str">
        <f>"1.2014"</f>
        <v>1.2014</v>
      </c>
    </row>
    <row r="2079" spans="1:3" x14ac:dyDescent="0.25">
      <c r="A2079" t="str">
        <f>"09/01/2018"</f>
        <v>09/01/2018</v>
      </c>
      <c r="B2079" t="str">
        <f>"1.1925"</f>
        <v>1.1925</v>
      </c>
      <c r="C2079" t="str">
        <f>"1.1947"</f>
        <v>1.1947</v>
      </c>
    </row>
    <row r="2080" spans="1:3" x14ac:dyDescent="0.25">
      <c r="A2080" t="str">
        <f>"10/01/2018"</f>
        <v>10/01/2018</v>
      </c>
      <c r="B2080" t="str">
        <f>"1.1996"</f>
        <v>1.1996</v>
      </c>
      <c r="C2080" t="str">
        <f>"1.2017"</f>
        <v>1.2017</v>
      </c>
    </row>
    <row r="2081" spans="1:3" x14ac:dyDescent="0.25">
      <c r="A2081" t="str">
        <f>"11/01/2018"</f>
        <v>11/01/2018</v>
      </c>
      <c r="B2081" t="str">
        <f>"1.1945"</f>
        <v>1.1945</v>
      </c>
      <c r="C2081" t="str">
        <f>"1.1967"</f>
        <v>1.1967</v>
      </c>
    </row>
    <row r="2082" spans="1:3" x14ac:dyDescent="0.25">
      <c r="A2082" t="str">
        <f>"12/01/2018"</f>
        <v>12/01/2018</v>
      </c>
      <c r="B2082" t="str">
        <f>"1.2131"</f>
        <v>1.2131</v>
      </c>
      <c r="C2082" t="str">
        <f>"1.2153"</f>
        <v>1.2153</v>
      </c>
    </row>
    <row r="2083" spans="1:3" x14ac:dyDescent="0.25">
      <c r="A2083" t="str">
        <f>"15/01/2018"</f>
        <v>15/01/2018</v>
      </c>
      <c r="B2083" t="str">
        <f>"1.2264"</f>
        <v>1.2264</v>
      </c>
      <c r="C2083" t="str">
        <f>"1.2288"</f>
        <v>1.2288</v>
      </c>
    </row>
    <row r="2084" spans="1:3" x14ac:dyDescent="0.25">
      <c r="A2084" t="str">
        <f>"16/01/2018"</f>
        <v>16/01/2018</v>
      </c>
      <c r="B2084" t="str">
        <f>"1.2215"</f>
        <v>1.2215</v>
      </c>
      <c r="C2084" t="str">
        <f>"1.2239"</f>
        <v>1.2239</v>
      </c>
    </row>
    <row r="2085" spans="1:3" x14ac:dyDescent="0.25">
      <c r="A2085" t="str">
        <f>"17/01/2018"</f>
        <v>17/01/2018</v>
      </c>
      <c r="B2085" t="str">
        <f>"1.2217"</f>
        <v>1.2217</v>
      </c>
      <c r="C2085" t="str">
        <f>"1.224"</f>
        <v>1.224</v>
      </c>
    </row>
    <row r="2086" spans="1:3" x14ac:dyDescent="0.25">
      <c r="A2086" t="str">
        <f>"18/01/2018"</f>
        <v>18/01/2018</v>
      </c>
      <c r="B2086" t="str">
        <f>"1.2238"</f>
        <v>1.2238</v>
      </c>
      <c r="C2086" t="str">
        <f>"1.226"</f>
        <v>1.226</v>
      </c>
    </row>
    <row r="2087" spans="1:3" x14ac:dyDescent="0.25">
      <c r="A2087" t="str">
        <f>"19/01/2018"</f>
        <v>19/01/2018</v>
      </c>
      <c r="B2087" t="str">
        <f>"1.2266"</f>
        <v>1.2266</v>
      </c>
      <c r="C2087" t="str">
        <f>"1.2289"</f>
        <v>1.2289</v>
      </c>
    </row>
    <row r="2088" spans="1:3" x14ac:dyDescent="0.25">
      <c r="A2088" t="str">
        <f>"22/01/2018"</f>
        <v>22/01/2018</v>
      </c>
      <c r="B2088" t="str">
        <f>"1.2256"</f>
        <v>1.2256</v>
      </c>
      <c r="C2088" t="str">
        <f>"1.228"</f>
        <v>1.228</v>
      </c>
    </row>
    <row r="2089" spans="1:3" x14ac:dyDescent="0.25">
      <c r="A2089" t="str">
        <f>"23/01/2018"</f>
        <v>23/01/2018</v>
      </c>
      <c r="B2089" t="str">
        <f>"1.2248"</f>
        <v>1.2248</v>
      </c>
      <c r="C2089" t="str">
        <f>"1.2272"</f>
        <v>1.2272</v>
      </c>
    </row>
    <row r="2090" spans="1:3" x14ac:dyDescent="0.25">
      <c r="A2090" t="str">
        <f>"24/01/2018"</f>
        <v>24/01/2018</v>
      </c>
      <c r="B2090" t="str">
        <f>"1.2332"</f>
        <v>1.2332</v>
      </c>
      <c r="C2090" t="str">
        <f>"1.2355"</f>
        <v>1.2355</v>
      </c>
    </row>
    <row r="2091" spans="1:3" x14ac:dyDescent="0.25">
      <c r="A2091" t="str">
        <f>"25/01/2018"</f>
        <v>25/01/2018</v>
      </c>
      <c r="B2091" t="str">
        <f>"1.2412"</f>
        <v>1.2412</v>
      </c>
      <c r="C2091" t="str">
        <f>"1.2434"</f>
        <v>1.2434</v>
      </c>
    </row>
    <row r="2092" spans="1:3" x14ac:dyDescent="0.25">
      <c r="A2092" t="str">
        <f>"29/01/2018"</f>
        <v>29/01/2018</v>
      </c>
      <c r="B2092" t="str">
        <f>"1.2398"</f>
        <v>1.2398</v>
      </c>
      <c r="C2092" t="str">
        <f>"1.2419"</f>
        <v>1.2419</v>
      </c>
    </row>
    <row r="2093" spans="1:3" x14ac:dyDescent="0.25">
      <c r="A2093" t="str">
        <f>"30/01/2018"</f>
        <v>30/01/2018</v>
      </c>
      <c r="B2093" t="str">
        <f>"1.2428"</f>
        <v>1.2428</v>
      </c>
      <c r="C2093" t="str">
        <f>"1.245"</f>
        <v>1.245</v>
      </c>
    </row>
    <row r="2094" spans="1:3" x14ac:dyDescent="0.25">
      <c r="A2094" t="str">
        <f>"31/01/2018"</f>
        <v>31/01/2018</v>
      </c>
      <c r="B2094" t="str">
        <f>"1.2415"</f>
        <v>1.2415</v>
      </c>
      <c r="C2094" t="str">
        <f>"1.2474"</f>
        <v>1.2474</v>
      </c>
    </row>
    <row r="2095" spans="1:3" x14ac:dyDescent="0.25">
      <c r="A2095" t="str">
        <f>"01/02/2018"</f>
        <v>01/02/2018</v>
      </c>
      <c r="B2095" t="str">
        <f>"1.2435"</f>
        <v>1.2435</v>
      </c>
      <c r="C2095" t="str">
        <f>"1.2457"</f>
        <v>1.2457</v>
      </c>
    </row>
    <row r="2096" spans="1:3" x14ac:dyDescent="0.25">
      <c r="A2096" t="str">
        <f>"02/02/2018"</f>
        <v>02/02/2018</v>
      </c>
      <c r="B2096" t="str">
        <f>"1.2491"</f>
        <v>1.2491</v>
      </c>
      <c r="C2096" t="str">
        <f>"1.2513"</f>
        <v>1.2513</v>
      </c>
    </row>
    <row r="2097" spans="1:3" x14ac:dyDescent="0.25">
      <c r="A2097" t="str">
        <f>"05/02/2018"</f>
        <v>05/02/2018</v>
      </c>
      <c r="B2097" t="str">
        <f>"1.2462"</f>
        <v>1.2462</v>
      </c>
      <c r="C2097" t="str">
        <f>"1.2484"</f>
        <v>1.2484</v>
      </c>
    </row>
    <row r="2098" spans="1:3" x14ac:dyDescent="0.25">
      <c r="A2098" t="str">
        <f>"06/02/2018"</f>
        <v>06/02/2018</v>
      </c>
      <c r="B2098" t="str">
        <f>"1.2402"</f>
        <v>1.2402</v>
      </c>
      <c r="C2098" t="str">
        <f>"1.2424"</f>
        <v>1.2424</v>
      </c>
    </row>
    <row r="2099" spans="1:3" x14ac:dyDescent="0.25">
      <c r="A2099" t="str">
        <f>"07/02/2018"</f>
        <v>07/02/2018</v>
      </c>
      <c r="B2099" t="str">
        <f>"1.2346"</f>
        <v>1.2346</v>
      </c>
      <c r="C2099" t="str">
        <f>"1.2367"</f>
        <v>1.2367</v>
      </c>
    </row>
    <row r="2100" spans="1:3" x14ac:dyDescent="0.25">
      <c r="A2100" t="str">
        <f>"08/02/2018"</f>
        <v>08/02/2018</v>
      </c>
      <c r="B2100" t="str">
        <f>"1.2238"</f>
        <v>1.2238</v>
      </c>
      <c r="C2100" t="str">
        <f>"1.2259"</f>
        <v>1.2259</v>
      </c>
    </row>
    <row r="2101" spans="1:3" x14ac:dyDescent="0.25">
      <c r="A2101" t="str">
        <f>"09/02/2018"</f>
        <v>09/02/2018</v>
      </c>
      <c r="B2101" t="str">
        <f>"1.2244"</f>
        <v>1.2244</v>
      </c>
      <c r="C2101" t="str">
        <f>"1.2266"</f>
        <v>1.2266</v>
      </c>
    </row>
    <row r="2102" spans="1:3" x14ac:dyDescent="0.25">
      <c r="A2102" t="str">
        <f>"12/02/2018"</f>
        <v>12/02/2018</v>
      </c>
      <c r="B2102" t="str">
        <f>"1.227"</f>
        <v>1.227</v>
      </c>
      <c r="C2102" t="str">
        <f>"1.2292"</f>
        <v>1.2292</v>
      </c>
    </row>
    <row r="2103" spans="1:3" x14ac:dyDescent="0.25">
      <c r="A2103" t="str">
        <f>"14/02/2018"</f>
        <v>14/02/2018</v>
      </c>
      <c r="B2103" t="str">
        <f>"1.2347"</f>
        <v>1.2347</v>
      </c>
      <c r="C2103" t="str">
        <f>"1.2369"</f>
        <v>1.2369</v>
      </c>
    </row>
    <row r="2104" spans="1:3" x14ac:dyDescent="0.25">
      <c r="A2104" t="str">
        <f>"15/02/2018"</f>
        <v>15/02/2018</v>
      </c>
      <c r="B2104" t="str">
        <f>"1.2476"</f>
        <v>1.2476</v>
      </c>
      <c r="C2104" t="str">
        <f>"1.2498"</f>
        <v>1.2498</v>
      </c>
    </row>
    <row r="2105" spans="1:3" x14ac:dyDescent="0.25">
      <c r="A2105" t="str">
        <f>"16/02/2018"</f>
        <v>16/02/2018</v>
      </c>
      <c r="B2105" t="str">
        <f>"1.2486"</f>
        <v>1.2486</v>
      </c>
      <c r="C2105" t="str">
        <f>"1.2508"</f>
        <v>1.2508</v>
      </c>
    </row>
    <row r="2106" spans="1:3" x14ac:dyDescent="0.25">
      <c r="A2106" t="str">
        <f>"20/02/2018"</f>
        <v>20/02/2018</v>
      </c>
      <c r="B2106" t="str">
        <f>"1.2337"</f>
        <v>1.2337</v>
      </c>
      <c r="C2106" t="str">
        <f>"1.2359"</f>
        <v>1.2359</v>
      </c>
    </row>
    <row r="2107" spans="1:3" x14ac:dyDescent="0.25">
      <c r="A2107" t="str">
        <f>"21/02/2018"</f>
        <v>21/02/2018</v>
      </c>
      <c r="B2107" t="str">
        <f>"1.2319"</f>
        <v>1.2319</v>
      </c>
      <c r="C2107" t="str">
        <f>"1.2341"</f>
        <v>1.2341</v>
      </c>
    </row>
    <row r="2108" spans="1:3" x14ac:dyDescent="0.25">
      <c r="A2108" t="str">
        <f>"22/02/2018"</f>
        <v>22/02/2018</v>
      </c>
      <c r="B2108" t="str">
        <f>"1.2281"</f>
        <v>1.2281</v>
      </c>
      <c r="C2108" t="str">
        <f>"1.2303"</f>
        <v>1.2303</v>
      </c>
    </row>
    <row r="2109" spans="1:3" x14ac:dyDescent="0.25">
      <c r="A2109" t="str">
        <f>"23/02/2018"</f>
        <v>23/02/2018</v>
      </c>
      <c r="B2109" t="str">
        <f>"1.23"</f>
        <v>1.23</v>
      </c>
      <c r="C2109" t="str">
        <f>"1.2322"</f>
        <v>1.2322</v>
      </c>
    </row>
    <row r="2110" spans="1:3" x14ac:dyDescent="0.25">
      <c r="A2110" t="str">
        <f>"26/02/2018"</f>
        <v>26/02/2018</v>
      </c>
      <c r="B2110" t="str">
        <f>"1.2338"</f>
        <v>1.2338</v>
      </c>
      <c r="C2110" t="str">
        <f>"1.2361"</f>
        <v>1.2361</v>
      </c>
    </row>
    <row r="2111" spans="1:3" x14ac:dyDescent="0.25">
      <c r="A2111" t="str">
        <f>"27/02/2018"</f>
        <v>27/02/2018</v>
      </c>
      <c r="B2111" t="str">
        <f>"1.2321"</f>
        <v>1.2321</v>
      </c>
      <c r="C2111" t="str">
        <f>"1.2352"</f>
        <v>1.2352</v>
      </c>
    </row>
    <row r="2112" spans="1:3" x14ac:dyDescent="0.25">
      <c r="A2112" t="str">
        <f>"28/02/2018"</f>
        <v>28/02/2018</v>
      </c>
      <c r="B2112" t="str">
        <f>"1.2208"</f>
        <v>1.2208</v>
      </c>
      <c r="C2112" t="str">
        <f>"1.2255"</f>
        <v>1.2255</v>
      </c>
    </row>
    <row r="2113" spans="1:3" x14ac:dyDescent="0.25">
      <c r="A2113" t="str">
        <f>"01/03/2018"</f>
        <v>01/03/2018</v>
      </c>
      <c r="B2113" t="str">
        <f>"1.2186"</f>
        <v>1.2186</v>
      </c>
      <c r="C2113" t="str">
        <f>"1.2217"</f>
        <v>1.2217</v>
      </c>
    </row>
    <row r="2114" spans="1:3" x14ac:dyDescent="0.25">
      <c r="A2114" t="str">
        <f>"05/03/2018"</f>
        <v>05/03/2018</v>
      </c>
      <c r="B2114" t="str">
        <f>"1.2308"</f>
        <v>1.2308</v>
      </c>
      <c r="C2114" t="str">
        <f>"1.2341"</f>
        <v>1.2341</v>
      </c>
    </row>
    <row r="2115" spans="1:3" x14ac:dyDescent="0.25">
      <c r="A2115" t="str">
        <f>"06/03/2018"</f>
        <v>06/03/2018</v>
      </c>
      <c r="B2115" t="str">
        <f>"1.2387"</f>
        <v>1.2387</v>
      </c>
      <c r="C2115" t="str">
        <f>"1.242"</f>
        <v>1.242</v>
      </c>
    </row>
    <row r="2116" spans="1:3" x14ac:dyDescent="0.25">
      <c r="A2116" t="str">
        <f>"07/03/2018"</f>
        <v>07/03/2018</v>
      </c>
      <c r="B2116" t="str">
        <f>"1.2424"</f>
        <v>1.2424</v>
      </c>
      <c r="C2116" t="str">
        <f>"1.2456"</f>
        <v>1.2456</v>
      </c>
    </row>
    <row r="2117" spans="1:3" x14ac:dyDescent="0.25">
      <c r="A2117" t="str">
        <f>"08/03/2018"</f>
        <v>08/03/2018</v>
      </c>
      <c r="B2117" t="str">
        <f>"1.2371"</f>
        <v>1.2371</v>
      </c>
      <c r="C2117" t="str">
        <f>"1.2403"</f>
        <v>1.2403</v>
      </c>
    </row>
    <row r="2118" spans="1:3" x14ac:dyDescent="0.25">
      <c r="A2118" t="str">
        <f>"09/03/2018"</f>
        <v>09/03/2018</v>
      </c>
      <c r="B2118" t="str">
        <f>"1.2299"</f>
        <v>1.2299</v>
      </c>
      <c r="C2118" t="str">
        <f>"1.2331"</f>
        <v>1.2331</v>
      </c>
    </row>
    <row r="2119" spans="1:3" x14ac:dyDescent="0.25">
      <c r="A2119" t="str">
        <f>"12/03/2018"</f>
        <v>12/03/2018</v>
      </c>
      <c r="B2119" t="str">
        <f>"1.2298"</f>
        <v>1.2298</v>
      </c>
      <c r="C2119" t="str">
        <f>"1.2332"</f>
        <v>1.2332</v>
      </c>
    </row>
    <row r="2120" spans="1:3" x14ac:dyDescent="0.25">
      <c r="A2120" t="str">
        <f>"13/03/2018"</f>
        <v>13/03/2018</v>
      </c>
      <c r="B2120" t="str">
        <f>"1.2339"</f>
        <v>1.2339</v>
      </c>
      <c r="C2120" t="str">
        <f>"1.2373"</f>
        <v>1.2373</v>
      </c>
    </row>
    <row r="2121" spans="1:3" x14ac:dyDescent="0.25">
      <c r="A2121" t="str">
        <f>"14/03/2018"</f>
        <v>14/03/2018</v>
      </c>
      <c r="B2121" t="str">
        <f>"1.2378"</f>
        <v>1.2378</v>
      </c>
      <c r="C2121" t="str">
        <f>"1.2412"</f>
        <v>1.2412</v>
      </c>
    </row>
    <row r="2122" spans="1:3" x14ac:dyDescent="0.25">
      <c r="A2122" t="str">
        <f>"15/03/2018"</f>
        <v>15/03/2018</v>
      </c>
      <c r="B2122" t="str">
        <f>"1.2348"</f>
        <v>1.2348</v>
      </c>
      <c r="C2122" t="str">
        <f>"1.2383"</f>
        <v>1.2383</v>
      </c>
    </row>
    <row r="2123" spans="1:3" x14ac:dyDescent="0.25">
      <c r="A2123" t="str">
        <f>"16/03/2018"</f>
        <v>16/03/2018</v>
      </c>
      <c r="B2123" t="str">
        <f>"1.2319"</f>
        <v>1.2319</v>
      </c>
      <c r="C2123" t="str">
        <f>"1.2351"</f>
        <v>1.2351</v>
      </c>
    </row>
    <row r="2124" spans="1:3" x14ac:dyDescent="0.25">
      <c r="A2124" t="str">
        <f>"19/03/2018"</f>
        <v>19/03/2018</v>
      </c>
      <c r="B2124" t="str">
        <f>"1.228"</f>
        <v>1.228</v>
      </c>
      <c r="C2124" t="str">
        <f>"1.2314"</f>
        <v>1.2314</v>
      </c>
    </row>
    <row r="2125" spans="1:3" x14ac:dyDescent="0.25">
      <c r="A2125" t="str">
        <f>"20/03/2018"</f>
        <v>20/03/2018</v>
      </c>
      <c r="B2125" t="str">
        <f>"1.2306"</f>
        <v>1.2306</v>
      </c>
      <c r="C2125" t="str">
        <f>"1.2339"</f>
        <v>1.2339</v>
      </c>
    </row>
    <row r="2126" spans="1:3" x14ac:dyDescent="0.25">
      <c r="A2126" t="str">
        <f>"21/03/2018"</f>
        <v>21/03/2018</v>
      </c>
      <c r="B2126" t="str">
        <f>"1.2269"</f>
        <v>1.2269</v>
      </c>
      <c r="C2126" t="str">
        <f>"1.2299"</f>
        <v>1.2299</v>
      </c>
    </row>
    <row r="2127" spans="1:3" x14ac:dyDescent="0.25">
      <c r="A2127" t="str">
        <f>"22/03/2018"</f>
        <v>22/03/2018</v>
      </c>
      <c r="B2127" t="str">
        <f>"1.2322"</f>
        <v>1.2322</v>
      </c>
      <c r="C2127" t="str">
        <f>"1.2351"</f>
        <v>1.2351</v>
      </c>
    </row>
    <row r="2128" spans="1:3" x14ac:dyDescent="0.25">
      <c r="A2128" t="str">
        <f>"23/03/2018"</f>
        <v>23/03/2018</v>
      </c>
      <c r="B2128" t="str">
        <f>"1.2334"</f>
        <v>1.2334</v>
      </c>
      <c r="C2128" t="str">
        <f>"1.2364"</f>
        <v>1.2364</v>
      </c>
    </row>
    <row r="2129" spans="1:3" x14ac:dyDescent="0.25">
      <c r="A2129" t="str">
        <f>"26/03/2018"</f>
        <v>26/03/2018</v>
      </c>
      <c r="B2129" t="str">
        <f>"1.2407"</f>
        <v>1.2407</v>
      </c>
      <c r="C2129" t="str">
        <f>"1.2438"</f>
        <v>1.2438</v>
      </c>
    </row>
    <row r="2130" spans="1:3" x14ac:dyDescent="0.25">
      <c r="A2130" t="str">
        <f>"27/03/2018"</f>
        <v>27/03/2018</v>
      </c>
      <c r="B2130" t="str">
        <f>"1.2395"</f>
        <v>1.2395</v>
      </c>
      <c r="C2130" t="str">
        <f>"1.2425"</f>
        <v>1.2425</v>
      </c>
    </row>
    <row r="2131" spans="1:3" x14ac:dyDescent="0.25">
      <c r="A2131" t="str">
        <f>"28/03/2018"</f>
        <v>28/03/2018</v>
      </c>
      <c r="B2131" t="str">
        <f>"1.2346"</f>
        <v>1.2346</v>
      </c>
      <c r="C2131" t="str">
        <f>"1.2428"</f>
        <v>1.2428</v>
      </c>
    </row>
    <row r="2132" spans="1:3" x14ac:dyDescent="0.25">
      <c r="A2132" t="str">
        <f>"03/04/2018"</f>
        <v>03/04/2018</v>
      </c>
      <c r="B2132" t="str">
        <f>"1.2296"</f>
        <v>1.2296</v>
      </c>
      <c r="C2132" t="str">
        <f>"1.2324"</f>
        <v>1.2324</v>
      </c>
    </row>
    <row r="2133" spans="1:3" x14ac:dyDescent="0.25">
      <c r="A2133" t="str">
        <f>"04/04/2018"</f>
        <v>04/04/2018</v>
      </c>
      <c r="B2133" t="str">
        <f>"1.2282"</f>
        <v>1.2282</v>
      </c>
      <c r="C2133" t="str">
        <f>"1.231"</f>
        <v>1.231</v>
      </c>
    </row>
    <row r="2134" spans="1:3" x14ac:dyDescent="0.25">
      <c r="A2134" t="str">
        <f>"05/04/2018"</f>
        <v>05/04/2018</v>
      </c>
      <c r="B2134" t="str">
        <f>"1.2264"</f>
        <v>1.2264</v>
      </c>
      <c r="C2134" t="str">
        <f>"1.2291"</f>
        <v>1.2291</v>
      </c>
    </row>
    <row r="2135" spans="1:3" x14ac:dyDescent="0.25">
      <c r="A2135" t="str">
        <f>"06/04/2018"</f>
        <v>06/04/2018</v>
      </c>
      <c r="B2135" t="str">
        <f>"1.2237"</f>
        <v>1.2237</v>
      </c>
      <c r="C2135" t="str">
        <f>"1.2263"</f>
        <v>1.2263</v>
      </c>
    </row>
    <row r="2136" spans="1:3" x14ac:dyDescent="0.25">
      <c r="A2136" t="str">
        <f>"09/04/2018"</f>
        <v>09/04/2018</v>
      </c>
      <c r="B2136" t="str">
        <f>"1.2274"</f>
        <v>1.2274</v>
      </c>
      <c r="C2136" t="str">
        <f>"1.23"</f>
        <v>1.23</v>
      </c>
    </row>
    <row r="2137" spans="1:3" x14ac:dyDescent="0.25">
      <c r="A2137" t="str">
        <f>"10/04/2018"</f>
        <v>10/04/2018</v>
      </c>
      <c r="B2137" t="str">
        <f>"1.2368"</f>
        <v>1.2368</v>
      </c>
      <c r="C2137" t="str">
        <f>"1.2396"</f>
        <v>1.2396</v>
      </c>
    </row>
    <row r="2138" spans="1:3" x14ac:dyDescent="0.25">
      <c r="A2138" t="str">
        <f>"11/04/2018"</f>
        <v>11/04/2018</v>
      </c>
      <c r="B2138" t="str">
        <f>"1.2382"</f>
        <v>1.2382</v>
      </c>
      <c r="C2138" t="str">
        <f>"1.2409"</f>
        <v>1.2409</v>
      </c>
    </row>
    <row r="2139" spans="1:3" x14ac:dyDescent="0.25">
      <c r="A2139" t="str">
        <f>"12/04/2018"</f>
        <v>12/04/2018</v>
      </c>
      <c r="B2139" t="str">
        <f>"1.2341"</f>
        <v>1.2341</v>
      </c>
      <c r="C2139" t="str">
        <f>"1.2367"</f>
        <v>1.2367</v>
      </c>
    </row>
    <row r="2140" spans="1:3" x14ac:dyDescent="0.25">
      <c r="A2140" t="str">
        <f>"13/04/2018"</f>
        <v>13/04/2018</v>
      </c>
      <c r="B2140" t="str">
        <f>"1.2316"</f>
        <v>1.2316</v>
      </c>
      <c r="C2140" t="str">
        <f>"1.2342"</f>
        <v>1.2342</v>
      </c>
    </row>
    <row r="2141" spans="1:3" x14ac:dyDescent="0.25">
      <c r="A2141" t="str">
        <f>"16/04/2018"</f>
        <v>16/04/2018</v>
      </c>
      <c r="B2141" t="str">
        <f>"1.2367"</f>
        <v>1.2367</v>
      </c>
      <c r="C2141" t="str">
        <f>"1.2393"</f>
        <v>1.2393</v>
      </c>
    </row>
    <row r="2142" spans="1:3" x14ac:dyDescent="0.25">
      <c r="A2142" t="str">
        <f>"17/04/2018"</f>
        <v>17/04/2018</v>
      </c>
      <c r="B2142" t="str">
        <f>"1.2374"</f>
        <v>1.2374</v>
      </c>
      <c r="C2142" t="str">
        <f>"1.2401"</f>
        <v>1.2401</v>
      </c>
    </row>
    <row r="2143" spans="1:3" x14ac:dyDescent="0.25">
      <c r="A2143" t="str">
        <f>"18/04/2018"</f>
        <v>18/04/2018</v>
      </c>
      <c r="B2143" t="str">
        <f>"1.2381"</f>
        <v>1.2381</v>
      </c>
      <c r="C2143" t="str">
        <f>"1.2407"</f>
        <v>1.2407</v>
      </c>
    </row>
    <row r="2144" spans="1:3" x14ac:dyDescent="0.25">
      <c r="A2144" t="str">
        <f>"19/04/2018"</f>
        <v>19/04/2018</v>
      </c>
      <c r="B2144" t="str">
        <f>"1.2373"</f>
        <v>1.2373</v>
      </c>
      <c r="C2144" t="str">
        <f>"1.2399"</f>
        <v>1.2399</v>
      </c>
    </row>
    <row r="2145" spans="1:3" x14ac:dyDescent="0.25">
      <c r="A2145" t="str">
        <f>"20/04/2018"</f>
        <v>20/04/2018</v>
      </c>
      <c r="B2145" t="str">
        <f>"1.2311"</f>
        <v>1.2311</v>
      </c>
      <c r="C2145" t="str">
        <f>"1.2337"</f>
        <v>1.2337</v>
      </c>
    </row>
    <row r="2146" spans="1:3" x14ac:dyDescent="0.25">
      <c r="A2146" t="str">
        <f>"23/04/2018"</f>
        <v>23/04/2018</v>
      </c>
      <c r="B2146" t="str">
        <f>"1.2231"</f>
        <v>1.2231</v>
      </c>
      <c r="C2146" t="str">
        <f>"1.2257"</f>
        <v>1.2257</v>
      </c>
    </row>
    <row r="2147" spans="1:3" x14ac:dyDescent="0.25">
      <c r="A2147" t="str">
        <f>"24/04/2018"</f>
        <v>24/04/2018</v>
      </c>
      <c r="B2147" t="str">
        <f>"1.2214"</f>
        <v>1.2214</v>
      </c>
      <c r="C2147" t="str">
        <f>"1.2242"</f>
        <v>1.2242</v>
      </c>
    </row>
    <row r="2148" spans="1:3" x14ac:dyDescent="0.25">
      <c r="A2148" t="str">
        <f>"25/04/2018"</f>
        <v>25/04/2018</v>
      </c>
      <c r="B2148" t="str">
        <f>"1.2189"</f>
        <v>1.2189</v>
      </c>
      <c r="C2148" t="str">
        <f>"1.2216"</f>
        <v>1.2216</v>
      </c>
    </row>
    <row r="2149" spans="1:3" x14ac:dyDescent="0.25">
      <c r="A2149" t="str">
        <f>"26/04/2018"</f>
        <v>26/04/2018</v>
      </c>
      <c r="B2149" t="str">
        <f>"1.218"</f>
        <v>1.218</v>
      </c>
      <c r="C2149" t="str">
        <f>"1.2207"</f>
        <v>1.2207</v>
      </c>
    </row>
    <row r="2150" spans="1:3" x14ac:dyDescent="0.25">
      <c r="A2150" t="str">
        <f>"27/04/2018"</f>
        <v>27/04/2018</v>
      </c>
      <c r="B2150" t="str">
        <f>"1.2083"</f>
        <v>1.2083</v>
      </c>
      <c r="C2150" t="str">
        <f>"1.2111"</f>
        <v>1.2111</v>
      </c>
    </row>
    <row r="2151" spans="1:3" x14ac:dyDescent="0.25">
      <c r="A2151" t="str">
        <f>"02/05/2018"</f>
        <v>02/05/2018</v>
      </c>
      <c r="B2151" t="str">
        <f>"1.1998"</f>
        <v>1.1998</v>
      </c>
      <c r="C2151" t="str">
        <f>"1.2024"</f>
        <v>1.2024</v>
      </c>
    </row>
    <row r="2152" spans="1:3" x14ac:dyDescent="0.25">
      <c r="A2152" t="str">
        <f>"03/05/2018"</f>
        <v>03/05/2018</v>
      </c>
      <c r="B2152" t="str">
        <f>"1.1973"</f>
        <v>1.1973</v>
      </c>
      <c r="C2152" t="str">
        <f>"1.1998"</f>
        <v>1.1998</v>
      </c>
    </row>
    <row r="2153" spans="1:3" x14ac:dyDescent="0.25">
      <c r="A2153" t="str">
        <f>"04/05/2018"</f>
        <v>04/05/2018</v>
      </c>
      <c r="B2153" t="str">
        <f>"1.1964"</f>
        <v>1.1964</v>
      </c>
      <c r="C2153" t="str">
        <f>"1.1989"</f>
        <v>1.1989</v>
      </c>
    </row>
    <row r="2154" spans="1:3" x14ac:dyDescent="0.25">
      <c r="A2154" t="str">
        <f>"07/05/2018"</f>
        <v>07/05/2018</v>
      </c>
      <c r="B2154" t="str">
        <f>"1.1915"</f>
        <v>1.1915</v>
      </c>
      <c r="C2154" t="str">
        <f>"1.1942"</f>
        <v>1.1942</v>
      </c>
    </row>
    <row r="2155" spans="1:3" x14ac:dyDescent="0.25">
      <c r="A2155" t="str">
        <f>"08/05/2018"</f>
        <v>08/05/2018</v>
      </c>
      <c r="B2155" t="str">
        <f>"1.1867"</f>
        <v>1.1867</v>
      </c>
      <c r="C2155" t="str">
        <f>"1.1893"</f>
        <v>1.1893</v>
      </c>
    </row>
    <row r="2156" spans="1:3" x14ac:dyDescent="0.25">
      <c r="A2156" t="str">
        <f>"09/05/2018"</f>
        <v>09/05/2018</v>
      </c>
      <c r="B2156" t="str">
        <f>"1.1883"</f>
        <v>1.1883</v>
      </c>
      <c r="C2156" t="str">
        <f>"1.1908"</f>
        <v>1.1908</v>
      </c>
    </row>
    <row r="2157" spans="1:3" x14ac:dyDescent="0.25">
      <c r="A2157" t="str">
        <f>"10/05/2018"</f>
        <v>10/05/2018</v>
      </c>
      <c r="B2157" t="str">
        <f>"1.1885"</f>
        <v>1.1885</v>
      </c>
      <c r="C2157" t="str">
        <f>"1.191"</f>
        <v>1.191</v>
      </c>
    </row>
    <row r="2158" spans="1:3" x14ac:dyDescent="0.25">
      <c r="A2158" t="str">
        <f>"11/05/2018"</f>
        <v>11/05/2018</v>
      </c>
      <c r="B2158" t="str">
        <f>"1.1932"</f>
        <v>1.1932</v>
      </c>
      <c r="C2158" t="str">
        <f>"1.1957"</f>
        <v>1.1957</v>
      </c>
    </row>
    <row r="2159" spans="1:3" x14ac:dyDescent="0.25">
      <c r="A2159" t="str">
        <f>"14/05/2018"</f>
        <v>14/05/2018</v>
      </c>
      <c r="B2159" t="str">
        <f>"1.1981"</f>
        <v>1.1981</v>
      </c>
      <c r="C2159" t="str">
        <f>"1.2008"</f>
        <v>1.2008</v>
      </c>
    </row>
    <row r="2160" spans="1:3" x14ac:dyDescent="0.25">
      <c r="A2160" t="str">
        <f>"15/05/2018"</f>
        <v>15/05/2018</v>
      </c>
      <c r="B2160" t="str">
        <f>"1.1886"</f>
        <v>1.1886</v>
      </c>
      <c r="C2160" t="str">
        <f>"1.1912"</f>
        <v>1.1912</v>
      </c>
    </row>
    <row r="2161" spans="1:3" x14ac:dyDescent="0.25">
      <c r="A2161" t="str">
        <f>"16/05/2018"</f>
        <v>16/05/2018</v>
      </c>
      <c r="B2161" t="str">
        <f>"1.1784"</f>
        <v>1.1784</v>
      </c>
      <c r="C2161" t="str">
        <f>"1.1809"</f>
        <v>1.1809</v>
      </c>
    </row>
    <row r="2162" spans="1:3" x14ac:dyDescent="0.25">
      <c r="A2162" t="str">
        <f>"17/05/2018"</f>
        <v>17/05/2018</v>
      </c>
      <c r="B2162" t="str">
        <f>"1.1788"</f>
        <v>1.1788</v>
      </c>
      <c r="C2162" t="str">
        <f>"1.1813"</f>
        <v>1.1813</v>
      </c>
    </row>
    <row r="2163" spans="1:3" x14ac:dyDescent="0.25">
      <c r="A2163" t="str">
        <f>"18/05/2018"</f>
        <v>18/05/2018</v>
      </c>
      <c r="B2163" t="str">
        <f>"1.1776"</f>
        <v>1.1776</v>
      </c>
      <c r="C2163" t="str">
        <f>"1.1801"</f>
        <v>1.1801</v>
      </c>
    </row>
    <row r="2164" spans="1:3" x14ac:dyDescent="0.25">
      <c r="A2164" t="str">
        <f>"21/05/2018"</f>
        <v>21/05/2018</v>
      </c>
      <c r="B2164" t="str">
        <f>"1.1756"</f>
        <v>1.1756</v>
      </c>
      <c r="C2164" t="str">
        <f>"1.1783"</f>
        <v>1.1783</v>
      </c>
    </row>
    <row r="2165" spans="1:3" x14ac:dyDescent="0.25">
      <c r="A2165" t="str">
        <f>"22/05/2018"</f>
        <v>22/05/2018</v>
      </c>
      <c r="B2165" t="str">
        <f>"1.1808"</f>
        <v>1.1808</v>
      </c>
      <c r="C2165" t="str">
        <f>"1.1835"</f>
        <v>1.1835</v>
      </c>
    </row>
    <row r="2166" spans="1:3" x14ac:dyDescent="0.25">
      <c r="A2166" t="str">
        <f>"23/05/2018"</f>
        <v>23/05/2018</v>
      </c>
      <c r="B2166" t="str">
        <f>"1.1709"</f>
        <v>1.1709</v>
      </c>
      <c r="C2166" t="str">
        <f>"1.1735"</f>
        <v>1.1735</v>
      </c>
    </row>
    <row r="2167" spans="1:3" x14ac:dyDescent="0.25">
      <c r="A2167" t="str">
        <f>"24/05/2018"</f>
        <v>24/05/2018</v>
      </c>
      <c r="B2167" t="str">
        <f>"1.1718"</f>
        <v>1.1718</v>
      </c>
      <c r="C2167" t="str">
        <f>"1.1743"</f>
        <v>1.1743</v>
      </c>
    </row>
    <row r="2168" spans="1:3" x14ac:dyDescent="0.25">
      <c r="A2168" t="str">
        <f>"25/05/2018"</f>
        <v>25/05/2018</v>
      </c>
      <c r="B2168" t="str">
        <f>"1.1698"</f>
        <v>1.1698</v>
      </c>
      <c r="C2168" t="str">
        <f>"1.1724"</f>
        <v>1.1724</v>
      </c>
    </row>
    <row r="2169" spans="1:3" x14ac:dyDescent="0.25">
      <c r="A2169" t="str">
        <f>"28/05/2018"</f>
        <v>28/05/2018</v>
      </c>
      <c r="B2169" t="str">
        <f>"1.1639"</f>
        <v>1.1639</v>
      </c>
      <c r="C2169" t="str">
        <f>"1.1664"</f>
        <v>1.1664</v>
      </c>
    </row>
    <row r="2170" spans="1:3" x14ac:dyDescent="0.25">
      <c r="A2170" t="str">
        <f>"29/05/2018"</f>
        <v>29/05/2018</v>
      </c>
      <c r="B2170" t="str">
        <f>"1.1542"</f>
        <v>1.1542</v>
      </c>
      <c r="C2170" t="str">
        <f>"1.1566"</f>
        <v>1.1566</v>
      </c>
    </row>
    <row r="2171" spans="1:3" x14ac:dyDescent="0.25">
      <c r="A2171" t="str">
        <f>"30/05/2018"</f>
        <v>30/05/2018</v>
      </c>
      <c r="B2171" t="str">
        <f>"1.1541"</f>
        <v>1.1541</v>
      </c>
      <c r="C2171" t="str">
        <f>"1.157"</f>
        <v>1.157</v>
      </c>
    </row>
    <row r="2172" spans="1:3" x14ac:dyDescent="0.25">
      <c r="A2172" t="str">
        <f>"31/05/2018"</f>
        <v>31/05/2018</v>
      </c>
      <c r="B2172" t="str">
        <f>"1.167"</f>
        <v>1.167</v>
      </c>
      <c r="C2172" t="str">
        <f>"1.1721"</f>
        <v>1.1721</v>
      </c>
    </row>
    <row r="2173" spans="1:3" x14ac:dyDescent="0.25">
      <c r="A2173" t="str">
        <f>"01/06/2018"</f>
        <v>01/06/2018</v>
      </c>
      <c r="B2173" t="str">
        <f>"1.1702"</f>
        <v>1.1702</v>
      </c>
      <c r="C2173" t="str">
        <f>"1.1729"</f>
        <v>1.1729</v>
      </c>
    </row>
    <row r="2174" spans="1:3" x14ac:dyDescent="0.25">
      <c r="A2174" t="str">
        <f>"04/06/2018"</f>
        <v>04/06/2018</v>
      </c>
      <c r="B2174" t="str">
        <f>"1.1729"</f>
        <v>1.1729</v>
      </c>
      <c r="C2174" t="str">
        <f>"1.1756"</f>
        <v>1.1756</v>
      </c>
    </row>
    <row r="2175" spans="1:3" x14ac:dyDescent="0.25">
      <c r="A2175" t="str">
        <f>"05/06/2018"</f>
        <v>05/06/2018</v>
      </c>
      <c r="B2175" t="str">
        <f>"1.1681"</f>
        <v>1.1681</v>
      </c>
      <c r="C2175" t="str">
        <f>"1.171"</f>
        <v>1.171</v>
      </c>
    </row>
    <row r="2176" spans="1:3" x14ac:dyDescent="0.25">
      <c r="A2176" t="str">
        <f>"06/06/2018"</f>
        <v>06/06/2018</v>
      </c>
      <c r="B2176" t="str">
        <f>"1.1776"</f>
        <v>1.1776</v>
      </c>
      <c r="C2176" t="str">
        <f>"1.1804"</f>
        <v>1.1804</v>
      </c>
    </row>
    <row r="2177" spans="1:3" x14ac:dyDescent="0.25">
      <c r="A2177" t="str">
        <f>"07/06/2018"</f>
        <v>07/06/2018</v>
      </c>
      <c r="B2177" t="str">
        <f>"1.1818"</f>
        <v>1.1818</v>
      </c>
      <c r="C2177" t="str">
        <f>"1.1847"</f>
        <v>1.1847</v>
      </c>
    </row>
    <row r="2178" spans="1:3" x14ac:dyDescent="0.25">
      <c r="A2178" t="str">
        <f>"08/06/2018"</f>
        <v>08/06/2018</v>
      </c>
      <c r="B2178" t="str">
        <f>"1.1737"</f>
        <v>1.1737</v>
      </c>
      <c r="C2178" t="str">
        <f>"1.1766"</f>
        <v>1.1766</v>
      </c>
    </row>
    <row r="2179" spans="1:3" x14ac:dyDescent="0.25">
      <c r="A2179" t="str">
        <f>"11/06/2018"</f>
        <v>11/06/2018</v>
      </c>
      <c r="B2179" t="str">
        <f>"1.1789"</f>
        <v>1.1789</v>
      </c>
      <c r="C2179" t="str">
        <f>"1.1817"</f>
        <v>1.1817</v>
      </c>
    </row>
    <row r="2180" spans="1:3" x14ac:dyDescent="0.25">
      <c r="A2180" t="str">
        <f>"12/06/2018"</f>
        <v>12/06/2018</v>
      </c>
      <c r="B2180" t="str">
        <f>"1.1778"</f>
        <v>1.1778</v>
      </c>
      <c r="C2180" t="str">
        <f>"1.1808"</f>
        <v>1.1808</v>
      </c>
    </row>
    <row r="2181" spans="1:3" x14ac:dyDescent="0.25">
      <c r="A2181" t="str">
        <f>"13/06/2018"</f>
        <v>13/06/2018</v>
      </c>
      <c r="B2181" t="str">
        <f>"1.1753"</f>
        <v>1.1753</v>
      </c>
      <c r="C2181" t="str">
        <f>"1.1781"</f>
        <v>1.1781</v>
      </c>
    </row>
    <row r="2182" spans="1:3" x14ac:dyDescent="0.25">
      <c r="A2182" t="str">
        <f>"14/06/2018"</f>
        <v>14/06/2018</v>
      </c>
      <c r="B2182" t="str">
        <f>"1.1815"</f>
        <v>1.1815</v>
      </c>
      <c r="C2182" t="str">
        <f>"1.1842"</f>
        <v>1.1842</v>
      </c>
    </row>
    <row r="2183" spans="1:3" x14ac:dyDescent="0.25">
      <c r="A2183" t="str">
        <f>"15/06/2018"</f>
        <v>15/06/2018</v>
      </c>
      <c r="B2183" t="str">
        <f>"1.1593"</f>
        <v>1.1593</v>
      </c>
      <c r="C2183" t="str">
        <f>"1.1619"</f>
        <v>1.1619</v>
      </c>
    </row>
    <row r="2184" spans="1:3" x14ac:dyDescent="0.25">
      <c r="A2184" t="str">
        <f>"18/06/2018"</f>
        <v>18/06/2018</v>
      </c>
      <c r="B2184" t="str">
        <f>"1.1614"</f>
        <v>1.1614</v>
      </c>
      <c r="C2184" t="str">
        <f>"1.164"</f>
        <v>1.164</v>
      </c>
    </row>
    <row r="2185" spans="1:3" x14ac:dyDescent="0.25">
      <c r="A2185" t="str">
        <f>"19/06/2018"</f>
        <v>19/06/2018</v>
      </c>
      <c r="B2185" t="str">
        <f>"1.1547"</f>
        <v>1.1547</v>
      </c>
      <c r="C2185" t="str">
        <f>"1.1575"</f>
        <v>1.1575</v>
      </c>
    </row>
    <row r="2186" spans="1:3" x14ac:dyDescent="0.25">
      <c r="A2186" t="str">
        <f>"20/06/2018"</f>
        <v>20/06/2018</v>
      </c>
      <c r="B2186" t="str">
        <f>"1.1565"</f>
        <v>1.1565</v>
      </c>
      <c r="C2186" t="str">
        <f>"1.1591"</f>
        <v>1.1591</v>
      </c>
    </row>
    <row r="2187" spans="1:3" x14ac:dyDescent="0.25">
      <c r="A2187" t="str">
        <f>"21/06/2018"</f>
        <v>21/06/2018</v>
      </c>
      <c r="B2187" t="str">
        <f>"1.1538"</f>
        <v>1.1538</v>
      </c>
      <c r="C2187" t="str">
        <f>"1.1564"</f>
        <v>1.1564</v>
      </c>
    </row>
    <row r="2188" spans="1:3" x14ac:dyDescent="0.25">
      <c r="A2188" t="str">
        <f>"22/06/2018"</f>
        <v>22/06/2018</v>
      </c>
      <c r="B2188" t="str">
        <f>"1.1639"</f>
        <v>1.1639</v>
      </c>
      <c r="C2188" t="str">
        <f>"1.1666"</f>
        <v>1.1666</v>
      </c>
    </row>
    <row r="2189" spans="1:3" x14ac:dyDescent="0.25">
      <c r="A2189" t="str">
        <f>"25/06/2018"</f>
        <v>25/06/2018</v>
      </c>
      <c r="B2189" t="str">
        <f>"1.1684"</f>
        <v>1.1684</v>
      </c>
      <c r="C2189" t="str">
        <f>"1.171"</f>
        <v>1.171</v>
      </c>
    </row>
    <row r="2190" spans="1:3" x14ac:dyDescent="0.25">
      <c r="A2190" t="str">
        <f>"26/06/2018"</f>
        <v>26/06/2018</v>
      </c>
      <c r="B2190" t="str">
        <f>"1.1675"</f>
        <v>1.1675</v>
      </c>
      <c r="C2190" t="str">
        <f>"1.1703"</f>
        <v>1.1703</v>
      </c>
    </row>
    <row r="2191" spans="1:3" x14ac:dyDescent="0.25">
      <c r="A2191" t="str">
        <f>"27/06/2018"</f>
        <v>27/06/2018</v>
      </c>
      <c r="B2191" t="str">
        <f>"1.1616"</f>
        <v>1.1616</v>
      </c>
      <c r="C2191" t="str">
        <f>"1.1644"</f>
        <v>1.1644</v>
      </c>
    </row>
    <row r="2192" spans="1:3" x14ac:dyDescent="0.25">
      <c r="A2192" t="str">
        <f>"28/06/2018"</f>
        <v>28/06/2018</v>
      </c>
      <c r="B2192" t="str">
        <f>"1.1582"</f>
        <v>1.1582</v>
      </c>
      <c r="C2192" t="str">
        <f>"1.1608"</f>
        <v>1.1608</v>
      </c>
    </row>
    <row r="2193" spans="1:3" x14ac:dyDescent="0.25">
      <c r="A2193" t="str">
        <f>"29/06/2018"</f>
        <v>29/06/2018</v>
      </c>
      <c r="B2193" t="str">
        <f>"1.1675"</f>
        <v>1.1675</v>
      </c>
      <c r="C2193" t="str">
        <f>"1.1679"</f>
        <v>1.1679</v>
      </c>
    </row>
    <row r="2194" spans="1:3" x14ac:dyDescent="0.25">
      <c r="A2194" t="str">
        <f>"02/07/2018"</f>
        <v>02/07/2018</v>
      </c>
      <c r="B2194" t="str">
        <f>"1.1632"</f>
        <v>1.1632</v>
      </c>
      <c r="C2194" t="str">
        <f>"1.1659"</f>
        <v>1.1659</v>
      </c>
    </row>
    <row r="2195" spans="1:3" x14ac:dyDescent="0.25">
      <c r="A2195" t="str">
        <f>"03/07/2018"</f>
        <v>03/07/2018</v>
      </c>
      <c r="B2195" t="str">
        <f>"1.1658"</f>
        <v>1.1658</v>
      </c>
      <c r="C2195" t="str">
        <f>"1.1684"</f>
        <v>1.1684</v>
      </c>
    </row>
    <row r="2196" spans="1:3" x14ac:dyDescent="0.25">
      <c r="A2196" t="str">
        <f>"04/07/2018"</f>
        <v>04/07/2018</v>
      </c>
      <c r="B2196" t="str">
        <f>"1.1639"</f>
        <v>1.1639</v>
      </c>
      <c r="C2196" t="str">
        <f>"1.1665"</f>
        <v>1.1665</v>
      </c>
    </row>
    <row r="2197" spans="1:3" x14ac:dyDescent="0.25">
      <c r="A2197" t="str">
        <f>"05/07/2018"</f>
        <v>05/07/2018</v>
      </c>
      <c r="B2197" t="str">
        <f>"1.1698"</f>
        <v>1.1698</v>
      </c>
      <c r="C2197" t="str">
        <f>"1.1724"</f>
        <v>1.1724</v>
      </c>
    </row>
    <row r="2198" spans="1:3" x14ac:dyDescent="0.25">
      <c r="A2198" t="str">
        <f>"06/07/2018"</f>
        <v>06/07/2018</v>
      </c>
      <c r="B2198" t="str">
        <f>"1.1717"</f>
        <v>1.1717</v>
      </c>
      <c r="C2198" t="str">
        <f>"1.1743"</f>
        <v>1.1743</v>
      </c>
    </row>
    <row r="2199" spans="1:3" x14ac:dyDescent="0.25">
      <c r="A2199" t="str">
        <f>"09/07/2018"</f>
        <v>09/07/2018</v>
      </c>
      <c r="B2199" t="str">
        <f>"1.1784"</f>
        <v>1.1784</v>
      </c>
      <c r="C2199" t="str">
        <f>"1.1812"</f>
        <v>1.1812</v>
      </c>
    </row>
    <row r="2200" spans="1:3" x14ac:dyDescent="0.25">
      <c r="A2200" t="str">
        <f>"10/07/2018"</f>
        <v>10/07/2018</v>
      </c>
      <c r="B2200" t="str">
        <f>"1.1704"</f>
        <v>1.1704</v>
      </c>
      <c r="C2200" t="str">
        <f>"1.1731"</f>
        <v>1.1731</v>
      </c>
    </row>
    <row r="2201" spans="1:3" x14ac:dyDescent="0.25">
      <c r="A2201" t="str">
        <f>"11/07/2018"</f>
        <v>11/07/2018</v>
      </c>
      <c r="B2201" t="str">
        <f>"1.1715"</f>
        <v>1.1715</v>
      </c>
      <c r="C2201" t="str">
        <f>"1.1741"</f>
        <v>1.1741</v>
      </c>
    </row>
    <row r="2202" spans="1:3" x14ac:dyDescent="0.25">
      <c r="A2202" t="str">
        <f>"12/07/2018"</f>
        <v>12/07/2018</v>
      </c>
      <c r="B2202" t="str">
        <f>"1.1654"</f>
        <v>1.1654</v>
      </c>
      <c r="C2202" t="str">
        <f>"1.168"</f>
        <v>1.168</v>
      </c>
    </row>
    <row r="2203" spans="1:3" x14ac:dyDescent="0.25">
      <c r="A2203" t="str">
        <f>"13/07/2018"</f>
        <v>13/07/2018</v>
      </c>
      <c r="B2203" t="str">
        <f>"1.1622"</f>
        <v>1.1622</v>
      </c>
      <c r="C2203" t="str">
        <f>"1.1648"</f>
        <v>1.1648</v>
      </c>
    </row>
    <row r="2204" spans="1:3" x14ac:dyDescent="0.25">
      <c r="A2204" t="str">
        <f>"16/07/2018"</f>
        <v>16/07/2018</v>
      </c>
      <c r="B2204" t="str">
        <f>"1.1721"</f>
        <v>1.1721</v>
      </c>
      <c r="C2204" t="str">
        <f>"1.1749"</f>
        <v>1.1749</v>
      </c>
    </row>
    <row r="2205" spans="1:3" x14ac:dyDescent="0.25">
      <c r="A2205" t="str">
        <f>"17/07/2018"</f>
        <v>17/07/2018</v>
      </c>
      <c r="B2205" t="str">
        <f>"1.1711"</f>
        <v>1.1711</v>
      </c>
      <c r="C2205" t="str">
        <f>"1.1738"</f>
        <v>1.1738</v>
      </c>
    </row>
    <row r="2206" spans="1:3" x14ac:dyDescent="0.25">
      <c r="A2206" t="str">
        <f>"18/07/2018"</f>
        <v>18/07/2018</v>
      </c>
      <c r="B2206" t="str">
        <f>"1.1619"</f>
        <v>1.1619</v>
      </c>
      <c r="C2206" t="str">
        <f>"1.1645"</f>
        <v>1.1645</v>
      </c>
    </row>
    <row r="2207" spans="1:3" x14ac:dyDescent="0.25">
      <c r="A2207" t="str">
        <f>"19/07/2018"</f>
        <v>19/07/2018</v>
      </c>
      <c r="B2207" t="str">
        <f>"1.1593"</f>
        <v>1.1593</v>
      </c>
      <c r="C2207" t="str">
        <f>"1.1619"</f>
        <v>1.1619</v>
      </c>
    </row>
    <row r="2208" spans="1:3" x14ac:dyDescent="0.25">
      <c r="A2208" t="str">
        <f>"20/07/2018"</f>
        <v>20/07/2018</v>
      </c>
      <c r="B2208" t="str">
        <f>"1.1657"</f>
        <v>1.1657</v>
      </c>
      <c r="C2208" t="str">
        <f>"1.1683"</f>
        <v>1.1683</v>
      </c>
    </row>
    <row r="2209" spans="1:3" x14ac:dyDescent="0.25">
      <c r="A2209" t="str">
        <f>"23/07/2018"</f>
        <v>23/07/2018</v>
      </c>
      <c r="B2209" t="str">
        <f>"1.1717"</f>
        <v>1.1717</v>
      </c>
      <c r="C2209" t="str">
        <f>"1.1745"</f>
        <v>1.1745</v>
      </c>
    </row>
    <row r="2210" spans="1:3" x14ac:dyDescent="0.25">
      <c r="A2210" t="str">
        <f>"24/07/2018"</f>
        <v>24/07/2018</v>
      </c>
      <c r="B2210" t="str">
        <f>"1.1705"</f>
        <v>1.1705</v>
      </c>
      <c r="C2210" t="str">
        <f>"1.1732"</f>
        <v>1.1732</v>
      </c>
    </row>
    <row r="2211" spans="1:3" x14ac:dyDescent="0.25">
      <c r="A2211" t="str">
        <f>"25/07/2018"</f>
        <v>25/07/2018</v>
      </c>
      <c r="B2211" t="str">
        <f>"1.1694"</f>
        <v>1.1694</v>
      </c>
      <c r="C2211" t="str">
        <f>"1.172"</f>
        <v>1.172</v>
      </c>
    </row>
    <row r="2212" spans="1:3" x14ac:dyDescent="0.25">
      <c r="A2212" t="str">
        <f>"26/07/2018"</f>
        <v>26/07/2018</v>
      </c>
      <c r="B2212" t="str">
        <f>"1.1713"</f>
        <v>1.1713</v>
      </c>
      <c r="C2212" t="str">
        <f>"1.1739"</f>
        <v>1.1739</v>
      </c>
    </row>
    <row r="2213" spans="1:3" x14ac:dyDescent="0.25">
      <c r="A2213" t="str">
        <f>"27/07/2018"</f>
        <v>27/07/2018</v>
      </c>
      <c r="B2213" t="str">
        <f>"1.1628"</f>
        <v>1.1628</v>
      </c>
      <c r="C2213" t="str">
        <f>"1.1654"</f>
        <v>1.1654</v>
      </c>
    </row>
    <row r="2214" spans="1:3" x14ac:dyDescent="0.25">
      <c r="A2214" t="str">
        <f>"30/07/2018"</f>
        <v>30/07/2018</v>
      </c>
      <c r="B2214" t="str">
        <f>"1.1683"</f>
        <v>1.1683</v>
      </c>
      <c r="C2214" t="str">
        <f>"1.1712"</f>
        <v>1.1712</v>
      </c>
    </row>
    <row r="2215" spans="1:3" x14ac:dyDescent="0.25">
      <c r="A2215" t="str">
        <f>"31/07/2018"</f>
        <v>31/07/2018</v>
      </c>
      <c r="B2215" t="str">
        <f>"1.174"</f>
        <v>1.174</v>
      </c>
      <c r="C2215" t="str">
        <f>"1.1768"</f>
        <v>1.1768</v>
      </c>
    </row>
    <row r="2216" spans="1:3" x14ac:dyDescent="0.25">
      <c r="A2216" t="str">
        <f>"01/08/2018"</f>
        <v>01/08/2018</v>
      </c>
      <c r="B2216" t="str">
        <f>"1.1686"</f>
        <v>1.1686</v>
      </c>
      <c r="C2216" t="str">
        <f>"1.1713"</f>
        <v>1.1713</v>
      </c>
    </row>
    <row r="2217" spans="1:3" x14ac:dyDescent="0.25">
      <c r="A2217" t="str">
        <f>"02/08/2018"</f>
        <v>02/08/2018</v>
      </c>
      <c r="B2217" t="str">
        <f>"1.1617"</f>
        <v>1.1617</v>
      </c>
      <c r="C2217" t="str">
        <f>"1.1643"</f>
        <v>1.1643</v>
      </c>
    </row>
    <row r="2218" spans="1:3" x14ac:dyDescent="0.25">
      <c r="A2218" t="str">
        <f>"03/08/2018"</f>
        <v>03/08/2018</v>
      </c>
      <c r="B2218" t="str">
        <f>"1.1605"</f>
        <v>1.1605</v>
      </c>
      <c r="C2218" t="str">
        <f>"1.1631"</f>
        <v>1.1631</v>
      </c>
    </row>
    <row r="2219" spans="1:3" x14ac:dyDescent="0.25">
      <c r="A2219" t="str">
        <f>"06/08/2018"</f>
        <v>06/08/2018</v>
      </c>
      <c r="B2219" t="str">
        <f>"1.1533"</f>
        <v>1.1533</v>
      </c>
      <c r="C2219" t="str">
        <f>"1.156"</f>
        <v>1.156</v>
      </c>
    </row>
    <row r="2220" spans="1:3" x14ac:dyDescent="0.25">
      <c r="A2220" t="str">
        <f>"07/08/2018"</f>
        <v>07/08/2018</v>
      </c>
      <c r="B2220" t="str">
        <f>"1.1593"</f>
        <v>1.1593</v>
      </c>
      <c r="C2220" t="str">
        <f>"1.1619"</f>
        <v>1.1619</v>
      </c>
    </row>
    <row r="2221" spans="1:3" x14ac:dyDescent="0.25">
      <c r="A2221" t="str">
        <f>"08/08/2018"</f>
        <v>08/08/2018</v>
      </c>
      <c r="B2221" t="str">
        <f>"1.1597"</f>
        <v>1.1597</v>
      </c>
      <c r="C2221" t="str">
        <f>"1.1623"</f>
        <v>1.1623</v>
      </c>
    </row>
    <row r="2222" spans="1:3" x14ac:dyDescent="0.25">
      <c r="A2222" t="str">
        <f>"09/08/2018"</f>
        <v>09/08/2018</v>
      </c>
      <c r="B2222" t="str">
        <f>"1.1592"</f>
        <v>1.1592</v>
      </c>
      <c r="C2222" t="str">
        <f>"1.1617"</f>
        <v>1.1617</v>
      </c>
    </row>
    <row r="2223" spans="1:3" x14ac:dyDescent="0.25">
      <c r="A2223" t="str">
        <f>"10/08/2018"</f>
        <v>10/08/2018</v>
      </c>
      <c r="B2223" t="str">
        <f>"1.1457"</f>
        <v>1.1457</v>
      </c>
      <c r="C2223" t="str">
        <f>"1.1482"</f>
        <v>1.1482</v>
      </c>
    </row>
    <row r="2224" spans="1:3" x14ac:dyDescent="0.25">
      <c r="A2224" t="str">
        <f>"13/08/2018"</f>
        <v>13/08/2018</v>
      </c>
      <c r="B2224" t="str">
        <f>"1.1372"</f>
        <v>1.1372</v>
      </c>
      <c r="C2224" t="str">
        <f>"1.1399"</f>
        <v>1.1399</v>
      </c>
    </row>
    <row r="2225" spans="1:3" x14ac:dyDescent="0.25">
      <c r="A2225" t="str">
        <f>"14/08/2018"</f>
        <v>14/08/2018</v>
      </c>
      <c r="B2225" t="str">
        <f>"1.1403"</f>
        <v>1.1403</v>
      </c>
      <c r="C2225" t="str">
        <f>"1.1429"</f>
        <v>1.1429</v>
      </c>
    </row>
    <row r="2226" spans="1:3" x14ac:dyDescent="0.25">
      <c r="A2226" t="str">
        <f>"16/08/2018"</f>
        <v>16/08/2018</v>
      </c>
      <c r="B2226" t="str">
        <f>"1.1375"</f>
        <v>1.1375</v>
      </c>
      <c r="C2226" t="str">
        <f>"1.14"</f>
        <v>1.14</v>
      </c>
    </row>
    <row r="2227" spans="1:3" x14ac:dyDescent="0.25">
      <c r="A2227" t="str">
        <f>"20/08/2018"</f>
        <v>20/08/2018</v>
      </c>
      <c r="B2227" t="str">
        <f>"1.1418"</f>
        <v>1.1418</v>
      </c>
      <c r="C2227" t="str">
        <f>"1.1445"</f>
        <v>1.1445</v>
      </c>
    </row>
    <row r="2228" spans="1:3" x14ac:dyDescent="0.25">
      <c r="A2228" t="str">
        <f>"21/08/2018"</f>
        <v>21/08/2018</v>
      </c>
      <c r="B2228" t="str">
        <f>"1.1526"</f>
        <v>1.1526</v>
      </c>
      <c r="C2228" t="str">
        <f>"1.1552"</f>
        <v>1.1552</v>
      </c>
    </row>
    <row r="2229" spans="1:3" x14ac:dyDescent="0.25">
      <c r="A2229" t="str">
        <f>"23/08/2018"</f>
        <v>23/08/2018</v>
      </c>
      <c r="B2229" t="str">
        <f>"1.1583"</f>
        <v>1.1583</v>
      </c>
      <c r="C2229" t="str">
        <f>"1.1608"</f>
        <v>1.1608</v>
      </c>
    </row>
    <row r="2230" spans="1:3" x14ac:dyDescent="0.25">
      <c r="A2230" t="str">
        <f>"24/08/2018"</f>
        <v>24/08/2018</v>
      </c>
      <c r="B2230" t="str">
        <f>"1.1583"</f>
        <v>1.1583</v>
      </c>
      <c r="C2230" t="str">
        <f>"1.1608"</f>
        <v>1.1608</v>
      </c>
    </row>
    <row r="2231" spans="1:3" x14ac:dyDescent="0.25">
      <c r="A2231" t="str">
        <f>"27/08/2018"</f>
        <v>27/08/2018</v>
      </c>
      <c r="B2231" t="str">
        <f>"1.1621"</f>
        <v>1.1621</v>
      </c>
      <c r="C2231" t="str">
        <f>"1.1646"</f>
        <v>1.1646</v>
      </c>
    </row>
    <row r="2232" spans="1:3" x14ac:dyDescent="0.25">
      <c r="A2232" t="str">
        <f>"28/08/2018"</f>
        <v>28/08/2018</v>
      </c>
      <c r="B2232" t="str">
        <f>"1.1696"</f>
        <v>1.1696</v>
      </c>
      <c r="C2232" t="str">
        <f>"1.172"</f>
        <v>1.172</v>
      </c>
    </row>
    <row r="2233" spans="1:3" x14ac:dyDescent="0.25">
      <c r="A2233" t="str">
        <f>"29/08/2018"</f>
        <v>29/08/2018</v>
      </c>
      <c r="B2233" t="str">
        <f>"1.1664"</f>
        <v>1.1664</v>
      </c>
      <c r="C2233" t="str">
        <f>"1.1687"</f>
        <v>1.1687</v>
      </c>
    </row>
    <row r="2234" spans="1:3" x14ac:dyDescent="0.25">
      <c r="A2234" t="str">
        <f>"30/08/2018"</f>
        <v>30/08/2018</v>
      </c>
      <c r="B2234" t="str">
        <f>"1.1691"</f>
        <v>1.1691</v>
      </c>
      <c r="C2234" t="str">
        <f>"1.1717"</f>
        <v>1.1717</v>
      </c>
    </row>
    <row r="2235" spans="1:3" x14ac:dyDescent="0.25">
      <c r="A2235" t="str">
        <f>"31/08/2018"</f>
        <v>31/08/2018</v>
      </c>
      <c r="B2235" t="str">
        <f>"1.1596"</f>
        <v>1.1596</v>
      </c>
      <c r="C2235" t="str">
        <f>"1.1676"</f>
        <v>1.1676</v>
      </c>
    </row>
    <row r="2236" spans="1:3" x14ac:dyDescent="0.25">
      <c r="A2236" t="str">
        <f>"03/09/2018"</f>
        <v>03/09/2018</v>
      </c>
      <c r="B2236" t="str">
        <f>"1.1614"</f>
        <v>1.1614</v>
      </c>
      <c r="C2236" t="str">
        <f>"1.164"</f>
        <v>1.164</v>
      </c>
    </row>
    <row r="2237" spans="1:3" x14ac:dyDescent="0.25">
      <c r="A2237" t="str">
        <f>"04/09/2018"</f>
        <v>04/09/2018</v>
      </c>
      <c r="B2237" t="str">
        <f>"1.1557"</f>
        <v>1.1557</v>
      </c>
      <c r="C2237" t="str">
        <f>"1.1586"</f>
        <v>1.1586</v>
      </c>
    </row>
    <row r="2238" spans="1:3" x14ac:dyDescent="0.25">
      <c r="A2238" t="str">
        <f>"05/09/2018"</f>
        <v>05/09/2018</v>
      </c>
      <c r="B2238" t="str">
        <f>"1.1586"</f>
        <v>1.1586</v>
      </c>
      <c r="C2238" t="str">
        <f>"1.1614"</f>
        <v>1.1614</v>
      </c>
    </row>
    <row r="2239" spans="1:3" x14ac:dyDescent="0.25">
      <c r="A2239" t="str">
        <f>"06/09/2018"</f>
        <v>06/09/2018</v>
      </c>
      <c r="B2239" t="str">
        <f>"1.163"</f>
        <v>1.163</v>
      </c>
      <c r="C2239" t="str">
        <f>"1.1656"</f>
        <v>1.1656</v>
      </c>
    </row>
    <row r="2240" spans="1:3" x14ac:dyDescent="0.25">
      <c r="A2240" t="str">
        <f>"07/09/2018"</f>
        <v>07/09/2018</v>
      </c>
      <c r="B2240" t="str">
        <f>"1.1606"</f>
        <v>1.1606</v>
      </c>
      <c r="C2240" t="str">
        <f>"1.1632"</f>
        <v>1.1632</v>
      </c>
    </row>
    <row r="2241" spans="1:3" x14ac:dyDescent="0.25">
      <c r="A2241" t="str">
        <f>"10/09/2018"</f>
        <v>10/09/2018</v>
      </c>
      <c r="B2241" t="str">
        <f>"1.1572"</f>
        <v>1.1572</v>
      </c>
      <c r="C2241" t="str">
        <f>"1.1598"</f>
        <v>1.1598</v>
      </c>
    </row>
    <row r="2242" spans="1:3" x14ac:dyDescent="0.25">
      <c r="A2242" t="str">
        <f>"11/09/2018"</f>
        <v>11/09/2018</v>
      </c>
      <c r="B2242" t="str">
        <f>"1.1602"</f>
        <v>1.1602</v>
      </c>
      <c r="C2242" t="str">
        <f>"1.163"</f>
        <v>1.163</v>
      </c>
    </row>
    <row r="2243" spans="1:3" x14ac:dyDescent="0.25">
      <c r="A2243" t="str">
        <f>"12/09/2018"</f>
        <v>12/09/2018</v>
      </c>
      <c r="B2243" t="str">
        <f>"1.1579"</f>
        <v>1.1579</v>
      </c>
      <c r="C2243" t="str">
        <f>"1.1606"</f>
        <v>1.1606</v>
      </c>
    </row>
    <row r="2244" spans="1:3" x14ac:dyDescent="0.25">
      <c r="A2244" t="str">
        <f>"14/09/2018"</f>
        <v>14/09/2018</v>
      </c>
      <c r="B2244" t="str">
        <f>"1.1699"</f>
        <v>1.1699</v>
      </c>
      <c r="C2244" t="str">
        <f>"1.1726"</f>
        <v>1.1726</v>
      </c>
    </row>
    <row r="2245" spans="1:3" x14ac:dyDescent="0.25">
      <c r="A2245" t="str">
        <f>"17/09/2018"</f>
        <v>17/09/2018</v>
      </c>
      <c r="B2245" t="str">
        <f>"1.1663"</f>
        <v>1.1663</v>
      </c>
      <c r="C2245" t="str">
        <f>"1.169"</f>
        <v>1.169</v>
      </c>
    </row>
    <row r="2246" spans="1:3" x14ac:dyDescent="0.25">
      <c r="A2246" t="str">
        <f>"18/09/2018"</f>
        <v>18/09/2018</v>
      </c>
      <c r="B2246" t="str">
        <f>"1.1682"</f>
        <v>1.1682</v>
      </c>
      <c r="C2246" t="str">
        <f>"1.1711"</f>
        <v>1.1711</v>
      </c>
    </row>
    <row r="2247" spans="1:3" x14ac:dyDescent="0.25">
      <c r="A2247" t="str">
        <f>"19/09/2018"</f>
        <v>19/09/2018</v>
      </c>
      <c r="B2247" t="str">
        <f>"1.1676"</f>
        <v>1.1676</v>
      </c>
      <c r="C2247" t="str">
        <f>"1.1704"</f>
        <v>1.1704</v>
      </c>
    </row>
    <row r="2248" spans="1:3" x14ac:dyDescent="0.25">
      <c r="A2248" t="str">
        <f>"21/09/2018"</f>
        <v>21/09/2018</v>
      </c>
      <c r="B2248" t="str">
        <f>"1.1768"</f>
        <v>1.1768</v>
      </c>
      <c r="C2248" t="str">
        <f>"1.1796"</f>
        <v>1.1796</v>
      </c>
    </row>
    <row r="2249" spans="1:3" x14ac:dyDescent="0.25">
      <c r="A2249" t="str">
        <f>"24/09/2018"</f>
        <v>24/09/2018</v>
      </c>
      <c r="B2249" t="str">
        <f>"1.1765"</f>
        <v>1.1765</v>
      </c>
      <c r="C2249" t="str">
        <f>"1.1793"</f>
        <v>1.1793</v>
      </c>
    </row>
    <row r="2250" spans="1:3" x14ac:dyDescent="0.25">
      <c r="A2250" t="str">
        <f>"25/09/2018"</f>
        <v>25/09/2018</v>
      </c>
      <c r="B2250" t="str">
        <f>"1.1785"</f>
        <v>1.1785</v>
      </c>
      <c r="C2250" t="str">
        <f>"1.1814"</f>
        <v>1.1814</v>
      </c>
    </row>
    <row r="2251" spans="1:3" x14ac:dyDescent="0.25">
      <c r="A2251" t="str">
        <f>"26/09/2018"</f>
        <v>26/09/2018</v>
      </c>
      <c r="B2251" t="str">
        <f>"1.1743"</f>
        <v>1.1743</v>
      </c>
      <c r="C2251" t="str">
        <f>"1.1773"</f>
        <v>1.1773</v>
      </c>
    </row>
    <row r="2252" spans="1:3" x14ac:dyDescent="0.25">
      <c r="A2252" t="str">
        <f>"27/09/2018"</f>
        <v>27/09/2018</v>
      </c>
      <c r="B2252" t="str">
        <f>"1.1706"</f>
        <v>1.1706</v>
      </c>
      <c r="C2252" t="str">
        <f>"1.1734"</f>
        <v>1.1734</v>
      </c>
    </row>
    <row r="2253" spans="1:3" x14ac:dyDescent="0.25">
      <c r="A2253" t="str">
        <f>"28/09/2018"</f>
        <v>28/09/2018</v>
      </c>
      <c r="B2253" t="str">
        <f>"1.1601"</f>
        <v>1.1601</v>
      </c>
      <c r="C2253" t="str">
        <f>"1.1611"</f>
        <v>1.1611</v>
      </c>
    </row>
    <row r="2254" spans="1:3" x14ac:dyDescent="0.25">
      <c r="A2254" t="str">
        <f>"01/10/2018"</f>
        <v>01/10/2018</v>
      </c>
      <c r="B2254" t="str">
        <f>"1.1605"</f>
        <v>1.1605</v>
      </c>
      <c r="C2254" t="str">
        <f>"1.1635"</f>
        <v>1.1635</v>
      </c>
    </row>
    <row r="2255" spans="1:3" x14ac:dyDescent="0.25">
      <c r="A2255" t="str">
        <f>"03/10/2018"</f>
        <v>03/10/2018</v>
      </c>
      <c r="B2255" t="str">
        <f>"1.1547"</f>
        <v>1.1547</v>
      </c>
      <c r="C2255" t="str">
        <f>"1.1574"</f>
        <v>1.1574</v>
      </c>
    </row>
    <row r="2256" spans="1:3" x14ac:dyDescent="0.25">
      <c r="A2256" t="str">
        <f>"04/10/2018"</f>
        <v>04/10/2018</v>
      </c>
      <c r="B2256" t="str">
        <f>"1.1502"</f>
        <v>1.1502</v>
      </c>
      <c r="C2256" t="str">
        <f>"1.1529"</f>
        <v>1.1529</v>
      </c>
    </row>
    <row r="2257" spans="1:3" x14ac:dyDescent="0.25">
      <c r="A2257" t="str">
        <f>"05/10/2018"</f>
        <v>05/10/2018</v>
      </c>
      <c r="B2257" t="str">
        <f>"1.1508"</f>
        <v>1.1508</v>
      </c>
      <c r="C2257" t="str">
        <f>"1.1535"</f>
        <v>1.1535</v>
      </c>
    </row>
    <row r="2258" spans="1:3" x14ac:dyDescent="0.25">
      <c r="A2258" t="str">
        <f>"08/10/2018"</f>
        <v>08/10/2018</v>
      </c>
      <c r="B2258" t="str">
        <f>"1.148"</f>
        <v>1.148</v>
      </c>
      <c r="C2258" t="str">
        <f>"1.151"</f>
        <v>1.151</v>
      </c>
    </row>
    <row r="2259" spans="1:3" x14ac:dyDescent="0.25">
      <c r="A2259" t="str">
        <f>"09/10/2018"</f>
        <v>09/10/2018</v>
      </c>
      <c r="B2259" t="str">
        <f>"1.1439"</f>
        <v>1.1439</v>
      </c>
      <c r="C2259" t="str">
        <f>"1.1468"</f>
        <v>1.1468</v>
      </c>
    </row>
    <row r="2260" spans="1:3" x14ac:dyDescent="0.25">
      <c r="A2260" t="str">
        <f>"10/10/2018"</f>
        <v>10/10/2018</v>
      </c>
      <c r="B2260" t="str">
        <f>"1.1503"</f>
        <v>1.1503</v>
      </c>
      <c r="C2260" t="str">
        <f>"1.1532"</f>
        <v>1.1532</v>
      </c>
    </row>
    <row r="2261" spans="1:3" x14ac:dyDescent="0.25">
      <c r="A2261" t="str">
        <f>"11/10/2018"</f>
        <v>11/10/2018</v>
      </c>
      <c r="B2261" t="str">
        <f>"1.1576"</f>
        <v>1.1576</v>
      </c>
      <c r="C2261" t="str">
        <f>"1.1604"</f>
        <v>1.1604</v>
      </c>
    </row>
    <row r="2262" spans="1:3" x14ac:dyDescent="0.25">
      <c r="A2262" t="str">
        <f>"12/10/2018"</f>
        <v>12/10/2018</v>
      </c>
      <c r="B2262" t="str">
        <f>"1.1579"</f>
        <v>1.1579</v>
      </c>
      <c r="C2262" t="str">
        <f>"1.1607"</f>
        <v>1.1607</v>
      </c>
    </row>
    <row r="2263" spans="1:3" x14ac:dyDescent="0.25">
      <c r="A2263" t="str">
        <f>"15/10/2018"</f>
        <v>15/10/2018</v>
      </c>
      <c r="B2263" t="str">
        <f>"1.1593"</f>
        <v>1.1593</v>
      </c>
      <c r="C2263" t="str">
        <f>"1.1623"</f>
        <v>1.1623</v>
      </c>
    </row>
    <row r="2264" spans="1:3" x14ac:dyDescent="0.25">
      <c r="A2264" t="str">
        <f>"16/10/2018"</f>
        <v>16/10/2018</v>
      </c>
      <c r="B2264" t="str">
        <f>"1.1584"</f>
        <v>1.1584</v>
      </c>
      <c r="C2264" t="str">
        <f>"1.1613"</f>
        <v>1.1613</v>
      </c>
    </row>
    <row r="2265" spans="1:3" x14ac:dyDescent="0.25">
      <c r="A2265" t="str">
        <f>"17/10/2018"</f>
        <v>17/10/2018</v>
      </c>
      <c r="B2265" t="str">
        <f>"1.1539"</f>
        <v>1.1539</v>
      </c>
      <c r="C2265" t="str">
        <f>"1.1567"</f>
        <v>1.1567</v>
      </c>
    </row>
    <row r="2266" spans="1:3" x14ac:dyDescent="0.25">
      <c r="A2266" t="str">
        <f>"19/10/2018"</f>
        <v>19/10/2018</v>
      </c>
      <c r="B2266" t="str">
        <f>"1.1472"</f>
        <v>1.1472</v>
      </c>
      <c r="C2266" t="str">
        <f>"1.15"</f>
        <v>1.15</v>
      </c>
    </row>
    <row r="2267" spans="1:3" x14ac:dyDescent="0.25">
      <c r="A2267" t="str">
        <f>"22/10/2018"</f>
        <v>22/10/2018</v>
      </c>
      <c r="B2267" t="str">
        <f>"1.1496"</f>
        <v>1.1496</v>
      </c>
      <c r="C2267" t="str">
        <f>"1.1525"</f>
        <v>1.1525</v>
      </c>
    </row>
    <row r="2268" spans="1:3" x14ac:dyDescent="0.25">
      <c r="A2268" t="str">
        <f>"23/10/2018"</f>
        <v>23/10/2018</v>
      </c>
      <c r="B2268" t="str">
        <f>"1.1465"</f>
        <v>1.1465</v>
      </c>
      <c r="C2268" t="str">
        <f>"1.1493"</f>
        <v>1.1493</v>
      </c>
    </row>
    <row r="2269" spans="1:3" x14ac:dyDescent="0.25">
      <c r="A2269" t="str">
        <f>"24/10/2018"</f>
        <v>24/10/2018</v>
      </c>
      <c r="B2269" t="str">
        <f>"1.1404"</f>
        <v>1.1404</v>
      </c>
      <c r="C2269" t="str">
        <f>"1.1431"</f>
        <v>1.1431</v>
      </c>
    </row>
    <row r="2270" spans="1:3" x14ac:dyDescent="0.25">
      <c r="A2270" t="str">
        <f>"25/10/2018"</f>
        <v>25/10/2018</v>
      </c>
      <c r="B2270" t="str">
        <f>"1.141"</f>
        <v>1.141</v>
      </c>
      <c r="C2270" t="str">
        <f>"1.1437"</f>
        <v>1.1437</v>
      </c>
    </row>
    <row r="2271" spans="1:3" x14ac:dyDescent="0.25">
      <c r="A2271" t="str">
        <f>"26/10/2018"</f>
        <v>26/10/2018</v>
      </c>
      <c r="B2271" t="str">
        <f>"1.1347"</f>
        <v>1.1347</v>
      </c>
      <c r="C2271" t="str">
        <f>"1.1374"</f>
        <v>1.1374</v>
      </c>
    </row>
    <row r="2272" spans="1:3" x14ac:dyDescent="0.25">
      <c r="A2272" t="str">
        <f>"29/10/2018"</f>
        <v>29/10/2018</v>
      </c>
      <c r="B2272" t="str">
        <f>"1.1389"</f>
        <v>1.1389</v>
      </c>
      <c r="C2272" t="str">
        <f>"1.1416"</f>
        <v>1.1416</v>
      </c>
    </row>
    <row r="2273" spans="1:3" x14ac:dyDescent="0.25">
      <c r="A2273" t="str">
        <f>"30/10/2018"</f>
        <v>30/10/2018</v>
      </c>
      <c r="B2273" t="str">
        <f>"1.138"</f>
        <v>1.138</v>
      </c>
      <c r="C2273" t="str">
        <f>"1.1408"</f>
        <v>1.1408</v>
      </c>
    </row>
    <row r="2274" spans="1:3" x14ac:dyDescent="0.25">
      <c r="A2274" t="str">
        <f>"31/10/2018"</f>
        <v>31/10/2018</v>
      </c>
      <c r="B2274" t="str">
        <f>"1.1353"</f>
        <v>1.1353</v>
      </c>
      <c r="C2274" t="str">
        <f>"1.138"</f>
        <v>1.138</v>
      </c>
    </row>
    <row r="2275" spans="1:3" x14ac:dyDescent="0.25">
      <c r="A2275" t="str">
        <f>"01/11/2018"</f>
        <v>01/11/2018</v>
      </c>
      <c r="B2275" t="str">
        <f>"1.1388"</f>
        <v>1.1388</v>
      </c>
      <c r="C2275" t="str">
        <f>"1.1414"</f>
        <v>1.1414</v>
      </c>
    </row>
    <row r="2276" spans="1:3" x14ac:dyDescent="0.25">
      <c r="A2276" t="str">
        <f>"02/11/2018"</f>
        <v>02/11/2018</v>
      </c>
      <c r="B2276" t="str">
        <f>"1.1447"</f>
        <v>1.1447</v>
      </c>
      <c r="C2276" t="str">
        <f>"1.1473"</f>
        <v>1.1473</v>
      </c>
    </row>
    <row r="2277" spans="1:3" x14ac:dyDescent="0.25">
      <c r="A2277" t="str">
        <f>"05/11/2018"</f>
        <v>05/11/2018</v>
      </c>
      <c r="B2277" t="str">
        <f>"1.1373"</f>
        <v>1.1373</v>
      </c>
      <c r="C2277" t="str">
        <f>"1.1399"</f>
        <v>1.1399</v>
      </c>
    </row>
    <row r="2278" spans="1:3" x14ac:dyDescent="0.25">
      <c r="A2278" t="str">
        <f>"06/11/2018"</f>
        <v>06/11/2018</v>
      </c>
      <c r="B2278" t="str">
        <f>"1.1397"</f>
        <v>1.1397</v>
      </c>
      <c r="C2278" t="str">
        <f>"1.1425"</f>
        <v>1.1425</v>
      </c>
    </row>
    <row r="2279" spans="1:3" x14ac:dyDescent="0.25">
      <c r="A2279" t="str">
        <f>"09/11/2018"</f>
        <v>09/11/2018</v>
      </c>
      <c r="B2279" t="str">
        <f>"1.1342"</f>
        <v>1.1342</v>
      </c>
      <c r="C2279" t="str">
        <f>"1.1368"</f>
        <v>1.1368</v>
      </c>
    </row>
    <row r="2280" spans="1:3" x14ac:dyDescent="0.25">
      <c r="A2280" t="str">
        <f>"12/11/2018"</f>
        <v>12/11/2018</v>
      </c>
      <c r="B2280" t="str">
        <f>"1.1257"</f>
        <v>1.1257</v>
      </c>
      <c r="C2280" t="str">
        <f>"1.1283"</f>
        <v>1.1283</v>
      </c>
    </row>
    <row r="2281" spans="1:3" x14ac:dyDescent="0.25">
      <c r="A2281" t="str">
        <f>"13/11/2018"</f>
        <v>13/11/2018</v>
      </c>
      <c r="B2281" t="str">
        <f>"1.1248"</f>
        <v>1.1248</v>
      </c>
      <c r="C2281" t="str">
        <f>"1.1276"</f>
        <v>1.1276</v>
      </c>
    </row>
    <row r="2282" spans="1:3" x14ac:dyDescent="0.25">
      <c r="A2282" t="str">
        <f>"14/11/2018"</f>
        <v>14/11/2018</v>
      </c>
      <c r="B2282" t="str">
        <f>"1.1265"</f>
        <v>1.1265</v>
      </c>
      <c r="C2282" t="str">
        <f>"1.1292"</f>
        <v>1.1292</v>
      </c>
    </row>
    <row r="2283" spans="1:3" x14ac:dyDescent="0.25">
      <c r="A2283" t="str">
        <f>"15/11/2018"</f>
        <v>15/11/2018</v>
      </c>
      <c r="B2283" t="str">
        <f>"1.1309"</f>
        <v>1.1309</v>
      </c>
      <c r="C2283" t="str">
        <f>"1.1335"</f>
        <v>1.1335</v>
      </c>
    </row>
    <row r="2284" spans="1:3" x14ac:dyDescent="0.25">
      <c r="A2284" t="str">
        <f>"16/11/2018"</f>
        <v>16/11/2018</v>
      </c>
      <c r="B2284" t="str">
        <f>"1.1328"</f>
        <v>1.1328</v>
      </c>
      <c r="C2284" t="str">
        <f>"1.1354"</f>
        <v>1.1354</v>
      </c>
    </row>
    <row r="2285" spans="1:3" x14ac:dyDescent="0.25">
      <c r="A2285" t="str">
        <f>"19/11/2018"</f>
        <v>19/11/2018</v>
      </c>
      <c r="B2285" t="str">
        <f>"1.1421"</f>
        <v>1.1421</v>
      </c>
      <c r="C2285" t="str">
        <f>"1.1447"</f>
        <v>1.1447</v>
      </c>
    </row>
    <row r="2286" spans="1:3" x14ac:dyDescent="0.25">
      <c r="A2286" t="str">
        <f>"20/11/2018"</f>
        <v>20/11/2018</v>
      </c>
      <c r="B2286" t="str">
        <f>"1.1434"</f>
        <v>1.1434</v>
      </c>
      <c r="C2286" t="str">
        <f>"1.1461"</f>
        <v>1.1461</v>
      </c>
    </row>
    <row r="2287" spans="1:3" x14ac:dyDescent="0.25">
      <c r="A2287" t="str">
        <f>"22/11/2018"</f>
        <v>22/11/2018</v>
      </c>
      <c r="B2287" t="str">
        <f>"1.141"</f>
        <v>1.141</v>
      </c>
      <c r="C2287" t="str">
        <f>"1.1437"</f>
        <v>1.1437</v>
      </c>
    </row>
    <row r="2288" spans="1:3" x14ac:dyDescent="0.25">
      <c r="A2288" t="str">
        <f>"26/11/2018"</f>
        <v>26/11/2018</v>
      </c>
      <c r="B2288" t="str">
        <f>"1.1367"</f>
        <v>1.1367</v>
      </c>
      <c r="C2288" t="str">
        <f>"1.1393"</f>
        <v>1.1393</v>
      </c>
    </row>
    <row r="2289" spans="1:3" x14ac:dyDescent="0.25">
      <c r="A2289" t="str">
        <f>"27/11/2018"</f>
        <v>27/11/2018</v>
      </c>
      <c r="B2289" t="str">
        <f>"1.1322"</f>
        <v>1.1322</v>
      </c>
      <c r="C2289" t="str">
        <f>"1.135"</f>
        <v>1.135</v>
      </c>
    </row>
    <row r="2290" spans="1:3" x14ac:dyDescent="0.25">
      <c r="A2290" t="str">
        <f>"28/11/2018"</f>
        <v>28/11/2018</v>
      </c>
      <c r="B2290" t="str">
        <f>"1.1284"</f>
        <v>1.1284</v>
      </c>
      <c r="C2290" t="str">
        <f>"1.1312"</f>
        <v>1.1312</v>
      </c>
    </row>
    <row r="2291" spans="1:3" x14ac:dyDescent="0.25">
      <c r="A2291" t="str">
        <f>"29/11/2018"</f>
        <v>29/11/2018</v>
      </c>
      <c r="B2291" t="str">
        <f>"1.1354"</f>
        <v>1.1354</v>
      </c>
      <c r="C2291" t="str">
        <f>"1.1389"</f>
        <v>1.1389</v>
      </c>
    </row>
    <row r="2292" spans="1:3" x14ac:dyDescent="0.25">
      <c r="A2292" t="str">
        <f>"30/11/2018"</f>
        <v>30/11/2018</v>
      </c>
      <c r="B2292" t="str">
        <f>"1.1374"</f>
        <v>1.1374</v>
      </c>
      <c r="C2292" t="str">
        <f>"1.1409"</f>
        <v>1.1409</v>
      </c>
    </row>
    <row r="2293" spans="1:3" x14ac:dyDescent="0.25">
      <c r="A2293" t="str">
        <f>"03/12/2018"</f>
        <v>03/12/2018</v>
      </c>
      <c r="B2293" t="str">
        <f>"1.1325"</f>
        <v>1.1325</v>
      </c>
      <c r="C2293" t="str">
        <f>"1.1364"</f>
        <v>1.1364</v>
      </c>
    </row>
    <row r="2294" spans="1:3" x14ac:dyDescent="0.25">
      <c r="A2294" t="str">
        <f>"04/12/2018"</f>
        <v>04/12/2018</v>
      </c>
      <c r="B2294" t="str">
        <f>"1.1398"</f>
        <v>1.1398</v>
      </c>
      <c r="C2294" t="str">
        <f>"1.1436"</f>
        <v>1.1436</v>
      </c>
    </row>
    <row r="2295" spans="1:3" x14ac:dyDescent="0.25">
      <c r="A2295" t="str">
        <f>"05/12/2018"</f>
        <v>05/12/2018</v>
      </c>
      <c r="B2295" t="str">
        <f>"1.1352"</f>
        <v>1.1352</v>
      </c>
      <c r="C2295" t="str">
        <f>"1.1388"</f>
        <v>1.1388</v>
      </c>
    </row>
    <row r="2296" spans="1:3" x14ac:dyDescent="0.25">
      <c r="A2296" t="str">
        <f>"06/12/2018"</f>
        <v>06/12/2018</v>
      </c>
      <c r="B2296" t="str">
        <f>"1.1337"</f>
        <v>1.1337</v>
      </c>
      <c r="C2296" t="str">
        <f>"1.1373"</f>
        <v>1.1373</v>
      </c>
    </row>
    <row r="2297" spans="1:3" x14ac:dyDescent="0.25">
      <c r="A2297" t="str">
        <f>"07/12/2018"</f>
        <v>07/12/2018</v>
      </c>
      <c r="B2297" t="str">
        <f>"1.1379"</f>
        <v>1.1379</v>
      </c>
      <c r="C2297" t="str">
        <f>"1.1415"</f>
        <v>1.1415</v>
      </c>
    </row>
    <row r="2298" spans="1:3" x14ac:dyDescent="0.25">
      <c r="A2298" t="str">
        <f>"10/12/2018"</f>
        <v>10/12/2018</v>
      </c>
      <c r="B2298" t="str">
        <f>"1.142"</f>
        <v>1.142</v>
      </c>
      <c r="C2298" t="str">
        <f>"1.1459"</f>
        <v>1.1459</v>
      </c>
    </row>
    <row r="2299" spans="1:3" x14ac:dyDescent="0.25">
      <c r="A2299" t="str">
        <f>"11/12/2018"</f>
        <v>11/12/2018</v>
      </c>
      <c r="B2299" t="str">
        <f>"1.1389"</f>
        <v>1.1389</v>
      </c>
      <c r="C2299" t="str">
        <f>"1.1427"</f>
        <v>1.1427</v>
      </c>
    </row>
    <row r="2300" spans="1:3" x14ac:dyDescent="0.25">
      <c r="A2300" t="str">
        <f>"12/12/2018"</f>
        <v>12/12/2018</v>
      </c>
      <c r="B2300" t="str">
        <f>"1.1324"</f>
        <v>1.1324</v>
      </c>
      <c r="C2300" t="str">
        <f>"1.136"</f>
        <v>1.136</v>
      </c>
    </row>
    <row r="2301" spans="1:3" x14ac:dyDescent="0.25">
      <c r="A2301" t="str">
        <f>"13/12/2018"</f>
        <v>13/12/2018</v>
      </c>
      <c r="B2301" t="str">
        <f>"1.1376"</f>
        <v>1.1376</v>
      </c>
      <c r="C2301" t="str">
        <f>"1.141"</f>
        <v>1.141</v>
      </c>
    </row>
    <row r="2302" spans="1:3" x14ac:dyDescent="0.25">
      <c r="A2302" t="str">
        <f>"14/12/2018"</f>
        <v>14/12/2018</v>
      </c>
      <c r="B2302" t="str">
        <f>"1.1297"</f>
        <v>1.1297</v>
      </c>
      <c r="C2302" t="str">
        <f>"1.1331"</f>
        <v>1.1331</v>
      </c>
    </row>
    <row r="2303" spans="1:3" x14ac:dyDescent="0.25">
      <c r="A2303" t="str">
        <f>"17/12/2018"</f>
        <v>17/12/2018</v>
      </c>
      <c r="B2303" t="str">
        <f>"1.134"</f>
        <v>1.134</v>
      </c>
      <c r="C2303" t="str">
        <f>"1.1377"</f>
        <v>1.1377</v>
      </c>
    </row>
    <row r="2304" spans="1:3" x14ac:dyDescent="0.25">
      <c r="A2304" t="str">
        <f>"18/12/2018"</f>
        <v>18/12/2018</v>
      </c>
      <c r="B2304" t="str">
        <f>"1.1396"</f>
        <v>1.1396</v>
      </c>
      <c r="C2304" t="str">
        <f>"1.1432"</f>
        <v>1.1432</v>
      </c>
    </row>
    <row r="2305" spans="1:3" x14ac:dyDescent="0.25">
      <c r="A2305" t="str">
        <f>"19/12/2018"</f>
        <v>19/12/2018</v>
      </c>
      <c r="B2305" t="str">
        <f>"1.1399"</f>
        <v>1.1399</v>
      </c>
      <c r="C2305" t="str">
        <f>"1.1435"</f>
        <v>1.1435</v>
      </c>
    </row>
    <row r="2306" spans="1:3" x14ac:dyDescent="0.25">
      <c r="A2306" t="str">
        <f>"20/12/2018"</f>
        <v>20/12/2018</v>
      </c>
      <c r="B2306" t="str">
        <f>"1.1464"</f>
        <v>1.1464</v>
      </c>
      <c r="C2306" t="str">
        <f>"1.1499"</f>
        <v>1.1499</v>
      </c>
    </row>
    <row r="2307" spans="1:3" x14ac:dyDescent="0.25">
      <c r="A2307" t="str">
        <f>"21/12/2018"</f>
        <v>21/12/2018</v>
      </c>
      <c r="B2307" t="str">
        <f>"1.1422"</f>
        <v>1.1422</v>
      </c>
      <c r="C2307" t="str">
        <f>"1.1456"</f>
        <v>1.1456</v>
      </c>
    </row>
    <row r="2308" spans="1:3" x14ac:dyDescent="0.25">
      <c r="A2308" t="str">
        <f>"24/12/2018"</f>
        <v>24/12/2018</v>
      </c>
      <c r="B2308" t="str">
        <f>"1.1403"</f>
        <v>1.1403</v>
      </c>
      <c r="C2308" t="str">
        <f>"1.1436"</f>
        <v>1.1436</v>
      </c>
    </row>
    <row r="2309" spans="1:3" x14ac:dyDescent="0.25">
      <c r="A2309" t="str">
        <f>"26/12/2018"</f>
        <v>26/12/2018</v>
      </c>
      <c r="B2309" t="str">
        <f>"1.1383"</f>
        <v>1.1383</v>
      </c>
      <c r="C2309" t="str">
        <f>"1.1415"</f>
        <v>1.1415</v>
      </c>
    </row>
    <row r="2310" spans="1:3" x14ac:dyDescent="0.25">
      <c r="A2310" t="str">
        <f>"27/12/2018"</f>
        <v>27/12/2018</v>
      </c>
      <c r="B2310" t="str">
        <f>"1.1408"</f>
        <v>1.1408</v>
      </c>
      <c r="C2310" t="str">
        <f>"1.1439"</f>
        <v>1.1439</v>
      </c>
    </row>
    <row r="2311" spans="1:3" x14ac:dyDescent="0.25">
      <c r="A2311" t="str">
        <f>"28/12/2018"</f>
        <v>28/12/2018</v>
      </c>
      <c r="B2311" t="str">
        <f>"1.1452"</f>
        <v>1.1452</v>
      </c>
      <c r="C2311" t="str">
        <f>"1.1484"</f>
        <v>1.1484</v>
      </c>
    </row>
    <row r="2312" spans="1:3" x14ac:dyDescent="0.25">
      <c r="A2312" t="str">
        <f>"31/12/2018"</f>
        <v>31/12/2018</v>
      </c>
      <c r="B2312" t="str">
        <f>"1.1463"</f>
        <v>1.1463</v>
      </c>
      <c r="C2312" t="str">
        <f>"1.1493"</f>
        <v>1.1493</v>
      </c>
    </row>
    <row r="2313" spans="1:3" x14ac:dyDescent="0.25">
      <c r="A2313" t="str">
        <f>"01/01/2019"</f>
        <v>01/01/2019</v>
      </c>
      <c r="B2313" t="str">
        <f>"1.1425"</f>
        <v>1.1425</v>
      </c>
      <c r="C2313" t="str">
        <f>"1.1455"</f>
        <v>1.1455</v>
      </c>
    </row>
    <row r="2314" spans="1:3" x14ac:dyDescent="0.25">
      <c r="A2314" t="str">
        <f>"02/01/2019"</f>
        <v>02/01/2019</v>
      </c>
      <c r="B2314" t="str">
        <f>"1.1434"</f>
        <v>1.1434</v>
      </c>
      <c r="C2314" t="str">
        <f>"1.1463"</f>
        <v>1.1463</v>
      </c>
    </row>
    <row r="2315" spans="1:3" x14ac:dyDescent="0.25">
      <c r="A2315" t="str">
        <f>"03/01/2019"</f>
        <v>03/01/2019</v>
      </c>
      <c r="B2315" t="str">
        <f>"1.1358"</f>
        <v>1.1358</v>
      </c>
      <c r="C2315" t="str">
        <f>"1.1387"</f>
        <v>1.1387</v>
      </c>
    </row>
    <row r="2316" spans="1:3" x14ac:dyDescent="0.25">
      <c r="A2316" t="str">
        <f>"04/01/2019"</f>
        <v>04/01/2019</v>
      </c>
      <c r="B2316" t="str">
        <f>"1.1413"</f>
        <v>1.1413</v>
      </c>
      <c r="C2316" t="str">
        <f>"1.1442"</f>
        <v>1.1442</v>
      </c>
    </row>
    <row r="2317" spans="1:3" x14ac:dyDescent="0.25">
      <c r="A2317" t="str">
        <f>"07/01/2019"</f>
        <v>07/01/2019</v>
      </c>
      <c r="B2317" t="str">
        <f>"1.1437"</f>
        <v>1.1437</v>
      </c>
      <c r="C2317" t="str">
        <f>"1.1469"</f>
        <v>1.1469</v>
      </c>
    </row>
    <row r="2318" spans="1:3" x14ac:dyDescent="0.25">
      <c r="A2318" t="str">
        <f>"08/01/2019"</f>
        <v>08/01/2019</v>
      </c>
      <c r="B2318" t="str">
        <f>"1.1449"</f>
        <v>1.1449</v>
      </c>
      <c r="C2318" t="str">
        <f>"1.1479"</f>
        <v>1.1479</v>
      </c>
    </row>
    <row r="2319" spans="1:3" x14ac:dyDescent="0.25">
      <c r="A2319" t="str">
        <f>"09/01/2019"</f>
        <v>09/01/2019</v>
      </c>
      <c r="B2319" t="str">
        <f>"1.1451"</f>
        <v>1.1451</v>
      </c>
      <c r="C2319" t="str">
        <f>"1.148"</f>
        <v>1.148</v>
      </c>
    </row>
    <row r="2320" spans="1:3" x14ac:dyDescent="0.25">
      <c r="A2320" t="str">
        <f>"10/01/2019"</f>
        <v>10/01/2019</v>
      </c>
      <c r="B2320" t="str">
        <f>"1.1533"</f>
        <v>1.1533</v>
      </c>
      <c r="C2320" t="str">
        <f>"1.1563"</f>
        <v>1.1563</v>
      </c>
    </row>
    <row r="2321" spans="1:3" x14ac:dyDescent="0.25">
      <c r="A2321" t="str">
        <f>"11/01/2019"</f>
        <v>11/01/2019</v>
      </c>
      <c r="B2321" t="str">
        <f>"1.1523"</f>
        <v>1.1523</v>
      </c>
      <c r="C2321" t="str">
        <f>"1.1553"</f>
        <v>1.1553</v>
      </c>
    </row>
    <row r="2322" spans="1:3" x14ac:dyDescent="0.25">
      <c r="A2322" t="str">
        <f>"14/01/2019"</f>
        <v>14/01/2019</v>
      </c>
      <c r="B2322" t="str">
        <f>"1.1469"</f>
        <v>1.1469</v>
      </c>
      <c r="C2322" t="str">
        <f>"1.1502"</f>
        <v>1.1502</v>
      </c>
    </row>
    <row r="2323" spans="1:3" x14ac:dyDescent="0.25">
      <c r="A2323" t="str">
        <f>"15/01/2019"</f>
        <v>15/01/2019</v>
      </c>
      <c r="B2323" t="str">
        <f>"1.1431"</f>
        <v>1.1431</v>
      </c>
      <c r="C2323" t="str">
        <f>"1.1463"</f>
        <v>1.1463</v>
      </c>
    </row>
    <row r="2324" spans="1:3" x14ac:dyDescent="0.25">
      <c r="A2324" t="str">
        <f>"16/01/2019"</f>
        <v>16/01/2019</v>
      </c>
      <c r="B2324" t="str">
        <f>"1.139"</f>
        <v>1.139</v>
      </c>
      <c r="C2324" t="str">
        <f>"1.1421"</f>
        <v>1.1421</v>
      </c>
    </row>
    <row r="2325" spans="1:3" x14ac:dyDescent="0.25">
      <c r="A2325" t="str">
        <f>"17/01/2019"</f>
        <v>17/01/2019</v>
      </c>
      <c r="B2325" t="str">
        <f>"1.14"</f>
        <v>1.14</v>
      </c>
      <c r="C2325" t="str">
        <f>"1.143"</f>
        <v>1.143</v>
      </c>
    </row>
    <row r="2326" spans="1:3" x14ac:dyDescent="0.25">
      <c r="A2326" t="str">
        <f>"18/01/2019"</f>
        <v>18/01/2019</v>
      </c>
      <c r="B2326" t="str">
        <f>"1.1406"</f>
        <v>1.1406</v>
      </c>
      <c r="C2326" t="str">
        <f>"1.1436"</f>
        <v>1.1436</v>
      </c>
    </row>
    <row r="2327" spans="1:3" x14ac:dyDescent="0.25">
      <c r="A2327" t="str">
        <f>"21/01/2019"</f>
        <v>21/01/2019</v>
      </c>
      <c r="B2327" t="str">
        <f>"1.137"</f>
        <v>1.137</v>
      </c>
      <c r="C2327" t="str">
        <f>"1.1401"</f>
        <v>1.1401</v>
      </c>
    </row>
    <row r="2328" spans="1:3" x14ac:dyDescent="0.25">
      <c r="A2328" t="str">
        <f>"22/01/2019"</f>
        <v>22/01/2019</v>
      </c>
      <c r="B2328" t="str">
        <f>"1.1361"</f>
        <v>1.1361</v>
      </c>
      <c r="C2328" t="str">
        <f>"1.1392"</f>
        <v>1.1392</v>
      </c>
    </row>
    <row r="2329" spans="1:3" x14ac:dyDescent="0.25">
      <c r="A2329" t="str">
        <f>"23/01/2019"</f>
        <v>23/01/2019</v>
      </c>
      <c r="B2329" t="str">
        <f>"1.1361"</f>
        <v>1.1361</v>
      </c>
      <c r="C2329" t="str">
        <f>"1.1391"</f>
        <v>1.1391</v>
      </c>
    </row>
    <row r="2330" spans="1:3" x14ac:dyDescent="0.25">
      <c r="A2330" t="str">
        <f>"24/01/2019"</f>
        <v>24/01/2019</v>
      </c>
      <c r="B2330" t="str">
        <f>"1.1342"</f>
        <v>1.1342</v>
      </c>
      <c r="C2330" t="str">
        <f>"1.1372"</f>
        <v>1.1372</v>
      </c>
    </row>
    <row r="2331" spans="1:3" x14ac:dyDescent="0.25">
      <c r="A2331" t="str">
        <f>"25/01/2019"</f>
        <v>25/01/2019</v>
      </c>
      <c r="B2331" t="str">
        <f>"1.1344"</f>
        <v>1.1344</v>
      </c>
      <c r="C2331" t="str">
        <f>"1.1372"</f>
        <v>1.1372</v>
      </c>
    </row>
    <row r="2332" spans="1:3" x14ac:dyDescent="0.25">
      <c r="A2332" t="str">
        <f>"28/01/2019"</f>
        <v>28/01/2019</v>
      </c>
      <c r="B2332" t="str">
        <f>"1.1417"</f>
        <v>1.1417</v>
      </c>
      <c r="C2332" t="str">
        <f>"1.1445"</f>
        <v>1.1445</v>
      </c>
    </row>
    <row r="2333" spans="1:3" x14ac:dyDescent="0.25">
      <c r="A2333" t="str">
        <f>"29/01/2019"</f>
        <v>29/01/2019</v>
      </c>
      <c r="B2333" t="str">
        <f>"1.1431"</f>
        <v>1.1431</v>
      </c>
      <c r="C2333" t="str">
        <f>"1.1458"</f>
        <v>1.1458</v>
      </c>
    </row>
    <row r="2334" spans="1:3" x14ac:dyDescent="0.25">
      <c r="A2334" t="str">
        <f>"30/01/2019"</f>
        <v>30/01/2019</v>
      </c>
      <c r="B2334" t="str">
        <f>"1.1429"</f>
        <v>1.1429</v>
      </c>
      <c r="C2334" t="str">
        <f>"1.1456"</f>
        <v>1.1456</v>
      </c>
    </row>
    <row r="2335" spans="1:3" x14ac:dyDescent="0.25">
      <c r="A2335" t="str">
        <f>"31/01/2019"</f>
        <v>31/01/2019</v>
      </c>
      <c r="B2335" t="str">
        <f>"1.1482"</f>
        <v>1.1482</v>
      </c>
      <c r="C2335" t="str">
        <f>"1.1509"</f>
        <v>1.1509</v>
      </c>
    </row>
    <row r="2336" spans="1:3" x14ac:dyDescent="0.25">
      <c r="A2336" t="str">
        <f>"01/02/2019"</f>
        <v>01/02/2019</v>
      </c>
      <c r="B2336" t="str">
        <f>"1.1472"</f>
        <v>1.1472</v>
      </c>
      <c r="C2336" t="str">
        <f>"1.1499"</f>
        <v>1.1499</v>
      </c>
    </row>
    <row r="2337" spans="1:3" x14ac:dyDescent="0.25">
      <c r="A2337" t="str">
        <f>"04/02/2019"</f>
        <v>04/02/2019</v>
      </c>
      <c r="B2337" t="str">
        <f>"1.1448"</f>
        <v>1.1448</v>
      </c>
      <c r="C2337" t="str">
        <f>"1.1475"</f>
        <v>1.1475</v>
      </c>
    </row>
    <row r="2338" spans="1:3" x14ac:dyDescent="0.25">
      <c r="A2338" t="str">
        <f>"05/02/2019"</f>
        <v>05/02/2019</v>
      </c>
      <c r="B2338" t="str">
        <f>"1.1415"</f>
        <v>1.1415</v>
      </c>
      <c r="C2338" t="str">
        <f>"1.1442"</f>
        <v>1.1442</v>
      </c>
    </row>
    <row r="2339" spans="1:3" x14ac:dyDescent="0.25">
      <c r="A2339" t="str">
        <f>"06/02/2019"</f>
        <v>06/02/2019</v>
      </c>
      <c r="B2339" t="str">
        <f>"1.1401"</f>
        <v>1.1401</v>
      </c>
      <c r="C2339" t="str">
        <f>"1.1428"</f>
        <v>1.1428</v>
      </c>
    </row>
    <row r="2340" spans="1:3" x14ac:dyDescent="0.25">
      <c r="A2340" t="str">
        <f>"07/02/2019"</f>
        <v>07/02/2019</v>
      </c>
      <c r="B2340" t="str">
        <f>"1.1333"</f>
        <v>1.1333</v>
      </c>
      <c r="C2340" t="str">
        <f>"1.1359"</f>
        <v>1.1359</v>
      </c>
    </row>
    <row r="2341" spans="1:3" x14ac:dyDescent="0.25">
      <c r="A2341" t="str">
        <f>"08/02/2019"</f>
        <v>08/02/2019</v>
      </c>
      <c r="B2341" t="str">
        <f>"1.134"</f>
        <v>1.134</v>
      </c>
      <c r="C2341" t="str">
        <f>"1.1366"</f>
        <v>1.1366</v>
      </c>
    </row>
    <row r="2342" spans="1:3" x14ac:dyDescent="0.25">
      <c r="A2342" t="str">
        <f>"11/02/2019"</f>
        <v>11/02/2019</v>
      </c>
      <c r="B2342" t="str">
        <f>"1.1316"</f>
        <v>1.1316</v>
      </c>
      <c r="C2342" t="str">
        <f>"1.1342"</f>
        <v>1.1342</v>
      </c>
    </row>
    <row r="2343" spans="1:3" x14ac:dyDescent="0.25">
      <c r="A2343" t="str">
        <f>"12/02/2019"</f>
        <v>12/02/2019</v>
      </c>
      <c r="B2343" t="str">
        <f>"1.1277"</f>
        <v>1.1277</v>
      </c>
      <c r="C2343" t="str">
        <f>"1.1303"</f>
        <v>1.1303</v>
      </c>
    </row>
    <row r="2344" spans="1:3" x14ac:dyDescent="0.25">
      <c r="A2344" t="str">
        <f>"13/02/2019"</f>
        <v>13/02/2019</v>
      </c>
      <c r="B2344" t="str">
        <f>"1.1316"</f>
        <v>1.1316</v>
      </c>
      <c r="C2344" t="str">
        <f>"1.1342"</f>
        <v>1.1342</v>
      </c>
    </row>
    <row r="2345" spans="1:3" x14ac:dyDescent="0.25">
      <c r="A2345" t="str">
        <f>"14/02/2019"</f>
        <v>14/02/2019</v>
      </c>
      <c r="B2345" t="str">
        <f>"1.127"</f>
        <v>1.127</v>
      </c>
      <c r="C2345" t="str">
        <f>"1.1296"</f>
        <v>1.1296</v>
      </c>
    </row>
    <row r="2346" spans="1:3" x14ac:dyDescent="0.25">
      <c r="A2346" t="str">
        <f>"15/02/2019"</f>
        <v>15/02/2019</v>
      </c>
      <c r="B2346" t="str">
        <f>"1.1275"</f>
        <v>1.1275</v>
      </c>
      <c r="C2346" t="str">
        <f>"1.1301"</f>
        <v>1.1301</v>
      </c>
    </row>
    <row r="2347" spans="1:3" x14ac:dyDescent="0.25">
      <c r="A2347" t="str">
        <f>"18/02/2019"</f>
        <v>18/02/2019</v>
      </c>
      <c r="B2347" t="str">
        <f>"1.1314"</f>
        <v>1.1314</v>
      </c>
      <c r="C2347" t="str">
        <f>"1.134"</f>
        <v>1.134</v>
      </c>
    </row>
    <row r="2348" spans="1:3" x14ac:dyDescent="0.25">
      <c r="A2348" t="str">
        <f>"20/02/2019"</f>
        <v>20/02/2019</v>
      </c>
      <c r="B2348" t="str">
        <f>"1.1332"</f>
        <v>1.1332</v>
      </c>
      <c r="C2348" t="str">
        <f>"1.1358"</f>
        <v>1.1358</v>
      </c>
    </row>
    <row r="2349" spans="1:3" x14ac:dyDescent="0.25">
      <c r="A2349" t="str">
        <f>"21/02/2019"</f>
        <v>21/02/2019</v>
      </c>
      <c r="B2349" t="str">
        <f>"1.1349"</f>
        <v>1.1349</v>
      </c>
      <c r="C2349" t="str">
        <f>"1.1375"</f>
        <v>1.1375</v>
      </c>
    </row>
    <row r="2350" spans="1:3" x14ac:dyDescent="0.25">
      <c r="A2350" t="str">
        <f>"22/02/2019"</f>
        <v>22/02/2019</v>
      </c>
      <c r="B2350" t="str">
        <f>"1.1339"</f>
        <v>1.1339</v>
      </c>
      <c r="C2350" t="str">
        <f>"1.1365"</f>
        <v>1.1365</v>
      </c>
    </row>
    <row r="2351" spans="1:3" x14ac:dyDescent="0.25">
      <c r="A2351" t="str">
        <f>"25/02/2019"</f>
        <v>25/02/2019</v>
      </c>
      <c r="B2351" t="str">
        <f>"1.1365"</f>
        <v>1.1365</v>
      </c>
      <c r="C2351" t="str">
        <f>"1.1391"</f>
        <v>1.1391</v>
      </c>
    </row>
    <row r="2352" spans="1:3" x14ac:dyDescent="0.25">
      <c r="A2352" t="str">
        <f>"26/02/2019"</f>
        <v>26/02/2019</v>
      </c>
      <c r="B2352" t="str">
        <f>"1.1363"</f>
        <v>1.1363</v>
      </c>
      <c r="C2352" t="str">
        <f>"1.139"</f>
        <v>1.139</v>
      </c>
    </row>
    <row r="2353" spans="1:3" x14ac:dyDescent="0.25">
      <c r="A2353" t="str">
        <f>"27/02/2019"</f>
        <v>27/02/2019</v>
      </c>
      <c r="B2353" t="str">
        <f>"1.1395"</f>
        <v>1.1395</v>
      </c>
      <c r="C2353" t="str">
        <f>"1.1425"</f>
        <v>1.1425</v>
      </c>
    </row>
    <row r="2354" spans="1:3" x14ac:dyDescent="0.25">
      <c r="A2354" t="str">
        <f>"28/02/2019"</f>
        <v>28/02/2019</v>
      </c>
      <c r="B2354" t="str">
        <f>"1.1416"</f>
        <v>1.1416</v>
      </c>
      <c r="C2354" t="str">
        <f>"1.1446"</f>
        <v>1.1446</v>
      </c>
    </row>
    <row r="2355" spans="1:3" x14ac:dyDescent="0.25">
      <c r="A2355" t="str">
        <f>"01/03/2019"</f>
        <v>01/03/2019</v>
      </c>
      <c r="B2355" t="str">
        <f>"1.1378"</f>
        <v>1.1378</v>
      </c>
      <c r="C2355" t="str">
        <f>"1.1408"</f>
        <v>1.1408</v>
      </c>
    </row>
    <row r="2356" spans="1:3" x14ac:dyDescent="0.25">
      <c r="A2356" t="str">
        <f>"05/03/2019"</f>
        <v>05/03/2019</v>
      </c>
      <c r="B2356" t="str">
        <f>"1.1331"</f>
        <v>1.1331</v>
      </c>
      <c r="C2356" t="str">
        <f>"1.1361"</f>
        <v>1.1361</v>
      </c>
    </row>
    <row r="2357" spans="1:3" x14ac:dyDescent="0.25">
      <c r="A2357" t="str">
        <f>"06/03/2019"</f>
        <v>06/03/2019</v>
      </c>
      <c r="B2357" t="str">
        <f>"1.1297"</f>
        <v>1.1297</v>
      </c>
      <c r="C2357" t="str">
        <f>"1.1326"</f>
        <v>1.1326</v>
      </c>
    </row>
    <row r="2358" spans="1:3" x14ac:dyDescent="0.25">
      <c r="A2358" t="str">
        <f>"07/03/2019"</f>
        <v>07/03/2019</v>
      </c>
      <c r="B2358" t="str">
        <f>"1.1308"</f>
        <v>1.1308</v>
      </c>
      <c r="C2358" t="str">
        <f>"1.1337"</f>
        <v>1.1337</v>
      </c>
    </row>
    <row r="2359" spans="1:3" x14ac:dyDescent="0.25">
      <c r="A2359" t="str">
        <f>"08/03/2019"</f>
        <v>08/03/2019</v>
      </c>
      <c r="B2359" t="str">
        <f>"1.122"</f>
        <v>1.122</v>
      </c>
      <c r="C2359" t="str">
        <f>"1.1249"</f>
        <v>1.1249</v>
      </c>
    </row>
    <row r="2360" spans="1:3" x14ac:dyDescent="0.25">
      <c r="A2360" t="str">
        <f>"11/03/2019"</f>
        <v>11/03/2019</v>
      </c>
      <c r="B2360" t="str">
        <f>"1.1238"</f>
        <v>1.1238</v>
      </c>
      <c r="C2360" t="str">
        <f>"1.1269"</f>
        <v>1.1269</v>
      </c>
    </row>
    <row r="2361" spans="1:3" x14ac:dyDescent="0.25">
      <c r="A2361" t="str">
        <f>"12/03/2019"</f>
        <v>12/03/2019</v>
      </c>
      <c r="B2361" t="str">
        <f>"1.1255"</f>
        <v>1.1255</v>
      </c>
      <c r="C2361" t="str">
        <f>"1.1285"</f>
        <v>1.1285</v>
      </c>
    </row>
    <row r="2362" spans="1:3" x14ac:dyDescent="0.25">
      <c r="A2362" t="str">
        <f>"13/03/2019"</f>
        <v>13/03/2019</v>
      </c>
      <c r="B2362" t="str">
        <f>"1.1285"</f>
        <v>1.1285</v>
      </c>
      <c r="C2362" t="str">
        <f>"1.1314"</f>
        <v>1.1314</v>
      </c>
    </row>
    <row r="2363" spans="1:3" x14ac:dyDescent="0.25">
      <c r="A2363" t="str">
        <f>"14/03/2019"</f>
        <v>14/03/2019</v>
      </c>
      <c r="B2363" t="str">
        <f>"1.13"</f>
        <v>1.13</v>
      </c>
      <c r="C2363" t="str">
        <f>"1.133"</f>
        <v>1.133</v>
      </c>
    </row>
    <row r="2364" spans="1:3" x14ac:dyDescent="0.25">
      <c r="A2364" t="str">
        <f>"18/03/2019"</f>
        <v>18/03/2019</v>
      </c>
      <c r="B2364" t="str">
        <f>"1.1357"</f>
        <v>1.1357</v>
      </c>
      <c r="C2364" t="str">
        <f>"1.139"</f>
        <v>1.139</v>
      </c>
    </row>
    <row r="2365" spans="1:3" x14ac:dyDescent="0.25">
      <c r="A2365" t="str">
        <f>"19/03/2019"</f>
        <v>19/03/2019</v>
      </c>
      <c r="B2365" t="str">
        <f>"1.1356"</f>
        <v>1.1356</v>
      </c>
      <c r="C2365" t="str">
        <f>"1.1388"</f>
        <v>1.1388</v>
      </c>
    </row>
    <row r="2366" spans="1:3" x14ac:dyDescent="0.25">
      <c r="A2366" t="str">
        <f>"20/03/2019"</f>
        <v>20/03/2019</v>
      </c>
      <c r="B2366" t="str">
        <f>"1.1351"</f>
        <v>1.1351</v>
      </c>
      <c r="C2366" t="str">
        <f>"1.1382"</f>
        <v>1.1382</v>
      </c>
    </row>
    <row r="2367" spans="1:3" x14ac:dyDescent="0.25">
      <c r="A2367" t="str">
        <f>"22/03/2019"</f>
        <v>22/03/2019</v>
      </c>
      <c r="B2367" t="str">
        <f>"1.1304"</f>
        <v>1.1304</v>
      </c>
      <c r="C2367" t="str">
        <f>"1.1334"</f>
        <v>1.1334</v>
      </c>
    </row>
    <row r="2368" spans="1:3" x14ac:dyDescent="0.25">
      <c r="A2368" t="str">
        <f>"25/03/2019"</f>
        <v>25/03/2019</v>
      </c>
      <c r="B2368" t="str">
        <f>"1.1307"</f>
        <v>1.1307</v>
      </c>
      <c r="C2368" t="str">
        <f>"1.1339"</f>
        <v>1.1339</v>
      </c>
    </row>
    <row r="2369" spans="1:3" x14ac:dyDescent="0.25">
      <c r="A2369" t="str">
        <f>"26/03/2019"</f>
        <v>26/03/2019</v>
      </c>
      <c r="B2369" t="str">
        <f>"1.1315"</f>
        <v>1.1315</v>
      </c>
      <c r="C2369" t="str">
        <f>"1.1347"</f>
        <v>1.1347</v>
      </c>
    </row>
    <row r="2370" spans="1:3" x14ac:dyDescent="0.25">
      <c r="A2370" t="str">
        <f>"27/03/2019"</f>
        <v>27/03/2019</v>
      </c>
      <c r="B2370" t="str">
        <f>"1.128"</f>
        <v>1.128</v>
      </c>
      <c r="C2370" t="str">
        <f>"1.1311"</f>
        <v>1.1311</v>
      </c>
    </row>
    <row r="2371" spans="1:3" x14ac:dyDescent="0.25">
      <c r="A2371" t="str">
        <f>"28/03/2019"</f>
        <v>28/03/2019</v>
      </c>
      <c r="B2371" t="str">
        <f>"1.1229"</f>
        <v>1.1229</v>
      </c>
      <c r="C2371" t="str">
        <f>"1.1258"</f>
        <v>1.1258</v>
      </c>
    </row>
    <row r="2372" spans="1:3" x14ac:dyDescent="0.25">
      <c r="A2372" t="str">
        <f>"29/03/2019"</f>
        <v>29/03/2019</v>
      </c>
      <c r="B2372" t="str">
        <f>"1.1232"</f>
        <v>1.1232</v>
      </c>
      <c r="C2372" t="str">
        <f>"1.1261"</f>
        <v>1.1261</v>
      </c>
    </row>
    <row r="2373" spans="1:3" x14ac:dyDescent="0.25">
      <c r="A2373" t="str">
        <f>"02/04/2019"</f>
        <v>02/04/2019</v>
      </c>
      <c r="B2373" t="str">
        <f>"1.1203"</f>
        <v>1.1203</v>
      </c>
      <c r="C2373" t="str">
        <f>"1.1233"</f>
        <v>1.1233</v>
      </c>
    </row>
    <row r="2374" spans="1:3" x14ac:dyDescent="0.25">
      <c r="A2374" t="str">
        <f>"03/04/2019"</f>
        <v>03/04/2019</v>
      </c>
      <c r="B2374" t="str">
        <f>"1.1247"</f>
        <v>1.1247</v>
      </c>
      <c r="C2374" t="str">
        <f>"1.1276"</f>
        <v>1.1276</v>
      </c>
    </row>
    <row r="2375" spans="1:3" x14ac:dyDescent="0.25">
      <c r="A2375" t="str">
        <f>"04/04/2019"</f>
        <v>04/04/2019</v>
      </c>
      <c r="B2375" t="str">
        <f>"1.1226"</f>
        <v>1.1226</v>
      </c>
      <c r="C2375" t="str">
        <f>"1.1254"</f>
        <v>1.1254</v>
      </c>
    </row>
    <row r="2376" spans="1:3" x14ac:dyDescent="0.25">
      <c r="A2376" t="str">
        <f>"05/04/2019"</f>
        <v>05/04/2019</v>
      </c>
      <c r="B2376" t="str">
        <f>"1.1228"</f>
        <v>1.1228</v>
      </c>
      <c r="C2376" t="str">
        <f>"1.1256"</f>
        <v>1.1256</v>
      </c>
    </row>
    <row r="2377" spans="1:3" x14ac:dyDescent="0.25">
      <c r="A2377" t="str">
        <f>"08/04/2019"</f>
        <v>08/04/2019</v>
      </c>
      <c r="B2377" t="str">
        <f>"1.1245"</f>
        <v>1.1245</v>
      </c>
      <c r="C2377" t="str">
        <f>"1.1274"</f>
        <v>1.1274</v>
      </c>
    </row>
    <row r="2378" spans="1:3" x14ac:dyDescent="0.25">
      <c r="A2378" t="str">
        <f>"09/04/2019"</f>
        <v>09/04/2019</v>
      </c>
      <c r="B2378" t="str">
        <f>"1.1274"</f>
        <v>1.1274</v>
      </c>
      <c r="C2378" t="str">
        <f>"1.1305"</f>
        <v>1.1305</v>
      </c>
    </row>
    <row r="2379" spans="1:3" x14ac:dyDescent="0.25">
      <c r="A2379" t="str">
        <f>"10/04/2019"</f>
        <v>10/04/2019</v>
      </c>
      <c r="B2379" t="str">
        <f>"1.1279"</f>
        <v>1.1279</v>
      </c>
      <c r="C2379" t="str">
        <f>"1.1309"</f>
        <v>1.1309</v>
      </c>
    </row>
    <row r="2380" spans="1:3" x14ac:dyDescent="0.25">
      <c r="A2380" t="str">
        <f>"11/04/2019"</f>
        <v>11/04/2019</v>
      </c>
      <c r="B2380" t="str">
        <f>"1.1273"</f>
        <v>1.1273</v>
      </c>
      <c r="C2380" t="str">
        <f>"1.1301"</f>
        <v>1.1301</v>
      </c>
    </row>
    <row r="2381" spans="1:3" x14ac:dyDescent="0.25">
      <c r="A2381" t="str">
        <f>"12/04/2019"</f>
        <v>12/04/2019</v>
      </c>
      <c r="B2381" t="str">
        <f>"1.1315"</f>
        <v>1.1315</v>
      </c>
      <c r="C2381" t="str">
        <f>"1.1344"</f>
        <v>1.1344</v>
      </c>
    </row>
    <row r="2382" spans="1:3" x14ac:dyDescent="0.25">
      <c r="A2382" t="str">
        <f>"15/04/2019"</f>
        <v>15/04/2019</v>
      </c>
      <c r="B2382" t="str">
        <f>"1.1315"</f>
        <v>1.1315</v>
      </c>
      <c r="C2382" t="str">
        <f>"1.1344"</f>
        <v>1.1344</v>
      </c>
    </row>
    <row r="2383" spans="1:3" x14ac:dyDescent="0.25">
      <c r="A2383" t="str">
        <f>"16/04/2019"</f>
        <v>16/04/2019</v>
      </c>
      <c r="B2383" t="str">
        <f>"1.1303"</f>
        <v>1.1303</v>
      </c>
      <c r="C2383" t="str">
        <f>"1.1334"</f>
        <v>1.1334</v>
      </c>
    </row>
    <row r="2384" spans="1:3" x14ac:dyDescent="0.25">
      <c r="A2384" t="str">
        <f>"18/04/2019"</f>
        <v>18/04/2019</v>
      </c>
      <c r="B2384" t="str">
        <f>"1.1253"</f>
        <v>1.1253</v>
      </c>
      <c r="C2384" t="str">
        <f>"1.1282"</f>
        <v>1.1282</v>
      </c>
    </row>
    <row r="2385" spans="1:3" x14ac:dyDescent="0.25">
      <c r="A2385" t="str">
        <f>"22/04/2019"</f>
        <v>22/04/2019</v>
      </c>
      <c r="B2385" t="str">
        <f>"1.1249"</f>
        <v>1.1249</v>
      </c>
      <c r="C2385" t="str">
        <f>"1.1278"</f>
        <v>1.1278</v>
      </c>
    </row>
    <row r="2386" spans="1:3" x14ac:dyDescent="0.25">
      <c r="A2386" t="str">
        <f>"23/04/2019"</f>
        <v>23/04/2019</v>
      </c>
      <c r="B2386" t="str">
        <f>"1.1249"</f>
        <v>1.1249</v>
      </c>
      <c r="C2386" t="str">
        <f>"1.1281"</f>
        <v>1.1281</v>
      </c>
    </row>
    <row r="2387" spans="1:3" x14ac:dyDescent="0.25">
      <c r="A2387" t="str">
        <f>"24/04/2019"</f>
        <v>24/04/2019</v>
      </c>
      <c r="B2387" t="str">
        <f>"1.1205"</f>
        <v>1.1205</v>
      </c>
      <c r="C2387" t="str">
        <f>"1.1236"</f>
        <v>1.1236</v>
      </c>
    </row>
    <row r="2388" spans="1:3" x14ac:dyDescent="0.25">
      <c r="A2388" t="str">
        <f>"25/04/2019"</f>
        <v>25/04/2019</v>
      </c>
      <c r="B2388" t="str">
        <f>"1.1128"</f>
        <v>1.1128</v>
      </c>
      <c r="C2388" t="str">
        <f>"1.1156"</f>
        <v>1.1156</v>
      </c>
    </row>
    <row r="2389" spans="1:3" x14ac:dyDescent="0.25">
      <c r="A2389" t="str">
        <f>"26/04/2019"</f>
        <v>26/04/2019</v>
      </c>
      <c r="B2389" t="str">
        <f>"1.114"</f>
        <v>1.114</v>
      </c>
      <c r="C2389" t="str">
        <f>"1.117"</f>
        <v>1.117</v>
      </c>
    </row>
    <row r="2390" spans="1:3" x14ac:dyDescent="0.25">
      <c r="A2390" t="str">
        <f>"30/04/2019"</f>
        <v>30/04/2019</v>
      </c>
      <c r="B2390" t="str">
        <f>"1.1214"</f>
        <v>1.1214</v>
      </c>
      <c r="C2390" t="str">
        <f>"1.1244"</f>
        <v>1.1244</v>
      </c>
    </row>
    <row r="2391" spans="1:3" x14ac:dyDescent="0.25">
      <c r="A2391" t="str">
        <f>"02/05/2019"</f>
        <v>02/05/2019</v>
      </c>
      <c r="B2391" t="str">
        <f>"1.1206"</f>
        <v>1.1206</v>
      </c>
      <c r="C2391" t="str">
        <f>"1.1236"</f>
        <v>1.1236</v>
      </c>
    </row>
    <row r="2392" spans="1:3" x14ac:dyDescent="0.25">
      <c r="A2392" t="str">
        <f>"03/05/2019"</f>
        <v>03/05/2019</v>
      </c>
      <c r="B2392" t="str">
        <f>"1.1147"</f>
        <v>1.1147</v>
      </c>
      <c r="C2392" t="str">
        <f>"1.1176"</f>
        <v>1.1176</v>
      </c>
    </row>
    <row r="2393" spans="1:3" x14ac:dyDescent="0.25">
      <c r="A2393" t="str">
        <f>"06/05/2019"</f>
        <v>06/05/2019</v>
      </c>
      <c r="B2393" t="str">
        <f>"1.12"</f>
        <v>1.12</v>
      </c>
      <c r="C2393" t="str">
        <f>"1.1231"</f>
        <v>1.1231</v>
      </c>
    </row>
    <row r="2394" spans="1:3" x14ac:dyDescent="0.25">
      <c r="A2394" t="str">
        <f>"07/05/2019"</f>
        <v>07/05/2019</v>
      </c>
      <c r="B2394" t="str">
        <f>"1.1197"</f>
        <v>1.1197</v>
      </c>
      <c r="C2394" t="str">
        <f>"1.1227"</f>
        <v>1.1227</v>
      </c>
    </row>
    <row r="2395" spans="1:3" x14ac:dyDescent="0.25">
      <c r="A2395" t="str">
        <f>"08/05/2019"</f>
        <v>08/05/2019</v>
      </c>
      <c r="B2395" t="str">
        <f>"1.1204"</f>
        <v>1.1204</v>
      </c>
      <c r="C2395" t="str">
        <f>"1.1233"</f>
        <v>1.1233</v>
      </c>
    </row>
    <row r="2396" spans="1:3" x14ac:dyDescent="0.25">
      <c r="A2396" t="str">
        <f>"09/05/2019"</f>
        <v>09/05/2019</v>
      </c>
      <c r="B2396" t="str">
        <f>"1.1187"</f>
        <v>1.1187</v>
      </c>
      <c r="C2396" t="str">
        <f>"1.1216"</f>
        <v>1.1216</v>
      </c>
    </row>
    <row r="2397" spans="1:3" x14ac:dyDescent="0.25">
      <c r="A2397" t="str">
        <f>"10/05/2019"</f>
        <v>10/05/2019</v>
      </c>
      <c r="B2397" t="str">
        <f>"1.1229"</f>
        <v>1.1229</v>
      </c>
      <c r="C2397" t="str">
        <f>"1.1258"</f>
        <v>1.1258</v>
      </c>
    </row>
    <row r="2398" spans="1:3" x14ac:dyDescent="0.25">
      <c r="A2398" t="str">
        <f>"13/05/2019"</f>
        <v>13/05/2019</v>
      </c>
      <c r="B2398" t="str">
        <f>"1.1229"</f>
        <v>1.1229</v>
      </c>
      <c r="C2398" t="str">
        <f>"1.1259"</f>
        <v>1.1259</v>
      </c>
    </row>
    <row r="2399" spans="1:3" x14ac:dyDescent="0.25">
      <c r="A2399" t="str">
        <f>"14/05/2019"</f>
        <v>14/05/2019</v>
      </c>
      <c r="B2399" t="str">
        <f>"1.1233"</f>
        <v>1.1233</v>
      </c>
      <c r="C2399" t="str">
        <f>"1.1263"</f>
        <v>1.1263</v>
      </c>
    </row>
    <row r="2400" spans="1:3" x14ac:dyDescent="0.25">
      <c r="A2400" t="str">
        <f>"15/05/2019"</f>
        <v>15/05/2019</v>
      </c>
      <c r="B2400" t="str">
        <f>"1.1186"</f>
        <v>1.1186</v>
      </c>
      <c r="C2400" t="str">
        <f>"1.1215"</f>
        <v>1.1215</v>
      </c>
    </row>
    <row r="2401" spans="1:3" x14ac:dyDescent="0.25">
      <c r="A2401" t="str">
        <f>"16/05/2019"</f>
        <v>16/05/2019</v>
      </c>
      <c r="B2401" t="str">
        <f>"1.1204"</f>
        <v>1.1204</v>
      </c>
      <c r="C2401" t="str">
        <f>"1.1233"</f>
        <v>1.1233</v>
      </c>
    </row>
    <row r="2402" spans="1:3" x14ac:dyDescent="0.25">
      <c r="A2402" t="str">
        <f>"17/05/2019"</f>
        <v>17/05/2019</v>
      </c>
      <c r="B2402" t="str">
        <f>"1.1164"</f>
        <v>1.1164</v>
      </c>
      <c r="C2402" t="str">
        <f>"1.1193"</f>
        <v>1.1193</v>
      </c>
    </row>
    <row r="2403" spans="1:3" x14ac:dyDescent="0.25">
      <c r="A2403" t="str">
        <f>"20/05/2019"</f>
        <v>20/05/2019</v>
      </c>
      <c r="B2403" t="str">
        <f>"1.1159"</f>
        <v>1.1159</v>
      </c>
      <c r="C2403" t="str">
        <f>"1.1189"</f>
        <v>1.1189</v>
      </c>
    </row>
    <row r="2404" spans="1:3" x14ac:dyDescent="0.25">
      <c r="A2404" t="str">
        <f>"21/05/2019"</f>
        <v>21/05/2019</v>
      </c>
      <c r="B2404" t="str">
        <f>"1.1147"</f>
        <v>1.1147</v>
      </c>
      <c r="C2404" t="str">
        <f>"1.1177"</f>
        <v>1.1177</v>
      </c>
    </row>
    <row r="2405" spans="1:3" x14ac:dyDescent="0.25">
      <c r="A2405" t="str">
        <f>"22/05/2019"</f>
        <v>22/05/2019</v>
      </c>
      <c r="B2405" t="str">
        <f>"1.1168"</f>
        <v>1.1168</v>
      </c>
      <c r="C2405" t="str">
        <f>"1.1197"</f>
        <v>1.1197</v>
      </c>
    </row>
    <row r="2406" spans="1:3" x14ac:dyDescent="0.25">
      <c r="A2406" t="str">
        <f>"23/05/2019"</f>
        <v>23/05/2019</v>
      </c>
      <c r="B2406" t="str">
        <f>"1.1136"</f>
        <v>1.1136</v>
      </c>
      <c r="C2406" t="str">
        <f>"1.1165"</f>
        <v>1.1165</v>
      </c>
    </row>
    <row r="2407" spans="1:3" x14ac:dyDescent="0.25">
      <c r="A2407" t="str">
        <f>"24/05/2019"</f>
        <v>24/05/2019</v>
      </c>
      <c r="B2407" t="str">
        <f>"1.1186"</f>
        <v>1.1186</v>
      </c>
      <c r="C2407" t="str">
        <f>"1.1215"</f>
        <v>1.1215</v>
      </c>
    </row>
    <row r="2408" spans="1:3" x14ac:dyDescent="0.25">
      <c r="A2408" t="str">
        <f>"27/05/2019"</f>
        <v>27/05/2019</v>
      </c>
      <c r="B2408" t="str">
        <f>"1.1196"</f>
        <v>1.1196</v>
      </c>
      <c r="C2408" t="str">
        <f>"1.1224"</f>
        <v>1.1224</v>
      </c>
    </row>
    <row r="2409" spans="1:3" x14ac:dyDescent="0.25">
      <c r="A2409" t="str">
        <f>"28/05/2019"</f>
        <v>28/05/2019</v>
      </c>
      <c r="B2409" t="str">
        <f>"1.118"</f>
        <v>1.118</v>
      </c>
      <c r="C2409" t="str">
        <f>"1.1207"</f>
        <v>1.1207</v>
      </c>
    </row>
    <row r="2410" spans="1:3" x14ac:dyDescent="0.25">
      <c r="A2410" t="str">
        <f>"29/05/2019"</f>
        <v>29/05/2019</v>
      </c>
      <c r="B2410" t="str">
        <f>"1.1153"</f>
        <v>1.1153</v>
      </c>
      <c r="C2410" t="str">
        <f>"1.1179"</f>
        <v>1.1179</v>
      </c>
    </row>
    <row r="2411" spans="1:3" x14ac:dyDescent="0.25">
      <c r="A2411" t="str">
        <f>"30/05/2019"</f>
        <v>30/05/2019</v>
      </c>
      <c r="B2411" t="str">
        <f>"1.1136"</f>
        <v>1.1136</v>
      </c>
      <c r="C2411" t="str">
        <f>"1.1165"</f>
        <v>1.1165</v>
      </c>
    </row>
    <row r="2412" spans="1:3" x14ac:dyDescent="0.25">
      <c r="A2412" t="str">
        <f>"31/05/2019"</f>
        <v>31/05/2019</v>
      </c>
      <c r="B2412" t="str">
        <f>"1.113"</f>
        <v>1.113</v>
      </c>
      <c r="C2412" t="str">
        <f>"1.1159"</f>
        <v>1.1159</v>
      </c>
    </row>
    <row r="2413" spans="1:3" x14ac:dyDescent="0.25">
      <c r="A2413" t="str">
        <f>"03/06/2019"</f>
        <v>03/06/2019</v>
      </c>
      <c r="B2413" t="str">
        <f>"1.1187"</f>
        <v>1.1187</v>
      </c>
      <c r="C2413" t="str">
        <f>"1.1215"</f>
        <v>1.1215</v>
      </c>
    </row>
    <row r="2414" spans="1:3" x14ac:dyDescent="0.25">
      <c r="A2414" t="str">
        <f>"04/06/2019"</f>
        <v>04/06/2019</v>
      </c>
      <c r="B2414" t="str">
        <f>"1.1254"</f>
        <v>1.1254</v>
      </c>
      <c r="C2414" t="str">
        <f>"1.1284"</f>
        <v>1.1284</v>
      </c>
    </row>
    <row r="2415" spans="1:3" x14ac:dyDescent="0.25">
      <c r="A2415" t="str">
        <f>"06/06/2019"</f>
        <v>06/06/2019</v>
      </c>
      <c r="B2415" t="str">
        <f>"1.1228"</f>
        <v>1.1228</v>
      </c>
      <c r="C2415" t="str">
        <f>"1.1256"</f>
        <v>1.1256</v>
      </c>
    </row>
    <row r="2416" spans="1:3" x14ac:dyDescent="0.25">
      <c r="A2416" t="str">
        <f>"07/06/2019"</f>
        <v>07/06/2019</v>
      </c>
      <c r="B2416" t="str">
        <f>"1.1266"</f>
        <v>1.1266</v>
      </c>
      <c r="C2416" t="str">
        <f>"1.1294"</f>
        <v>1.1294</v>
      </c>
    </row>
    <row r="2417" spans="1:3" x14ac:dyDescent="0.25">
      <c r="A2417" t="str">
        <f>"10/06/2019"</f>
        <v>10/06/2019</v>
      </c>
      <c r="B2417" t="str">
        <f>"1.1303"</f>
        <v>1.1303</v>
      </c>
      <c r="C2417" t="str">
        <f>"1.1332"</f>
        <v>1.1332</v>
      </c>
    </row>
    <row r="2418" spans="1:3" x14ac:dyDescent="0.25">
      <c r="A2418" t="str">
        <f>"11/06/2019"</f>
        <v>11/06/2019</v>
      </c>
      <c r="B2418" t="str">
        <f>"1.1312"</f>
        <v>1.1312</v>
      </c>
      <c r="C2418" t="str">
        <f>"1.1342"</f>
        <v>1.1342</v>
      </c>
    </row>
    <row r="2419" spans="1:3" x14ac:dyDescent="0.25">
      <c r="A2419" t="str">
        <f>"12/06/2019"</f>
        <v>12/06/2019</v>
      </c>
      <c r="B2419" t="str">
        <f>"1.1323"</f>
        <v>1.1323</v>
      </c>
      <c r="C2419" t="str">
        <f>"1.1352"</f>
        <v>1.1352</v>
      </c>
    </row>
    <row r="2420" spans="1:3" x14ac:dyDescent="0.25">
      <c r="A2420" t="str">
        <f>"13/06/2019"</f>
        <v>13/06/2019</v>
      </c>
      <c r="B2420" t="str">
        <f>"1.1296"</f>
        <v>1.1296</v>
      </c>
      <c r="C2420" t="str">
        <f>"1.1324"</f>
        <v>1.1324</v>
      </c>
    </row>
    <row r="2421" spans="1:3" x14ac:dyDescent="0.25">
      <c r="A2421" t="str">
        <f>"14/06/2019"</f>
        <v>14/06/2019</v>
      </c>
      <c r="B2421" t="str">
        <f>"1.1261"</f>
        <v>1.1261</v>
      </c>
      <c r="C2421" t="str">
        <f>"1.1289"</f>
        <v>1.1289</v>
      </c>
    </row>
    <row r="2422" spans="1:3" x14ac:dyDescent="0.25">
      <c r="A2422" t="str">
        <f>"17/06/2019"</f>
        <v>17/06/2019</v>
      </c>
      <c r="B2422" t="str">
        <f>"1.1225"</f>
        <v>1.1225</v>
      </c>
      <c r="C2422" t="str">
        <f>"1.1253"</f>
        <v>1.1253</v>
      </c>
    </row>
    <row r="2423" spans="1:3" x14ac:dyDescent="0.25">
      <c r="A2423" t="str">
        <f>"18/06/2019"</f>
        <v>18/06/2019</v>
      </c>
      <c r="B2423" t="str">
        <f>"1.1191"</f>
        <v>1.1191</v>
      </c>
      <c r="C2423" t="str">
        <f>"1.1221"</f>
        <v>1.1221</v>
      </c>
    </row>
    <row r="2424" spans="1:3" x14ac:dyDescent="0.25">
      <c r="A2424" t="str">
        <f>"19/06/2019"</f>
        <v>19/06/2019</v>
      </c>
      <c r="B2424" t="str">
        <f>"1.1206"</f>
        <v>1.1206</v>
      </c>
      <c r="C2424" t="str">
        <f>"1.1235"</f>
        <v>1.1235</v>
      </c>
    </row>
    <row r="2425" spans="1:3" x14ac:dyDescent="0.25">
      <c r="A2425" t="str">
        <f>"20/06/2019"</f>
        <v>20/06/2019</v>
      </c>
      <c r="B2425" t="str">
        <f>"1.1312"</f>
        <v>1.1312</v>
      </c>
      <c r="C2425" t="str">
        <f>"1.134"</f>
        <v>1.134</v>
      </c>
    </row>
    <row r="2426" spans="1:3" x14ac:dyDescent="0.25">
      <c r="A2426" t="str">
        <f>"21/06/2019"</f>
        <v>21/06/2019</v>
      </c>
      <c r="B2426" t="str">
        <f>"1.131"</f>
        <v>1.131</v>
      </c>
      <c r="C2426" t="str">
        <f>"1.1338"</f>
        <v>1.1338</v>
      </c>
    </row>
    <row r="2427" spans="1:3" x14ac:dyDescent="0.25">
      <c r="A2427" t="str">
        <f>"24/06/2019"</f>
        <v>24/06/2019</v>
      </c>
      <c r="B2427" t="str">
        <f>"1.1397"</f>
        <v>1.1397</v>
      </c>
      <c r="C2427" t="str">
        <f>"1.1426"</f>
        <v>1.1426</v>
      </c>
    </row>
    <row r="2428" spans="1:3" x14ac:dyDescent="0.25">
      <c r="A2428" t="str">
        <f>"25/06/2019"</f>
        <v>25/06/2019</v>
      </c>
      <c r="B2428" t="str">
        <f>"1.1384"</f>
        <v>1.1384</v>
      </c>
      <c r="C2428" t="str">
        <f>"1.1414"</f>
        <v>1.1414</v>
      </c>
    </row>
    <row r="2429" spans="1:3" x14ac:dyDescent="0.25">
      <c r="A2429" t="str">
        <f>"26/06/2019"</f>
        <v>26/06/2019</v>
      </c>
      <c r="B2429" t="str">
        <f>"1.1364"</f>
        <v>1.1364</v>
      </c>
      <c r="C2429" t="str">
        <f>"1.1396"</f>
        <v>1.1396</v>
      </c>
    </row>
    <row r="2430" spans="1:3" x14ac:dyDescent="0.25">
      <c r="A2430" t="str">
        <f>"27/06/2019"</f>
        <v>27/06/2019</v>
      </c>
      <c r="B2430" t="str">
        <f>"1.1373"</f>
        <v>1.1373</v>
      </c>
      <c r="C2430" t="str">
        <f>"1.1402"</f>
        <v>1.1402</v>
      </c>
    </row>
    <row r="2431" spans="1:3" x14ac:dyDescent="0.25">
      <c r="A2431" t="str">
        <f>"28/06/2019"</f>
        <v>28/06/2019</v>
      </c>
      <c r="B2431" t="str">
        <f>"1.1377"</f>
        <v>1.1377</v>
      </c>
      <c r="C2431" t="str">
        <f>"1.1406"</f>
        <v>1.1406</v>
      </c>
    </row>
    <row r="2432" spans="1:3" x14ac:dyDescent="0.25">
      <c r="A2432" t="str">
        <f>"01/07/2019"</f>
        <v>01/07/2019</v>
      </c>
      <c r="B2432" t="str">
        <f>"1.135"</f>
        <v>1.135</v>
      </c>
      <c r="C2432" t="str">
        <f>"1.1381"</f>
        <v>1.1381</v>
      </c>
    </row>
    <row r="2433" spans="1:3" x14ac:dyDescent="0.25">
      <c r="A2433" t="str">
        <f>"02/07/2019"</f>
        <v>02/07/2019</v>
      </c>
      <c r="B2433" t="str">
        <f>"1.1289"</f>
        <v>1.1289</v>
      </c>
      <c r="C2433" t="str">
        <f>"1.1318"</f>
        <v>1.1318</v>
      </c>
    </row>
    <row r="2434" spans="1:3" x14ac:dyDescent="0.25">
      <c r="A2434" t="str">
        <f>"03/07/2019"</f>
        <v>03/07/2019</v>
      </c>
      <c r="B2434" t="str">
        <f>"1.1294"</f>
        <v>1.1294</v>
      </c>
      <c r="C2434" t="str">
        <f>"1.1323"</f>
        <v>1.1323</v>
      </c>
    </row>
    <row r="2435" spans="1:3" x14ac:dyDescent="0.25">
      <c r="A2435" t="str">
        <f>"04/07/2019"</f>
        <v>04/07/2019</v>
      </c>
      <c r="B2435" t="str">
        <f>"1.1286"</f>
        <v>1.1286</v>
      </c>
      <c r="C2435" t="str">
        <f>"1.1314"</f>
        <v>1.1314</v>
      </c>
    </row>
    <row r="2436" spans="1:3" x14ac:dyDescent="0.25">
      <c r="A2436" t="str">
        <f>"05/07/2019"</f>
        <v>05/07/2019</v>
      </c>
      <c r="B2436" t="str">
        <f>"1.1263"</f>
        <v>1.1263</v>
      </c>
      <c r="C2436" t="str">
        <f>"1.1292"</f>
        <v>1.1292</v>
      </c>
    </row>
    <row r="2437" spans="1:3" x14ac:dyDescent="0.25">
      <c r="A2437" t="str">
        <f>"08/07/2019"</f>
        <v>08/07/2019</v>
      </c>
      <c r="B2437" t="str">
        <f>"1.1226"</f>
        <v>1.1226</v>
      </c>
      <c r="C2437" t="str">
        <f>"1.1256"</f>
        <v>1.1256</v>
      </c>
    </row>
    <row r="2438" spans="1:3" x14ac:dyDescent="0.25">
      <c r="A2438" t="str">
        <f>"09/07/2019"</f>
        <v>09/07/2019</v>
      </c>
      <c r="B2438" t="str">
        <f>"1.1217"</f>
        <v>1.1217</v>
      </c>
      <c r="C2438" t="str">
        <f>"1.1247"</f>
        <v>1.1247</v>
      </c>
    </row>
    <row r="2439" spans="1:3" x14ac:dyDescent="0.25">
      <c r="A2439" t="str">
        <f>"10/07/2019"</f>
        <v>10/07/2019</v>
      </c>
      <c r="B2439" t="str">
        <f>"1.1207"</f>
        <v>1.1207</v>
      </c>
      <c r="C2439" t="str">
        <f>"1.1235"</f>
        <v>1.1235</v>
      </c>
    </row>
    <row r="2440" spans="1:3" x14ac:dyDescent="0.25">
      <c r="A2440" t="str">
        <f>"11/07/2019"</f>
        <v>11/07/2019</v>
      </c>
      <c r="B2440" t="str">
        <f>"1.128"</f>
        <v>1.128</v>
      </c>
      <c r="C2440" t="str">
        <f>"1.1308"</f>
        <v>1.1308</v>
      </c>
    </row>
    <row r="2441" spans="1:3" x14ac:dyDescent="0.25">
      <c r="A2441" t="str">
        <f>"12/07/2019"</f>
        <v>12/07/2019</v>
      </c>
      <c r="B2441" t="str">
        <f>"1.1271"</f>
        <v>1.1271</v>
      </c>
      <c r="C2441" t="str">
        <f>"1.1299"</f>
        <v>1.1299</v>
      </c>
    </row>
    <row r="2442" spans="1:3" x14ac:dyDescent="0.25">
      <c r="A2442" t="str">
        <f>"15/07/2019"</f>
        <v>15/07/2019</v>
      </c>
      <c r="B2442" t="str">
        <f>"1.1275"</f>
        <v>1.1275</v>
      </c>
      <c r="C2442" t="str">
        <f>"1.1305"</f>
        <v>1.1305</v>
      </c>
    </row>
    <row r="2443" spans="1:3" x14ac:dyDescent="0.25">
      <c r="A2443" t="str">
        <f>"16/07/2019"</f>
        <v>16/07/2019</v>
      </c>
      <c r="B2443" t="str">
        <f>"1.1225"</f>
        <v>1.1225</v>
      </c>
      <c r="C2443" t="str">
        <f>"1.1254"</f>
        <v>1.1254</v>
      </c>
    </row>
    <row r="2444" spans="1:3" x14ac:dyDescent="0.25">
      <c r="A2444" t="str">
        <f>"17/07/2019"</f>
        <v>17/07/2019</v>
      </c>
      <c r="B2444" t="str">
        <f>"1.1219"</f>
        <v>1.1219</v>
      </c>
      <c r="C2444" t="str">
        <f>"1.1247"</f>
        <v>1.1247</v>
      </c>
    </row>
    <row r="2445" spans="1:3" x14ac:dyDescent="0.25">
      <c r="A2445" t="str">
        <f>"18/07/2019"</f>
        <v>18/07/2019</v>
      </c>
      <c r="B2445" t="str">
        <f>"1.1216"</f>
        <v>1.1216</v>
      </c>
      <c r="C2445" t="str">
        <f>"1.1244"</f>
        <v>1.1244</v>
      </c>
    </row>
    <row r="2446" spans="1:3" x14ac:dyDescent="0.25">
      <c r="A2446" t="str">
        <f>"19/07/2019"</f>
        <v>19/07/2019</v>
      </c>
      <c r="B2446" t="str">
        <f>"1.1262"</f>
        <v>1.1262</v>
      </c>
      <c r="C2446" t="str">
        <f>"1.129"</f>
        <v>1.129</v>
      </c>
    </row>
    <row r="2447" spans="1:3" x14ac:dyDescent="0.25">
      <c r="A2447" t="str">
        <f>"22/07/2019"</f>
        <v>22/07/2019</v>
      </c>
      <c r="B2447" t="str">
        <f>"1.1217"</f>
        <v>1.1217</v>
      </c>
      <c r="C2447" t="str">
        <f>"1.1246"</f>
        <v>1.1246</v>
      </c>
    </row>
    <row r="2448" spans="1:3" x14ac:dyDescent="0.25">
      <c r="A2448" t="str">
        <f>"23/07/2019"</f>
        <v>23/07/2019</v>
      </c>
      <c r="B2448" t="str">
        <f>"1.1184"</f>
        <v>1.1184</v>
      </c>
      <c r="C2448" t="str">
        <f>"1.1213"</f>
        <v>1.1213</v>
      </c>
    </row>
    <row r="2449" spans="1:3" x14ac:dyDescent="0.25">
      <c r="A2449" t="str">
        <f>"24/07/2019"</f>
        <v>24/07/2019</v>
      </c>
      <c r="B2449" t="str">
        <f>"1.1144"</f>
        <v>1.1144</v>
      </c>
      <c r="C2449" t="str">
        <f>"1.1171"</f>
        <v>1.1171</v>
      </c>
    </row>
    <row r="2450" spans="1:3" x14ac:dyDescent="0.25">
      <c r="A2450" t="str">
        <f>"25/07/2019"</f>
        <v>25/07/2019</v>
      </c>
      <c r="B2450" t="str">
        <f>"1.1141"</f>
        <v>1.1141</v>
      </c>
      <c r="C2450" t="str">
        <f>"1.1168"</f>
        <v>1.1168</v>
      </c>
    </row>
    <row r="2451" spans="1:3" x14ac:dyDescent="0.25">
      <c r="A2451" t="str">
        <f>"26/07/2019"</f>
        <v>26/07/2019</v>
      </c>
      <c r="B2451" t="str">
        <f>"1.1132"</f>
        <v>1.1132</v>
      </c>
      <c r="C2451" t="str">
        <f>"1.1159"</f>
        <v>1.1159</v>
      </c>
    </row>
    <row r="2452" spans="1:3" x14ac:dyDescent="0.25">
      <c r="A2452" t="str">
        <f>"29/07/2019"</f>
        <v>29/07/2019</v>
      </c>
      <c r="B2452" t="str">
        <f>"1.1119"</f>
        <v>1.1119</v>
      </c>
      <c r="C2452" t="str">
        <f>"1.1145"</f>
        <v>1.1145</v>
      </c>
    </row>
    <row r="2453" spans="1:3" x14ac:dyDescent="0.25">
      <c r="A2453" t="str">
        <f>"30/07/2019"</f>
        <v>30/07/2019</v>
      </c>
      <c r="B2453" t="str">
        <f>"1.1149"</f>
        <v>1.1149</v>
      </c>
      <c r="C2453" t="str">
        <f>"1.1178"</f>
        <v>1.1178</v>
      </c>
    </row>
    <row r="2454" spans="1:3" x14ac:dyDescent="0.25">
      <c r="A2454" t="str">
        <f>"31/07/2019"</f>
        <v>31/07/2019</v>
      </c>
      <c r="B2454" t="str">
        <f>"1.1146"</f>
        <v>1.1146</v>
      </c>
      <c r="C2454" t="str">
        <f>"1.1174"</f>
        <v>1.1174</v>
      </c>
    </row>
    <row r="2455" spans="1:3" x14ac:dyDescent="0.25">
      <c r="A2455" t="str">
        <f>"01/08/2019"</f>
        <v>01/08/2019</v>
      </c>
      <c r="B2455" t="str">
        <f>"1.1036"</f>
        <v>1.1036</v>
      </c>
      <c r="C2455" t="str">
        <f>"1.1063"</f>
        <v>1.1063</v>
      </c>
    </row>
    <row r="2456" spans="1:3" x14ac:dyDescent="0.25">
      <c r="A2456" t="str">
        <f>"02/08/2019"</f>
        <v>02/08/2019</v>
      </c>
      <c r="B2456" t="str">
        <f>"1.1099"</f>
        <v>1.1099</v>
      </c>
      <c r="C2456" t="str">
        <f>"1.1126"</f>
        <v>1.1126</v>
      </c>
    </row>
    <row r="2457" spans="1:3" x14ac:dyDescent="0.25">
      <c r="A2457" t="str">
        <f>"05/08/2019"</f>
        <v>05/08/2019</v>
      </c>
      <c r="B2457" t="str">
        <f>"1.1176"</f>
        <v>1.1176</v>
      </c>
      <c r="C2457" t="str">
        <f>"1.1204"</f>
        <v>1.1204</v>
      </c>
    </row>
    <row r="2458" spans="1:3" x14ac:dyDescent="0.25">
      <c r="A2458" t="str">
        <f>"06/08/2019"</f>
        <v>06/08/2019</v>
      </c>
      <c r="B2458" t="str">
        <f>"1.1187"</f>
        <v>1.1187</v>
      </c>
      <c r="C2458" t="str">
        <f>"1.1214"</f>
        <v>1.1214</v>
      </c>
    </row>
    <row r="2459" spans="1:3" x14ac:dyDescent="0.25">
      <c r="A2459" t="str">
        <f>"07/08/2019"</f>
        <v>07/08/2019</v>
      </c>
      <c r="B2459" t="str">
        <f>"1.1213"</f>
        <v>1.1213</v>
      </c>
      <c r="C2459" t="str">
        <f>"1.1239"</f>
        <v>1.1239</v>
      </c>
    </row>
    <row r="2460" spans="1:3" x14ac:dyDescent="0.25">
      <c r="A2460" t="str">
        <f>"08/08/2019"</f>
        <v>08/08/2019</v>
      </c>
      <c r="B2460" t="str">
        <f>"1.1191"</f>
        <v>1.1191</v>
      </c>
      <c r="C2460" t="str">
        <f>"1.1217"</f>
        <v>1.1217</v>
      </c>
    </row>
    <row r="2461" spans="1:3" x14ac:dyDescent="0.25">
      <c r="A2461" t="str">
        <f>"09/08/2019"</f>
        <v>09/08/2019</v>
      </c>
      <c r="B2461" t="str">
        <f>"1.1203"</f>
        <v>1.1203</v>
      </c>
      <c r="C2461" t="str">
        <f>"1.1229"</f>
        <v>1.1229</v>
      </c>
    </row>
    <row r="2462" spans="1:3" x14ac:dyDescent="0.25">
      <c r="A2462" t="str">
        <f>"13/08/2019"</f>
        <v>13/08/2019</v>
      </c>
      <c r="B2462" t="str">
        <f>"1.1218"</f>
        <v>1.1218</v>
      </c>
      <c r="C2462" t="str">
        <f>"1.1246"</f>
        <v>1.1246</v>
      </c>
    </row>
    <row r="2463" spans="1:3" x14ac:dyDescent="0.25">
      <c r="A2463" t="str">
        <f>"14/08/2019"</f>
        <v>14/08/2019</v>
      </c>
      <c r="B2463" t="str">
        <f>"1.1181"</f>
        <v>1.1181</v>
      </c>
      <c r="C2463" t="str">
        <f>"1.1208"</f>
        <v>1.1208</v>
      </c>
    </row>
    <row r="2464" spans="1:3" x14ac:dyDescent="0.25">
      <c r="A2464" t="str">
        <f>"16/08/2019"</f>
        <v>16/08/2019</v>
      </c>
      <c r="B2464" t="str">
        <f>"1.1098"</f>
        <v>1.1098</v>
      </c>
      <c r="C2464" t="str">
        <f>"1.1124"</f>
        <v>1.1124</v>
      </c>
    </row>
    <row r="2465" spans="1:3" x14ac:dyDescent="0.25">
      <c r="A2465" t="str">
        <f>"19/08/2019"</f>
        <v>19/08/2019</v>
      </c>
      <c r="B2465" t="str">
        <f>"1.1091"</f>
        <v>1.1091</v>
      </c>
      <c r="C2465" t="str">
        <f>"1.1119"</f>
        <v>1.1119</v>
      </c>
    </row>
    <row r="2466" spans="1:3" x14ac:dyDescent="0.25">
      <c r="A2466" t="str">
        <f>"20/08/2019"</f>
        <v>20/08/2019</v>
      </c>
      <c r="B2466" t="str">
        <f>"1.1086"</f>
        <v>1.1086</v>
      </c>
      <c r="C2466" t="str">
        <f>"1.1113"</f>
        <v>1.1113</v>
      </c>
    </row>
    <row r="2467" spans="1:3" x14ac:dyDescent="0.25">
      <c r="A2467" t="str">
        <f>"21/08/2019"</f>
        <v>21/08/2019</v>
      </c>
      <c r="B2467" t="str">
        <f>"1.1094"</f>
        <v>1.1094</v>
      </c>
      <c r="C2467" t="str">
        <f>"1.1119"</f>
        <v>1.1119</v>
      </c>
    </row>
    <row r="2468" spans="1:3" x14ac:dyDescent="0.25">
      <c r="A2468" t="str">
        <f>"22/08/2019"</f>
        <v>22/08/2019</v>
      </c>
      <c r="B2468" t="str">
        <f>"1.1082"</f>
        <v>1.1082</v>
      </c>
      <c r="C2468" t="str">
        <f>"1.1108"</f>
        <v>1.1108</v>
      </c>
    </row>
    <row r="2469" spans="1:3" x14ac:dyDescent="0.25">
      <c r="A2469" t="str">
        <f>"23/08/2019"</f>
        <v>23/08/2019</v>
      </c>
      <c r="B2469" t="str">
        <f>"1.1063"</f>
        <v>1.1063</v>
      </c>
      <c r="C2469" t="str">
        <f>"1.1089"</f>
        <v>1.1089</v>
      </c>
    </row>
    <row r="2470" spans="1:3" x14ac:dyDescent="0.25">
      <c r="A2470" t="str">
        <f>"26/08/2019"</f>
        <v>26/08/2019</v>
      </c>
      <c r="B2470" t="str">
        <f>"1.1143"</f>
        <v>1.1143</v>
      </c>
      <c r="C2470" t="str">
        <f>"1.1171"</f>
        <v>1.1171</v>
      </c>
    </row>
    <row r="2471" spans="1:3" x14ac:dyDescent="0.25">
      <c r="A2471" t="str">
        <f>"27/08/2019"</f>
        <v>27/08/2019</v>
      </c>
      <c r="B2471" t="str">
        <f>"1.11"</f>
        <v>1.11</v>
      </c>
      <c r="C2471" t="str">
        <f>"1.1127"</f>
        <v>1.1127</v>
      </c>
    </row>
    <row r="2472" spans="1:3" x14ac:dyDescent="0.25">
      <c r="A2472" t="str">
        <f>"28/08/2019"</f>
        <v>28/08/2019</v>
      </c>
      <c r="B2472" t="str">
        <f>"1.1086"</f>
        <v>1.1086</v>
      </c>
      <c r="C2472" t="str">
        <f>"1.1112"</f>
        <v>1.1112</v>
      </c>
    </row>
    <row r="2473" spans="1:3" x14ac:dyDescent="0.25">
      <c r="A2473" t="str">
        <f>"29/08/2019"</f>
        <v>29/08/2019</v>
      </c>
      <c r="B2473" t="str">
        <f>"1.1072"</f>
        <v>1.1072</v>
      </c>
      <c r="C2473" t="str">
        <f>"1.1098"</f>
        <v>1.1098</v>
      </c>
    </row>
    <row r="2474" spans="1:3" x14ac:dyDescent="0.25">
      <c r="A2474" t="str">
        <f>"30/08/2019"</f>
        <v>30/08/2019</v>
      </c>
      <c r="B2474" t="str">
        <f>"1.104"</f>
        <v>1.104</v>
      </c>
      <c r="C2474" t="str">
        <f>"1.1066"</f>
        <v>1.1066</v>
      </c>
    </row>
    <row r="2475" spans="1:3" x14ac:dyDescent="0.25">
      <c r="A2475" t="str">
        <f>"03/09/2019"</f>
        <v>03/09/2019</v>
      </c>
      <c r="B2475" t="str">
        <f>"1.0934"</f>
        <v>1.0934</v>
      </c>
      <c r="C2475" t="str">
        <f>"1.0962"</f>
        <v>1.0962</v>
      </c>
    </row>
    <row r="2476" spans="1:3" x14ac:dyDescent="0.25">
      <c r="A2476" t="str">
        <f>"04/09/2019"</f>
        <v>04/09/2019</v>
      </c>
      <c r="B2476" t="str">
        <f>"1.0995"</f>
        <v>1.0995</v>
      </c>
      <c r="C2476" t="str">
        <f>"1.1022"</f>
        <v>1.1022</v>
      </c>
    </row>
    <row r="2477" spans="1:3" x14ac:dyDescent="0.25">
      <c r="A2477" t="str">
        <f>"05/09/2019"</f>
        <v>05/09/2019</v>
      </c>
      <c r="B2477" t="str">
        <f>"1.1065"</f>
        <v>1.1065</v>
      </c>
      <c r="C2477" t="str">
        <f>"1.1091"</f>
        <v>1.1091</v>
      </c>
    </row>
    <row r="2478" spans="1:3" x14ac:dyDescent="0.25">
      <c r="A2478" t="str">
        <f>"06/09/2019"</f>
        <v>06/09/2019</v>
      </c>
      <c r="B2478" t="str">
        <f>"1.1037"</f>
        <v>1.1037</v>
      </c>
      <c r="C2478" t="str">
        <f>"1.1063"</f>
        <v>1.1063</v>
      </c>
    </row>
    <row r="2479" spans="1:3" x14ac:dyDescent="0.25">
      <c r="A2479" t="str">
        <f>"09/09/2019"</f>
        <v>09/09/2019</v>
      </c>
      <c r="B2479" t="str">
        <f>"1.1031"</f>
        <v>1.1031</v>
      </c>
      <c r="C2479" t="str">
        <f>"1.1057"</f>
        <v>1.1057</v>
      </c>
    </row>
    <row r="2480" spans="1:3" x14ac:dyDescent="0.25">
      <c r="A2480" t="str">
        <f>"11/09/2019"</f>
        <v>11/09/2019</v>
      </c>
      <c r="B2480" t="str">
        <f>"1.1005"</f>
        <v>1.1005</v>
      </c>
      <c r="C2480" t="str">
        <f>"1.1032"</f>
        <v>1.1032</v>
      </c>
    </row>
    <row r="2481" spans="1:3" x14ac:dyDescent="0.25">
      <c r="A2481" t="str">
        <f>"12/09/2019"</f>
        <v>12/09/2019</v>
      </c>
      <c r="B2481" t="str">
        <f>"1.1023"</f>
        <v>1.1023</v>
      </c>
      <c r="C2481" t="str">
        <f>"1.1049"</f>
        <v>1.1049</v>
      </c>
    </row>
    <row r="2482" spans="1:3" x14ac:dyDescent="0.25">
      <c r="A2482" t="str">
        <f>"16/09/2019"</f>
        <v>16/09/2019</v>
      </c>
      <c r="B2482" t="str">
        <f>"1.1073"</f>
        <v>1.1073</v>
      </c>
      <c r="C2482" t="str">
        <f>"1.1098"</f>
        <v>1.1098</v>
      </c>
    </row>
    <row r="2483" spans="1:3" x14ac:dyDescent="0.25">
      <c r="A2483" t="str">
        <f>"17/09/2019"</f>
        <v>17/09/2019</v>
      </c>
      <c r="B2483" t="str">
        <f>"1.102"</f>
        <v>1.102</v>
      </c>
      <c r="C2483" t="str">
        <f>"1.1049"</f>
        <v>1.1049</v>
      </c>
    </row>
    <row r="2484" spans="1:3" x14ac:dyDescent="0.25">
      <c r="A2484" t="str">
        <f>"18/09/2019"</f>
        <v>18/09/2019</v>
      </c>
      <c r="B2484" t="str">
        <f>"1.1065"</f>
        <v>1.1065</v>
      </c>
      <c r="C2484" t="str">
        <f>"1.1091"</f>
        <v>1.1091</v>
      </c>
    </row>
    <row r="2485" spans="1:3" x14ac:dyDescent="0.25">
      <c r="A2485" t="str">
        <f>"19/09/2019"</f>
        <v>19/09/2019</v>
      </c>
      <c r="B2485" t="str">
        <f>"1.1037"</f>
        <v>1.1037</v>
      </c>
      <c r="C2485" t="str">
        <f>"1.1063"</f>
        <v>1.1063</v>
      </c>
    </row>
    <row r="2486" spans="1:3" x14ac:dyDescent="0.25">
      <c r="A2486" t="str">
        <f>"20/09/2019"</f>
        <v>20/09/2019</v>
      </c>
      <c r="B2486" t="str">
        <f>"1.1058"</f>
        <v>1.1058</v>
      </c>
      <c r="C2486" t="str">
        <f>"1.1084"</f>
        <v>1.1084</v>
      </c>
    </row>
    <row r="2487" spans="1:3" x14ac:dyDescent="0.25">
      <c r="A2487" t="str">
        <f>"23/09/2019"</f>
        <v>23/09/2019</v>
      </c>
      <c r="B2487" t="str">
        <f>"1.0984"</f>
        <v>1.0984</v>
      </c>
      <c r="C2487" t="str">
        <f>"1.1009"</f>
        <v>1.1009</v>
      </c>
    </row>
    <row r="2488" spans="1:3" x14ac:dyDescent="0.25">
      <c r="A2488" t="str">
        <f>"24/09/2019"</f>
        <v>24/09/2019</v>
      </c>
      <c r="B2488" t="str">
        <f>"1.0991"</f>
        <v>1.0991</v>
      </c>
      <c r="C2488" t="str">
        <f>"1.1017"</f>
        <v>1.1017</v>
      </c>
    </row>
    <row r="2489" spans="1:3" x14ac:dyDescent="0.25">
      <c r="A2489" t="str">
        <f>"25/09/2019"</f>
        <v>25/09/2019</v>
      </c>
      <c r="B2489" t="str">
        <f>"1.099"</f>
        <v>1.099</v>
      </c>
      <c r="C2489" t="str">
        <f>"1.1018"</f>
        <v>1.1018</v>
      </c>
    </row>
    <row r="2490" spans="1:3" x14ac:dyDescent="0.25">
      <c r="A2490" t="str">
        <f>"26/09/2019"</f>
        <v>26/09/2019</v>
      </c>
      <c r="B2490" t="str">
        <f>"1.0963"</f>
        <v>1.0963</v>
      </c>
      <c r="C2490" t="str">
        <f>"1.0989"</f>
        <v>1.0989</v>
      </c>
    </row>
    <row r="2491" spans="1:3" x14ac:dyDescent="0.25">
      <c r="A2491" t="str">
        <f>"27/09/2019"</f>
        <v>27/09/2019</v>
      </c>
      <c r="B2491" t="str">
        <f>"1.0935"</f>
        <v>1.0935</v>
      </c>
      <c r="C2491" t="str">
        <f>"1.096"</f>
        <v>1.096</v>
      </c>
    </row>
    <row r="2492" spans="1:3" x14ac:dyDescent="0.25">
      <c r="A2492" t="str">
        <f>"30/09/2019"</f>
        <v>30/09/2019</v>
      </c>
      <c r="B2492" t="str">
        <f>"1.091"</f>
        <v>1.091</v>
      </c>
      <c r="C2492" t="str">
        <f>"1.0936"</f>
        <v>1.0936</v>
      </c>
    </row>
    <row r="2493" spans="1:3" x14ac:dyDescent="0.25">
      <c r="A2493" t="str">
        <f>"01/10/2019"</f>
        <v>01/10/2019</v>
      </c>
      <c r="B2493" t="str">
        <f>"1.0901"</f>
        <v>1.0901</v>
      </c>
      <c r="C2493" t="str">
        <f>"1.0927"</f>
        <v>1.0927</v>
      </c>
    </row>
    <row r="2494" spans="1:3" x14ac:dyDescent="0.25">
      <c r="A2494" t="str">
        <f>"03/10/2019"</f>
        <v>03/10/2019</v>
      </c>
      <c r="B2494" t="str">
        <f>"1.0957"</f>
        <v>1.0957</v>
      </c>
      <c r="C2494" t="str">
        <f>"1.0982"</f>
        <v>1.0982</v>
      </c>
    </row>
    <row r="2495" spans="1:3" x14ac:dyDescent="0.25">
      <c r="A2495" t="str">
        <f>"04/10/2019"</f>
        <v>04/10/2019</v>
      </c>
      <c r="B2495" t="str">
        <f>"1.0985"</f>
        <v>1.0985</v>
      </c>
      <c r="C2495" t="str">
        <f>"1.101"</f>
        <v>1.101</v>
      </c>
    </row>
    <row r="2496" spans="1:3" x14ac:dyDescent="0.25">
      <c r="A2496" t="str">
        <f>"07/10/2019"</f>
        <v>07/10/2019</v>
      </c>
      <c r="B2496" t="str">
        <f>"1.0977"</f>
        <v>1.0977</v>
      </c>
      <c r="C2496" t="str">
        <f>"1.1003"</f>
        <v>1.1003</v>
      </c>
    </row>
    <row r="2497" spans="1:3" x14ac:dyDescent="0.25">
      <c r="A2497" t="str">
        <f>"09/10/2019"</f>
        <v>09/10/2019</v>
      </c>
      <c r="B2497" t="str">
        <f>"1.0977"</f>
        <v>1.0977</v>
      </c>
      <c r="C2497" t="str">
        <f>"1.1002"</f>
        <v>1.1002</v>
      </c>
    </row>
    <row r="2498" spans="1:3" x14ac:dyDescent="0.25">
      <c r="A2498" t="str">
        <f>"10/10/2019"</f>
        <v>10/10/2019</v>
      </c>
      <c r="B2498" t="str">
        <f>"1.1026"</f>
        <v>1.1026</v>
      </c>
      <c r="C2498" t="str">
        <f>"1.105"</f>
        <v>1.105</v>
      </c>
    </row>
    <row r="2499" spans="1:3" x14ac:dyDescent="0.25">
      <c r="A2499" t="str">
        <f>"11/10/2019"</f>
        <v>11/10/2019</v>
      </c>
      <c r="B2499" t="str">
        <f>"1.1057"</f>
        <v>1.1057</v>
      </c>
      <c r="C2499" t="str">
        <f>"1.1081"</f>
        <v>1.1081</v>
      </c>
    </row>
    <row r="2500" spans="1:3" x14ac:dyDescent="0.25">
      <c r="A2500" t="str">
        <f>"14/10/2019"</f>
        <v>14/10/2019</v>
      </c>
      <c r="B2500" t="str">
        <f>"1.1026"</f>
        <v>1.1026</v>
      </c>
      <c r="C2500" t="str">
        <f>"1.1051"</f>
        <v>1.1051</v>
      </c>
    </row>
    <row r="2501" spans="1:3" x14ac:dyDescent="0.25">
      <c r="A2501" t="str">
        <f>"15/10/2019"</f>
        <v>15/10/2019</v>
      </c>
      <c r="B2501" t="str">
        <f>"1.1008"</f>
        <v>1.1008</v>
      </c>
      <c r="C2501" t="str">
        <f>"1.1032"</f>
        <v>1.1032</v>
      </c>
    </row>
    <row r="2502" spans="1:3" x14ac:dyDescent="0.25">
      <c r="A2502" t="str">
        <f>"16/10/2019"</f>
        <v>16/10/2019</v>
      </c>
      <c r="B2502" t="str">
        <f>"1.1029"</f>
        <v>1.1029</v>
      </c>
      <c r="C2502" t="str">
        <f>"1.1053"</f>
        <v>1.1053</v>
      </c>
    </row>
    <row r="2503" spans="1:3" x14ac:dyDescent="0.25">
      <c r="A2503" t="str">
        <f>"17/10/2019"</f>
        <v>17/10/2019</v>
      </c>
      <c r="B2503" t="str">
        <f>"1.112"</f>
        <v>1.112</v>
      </c>
      <c r="C2503" t="str">
        <f>"1.1144"</f>
        <v>1.1144</v>
      </c>
    </row>
    <row r="2504" spans="1:3" x14ac:dyDescent="0.25">
      <c r="A2504" t="str">
        <f>"18/10/2019"</f>
        <v>18/10/2019</v>
      </c>
      <c r="B2504" t="str">
        <f>"1.1142"</f>
        <v>1.1142</v>
      </c>
      <c r="C2504" t="str">
        <f>"1.1165"</f>
        <v>1.1165</v>
      </c>
    </row>
    <row r="2505" spans="1:3" x14ac:dyDescent="0.25">
      <c r="A2505" t="str">
        <f>"22/10/2019"</f>
        <v>22/10/2019</v>
      </c>
      <c r="B2505" t="str">
        <f>"1.1138"</f>
        <v>1.1138</v>
      </c>
      <c r="C2505" t="str">
        <f>"1.1162"</f>
        <v>1.1162</v>
      </c>
    </row>
    <row r="2506" spans="1:3" x14ac:dyDescent="0.25">
      <c r="A2506" t="str">
        <f>"23/10/2019"</f>
        <v>23/10/2019</v>
      </c>
      <c r="B2506" t="str">
        <f>"1.112"</f>
        <v>1.112</v>
      </c>
      <c r="C2506" t="str">
        <f>"1.1143"</f>
        <v>1.1143</v>
      </c>
    </row>
    <row r="2507" spans="1:3" x14ac:dyDescent="0.25">
      <c r="A2507" t="str">
        <f>"24/10/2019"</f>
        <v>24/10/2019</v>
      </c>
      <c r="B2507" t="str">
        <f>"1.1125"</f>
        <v>1.1125</v>
      </c>
      <c r="C2507" t="str">
        <f>"1.1148"</f>
        <v>1.1148</v>
      </c>
    </row>
    <row r="2508" spans="1:3" x14ac:dyDescent="0.25">
      <c r="A2508" t="str">
        <f>"25/10/2019"</f>
        <v>25/10/2019</v>
      </c>
      <c r="B2508" t="str">
        <f>"1.1102"</f>
        <v>1.1102</v>
      </c>
      <c r="C2508" t="str">
        <f>"1.1125"</f>
        <v>1.1125</v>
      </c>
    </row>
    <row r="2509" spans="1:3" x14ac:dyDescent="0.25">
      <c r="A2509" t="str">
        <f>"29/10/2019"</f>
        <v>29/10/2019</v>
      </c>
      <c r="B2509" t="str">
        <f>"1.1083"</f>
        <v>1.1083</v>
      </c>
      <c r="C2509" t="str">
        <f>"1.1104"</f>
        <v>1.1104</v>
      </c>
    </row>
    <row r="2510" spans="1:3" x14ac:dyDescent="0.25">
      <c r="A2510" t="str">
        <f>"30/10/2019"</f>
        <v>30/10/2019</v>
      </c>
      <c r="B2510" t="str">
        <f>"1.1109"</f>
        <v>1.1109</v>
      </c>
      <c r="C2510" t="str">
        <f>"1.1131"</f>
        <v>1.1131</v>
      </c>
    </row>
    <row r="2511" spans="1:3" x14ac:dyDescent="0.25">
      <c r="A2511" t="str">
        <f>"31/10/2019"</f>
        <v>31/10/2019</v>
      </c>
      <c r="B2511" t="str">
        <f>"1.1161"</f>
        <v>1.1161</v>
      </c>
      <c r="C2511" t="str">
        <f>"1.1182"</f>
        <v>1.1182</v>
      </c>
    </row>
    <row r="2512" spans="1:3" x14ac:dyDescent="0.25">
      <c r="A2512" t="str">
        <f>"01/11/2019"</f>
        <v>01/11/2019</v>
      </c>
      <c r="B2512" t="str">
        <f>"1.1156"</f>
        <v>1.1156</v>
      </c>
      <c r="C2512" t="str">
        <f>"1.1177"</f>
        <v>1.1177</v>
      </c>
    </row>
    <row r="2513" spans="1:3" x14ac:dyDescent="0.25">
      <c r="A2513" t="str">
        <f>"04/11/2019"</f>
        <v>04/11/2019</v>
      </c>
      <c r="B2513" t="str">
        <f>"1.1171"</f>
        <v>1.1171</v>
      </c>
      <c r="C2513" t="str">
        <f>"1.1192"</f>
        <v>1.1192</v>
      </c>
    </row>
    <row r="2514" spans="1:3" x14ac:dyDescent="0.25">
      <c r="A2514" t="str">
        <f>"05/11/2019"</f>
        <v>05/11/2019</v>
      </c>
      <c r="B2514" t="str">
        <f>"1.1121"</f>
        <v>1.1121</v>
      </c>
      <c r="C2514" t="str">
        <f>"1.1143"</f>
        <v>1.1143</v>
      </c>
    </row>
    <row r="2515" spans="1:3" x14ac:dyDescent="0.25">
      <c r="A2515" t="str">
        <f>"06/11/2019"</f>
        <v>06/11/2019</v>
      </c>
      <c r="B2515" t="str">
        <f>"1.1079"</f>
        <v>1.1079</v>
      </c>
      <c r="C2515" t="str">
        <f>"1.1101"</f>
        <v>1.1101</v>
      </c>
    </row>
    <row r="2516" spans="1:3" x14ac:dyDescent="0.25">
      <c r="A2516" t="str">
        <f>"07/11/2019"</f>
        <v>07/11/2019</v>
      </c>
      <c r="B2516" t="str">
        <f>"1.1079"</f>
        <v>1.1079</v>
      </c>
      <c r="C2516" t="str">
        <f>"1.11"</f>
        <v>1.11</v>
      </c>
    </row>
    <row r="2517" spans="1:3" x14ac:dyDescent="0.25">
      <c r="A2517" t="str">
        <f>"08/11/2019"</f>
        <v>08/11/2019</v>
      </c>
      <c r="B2517" t="str">
        <f>"1.1031"</f>
        <v>1.1031</v>
      </c>
      <c r="C2517" t="str">
        <f>"1.1052"</f>
        <v>1.1052</v>
      </c>
    </row>
    <row r="2518" spans="1:3" x14ac:dyDescent="0.25">
      <c r="A2518" t="str">
        <f>"11/11/2019"</f>
        <v>11/11/2019</v>
      </c>
      <c r="B2518" t="str">
        <f>"1.1027"</f>
        <v>1.1027</v>
      </c>
      <c r="C2518" t="str">
        <f>"1.1048"</f>
        <v>1.1048</v>
      </c>
    </row>
    <row r="2519" spans="1:3" x14ac:dyDescent="0.25">
      <c r="A2519" t="str">
        <f>"13/11/2019"</f>
        <v>13/11/2019</v>
      </c>
      <c r="B2519" t="str">
        <f>"1.1009"</f>
        <v>1.1009</v>
      </c>
      <c r="C2519" t="str">
        <f>"1.103"</f>
        <v>1.103</v>
      </c>
    </row>
    <row r="2520" spans="1:3" x14ac:dyDescent="0.25">
      <c r="A2520" t="str">
        <f>"14/11/2019"</f>
        <v>14/11/2019</v>
      </c>
      <c r="B2520" t="str">
        <f>"1.099"</f>
        <v>1.099</v>
      </c>
      <c r="C2520" t="str">
        <f>"1.101"</f>
        <v>1.101</v>
      </c>
    </row>
    <row r="2521" spans="1:3" x14ac:dyDescent="0.25">
      <c r="A2521" t="str">
        <f>"15/11/2019"</f>
        <v>15/11/2019</v>
      </c>
      <c r="B2521" t="str">
        <f>"1.103"</f>
        <v>1.103</v>
      </c>
      <c r="C2521" t="str">
        <f>"1.105"</f>
        <v>1.105</v>
      </c>
    </row>
    <row r="2522" spans="1:3" x14ac:dyDescent="0.25">
      <c r="A2522" t="str">
        <f>"18/11/2019"</f>
        <v>18/11/2019</v>
      </c>
      <c r="B2522" t="str">
        <f>"1.1061"</f>
        <v>1.1061</v>
      </c>
      <c r="C2522" t="str">
        <f>"1.1081"</f>
        <v>1.1081</v>
      </c>
    </row>
    <row r="2523" spans="1:3" x14ac:dyDescent="0.25">
      <c r="A2523" t="str">
        <f>"19/11/2019"</f>
        <v>19/11/2019</v>
      </c>
      <c r="B2523" t="str">
        <f>"1.1073"</f>
        <v>1.1073</v>
      </c>
      <c r="C2523" t="str">
        <f>"1.1095"</f>
        <v>1.1095</v>
      </c>
    </row>
    <row r="2524" spans="1:3" x14ac:dyDescent="0.25">
      <c r="A2524" t="str">
        <f>"20/11/2019"</f>
        <v>20/11/2019</v>
      </c>
      <c r="B2524" t="str">
        <f>"1.1061"</f>
        <v>1.1061</v>
      </c>
      <c r="C2524" t="str">
        <f>"1.1082"</f>
        <v>1.1082</v>
      </c>
    </row>
    <row r="2525" spans="1:3" x14ac:dyDescent="0.25">
      <c r="A2525" t="str">
        <f>"21/11/2019"</f>
        <v>21/11/2019</v>
      </c>
      <c r="B2525" t="str">
        <f>"1.1074"</f>
        <v>1.1074</v>
      </c>
      <c r="C2525" t="str">
        <f>"1.1095"</f>
        <v>1.1095</v>
      </c>
    </row>
    <row r="2526" spans="1:3" x14ac:dyDescent="0.25">
      <c r="A2526" t="str">
        <f>"22/11/2019"</f>
        <v>22/11/2019</v>
      </c>
      <c r="B2526" t="str">
        <f>"1.1063"</f>
        <v>1.1063</v>
      </c>
      <c r="C2526" t="str">
        <f>"1.1084"</f>
        <v>1.1084</v>
      </c>
    </row>
    <row r="2527" spans="1:3" x14ac:dyDescent="0.25">
      <c r="A2527" t="str">
        <f>"25/11/2019"</f>
        <v>25/11/2019</v>
      </c>
      <c r="B2527" t="str">
        <f>"1.1015"</f>
        <v>1.1015</v>
      </c>
      <c r="C2527" t="str">
        <f>"1.1035"</f>
        <v>1.1035</v>
      </c>
    </row>
    <row r="2528" spans="1:3" x14ac:dyDescent="0.25">
      <c r="A2528" t="str">
        <f>"26/11/2019"</f>
        <v>26/11/2019</v>
      </c>
      <c r="B2528" t="str">
        <f>"1.1017"</f>
        <v>1.1017</v>
      </c>
      <c r="C2528" t="str">
        <f>"1.1039"</f>
        <v>1.1039</v>
      </c>
    </row>
    <row r="2529" spans="1:3" x14ac:dyDescent="0.25">
      <c r="A2529" t="str">
        <f>"27/11/2019"</f>
        <v>27/11/2019</v>
      </c>
      <c r="B2529" t="str">
        <f>"1.1009"</f>
        <v>1.1009</v>
      </c>
      <c r="C2529" t="str">
        <f>"1.1031"</f>
        <v>1.1031</v>
      </c>
    </row>
    <row r="2530" spans="1:3" x14ac:dyDescent="0.25">
      <c r="A2530" t="str">
        <f>"28/11/2019"</f>
        <v>28/11/2019</v>
      </c>
      <c r="B2530" t="str">
        <f>"1.1007"</f>
        <v>1.1007</v>
      </c>
      <c r="C2530" t="str">
        <f>"1.1034"</f>
        <v>1.1034</v>
      </c>
    </row>
    <row r="2531" spans="1:3" x14ac:dyDescent="0.25">
      <c r="A2531" t="str">
        <f>"29/11/2019"</f>
        <v>29/11/2019</v>
      </c>
      <c r="B2531" t="str">
        <f>"1.1011"</f>
        <v>1.1011</v>
      </c>
      <c r="C2531" t="str">
        <f>"1.1038"</f>
        <v>1.1038</v>
      </c>
    </row>
    <row r="2532" spans="1:3" x14ac:dyDescent="0.25">
      <c r="A2532" t="str">
        <f>"02/12/2019"</f>
        <v>02/12/2019</v>
      </c>
      <c r="B2532" t="str">
        <f>"1.1008"</f>
        <v>1.1008</v>
      </c>
      <c r="C2532" t="str">
        <f>"1.1037"</f>
        <v>1.1037</v>
      </c>
    </row>
    <row r="2533" spans="1:3" x14ac:dyDescent="0.25">
      <c r="A2533" t="str">
        <f>"03/12/2019"</f>
        <v>03/12/2019</v>
      </c>
      <c r="B2533" t="str">
        <f>"1.1077"</f>
        <v>1.1077</v>
      </c>
      <c r="C2533" t="str">
        <f>"1.1105"</f>
        <v>1.1105</v>
      </c>
    </row>
    <row r="2534" spans="1:3" x14ac:dyDescent="0.25">
      <c r="A2534" t="str">
        <f>"04/12/2019"</f>
        <v>04/12/2019</v>
      </c>
      <c r="B2534" t="str">
        <f>"1.107"</f>
        <v>1.107</v>
      </c>
      <c r="C2534" t="str">
        <f>"1.1096"</f>
        <v>1.1096</v>
      </c>
    </row>
    <row r="2535" spans="1:3" x14ac:dyDescent="0.25">
      <c r="A2535" t="str">
        <f>"05/12/2019"</f>
        <v>05/12/2019</v>
      </c>
      <c r="B2535" t="str">
        <f>"1.1095"</f>
        <v>1.1095</v>
      </c>
      <c r="C2535" t="str">
        <f>"1.1121"</f>
        <v>1.1121</v>
      </c>
    </row>
    <row r="2536" spans="1:3" x14ac:dyDescent="0.25">
      <c r="A2536" t="str">
        <f>"06/12/2019"</f>
        <v>06/12/2019</v>
      </c>
      <c r="B2536" t="str">
        <f>"1.1095"</f>
        <v>1.1095</v>
      </c>
      <c r="C2536" t="str">
        <f>"1.1121"</f>
        <v>1.1121</v>
      </c>
    </row>
    <row r="2537" spans="1:3" x14ac:dyDescent="0.25">
      <c r="A2537" t="str">
        <f>"09/12/2019"</f>
        <v>09/12/2019</v>
      </c>
      <c r="B2537" t="str">
        <f>"1.1073"</f>
        <v>1.1073</v>
      </c>
      <c r="C2537" t="str">
        <f>"1.1101"</f>
        <v>1.1101</v>
      </c>
    </row>
    <row r="2538" spans="1:3" x14ac:dyDescent="0.25">
      <c r="A2538" t="str">
        <f>"10/12/2019"</f>
        <v>10/12/2019</v>
      </c>
      <c r="B2538" t="str">
        <f>"1.1083"</f>
        <v>1.1083</v>
      </c>
      <c r="C2538" t="str">
        <f>"1.1111"</f>
        <v>1.1111</v>
      </c>
    </row>
    <row r="2539" spans="1:3" x14ac:dyDescent="0.25">
      <c r="A2539" t="str">
        <f>"11/12/2019"</f>
        <v>11/12/2019</v>
      </c>
      <c r="B2539" t="str">
        <f>"1.1083"</f>
        <v>1.1083</v>
      </c>
      <c r="C2539" t="str">
        <f>"1.1112"</f>
        <v>1.1112</v>
      </c>
    </row>
    <row r="2540" spans="1:3" x14ac:dyDescent="0.25">
      <c r="A2540" t="str">
        <f>"12/12/2019"</f>
        <v>12/12/2019</v>
      </c>
      <c r="B2540" t="str">
        <f>"1.1133"</f>
        <v>1.1133</v>
      </c>
      <c r="C2540" t="str">
        <f>"1.1161"</f>
        <v>1.1161</v>
      </c>
    </row>
    <row r="2541" spans="1:3" x14ac:dyDescent="0.25">
      <c r="A2541" t="str">
        <f>"13/12/2019"</f>
        <v>13/12/2019</v>
      </c>
      <c r="B2541" t="str">
        <f>"1.1175"</f>
        <v>1.1175</v>
      </c>
      <c r="C2541" t="str">
        <f>"1.1202"</f>
        <v>1.1202</v>
      </c>
    </row>
    <row r="2542" spans="1:3" x14ac:dyDescent="0.25">
      <c r="A2542" t="str">
        <f>"16/12/2019"</f>
        <v>16/12/2019</v>
      </c>
      <c r="B2542" t="str">
        <f>"1.1143"</f>
        <v>1.1143</v>
      </c>
      <c r="C2542" t="str">
        <f>"1.1172"</f>
        <v>1.1172</v>
      </c>
    </row>
    <row r="2543" spans="1:3" x14ac:dyDescent="0.25">
      <c r="A2543" t="str">
        <f>"17/12/2019"</f>
        <v>17/12/2019</v>
      </c>
      <c r="B2543" t="str">
        <f>"1.1147"</f>
        <v>1.1147</v>
      </c>
      <c r="C2543" t="str">
        <f>"1.1175"</f>
        <v>1.1175</v>
      </c>
    </row>
    <row r="2544" spans="1:3" x14ac:dyDescent="0.25">
      <c r="A2544" t="str">
        <f>"18/12/2019"</f>
        <v>18/12/2019</v>
      </c>
      <c r="B2544" t="str">
        <f>"1.1126"</f>
        <v>1.1126</v>
      </c>
      <c r="C2544" t="str">
        <f>"1.1154"</f>
        <v>1.1154</v>
      </c>
    </row>
    <row r="2545" spans="1:3" x14ac:dyDescent="0.25">
      <c r="A2545" t="str">
        <f>"19/12/2019"</f>
        <v>19/12/2019</v>
      </c>
      <c r="B2545" t="str">
        <f>"1.1129"</f>
        <v>1.1129</v>
      </c>
      <c r="C2545" t="str">
        <f>"1.1156"</f>
        <v>1.1156</v>
      </c>
    </row>
    <row r="2546" spans="1:3" x14ac:dyDescent="0.25">
      <c r="A2546" t="str">
        <f>"20/12/2019"</f>
        <v>20/12/2019</v>
      </c>
      <c r="B2546" t="str">
        <f>"1.1117"</f>
        <v>1.1117</v>
      </c>
      <c r="C2546" t="str">
        <f>"1.1142"</f>
        <v>1.1142</v>
      </c>
    </row>
    <row r="2547" spans="1:3" x14ac:dyDescent="0.25">
      <c r="A2547" t="str">
        <f>"23/12/2019"</f>
        <v>23/12/2019</v>
      </c>
      <c r="B2547" t="str">
        <f>"1.1079"</f>
        <v>1.1079</v>
      </c>
      <c r="C2547" t="str">
        <f>"1.1106"</f>
        <v>1.1106</v>
      </c>
    </row>
    <row r="2548" spans="1:3" x14ac:dyDescent="0.25">
      <c r="A2548" t="str">
        <f>"24/12/2019"</f>
        <v>24/12/2019</v>
      </c>
      <c r="B2548" t="str">
        <f>"1.1071"</f>
        <v>1.1071</v>
      </c>
      <c r="C2548" t="str">
        <f>"1.1099"</f>
        <v>1.1099</v>
      </c>
    </row>
    <row r="2549" spans="1:3" x14ac:dyDescent="0.25">
      <c r="A2549" t="str">
        <f>"26/12/2019"</f>
        <v>26/12/2019</v>
      </c>
      <c r="B2549" t="str">
        <f>"1.1087"</f>
        <v>1.1087</v>
      </c>
      <c r="C2549" t="str">
        <f>"1.1114"</f>
        <v>1.1114</v>
      </c>
    </row>
    <row r="2550" spans="1:3" x14ac:dyDescent="0.25">
      <c r="A2550" t="str">
        <f>"27/12/2019"</f>
        <v>27/12/2019</v>
      </c>
      <c r="B2550" t="str">
        <f>"1.1148"</f>
        <v>1.1148</v>
      </c>
      <c r="C2550" t="str">
        <f>"1.1173"</f>
        <v>1.1173</v>
      </c>
    </row>
    <row r="2551" spans="1:3" x14ac:dyDescent="0.25">
      <c r="A2551" t="str">
        <f>"30/12/2019"</f>
        <v>30/12/2019</v>
      </c>
      <c r="B2551" t="str">
        <f>"1.1194"</f>
        <v>1.1194</v>
      </c>
      <c r="C2551" t="str">
        <f>"1.1216"</f>
        <v>1.1216</v>
      </c>
    </row>
    <row r="2552" spans="1:3" x14ac:dyDescent="0.25">
      <c r="A2552" t="str">
        <f>"31/12/2019"</f>
        <v>31/12/2019</v>
      </c>
      <c r="B2552" t="str">
        <f>"1.1231"</f>
        <v>1.1231</v>
      </c>
      <c r="C2552" t="str">
        <f>"1.1252"</f>
        <v>1.1252</v>
      </c>
    </row>
    <row r="2553" spans="1:3" x14ac:dyDescent="0.25">
      <c r="A2553" t="str">
        <f>"02/01/2020"</f>
        <v>02/01/2020</v>
      </c>
      <c r="B2553" t="str">
        <f>"1.1189"</f>
        <v>1.1189</v>
      </c>
      <c r="C2553" t="str">
        <f>"1.121"</f>
        <v>1.121</v>
      </c>
    </row>
    <row r="2554" spans="1:3" x14ac:dyDescent="0.25">
      <c r="A2554" t="str">
        <f>"03/01/2020"</f>
        <v>03/01/2020</v>
      </c>
      <c r="B2554" t="str">
        <f>"1.1127"</f>
        <v>1.1127</v>
      </c>
      <c r="C2554" t="str">
        <f>"1.1148"</f>
        <v>1.1148</v>
      </c>
    </row>
    <row r="2555" spans="1:3" x14ac:dyDescent="0.25">
      <c r="A2555" t="str">
        <f>"06/01/2020"</f>
        <v>06/01/2020</v>
      </c>
      <c r="B2555" t="str">
        <f>"1.1163"</f>
        <v>1.1163</v>
      </c>
      <c r="C2555" t="str">
        <f>"1.1185"</f>
        <v>1.1185</v>
      </c>
    </row>
    <row r="2556" spans="1:3" x14ac:dyDescent="0.25">
      <c r="A2556" t="str">
        <f>"07/01/2020"</f>
        <v>07/01/2020</v>
      </c>
      <c r="B2556" t="str">
        <f>"1.118"</f>
        <v>1.118</v>
      </c>
      <c r="C2556" t="str">
        <f>"1.1202"</f>
        <v>1.1202</v>
      </c>
    </row>
    <row r="2557" spans="1:3" x14ac:dyDescent="0.25">
      <c r="A2557" t="str">
        <f>"08/01/2020"</f>
        <v>08/01/2020</v>
      </c>
      <c r="B2557" t="str">
        <f>"1.1128"</f>
        <v>1.1128</v>
      </c>
      <c r="C2557" t="str">
        <f>"1.1149"</f>
        <v>1.1149</v>
      </c>
    </row>
    <row r="2558" spans="1:3" x14ac:dyDescent="0.25">
      <c r="A2558" t="str">
        <f>"09/01/2020"</f>
        <v>09/01/2020</v>
      </c>
      <c r="B2558" t="str">
        <f>"1.1106"</f>
        <v>1.1106</v>
      </c>
      <c r="C2558" t="str">
        <f>"1.1127"</f>
        <v>1.1127</v>
      </c>
    </row>
    <row r="2559" spans="1:3" x14ac:dyDescent="0.25">
      <c r="A2559" t="str">
        <f>"10/01/2020"</f>
        <v>10/01/2020</v>
      </c>
      <c r="B2559" t="str">
        <f>"1.1093"</f>
        <v>1.1093</v>
      </c>
      <c r="C2559" t="str">
        <f>"1.1114"</f>
        <v>1.1114</v>
      </c>
    </row>
    <row r="2560" spans="1:3" x14ac:dyDescent="0.25">
      <c r="A2560" t="str">
        <f>"13/01/2020"</f>
        <v>13/01/2020</v>
      </c>
      <c r="B2560" t="str">
        <f>"1.113"</f>
        <v>1.113</v>
      </c>
      <c r="C2560" t="str">
        <f>"1.1153"</f>
        <v>1.1153</v>
      </c>
    </row>
    <row r="2561" spans="1:3" x14ac:dyDescent="0.25">
      <c r="A2561" t="str">
        <f>"14/01/2020"</f>
        <v>14/01/2020</v>
      </c>
      <c r="B2561" t="str">
        <f>"1.1137"</f>
        <v>1.1137</v>
      </c>
      <c r="C2561" t="str">
        <f>"1.116"</f>
        <v>1.116</v>
      </c>
    </row>
    <row r="2562" spans="1:3" x14ac:dyDescent="0.25">
      <c r="A2562" t="str">
        <f>"15/01/2020"</f>
        <v>15/01/2020</v>
      </c>
      <c r="B2562" t="str">
        <f>"1.1132"</f>
        <v>1.1132</v>
      </c>
      <c r="C2562" t="str">
        <f>"1.1154"</f>
        <v>1.1154</v>
      </c>
    </row>
    <row r="2563" spans="1:3" x14ac:dyDescent="0.25">
      <c r="A2563" t="str">
        <f>"16/01/2020"</f>
        <v>16/01/2020</v>
      </c>
      <c r="B2563" t="str">
        <f>"1.1159"</f>
        <v>1.1159</v>
      </c>
      <c r="C2563" t="str">
        <f>"1.118"</f>
        <v>1.118</v>
      </c>
    </row>
    <row r="2564" spans="1:3" x14ac:dyDescent="0.25">
      <c r="A2564" t="str">
        <f>"17/01/2020"</f>
        <v>17/01/2020</v>
      </c>
      <c r="B2564" t="str">
        <f>"1.1109"</f>
        <v>1.1109</v>
      </c>
      <c r="C2564" t="str">
        <f>"1.113"</f>
        <v>1.113</v>
      </c>
    </row>
    <row r="2565" spans="1:3" x14ac:dyDescent="0.25">
      <c r="A2565" t="str">
        <f>"20/01/2020"</f>
        <v>20/01/2020</v>
      </c>
      <c r="B2565" t="str">
        <f>"1.1086"</f>
        <v>1.1086</v>
      </c>
      <c r="C2565" t="str">
        <f>"1.1108"</f>
        <v>1.1108</v>
      </c>
    </row>
    <row r="2566" spans="1:3" x14ac:dyDescent="0.25">
      <c r="A2566" t="str">
        <f>"21/01/2020"</f>
        <v>21/01/2020</v>
      </c>
      <c r="B2566" t="str">
        <f>"1.1109"</f>
        <v>1.1109</v>
      </c>
      <c r="C2566" t="str">
        <f>"1.1131"</f>
        <v>1.1131</v>
      </c>
    </row>
    <row r="2567" spans="1:3" x14ac:dyDescent="0.25">
      <c r="A2567" t="str">
        <f>"22/01/2020"</f>
        <v>22/01/2020</v>
      </c>
      <c r="B2567" t="str">
        <f>"1.108"</f>
        <v>1.108</v>
      </c>
      <c r="C2567" t="str">
        <f>"1.1101"</f>
        <v>1.1101</v>
      </c>
    </row>
    <row r="2568" spans="1:3" x14ac:dyDescent="0.25">
      <c r="A2568" t="str">
        <f>"23/01/2020"</f>
        <v>23/01/2020</v>
      </c>
      <c r="B2568" t="str">
        <f>"1.1091"</f>
        <v>1.1091</v>
      </c>
      <c r="C2568" t="str">
        <f>"1.1112"</f>
        <v>1.1112</v>
      </c>
    </row>
    <row r="2569" spans="1:3" x14ac:dyDescent="0.25">
      <c r="A2569" t="str">
        <f>"24/01/2020"</f>
        <v>24/01/2020</v>
      </c>
      <c r="B2569" t="str">
        <f>"1.1032"</f>
        <v>1.1032</v>
      </c>
      <c r="C2569" t="str">
        <f>"1.1053"</f>
        <v>1.1053</v>
      </c>
    </row>
    <row r="2570" spans="1:3" x14ac:dyDescent="0.25">
      <c r="A2570" t="str">
        <f>"27/01/2020"</f>
        <v>27/01/2020</v>
      </c>
      <c r="B2570" t="str">
        <f>"1.1023"</f>
        <v>1.1023</v>
      </c>
      <c r="C2570" t="str">
        <f>"1.1043"</f>
        <v>1.1043</v>
      </c>
    </row>
    <row r="2571" spans="1:3" x14ac:dyDescent="0.25">
      <c r="A2571" t="str">
        <f>"28/01/2020"</f>
        <v>28/01/2020</v>
      </c>
      <c r="B2571" t="str">
        <f>"1.1008"</f>
        <v>1.1008</v>
      </c>
      <c r="C2571" t="str">
        <f>"1.1028"</f>
        <v>1.1028</v>
      </c>
    </row>
    <row r="2572" spans="1:3" x14ac:dyDescent="0.25">
      <c r="A2572" t="str">
        <f>"29/01/2020"</f>
        <v>29/01/2020</v>
      </c>
      <c r="B2572" t="str">
        <f>"1.1002"</f>
        <v>1.1002</v>
      </c>
      <c r="C2572" t="str">
        <f>"1.1021"</f>
        <v>1.1021</v>
      </c>
    </row>
    <row r="2573" spans="1:3" x14ac:dyDescent="0.25">
      <c r="A2573" t="str">
        <f>"30/01/2020"</f>
        <v>30/01/2020</v>
      </c>
      <c r="B2573" t="str">
        <f>"1.1021"</f>
        <v>1.1021</v>
      </c>
      <c r="C2573" t="str">
        <f>"1.1041"</f>
        <v>1.1041</v>
      </c>
    </row>
    <row r="2574" spans="1:3" x14ac:dyDescent="0.25">
      <c r="A2574" t="str">
        <f>"31/01/2020"</f>
        <v>31/01/2020</v>
      </c>
      <c r="B2574" t="str">
        <f>"1.1024"</f>
        <v>1.1024</v>
      </c>
      <c r="C2574" t="str">
        <f>"1.1043"</f>
        <v>1.1043</v>
      </c>
    </row>
    <row r="2575" spans="1:3" x14ac:dyDescent="0.25">
      <c r="A2575" t="str">
        <f>"03/02/2020"</f>
        <v>03/02/2020</v>
      </c>
      <c r="B2575" t="str">
        <f>"1.1062"</f>
        <v>1.1062</v>
      </c>
      <c r="C2575" t="str">
        <f>"1.1082"</f>
        <v>1.1082</v>
      </c>
    </row>
    <row r="2576" spans="1:3" x14ac:dyDescent="0.25">
      <c r="A2576" t="str">
        <f>"04/02/2020"</f>
        <v>04/02/2020</v>
      </c>
      <c r="B2576" t="str">
        <f>"1.1053"</f>
        <v>1.1053</v>
      </c>
      <c r="C2576" t="str">
        <f>"1.1073"</f>
        <v>1.1073</v>
      </c>
    </row>
    <row r="2577" spans="1:3" x14ac:dyDescent="0.25">
      <c r="A2577" t="str">
        <f>"05/02/2020"</f>
        <v>05/02/2020</v>
      </c>
      <c r="B2577" t="str">
        <f>"1.1025"</f>
        <v>1.1025</v>
      </c>
      <c r="C2577" t="str">
        <f>"1.1046"</f>
        <v>1.1046</v>
      </c>
    </row>
    <row r="2578" spans="1:3" x14ac:dyDescent="0.25">
      <c r="A2578" t="str">
        <f>"06/02/2020"</f>
        <v>06/02/2020</v>
      </c>
      <c r="B2578" t="str">
        <f>"1.10"</f>
        <v>1.10</v>
      </c>
      <c r="C2578" t="str">
        <f>"1.1019"</f>
        <v>1.1019</v>
      </c>
    </row>
    <row r="2579" spans="1:3" x14ac:dyDescent="0.25">
      <c r="A2579" t="str">
        <f>"07/02/2020"</f>
        <v>07/02/2020</v>
      </c>
      <c r="B2579" t="str">
        <f>"1.0956"</f>
        <v>1.0956</v>
      </c>
      <c r="C2579" t="str">
        <f>"1.0975"</f>
        <v>1.0975</v>
      </c>
    </row>
    <row r="2580" spans="1:3" x14ac:dyDescent="0.25">
      <c r="A2580" t="str">
        <f>"10/02/2020"</f>
        <v>10/02/2020</v>
      </c>
      <c r="B2580" t="str">
        <f>"1.0951"</f>
        <v>1.0951</v>
      </c>
      <c r="C2580" t="str">
        <f>"1.097"</f>
        <v>1.097</v>
      </c>
    </row>
    <row r="2581" spans="1:3" x14ac:dyDescent="0.25">
      <c r="A2581" t="str">
        <f>"11/02/2020"</f>
        <v>11/02/2020</v>
      </c>
      <c r="B2581" t="str">
        <f>"1.0915"</f>
        <v>1.0915</v>
      </c>
      <c r="C2581" t="str">
        <f>"1.0934"</f>
        <v>1.0934</v>
      </c>
    </row>
    <row r="2582" spans="1:3" x14ac:dyDescent="0.25">
      <c r="A2582" t="str">
        <f>"12/02/2020"</f>
        <v>12/02/2020</v>
      </c>
      <c r="B2582" t="str">
        <f>"1.0911"</f>
        <v>1.0911</v>
      </c>
      <c r="C2582" t="str">
        <f>"1.0931"</f>
        <v>1.0931</v>
      </c>
    </row>
    <row r="2583" spans="1:3" x14ac:dyDescent="0.25">
      <c r="A2583" t="str">
        <f>"13/02/2020"</f>
        <v>13/02/2020</v>
      </c>
      <c r="B2583" t="str">
        <f>"1.0868"</f>
        <v>1.0868</v>
      </c>
      <c r="C2583" t="str">
        <f>"1.0887"</f>
        <v>1.0887</v>
      </c>
    </row>
    <row r="2584" spans="1:3" x14ac:dyDescent="0.25">
      <c r="A2584" t="str">
        <f>"14/02/2020"</f>
        <v>14/02/2020</v>
      </c>
      <c r="B2584" t="str">
        <f>"1.084"</f>
        <v>1.084</v>
      </c>
      <c r="C2584" t="str">
        <f>"1.0859"</f>
        <v>1.0859</v>
      </c>
    </row>
    <row r="2585" spans="1:3" x14ac:dyDescent="0.25">
      <c r="A2585" t="str">
        <f>"17/02/2020"</f>
        <v>17/02/2020</v>
      </c>
      <c r="B2585" t="str">
        <f>"1.084"</f>
        <v>1.084</v>
      </c>
      <c r="C2585" t="str">
        <f>"1.0859"</f>
        <v>1.0859</v>
      </c>
    </row>
    <row r="2586" spans="1:3" x14ac:dyDescent="0.25">
      <c r="A2586" t="str">
        <f>"18/02/2020"</f>
        <v>18/02/2020</v>
      </c>
      <c r="B2586" t="str">
        <f>"1.0829"</f>
        <v>1.0829</v>
      </c>
      <c r="C2586" t="str">
        <f>"1.0848"</f>
        <v>1.0848</v>
      </c>
    </row>
    <row r="2587" spans="1:3" x14ac:dyDescent="0.25">
      <c r="A2587" t="str">
        <f>"20/02/2020"</f>
        <v>20/02/2020</v>
      </c>
      <c r="B2587" t="str">
        <f>"1.0792"</f>
        <v>1.0792</v>
      </c>
      <c r="C2587" t="str">
        <f>"1.0811"</f>
        <v>1.0811</v>
      </c>
    </row>
    <row r="2588" spans="1:3" x14ac:dyDescent="0.25">
      <c r="A2588" t="str">
        <f>"24/02/2020"</f>
        <v>24/02/2020</v>
      </c>
      <c r="B2588" t="str">
        <f>"1.0823"</f>
        <v>1.0823</v>
      </c>
      <c r="C2588" t="str">
        <f>"1.0842"</f>
        <v>1.0842</v>
      </c>
    </row>
    <row r="2589" spans="1:3" x14ac:dyDescent="0.25">
      <c r="A2589" t="str">
        <f>"25/02/2020"</f>
        <v>25/02/2020</v>
      </c>
      <c r="B2589" t="str">
        <f>"1.0833"</f>
        <v>1.0833</v>
      </c>
      <c r="C2589" t="str">
        <f>"1.0852"</f>
        <v>1.0852</v>
      </c>
    </row>
    <row r="2590" spans="1:3" x14ac:dyDescent="0.25">
      <c r="A2590" t="str">
        <f>"26/02/2020"</f>
        <v>26/02/2020</v>
      </c>
      <c r="B2590" t="str">
        <f>"1.0884"</f>
        <v>1.0884</v>
      </c>
      <c r="C2590" t="str">
        <f>"1.0905"</f>
        <v>1.0905</v>
      </c>
    </row>
    <row r="2591" spans="1:3" x14ac:dyDescent="0.25">
      <c r="A2591" t="str">
        <f>"27/02/2020"</f>
        <v>27/02/2020</v>
      </c>
      <c r="B2591" t="str">
        <f>"1.0939"</f>
        <v>1.0939</v>
      </c>
      <c r="C2591" t="str">
        <f>"1.096"</f>
        <v>1.096</v>
      </c>
    </row>
    <row r="2592" spans="1:3" x14ac:dyDescent="0.25">
      <c r="A2592" t="str">
        <f>"28/02/2020"</f>
        <v>28/02/2020</v>
      </c>
      <c r="B2592" t="str">
        <f>"1.0989"</f>
        <v>1.0989</v>
      </c>
      <c r="C2592" t="str">
        <f>"1.101"</f>
        <v>1.101</v>
      </c>
    </row>
    <row r="2593" spans="1:3" x14ac:dyDescent="0.25">
      <c r="A2593" t="str">
        <f>"02/03/2020"</f>
        <v>02/03/2020</v>
      </c>
      <c r="B2593" t="str">
        <f>"1.112"</f>
        <v>1.112</v>
      </c>
      <c r="C2593" t="str">
        <f>"1.1141"</f>
        <v>1.1141</v>
      </c>
    </row>
    <row r="2594" spans="1:3" x14ac:dyDescent="0.25">
      <c r="A2594" t="str">
        <f>"03/03/2020"</f>
        <v>03/03/2020</v>
      </c>
      <c r="B2594" t="str">
        <f>"1.1115"</f>
        <v>1.1115</v>
      </c>
      <c r="C2594" t="str">
        <f>"1.1135"</f>
        <v>1.1135</v>
      </c>
    </row>
    <row r="2595" spans="1:3" x14ac:dyDescent="0.25">
      <c r="A2595" t="str">
        <f>"04/03/2020"</f>
        <v>04/03/2020</v>
      </c>
      <c r="B2595" t="str">
        <f>"1.115"</f>
        <v>1.115</v>
      </c>
      <c r="C2595" t="str">
        <f>"1.1167"</f>
        <v>1.1167</v>
      </c>
    </row>
    <row r="2596" spans="1:3" x14ac:dyDescent="0.25">
      <c r="A2596" t="str">
        <f>"05/03/2020"</f>
        <v>05/03/2020</v>
      </c>
      <c r="B2596" t="str">
        <f>"1.118"</f>
        <v>1.118</v>
      </c>
      <c r="C2596" t="str">
        <f>"1.1197"</f>
        <v>1.1197</v>
      </c>
    </row>
    <row r="2597" spans="1:3" x14ac:dyDescent="0.25">
      <c r="A2597" t="str">
        <f>"06/03/2020"</f>
        <v>06/03/2020</v>
      </c>
      <c r="B2597" t="str">
        <f>"1.1333"</f>
        <v>1.1333</v>
      </c>
      <c r="C2597" t="str">
        <f>"1.1352"</f>
        <v>1.1352</v>
      </c>
    </row>
    <row r="2598" spans="1:3" x14ac:dyDescent="0.25">
      <c r="A2598" t="str">
        <f>"09/03/2020"</f>
        <v>09/03/2020</v>
      </c>
      <c r="B2598" t="str">
        <f>"1.1406"</f>
        <v>1.1406</v>
      </c>
      <c r="C2598" t="str">
        <f>"1.1422"</f>
        <v>1.1422</v>
      </c>
    </row>
    <row r="2599" spans="1:3" x14ac:dyDescent="0.25">
      <c r="A2599" t="str">
        <f>"11/03/2020"</f>
        <v>11/03/2020</v>
      </c>
      <c r="B2599" t="str">
        <f>"1.1332"</f>
        <v>1.1332</v>
      </c>
      <c r="C2599" t="str">
        <f>"1.1348"</f>
        <v>1.1348</v>
      </c>
    </row>
    <row r="2600" spans="1:3" x14ac:dyDescent="0.25">
      <c r="A2600" t="str">
        <f>"12/03/2020"</f>
        <v>12/03/2020</v>
      </c>
      <c r="B2600" t="str">
        <f>"1.1219"</f>
        <v>1.1219</v>
      </c>
      <c r="C2600" t="str">
        <f>"1.1238"</f>
        <v>1.1238</v>
      </c>
    </row>
    <row r="2601" spans="1:3" x14ac:dyDescent="0.25">
      <c r="A2601" t="str">
        <f>"13/03/2020"</f>
        <v>13/03/2020</v>
      </c>
      <c r="B2601" t="str">
        <f>"1.1162"</f>
        <v>1.1162</v>
      </c>
      <c r="C2601" t="str">
        <f>"1.118"</f>
        <v>1.118</v>
      </c>
    </row>
    <row r="2602" spans="1:3" x14ac:dyDescent="0.25">
      <c r="A2602" t="str">
        <f>"16/03/2020"</f>
        <v>16/03/2020</v>
      </c>
      <c r="B2602" t="str">
        <f>"1.1161"</f>
        <v>1.1161</v>
      </c>
      <c r="C2602" t="str">
        <f>"1.1183"</f>
        <v>1.1183</v>
      </c>
    </row>
    <row r="2603" spans="1:3" x14ac:dyDescent="0.25">
      <c r="A2603" t="str">
        <f>"17/03/2020"</f>
        <v>17/03/2020</v>
      </c>
      <c r="B2603" t="str">
        <f>"1.1185"</f>
        <v>1.1185</v>
      </c>
      <c r="C2603" t="str">
        <f>"1.1208"</f>
        <v>1.1208</v>
      </c>
    </row>
    <row r="2604" spans="1:3" x14ac:dyDescent="0.25">
      <c r="A2604" t="str">
        <f>"18/03/2020"</f>
        <v>18/03/2020</v>
      </c>
      <c r="B2604" t="str">
        <f>"1.0986"</f>
        <v>1.0986</v>
      </c>
      <c r="C2604" t="str">
        <f>"1.1004"</f>
        <v>1.1004</v>
      </c>
    </row>
    <row r="2605" spans="1:3" x14ac:dyDescent="0.25">
      <c r="A2605" t="str">
        <f>"19/03/2020"</f>
        <v>19/03/2020</v>
      </c>
      <c r="B2605" t="str">
        <f>"1.0753"</f>
        <v>1.0753</v>
      </c>
      <c r="C2605" t="str">
        <f>"1.0783"</f>
        <v>1.0783</v>
      </c>
    </row>
    <row r="2606" spans="1:3" x14ac:dyDescent="0.25">
      <c r="A2606" t="str">
        <f>"20/03/2020"</f>
        <v>20/03/2020</v>
      </c>
      <c r="B2606" t="str">
        <f>"1.0767"</f>
        <v>1.0767</v>
      </c>
      <c r="C2606" t="str">
        <f>"1.0784"</f>
        <v>1.0784</v>
      </c>
    </row>
    <row r="2607" spans="1:3" x14ac:dyDescent="0.25">
      <c r="A2607" t="str">
        <f>"23/03/2020"</f>
        <v>23/03/2020</v>
      </c>
      <c r="B2607" t="str">
        <f>"1.0679"</f>
        <v>1.0679</v>
      </c>
      <c r="C2607" t="str">
        <f>"1.0696"</f>
        <v>1.0696</v>
      </c>
    </row>
    <row r="2608" spans="1:3" x14ac:dyDescent="0.25">
      <c r="A2608" t="str">
        <f>"24/03/2020"</f>
        <v>24/03/2020</v>
      </c>
      <c r="B2608" t="str">
        <f>"1.08"</f>
        <v>1.08</v>
      </c>
      <c r="C2608" t="str">
        <f>"1.0816"</f>
        <v>1.0816</v>
      </c>
    </row>
    <row r="2609" spans="1:3" x14ac:dyDescent="0.25">
      <c r="A2609" t="str">
        <f>"26/03/2020"</f>
        <v>26/03/2020</v>
      </c>
      <c r="B2609" t="str">
        <f>"1.0965"</f>
        <v>1.0965</v>
      </c>
      <c r="C2609" t="str">
        <f>"1.0979"</f>
        <v>1.0979</v>
      </c>
    </row>
    <row r="2610" spans="1:3" x14ac:dyDescent="0.25">
      <c r="A2610" t="str">
        <f>"27/03/2020"</f>
        <v>27/03/2020</v>
      </c>
      <c r="B2610" t="str">
        <f>"1.1006"</f>
        <v>1.1006</v>
      </c>
      <c r="C2610" t="str">
        <f>"1.1021"</f>
        <v>1.1021</v>
      </c>
    </row>
    <row r="2611" spans="1:3" x14ac:dyDescent="0.25">
      <c r="A2611" t="str">
        <f>"30/03/2020"</f>
        <v>30/03/2020</v>
      </c>
      <c r="B2611" t="str">
        <f>"1.1054"</f>
        <v>1.1054</v>
      </c>
      <c r="C2611" t="str">
        <f>"1.107"</f>
        <v>1.107</v>
      </c>
    </row>
    <row r="2612" spans="1:3" x14ac:dyDescent="0.25">
      <c r="A2612" t="str">
        <f>"31/03/2020"</f>
        <v>31/03/2020</v>
      </c>
      <c r="B2612" t="str">
        <f>"1.1024"</f>
        <v>1.1024</v>
      </c>
      <c r="C2612" t="str">
        <f>"1.1038"</f>
        <v>1.1038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7B079-884D-4A1E-B5D7-7E9F3CE58AEA}">
  <dimension ref="A2:C2612"/>
  <sheetViews>
    <sheetView topLeftCell="A1198" workbookViewId="0">
      <selection activeCell="B1198" sqref="B1198"/>
    </sheetView>
  </sheetViews>
  <sheetFormatPr defaultRowHeight="15" x14ac:dyDescent="0.25"/>
  <cols>
    <col min="1" max="1" width="10.7109375" bestFit="1" customWidth="1"/>
  </cols>
  <sheetData>
    <row r="2" spans="1:3" x14ac:dyDescent="0.25">
      <c r="A2" t="str">
        <f>"29/05/2009"</f>
        <v>29/05/2009</v>
      </c>
      <c r="B2" t="str">
        <f>"1.5958"</f>
        <v>1.5958</v>
      </c>
      <c r="C2" t="str">
        <f>"1.5956"</f>
        <v>1.5956</v>
      </c>
    </row>
    <row r="3" spans="1:3" x14ac:dyDescent="0.25">
      <c r="A3" t="str">
        <f>"01/06/2009"</f>
        <v>01/06/2009</v>
      </c>
      <c r="B3" t="str">
        <f>"1.6218"</f>
        <v>1.6218</v>
      </c>
      <c r="C3" t="str">
        <f>"1.6216"</f>
        <v>1.6216</v>
      </c>
    </row>
    <row r="4" spans="1:3" x14ac:dyDescent="0.25">
      <c r="A4" t="str">
        <f>"02/06/2009"</f>
        <v>02/06/2009</v>
      </c>
      <c r="B4" t="str">
        <f>"1.6441"</f>
        <v>1.6441</v>
      </c>
      <c r="C4" t="str">
        <f>"1.6439"</f>
        <v>1.6439</v>
      </c>
    </row>
    <row r="5" spans="1:3" x14ac:dyDescent="0.25">
      <c r="A5" t="str">
        <f>"03/06/2009"</f>
        <v>03/06/2009</v>
      </c>
      <c r="B5" t="str">
        <f>"1.657"</f>
        <v>1.657</v>
      </c>
      <c r="C5" t="str">
        <f>"1.6569"</f>
        <v>1.6569</v>
      </c>
    </row>
    <row r="6" spans="1:3" x14ac:dyDescent="0.25">
      <c r="A6" t="str">
        <f>"04/06/2009"</f>
        <v>04/06/2009</v>
      </c>
      <c r="B6" t="str">
        <f>"1.6302"</f>
        <v>1.6302</v>
      </c>
      <c r="C6" t="str">
        <f>"1.6301"</f>
        <v>1.6301</v>
      </c>
    </row>
    <row r="7" spans="1:3" x14ac:dyDescent="0.25">
      <c r="A7" t="str">
        <f>"05/06/2009"</f>
        <v>05/06/2009</v>
      </c>
      <c r="B7" t="str">
        <f>"1.6126"</f>
        <v>1.6126</v>
      </c>
      <c r="C7" t="str">
        <f>"1.6124"</f>
        <v>1.6124</v>
      </c>
    </row>
    <row r="8" spans="1:3" x14ac:dyDescent="0.25">
      <c r="A8" t="str">
        <f>"08/06/2009"</f>
        <v>08/06/2009</v>
      </c>
      <c r="B8" t="str">
        <f>"1.5836"</f>
        <v>1.5836</v>
      </c>
      <c r="C8" t="str">
        <f>"1.5834"</f>
        <v>1.5834</v>
      </c>
    </row>
    <row r="9" spans="1:3" x14ac:dyDescent="0.25">
      <c r="A9" t="str">
        <f>"09/06/2009"</f>
        <v>09/06/2009</v>
      </c>
      <c r="B9" t="str">
        <f>"1.5996"</f>
        <v>1.5996</v>
      </c>
      <c r="C9" t="str">
        <f>"1.5994"</f>
        <v>1.5994</v>
      </c>
    </row>
    <row r="10" spans="1:3" x14ac:dyDescent="0.25">
      <c r="A10" t="str">
        <f>"10/06/2009"</f>
        <v>10/06/2009</v>
      </c>
      <c r="B10" t="str">
        <f>"1.6322"</f>
        <v>1.6322</v>
      </c>
      <c r="C10" t="str">
        <f>"1.632"</f>
        <v>1.632</v>
      </c>
    </row>
    <row r="11" spans="1:3" x14ac:dyDescent="0.25">
      <c r="A11" t="str">
        <f>"11/06/2009"</f>
        <v>11/06/2009</v>
      </c>
      <c r="B11" t="str">
        <f>"1.641"</f>
        <v>1.641</v>
      </c>
      <c r="C11" t="str">
        <f>"1.6409"</f>
        <v>1.6409</v>
      </c>
    </row>
    <row r="12" spans="1:3" x14ac:dyDescent="0.25">
      <c r="A12" t="str">
        <f>"12/06/2009"</f>
        <v>12/06/2009</v>
      </c>
      <c r="B12" t="str">
        <f>"1.6547"</f>
        <v>1.6547</v>
      </c>
      <c r="C12" t="str">
        <f>"1.6546"</f>
        <v>1.6546</v>
      </c>
    </row>
    <row r="13" spans="1:3" x14ac:dyDescent="0.25">
      <c r="A13" t="str">
        <f>"15/06/2009"</f>
        <v>15/06/2009</v>
      </c>
      <c r="B13" t="str">
        <f>"1.6374"</f>
        <v>1.6374</v>
      </c>
      <c r="C13" t="str">
        <f>"1.6373"</f>
        <v>1.6373</v>
      </c>
    </row>
    <row r="14" spans="1:3" x14ac:dyDescent="0.25">
      <c r="A14" t="str">
        <f>"16/06/2009"</f>
        <v>16/06/2009</v>
      </c>
      <c r="B14" t="str">
        <f>"1.6245"</f>
        <v>1.6245</v>
      </c>
      <c r="C14" t="str">
        <f>"1.6244"</f>
        <v>1.6244</v>
      </c>
    </row>
    <row r="15" spans="1:3" x14ac:dyDescent="0.25">
      <c r="A15" t="str">
        <f>"17/06/2009"</f>
        <v>17/06/2009</v>
      </c>
      <c r="B15" t="str">
        <f>"1.6385"</f>
        <v>1.6385</v>
      </c>
      <c r="C15" t="str">
        <f>"1.6384"</f>
        <v>1.6384</v>
      </c>
    </row>
    <row r="16" spans="1:3" x14ac:dyDescent="0.25">
      <c r="A16" t="str">
        <f>"18/06/2009"</f>
        <v>18/06/2009</v>
      </c>
      <c r="B16" t="str">
        <f>"1.638"</f>
        <v>1.638</v>
      </c>
      <c r="C16" t="str">
        <f>"1.6379"</f>
        <v>1.6379</v>
      </c>
    </row>
    <row r="17" spans="1:3" x14ac:dyDescent="0.25">
      <c r="A17" t="str">
        <f>"19/06/2009"</f>
        <v>19/06/2009</v>
      </c>
      <c r="B17" t="str">
        <f>"1.6357"</f>
        <v>1.6357</v>
      </c>
      <c r="C17" t="str">
        <f>"1.6356"</f>
        <v>1.6356</v>
      </c>
    </row>
    <row r="18" spans="1:3" x14ac:dyDescent="0.25">
      <c r="A18" t="str">
        <f>"22/06/2009"</f>
        <v>22/06/2009</v>
      </c>
      <c r="B18" t="str">
        <f>"1.6469"</f>
        <v>1.6469</v>
      </c>
      <c r="C18" t="str">
        <f>"1.6468"</f>
        <v>1.6468</v>
      </c>
    </row>
    <row r="19" spans="1:3" x14ac:dyDescent="0.25">
      <c r="A19" t="str">
        <f>"23/06/2009"</f>
        <v>23/06/2009</v>
      </c>
      <c r="B19" t="str">
        <f>"1.6313"</f>
        <v>1.6313</v>
      </c>
      <c r="C19" t="str">
        <f>"1.6312"</f>
        <v>1.6312</v>
      </c>
    </row>
    <row r="20" spans="1:3" x14ac:dyDescent="0.25">
      <c r="A20" t="str">
        <f>"24/06/2009"</f>
        <v>24/06/2009</v>
      </c>
      <c r="B20" t="str">
        <f>"1.6461"</f>
        <v>1.6461</v>
      </c>
      <c r="C20" t="str">
        <f>"1.646"</f>
        <v>1.646</v>
      </c>
    </row>
    <row r="21" spans="1:3" x14ac:dyDescent="0.25">
      <c r="A21" t="str">
        <f>"25/06/2009"</f>
        <v>25/06/2009</v>
      </c>
      <c r="B21" t="str">
        <f>"1.6441"</f>
        <v>1.6441</v>
      </c>
      <c r="C21" t="str">
        <f>"1.644"</f>
        <v>1.644</v>
      </c>
    </row>
    <row r="22" spans="1:3" x14ac:dyDescent="0.25">
      <c r="A22" t="str">
        <f>"26/06/2009"</f>
        <v>26/06/2009</v>
      </c>
      <c r="B22" t="str">
        <f>"1.6427"</f>
        <v>1.6427</v>
      </c>
      <c r="C22" t="str">
        <f>"1.6426"</f>
        <v>1.6426</v>
      </c>
    </row>
    <row r="23" spans="1:3" x14ac:dyDescent="0.25">
      <c r="A23" t="str">
        <f>"29/06/2009"</f>
        <v>29/06/2009</v>
      </c>
      <c r="B23" t="str">
        <f>"1.6473"</f>
        <v>1.6473</v>
      </c>
      <c r="C23" t="str">
        <f>"1.6472"</f>
        <v>1.6472</v>
      </c>
    </row>
    <row r="24" spans="1:3" x14ac:dyDescent="0.25">
      <c r="A24" t="str">
        <f>"30/06/2009"</f>
        <v>30/06/2009</v>
      </c>
      <c r="B24" t="str">
        <f>"1.6625"</f>
        <v>1.6625</v>
      </c>
      <c r="C24" t="str">
        <f>"1.6624"</f>
        <v>1.6624</v>
      </c>
    </row>
    <row r="25" spans="1:3" x14ac:dyDescent="0.25">
      <c r="A25" t="str">
        <f>"01/07/2009"</f>
        <v>01/07/2009</v>
      </c>
      <c r="B25" t="str">
        <f>"1.6456"</f>
        <v>1.6456</v>
      </c>
      <c r="C25" t="str">
        <f>"1.6455"</f>
        <v>1.6455</v>
      </c>
    </row>
    <row r="26" spans="1:3" x14ac:dyDescent="0.25">
      <c r="A26" t="str">
        <f>"03/07/2009"</f>
        <v>03/07/2009</v>
      </c>
      <c r="B26" t="str">
        <f>"1.6371"</f>
        <v>1.6371</v>
      </c>
      <c r="C26" t="str">
        <f>"1.637"</f>
        <v>1.637</v>
      </c>
    </row>
    <row r="27" spans="1:3" x14ac:dyDescent="0.25">
      <c r="A27" t="str">
        <f>"06/07/2009"</f>
        <v>06/07/2009</v>
      </c>
      <c r="B27" t="str">
        <f>"1.6266"</f>
        <v>1.6266</v>
      </c>
      <c r="C27" t="str">
        <f>"1.6265"</f>
        <v>1.6265</v>
      </c>
    </row>
    <row r="28" spans="1:3" x14ac:dyDescent="0.25">
      <c r="A28" t="str">
        <f>"07/07/2009"</f>
        <v>07/07/2009</v>
      </c>
      <c r="B28" t="str">
        <f>"1.6262"</f>
        <v>1.6262</v>
      </c>
      <c r="C28" t="str">
        <f>"1.626"</f>
        <v>1.626</v>
      </c>
    </row>
    <row r="29" spans="1:3" x14ac:dyDescent="0.25">
      <c r="A29" t="str">
        <f>"08/07/2009"</f>
        <v>08/07/2009</v>
      </c>
      <c r="B29" t="str">
        <f>"1.6081"</f>
        <v>1.6081</v>
      </c>
      <c r="C29" t="str">
        <f>"1.608"</f>
        <v>1.608</v>
      </c>
    </row>
    <row r="30" spans="1:3" x14ac:dyDescent="0.25">
      <c r="A30" t="str">
        <f>"09/07/2009"</f>
        <v>09/07/2009</v>
      </c>
      <c r="B30" t="str">
        <f>"1.6077"</f>
        <v>1.6077</v>
      </c>
      <c r="C30" t="str">
        <f>"1.6076"</f>
        <v>1.6076</v>
      </c>
    </row>
    <row r="31" spans="1:3" x14ac:dyDescent="0.25">
      <c r="A31" t="str">
        <f>"10/07/2009"</f>
        <v>10/07/2009</v>
      </c>
      <c r="B31" t="str">
        <f>"1.6293"</f>
        <v>1.6293</v>
      </c>
      <c r="C31" t="str">
        <f>"1.6292"</f>
        <v>1.6292</v>
      </c>
    </row>
    <row r="32" spans="1:3" x14ac:dyDescent="0.25">
      <c r="A32" t="str">
        <f>"13/07/2009"</f>
        <v>13/07/2009</v>
      </c>
      <c r="B32" t="str">
        <f>"1.613"</f>
        <v>1.613</v>
      </c>
      <c r="C32" t="str">
        <f>"1.6129"</f>
        <v>1.6129</v>
      </c>
    </row>
    <row r="33" spans="1:3" x14ac:dyDescent="0.25">
      <c r="A33" t="str">
        <f>"14/07/2009"</f>
        <v>14/07/2009</v>
      </c>
      <c r="B33" t="str">
        <f>"1.6256"</f>
        <v>1.6256</v>
      </c>
      <c r="C33" t="str">
        <f>"1.6255"</f>
        <v>1.6255</v>
      </c>
    </row>
    <row r="34" spans="1:3" x14ac:dyDescent="0.25">
      <c r="A34" t="str">
        <f>"15/07/2009"</f>
        <v>15/07/2009</v>
      </c>
      <c r="B34" t="str">
        <f>"1.6331"</f>
        <v>1.6331</v>
      </c>
      <c r="C34" t="str">
        <f>"1.633"</f>
        <v>1.633</v>
      </c>
    </row>
    <row r="35" spans="1:3" x14ac:dyDescent="0.25">
      <c r="A35" t="str">
        <f>"16/07/2009"</f>
        <v>16/07/2009</v>
      </c>
      <c r="B35" t="str">
        <f>"1.6396"</f>
        <v>1.6396</v>
      </c>
      <c r="C35" t="str">
        <f>"1.6395"</f>
        <v>1.6395</v>
      </c>
    </row>
    <row r="36" spans="1:3" x14ac:dyDescent="0.25">
      <c r="A36" t="str">
        <f>"17/07/2009"</f>
        <v>17/07/2009</v>
      </c>
      <c r="B36" t="str">
        <f>"1.6392"</f>
        <v>1.6392</v>
      </c>
      <c r="C36" t="str">
        <f>"1.6391"</f>
        <v>1.6391</v>
      </c>
    </row>
    <row r="37" spans="1:3" x14ac:dyDescent="0.25">
      <c r="A37" t="str">
        <f>"20/07/2009"</f>
        <v>20/07/2009</v>
      </c>
      <c r="B37" t="str">
        <f>"1.6397"</f>
        <v>1.6397</v>
      </c>
      <c r="C37" t="str">
        <f>"1.6396"</f>
        <v>1.6396</v>
      </c>
    </row>
    <row r="38" spans="1:3" x14ac:dyDescent="0.25">
      <c r="A38" t="str">
        <f>"21/07/2009"</f>
        <v>21/07/2009</v>
      </c>
      <c r="B38" t="str">
        <f>"1.6512"</f>
        <v>1.6512</v>
      </c>
      <c r="C38" t="str">
        <f>"1.651"</f>
        <v>1.651</v>
      </c>
    </row>
    <row r="39" spans="1:3" x14ac:dyDescent="0.25">
      <c r="A39" t="str">
        <f>"22/07/2009"</f>
        <v>22/07/2009</v>
      </c>
      <c r="B39" t="str">
        <f>"1.6402"</f>
        <v>1.6402</v>
      </c>
      <c r="C39" t="str">
        <f>"1.6401"</f>
        <v>1.6401</v>
      </c>
    </row>
    <row r="40" spans="1:3" x14ac:dyDescent="0.25">
      <c r="A40" t="str">
        <f>"23/07/2009"</f>
        <v>23/07/2009</v>
      </c>
      <c r="B40" t="str">
        <f>"1.6478"</f>
        <v>1.6478</v>
      </c>
      <c r="C40" t="str">
        <f>"1.6477"</f>
        <v>1.6477</v>
      </c>
    </row>
    <row r="41" spans="1:3" x14ac:dyDescent="0.25">
      <c r="A41" t="str">
        <f>"24/07/2009"</f>
        <v>24/07/2009</v>
      </c>
      <c r="B41" t="str">
        <f>"1.6488"</f>
        <v>1.6488</v>
      </c>
      <c r="C41" t="str">
        <f>"1.6487"</f>
        <v>1.6487</v>
      </c>
    </row>
    <row r="42" spans="1:3" x14ac:dyDescent="0.25">
      <c r="A42" t="str">
        <f>"27/07/2009"</f>
        <v>27/07/2009</v>
      </c>
      <c r="B42" t="str">
        <f>"1.6445"</f>
        <v>1.6445</v>
      </c>
      <c r="C42" t="str">
        <f>"1.6444"</f>
        <v>1.6444</v>
      </c>
    </row>
    <row r="43" spans="1:3" x14ac:dyDescent="0.25">
      <c r="A43" t="str">
        <f>"28/07/2009"</f>
        <v>28/07/2009</v>
      </c>
      <c r="B43" t="str">
        <f>"1.6485"</f>
        <v>1.6485</v>
      </c>
      <c r="C43" t="str">
        <f>"1.6484"</f>
        <v>1.6484</v>
      </c>
    </row>
    <row r="44" spans="1:3" x14ac:dyDescent="0.25">
      <c r="A44" t="str">
        <f>"29/07/2009"</f>
        <v>29/07/2009</v>
      </c>
      <c r="B44" t="str">
        <f>"1.6443"</f>
        <v>1.6443</v>
      </c>
      <c r="C44" t="str">
        <f>"1.6442"</f>
        <v>1.6442</v>
      </c>
    </row>
    <row r="45" spans="1:3" x14ac:dyDescent="0.25">
      <c r="A45" t="str">
        <f>"30/07/2009"</f>
        <v>30/07/2009</v>
      </c>
      <c r="B45" t="str">
        <f>"1.637"</f>
        <v>1.637</v>
      </c>
      <c r="C45" t="str">
        <f>"1.6369"</f>
        <v>1.6369</v>
      </c>
    </row>
    <row r="46" spans="1:3" x14ac:dyDescent="0.25">
      <c r="A46" t="str">
        <f>"31/07/2009"</f>
        <v>31/07/2009</v>
      </c>
      <c r="B46" t="str">
        <f>"1.6518"</f>
        <v>1.6518</v>
      </c>
      <c r="C46" t="str">
        <f>"1.6517"</f>
        <v>1.6517</v>
      </c>
    </row>
    <row r="47" spans="1:3" x14ac:dyDescent="0.25">
      <c r="A47" t="str">
        <f>"03/08/2009"</f>
        <v>03/08/2009</v>
      </c>
      <c r="B47" t="str">
        <f>"1.6728"</f>
        <v>1.6728</v>
      </c>
      <c r="C47" t="str">
        <f>"1.6726"</f>
        <v>1.6726</v>
      </c>
    </row>
    <row r="48" spans="1:3" x14ac:dyDescent="0.25">
      <c r="A48" t="str">
        <f>"04/08/2009"</f>
        <v>04/08/2009</v>
      </c>
      <c r="B48" t="str">
        <f>"1.6964"</f>
        <v>1.6964</v>
      </c>
      <c r="C48" t="str">
        <f>"1.6962"</f>
        <v>1.6962</v>
      </c>
    </row>
    <row r="49" spans="1:3" x14ac:dyDescent="0.25">
      <c r="A49" t="str">
        <f>"05/08/2009"</f>
        <v>05/08/2009</v>
      </c>
      <c r="B49" t="str">
        <f>"1.6943"</f>
        <v>1.6943</v>
      </c>
      <c r="C49" t="str">
        <f>"1.6942"</f>
        <v>1.6942</v>
      </c>
    </row>
    <row r="50" spans="1:3" x14ac:dyDescent="0.25">
      <c r="A50" t="str">
        <f>"06/08/2009"</f>
        <v>06/08/2009</v>
      </c>
      <c r="B50" t="str">
        <f>"1.6972"</f>
        <v>1.6972</v>
      </c>
      <c r="C50" t="str">
        <f>"1.6971"</f>
        <v>1.6971</v>
      </c>
    </row>
    <row r="51" spans="1:3" x14ac:dyDescent="0.25">
      <c r="A51" t="str">
        <f>"07/08/2009"</f>
        <v>07/08/2009</v>
      </c>
      <c r="B51" t="str">
        <f>"1.6761"</f>
        <v>1.6761</v>
      </c>
      <c r="C51" t="str">
        <f>"1.676"</f>
        <v>1.676</v>
      </c>
    </row>
    <row r="52" spans="1:3" x14ac:dyDescent="0.25">
      <c r="A52" t="str">
        <f>"10/08/2009"</f>
        <v>10/08/2009</v>
      </c>
      <c r="B52" t="str">
        <f>"1.6707"</f>
        <v>1.6707</v>
      </c>
      <c r="C52" t="str">
        <f>"1.6706"</f>
        <v>1.6706</v>
      </c>
    </row>
    <row r="53" spans="1:3" x14ac:dyDescent="0.25">
      <c r="A53" t="str">
        <f>"11/08/2009"</f>
        <v>11/08/2009</v>
      </c>
      <c r="B53" t="str">
        <f>"1.6488"</f>
        <v>1.6488</v>
      </c>
      <c r="C53" t="str">
        <f>"1.6487"</f>
        <v>1.6487</v>
      </c>
    </row>
    <row r="54" spans="1:3" x14ac:dyDescent="0.25">
      <c r="A54" t="str">
        <f>"12/08/2009"</f>
        <v>12/08/2009</v>
      </c>
      <c r="B54" t="str">
        <f>"1.648"</f>
        <v>1.648</v>
      </c>
      <c r="C54" t="str">
        <f>"1.6478"</f>
        <v>1.6478</v>
      </c>
    </row>
    <row r="55" spans="1:3" x14ac:dyDescent="0.25">
      <c r="A55" t="str">
        <f>"13/08/2009"</f>
        <v>13/08/2009</v>
      </c>
      <c r="B55" t="str">
        <f>"1.6491"</f>
        <v>1.6491</v>
      </c>
      <c r="C55" t="str">
        <f>"1.6489"</f>
        <v>1.6489</v>
      </c>
    </row>
    <row r="56" spans="1:3" x14ac:dyDescent="0.25">
      <c r="A56" t="str">
        <f>"14/08/2009"</f>
        <v>14/08/2009</v>
      </c>
      <c r="B56" t="str">
        <f>"1.6564"</f>
        <v>1.6564</v>
      </c>
      <c r="C56" t="str">
        <f>"1.6563"</f>
        <v>1.6563</v>
      </c>
    </row>
    <row r="57" spans="1:3" x14ac:dyDescent="0.25">
      <c r="A57" t="str">
        <f>"17/08/2009"</f>
        <v>17/08/2009</v>
      </c>
      <c r="B57" t="str">
        <f>"1.6448"</f>
        <v>1.6448</v>
      </c>
      <c r="C57" t="str">
        <f>"1.6447"</f>
        <v>1.6447</v>
      </c>
    </row>
    <row r="58" spans="1:3" x14ac:dyDescent="0.25">
      <c r="A58" t="str">
        <f>"18/08/2009"</f>
        <v>18/08/2009</v>
      </c>
      <c r="B58" t="str">
        <f>"1.6343"</f>
        <v>1.6343</v>
      </c>
      <c r="C58" t="str">
        <f>"1.6341"</f>
        <v>1.6341</v>
      </c>
    </row>
    <row r="59" spans="1:3" x14ac:dyDescent="0.25">
      <c r="A59" t="str">
        <f>"20/08/2009"</f>
        <v>20/08/2009</v>
      </c>
      <c r="B59" t="str">
        <f>"1.6515"</f>
        <v>1.6515</v>
      </c>
      <c r="C59" t="str">
        <f>"1.6514"</f>
        <v>1.6514</v>
      </c>
    </row>
    <row r="60" spans="1:3" x14ac:dyDescent="0.25">
      <c r="A60" t="str">
        <f>"21/08/2009"</f>
        <v>21/08/2009</v>
      </c>
      <c r="B60" t="str">
        <f>"1.646"</f>
        <v>1.646</v>
      </c>
      <c r="C60" t="str">
        <f>"1.6459"</f>
        <v>1.6459</v>
      </c>
    </row>
    <row r="61" spans="1:3" x14ac:dyDescent="0.25">
      <c r="A61" t="str">
        <f>"24/08/2009"</f>
        <v>24/08/2009</v>
      </c>
      <c r="B61" t="str">
        <f>"1.6524"</f>
        <v>1.6524</v>
      </c>
      <c r="C61" t="str">
        <f>"1.6522"</f>
        <v>1.6522</v>
      </c>
    </row>
    <row r="62" spans="1:3" x14ac:dyDescent="0.25">
      <c r="A62" t="str">
        <f>"25/08/2009"</f>
        <v>25/08/2009</v>
      </c>
      <c r="B62" t="str">
        <f>"1.6404"</f>
        <v>1.6404</v>
      </c>
      <c r="C62" t="str">
        <f>"1.6402"</f>
        <v>1.6402</v>
      </c>
    </row>
    <row r="63" spans="1:3" x14ac:dyDescent="0.25">
      <c r="A63" t="str">
        <f>"26/08/2009"</f>
        <v>26/08/2009</v>
      </c>
      <c r="B63" t="str">
        <f>"1.6323"</f>
        <v>1.6323</v>
      </c>
      <c r="C63" t="str">
        <f>"1.6321"</f>
        <v>1.6321</v>
      </c>
    </row>
    <row r="64" spans="1:3" x14ac:dyDescent="0.25">
      <c r="A64" t="str">
        <f>"27/08/2009"</f>
        <v>27/08/2009</v>
      </c>
      <c r="B64" t="str">
        <f>"1.6229"</f>
        <v>1.6229</v>
      </c>
      <c r="C64" t="str">
        <f>"1.6228"</f>
        <v>1.6228</v>
      </c>
    </row>
    <row r="65" spans="1:3" x14ac:dyDescent="0.25">
      <c r="A65" t="str">
        <f>"28/08/2009"</f>
        <v>28/08/2009</v>
      </c>
      <c r="B65" t="str">
        <f>"1.6266"</f>
        <v>1.6266</v>
      </c>
      <c r="C65" t="str">
        <f>"1.6265"</f>
        <v>1.6265</v>
      </c>
    </row>
    <row r="66" spans="1:3" x14ac:dyDescent="0.25">
      <c r="A66" t="str">
        <f>"31/08/2009"</f>
        <v>31/08/2009</v>
      </c>
      <c r="B66" t="str">
        <f>"1.6229"</f>
        <v>1.6229</v>
      </c>
      <c r="C66" t="str">
        <f>"1.6228"</f>
        <v>1.6228</v>
      </c>
    </row>
    <row r="67" spans="1:3" x14ac:dyDescent="0.25">
      <c r="A67" t="str">
        <f>"01/09/2009"</f>
        <v>01/09/2009</v>
      </c>
      <c r="B67" t="str">
        <f>"1.6291"</f>
        <v>1.6291</v>
      </c>
      <c r="C67" t="str">
        <f>"1.629"</f>
        <v>1.629</v>
      </c>
    </row>
    <row r="68" spans="1:3" x14ac:dyDescent="0.25">
      <c r="A68" t="str">
        <f>"02/09/2009"</f>
        <v>02/09/2009</v>
      </c>
      <c r="B68" t="str">
        <f>"1.6165"</f>
        <v>1.6165</v>
      </c>
      <c r="C68" t="str">
        <f>"1.6164"</f>
        <v>1.6164</v>
      </c>
    </row>
    <row r="69" spans="1:3" x14ac:dyDescent="0.25">
      <c r="A69" t="str">
        <f>"03/09/2009"</f>
        <v>03/09/2009</v>
      </c>
      <c r="B69" t="str">
        <f>"1.6278"</f>
        <v>1.6278</v>
      </c>
      <c r="C69" t="str">
        <f>"1.6277"</f>
        <v>1.6277</v>
      </c>
    </row>
    <row r="70" spans="1:3" x14ac:dyDescent="0.25">
      <c r="A70" t="str">
        <f>"04/09/2009"</f>
        <v>04/09/2009</v>
      </c>
      <c r="B70" t="str">
        <f>"1.632"</f>
        <v>1.632</v>
      </c>
      <c r="C70" t="str">
        <f>"1.6319"</f>
        <v>1.6319</v>
      </c>
    </row>
    <row r="71" spans="1:3" x14ac:dyDescent="0.25">
      <c r="A71" t="str">
        <f>"07/09/2009"</f>
        <v>07/09/2009</v>
      </c>
      <c r="B71" t="str">
        <f>"1.6385"</f>
        <v>1.6385</v>
      </c>
      <c r="C71" t="str">
        <f>"1.6384"</f>
        <v>1.6384</v>
      </c>
    </row>
    <row r="72" spans="1:3" x14ac:dyDescent="0.25">
      <c r="A72" t="str">
        <f>"08/09/2009"</f>
        <v>08/09/2009</v>
      </c>
      <c r="B72" t="str">
        <f>"1.6345"</f>
        <v>1.6345</v>
      </c>
      <c r="C72" t="str">
        <f>"1.6344"</f>
        <v>1.6344</v>
      </c>
    </row>
    <row r="73" spans="1:3" x14ac:dyDescent="0.25">
      <c r="A73" t="str">
        <f>"09/09/2009"</f>
        <v>09/09/2009</v>
      </c>
      <c r="B73" t="str">
        <f>"1.6521"</f>
        <v>1.6521</v>
      </c>
      <c r="C73" t="str">
        <f>"1.652"</f>
        <v>1.652</v>
      </c>
    </row>
    <row r="74" spans="1:3" x14ac:dyDescent="0.25">
      <c r="A74" t="str">
        <f>"10/09/2009"</f>
        <v>10/09/2009</v>
      </c>
      <c r="B74" t="str">
        <f>"1.6537"</f>
        <v>1.6537</v>
      </c>
      <c r="C74" t="str">
        <f>"1.6536"</f>
        <v>1.6536</v>
      </c>
    </row>
    <row r="75" spans="1:3" x14ac:dyDescent="0.25">
      <c r="A75" t="str">
        <f>"11/09/2009"</f>
        <v>11/09/2009</v>
      </c>
      <c r="B75" t="str">
        <f>"1.6693"</f>
        <v>1.6693</v>
      </c>
      <c r="C75" t="str">
        <f>"1.6691"</f>
        <v>1.6691</v>
      </c>
    </row>
    <row r="76" spans="1:3" x14ac:dyDescent="0.25">
      <c r="A76" t="str">
        <f>"14/09/2009"</f>
        <v>14/09/2009</v>
      </c>
      <c r="B76" t="str">
        <f>"1.6613"</f>
        <v>1.6613</v>
      </c>
      <c r="C76" t="str">
        <f>"1.6611"</f>
        <v>1.6611</v>
      </c>
    </row>
    <row r="77" spans="1:3" x14ac:dyDescent="0.25">
      <c r="A77" t="str">
        <f>"15/09/2009"</f>
        <v>15/09/2009</v>
      </c>
      <c r="B77" t="str">
        <f>"1.6612"</f>
        <v>1.6612</v>
      </c>
      <c r="C77" t="str">
        <f>"1.661"</f>
        <v>1.661</v>
      </c>
    </row>
    <row r="78" spans="1:3" x14ac:dyDescent="0.25">
      <c r="A78" t="str">
        <f>"16/09/2009"</f>
        <v>16/09/2009</v>
      </c>
      <c r="B78" t="str">
        <f>"1.6466"</f>
        <v>1.6466</v>
      </c>
      <c r="C78" t="str">
        <f>"1.6465"</f>
        <v>1.6465</v>
      </c>
    </row>
    <row r="79" spans="1:3" x14ac:dyDescent="0.25">
      <c r="A79" t="str">
        <f>"17/09/2009"</f>
        <v>17/09/2009</v>
      </c>
      <c r="B79" t="str">
        <f>"1.6491"</f>
        <v>1.6491</v>
      </c>
      <c r="C79" t="str">
        <f>"1.649"</f>
        <v>1.649</v>
      </c>
    </row>
    <row r="80" spans="1:3" x14ac:dyDescent="0.25">
      <c r="A80" t="str">
        <f>"18/09/2009"</f>
        <v>18/09/2009</v>
      </c>
      <c r="B80" t="str">
        <f>"1.6386"</f>
        <v>1.6386</v>
      </c>
      <c r="C80" t="str">
        <f>"1.6384"</f>
        <v>1.6384</v>
      </c>
    </row>
    <row r="81" spans="1:3" x14ac:dyDescent="0.25">
      <c r="A81" t="str">
        <f>"22/09/2009"</f>
        <v>22/09/2009</v>
      </c>
      <c r="B81" t="str">
        <f>"1.6241"</f>
        <v>1.6241</v>
      </c>
      <c r="C81" t="str">
        <f>"1.624"</f>
        <v>1.624</v>
      </c>
    </row>
    <row r="82" spans="1:3" x14ac:dyDescent="0.25">
      <c r="A82" t="str">
        <f>"23/09/2009"</f>
        <v>23/09/2009</v>
      </c>
      <c r="B82" t="str">
        <f>"1.6393"</f>
        <v>1.6393</v>
      </c>
      <c r="C82" t="str">
        <f>"1.6392"</f>
        <v>1.6392</v>
      </c>
    </row>
    <row r="83" spans="1:3" x14ac:dyDescent="0.25">
      <c r="A83" t="str">
        <f>"24/09/2009"</f>
        <v>24/09/2009</v>
      </c>
      <c r="B83" t="str">
        <f>"1.6342"</f>
        <v>1.6342</v>
      </c>
      <c r="C83" t="str">
        <f>"1.634"</f>
        <v>1.634</v>
      </c>
    </row>
    <row r="84" spans="1:3" x14ac:dyDescent="0.25">
      <c r="A84" t="str">
        <f>"25/09/2009"</f>
        <v>25/09/2009</v>
      </c>
      <c r="B84" t="str">
        <f>"1.5945"</f>
        <v>1.5945</v>
      </c>
      <c r="C84" t="str">
        <f>"1.5943"</f>
        <v>1.5943</v>
      </c>
    </row>
    <row r="85" spans="1:3" x14ac:dyDescent="0.25">
      <c r="A85" t="str">
        <f>"29/09/2009"</f>
        <v>29/09/2009</v>
      </c>
      <c r="B85" t="str">
        <f>"1.5938"</f>
        <v>1.5938</v>
      </c>
      <c r="C85" t="str">
        <f>"1.5936"</f>
        <v>1.5936</v>
      </c>
    </row>
    <row r="86" spans="1:3" x14ac:dyDescent="0.25">
      <c r="A86" t="str">
        <f>"01/10/2009"</f>
        <v>01/10/2009</v>
      </c>
      <c r="B86" t="str">
        <f>"1.5958"</f>
        <v>1.5958</v>
      </c>
      <c r="C86" t="str">
        <f>"1.5956"</f>
        <v>1.5956</v>
      </c>
    </row>
    <row r="87" spans="1:3" x14ac:dyDescent="0.25">
      <c r="A87" t="str">
        <f>"05/10/2009"</f>
        <v>05/10/2009</v>
      </c>
      <c r="B87" t="str">
        <f>"1.5976"</f>
        <v>1.5976</v>
      </c>
      <c r="C87" t="str">
        <f>"1.5973"</f>
        <v>1.5973</v>
      </c>
    </row>
    <row r="88" spans="1:3" x14ac:dyDescent="0.25">
      <c r="A88" t="str">
        <f>"06/10/2009"</f>
        <v>06/10/2009</v>
      </c>
      <c r="B88" t="str">
        <f>"1.5965"</f>
        <v>1.5965</v>
      </c>
      <c r="C88" t="str">
        <f>"1.5962"</f>
        <v>1.5962</v>
      </c>
    </row>
    <row r="89" spans="1:3" x14ac:dyDescent="0.25">
      <c r="A89" t="str">
        <f>"07/10/2009"</f>
        <v>07/10/2009</v>
      </c>
      <c r="B89" t="str">
        <f>"1.5893"</f>
        <v>1.5893</v>
      </c>
      <c r="C89" t="str">
        <f>"1.5891"</f>
        <v>1.5891</v>
      </c>
    </row>
    <row r="90" spans="1:3" x14ac:dyDescent="0.25">
      <c r="A90" t="str">
        <f>"08/10/2009"</f>
        <v>08/10/2009</v>
      </c>
      <c r="B90" t="str">
        <f>"1.5999"</f>
        <v>1.5999</v>
      </c>
      <c r="C90" t="str">
        <f>"1.5997"</f>
        <v>1.5997</v>
      </c>
    </row>
    <row r="91" spans="1:3" x14ac:dyDescent="0.25">
      <c r="A91" t="str">
        <f>"09/10/2009"</f>
        <v>09/10/2009</v>
      </c>
      <c r="B91" t="str">
        <f>"1.601"</f>
        <v>1.601</v>
      </c>
      <c r="C91" t="str">
        <f>"1.6008"</f>
        <v>1.6008</v>
      </c>
    </row>
    <row r="92" spans="1:3" x14ac:dyDescent="0.25">
      <c r="A92" t="str">
        <f>"12/10/2009"</f>
        <v>12/10/2009</v>
      </c>
      <c r="B92" t="str">
        <f>"1.5827"</f>
        <v>1.5827</v>
      </c>
      <c r="C92" t="str">
        <f>"1.5824"</f>
        <v>1.5824</v>
      </c>
    </row>
    <row r="93" spans="1:3" x14ac:dyDescent="0.25">
      <c r="A93" t="str">
        <f>"14/10/2009"</f>
        <v>14/10/2009</v>
      </c>
      <c r="B93" t="str">
        <f>"1.5936"</f>
        <v>1.5936</v>
      </c>
      <c r="C93" t="str">
        <f>"1.5933"</f>
        <v>1.5933</v>
      </c>
    </row>
    <row r="94" spans="1:3" x14ac:dyDescent="0.25">
      <c r="A94" t="str">
        <f>"15/10/2009"</f>
        <v>15/10/2009</v>
      </c>
      <c r="B94" t="str">
        <f>"1.6056"</f>
        <v>1.6056</v>
      </c>
      <c r="C94" t="str">
        <f>"1.6053"</f>
        <v>1.6053</v>
      </c>
    </row>
    <row r="95" spans="1:3" x14ac:dyDescent="0.25">
      <c r="A95" t="str">
        <f>"16/10/2009"</f>
        <v>16/10/2009</v>
      </c>
      <c r="B95" t="str">
        <f>"1.6366"</f>
        <v>1.6366</v>
      </c>
      <c r="C95" t="str">
        <f>"1.6363"</f>
        <v>1.6363</v>
      </c>
    </row>
    <row r="96" spans="1:3" x14ac:dyDescent="0.25">
      <c r="A96" t="str">
        <f>"20/10/2009"</f>
        <v>20/10/2009</v>
      </c>
      <c r="B96" t="str">
        <f>"1.6398"</f>
        <v>1.6398</v>
      </c>
      <c r="C96" t="str">
        <f>"1.6395"</f>
        <v>1.6395</v>
      </c>
    </row>
    <row r="97" spans="1:3" x14ac:dyDescent="0.25">
      <c r="A97" t="str">
        <f>"21/10/2009"</f>
        <v>21/10/2009</v>
      </c>
      <c r="B97" t="str">
        <f>"1.638"</f>
        <v>1.638</v>
      </c>
      <c r="C97" t="str">
        <f>"1.6377"</f>
        <v>1.6377</v>
      </c>
    </row>
    <row r="98" spans="1:3" x14ac:dyDescent="0.25">
      <c r="A98" t="str">
        <f>"22/10/2009"</f>
        <v>22/10/2009</v>
      </c>
      <c r="B98" t="str">
        <f>"1.6599"</f>
        <v>1.6599</v>
      </c>
      <c r="C98" t="str">
        <f>"1.6595"</f>
        <v>1.6595</v>
      </c>
    </row>
    <row r="99" spans="1:3" x14ac:dyDescent="0.25">
      <c r="A99" t="str">
        <f>"23/10/2009"</f>
        <v>23/10/2009</v>
      </c>
      <c r="B99" t="str">
        <f>"1.6644"</f>
        <v>1.6644</v>
      </c>
      <c r="C99" t="str">
        <f>"1.6641"</f>
        <v>1.6641</v>
      </c>
    </row>
    <row r="100" spans="1:3" x14ac:dyDescent="0.25">
      <c r="A100" t="str">
        <f>"26/10/2009"</f>
        <v>26/10/2009</v>
      </c>
      <c r="B100" t="str">
        <f>"1.6277"</f>
        <v>1.6277</v>
      </c>
      <c r="C100" t="str">
        <f>"1.6274"</f>
        <v>1.6274</v>
      </c>
    </row>
    <row r="101" spans="1:3" x14ac:dyDescent="0.25">
      <c r="A101" t="str">
        <f>"27/10/2009"</f>
        <v>27/10/2009</v>
      </c>
      <c r="B101" t="str">
        <f>"1.6321"</f>
        <v>1.6321</v>
      </c>
      <c r="C101" t="str">
        <f>"1.6318"</f>
        <v>1.6318</v>
      </c>
    </row>
    <row r="102" spans="1:3" x14ac:dyDescent="0.25">
      <c r="A102" t="str">
        <f>"28/10/2009"</f>
        <v>28/10/2009</v>
      </c>
      <c r="B102" t="str">
        <f>"1.6357"</f>
        <v>1.6357</v>
      </c>
      <c r="C102" t="str">
        <f>"1.6354"</f>
        <v>1.6354</v>
      </c>
    </row>
    <row r="103" spans="1:3" x14ac:dyDescent="0.25">
      <c r="A103" t="str">
        <f>"29/10/2009"</f>
        <v>29/10/2009</v>
      </c>
      <c r="B103" t="str">
        <f>"1.6366"</f>
        <v>1.6366</v>
      </c>
      <c r="C103" t="str">
        <f>"1.6363"</f>
        <v>1.6363</v>
      </c>
    </row>
    <row r="104" spans="1:3" x14ac:dyDescent="0.25">
      <c r="A104" t="str">
        <f>"30/10/2009"</f>
        <v>30/10/2009</v>
      </c>
      <c r="B104" t="str">
        <f>"1.6575"</f>
        <v>1.6575</v>
      </c>
      <c r="C104" t="str">
        <f>"1.6572"</f>
        <v>1.6572</v>
      </c>
    </row>
    <row r="105" spans="1:3" x14ac:dyDescent="0.25">
      <c r="A105" t="str">
        <f>"03/11/2009"</f>
        <v>03/11/2009</v>
      </c>
      <c r="B105" t="str">
        <f>"1.6367"</f>
        <v>1.6367</v>
      </c>
      <c r="C105" t="str">
        <f>"1.6364"</f>
        <v>1.6364</v>
      </c>
    </row>
    <row r="106" spans="1:3" x14ac:dyDescent="0.25">
      <c r="A106" t="str">
        <f>"04/11/2009"</f>
        <v>04/11/2009</v>
      </c>
      <c r="B106" t="str">
        <f>"1.6406"</f>
        <v>1.6406</v>
      </c>
      <c r="C106" t="str">
        <f>"1.6403"</f>
        <v>1.6403</v>
      </c>
    </row>
    <row r="107" spans="1:3" x14ac:dyDescent="0.25">
      <c r="A107" t="str">
        <f>"05/11/2009"</f>
        <v>05/11/2009</v>
      </c>
      <c r="B107" t="str">
        <f>"1.651"</f>
        <v>1.651</v>
      </c>
      <c r="C107" t="str">
        <f>"1.6507"</f>
        <v>1.6507</v>
      </c>
    </row>
    <row r="108" spans="1:3" x14ac:dyDescent="0.25">
      <c r="A108" t="str">
        <f>"06/11/2009"</f>
        <v>06/11/2009</v>
      </c>
      <c r="B108" t="str">
        <f>"1.6603"</f>
        <v>1.6603</v>
      </c>
      <c r="C108" t="str">
        <f>"1.66"</f>
        <v>1.66</v>
      </c>
    </row>
    <row r="109" spans="1:3" x14ac:dyDescent="0.25">
      <c r="A109" t="str">
        <f>"09/11/2009"</f>
        <v>09/11/2009</v>
      </c>
      <c r="B109" t="str">
        <f>"1.6711"</f>
        <v>1.6711</v>
      </c>
      <c r="C109" t="str">
        <f>"1.6707"</f>
        <v>1.6707</v>
      </c>
    </row>
    <row r="110" spans="1:3" x14ac:dyDescent="0.25">
      <c r="A110" t="str">
        <f>"10/11/2009"</f>
        <v>10/11/2009</v>
      </c>
      <c r="B110" t="str">
        <f>"1.6756"</f>
        <v>1.6756</v>
      </c>
      <c r="C110" t="str">
        <f>"1.6751"</f>
        <v>1.6751</v>
      </c>
    </row>
    <row r="111" spans="1:3" x14ac:dyDescent="0.25">
      <c r="A111" t="str">
        <f>"11/11/2009"</f>
        <v>11/11/2009</v>
      </c>
      <c r="B111" t="str">
        <f>"1.6717"</f>
        <v>1.6717</v>
      </c>
      <c r="C111" t="str">
        <f>"1.6713"</f>
        <v>1.6713</v>
      </c>
    </row>
    <row r="112" spans="1:3" x14ac:dyDescent="0.25">
      <c r="A112" t="str">
        <f>"12/11/2009"</f>
        <v>12/11/2009</v>
      </c>
      <c r="B112" t="str">
        <f>"1.6588"</f>
        <v>1.6588</v>
      </c>
      <c r="C112" t="str">
        <f>"1.6584"</f>
        <v>1.6584</v>
      </c>
    </row>
    <row r="113" spans="1:3" x14ac:dyDescent="0.25">
      <c r="A113" t="str">
        <f>"13/11/2009"</f>
        <v>13/11/2009</v>
      </c>
      <c r="B113" t="str">
        <f>"1.6593"</f>
        <v>1.6593</v>
      </c>
      <c r="C113" t="str">
        <f>"1.6589"</f>
        <v>1.6589</v>
      </c>
    </row>
    <row r="114" spans="1:3" x14ac:dyDescent="0.25">
      <c r="A114" t="str">
        <f>"16/11/2009"</f>
        <v>16/11/2009</v>
      </c>
      <c r="B114" t="str">
        <f>"1.6697"</f>
        <v>1.6697</v>
      </c>
      <c r="C114" t="str">
        <f>"1.6693"</f>
        <v>1.6693</v>
      </c>
    </row>
    <row r="115" spans="1:3" x14ac:dyDescent="0.25">
      <c r="A115" t="str">
        <f>"17/11/2009"</f>
        <v>17/11/2009</v>
      </c>
      <c r="B115" t="str">
        <f>"1.6803"</f>
        <v>1.6803</v>
      </c>
      <c r="C115" t="str">
        <f>"1.6799"</f>
        <v>1.6799</v>
      </c>
    </row>
    <row r="116" spans="1:3" x14ac:dyDescent="0.25">
      <c r="A116" t="str">
        <f>"18/11/2009"</f>
        <v>18/11/2009</v>
      </c>
      <c r="B116" t="str">
        <f>"1.6792"</f>
        <v>1.6792</v>
      </c>
      <c r="C116" t="str">
        <f>"1.6788"</f>
        <v>1.6788</v>
      </c>
    </row>
    <row r="117" spans="1:3" x14ac:dyDescent="0.25">
      <c r="A117" t="str">
        <f>"19/11/2009"</f>
        <v>19/11/2009</v>
      </c>
      <c r="B117" t="str">
        <f>"1.6695"</f>
        <v>1.6695</v>
      </c>
      <c r="C117" t="str">
        <f>"1.6691"</f>
        <v>1.6691</v>
      </c>
    </row>
    <row r="118" spans="1:3" x14ac:dyDescent="0.25">
      <c r="A118" t="str">
        <f>"20/11/2009"</f>
        <v>20/11/2009</v>
      </c>
      <c r="B118" t="str">
        <f>"1.6631"</f>
        <v>1.6631</v>
      </c>
      <c r="C118" t="str">
        <f>"1.6627"</f>
        <v>1.6627</v>
      </c>
    </row>
    <row r="119" spans="1:3" x14ac:dyDescent="0.25">
      <c r="A119" t="str">
        <f>"23/11/2009"</f>
        <v>23/11/2009</v>
      </c>
      <c r="B119" t="str">
        <f>"1.6516"</f>
        <v>1.6516</v>
      </c>
      <c r="C119" t="str">
        <f>"1.6512"</f>
        <v>1.6512</v>
      </c>
    </row>
    <row r="120" spans="1:3" x14ac:dyDescent="0.25">
      <c r="A120" t="str">
        <f>"24/11/2009"</f>
        <v>24/11/2009</v>
      </c>
      <c r="B120" t="str">
        <f>"1.6563"</f>
        <v>1.6563</v>
      </c>
      <c r="C120" t="str">
        <f>"1.6559"</f>
        <v>1.6559</v>
      </c>
    </row>
    <row r="121" spans="1:3" x14ac:dyDescent="0.25">
      <c r="A121" t="str">
        <f>"25/11/2009"</f>
        <v>25/11/2009</v>
      </c>
      <c r="B121" t="str">
        <f>"1.6614"</f>
        <v>1.6614</v>
      </c>
      <c r="C121" t="str">
        <f>"1.661"</f>
        <v>1.661</v>
      </c>
    </row>
    <row r="122" spans="1:3" x14ac:dyDescent="0.25">
      <c r="A122" t="str">
        <f>"26/11/2009"</f>
        <v>26/11/2009</v>
      </c>
      <c r="B122" t="str">
        <f>"1.6686"</f>
        <v>1.6686</v>
      </c>
      <c r="C122" t="str">
        <f>"1.6682"</f>
        <v>1.6682</v>
      </c>
    </row>
    <row r="123" spans="1:3" x14ac:dyDescent="0.25">
      <c r="A123" t="str">
        <f>"27/11/2009"</f>
        <v>27/11/2009</v>
      </c>
      <c r="B123" t="str">
        <f>"1.6401"</f>
        <v>1.6401</v>
      </c>
      <c r="C123" t="str">
        <f>"1.6397"</f>
        <v>1.6397</v>
      </c>
    </row>
    <row r="124" spans="1:3" x14ac:dyDescent="0.25">
      <c r="A124" t="str">
        <f>"30/11/2009"</f>
        <v>30/11/2009</v>
      </c>
      <c r="B124" t="str">
        <f>"1.6578"</f>
        <v>1.6578</v>
      </c>
      <c r="C124" t="str">
        <f>"1.6575"</f>
        <v>1.6575</v>
      </c>
    </row>
    <row r="125" spans="1:3" x14ac:dyDescent="0.25">
      <c r="A125" t="str">
        <f>"01/12/2009"</f>
        <v>01/12/2009</v>
      </c>
      <c r="B125" t="str">
        <f>"1.6442"</f>
        <v>1.6442</v>
      </c>
      <c r="C125" t="str">
        <f>"1.6439"</f>
        <v>1.6439</v>
      </c>
    </row>
    <row r="126" spans="1:3" x14ac:dyDescent="0.25">
      <c r="A126" t="str">
        <f>"02/12/2009"</f>
        <v>02/12/2009</v>
      </c>
      <c r="B126" t="str">
        <f>"1.6613"</f>
        <v>1.6613</v>
      </c>
      <c r="C126" t="str">
        <f>"1.661"</f>
        <v>1.661</v>
      </c>
    </row>
    <row r="127" spans="1:3" x14ac:dyDescent="0.25">
      <c r="A127" t="str">
        <f>"03/12/2009"</f>
        <v>03/12/2009</v>
      </c>
      <c r="B127" t="str">
        <f>"1.6682"</f>
        <v>1.6682</v>
      </c>
      <c r="C127" t="str">
        <f>"1.6679"</f>
        <v>1.6679</v>
      </c>
    </row>
    <row r="128" spans="1:3" x14ac:dyDescent="0.25">
      <c r="A128" t="str">
        <f>"04/12/2009"</f>
        <v>04/12/2009</v>
      </c>
      <c r="B128" t="str">
        <f>"1.6536"</f>
        <v>1.6536</v>
      </c>
      <c r="C128" t="str">
        <f>"1.6533"</f>
        <v>1.6533</v>
      </c>
    </row>
    <row r="129" spans="1:3" x14ac:dyDescent="0.25">
      <c r="A129" t="str">
        <f>"07/12/2009"</f>
        <v>07/12/2009</v>
      </c>
      <c r="B129" t="str">
        <f>"1.6473"</f>
        <v>1.6473</v>
      </c>
      <c r="C129" t="str">
        <f>"1.6469"</f>
        <v>1.6469</v>
      </c>
    </row>
    <row r="130" spans="1:3" x14ac:dyDescent="0.25">
      <c r="A130" t="str">
        <f>"08/12/2009"</f>
        <v>08/12/2009</v>
      </c>
      <c r="B130" t="str">
        <f>"1.6447"</f>
        <v>1.6447</v>
      </c>
      <c r="C130" t="str">
        <f>"1.6444"</f>
        <v>1.6444</v>
      </c>
    </row>
    <row r="131" spans="1:3" x14ac:dyDescent="0.25">
      <c r="A131" t="str">
        <f>"09/12/2009"</f>
        <v>09/12/2009</v>
      </c>
      <c r="B131" t="str">
        <f>"1.6262"</f>
        <v>1.6262</v>
      </c>
      <c r="C131" t="str">
        <f>"1.6259"</f>
        <v>1.6259</v>
      </c>
    </row>
    <row r="132" spans="1:3" x14ac:dyDescent="0.25">
      <c r="A132" t="str">
        <f>"10/12/2009"</f>
        <v>10/12/2009</v>
      </c>
      <c r="B132" t="str">
        <f>"1.6305"</f>
        <v>1.6305</v>
      </c>
      <c r="C132" t="str">
        <f>"1.6302"</f>
        <v>1.6302</v>
      </c>
    </row>
    <row r="133" spans="1:3" x14ac:dyDescent="0.25">
      <c r="A133" t="str">
        <f>"11/12/2009"</f>
        <v>11/12/2009</v>
      </c>
      <c r="B133" t="str">
        <f>"1.6312"</f>
        <v>1.6312</v>
      </c>
      <c r="C133" t="str">
        <f>"1.6309"</f>
        <v>1.6309</v>
      </c>
    </row>
    <row r="134" spans="1:3" x14ac:dyDescent="0.25">
      <c r="A134" t="str">
        <f>"14/12/2009"</f>
        <v>14/12/2009</v>
      </c>
      <c r="B134" t="str">
        <f>"1.6192"</f>
        <v>1.6192</v>
      </c>
      <c r="C134" t="str">
        <f>"1.6189"</f>
        <v>1.6189</v>
      </c>
    </row>
    <row r="135" spans="1:3" x14ac:dyDescent="0.25">
      <c r="A135" t="str">
        <f>"15/12/2009"</f>
        <v>15/12/2009</v>
      </c>
      <c r="B135" t="str">
        <f>"1.63"</f>
        <v>1.63</v>
      </c>
      <c r="C135" t="str">
        <f>"1.6296"</f>
        <v>1.6296</v>
      </c>
    </row>
    <row r="136" spans="1:3" x14ac:dyDescent="0.25">
      <c r="A136" t="str">
        <f>"16/12/2009"</f>
        <v>16/12/2009</v>
      </c>
      <c r="B136" t="str">
        <f>"1.6244"</f>
        <v>1.6244</v>
      </c>
      <c r="C136" t="str">
        <f>"1.624"</f>
        <v>1.624</v>
      </c>
    </row>
    <row r="137" spans="1:3" x14ac:dyDescent="0.25">
      <c r="A137" t="str">
        <f>"17/12/2009"</f>
        <v>17/12/2009</v>
      </c>
      <c r="B137" t="str">
        <f>"1.6263"</f>
        <v>1.6263</v>
      </c>
      <c r="C137" t="str">
        <f>"1.626"</f>
        <v>1.626</v>
      </c>
    </row>
    <row r="138" spans="1:3" x14ac:dyDescent="0.25">
      <c r="A138" t="str">
        <f>"18/12/2009"</f>
        <v>18/12/2009</v>
      </c>
      <c r="B138" t="str">
        <f>"1.6209"</f>
        <v>1.6209</v>
      </c>
      <c r="C138" t="str">
        <f>"1.6206"</f>
        <v>1.6206</v>
      </c>
    </row>
    <row r="139" spans="1:3" x14ac:dyDescent="0.25">
      <c r="A139" t="str">
        <f>"21/12/2009"</f>
        <v>21/12/2009</v>
      </c>
      <c r="B139" t="str">
        <f>"1.6153"</f>
        <v>1.6153</v>
      </c>
      <c r="C139" t="str">
        <f>"1.615"</f>
        <v>1.615</v>
      </c>
    </row>
    <row r="140" spans="1:3" x14ac:dyDescent="0.25">
      <c r="A140" t="str">
        <f>"22/12/2009"</f>
        <v>22/12/2009</v>
      </c>
      <c r="B140" t="str">
        <f>"1.6053"</f>
        <v>1.6053</v>
      </c>
      <c r="C140" t="str">
        <f>"1.605"</f>
        <v>1.605</v>
      </c>
    </row>
    <row r="141" spans="1:3" x14ac:dyDescent="0.25">
      <c r="A141" t="str">
        <f>"23/12/2009"</f>
        <v>23/12/2009</v>
      </c>
      <c r="B141" t="str">
        <f>"1.5956"</f>
        <v>1.5956</v>
      </c>
      <c r="C141" t="str">
        <f>"1.5952"</f>
        <v>1.5952</v>
      </c>
    </row>
    <row r="142" spans="1:3" x14ac:dyDescent="0.25">
      <c r="A142" t="str">
        <f>"24/12/2009"</f>
        <v>24/12/2009</v>
      </c>
      <c r="B142" t="str">
        <f>"1.5985"</f>
        <v>1.5985</v>
      </c>
      <c r="C142" t="str">
        <f>"1.5982"</f>
        <v>1.5982</v>
      </c>
    </row>
    <row r="143" spans="1:3" x14ac:dyDescent="0.25">
      <c r="A143" t="str">
        <f>"29/12/2009"</f>
        <v>29/12/2009</v>
      </c>
      <c r="B143" t="str">
        <f>"1.5995"</f>
        <v>1.5995</v>
      </c>
      <c r="C143" t="str">
        <f>"1.5992"</f>
        <v>1.5992</v>
      </c>
    </row>
    <row r="144" spans="1:3" x14ac:dyDescent="0.25">
      <c r="A144" t="str">
        <f>"30/12/2009"</f>
        <v>30/12/2009</v>
      </c>
      <c r="B144" t="str">
        <f>"1.5879"</f>
        <v>1.5879</v>
      </c>
      <c r="C144" t="str">
        <f>"1.5876"</f>
        <v>1.5876</v>
      </c>
    </row>
    <row r="145" spans="1:3" x14ac:dyDescent="0.25">
      <c r="A145" t="str">
        <f>"31/12/2009"</f>
        <v>31/12/2009</v>
      </c>
      <c r="B145" t="str">
        <f>"1.606"</f>
        <v>1.606</v>
      </c>
      <c r="C145" t="str">
        <f>"1.6057"</f>
        <v>1.6057</v>
      </c>
    </row>
    <row r="146" spans="1:3" x14ac:dyDescent="0.25">
      <c r="A146" t="str">
        <f>"01/01/2010"</f>
        <v>01/01/2010</v>
      </c>
      <c r="B146" t="str">
        <f>"1.6168"</f>
        <v>1.6168</v>
      </c>
      <c r="C146" t="str">
        <f>"1.6165"</f>
        <v>1.6165</v>
      </c>
    </row>
    <row r="147" spans="1:3" x14ac:dyDescent="0.25">
      <c r="A147" t="str">
        <f>"04/01/2010"</f>
        <v>04/01/2010</v>
      </c>
      <c r="B147" t="str">
        <f>"1.6091"</f>
        <v>1.6091</v>
      </c>
      <c r="C147" t="str">
        <f>"1.6088"</f>
        <v>1.6088</v>
      </c>
    </row>
    <row r="148" spans="1:3" x14ac:dyDescent="0.25">
      <c r="A148" t="str">
        <f>"05/01/2010"</f>
        <v>05/01/2010</v>
      </c>
      <c r="B148" t="str">
        <f>"1.6093"</f>
        <v>1.6093</v>
      </c>
      <c r="C148" t="str">
        <f>"1.6089"</f>
        <v>1.6089</v>
      </c>
    </row>
    <row r="149" spans="1:3" x14ac:dyDescent="0.25">
      <c r="A149" t="str">
        <f>"06/01/2010"</f>
        <v>06/01/2010</v>
      </c>
      <c r="B149" t="str">
        <f>"1.5977"</f>
        <v>1.5977</v>
      </c>
      <c r="C149" t="str">
        <f>"1.5974"</f>
        <v>1.5974</v>
      </c>
    </row>
    <row r="150" spans="1:3" x14ac:dyDescent="0.25">
      <c r="A150" t="str">
        <f>"07/01/2010"</f>
        <v>07/01/2010</v>
      </c>
      <c r="B150" t="str">
        <f>"1.6002"</f>
        <v>1.6002</v>
      </c>
      <c r="C150" t="str">
        <f>"1.5999"</f>
        <v>1.5999</v>
      </c>
    </row>
    <row r="151" spans="1:3" x14ac:dyDescent="0.25">
      <c r="A151" t="str">
        <f>"08/01/2010"</f>
        <v>08/01/2010</v>
      </c>
      <c r="B151" t="str">
        <f>"1.5935"</f>
        <v>1.5935</v>
      </c>
      <c r="C151" t="str">
        <f>"1.5932"</f>
        <v>1.5932</v>
      </c>
    </row>
    <row r="152" spans="1:3" x14ac:dyDescent="0.25">
      <c r="A152" t="str">
        <f>"11/01/2010"</f>
        <v>11/01/2010</v>
      </c>
      <c r="B152" t="str">
        <f>"1.6083"</f>
        <v>1.6083</v>
      </c>
      <c r="C152" t="str">
        <f>"1.6079"</f>
        <v>1.6079</v>
      </c>
    </row>
    <row r="153" spans="1:3" x14ac:dyDescent="0.25">
      <c r="A153" t="str">
        <f>"12/01/2010"</f>
        <v>12/01/2010</v>
      </c>
      <c r="B153" t="str">
        <f>"1.6079"</f>
        <v>1.6079</v>
      </c>
      <c r="C153" t="str">
        <f>"1.6075"</f>
        <v>1.6075</v>
      </c>
    </row>
    <row r="154" spans="1:3" x14ac:dyDescent="0.25">
      <c r="A154" t="str">
        <f>"13/01/2010"</f>
        <v>13/01/2010</v>
      </c>
      <c r="B154" t="str">
        <f>"1.6152"</f>
        <v>1.6152</v>
      </c>
      <c r="C154" t="str">
        <f>"1.6149"</f>
        <v>1.6149</v>
      </c>
    </row>
    <row r="155" spans="1:3" x14ac:dyDescent="0.25">
      <c r="A155" t="str">
        <f>"14/01/2010"</f>
        <v>14/01/2010</v>
      </c>
      <c r="B155" t="str">
        <f>"1.6295"</f>
        <v>1.6295</v>
      </c>
      <c r="C155" t="str">
        <f>"1.6292"</f>
        <v>1.6292</v>
      </c>
    </row>
    <row r="156" spans="1:3" x14ac:dyDescent="0.25">
      <c r="A156" t="str">
        <f>"15/01/2010"</f>
        <v>15/01/2010</v>
      </c>
      <c r="B156" t="str">
        <f>"1.6319"</f>
        <v>1.6319</v>
      </c>
      <c r="C156" t="str">
        <f>"1.6315"</f>
        <v>1.6315</v>
      </c>
    </row>
    <row r="157" spans="1:3" x14ac:dyDescent="0.25">
      <c r="A157" t="str">
        <f>"18/01/2010"</f>
        <v>18/01/2010</v>
      </c>
      <c r="B157" t="str">
        <f>"1.6286"</f>
        <v>1.6286</v>
      </c>
      <c r="C157" t="str">
        <f>"1.6282"</f>
        <v>1.6282</v>
      </c>
    </row>
    <row r="158" spans="1:3" x14ac:dyDescent="0.25">
      <c r="A158" t="str">
        <f>"19/01/2010"</f>
        <v>19/01/2010</v>
      </c>
      <c r="B158" t="str">
        <f>"1.6409"</f>
        <v>1.6409</v>
      </c>
      <c r="C158" t="str">
        <f>"1.6405"</f>
        <v>1.6405</v>
      </c>
    </row>
    <row r="159" spans="1:3" x14ac:dyDescent="0.25">
      <c r="A159" t="str">
        <f>"20/01/2010"</f>
        <v>20/01/2010</v>
      </c>
      <c r="B159" t="str">
        <f>"1.6314"</f>
        <v>1.6314</v>
      </c>
      <c r="C159" t="str">
        <f>"1.631"</f>
        <v>1.631</v>
      </c>
    </row>
    <row r="160" spans="1:3" x14ac:dyDescent="0.25">
      <c r="A160" t="str">
        <f>"21/01/2010"</f>
        <v>21/01/2010</v>
      </c>
      <c r="B160" t="str">
        <f>"1.6267"</f>
        <v>1.6267</v>
      </c>
      <c r="C160" t="str">
        <f>"1.6263"</f>
        <v>1.6263</v>
      </c>
    </row>
    <row r="161" spans="1:3" x14ac:dyDescent="0.25">
      <c r="A161" t="str">
        <f>"22/01/2010"</f>
        <v>22/01/2010</v>
      </c>
      <c r="B161" t="str">
        <f>"1.6207"</f>
        <v>1.6207</v>
      </c>
      <c r="C161" t="str">
        <f>"1.6203"</f>
        <v>1.6203</v>
      </c>
    </row>
    <row r="162" spans="1:3" x14ac:dyDescent="0.25">
      <c r="A162" t="str">
        <f>"25/01/2010"</f>
        <v>25/01/2010</v>
      </c>
      <c r="B162" t="str">
        <f>"1.6111"</f>
        <v>1.6111</v>
      </c>
      <c r="C162" t="str">
        <f>"1.6107"</f>
        <v>1.6107</v>
      </c>
    </row>
    <row r="163" spans="1:3" x14ac:dyDescent="0.25">
      <c r="A163" t="str">
        <f>"27/01/2010"</f>
        <v>27/01/2010</v>
      </c>
      <c r="B163" t="str">
        <f>"1.6136"</f>
        <v>1.6136</v>
      </c>
      <c r="C163" t="str">
        <f>"1.6133"</f>
        <v>1.6133</v>
      </c>
    </row>
    <row r="164" spans="1:3" x14ac:dyDescent="0.25">
      <c r="A164" t="str">
        <f>"28/01/2010"</f>
        <v>28/01/2010</v>
      </c>
      <c r="B164" t="str">
        <f>"1.6218"</f>
        <v>1.6218</v>
      </c>
      <c r="C164" t="str">
        <f>"1.6214"</f>
        <v>1.6214</v>
      </c>
    </row>
    <row r="165" spans="1:3" x14ac:dyDescent="0.25">
      <c r="A165" t="str">
        <f>"29/01/2010"</f>
        <v>29/01/2010</v>
      </c>
      <c r="B165" t="str">
        <f>"1.6152"</f>
        <v>1.6152</v>
      </c>
      <c r="C165" t="str">
        <f>"1.6149"</f>
        <v>1.6149</v>
      </c>
    </row>
    <row r="166" spans="1:3" x14ac:dyDescent="0.25">
      <c r="A166" t="str">
        <f>"01/02/2010"</f>
        <v>01/02/2010</v>
      </c>
      <c r="B166" t="str">
        <f>"1.5939"</f>
        <v>1.5939</v>
      </c>
      <c r="C166" t="str">
        <f>"1.5936"</f>
        <v>1.5936</v>
      </c>
    </row>
    <row r="167" spans="1:3" x14ac:dyDescent="0.25">
      <c r="A167" t="str">
        <f>"02/02/2010"</f>
        <v>02/02/2010</v>
      </c>
      <c r="B167" t="str">
        <f>"1.593"</f>
        <v>1.593</v>
      </c>
      <c r="C167" t="str">
        <f>"1.5926"</f>
        <v>1.5926</v>
      </c>
    </row>
    <row r="168" spans="1:3" x14ac:dyDescent="0.25">
      <c r="A168" t="str">
        <f>"03/02/2010"</f>
        <v>03/02/2010</v>
      </c>
      <c r="B168" t="str">
        <f>"1.5991"</f>
        <v>1.5991</v>
      </c>
      <c r="C168" t="str">
        <f>"1.5988"</f>
        <v>1.5988</v>
      </c>
    </row>
    <row r="169" spans="1:3" x14ac:dyDescent="0.25">
      <c r="A169" t="str">
        <f>"04/02/2010"</f>
        <v>04/02/2010</v>
      </c>
      <c r="B169" t="str">
        <f>"1.5908"</f>
        <v>1.5908</v>
      </c>
      <c r="C169" t="str">
        <f>"1.5905"</f>
        <v>1.5905</v>
      </c>
    </row>
    <row r="170" spans="1:3" x14ac:dyDescent="0.25">
      <c r="A170" t="str">
        <f>"05/02/2010"</f>
        <v>05/02/2010</v>
      </c>
      <c r="B170" t="str">
        <f>"1.5741"</f>
        <v>1.5741</v>
      </c>
      <c r="C170" t="str">
        <f>"1.5738"</f>
        <v>1.5738</v>
      </c>
    </row>
    <row r="171" spans="1:3" x14ac:dyDescent="0.25">
      <c r="A171" t="str">
        <f>"08/02/2010"</f>
        <v>08/02/2010</v>
      </c>
      <c r="B171" t="str">
        <f>"1.5604"</f>
        <v>1.5604</v>
      </c>
      <c r="C171" t="str">
        <f>"1.5601"</f>
        <v>1.5601</v>
      </c>
    </row>
    <row r="172" spans="1:3" x14ac:dyDescent="0.25">
      <c r="A172" t="str">
        <f>"09/02/2010"</f>
        <v>09/02/2010</v>
      </c>
      <c r="B172" t="str">
        <f>"1.5592"</f>
        <v>1.5592</v>
      </c>
      <c r="C172" t="str">
        <f>"1.5589"</f>
        <v>1.5589</v>
      </c>
    </row>
    <row r="173" spans="1:3" x14ac:dyDescent="0.25">
      <c r="A173" t="str">
        <f>"10/02/2010"</f>
        <v>10/02/2010</v>
      </c>
      <c r="B173" t="str">
        <f>"1.5669"</f>
        <v>1.5669</v>
      </c>
      <c r="C173" t="str">
        <f>"1.5666"</f>
        <v>1.5666</v>
      </c>
    </row>
    <row r="174" spans="1:3" x14ac:dyDescent="0.25">
      <c r="A174" t="str">
        <f>"11/02/2010"</f>
        <v>11/02/2010</v>
      </c>
      <c r="B174" t="str">
        <f>"1.5632"</f>
        <v>1.5632</v>
      </c>
      <c r="C174" t="str">
        <f>"1.5628"</f>
        <v>1.5628</v>
      </c>
    </row>
    <row r="175" spans="1:3" x14ac:dyDescent="0.25">
      <c r="A175" t="str">
        <f>"15/02/2010"</f>
        <v>15/02/2010</v>
      </c>
      <c r="B175" t="str">
        <f>"1.5657"</f>
        <v>1.5657</v>
      </c>
      <c r="C175" t="str">
        <f>"1.5653"</f>
        <v>1.5653</v>
      </c>
    </row>
    <row r="176" spans="1:3" x14ac:dyDescent="0.25">
      <c r="A176" t="str">
        <f>"16/02/2010"</f>
        <v>16/02/2010</v>
      </c>
      <c r="B176" t="str">
        <f>"1.5683"</f>
        <v>1.5683</v>
      </c>
      <c r="C176" t="str">
        <f>"1.568"</f>
        <v>1.568</v>
      </c>
    </row>
    <row r="177" spans="1:3" x14ac:dyDescent="0.25">
      <c r="A177" t="str">
        <f>"17/02/2010"</f>
        <v>17/02/2010</v>
      </c>
      <c r="B177" t="str">
        <f>"1.5769"</f>
        <v>1.5769</v>
      </c>
      <c r="C177" t="str">
        <f>"1.5766"</f>
        <v>1.5766</v>
      </c>
    </row>
    <row r="178" spans="1:3" x14ac:dyDescent="0.25">
      <c r="A178" t="str">
        <f>"18/02/2010"</f>
        <v>18/02/2010</v>
      </c>
      <c r="B178" t="str">
        <f>"1.5661"</f>
        <v>1.5661</v>
      </c>
      <c r="C178" t="str">
        <f>"1.5658"</f>
        <v>1.5658</v>
      </c>
    </row>
    <row r="179" spans="1:3" x14ac:dyDescent="0.25">
      <c r="A179" t="str">
        <f>"19/02/2010"</f>
        <v>19/02/2010</v>
      </c>
      <c r="B179" t="str">
        <f>"1.5424"</f>
        <v>1.5424</v>
      </c>
      <c r="C179" t="str">
        <f>"1.5421"</f>
        <v>1.5421</v>
      </c>
    </row>
    <row r="180" spans="1:3" x14ac:dyDescent="0.25">
      <c r="A180" t="str">
        <f>"22/02/2010"</f>
        <v>22/02/2010</v>
      </c>
      <c r="B180" t="str">
        <f>"1.5493"</f>
        <v>1.5493</v>
      </c>
      <c r="C180" t="str">
        <f>"1.549"</f>
        <v>1.549</v>
      </c>
    </row>
    <row r="181" spans="1:3" x14ac:dyDescent="0.25">
      <c r="A181" t="str">
        <f>"23/02/2010"</f>
        <v>23/02/2010</v>
      </c>
      <c r="B181" t="str">
        <f>"1.5508"</f>
        <v>1.5508</v>
      </c>
      <c r="C181" t="str">
        <f>"1.5505"</f>
        <v>1.5505</v>
      </c>
    </row>
    <row r="182" spans="1:3" x14ac:dyDescent="0.25">
      <c r="A182" t="str">
        <f>"24/02/2010"</f>
        <v>24/02/2010</v>
      </c>
      <c r="B182" t="str">
        <f>"1.5455"</f>
        <v>1.5455</v>
      </c>
      <c r="C182" t="str">
        <f>"1.5451"</f>
        <v>1.5451</v>
      </c>
    </row>
    <row r="183" spans="1:3" x14ac:dyDescent="0.25">
      <c r="A183" t="str">
        <f>"25/02/2010"</f>
        <v>25/02/2010</v>
      </c>
      <c r="B183" t="str">
        <f>"1.5364"</f>
        <v>1.5364</v>
      </c>
      <c r="C183" t="str">
        <f>"1.5361"</f>
        <v>1.5361</v>
      </c>
    </row>
    <row r="184" spans="1:3" x14ac:dyDescent="0.25">
      <c r="A184" t="str">
        <f>"26/02/2010"</f>
        <v>26/02/2010</v>
      </c>
      <c r="B184" t="str">
        <f>"1.5266"</f>
        <v>1.5266</v>
      </c>
      <c r="C184" t="str">
        <f>"1.5262"</f>
        <v>1.5262</v>
      </c>
    </row>
    <row r="185" spans="1:3" x14ac:dyDescent="0.25">
      <c r="A185" t="str">
        <f>"02/03/2010"</f>
        <v>02/03/2010</v>
      </c>
      <c r="B185" t="str">
        <f>"1.491"</f>
        <v>1.491</v>
      </c>
      <c r="C185" t="str">
        <f>"1.4906"</f>
        <v>1.4906</v>
      </c>
    </row>
    <row r="186" spans="1:3" x14ac:dyDescent="0.25">
      <c r="A186" t="str">
        <f>"03/03/2010"</f>
        <v>03/03/2010</v>
      </c>
      <c r="B186" t="str">
        <f>"1.5046"</f>
        <v>1.5046</v>
      </c>
      <c r="C186" t="str">
        <f>"1.5042"</f>
        <v>1.5042</v>
      </c>
    </row>
    <row r="187" spans="1:3" x14ac:dyDescent="0.25">
      <c r="A187" t="str">
        <f>"04/03/2010"</f>
        <v>04/03/2010</v>
      </c>
      <c r="B187" t="str">
        <f>"1.508"</f>
        <v>1.508</v>
      </c>
      <c r="C187" t="str">
        <f>"1.5076"</f>
        <v>1.5076</v>
      </c>
    </row>
    <row r="188" spans="1:3" x14ac:dyDescent="0.25">
      <c r="A188" t="str">
        <f>"05/03/2010"</f>
        <v>05/03/2010</v>
      </c>
      <c r="B188" t="str">
        <f>"1.5037"</f>
        <v>1.5037</v>
      </c>
      <c r="C188" t="str">
        <f>"1.5033"</f>
        <v>1.5033</v>
      </c>
    </row>
    <row r="189" spans="1:3" x14ac:dyDescent="0.25">
      <c r="A189" t="str">
        <f>"08/03/2010"</f>
        <v>08/03/2010</v>
      </c>
      <c r="B189" t="str">
        <f>"1.5167"</f>
        <v>1.5167</v>
      </c>
      <c r="C189" t="str">
        <f>"1.5163"</f>
        <v>1.5163</v>
      </c>
    </row>
    <row r="190" spans="1:3" x14ac:dyDescent="0.25">
      <c r="A190" t="str">
        <f>"09/03/2010"</f>
        <v>09/03/2010</v>
      </c>
      <c r="B190" t="str">
        <f>"1.5018"</f>
        <v>1.5018</v>
      </c>
      <c r="C190" t="str">
        <f>"1.5015"</f>
        <v>1.5015</v>
      </c>
    </row>
    <row r="191" spans="1:3" x14ac:dyDescent="0.25">
      <c r="A191" t="str">
        <f>"10/03/2010"</f>
        <v>10/03/2010</v>
      </c>
      <c r="B191" t="str">
        <f>"1.4964"</f>
        <v>1.4964</v>
      </c>
      <c r="C191" t="str">
        <f>"1.4961"</f>
        <v>1.4961</v>
      </c>
    </row>
    <row r="192" spans="1:3" x14ac:dyDescent="0.25">
      <c r="A192" t="str">
        <f>"11/03/2010"</f>
        <v>11/03/2010</v>
      </c>
      <c r="B192" t="str">
        <f>"1.4954"</f>
        <v>1.4954</v>
      </c>
      <c r="C192" t="str">
        <f>"1.4951"</f>
        <v>1.4951</v>
      </c>
    </row>
    <row r="193" spans="1:3" x14ac:dyDescent="0.25">
      <c r="A193" t="str">
        <f>"12/03/2010"</f>
        <v>12/03/2010</v>
      </c>
      <c r="B193" t="str">
        <f>"1.5057"</f>
        <v>1.5057</v>
      </c>
      <c r="C193" t="str">
        <f>"1.5054"</f>
        <v>1.5054</v>
      </c>
    </row>
    <row r="194" spans="1:3" x14ac:dyDescent="0.25">
      <c r="A194" t="str">
        <f>"15/03/2010"</f>
        <v>15/03/2010</v>
      </c>
      <c r="B194" t="str">
        <f>"1.5155"</f>
        <v>1.5155</v>
      </c>
      <c r="C194" t="str">
        <f>"1.5151"</f>
        <v>1.5151</v>
      </c>
    </row>
    <row r="195" spans="1:3" x14ac:dyDescent="0.25">
      <c r="A195" t="str">
        <f>"17/03/2010"</f>
        <v>17/03/2010</v>
      </c>
      <c r="B195" t="str">
        <f>"1.5229"</f>
        <v>1.5229</v>
      </c>
      <c r="C195" t="str">
        <f>"1.5226"</f>
        <v>1.5226</v>
      </c>
    </row>
    <row r="196" spans="1:3" x14ac:dyDescent="0.25">
      <c r="A196" t="str">
        <f>"18/03/2010"</f>
        <v>18/03/2010</v>
      </c>
      <c r="B196" t="str">
        <f>"1.531"</f>
        <v>1.531</v>
      </c>
      <c r="C196" t="str">
        <f>"1.5307"</f>
        <v>1.5307</v>
      </c>
    </row>
    <row r="197" spans="1:3" x14ac:dyDescent="0.25">
      <c r="A197" t="str">
        <f>"19/03/2010"</f>
        <v>19/03/2010</v>
      </c>
      <c r="B197" t="str">
        <f>"1.5251"</f>
        <v>1.5251</v>
      </c>
      <c r="C197" t="str">
        <f>"1.5248"</f>
        <v>1.5248</v>
      </c>
    </row>
    <row r="198" spans="1:3" x14ac:dyDescent="0.25">
      <c r="A198" t="str">
        <f>"22/03/2010"</f>
        <v>22/03/2010</v>
      </c>
      <c r="B198" t="str">
        <f>"1.4991"</f>
        <v>1.4991</v>
      </c>
      <c r="C198" t="str">
        <f>"1.4988"</f>
        <v>1.4988</v>
      </c>
    </row>
    <row r="199" spans="1:3" x14ac:dyDescent="0.25">
      <c r="A199" t="str">
        <f>"23/03/2010"</f>
        <v>23/03/2010</v>
      </c>
      <c r="B199" t="str">
        <f>"1.5087"</f>
        <v>1.5087</v>
      </c>
      <c r="C199" t="str">
        <f>"1.5084"</f>
        <v>1.5084</v>
      </c>
    </row>
    <row r="200" spans="1:3" x14ac:dyDescent="0.25">
      <c r="A200" t="str">
        <f>"25/03/2010"</f>
        <v>25/03/2010</v>
      </c>
      <c r="B200" t="str">
        <f>"1.4897"</f>
        <v>1.4897</v>
      </c>
      <c r="C200" t="str">
        <f>"1.4894"</f>
        <v>1.4894</v>
      </c>
    </row>
    <row r="201" spans="1:3" x14ac:dyDescent="0.25">
      <c r="A201" t="str">
        <f>"26/03/2010"</f>
        <v>26/03/2010</v>
      </c>
      <c r="B201" t="str">
        <f>"1.4872"</f>
        <v>1.4872</v>
      </c>
      <c r="C201" t="str">
        <f>"1.4869"</f>
        <v>1.4869</v>
      </c>
    </row>
    <row r="202" spans="1:3" x14ac:dyDescent="0.25">
      <c r="A202" t="str">
        <f>"29/03/2010"</f>
        <v>29/03/2010</v>
      </c>
      <c r="B202" t="str">
        <f>"1.492"</f>
        <v>1.492</v>
      </c>
      <c r="C202" t="str">
        <f>"1.4917"</f>
        <v>1.4917</v>
      </c>
    </row>
    <row r="203" spans="1:3" x14ac:dyDescent="0.25">
      <c r="A203" t="str">
        <f>"30/03/2010"</f>
        <v>30/03/2010</v>
      </c>
      <c r="B203" t="str">
        <f>"1.4995"</f>
        <v>1.4995</v>
      </c>
      <c r="C203" t="str">
        <f>"1.4992"</f>
        <v>1.4992</v>
      </c>
    </row>
    <row r="204" spans="1:3" x14ac:dyDescent="0.25">
      <c r="A204" t="str">
        <f>"31/03/2010"</f>
        <v>31/03/2010</v>
      </c>
      <c r="B204" t="str">
        <f>"1.5072"</f>
        <v>1.5072</v>
      </c>
      <c r="C204" t="str">
        <f>"1.5069"</f>
        <v>1.5069</v>
      </c>
    </row>
    <row r="205" spans="1:3" x14ac:dyDescent="0.25">
      <c r="A205" t="str">
        <f>"05/04/2010"</f>
        <v>05/04/2010</v>
      </c>
      <c r="B205" t="str">
        <f>"1.5266"</f>
        <v>1.5266</v>
      </c>
      <c r="C205" t="str">
        <f>"1.5263"</f>
        <v>1.5263</v>
      </c>
    </row>
    <row r="206" spans="1:3" x14ac:dyDescent="0.25">
      <c r="A206" t="str">
        <f>"06/04/2010"</f>
        <v>06/04/2010</v>
      </c>
      <c r="B206" t="str">
        <f>"1.5229"</f>
        <v>1.5229</v>
      </c>
      <c r="C206" t="str">
        <f>"1.5226"</f>
        <v>1.5226</v>
      </c>
    </row>
    <row r="207" spans="1:3" x14ac:dyDescent="0.25">
      <c r="A207" t="str">
        <f>"07/04/2010"</f>
        <v>07/04/2010</v>
      </c>
      <c r="B207" t="str">
        <f>"1.5245"</f>
        <v>1.5245</v>
      </c>
      <c r="C207" t="str">
        <f>"1.5242"</f>
        <v>1.5242</v>
      </c>
    </row>
    <row r="208" spans="1:3" x14ac:dyDescent="0.25">
      <c r="A208" t="str">
        <f>"08/04/2010"</f>
        <v>08/04/2010</v>
      </c>
      <c r="B208" t="str">
        <f>"1.5222"</f>
        <v>1.5222</v>
      </c>
      <c r="C208" t="str">
        <f>"1.5219"</f>
        <v>1.5219</v>
      </c>
    </row>
    <row r="209" spans="1:3" x14ac:dyDescent="0.25">
      <c r="A209" t="str">
        <f>"09/04/2010"</f>
        <v>09/04/2010</v>
      </c>
      <c r="B209" t="str">
        <f>"1.5276"</f>
        <v>1.5276</v>
      </c>
      <c r="C209" t="str">
        <f>"1.5273"</f>
        <v>1.5273</v>
      </c>
    </row>
    <row r="210" spans="1:3" x14ac:dyDescent="0.25">
      <c r="A210" t="str">
        <f>"12/04/2010"</f>
        <v>12/04/2010</v>
      </c>
      <c r="B210" t="str">
        <f>"1.5439"</f>
        <v>1.5439</v>
      </c>
      <c r="C210" t="str">
        <f>"1.5436"</f>
        <v>1.5436</v>
      </c>
    </row>
    <row r="211" spans="1:3" x14ac:dyDescent="0.25">
      <c r="A211" t="str">
        <f>"13/04/2010"</f>
        <v>13/04/2010</v>
      </c>
      <c r="B211" t="str">
        <f>"1.5359"</f>
        <v>1.5359</v>
      </c>
      <c r="C211" t="str">
        <f>"1.5356"</f>
        <v>1.5356</v>
      </c>
    </row>
    <row r="212" spans="1:3" x14ac:dyDescent="0.25">
      <c r="A212" t="str">
        <f>"15/04/2010"</f>
        <v>15/04/2010</v>
      </c>
      <c r="B212" t="str">
        <f>"1.5507"</f>
        <v>1.5507</v>
      </c>
      <c r="C212" t="str">
        <f>"1.5505"</f>
        <v>1.5505</v>
      </c>
    </row>
    <row r="213" spans="1:3" x14ac:dyDescent="0.25">
      <c r="A213" t="str">
        <f>"16/04/2010"</f>
        <v>16/04/2010</v>
      </c>
      <c r="B213" t="str">
        <f>"1.5432"</f>
        <v>1.5432</v>
      </c>
      <c r="C213" t="str">
        <f>"1.543"</f>
        <v>1.543</v>
      </c>
    </row>
    <row r="214" spans="1:3" x14ac:dyDescent="0.25">
      <c r="A214" t="str">
        <f>"19/04/2010"</f>
        <v>19/04/2010</v>
      </c>
      <c r="B214" t="str">
        <f>"1.525"</f>
        <v>1.525</v>
      </c>
      <c r="C214" t="str">
        <f>"1.5248"</f>
        <v>1.5248</v>
      </c>
    </row>
    <row r="215" spans="1:3" x14ac:dyDescent="0.25">
      <c r="A215" t="str">
        <f>"20/04/2010"</f>
        <v>20/04/2010</v>
      </c>
      <c r="B215" t="str">
        <f>"1.5317"</f>
        <v>1.5317</v>
      </c>
      <c r="C215" t="str">
        <f>"1.5314"</f>
        <v>1.5314</v>
      </c>
    </row>
    <row r="216" spans="1:3" x14ac:dyDescent="0.25">
      <c r="A216" t="str">
        <f>"21/04/2010"</f>
        <v>21/04/2010</v>
      </c>
      <c r="B216" t="str">
        <f>"1.5358"</f>
        <v>1.5358</v>
      </c>
      <c r="C216" t="str">
        <f>"1.5356"</f>
        <v>1.5356</v>
      </c>
    </row>
    <row r="217" spans="1:3" x14ac:dyDescent="0.25">
      <c r="A217" t="str">
        <f>"22/04/2010"</f>
        <v>22/04/2010</v>
      </c>
      <c r="B217" t="str">
        <f>"1.5422"</f>
        <v>1.5422</v>
      </c>
      <c r="C217" t="str">
        <f>"1.542"</f>
        <v>1.542</v>
      </c>
    </row>
    <row r="218" spans="1:3" x14ac:dyDescent="0.25">
      <c r="A218" t="str">
        <f>"23/04/2010"</f>
        <v>23/04/2010</v>
      </c>
      <c r="B218" t="str">
        <f>"1.5338"</f>
        <v>1.5338</v>
      </c>
      <c r="C218" t="str">
        <f>"1.5336"</f>
        <v>1.5336</v>
      </c>
    </row>
    <row r="219" spans="1:3" x14ac:dyDescent="0.25">
      <c r="A219" t="str">
        <f>"26/04/2010"</f>
        <v>26/04/2010</v>
      </c>
      <c r="B219" t="str">
        <f>"1.5424"</f>
        <v>1.5424</v>
      </c>
      <c r="C219" t="str">
        <f>"1.5422"</f>
        <v>1.5422</v>
      </c>
    </row>
    <row r="220" spans="1:3" x14ac:dyDescent="0.25">
      <c r="A220" t="str">
        <f>"27/04/2010"</f>
        <v>27/04/2010</v>
      </c>
      <c r="B220" t="str">
        <f>"1.5448"</f>
        <v>1.5448</v>
      </c>
      <c r="C220" t="str">
        <f>"1.5446"</f>
        <v>1.5446</v>
      </c>
    </row>
    <row r="221" spans="1:3" x14ac:dyDescent="0.25">
      <c r="A221" t="str">
        <f>"28/04/2010"</f>
        <v>28/04/2010</v>
      </c>
      <c r="B221" t="str">
        <f>"1.5278"</f>
        <v>1.5278</v>
      </c>
      <c r="C221" t="str">
        <f>"1.5276"</f>
        <v>1.5276</v>
      </c>
    </row>
    <row r="222" spans="1:3" x14ac:dyDescent="0.25">
      <c r="A222" t="str">
        <f>"29/04/2010"</f>
        <v>29/04/2010</v>
      </c>
      <c r="B222" t="str">
        <f>"1.5165"</f>
        <v>1.5165</v>
      </c>
      <c r="C222" t="str">
        <f>"1.5163"</f>
        <v>1.5163</v>
      </c>
    </row>
    <row r="223" spans="1:3" x14ac:dyDescent="0.25">
      <c r="A223" t="str">
        <f>"30/04/2010"</f>
        <v>30/04/2010</v>
      </c>
      <c r="B223" t="str">
        <f>"1.5337"</f>
        <v>1.5337</v>
      </c>
      <c r="C223" t="str">
        <f>"1.5335"</f>
        <v>1.5335</v>
      </c>
    </row>
    <row r="224" spans="1:3" x14ac:dyDescent="0.25">
      <c r="A224" t="str">
        <f>"03/05/2010"</f>
        <v>03/05/2010</v>
      </c>
      <c r="B224" t="str">
        <f>"1.5251"</f>
        <v>1.5251</v>
      </c>
      <c r="C224" t="str">
        <f>"1.5249"</f>
        <v>1.5249</v>
      </c>
    </row>
    <row r="225" spans="1:3" x14ac:dyDescent="0.25">
      <c r="A225" t="str">
        <f>"04/05/2010"</f>
        <v>04/05/2010</v>
      </c>
      <c r="B225" t="str">
        <f>"1.5257"</f>
        <v>1.5257</v>
      </c>
      <c r="C225" t="str">
        <f>"1.5255"</f>
        <v>1.5255</v>
      </c>
    </row>
    <row r="226" spans="1:3" x14ac:dyDescent="0.25">
      <c r="A226" t="str">
        <f>"05/05/2010"</f>
        <v>05/05/2010</v>
      </c>
      <c r="B226" t="str">
        <f>"1.5138"</f>
        <v>1.5138</v>
      </c>
      <c r="C226" t="str">
        <f>"1.5136"</f>
        <v>1.5136</v>
      </c>
    </row>
    <row r="227" spans="1:3" x14ac:dyDescent="0.25">
      <c r="A227" t="str">
        <f>"06/05/2010"</f>
        <v>06/05/2010</v>
      </c>
      <c r="B227" t="str">
        <f>"1.5124"</f>
        <v>1.5124</v>
      </c>
      <c r="C227" t="str">
        <f>"1.5122"</f>
        <v>1.5122</v>
      </c>
    </row>
    <row r="228" spans="1:3" x14ac:dyDescent="0.25">
      <c r="A228" t="str">
        <f>"07/05/2010"</f>
        <v>07/05/2010</v>
      </c>
      <c r="B228" t="str">
        <f>"1.4841"</f>
        <v>1.4841</v>
      </c>
      <c r="C228" t="str">
        <f>"1.4842"</f>
        <v>1.4842</v>
      </c>
    </row>
    <row r="229" spans="1:3" x14ac:dyDescent="0.25">
      <c r="A229" t="str">
        <f>"10/05/2010"</f>
        <v>10/05/2010</v>
      </c>
      <c r="B229" t="str">
        <f>"1.4871"</f>
        <v>1.4871</v>
      </c>
      <c r="C229" t="str">
        <f>"1.4869"</f>
        <v>1.4869</v>
      </c>
    </row>
    <row r="230" spans="1:3" x14ac:dyDescent="0.25">
      <c r="A230" t="str">
        <f>"11/05/2010"</f>
        <v>11/05/2010</v>
      </c>
      <c r="B230" t="str">
        <f>"1.4806"</f>
        <v>1.4806</v>
      </c>
      <c r="C230" t="str">
        <f>"1.4804"</f>
        <v>1.4804</v>
      </c>
    </row>
    <row r="231" spans="1:3" x14ac:dyDescent="0.25">
      <c r="A231" t="str">
        <f>"12/05/2010"</f>
        <v>12/05/2010</v>
      </c>
      <c r="B231" t="str">
        <f>"1.4902"</f>
        <v>1.4902</v>
      </c>
      <c r="C231" t="str">
        <f>"1.49"</f>
        <v>1.49</v>
      </c>
    </row>
    <row r="232" spans="1:3" x14ac:dyDescent="0.25">
      <c r="A232" t="str">
        <f>"13/05/2010"</f>
        <v>13/05/2010</v>
      </c>
      <c r="B232" t="str">
        <f>"1.4849"</f>
        <v>1.4849</v>
      </c>
      <c r="C232" t="str">
        <f>"1.4847"</f>
        <v>1.4847</v>
      </c>
    </row>
    <row r="233" spans="1:3" x14ac:dyDescent="0.25">
      <c r="A233" t="str">
        <f>"14/05/2010"</f>
        <v>14/05/2010</v>
      </c>
      <c r="B233" t="str">
        <f>"1.4615"</f>
        <v>1.4615</v>
      </c>
      <c r="C233" t="str">
        <f>"1.4613"</f>
        <v>1.4613</v>
      </c>
    </row>
    <row r="234" spans="1:3" x14ac:dyDescent="0.25">
      <c r="A234" t="str">
        <f>"17/05/2010"</f>
        <v>17/05/2010</v>
      </c>
      <c r="B234" t="str">
        <f>"1.4323"</f>
        <v>1.4323</v>
      </c>
      <c r="C234" t="str">
        <f>"1.4322"</f>
        <v>1.4322</v>
      </c>
    </row>
    <row r="235" spans="1:3" x14ac:dyDescent="0.25">
      <c r="A235" t="str">
        <f>"18/05/2010"</f>
        <v>18/05/2010</v>
      </c>
      <c r="B235" t="str">
        <f>"1.4439"</f>
        <v>1.4439</v>
      </c>
      <c r="C235" t="str">
        <f>"1.4438"</f>
        <v>1.4438</v>
      </c>
    </row>
    <row r="236" spans="1:3" x14ac:dyDescent="0.25">
      <c r="A236" t="str">
        <f>"19/05/2010"</f>
        <v>19/05/2010</v>
      </c>
      <c r="B236" t="str">
        <f>"1.4297"</f>
        <v>1.4297</v>
      </c>
      <c r="C236" t="str">
        <f>"1.4296"</f>
        <v>1.4296</v>
      </c>
    </row>
    <row r="237" spans="1:3" x14ac:dyDescent="0.25">
      <c r="A237" t="str">
        <f>"20/05/2010"</f>
        <v>20/05/2010</v>
      </c>
      <c r="B237" t="str">
        <f>"1.4416"</f>
        <v>1.4416</v>
      </c>
      <c r="C237" t="str">
        <f>"1.4415"</f>
        <v>1.4415</v>
      </c>
    </row>
    <row r="238" spans="1:3" x14ac:dyDescent="0.25">
      <c r="A238" t="str">
        <f>"21/05/2010"</f>
        <v>21/05/2010</v>
      </c>
      <c r="B238" t="str">
        <f>"1.4367"</f>
        <v>1.4367</v>
      </c>
      <c r="C238" t="str">
        <f>"1.4366"</f>
        <v>1.4366</v>
      </c>
    </row>
    <row r="239" spans="1:3" x14ac:dyDescent="0.25">
      <c r="A239" t="str">
        <f>"24/05/2010"</f>
        <v>24/05/2010</v>
      </c>
      <c r="B239" t="str">
        <f>"1.4463"</f>
        <v>1.4463</v>
      </c>
      <c r="C239" t="str">
        <f>"1.4463"</f>
        <v>1.4463</v>
      </c>
    </row>
    <row r="240" spans="1:3" x14ac:dyDescent="0.25">
      <c r="A240" t="str">
        <f>"25/05/2010"</f>
        <v>25/05/2010</v>
      </c>
      <c r="B240" t="str">
        <f>"1.4362"</f>
        <v>1.4362</v>
      </c>
      <c r="C240" t="str">
        <f>"1.4362"</f>
        <v>1.4362</v>
      </c>
    </row>
    <row r="241" spans="1:3" x14ac:dyDescent="0.25">
      <c r="A241" t="str">
        <f>"26/05/2010"</f>
        <v>26/05/2010</v>
      </c>
      <c r="B241" t="str">
        <f>"1.438"</f>
        <v>1.438</v>
      </c>
      <c r="C241" t="str">
        <f>"1.4382"</f>
        <v>1.4382</v>
      </c>
    </row>
    <row r="242" spans="1:3" x14ac:dyDescent="0.25">
      <c r="A242" t="str">
        <f>"28/05/2010"</f>
        <v>28/05/2010</v>
      </c>
      <c r="B242" t="str">
        <f>"1.4535"</f>
        <v>1.4535</v>
      </c>
      <c r="C242" t="str">
        <f>"1.4535"</f>
        <v>1.4535</v>
      </c>
    </row>
    <row r="243" spans="1:3" x14ac:dyDescent="0.25">
      <c r="A243" t="str">
        <f>"31/05/2010"</f>
        <v>31/05/2010</v>
      </c>
      <c r="B243" t="str">
        <f>"1.4476"</f>
        <v>1.4476</v>
      </c>
      <c r="C243" t="str">
        <f>"1.4476"</f>
        <v>1.4476</v>
      </c>
    </row>
    <row r="244" spans="1:3" x14ac:dyDescent="0.25">
      <c r="A244" t="str">
        <f>"01/06/2010"</f>
        <v>01/06/2010</v>
      </c>
      <c r="B244" t="str">
        <f>"1.4475"</f>
        <v>1.4475</v>
      </c>
      <c r="C244" t="str">
        <f>"1.4476"</f>
        <v>1.4476</v>
      </c>
    </row>
    <row r="245" spans="1:3" x14ac:dyDescent="0.25">
      <c r="A245" t="str">
        <f>"02/06/2010"</f>
        <v>02/06/2010</v>
      </c>
      <c r="B245" t="str">
        <f>"1.4679"</f>
        <v>1.4679</v>
      </c>
      <c r="C245" t="str">
        <f>"1.4679"</f>
        <v>1.4679</v>
      </c>
    </row>
    <row r="246" spans="1:3" x14ac:dyDescent="0.25">
      <c r="A246" t="str">
        <f>"03/06/2010"</f>
        <v>03/06/2010</v>
      </c>
      <c r="B246" t="str">
        <f>"1.4682"</f>
        <v>1.4682</v>
      </c>
      <c r="C246" t="str">
        <f>"1.4682"</f>
        <v>1.4682</v>
      </c>
    </row>
    <row r="247" spans="1:3" x14ac:dyDescent="0.25">
      <c r="A247" t="str">
        <f>"04/06/2010"</f>
        <v>04/06/2010</v>
      </c>
      <c r="B247" t="str">
        <f>"1.4638"</f>
        <v>1.4638</v>
      </c>
      <c r="C247" t="str">
        <f>"1.4638"</f>
        <v>1.4638</v>
      </c>
    </row>
    <row r="248" spans="1:3" x14ac:dyDescent="0.25">
      <c r="A248" t="str">
        <f>"07/06/2010"</f>
        <v>07/06/2010</v>
      </c>
      <c r="B248" t="str">
        <f>"1.4428"</f>
        <v>1.4428</v>
      </c>
      <c r="C248" t="str">
        <f>"1.4428"</f>
        <v>1.4428</v>
      </c>
    </row>
    <row r="249" spans="1:3" x14ac:dyDescent="0.25">
      <c r="A249" t="str">
        <f>"08/06/2010"</f>
        <v>08/06/2010</v>
      </c>
      <c r="B249" t="str">
        <f>"1.45"</f>
        <v>1.45</v>
      </c>
      <c r="C249" t="str">
        <f>"1.45"</f>
        <v>1.45</v>
      </c>
    </row>
    <row r="250" spans="1:3" x14ac:dyDescent="0.25">
      <c r="A250" t="str">
        <f>"09/06/2010"</f>
        <v>09/06/2010</v>
      </c>
      <c r="B250" t="str">
        <f>"1.4438"</f>
        <v>1.4438</v>
      </c>
      <c r="C250" t="str">
        <f>"1.4438"</f>
        <v>1.4438</v>
      </c>
    </row>
    <row r="251" spans="1:3" x14ac:dyDescent="0.25">
      <c r="A251" t="str">
        <f>"10/06/2010"</f>
        <v>10/06/2010</v>
      </c>
      <c r="B251" t="str">
        <f>"1.4592"</f>
        <v>1.4592</v>
      </c>
      <c r="C251" t="str">
        <f>"1.4592"</f>
        <v>1.4592</v>
      </c>
    </row>
    <row r="252" spans="1:3" x14ac:dyDescent="0.25">
      <c r="A252" t="str">
        <f>"11/06/2010"</f>
        <v>11/06/2010</v>
      </c>
      <c r="B252" t="str">
        <f>"1.4712"</f>
        <v>1.4712</v>
      </c>
      <c r="C252" t="str">
        <f>"1.4712"</f>
        <v>1.4712</v>
      </c>
    </row>
    <row r="253" spans="1:3" x14ac:dyDescent="0.25">
      <c r="A253" t="str">
        <f>"14/06/2010"</f>
        <v>14/06/2010</v>
      </c>
      <c r="B253" t="str">
        <f>"1.4601"</f>
        <v>1.4601</v>
      </c>
      <c r="C253" t="str">
        <f>"1.4601"</f>
        <v>1.4601</v>
      </c>
    </row>
    <row r="254" spans="1:3" x14ac:dyDescent="0.25">
      <c r="A254" t="str">
        <f>"15/06/2010"</f>
        <v>15/06/2010</v>
      </c>
      <c r="B254" t="str">
        <f>"1.4753"</f>
        <v>1.4753</v>
      </c>
      <c r="C254" t="str">
        <f>"1.4753"</f>
        <v>1.4753</v>
      </c>
    </row>
    <row r="255" spans="1:3" x14ac:dyDescent="0.25">
      <c r="A255" t="str">
        <f>"16/06/2010"</f>
        <v>16/06/2010</v>
      </c>
      <c r="B255" t="str">
        <f>"1.4805"</f>
        <v>1.4805</v>
      </c>
      <c r="C255" t="str">
        <f>"1.4805"</f>
        <v>1.4805</v>
      </c>
    </row>
    <row r="256" spans="1:3" x14ac:dyDescent="0.25">
      <c r="A256" t="str">
        <f>"17/06/2010"</f>
        <v>17/06/2010</v>
      </c>
      <c r="B256" t="str">
        <f>"1.4705"</f>
        <v>1.4705</v>
      </c>
      <c r="C256" t="str">
        <f>"1.4706"</f>
        <v>1.4706</v>
      </c>
    </row>
    <row r="257" spans="1:3" x14ac:dyDescent="0.25">
      <c r="A257" t="str">
        <f>"18/06/2010"</f>
        <v>18/06/2010</v>
      </c>
      <c r="B257" t="str">
        <f>"1.4829"</f>
        <v>1.4829</v>
      </c>
      <c r="C257" t="str">
        <f>"1.4829"</f>
        <v>1.4829</v>
      </c>
    </row>
    <row r="258" spans="1:3" x14ac:dyDescent="0.25">
      <c r="A258" t="str">
        <f>"21/06/2010"</f>
        <v>21/06/2010</v>
      </c>
      <c r="B258" t="str">
        <f>"1.4882"</f>
        <v>1.4882</v>
      </c>
      <c r="C258" t="str">
        <f>"1.4882"</f>
        <v>1.4882</v>
      </c>
    </row>
    <row r="259" spans="1:3" x14ac:dyDescent="0.25">
      <c r="A259" t="str">
        <f>"22/06/2010"</f>
        <v>22/06/2010</v>
      </c>
      <c r="B259" t="str">
        <f>"1.4761"</f>
        <v>1.4761</v>
      </c>
      <c r="C259" t="str">
        <f>"1.4761"</f>
        <v>1.4761</v>
      </c>
    </row>
    <row r="260" spans="1:3" x14ac:dyDescent="0.25">
      <c r="A260" t="str">
        <f>"23/06/2010"</f>
        <v>23/06/2010</v>
      </c>
      <c r="B260" t="str">
        <f>"1.4818"</f>
        <v>1.4818</v>
      </c>
      <c r="C260" t="str">
        <f>"1.4818"</f>
        <v>1.4818</v>
      </c>
    </row>
    <row r="261" spans="1:3" x14ac:dyDescent="0.25">
      <c r="A261" t="str">
        <f>"24/06/2010"</f>
        <v>24/06/2010</v>
      </c>
      <c r="B261" t="str">
        <f>"1.4983"</f>
        <v>1.4983</v>
      </c>
      <c r="C261" t="str">
        <f>"1.4983"</f>
        <v>1.4983</v>
      </c>
    </row>
    <row r="262" spans="1:3" x14ac:dyDescent="0.25">
      <c r="A262" t="str">
        <f>"25/06/2010"</f>
        <v>25/06/2010</v>
      </c>
      <c r="B262" t="str">
        <f>"1.4953"</f>
        <v>1.4953</v>
      </c>
      <c r="C262" t="str">
        <f>"1.4952"</f>
        <v>1.4952</v>
      </c>
    </row>
    <row r="263" spans="1:3" x14ac:dyDescent="0.25">
      <c r="A263" t="str">
        <f>"28/06/2010"</f>
        <v>28/06/2010</v>
      </c>
      <c r="B263" t="str">
        <f>"1.5038"</f>
        <v>1.5038</v>
      </c>
      <c r="C263" t="str">
        <f>"1.5038"</f>
        <v>1.5038</v>
      </c>
    </row>
    <row r="264" spans="1:3" x14ac:dyDescent="0.25">
      <c r="A264" t="str">
        <f>"29/06/2010"</f>
        <v>29/06/2010</v>
      </c>
      <c r="B264" t="str">
        <f>"1.5088"</f>
        <v>1.5088</v>
      </c>
      <c r="C264" t="str">
        <f>"1.5088"</f>
        <v>1.5088</v>
      </c>
    </row>
    <row r="265" spans="1:3" x14ac:dyDescent="0.25">
      <c r="A265" t="str">
        <f>"30/06/2010"</f>
        <v>30/06/2010</v>
      </c>
      <c r="B265" t="str">
        <f>"1.5071"</f>
        <v>1.5071</v>
      </c>
      <c r="C265" t="str">
        <f>"1.5071"</f>
        <v>1.5071</v>
      </c>
    </row>
    <row r="266" spans="1:3" x14ac:dyDescent="0.25">
      <c r="A266" t="str">
        <f>"01/07/2010"</f>
        <v>01/07/2010</v>
      </c>
      <c r="B266" t="str">
        <f>"1.4939"</f>
        <v>1.4939</v>
      </c>
      <c r="C266" t="str">
        <f>"1.4939"</f>
        <v>1.4939</v>
      </c>
    </row>
    <row r="267" spans="1:3" x14ac:dyDescent="0.25">
      <c r="A267" t="str">
        <f>"02/07/2010"</f>
        <v>02/07/2010</v>
      </c>
      <c r="B267" t="str">
        <f>"1.5172"</f>
        <v>1.5172</v>
      </c>
      <c r="C267" t="str">
        <f>"1.5171"</f>
        <v>1.5171</v>
      </c>
    </row>
    <row r="268" spans="1:3" x14ac:dyDescent="0.25">
      <c r="A268" t="str">
        <f>"05/07/2010"</f>
        <v>05/07/2010</v>
      </c>
      <c r="B268" t="str">
        <f>"1.5183"</f>
        <v>1.5183</v>
      </c>
      <c r="C268" t="str">
        <f>"1.5182"</f>
        <v>1.5182</v>
      </c>
    </row>
    <row r="269" spans="1:3" x14ac:dyDescent="0.25">
      <c r="A269" t="str">
        <f>"06/07/2010"</f>
        <v>06/07/2010</v>
      </c>
      <c r="B269" t="str">
        <f>"1.5137"</f>
        <v>1.5137</v>
      </c>
      <c r="C269" t="str">
        <f>"1.5136"</f>
        <v>1.5136</v>
      </c>
    </row>
    <row r="270" spans="1:3" x14ac:dyDescent="0.25">
      <c r="A270" t="str">
        <f>"07/07/2010"</f>
        <v>07/07/2010</v>
      </c>
      <c r="B270" t="str">
        <f>"1.5121"</f>
        <v>1.5121</v>
      </c>
      <c r="C270" t="str">
        <f>"1.512"</f>
        <v>1.512</v>
      </c>
    </row>
    <row r="271" spans="1:3" x14ac:dyDescent="0.25">
      <c r="A271" t="str">
        <f>"08/07/2010"</f>
        <v>08/07/2010</v>
      </c>
      <c r="B271" t="str">
        <f>"1.518"</f>
        <v>1.518</v>
      </c>
      <c r="C271" t="str">
        <f>"1.5179"</f>
        <v>1.5179</v>
      </c>
    </row>
    <row r="272" spans="1:3" x14ac:dyDescent="0.25">
      <c r="A272" t="str">
        <f>"09/07/2010"</f>
        <v>09/07/2010</v>
      </c>
      <c r="B272" t="str">
        <f>"1.5151"</f>
        <v>1.5151</v>
      </c>
      <c r="C272" t="str">
        <f>"1.5149"</f>
        <v>1.5149</v>
      </c>
    </row>
    <row r="273" spans="1:3" x14ac:dyDescent="0.25">
      <c r="A273" t="str">
        <f>"12/07/2010"</f>
        <v>12/07/2010</v>
      </c>
      <c r="B273" t="str">
        <f>"1.5026"</f>
        <v>1.5026</v>
      </c>
      <c r="C273" t="str">
        <f>"1.5024"</f>
        <v>1.5024</v>
      </c>
    </row>
    <row r="274" spans="1:3" x14ac:dyDescent="0.25">
      <c r="A274" t="str">
        <f>"13/07/2010"</f>
        <v>13/07/2010</v>
      </c>
      <c r="B274" t="str">
        <f>"1.503"</f>
        <v>1.503</v>
      </c>
      <c r="C274" t="str">
        <f>"1.5029"</f>
        <v>1.5029</v>
      </c>
    </row>
    <row r="275" spans="1:3" x14ac:dyDescent="0.25">
      <c r="A275" t="str">
        <f>"14/07/2010"</f>
        <v>14/07/2010</v>
      </c>
      <c r="B275" t="str">
        <f>"1.5216"</f>
        <v>1.5216</v>
      </c>
      <c r="C275" t="str">
        <f>"1.5214"</f>
        <v>1.5214</v>
      </c>
    </row>
    <row r="276" spans="1:3" x14ac:dyDescent="0.25">
      <c r="A276" t="str">
        <f>"15/07/2010"</f>
        <v>15/07/2010</v>
      </c>
      <c r="B276" t="str">
        <f>"1.5273"</f>
        <v>1.5273</v>
      </c>
      <c r="C276" t="str">
        <f>"1.5271"</f>
        <v>1.5271</v>
      </c>
    </row>
    <row r="277" spans="1:3" x14ac:dyDescent="0.25">
      <c r="A277" t="str">
        <f>"16/07/2010"</f>
        <v>16/07/2010</v>
      </c>
      <c r="B277" t="str">
        <f>"1.5427"</f>
        <v>1.5427</v>
      </c>
      <c r="C277" t="str">
        <f>"1.5425"</f>
        <v>1.5425</v>
      </c>
    </row>
    <row r="278" spans="1:3" x14ac:dyDescent="0.25">
      <c r="A278" t="str">
        <f>"19/07/2010"</f>
        <v>19/07/2010</v>
      </c>
      <c r="B278" t="str">
        <f>"1.5308"</f>
        <v>1.5308</v>
      </c>
      <c r="C278" t="str">
        <f>"1.5306"</f>
        <v>1.5306</v>
      </c>
    </row>
    <row r="279" spans="1:3" x14ac:dyDescent="0.25">
      <c r="A279" t="str">
        <f>"20/07/2010"</f>
        <v>20/07/2010</v>
      </c>
      <c r="B279" t="str">
        <f>"1.5261"</f>
        <v>1.5261</v>
      </c>
      <c r="C279" t="str">
        <f>"1.5259"</f>
        <v>1.5259</v>
      </c>
    </row>
    <row r="280" spans="1:3" x14ac:dyDescent="0.25">
      <c r="A280" t="str">
        <f>"21/07/2010"</f>
        <v>21/07/2010</v>
      </c>
      <c r="B280" t="str">
        <f>"1.5272"</f>
        <v>1.5272</v>
      </c>
      <c r="C280" t="str">
        <f>"1.527"</f>
        <v>1.527</v>
      </c>
    </row>
    <row r="281" spans="1:3" x14ac:dyDescent="0.25">
      <c r="A281" t="str">
        <f>"22/07/2010"</f>
        <v>22/07/2010</v>
      </c>
      <c r="B281" t="str">
        <f>"1.5178"</f>
        <v>1.5178</v>
      </c>
      <c r="C281" t="str">
        <f>"1.5176"</f>
        <v>1.5176</v>
      </c>
    </row>
    <row r="282" spans="1:3" x14ac:dyDescent="0.25">
      <c r="A282" t="str">
        <f>"23/07/2010"</f>
        <v>23/07/2010</v>
      </c>
      <c r="B282" t="str">
        <f>"1.5287"</f>
        <v>1.5287</v>
      </c>
      <c r="C282" t="str">
        <f>"1.5285"</f>
        <v>1.5285</v>
      </c>
    </row>
    <row r="283" spans="1:3" x14ac:dyDescent="0.25">
      <c r="A283" t="str">
        <f>"26/07/2010"</f>
        <v>26/07/2010</v>
      </c>
      <c r="B283" t="str">
        <f>"1.5462"</f>
        <v>1.5462</v>
      </c>
      <c r="C283" t="str">
        <f>"1.546"</f>
        <v>1.546</v>
      </c>
    </row>
    <row r="284" spans="1:3" x14ac:dyDescent="0.25">
      <c r="A284" t="str">
        <f>"27/07/2010"</f>
        <v>27/07/2010</v>
      </c>
      <c r="B284" t="str">
        <f>"1.5485"</f>
        <v>1.5485</v>
      </c>
      <c r="C284" t="str">
        <f>"1.5483"</f>
        <v>1.5483</v>
      </c>
    </row>
    <row r="285" spans="1:3" x14ac:dyDescent="0.25">
      <c r="A285" t="str">
        <f>"28/07/2010"</f>
        <v>28/07/2010</v>
      </c>
      <c r="B285" t="str">
        <f>"1.5585"</f>
        <v>1.5585</v>
      </c>
      <c r="C285" t="str">
        <f>"1.5583"</f>
        <v>1.5583</v>
      </c>
    </row>
    <row r="286" spans="1:3" x14ac:dyDescent="0.25">
      <c r="A286" t="str">
        <f>"29/07/2010"</f>
        <v>29/07/2010</v>
      </c>
      <c r="B286" t="str">
        <f>"1.5617"</f>
        <v>1.5617</v>
      </c>
      <c r="C286" t="str">
        <f>"1.5615"</f>
        <v>1.5615</v>
      </c>
    </row>
    <row r="287" spans="1:3" x14ac:dyDescent="0.25">
      <c r="A287" t="str">
        <f>"30/07/2010"</f>
        <v>30/07/2010</v>
      </c>
      <c r="B287" t="str">
        <f>"1.5609"</f>
        <v>1.5609</v>
      </c>
      <c r="C287" t="str">
        <f>"1.5607"</f>
        <v>1.5607</v>
      </c>
    </row>
    <row r="288" spans="1:3" x14ac:dyDescent="0.25">
      <c r="A288" t="str">
        <f>"02/08/2010"</f>
        <v>02/08/2010</v>
      </c>
      <c r="B288" t="str">
        <f>"1.5715"</f>
        <v>1.5715</v>
      </c>
      <c r="C288" t="str">
        <f>"1.5713"</f>
        <v>1.5713</v>
      </c>
    </row>
    <row r="289" spans="1:3" x14ac:dyDescent="0.25">
      <c r="A289" t="str">
        <f>"03/08/2010"</f>
        <v>03/08/2010</v>
      </c>
      <c r="B289" t="str">
        <f>"1.5876"</f>
        <v>1.5876</v>
      </c>
      <c r="C289" t="str">
        <f>"1.5873"</f>
        <v>1.5873</v>
      </c>
    </row>
    <row r="290" spans="1:3" x14ac:dyDescent="0.25">
      <c r="A290" t="str">
        <f>"04/08/2010"</f>
        <v>04/08/2010</v>
      </c>
      <c r="B290" t="str">
        <f>"1.5928"</f>
        <v>1.5928</v>
      </c>
      <c r="C290" t="str">
        <f>"1.5925"</f>
        <v>1.5925</v>
      </c>
    </row>
    <row r="291" spans="1:3" x14ac:dyDescent="0.25">
      <c r="A291" t="str">
        <f>"05/08/2010"</f>
        <v>05/08/2010</v>
      </c>
      <c r="B291" t="str">
        <f>"1.5881"</f>
        <v>1.5881</v>
      </c>
      <c r="C291" t="str">
        <f>"1.5878"</f>
        <v>1.5878</v>
      </c>
    </row>
    <row r="292" spans="1:3" x14ac:dyDescent="0.25">
      <c r="A292" t="str">
        <f>"06/08/2010"</f>
        <v>06/08/2010</v>
      </c>
      <c r="B292" t="str">
        <f>"1.5883"</f>
        <v>1.5883</v>
      </c>
      <c r="C292" t="str">
        <f>"1.588"</f>
        <v>1.588</v>
      </c>
    </row>
    <row r="293" spans="1:3" x14ac:dyDescent="0.25">
      <c r="A293" t="str">
        <f>"09/08/2010"</f>
        <v>09/08/2010</v>
      </c>
      <c r="B293" t="str">
        <f>"1.5971"</f>
        <v>1.5971</v>
      </c>
      <c r="C293" t="str">
        <f>"1.5968"</f>
        <v>1.5968</v>
      </c>
    </row>
    <row r="294" spans="1:3" x14ac:dyDescent="0.25">
      <c r="A294" t="str">
        <f>"10/08/2010"</f>
        <v>10/08/2010</v>
      </c>
      <c r="B294" t="str">
        <f>"1.5809"</f>
        <v>1.5809</v>
      </c>
      <c r="C294" t="str">
        <f>"1.5806"</f>
        <v>1.5806</v>
      </c>
    </row>
    <row r="295" spans="1:3" x14ac:dyDescent="0.25">
      <c r="A295" t="str">
        <f>"11/08/2010"</f>
        <v>11/08/2010</v>
      </c>
      <c r="B295" t="str">
        <f>"1.581"</f>
        <v>1.581</v>
      </c>
      <c r="C295" t="str">
        <f>"1.5807"</f>
        <v>1.5807</v>
      </c>
    </row>
    <row r="296" spans="1:3" x14ac:dyDescent="0.25">
      <c r="A296" t="str">
        <f>"12/08/2010"</f>
        <v>12/08/2010</v>
      </c>
      <c r="B296" t="str">
        <f>"1.5687"</f>
        <v>1.5687</v>
      </c>
      <c r="C296" t="str">
        <f>"1.5684"</f>
        <v>1.5684</v>
      </c>
    </row>
    <row r="297" spans="1:3" x14ac:dyDescent="0.25">
      <c r="A297" t="str">
        <f>"13/08/2010"</f>
        <v>13/08/2010</v>
      </c>
      <c r="B297" t="str">
        <f>"1.563"</f>
        <v>1.563</v>
      </c>
      <c r="C297" t="str">
        <f>"1.5627"</f>
        <v>1.5627</v>
      </c>
    </row>
    <row r="298" spans="1:3" x14ac:dyDescent="0.25">
      <c r="A298" t="str">
        <f>"16/08/2010"</f>
        <v>16/08/2010</v>
      </c>
      <c r="B298" t="str">
        <f>"1.5585"</f>
        <v>1.5585</v>
      </c>
      <c r="C298" t="str">
        <f>"1.5582"</f>
        <v>1.5582</v>
      </c>
    </row>
    <row r="299" spans="1:3" x14ac:dyDescent="0.25">
      <c r="A299" t="str">
        <f>"17/08/2010"</f>
        <v>17/08/2010</v>
      </c>
      <c r="B299" t="str">
        <f>"1.5664"</f>
        <v>1.5664</v>
      </c>
      <c r="C299" t="str">
        <f>"1.5661"</f>
        <v>1.5661</v>
      </c>
    </row>
    <row r="300" spans="1:3" x14ac:dyDescent="0.25">
      <c r="A300" t="str">
        <f>"18/08/2010"</f>
        <v>18/08/2010</v>
      </c>
      <c r="B300" t="str">
        <f>"1.5555"</f>
        <v>1.5555</v>
      </c>
      <c r="C300" t="str">
        <f>"1.5552"</f>
        <v>1.5552</v>
      </c>
    </row>
    <row r="301" spans="1:3" x14ac:dyDescent="0.25">
      <c r="A301" t="str">
        <f>"20/08/2010"</f>
        <v>20/08/2010</v>
      </c>
      <c r="B301" t="str">
        <f>"1.5574"</f>
        <v>1.5574</v>
      </c>
      <c r="C301" t="str">
        <f>"1.5571"</f>
        <v>1.5571</v>
      </c>
    </row>
    <row r="302" spans="1:3" x14ac:dyDescent="0.25">
      <c r="A302" t="str">
        <f>"23/08/2010"</f>
        <v>23/08/2010</v>
      </c>
      <c r="B302" t="str">
        <f>"1.5558"</f>
        <v>1.5558</v>
      </c>
      <c r="C302" t="str">
        <f>"1.5555"</f>
        <v>1.5555</v>
      </c>
    </row>
    <row r="303" spans="1:3" x14ac:dyDescent="0.25">
      <c r="A303" t="str">
        <f>"24/08/2010"</f>
        <v>24/08/2010</v>
      </c>
      <c r="B303" t="str">
        <f>"1.543"</f>
        <v>1.543</v>
      </c>
      <c r="C303" t="str">
        <f>"1.5427"</f>
        <v>1.5427</v>
      </c>
    </row>
    <row r="304" spans="1:3" x14ac:dyDescent="0.25">
      <c r="A304" t="str">
        <f>"25/08/2010"</f>
        <v>25/08/2010</v>
      </c>
      <c r="B304" t="str">
        <f>"1.5422"</f>
        <v>1.5422</v>
      </c>
      <c r="C304" t="str">
        <f>"1.5419"</f>
        <v>1.5419</v>
      </c>
    </row>
    <row r="305" spans="1:3" x14ac:dyDescent="0.25">
      <c r="A305" t="str">
        <f>"26/08/2010"</f>
        <v>26/08/2010</v>
      </c>
      <c r="B305" t="str">
        <f>"1.5546"</f>
        <v>1.5546</v>
      </c>
      <c r="C305" t="str">
        <f>"1.5543"</f>
        <v>1.5543</v>
      </c>
    </row>
    <row r="306" spans="1:3" x14ac:dyDescent="0.25">
      <c r="A306" t="str">
        <f>"27/08/2010"</f>
        <v>27/08/2010</v>
      </c>
      <c r="B306" t="str">
        <f>"1.5525"</f>
        <v>1.5525</v>
      </c>
      <c r="C306" t="str">
        <f>"1.5522"</f>
        <v>1.5522</v>
      </c>
    </row>
    <row r="307" spans="1:3" x14ac:dyDescent="0.25">
      <c r="A307" t="str">
        <f>"30/08/2010"</f>
        <v>30/08/2010</v>
      </c>
      <c r="B307" t="str">
        <f>"1.5532"</f>
        <v>1.5532</v>
      </c>
      <c r="C307" t="str">
        <f>"1.5529"</f>
        <v>1.5529</v>
      </c>
    </row>
    <row r="308" spans="1:3" x14ac:dyDescent="0.25">
      <c r="A308" t="str">
        <f>"31/08/2010"</f>
        <v>31/08/2010</v>
      </c>
      <c r="B308" t="str">
        <f>"1.5457"</f>
        <v>1.5457</v>
      </c>
      <c r="C308" t="str">
        <f>"1.5453"</f>
        <v>1.5453</v>
      </c>
    </row>
    <row r="309" spans="1:3" x14ac:dyDescent="0.25">
      <c r="A309" t="str">
        <f>"01/09/2010"</f>
        <v>01/09/2010</v>
      </c>
      <c r="B309" t="str">
        <f>"1.5389"</f>
        <v>1.5389</v>
      </c>
      <c r="C309" t="str">
        <f>"1.5386"</f>
        <v>1.5386</v>
      </c>
    </row>
    <row r="310" spans="1:3" x14ac:dyDescent="0.25">
      <c r="A310" t="str">
        <f>"02/09/2010"</f>
        <v>02/09/2010</v>
      </c>
      <c r="B310" t="str">
        <f>"1.5432"</f>
        <v>1.5432</v>
      </c>
      <c r="C310" t="str">
        <f>"1.5428"</f>
        <v>1.5428</v>
      </c>
    </row>
    <row r="311" spans="1:3" x14ac:dyDescent="0.25">
      <c r="A311" t="str">
        <f>"03/09/2010"</f>
        <v>03/09/2010</v>
      </c>
      <c r="B311" t="str">
        <f>"1.5417"</f>
        <v>1.5417</v>
      </c>
      <c r="C311" t="str">
        <f>"1.5414"</f>
        <v>1.5414</v>
      </c>
    </row>
    <row r="312" spans="1:3" x14ac:dyDescent="0.25">
      <c r="A312" t="str">
        <f>"06/09/2010"</f>
        <v>06/09/2010</v>
      </c>
      <c r="B312" t="str">
        <f>"1.5473"</f>
        <v>1.5473</v>
      </c>
      <c r="C312" t="str">
        <f>"1.5469"</f>
        <v>1.5469</v>
      </c>
    </row>
    <row r="313" spans="1:3" x14ac:dyDescent="0.25">
      <c r="A313" t="str">
        <f>"07/09/2010"</f>
        <v>07/09/2010</v>
      </c>
      <c r="B313" t="str">
        <f>"1.5386"</f>
        <v>1.5386</v>
      </c>
      <c r="C313" t="str">
        <f>"1.5382"</f>
        <v>1.5382</v>
      </c>
    </row>
    <row r="314" spans="1:3" x14ac:dyDescent="0.25">
      <c r="A314" t="str">
        <f>"08/09/2010"</f>
        <v>08/09/2010</v>
      </c>
      <c r="B314" t="str">
        <f>"1.5375"</f>
        <v>1.5375</v>
      </c>
      <c r="C314" t="str">
        <f>"1.5371"</f>
        <v>1.5371</v>
      </c>
    </row>
    <row r="315" spans="1:3" x14ac:dyDescent="0.25">
      <c r="A315" t="str">
        <f>"09/09/2010"</f>
        <v>09/09/2010</v>
      </c>
      <c r="B315" t="str">
        <f>"1.5457"</f>
        <v>1.5457</v>
      </c>
      <c r="C315" t="str">
        <f>"1.5454"</f>
        <v>1.5454</v>
      </c>
    </row>
    <row r="316" spans="1:3" x14ac:dyDescent="0.25">
      <c r="A316" t="str">
        <f>"13/09/2010"</f>
        <v>13/09/2010</v>
      </c>
      <c r="B316" t="str">
        <f>"1.5419"</f>
        <v>1.5419</v>
      </c>
      <c r="C316" t="str">
        <f>"1.5415"</f>
        <v>1.5415</v>
      </c>
    </row>
    <row r="317" spans="1:3" x14ac:dyDescent="0.25">
      <c r="A317" t="str">
        <f>"14/09/2010"</f>
        <v>14/09/2010</v>
      </c>
      <c r="B317" t="str">
        <f>"1.5404"</f>
        <v>1.5404</v>
      </c>
      <c r="C317" t="str">
        <f>"1.54"</f>
        <v>1.54</v>
      </c>
    </row>
    <row r="318" spans="1:3" x14ac:dyDescent="0.25">
      <c r="A318" t="str">
        <f>"15/09/2010"</f>
        <v>15/09/2010</v>
      </c>
      <c r="B318" t="str">
        <f>"1.5474"</f>
        <v>1.5474</v>
      </c>
      <c r="C318" t="str">
        <f>"1.547"</f>
        <v>1.547</v>
      </c>
    </row>
    <row r="319" spans="1:3" x14ac:dyDescent="0.25">
      <c r="A319" t="str">
        <f>"16/09/2010"</f>
        <v>16/09/2010</v>
      </c>
      <c r="B319" t="str">
        <f>"1.5623"</f>
        <v>1.5623</v>
      </c>
      <c r="C319" t="str">
        <f>"1.5619"</f>
        <v>1.5619</v>
      </c>
    </row>
    <row r="320" spans="1:3" x14ac:dyDescent="0.25">
      <c r="A320" t="str">
        <f>"17/09/2010"</f>
        <v>17/09/2010</v>
      </c>
      <c r="B320" t="str">
        <f>"1.5675"</f>
        <v>1.5675</v>
      </c>
      <c r="C320" t="str">
        <f>"1.5671"</f>
        <v>1.5671</v>
      </c>
    </row>
    <row r="321" spans="1:3" x14ac:dyDescent="0.25">
      <c r="A321" t="str">
        <f>"20/09/2010"</f>
        <v>20/09/2010</v>
      </c>
      <c r="B321" t="str">
        <f>"1.5667"</f>
        <v>1.5667</v>
      </c>
      <c r="C321" t="str">
        <f>"1.5664"</f>
        <v>1.5664</v>
      </c>
    </row>
    <row r="322" spans="1:3" x14ac:dyDescent="0.25">
      <c r="A322" t="str">
        <f>"21/09/2010"</f>
        <v>21/09/2010</v>
      </c>
      <c r="B322" t="str">
        <f>"1.558"</f>
        <v>1.558</v>
      </c>
      <c r="C322" t="str">
        <f>"1.5576"</f>
        <v>1.5576</v>
      </c>
    </row>
    <row r="323" spans="1:3" x14ac:dyDescent="0.25">
      <c r="A323" t="str">
        <f>"22/09/2010"</f>
        <v>22/09/2010</v>
      </c>
      <c r="B323" t="str">
        <f>"1.5659"</f>
        <v>1.5659</v>
      </c>
      <c r="C323" t="str">
        <f>"1.5655"</f>
        <v>1.5655</v>
      </c>
    </row>
    <row r="324" spans="1:3" x14ac:dyDescent="0.25">
      <c r="A324" t="str">
        <f>"23/09/2010"</f>
        <v>23/09/2010</v>
      </c>
      <c r="B324" t="str">
        <f>"1.5652"</f>
        <v>1.5652</v>
      </c>
      <c r="C324" t="str">
        <f>"1.5649"</f>
        <v>1.5649</v>
      </c>
    </row>
    <row r="325" spans="1:3" x14ac:dyDescent="0.25">
      <c r="A325" t="str">
        <f>"24/09/2010"</f>
        <v>24/09/2010</v>
      </c>
      <c r="B325" t="str">
        <f>"1.5673"</f>
        <v>1.5673</v>
      </c>
      <c r="C325" t="str">
        <f>"1.5669"</f>
        <v>1.5669</v>
      </c>
    </row>
    <row r="326" spans="1:3" x14ac:dyDescent="0.25">
      <c r="A326" t="str">
        <f>"27/09/2010"</f>
        <v>27/09/2010</v>
      </c>
      <c r="B326" t="str">
        <f>"1.5822"</f>
        <v>1.5822</v>
      </c>
      <c r="C326" t="str">
        <f>"1.5818"</f>
        <v>1.5818</v>
      </c>
    </row>
    <row r="327" spans="1:3" x14ac:dyDescent="0.25">
      <c r="A327" t="str">
        <f>"28/09/2010"</f>
        <v>28/09/2010</v>
      </c>
      <c r="B327" t="str">
        <f>"1.5826"</f>
        <v>1.5826</v>
      </c>
      <c r="C327" t="str">
        <f>"1.5822"</f>
        <v>1.5822</v>
      </c>
    </row>
    <row r="328" spans="1:3" x14ac:dyDescent="0.25">
      <c r="A328" t="str">
        <f>"29/09/2010"</f>
        <v>29/09/2010</v>
      </c>
      <c r="B328" t="str">
        <f>"1.5826"</f>
        <v>1.5826</v>
      </c>
      <c r="C328" t="str">
        <f>"1.5823"</f>
        <v>1.5823</v>
      </c>
    </row>
    <row r="329" spans="1:3" x14ac:dyDescent="0.25">
      <c r="A329" t="str">
        <f>"01/10/2010"</f>
        <v>01/10/2010</v>
      </c>
      <c r="B329" t="str">
        <f>"1.5747"</f>
        <v>1.5747</v>
      </c>
      <c r="C329" t="str">
        <f>"1.5743"</f>
        <v>1.5743</v>
      </c>
    </row>
    <row r="330" spans="1:3" x14ac:dyDescent="0.25">
      <c r="A330" t="str">
        <f>"04/10/2010"</f>
        <v>04/10/2010</v>
      </c>
      <c r="B330" t="str">
        <f>"1.581"</f>
        <v>1.581</v>
      </c>
      <c r="C330" t="str">
        <f>"1.5806"</f>
        <v>1.5806</v>
      </c>
    </row>
    <row r="331" spans="1:3" x14ac:dyDescent="0.25">
      <c r="A331" t="str">
        <f>"05/10/2010"</f>
        <v>05/10/2010</v>
      </c>
      <c r="B331" t="str">
        <f>"1.5806"</f>
        <v>1.5806</v>
      </c>
      <c r="C331" t="str">
        <f>"1.5802"</f>
        <v>1.5802</v>
      </c>
    </row>
    <row r="332" spans="1:3" x14ac:dyDescent="0.25">
      <c r="A332" t="str">
        <f>"06/10/2010"</f>
        <v>06/10/2010</v>
      </c>
      <c r="B332" t="str">
        <f>"1.5909"</f>
        <v>1.5909</v>
      </c>
      <c r="C332" t="str">
        <f>"1.5905"</f>
        <v>1.5905</v>
      </c>
    </row>
    <row r="333" spans="1:3" x14ac:dyDescent="0.25">
      <c r="A333" t="str">
        <f>"07/10/2010"</f>
        <v>07/10/2010</v>
      </c>
      <c r="B333" t="str">
        <f>"1.5868"</f>
        <v>1.5868</v>
      </c>
      <c r="C333" t="str">
        <f>"1.5864"</f>
        <v>1.5864</v>
      </c>
    </row>
    <row r="334" spans="1:3" x14ac:dyDescent="0.25">
      <c r="A334" t="str">
        <f>"08/10/2010"</f>
        <v>08/10/2010</v>
      </c>
      <c r="B334" t="str">
        <f>"1.5887"</f>
        <v>1.5887</v>
      </c>
      <c r="C334" t="str">
        <f>"1.5884"</f>
        <v>1.5884</v>
      </c>
    </row>
    <row r="335" spans="1:3" x14ac:dyDescent="0.25">
      <c r="A335" t="str">
        <f>"11/10/2010"</f>
        <v>11/10/2010</v>
      </c>
      <c r="B335" t="str">
        <f>"1.5932"</f>
        <v>1.5932</v>
      </c>
      <c r="C335" t="str">
        <f>"1.5928"</f>
        <v>1.5928</v>
      </c>
    </row>
    <row r="336" spans="1:3" x14ac:dyDescent="0.25">
      <c r="A336" t="str">
        <f>"12/10/2010"</f>
        <v>12/10/2010</v>
      </c>
      <c r="B336" t="str">
        <f>"1.5902"</f>
        <v>1.5902</v>
      </c>
      <c r="C336" t="str">
        <f>"1.5898"</f>
        <v>1.5898</v>
      </c>
    </row>
    <row r="337" spans="1:3" x14ac:dyDescent="0.25">
      <c r="A337" t="str">
        <f>"13/10/2010"</f>
        <v>13/10/2010</v>
      </c>
      <c r="B337" t="str">
        <f>"1.582"</f>
        <v>1.582</v>
      </c>
      <c r="C337" t="str">
        <f>"1.5816"</f>
        <v>1.5816</v>
      </c>
    </row>
    <row r="338" spans="1:3" x14ac:dyDescent="0.25">
      <c r="A338" t="str">
        <f>"14/10/2010"</f>
        <v>14/10/2010</v>
      </c>
      <c r="B338" t="str">
        <f>"1.5962"</f>
        <v>1.5962</v>
      </c>
      <c r="C338" t="str">
        <f>"1.5958"</f>
        <v>1.5958</v>
      </c>
    </row>
    <row r="339" spans="1:3" x14ac:dyDescent="0.25">
      <c r="A339" t="str">
        <f>"15/10/2010"</f>
        <v>15/10/2010</v>
      </c>
      <c r="B339" t="str">
        <f>"1.602"</f>
        <v>1.602</v>
      </c>
      <c r="C339" t="str">
        <f>"1.6017"</f>
        <v>1.6017</v>
      </c>
    </row>
    <row r="340" spans="1:3" x14ac:dyDescent="0.25">
      <c r="A340" t="str">
        <f>"18/10/2010"</f>
        <v>18/10/2010</v>
      </c>
      <c r="B340" t="str">
        <f>"1.5941"</f>
        <v>1.5941</v>
      </c>
      <c r="C340" t="str">
        <f>"1.5937"</f>
        <v>1.5937</v>
      </c>
    </row>
    <row r="341" spans="1:3" x14ac:dyDescent="0.25">
      <c r="A341" t="str">
        <f>"19/10/2010"</f>
        <v>19/10/2010</v>
      </c>
      <c r="B341" t="str">
        <f>"1.5886"</f>
        <v>1.5886</v>
      </c>
      <c r="C341" t="str">
        <f>"1.5882"</f>
        <v>1.5882</v>
      </c>
    </row>
    <row r="342" spans="1:3" x14ac:dyDescent="0.25">
      <c r="A342" t="str">
        <f>"20/10/2010"</f>
        <v>20/10/2010</v>
      </c>
      <c r="B342" t="str">
        <f>"1.5725"</f>
        <v>1.5725</v>
      </c>
      <c r="C342" t="str">
        <f>"1.5721"</f>
        <v>1.5721</v>
      </c>
    </row>
    <row r="343" spans="1:3" x14ac:dyDescent="0.25">
      <c r="A343" t="str">
        <f>"21/10/2010"</f>
        <v>21/10/2010</v>
      </c>
      <c r="B343" t="str">
        <f>"1.5792"</f>
        <v>1.5792</v>
      </c>
      <c r="C343" t="str">
        <f>"1.5788"</f>
        <v>1.5788</v>
      </c>
    </row>
    <row r="344" spans="1:3" x14ac:dyDescent="0.25">
      <c r="A344" t="str">
        <f>"22/10/2010"</f>
        <v>22/10/2010</v>
      </c>
      <c r="B344" t="str">
        <f>"1.571"</f>
        <v>1.571</v>
      </c>
      <c r="C344" t="str">
        <f>"1.5706"</f>
        <v>1.5706</v>
      </c>
    </row>
    <row r="345" spans="1:3" x14ac:dyDescent="0.25">
      <c r="A345" t="str">
        <f>"25/10/2010"</f>
        <v>25/10/2010</v>
      </c>
      <c r="B345" t="str">
        <f>"1.5754"</f>
        <v>1.5754</v>
      </c>
      <c r="C345" t="str">
        <f>"1.575"</f>
        <v>1.575</v>
      </c>
    </row>
    <row r="346" spans="1:3" x14ac:dyDescent="0.25">
      <c r="A346" t="str">
        <f>"26/10/2010"</f>
        <v>26/10/2010</v>
      </c>
      <c r="B346" t="str">
        <f>"1.5734"</f>
        <v>1.5734</v>
      </c>
      <c r="C346" t="str">
        <f>"1.573"</f>
        <v>1.573</v>
      </c>
    </row>
    <row r="347" spans="1:3" x14ac:dyDescent="0.25">
      <c r="A347" t="str">
        <f>"27/10/2010"</f>
        <v>27/10/2010</v>
      </c>
      <c r="B347" t="str">
        <f>"1.5826"</f>
        <v>1.5826</v>
      </c>
      <c r="C347" t="str">
        <f>"1.5822"</f>
        <v>1.5822</v>
      </c>
    </row>
    <row r="348" spans="1:3" x14ac:dyDescent="0.25">
      <c r="A348" t="str">
        <f>"28/10/2010"</f>
        <v>28/10/2010</v>
      </c>
      <c r="B348" t="str">
        <f>"1.5801"</f>
        <v>1.5801</v>
      </c>
      <c r="C348" t="str">
        <f>"1.5797"</f>
        <v>1.5797</v>
      </c>
    </row>
    <row r="349" spans="1:3" x14ac:dyDescent="0.25">
      <c r="A349" t="str">
        <f>"29/10/2010"</f>
        <v>29/10/2010</v>
      </c>
      <c r="B349" t="str">
        <f>"1.5945"</f>
        <v>1.5945</v>
      </c>
      <c r="C349" t="str">
        <f>"1.5941"</f>
        <v>1.5941</v>
      </c>
    </row>
    <row r="350" spans="1:3" x14ac:dyDescent="0.25">
      <c r="A350" t="str">
        <f>"01/11/2010"</f>
        <v>01/11/2010</v>
      </c>
      <c r="B350" t="str">
        <f>"1.6061"</f>
        <v>1.6061</v>
      </c>
      <c r="C350" t="str">
        <f>"1.6057"</f>
        <v>1.6057</v>
      </c>
    </row>
    <row r="351" spans="1:3" x14ac:dyDescent="0.25">
      <c r="A351" t="str">
        <f>"02/11/2010"</f>
        <v>02/11/2010</v>
      </c>
      <c r="B351" t="str">
        <f>"1.6051"</f>
        <v>1.6051</v>
      </c>
      <c r="C351" t="str">
        <f>"1.6047"</f>
        <v>1.6047</v>
      </c>
    </row>
    <row r="352" spans="1:3" x14ac:dyDescent="0.25">
      <c r="A352" t="str">
        <f>"03/11/2010"</f>
        <v>03/11/2010</v>
      </c>
      <c r="B352" t="str">
        <f>"1.6036"</f>
        <v>1.6036</v>
      </c>
      <c r="C352" t="str">
        <f>"1.6032"</f>
        <v>1.6032</v>
      </c>
    </row>
    <row r="353" spans="1:3" x14ac:dyDescent="0.25">
      <c r="A353" t="str">
        <f>"04/11/2010"</f>
        <v>04/11/2010</v>
      </c>
      <c r="B353" t="str">
        <f>"1.6122"</f>
        <v>1.6122</v>
      </c>
      <c r="C353" t="str">
        <f>"1.6118"</f>
        <v>1.6118</v>
      </c>
    </row>
    <row r="354" spans="1:3" x14ac:dyDescent="0.25">
      <c r="A354" t="str">
        <f>"08/11/2010"</f>
        <v>08/11/2010</v>
      </c>
      <c r="B354" t="str">
        <f>"1.6116"</f>
        <v>1.6116</v>
      </c>
      <c r="C354" t="str">
        <f>"1.6112"</f>
        <v>1.6112</v>
      </c>
    </row>
    <row r="355" spans="1:3" x14ac:dyDescent="0.25">
      <c r="A355" t="str">
        <f>"09/11/2010"</f>
        <v>09/11/2010</v>
      </c>
      <c r="B355" t="str">
        <f>"1.6134"</f>
        <v>1.6134</v>
      </c>
      <c r="C355" t="str">
        <f>"1.613"</f>
        <v>1.613</v>
      </c>
    </row>
    <row r="356" spans="1:3" x14ac:dyDescent="0.25">
      <c r="A356" t="str">
        <f>"10/11/2010"</f>
        <v>10/11/2010</v>
      </c>
      <c r="B356" t="str">
        <f>"1.5987"</f>
        <v>1.5987</v>
      </c>
      <c r="C356" t="str">
        <f>"1.5984"</f>
        <v>1.5984</v>
      </c>
    </row>
    <row r="357" spans="1:3" x14ac:dyDescent="0.25">
      <c r="A357" t="str">
        <f>"11/11/2010"</f>
        <v>11/11/2010</v>
      </c>
      <c r="B357" t="str">
        <f>"1.6147"</f>
        <v>1.6147</v>
      </c>
      <c r="C357" t="str">
        <f>"1.6143"</f>
        <v>1.6143</v>
      </c>
    </row>
    <row r="358" spans="1:3" x14ac:dyDescent="0.25">
      <c r="A358" t="str">
        <f>"12/11/2010"</f>
        <v>12/11/2010</v>
      </c>
      <c r="B358" t="str">
        <f>"1.6083"</f>
        <v>1.6083</v>
      </c>
      <c r="C358" t="str">
        <f>"1.6079"</f>
        <v>1.6079</v>
      </c>
    </row>
    <row r="359" spans="1:3" x14ac:dyDescent="0.25">
      <c r="A359" t="str">
        <f>"15/11/2010"</f>
        <v>15/11/2010</v>
      </c>
      <c r="B359" t="str">
        <f>"1.6107"</f>
        <v>1.6107</v>
      </c>
      <c r="C359" t="str">
        <f>"1.6103"</f>
        <v>1.6103</v>
      </c>
    </row>
    <row r="360" spans="1:3" x14ac:dyDescent="0.25">
      <c r="A360" t="str">
        <f>"16/11/2010"</f>
        <v>16/11/2010</v>
      </c>
      <c r="B360" t="str">
        <f>"1.6062"</f>
        <v>1.6062</v>
      </c>
      <c r="C360" t="str">
        <f>"1.6058"</f>
        <v>1.6058</v>
      </c>
    </row>
    <row r="361" spans="1:3" x14ac:dyDescent="0.25">
      <c r="A361" t="str">
        <f>"18/11/2010"</f>
        <v>18/11/2010</v>
      </c>
      <c r="B361" t="str">
        <f>"1.5906"</f>
        <v>1.5906</v>
      </c>
      <c r="C361" t="str">
        <f>"1.5902"</f>
        <v>1.5902</v>
      </c>
    </row>
    <row r="362" spans="1:3" x14ac:dyDescent="0.25">
      <c r="A362" t="str">
        <f>"22/11/2010"</f>
        <v>22/11/2010</v>
      </c>
      <c r="B362" t="str">
        <f>"1.6017"</f>
        <v>1.6017</v>
      </c>
      <c r="C362" t="str">
        <f>"1.6013"</f>
        <v>1.6013</v>
      </c>
    </row>
    <row r="363" spans="1:3" x14ac:dyDescent="0.25">
      <c r="A363" t="str">
        <f>"23/11/2010"</f>
        <v>23/11/2010</v>
      </c>
      <c r="B363" t="str">
        <f>"1.5933"</f>
        <v>1.5933</v>
      </c>
      <c r="C363" t="str">
        <f>"1.5928"</f>
        <v>1.5928</v>
      </c>
    </row>
    <row r="364" spans="1:3" x14ac:dyDescent="0.25">
      <c r="A364" t="str">
        <f>"24/11/2010"</f>
        <v>24/11/2010</v>
      </c>
      <c r="B364" t="str">
        <f>"1.5811"</f>
        <v>1.5811</v>
      </c>
      <c r="C364" t="str">
        <f>"1.5807"</f>
        <v>1.5807</v>
      </c>
    </row>
    <row r="365" spans="1:3" x14ac:dyDescent="0.25">
      <c r="A365" t="str">
        <f>"25/11/2010"</f>
        <v>25/11/2010</v>
      </c>
      <c r="B365" t="str">
        <f>"1.5768"</f>
        <v>1.5768</v>
      </c>
      <c r="C365" t="str">
        <f>"1.5765"</f>
        <v>1.5765</v>
      </c>
    </row>
    <row r="366" spans="1:3" x14ac:dyDescent="0.25">
      <c r="A366" t="str">
        <f>"26/11/2010"</f>
        <v>26/11/2010</v>
      </c>
      <c r="B366" t="str">
        <f>"1.5753"</f>
        <v>1.5753</v>
      </c>
      <c r="C366" t="str">
        <f>"1.5749"</f>
        <v>1.5749</v>
      </c>
    </row>
    <row r="367" spans="1:3" x14ac:dyDescent="0.25">
      <c r="A367" t="str">
        <f>"29/11/2010"</f>
        <v>29/11/2010</v>
      </c>
      <c r="B367" t="str">
        <f>"1.5606"</f>
        <v>1.5606</v>
      </c>
      <c r="C367" t="str">
        <f>"1.5603"</f>
        <v>1.5603</v>
      </c>
    </row>
    <row r="368" spans="1:3" x14ac:dyDescent="0.25">
      <c r="A368" t="str">
        <f>"30/11/2010"</f>
        <v>30/11/2010</v>
      </c>
      <c r="B368" t="str">
        <f>"1.554"</f>
        <v>1.554</v>
      </c>
      <c r="C368" t="str">
        <f>"1.5536"</f>
        <v>1.5536</v>
      </c>
    </row>
    <row r="369" spans="1:3" x14ac:dyDescent="0.25">
      <c r="A369" t="str">
        <f>"01/12/2010"</f>
        <v>01/12/2010</v>
      </c>
      <c r="B369" t="str">
        <f>"1.5587"</f>
        <v>1.5587</v>
      </c>
      <c r="C369" t="str">
        <f>"1.5584"</f>
        <v>1.5584</v>
      </c>
    </row>
    <row r="370" spans="1:3" x14ac:dyDescent="0.25">
      <c r="A370" t="str">
        <f>"02/12/2010"</f>
        <v>02/12/2010</v>
      </c>
      <c r="B370" t="str">
        <f>"1.5598"</f>
        <v>1.5598</v>
      </c>
      <c r="C370" t="str">
        <f>"1.5595"</f>
        <v>1.5595</v>
      </c>
    </row>
    <row r="371" spans="1:3" x14ac:dyDescent="0.25">
      <c r="A371" t="str">
        <f>"03/12/2010"</f>
        <v>03/12/2010</v>
      </c>
      <c r="B371" t="str">
        <f>"1.5593"</f>
        <v>1.5593</v>
      </c>
      <c r="C371" t="str">
        <f>"1.5589"</f>
        <v>1.5589</v>
      </c>
    </row>
    <row r="372" spans="1:3" x14ac:dyDescent="0.25">
      <c r="A372" t="str">
        <f>"06/12/2010"</f>
        <v>06/12/2010</v>
      </c>
      <c r="B372" t="str">
        <f>"1.5739"</f>
        <v>1.5739</v>
      </c>
      <c r="C372" t="str">
        <f>"1.5735"</f>
        <v>1.5735</v>
      </c>
    </row>
    <row r="373" spans="1:3" x14ac:dyDescent="0.25">
      <c r="A373" t="str">
        <f>"07/12/2010"</f>
        <v>07/12/2010</v>
      </c>
      <c r="B373" t="str">
        <f>"1.5738"</f>
        <v>1.5738</v>
      </c>
      <c r="C373" t="str">
        <f>"1.5734"</f>
        <v>1.5734</v>
      </c>
    </row>
    <row r="374" spans="1:3" x14ac:dyDescent="0.25">
      <c r="A374" t="str">
        <f>"08/12/2010"</f>
        <v>08/12/2010</v>
      </c>
      <c r="B374" t="str">
        <f>"1.5728"</f>
        <v>1.5728</v>
      </c>
      <c r="C374" t="str">
        <f>"1.5724"</f>
        <v>1.5724</v>
      </c>
    </row>
    <row r="375" spans="1:3" x14ac:dyDescent="0.25">
      <c r="A375" t="str">
        <f>"09/12/2010"</f>
        <v>09/12/2010</v>
      </c>
      <c r="B375" t="str">
        <f>"1.5819"</f>
        <v>1.5819</v>
      </c>
      <c r="C375" t="str">
        <f>"1.5815"</f>
        <v>1.5815</v>
      </c>
    </row>
    <row r="376" spans="1:3" x14ac:dyDescent="0.25">
      <c r="A376" t="str">
        <f>"10/12/2010"</f>
        <v>10/12/2010</v>
      </c>
      <c r="B376" t="str">
        <f>"1.5775"</f>
        <v>1.5775</v>
      </c>
      <c r="C376" t="str">
        <f>"1.5771"</f>
        <v>1.5771</v>
      </c>
    </row>
    <row r="377" spans="1:3" x14ac:dyDescent="0.25">
      <c r="A377" t="str">
        <f>"13/12/2010"</f>
        <v>13/12/2010</v>
      </c>
      <c r="B377" t="str">
        <f>"1.5786"</f>
        <v>1.5786</v>
      </c>
      <c r="C377" t="str">
        <f>"1.5782"</f>
        <v>1.5782</v>
      </c>
    </row>
    <row r="378" spans="1:3" x14ac:dyDescent="0.25">
      <c r="A378" t="str">
        <f>"14/12/2010"</f>
        <v>14/12/2010</v>
      </c>
      <c r="B378" t="str">
        <f>"1.5859"</f>
        <v>1.5859</v>
      </c>
      <c r="C378" t="str">
        <f>"1.5855"</f>
        <v>1.5855</v>
      </c>
    </row>
    <row r="379" spans="1:3" x14ac:dyDescent="0.25">
      <c r="A379" t="str">
        <f>"15/12/2010"</f>
        <v>15/12/2010</v>
      </c>
      <c r="B379" t="str">
        <f>"1.5764"</f>
        <v>1.5764</v>
      </c>
      <c r="C379" t="str">
        <f>"1.576"</f>
        <v>1.576</v>
      </c>
    </row>
    <row r="380" spans="1:3" x14ac:dyDescent="0.25">
      <c r="A380" t="str">
        <f>"16/12/2010"</f>
        <v>16/12/2010</v>
      </c>
      <c r="B380" t="str">
        <f>"1.5543"</f>
        <v>1.5543</v>
      </c>
      <c r="C380" t="str">
        <f>"1.554"</f>
        <v>1.554</v>
      </c>
    </row>
    <row r="381" spans="1:3" x14ac:dyDescent="0.25">
      <c r="A381" t="str">
        <f>"20/12/2010"</f>
        <v>20/12/2010</v>
      </c>
      <c r="B381" t="str">
        <f>"1.55"</f>
        <v>1.55</v>
      </c>
      <c r="C381" t="str">
        <f>"1.5496"</f>
        <v>1.5496</v>
      </c>
    </row>
    <row r="382" spans="1:3" x14ac:dyDescent="0.25">
      <c r="A382" t="str">
        <f>"21/12/2010"</f>
        <v>21/12/2010</v>
      </c>
      <c r="B382" t="str">
        <f>"1.5547"</f>
        <v>1.5547</v>
      </c>
      <c r="C382" t="str">
        <f>"1.5543"</f>
        <v>1.5543</v>
      </c>
    </row>
    <row r="383" spans="1:3" x14ac:dyDescent="0.25">
      <c r="A383" t="str">
        <f>"22/12/2010"</f>
        <v>22/12/2010</v>
      </c>
      <c r="B383" t="str">
        <f>"1.5479"</f>
        <v>1.5479</v>
      </c>
      <c r="C383" t="str">
        <f>"1.5475"</f>
        <v>1.5475</v>
      </c>
    </row>
    <row r="384" spans="1:3" x14ac:dyDescent="0.25">
      <c r="A384" t="str">
        <f>"23/12/2010"</f>
        <v>23/12/2010</v>
      </c>
      <c r="B384" t="str">
        <f>"1.5418"</f>
        <v>1.5418</v>
      </c>
      <c r="C384" t="str">
        <f>"1.5415"</f>
        <v>1.5415</v>
      </c>
    </row>
    <row r="385" spans="1:3" x14ac:dyDescent="0.25">
      <c r="A385" t="str">
        <f>"24/12/2010"</f>
        <v>24/12/2010</v>
      </c>
      <c r="B385" t="str">
        <f>"1.543"</f>
        <v>1.543</v>
      </c>
      <c r="C385" t="str">
        <f>"1.5426"</f>
        <v>1.5426</v>
      </c>
    </row>
    <row r="386" spans="1:3" x14ac:dyDescent="0.25">
      <c r="A386" t="str">
        <f>"27/12/2010"</f>
        <v>27/12/2010</v>
      </c>
      <c r="B386" t="str">
        <f>"1.5422"</f>
        <v>1.5422</v>
      </c>
      <c r="C386" t="str">
        <f>"1.5418"</f>
        <v>1.5418</v>
      </c>
    </row>
    <row r="387" spans="1:3" x14ac:dyDescent="0.25">
      <c r="A387" t="str">
        <f>"28/12/2010"</f>
        <v>28/12/2010</v>
      </c>
      <c r="B387" t="str">
        <f>"1.5484"</f>
        <v>1.5484</v>
      </c>
      <c r="C387" t="str">
        <f>"1.548"</f>
        <v>1.548</v>
      </c>
    </row>
    <row r="388" spans="1:3" x14ac:dyDescent="0.25">
      <c r="A388" t="str">
        <f>"29/12/2010"</f>
        <v>29/12/2010</v>
      </c>
      <c r="B388" t="str">
        <f>"1.5405"</f>
        <v>1.5405</v>
      </c>
      <c r="C388" t="str">
        <f>"1.5402"</f>
        <v>1.5402</v>
      </c>
    </row>
    <row r="389" spans="1:3" x14ac:dyDescent="0.25">
      <c r="A389" t="str">
        <f>"30/12/2010"</f>
        <v>30/12/2010</v>
      </c>
      <c r="B389" t="str">
        <f>"1.5505"</f>
        <v>1.5505</v>
      </c>
      <c r="C389" t="str">
        <f>"1.5501"</f>
        <v>1.5501</v>
      </c>
    </row>
    <row r="390" spans="1:3" x14ac:dyDescent="0.25">
      <c r="A390" t="str">
        <f>"31/12/2010"</f>
        <v>31/12/2010</v>
      </c>
      <c r="B390" t="str">
        <f>"1.544"</f>
        <v>1.544</v>
      </c>
      <c r="C390" t="str">
        <f>"1.5436"</f>
        <v>1.5436</v>
      </c>
    </row>
    <row r="391" spans="1:3" x14ac:dyDescent="0.25">
      <c r="A391" t="str">
        <f>"03/01/2011"</f>
        <v>03/01/2011</v>
      </c>
      <c r="B391" t="str">
        <f>"1.5542"</f>
        <v>1.5542</v>
      </c>
      <c r="C391" t="str">
        <f>"1.5538"</f>
        <v>1.5538</v>
      </c>
    </row>
    <row r="392" spans="1:3" x14ac:dyDescent="0.25">
      <c r="A392" t="str">
        <f>"04/01/2011"</f>
        <v>04/01/2011</v>
      </c>
      <c r="B392" t="str">
        <f>"1.549"</f>
        <v>1.549</v>
      </c>
      <c r="C392" t="str">
        <f>"1.5486"</f>
        <v>1.5486</v>
      </c>
    </row>
    <row r="393" spans="1:3" x14ac:dyDescent="0.25">
      <c r="A393" t="str">
        <f>"05/01/2011"</f>
        <v>05/01/2011</v>
      </c>
      <c r="B393" t="str">
        <f>"1.5569"</f>
        <v>1.5569</v>
      </c>
      <c r="C393" t="str">
        <f>"1.5566"</f>
        <v>1.5566</v>
      </c>
    </row>
    <row r="394" spans="1:3" x14ac:dyDescent="0.25">
      <c r="A394" t="str">
        <f>"06/01/2011"</f>
        <v>06/01/2011</v>
      </c>
      <c r="B394" t="str">
        <f>"1.5505"</f>
        <v>1.5505</v>
      </c>
      <c r="C394" t="str">
        <f>"1.5501"</f>
        <v>1.5501</v>
      </c>
    </row>
    <row r="395" spans="1:3" x14ac:dyDescent="0.25">
      <c r="A395" t="str">
        <f>"07/01/2011"</f>
        <v>07/01/2011</v>
      </c>
      <c r="B395" t="str">
        <f>"1.5446"</f>
        <v>1.5446</v>
      </c>
      <c r="C395" t="str">
        <f>"1.5443"</f>
        <v>1.5443</v>
      </c>
    </row>
    <row r="396" spans="1:3" x14ac:dyDescent="0.25">
      <c r="A396" t="str">
        <f>"10/01/2011"</f>
        <v>10/01/2011</v>
      </c>
      <c r="B396" t="str">
        <f>"1.5539"</f>
        <v>1.5539</v>
      </c>
      <c r="C396" t="str">
        <f>"1.5535"</f>
        <v>1.5535</v>
      </c>
    </row>
    <row r="397" spans="1:3" x14ac:dyDescent="0.25">
      <c r="A397" t="str">
        <f>"11/01/2011"</f>
        <v>11/01/2011</v>
      </c>
      <c r="B397" t="str">
        <f>"1.5565"</f>
        <v>1.5565</v>
      </c>
      <c r="C397" t="str">
        <f>"1.5561"</f>
        <v>1.5561</v>
      </c>
    </row>
    <row r="398" spans="1:3" x14ac:dyDescent="0.25">
      <c r="A398" t="str">
        <f>"12/01/2011"</f>
        <v>12/01/2011</v>
      </c>
      <c r="B398" t="str">
        <f>"1.5635"</f>
        <v>1.5635</v>
      </c>
      <c r="C398" t="str">
        <f>"1.5631"</f>
        <v>1.5631</v>
      </c>
    </row>
    <row r="399" spans="1:3" x14ac:dyDescent="0.25">
      <c r="A399" t="str">
        <f>"13/01/2011"</f>
        <v>13/01/2011</v>
      </c>
      <c r="B399" t="str">
        <f>"1.5744"</f>
        <v>1.5744</v>
      </c>
      <c r="C399" t="str">
        <f>"1.5741"</f>
        <v>1.5741</v>
      </c>
    </row>
    <row r="400" spans="1:3" x14ac:dyDescent="0.25">
      <c r="A400" t="str">
        <f>"14/01/2011"</f>
        <v>14/01/2011</v>
      </c>
      <c r="B400" t="str">
        <f>"1.5824"</f>
        <v>1.5824</v>
      </c>
      <c r="C400" t="str">
        <f>"1.582"</f>
        <v>1.582</v>
      </c>
    </row>
    <row r="401" spans="1:3" x14ac:dyDescent="0.25">
      <c r="A401" t="str">
        <f>"17/01/2011"</f>
        <v>17/01/2011</v>
      </c>
      <c r="B401" t="str">
        <f>"1.5852"</f>
        <v>1.5852</v>
      </c>
      <c r="C401" t="str">
        <f>"1.5848"</f>
        <v>1.5848</v>
      </c>
    </row>
    <row r="402" spans="1:3" x14ac:dyDescent="0.25">
      <c r="A402" t="str">
        <f>"18/01/2011"</f>
        <v>18/01/2011</v>
      </c>
      <c r="B402" t="str">
        <f>"1.5929"</f>
        <v>1.5929</v>
      </c>
      <c r="C402" t="str">
        <f>"1.5925"</f>
        <v>1.5925</v>
      </c>
    </row>
    <row r="403" spans="1:3" x14ac:dyDescent="0.25">
      <c r="A403" t="str">
        <f>"19/01/2011"</f>
        <v>19/01/2011</v>
      </c>
      <c r="B403" t="str">
        <f>"1.6011"</f>
        <v>1.6011</v>
      </c>
      <c r="C403" t="str">
        <f>"1.6007"</f>
        <v>1.6007</v>
      </c>
    </row>
    <row r="404" spans="1:3" x14ac:dyDescent="0.25">
      <c r="A404" t="str">
        <f>"20/01/2011"</f>
        <v>20/01/2011</v>
      </c>
      <c r="B404" t="str">
        <f>"1.594"</f>
        <v>1.594</v>
      </c>
      <c r="C404" t="str">
        <f>"1.5936"</f>
        <v>1.5936</v>
      </c>
    </row>
    <row r="405" spans="1:3" x14ac:dyDescent="0.25">
      <c r="A405" t="str">
        <f>"21/01/2011"</f>
        <v>21/01/2011</v>
      </c>
      <c r="B405" t="str">
        <f>"1.5926"</f>
        <v>1.5926</v>
      </c>
      <c r="C405" t="str">
        <f>"1.5922"</f>
        <v>1.5922</v>
      </c>
    </row>
    <row r="406" spans="1:3" x14ac:dyDescent="0.25">
      <c r="A406" t="str">
        <f>"24/01/2011"</f>
        <v>24/01/2011</v>
      </c>
      <c r="B406" t="str">
        <f>"1.596"</f>
        <v>1.596</v>
      </c>
      <c r="C406" t="str">
        <f>"1.5956"</f>
        <v>1.5956</v>
      </c>
    </row>
    <row r="407" spans="1:3" x14ac:dyDescent="0.25">
      <c r="A407" t="str">
        <f>"25/01/2011"</f>
        <v>25/01/2011</v>
      </c>
      <c r="B407" t="str">
        <f>"1.5998"</f>
        <v>1.5998</v>
      </c>
      <c r="C407" t="str">
        <f>"1.5994"</f>
        <v>1.5994</v>
      </c>
    </row>
    <row r="408" spans="1:3" x14ac:dyDescent="0.25">
      <c r="A408" t="str">
        <f>"27/01/2011"</f>
        <v>27/01/2011</v>
      </c>
      <c r="B408" t="str">
        <f>"1.5915"</f>
        <v>1.5915</v>
      </c>
      <c r="C408" t="str">
        <f>"1.5911"</f>
        <v>1.5911</v>
      </c>
    </row>
    <row r="409" spans="1:3" x14ac:dyDescent="0.25">
      <c r="A409" t="str">
        <f>"28/01/2011"</f>
        <v>28/01/2011</v>
      </c>
      <c r="B409" t="str">
        <f>"1.5889"</f>
        <v>1.5889</v>
      </c>
      <c r="C409" t="str">
        <f>"1.5885"</f>
        <v>1.5885</v>
      </c>
    </row>
    <row r="410" spans="1:3" x14ac:dyDescent="0.25">
      <c r="A410" t="str">
        <f>"31/01/2011"</f>
        <v>31/01/2011</v>
      </c>
      <c r="B410" t="str">
        <f>"1.586"</f>
        <v>1.586</v>
      </c>
      <c r="C410" t="str">
        <f>"1.5857"</f>
        <v>1.5857</v>
      </c>
    </row>
    <row r="411" spans="1:3" x14ac:dyDescent="0.25">
      <c r="A411" t="str">
        <f>"01/02/2011"</f>
        <v>01/02/2011</v>
      </c>
      <c r="B411" t="str">
        <f>"1.606"</f>
        <v>1.606</v>
      </c>
      <c r="C411" t="str">
        <f>"1.6056"</f>
        <v>1.6056</v>
      </c>
    </row>
    <row r="412" spans="1:3" x14ac:dyDescent="0.25">
      <c r="A412" t="str">
        <f>"02/02/2011"</f>
        <v>02/02/2011</v>
      </c>
      <c r="B412" t="str">
        <f>"1.6171"</f>
        <v>1.6171</v>
      </c>
      <c r="C412" t="str">
        <f>"1.6167"</f>
        <v>1.6167</v>
      </c>
    </row>
    <row r="413" spans="1:3" x14ac:dyDescent="0.25">
      <c r="A413" t="str">
        <f>"03/02/2011"</f>
        <v>03/02/2011</v>
      </c>
      <c r="B413" t="str">
        <f>"1.6178"</f>
        <v>1.6178</v>
      </c>
      <c r="C413" t="str">
        <f>"1.6175"</f>
        <v>1.6175</v>
      </c>
    </row>
    <row r="414" spans="1:3" x14ac:dyDescent="0.25">
      <c r="A414" t="str">
        <f>"04/02/2011"</f>
        <v>04/02/2011</v>
      </c>
      <c r="B414" t="str">
        <f>"1.6134"</f>
        <v>1.6134</v>
      </c>
      <c r="C414" t="str">
        <f>"1.613"</f>
        <v>1.613</v>
      </c>
    </row>
    <row r="415" spans="1:3" x14ac:dyDescent="0.25">
      <c r="A415" t="str">
        <f>"07/02/2011"</f>
        <v>07/02/2011</v>
      </c>
      <c r="B415" t="str">
        <f>"1.6134"</f>
        <v>1.6134</v>
      </c>
      <c r="C415" t="str">
        <f>"1.613"</f>
        <v>1.613</v>
      </c>
    </row>
    <row r="416" spans="1:3" x14ac:dyDescent="0.25">
      <c r="A416" t="str">
        <f>"08/02/2011"</f>
        <v>08/02/2011</v>
      </c>
      <c r="B416" t="str">
        <f>"1.6137"</f>
        <v>1.6137</v>
      </c>
      <c r="C416" t="str">
        <f>"1.6133"</f>
        <v>1.6133</v>
      </c>
    </row>
    <row r="417" spans="1:3" x14ac:dyDescent="0.25">
      <c r="A417" t="str">
        <f>"09/02/2011"</f>
        <v>09/02/2011</v>
      </c>
      <c r="B417" t="str">
        <f>"1.6062"</f>
        <v>1.6062</v>
      </c>
      <c r="C417" t="str">
        <f>"1.6058"</f>
        <v>1.6058</v>
      </c>
    </row>
    <row r="418" spans="1:3" x14ac:dyDescent="0.25">
      <c r="A418" t="str">
        <f>"10/02/2011"</f>
        <v>10/02/2011</v>
      </c>
      <c r="B418" t="str">
        <f>"1.61"</f>
        <v>1.61</v>
      </c>
      <c r="C418" t="str">
        <f>"1.6096"</f>
        <v>1.6096</v>
      </c>
    </row>
    <row r="419" spans="1:3" x14ac:dyDescent="0.25">
      <c r="A419" t="str">
        <f>"11/02/2011"</f>
        <v>11/02/2011</v>
      </c>
      <c r="B419" t="str">
        <f>"1.6062"</f>
        <v>1.6062</v>
      </c>
      <c r="C419" t="str">
        <f>"1.6058"</f>
        <v>1.6058</v>
      </c>
    </row>
    <row r="420" spans="1:3" x14ac:dyDescent="0.25">
      <c r="A420" t="str">
        <f>"14/02/2011"</f>
        <v>14/02/2011</v>
      </c>
      <c r="B420" t="str">
        <f>"1.6067"</f>
        <v>1.6067</v>
      </c>
      <c r="C420" t="str">
        <f>"1.6063"</f>
        <v>1.6063</v>
      </c>
    </row>
    <row r="421" spans="1:3" x14ac:dyDescent="0.25">
      <c r="A421" t="str">
        <f>"15/02/2011"</f>
        <v>15/02/2011</v>
      </c>
      <c r="B421" t="str">
        <f>"1.6052"</f>
        <v>1.6052</v>
      </c>
      <c r="C421" t="str">
        <f>"1.6048"</f>
        <v>1.6048</v>
      </c>
    </row>
    <row r="422" spans="1:3" x14ac:dyDescent="0.25">
      <c r="A422" t="str">
        <f>"17/02/2011"</f>
        <v>17/02/2011</v>
      </c>
      <c r="B422" t="str">
        <f>"1.6101"</f>
        <v>1.6101</v>
      </c>
      <c r="C422" t="str">
        <f>"1.6097"</f>
        <v>1.6097</v>
      </c>
    </row>
    <row r="423" spans="1:3" x14ac:dyDescent="0.25">
      <c r="A423" t="str">
        <f>"18/02/2011"</f>
        <v>18/02/2011</v>
      </c>
      <c r="B423" t="str">
        <f>"1.6174"</f>
        <v>1.6174</v>
      </c>
      <c r="C423" t="str">
        <f>"1.6171"</f>
        <v>1.6171</v>
      </c>
    </row>
    <row r="424" spans="1:3" x14ac:dyDescent="0.25">
      <c r="A424" t="str">
        <f>"21/02/2011"</f>
        <v>21/02/2011</v>
      </c>
      <c r="B424" t="str">
        <f>"1.623"</f>
        <v>1.623</v>
      </c>
      <c r="C424" t="str">
        <f>"1.6226"</f>
        <v>1.6226</v>
      </c>
    </row>
    <row r="425" spans="1:3" x14ac:dyDescent="0.25">
      <c r="A425" t="str">
        <f>"22/02/2011"</f>
        <v>22/02/2011</v>
      </c>
      <c r="B425" t="str">
        <f>"1.6165"</f>
        <v>1.6165</v>
      </c>
      <c r="C425" t="str">
        <f>"1.6161"</f>
        <v>1.6161</v>
      </c>
    </row>
    <row r="426" spans="1:3" x14ac:dyDescent="0.25">
      <c r="A426" t="str">
        <f>"23/02/2011"</f>
        <v>23/02/2011</v>
      </c>
      <c r="B426" t="str">
        <f>"1.6172"</f>
        <v>1.6172</v>
      </c>
      <c r="C426" t="str">
        <f>"1.6168"</f>
        <v>1.6168</v>
      </c>
    </row>
    <row r="427" spans="1:3" x14ac:dyDescent="0.25">
      <c r="A427" t="str">
        <f>"24/02/2011"</f>
        <v>24/02/2011</v>
      </c>
      <c r="B427" t="str">
        <f>"1.6239"</f>
        <v>1.6239</v>
      </c>
      <c r="C427" t="str">
        <f>"1.6235"</f>
        <v>1.6235</v>
      </c>
    </row>
    <row r="428" spans="1:3" x14ac:dyDescent="0.25">
      <c r="A428" t="str">
        <f>"25/02/2011"</f>
        <v>25/02/2011</v>
      </c>
      <c r="B428" t="str">
        <f>"1.6145"</f>
        <v>1.6145</v>
      </c>
      <c r="C428" t="str">
        <f>"1.6141"</f>
        <v>1.6141</v>
      </c>
    </row>
    <row r="429" spans="1:3" x14ac:dyDescent="0.25">
      <c r="A429" t="str">
        <f>"28/02/2011"</f>
        <v>28/02/2011</v>
      </c>
      <c r="B429" t="str">
        <f>"1.6101"</f>
        <v>1.6101</v>
      </c>
      <c r="C429" t="str">
        <f>"1.6097"</f>
        <v>1.6097</v>
      </c>
    </row>
    <row r="430" spans="1:3" x14ac:dyDescent="0.25">
      <c r="A430" t="str">
        <f>"01/03/2011"</f>
        <v>01/03/2011</v>
      </c>
      <c r="B430" t="str">
        <f>"1.627"</f>
        <v>1.627</v>
      </c>
      <c r="C430" t="str">
        <f>"1.6266"</f>
        <v>1.6266</v>
      </c>
    </row>
    <row r="431" spans="1:3" x14ac:dyDescent="0.25">
      <c r="A431" t="str">
        <f>"03/03/2011"</f>
        <v>03/03/2011</v>
      </c>
      <c r="B431" t="str">
        <f>"1.6327"</f>
        <v>1.6327</v>
      </c>
      <c r="C431" t="str">
        <f>"1.6322"</f>
        <v>1.6322</v>
      </c>
    </row>
    <row r="432" spans="1:3" x14ac:dyDescent="0.25">
      <c r="A432" t="str">
        <f>"04/03/2011"</f>
        <v>04/03/2011</v>
      </c>
      <c r="B432" t="str">
        <f>"1.6276"</f>
        <v>1.6276</v>
      </c>
      <c r="C432" t="str">
        <f>"1.6271"</f>
        <v>1.6271</v>
      </c>
    </row>
    <row r="433" spans="1:3" x14ac:dyDescent="0.25">
      <c r="A433" t="str">
        <f>"07/03/2011"</f>
        <v>07/03/2011</v>
      </c>
      <c r="B433" t="str">
        <f>"1.6248"</f>
        <v>1.6248</v>
      </c>
      <c r="C433" t="str">
        <f>"1.6243"</f>
        <v>1.6243</v>
      </c>
    </row>
    <row r="434" spans="1:3" x14ac:dyDescent="0.25">
      <c r="A434" t="str">
        <f>"08/03/2011"</f>
        <v>08/03/2011</v>
      </c>
      <c r="B434" t="str">
        <f>"1.6206"</f>
        <v>1.6206</v>
      </c>
      <c r="C434" t="str">
        <f>"1.6201"</f>
        <v>1.6201</v>
      </c>
    </row>
    <row r="435" spans="1:3" x14ac:dyDescent="0.25">
      <c r="A435" t="str">
        <f>"09/03/2011"</f>
        <v>09/03/2011</v>
      </c>
      <c r="B435" t="str">
        <f>"1.615"</f>
        <v>1.615</v>
      </c>
      <c r="C435" t="str">
        <f>"1.6145"</f>
        <v>1.6145</v>
      </c>
    </row>
    <row r="436" spans="1:3" x14ac:dyDescent="0.25">
      <c r="A436" t="str">
        <f>"10/03/2011"</f>
        <v>10/03/2011</v>
      </c>
      <c r="B436" t="str">
        <f>"1.6182"</f>
        <v>1.6182</v>
      </c>
      <c r="C436" t="str">
        <f>"1.6176"</f>
        <v>1.6176</v>
      </c>
    </row>
    <row r="437" spans="1:3" x14ac:dyDescent="0.25">
      <c r="A437" t="str">
        <f>"11/03/2011"</f>
        <v>11/03/2011</v>
      </c>
      <c r="B437" t="str">
        <f>"1.6073"</f>
        <v>1.6073</v>
      </c>
      <c r="C437" t="str">
        <f>"1.6068"</f>
        <v>1.6068</v>
      </c>
    </row>
    <row r="438" spans="1:3" x14ac:dyDescent="0.25">
      <c r="A438" t="str">
        <f>"14/03/2011"</f>
        <v>14/03/2011</v>
      </c>
      <c r="B438" t="str">
        <f>"1.6053"</f>
        <v>1.6053</v>
      </c>
      <c r="C438" t="str">
        <f>"1.6048"</f>
        <v>1.6048</v>
      </c>
    </row>
    <row r="439" spans="1:3" x14ac:dyDescent="0.25">
      <c r="A439" t="str">
        <f>"15/03/2011"</f>
        <v>15/03/2011</v>
      </c>
      <c r="B439" t="str">
        <f>"1.6108"</f>
        <v>1.6108</v>
      </c>
      <c r="C439" t="str">
        <f>"1.6103"</f>
        <v>1.6103</v>
      </c>
    </row>
    <row r="440" spans="1:3" x14ac:dyDescent="0.25">
      <c r="A440" t="str">
        <f>"16/03/2011"</f>
        <v>16/03/2011</v>
      </c>
      <c r="B440" t="str">
        <f>"1.6066"</f>
        <v>1.6066</v>
      </c>
      <c r="C440" t="str">
        <f>"1.6061"</f>
        <v>1.6061</v>
      </c>
    </row>
    <row r="441" spans="1:3" x14ac:dyDescent="0.25">
      <c r="A441" t="str">
        <f>"17/03/2011"</f>
        <v>17/03/2011</v>
      </c>
      <c r="B441" t="str">
        <f>"1.6018"</f>
        <v>1.6018</v>
      </c>
      <c r="C441" t="str">
        <f>"1.6013"</f>
        <v>1.6013</v>
      </c>
    </row>
    <row r="442" spans="1:3" x14ac:dyDescent="0.25">
      <c r="A442" t="str">
        <f>"18/03/2011"</f>
        <v>18/03/2011</v>
      </c>
      <c r="B442" t="str">
        <f>"1.6155"</f>
        <v>1.6155</v>
      </c>
      <c r="C442" t="str">
        <f>"1.6149"</f>
        <v>1.6149</v>
      </c>
    </row>
    <row r="443" spans="1:3" x14ac:dyDescent="0.25">
      <c r="A443" t="str">
        <f>"21/03/2011"</f>
        <v>21/03/2011</v>
      </c>
      <c r="B443" t="str">
        <f>"1.6209"</f>
        <v>1.6209</v>
      </c>
      <c r="C443" t="str">
        <f>"1.6203"</f>
        <v>1.6203</v>
      </c>
    </row>
    <row r="444" spans="1:3" x14ac:dyDescent="0.25">
      <c r="A444" t="str">
        <f>"22/03/2011"</f>
        <v>22/03/2011</v>
      </c>
      <c r="B444" t="str">
        <f>"1.6301"</f>
        <v>1.6301</v>
      </c>
      <c r="C444" t="str">
        <f>"1.6295"</f>
        <v>1.6295</v>
      </c>
    </row>
    <row r="445" spans="1:3" x14ac:dyDescent="0.25">
      <c r="A445" t="str">
        <f>"23/03/2011"</f>
        <v>23/03/2011</v>
      </c>
      <c r="B445" t="str">
        <f>"1.637"</f>
        <v>1.637</v>
      </c>
      <c r="C445" t="str">
        <f>"1.6364"</f>
        <v>1.6364</v>
      </c>
    </row>
    <row r="446" spans="1:3" x14ac:dyDescent="0.25">
      <c r="A446" t="str">
        <f>"24/03/2011"</f>
        <v>24/03/2011</v>
      </c>
      <c r="B446" t="str">
        <f>"1.6236"</f>
        <v>1.6236</v>
      </c>
      <c r="C446" t="str">
        <f>"1.623"</f>
        <v>1.623</v>
      </c>
    </row>
    <row r="447" spans="1:3" x14ac:dyDescent="0.25">
      <c r="A447" t="str">
        <f>"25/03/2011"</f>
        <v>25/03/2011</v>
      </c>
      <c r="B447" t="str">
        <f>"1.6117"</f>
        <v>1.6117</v>
      </c>
      <c r="C447" t="str">
        <f>"1.6111"</f>
        <v>1.6111</v>
      </c>
    </row>
    <row r="448" spans="1:3" x14ac:dyDescent="0.25">
      <c r="A448" t="str">
        <f>"28/03/2011"</f>
        <v>28/03/2011</v>
      </c>
      <c r="B448" t="str">
        <f>"1.6013"</f>
        <v>1.6013</v>
      </c>
      <c r="C448" t="str">
        <f>"1.6008"</f>
        <v>1.6008</v>
      </c>
    </row>
    <row r="449" spans="1:3" x14ac:dyDescent="0.25">
      <c r="A449" t="str">
        <f>"29/03/2011"</f>
        <v>29/03/2011</v>
      </c>
      <c r="B449" t="str">
        <f>"1.602"</f>
        <v>1.602</v>
      </c>
      <c r="C449" t="str">
        <f>"1.6015"</f>
        <v>1.6015</v>
      </c>
    </row>
    <row r="450" spans="1:3" x14ac:dyDescent="0.25">
      <c r="A450" t="str">
        <f>"30/03/2011"</f>
        <v>30/03/2011</v>
      </c>
      <c r="B450" t="str">
        <f>"1.5996"</f>
        <v>1.5996</v>
      </c>
      <c r="C450" t="str">
        <f>"1.599"</f>
        <v>1.599</v>
      </c>
    </row>
    <row r="451" spans="1:3" x14ac:dyDescent="0.25">
      <c r="A451" t="str">
        <f>"31/03/2011"</f>
        <v>31/03/2011</v>
      </c>
      <c r="B451" t="str">
        <f>"1.6093"</f>
        <v>1.6093</v>
      </c>
      <c r="C451" t="str">
        <f>"1.6087"</f>
        <v>1.6087</v>
      </c>
    </row>
    <row r="452" spans="1:3" x14ac:dyDescent="0.25">
      <c r="A452" t="str">
        <f>"01/04/2011"</f>
        <v>01/04/2011</v>
      </c>
      <c r="B452" t="str">
        <f>"1.605"</f>
        <v>1.605</v>
      </c>
      <c r="C452" t="str">
        <f>"1.6045"</f>
        <v>1.6045</v>
      </c>
    </row>
    <row r="453" spans="1:3" x14ac:dyDescent="0.25">
      <c r="A453" t="str">
        <f>"05/04/2011"</f>
        <v>05/04/2011</v>
      </c>
      <c r="B453" t="str">
        <f>"1.6123"</f>
        <v>1.6123</v>
      </c>
      <c r="C453" t="str">
        <f>"1.6117"</f>
        <v>1.6117</v>
      </c>
    </row>
    <row r="454" spans="1:3" x14ac:dyDescent="0.25">
      <c r="A454" t="str">
        <f>"06/04/2011"</f>
        <v>06/04/2011</v>
      </c>
      <c r="B454" t="str">
        <f>"1.633"</f>
        <v>1.633</v>
      </c>
      <c r="C454" t="str">
        <f>"1.6324"</f>
        <v>1.6324</v>
      </c>
    </row>
    <row r="455" spans="1:3" x14ac:dyDescent="0.25">
      <c r="A455" t="str">
        <f>"07/04/2011"</f>
        <v>07/04/2011</v>
      </c>
      <c r="B455" t="str">
        <f>"1.6299"</f>
        <v>1.6299</v>
      </c>
      <c r="C455" t="str">
        <f>"1.6293"</f>
        <v>1.6293</v>
      </c>
    </row>
    <row r="456" spans="1:3" x14ac:dyDescent="0.25">
      <c r="A456" t="str">
        <f>"08/04/2011"</f>
        <v>08/04/2011</v>
      </c>
      <c r="B456" t="str">
        <f>"1.6385"</f>
        <v>1.6385</v>
      </c>
      <c r="C456" t="str">
        <f>"1.6379"</f>
        <v>1.6379</v>
      </c>
    </row>
    <row r="457" spans="1:3" x14ac:dyDescent="0.25">
      <c r="A457" t="str">
        <f>"11/04/2011"</f>
        <v>11/04/2011</v>
      </c>
      <c r="B457" t="str">
        <f>"1.6369"</f>
        <v>1.6369</v>
      </c>
      <c r="C457" t="str">
        <f>"1.6363"</f>
        <v>1.6363</v>
      </c>
    </row>
    <row r="458" spans="1:3" x14ac:dyDescent="0.25">
      <c r="A458" t="str">
        <f>"13/04/2011"</f>
        <v>13/04/2011</v>
      </c>
      <c r="B458" t="str">
        <f>"1.6258"</f>
        <v>1.6258</v>
      </c>
      <c r="C458" t="str">
        <f>"1.6252"</f>
        <v>1.6252</v>
      </c>
    </row>
    <row r="459" spans="1:3" x14ac:dyDescent="0.25">
      <c r="A459" t="str">
        <f>"15/04/2011"</f>
        <v>15/04/2011</v>
      </c>
      <c r="B459" t="str">
        <f>"1.6339"</f>
        <v>1.6339</v>
      </c>
      <c r="C459" t="str">
        <f>"1.6333"</f>
        <v>1.6333</v>
      </c>
    </row>
    <row r="460" spans="1:3" x14ac:dyDescent="0.25">
      <c r="A460" t="str">
        <f>"18/04/2011"</f>
        <v>18/04/2011</v>
      </c>
      <c r="B460" t="str">
        <f>"1.6307"</f>
        <v>1.6307</v>
      </c>
      <c r="C460" t="str">
        <f>"1.6307"</f>
        <v>1.6307</v>
      </c>
    </row>
    <row r="461" spans="1:3" x14ac:dyDescent="0.25">
      <c r="A461" t="str">
        <f>"19/04/2011"</f>
        <v>19/04/2011</v>
      </c>
      <c r="B461" t="str">
        <f>"1.6251"</f>
        <v>1.6251</v>
      </c>
      <c r="C461" t="str">
        <f>"1.6251"</f>
        <v>1.6251</v>
      </c>
    </row>
    <row r="462" spans="1:3" x14ac:dyDescent="0.25">
      <c r="A462" t="str">
        <f>"20/04/2011"</f>
        <v>20/04/2011</v>
      </c>
      <c r="B462" t="str">
        <f>"1.6342"</f>
        <v>1.6342</v>
      </c>
      <c r="C462" t="str">
        <f>"1.6342"</f>
        <v>1.6342</v>
      </c>
    </row>
    <row r="463" spans="1:3" x14ac:dyDescent="0.25">
      <c r="A463" t="str">
        <f>"21/04/2011"</f>
        <v>21/04/2011</v>
      </c>
      <c r="B463" t="str">
        <f>"1.6432"</f>
        <v>1.6432</v>
      </c>
      <c r="C463" t="str">
        <f>"1.6432"</f>
        <v>1.6432</v>
      </c>
    </row>
    <row r="464" spans="1:3" x14ac:dyDescent="0.25">
      <c r="A464" t="str">
        <f>"25/04/2011"</f>
        <v>25/04/2011</v>
      </c>
      <c r="B464" t="str">
        <f>"1.6507"</f>
        <v>1.6507</v>
      </c>
      <c r="C464" t="str">
        <f>"1.65"</f>
        <v>1.65</v>
      </c>
    </row>
    <row r="465" spans="1:3" x14ac:dyDescent="0.25">
      <c r="A465" t="str">
        <f>"26/04/2011"</f>
        <v>26/04/2011</v>
      </c>
      <c r="B465" t="str">
        <f>"1.6459"</f>
        <v>1.6459</v>
      </c>
      <c r="C465" t="str">
        <f>"1.6452"</f>
        <v>1.6452</v>
      </c>
    </row>
    <row r="466" spans="1:3" x14ac:dyDescent="0.25">
      <c r="A466" t="str">
        <f>"27/04/2011"</f>
        <v>27/04/2011</v>
      </c>
      <c r="B466" t="str">
        <f>"1.6495"</f>
        <v>1.6495</v>
      </c>
      <c r="C466" t="str">
        <f>"1.6489"</f>
        <v>1.6489</v>
      </c>
    </row>
    <row r="467" spans="1:3" x14ac:dyDescent="0.25">
      <c r="A467" t="str">
        <f>"28/04/2011"</f>
        <v>28/04/2011</v>
      </c>
      <c r="B467" t="str">
        <f>"1.6721"</f>
        <v>1.6721</v>
      </c>
      <c r="C467" t="str">
        <f>"1.6714"</f>
        <v>1.6714</v>
      </c>
    </row>
    <row r="468" spans="1:3" x14ac:dyDescent="0.25">
      <c r="A468" t="str">
        <f>"29/04/2011"</f>
        <v>29/04/2011</v>
      </c>
      <c r="B468" t="str">
        <f>"1.6656"</f>
        <v>1.6656</v>
      </c>
      <c r="C468" t="str">
        <f>"1.6649"</f>
        <v>1.6649</v>
      </c>
    </row>
    <row r="469" spans="1:3" x14ac:dyDescent="0.25">
      <c r="A469" t="str">
        <f>"02/05/2011"</f>
        <v>02/05/2011</v>
      </c>
      <c r="B469" t="str">
        <f>"1.6661"</f>
        <v>1.6661</v>
      </c>
      <c r="C469" t="str">
        <f>"1.6654"</f>
        <v>1.6654</v>
      </c>
    </row>
    <row r="470" spans="1:3" x14ac:dyDescent="0.25">
      <c r="A470" t="str">
        <f>"03/05/2011"</f>
        <v>03/05/2011</v>
      </c>
      <c r="B470" t="str">
        <f>"1.6622"</f>
        <v>1.6622</v>
      </c>
      <c r="C470" t="str">
        <f>"1.6615"</f>
        <v>1.6615</v>
      </c>
    </row>
    <row r="471" spans="1:3" x14ac:dyDescent="0.25">
      <c r="A471" t="str">
        <f>"04/05/2011"</f>
        <v>04/05/2011</v>
      </c>
      <c r="B471" t="str">
        <f>"1.6468"</f>
        <v>1.6468</v>
      </c>
      <c r="C471" t="str">
        <f>"1.6461"</f>
        <v>1.6461</v>
      </c>
    </row>
    <row r="472" spans="1:3" x14ac:dyDescent="0.25">
      <c r="A472" t="str">
        <f>"05/05/2011"</f>
        <v>05/05/2011</v>
      </c>
      <c r="B472" t="str">
        <f>"1.652"</f>
        <v>1.652</v>
      </c>
      <c r="C472" t="str">
        <f>"1.6513"</f>
        <v>1.6513</v>
      </c>
    </row>
    <row r="473" spans="1:3" x14ac:dyDescent="0.25">
      <c r="A473" t="str">
        <f>"06/05/2011"</f>
        <v>06/05/2011</v>
      </c>
      <c r="B473" t="str">
        <f>"1.6388"</f>
        <v>1.6388</v>
      </c>
      <c r="C473" t="str">
        <f>"1.6381"</f>
        <v>1.6381</v>
      </c>
    </row>
    <row r="474" spans="1:3" x14ac:dyDescent="0.25">
      <c r="A474" t="str">
        <f>"09/05/2011"</f>
        <v>09/05/2011</v>
      </c>
      <c r="B474" t="str">
        <f>"1.6387"</f>
        <v>1.6387</v>
      </c>
      <c r="C474" t="str">
        <f>"1.638"</f>
        <v>1.638</v>
      </c>
    </row>
    <row r="475" spans="1:3" x14ac:dyDescent="0.25">
      <c r="A475" t="str">
        <f>"10/05/2011"</f>
        <v>10/05/2011</v>
      </c>
      <c r="B475" t="str">
        <f>"1.6399"</f>
        <v>1.6399</v>
      </c>
      <c r="C475" t="str">
        <f>"1.6392"</f>
        <v>1.6392</v>
      </c>
    </row>
    <row r="476" spans="1:3" x14ac:dyDescent="0.25">
      <c r="A476" t="str">
        <f>"11/05/2011"</f>
        <v>11/05/2011</v>
      </c>
      <c r="B476" t="str">
        <f>"1.6368"</f>
        <v>1.6368</v>
      </c>
      <c r="C476" t="str">
        <f>"1.6362"</f>
        <v>1.6362</v>
      </c>
    </row>
    <row r="477" spans="1:3" x14ac:dyDescent="0.25">
      <c r="A477" t="str">
        <f>"12/05/2011"</f>
        <v>12/05/2011</v>
      </c>
      <c r="B477" t="str">
        <f>"1.6372"</f>
        <v>1.6372</v>
      </c>
      <c r="C477" t="str">
        <f>"1.6366"</f>
        <v>1.6366</v>
      </c>
    </row>
    <row r="478" spans="1:3" x14ac:dyDescent="0.25">
      <c r="A478" t="str">
        <f>"13/05/2011"</f>
        <v>13/05/2011</v>
      </c>
      <c r="B478" t="str">
        <f>"1.6248"</f>
        <v>1.6248</v>
      </c>
      <c r="C478" t="str">
        <f>"1.6242"</f>
        <v>1.6242</v>
      </c>
    </row>
    <row r="479" spans="1:3" x14ac:dyDescent="0.25">
      <c r="A479" t="str">
        <f>"16/05/2011"</f>
        <v>16/05/2011</v>
      </c>
      <c r="B479" t="str">
        <f>"1.6183"</f>
        <v>1.6183</v>
      </c>
      <c r="C479" t="str">
        <f>"1.6176"</f>
        <v>1.6176</v>
      </c>
    </row>
    <row r="480" spans="1:3" x14ac:dyDescent="0.25">
      <c r="A480" t="str">
        <f>"18/05/2011"</f>
        <v>18/05/2011</v>
      </c>
      <c r="B480" t="str">
        <f>"1.6272"</f>
        <v>1.6272</v>
      </c>
      <c r="C480" t="str">
        <f>"1.6266"</f>
        <v>1.6266</v>
      </c>
    </row>
    <row r="481" spans="1:3" x14ac:dyDescent="0.25">
      <c r="A481" t="str">
        <f>"19/05/2011"</f>
        <v>19/05/2011</v>
      </c>
      <c r="B481" t="str">
        <f>"1.618"</f>
        <v>1.618</v>
      </c>
      <c r="C481" t="str">
        <f>"1.6173"</f>
        <v>1.6173</v>
      </c>
    </row>
    <row r="482" spans="1:3" x14ac:dyDescent="0.25">
      <c r="A482" t="str">
        <f>"20/05/2011"</f>
        <v>20/05/2011</v>
      </c>
      <c r="B482" t="str">
        <f>"1.6228"</f>
        <v>1.6228</v>
      </c>
      <c r="C482" t="str">
        <f>"1.6222"</f>
        <v>1.6222</v>
      </c>
    </row>
    <row r="483" spans="1:3" x14ac:dyDescent="0.25">
      <c r="A483" t="str">
        <f>"23/05/2011"</f>
        <v>23/05/2011</v>
      </c>
      <c r="B483" t="str">
        <f>"1.6211"</f>
        <v>1.6211</v>
      </c>
      <c r="C483" t="str">
        <f>"1.6205"</f>
        <v>1.6205</v>
      </c>
    </row>
    <row r="484" spans="1:3" x14ac:dyDescent="0.25">
      <c r="A484" t="str">
        <f>"24/05/2011"</f>
        <v>24/05/2011</v>
      </c>
      <c r="B484" t="str">
        <f>"1.611"</f>
        <v>1.611</v>
      </c>
      <c r="C484" t="str">
        <f>"1.6104"</f>
        <v>1.6104</v>
      </c>
    </row>
    <row r="485" spans="1:3" x14ac:dyDescent="0.25">
      <c r="A485" t="str">
        <f>"25/05/2011"</f>
        <v>25/05/2011</v>
      </c>
      <c r="B485" t="str">
        <f>"1.6174"</f>
        <v>1.6174</v>
      </c>
      <c r="C485" t="str">
        <f>"1.6168"</f>
        <v>1.6168</v>
      </c>
    </row>
    <row r="486" spans="1:3" x14ac:dyDescent="0.25">
      <c r="A486" t="str">
        <f>"26/05/2011"</f>
        <v>26/05/2011</v>
      </c>
      <c r="B486" t="str">
        <f>"1.631"</f>
        <v>1.631</v>
      </c>
      <c r="C486" t="str">
        <f>"1.6304"</f>
        <v>1.6304</v>
      </c>
    </row>
    <row r="487" spans="1:3" x14ac:dyDescent="0.25">
      <c r="A487" t="str">
        <f>"27/05/2011"</f>
        <v>27/05/2011</v>
      </c>
      <c r="B487" t="str">
        <f>"1.6438"</f>
        <v>1.6438</v>
      </c>
      <c r="C487" t="str">
        <f>"1.6432"</f>
        <v>1.6432</v>
      </c>
    </row>
    <row r="488" spans="1:3" x14ac:dyDescent="0.25">
      <c r="A488" t="str">
        <f>"30/05/2011"</f>
        <v>30/05/2011</v>
      </c>
      <c r="B488" t="str">
        <f>"1.6475"</f>
        <v>1.6475</v>
      </c>
      <c r="C488" t="str">
        <f>"1.6469"</f>
        <v>1.6469</v>
      </c>
    </row>
    <row r="489" spans="1:3" x14ac:dyDescent="0.25">
      <c r="A489" t="str">
        <f>"31/05/2011"</f>
        <v>31/05/2011</v>
      </c>
      <c r="B489" t="str">
        <f>"1.6545"</f>
        <v>1.6545</v>
      </c>
      <c r="C489" t="str">
        <f>"1.6538"</f>
        <v>1.6538</v>
      </c>
    </row>
    <row r="490" spans="1:3" x14ac:dyDescent="0.25">
      <c r="A490" t="str">
        <f>"01/06/2011"</f>
        <v>01/06/2011</v>
      </c>
      <c r="B490" t="str">
        <f>"1.6468"</f>
        <v>1.6468</v>
      </c>
      <c r="C490" t="str">
        <f>"1.6462"</f>
        <v>1.6462</v>
      </c>
    </row>
    <row r="491" spans="1:3" x14ac:dyDescent="0.25">
      <c r="A491" t="str">
        <f>"02/06/2011"</f>
        <v>02/06/2011</v>
      </c>
      <c r="B491" t="str">
        <f>"1.6329"</f>
        <v>1.6329</v>
      </c>
      <c r="C491" t="str">
        <f>"1.6323"</f>
        <v>1.6323</v>
      </c>
    </row>
    <row r="492" spans="1:3" x14ac:dyDescent="0.25">
      <c r="A492" t="str">
        <f>"03/06/2011"</f>
        <v>03/06/2011</v>
      </c>
      <c r="B492" t="str">
        <f>"1.6345"</f>
        <v>1.6345</v>
      </c>
      <c r="C492" t="str">
        <f>"1.6339"</f>
        <v>1.6339</v>
      </c>
    </row>
    <row r="493" spans="1:3" x14ac:dyDescent="0.25">
      <c r="A493" t="str">
        <f>"06/06/2011"</f>
        <v>06/06/2011</v>
      </c>
      <c r="B493" t="str">
        <f>"1.6439"</f>
        <v>1.6439</v>
      </c>
      <c r="C493" t="str">
        <f>"1.6433"</f>
        <v>1.6433</v>
      </c>
    </row>
    <row r="494" spans="1:3" x14ac:dyDescent="0.25">
      <c r="A494" t="str">
        <f>"07/06/2011"</f>
        <v>07/06/2011</v>
      </c>
      <c r="B494" t="str">
        <f>"1.6342"</f>
        <v>1.6342</v>
      </c>
      <c r="C494" t="str">
        <f>"1.6335"</f>
        <v>1.6335</v>
      </c>
    </row>
    <row r="495" spans="1:3" x14ac:dyDescent="0.25">
      <c r="A495" t="str">
        <f>"08/06/2011"</f>
        <v>08/06/2011</v>
      </c>
      <c r="B495" t="str">
        <f>"1.6412"</f>
        <v>1.6412</v>
      </c>
      <c r="C495" t="str">
        <f>"1.6406"</f>
        <v>1.6406</v>
      </c>
    </row>
    <row r="496" spans="1:3" x14ac:dyDescent="0.25">
      <c r="A496" t="str">
        <f>"09/06/2011"</f>
        <v>09/06/2011</v>
      </c>
      <c r="B496" t="str">
        <f>"1.6408"</f>
        <v>1.6408</v>
      </c>
      <c r="C496" t="str">
        <f>"1.6402"</f>
        <v>1.6402</v>
      </c>
    </row>
    <row r="497" spans="1:3" x14ac:dyDescent="0.25">
      <c r="A497" t="str">
        <f>"13/06/2011"</f>
        <v>13/06/2011</v>
      </c>
      <c r="B497" t="str">
        <f>"1.6227"</f>
        <v>1.6227</v>
      </c>
      <c r="C497" t="str">
        <f>"1.6221"</f>
        <v>1.6221</v>
      </c>
    </row>
    <row r="498" spans="1:3" x14ac:dyDescent="0.25">
      <c r="A498" t="str">
        <f>"14/06/2011"</f>
        <v>14/06/2011</v>
      </c>
      <c r="B498" t="str">
        <f>"1.6422"</f>
        <v>1.6422</v>
      </c>
      <c r="C498" t="str">
        <f>"1.6415"</f>
        <v>1.6415</v>
      </c>
    </row>
    <row r="499" spans="1:3" x14ac:dyDescent="0.25">
      <c r="A499" t="str">
        <f>"15/06/2011"</f>
        <v>15/06/2011</v>
      </c>
      <c r="B499" t="str">
        <f>"1.6363"</f>
        <v>1.6363</v>
      </c>
      <c r="C499" t="str">
        <f>"1.6357"</f>
        <v>1.6357</v>
      </c>
    </row>
    <row r="500" spans="1:3" x14ac:dyDescent="0.25">
      <c r="A500" t="str">
        <f>"16/06/2011"</f>
        <v>16/06/2011</v>
      </c>
      <c r="B500" t="str">
        <f>"1.6175"</f>
        <v>1.6175</v>
      </c>
      <c r="C500" t="str">
        <f>"1.6169"</f>
        <v>1.6169</v>
      </c>
    </row>
    <row r="501" spans="1:3" x14ac:dyDescent="0.25">
      <c r="A501" t="str">
        <f>"17/06/2011"</f>
        <v>17/06/2011</v>
      </c>
      <c r="B501" t="str">
        <f>"1.6114"</f>
        <v>1.6114</v>
      </c>
      <c r="C501" t="str">
        <f>"1.6108"</f>
        <v>1.6108</v>
      </c>
    </row>
    <row r="502" spans="1:3" x14ac:dyDescent="0.25">
      <c r="A502" t="str">
        <f>"20/06/2011"</f>
        <v>20/06/2011</v>
      </c>
      <c r="B502" t="str">
        <f>"1.6137"</f>
        <v>1.6137</v>
      </c>
      <c r="C502" t="str">
        <f>"1.6131"</f>
        <v>1.6131</v>
      </c>
    </row>
    <row r="503" spans="1:3" x14ac:dyDescent="0.25">
      <c r="A503" t="str">
        <f>"21/06/2011"</f>
        <v>21/06/2011</v>
      </c>
      <c r="B503" t="str">
        <f>"1.6209"</f>
        <v>1.6209</v>
      </c>
      <c r="C503" t="str">
        <f>"1.6203"</f>
        <v>1.6203</v>
      </c>
    </row>
    <row r="504" spans="1:3" x14ac:dyDescent="0.25">
      <c r="A504" t="str">
        <f>"22/06/2011"</f>
        <v>22/06/2011</v>
      </c>
      <c r="B504" t="str">
        <f>"1.6216"</f>
        <v>1.6216</v>
      </c>
      <c r="C504" t="str">
        <f>"1.621"</f>
        <v>1.621</v>
      </c>
    </row>
    <row r="505" spans="1:3" x14ac:dyDescent="0.25">
      <c r="A505" t="str">
        <f>"23/06/2011"</f>
        <v>23/06/2011</v>
      </c>
      <c r="B505" t="str">
        <f>"1.6046"</f>
        <v>1.6046</v>
      </c>
      <c r="C505" t="str">
        <f>"1.604"</f>
        <v>1.604</v>
      </c>
    </row>
    <row r="506" spans="1:3" x14ac:dyDescent="0.25">
      <c r="A506" t="str">
        <f>"24/06/2011"</f>
        <v>24/06/2011</v>
      </c>
      <c r="B506" t="str">
        <f>"1.6019"</f>
        <v>1.6019</v>
      </c>
      <c r="C506" t="str">
        <f>"1.6013"</f>
        <v>1.6013</v>
      </c>
    </row>
    <row r="507" spans="1:3" x14ac:dyDescent="0.25">
      <c r="A507" t="str">
        <f>"27/06/2011"</f>
        <v>27/06/2011</v>
      </c>
      <c r="B507" t="str">
        <f>"1.5926"</f>
        <v>1.5926</v>
      </c>
      <c r="C507" t="str">
        <f>"1.592"</f>
        <v>1.592</v>
      </c>
    </row>
    <row r="508" spans="1:3" x14ac:dyDescent="0.25">
      <c r="A508" t="str">
        <f>"28/06/2011"</f>
        <v>28/06/2011</v>
      </c>
      <c r="B508" t="str">
        <f>"1.5973"</f>
        <v>1.5973</v>
      </c>
      <c r="C508" t="str">
        <f>"1.5968"</f>
        <v>1.5968</v>
      </c>
    </row>
    <row r="509" spans="1:3" x14ac:dyDescent="0.25">
      <c r="A509" t="str">
        <f>"29/06/2011"</f>
        <v>29/06/2011</v>
      </c>
      <c r="B509" t="str">
        <f>"1.5996"</f>
        <v>1.5996</v>
      </c>
      <c r="C509" t="str">
        <f>"1.599"</f>
        <v>1.599</v>
      </c>
    </row>
    <row r="510" spans="1:3" x14ac:dyDescent="0.25">
      <c r="A510" t="str">
        <f>"30/06/2011"</f>
        <v>30/06/2011</v>
      </c>
      <c r="B510" t="str">
        <f>"1.6105"</f>
        <v>1.6105</v>
      </c>
      <c r="C510" t="str">
        <f>"1.6099"</f>
        <v>1.6099</v>
      </c>
    </row>
    <row r="511" spans="1:3" x14ac:dyDescent="0.25">
      <c r="A511" t="str">
        <f>"01/07/2011"</f>
        <v>01/07/2011</v>
      </c>
      <c r="B511" t="str">
        <f>"1.6041"</f>
        <v>1.6041</v>
      </c>
      <c r="C511" t="str">
        <f>"1.6035"</f>
        <v>1.6035</v>
      </c>
    </row>
    <row r="512" spans="1:3" x14ac:dyDescent="0.25">
      <c r="A512" t="str">
        <f>"04/07/2011"</f>
        <v>04/07/2011</v>
      </c>
      <c r="B512" t="str">
        <f>"1.6088"</f>
        <v>1.6088</v>
      </c>
      <c r="C512" t="str">
        <f>"1.6081"</f>
        <v>1.6081</v>
      </c>
    </row>
    <row r="513" spans="1:3" x14ac:dyDescent="0.25">
      <c r="A513" t="str">
        <f>"05/07/2011"</f>
        <v>05/07/2011</v>
      </c>
      <c r="B513" t="str">
        <f>"1.6048"</f>
        <v>1.6048</v>
      </c>
      <c r="C513" t="str">
        <f>"1.6041"</f>
        <v>1.6041</v>
      </c>
    </row>
    <row r="514" spans="1:3" x14ac:dyDescent="0.25">
      <c r="A514" t="str">
        <f>"06/07/2011"</f>
        <v>06/07/2011</v>
      </c>
      <c r="B514" t="str">
        <f>"1.6086"</f>
        <v>1.6086</v>
      </c>
      <c r="C514" t="str">
        <f>"1.608"</f>
        <v>1.608</v>
      </c>
    </row>
    <row r="515" spans="1:3" x14ac:dyDescent="0.25">
      <c r="A515" t="str">
        <f>"07/07/2011"</f>
        <v>07/07/2011</v>
      </c>
      <c r="B515" t="str">
        <f>"1.5985"</f>
        <v>1.5985</v>
      </c>
      <c r="C515" t="str">
        <f>"1.5979"</f>
        <v>1.5979</v>
      </c>
    </row>
    <row r="516" spans="1:3" x14ac:dyDescent="0.25">
      <c r="A516" t="str">
        <f>"08/07/2011"</f>
        <v>08/07/2011</v>
      </c>
      <c r="B516" t="str">
        <f>"1.5948"</f>
        <v>1.5948</v>
      </c>
      <c r="C516" t="str">
        <f>"1.5942"</f>
        <v>1.5942</v>
      </c>
    </row>
    <row r="517" spans="1:3" x14ac:dyDescent="0.25">
      <c r="A517" t="str">
        <f>"11/07/2011"</f>
        <v>11/07/2011</v>
      </c>
      <c r="B517" t="str">
        <f>"1.6007"</f>
        <v>1.6007</v>
      </c>
      <c r="C517" t="str">
        <f>"1.6001"</f>
        <v>1.6001</v>
      </c>
    </row>
    <row r="518" spans="1:3" x14ac:dyDescent="0.25">
      <c r="A518" t="str">
        <f>"12/07/2011"</f>
        <v>12/07/2011</v>
      </c>
      <c r="B518" t="str">
        <f>"1.5869"</f>
        <v>1.5869</v>
      </c>
      <c r="C518" t="str">
        <f>"1.5863"</f>
        <v>1.5863</v>
      </c>
    </row>
    <row r="519" spans="1:3" x14ac:dyDescent="0.25">
      <c r="A519" t="str">
        <f>"13/07/2011"</f>
        <v>13/07/2011</v>
      </c>
      <c r="B519" t="str">
        <f>"1.5933"</f>
        <v>1.5933</v>
      </c>
      <c r="C519" t="str">
        <f>"1.5928"</f>
        <v>1.5928</v>
      </c>
    </row>
    <row r="520" spans="1:3" x14ac:dyDescent="0.25">
      <c r="A520" t="str">
        <f>"14/07/2011"</f>
        <v>14/07/2011</v>
      </c>
      <c r="B520" t="str">
        <f>"1.6138"</f>
        <v>1.6138</v>
      </c>
      <c r="C520" t="str">
        <f>"1.6132"</f>
        <v>1.6132</v>
      </c>
    </row>
    <row r="521" spans="1:3" x14ac:dyDescent="0.25">
      <c r="A521" t="str">
        <f>"15/07/2011"</f>
        <v>15/07/2011</v>
      </c>
      <c r="B521" t="str">
        <f>"1.6153"</f>
        <v>1.6153</v>
      </c>
      <c r="C521" t="str">
        <f>"1.6147"</f>
        <v>1.6147</v>
      </c>
    </row>
    <row r="522" spans="1:3" x14ac:dyDescent="0.25">
      <c r="A522" t="str">
        <f>"18/07/2011"</f>
        <v>18/07/2011</v>
      </c>
      <c r="B522" t="str">
        <f>"1.6093"</f>
        <v>1.6093</v>
      </c>
      <c r="C522" t="str">
        <f>"1.6086"</f>
        <v>1.6086</v>
      </c>
    </row>
    <row r="523" spans="1:3" x14ac:dyDescent="0.25">
      <c r="A523" t="str">
        <f>"19/07/2011"</f>
        <v>19/07/2011</v>
      </c>
      <c r="B523" t="str">
        <f>"1.6075"</f>
        <v>1.6075</v>
      </c>
      <c r="C523" t="str">
        <f>"1.6069"</f>
        <v>1.6069</v>
      </c>
    </row>
    <row r="524" spans="1:3" x14ac:dyDescent="0.25">
      <c r="A524" t="str">
        <f>"20/07/2011"</f>
        <v>20/07/2011</v>
      </c>
      <c r="B524" t="str">
        <f>"1.6126"</f>
        <v>1.6126</v>
      </c>
      <c r="C524" t="str">
        <f>"1.612"</f>
        <v>1.612</v>
      </c>
    </row>
    <row r="525" spans="1:3" x14ac:dyDescent="0.25">
      <c r="A525" t="str">
        <f>"21/07/2011"</f>
        <v>21/07/2011</v>
      </c>
      <c r="B525" t="str">
        <f>"1.6151"</f>
        <v>1.6151</v>
      </c>
      <c r="C525" t="str">
        <f>"1.6145"</f>
        <v>1.6145</v>
      </c>
    </row>
    <row r="526" spans="1:3" x14ac:dyDescent="0.25">
      <c r="A526" t="str">
        <f>"22/07/2011"</f>
        <v>22/07/2011</v>
      </c>
      <c r="B526" t="str">
        <f>"1.6299"</f>
        <v>1.6299</v>
      </c>
      <c r="C526" t="str">
        <f>"1.6293"</f>
        <v>1.6293</v>
      </c>
    </row>
    <row r="527" spans="1:3" x14ac:dyDescent="0.25">
      <c r="A527" t="str">
        <f>"25/07/2011"</f>
        <v>25/07/2011</v>
      </c>
      <c r="B527" t="str">
        <f>"1.63"</f>
        <v>1.63</v>
      </c>
      <c r="C527" t="str">
        <f>"1.6294"</f>
        <v>1.6294</v>
      </c>
    </row>
    <row r="528" spans="1:3" x14ac:dyDescent="0.25">
      <c r="A528" t="str">
        <f>"26/07/2011"</f>
        <v>26/07/2011</v>
      </c>
      <c r="B528" t="str">
        <f>"1.6334"</f>
        <v>1.6334</v>
      </c>
      <c r="C528" t="str">
        <f>"1.6327"</f>
        <v>1.6327</v>
      </c>
    </row>
    <row r="529" spans="1:3" x14ac:dyDescent="0.25">
      <c r="A529" t="str">
        <f>"27/07/2011"</f>
        <v>27/07/2011</v>
      </c>
      <c r="B529" t="str">
        <f>"1.6432"</f>
        <v>1.6432</v>
      </c>
      <c r="C529" t="str">
        <f>"1.6426"</f>
        <v>1.6426</v>
      </c>
    </row>
    <row r="530" spans="1:3" x14ac:dyDescent="0.25">
      <c r="A530" t="str">
        <f>"28/07/2011"</f>
        <v>28/07/2011</v>
      </c>
      <c r="B530" t="str">
        <f>"1.6335"</f>
        <v>1.6335</v>
      </c>
      <c r="C530" t="str">
        <f>"1.633"</f>
        <v>1.633</v>
      </c>
    </row>
    <row r="531" spans="1:3" x14ac:dyDescent="0.25">
      <c r="A531" t="str">
        <f>"29/07/2011"</f>
        <v>29/07/2011</v>
      </c>
      <c r="B531" t="str">
        <f>"1.6344"</f>
        <v>1.6344</v>
      </c>
      <c r="C531" t="str">
        <f>"1.6338"</f>
        <v>1.6338</v>
      </c>
    </row>
    <row r="532" spans="1:3" x14ac:dyDescent="0.25">
      <c r="A532" t="str">
        <f>"01/08/2011"</f>
        <v>01/08/2011</v>
      </c>
      <c r="B532" t="str">
        <f>"1.645"</f>
        <v>1.645</v>
      </c>
      <c r="C532" t="str">
        <f>"1.6444"</f>
        <v>1.6444</v>
      </c>
    </row>
    <row r="533" spans="1:3" x14ac:dyDescent="0.25">
      <c r="A533" t="str">
        <f>"02/08/2011"</f>
        <v>02/08/2011</v>
      </c>
      <c r="B533" t="str">
        <f>"1.6317"</f>
        <v>1.6317</v>
      </c>
      <c r="C533" t="str">
        <f>"1.6311"</f>
        <v>1.6311</v>
      </c>
    </row>
    <row r="534" spans="1:3" x14ac:dyDescent="0.25">
      <c r="A534" t="str">
        <f>"03/08/2011"</f>
        <v>03/08/2011</v>
      </c>
      <c r="B534" t="str">
        <f>"1.6282"</f>
        <v>1.6282</v>
      </c>
      <c r="C534" t="str">
        <f>"1.6277"</f>
        <v>1.6277</v>
      </c>
    </row>
    <row r="535" spans="1:3" x14ac:dyDescent="0.25">
      <c r="A535" t="str">
        <f>"04/08/2011"</f>
        <v>04/08/2011</v>
      </c>
      <c r="B535" t="str">
        <f>"1.6378"</f>
        <v>1.6378</v>
      </c>
      <c r="C535" t="str">
        <f>"1.6374"</f>
        <v>1.6374</v>
      </c>
    </row>
    <row r="536" spans="1:3" x14ac:dyDescent="0.25">
      <c r="A536" t="str">
        <f>"09/08/2011"</f>
        <v>09/08/2011</v>
      </c>
      <c r="B536" t="str">
        <f>"1.6332"</f>
        <v>1.6332</v>
      </c>
      <c r="C536" t="str">
        <f>"1.6327"</f>
        <v>1.6327</v>
      </c>
    </row>
    <row r="537" spans="1:3" x14ac:dyDescent="0.25">
      <c r="A537" t="str">
        <f>"10/08/2011"</f>
        <v>10/08/2011</v>
      </c>
      <c r="B537" t="str">
        <f>"1.6275"</f>
        <v>1.6275</v>
      </c>
      <c r="C537" t="str">
        <f>"1.627"</f>
        <v>1.627</v>
      </c>
    </row>
    <row r="538" spans="1:3" x14ac:dyDescent="0.25">
      <c r="A538" t="str">
        <f>"11/08/2011"</f>
        <v>11/08/2011</v>
      </c>
      <c r="B538" t="str">
        <f>"1.6172"</f>
        <v>1.6172</v>
      </c>
      <c r="C538" t="str">
        <f>"1.6168"</f>
        <v>1.6168</v>
      </c>
    </row>
    <row r="539" spans="1:3" x14ac:dyDescent="0.25">
      <c r="A539" t="str">
        <f>"12/08/2011"</f>
        <v>12/08/2011</v>
      </c>
      <c r="B539" t="str">
        <f>"1.6202"</f>
        <v>1.6202</v>
      </c>
      <c r="C539" t="str">
        <f>"1.6197"</f>
        <v>1.6197</v>
      </c>
    </row>
    <row r="540" spans="1:3" x14ac:dyDescent="0.25">
      <c r="A540" t="str">
        <f>"16/08/2011"</f>
        <v>16/08/2011</v>
      </c>
      <c r="B540" t="str">
        <f>"1.637"</f>
        <v>1.637</v>
      </c>
      <c r="C540" t="str">
        <f>"1.6364"</f>
        <v>1.6364</v>
      </c>
    </row>
    <row r="541" spans="1:3" x14ac:dyDescent="0.25">
      <c r="A541" t="str">
        <f>"17/08/2011"</f>
        <v>17/08/2011</v>
      </c>
      <c r="B541" t="str">
        <f>"1.643"</f>
        <v>1.643</v>
      </c>
      <c r="C541" t="str">
        <f>"1.6424"</f>
        <v>1.6424</v>
      </c>
    </row>
    <row r="542" spans="1:3" x14ac:dyDescent="0.25">
      <c r="A542" t="str">
        <f>"18/08/2011"</f>
        <v>18/08/2011</v>
      </c>
      <c r="B542" t="str">
        <f>"1.6512"</f>
        <v>1.6512</v>
      </c>
      <c r="C542" t="str">
        <f>"1.6507"</f>
        <v>1.6507</v>
      </c>
    </row>
    <row r="543" spans="1:3" x14ac:dyDescent="0.25">
      <c r="A543" t="str">
        <f>"19/08/2011"</f>
        <v>19/08/2011</v>
      </c>
      <c r="B543" t="str">
        <f>"1.6478"</f>
        <v>1.6478</v>
      </c>
      <c r="C543" t="str">
        <f>"1.6472"</f>
        <v>1.6472</v>
      </c>
    </row>
    <row r="544" spans="1:3" x14ac:dyDescent="0.25">
      <c r="A544" t="str">
        <f>"22/08/2011"</f>
        <v>22/08/2011</v>
      </c>
      <c r="B544" t="str">
        <f>"1.6485"</f>
        <v>1.6485</v>
      </c>
      <c r="C544" t="str">
        <f>"1.6479"</f>
        <v>1.6479</v>
      </c>
    </row>
    <row r="545" spans="1:3" x14ac:dyDescent="0.25">
      <c r="A545" t="str">
        <f>"23/08/2011"</f>
        <v>23/08/2011</v>
      </c>
      <c r="B545" t="str">
        <f>"1.6479"</f>
        <v>1.6479</v>
      </c>
      <c r="C545" t="str">
        <f>"1.6473"</f>
        <v>1.6473</v>
      </c>
    </row>
    <row r="546" spans="1:3" x14ac:dyDescent="0.25">
      <c r="A546" t="str">
        <f>"24/08/2011"</f>
        <v>24/08/2011</v>
      </c>
      <c r="B546" t="str">
        <f>"1.6498"</f>
        <v>1.6498</v>
      </c>
      <c r="C546" t="str">
        <f>"1.6492"</f>
        <v>1.6492</v>
      </c>
    </row>
    <row r="547" spans="1:3" x14ac:dyDescent="0.25">
      <c r="A547" t="str">
        <f>"25/08/2011"</f>
        <v>25/08/2011</v>
      </c>
      <c r="B547" t="str">
        <f>"1.6373"</f>
        <v>1.6373</v>
      </c>
      <c r="C547" t="str">
        <f>"1.6367"</f>
        <v>1.6367</v>
      </c>
    </row>
    <row r="548" spans="1:3" x14ac:dyDescent="0.25">
      <c r="A548" t="str">
        <f>"26/08/2011"</f>
        <v>26/08/2011</v>
      </c>
      <c r="B548" t="str">
        <f>"1.6313"</f>
        <v>1.6313</v>
      </c>
      <c r="C548" t="str">
        <f>"1.6308"</f>
        <v>1.6308</v>
      </c>
    </row>
    <row r="549" spans="1:3" x14ac:dyDescent="0.25">
      <c r="A549" t="str">
        <f>"29/08/2011"</f>
        <v>29/08/2011</v>
      </c>
      <c r="B549" t="str">
        <f>"1.6371"</f>
        <v>1.6371</v>
      </c>
      <c r="C549" t="str">
        <f>"1.6366"</f>
        <v>1.6366</v>
      </c>
    </row>
    <row r="550" spans="1:3" x14ac:dyDescent="0.25">
      <c r="A550" t="str">
        <f>"30/08/2011"</f>
        <v>30/08/2011</v>
      </c>
      <c r="B550" t="str">
        <f>"1.6413"</f>
        <v>1.6413</v>
      </c>
      <c r="C550" t="str">
        <f>"1.6407"</f>
        <v>1.6407</v>
      </c>
    </row>
    <row r="551" spans="1:3" x14ac:dyDescent="0.25">
      <c r="A551" t="str">
        <f>"02/09/2011"</f>
        <v>02/09/2011</v>
      </c>
      <c r="B551" t="str">
        <f>"1.6185"</f>
        <v>1.6185</v>
      </c>
      <c r="C551" t="str">
        <f>"1.618"</f>
        <v>1.618</v>
      </c>
    </row>
    <row r="552" spans="1:3" x14ac:dyDescent="0.25">
      <c r="A552" t="str">
        <f>"05/09/2011"</f>
        <v>05/09/2011</v>
      </c>
      <c r="B552" t="str">
        <f>"1.6178"</f>
        <v>1.6178</v>
      </c>
      <c r="C552" t="str">
        <f>"1.6173"</f>
        <v>1.6173</v>
      </c>
    </row>
    <row r="553" spans="1:3" x14ac:dyDescent="0.25">
      <c r="A553" t="str">
        <f>"06/09/2011"</f>
        <v>06/09/2011</v>
      </c>
      <c r="B553" t="str">
        <f>"1.6083"</f>
        <v>1.6083</v>
      </c>
      <c r="C553" t="str">
        <f>"1.6077"</f>
        <v>1.6077</v>
      </c>
    </row>
    <row r="554" spans="1:3" x14ac:dyDescent="0.25">
      <c r="A554" t="str">
        <f>"07/09/2011"</f>
        <v>07/09/2011</v>
      </c>
      <c r="B554" t="str">
        <f>"1.5984"</f>
        <v>1.5984</v>
      </c>
      <c r="C554" t="str">
        <f>"1.5978"</f>
        <v>1.5978</v>
      </c>
    </row>
    <row r="555" spans="1:3" x14ac:dyDescent="0.25">
      <c r="A555" t="str">
        <f>"08/09/2011"</f>
        <v>08/09/2011</v>
      </c>
      <c r="B555" t="str">
        <f>"1.5951"</f>
        <v>1.5951</v>
      </c>
      <c r="C555" t="str">
        <f>"1.5945"</f>
        <v>1.5945</v>
      </c>
    </row>
    <row r="556" spans="1:3" x14ac:dyDescent="0.25">
      <c r="A556" t="str">
        <f>"09/09/2011"</f>
        <v>09/09/2011</v>
      </c>
      <c r="B556" t="str">
        <f>"1.5974"</f>
        <v>1.5974</v>
      </c>
      <c r="C556" t="str">
        <f>"1.5968"</f>
        <v>1.5968</v>
      </c>
    </row>
    <row r="557" spans="1:3" x14ac:dyDescent="0.25">
      <c r="A557" t="str">
        <f>"12/09/2011"</f>
        <v>12/09/2011</v>
      </c>
      <c r="B557" t="str">
        <f>"1.5839"</f>
        <v>1.5839</v>
      </c>
      <c r="C557" t="str">
        <f>"1.5834"</f>
        <v>1.5834</v>
      </c>
    </row>
    <row r="558" spans="1:3" x14ac:dyDescent="0.25">
      <c r="A558" t="str">
        <f>"13/09/2011"</f>
        <v>13/09/2011</v>
      </c>
      <c r="B558" t="str">
        <f>"1.5865"</f>
        <v>1.5865</v>
      </c>
      <c r="C558" t="str">
        <f>"1.586"</f>
        <v>1.586</v>
      </c>
    </row>
    <row r="559" spans="1:3" x14ac:dyDescent="0.25">
      <c r="A559" t="str">
        <f>"14/09/2011"</f>
        <v>14/09/2011</v>
      </c>
      <c r="B559" t="str">
        <f>"1.5756"</f>
        <v>1.5756</v>
      </c>
      <c r="C559" t="str">
        <f>"1.575"</f>
        <v>1.575</v>
      </c>
    </row>
    <row r="560" spans="1:3" x14ac:dyDescent="0.25">
      <c r="A560" t="str">
        <f>"15/09/2011"</f>
        <v>15/09/2011</v>
      </c>
      <c r="B560" t="str">
        <f>"1.5755"</f>
        <v>1.5755</v>
      </c>
      <c r="C560" t="str">
        <f>"1.5749"</f>
        <v>1.5749</v>
      </c>
    </row>
    <row r="561" spans="1:3" x14ac:dyDescent="0.25">
      <c r="A561" t="str">
        <f>"16/09/2011"</f>
        <v>16/09/2011</v>
      </c>
      <c r="B561" t="str">
        <f>"1.5803"</f>
        <v>1.5803</v>
      </c>
      <c r="C561" t="str">
        <f>"1.5798"</f>
        <v>1.5798</v>
      </c>
    </row>
    <row r="562" spans="1:3" x14ac:dyDescent="0.25">
      <c r="A562" t="str">
        <f>"19/09/2011"</f>
        <v>19/09/2011</v>
      </c>
      <c r="B562" t="str">
        <f>"1.5695"</f>
        <v>1.5695</v>
      </c>
      <c r="C562" t="str">
        <f>"1.5689"</f>
        <v>1.5689</v>
      </c>
    </row>
    <row r="563" spans="1:3" x14ac:dyDescent="0.25">
      <c r="A563" t="str">
        <f>"20/09/2011"</f>
        <v>20/09/2011</v>
      </c>
      <c r="B563" t="str">
        <f>"1.568"</f>
        <v>1.568</v>
      </c>
      <c r="C563" t="str">
        <f>"1.5674"</f>
        <v>1.5674</v>
      </c>
    </row>
    <row r="564" spans="1:3" x14ac:dyDescent="0.25">
      <c r="A564" t="str">
        <f>"21/09/2011"</f>
        <v>21/09/2011</v>
      </c>
      <c r="B564" t="str">
        <f>"1.5727"</f>
        <v>1.5727</v>
      </c>
      <c r="C564" t="str">
        <f>"1.5722"</f>
        <v>1.5722</v>
      </c>
    </row>
    <row r="565" spans="1:3" x14ac:dyDescent="0.25">
      <c r="A565" t="str">
        <f>"22/09/2011"</f>
        <v>22/09/2011</v>
      </c>
      <c r="B565" t="str">
        <f>"1.5458"</f>
        <v>1.5458</v>
      </c>
      <c r="C565" t="str">
        <f>"1.5453"</f>
        <v>1.5453</v>
      </c>
    </row>
    <row r="566" spans="1:3" x14ac:dyDescent="0.25">
      <c r="A566" t="str">
        <f>"23/09/2011"</f>
        <v>23/09/2011</v>
      </c>
      <c r="B566" t="str">
        <f>"1.5387"</f>
        <v>1.5387</v>
      </c>
      <c r="C566" t="str">
        <f>"1.5383"</f>
        <v>1.5383</v>
      </c>
    </row>
    <row r="567" spans="1:3" x14ac:dyDescent="0.25">
      <c r="A567" t="str">
        <f>"26/09/2011"</f>
        <v>26/09/2011</v>
      </c>
      <c r="B567" t="str">
        <f>"1.5454"</f>
        <v>1.5454</v>
      </c>
      <c r="C567" t="str">
        <f>"1.5449"</f>
        <v>1.5449</v>
      </c>
    </row>
    <row r="568" spans="1:3" x14ac:dyDescent="0.25">
      <c r="A568" t="str">
        <f>"27/09/2011"</f>
        <v>27/09/2011</v>
      </c>
      <c r="B568" t="str">
        <f>"1.5577"</f>
        <v>1.5577</v>
      </c>
      <c r="C568" t="str">
        <f>"1.5571"</f>
        <v>1.5571</v>
      </c>
    </row>
    <row r="569" spans="1:3" x14ac:dyDescent="0.25">
      <c r="A569" t="str">
        <f>"28/09/2011"</f>
        <v>28/09/2011</v>
      </c>
      <c r="B569" t="str">
        <f>"1.5623"</f>
        <v>1.5623</v>
      </c>
      <c r="C569" t="str">
        <f>"1.5618"</f>
        <v>1.5618</v>
      </c>
    </row>
    <row r="570" spans="1:3" x14ac:dyDescent="0.25">
      <c r="A570" t="str">
        <f>"29/09/2011"</f>
        <v>29/09/2011</v>
      </c>
      <c r="B570" t="str">
        <f>"1.5634"</f>
        <v>1.5634</v>
      </c>
      <c r="C570" t="str">
        <f>"1.5629"</f>
        <v>1.5629</v>
      </c>
    </row>
    <row r="571" spans="1:3" x14ac:dyDescent="0.25">
      <c r="A571" t="str">
        <f>"30/09/2011"</f>
        <v>30/09/2011</v>
      </c>
      <c r="B571" t="str">
        <f>"1.5587"</f>
        <v>1.5587</v>
      </c>
      <c r="C571" t="str">
        <f>"1.5582"</f>
        <v>1.5582</v>
      </c>
    </row>
    <row r="572" spans="1:3" x14ac:dyDescent="0.25">
      <c r="A572" t="str">
        <f>"03/10/2011"</f>
        <v>03/10/2011</v>
      </c>
      <c r="B572" t="str">
        <f>"1.5503"</f>
        <v>1.5503</v>
      </c>
      <c r="C572" t="str">
        <f>"1.5498"</f>
        <v>1.5498</v>
      </c>
    </row>
    <row r="573" spans="1:3" x14ac:dyDescent="0.25">
      <c r="A573" t="str">
        <f>"04/10/2011"</f>
        <v>04/10/2011</v>
      </c>
      <c r="B573" t="str">
        <f>"1.5444"</f>
        <v>1.5444</v>
      </c>
      <c r="C573" t="str">
        <f>"1.5439"</f>
        <v>1.5439</v>
      </c>
    </row>
    <row r="574" spans="1:3" x14ac:dyDescent="0.25">
      <c r="A574" t="str">
        <f>"05/10/2011"</f>
        <v>05/10/2011</v>
      </c>
      <c r="B574" t="str">
        <f>"1.5437"</f>
        <v>1.5437</v>
      </c>
      <c r="C574" t="str">
        <f>"1.5432"</f>
        <v>1.5432</v>
      </c>
    </row>
    <row r="575" spans="1:3" x14ac:dyDescent="0.25">
      <c r="A575" t="str">
        <f>"07/10/2011"</f>
        <v>07/10/2011</v>
      </c>
      <c r="B575" t="str">
        <f>"1.5462"</f>
        <v>1.5462</v>
      </c>
      <c r="C575" t="str">
        <f>"1.5456"</f>
        <v>1.5456</v>
      </c>
    </row>
    <row r="576" spans="1:3" x14ac:dyDescent="0.25">
      <c r="A576" t="str">
        <f>"10/10/2011"</f>
        <v>10/10/2011</v>
      </c>
      <c r="B576" t="str">
        <f>"1.5608"</f>
        <v>1.5608</v>
      </c>
      <c r="C576" t="str">
        <f>"1.5602"</f>
        <v>1.5602</v>
      </c>
    </row>
    <row r="577" spans="1:3" x14ac:dyDescent="0.25">
      <c r="A577" t="str">
        <f>"11/10/2011"</f>
        <v>11/10/2011</v>
      </c>
      <c r="B577" t="str">
        <f>"1.5619"</f>
        <v>1.5619</v>
      </c>
      <c r="C577" t="str">
        <f>"1.5613"</f>
        <v>1.5613</v>
      </c>
    </row>
    <row r="578" spans="1:3" x14ac:dyDescent="0.25">
      <c r="A578" t="str">
        <f>"12/10/2011"</f>
        <v>12/10/2011</v>
      </c>
      <c r="B578" t="str">
        <f>"1.5567"</f>
        <v>1.5567</v>
      </c>
      <c r="C578" t="str">
        <f>"1.5561"</f>
        <v>1.5561</v>
      </c>
    </row>
    <row r="579" spans="1:3" x14ac:dyDescent="0.25">
      <c r="A579" t="str">
        <f>"13/10/2011"</f>
        <v>13/10/2011</v>
      </c>
      <c r="B579" t="str">
        <f>"1.5751"</f>
        <v>1.5751</v>
      </c>
      <c r="C579" t="str">
        <f>"1.5746"</f>
        <v>1.5746</v>
      </c>
    </row>
    <row r="580" spans="1:3" x14ac:dyDescent="0.25">
      <c r="A580" t="str">
        <f>"14/10/2011"</f>
        <v>14/10/2011</v>
      </c>
      <c r="B580" t="str">
        <f>"1.5747"</f>
        <v>1.5747</v>
      </c>
      <c r="C580" t="str">
        <f>"1.5742"</f>
        <v>1.5742</v>
      </c>
    </row>
    <row r="581" spans="1:3" x14ac:dyDescent="0.25">
      <c r="A581" t="str">
        <f>"17/10/2011"</f>
        <v>17/10/2011</v>
      </c>
      <c r="B581" t="str">
        <f>"1.5792"</f>
        <v>1.5792</v>
      </c>
      <c r="C581" t="str">
        <f>"1.5786"</f>
        <v>1.5786</v>
      </c>
    </row>
    <row r="582" spans="1:3" x14ac:dyDescent="0.25">
      <c r="A582" t="str">
        <f>"18/10/2011"</f>
        <v>18/10/2011</v>
      </c>
      <c r="B582" t="str">
        <f>"1.5802"</f>
        <v>1.5802</v>
      </c>
      <c r="C582" t="str">
        <f>"1.5796"</f>
        <v>1.5796</v>
      </c>
    </row>
    <row r="583" spans="1:3" x14ac:dyDescent="0.25">
      <c r="A583" t="str">
        <f>"19/10/2011"</f>
        <v>19/10/2011</v>
      </c>
      <c r="B583" t="str">
        <f>"1.5745"</f>
        <v>1.5745</v>
      </c>
      <c r="C583" t="str">
        <f>"1.5739"</f>
        <v>1.5739</v>
      </c>
    </row>
    <row r="584" spans="1:3" x14ac:dyDescent="0.25">
      <c r="A584" t="str">
        <f>"20/10/2011"</f>
        <v>20/10/2011</v>
      </c>
      <c r="B584" t="str">
        <f>"1.5738"</f>
        <v>1.5738</v>
      </c>
      <c r="C584" t="str">
        <f>"1.5732"</f>
        <v>1.5732</v>
      </c>
    </row>
    <row r="585" spans="1:3" x14ac:dyDescent="0.25">
      <c r="A585" t="str">
        <f>"21/10/2011"</f>
        <v>21/10/2011</v>
      </c>
      <c r="B585" t="str">
        <f>"1.5795"</f>
        <v>1.5795</v>
      </c>
      <c r="C585" t="str">
        <f>"1.5789"</f>
        <v>1.5789</v>
      </c>
    </row>
    <row r="586" spans="1:3" x14ac:dyDescent="0.25">
      <c r="A586" t="str">
        <f>"24/10/2011"</f>
        <v>24/10/2011</v>
      </c>
      <c r="B586" t="str">
        <f>"1.596"</f>
        <v>1.596</v>
      </c>
      <c r="C586" t="str">
        <f>"1.5954"</f>
        <v>1.5954</v>
      </c>
    </row>
    <row r="587" spans="1:3" x14ac:dyDescent="0.25">
      <c r="A587" t="str">
        <f>"25/10/2011"</f>
        <v>25/10/2011</v>
      </c>
      <c r="B587" t="str">
        <f>"1.599"</f>
        <v>1.599</v>
      </c>
      <c r="C587" t="str">
        <f>"1.5984"</f>
        <v>1.5984</v>
      </c>
    </row>
    <row r="588" spans="1:3" x14ac:dyDescent="0.25">
      <c r="A588" t="str">
        <f>"28/10/2011"</f>
        <v>28/10/2011</v>
      </c>
      <c r="B588" t="str">
        <f>"1.6078"</f>
        <v>1.6078</v>
      </c>
      <c r="C588" t="str">
        <f>"1.6072"</f>
        <v>1.6072</v>
      </c>
    </row>
    <row r="589" spans="1:3" x14ac:dyDescent="0.25">
      <c r="A589" t="str">
        <f>"31/10/2011"</f>
        <v>31/10/2011</v>
      </c>
      <c r="B589" t="str">
        <f>"1.598"</f>
        <v>1.598</v>
      </c>
      <c r="C589" t="str">
        <f>"1.5975"</f>
        <v>1.5975</v>
      </c>
    </row>
    <row r="590" spans="1:3" x14ac:dyDescent="0.25">
      <c r="A590" t="str">
        <f>"01/11/2011"</f>
        <v>01/11/2011</v>
      </c>
      <c r="B590" t="str">
        <f>"1.6058"</f>
        <v>1.6058</v>
      </c>
      <c r="C590" t="str">
        <f>"1.6053"</f>
        <v>1.6053</v>
      </c>
    </row>
    <row r="591" spans="1:3" x14ac:dyDescent="0.25">
      <c r="A591" t="str">
        <f>"02/11/2011"</f>
        <v>02/11/2011</v>
      </c>
      <c r="B591" t="str">
        <f>"1.5976"</f>
        <v>1.5976</v>
      </c>
      <c r="C591" t="str">
        <f>"1.5971"</f>
        <v>1.5971</v>
      </c>
    </row>
    <row r="592" spans="1:3" x14ac:dyDescent="0.25">
      <c r="A592" t="str">
        <f>"03/11/2011"</f>
        <v>03/11/2011</v>
      </c>
      <c r="B592" t="str">
        <f>"1.5907"</f>
        <v>1.5907</v>
      </c>
      <c r="C592" t="str">
        <f>"1.5902"</f>
        <v>1.5902</v>
      </c>
    </row>
    <row r="593" spans="1:3" x14ac:dyDescent="0.25">
      <c r="A593" t="str">
        <f>"04/11/2011"</f>
        <v>04/11/2011</v>
      </c>
      <c r="B593" t="str">
        <f>"1.6017"</f>
        <v>1.6017</v>
      </c>
      <c r="C593" t="str">
        <f>"1.6012"</f>
        <v>1.6012</v>
      </c>
    </row>
    <row r="594" spans="1:3" x14ac:dyDescent="0.25">
      <c r="A594" t="str">
        <f>"08/11/2011"</f>
        <v>08/11/2011</v>
      </c>
      <c r="B594" t="str">
        <f>"1.6042"</f>
        <v>1.6042</v>
      </c>
      <c r="C594" t="str">
        <f>"1.6037"</f>
        <v>1.6037</v>
      </c>
    </row>
    <row r="595" spans="1:3" x14ac:dyDescent="0.25">
      <c r="A595" t="str">
        <f>"09/11/2011"</f>
        <v>09/11/2011</v>
      </c>
      <c r="B595" t="str">
        <f>"1.6103"</f>
        <v>1.6103</v>
      </c>
      <c r="C595" t="str">
        <f>"1.6098"</f>
        <v>1.6098</v>
      </c>
    </row>
    <row r="596" spans="1:3" x14ac:dyDescent="0.25">
      <c r="A596" t="str">
        <f>"11/11/2011"</f>
        <v>11/11/2011</v>
      </c>
      <c r="B596" t="str">
        <f>"1.5927"</f>
        <v>1.5927</v>
      </c>
      <c r="C596" t="str">
        <f>"1.5922"</f>
        <v>1.5922</v>
      </c>
    </row>
    <row r="597" spans="1:3" x14ac:dyDescent="0.25">
      <c r="A597" t="str">
        <f>"14/11/2011"</f>
        <v>14/11/2011</v>
      </c>
      <c r="B597" t="str">
        <f>"1.6059"</f>
        <v>1.6059</v>
      </c>
      <c r="C597" t="str">
        <f>"1.6054"</f>
        <v>1.6054</v>
      </c>
    </row>
    <row r="598" spans="1:3" x14ac:dyDescent="0.25">
      <c r="A598" t="str">
        <f>"15/11/2011"</f>
        <v>15/11/2011</v>
      </c>
      <c r="B598" t="str">
        <f>"1.588"</f>
        <v>1.588</v>
      </c>
      <c r="C598" t="str">
        <f>"1.5875"</f>
        <v>1.5875</v>
      </c>
    </row>
    <row r="599" spans="1:3" x14ac:dyDescent="0.25">
      <c r="A599" t="str">
        <f>"16/11/2011"</f>
        <v>16/11/2011</v>
      </c>
      <c r="B599" t="str">
        <f>"1.5767"</f>
        <v>1.5767</v>
      </c>
      <c r="C599" t="str">
        <f>"1.5762"</f>
        <v>1.5762</v>
      </c>
    </row>
    <row r="600" spans="1:3" x14ac:dyDescent="0.25">
      <c r="A600" t="str">
        <f>"17/11/2011"</f>
        <v>17/11/2011</v>
      </c>
      <c r="B600" t="str">
        <f>"1.5723"</f>
        <v>1.5723</v>
      </c>
      <c r="C600" t="str">
        <f>"1.5718"</f>
        <v>1.5718</v>
      </c>
    </row>
    <row r="601" spans="1:3" x14ac:dyDescent="0.25">
      <c r="A601" t="str">
        <f>"18/11/2011"</f>
        <v>18/11/2011</v>
      </c>
      <c r="B601" t="str">
        <f>"1.5773"</f>
        <v>1.5773</v>
      </c>
      <c r="C601" t="str">
        <f>"1.5768"</f>
        <v>1.5768</v>
      </c>
    </row>
    <row r="602" spans="1:3" x14ac:dyDescent="0.25">
      <c r="A602" t="str">
        <f>"21/11/2011"</f>
        <v>21/11/2011</v>
      </c>
      <c r="B602" t="str">
        <f>"1.5747"</f>
        <v>1.5747</v>
      </c>
      <c r="C602" t="str">
        <f>"1.5742"</f>
        <v>1.5742</v>
      </c>
    </row>
    <row r="603" spans="1:3" x14ac:dyDescent="0.25">
      <c r="A603" t="str">
        <f>"22/11/2011"</f>
        <v>22/11/2011</v>
      </c>
      <c r="B603" t="str">
        <f>"1.5623"</f>
        <v>1.5623</v>
      </c>
      <c r="C603" t="str">
        <f>"1.5617"</f>
        <v>1.5617</v>
      </c>
    </row>
    <row r="604" spans="1:3" x14ac:dyDescent="0.25">
      <c r="A604" t="str">
        <f>"23/11/2011"</f>
        <v>23/11/2011</v>
      </c>
      <c r="B604" t="str">
        <f>"1.562"</f>
        <v>1.562</v>
      </c>
      <c r="C604" t="str">
        <f>"1.5615"</f>
        <v>1.5615</v>
      </c>
    </row>
    <row r="605" spans="1:3" x14ac:dyDescent="0.25">
      <c r="A605" t="str">
        <f>"24/11/2011"</f>
        <v>24/11/2011</v>
      </c>
      <c r="B605" t="str">
        <f>"1.5552"</f>
        <v>1.5552</v>
      </c>
      <c r="C605" t="str">
        <f>"1.5548"</f>
        <v>1.5548</v>
      </c>
    </row>
    <row r="606" spans="1:3" x14ac:dyDescent="0.25">
      <c r="A606" t="str">
        <f>"25/11/2011"</f>
        <v>25/11/2011</v>
      </c>
      <c r="B606" t="str">
        <f>"1.5459"</f>
        <v>1.5459</v>
      </c>
      <c r="C606" t="str">
        <f>"1.5454"</f>
        <v>1.5454</v>
      </c>
    </row>
    <row r="607" spans="1:3" x14ac:dyDescent="0.25">
      <c r="A607" t="str">
        <f>"28/11/2011"</f>
        <v>28/11/2011</v>
      </c>
      <c r="B607" t="str">
        <f>"1.5572"</f>
        <v>1.5572</v>
      </c>
      <c r="C607" t="str">
        <f>"1.5567"</f>
        <v>1.5567</v>
      </c>
    </row>
    <row r="608" spans="1:3" x14ac:dyDescent="0.25">
      <c r="A608" t="str">
        <f>"29/11/2011"</f>
        <v>29/11/2011</v>
      </c>
      <c r="B608" t="str">
        <f>"1.5625"</f>
        <v>1.5625</v>
      </c>
      <c r="C608" t="str">
        <f>"1.562"</f>
        <v>1.562</v>
      </c>
    </row>
    <row r="609" spans="1:3" x14ac:dyDescent="0.25">
      <c r="A609" t="str">
        <f>"30/11/2011"</f>
        <v>30/11/2011</v>
      </c>
      <c r="B609" t="str">
        <f>"1.5552"</f>
        <v>1.5552</v>
      </c>
      <c r="C609" t="str">
        <f>"1.5547"</f>
        <v>1.5547</v>
      </c>
    </row>
    <row r="610" spans="1:3" x14ac:dyDescent="0.25">
      <c r="A610" t="str">
        <f>"01/12/2011"</f>
        <v>01/12/2011</v>
      </c>
      <c r="B610" t="str">
        <f>"1.5722"</f>
        <v>1.5722</v>
      </c>
      <c r="C610" t="str">
        <f>"1.5717"</f>
        <v>1.5717</v>
      </c>
    </row>
    <row r="611" spans="1:3" x14ac:dyDescent="0.25">
      <c r="A611" t="str">
        <f>"02/12/2011"</f>
        <v>02/12/2011</v>
      </c>
      <c r="B611" t="str">
        <f>"1.5684"</f>
        <v>1.5684</v>
      </c>
      <c r="C611" t="str">
        <f>"1.568"</f>
        <v>1.568</v>
      </c>
    </row>
    <row r="612" spans="1:3" x14ac:dyDescent="0.25">
      <c r="A612" t="str">
        <f>"05/12/2011"</f>
        <v>05/12/2011</v>
      </c>
      <c r="B612" t="str">
        <f>"1.5636"</f>
        <v>1.5636</v>
      </c>
      <c r="C612" t="str">
        <f>"1.5631"</f>
        <v>1.5631</v>
      </c>
    </row>
    <row r="613" spans="1:3" x14ac:dyDescent="0.25">
      <c r="A613" t="str">
        <f>"07/12/2011"</f>
        <v>07/12/2011</v>
      </c>
      <c r="B613" t="str">
        <f>"1.5615"</f>
        <v>1.5615</v>
      </c>
      <c r="C613" t="str">
        <f>"1.5611"</f>
        <v>1.5611</v>
      </c>
    </row>
    <row r="614" spans="1:3" x14ac:dyDescent="0.25">
      <c r="A614" t="str">
        <f>"08/12/2011"</f>
        <v>08/12/2011</v>
      </c>
      <c r="B614" t="str">
        <f>"1.5724"</f>
        <v>1.5724</v>
      </c>
      <c r="C614" t="str">
        <f>"1.5719"</f>
        <v>1.5719</v>
      </c>
    </row>
    <row r="615" spans="1:3" x14ac:dyDescent="0.25">
      <c r="A615" t="str">
        <f>"09/12/2011"</f>
        <v>09/12/2011</v>
      </c>
      <c r="B615" t="str">
        <f>"1.5637"</f>
        <v>1.5637</v>
      </c>
      <c r="C615" t="str">
        <f>"1.5633"</f>
        <v>1.5633</v>
      </c>
    </row>
    <row r="616" spans="1:3" x14ac:dyDescent="0.25">
      <c r="A616" t="str">
        <f>"12/12/2011"</f>
        <v>12/12/2011</v>
      </c>
      <c r="B616" t="str">
        <f>"1.5612"</f>
        <v>1.5612</v>
      </c>
      <c r="C616" t="str">
        <f>"1.5607"</f>
        <v>1.5607</v>
      </c>
    </row>
    <row r="617" spans="1:3" x14ac:dyDescent="0.25">
      <c r="A617" t="str">
        <f>"13/12/2011"</f>
        <v>13/12/2011</v>
      </c>
      <c r="B617" t="str">
        <f>"1.5606"</f>
        <v>1.5606</v>
      </c>
      <c r="C617" t="str">
        <f>"1.5601"</f>
        <v>1.5601</v>
      </c>
    </row>
    <row r="618" spans="1:3" x14ac:dyDescent="0.25">
      <c r="A618" t="str">
        <f>"14/12/2011"</f>
        <v>14/12/2011</v>
      </c>
      <c r="B618" t="str">
        <f>"1.5498"</f>
        <v>1.5498</v>
      </c>
      <c r="C618" t="str">
        <f>"1.5494"</f>
        <v>1.5494</v>
      </c>
    </row>
    <row r="619" spans="1:3" x14ac:dyDescent="0.25">
      <c r="A619" t="str">
        <f>"15/12/2011"</f>
        <v>15/12/2011</v>
      </c>
      <c r="B619" t="str">
        <f>"1.5497"</f>
        <v>1.5497</v>
      </c>
      <c r="C619" t="str">
        <f>"1.5493"</f>
        <v>1.5493</v>
      </c>
    </row>
    <row r="620" spans="1:3" x14ac:dyDescent="0.25">
      <c r="A620" t="str">
        <f>"16/12/2011"</f>
        <v>16/12/2011</v>
      </c>
      <c r="B620" t="str">
        <f>"1.5533"</f>
        <v>1.5533</v>
      </c>
      <c r="C620" t="str">
        <f>"1.5529"</f>
        <v>1.5529</v>
      </c>
    </row>
    <row r="621" spans="1:3" x14ac:dyDescent="0.25">
      <c r="A621" t="str">
        <f>"19/12/2011"</f>
        <v>19/12/2011</v>
      </c>
      <c r="B621" t="str">
        <f>"1.549"</f>
        <v>1.549</v>
      </c>
      <c r="C621" t="str">
        <f>"1.5486"</f>
        <v>1.5486</v>
      </c>
    </row>
    <row r="622" spans="1:3" x14ac:dyDescent="0.25">
      <c r="A622" t="str">
        <f>"20/12/2011"</f>
        <v>20/12/2011</v>
      </c>
      <c r="B622" t="str">
        <f>"1.5636"</f>
        <v>1.5636</v>
      </c>
      <c r="C622" t="str">
        <f>"1.5631"</f>
        <v>1.5631</v>
      </c>
    </row>
    <row r="623" spans="1:3" x14ac:dyDescent="0.25">
      <c r="A623" t="str">
        <f>"21/12/2011"</f>
        <v>21/12/2011</v>
      </c>
      <c r="B623" t="str">
        <f>"1.5671"</f>
        <v>1.5671</v>
      </c>
      <c r="C623" t="str">
        <f>"1.5666"</f>
        <v>1.5666</v>
      </c>
    </row>
    <row r="624" spans="1:3" x14ac:dyDescent="0.25">
      <c r="A624" t="str">
        <f>"22/12/2011"</f>
        <v>22/12/2011</v>
      </c>
      <c r="B624" t="str">
        <f>"1.5683"</f>
        <v>1.5683</v>
      </c>
      <c r="C624" t="str">
        <f>"1.5678"</f>
        <v>1.5678</v>
      </c>
    </row>
    <row r="625" spans="1:3" x14ac:dyDescent="0.25">
      <c r="A625" t="str">
        <f>"23/12/2011"</f>
        <v>23/12/2011</v>
      </c>
      <c r="B625" t="str">
        <f>"1.5678"</f>
        <v>1.5678</v>
      </c>
      <c r="C625" t="str">
        <f>"1.5673"</f>
        <v>1.5673</v>
      </c>
    </row>
    <row r="626" spans="1:3" x14ac:dyDescent="0.25">
      <c r="A626" t="str">
        <f>"26/12/2011"</f>
        <v>26/12/2011</v>
      </c>
      <c r="B626" t="str">
        <f>"1.5611"</f>
        <v>1.5611</v>
      </c>
      <c r="C626" t="str">
        <f>"1.5606"</f>
        <v>1.5606</v>
      </c>
    </row>
    <row r="627" spans="1:3" x14ac:dyDescent="0.25">
      <c r="A627" t="str">
        <f>"27/12/2011"</f>
        <v>27/12/2011</v>
      </c>
      <c r="B627" t="str">
        <f>"1.5617"</f>
        <v>1.5617</v>
      </c>
      <c r="C627" t="str">
        <f>"1.5612"</f>
        <v>1.5612</v>
      </c>
    </row>
    <row r="628" spans="1:3" x14ac:dyDescent="0.25">
      <c r="A628" t="str">
        <f>"28/12/2011"</f>
        <v>28/12/2011</v>
      </c>
      <c r="B628" t="str">
        <f>"1.5655"</f>
        <v>1.5655</v>
      </c>
      <c r="C628" t="str">
        <f>"1.565"</f>
        <v>1.565</v>
      </c>
    </row>
    <row r="629" spans="1:3" x14ac:dyDescent="0.25">
      <c r="A629" t="str">
        <f>"29/12/2011"</f>
        <v>29/12/2011</v>
      </c>
      <c r="B629" t="str">
        <f>"1.545"</f>
        <v>1.545</v>
      </c>
      <c r="C629" t="str">
        <f>"1.5445"</f>
        <v>1.5445</v>
      </c>
    </row>
    <row r="630" spans="1:3" x14ac:dyDescent="0.25">
      <c r="A630" t="str">
        <f>"30/12/2011"</f>
        <v>30/12/2011</v>
      </c>
      <c r="B630" t="str">
        <f>"1.541"</f>
        <v>1.541</v>
      </c>
      <c r="C630" t="str">
        <f>"1.5405"</f>
        <v>1.5405</v>
      </c>
    </row>
    <row r="631" spans="1:3" x14ac:dyDescent="0.25">
      <c r="A631" t="str">
        <f>"02/01/2012"</f>
        <v>02/01/2012</v>
      </c>
      <c r="B631" t="str">
        <f>"1.5506"</f>
        <v>1.5506</v>
      </c>
      <c r="C631" t="str">
        <f>"1.5501"</f>
        <v>1.5501</v>
      </c>
    </row>
    <row r="632" spans="1:3" x14ac:dyDescent="0.25">
      <c r="A632" t="str">
        <f>"03/01/2012"</f>
        <v>03/01/2012</v>
      </c>
      <c r="B632" t="str">
        <f>"1.5528"</f>
        <v>1.5528</v>
      </c>
      <c r="C632" t="str">
        <f>"1.5524"</f>
        <v>1.5524</v>
      </c>
    </row>
    <row r="633" spans="1:3" x14ac:dyDescent="0.25">
      <c r="A633" t="str">
        <f>"04/01/2012"</f>
        <v>04/01/2012</v>
      </c>
      <c r="B633" t="str">
        <f>"1.5638"</f>
        <v>1.5638</v>
      </c>
      <c r="C633" t="str">
        <f>"1.5634"</f>
        <v>1.5634</v>
      </c>
    </row>
    <row r="634" spans="1:3" x14ac:dyDescent="0.25">
      <c r="A634" t="str">
        <f>"05/01/2012"</f>
        <v>05/01/2012</v>
      </c>
      <c r="B634" t="str">
        <f>"1.5605"</f>
        <v>1.5605</v>
      </c>
      <c r="C634" t="str">
        <f>"1.5601"</f>
        <v>1.5601</v>
      </c>
    </row>
    <row r="635" spans="1:3" x14ac:dyDescent="0.25">
      <c r="A635" t="str">
        <f>"06/01/2012"</f>
        <v>06/01/2012</v>
      </c>
      <c r="B635" t="str">
        <f>"1.5499"</f>
        <v>1.5499</v>
      </c>
      <c r="C635" t="str">
        <f>"1.5495"</f>
        <v>1.5495</v>
      </c>
    </row>
    <row r="636" spans="1:3" x14ac:dyDescent="0.25">
      <c r="A636" t="str">
        <f>"09/01/2012"</f>
        <v>09/01/2012</v>
      </c>
      <c r="B636" t="str">
        <f>"1.5429"</f>
        <v>1.5429</v>
      </c>
      <c r="C636" t="str">
        <f>"1.5425"</f>
        <v>1.5425</v>
      </c>
    </row>
    <row r="637" spans="1:3" x14ac:dyDescent="0.25">
      <c r="A637" t="str">
        <f>"10/01/2012"</f>
        <v>10/01/2012</v>
      </c>
      <c r="B637" t="str">
        <f>"1.547"</f>
        <v>1.547</v>
      </c>
      <c r="C637" t="str">
        <f>"1.5466"</f>
        <v>1.5466</v>
      </c>
    </row>
    <row r="638" spans="1:3" x14ac:dyDescent="0.25">
      <c r="A638" t="str">
        <f>"11/01/2012"</f>
        <v>11/01/2012</v>
      </c>
      <c r="B638" t="str">
        <f>"1.5431"</f>
        <v>1.5431</v>
      </c>
      <c r="C638" t="str">
        <f>"1.5427"</f>
        <v>1.5427</v>
      </c>
    </row>
    <row r="639" spans="1:3" x14ac:dyDescent="0.25">
      <c r="A639" t="str">
        <f>"12/01/2012"</f>
        <v>12/01/2012</v>
      </c>
      <c r="B639" t="str">
        <f>"1.5313"</f>
        <v>1.5313</v>
      </c>
      <c r="C639" t="str">
        <f>"1.5308"</f>
        <v>1.5308</v>
      </c>
    </row>
    <row r="640" spans="1:3" x14ac:dyDescent="0.25">
      <c r="A640" t="str">
        <f>"13/01/2012"</f>
        <v>13/01/2012</v>
      </c>
      <c r="B640" t="str">
        <f>"1.5343"</f>
        <v>1.5343</v>
      </c>
      <c r="C640" t="str">
        <f>"1.5338"</f>
        <v>1.5338</v>
      </c>
    </row>
    <row r="641" spans="1:3" x14ac:dyDescent="0.25">
      <c r="A641" t="str">
        <f>"16/01/2012"</f>
        <v>16/01/2012</v>
      </c>
      <c r="B641" t="str">
        <f>"1.5286"</f>
        <v>1.5286</v>
      </c>
      <c r="C641" t="str">
        <f>"1.5281"</f>
        <v>1.5281</v>
      </c>
    </row>
    <row r="642" spans="1:3" x14ac:dyDescent="0.25">
      <c r="A642" t="str">
        <f>"17/01/2012"</f>
        <v>17/01/2012</v>
      </c>
      <c r="B642" t="str">
        <f>"1.5367"</f>
        <v>1.5367</v>
      </c>
      <c r="C642" t="str">
        <f>"1.5362"</f>
        <v>1.5362</v>
      </c>
    </row>
    <row r="643" spans="1:3" x14ac:dyDescent="0.25">
      <c r="A643" t="str">
        <f>"18/01/2012"</f>
        <v>18/01/2012</v>
      </c>
      <c r="B643" t="str">
        <f>"1.5347"</f>
        <v>1.5347</v>
      </c>
      <c r="C643" t="str">
        <f>"1.5342"</f>
        <v>1.5342</v>
      </c>
    </row>
    <row r="644" spans="1:3" x14ac:dyDescent="0.25">
      <c r="A644" t="str">
        <f>"19/01/2012"</f>
        <v>19/01/2012</v>
      </c>
      <c r="B644" t="str">
        <f>"1.5439"</f>
        <v>1.5439</v>
      </c>
      <c r="C644" t="str">
        <f>"1.5435"</f>
        <v>1.5435</v>
      </c>
    </row>
    <row r="645" spans="1:3" x14ac:dyDescent="0.25">
      <c r="A645" t="str">
        <f>"20/01/2012"</f>
        <v>20/01/2012</v>
      </c>
      <c r="B645" t="str">
        <f>"1.549"</f>
        <v>1.549</v>
      </c>
      <c r="C645" t="str">
        <f>"1.5486"</f>
        <v>1.5486</v>
      </c>
    </row>
    <row r="646" spans="1:3" x14ac:dyDescent="0.25">
      <c r="A646" t="str">
        <f>"23/01/2012"</f>
        <v>23/01/2012</v>
      </c>
      <c r="B646" t="str">
        <f>"1.5545"</f>
        <v>1.5545</v>
      </c>
      <c r="C646" t="str">
        <f>"1.554"</f>
        <v>1.554</v>
      </c>
    </row>
    <row r="647" spans="1:3" x14ac:dyDescent="0.25">
      <c r="A647" t="str">
        <f>"24/01/2012"</f>
        <v>24/01/2012</v>
      </c>
      <c r="B647" t="str">
        <f>"1.5562"</f>
        <v>1.5562</v>
      </c>
      <c r="C647" t="str">
        <f>"1.5558"</f>
        <v>1.5558</v>
      </c>
    </row>
    <row r="648" spans="1:3" x14ac:dyDescent="0.25">
      <c r="A648" t="str">
        <f>"25/01/2012"</f>
        <v>25/01/2012</v>
      </c>
      <c r="B648" t="str">
        <f>"1.559"</f>
        <v>1.559</v>
      </c>
      <c r="C648" t="str">
        <f>"1.5586"</f>
        <v>1.5586</v>
      </c>
    </row>
    <row r="649" spans="1:3" x14ac:dyDescent="0.25">
      <c r="A649" t="str">
        <f>"27/01/2012"</f>
        <v>27/01/2012</v>
      </c>
      <c r="B649" t="str">
        <f>"1.5716"</f>
        <v>1.5716</v>
      </c>
      <c r="C649" t="str">
        <f>"1.5712"</f>
        <v>1.5712</v>
      </c>
    </row>
    <row r="650" spans="1:3" x14ac:dyDescent="0.25">
      <c r="A650" t="str">
        <f>"30/01/2012"</f>
        <v>30/01/2012</v>
      </c>
      <c r="B650" t="str">
        <f>"1.5677"</f>
        <v>1.5677</v>
      </c>
      <c r="C650" t="str">
        <f>"1.5673"</f>
        <v>1.5673</v>
      </c>
    </row>
    <row r="651" spans="1:3" x14ac:dyDescent="0.25">
      <c r="A651" t="str">
        <f>"31/01/2012"</f>
        <v>31/01/2012</v>
      </c>
      <c r="B651" t="str">
        <f>"1.5737"</f>
        <v>1.5737</v>
      </c>
      <c r="C651" t="str">
        <f>"1.5733"</f>
        <v>1.5733</v>
      </c>
    </row>
    <row r="652" spans="1:3" x14ac:dyDescent="0.25">
      <c r="A652" t="str">
        <f>"01/02/2012"</f>
        <v>01/02/2012</v>
      </c>
      <c r="B652" t="str">
        <f>"1.5757"</f>
        <v>1.5757</v>
      </c>
      <c r="C652" t="str">
        <f>"1.5753"</f>
        <v>1.5753</v>
      </c>
    </row>
    <row r="653" spans="1:3" x14ac:dyDescent="0.25">
      <c r="A653" t="str">
        <f>"02/02/2012"</f>
        <v>02/02/2012</v>
      </c>
      <c r="B653" t="str">
        <f>"1.5848"</f>
        <v>1.5848</v>
      </c>
      <c r="C653" t="str">
        <f>"1.5845"</f>
        <v>1.5845</v>
      </c>
    </row>
    <row r="654" spans="1:3" x14ac:dyDescent="0.25">
      <c r="A654" t="str">
        <f>"03/02/2012"</f>
        <v>03/02/2012</v>
      </c>
      <c r="B654" t="str">
        <f>"1.5809"</f>
        <v>1.5809</v>
      </c>
      <c r="C654" t="str">
        <f>"1.5806"</f>
        <v>1.5806</v>
      </c>
    </row>
    <row r="655" spans="1:3" x14ac:dyDescent="0.25">
      <c r="A655" t="str">
        <f>"06/02/2012"</f>
        <v>06/02/2012</v>
      </c>
      <c r="B655" t="str">
        <f>"1.5779"</f>
        <v>1.5779</v>
      </c>
      <c r="C655" t="str">
        <f>"1.5776"</f>
        <v>1.5776</v>
      </c>
    </row>
    <row r="656" spans="1:3" x14ac:dyDescent="0.25">
      <c r="A656" t="str">
        <f>"07/02/2012"</f>
        <v>07/02/2012</v>
      </c>
      <c r="B656" t="str">
        <f>"1.5801"</f>
        <v>1.5801</v>
      </c>
      <c r="C656" t="str">
        <f>"1.5797"</f>
        <v>1.5797</v>
      </c>
    </row>
    <row r="657" spans="1:3" x14ac:dyDescent="0.25">
      <c r="A657" t="str">
        <f>"08/02/2012"</f>
        <v>08/02/2012</v>
      </c>
      <c r="B657" t="str">
        <f>"1.5893"</f>
        <v>1.5893</v>
      </c>
      <c r="C657" t="str">
        <f>"1.589"</f>
        <v>1.589</v>
      </c>
    </row>
    <row r="658" spans="1:3" x14ac:dyDescent="0.25">
      <c r="A658" t="str">
        <f>"09/02/2012"</f>
        <v>09/02/2012</v>
      </c>
      <c r="B658" t="str">
        <f>"1.5814"</f>
        <v>1.5814</v>
      </c>
      <c r="C658" t="str">
        <f>"1.5811"</f>
        <v>1.5811</v>
      </c>
    </row>
    <row r="659" spans="1:3" x14ac:dyDescent="0.25">
      <c r="A659" t="str">
        <f>"10/02/2012"</f>
        <v>10/02/2012</v>
      </c>
      <c r="B659" t="str">
        <f>"1.5799"</f>
        <v>1.5799</v>
      </c>
      <c r="C659" t="str">
        <f>"1.5795"</f>
        <v>1.5795</v>
      </c>
    </row>
    <row r="660" spans="1:3" x14ac:dyDescent="0.25">
      <c r="A660" t="str">
        <f>"13/02/2012"</f>
        <v>13/02/2012</v>
      </c>
      <c r="B660" t="str">
        <f>"1.5795"</f>
        <v>1.5795</v>
      </c>
      <c r="C660" t="str">
        <f>"1.5791"</f>
        <v>1.5791</v>
      </c>
    </row>
    <row r="661" spans="1:3" x14ac:dyDescent="0.25">
      <c r="A661" t="str">
        <f>"14/02/2012"</f>
        <v>14/02/2012</v>
      </c>
      <c r="B661" t="str">
        <f>"1.5718"</f>
        <v>1.5718</v>
      </c>
      <c r="C661" t="str">
        <f>"1.5715"</f>
        <v>1.5715</v>
      </c>
    </row>
    <row r="662" spans="1:3" x14ac:dyDescent="0.25">
      <c r="A662" t="str">
        <f>"15/02/2012"</f>
        <v>15/02/2012</v>
      </c>
      <c r="B662" t="str">
        <f>"1.5716"</f>
        <v>1.5716</v>
      </c>
      <c r="C662" t="str">
        <f>"1.5712"</f>
        <v>1.5712</v>
      </c>
    </row>
    <row r="663" spans="1:3" x14ac:dyDescent="0.25">
      <c r="A663" t="str">
        <f>"16/02/2012"</f>
        <v>16/02/2012</v>
      </c>
      <c r="B663" t="str">
        <f>"1.5677"</f>
        <v>1.5677</v>
      </c>
      <c r="C663" t="str">
        <f>"1.5673"</f>
        <v>1.5673</v>
      </c>
    </row>
    <row r="664" spans="1:3" x14ac:dyDescent="0.25">
      <c r="A664" t="str">
        <f>"17/02/2012"</f>
        <v>17/02/2012</v>
      </c>
      <c r="B664" t="str">
        <f>"1.5802"</f>
        <v>1.5802</v>
      </c>
      <c r="C664" t="str">
        <f>"1.5798"</f>
        <v>1.5798</v>
      </c>
    </row>
    <row r="665" spans="1:3" x14ac:dyDescent="0.25">
      <c r="A665" t="str">
        <f>"21/02/2012"</f>
        <v>21/02/2012</v>
      </c>
      <c r="B665" t="str">
        <f>"1.5818"</f>
        <v>1.5818</v>
      </c>
      <c r="C665" t="str">
        <f>"1.5814"</f>
        <v>1.5814</v>
      </c>
    </row>
    <row r="666" spans="1:3" x14ac:dyDescent="0.25">
      <c r="A666" t="str">
        <f>"22/02/2012"</f>
        <v>22/02/2012</v>
      </c>
      <c r="B666" t="str">
        <f>"1.579"</f>
        <v>1.579</v>
      </c>
      <c r="C666" t="str">
        <f>"1.5786"</f>
        <v>1.5786</v>
      </c>
    </row>
    <row r="667" spans="1:3" x14ac:dyDescent="0.25">
      <c r="A667" t="str">
        <f>"23/02/2012"</f>
        <v>23/02/2012</v>
      </c>
      <c r="B667" t="str">
        <f>"1.5709"</f>
        <v>1.5709</v>
      </c>
      <c r="C667" t="str">
        <f>"1.5706"</f>
        <v>1.5706</v>
      </c>
    </row>
    <row r="668" spans="1:3" x14ac:dyDescent="0.25">
      <c r="A668" t="str">
        <f>"24/02/2012"</f>
        <v>24/02/2012</v>
      </c>
      <c r="B668" t="str">
        <f>"1.5806"</f>
        <v>1.5806</v>
      </c>
      <c r="C668" t="str">
        <f>"1.5803"</f>
        <v>1.5803</v>
      </c>
    </row>
    <row r="669" spans="1:3" x14ac:dyDescent="0.25">
      <c r="A669" t="str">
        <f>"27/02/2012"</f>
        <v>27/02/2012</v>
      </c>
      <c r="B669" t="str">
        <f>"1.5857"</f>
        <v>1.5857</v>
      </c>
      <c r="C669" t="str">
        <f>"1.5853"</f>
        <v>1.5853</v>
      </c>
    </row>
    <row r="670" spans="1:3" x14ac:dyDescent="0.25">
      <c r="A670" t="str">
        <f>"28/02/2012"</f>
        <v>28/02/2012</v>
      </c>
      <c r="B670" t="str">
        <f>"1.5843"</f>
        <v>1.5843</v>
      </c>
      <c r="C670" t="str">
        <f>"1.5839"</f>
        <v>1.5839</v>
      </c>
    </row>
    <row r="671" spans="1:3" x14ac:dyDescent="0.25">
      <c r="A671" t="str">
        <f t="shared" ref="A671" si="0">"29/02/2012"</f>
        <v>29/02/2012</v>
      </c>
      <c r="B671" t="str">
        <f>"1.5937"</f>
        <v>1.5937</v>
      </c>
      <c r="C671" t="str">
        <f>"1.5934"</f>
        <v>1.5934</v>
      </c>
    </row>
    <row r="672" spans="1:3" x14ac:dyDescent="0.25">
      <c r="A672" t="str">
        <f>"01/03/2012"</f>
        <v>01/03/2012</v>
      </c>
      <c r="B672" t="str">
        <f>"1.5954"</f>
        <v>1.5954</v>
      </c>
      <c r="C672" t="str">
        <f>"1.595"</f>
        <v>1.595</v>
      </c>
    </row>
    <row r="673" spans="1:3" x14ac:dyDescent="0.25">
      <c r="A673" t="str">
        <f>"02/03/2012"</f>
        <v>02/03/2012</v>
      </c>
      <c r="B673" t="str">
        <f>"1.5941"</f>
        <v>1.5941</v>
      </c>
      <c r="C673" t="str">
        <f>"1.5937"</f>
        <v>1.5937</v>
      </c>
    </row>
    <row r="674" spans="1:3" x14ac:dyDescent="0.25">
      <c r="A674" t="str">
        <f>"05/03/2012"</f>
        <v>05/03/2012</v>
      </c>
      <c r="B674" t="str">
        <f>"1.5816"</f>
        <v>1.5816</v>
      </c>
      <c r="C674" t="str">
        <f>"1.5813"</f>
        <v>1.5813</v>
      </c>
    </row>
    <row r="675" spans="1:3" x14ac:dyDescent="0.25">
      <c r="A675" t="str">
        <f>"06/03/2012"</f>
        <v>06/03/2012</v>
      </c>
      <c r="B675" t="str">
        <f>"1.5855"</f>
        <v>1.5855</v>
      </c>
      <c r="C675" t="str">
        <f>"1.5852"</f>
        <v>1.5852</v>
      </c>
    </row>
    <row r="676" spans="1:3" x14ac:dyDescent="0.25">
      <c r="A676" t="str">
        <f>"07/03/2012"</f>
        <v>07/03/2012</v>
      </c>
      <c r="B676" t="str">
        <f>"1.5752"</f>
        <v>1.5752</v>
      </c>
      <c r="C676" t="str">
        <f>"1.575"</f>
        <v>1.575</v>
      </c>
    </row>
    <row r="677" spans="1:3" x14ac:dyDescent="0.25">
      <c r="A677" t="str">
        <f>"09/03/2012"</f>
        <v>09/03/2012</v>
      </c>
      <c r="B677" t="str">
        <f>"1.5759"</f>
        <v>1.5759</v>
      </c>
      <c r="C677" t="str">
        <f>"1.5756"</f>
        <v>1.5756</v>
      </c>
    </row>
    <row r="678" spans="1:3" x14ac:dyDescent="0.25">
      <c r="A678" t="str">
        <f>"12/03/2012"</f>
        <v>12/03/2012</v>
      </c>
      <c r="B678" t="str">
        <f>"1.5667"</f>
        <v>1.5667</v>
      </c>
      <c r="C678" t="str">
        <f>"1.5664"</f>
        <v>1.5664</v>
      </c>
    </row>
    <row r="679" spans="1:3" x14ac:dyDescent="0.25">
      <c r="A679" t="str">
        <f>"13/03/2012"</f>
        <v>13/03/2012</v>
      </c>
      <c r="B679" t="str">
        <f>"1.5656"</f>
        <v>1.5656</v>
      </c>
      <c r="C679" t="str">
        <f>"1.5653"</f>
        <v>1.5653</v>
      </c>
    </row>
    <row r="680" spans="1:3" x14ac:dyDescent="0.25">
      <c r="A680" t="str">
        <f>"14/03/2012"</f>
        <v>14/03/2012</v>
      </c>
      <c r="B680" t="str">
        <f>"1.5659"</f>
        <v>1.5659</v>
      </c>
      <c r="C680" t="str">
        <f>"1.5656"</f>
        <v>1.5656</v>
      </c>
    </row>
    <row r="681" spans="1:3" x14ac:dyDescent="0.25">
      <c r="A681" t="str">
        <f>"15/03/2012"</f>
        <v>15/03/2012</v>
      </c>
      <c r="B681" t="str">
        <f>"1.5646"</f>
        <v>1.5646</v>
      </c>
      <c r="C681" t="str">
        <f>"1.5642"</f>
        <v>1.5642</v>
      </c>
    </row>
    <row r="682" spans="1:3" x14ac:dyDescent="0.25">
      <c r="A682" t="str">
        <f>"16/03/2012"</f>
        <v>16/03/2012</v>
      </c>
      <c r="B682" t="str">
        <f>"1.5718"</f>
        <v>1.5718</v>
      </c>
      <c r="C682" t="str">
        <f>"1.5715"</f>
        <v>1.5715</v>
      </c>
    </row>
    <row r="683" spans="1:3" x14ac:dyDescent="0.25">
      <c r="A683" t="str">
        <f>"19/03/2012"</f>
        <v>19/03/2012</v>
      </c>
      <c r="B683" t="str">
        <f>"1.5845"</f>
        <v>1.5845</v>
      </c>
      <c r="C683" t="str">
        <f>"1.5841"</f>
        <v>1.5841</v>
      </c>
    </row>
    <row r="684" spans="1:3" x14ac:dyDescent="0.25">
      <c r="A684" t="str">
        <f>"20/03/2012"</f>
        <v>20/03/2012</v>
      </c>
      <c r="B684" t="str">
        <f>"1.5873"</f>
        <v>1.5873</v>
      </c>
      <c r="C684" t="str">
        <f>"1.5871"</f>
        <v>1.5871</v>
      </c>
    </row>
    <row r="685" spans="1:3" x14ac:dyDescent="0.25">
      <c r="A685" t="str">
        <f>"21/03/2012"</f>
        <v>21/03/2012</v>
      </c>
      <c r="B685" t="str">
        <f>"1.5877"</f>
        <v>1.5877</v>
      </c>
      <c r="C685" t="str">
        <f>"1.5874"</f>
        <v>1.5874</v>
      </c>
    </row>
    <row r="686" spans="1:3" x14ac:dyDescent="0.25">
      <c r="A686" t="str">
        <f>"22/03/2012"</f>
        <v>22/03/2012</v>
      </c>
      <c r="B686" t="str">
        <f>"1.5793"</f>
        <v>1.5793</v>
      </c>
      <c r="C686" t="str">
        <f>"1.5789"</f>
        <v>1.5789</v>
      </c>
    </row>
    <row r="687" spans="1:3" x14ac:dyDescent="0.25">
      <c r="A687" t="str">
        <f>"26/03/2012"</f>
        <v>26/03/2012</v>
      </c>
      <c r="B687" t="str">
        <f>"1.5856"</f>
        <v>1.5856</v>
      </c>
      <c r="C687" t="str">
        <f>"1.5852"</f>
        <v>1.5852</v>
      </c>
    </row>
    <row r="688" spans="1:3" x14ac:dyDescent="0.25">
      <c r="A688" t="str">
        <f>"27/03/2012"</f>
        <v>27/03/2012</v>
      </c>
      <c r="B688" t="str">
        <f>"1.5962"</f>
        <v>1.5962</v>
      </c>
      <c r="C688" t="str">
        <f>"1.5958"</f>
        <v>1.5958</v>
      </c>
    </row>
    <row r="689" spans="1:3" x14ac:dyDescent="0.25">
      <c r="A689" t="str">
        <f>"28/03/2012"</f>
        <v>28/03/2012</v>
      </c>
      <c r="B689" t="str">
        <f>"1.5905"</f>
        <v>1.5905</v>
      </c>
      <c r="C689" t="str">
        <f>"1.5902"</f>
        <v>1.5902</v>
      </c>
    </row>
    <row r="690" spans="1:3" x14ac:dyDescent="0.25">
      <c r="A690" t="str">
        <f>"29/03/2012"</f>
        <v>29/03/2012</v>
      </c>
      <c r="B690" t="str">
        <f>"1.5884"</f>
        <v>1.5884</v>
      </c>
      <c r="C690" t="str">
        <f>"1.5881"</f>
        <v>1.5881</v>
      </c>
    </row>
    <row r="691" spans="1:3" x14ac:dyDescent="0.25">
      <c r="A691" t="str">
        <f>"30/03/2012"</f>
        <v>30/03/2012</v>
      </c>
      <c r="B691" t="str">
        <f>"1.6023"</f>
        <v>1.6023</v>
      </c>
      <c r="C691" t="str">
        <f>"1.602"</f>
        <v>1.602</v>
      </c>
    </row>
    <row r="692" spans="1:3" x14ac:dyDescent="0.25">
      <c r="A692" t="str">
        <f>"03/04/2012"</f>
        <v>03/04/2012</v>
      </c>
      <c r="B692" t="str">
        <f>"1.603"</f>
        <v>1.603</v>
      </c>
      <c r="C692" t="str">
        <f>"1.6026"</f>
        <v>1.6026</v>
      </c>
    </row>
    <row r="693" spans="1:3" x14ac:dyDescent="0.25">
      <c r="A693" t="str">
        <f>"04/04/2012"</f>
        <v>04/04/2012</v>
      </c>
      <c r="B693" t="str">
        <f>"1.5876"</f>
        <v>1.5876</v>
      </c>
      <c r="C693" t="str">
        <f>"1.5873"</f>
        <v>1.5873</v>
      </c>
    </row>
    <row r="694" spans="1:3" x14ac:dyDescent="0.25">
      <c r="A694" t="str">
        <f>"10/04/2012"</f>
        <v>10/04/2012</v>
      </c>
      <c r="B694" t="str">
        <f>"1.5925"</f>
        <v>1.5925</v>
      </c>
      <c r="C694" t="str">
        <f>"1.5921"</f>
        <v>1.5921</v>
      </c>
    </row>
    <row r="695" spans="1:3" x14ac:dyDescent="0.25">
      <c r="A695" t="str">
        <f>"11/04/2012"</f>
        <v>11/04/2012</v>
      </c>
      <c r="B695" t="str">
        <f>"1.5922"</f>
        <v>1.5922</v>
      </c>
      <c r="C695" t="str">
        <f>"1.5919"</f>
        <v>1.5919</v>
      </c>
    </row>
    <row r="696" spans="1:3" x14ac:dyDescent="0.25">
      <c r="A696" t="str">
        <f>"12/04/2012"</f>
        <v>12/04/2012</v>
      </c>
      <c r="B696" t="str">
        <f>"1.5921"</f>
        <v>1.5921</v>
      </c>
      <c r="C696" t="str">
        <f>"1.5918"</f>
        <v>1.5918</v>
      </c>
    </row>
    <row r="697" spans="1:3" x14ac:dyDescent="0.25">
      <c r="A697" t="str">
        <f>"13/04/2012"</f>
        <v>13/04/2012</v>
      </c>
      <c r="B697" t="str">
        <f>"1.5942"</f>
        <v>1.5942</v>
      </c>
      <c r="C697" t="str">
        <f>"1.5939"</f>
        <v>1.5939</v>
      </c>
    </row>
    <row r="698" spans="1:3" x14ac:dyDescent="0.25">
      <c r="A698" t="str">
        <f>"16/04/2012"</f>
        <v>16/04/2012</v>
      </c>
      <c r="B698" t="str">
        <f>"1.5825"</f>
        <v>1.5825</v>
      </c>
      <c r="C698" t="str">
        <f>"1.5822"</f>
        <v>1.5822</v>
      </c>
    </row>
    <row r="699" spans="1:3" x14ac:dyDescent="0.25">
      <c r="A699" t="str">
        <f>"17/04/2012"</f>
        <v>17/04/2012</v>
      </c>
      <c r="B699" t="str">
        <f>"1.5886"</f>
        <v>1.5886</v>
      </c>
      <c r="C699" t="str">
        <f>"1.5884"</f>
        <v>1.5884</v>
      </c>
    </row>
    <row r="700" spans="1:3" x14ac:dyDescent="0.25">
      <c r="A700" t="str">
        <f>"18/04/2012"</f>
        <v>18/04/2012</v>
      </c>
      <c r="B700" t="str">
        <f>"1.5975"</f>
        <v>1.5975</v>
      </c>
      <c r="C700" t="str">
        <f>"1.5972"</f>
        <v>1.5972</v>
      </c>
    </row>
    <row r="701" spans="1:3" x14ac:dyDescent="0.25">
      <c r="A701" t="str">
        <f>"19/04/2012"</f>
        <v>19/04/2012</v>
      </c>
      <c r="B701" t="str">
        <f>"1.6037"</f>
        <v>1.6037</v>
      </c>
      <c r="C701" t="str">
        <f>"1.6034"</f>
        <v>1.6034</v>
      </c>
    </row>
    <row r="702" spans="1:3" x14ac:dyDescent="0.25">
      <c r="A702" t="str">
        <f>"20/04/2012"</f>
        <v>20/04/2012</v>
      </c>
      <c r="B702" t="str">
        <f>"1.6061"</f>
        <v>1.6061</v>
      </c>
      <c r="C702" t="str">
        <f>"1.6058"</f>
        <v>1.6058</v>
      </c>
    </row>
    <row r="703" spans="1:3" x14ac:dyDescent="0.25">
      <c r="A703" t="str">
        <f>"23/04/2012"</f>
        <v>23/04/2012</v>
      </c>
      <c r="B703" t="str">
        <f>"1.6106"</f>
        <v>1.6106</v>
      </c>
      <c r="C703" t="str">
        <f>"1.6103"</f>
        <v>1.6103</v>
      </c>
    </row>
    <row r="704" spans="1:3" x14ac:dyDescent="0.25">
      <c r="A704" t="str">
        <f>"24/04/2012"</f>
        <v>24/04/2012</v>
      </c>
      <c r="B704" t="str">
        <f>"1.6124"</f>
        <v>1.6124</v>
      </c>
      <c r="C704" t="str">
        <f>"1.612"</f>
        <v>1.612</v>
      </c>
    </row>
    <row r="705" spans="1:3" x14ac:dyDescent="0.25">
      <c r="A705" t="str">
        <f>"25/04/2012"</f>
        <v>25/04/2012</v>
      </c>
      <c r="B705" t="str">
        <f>"1.6092"</f>
        <v>1.6092</v>
      </c>
      <c r="C705" t="str">
        <f>"1.6088"</f>
        <v>1.6088</v>
      </c>
    </row>
    <row r="706" spans="1:3" x14ac:dyDescent="0.25">
      <c r="A706" t="str">
        <f>"26/04/2012"</f>
        <v>26/04/2012</v>
      </c>
      <c r="B706" t="str">
        <f>"1.6173"</f>
        <v>1.6173</v>
      </c>
      <c r="C706" t="str">
        <f>"1.617"</f>
        <v>1.617</v>
      </c>
    </row>
    <row r="707" spans="1:3" x14ac:dyDescent="0.25">
      <c r="A707" t="str">
        <f>"27/04/2012"</f>
        <v>27/04/2012</v>
      </c>
      <c r="B707" t="str">
        <f>"1.618"</f>
        <v>1.618</v>
      </c>
      <c r="C707" t="str">
        <f>"1.6177"</f>
        <v>1.6177</v>
      </c>
    </row>
    <row r="708" spans="1:3" x14ac:dyDescent="0.25">
      <c r="A708" t="str">
        <f>"30/04/2012"</f>
        <v>30/04/2012</v>
      </c>
      <c r="B708" t="str">
        <f>"1.6282"</f>
        <v>1.6282</v>
      </c>
      <c r="C708" t="str">
        <f>"1.6278"</f>
        <v>1.6278</v>
      </c>
    </row>
    <row r="709" spans="1:3" x14ac:dyDescent="0.25">
      <c r="A709" t="str">
        <f>"02/05/2012"</f>
        <v>02/05/2012</v>
      </c>
      <c r="B709" t="str">
        <f>"1.6198"</f>
        <v>1.6198</v>
      </c>
      <c r="C709" t="str">
        <f>"1.6194"</f>
        <v>1.6194</v>
      </c>
    </row>
    <row r="710" spans="1:3" x14ac:dyDescent="0.25">
      <c r="A710" t="str">
        <f>"03/05/2012"</f>
        <v>03/05/2012</v>
      </c>
      <c r="B710" t="str">
        <f>"1.6182"</f>
        <v>1.6182</v>
      </c>
      <c r="C710" t="str">
        <f>"1.6179"</f>
        <v>1.6179</v>
      </c>
    </row>
    <row r="711" spans="1:3" x14ac:dyDescent="0.25">
      <c r="A711" t="str">
        <f>"04/05/2012"</f>
        <v>04/05/2012</v>
      </c>
      <c r="B711" t="str">
        <f>"1.6187"</f>
        <v>1.6187</v>
      </c>
      <c r="C711" t="str">
        <f>"1.6184"</f>
        <v>1.6184</v>
      </c>
    </row>
    <row r="712" spans="1:3" x14ac:dyDescent="0.25">
      <c r="A712" t="str">
        <f>"07/05/2012"</f>
        <v>07/05/2012</v>
      </c>
      <c r="B712" t="str">
        <f>"1.6164"</f>
        <v>1.6164</v>
      </c>
      <c r="C712" t="str">
        <f>"1.616"</f>
        <v>1.616</v>
      </c>
    </row>
    <row r="713" spans="1:3" x14ac:dyDescent="0.25">
      <c r="A713" t="str">
        <f>"08/05/2012"</f>
        <v>08/05/2012</v>
      </c>
      <c r="B713" t="str">
        <f>"1.6171"</f>
        <v>1.6171</v>
      </c>
      <c r="C713" t="str">
        <f>"1.6168"</f>
        <v>1.6168</v>
      </c>
    </row>
    <row r="714" spans="1:3" x14ac:dyDescent="0.25">
      <c r="A714" t="str">
        <f>"09/05/2012"</f>
        <v>09/05/2012</v>
      </c>
      <c r="B714" t="str">
        <f>"1.6136"</f>
        <v>1.6136</v>
      </c>
      <c r="C714" t="str">
        <f>"1.6133"</f>
        <v>1.6133</v>
      </c>
    </row>
    <row r="715" spans="1:3" x14ac:dyDescent="0.25">
      <c r="A715" t="str">
        <f>"10/05/2012"</f>
        <v>10/05/2012</v>
      </c>
      <c r="B715" t="str">
        <f>"1.6132"</f>
        <v>1.6132</v>
      </c>
      <c r="C715" t="str">
        <f>"1.6129"</f>
        <v>1.6129</v>
      </c>
    </row>
    <row r="716" spans="1:3" x14ac:dyDescent="0.25">
      <c r="A716" t="str">
        <f>"11/05/2012"</f>
        <v>11/05/2012</v>
      </c>
      <c r="B716" t="str">
        <f>"1.612"</f>
        <v>1.612</v>
      </c>
      <c r="C716" t="str">
        <f>"1.6117"</f>
        <v>1.6117</v>
      </c>
    </row>
    <row r="717" spans="1:3" x14ac:dyDescent="0.25">
      <c r="A717" t="str">
        <f>"14/05/2012"</f>
        <v>14/05/2012</v>
      </c>
      <c r="B717" t="str">
        <f>"1.6072"</f>
        <v>1.6072</v>
      </c>
      <c r="C717" t="str">
        <f>"1.6069"</f>
        <v>1.6069</v>
      </c>
    </row>
    <row r="718" spans="1:3" x14ac:dyDescent="0.25">
      <c r="A718" t="str">
        <f>"15/05/2012"</f>
        <v>15/05/2012</v>
      </c>
      <c r="B718" t="str">
        <f>"1.6106"</f>
        <v>1.6106</v>
      </c>
      <c r="C718" t="str">
        <f>"1.6103"</f>
        <v>1.6103</v>
      </c>
    </row>
    <row r="719" spans="1:3" x14ac:dyDescent="0.25">
      <c r="A719" t="str">
        <f>"16/05/2012"</f>
        <v>16/05/2012</v>
      </c>
      <c r="B719" t="str">
        <f>"1.5966"</f>
        <v>1.5966</v>
      </c>
      <c r="C719" t="str">
        <f>"1.5963"</f>
        <v>1.5963</v>
      </c>
    </row>
    <row r="720" spans="1:3" x14ac:dyDescent="0.25">
      <c r="A720" t="str">
        <f>"17/05/2012"</f>
        <v>17/05/2012</v>
      </c>
      <c r="B720" t="str">
        <f>"1.5913"</f>
        <v>1.5913</v>
      </c>
      <c r="C720" t="str">
        <f>"1.591"</f>
        <v>1.591</v>
      </c>
    </row>
    <row r="721" spans="1:3" x14ac:dyDescent="0.25">
      <c r="A721" t="str">
        <f>"18/05/2012"</f>
        <v>18/05/2012</v>
      </c>
      <c r="B721" t="str">
        <f>"1.5761"</f>
        <v>1.5761</v>
      </c>
      <c r="C721" t="str">
        <f>"1.5759"</f>
        <v>1.5759</v>
      </c>
    </row>
    <row r="722" spans="1:3" x14ac:dyDescent="0.25">
      <c r="A722" t="str">
        <f>"21/05/2012"</f>
        <v>21/05/2012</v>
      </c>
      <c r="B722" t="str">
        <f>"1.5818"</f>
        <v>1.5818</v>
      </c>
      <c r="C722" t="str">
        <f>"1.5815"</f>
        <v>1.5815</v>
      </c>
    </row>
    <row r="723" spans="1:3" x14ac:dyDescent="0.25">
      <c r="A723" t="str">
        <f>"22/05/2012"</f>
        <v>22/05/2012</v>
      </c>
      <c r="B723" t="str">
        <f>"1.5771"</f>
        <v>1.5771</v>
      </c>
      <c r="C723" t="str">
        <f>"1.5768"</f>
        <v>1.5768</v>
      </c>
    </row>
    <row r="724" spans="1:3" x14ac:dyDescent="0.25">
      <c r="A724" t="str">
        <f>"23/05/2012"</f>
        <v>23/05/2012</v>
      </c>
      <c r="B724" t="str">
        <f>"1.5758"</f>
        <v>1.5758</v>
      </c>
      <c r="C724" t="str">
        <f>"1.5755"</f>
        <v>1.5755</v>
      </c>
    </row>
    <row r="725" spans="1:3" x14ac:dyDescent="0.25">
      <c r="A725" t="str">
        <f>"24/05/2012"</f>
        <v>24/05/2012</v>
      </c>
      <c r="B725" t="str">
        <f>"1.5683"</f>
        <v>1.5683</v>
      </c>
      <c r="C725" t="str">
        <f>"1.568"</f>
        <v>1.568</v>
      </c>
    </row>
    <row r="726" spans="1:3" x14ac:dyDescent="0.25">
      <c r="A726" t="str">
        <f>"25/05/2012"</f>
        <v>25/05/2012</v>
      </c>
      <c r="B726" t="str">
        <f>"1.5655"</f>
        <v>1.5655</v>
      </c>
      <c r="C726" t="str">
        <f>"1.5652"</f>
        <v>1.5652</v>
      </c>
    </row>
    <row r="727" spans="1:3" x14ac:dyDescent="0.25">
      <c r="A727" t="str">
        <f>"28/05/2012"</f>
        <v>28/05/2012</v>
      </c>
      <c r="B727" t="str">
        <f>"1.5705"</f>
        <v>1.5705</v>
      </c>
      <c r="C727" t="str">
        <f>"1.5702"</f>
        <v>1.5702</v>
      </c>
    </row>
    <row r="728" spans="1:3" x14ac:dyDescent="0.25">
      <c r="A728" t="str">
        <f>"29/05/2012"</f>
        <v>29/05/2012</v>
      </c>
      <c r="B728" t="str">
        <f>"1.5672"</f>
        <v>1.5672</v>
      </c>
      <c r="C728" t="str">
        <f>"1.5669"</f>
        <v>1.5669</v>
      </c>
    </row>
    <row r="729" spans="1:3" x14ac:dyDescent="0.25">
      <c r="A729" t="str">
        <f>"30/05/2012"</f>
        <v>30/05/2012</v>
      </c>
      <c r="B729" t="str">
        <f>"1.562"</f>
        <v>1.562</v>
      </c>
      <c r="C729" t="str">
        <f>"1.5617"</f>
        <v>1.5617</v>
      </c>
    </row>
    <row r="730" spans="1:3" x14ac:dyDescent="0.25">
      <c r="A730" t="str">
        <f>"31/05/2012"</f>
        <v>31/05/2012</v>
      </c>
      <c r="B730" t="str">
        <f>"1.5474"</f>
        <v>1.5474</v>
      </c>
      <c r="C730" t="str">
        <f>"1.5471"</f>
        <v>1.5471</v>
      </c>
    </row>
    <row r="731" spans="1:3" x14ac:dyDescent="0.25">
      <c r="A731" t="str">
        <f>"01/06/2012"</f>
        <v>01/06/2012</v>
      </c>
      <c r="B731" t="str">
        <f>"1.5293"</f>
        <v>1.5293</v>
      </c>
      <c r="C731" t="str">
        <f>"1.529"</f>
        <v>1.529</v>
      </c>
    </row>
    <row r="732" spans="1:3" x14ac:dyDescent="0.25">
      <c r="A732" t="str">
        <f>"04/06/2012"</f>
        <v>04/06/2012</v>
      </c>
      <c r="B732" t="str">
        <f>"1.5378"</f>
        <v>1.5378</v>
      </c>
      <c r="C732" t="str">
        <f>"1.5376"</f>
        <v>1.5376</v>
      </c>
    </row>
    <row r="733" spans="1:3" x14ac:dyDescent="0.25">
      <c r="A733" t="str">
        <f>"05/06/2012"</f>
        <v>05/06/2012</v>
      </c>
      <c r="B733" t="str">
        <f>"1.5357"</f>
        <v>1.5357</v>
      </c>
      <c r="C733" t="str">
        <f>"1.5354"</f>
        <v>1.5354</v>
      </c>
    </row>
    <row r="734" spans="1:3" x14ac:dyDescent="0.25">
      <c r="A734" t="str">
        <f>"06/06/2012"</f>
        <v>06/06/2012</v>
      </c>
      <c r="B734" t="str">
        <f>"1.5474"</f>
        <v>1.5474</v>
      </c>
      <c r="C734" t="str">
        <f>"1.5471"</f>
        <v>1.5471</v>
      </c>
    </row>
    <row r="735" spans="1:3" x14ac:dyDescent="0.25">
      <c r="A735" t="str">
        <f>"07/06/2012"</f>
        <v>07/06/2012</v>
      </c>
      <c r="B735" t="str">
        <f>"1.549"</f>
        <v>1.549</v>
      </c>
      <c r="C735" t="str">
        <f>"1.5487"</f>
        <v>1.5487</v>
      </c>
    </row>
    <row r="736" spans="1:3" x14ac:dyDescent="0.25">
      <c r="A736" t="str">
        <f>"08/06/2012"</f>
        <v>08/06/2012</v>
      </c>
      <c r="B736" t="str">
        <f>"1.549"</f>
        <v>1.549</v>
      </c>
      <c r="C736" t="str">
        <f>"1.5487"</f>
        <v>1.5487</v>
      </c>
    </row>
    <row r="737" spans="1:3" x14ac:dyDescent="0.25">
      <c r="A737" t="str">
        <f>"11/06/2012"</f>
        <v>11/06/2012</v>
      </c>
      <c r="B737" t="str">
        <f>"1.5554"</f>
        <v>1.5554</v>
      </c>
      <c r="C737" t="str">
        <f>"1.5551"</f>
        <v>1.5551</v>
      </c>
    </row>
    <row r="738" spans="1:3" x14ac:dyDescent="0.25">
      <c r="A738" t="str">
        <f>"12/06/2012"</f>
        <v>12/06/2012</v>
      </c>
      <c r="B738" t="str">
        <f>"1.5536"</f>
        <v>1.5536</v>
      </c>
      <c r="C738" t="str">
        <f>"1.5533"</f>
        <v>1.5533</v>
      </c>
    </row>
    <row r="739" spans="1:3" x14ac:dyDescent="0.25">
      <c r="A739" t="str">
        <f>"13/06/2012"</f>
        <v>13/06/2012</v>
      </c>
      <c r="B739" t="str">
        <f>"1.5548"</f>
        <v>1.5548</v>
      </c>
      <c r="C739" t="str">
        <f>"1.5546"</f>
        <v>1.5546</v>
      </c>
    </row>
    <row r="740" spans="1:3" x14ac:dyDescent="0.25">
      <c r="A740" t="str">
        <f>"14/06/2012"</f>
        <v>14/06/2012</v>
      </c>
      <c r="B740" t="str">
        <f>"1.5544"</f>
        <v>1.5544</v>
      </c>
      <c r="C740" t="str">
        <f>"1.5541"</f>
        <v>1.5541</v>
      </c>
    </row>
    <row r="741" spans="1:3" x14ac:dyDescent="0.25">
      <c r="A741" t="str">
        <f>"15/06/2012"</f>
        <v>15/06/2012</v>
      </c>
      <c r="B741" t="str">
        <f>"1.5544"</f>
        <v>1.5544</v>
      </c>
      <c r="C741" t="str">
        <f>"1.5542"</f>
        <v>1.5542</v>
      </c>
    </row>
    <row r="742" spans="1:3" x14ac:dyDescent="0.25">
      <c r="A742" t="str">
        <f>"18/06/2012"</f>
        <v>18/06/2012</v>
      </c>
      <c r="B742" t="str">
        <f>"1.5699"</f>
        <v>1.5699</v>
      </c>
      <c r="C742" t="str">
        <f>"1.5695"</f>
        <v>1.5695</v>
      </c>
    </row>
    <row r="743" spans="1:3" x14ac:dyDescent="0.25">
      <c r="A743" t="str">
        <f>"19/06/2012"</f>
        <v>19/06/2012</v>
      </c>
      <c r="B743" t="str">
        <f>"1.5686"</f>
        <v>1.5686</v>
      </c>
      <c r="C743" t="str">
        <f>"1.5684"</f>
        <v>1.5684</v>
      </c>
    </row>
    <row r="744" spans="1:3" x14ac:dyDescent="0.25">
      <c r="A744" t="str">
        <f>"20/06/2012"</f>
        <v>20/06/2012</v>
      </c>
      <c r="B744" t="str">
        <f>"1.5718"</f>
        <v>1.5718</v>
      </c>
      <c r="C744" t="str">
        <f>"1.5716"</f>
        <v>1.5716</v>
      </c>
    </row>
    <row r="745" spans="1:3" x14ac:dyDescent="0.25">
      <c r="A745" t="str">
        <f>"21/06/2012"</f>
        <v>21/06/2012</v>
      </c>
      <c r="B745" t="str">
        <f>"1.5719"</f>
        <v>1.5719</v>
      </c>
      <c r="C745" t="str">
        <f>"1.5717"</f>
        <v>1.5717</v>
      </c>
    </row>
    <row r="746" spans="1:3" x14ac:dyDescent="0.25">
      <c r="A746" t="str">
        <f>"22/06/2012"</f>
        <v>22/06/2012</v>
      </c>
      <c r="B746" t="str">
        <f>"1.5595"</f>
        <v>1.5595</v>
      </c>
      <c r="C746" t="str">
        <f>"1.5593"</f>
        <v>1.5593</v>
      </c>
    </row>
    <row r="747" spans="1:3" x14ac:dyDescent="0.25">
      <c r="A747" t="str">
        <f>"25/06/2012"</f>
        <v>25/06/2012</v>
      </c>
      <c r="B747" t="str">
        <f>"1.5555"</f>
        <v>1.5555</v>
      </c>
      <c r="C747" t="str">
        <f>"1.5553"</f>
        <v>1.5553</v>
      </c>
    </row>
    <row r="748" spans="1:3" x14ac:dyDescent="0.25">
      <c r="A748" t="str">
        <f>"26/06/2012"</f>
        <v>26/06/2012</v>
      </c>
      <c r="B748" t="str">
        <f>"1.5577"</f>
        <v>1.5577</v>
      </c>
      <c r="C748" t="str">
        <f>"1.5575"</f>
        <v>1.5575</v>
      </c>
    </row>
    <row r="749" spans="1:3" x14ac:dyDescent="0.25">
      <c r="A749" t="str">
        <f>"27/06/2012"</f>
        <v>27/06/2012</v>
      </c>
      <c r="B749" t="str">
        <f>"1.5612"</f>
        <v>1.5612</v>
      </c>
      <c r="C749" t="str">
        <f>"1.561"</f>
        <v>1.561</v>
      </c>
    </row>
    <row r="750" spans="1:3" x14ac:dyDescent="0.25">
      <c r="A750" t="str">
        <f>"28/06/2012"</f>
        <v>28/06/2012</v>
      </c>
      <c r="B750" t="str">
        <f>"1.5617"</f>
        <v>1.5617</v>
      </c>
      <c r="C750" t="str">
        <f>"1.5616"</f>
        <v>1.5616</v>
      </c>
    </row>
    <row r="751" spans="1:3" x14ac:dyDescent="0.25">
      <c r="A751" t="str">
        <f>"29/06/2012"</f>
        <v>29/06/2012</v>
      </c>
      <c r="B751" t="str">
        <f>"1.5618"</f>
        <v>1.5618</v>
      </c>
      <c r="C751" t="str">
        <f>"1.5617"</f>
        <v>1.5617</v>
      </c>
    </row>
    <row r="752" spans="1:3" x14ac:dyDescent="0.25">
      <c r="A752" t="str">
        <f>"02/07/2012"</f>
        <v>02/07/2012</v>
      </c>
      <c r="B752" t="str">
        <f>"1.5674"</f>
        <v>1.5674</v>
      </c>
      <c r="C752" t="str">
        <f>"1.5672"</f>
        <v>1.5672</v>
      </c>
    </row>
    <row r="753" spans="1:3" x14ac:dyDescent="0.25">
      <c r="A753" t="str">
        <f>"03/07/2012"</f>
        <v>03/07/2012</v>
      </c>
      <c r="B753" t="str">
        <f>"1.5681"</f>
        <v>1.5681</v>
      </c>
      <c r="C753" t="str">
        <f>"1.568"</f>
        <v>1.568</v>
      </c>
    </row>
    <row r="754" spans="1:3" x14ac:dyDescent="0.25">
      <c r="A754" t="str">
        <f>"04/07/2012"</f>
        <v>04/07/2012</v>
      </c>
      <c r="B754" t="str">
        <f>"1.5654"</f>
        <v>1.5654</v>
      </c>
      <c r="C754" t="str">
        <f>"1.5654"</f>
        <v>1.5654</v>
      </c>
    </row>
    <row r="755" spans="1:3" x14ac:dyDescent="0.25">
      <c r="A755" t="str">
        <f>"05/07/2012"</f>
        <v>05/07/2012</v>
      </c>
      <c r="B755" t="str">
        <f>"1.5573"</f>
        <v>1.5573</v>
      </c>
      <c r="C755" t="str">
        <f>"1.5572"</f>
        <v>1.5572</v>
      </c>
    </row>
    <row r="756" spans="1:3" x14ac:dyDescent="0.25">
      <c r="A756" t="str">
        <f>"06/07/2012"</f>
        <v>06/07/2012</v>
      </c>
      <c r="B756" t="str">
        <f>"1.5527"</f>
        <v>1.5527</v>
      </c>
      <c r="C756" t="str">
        <f>"1.5526"</f>
        <v>1.5526</v>
      </c>
    </row>
    <row r="757" spans="1:3" x14ac:dyDescent="0.25">
      <c r="A757" t="str">
        <f>"09/07/2012"</f>
        <v>09/07/2012</v>
      </c>
      <c r="B757" t="str">
        <f>"1.5489"</f>
        <v>1.5489</v>
      </c>
      <c r="C757" t="str">
        <f>"1.5488"</f>
        <v>1.5488</v>
      </c>
    </row>
    <row r="758" spans="1:3" x14ac:dyDescent="0.25">
      <c r="A758" t="str">
        <f>"10/07/2012"</f>
        <v>10/07/2012</v>
      </c>
      <c r="B758" t="str">
        <f>"1.5532"</f>
        <v>1.5532</v>
      </c>
      <c r="C758" t="str">
        <f>"1.553"</f>
        <v>1.553</v>
      </c>
    </row>
    <row r="759" spans="1:3" x14ac:dyDescent="0.25">
      <c r="A759" t="str">
        <f>"11/07/2012"</f>
        <v>11/07/2012</v>
      </c>
      <c r="B759" t="str">
        <f>"1.557"</f>
        <v>1.557</v>
      </c>
      <c r="C759" t="str">
        <f>"1.5568"</f>
        <v>1.5568</v>
      </c>
    </row>
    <row r="760" spans="1:3" x14ac:dyDescent="0.25">
      <c r="A760" t="str">
        <f>"12/07/2012"</f>
        <v>12/07/2012</v>
      </c>
      <c r="B760" t="str">
        <f>"1.5513"</f>
        <v>1.5513</v>
      </c>
      <c r="C760" t="str">
        <f>"1.5511"</f>
        <v>1.5511</v>
      </c>
    </row>
    <row r="761" spans="1:3" x14ac:dyDescent="0.25">
      <c r="A761" t="str">
        <f>"13/07/2012"</f>
        <v>13/07/2012</v>
      </c>
      <c r="B761" t="str">
        <f>"1.544"</f>
        <v>1.544</v>
      </c>
      <c r="C761" t="str">
        <f>"1.5439"</f>
        <v>1.5439</v>
      </c>
    </row>
    <row r="762" spans="1:3" x14ac:dyDescent="0.25">
      <c r="A762" t="str">
        <f>"16/07/2012"</f>
        <v>16/07/2012</v>
      </c>
      <c r="B762" t="str">
        <f>"1.5541"</f>
        <v>1.5541</v>
      </c>
      <c r="C762" t="str">
        <f>"1.5539"</f>
        <v>1.5539</v>
      </c>
    </row>
    <row r="763" spans="1:3" x14ac:dyDescent="0.25">
      <c r="A763" t="str">
        <f>"17/07/2012"</f>
        <v>17/07/2012</v>
      </c>
      <c r="B763" t="str">
        <f>"1.5648"</f>
        <v>1.5648</v>
      </c>
      <c r="C763" t="str">
        <f>"1.5646"</f>
        <v>1.5646</v>
      </c>
    </row>
    <row r="764" spans="1:3" x14ac:dyDescent="0.25">
      <c r="A764" t="str">
        <f>"18/07/2012"</f>
        <v>18/07/2012</v>
      </c>
      <c r="B764" t="str">
        <f>"1.5642"</f>
        <v>1.5642</v>
      </c>
      <c r="C764" t="str">
        <f>"1.564"</f>
        <v>1.564</v>
      </c>
    </row>
    <row r="765" spans="1:3" x14ac:dyDescent="0.25">
      <c r="A765" t="str">
        <f>"19/07/2012"</f>
        <v>19/07/2012</v>
      </c>
      <c r="B765" t="str">
        <f>"1.5681"</f>
        <v>1.5681</v>
      </c>
      <c r="C765" t="str">
        <f>"1.568"</f>
        <v>1.568</v>
      </c>
    </row>
    <row r="766" spans="1:3" x14ac:dyDescent="0.25">
      <c r="A766" t="str">
        <f>"20/07/2012"</f>
        <v>20/07/2012</v>
      </c>
      <c r="B766" t="str">
        <f>"1.5699"</f>
        <v>1.5699</v>
      </c>
      <c r="C766" t="str">
        <f>"1.5697"</f>
        <v>1.5697</v>
      </c>
    </row>
    <row r="767" spans="1:3" x14ac:dyDescent="0.25">
      <c r="A767" t="str">
        <f>"23/07/2012"</f>
        <v>23/07/2012</v>
      </c>
      <c r="B767" t="str">
        <f>"1.5541"</f>
        <v>1.5541</v>
      </c>
      <c r="C767" t="str">
        <f>"1.5539"</f>
        <v>1.5539</v>
      </c>
    </row>
    <row r="768" spans="1:3" x14ac:dyDescent="0.25">
      <c r="A768" t="str">
        <f>"24/07/2012"</f>
        <v>24/07/2012</v>
      </c>
      <c r="B768" t="str">
        <f>"1.551"</f>
        <v>1.551</v>
      </c>
      <c r="C768" t="str">
        <f>"1.5508"</f>
        <v>1.5508</v>
      </c>
    </row>
    <row r="769" spans="1:3" x14ac:dyDescent="0.25">
      <c r="A769" t="str">
        <f>"25/07/2012"</f>
        <v>25/07/2012</v>
      </c>
      <c r="B769" t="str">
        <f>"1.5493"</f>
        <v>1.5493</v>
      </c>
      <c r="C769" t="str">
        <f>"1.5491"</f>
        <v>1.5491</v>
      </c>
    </row>
    <row r="770" spans="1:3" x14ac:dyDescent="0.25">
      <c r="A770" t="str">
        <f>"26/07/2012"</f>
        <v>26/07/2012</v>
      </c>
      <c r="B770" t="str">
        <f>"1.5554"</f>
        <v>1.5554</v>
      </c>
      <c r="C770" t="str">
        <f>"1.5552"</f>
        <v>1.5552</v>
      </c>
    </row>
    <row r="771" spans="1:3" x14ac:dyDescent="0.25">
      <c r="A771" t="str">
        <f>"27/07/2012"</f>
        <v>27/07/2012</v>
      </c>
      <c r="B771" t="str">
        <f>"1.5679"</f>
        <v>1.5679</v>
      </c>
      <c r="C771" t="str">
        <f>"1.5678"</f>
        <v>1.5678</v>
      </c>
    </row>
    <row r="772" spans="1:3" x14ac:dyDescent="0.25">
      <c r="A772" t="str">
        <f>"30/07/2012"</f>
        <v>30/07/2012</v>
      </c>
      <c r="B772" t="str">
        <f>"1.57"</f>
        <v>1.57</v>
      </c>
      <c r="C772" t="str">
        <f>"1.5698"</f>
        <v>1.5698</v>
      </c>
    </row>
    <row r="773" spans="1:3" x14ac:dyDescent="0.25">
      <c r="A773" t="str">
        <f>"31/07/2012"</f>
        <v>31/07/2012</v>
      </c>
      <c r="B773" t="str">
        <f>"1.5692"</f>
        <v>1.5692</v>
      </c>
      <c r="C773" t="str">
        <f>"1.5691"</f>
        <v>1.5691</v>
      </c>
    </row>
    <row r="774" spans="1:3" x14ac:dyDescent="0.25">
      <c r="A774" t="str">
        <f>"01/08/2012"</f>
        <v>01/08/2012</v>
      </c>
      <c r="B774" t="str">
        <f>"1.5668"</f>
        <v>1.5668</v>
      </c>
      <c r="C774" t="str">
        <f>"1.5668"</f>
        <v>1.5668</v>
      </c>
    </row>
    <row r="775" spans="1:3" x14ac:dyDescent="0.25">
      <c r="A775" t="str">
        <f>"02/08/2012"</f>
        <v>02/08/2012</v>
      </c>
      <c r="B775" t="str">
        <f>"1.5561"</f>
        <v>1.5561</v>
      </c>
      <c r="C775" t="str">
        <f>"1.556"</f>
        <v>1.556</v>
      </c>
    </row>
    <row r="776" spans="1:3" x14ac:dyDescent="0.25">
      <c r="A776" t="str">
        <f>"03/08/2012"</f>
        <v>03/08/2012</v>
      </c>
      <c r="B776" t="str">
        <f>"1.5576"</f>
        <v>1.5576</v>
      </c>
      <c r="C776" t="str">
        <f>"1.5575"</f>
        <v>1.5575</v>
      </c>
    </row>
    <row r="777" spans="1:3" x14ac:dyDescent="0.25">
      <c r="A777" t="str">
        <f>"06/08/2012"</f>
        <v>06/08/2012</v>
      </c>
      <c r="B777" t="str">
        <f>"1.5557"</f>
        <v>1.5557</v>
      </c>
      <c r="C777" t="str">
        <f>"1.5555"</f>
        <v>1.5555</v>
      </c>
    </row>
    <row r="778" spans="1:3" x14ac:dyDescent="0.25">
      <c r="A778" t="str">
        <f>"07/08/2012"</f>
        <v>07/08/2012</v>
      </c>
      <c r="B778" t="str">
        <f>"1.5656"</f>
        <v>1.5656</v>
      </c>
      <c r="C778" t="str">
        <f>"1.5654"</f>
        <v>1.5654</v>
      </c>
    </row>
    <row r="779" spans="1:3" x14ac:dyDescent="0.25">
      <c r="A779" t="str">
        <f>"08/08/2012"</f>
        <v>08/08/2012</v>
      </c>
      <c r="B779" t="str">
        <f>"1.5652"</f>
        <v>1.5652</v>
      </c>
      <c r="C779" t="str">
        <f>"1.565"</f>
        <v>1.565</v>
      </c>
    </row>
    <row r="780" spans="1:3" x14ac:dyDescent="0.25">
      <c r="A780" t="str">
        <f>"09/08/2012"</f>
        <v>09/08/2012</v>
      </c>
      <c r="B780" t="str">
        <f>"1.5651"</f>
        <v>1.5651</v>
      </c>
      <c r="C780" t="str">
        <f>"1.5648"</f>
        <v>1.5648</v>
      </c>
    </row>
    <row r="781" spans="1:3" x14ac:dyDescent="0.25">
      <c r="A781" t="str">
        <f>"10/08/2012"</f>
        <v>10/08/2012</v>
      </c>
      <c r="B781" t="str">
        <f>"1.5605"</f>
        <v>1.5605</v>
      </c>
      <c r="C781" t="str">
        <f>"1.5603"</f>
        <v>1.5603</v>
      </c>
    </row>
    <row r="782" spans="1:3" x14ac:dyDescent="0.25">
      <c r="A782" t="str">
        <f>"13/08/2012"</f>
        <v>13/08/2012</v>
      </c>
      <c r="B782" t="str">
        <f>"1.5663"</f>
        <v>1.5663</v>
      </c>
      <c r="C782" t="str">
        <f>"1.566"</f>
        <v>1.566</v>
      </c>
    </row>
    <row r="783" spans="1:3" x14ac:dyDescent="0.25">
      <c r="A783" t="str">
        <f>"14/08/2012"</f>
        <v>14/08/2012</v>
      </c>
      <c r="B783" t="str">
        <f>"1.5712"</f>
        <v>1.5712</v>
      </c>
      <c r="C783" t="str">
        <f>"1.5709"</f>
        <v>1.5709</v>
      </c>
    </row>
    <row r="784" spans="1:3" x14ac:dyDescent="0.25">
      <c r="A784" t="str">
        <f>"16/08/2012"</f>
        <v>16/08/2012</v>
      </c>
      <c r="B784" t="str">
        <f>"1.5692"</f>
        <v>1.5692</v>
      </c>
      <c r="C784" t="str">
        <f>"1.5689"</f>
        <v>1.5689</v>
      </c>
    </row>
    <row r="785" spans="1:3" x14ac:dyDescent="0.25">
      <c r="A785" t="str">
        <f>"17/08/2012"</f>
        <v>17/08/2012</v>
      </c>
      <c r="B785" t="str">
        <f>"1.5706"</f>
        <v>1.5706</v>
      </c>
      <c r="C785" t="str">
        <f>"1.5704"</f>
        <v>1.5704</v>
      </c>
    </row>
    <row r="786" spans="1:3" x14ac:dyDescent="0.25">
      <c r="A786" t="str">
        <f>"21/08/2012"</f>
        <v>21/08/2012</v>
      </c>
      <c r="B786" t="str">
        <f>"1.5724"</f>
        <v>1.5724</v>
      </c>
      <c r="C786" t="str">
        <f>"1.5722"</f>
        <v>1.5722</v>
      </c>
    </row>
    <row r="787" spans="1:3" x14ac:dyDescent="0.25">
      <c r="A787" t="str">
        <f>"22/08/2012"</f>
        <v>22/08/2012</v>
      </c>
      <c r="B787" t="str">
        <f>"1.5782"</f>
        <v>1.5782</v>
      </c>
      <c r="C787" t="str">
        <f>"1.5781"</f>
        <v>1.5781</v>
      </c>
    </row>
    <row r="788" spans="1:3" x14ac:dyDescent="0.25">
      <c r="A788" t="str">
        <f>"23/08/2012"</f>
        <v>23/08/2012</v>
      </c>
      <c r="B788" t="str">
        <f>"1.5869"</f>
        <v>1.5869</v>
      </c>
      <c r="C788" t="str">
        <f>"1.5867"</f>
        <v>1.5867</v>
      </c>
    </row>
    <row r="789" spans="1:3" x14ac:dyDescent="0.25">
      <c r="A789" t="str">
        <f>"24/08/2012"</f>
        <v>24/08/2012</v>
      </c>
      <c r="B789" t="str">
        <f>"1.583"</f>
        <v>1.583</v>
      </c>
      <c r="C789" t="str">
        <f>"1.5828"</f>
        <v>1.5828</v>
      </c>
    </row>
    <row r="790" spans="1:3" x14ac:dyDescent="0.25">
      <c r="A790" t="str">
        <f>"27/08/2012"</f>
        <v>27/08/2012</v>
      </c>
      <c r="B790" t="str">
        <f>"1.5809"</f>
        <v>1.5809</v>
      </c>
      <c r="C790" t="str">
        <f>"1.5807"</f>
        <v>1.5807</v>
      </c>
    </row>
    <row r="791" spans="1:3" x14ac:dyDescent="0.25">
      <c r="A791" t="str">
        <f>"28/08/2012"</f>
        <v>28/08/2012</v>
      </c>
      <c r="B791" t="str">
        <f>"1.5783"</f>
        <v>1.5783</v>
      </c>
      <c r="C791" t="str">
        <f>"1.5781"</f>
        <v>1.5781</v>
      </c>
    </row>
    <row r="792" spans="1:3" x14ac:dyDescent="0.25">
      <c r="A792" t="str">
        <f>"29/08/2012"</f>
        <v>29/08/2012</v>
      </c>
      <c r="B792" t="str">
        <f>"1.5816"</f>
        <v>1.5816</v>
      </c>
      <c r="C792" t="str">
        <f>"1.5814"</f>
        <v>1.5814</v>
      </c>
    </row>
    <row r="793" spans="1:3" x14ac:dyDescent="0.25">
      <c r="A793" t="str">
        <f>"30/08/2012"</f>
        <v>30/08/2012</v>
      </c>
      <c r="B793" t="str">
        <f>"1.5827"</f>
        <v>1.5827</v>
      </c>
      <c r="C793" t="str">
        <f>"1.5825"</f>
        <v>1.5825</v>
      </c>
    </row>
    <row r="794" spans="1:3" x14ac:dyDescent="0.25">
      <c r="A794" t="str">
        <f>"31/08/2012"</f>
        <v>31/08/2012</v>
      </c>
      <c r="B794" t="str">
        <f>"1.5824"</f>
        <v>1.5824</v>
      </c>
      <c r="C794" t="str">
        <f>"1.5822"</f>
        <v>1.5822</v>
      </c>
    </row>
    <row r="795" spans="1:3" x14ac:dyDescent="0.25">
      <c r="A795" t="str">
        <f>"03/09/2012"</f>
        <v>03/09/2012</v>
      </c>
      <c r="B795" t="str">
        <f>"1.5887"</f>
        <v>1.5887</v>
      </c>
      <c r="C795" t="str">
        <f>"1.5885"</f>
        <v>1.5885</v>
      </c>
    </row>
    <row r="796" spans="1:3" x14ac:dyDescent="0.25">
      <c r="A796" t="str">
        <f>"04/09/2012"</f>
        <v>04/09/2012</v>
      </c>
      <c r="B796" t="str">
        <f>"1.5892"</f>
        <v>1.5892</v>
      </c>
      <c r="C796" t="str">
        <f>"1.589"</f>
        <v>1.589</v>
      </c>
    </row>
    <row r="797" spans="1:3" x14ac:dyDescent="0.25">
      <c r="A797" t="str">
        <f>"05/09/2012"</f>
        <v>05/09/2012</v>
      </c>
      <c r="B797" t="str">
        <f>"1.5859"</f>
        <v>1.5859</v>
      </c>
      <c r="C797" t="str">
        <f>"1.5857"</f>
        <v>1.5857</v>
      </c>
    </row>
    <row r="798" spans="1:3" x14ac:dyDescent="0.25">
      <c r="A798" t="str">
        <f>"06/09/2012"</f>
        <v>06/09/2012</v>
      </c>
      <c r="B798" t="str">
        <f>"1.5911"</f>
        <v>1.5911</v>
      </c>
      <c r="C798" t="str">
        <f>"1.5908"</f>
        <v>1.5908</v>
      </c>
    </row>
    <row r="799" spans="1:3" x14ac:dyDescent="0.25">
      <c r="A799" t="str">
        <f>"07/09/2012"</f>
        <v>07/09/2012</v>
      </c>
      <c r="B799" t="str">
        <f>"1.5972"</f>
        <v>1.5972</v>
      </c>
      <c r="C799" t="str">
        <f>"1.597"</f>
        <v>1.597</v>
      </c>
    </row>
    <row r="800" spans="1:3" x14ac:dyDescent="0.25">
      <c r="A800" t="str">
        <f>"10/09/2012"</f>
        <v>10/09/2012</v>
      </c>
      <c r="B800" t="str">
        <f>"1.6004"</f>
        <v>1.6004</v>
      </c>
      <c r="C800" t="str">
        <f>"1.6002"</f>
        <v>1.6002</v>
      </c>
    </row>
    <row r="801" spans="1:3" x14ac:dyDescent="0.25">
      <c r="A801" t="str">
        <f>"11/09/2012"</f>
        <v>11/09/2012</v>
      </c>
      <c r="B801" t="str">
        <f>"1.6013"</f>
        <v>1.6013</v>
      </c>
      <c r="C801" t="str">
        <f>"1.6011"</f>
        <v>1.6011</v>
      </c>
    </row>
    <row r="802" spans="1:3" x14ac:dyDescent="0.25">
      <c r="A802" t="str">
        <f>"12/09/2012"</f>
        <v>12/09/2012</v>
      </c>
      <c r="B802" t="str">
        <f>"1.6073"</f>
        <v>1.6073</v>
      </c>
      <c r="C802" t="str">
        <f>"1.607"</f>
        <v>1.607</v>
      </c>
    </row>
    <row r="803" spans="1:3" x14ac:dyDescent="0.25">
      <c r="A803" t="str">
        <f>"13/09/2012"</f>
        <v>13/09/2012</v>
      </c>
      <c r="B803" t="str">
        <f>"1.6109"</f>
        <v>1.6109</v>
      </c>
      <c r="C803" t="str">
        <f>"1.6107"</f>
        <v>1.6107</v>
      </c>
    </row>
    <row r="804" spans="1:3" x14ac:dyDescent="0.25">
      <c r="A804" t="str">
        <f>"14/09/2012"</f>
        <v>14/09/2012</v>
      </c>
      <c r="B804" t="str">
        <f>"1.6195"</f>
        <v>1.6195</v>
      </c>
      <c r="C804" t="str">
        <f>"1.6193"</f>
        <v>1.6193</v>
      </c>
    </row>
    <row r="805" spans="1:3" x14ac:dyDescent="0.25">
      <c r="A805" t="str">
        <f>"17/09/2012"</f>
        <v>17/09/2012</v>
      </c>
      <c r="B805" t="str">
        <f>"1.6224"</f>
        <v>1.6224</v>
      </c>
      <c r="C805" t="str">
        <f>"1.6221"</f>
        <v>1.6221</v>
      </c>
    </row>
    <row r="806" spans="1:3" x14ac:dyDescent="0.25">
      <c r="A806" t="str">
        <f>"18/09/2012"</f>
        <v>18/09/2012</v>
      </c>
      <c r="B806" t="str">
        <f>"1.6238"</f>
        <v>1.6238</v>
      </c>
      <c r="C806" t="str">
        <f>"1.6235"</f>
        <v>1.6235</v>
      </c>
    </row>
    <row r="807" spans="1:3" x14ac:dyDescent="0.25">
      <c r="A807" t="str">
        <f>"20/09/2012"</f>
        <v>20/09/2012</v>
      </c>
      <c r="B807" t="str">
        <f>"1.6177"</f>
        <v>1.6177</v>
      </c>
      <c r="C807" t="str">
        <f>"1.6175"</f>
        <v>1.6175</v>
      </c>
    </row>
    <row r="808" spans="1:3" x14ac:dyDescent="0.25">
      <c r="A808" t="str">
        <f>"21/09/2012"</f>
        <v>21/09/2012</v>
      </c>
      <c r="B808" t="str">
        <f>"1.6276"</f>
        <v>1.6276</v>
      </c>
      <c r="C808" t="str">
        <f>"1.6274"</f>
        <v>1.6274</v>
      </c>
    </row>
    <row r="809" spans="1:3" x14ac:dyDescent="0.25">
      <c r="A809" t="str">
        <f>"24/09/2012"</f>
        <v>24/09/2012</v>
      </c>
      <c r="B809" t="str">
        <f>"1.6209"</f>
        <v>1.6209</v>
      </c>
      <c r="C809" t="str">
        <f>"1.6206"</f>
        <v>1.6206</v>
      </c>
    </row>
    <row r="810" spans="1:3" x14ac:dyDescent="0.25">
      <c r="A810" t="str">
        <f>"25/09/2012"</f>
        <v>25/09/2012</v>
      </c>
      <c r="B810" t="str">
        <f>"1.6226"</f>
        <v>1.6226</v>
      </c>
      <c r="C810" t="str">
        <f>"1.6223"</f>
        <v>1.6223</v>
      </c>
    </row>
    <row r="811" spans="1:3" x14ac:dyDescent="0.25">
      <c r="A811" t="str">
        <f>"26/09/2012"</f>
        <v>26/09/2012</v>
      </c>
      <c r="B811" t="str">
        <f>"1.6166"</f>
        <v>1.6166</v>
      </c>
      <c r="C811" t="str">
        <f>"1.6163"</f>
        <v>1.6163</v>
      </c>
    </row>
    <row r="812" spans="1:3" x14ac:dyDescent="0.25">
      <c r="A812" t="str">
        <f>"27/09/2012"</f>
        <v>27/09/2012</v>
      </c>
      <c r="B812" t="str">
        <f>"1.6181"</f>
        <v>1.6181</v>
      </c>
      <c r="C812" t="str">
        <f>"1.6179"</f>
        <v>1.6179</v>
      </c>
    </row>
    <row r="813" spans="1:3" x14ac:dyDescent="0.25">
      <c r="A813" t="str">
        <f>"28/09/2012"</f>
        <v>28/09/2012</v>
      </c>
      <c r="B813" t="str">
        <f>"1.6257"</f>
        <v>1.6257</v>
      </c>
      <c r="C813" t="str">
        <f>"1.6255"</f>
        <v>1.6255</v>
      </c>
    </row>
    <row r="814" spans="1:3" x14ac:dyDescent="0.25">
      <c r="A814" t="str">
        <f>"01/10/2012"</f>
        <v>01/10/2012</v>
      </c>
      <c r="B814" t="str">
        <f>"1.6142"</f>
        <v>1.6142</v>
      </c>
      <c r="C814" t="str">
        <f>"1.614"</f>
        <v>1.614</v>
      </c>
    </row>
    <row r="815" spans="1:3" x14ac:dyDescent="0.25">
      <c r="A815" t="str">
        <f>"03/10/2012"</f>
        <v>03/10/2012</v>
      </c>
      <c r="B815" t="str">
        <f>"1.612"</f>
        <v>1.612</v>
      </c>
      <c r="C815" t="str">
        <f>"1.6119"</f>
        <v>1.6119</v>
      </c>
    </row>
    <row r="816" spans="1:3" x14ac:dyDescent="0.25">
      <c r="A816" t="str">
        <f>"04/10/2012"</f>
        <v>04/10/2012</v>
      </c>
      <c r="B816" t="str">
        <f>"1.6113"</f>
        <v>1.6113</v>
      </c>
      <c r="C816" t="str">
        <f>"1.6111"</f>
        <v>1.6111</v>
      </c>
    </row>
    <row r="817" spans="1:3" x14ac:dyDescent="0.25">
      <c r="A817" t="str">
        <f>"05/10/2012"</f>
        <v>05/10/2012</v>
      </c>
      <c r="B817" t="str">
        <f>"1.6187"</f>
        <v>1.6187</v>
      </c>
      <c r="C817" t="str">
        <f>"1.6184"</f>
        <v>1.6184</v>
      </c>
    </row>
    <row r="818" spans="1:3" x14ac:dyDescent="0.25">
      <c r="A818" t="str">
        <f>"08/10/2012"</f>
        <v>08/10/2012</v>
      </c>
      <c r="B818" t="str">
        <f>"1.6107"</f>
        <v>1.6107</v>
      </c>
      <c r="C818" t="str">
        <f>"1.6105"</f>
        <v>1.6105</v>
      </c>
    </row>
    <row r="819" spans="1:3" x14ac:dyDescent="0.25">
      <c r="A819" t="str">
        <f>"09/10/2012"</f>
        <v>09/10/2012</v>
      </c>
      <c r="B819" t="str">
        <f>"1.6018"</f>
        <v>1.6018</v>
      </c>
      <c r="C819" t="str">
        <f>"1.6016"</f>
        <v>1.6016</v>
      </c>
    </row>
    <row r="820" spans="1:3" x14ac:dyDescent="0.25">
      <c r="A820" t="str">
        <f>"10/10/2012"</f>
        <v>10/10/2012</v>
      </c>
      <c r="B820" t="str">
        <f>"1.599"</f>
        <v>1.599</v>
      </c>
      <c r="C820" t="str">
        <f>"1.5987"</f>
        <v>1.5987</v>
      </c>
    </row>
    <row r="821" spans="1:3" x14ac:dyDescent="0.25">
      <c r="A821" t="str">
        <f>"11/10/2012"</f>
        <v>11/10/2012</v>
      </c>
      <c r="B821" t="str">
        <f>"1.6032"</f>
        <v>1.6032</v>
      </c>
      <c r="C821" t="str">
        <f>"1.6029"</f>
        <v>1.6029</v>
      </c>
    </row>
    <row r="822" spans="1:3" x14ac:dyDescent="0.25">
      <c r="A822" t="str">
        <f>"12/10/2012"</f>
        <v>12/10/2012</v>
      </c>
      <c r="B822" t="str">
        <f>"1.6027"</f>
        <v>1.6027</v>
      </c>
      <c r="C822" t="str">
        <f>"1.6024"</f>
        <v>1.6024</v>
      </c>
    </row>
    <row r="823" spans="1:3" x14ac:dyDescent="0.25">
      <c r="A823" t="str">
        <f>"15/10/2012"</f>
        <v>15/10/2012</v>
      </c>
      <c r="B823" t="str">
        <f>"1.6066"</f>
        <v>1.6066</v>
      </c>
      <c r="C823" t="str">
        <f>"1.6064"</f>
        <v>1.6064</v>
      </c>
    </row>
    <row r="824" spans="1:3" x14ac:dyDescent="0.25">
      <c r="A824" t="str">
        <f>"16/10/2012"</f>
        <v>16/10/2012</v>
      </c>
      <c r="B824" t="str">
        <f>"1.6082"</f>
        <v>1.6082</v>
      </c>
      <c r="C824" t="str">
        <f>"1.608"</f>
        <v>1.608</v>
      </c>
    </row>
    <row r="825" spans="1:3" x14ac:dyDescent="0.25">
      <c r="A825" t="str">
        <f>"17/10/2012"</f>
        <v>17/10/2012</v>
      </c>
      <c r="B825" t="str">
        <f>"1.6125"</f>
        <v>1.6125</v>
      </c>
      <c r="C825" t="str">
        <f>"1.6122"</f>
        <v>1.6122</v>
      </c>
    </row>
    <row r="826" spans="1:3" x14ac:dyDescent="0.25">
      <c r="A826" t="str">
        <f>"18/10/2012"</f>
        <v>18/10/2012</v>
      </c>
      <c r="B826" t="str">
        <f>"1.6128"</f>
        <v>1.6128</v>
      </c>
      <c r="C826" t="str">
        <f>"1.6125"</f>
        <v>1.6125</v>
      </c>
    </row>
    <row r="827" spans="1:3" x14ac:dyDescent="0.25">
      <c r="A827" t="str">
        <f>"19/10/2012"</f>
        <v>19/10/2012</v>
      </c>
      <c r="B827" t="str">
        <f>"1.6043"</f>
        <v>1.6043</v>
      </c>
      <c r="C827" t="str">
        <f>"1.604"</f>
        <v>1.604</v>
      </c>
    </row>
    <row r="828" spans="1:3" x14ac:dyDescent="0.25">
      <c r="A828" t="str">
        <f>"22/10/2012"</f>
        <v>22/10/2012</v>
      </c>
      <c r="B828" t="str">
        <f>"1.6047"</f>
        <v>1.6047</v>
      </c>
      <c r="C828" t="str">
        <f>"1.6044"</f>
        <v>1.6044</v>
      </c>
    </row>
    <row r="829" spans="1:3" x14ac:dyDescent="0.25">
      <c r="A829" t="str">
        <f>"23/10/2012"</f>
        <v>23/10/2012</v>
      </c>
      <c r="B829" t="str">
        <f>"1.6011"</f>
        <v>1.6011</v>
      </c>
      <c r="C829" t="str">
        <f>"1.6008"</f>
        <v>1.6008</v>
      </c>
    </row>
    <row r="830" spans="1:3" x14ac:dyDescent="0.25">
      <c r="A830" t="str">
        <f>"25/10/2012"</f>
        <v>25/10/2012</v>
      </c>
      <c r="B830" t="str">
        <f>"1.614"</f>
        <v>1.614</v>
      </c>
      <c r="C830" t="str">
        <f>"1.6137"</f>
        <v>1.6137</v>
      </c>
    </row>
    <row r="831" spans="1:3" x14ac:dyDescent="0.25">
      <c r="A831" t="str">
        <f>"26/10/2012"</f>
        <v>26/10/2012</v>
      </c>
      <c r="B831" t="str">
        <f>"1.6115"</f>
        <v>1.6115</v>
      </c>
      <c r="C831" t="str">
        <f>"1.6112"</f>
        <v>1.6112</v>
      </c>
    </row>
    <row r="832" spans="1:3" x14ac:dyDescent="0.25">
      <c r="A832" t="str">
        <f>"29/10/2012"</f>
        <v>29/10/2012</v>
      </c>
      <c r="B832" t="str">
        <f>"1.6082"</f>
        <v>1.6082</v>
      </c>
      <c r="C832" t="str">
        <f>"1.608"</f>
        <v>1.608</v>
      </c>
    </row>
    <row r="833" spans="1:3" x14ac:dyDescent="0.25">
      <c r="A833" t="str">
        <f>"30/10/2012"</f>
        <v>30/10/2012</v>
      </c>
      <c r="B833" t="str">
        <f>"1.6061"</f>
        <v>1.6061</v>
      </c>
      <c r="C833" t="str">
        <f>"1.6059"</f>
        <v>1.6059</v>
      </c>
    </row>
    <row r="834" spans="1:3" x14ac:dyDescent="0.25">
      <c r="A834" t="str">
        <f>"31/10/2012"</f>
        <v>31/10/2012</v>
      </c>
      <c r="B834" t="str">
        <f>"1.6119"</f>
        <v>1.6119</v>
      </c>
      <c r="C834" t="str">
        <f>"1.6117"</f>
        <v>1.6117</v>
      </c>
    </row>
    <row r="835" spans="1:3" x14ac:dyDescent="0.25">
      <c r="A835" t="str">
        <f>"01/11/2012"</f>
        <v>01/11/2012</v>
      </c>
      <c r="B835" t="str">
        <f>"1.6132"</f>
        <v>1.6132</v>
      </c>
      <c r="C835" t="str">
        <f>"1.613"</f>
        <v>1.613</v>
      </c>
    </row>
    <row r="836" spans="1:3" x14ac:dyDescent="0.25">
      <c r="A836" t="str">
        <f>"02/11/2012"</f>
        <v>02/11/2012</v>
      </c>
      <c r="B836" t="str">
        <f>"1.6098"</f>
        <v>1.6098</v>
      </c>
      <c r="C836" t="str">
        <f>"1.6096"</f>
        <v>1.6096</v>
      </c>
    </row>
    <row r="837" spans="1:3" x14ac:dyDescent="0.25">
      <c r="A837" t="str">
        <f>"05/11/2012"</f>
        <v>05/11/2012</v>
      </c>
      <c r="B837" t="str">
        <f>"1.6032"</f>
        <v>1.6032</v>
      </c>
      <c r="C837" t="str">
        <f>"1.603"</f>
        <v>1.603</v>
      </c>
    </row>
    <row r="838" spans="1:3" x14ac:dyDescent="0.25">
      <c r="A838" t="str">
        <f>"06/11/2012"</f>
        <v>06/11/2012</v>
      </c>
      <c r="B838" t="str">
        <f>"1.5986"</f>
        <v>1.5986</v>
      </c>
      <c r="C838" t="str">
        <f>"1.5985"</f>
        <v>1.5985</v>
      </c>
    </row>
    <row r="839" spans="1:3" x14ac:dyDescent="0.25">
      <c r="A839" t="str">
        <f>"07/11/2012"</f>
        <v>07/11/2012</v>
      </c>
      <c r="B839" t="str">
        <f>"1.6034"</f>
        <v>1.6034</v>
      </c>
      <c r="C839" t="str">
        <f>"1.6032"</f>
        <v>1.6032</v>
      </c>
    </row>
    <row r="840" spans="1:3" x14ac:dyDescent="0.25">
      <c r="A840" t="str">
        <f>"08/11/2012"</f>
        <v>08/11/2012</v>
      </c>
      <c r="B840" t="str">
        <f>"1.5981"</f>
        <v>1.5981</v>
      </c>
      <c r="C840" t="str">
        <f>"1.5979"</f>
        <v>1.5979</v>
      </c>
    </row>
    <row r="841" spans="1:3" x14ac:dyDescent="0.25">
      <c r="A841" t="str">
        <f>"09/11/2012"</f>
        <v>09/11/2012</v>
      </c>
      <c r="B841" t="str">
        <f>"1.6007"</f>
        <v>1.6007</v>
      </c>
      <c r="C841" t="str">
        <f>"1.6005"</f>
        <v>1.6005</v>
      </c>
    </row>
    <row r="842" spans="1:3" x14ac:dyDescent="0.25">
      <c r="A842" t="str">
        <f>"12/11/2012"</f>
        <v>12/11/2012</v>
      </c>
      <c r="B842" t="str">
        <f>"1.5909"</f>
        <v>1.5909</v>
      </c>
      <c r="C842" t="str">
        <f>"1.5907"</f>
        <v>1.5907</v>
      </c>
    </row>
    <row r="843" spans="1:3" x14ac:dyDescent="0.25">
      <c r="A843" t="str">
        <f>"15/11/2012"</f>
        <v>15/11/2012</v>
      </c>
      <c r="B843" t="str">
        <f>"1.5851"</f>
        <v>1.5851</v>
      </c>
      <c r="C843" t="str">
        <f>"1.5849"</f>
        <v>1.5849</v>
      </c>
    </row>
    <row r="844" spans="1:3" x14ac:dyDescent="0.25">
      <c r="A844" t="str">
        <f>"16/11/2012"</f>
        <v>16/11/2012</v>
      </c>
      <c r="B844" t="str">
        <f>"1.5861"</f>
        <v>1.5861</v>
      </c>
      <c r="C844" t="str">
        <f>"1.5859"</f>
        <v>1.5859</v>
      </c>
    </row>
    <row r="845" spans="1:3" x14ac:dyDescent="0.25">
      <c r="A845" t="str">
        <f>"19/11/2012"</f>
        <v>19/11/2012</v>
      </c>
      <c r="B845" t="str">
        <f>"1.5904"</f>
        <v>1.5904</v>
      </c>
      <c r="C845" t="str">
        <f>"1.5902"</f>
        <v>1.5902</v>
      </c>
    </row>
    <row r="846" spans="1:3" x14ac:dyDescent="0.25">
      <c r="A846" t="str">
        <f>"20/11/2012"</f>
        <v>20/11/2012</v>
      </c>
      <c r="B846" t="str">
        <f>"1.5919"</f>
        <v>1.5919</v>
      </c>
      <c r="C846" t="str">
        <f>"1.5917"</f>
        <v>1.5917</v>
      </c>
    </row>
    <row r="847" spans="1:3" x14ac:dyDescent="0.25">
      <c r="A847" t="str">
        <f>"21/11/2012"</f>
        <v>21/11/2012</v>
      </c>
      <c r="B847" t="str">
        <f>"1.5907"</f>
        <v>1.5907</v>
      </c>
      <c r="C847" t="str">
        <f>"1.5905"</f>
        <v>1.5905</v>
      </c>
    </row>
    <row r="848" spans="1:3" x14ac:dyDescent="0.25">
      <c r="A848" t="str">
        <f>"22/11/2012"</f>
        <v>22/11/2012</v>
      </c>
      <c r="B848" t="str">
        <f>"1.5951"</f>
        <v>1.5951</v>
      </c>
      <c r="C848" t="str">
        <f>"1.5949"</f>
        <v>1.5949</v>
      </c>
    </row>
    <row r="849" spans="1:3" x14ac:dyDescent="0.25">
      <c r="A849" t="str">
        <f>"23/11/2012"</f>
        <v>23/11/2012</v>
      </c>
      <c r="B849" t="str">
        <f>"1.5941"</f>
        <v>1.5941</v>
      </c>
      <c r="C849" t="str">
        <f>"1.5939"</f>
        <v>1.5939</v>
      </c>
    </row>
    <row r="850" spans="1:3" x14ac:dyDescent="0.25">
      <c r="A850" t="str">
        <f>"26/11/2012"</f>
        <v>26/11/2012</v>
      </c>
      <c r="B850" t="str">
        <f>"1.6025"</f>
        <v>1.6025</v>
      </c>
      <c r="C850" t="str">
        <f>"1.6023"</f>
        <v>1.6023</v>
      </c>
    </row>
    <row r="851" spans="1:3" x14ac:dyDescent="0.25">
      <c r="A851" t="str">
        <f>"27/11/2012"</f>
        <v>27/11/2012</v>
      </c>
      <c r="B851" t="str">
        <f>"1.6036"</f>
        <v>1.6036</v>
      </c>
      <c r="C851" t="str">
        <f>"1.6034"</f>
        <v>1.6034</v>
      </c>
    </row>
    <row r="852" spans="1:3" x14ac:dyDescent="0.25">
      <c r="A852" t="str">
        <f>"29/11/2012"</f>
        <v>29/11/2012</v>
      </c>
      <c r="B852" t="str">
        <f>"1.6018"</f>
        <v>1.6018</v>
      </c>
      <c r="C852" t="str">
        <f>"1.6017"</f>
        <v>1.6017</v>
      </c>
    </row>
    <row r="853" spans="1:3" x14ac:dyDescent="0.25">
      <c r="A853" t="str">
        <f>"30/11/2012"</f>
        <v>30/11/2012</v>
      </c>
      <c r="B853" t="str">
        <f>"1.6046"</f>
        <v>1.6046</v>
      </c>
      <c r="C853" t="str">
        <f>"1.6046"</f>
        <v>1.6046</v>
      </c>
    </row>
    <row r="854" spans="1:3" x14ac:dyDescent="0.25">
      <c r="A854" t="str">
        <f>"03/12/2012"</f>
        <v>03/12/2012</v>
      </c>
      <c r="B854" t="str">
        <f>"1.6042"</f>
        <v>1.6042</v>
      </c>
      <c r="C854" t="str">
        <f>"1.6041"</f>
        <v>1.6041</v>
      </c>
    </row>
    <row r="855" spans="1:3" x14ac:dyDescent="0.25">
      <c r="A855" t="str">
        <f>"04/12/2012"</f>
        <v>04/12/2012</v>
      </c>
      <c r="B855" t="str">
        <f>"1.6099"</f>
        <v>1.6099</v>
      </c>
      <c r="C855" t="str">
        <f>"1.6098"</f>
        <v>1.6098</v>
      </c>
    </row>
    <row r="856" spans="1:3" x14ac:dyDescent="0.25">
      <c r="A856" t="str">
        <f>"05/12/2012"</f>
        <v>05/12/2012</v>
      </c>
      <c r="B856" t="str">
        <f t="shared" ref="B856:C856" si="1">"1.6116"</f>
        <v>1.6116</v>
      </c>
      <c r="C856" t="str">
        <f t="shared" si="1"/>
        <v>1.6116</v>
      </c>
    </row>
    <row r="857" spans="1:3" x14ac:dyDescent="0.25">
      <c r="A857" t="str">
        <f>"06/12/2012"</f>
        <v>06/12/2012</v>
      </c>
      <c r="B857" t="str">
        <f>"1.609"</f>
        <v>1.609</v>
      </c>
      <c r="C857" t="str">
        <f>"1.6089"</f>
        <v>1.6089</v>
      </c>
    </row>
    <row r="858" spans="1:3" x14ac:dyDescent="0.25">
      <c r="A858" t="str">
        <f>"07/12/2012"</f>
        <v>07/12/2012</v>
      </c>
      <c r="B858" t="str">
        <f>"1.6053"</f>
        <v>1.6053</v>
      </c>
      <c r="C858" t="str">
        <f>"1.6053"</f>
        <v>1.6053</v>
      </c>
    </row>
    <row r="859" spans="1:3" x14ac:dyDescent="0.25">
      <c r="A859" t="str">
        <f>"10/12/2012"</f>
        <v>10/12/2012</v>
      </c>
      <c r="B859" t="str">
        <f>"1.6023"</f>
        <v>1.6023</v>
      </c>
      <c r="C859" t="str">
        <f>"1.6022"</f>
        <v>1.6022</v>
      </c>
    </row>
    <row r="860" spans="1:3" x14ac:dyDescent="0.25">
      <c r="A860" t="str">
        <f>"11/12/2012"</f>
        <v>11/12/2012</v>
      </c>
      <c r="B860" t="str">
        <f>"1.6082"</f>
        <v>1.6082</v>
      </c>
      <c r="C860" t="str">
        <f>"1.6081"</f>
        <v>1.6081</v>
      </c>
    </row>
    <row r="861" spans="1:3" x14ac:dyDescent="0.25">
      <c r="A861" t="str">
        <f>"12/12/2012"</f>
        <v>12/12/2012</v>
      </c>
      <c r="B861" t="str">
        <f>"1.6114"</f>
        <v>1.6114</v>
      </c>
      <c r="C861" t="str">
        <f>"1.6113"</f>
        <v>1.6113</v>
      </c>
    </row>
    <row r="862" spans="1:3" x14ac:dyDescent="0.25">
      <c r="A862" t="str">
        <f>"13/12/2012"</f>
        <v>13/12/2012</v>
      </c>
      <c r="B862" t="str">
        <f>"1.6127"</f>
        <v>1.6127</v>
      </c>
      <c r="C862" t="str">
        <f>"1.6126"</f>
        <v>1.6126</v>
      </c>
    </row>
    <row r="863" spans="1:3" x14ac:dyDescent="0.25">
      <c r="A863" t="str">
        <f>"14/12/2012"</f>
        <v>14/12/2012</v>
      </c>
      <c r="B863" t="str">
        <f>"1.612"</f>
        <v>1.612</v>
      </c>
      <c r="C863" t="str">
        <f>"1.6119"</f>
        <v>1.6119</v>
      </c>
    </row>
    <row r="864" spans="1:3" x14ac:dyDescent="0.25">
      <c r="A864" t="str">
        <f>"17/12/2012"</f>
        <v>17/12/2012</v>
      </c>
      <c r="B864" t="str">
        <f>"1.6165"</f>
        <v>1.6165</v>
      </c>
      <c r="C864" t="str">
        <f>"1.6164"</f>
        <v>1.6164</v>
      </c>
    </row>
    <row r="865" spans="1:3" x14ac:dyDescent="0.25">
      <c r="A865" t="str">
        <f>"18/12/2012"</f>
        <v>18/12/2012</v>
      </c>
      <c r="B865" t="str">
        <f>"1.6214"</f>
        <v>1.6214</v>
      </c>
      <c r="C865" t="str">
        <f>"1.6213"</f>
        <v>1.6213</v>
      </c>
    </row>
    <row r="866" spans="1:3" x14ac:dyDescent="0.25">
      <c r="A866" t="str">
        <f>"19/12/2012"</f>
        <v>19/12/2012</v>
      </c>
      <c r="B866" t="str">
        <f>"1.6262"</f>
        <v>1.6262</v>
      </c>
      <c r="C866" t="str">
        <f>"1.6261"</f>
        <v>1.6261</v>
      </c>
    </row>
    <row r="867" spans="1:3" x14ac:dyDescent="0.25">
      <c r="A867" t="str">
        <f>"20/12/2012"</f>
        <v>20/12/2012</v>
      </c>
      <c r="B867" t="str">
        <f>"1.6258"</f>
        <v>1.6258</v>
      </c>
      <c r="C867" t="str">
        <f>"1.6257"</f>
        <v>1.6257</v>
      </c>
    </row>
    <row r="868" spans="1:3" x14ac:dyDescent="0.25">
      <c r="A868" t="str">
        <f>"21/12/2012"</f>
        <v>21/12/2012</v>
      </c>
      <c r="B868" t="str">
        <f>"1.6248"</f>
        <v>1.6248</v>
      </c>
      <c r="C868" t="str">
        <f>"1.6247"</f>
        <v>1.6247</v>
      </c>
    </row>
    <row r="869" spans="1:3" x14ac:dyDescent="0.25">
      <c r="A869" t="str">
        <f>"24/12/2012"</f>
        <v>24/12/2012</v>
      </c>
      <c r="B869" t="str">
        <f>"1.6195"</f>
        <v>1.6195</v>
      </c>
      <c r="C869" t="str">
        <f>"1.6195"</f>
        <v>1.6195</v>
      </c>
    </row>
    <row r="870" spans="1:3" x14ac:dyDescent="0.25">
      <c r="A870" t="str">
        <f>"26/12/2012"</f>
        <v>26/12/2012</v>
      </c>
      <c r="B870" t="str">
        <f>"1.6123"</f>
        <v>1.6123</v>
      </c>
      <c r="C870" t="str">
        <f>"1.6123"</f>
        <v>1.6123</v>
      </c>
    </row>
    <row r="871" spans="1:3" x14ac:dyDescent="0.25">
      <c r="A871" t="str">
        <f>"27/12/2012"</f>
        <v>27/12/2012</v>
      </c>
      <c r="B871" t="str">
        <f>"1.6133"</f>
        <v>1.6133</v>
      </c>
      <c r="C871" t="str">
        <f>"1.6133"</f>
        <v>1.6133</v>
      </c>
    </row>
    <row r="872" spans="1:3" x14ac:dyDescent="0.25">
      <c r="A872" t="str">
        <f>"28/12/2012"</f>
        <v>28/12/2012</v>
      </c>
      <c r="B872" t="str">
        <f>"1.6116"</f>
        <v>1.6116</v>
      </c>
      <c r="C872" t="str">
        <f>"1.6115"</f>
        <v>1.6115</v>
      </c>
    </row>
    <row r="873" spans="1:3" x14ac:dyDescent="0.25">
      <c r="A873" t="str">
        <f>"31/12/2012"</f>
        <v>31/12/2012</v>
      </c>
      <c r="B873" t="str">
        <f>"1.6163"</f>
        <v>1.6163</v>
      </c>
      <c r="C873" t="str">
        <f>"1.6162"</f>
        <v>1.6162</v>
      </c>
    </row>
    <row r="874" spans="1:3" x14ac:dyDescent="0.25">
      <c r="A874" t="str">
        <f>"01/01/2013"</f>
        <v>01/01/2013</v>
      </c>
      <c r="B874" t="str">
        <f>"1.6219"</f>
        <v>1.6219</v>
      </c>
      <c r="C874" t="str">
        <f>"1.6217"</f>
        <v>1.6217</v>
      </c>
    </row>
    <row r="875" spans="1:3" x14ac:dyDescent="0.25">
      <c r="A875" t="str">
        <f>"02/01/2013"</f>
        <v>02/01/2013</v>
      </c>
      <c r="B875" t="str">
        <f>"1.6335"</f>
        <v>1.6335</v>
      </c>
      <c r="C875" t="str">
        <f>"1.6334"</f>
        <v>1.6334</v>
      </c>
    </row>
    <row r="876" spans="1:3" x14ac:dyDescent="0.25">
      <c r="A876" t="str">
        <f>"03/01/2013"</f>
        <v>03/01/2013</v>
      </c>
      <c r="B876" t="str">
        <f>"1.6228"</f>
        <v>1.6228</v>
      </c>
      <c r="C876" t="str">
        <f>"1.6226"</f>
        <v>1.6226</v>
      </c>
    </row>
    <row r="877" spans="1:3" x14ac:dyDescent="0.25">
      <c r="A877" t="str">
        <f>"04/01/2013"</f>
        <v>04/01/2013</v>
      </c>
      <c r="B877" t="str">
        <f>"1.6077"</f>
        <v>1.6077</v>
      </c>
      <c r="C877" t="str">
        <f>"1.6075"</f>
        <v>1.6075</v>
      </c>
    </row>
    <row r="878" spans="1:3" x14ac:dyDescent="0.25">
      <c r="A878" t="str">
        <f>"07/01/2013"</f>
        <v>07/01/2013</v>
      </c>
      <c r="B878" t="str">
        <f>"1.6044"</f>
        <v>1.6044</v>
      </c>
      <c r="C878" t="str">
        <f>"1.6042"</f>
        <v>1.6042</v>
      </c>
    </row>
    <row r="879" spans="1:3" x14ac:dyDescent="0.25">
      <c r="A879" t="str">
        <f>"08/01/2013"</f>
        <v>08/01/2013</v>
      </c>
      <c r="B879" t="str">
        <f>"1.6113"</f>
        <v>1.6113</v>
      </c>
      <c r="C879" t="str">
        <f>"1.6111"</f>
        <v>1.6111</v>
      </c>
    </row>
    <row r="880" spans="1:3" x14ac:dyDescent="0.25">
      <c r="A880" t="str">
        <f>"09/01/2013"</f>
        <v>09/01/2013</v>
      </c>
      <c r="B880" t="str">
        <f>"1.604"</f>
        <v>1.604</v>
      </c>
      <c r="C880" t="str">
        <f>"1.6037"</f>
        <v>1.6037</v>
      </c>
    </row>
    <row r="881" spans="1:3" x14ac:dyDescent="0.25">
      <c r="A881" t="str">
        <f>"10/01/2013"</f>
        <v>10/01/2013</v>
      </c>
      <c r="B881" t="str">
        <f>"1.6014"</f>
        <v>1.6014</v>
      </c>
      <c r="C881" t="str">
        <f>"1.6012"</f>
        <v>1.6012</v>
      </c>
    </row>
    <row r="882" spans="1:3" x14ac:dyDescent="0.25">
      <c r="A882" t="str">
        <f>"11/01/2013"</f>
        <v>11/01/2013</v>
      </c>
      <c r="B882" t="str">
        <f>"1.615"</f>
        <v>1.615</v>
      </c>
      <c r="C882" t="str">
        <f>"1.6148"</f>
        <v>1.6148</v>
      </c>
    </row>
    <row r="883" spans="1:3" x14ac:dyDescent="0.25">
      <c r="A883" t="str">
        <f>"14/01/2013"</f>
        <v>14/01/2013</v>
      </c>
      <c r="B883" t="str">
        <f>"1.6144"</f>
        <v>1.6144</v>
      </c>
      <c r="C883" t="str">
        <f>"1.6142"</f>
        <v>1.6142</v>
      </c>
    </row>
    <row r="884" spans="1:3" x14ac:dyDescent="0.25">
      <c r="A884" t="str">
        <f>"15/01/2013"</f>
        <v>15/01/2013</v>
      </c>
      <c r="B884" t="str">
        <f>"1.6074"</f>
        <v>1.6074</v>
      </c>
      <c r="C884" t="str">
        <f>"1.6071"</f>
        <v>1.6071</v>
      </c>
    </row>
    <row r="885" spans="1:3" x14ac:dyDescent="0.25">
      <c r="A885" t="str">
        <f>"16/01/2013"</f>
        <v>16/01/2013</v>
      </c>
      <c r="B885" t="str">
        <f>"1.6064"</f>
        <v>1.6064</v>
      </c>
      <c r="C885" t="str">
        <f>"1.6061"</f>
        <v>1.6061</v>
      </c>
    </row>
    <row r="886" spans="1:3" x14ac:dyDescent="0.25">
      <c r="A886" t="str">
        <f>"17/01/2013"</f>
        <v>17/01/2013</v>
      </c>
      <c r="B886" t="str">
        <f>"1.5986"</f>
        <v>1.5986</v>
      </c>
      <c r="C886" t="str">
        <f>"1.5983"</f>
        <v>1.5983</v>
      </c>
    </row>
    <row r="887" spans="1:3" x14ac:dyDescent="0.25">
      <c r="A887" t="str">
        <f>"18/01/2013"</f>
        <v>18/01/2013</v>
      </c>
      <c r="B887" t="str">
        <f>"1.598"</f>
        <v>1.598</v>
      </c>
      <c r="C887" t="str">
        <f>"1.5977"</f>
        <v>1.5977</v>
      </c>
    </row>
    <row r="888" spans="1:3" x14ac:dyDescent="0.25">
      <c r="A888" t="str">
        <f>"21/01/2013"</f>
        <v>21/01/2013</v>
      </c>
      <c r="B888" t="str">
        <f>"1.5868"</f>
        <v>1.5868</v>
      </c>
      <c r="C888" t="str">
        <f>"1.5865"</f>
        <v>1.5865</v>
      </c>
    </row>
    <row r="889" spans="1:3" x14ac:dyDescent="0.25">
      <c r="A889" t="str">
        <f>"22/01/2013"</f>
        <v>22/01/2013</v>
      </c>
      <c r="B889" t="str">
        <f>"1.5857"</f>
        <v>1.5857</v>
      </c>
      <c r="C889" t="str">
        <f>"1.5855"</f>
        <v>1.5855</v>
      </c>
    </row>
    <row r="890" spans="1:3" x14ac:dyDescent="0.25">
      <c r="A890" t="str">
        <f>"23/01/2013"</f>
        <v>23/01/2013</v>
      </c>
      <c r="B890" t="str">
        <f>"1.5822"</f>
        <v>1.5822</v>
      </c>
      <c r="C890" t="str">
        <f>"1.582"</f>
        <v>1.582</v>
      </c>
    </row>
    <row r="891" spans="1:3" x14ac:dyDescent="0.25">
      <c r="A891" t="str">
        <f>"24/01/2013"</f>
        <v>24/01/2013</v>
      </c>
      <c r="B891" t="str">
        <f>"1.5833"</f>
        <v>1.5833</v>
      </c>
      <c r="C891" t="str">
        <f>"1.5831"</f>
        <v>1.5831</v>
      </c>
    </row>
    <row r="892" spans="1:3" x14ac:dyDescent="0.25">
      <c r="A892" t="str">
        <f>"28/01/2013"</f>
        <v>28/01/2013</v>
      </c>
      <c r="B892" t="str">
        <f>"1.5759"</f>
        <v>1.5759</v>
      </c>
      <c r="C892" t="str">
        <f>"1.5756"</f>
        <v>1.5756</v>
      </c>
    </row>
    <row r="893" spans="1:3" x14ac:dyDescent="0.25">
      <c r="A893" t="str">
        <f>"29/01/2013"</f>
        <v>29/01/2013</v>
      </c>
      <c r="B893" t="str">
        <f>"1.5706"</f>
        <v>1.5706</v>
      </c>
      <c r="C893" t="str">
        <f>"1.5703"</f>
        <v>1.5703</v>
      </c>
    </row>
    <row r="894" spans="1:3" x14ac:dyDescent="0.25">
      <c r="A894" t="str">
        <f>"30/01/2013"</f>
        <v>30/01/2013</v>
      </c>
      <c r="B894" t="str">
        <f>"1.5753"</f>
        <v>1.5753</v>
      </c>
      <c r="C894" t="str">
        <f>"1.575"</f>
        <v>1.575</v>
      </c>
    </row>
    <row r="895" spans="1:3" x14ac:dyDescent="0.25">
      <c r="A895" t="str">
        <f>"31/01/2013"</f>
        <v>31/01/2013</v>
      </c>
      <c r="B895" t="str">
        <f>"1.5806"</f>
        <v>1.5806</v>
      </c>
      <c r="C895" t="str">
        <f>"1.5804"</f>
        <v>1.5804</v>
      </c>
    </row>
    <row r="896" spans="1:3" x14ac:dyDescent="0.25">
      <c r="A896" t="str">
        <f>"01/02/2013"</f>
        <v>01/02/2013</v>
      </c>
      <c r="B896" t="str">
        <f>"1.5869"</f>
        <v>1.5869</v>
      </c>
      <c r="C896" t="str">
        <f>"1.5866"</f>
        <v>1.5866</v>
      </c>
    </row>
    <row r="897" spans="1:3" x14ac:dyDescent="0.25">
      <c r="A897" t="str">
        <f>"04/02/2013"</f>
        <v>04/02/2013</v>
      </c>
      <c r="B897" t="str">
        <f>"1.5697"</f>
        <v>1.5697</v>
      </c>
      <c r="C897" t="str">
        <f>"1.5694"</f>
        <v>1.5694</v>
      </c>
    </row>
    <row r="898" spans="1:3" x14ac:dyDescent="0.25">
      <c r="A898" t="str">
        <f>"05/02/2013"</f>
        <v>05/02/2013</v>
      </c>
      <c r="B898" t="str">
        <f>"1.5752"</f>
        <v>1.5752</v>
      </c>
      <c r="C898" t="str">
        <f>"1.5749"</f>
        <v>1.5749</v>
      </c>
    </row>
    <row r="899" spans="1:3" x14ac:dyDescent="0.25">
      <c r="A899" t="str">
        <f>"06/02/2013"</f>
        <v>06/02/2013</v>
      </c>
      <c r="B899" t="str">
        <f>"1.5661"</f>
        <v>1.5661</v>
      </c>
      <c r="C899" t="str">
        <f>"1.5658"</f>
        <v>1.5658</v>
      </c>
    </row>
    <row r="900" spans="1:3" x14ac:dyDescent="0.25">
      <c r="A900" t="str">
        <f>"07/02/2013"</f>
        <v>07/02/2013</v>
      </c>
      <c r="B900" t="str">
        <f>"1.5664"</f>
        <v>1.5664</v>
      </c>
      <c r="C900" t="str">
        <f>"1.5661"</f>
        <v>1.5661</v>
      </c>
    </row>
    <row r="901" spans="1:3" x14ac:dyDescent="0.25">
      <c r="A901" t="str">
        <f>"08/02/2013"</f>
        <v>08/02/2013</v>
      </c>
      <c r="B901" t="str">
        <f>"1.5728"</f>
        <v>1.5728</v>
      </c>
      <c r="C901" t="str">
        <f>"1.5725"</f>
        <v>1.5725</v>
      </c>
    </row>
    <row r="902" spans="1:3" x14ac:dyDescent="0.25">
      <c r="A902" t="str">
        <f>"11/02/2013"</f>
        <v>11/02/2013</v>
      </c>
      <c r="B902" t="str">
        <f>"1.5798"</f>
        <v>1.5798</v>
      </c>
      <c r="C902" t="str">
        <f>"1.5796"</f>
        <v>1.5796</v>
      </c>
    </row>
    <row r="903" spans="1:3" x14ac:dyDescent="0.25">
      <c r="A903" t="str">
        <f>"12/02/2013"</f>
        <v>12/02/2013</v>
      </c>
      <c r="B903" t="str">
        <f>"1.5651"</f>
        <v>1.5651</v>
      </c>
      <c r="C903" t="str">
        <f>"1.5649"</f>
        <v>1.5649</v>
      </c>
    </row>
    <row r="904" spans="1:3" x14ac:dyDescent="0.25">
      <c r="A904" t="str">
        <f>"13/02/2013"</f>
        <v>13/02/2013</v>
      </c>
      <c r="B904" t="str">
        <f>"1.5687"</f>
        <v>1.5687</v>
      </c>
      <c r="C904" t="str">
        <f>"1.5684"</f>
        <v>1.5684</v>
      </c>
    </row>
    <row r="905" spans="1:3" x14ac:dyDescent="0.25">
      <c r="A905" t="str">
        <f>"14/02/2013"</f>
        <v>14/02/2013</v>
      </c>
      <c r="B905" t="str">
        <f>"1.5504"</f>
        <v>1.5504</v>
      </c>
      <c r="C905" t="str">
        <f>"1.5502"</f>
        <v>1.5502</v>
      </c>
    </row>
    <row r="906" spans="1:3" x14ac:dyDescent="0.25">
      <c r="A906" t="str">
        <f>"15/02/2013"</f>
        <v>15/02/2013</v>
      </c>
      <c r="B906" t="str">
        <f>"1.5519"</f>
        <v>1.5519</v>
      </c>
      <c r="C906" t="str">
        <f>"1.5516"</f>
        <v>1.5516</v>
      </c>
    </row>
    <row r="907" spans="1:3" x14ac:dyDescent="0.25">
      <c r="A907" t="str">
        <f>"18/02/2013"</f>
        <v>18/02/2013</v>
      </c>
      <c r="B907" t="str">
        <f>"1.5479"</f>
        <v>1.5479</v>
      </c>
      <c r="C907" t="str">
        <f>"1.5476"</f>
        <v>1.5476</v>
      </c>
    </row>
    <row r="908" spans="1:3" x14ac:dyDescent="0.25">
      <c r="A908" t="str">
        <f>"20/02/2013"</f>
        <v>20/02/2013</v>
      </c>
      <c r="B908" t="str">
        <f>"1.5441"</f>
        <v>1.5441</v>
      </c>
      <c r="C908" t="str">
        <f>"1.5438"</f>
        <v>1.5438</v>
      </c>
    </row>
    <row r="909" spans="1:3" x14ac:dyDescent="0.25">
      <c r="A909" t="str">
        <f>"21/02/2013"</f>
        <v>21/02/2013</v>
      </c>
      <c r="B909" t="str">
        <f>"1.5206"</f>
        <v>1.5206</v>
      </c>
      <c r="C909" t="str">
        <f>"1.5204"</f>
        <v>1.5204</v>
      </c>
    </row>
    <row r="910" spans="1:3" x14ac:dyDescent="0.25">
      <c r="A910" t="str">
        <f>"22/02/2013"</f>
        <v>22/02/2013</v>
      </c>
      <c r="B910" t="str">
        <f>"1.5303"</f>
        <v>1.5303</v>
      </c>
      <c r="C910" t="str">
        <f>"1.5301"</f>
        <v>1.5301</v>
      </c>
    </row>
    <row r="911" spans="1:3" x14ac:dyDescent="0.25">
      <c r="A911" t="str">
        <f>"25/02/2013"</f>
        <v>25/02/2013</v>
      </c>
      <c r="B911" t="str">
        <f>"1.5124"</f>
        <v>1.5124</v>
      </c>
      <c r="C911" t="str">
        <f>"1.5121"</f>
        <v>1.5121</v>
      </c>
    </row>
    <row r="912" spans="1:3" x14ac:dyDescent="0.25">
      <c r="A912" t="str">
        <f>"26/02/2013"</f>
        <v>26/02/2013</v>
      </c>
      <c r="B912" t="str">
        <f>"1.5208"</f>
        <v>1.5208</v>
      </c>
      <c r="C912" t="str">
        <f>"1.5205"</f>
        <v>1.5205</v>
      </c>
    </row>
    <row r="913" spans="1:3" x14ac:dyDescent="0.25">
      <c r="A913" t="str">
        <f>"27/02/2013"</f>
        <v>27/02/2013</v>
      </c>
      <c r="B913" t="str">
        <f>"1.5115"</f>
        <v>1.5115</v>
      </c>
      <c r="C913" t="str">
        <f>"1.5112"</f>
        <v>1.5112</v>
      </c>
    </row>
    <row r="914" spans="1:3" x14ac:dyDescent="0.25">
      <c r="A914" t="str">
        <f>"28/02/2013"</f>
        <v>28/02/2013</v>
      </c>
      <c r="B914" t="str">
        <f>"1.5167"</f>
        <v>1.5167</v>
      </c>
      <c r="C914" t="str">
        <f>"1.5164"</f>
        <v>1.5164</v>
      </c>
    </row>
    <row r="915" spans="1:3" x14ac:dyDescent="0.25">
      <c r="A915" t="str">
        <f>"01/03/2013"</f>
        <v>01/03/2013</v>
      </c>
      <c r="B915" t="str">
        <f>"1.5172"</f>
        <v>1.5172</v>
      </c>
      <c r="C915" t="str">
        <f>"1.517"</f>
        <v>1.517</v>
      </c>
    </row>
    <row r="916" spans="1:3" x14ac:dyDescent="0.25">
      <c r="A916" t="str">
        <f>"04/03/2013"</f>
        <v>04/03/2013</v>
      </c>
      <c r="B916" t="str">
        <f>"1.503"</f>
        <v>1.503</v>
      </c>
      <c r="C916" t="str">
        <f>"1.5027"</f>
        <v>1.5027</v>
      </c>
    </row>
    <row r="917" spans="1:3" x14ac:dyDescent="0.25">
      <c r="A917" t="str">
        <f>"05/03/2013"</f>
        <v>05/03/2013</v>
      </c>
      <c r="B917" t="str">
        <f>"1.5126"</f>
        <v>1.5126</v>
      </c>
      <c r="C917" t="str">
        <f>"1.5123"</f>
        <v>1.5123</v>
      </c>
    </row>
    <row r="918" spans="1:3" x14ac:dyDescent="0.25">
      <c r="A918" t="str">
        <f>"06/03/2013"</f>
        <v>06/03/2013</v>
      </c>
      <c r="B918" t="str">
        <f>"1.5139"</f>
        <v>1.5139</v>
      </c>
      <c r="C918" t="str">
        <f>"1.5136"</f>
        <v>1.5136</v>
      </c>
    </row>
    <row r="919" spans="1:3" x14ac:dyDescent="0.25">
      <c r="A919" t="str">
        <f>"07/03/2013"</f>
        <v>07/03/2013</v>
      </c>
      <c r="B919" t="str">
        <f>"1.4998"</f>
        <v>1.4998</v>
      </c>
      <c r="C919" t="str">
        <f>"1.4995"</f>
        <v>1.4995</v>
      </c>
    </row>
    <row r="920" spans="1:3" x14ac:dyDescent="0.25">
      <c r="A920" t="str">
        <f>"08/03/2013"</f>
        <v>08/03/2013</v>
      </c>
      <c r="B920" t="str">
        <f>"1.5008"</f>
        <v>1.5008</v>
      </c>
      <c r="C920" t="str">
        <f>"1.5005"</f>
        <v>1.5005</v>
      </c>
    </row>
    <row r="921" spans="1:3" x14ac:dyDescent="0.25">
      <c r="A921" t="str">
        <f>"11/03/2013"</f>
        <v>11/03/2013</v>
      </c>
      <c r="B921" t="str">
        <f>"1.4921"</f>
        <v>1.4921</v>
      </c>
      <c r="C921" t="str">
        <f>"1.4917"</f>
        <v>1.4917</v>
      </c>
    </row>
    <row r="922" spans="1:3" x14ac:dyDescent="0.25">
      <c r="A922" t="str">
        <f>"12/03/2013"</f>
        <v>12/03/2013</v>
      </c>
      <c r="B922" t="str">
        <f>"1.4887"</f>
        <v>1.4887</v>
      </c>
      <c r="C922" t="str">
        <f>"1.4884"</f>
        <v>1.4884</v>
      </c>
    </row>
    <row r="923" spans="1:3" x14ac:dyDescent="0.25">
      <c r="A923" t="str">
        <f>"13/03/2013"</f>
        <v>13/03/2013</v>
      </c>
      <c r="B923" t="str">
        <f>"1.4937"</f>
        <v>1.4937</v>
      </c>
      <c r="C923" t="str">
        <f>"1.4933"</f>
        <v>1.4933</v>
      </c>
    </row>
    <row r="924" spans="1:3" x14ac:dyDescent="0.25">
      <c r="A924" t="str">
        <f>"14/03/2013"</f>
        <v>14/03/2013</v>
      </c>
      <c r="B924" t="str">
        <f>"1.4941"</f>
        <v>1.4941</v>
      </c>
      <c r="C924" t="str">
        <f>"1.4937"</f>
        <v>1.4937</v>
      </c>
    </row>
    <row r="925" spans="1:3" x14ac:dyDescent="0.25">
      <c r="A925" t="str">
        <f>"15/03/2013"</f>
        <v>15/03/2013</v>
      </c>
      <c r="B925" t="str">
        <f>"1.5093"</f>
        <v>1.5093</v>
      </c>
      <c r="C925" t="str">
        <f>"1.509"</f>
        <v>1.509</v>
      </c>
    </row>
    <row r="926" spans="1:3" x14ac:dyDescent="0.25">
      <c r="A926" t="str">
        <f>"18/03/2013"</f>
        <v>18/03/2013</v>
      </c>
      <c r="B926" t="str">
        <f>"1.5105"</f>
        <v>1.5105</v>
      </c>
      <c r="C926" t="str">
        <f>"1.5102"</f>
        <v>1.5102</v>
      </c>
    </row>
    <row r="927" spans="1:3" x14ac:dyDescent="0.25">
      <c r="A927" t="str">
        <f>"19/03/2013"</f>
        <v>19/03/2013</v>
      </c>
      <c r="B927" t="str">
        <f>"1.5102"</f>
        <v>1.5102</v>
      </c>
      <c r="C927" t="str">
        <f>"1.5099"</f>
        <v>1.5099</v>
      </c>
    </row>
    <row r="928" spans="1:3" x14ac:dyDescent="0.25">
      <c r="A928" t="str">
        <f>"20/03/2013"</f>
        <v>20/03/2013</v>
      </c>
      <c r="B928" t="str">
        <f>"1.5088"</f>
        <v>1.5088</v>
      </c>
      <c r="C928" t="str">
        <f>"1.5085"</f>
        <v>1.5085</v>
      </c>
    </row>
    <row r="929" spans="1:3" x14ac:dyDescent="0.25">
      <c r="A929" t="str">
        <f>"21/03/2013"</f>
        <v>21/03/2013</v>
      </c>
      <c r="B929" t="str">
        <f>"1.5117"</f>
        <v>1.5117</v>
      </c>
      <c r="C929" t="str">
        <f>"1.5114"</f>
        <v>1.5114</v>
      </c>
    </row>
    <row r="930" spans="1:3" x14ac:dyDescent="0.25">
      <c r="A930" t="str">
        <f>"22/03/2013"</f>
        <v>22/03/2013</v>
      </c>
      <c r="B930" t="str">
        <f>"1.5187"</f>
        <v>1.5187</v>
      </c>
      <c r="C930" t="str">
        <f>"1.5184"</f>
        <v>1.5184</v>
      </c>
    </row>
    <row r="931" spans="1:3" x14ac:dyDescent="0.25">
      <c r="A931" t="str">
        <f>"25/03/2013"</f>
        <v>25/03/2013</v>
      </c>
      <c r="B931" t="str">
        <f>"1.5247"</f>
        <v>1.5247</v>
      </c>
      <c r="C931" t="str">
        <f>"1.5245"</f>
        <v>1.5245</v>
      </c>
    </row>
    <row r="932" spans="1:3" x14ac:dyDescent="0.25">
      <c r="A932" t="str">
        <f>"26/03/2013"</f>
        <v>26/03/2013</v>
      </c>
      <c r="B932" t="str">
        <f>"1.5182"</f>
        <v>1.5182</v>
      </c>
      <c r="C932" t="str">
        <f>"1.5179"</f>
        <v>1.5179</v>
      </c>
    </row>
    <row r="933" spans="1:3" x14ac:dyDescent="0.25">
      <c r="A933" t="str">
        <f>"28/03/2013"</f>
        <v>28/03/2013</v>
      </c>
      <c r="B933" t="str">
        <f>"1.5133"</f>
        <v>1.5133</v>
      </c>
      <c r="C933" t="str">
        <f>"1.5131"</f>
        <v>1.5131</v>
      </c>
    </row>
    <row r="934" spans="1:3" x14ac:dyDescent="0.25">
      <c r="A934" t="str">
        <f>"02/04/2013"</f>
        <v>02/04/2013</v>
      </c>
      <c r="B934" t="str">
        <f>"1.524"</f>
        <v>1.524</v>
      </c>
      <c r="C934" t="str">
        <f>"1.5237"</f>
        <v>1.5237</v>
      </c>
    </row>
    <row r="935" spans="1:3" x14ac:dyDescent="0.25">
      <c r="A935" t="str">
        <f>"03/04/2013"</f>
        <v>03/04/2013</v>
      </c>
      <c r="B935" t="str">
        <f>"1.5116"</f>
        <v>1.5116</v>
      </c>
      <c r="C935" t="str">
        <f>"1.5113"</f>
        <v>1.5113</v>
      </c>
    </row>
    <row r="936" spans="1:3" x14ac:dyDescent="0.25">
      <c r="A936" t="str">
        <f>"04/04/2013"</f>
        <v>04/04/2013</v>
      </c>
      <c r="B936" t="str">
        <f>"1.5135"</f>
        <v>1.5135</v>
      </c>
      <c r="C936" t="str">
        <f>"1.5133"</f>
        <v>1.5133</v>
      </c>
    </row>
    <row r="937" spans="1:3" x14ac:dyDescent="0.25">
      <c r="A937" t="str">
        <f>"05/04/2013"</f>
        <v>05/04/2013</v>
      </c>
      <c r="B937" t="str">
        <f>"1.5236"</f>
        <v>1.5236</v>
      </c>
      <c r="C937" t="str">
        <f>"1.5233"</f>
        <v>1.5233</v>
      </c>
    </row>
    <row r="938" spans="1:3" x14ac:dyDescent="0.25">
      <c r="A938" t="str">
        <f>"08/04/2013"</f>
        <v>08/04/2013</v>
      </c>
      <c r="B938" t="str">
        <f>"1.5328"</f>
        <v>1.5328</v>
      </c>
      <c r="C938" t="str">
        <f>"1.5325"</f>
        <v>1.5325</v>
      </c>
    </row>
    <row r="939" spans="1:3" x14ac:dyDescent="0.25">
      <c r="A939" t="str">
        <f>"09/04/2013"</f>
        <v>09/04/2013</v>
      </c>
      <c r="B939" t="str">
        <f>"1.5269"</f>
        <v>1.5269</v>
      </c>
      <c r="C939" t="str">
        <f>"1.5266"</f>
        <v>1.5266</v>
      </c>
    </row>
    <row r="940" spans="1:3" x14ac:dyDescent="0.25">
      <c r="A940" t="str">
        <f>"10/04/2013"</f>
        <v>10/04/2013</v>
      </c>
      <c r="B940" t="str">
        <f>"1.533"</f>
        <v>1.533</v>
      </c>
      <c r="C940" t="str">
        <f>"1.5327"</f>
        <v>1.5327</v>
      </c>
    </row>
    <row r="941" spans="1:3" x14ac:dyDescent="0.25">
      <c r="A941" t="str">
        <f>"12/04/2013"</f>
        <v>12/04/2013</v>
      </c>
      <c r="B941" t="str">
        <f>"1.5393"</f>
        <v>1.5393</v>
      </c>
      <c r="C941" t="str">
        <f>"1.539"</f>
        <v>1.539</v>
      </c>
    </row>
    <row r="942" spans="1:3" x14ac:dyDescent="0.25">
      <c r="A942" t="str">
        <f>"15/04/2013"</f>
        <v>15/04/2013</v>
      </c>
      <c r="B942" t="str">
        <f>"1.5321"</f>
        <v>1.5321</v>
      </c>
      <c r="C942" t="str">
        <f>"1.5318"</f>
        <v>1.5318</v>
      </c>
    </row>
    <row r="943" spans="1:3" x14ac:dyDescent="0.25">
      <c r="A943" t="str">
        <f>"16/04/2013"</f>
        <v>16/04/2013</v>
      </c>
      <c r="B943" t="str">
        <f>"1.5301"</f>
        <v>1.5301</v>
      </c>
      <c r="C943" t="str">
        <f>"1.5298"</f>
        <v>1.5298</v>
      </c>
    </row>
    <row r="944" spans="1:3" x14ac:dyDescent="0.25">
      <c r="A944" t="str">
        <f>"17/04/2013"</f>
        <v>17/04/2013</v>
      </c>
      <c r="B944" t="str">
        <f>"1.5353"</f>
        <v>1.5353</v>
      </c>
      <c r="C944" t="str">
        <f>"1.535"</f>
        <v>1.535</v>
      </c>
    </row>
    <row r="945" spans="1:3" x14ac:dyDescent="0.25">
      <c r="A945" t="str">
        <f>"18/04/2013"</f>
        <v>18/04/2013</v>
      </c>
      <c r="B945" t="str">
        <f>"1.5253"</f>
        <v>1.5253</v>
      </c>
      <c r="C945" t="str">
        <f>"1.525"</f>
        <v>1.525</v>
      </c>
    </row>
    <row r="946" spans="1:3" x14ac:dyDescent="0.25">
      <c r="A946" t="str">
        <f>"22/04/2013"</f>
        <v>22/04/2013</v>
      </c>
      <c r="B946" t="str">
        <f>"1.5227"</f>
        <v>1.5227</v>
      </c>
      <c r="C946" t="str">
        <f>"1.5224"</f>
        <v>1.5224</v>
      </c>
    </row>
    <row r="947" spans="1:3" x14ac:dyDescent="0.25">
      <c r="A947" t="str">
        <f>"23/04/2013"</f>
        <v>23/04/2013</v>
      </c>
      <c r="B947" t="str">
        <f>"1.5263"</f>
        <v>1.5263</v>
      </c>
      <c r="C947" t="str">
        <f>"1.5259"</f>
        <v>1.5259</v>
      </c>
    </row>
    <row r="948" spans="1:3" x14ac:dyDescent="0.25">
      <c r="A948" t="str">
        <f>"25/04/2013"</f>
        <v>25/04/2013</v>
      </c>
      <c r="B948" t="str">
        <f>"1.5315"</f>
        <v>1.5315</v>
      </c>
      <c r="C948" t="str">
        <f>"1.5312"</f>
        <v>1.5312</v>
      </c>
    </row>
    <row r="949" spans="1:3" x14ac:dyDescent="0.25">
      <c r="A949" t="str">
        <f>"26/04/2013"</f>
        <v>26/04/2013</v>
      </c>
      <c r="B949" t="str">
        <f>"1.5465"</f>
        <v>1.5465</v>
      </c>
      <c r="C949" t="str">
        <f>"1.5461"</f>
        <v>1.5461</v>
      </c>
    </row>
    <row r="950" spans="1:3" x14ac:dyDescent="0.25">
      <c r="A950" t="str">
        <f>"29/04/2013"</f>
        <v>29/04/2013</v>
      </c>
      <c r="B950" t="str">
        <f>"1.552"</f>
        <v>1.552</v>
      </c>
      <c r="C950" t="str">
        <f>"1.5516"</f>
        <v>1.5516</v>
      </c>
    </row>
    <row r="951" spans="1:3" x14ac:dyDescent="0.25">
      <c r="A951" t="str">
        <f>"30/04/2013"</f>
        <v>30/04/2013</v>
      </c>
      <c r="B951" t="str">
        <f>"1.5488"</f>
        <v>1.5488</v>
      </c>
      <c r="C951" t="str">
        <f>"1.5485"</f>
        <v>1.5485</v>
      </c>
    </row>
    <row r="952" spans="1:3" x14ac:dyDescent="0.25">
      <c r="A952" t="str">
        <f>"02/05/2013"</f>
        <v>02/05/2013</v>
      </c>
      <c r="B952" t="str">
        <f>"1.5554"</f>
        <v>1.5554</v>
      </c>
      <c r="C952" t="str">
        <f>"1.555"</f>
        <v>1.555</v>
      </c>
    </row>
    <row r="953" spans="1:3" x14ac:dyDescent="0.25">
      <c r="A953" t="str">
        <f>"03/05/2013"</f>
        <v>03/05/2013</v>
      </c>
      <c r="B953" t="str">
        <f>"1.5523"</f>
        <v>1.5523</v>
      </c>
      <c r="C953" t="str">
        <f>"1.552"</f>
        <v>1.552</v>
      </c>
    </row>
    <row r="954" spans="1:3" x14ac:dyDescent="0.25">
      <c r="A954" t="str">
        <f>"06/05/2013"</f>
        <v>06/05/2013</v>
      </c>
      <c r="B954" t="str">
        <f>"1.5578"</f>
        <v>1.5578</v>
      </c>
      <c r="C954" t="str">
        <f>"1.5575"</f>
        <v>1.5575</v>
      </c>
    </row>
    <row r="955" spans="1:3" x14ac:dyDescent="0.25">
      <c r="A955" t="str">
        <f>"07/05/2013"</f>
        <v>07/05/2013</v>
      </c>
      <c r="B955" t="str">
        <f>"1.5543"</f>
        <v>1.5543</v>
      </c>
      <c r="C955" t="str">
        <f>"1.5539"</f>
        <v>1.5539</v>
      </c>
    </row>
    <row r="956" spans="1:3" x14ac:dyDescent="0.25">
      <c r="A956" t="str">
        <f>"08/05/2013"</f>
        <v>08/05/2013</v>
      </c>
      <c r="B956" t="str">
        <f>"1.5479"</f>
        <v>1.5479</v>
      </c>
      <c r="C956" t="str">
        <f>"1.5476"</f>
        <v>1.5476</v>
      </c>
    </row>
    <row r="957" spans="1:3" x14ac:dyDescent="0.25">
      <c r="A957" t="str">
        <f>"09/05/2013"</f>
        <v>09/05/2013</v>
      </c>
      <c r="B957" t="str">
        <f>"1.5536"</f>
        <v>1.5536</v>
      </c>
      <c r="C957" t="str">
        <f>"1.5533"</f>
        <v>1.5533</v>
      </c>
    </row>
    <row r="958" spans="1:3" x14ac:dyDescent="0.25">
      <c r="A958" t="str">
        <f>"10/05/2013"</f>
        <v>10/05/2013</v>
      </c>
      <c r="B958" t="str">
        <f>"1.5449"</f>
        <v>1.5449</v>
      </c>
      <c r="C958" t="str">
        <f>"1.5445"</f>
        <v>1.5445</v>
      </c>
    </row>
    <row r="959" spans="1:3" x14ac:dyDescent="0.25">
      <c r="A959" t="str">
        <f>"13/05/2013"</f>
        <v>13/05/2013</v>
      </c>
      <c r="B959" t="str">
        <f>"1.5366"</f>
        <v>1.5366</v>
      </c>
      <c r="C959" t="str">
        <f>"1.5362"</f>
        <v>1.5362</v>
      </c>
    </row>
    <row r="960" spans="1:3" x14ac:dyDescent="0.25">
      <c r="A960" t="str">
        <f>"14/05/2013"</f>
        <v>14/05/2013</v>
      </c>
      <c r="B960" t="str">
        <f>"1.5317"</f>
        <v>1.5317</v>
      </c>
      <c r="C960" t="str">
        <f>"1.5313"</f>
        <v>1.5313</v>
      </c>
    </row>
    <row r="961" spans="1:3" x14ac:dyDescent="0.25">
      <c r="A961" t="str">
        <f>"15/05/2013"</f>
        <v>15/05/2013</v>
      </c>
      <c r="B961" t="str">
        <f>"1.523"</f>
        <v>1.523</v>
      </c>
      <c r="C961" t="str">
        <f>"1.5227"</f>
        <v>1.5227</v>
      </c>
    </row>
    <row r="962" spans="1:3" x14ac:dyDescent="0.25">
      <c r="A962" t="str">
        <f>"16/05/2013"</f>
        <v>16/05/2013</v>
      </c>
      <c r="B962" t="str">
        <f>"1.5209"</f>
        <v>1.5209</v>
      </c>
      <c r="C962" t="str">
        <f>"1.5206"</f>
        <v>1.5206</v>
      </c>
    </row>
    <row r="963" spans="1:3" x14ac:dyDescent="0.25">
      <c r="A963" t="str">
        <f>"17/05/2013"</f>
        <v>17/05/2013</v>
      </c>
      <c r="B963" t="str">
        <f>"1.5245"</f>
        <v>1.5245</v>
      </c>
      <c r="C963" t="str">
        <f>"1.5241"</f>
        <v>1.5241</v>
      </c>
    </row>
    <row r="964" spans="1:3" x14ac:dyDescent="0.25">
      <c r="A964" t="str">
        <f>"20/05/2013"</f>
        <v>20/05/2013</v>
      </c>
      <c r="B964" t="str">
        <f>"1.5193"</f>
        <v>1.5193</v>
      </c>
      <c r="C964" t="str">
        <f>"1.519"</f>
        <v>1.519</v>
      </c>
    </row>
    <row r="965" spans="1:3" x14ac:dyDescent="0.25">
      <c r="A965" t="str">
        <f>"21/05/2013"</f>
        <v>21/05/2013</v>
      </c>
      <c r="B965" t="str">
        <f>"1.5249"</f>
        <v>1.5249</v>
      </c>
      <c r="C965" t="str">
        <f>"1.5245"</f>
        <v>1.5245</v>
      </c>
    </row>
    <row r="966" spans="1:3" x14ac:dyDescent="0.25">
      <c r="A966" t="str">
        <f>"22/05/2013"</f>
        <v>22/05/2013</v>
      </c>
      <c r="B966" t="str">
        <f>"1.5147"</f>
        <v>1.5147</v>
      </c>
      <c r="C966" t="str">
        <f>"1.5144"</f>
        <v>1.5144</v>
      </c>
    </row>
    <row r="967" spans="1:3" x14ac:dyDescent="0.25">
      <c r="A967" t="str">
        <f>"23/05/2013"</f>
        <v>23/05/2013</v>
      </c>
      <c r="B967" t="str">
        <f>"1.5043"</f>
        <v>1.5043</v>
      </c>
      <c r="C967" t="str">
        <f>"1.504"</f>
        <v>1.504</v>
      </c>
    </row>
    <row r="968" spans="1:3" x14ac:dyDescent="0.25">
      <c r="A968" t="str">
        <f>"24/05/2013"</f>
        <v>24/05/2013</v>
      </c>
      <c r="B968" t="str">
        <f>"1.5102"</f>
        <v>1.5102</v>
      </c>
      <c r="C968" t="str">
        <f>"1.5099"</f>
        <v>1.5099</v>
      </c>
    </row>
    <row r="969" spans="1:3" x14ac:dyDescent="0.25">
      <c r="A969" t="str">
        <f>"27/05/2013"</f>
        <v>27/05/2013</v>
      </c>
      <c r="B969" t="str">
        <f>"1.5123"</f>
        <v>1.5123</v>
      </c>
      <c r="C969" t="str">
        <f>"1.5119"</f>
        <v>1.5119</v>
      </c>
    </row>
    <row r="970" spans="1:3" x14ac:dyDescent="0.25">
      <c r="A970" t="str">
        <f>"28/05/2013"</f>
        <v>28/05/2013</v>
      </c>
      <c r="B970" t="str">
        <f>"1.5105"</f>
        <v>1.5105</v>
      </c>
      <c r="C970" t="str">
        <f>"1.5101"</f>
        <v>1.5101</v>
      </c>
    </row>
    <row r="971" spans="1:3" x14ac:dyDescent="0.25">
      <c r="A971" t="str">
        <f>"29/05/2013"</f>
        <v>29/05/2013</v>
      </c>
      <c r="B971" t="str">
        <f>"1.5028"</f>
        <v>1.5028</v>
      </c>
      <c r="C971" t="str">
        <f>"1.5025"</f>
        <v>1.5025</v>
      </c>
    </row>
    <row r="972" spans="1:3" x14ac:dyDescent="0.25">
      <c r="A972" t="str">
        <f>"30/05/2013"</f>
        <v>30/05/2013</v>
      </c>
      <c r="B972" t="str">
        <f>"1.5138"</f>
        <v>1.5138</v>
      </c>
      <c r="C972" t="str">
        <f>"1.5135"</f>
        <v>1.5135</v>
      </c>
    </row>
    <row r="973" spans="1:3" x14ac:dyDescent="0.25">
      <c r="A973" t="str">
        <f>"31/05/2013"</f>
        <v>31/05/2013</v>
      </c>
      <c r="B973" t="str">
        <f>"1.5223"</f>
        <v>1.5223</v>
      </c>
      <c r="C973" t="str">
        <f>"1.522"</f>
        <v>1.522</v>
      </c>
    </row>
    <row r="974" spans="1:3" x14ac:dyDescent="0.25">
      <c r="A974" t="str">
        <f>"03/06/2013"</f>
        <v>03/06/2013</v>
      </c>
      <c r="B974" t="str">
        <f>"1.5216"</f>
        <v>1.5216</v>
      </c>
      <c r="C974" t="str">
        <f>"1.5213"</f>
        <v>1.5213</v>
      </c>
    </row>
    <row r="975" spans="1:3" x14ac:dyDescent="0.25">
      <c r="A975" t="str">
        <f>"04/06/2013"</f>
        <v>04/06/2013</v>
      </c>
      <c r="B975" t="str">
        <f>"1.5325"</f>
        <v>1.5325</v>
      </c>
      <c r="C975" t="str">
        <f>"1.5322"</f>
        <v>1.5322</v>
      </c>
    </row>
    <row r="976" spans="1:3" x14ac:dyDescent="0.25">
      <c r="A976" t="str">
        <f>"05/06/2013"</f>
        <v>05/06/2013</v>
      </c>
      <c r="B976" t="str">
        <f>"1.5324"</f>
        <v>1.5324</v>
      </c>
      <c r="C976" t="str">
        <f>"1.5321"</f>
        <v>1.5321</v>
      </c>
    </row>
    <row r="977" spans="1:3" x14ac:dyDescent="0.25">
      <c r="A977" t="str">
        <f>"06/06/2013"</f>
        <v>06/06/2013</v>
      </c>
      <c r="B977" t="str">
        <f>"1.5408"</f>
        <v>1.5408</v>
      </c>
      <c r="C977" t="str">
        <f>"1.5405"</f>
        <v>1.5405</v>
      </c>
    </row>
    <row r="978" spans="1:3" x14ac:dyDescent="0.25">
      <c r="A978" t="str">
        <f>"07/06/2013"</f>
        <v>07/06/2013</v>
      </c>
      <c r="B978" t="str">
        <f>"1.5606"</f>
        <v>1.5606</v>
      </c>
      <c r="C978" t="str">
        <f>"1.5602"</f>
        <v>1.5602</v>
      </c>
    </row>
    <row r="979" spans="1:3" x14ac:dyDescent="0.25">
      <c r="A979" t="str">
        <f>"10/06/2013"</f>
        <v>10/06/2013</v>
      </c>
      <c r="B979" t="str">
        <f>"1.5523"</f>
        <v>1.5523</v>
      </c>
      <c r="C979" t="str">
        <f>"1.552"</f>
        <v>1.552</v>
      </c>
    </row>
    <row r="980" spans="1:3" x14ac:dyDescent="0.25">
      <c r="A980" t="str">
        <f>"11/06/2013"</f>
        <v>11/06/2013</v>
      </c>
      <c r="B980" t="str">
        <f>"1.5584"</f>
        <v>1.5584</v>
      </c>
      <c r="C980" t="str">
        <f>"1.5581"</f>
        <v>1.5581</v>
      </c>
    </row>
    <row r="981" spans="1:3" x14ac:dyDescent="0.25">
      <c r="A981" t="str">
        <f>"12/06/2013"</f>
        <v>12/06/2013</v>
      </c>
      <c r="B981" t="str">
        <f>"1.5639"</f>
        <v>1.5639</v>
      </c>
      <c r="C981" t="str">
        <f>"1.5636"</f>
        <v>1.5636</v>
      </c>
    </row>
    <row r="982" spans="1:3" x14ac:dyDescent="0.25">
      <c r="A982" t="str">
        <f>"13/06/2013"</f>
        <v>13/06/2013</v>
      </c>
      <c r="B982" t="str">
        <f>"1.568"</f>
        <v>1.568</v>
      </c>
      <c r="C982" t="str">
        <f>"1.5677"</f>
        <v>1.5677</v>
      </c>
    </row>
    <row r="983" spans="1:3" x14ac:dyDescent="0.25">
      <c r="A983" t="str">
        <f>"14/06/2013"</f>
        <v>14/06/2013</v>
      </c>
      <c r="B983" t="str">
        <f>"1.5698"</f>
        <v>1.5698</v>
      </c>
      <c r="C983" t="str">
        <f>"1.5694"</f>
        <v>1.5694</v>
      </c>
    </row>
    <row r="984" spans="1:3" x14ac:dyDescent="0.25">
      <c r="A984" t="str">
        <f>"17/06/2013"</f>
        <v>17/06/2013</v>
      </c>
      <c r="B984" t="str">
        <f>"1.5697"</f>
        <v>1.5697</v>
      </c>
      <c r="C984" t="str">
        <f>"1.5693"</f>
        <v>1.5693</v>
      </c>
    </row>
    <row r="985" spans="1:3" x14ac:dyDescent="0.25">
      <c r="A985" t="str">
        <f>"18/06/2013"</f>
        <v>18/06/2013</v>
      </c>
      <c r="B985" t="str">
        <f>"1.5701"</f>
        <v>1.5701</v>
      </c>
      <c r="C985" t="str">
        <f>"1.5698"</f>
        <v>1.5698</v>
      </c>
    </row>
    <row r="986" spans="1:3" x14ac:dyDescent="0.25">
      <c r="A986" t="str">
        <f>"19/06/2013"</f>
        <v>19/06/2013</v>
      </c>
      <c r="B986" t="str">
        <f>"1.5637"</f>
        <v>1.5637</v>
      </c>
      <c r="C986" t="str">
        <f>"1.5634"</f>
        <v>1.5634</v>
      </c>
    </row>
    <row r="987" spans="1:3" x14ac:dyDescent="0.25">
      <c r="A987" t="str">
        <f>"20/06/2013"</f>
        <v>20/06/2013</v>
      </c>
      <c r="B987" t="str">
        <f>"1.5444"</f>
        <v>1.5444</v>
      </c>
      <c r="C987" t="str">
        <f>"1.5441"</f>
        <v>1.5441</v>
      </c>
    </row>
    <row r="988" spans="1:3" x14ac:dyDescent="0.25">
      <c r="A988" t="str">
        <f>"21/06/2013"</f>
        <v>21/06/2013</v>
      </c>
      <c r="B988" t="str">
        <f>"1.5508"</f>
        <v>1.5508</v>
      </c>
      <c r="C988" t="str">
        <f>"1.5505"</f>
        <v>1.5505</v>
      </c>
    </row>
    <row r="989" spans="1:3" x14ac:dyDescent="0.25">
      <c r="A989" t="str">
        <f>"24/06/2013"</f>
        <v>24/06/2013</v>
      </c>
      <c r="B989" t="str">
        <f>"1.5372"</f>
        <v>1.5372</v>
      </c>
      <c r="C989" t="str">
        <f>"1.5368"</f>
        <v>1.5368</v>
      </c>
    </row>
    <row r="990" spans="1:3" x14ac:dyDescent="0.25">
      <c r="A990" t="str">
        <f>"25/06/2013"</f>
        <v>25/06/2013</v>
      </c>
      <c r="B990" t="str">
        <f>"1.5439"</f>
        <v>1.5439</v>
      </c>
      <c r="C990" t="str">
        <f>"1.5435"</f>
        <v>1.5435</v>
      </c>
    </row>
    <row r="991" spans="1:3" x14ac:dyDescent="0.25">
      <c r="A991" t="str">
        <f>"26/06/2013"</f>
        <v>26/06/2013</v>
      </c>
      <c r="B991" t="str">
        <f>"1.5418"</f>
        <v>1.5418</v>
      </c>
      <c r="C991" t="str">
        <f>"1.5414"</f>
        <v>1.5414</v>
      </c>
    </row>
    <row r="992" spans="1:3" x14ac:dyDescent="0.25">
      <c r="A992" t="str">
        <f>"27/06/2013"</f>
        <v>27/06/2013</v>
      </c>
      <c r="B992" t="str">
        <f>"1.5336"</f>
        <v>1.5336</v>
      </c>
      <c r="C992" t="str">
        <f>"1.5333"</f>
        <v>1.5333</v>
      </c>
    </row>
    <row r="993" spans="1:3" x14ac:dyDescent="0.25">
      <c r="A993" t="str">
        <f>"28/06/2013"</f>
        <v>28/06/2013</v>
      </c>
      <c r="B993" t="str">
        <f>"1.5265"</f>
        <v>1.5265</v>
      </c>
      <c r="C993" t="str">
        <f>"1.5261"</f>
        <v>1.5261</v>
      </c>
    </row>
    <row r="994" spans="1:3" x14ac:dyDescent="0.25">
      <c r="A994" t="str">
        <f>"01/07/2013"</f>
        <v>01/07/2013</v>
      </c>
      <c r="B994" t="str">
        <f>"1.5218"</f>
        <v>1.5218</v>
      </c>
      <c r="C994" t="str">
        <f>"1.5215"</f>
        <v>1.5215</v>
      </c>
    </row>
    <row r="995" spans="1:3" x14ac:dyDescent="0.25">
      <c r="A995" t="str">
        <f>"02/07/2013"</f>
        <v>02/07/2013</v>
      </c>
      <c r="B995" t="str">
        <f>"1.5211"</f>
        <v>1.5211</v>
      </c>
      <c r="C995" t="str">
        <f>"1.5207"</f>
        <v>1.5207</v>
      </c>
    </row>
    <row r="996" spans="1:3" x14ac:dyDescent="0.25">
      <c r="A996" t="str">
        <f>"03/07/2013"</f>
        <v>03/07/2013</v>
      </c>
      <c r="B996" t="str">
        <f>"1.5168"</f>
        <v>1.5168</v>
      </c>
      <c r="C996" t="str">
        <f>"1.5164"</f>
        <v>1.5164</v>
      </c>
    </row>
    <row r="997" spans="1:3" x14ac:dyDescent="0.25">
      <c r="A997" t="str">
        <f>"04/07/2013"</f>
        <v>04/07/2013</v>
      </c>
      <c r="B997" t="str">
        <f>"1.5257"</f>
        <v>1.5257</v>
      </c>
      <c r="C997" t="str">
        <f>"1.5254"</f>
        <v>1.5254</v>
      </c>
    </row>
    <row r="998" spans="1:3" x14ac:dyDescent="0.25">
      <c r="A998" t="str">
        <f>"05/07/2013"</f>
        <v>05/07/2013</v>
      </c>
      <c r="B998" t="str">
        <f>"1.5049"</f>
        <v>1.5049</v>
      </c>
      <c r="C998" t="str">
        <f>"1.5046"</f>
        <v>1.5046</v>
      </c>
    </row>
    <row r="999" spans="1:3" x14ac:dyDescent="0.25">
      <c r="A999" t="str">
        <f>"08/07/2013"</f>
        <v>08/07/2013</v>
      </c>
      <c r="B999" t="str">
        <f>"1.4869"</f>
        <v>1.4869</v>
      </c>
      <c r="C999" t="str">
        <f>"1.4865"</f>
        <v>1.4865</v>
      </c>
    </row>
    <row r="1000" spans="1:3" x14ac:dyDescent="0.25">
      <c r="A1000" t="str">
        <f>"09/07/2013"</f>
        <v>09/07/2013</v>
      </c>
      <c r="B1000" t="str">
        <f>"1.4938"</f>
        <v>1.4938</v>
      </c>
      <c r="C1000" t="str">
        <f>"1.4935"</f>
        <v>1.4935</v>
      </c>
    </row>
    <row r="1001" spans="1:3" x14ac:dyDescent="0.25">
      <c r="A1001" t="str">
        <f>"10/07/2013"</f>
        <v>10/07/2013</v>
      </c>
      <c r="B1001" t="str">
        <f>"1.4871"</f>
        <v>1.4871</v>
      </c>
      <c r="C1001" t="str">
        <f>"1.4868"</f>
        <v>1.4868</v>
      </c>
    </row>
    <row r="1002" spans="1:3" x14ac:dyDescent="0.25">
      <c r="A1002" t="str">
        <f>"11/07/2013"</f>
        <v>11/07/2013</v>
      </c>
      <c r="B1002" t="str">
        <f>"1.5154"</f>
        <v>1.5154</v>
      </c>
      <c r="C1002" t="str">
        <f>"1.5151"</f>
        <v>1.5151</v>
      </c>
    </row>
    <row r="1003" spans="1:3" x14ac:dyDescent="0.25">
      <c r="A1003" t="str">
        <f>"12/07/2013"</f>
        <v>12/07/2013</v>
      </c>
      <c r="B1003" t="str">
        <f>"1.5173"</f>
        <v>1.5173</v>
      </c>
      <c r="C1003" t="str">
        <f>"1.517"</f>
        <v>1.517</v>
      </c>
    </row>
    <row r="1004" spans="1:3" x14ac:dyDescent="0.25">
      <c r="A1004" t="str">
        <f>"15/07/2013"</f>
        <v>15/07/2013</v>
      </c>
      <c r="B1004" t="str">
        <f>"1.512"</f>
        <v>1.512</v>
      </c>
      <c r="C1004" t="str">
        <f>"1.5117"</f>
        <v>1.5117</v>
      </c>
    </row>
    <row r="1005" spans="1:3" x14ac:dyDescent="0.25">
      <c r="A1005" t="str">
        <f>"16/07/2013"</f>
        <v>16/07/2013</v>
      </c>
      <c r="B1005" t="str">
        <f>"1.5104"</f>
        <v>1.5104</v>
      </c>
      <c r="C1005" t="str">
        <f>"1.51"</f>
        <v>1.51</v>
      </c>
    </row>
    <row r="1006" spans="1:3" x14ac:dyDescent="0.25">
      <c r="A1006" t="str">
        <f>"17/07/2013"</f>
        <v>17/07/2013</v>
      </c>
      <c r="B1006" t="str">
        <f>"1.5117"</f>
        <v>1.5117</v>
      </c>
      <c r="C1006" t="str">
        <f>"1.5113"</f>
        <v>1.5113</v>
      </c>
    </row>
    <row r="1007" spans="1:3" x14ac:dyDescent="0.25">
      <c r="A1007" t="str">
        <f>"18/07/2013"</f>
        <v>18/07/2013</v>
      </c>
      <c r="B1007" t="str">
        <f>"1.5177"</f>
        <v>1.5177</v>
      </c>
      <c r="C1007" t="str">
        <f>"1.5173"</f>
        <v>1.5173</v>
      </c>
    </row>
    <row r="1008" spans="1:3" x14ac:dyDescent="0.25">
      <c r="A1008" t="str">
        <f>"19/07/2013"</f>
        <v>19/07/2013</v>
      </c>
      <c r="B1008" t="str">
        <f>"1.5236"</f>
        <v>1.5236</v>
      </c>
      <c r="C1008" t="str">
        <f>"1.5232"</f>
        <v>1.5232</v>
      </c>
    </row>
    <row r="1009" spans="1:3" x14ac:dyDescent="0.25">
      <c r="A1009" t="str">
        <f>"22/07/2013"</f>
        <v>22/07/2013</v>
      </c>
      <c r="B1009" t="str">
        <f>"1.5285"</f>
        <v>1.5285</v>
      </c>
      <c r="C1009" t="str">
        <f>"1.5281"</f>
        <v>1.5281</v>
      </c>
    </row>
    <row r="1010" spans="1:3" x14ac:dyDescent="0.25">
      <c r="A1010" t="str">
        <f>"23/07/2013"</f>
        <v>23/07/2013</v>
      </c>
      <c r="B1010" t="str">
        <f>"1.537"</f>
        <v>1.537</v>
      </c>
      <c r="C1010" t="str">
        <f>"1.5366"</f>
        <v>1.5366</v>
      </c>
    </row>
    <row r="1011" spans="1:3" x14ac:dyDescent="0.25">
      <c r="A1011" t="str">
        <f>"24/07/2013"</f>
        <v>24/07/2013</v>
      </c>
      <c r="B1011" t="str">
        <f>"1.5364"</f>
        <v>1.5364</v>
      </c>
      <c r="C1011" t="str">
        <f>"1.536"</f>
        <v>1.536</v>
      </c>
    </row>
    <row r="1012" spans="1:3" x14ac:dyDescent="0.25">
      <c r="A1012" t="str">
        <f>"25/07/2013"</f>
        <v>25/07/2013</v>
      </c>
      <c r="B1012" t="str">
        <f>"1.5327"</f>
        <v>1.5327</v>
      </c>
      <c r="C1012" t="str">
        <f>"1.5323"</f>
        <v>1.5323</v>
      </c>
    </row>
    <row r="1013" spans="1:3" x14ac:dyDescent="0.25">
      <c r="A1013" t="str">
        <f>"26/07/2013"</f>
        <v>26/07/2013</v>
      </c>
      <c r="B1013" t="str">
        <f>"1.5389"</f>
        <v>1.5389</v>
      </c>
      <c r="C1013" t="str">
        <f>"1.5385"</f>
        <v>1.5385</v>
      </c>
    </row>
    <row r="1014" spans="1:3" x14ac:dyDescent="0.25">
      <c r="A1014" t="str">
        <f>"29/07/2013"</f>
        <v>29/07/2013</v>
      </c>
      <c r="B1014" t="str">
        <f>"1.5385"</f>
        <v>1.5385</v>
      </c>
      <c r="C1014" t="str">
        <f>"1.5382"</f>
        <v>1.5382</v>
      </c>
    </row>
    <row r="1015" spans="1:3" x14ac:dyDescent="0.25">
      <c r="A1015" t="str">
        <f>"30/07/2013"</f>
        <v>30/07/2013</v>
      </c>
      <c r="B1015" t="str">
        <f>"1.533"</f>
        <v>1.533</v>
      </c>
      <c r="C1015" t="str">
        <f>"1.5326"</f>
        <v>1.5326</v>
      </c>
    </row>
    <row r="1016" spans="1:3" x14ac:dyDescent="0.25">
      <c r="A1016" t="str">
        <f>"31/07/2013"</f>
        <v>31/07/2013</v>
      </c>
      <c r="B1016" t="str">
        <f>"1.5226"</f>
        <v>1.5226</v>
      </c>
      <c r="C1016" t="str">
        <f>"1.5223"</f>
        <v>1.5223</v>
      </c>
    </row>
    <row r="1017" spans="1:3" x14ac:dyDescent="0.25">
      <c r="A1017" t="str">
        <f>"01/08/2013"</f>
        <v>01/08/2013</v>
      </c>
      <c r="B1017" t="str">
        <f>"1.5158"</f>
        <v>1.5158</v>
      </c>
      <c r="C1017" t="str">
        <f>"1.5155"</f>
        <v>1.5155</v>
      </c>
    </row>
    <row r="1018" spans="1:3" x14ac:dyDescent="0.25">
      <c r="A1018" t="str">
        <f>"02/08/2013"</f>
        <v>02/08/2013</v>
      </c>
      <c r="B1018" t="str">
        <f>"1.5119"</f>
        <v>1.5119</v>
      </c>
      <c r="C1018" t="str">
        <f>"1.5115"</f>
        <v>1.5115</v>
      </c>
    </row>
    <row r="1019" spans="1:3" x14ac:dyDescent="0.25">
      <c r="A1019" t="str">
        <f>"05/08/2013"</f>
        <v>05/08/2013</v>
      </c>
      <c r="B1019" t="str">
        <f>"1.5269"</f>
        <v>1.5269</v>
      </c>
      <c r="C1019" t="str">
        <f>"1.5265"</f>
        <v>1.5265</v>
      </c>
    </row>
    <row r="1020" spans="1:3" x14ac:dyDescent="0.25">
      <c r="A1020" t="str">
        <f>"06/08/2013"</f>
        <v>06/08/2013</v>
      </c>
      <c r="B1020" t="str">
        <f>"1.5349"</f>
        <v>1.5349</v>
      </c>
      <c r="C1020" t="str">
        <f>"1.5344"</f>
        <v>1.5344</v>
      </c>
    </row>
    <row r="1021" spans="1:3" x14ac:dyDescent="0.25">
      <c r="A1021" t="str">
        <f>"07/08/2013"</f>
        <v>07/08/2013</v>
      </c>
      <c r="B1021" t="str">
        <f>"1.5328"</f>
        <v>1.5328</v>
      </c>
      <c r="C1021" t="str">
        <f>"1.5324"</f>
        <v>1.5324</v>
      </c>
    </row>
    <row r="1022" spans="1:3" x14ac:dyDescent="0.25">
      <c r="A1022" t="str">
        <f>"08/08/2013"</f>
        <v>08/08/2013</v>
      </c>
      <c r="B1022" t="str">
        <f>"1.5495"</f>
        <v>1.5495</v>
      </c>
      <c r="C1022" t="str">
        <f>"1.5491"</f>
        <v>1.5491</v>
      </c>
    </row>
    <row r="1023" spans="1:3" x14ac:dyDescent="0.25">
      <c r="A1023" t="str">
        <f>"12/08/2013"</f>
        <v>12/08/2013</v>
      </c>
      <c r="B1023" t="str">
        <f>"1.5492"</f>
        <v>1.5492</v>
      </c>
      <c r="C1023" t="str">
        <f>"1.5488"</f>
        <v>1.5488</v>
      </c>
    </row>
    <row r="1024" spans="1:3" x14ac:dyDescent="0.25">
      <c r="A1024" t="str">
        <f>"13/08/2013"</f>
        <v>13/08/2013</v>
      </c>
      <c r="B1024" t="str">
        <f>"1.5463"</f>
        <v>1.5463</v>
      </c>
      <c r="C1024" t="str">
        <f>"1.5459"</f>
        <v>1.5459</v>
      </c>
    </row>
    <row r="1025" spans="1:3" x14ac:dyDescent="0.25">
      <c r="A1025" t="str">
        <f>"14/08/2013"</f>
        <v>14/08/2013</v>
      </c>
      <c r="B1025" t="str">
        <f>"1.5445"</f>
        <v>1.5445</v>
      </c>
      <c r="C1025" t="str">
        <f>"1.5441"</f>
        <v>1.5441</v>
      </c>
    </row>
    <row r="1026" spans="1:3" x14ac:dyDescent="0.25">
      <c r="A1026" t="str">
        <f>"16/08/2013"</f>
        <v>16/08/2013</v>
      </c>
      <c r="B1026" t="str">
        <f>"1.5628"</f>
        <v>1.5628</v>
      </c>
      <c r="C1026" t="str">
        <f>"1.5624"</f>
        <v>1.5624</v>
      </c>
    </row>
    <row r="1027" spans="1:3" x14ac:dyDescent="0.25">
      <c r="A1027" t="str">
        <f>"19/08/2013"</f>
        <v>19/08/2013</v>
      </c>
      <c r="B1027" t="str">
        <f>"1.5623"</f>
        <v>1.5623</v>
      </c>
      <c r="C1027" t="str">
        <f>"1.5619"</f>
        <v>1.5619</v>
      </c>
    </row>
    <row r="1028" spans="1:3" x14ac:dyDescent="0.25">
      <c r="A1028" t="str">
        <f>"20/08/2013"</f>
        <v>20/08/2013</v>
      </c>
      <c r="B1028" t="str">
        <f>"1.5641"</f>
        <v>1.5641</v>
      </c>
      <c r="C1028" t="str">
        <f>"1.5637"</f>
        <v>1.5637</v>
      </c>
    </row>
    <row r="1029" spans="1:3" x14ac:dyDescent="0.25">
      <c r="A1029" t="str">
        <f>"21/08/2013"</f>
        <v>21/08/2013</v>
      </c>
      <c r="B1029" t="str">
        <f>"1.5668"</f>
        <v>1.5668</v>
      </c>
      <c r="C1029" t="str">
        <f>"1.5664"</f>
        <v>1.5664</v>
      </c>
    </row>
    <row r="1030" spans="1:3" x14ac:dyDescent="0.25">
      <c r="A1030" t="str">
        <f>"22/08/2013"</f>
        <v>22/08/2013</v>
      </c>
      <c r="B1030" t="str">
        <f>"1.5602"</f>
        <v>1.5602</v>
      </c>
      <c r="C1030" t="str">
        <f>"1.5598"</f>
        <v>1.5598</v>
      </c>
    </row>
    <row r="1031" spans="1:3" x14ac:dyDescent="0.25">
      <c r="A1031" t="str">
        <f>"23/08/2013"</f>
        <v>23/08/2013</v>
      </c>
      <c r="B1031" t="str">
        <f>"1.5584"</f>
        <v>1.5584</v>
      </c>
      <c r="C1031" t="str">
        <f>"1.558"</f>
        <v>1.558</v>
      </c>
    </row>
    <row r="1032" spans="1:3" x14ac:dyDescent="0.25">
      <c r="A1032" t="str">
        <f>"26/08/2013"</f>
        <v>26/08/2013</v>
      </c>
      <c r="B1032" t="str">
        <f>"1.5565"</f>
        <v>1.5565</v>
      </c>
      <c r="C1032" t="str">
        <f>"1.5561"</f>
        <v>1.5561</v>
      </c>
    </row>
    <row r="1033" spans="1:3" x14ac:dyDescent="0.25">
      <c r="A1033" t="str">
        <f>"27/08/2013"</f>
        <v>27/08/2013</v>
      </c>
      <c r="B1033" t="str">
        <f>"1.5571"</f>
        <v>1.5571</v>
      </c>
      <c r="C1033" t="str">
        <f>"1.5567"</f>
        <v>1.5567</v>
      </c>
    </row>
    <row r="1034" spans="1:3" x14ac:dyDescent="0.25">
      <c r="A1034" t="str">
        <f>"28/08/2013"</f>
        <v>28/08/2013</v>
      </c>
      <c r="B1034" t="str">
        <f>"1.553"</f>
        <v>1.553</v>
      </c>
      <c r="C1034" t="str">
        <f>"1.5526"</f>
        <v>1.5526</v>
      </c>
    </row>
    <row r="1035" spans="1:3" x14ac:dyDescent="0.25">
      <c r="A1035" t="str">
        <f>"29/08/2013"</f>
        <v>29/08/2013</v>
      </c>
      <c r="B1035" t="str">
        <f>"1.5541"</f>
        <v>1.5541</v>
      </c>
      <c r="C1035" t="str">
        <f>"1.5537"</f>
        <v>1.5537</v>
      </c>
    </row>
    <row r="1036" spans="1:3" x14ac:dyDescent="0.25">
      <c r="A1036" t="str">
        <f>"30/08/2013"</f>
        <v>30/08/2013</v>
      </c>
      <c r="B1036" t="str">
        <f>"1.5513"</f>
        <v>1.5513</v>
      </c>
      <c r="C1036" t="str">
        <f>"1.551"</f>
        <v>1.551</v>
      </c>
    </row>
    <row r="1037" spans="1:3" x14ac:dyDescent="0.25">
      <c r="A1037" t="str">
        <f>"02/09/2013"</f>
        <v>02/09/2013</v>
      </c>
      <c r="B1037" t="str">
        <f>"1.5558"</f>
        <v>1.5558</v>
      </c>
      <c r="C1037" t="str">
        <f>"1.5555"</f>
        <v>1.5555</v>
      </c>
    </row>
    <row r="1038" spans="1:3" x14ac:dyDescent="0.25">
      <c r="A1038" t="str">
        <f>"03/09/2013"</f>
        <v>03/09/2013</v>
      </c>
      <c r="B1038" t="str">
        <f>"1.5557"</f>
        <v>1.5557</v>
      </c>
      <c r="C1038" t="str">
        <f>"1.5553"</f>
        <v>1.5553</v>
      </c>
    </row>
    <row r="1039" spans="1:3" x14ac:dyDescent="0.25">
      <c r="A1039" t="str">
        <f>"04/09/2013"</f>
        <v>04/09/2013</v>
      </c>
      <c r="B1039" t="str">
        <f>"1.5561"</f>
        <v>1.5561</v>
      </c>
      <c r="C1039" t="str">
        <f>"1.5557"</f>
        <v>1.5557</v>
      </c>
    </row>
    <row r="1040" spans="1:3" x14ac:dyDescent="0.25">
      <c r="A1040" t="str">
        <f>"05/09/2013"</f>
        <v>05/09/2013</v>
      </c>
      <c r="B1040" t="str">
        <f>"1.5616"</f>
        <v>1.5616</v>
      </c>
      <c r="C1040" t="str">
        <f>"1.5613"</f>
        <v>1.5613</v>
      </c>
    </row>
    <row r="1041" spans="1:3" x14ac:dyDescent="0.25">
      <c r="A1041" t="str">
        <f>"06/09/2013"</f>
        <v>06/09/2013</v>
      </c>
      <c r="B1041" t="str">
        <f>"1.5602"</f>
        <v>1.5602</v>
      </c>
      <c r="C1041" t="str">
        <f>"1.5598"</f>
        <v>1.5598</v>
      </c>
    </row>
    <row r="1042" spans="1:3" x14ac:dyDescent="0.25">
      <c r="A1042" t="str">
        <f>"10/09/2013"</f>
        <v>10/09/2013</v>
      </c>
      <c r="B1042" t="str">
        <f>"1.5703"</f>
        <v>1.5703</v>
      </c>
      <c r="C1042" t="str">
        <f>"1.5699"</f>
        <v>1.5699</v>
      </c>
    </row>
    <row r="1043" spans="1:3" x14ac:dyDescent="0.25">
      <c r="A1043" t="str">
        <f>"11/09/2013"</f>
        <v>11/09/2013</v>
      </c>
      <c r="B1043" t="str">
        <f>"1.5721"</f>
        <v>1.5721</v>
      </c>
      <c r="C1043" t="str">
        <f>"1.5717"</f>
        <v>1.5717</v>
      </c>
    </row>
    <row r="1044" spans="1:3" x14ac:dyDescent="0.25">
      <c r="A1044" t="str">
        <f>"12/09/2013"</f>
        <v>12/09/2013</v>
      </c>
      <c r="B1044" t="str">
        <f>"1.582"</f>
        <v>1.582</v>
      </c>
      <c r="C1044" t="str">
        <f>"1.5816"</f>
        <v>1.5816</v>
      </c>
    </row>
    <row r="1045" spans="1:3" x14ac:dyDescent="0.25">
      <c r="A1045" t="str">
        <f>"13/09/2013"</f>
        <v>13/09/2013</v>
      </c>
      <c r="B1045" t="str">
        <f>"1.5792"</f>
        <v>1.5792</v>
      </c>
      <c r="C1045" t="str">
        <f>"1.5789"</f>
        <v>1.5789</v>
      </c>
    </row>
    <row r="1046" spans="1:3" x14ac:dyDescent="0.25">
      <c r="A1046" t="str">
        <f>"16/09/2013"</f>
        <v>16/09/2013</v>
      </c>
      <c r="B1046" t="str">
        <f>"1.5956"</f>
        <v>1.5956</v>
      </c>
      <c r="C1046" t="str">
        <f>"1.5952"</f>
        <v>1.5952</v>
      </c>
    </row>
    <row r="1047" spans="1:3" x14ac:dyDescent="0.25">
      <c r="A1047" t="str">
        <f>"17/09/2013"</f>
        <v>17/09/2013</v>
      </c>
      <c r="B1047" t="str">
        <f>"1.5894"</f>
        <v>1.5894</v>
      </c>
      <c r="C1047" t="str">
        <f>"1.589"</f>
        <v>1.589</v>
      </c>
    </row>
    <row r="1048" spans="1:3" x14ac:dyDescent="0.25">
      <c r="A1048" t="str">
        <f>"18/09/2013"</f>
        <v>18/09/2013</v>
      </c>
      <c r="B1048" t="str">
        <f>"1.5904"</f>
        <v>1.5904</v>
      </c>
      <c r="C1048" t="str">
        <f>"1.59"</f>
        <v>1.59</v>
      </c>
    </row>
    <row r="1049" spans="1:3" x14ac:dyDescent="0.25">
      <c r="A1049" t="str">
        <f>"19/09/2013"</f>
        <v>19/09/2013</v>
      </c>
      <c r="B1049" t="str">
        <f>"1.6122"</f>
        <v>1.6122</v>
      </c>
      <c r="C1049" t="str">
        <f>"1.6119"</f>
        <v>1.6119</v>
      </c>
    </row>
    <row r="1050" spans="1:3" x14ac:dyDescent="0.25">
      <c r="A1050" t="str">
        <f>"20/09/2013"</f>
        <v>20/09/2013</v>
      </c>
      <c r="B1050" t="str">
        <f>"1.6044"</f>
        <v>1.6044</v>
      </c>
      <c r="C1050" t="str">
        <f>"1.604"</f>
        <v>1.604</v>
      </c>
    </row>
    <row r="1051" spans="1:3" x14ac:dyDescent="0.25">
      <c r="A1051" t="str">
        <f>"23/09/2013"</f>
        <v>23/09/2013</v>
      </c>
      <c r="B1051" t="str">
        <f>"1.6016"</f>
        <v>1.6016</v>
      </c>
      <c r="C1051" t="str">
        <f>"1.6012"</f>
        <v>1.6012</v>
      </c>
    </row>
    <row r="1052" spans="1:3" x14ac:dyDescent="0.25">
      <c r="A1052" t="str">
        <f>"24/09/2013"</f>
        <v>24/09/2013</v>
      </c>
      <c r="B1052" t="str">
        <f>"1.6028"</f>
        <v>1.6028</v>
      </c>
      <c r="C1052" t="str">
        <f>"1.6024"</f>
        <v>1.6024</v>
      </c>
    </row>
    <row r="1053" spans="1:3" x14ac:dyDescent="0.25">
      <c r="A1053" t="str">
        <f>"25/09/2013"</f>
        <v>25/09/2013</v>
      </c>
      <c r="B1053" t="str">
        <f>"1.5984"</f>
        <v>1.5984</v>
      </c>
      <c r="C1053" t="str">
        <f>"1.5979"</f>
        <v>1.5979</v>
      </c>
    </row>
    <row r="1054" spans="1:3" x14ac:dyDescent="0.25">
      <c r="A1054" t="str">
        <f>"26/09/2013"</f>
        <v>26/09/2013</v>
      </c>
      <c r="B1054" t="str">
        <f>"1.6081"</f>
        <v>1.6081</v>
      </c>
      <c r="C1054" t="str">
        <f>"1.6078"</f>
        <v>1.6078</v>
      </c>
    </row>
    <row r="1055" spans="1:3" x14ac:dyDescent="0.25">
      <c r="A1055" t="str">
        <f>"27/09/2013"</f>
        <v>27/09/2013</v>
      </c>
      <c r="B1055" t="str">
        <f>"1.6046"</f>
        <v>1.6046</v>
      </c>
      <c r="C1055" t="str">
        <f>"1.6042"</f>
        <v>1.6042</v>
      </c>
    </row>
    <row r="1056" spans="1:3" x14ac:dyDescent="0.25">
      <c r="A1056" t="str">
        <f>"30/09/2013"</f>
        <v>30/09/2013</v>
      </c>
      <c r="B1056" t="str">
        <f>"1.6164"</f>
        <v>1.6164</v>
      </c>
      <c r="C1056" t="str">
        <f>"1.6159"</f>
        <v>1.6159</v>
      </c>
    </row>
    <row r="1057" spans="1:3" x14ac:dyDescent="0.25">
      <c r="A1057" t="str">
        <f>"01/10/2013"</f>
        <v>01/10/2013</v>
      </c>
      <c r="B1057" t="str">
        <f>"1.6244"</f>
        <v>1.6244</v>
      </c>
      <c r="C1057" t="str">
        <f>"1.6239"</f>
        <v>1.6239</v>
      </c>
    </row>
    <row r="1058" spans="1:3" x14ac:dyDescent="0.25">
      <c r="A1058" t="str">
        <f>"03/10/2013"</f>
        <v>03/10/2013</v>
      </c>
      <c r="B1058" t="str">
        <f>"1.6238"</f>
        <v>1.6238</v>
      </c>
      <c r="C1058" t="str">
        <f>"1.6234"</f>
        <v>1.6234</v>
      </c>
    </row>
    <row r="1059" spans="1:3" x14ac:dyDescent="0.25">
      <c r="A1059" t="str">
        <f>"04/10/2013"</f>
        <v>04/10/2013</v>
      </c>
      <c r="B1059" t="str">
        <f>"1.6172"</f>
        <v>1.6172</v>
      </c>
      <c r="C1059" t="str">
        <f>"1.6168"</f>
        <v>1.6168</v>
      </c>
    </row>
    <row r="1060" spans="1:3" x14ac:dyDescent="0.25">
      <c r="A1060" t="str">
        <f>"07/10/2013"</f>
        <v>07/10/2013</v>
      </c>
      <c r="B1060" t="str">
        <f>"1.6032"</f>
        <v>1.6032</v>
      </c>
      <c r="C1060" t="str">
        <f>"1.6028"</f>
        <v>1.6028</v>
      </c>
    </row>
    <row r="1061" spans="1:3" x14ac:dyDescent="0.25">
      <c r="A1061" t="str">
        <f>"08/10/2013"</f>
        <v>08/10/2013</v>
      </c>
      <c r="B1061" t="str">
        <f>"1.6075"</f>
        <v>1.6075</v>
      </c>
      <c r="C1061" t="str">
        <f>"1.607"</f>
        <v>1.607</v>
      </c>
    </row>
    <row r="1062" spans="1:3" x14ac:dyDescent="0.25">
      <c r="A1062" t="str">
        <f>"09/10/2013"</f>
        <v>09/10/2013</v>
      </c>
      <c r="B1062" t="str">
        <f>"1.6067"</f>
        <v>1.6067</v>
      </c>
      <c r="C1062" t="str">
        <f>"1.6063"</f>
        <v>1.6063</v>
      </c>
    </row>
    <row r="1063" spans="1:3" x14ac:dyDescent="0.25">
      <c r="A1063" t="str">
        <f>"10/10/2013"</f>
        <v>10/10/2013</v>
      </c>
      <c r="B1063" t="str">
        <f>"1.5935"</f>
        <v>1.5935</v>
      </c>
      <c r="C1063" t="str">
        <f>"1.593"</f>
        <v>1.593</v>
      </c>
    </row>
    <row r="1064" spans="1:3" x14ac:dyDescent="0.25">
      <c r="A1064" t="str">
        <f>"11/10/2013"</f>
        <v>11/10/2013</v>
      </c>
      <c r="B1064" t="str">
        <f>"1.5982"</f>
        <v>1.5982</v>
      </c>
      <c r="C1064" t="str">
        <f>"1.5978"</f>
        <v>1.5978</v>
      </c>
    </row>
    <row r="1065" spans="1:3" x14ac:dyDescent="0.25">
      <c r="A1065" t="str">
        <f>"14/10/2013"</f>
        <v>14/10/2013</v>
      </c>
      <c r="B1065" t="str">
        <f>"1.5983"</f>
        <v>1.5983</v>
      </c>
      <c r="C1065" t="str">
        <f>"1.5978"</f>
        <v>1.5978</v>
      </c>
    </row>
    <row r="1066" spans="1:3" x14ac:dyDescent="0.25">
      <c r="A1066" t="str">
        <f>"15/10/2013"</f>
        <v>15/10/2013</v>
      </c>
      <c r="B1066" t="str">
        <f>"1.5997"</f>
        <v>1.5997</v>
      </c>
      <c r="C1066" t="str">
        <f>"1.5992"</f>
        <v>1.5992</v>
      </c>
    </row>
    <row r="1067" spans="1:3" x14ac:dyDescent="0.25">
      <c r="A1067" t="str">
        <f>"17/10/2013"</f>
        <v>17/10/2013</v>
      </c>
      <c r="B1067" t="str">
        <f>"1.5973"</f>
        <v>1.5973</v>
      </c>
      <c r="C1067" t="str">
        <f>"1.5969"</f>
        <v>1.5969</v>
      </c>
    </row>
    <row r="1068" spans="1:3" x14ac:dyDescent="0.25">
      <c r="A1068" t="str">
        <f>"18/10/2013"</f>
        <v>18/10/2013</v>
      </c>
      <c r="B1068" t="str">
        <f>"1.6149"</f>
        <v>1.6149</v>
      </c>
      <c r="C1068" t="str">
        <f>"1.6144"</f>
        <v>1.6144</v>
      </c>
    </row>
    <row r="1069" spans="1:3" x14ac:dyDescent="0.25">
      <c r="A1069" t="str">
        <f>"21/10/2013"</f>
        <v>21/10/2013</v>
      </c>
      <c r="B1069" t="str">
        <f>"1.6157"</f>
        <v>1.6157</v>
      </c>
      <c r="C1069" t="str">
        <f>"1.6152"</f>
        <v>1.6152</v>
      </c>
    </row>
    <row r="1070" spans="1:3" x14ac:dyDescent="0.25">
      <c r="A1070" t="str">
        <f>"22/10/2013"</f>
        <v>22/10/2013</v>
      </c>
      <c r="B1070" t="str">
        <f>"1.6121"</f>
        <v>1.6121</v>
      </c>
      <c r="C1070" t="str">
        <f>"1.6117"</f>
        <v>1.6117</v>
      </c>
    </row>
    <row r="1071" spans="1:3" x14ac:dyDescent="0.25">
      <c r="A1071" t="str">
        <f>"23/10/2013"</f>
        <v>23/10/2013</v>
      </c>
      <c r="B1071" t="str">
        <f>"1.6219"</f>
        <v>1.6219</v>
      </c>
      <c r="C1071" t="str">
        <f>"1.6215"</f>
        <v>1.6215</v>
      </c>
    </row>
    <row r="1072" spans="1:3" x14ac:dyDescent="0.25">
      <c r="A1072" t="str">
        <f>"24/10/2013"</f>
        <v>24/10/2013</v>
      </c>
      <c r="B1072" t="str">
        <f>"1.6193"</f>
        <v>1.6193</v>
      </c>
      <c r="C1072" t="str">
        <f>"1.6189"</f>
        <v>1.6189</v>
      </c>
    </row>
    <row r="1073" spans="1:3" x14ac:dyDescent="0.25">
      <c r="A1073" t="str">
        <f>"25/10/2013"</f>
        <v>25/10/2013</v>
      </c>
      <c r="B1073" t="str">
        <f>"1.6236"</f>
        <v>1.6236</v>
      </c>
      <c r="C1073" t="str">
        <f>"1.6232"</f>
        <v>1.6232</v>
      </c>
    </row>
    <row r="1074" spans="1:3" x14ac:dyDescent="0.25">
      <c r="A1074" t="str">
        <f>"28/10/2013"</f>
        <v>28/10/2013</v>
      </c>
      <c r="B1074" t="str">
        <f>"1.6183"</f>
        <v>1.6183</v>
      </c>
      <c r="C1074" t="str">
        <f>"1.6179"</f>
        <v>1.6179</v>
      </c>
    </row>
    <row r="1075" spans="1:3" x14ac:dyDescent="0.25">
      <c r="A1075" t="str">
        <f>"29/10/2013"</f>
        <v>29/10/2013</v>
      </c>
      <c r="B1075" t="str">
        <f>"1.6095"</f>
        <v>1.6095</v>
      </c>
      <c r="C1075" t="str">
        <f>"1.6091"</f>
        <v>1.6091</v>
      </c>
    </row>
    <row r="1076" spans="1:3" x14ac:dyDescent="0.25">
      <c r="A1076" t="str">
        <f>"30/10/2013"</f>
        <v>30/10/2013</v>
      </c>
      <c r="B1076" t="str">
        <f>"1.6038"</f>
        <v>1.6038</v>
      </c>
      <c r="C1076" t="str">
        <f>"1.6034"</f>
        <v>1.6034</v>
      </c>
    </row>
    <row r="1077" spans="1:3" x14ac:dyDescent="0.25">
      <c r="A1077" t="str">
        <f>"31/10/2013"</f>
        <v>31/10/2013</v>
      </c>
      <c r="B1077" t="str">
        <f>"1.6019"</f>
        <v>1.6019</v>
      </c>
      <c r="C1077" t="str">
        <f>"1.6015"</f>
        <v>1.6015</v>
      </c>
    </row>
    <row r="1078" spans="1:3" x14ac:dyDescent="0.25">
      <c r="A1078" t="str">
        <f>"01/11/2013"</f>
        <v>01/11/2013</v>
      </c>
      <c r="B1078" t="str">
        <f>"1.6034"</f>
        <v>1.6034</v>
      </c>
      <c r="C1078" t="str">
        <f>"1.603"</f>
        <v>1.603</v>
      </c>
    </row>
    <row r="1079" spans="1:3" x14ac:dyDescent="0.25">
      <c r="A1079" t="str">
        <f>"05/11/2013"</f>
        <v>05/11/2013</v>
      </c>
      <c r="B1079" t="str">
        <f>"1.5972"</f>
        <v>1.5972</v>
      </c>
      <c r="C1079" t="str">
        <f>"1.5969"</f>
        <v>1.5969</v>
      </c>
    </row>
    <row r="1080" spans="1:3" x14ac:dyDescent="0.25">
      <c r="A1080" t="str">
        <f>"06/11/2013"</f>
        <v>06/11/2013</v>
      </c>
      <c r="B1080" t="str">
        <f>"1.609"</f>
        <v>1.609</v>
      </c>
      <c r="C1080" t="str">
        <f>"1.6086"</f>
        <v>1.6086</v>
      </c>
    </row>
    <row r="1081" spans="1:3" x14ac:dyDescent="0.25">
      <c r="A1081" t="str">
        <f>"07/11/2013"</f>
        <v>07/11/2013</v>
      </c>
      <c r="B1081" t="str">
        <f>"1.6084"</f>
        <v>1.6084</v>
      </c>
      <c r="C1081" t="str">
        <f>"1.608"</f>
        <v>1.608</v>
      </c>
    </row>
    <row r="1082" spans="1:3" x14ac:dyDescent="0.25">
      <c r="A1082" t="str">
        <f>"08/11/2013"</f>
        <v>08/11/2013</v>
      </c>
      <c r="B1082" t="str">
        <f>"1.6092"</f>
        <v>1.6092</v>
      </c>
      <c r="C1082" t="str">
        <f>"1.6088"</f>
        <v>1.6088</v>
      </c>
    </row>
    <row r="1083" spans="1:3" x14ac:dyDescent="0.25">
      <c r="A1083" t="str">
        <f>"11/11/2013"</f>
        <v>11/11/2013</v>
      </c>
      <c r="B1083" t="str">
        <f>"1.6013"</f>
        <v>1.6013</v>
      </c>
      <c r="C1083" t="str">
        <f>"1.601"</f>
        <v>1.601</v>
      </c>
    </row>
    <row r="1084" spans="1:3" x14ac:dyDescent="0.25">
      <c r="A1084" t="str">
        <f>"12/11/2013"</f>
        <v>12/11/2013</v>
      </c>
      <c r="B1084" t="str">
        <f>"1.5985"</f>
        <v>1.5985</v>
      </c>
      <c r="C1084" t="str">
        <f>"1.5981"</f>
        <v>1.5981</v>
      </c>
    </row>
    <row r="1085" spans="1:3" x14ac:dyDescent="0.25">
      <c r="A1085" t="str">
        <f>"13/11/2013"</f>
        <v>13/11/2013</v>
      </c>
      <c r="B1085" t="str">
        <f>"1.5889"</f>
        <v>1.5889</v>
      </c>
      <c r="C1085" t="str">
        <f>"1.5885"</f>
        <v>1.5885</v>
      </c>
    </row>
    <row r="1086" spans="1:3" x14ac:dyDescent="0.25">
      <c r="A1086" t="str">
        <f>"14/11/2013"</f>
        <v>14/11/2013</v>
      </c>
      <c r="B1086" t="str">
        <f>"1.6032"</f>
        <v>1.6032</v>
      </c>
      <c r="C1086" t="str">
        <f>"1.6028"</f>
        <v>1.6028</v>
      </c>
    </row>
    <row r="1087" spans="1:3" x14ac:dyDescent="0.25">
      <c r="A1087" t="str">
        <f>"18/11/2013"</f>
        <v>18/11/2013</v>
      </c>
      <c r="B1087" t="str">
        <f>"1.6127"</f>
        <v>1.6127</v>
      </c>
      <c r="C1087" t="str">
        <f>"1.6123"</f>
        <v>1.6123</v>
      </c>
    </row>
    <row r="1088" spans="1:3" x14ac:dyDescent="0.25">
      <c r="A1088" t="str">
        <f>"19/11/2013"</f>
        <v>19/11/2013</v>
      </c>
      <c r="B1088" t="str">
        <f>"1.6103"</f>
        <v>1.6103</v>
      </c>
      <c r="C1088" t="str">
        <f>"1.6099"</f>
        <v>1.6099</v>
      </c>
    </row>
    <row r="1089" spans="1:3" x14ac:dyDescent="0.25">
      <c r="A1089" t="str">
        <f>"20/11/2013"</f>
        <v>20/11/2013</v>
      </c>
      <c r="B1089" t="str">
        <f>"1.6115"</f>
        <v>1.6115</v>
      </c>
      <c r="C1089" t="str">
        <f>"1.611"</f>
        <v>1.611</v>
      </c>
    </row>
    <row r="1090" spans="1:3" x14ac:dyDescent="0.25">
      <c r="A1090" t="str">
        <f>"21/11/2013"</f>
        <v>21/11/2013</v>
      </c>
      <c r="B1090" t="str">
        <f>"1.6081"</f>
        <v>1.6081</v>
      </c>
      <c r="C1090" t="str">
        <f>"1.6077"</f>
        <v>1.6077</v>
      </c>
    </row>
    <row r="1091" spans="1:3" x14ac:dyDescent="0.25">
      <c r="A1091" t="str">
        <f>"22/11/2013"</f>
        <v>22/11/2013</v>
      </c>
      <c r="B1091" t="str">
        <f>"1.6189"</f>
        <v>1.6189</v>
      </c>
      <c r="C1091" t="str">
        <f>"1.6185"</f>
        <v>1.6185</v>
      </c>
    </row>
    <row r="1092" spans="1:3" x14ac:dyDescent="0.25">
      <c r="A1092" t="str">
        <f>"25/11/2013"</f>
        <v>25/11/2013</v>
      </c>
      <c r="B1092" t="str">
        <f>"1.6223"</f>
        <v>1.6223</v>
      </c>
      <c r="C1092" t="str">
        <f>"1.6219"</f>
        <v>1.6219</v>
      </c>
    </row>
    <row r="1093" spans="1:3" x14ac:dyDescent="0.25">
      <c r="A1093" t="str">
        <f>"26/11/2013"</f>
        <v>26/11/2013</v>
      </c>
      <c r="B1093" t="str">
        <f>"1.6155"</f>
        <v>1.6155</v>
      </c>
      <c r="C1093" t="str">
        <f>"1.6152"</f>
        <v>1.6152</v>
      </c>
    </row>
    <row r="1094" spans="1:3" x14ac:dyDescent="0.25">
      <c r="A1094" t="str">
        <f>"27/11/2013"</f>
        <v>27/11/2013</v>
      </c>
      <c r="B1094" t="str">
        <f>"1.6226"</f>
        <v>1.6226</v>
      </c>
      <c r="C1094" t="str">
        <f>"1.6222"</f>
        <v>1.6222</v>
      </c>
    </row>
    <row r="1095" spans="1:3" x14ac:dyDescent="0.25">
      <c r="A1095" t="str">
        <f>"28/11/2013"</f>
        <v>28/11/2013</v>
      </c>
      <c r="B1095" t="str">
        <f>"1.6311"</f>
        <v>1.6311</v>
      </c>
      <c r="C1095" t="str">
        <f>"1.6307"</f>
        <v>1.6307</v>
      </c>
    </row>
    <row r="1096" spans="1:3" x14ac:dyDescent="0.25">
      <c r="A1096" t="str">
        <f>"29/11/2013"</f>
        <v>29/11/2013</v>
      </c>
      <c r="B1096" t="str">
        <f>"1.6362"</f>
        <v>1.6362</v>
      </c>
      <c r="C1096" t="str">
        <f>"1.6359"</f>
        <v>1.6359</v>
      </c>
    </row>
    <row r="1097" spans="1:3" x14ac:dyDescent="0.25">
      <c r="A1097" t="str">
        <f>"02/12/2013"</f>
        <v>02/12/2013</v>
      </c>
      <c r="B1097" t="str">
        <f>"1.642"</f>
        <v>1.642</v>
      </c>
      <c r="C1097" t="str">
        <f>"1.6416"</f>
        <v>1.6416</v>
      </c>
    </row>
    <row r="1098" spans="1:3" x14ac:dyDescent="0.25">
      <c r="A1098" t="str">
        <f>"03/12/2013"</f>
        <v>03/12/2013</v>
      </c>
      <c r="B1098" t="str">
        <f>"1.6357"</f>
        <v>1.6357</v>
      </c>
      <c r="C1098" t="str">
        <f>"1.6354"</f>
        <v>1.6354</v>
      </c>
    </row>
    <row r="1099" spans="1:3" x14ac:dyDescent="0.25">
      <c r="A1099" t="str">
        <f>"04/12/2013"</f>
        <v>04/12/2013</v>
      </c>
      <c r="B1099" t="str">
        <f>"1.639"</f>
        <v>1.639</v>
      </c>
      <c r="C1099" t="str">
        <f>"1.6386"</f>
        <v>1.6386</v>
      </c>
    </row>
    <row r="1100" spans="1:3" x14ac:dyDescent="0.25">
      <c r="A1100" t="str">
        <f>"05/12/2013"</f>
        <v>05/12/2013</v>
      </c>
      <c r="B1100" t="str">
        <f>"1.6382"</f>
        <v>1.6382</v>
      </c>
      <c r="C1100" t="str">
        <f>"1.6379"</f>
        <v>1.6379</v>
      </c>
    </row>
    <row r="1101" spans="1:3" x14ac:dyDescent="0.25">
      <c r="A1101" t="str">
        <f>"06/12/2013"</f>
        <v>06/12/2013</v>
      </c>
      <c r="B1101" t="str">
        <f>"1.6331"</f>
        <v>1.6331</v>
      </c>
      <c r="C1101" t="str">
        <f>"1.6327"</f>
        <v>1.6327</v>
      </c>
    </row>
    <row r="1102" spans="1:3" x14ac:dyDescent="0.25">
      <c r="A1102" t="str">
        <f>"09/12/2013"</f>
        <v>09/12/2013</v>
      </c>
      <c r="B1102" t="str">
        <f>"1.6339"</f>
        <v>1.6339</v>
      </c>
      <c r="C1102" t="str">
        <f>"1.6335"</f>
        <v>1.6335</v>
      </c>
    </row>
    <row r="1103" spans="1:3" x14ac:dyDescent="0.25">
      <c r="A1103" t="str">
        <f>"10/12/2013"</f>
        <v>10/12/2013</v>
      </c>
      <c r="B1103" t="str">
        <f>"1.6457"</f>
        <v>1.6457</v>
      </c>
      <c r="C1103" t="str">
        <f>"1.6454"</f>
        <v>1.6454</v>
      </c>
    </row>
    <row r="1104" spans="1:3" x14ac:dyDescent="0.25">
      <c r="A1104" t="str">
        <f>"11/12/2013"</f>
        <v>11/12/2013</v>
      </c>
      <c r="B1104" t="str">
        <f>"1.644"</f>
        <v>1.644</v>
      </c>
      <c r="C1104" t="str">
        <f>"1.6437"</f>
        <v>1.6437</v>
      </c>
    </row>
    <row r="1105" spans="1:3" x14ac:dyDescent="0.25">
      <c r="A1105" t="str">
        <f>"12/12/2013"</f>
        <v>12/12/2013</v>
      </c>
      <c r="B1105" t="str">
        <f>"1.6362"</f>
        <v>1.6362</v>
      </c>
      <c r="C1105" t="str">
        <f>"1.636"</f>
        <v>1.636</v>
      </c>
    </row>
    <row r="1106" spans="1:3" x14ac:dyDescent="0.25">
      <c r="A1106" t="str">
        <f>"13/12/2013"</f>
        <v>13/12/2013</v>
      </c>
      <c r="B1106" t="str">
        <f>"1.6341"</f>
        <v>1.6341</v>
      </c>
      <c r="C1106" t="str">
        <f>"1.6338"</f>
        <v>1.6338</v>
      </c>
    </row>
    <row r="1107" spans="1:3" x14ac:dyDescent="0.25">
      <c r="A1107" t="str">
        <f>"16/12/2013"</f>
        <v>16/12/2013</v>
      </c>
      <c r="B1107" t="str">
        <f>"1.6304"</f>
        <v>1.6304</v>
      </c>
      <c r="C1107" t="str">
        <f>"1.6301"</f>
        <v>1.6301</v>
      </c>
    </row>
    <row r="1108" spans="1:3" x14ac:dyDescent="0.25">
      <c r="A1108" t="str">
        <f>"17/12/2013"</f>
        <v>17/12/2013</v>
      </c>
      <c r="B1108" t="str">
        <f>"1.6316"</f>
        <v>1.6316</v>
      </c>
      <c r="C1108" t="str">
        <f>"1.6313"</f>
        <v>1.6313</v>
      </c>
    </row>
    <row r="1109" spans="1:3" x14ac:dyDescent="0.25">
      <c r="A1109" t="str">
        <f>"18/12/2013"</f>
        <v>18/12/2013</v>
      </c>
      <c r="B1109" t="str">
        <f>"1.6283"</f>
        <v>1.6283</v>
      </c>
      <c r="C1109" t="str">
        <f>"1.628"</f>
        <v>1.628</v>
      </c>
    </row>
    <row r="1110" spans="1:3" x14ac:dyDescent="0.25">
      <c r="A1110" t="str">
        <f>"19/12/2013"</f>
        <v>19/12/2013</v>
      </c>
      <c r="B1110" t="str">
        <f>"1.6372"</f>
        <v>1.6372</v>
      </c>
      <c r="C1110" t="str">
        <f>"1.6369"</f>
        <v>1.6369</v>
      </c>
    </row>
    <row r="1111" spans="1:3" x14ac:dyDescent="0.25">
      <c r="A1111" t="str">
        <f>"20/12/2013"</f>
        <v>20/12/2013</v>
      </c>
      <c r="B1111" t="str">
        <f>"1.6364"</f>
        <v>1.6364</v>
      </c>
      <c r="C1111" t="str">
        <f>"1.6362"</f>
        <v>1.6362</v>
      </c>
    </row>
    <row r="1112" spans="1:3" x14ac:dyDescent="0.25">
      <c r="A1112" t="str">
        <f>"23/12/2013"</f>
        <v>23/12/2013</v>
      </c>
      <c r="B1112" t="str">
        <f>"1.6347"</f>
        <v>1.6347</v>
      </c>
      <c r="C1112" t="str">
        <f>"1.6344"</f>
        <v>1.6344</v>
      </c>
    </row>
    <row r="1113" spans="1:3" x14ac:dyDescent="0.25">
      <c r="A1113" t="str">
        <f>"24/12/2013"</f>
        <v>24/12/2013</v>
      </c>
      <c r="B1113" t="str">
        <f>"1.6349"</f>
        <v>1.6349</v>
      </c>
      <c r="C1113" t="str">
        <f>"1.6347"</f>
        <v>1.6347</v>
      </c>
    </row>
    <row r="1114" spans="1:3" x14ac:dyDescent="0.25">
      <c r="A1114" t="str">
        <f>"26/12/2013"</f>
        <v>26/12/2013</v>
      </c>
      <c r="B1114" t="str">
        <f>"1.6375"</f>
        <v>1.6375</v>
      </c>
      <c r="C1114" t="str">
        <f>"1.6373"</f>
        <v>1.6373</v>
      </c>
    </row>
    <row r="1115" spans="1:3" x14ac:dyDescent="0.25">
      <c r="A1115" t="str">
        <f>"27/12/2013"</f>
        <v>27/12/2013</v>
      </c>
      <c r="B1115" t="str">
        <f>"1.6436"</f>
        <v>1.6436</v>
      </c>
      <c r="C1115" t="str">
        <f>"1.6433"</f>
        <v>1.6433</v>
      </c>
    </row>
    <row r="1116" spans="1:3" x14ac:dyDescent="0.25">
      <c r="A1116" t="str">
        <f>"30/12/2013"</f>
        <v>30/12/2013</v>
      </c>
      <c r="B1116" t="str">
        <f>"1.6476"</f>
        <v>1.6476</v>
      </c>
      <c r="C1116" t="str">
        <f>"1.6473"</f>
        <v>1.6473</v>
      </c>
    </row>
    <row r="1117" spans="1:3" x14ac:dyDescent="0.25">
      <c r="A1117" t="str">
        <f>"31/12/2013"</f>
        <v>31/12/2013</v>
      </c>
      <c r="B1117" t="str">
        <f>"1.6479"</f>
        <v>1.6479</v>
      </c>
      <c r="C1117" t="str">
        <f>"1.6476"</f>
        <v>1.6476</v>
      </c>
    </row>
    <row r="1118" spans="1:3" x14ac:dyDescent="0.25">
      <c r="A1118" t="str">
        <f>"01/01/2014"</f>
        <v>01/01/2014</v>
      </c>
      <c r="B1118" t="str">
        <f>"1.6528"</f>
        <v>1.6528</v>
      </c>
      <c r="C1118" t="str">
        <f>"1.6525"</f>
        <v>1.6525</v>
      </c>
    </row>
    <row r="1119" spans="1:3" x14ac:dyDescent="0.25">
      <c r="A1119" t="str">
        <f>"02/01/2014"</f>
        <v>02/01/2014</v>
      </c>
      <c r="B1119" t="str">
        <f>"1.6585"</f>
        <v>1.6585</v>
      </c>
      <c r="C1119" t="str">
        <f>"1.6582"</f>
        <v>1.6582</v>
      </c>
    </row>
    <row r="1120" spans="1:3" x14ac:dyDescent="0.25">
      <c r="A1120" t="str">
        <f>"03/01/2014"</f>
        <v>03/01/2014</v>
      </c>
      <c r="B1120" t="str">
        <f>"1.6447"</f>
        <v>1.6447</v>
      </c>
      <c r="C1120" t="str">
        <f>"1.6443"</f>
        <v>1.6443</v>
      </c>
    </row>
    <row r="1121" spans="1:3" x14ac:dyDescent="0.25">
      <c r="A1121" t="str">
        <f>"06/01/2014"</f>
        <v>06/01/2014</v>
      </c>
      <c r="B1121" t="str">
        <f>"1.6351"</f>
        <v>1.6351</v>
      </c>
      <c r="C1121" t="str">
        <f>"1.6348"</f>
        <v>1.6348</v>
      </c>
    </row>
    <row r="1122" spans="1:3" x14ac:dyDescent="0.25">
      <c r="A1122" t="str">
        <f>"07/01/2014"</f>
        <v>07/01/2014</v>
      </c>
      <c r="B1122" t="str">
        <f>"1.6393"</f>
        <v>1.6393</v>
      </c>
      <c r="C1122" t="str">
        <f>"1.6389"</f>
        <v>1.6389</v>
      </c>
    </row>
    <row r="1123" spans="1:3" x14ac:dyDescent="0.25">
      <c r="A1123" t="str">
        <f>"08/01/2014"</f>
        <v>08/01/2014</v>
      </c>
      <c r="B1123" t="str">
        <f>"1.6406"</f>
        <v>1.6406</v>
      </c>
      <c r="C1123" t="str">
        <f>"1.6402"</f>
        <v>1.6402</v>
      </c>
    </row>
    <row r="1124" spans="1:3" x14ac:dyDescent="0.25">
      <c r="A1124" t="str">
        <f>"09/01/2014"</f>
        <v>09/01/2014</v>
      </c>
      <c r="B1124" t="str">
        <f>"1.6446"</f>
        <v>1.6446</v>
      </c>
      <c r="C1124" t="str">
        <f>"1.6443"</f>
        <v>1.6443</v>
      </c>
    </row>
    <row r="1125" spans="1:3" x14ac:dyDescent="0.25">
      <c r="A1125" t="str">
        <f>"10/01/2014"</f>
        <v>10/01/2014</v>
      </c>
      <c r="B1125" t="str">
        <f>"1.6478"</f>
        <v>1.6478</v>
      </c>
      <c r="C1125" t="str">
        <f>"1.6474"</f>
        <v>1.6474</v>
      </c>
    </row>
    <row r="1126" spans="1:3" x14ac:dyDescent="0.25">
      <c r="A1126" t="str">
        <f>"16/01/2014"</f>
        <v>16/01/2014</v>
      </c>
      <c r="B1126" t="str">
        <f>"1.6369"</f>
        <v>1.6369</v>
      </c>
      <c r="C1126" t="str">
        <f>"1.6365"</f>
        <v>1.6365</v>
      </c>
    </row>
    <row r="1127" spans="1:3" x14ac:dyDescent="0.25">
      <c r="A1127" t="str">
        <f>"17/01/2014"</f>
        <v>17/01/2014</v>
      </c>
      <c r="B1127" t="str">
        <f>"1.6332"</f>
        <v>1.6332</v>
      </c>
      <c r="C1127" t="str">
        <f>"1.6328"</f>
        <v>1.6328</v>
      </c>
    </row>
    <row r="1128" spans="1:3" x14ac:dyDescent="0.25">
      <c r="A1128" t="str">
        <f>"20/01/2014"</f>
        <v>20/01/2014</v>
      </c>
      <c r="B1128" t="str">
        <f>"1.6412"</f>
        <v>1.6412</v>
      </c>
      <c r="C1128" t="str">
        <f>"1.6408"</f>
        <v>1.6408</v>
      </c>
    </row>
    <row r="1129" spans="1:3" x14ac:dyDescent="0.25">
      <c r="A1129" t="str">
        <f>"21/01/2014"</f>
        <v>21/01/2014</v>
      </c>
      <c r="B1129" t="str">
        <f>"1.6425"</f>
        <v>1.6425</v>
      </c>
      <c r="C1129" t="str">
        <f>"1.6421"</f>
        <v>1.6421</v>
      </c>
    </row>
    <row r="1130" spans="1:3" x14ac:dyDescent="0.25">
      <c r="A1130" t="str">
        <f>"22/01/2014"</f>
        <v>22/01/2014</v>
      </c>
      <c r="B1130" t="str">
        <f>"1.6479"</f>
        <v>1.6479</v>
      </c>
      <c r="C1130" t="str">
        <f>"1.6475"</f>
        <v>1.6475</v>
      </c>
    </row>
    <row r="1131" spans="1:3" x14ac:dyDescent="0.25">
      <c r="A1131" t="str">
        <f>"23/01/2014"</f>
        <v>23/01/2014</v>
      </c>
      <c r="B1131" t="str">
        <f>"1.656"</f>
        <v>1.656</v>
      </c>
      <c r="C1131" t="str">
        <f>"1.6556"</f>
        <v>1.6556</v>
      </c>
    </row>
    <row r="1132" spans="1:3" x14ac:dyDescent="0.25">
      <c r="A1132" t="str">
        <f>"24/01/2014"</f>
        <v>24/01/2014</v>
      </c>
      <c r="B1132" t="str">
        <f>"1.6634"</f>
        <v>1.6634</v>
      </c>
      <c r="C1132" t="str">
        <f>"1.663"</f>
        <v>1.663</v>
      </c>
    </row>
    <row r="1133" spans="1:3" x14ac:dyDescent="0.25">
      <c r="A1133" t="str">
        <f>"27/01/2014"</f>
        <v>27/01/2014</v>
      </c>
      <c r="B1133" t="str">
        <f>"1.6502"</f>
        <v>1.6502</v>
      </c>
      <c r="C1133" t="str">
        <f>"1.6498"</f>
        <v>1.6498</v>
      </c>
    </row>
    <row r="1134" spans="1:3" x14ac:dyDescent="0.25">
      <c r="A1134" t="str">
        <f>"28/01/2014"</f>
        <v>28/01/2014</v>
      </c>
      <c r="B1134" t="str">
        <f>"1.6606"</f>
        <v>1.6606</v>
      </c>
      <c r="C1134" t="str">
        <f>"1.6602"</f>
        <v>1.6602</v>
      </c>
    </row>
    <row r="1135" spans="1:3" x14ac:dyDescent="0.25">
      <c r="A1135" t="str">
        <f>"29/01/2014"</f>
        <v>29/01/2014</v>
      </c>
      <c r="B1135" t="str">
        <f>"1.6575"</f>
        <v>1.6575</v>
      </c>
      <c r="C1135" t="str">
        <f>"1.6571"</f>
        <v>1.6571</v>
      </c>
    </row>
    <row r="1136" spans="1:3" x14ac:dyDescent="0.25">
      <c r="A1136" t="str">
        <f>"30/01/2014"</f>
        <v>30/01/2014</v>
      </c>
      <c r="B1136" t="str">
        <f>"1.6562"</f>
        <v>1.6562</v>
      </c>
      <c r="C1136" t="str">
        <f>"1.6559"</f>
        <v>1.6559</v>
      </c>
    </row>
    <row r="1137" spans="1:3" x14ac:dyDescent="0.25">
      <c r="A1137" t="str">
        <f>"31/01/2014"</f>
        <v>31/01/2014</v>
      </c>
      <c r="B1137" t="str">
        <f>"1.6471"</f>
        <v>1.6471</v>
      </c>
      <c r="C1137" t="str">
        <f>"1.6467"</f>
        <v>1.6467</v>
      </c>
    </row>
    <row r="1138" spans="1:3" x14ac:dyDescent="0.25">
      <c r="A1138" t="str">
        <f>"03/02/2014"</f>
        <v>03/02/2014</v>
      </c>
      <c r="B1138" t="str">
        <f>"1.6428"</f>
        <v>1.6428</v>
      </c>
      <c r="C1138" t="str">
        <f>"1.6424"</f>
        <v>1.6424</v>
      </c>
    </row>
    <row r="1139" spans="1:3" x14ac:dyDescent="0.25">
      <c r="A1139" t="str">
        <f>"04/02/2014"</f>
        <v>04/02/2014</v>
      </c>
      <c r="B1139" t="str">
        <f>"1.6293"</f>
        <v>1.6293</v>
      </c>
      <c r="C1139" t="str">
        <f>"1.6289"</f>
        <v>1.6289</v>
      </c>
    </row>
    <row r="1140" spans="1:3" x14ac:dyDescent="0.25">
      <c r="A1140" t="str">
        <f>"05/02/2014"</f>
        <v>05/02/2014</v>
      </c>
      <c r="B1140" t="str">
        <f>"1.6333"</f>
        <v>1.6333</v>
      </c>
      <c r="C1140" t="str">
        <f>"1.6329"</f>
        <v>1.6329</v>
      </c>
    </row>
    <row r="1141" spans="1:3" x14ac:dyDescent="0.25">
      <c r="A1141" t="str">
        <f>"06/02/2014"</f>
        <v>06/02/2014</v>
      </c>
      <c r="B1141" t="str">
        <f>"1.6308"</f>
        <v>1.6308</v>
      </c>
      <c r="C1141" t="str">
        <f>"1.6304"</f>
        <v>1.6304</v>
      </c>
    </row>
    <row r="1142" spans="1:3" x14ac:dyDescent="0.25">
      <c r="A1142" t="str">
        <f>"07/02/2014"</f>
        <v>07/02/2014</v>
      </c>
      <c r="B1142" t="str">
        <f>"1.6323"</f>
        <v>1.6323</v>
      </c>
      <c r="C1142" t="str">
        <f>"1.6319"</f>
        <v>1.6319</v>
      </c>
    </row>
    <row r="1143" spans="1:3" x14ac:dyDescent="0.25">
      <c r="A1143" t="str">
        <f>"10/02/2014"</f>
        <v>10/02/2014</v>
      </c>
      <c r="B1143" t="str">
        <f>"1.6411"</f>
        <v>1.6411</v>
      </c>
      <c r="C1143" t="str">
        <f>"1.6407"</f>
        <v>1.6407</v>
      </c>
    </row>
    <row r="1144" spans="1:3" x14ac:dyDescent="0.25">
      <c r="A1144" t="str">
        <f>"11/02/2014"</f>
        <v>11/02/2014</v>
      </c>
      <c r="B1144" t="str">
        <f>"1.6423"</f>
        <v>1.6423</v>
      </c>
      <c r="C1144" t="str">
        <f>"1.6419"</f>
        <v>1.6419</v>
      </c>
    </row>
    <row r="1145" spans="1:3" x14ac:dyDescent="0.25">
      <c r="A1145" t="str">
        <f>"12/02/2014"</f>
        <v>12/02/2014</v>
      </c>
      <c r="B1145" t="str">
        <f>"1.6447"</f>
        <v>1.6447</v>
      </c>
      <c r="C1145" t="str">
        <f>"1.6444"</f>
        <v>1.6444</v>
      </c>
    </row>
    <row r="1146" spans="1:3" x14ac:dyDescent="0.25">
      <c r="A1146" t="str">
        <f>"13/02/2014"</f>
        <v>13/02/2014</v>
      </c>
      <c r="B1146" t="str">
        <f>"1.6618"</f>
        <v>1.6618</v>
      </c>
      <c r="C1146" t="str">
        <f>"1.6615"</f>
        <v>1.6615</v>
      </c>
    </row>
    <row r="1147" spans="1:3" x14ac:dyDescent="0.25">
      <c r="A1147" t="str">
        <f>"14/02/2014"</f>
        <v>14/02/2014</v>
      </c>
      <c r="B1147" t="str">
        <f>"1.6653"</f>
        <v>1.6653</v>
      </c>
      <c r="C1147" t="str">
        <f>"1.6649"</f>
        <v>1.6649</v>
      </c>
    </row>
    <row r="1148" spans="1:3" x14ac:dyDescent="0.25">
      <c r="A1148" t="str">
        <f>"17/02/2014"</f>
        <v>17/02/2014</v>
      </c>
      <c r="B1148" t="str">
        <f>"1.6789"</f>
        <v>1.6789</v>
      </c>
      <c r="C1148" t="str">
        <f>"1.6785"</f>
        <v>1.6785</v>
      </c>
    </row>
    <row r="1149" spans="1:3" x14ac:dyDescent="0.25">
      <c r="A1149" t="str">
        <f>"18/02/2014"</f>
        <v>18/02/2014</v>
      </c>
      <c r="B1149" t="str">
        <f>"1.6731"</f>
        <v>1.6731</v>
      </c>
      <c r="C1149" t="str">
        <f>"1.6727"</f>
        <v>1.6727</v>
      </c>
    </row>
    <row r="1150" spans="1:3" x14ac:dyDescent="0.25">
      <c r="A1150" t="str">
        <f>"19/02/2014"</f>
        <v>19/02/2014</v>
      </c>
      <c r="B1150" t="str">
        <f>"1.6688"</f>
        <v>1.6688</v>
      </c>
      <c r="C1150" t="str">
        <f>"1.6684"</f>
        <v>1.6684</v>
      </c>
    </row>
    <row r="1151" spans="1:3" x14ac:dyDescent="0.25">
      <c r="A1151" t="str">
        <f>"20/02/2014"</f>
        <v>20/02/2014</v>
      </c>
      <c r="B1151" t="str">
        <f>"1.6672"</f>
        <v>1.6672</v>
      </c>
      <c r="C1151" t="str">
        <f>"1.6669"</f>
        <v>1.6669</v>
      </c>
    </row>
    <row r="1152" spans="1:3" x14ac:dyDescent="0.25">
      <c r="A1152" t="str">
        <f>"21/02/2014"</f>
        <v>21/02/2014</v>
      </c>
      <c r="B1152" t="str">
        <f>"1.6651"</f>
        <v>1.6651</v>
      </c>
      <c r="C1152" t="str">
        <f>"1.6647"</f>
        <v>1.6647</v>
      </c>
    </row>
    <row r="1153" spans="1:3" x14ac:dyDescent="0.25">
      <c r="A1153" t="str">
        <f>"24/02/2014"</f>
        <v>24/02/2014</v>
      </c>
      <c r="B1153" t="str">
        <f>"1.6639"</f>
        <v>1.6639</v>
      </c>
      <c r="C1153" t="str">
        <f>"1.6635"</f>
        <v>1.6635</v>
      </c>
    </row>
    <row r="1154" spans="1:3" x14ac:dyDescent="0.25">
      <c r="A1154" t="str">
        <f>"25/02/2014"</f>
        <v>25/02/2014</v>
      </c>
      <c r="B1154" t="str">
        <f>"1.6662"</f>
        <v>1.6662</v>
      </c>
      <c r="C1154" t="str">
        <f>"1.6658"</f>
        <v>1.6658</v>
      </c>
    </row>
    <row r="1155" spans="1:3" x14ac:dyDescent="0.25">
      <c r="A1155" t="str">
        <f>"26/02/2014"</f>
        <v>26/02/2014</v>
      </c>
      <c r="B1155" t="str">
        <f>"1.6678"</f>
        <v>1.6678</v>
      </c>
      <c r="C1155" t="str">
        <f>"1.6674"</f>
        <v>1.6674</v>
      </c>
    </row>
    <row r="1156" spans="1:3" x14ac:dyDescent="0.25">
      <c r="A1156" t="str">
        <f>"28/02/2014"</f>
        <v>28/02/2014</v>
      </c>
      <c r="B1156" t="str">
        <f>"1.6682"</f>
        <v>1.6682</v>
      </c>
      <c r="C1156" t="str">
        <f>"1.6678"</f>
        <v>1.6678</v>
      </c>
    </row>
    <row r="1157" spans="1:3" x14ac:dyDescent="0.25">
      <c r="A1157" t="str">
        <f>"03/03/2014"</f>
        <v>03/03/2014</v>
      </c>
      <c r="B1157" t="str">
        <f>"1.6746"</f>
        <v>1.6746</v>
      </c>
      <c r="C1157" t="str">
        <f>"1.6742"</f>
        <v>1.6742</v>
      </c>
    </row>
    <row r="1158" spans="1:3" x14ac:dyDescent="0.25">
      <c r="A1158" t="str">
        <f>"04/03/2014"</f>
        <v>04/03/2014</v>
      </c>
      <c r="B1158" t="str">
        <f>"1.6656"</f>
        <v>1.6656</v>
      </c>
      <c r="C1158" t="str">
        <f>"1.6652"</f>
        <v>1.6652</v>
      </c>
    </row>
    <row r="1159" spans="1:3" x14ac:dyDescent="0.25">
      <c r="A1159" t="str">
        <f>"05/03/2014"</f>
        <v>05/03/2014</v>
      </c>
      <c r="B1159" t="str">
        <f>"1.6664"</f>
        <v>1.6664</v>
      </c>
      <c r="C1159" t="str">
        <f>"1.6661"</f>
        <v>1.6661</v>
      </c>
    </row>
    <row r="1160" spans="1:3" x14ac:dyDescent="0.25">
      <c r="A1160" t="str">
        <f>"06/03/2014"</f>
        <v>06/03/2014</v>
      </c>
      <c r="B1160" t="str">
        <f>"1.671"</f>
        <v>1.671</v>
      </c>
      <c r="C1160" t="str">
        <f>"1.6706"</f>
        <v>1.6706</v>
      </c>
    </row>
    <row r="1161" spans="1:3" x14ac:dyDescent="0.25">
      <c r="A1161" t="str">
        <f>"07/03/2014"</f>
        <v>07/03/2014</v>
      </c>
      <c r="B1161" t="str">
        <f>"1.6737"</f>
        <v>1.6737</v>
      </c>
      <c r="C1161" t="str">
        <f>"1.6733"</f>
        <v>1.6733</v>
      </c>
    </row>
    <row r="1162" spans="1:3" x14ac:dyDescent="0.25">
      <c r="A1162" t="str">
        <f>"10/03/2014"</f>
        <v>10/03/2014</v>
      </c>
      <c r="B1162" t="str">
        <f>"1.6734"</f>
        <v>1.6734</v>
      </c>
      <c r="C1162" t="str">
        <f>"1.673"</f>
        <v>1.673</v>
      </c>
    </row>
    <row r="1163" spans="1:3" x14ac:dyDescent="0.25">
      <c r="A1163" t="str">
        <f>"11/03/2014"</f>
        <v>11/03/2014</v>
      </c>
      <c r="B1163" t="str">
        <f>"1.6642"</f>
        <v>1.6642</v>
      </c>
      <c r="C1163" t="str">
        <f>"1.6637"</f>
        <v>1.6637</v>
      </c>
    </row>
    <row r="1164" spans="1:3" x14ac:dyDescent="0.25">
      <c r="A1164" t="str">
        <f>"12/03/2014"</f>
        <v>12/03/2014</v>
      </c>
      <c r="B1164" t="str">
        <f>"1.6625"</f>
        <v>1.6625</v>
      </c>
      <c r="C1164" t="str">
        <f>"1.6621"</f>
        <v>1.6621</v>
      </c>
    </row>
    <row r="1165" spans="1:3" x14ac:dyDescent="0.25">
      <c r="A1165" t="str">
        <f>"13/03/2014"</f>
        <v>13/03/2014</v>
      </c>
      <c r="B1165" t="str">
        <f>"1.6663"</f>
        <v>1.6663</v>
      </c>
      <c r="C1165" t="str">
        <f>"1.6659"</f>
        <v>1.6659</v>
      </c>
    </row>
    <row r="1166" spans="1:3" x14ac:dyDescent="0.25">
      <c r="A1166" t="str">
        <f>"14/03/2014"</f>
        <v>14/03/2014</v>
      </c>
      <c r="B1166" t="str">
        <f>"1.6623"</f>
        <v>1.6623</v>
      </c>
      <c r="C1166" t="str">
        <f>"1.6618"</f>
        <v>1.6618</v>
      </c>
    </row>
    <row r="1167" spans="1:3" x14ac:dyDescent="0.25">
      <c r="A1167" t="str">
        <f>"18/03/2014"</f>
        <v>18/03/2014</v>
      </c>
      <c r="B1167" t="str">
        <f>"1.6637"</f>
        <v>1.6637</v>
      </c>
      <c r="C1167" t="str">
        <f>"1.6633"</f>
        <v>1.6633</v>
      </c>
    </row>
    <row r="1168" spans="1:3" x14ac:dyDescent="0.25">
      <c r="A1168" t="str">
        <f>"19/03/2014"</f>
        <v>19/03/2014</v>
      </c>
      <c r="B1168" t="str">
        <f>"1.6595"</f>
        <v>1.6595</v>
      </c>
      <c r="C1168" t="str">
        <f>"1.6591"</f>
        <v>1.6591</v>
      </c>
    </row>
    <row r="1169" spans="1:3" x14ac:dyDescent="0.25">
      <c r="A1169" t="str">
        <f>"20/03/2014"</f>
        <v>20/03/2014</v>
      </c>
      <c r="B1169" t="str">
        <f>"1.654"</f>
        <v>1.654</v>
      </c>
      <c r="C1169" t="str">
        <f>"1.6536"</f>
        <v>1.6536</v>
      </c>
    </row>
    <row r="1170" spans="1:3" x14ac:dyDescent="0.25">
      <c r="A1170" t="str">
        <f>"21/03/2014"</f>
        <v>21/03/2014</v>
      </c>
      <c r="B1170" t="str">
        <f>"1.6508"</f>
        <v>1.6508</v>
      </c>
      <c r="C1170" t="str">
        <f>"1.6504"</f>
        <v>1.6504</v>
      </c>
    </row>
    <row r="1171" spans="1:3" x14ac:dyDescent="0.25">
      <c r="A1171" t="str">
        <f>"24/03/2014"</f>
        <v>24/03/2014</v>
      </c>
      <c r="B1171" t="str">
        <f>"1.6488"</f>
        <v>1.6488</v>
      </c>
      <c r="C1171" t="str">
        <f>"1.6483"</f>
        <v>1.6483</v>
      </c>
    </row>
    <row r="1172" spans="1:3" x14ac:dyDescent="0.25">
      <c r="A1172" t="str">
        <f>"25/03/2014"</f>
        <v>25/03/2014</v>
      </c>
      <c r="B1172" t="str">
        <f>"1.6495"</f>
        <v>1.6495</v>
      </c>
      <c r="C1172" t="str">
        <f>"1.6491"</f>
        <v>1.6491</v>
      </c>
    </row>
    <row r="1173" spans="1:3" x14ac:dyDescent="0.25">
      <c r="A1173" t="str">
        <f>"26/03/2014"</f>
        <v>26/03/2014</v>
      </c>
      <c r="B1173" t="str">
        <f>"1.6532"</f>
        <v>1.6532</v>
      </c>
      <c r="C1173" t="str">
        <f>"1.6528"</f>
        <v>1.6528</v>
      </c>
    </row>
    <row r="1174" spans="1:3" x14ac:dyDescent="0.25">
      <c r="A1174" t="str">
        <f>"27/03/2014"</f>
        <v>27/03/2014</v>
      </c>
      <c r="B1174" t="str">
        <f>"1.6582"</f>
        <v>1.6582</v>
      </c>
      <c r="C1174" t="str">
        <f>"1.6578"</f>
        <v>1.6578</v>
      </c>
    </row>
    <row r="1175" spans="1:3" x14ac:dyDescent="0.25">
      <c r="A1175" t="str">
        <f>"28/03/2014"</f>
        <v>28/03/2014</v>
      </c>
      <c r="B1175" t="str">
        <f>"1.6619"</f>
        <v>1.6619</v>
      </c>
      <c r="C1175" t="str">
        <f>"1.6616"</f>
        <v>1.6616</v>
      </c>
    </row>
    <row r="1176" spans="1:3" x14ac:dyDescent="0.25">
      <c r="A1176" t="str">
        <f>"02/04/2014"</f>
        <v>02/04/2014</v>
      </c>
      <c r="B1176" t="str">
        <f>"1.6627"</f>
        <v>1.6627</v>
      </c>
      <c r="C1176" t="str">
        <f>"1.6622"</f>
        <v>1.6622</v>
      </c>
    </row>
    <row r="1177" spans="1:3" x14ac:dyDescent="0.25">
      <c r="A1177" t="str">
        <f>"03/04/2014"</f>
        <v>03/04/2014</v>
      </c>
      <c r="B1177" t="str">
        <f>"1.6639"</f>
        <v>1.6639</v>
      </c>
      <c r="C1177" t="str">
        <f>"1.6635"</f>
        <v>1.6635</v>
      </c>
    </row>
    <row r="1178" spans="1:3" x14ac:dyDescent="0.25">
      <c r="A1178" t="str">
        <f>"04/04/2014"</f>
        <v>04/04/2014</v>
      </c>
      <c r="B1178" t="str">
        <f>"1.6586"</f>
        <v>1.6586</v>
      </c>
      <c r="C1178" t="str">
        <f>"1.6582"</f>
        <v>1.6582</v>
      </c>
    </row>
    <row r="1179" spans="1:3" x14ac:dyDescent="0.25">
      <c r="A1179" t="str">
        <f>"07/04/2014"</f>
        <v>07/04/2014</v>
      </c>
      <c r="B1179" t="str">
        <f>"1.6571"</f>
        <v>1.6571</v>
      </c>
      <c r="C1179" t="str">
        <f>"1.6567"</f>
        <v>1.6567</v>
      </c>
    </row>
    <row r="1180" spans="1:3" x14ac:dyDescent="0.25">
      <c r="A1180" t="str">
        <f>"09/04/2014"</f>
        <v>09/04/2014</v>
      </c>
      <c r="B1180" t="str">
        <f>"1.6746"</f>
        <v>1.6746</v>
      </c>
      <c r="C1180" t="str">
        <f>"1.6742"</f>
        <v>1.6742</v>
      </c>
    </row>
    <row r="1181" spans="1:3" x14ac:dyDescent="0.25">
      <c r="A1181" t="str">
        <f>"10/04/2014"</f>
        <v>10/04/2014</v>
      </c>
      <c r="B1181" t="str">
        <f>"1.6796"</f>
        <v>1.6796</v>
      </c>
      <c r="C1181" t="str">
        <f>"1.6792"</f>
        <v>1.6792</v>
      </c>
    </row>
    <row r="1182" spans="1:3" x14ac:dyDescent="0.25">
      <c r="A1182" t="str">
        <f>"11/04/2014"</f>
        <v>11/04/2014</v>
      </c>
      <c r="B1182" t="str">
        <f>"1.6769"</f>
        <v>1.6769</v>
      </c>
      <c r="C1182" t="str">
        <f>"1.6766"</f>
        <v>1.6766</v>
      </c>
    </row>
    <row r="1183" spans="1:3" x14ac:dyDescent="0.25">
      <c r="A1183" t="str">
        <f>"15/04/2014"</f>
        <v>15/04/2014</v>
      </c>
      <c r="B1183" t="str">
        <f>"1.6714"</f>
        <v>1.6714</v>
      </c>
      <c r="C1183" t="str">
        <f>"1.671"</f>
        <v>1.671</v>
      </c>
    </row>
    <row r="1184" spans="1:3" x14ac:dyDescent="0.25">
      <c r="A1184" t="str">
        <f>"16/04/2014"</f>
        <v>16/04/2014</v>
      </c>
      <c r="B1184" t="str">
        <f>"1.6726"</f>
        <v>1.6726</v>
      </c>
      <c r="C1184" t="str">
        <f>"1.6721"</f>
        <v>1.6721</v>
      </c>
    </row>
    <row r="1185" spans="1:3" x14ac:dyDescent="0.25">
      <c r="A1185" t="str">
        <f>"17/04/2014"</f>
        <v>17/04/2014</v>
      </c>
      <c r="B1185" t="str">
        <f>"1.683"</f>
        <v>1.683</v>
      </c>
      <c r="C1185" t="str">
        <f>"1.6826"</f>
        <v>1.6826</v>
      </c>
    </row>
    <row r="1186" spans="1:3" x14ac:dyDescent="0.25">
      <c r="A1186" t="str">
        <f>"21/04/2014"</f>
        <v>21/04/2014</v>
      </c>
      <c r="B1186" t="str">
        <f>"1.6798"</f>
        <v>1.6798</v>
      </c>
      <c r="C1186" t="str">
        <f>"1.6794"</f>
        <v>1.6794</v>
      </c>
    </row>
    <row r="1187" spans="1:3" x14ac:dyDescent="0.25">
      <c r="A1187" t="str">
        <f>"22/04/2014"</f>
        <v>22/04/2014</v>
      </c>
      <c r="B1187" t="str">
        <f>"1.6793"</f>
        <v>1.6793</v>
      </c>
      <c r="C1187" t="str">
        <f>"1.6789"</f>
        <v>1.6789</v>
      </c>
    </row>
    <row r="1188" spans="1:3" x14ac:dyDescent="0.25">
      <c r="A1188" t="str">
        <f>"23/04/2014"</f>
        <v>23/04/2014</v>
      </c>
      <c r="B1188" t="str">
        <f>"1.6832"</f>
        <v>1.6832</v>
      </c>
      <c r="C1188" t="str">
        <f>"1.6828"</f>
        <v>1.6828</v>
      </c>
    </row>
    <row r="1189" spans="1:3" x14ac:dyDescent="0.25">
      <c r="A1189" t="str">
        <f>"25/04/2014"</f>
        <v>25/04/2014</v>
      </c>
      <c r="B1189" t="str">
        <f>"1.6807"</f>
        <v>1.6807</v>
      </c>
      <c r="C1189" t="str">
        <f>"1.6803"</f>
        <v>1.6803</v>
      </c>
    </row>
    <row r="1190" spans="1:3" x14ac:dyDescent="0.25">
      <c r="A1190" t="str">
        <f>"28/04/2014"</f>
        <v>28/04/2014</v>
      </c>
      <c r="B1190" t="str">
        <f>"1.6803"</f>
        <v>1.6803</v>
      </c>
      <c r="C1190" t="str">
        <f>"1.6799"</f>
        <v>1.6799</v>
      </c>
    </row>
    <row r="1191" spans="1:3" x14ac:dyDescent="0.25">
      <c r="A1191" t="str">
        <f>"29/04/2014"</f>
        <v>29/04/2014</v>
      </c>
      <c r="B1191" t="str">
        <f>"1.6815"</f>
        <v>1.6815</v>
      </c>
      <c r="C1191" t="str">
        <f>"1.6811"</f>
        <v>1.6811</v>
      </c>
    </row>
    <row r="1192" spans="1:3" x14ac:dyDescent="0.25">
      <c r="A1192" t="str">
        <f>"30/04/2014"</f>
        <v>30/04/2014</v>
      </c>
      <c r="B1192" t="str">
        <f>"1.6827"</f>
        <v>1.6827</v>
      </c>
      <c r="C1192" t="str">
        <f>"1.6823"</f>
        <v>1.6823</v>
      </c>
    </row>
    <row r="1193" spans="1:3" x14ac:dyDescent="0.25">
      <c r="A1193" t="str">
        <f>"02/05/2014"</f>
        <v>02/05/2014</v>
      </c>
      <c r="B1193" t="str">
        <f>"1.6885"</f>
        <v>1.6885</v>
      </c>
      <c r="C1193" t="str">
        <f>"1.6881"</f>
        <v>1.6881</v>
      </c>
    </row>
    <row r="1194" spans="1:3" x14ac:dyDescent="0.25">
      <c r="A1194" t="str">
        <f>"05/05/2014"</f>
        <v>05/05/2014</v>
      </c>
      <c r="B1194" t="str">
        <f>"1.6873"</f>
        <v>1.6873</v>
      </c>
      <c r="C1194" t="str">
        <f>"1.6869"</f>
        <v>1.6869</v>
      </c>
    </row>
    <row r="1195" spans="1:3" x14ac:dyDescent="0.25">
      <c r="A1195" t="str">
        <f>"06/05/2014"</f>
        <v>06/05/2014</v>
      </c>
      <c r="B1195" t="str">
        <f>"1.689"</f>
        <v>1.689</v>
      </c>
      <c r="C1195" t="str">
        <f>"1.6886"</f>
        <v>1.6886</v>
      </c>
    </row>
    <row r="1196" spans="1:3" x14ac:dyDescent="0.25">
      <c r="A1196" t="str">
        <f>"07/05/2014"</f>
        <v>07/05/2014</v>
      </c>
      <c r="B1196" t="str">
        <f>"1.6977"</f>
        <v>1.6977</v>
      </c>
      <c r="C1196" t="str">
        <f>"1.6973"</f>
        <v>1.6973</v>
      </c>
    </row>
    <row r="1197" spans="1:3" x14ac:dyDescent="0.25">
      <c r="A1197" t="str">
        <f>"08/05/2014"</f>
        <v>08/05/2014</v>
      </c>
      <c r="B1197" t="str">
        <f>"1.6952"</f>
        <v>1.6952</v>
      </c>
      <c r="C1197" t="str">
        <f>"1.6948"</f>
        <v>1.6948</v>
      </c>
    </row>
    <row r="1198" spans="1:3" x14ac:dyDescent="0.25">
      <c r="A1198" t="str">
        <f>"09/05/2014"</f>
        <v>09/05/2014</v>
      </c>
    </row>
    <row r="1199" spans="1:3" x14ac:dyDescent="0.25">
      <c r="A1199" t="str">
        <f>"12/05/2014"</f>
        <v>12/05/2014</v>
      </c>
      <c r="B1199" t="str">
        <f>"1.6856"</f>
        <v>1.6856</v>
      </c>
      <c r="C1199" t="str">
        <f>"1.6851"</f>
        <v>1.6851</v>
      </c>
    </row>
    <row r="1200" spans="1:3" x14ac:dyDescent="0.25">
      <c r="A1200" t="str">
        <f>"13/05/2014"</f>
        <v>13/05/2014</v>
      </c>
      <c r="B1200" t="str">
        <f>"1.688"</f>
        <v>1.688</v>
      </c>
      <c r="C1200" t="str">
        <f>"1.6876"</f>
        <v>1.6876</v>
      </c>
    </row>
    <row r="1201" spans="1:3" x14ac:dyDescent="0.25">
      <c r="A1201" t="str">
        <f>"15/05/2014"</f>
        <v>15/05/2014</v>
      </c>
      <c r="B1201" t="str">
        <f>"1.6773"</f>
        <v>1.6773</v>
      </c>
      <c r="C1201" t="str">
        <f>"1.6769"</f>
        <v>1.6769</v>
      </c>
    </row>
    <row r="1202" spans="1:3" x14ac:dyDescent="0.25">
      <c r="A1202" t="str">
        <f>"16/05/2014"</f>
        <v>16/05/2014</v>
      </c>
      <c r="B1202" t="str">
        <f>"1.6791"</f>
        <v>1.6791</v>
      </c>
      <c r="C1202" t="str">
        <f>"1.6786"</f>
        <v>1.6786</v>
      </c>
    </row>
    <row r="1203" spans="1:3" x14ac:dyDescent="0.25">
      <c r="A1203" t="str">
        <f>"19/05/2014"</f>
        <v>19/05/2014</v>
      </c>
      <c r="B1203" t="str">
        <f>"1.6823"</f>
        <v>1.6823</v>
      </c>
      <c r="C1203" t="str">
        <f>"1.6818"</f>
        <v>1.6818</v>
      </c>
    </row>
    <row r="1204" spans="1:3" x14ac:dyDescent="0.25">
      <c r="A1204" t="str">
        <f>"20/05/2014"</f>
        <v>20/05/2014</v>
      </c>
      <c r="B1204" t="str">
        <f>"1.6826"</f>
        <v>1.6826</v>
      </c>
      <c r="C1204" t="str">
        <f>"1.6822"</f>
        <v>1.6822</v>
      </c>
    </row>
    <row r="1205" spans="1:3" x14ac:dyDescent="0.25">
      <c r="A1205" t="str">
        <f>"21/05/2014"</f>
        <v>21/05/2014</v>
      </c>
      <c r="B1205" t="str">
        <f>"1.6837"</f>
        <v>1.6837</v>
      </c>
      <c r="C1205" t="str">
        <f>"1.6833"</f>
        <v>1.6833</v>
      </c>
    </row>
    <row r="1206" spans="1:3" x14ac:dyDescent="0.25">
      <c r="A1206" t="str">
        <f>"22/05/2014"</f>
        <v>22/05/2014</v>
      </c>
      <c r="B1206" t="str">
        <f>"1.6887"</f>
        <v>1.6887</v>
      </c>
      <c r="C1206" t="str">
        <f>"1.6883"</f>
        <v>1.6883</v>
      </c>
    </row>
    <row r="1207" spans="1:3" x14ac:dyDescent="0.25">
      <c r="A1207" t="str">
        <f>"23/05/2014"</f>
        <v>23/05/2014</v>
      </c>
      <c r="B1207" t="str">
        <f>"1.6871"</f>
        <v>1.6871</v>
      </c>
      <c r="C1207" t="str">
        <f>"1.6867"</f>
        <v>1.6867</v>
      </c>
    </row>
    <row r="1208" spans="1:3" x14ac:dyDescent="0.25">
      <c r="A1208" t="str">
        <f>"26/05/2014"</f>
        <v>26/05/2014</v>
      </c>
      <c r="B1208" t="str">
        <f>"1.6835"</f>
        <v>1.6835</v>
      </c>
      <c r="C1208" t="str">
        <f>"1.6831"</f>
        <v>1.6831</v>
      </c>
    </row>
    <row r="1209" spans="1:3" x14ac:dyDescent="0.25">
      <c r="A1209" t="str">
        <f>"27/05/2014"</f>
        <v>27/05/2014</v>
      </c>
      <c r="B1209" t="str">
        <f>"1.6861"</f>
        <v>1.6861</v>
      </c>
      <c r="C1209" t="str">
        <f>"1.6856"</f>
        <v>1.6856</v>
      </c>
    </row>
    <row r="1210" spans="1:3" x14ac:dyDescent="0.25">
      <c r="A1210" t="str">
        <f>"28/05/2014"</f>
        <v>28/05/2014</v>
      </c>
      <c r="B1210" t="str">
        <f>"1.6811"</f>
        <v>1.6811</v>
      </c>
      <c r="C1210" t="str">
        <f>"1.6807"</f>
        <v>1.6807</v>
      </c>
    </row>
    <row r="1211" spans="1:3" x14ac:dyDescent="0.25">
      <c r="A1211" t="str">
        <f>"29/05/2014"</f>
        <v>29/05/2014</v>
      </c>
      <c r="B1211" t="str">
        <f>"1.6727"</f>
        <v>1.6727</v>
      </c>
      <c r="C1211" t="str">
        <f>"1.6723"</f>
        <v>1.6723</v>
      </c>
    </row>
    <row r="1212" spans="1:3" x14ac:dyDescent="0.25">
      <c r="A1212" t="str">
        <f>"30/05/2014"</f>
        <v>30/05/2014</v>
      </c>
      <c r="B1212" t="str">
        <f>"1.6734"</f>
        <v>1.6734</v>
      </c>
      <c r="C1212" t="str">
        <f>"1.673"</f>
        <v>1.673</v>
      </c>
    </row>
    <row r="1213" spans="1:3" x14ac:dyDescent="0.25">
      <c r="A1213" t="str">
        <f>"02/06/2014"</f>
        <v>02/06/2014</v>
      </c>
      <c r="B1213" t="str">
        <f>"1.6739"</f>
        <v>1.6739</v>
      </c>
      <c r="C1213" t="str">
        <f>"1.6735"</f>
        <v>1.6735</v>
      </c>
    </row>
    <row r="1214" spans="1:3" x14ac:dyDescent="0.25">
      <c r="A1214" t="str">
        <f>"03/06/2014"</f>
        <v>03/06/2014</v>
      </c>
      <c r="B1214" t="str">
        <f>"1.6745"</f>
        <v>1.6745</v>
      </c>
      <c r="C1214" t="str">
        <f>"1.6741"</f>
        <v>1.6741</v>
      </c>
    </row>
    <row r="1215" spans="1:3" x14ac:dyDescent="0.25">
      <c r="A1215" t="str">
        <f>"04/06/2014"</f>
        <v>04/06/2014</v>
      </c>
      <c r="B1215" t="str">
        <f>"1.6724"</f>
        <v>1.6724</v>
      </c>
      <c r="C1215" t="str">
        <f>"1.672"</f>
        <v>1.672</v>
      </c>
    </row>
    <row r="1216" spans="1:3" x14ac:dyDescent="0.25">
      <c r="A1216" t="str">
        <f>"05/06/2014"</f>
        <v>05/06/2014</v>
      </c>
      <c r="B1216" t="str">
        <f>"1.6749"</f>
        <v>1.6749</v>
      </c>
      <c r="C1216" t="str">
        <f>"1.6745"</f>
        <v>1.6745</v>
      </c>
    </row>
    <row r="1217" spans="1:3" x14ac:dyDescent="0.25">
      <c r="A1217" t="str">
        <f>"06/06/2014"</f>
        <v>06/06/2014</v>
      </c>
      <c r="B1217" t="str">
        <f>"1.6808"</f>
        <v>1.6808</v>
      </c>
      <c r="C1217" t="str">
        <f>"1.6804"</f>
        <v>1.6804</v>
      </c>
    </row>
    <row r="1218" spans="1:3" x14ac:dyDescent="0.25">
      <c r="A1218" t="str">
        <f>"09/06/2014"</f>
        <v>09/06/2014</v>
      </c>
      <c r="B1218" t="str">
        <f>"1.6807"</f>
        <v>1.6807</v>
      </c>
      <c r="C1218" t="str">
        <f>"1.6803"</f>
        <v>1.6803</v>
      </c>
    </row>
    <row r="1219" spans="1:3" x14ac:dyDescent="0.25">
      <c r="A1219" t="str">
        <f>"10/06/2014"</f>
        <v>10/06/2014</v>
      </c>
      <c r="B1219" t="str">
        <f>"1.6809"</f>
        <v>1.6809</v>
      </c>
      <c r="C1219" t="str">
        <f>"1.6805"</f>
        <v>1.6805</v>
      </c>
    </row>
    <row r="1220" spans="1:3" x14ac:dyDescent="0.25">
      <c r="A1220" t="str">
        <f>"11/06/2014"</f>
        <v>11/06/2014</v>
      </c>
      <c r="B1220" t="str">
        <f>"1.6755"</f>
        <v>1.6755</v>
      </c>
      <c r="C1220" t="str">
        <f>"1.675"</f>
        <v>1.675</v>
      </c>
    </row>
    <row r="1221" spans="1:3" x14ac:dyDescent="0.25">
      <c r="A1221" t="str">
        <f>"12/06/2014"</f>
        <v>12/06/2014</v>
      </c>
      <c r="B1221" t="str">
        <f>"1.6796"</f>
        <v>1.6796</v>
      </c>
      <c r="C1221" t="str">
        <f>"1.6792"</f>
        <v>1.6792</v>
      </c>
    </row>
    <row r="1222" spans="1:3" x14ac:dyDescent="0.25">
      <c r="A1222" t="str">
        <f>"13/06/2014"</f>
        <v>13/06/2014</v>
      </c>
      <c r="B1222" t="str">
        <f>"1.6963"</f>
        <v>1.6963</v>
      </c>
      <c r="C1222" t="str">
        <f>"1.6958"</f>
        <v>1.6958</v>
      </c>
    </row>
    <row r="1223" spans="1:3" x14ac:dyDescent="0.25">
      <c r="A1223" t="str">
        <f>"16/06/2014"</f>
        <v>16/06/2014</v>
      </c>
      <c r="B1223" t="str">
        <f>"1.6983"</f>
        <v>1.6983</v>
      </c>
      <c r="C1223" t="str">
        <f>"1.6979"</f>
        <v>1.6979</v>
      </c>
    </row>
    <row r="1224" spans="1:3" x14ac:dyDescent="0.25">
      <c r="A1224" t="str">
        <f>"17/06/2014"</f>
        <v>17/06/2014</v>
      </c>
      <c r="B1224" t="str">
        <f>"1.6966"</f>
        <v>1.6966</v>
      </c>
      <c r="C1224" t="str">
        <f>"1.6961"</f>
        <v>1.6961</v>
      </c>
    </row>
    <row r="1225" spans="1:3" x14ac:dyDescent="0.25">
      <c r="A1225" t="str">
        <f>"18/06/2014"</f>
        <v>18/06/2014</v>
      </c>
      <c r="B1225" t="str">
        <f>"1.6959"</f>
        <v>1.6959</v>
      </c>
      <c r="C1225" t="str">
        <f>"1.6955"</f>
        <v>1.6955</v>
      </c>
    </row>
    <row r="1226" spans="1:3" x14ac:dyDescent="0.25">
      <c r="A1226" t="str">
        <f>"19/06/2014"</f>
        <v>19/06/2014</v>
      </c>
      <c r="B1226" t="str">
        <f>"1.6993"</f>
        <v>1.6993</v>
      </c>
      <c r="C1226" t="str">
        <f>"1.6988"</f>
        <v>1.6988</v>
      </c>
    </row>
    <row r="1227" spans="1:3" x14ac:dyDescent="0.25">
      <c r="A1227" t="str">
        <f>"20/06/2014"</f>
        <v>20/06/2014</v>
      </c>
      <c r="B1227" t="str">
        <f>"1.7048"</f>
        <v>1.7048</v>
      </c>
      <c r="C1227" t="str">
        <f>"1.7044"</f>
        <v>1.7044</v>
      </c>
    </row>
    <row r="1228" spans="1:3" x14ac:dyDescent="0.25">
      <c r="A1228" t="str">
        <f>"23/06/2014"</f>
        <v>23/06/2014</v>
      </c>
      <c r="B1228" t="str">
        <f>"1.7034"</f>
        <v>1.7034</v>
      </c>
      <c r="C1228" t="str">
        <f>"1.703"</f>
        <v>1.703</v>
      </c>
    </row>
    <row r="1229" spans="1:3" x14ac:dyDescent="0.25">
      <c r="A1229" t="str">
        <f>"24/06/2014"</f>
        <v>24/06/2014</v>
      </c>
      <c r="B1229" t="str">
        <f>"1.7025"</f>
        <v>1.7025</v>
      </c>
      <c r="C1229" t="str">
        <f>"1.7021"</f>
        <v>1.7021</v>
      </c>
    </row>
    <row r="1230" spans="1:3" x14ac:dyDescent="0.25">
      <c r="A1230" t="str">
        <f>"25/06/2014"</f>
        <v>25/06/2014</v>
      </c>
      <c r="B1230" t="str">
        <f>"1.6974"</f>
        <v>1.6974</v>
      </c>
      <c r="C1230" t="str">
        <f>"1.697"</f>
        <v>1.697</v>
      </c>
    </row>
    <row r="1231" spans="1:3" x14ac:dyDescent="0.25">
      <c r="A1231" t="str">
        <f>"26/06/2014"</f>
        <v>26/06/2014</v>
      </c>
      <c r="B1231" t="str">
        <f>"1.6987"</f>
        <v>1.6987</v>
      </c>
      <c r="C1231" t="str">
        <f>"1.6983"</f>
        <v>1.6983</v>
      </c>
    </row>
    <row r="1232" spans="1:3" x14ac:dyDescent="0.25">
      <c r="A1232" t="str">
        <f>"27/06/2014"</f>
        <v>27/06/2014</v>
      </c>
      <c r="B1232" t="str">
        <f>"1.7041"</f>
        <v>1.7041</v>
      </c>
      <c r="C1232" t="str">
        <f>"1.7036"</f>
        <v>1.7036</v>
      </c>
    </row>
    <row r="1233" spans="1:3" x14ac:dyDescent="0.25">
      <c r="A1233" t="str">
        <f>"30/06/2014"</f>
        <v>30/06/2014</v>
      </c>
      <c r="B1233" t="str">
        <f>"1.7029"</f>
        <v>1.7029</v>
      </c>
      <c r="C1233" t="str">
        <f>"1.7024"</f>
        <v>1.7024</v>
      </c>
    </row>
    <row r="1234" spans="1:3" x14ac:dyDescent="0.25">
      <c r="A1234" t="str">
        <f>"01/07/2014"</f>
        <v>01/07/2014</v>
      </c>
      <c r="B1234" t="str">
        <f>"1.7109"</f>
        <v>1.7109</v>
      </c>
      <c r="C1234" t="str">
        <f>"1.7105"</f>
        <v>1.7105</v>
      </c>
    </row>
    <row r="1235" spans="1:3" x14ac:dyDescent="0.25">
      <c r="A1235" t="str">
        <f>"02/07/2014"</f>
        <v>02/07/2014</v>
      </c>
      <c r="B1235" t="str">
        <f>"1.7147"</f>
        <v>1.7147</v>
      </c>
      <c r="C1235" t="str">
        <f>"1.7142"</f>
        <v>1.7142</v>
      </c>
    </row>
    <row r="1236" spans="1:3" x14ac:dyDescent="0.25">
      <c r="A1236" t="str">
        <f>"03/07/2014"</f>
        <v>03/07/2014</v>
      </c>
      <c r="B1236" t="str">
        <f>"1.7156"</f>
        <v>1.7156</v>
      </c>
      <c r="C1236" t="str">
        <f>"1.7152"</f>
        <v>1.7152</v>
      </c>
    </row>
    <row r="1237" spans="1:3" x14ac:dyDescent="0.25">
      <c r="A1237" t="str">
        <f>"04/07/2014"</f>
        <v>04/07/2014</v>
      </c>
      <c r="B1237" t="str">
        <f>"1.717"</f>
        <v>1.717</v>
      </c>
      <c r="C1237" t="str">
        <f>"1.7166"</f>
        <v>1.7166</v>
      </c>
    </row>
    <row r="1238" spans="1:3" x14ac:dyDescent="0.25">
      <c r="A1238" t="str">
        <f>"07/07/2014"</f>
        <v>07/07/2014</v>
      </c>
      <c r="B1238" t="str">
        <f>"1.7141"</f>
        <v>1.7141</v>
      </c>
      <c r="C1238" t="str">
        <f>"1.7136"</f>
        <v>1.7136</v>
      </c>
    </row>
    <row r="1239" spans="1:3" x14ac:dyDescent="0.25">
      <c r="A1239" t="str">
        <f>"08/07/2014"</f>
        <v>08/07/2014</v>
      </c>
      <c r="B1239" t="str">
        <f>"1.713"</f>
        <v>1.713</v>
      </c>
      <c r="C1239" t="str">
        <f>"1.7125"</f>
        <v>1.7125</v>
      </c>
    </row>
    <row r="1240" spans="1:3" x14ac:dyDescent="0.25">
      <c r="A1240" t="str">
        <f>"09/07/2014"</f>
        <v>09/07/2014</v>
      </c>
      <c r="B1240" t="str">
        <f>"1.713"</f>
        <v>1.713</v>
      </c>
      <c r="C1240" t="str">
        <f>"1.7126"</f>
        <v>1.7126</v>
      </c>
    </row>
    <row r="1241" spans="1:3" x14ac:dyDescent="0.25">
      <c r="A1241" t="str">
        <f>"10/07/2014"</f>
        <v>10/07/2014</v>
      </c>
      <c r="B1241" t="str">
        <f>"1.7152"</f>
        <v>1.7152</v>
      </c>
      <c r="C1241" t="str">
        <f>"1.7148"</f>
        <v>1.7148</v>
      </c>
    </row>
    <row r="1242" spans="1:3" x14ac:dyDescent="0.25">
      <c r="A1242" t="str">
        <f>"11/07/2014"</f>
        <v>11/07/2014</v>
      </c>
      <c r="B1242" t="str">
        <f>"1.7128"</f>
        <v>1.7128</v>
      </c>
      <c r="C1242" t="str">
        <f>"1.7123"</f>
        <v>1.7123</v>
      </c>
    </row>
    <row r="1243" spans="1:3" x14ac:dyDescent="0.25">
      <c r="A1243" t="str">
        <f>"14/07/2014"</f>
        <v>14/07/2014</v>
      </c>
      <c r="B1243" t="str">
        <f>"1.7113"</f>
        <v>1.7113</v>
      </c>
      <c r="C1243" t="str">
        <f>"1.7109"</f>
        <v>1.7109</v>
      </c>
    </row>
    <row r="1244" spans="1:3" x14ac:dyDescent="0.25">
      <c r="A1244" t="str">
        <f>"15/07/2014"</f>
        <v>15/07/2014</v>
      </c>
      <c r="B1244" t="str">
        <f>"1.7078"</f>
        <v>1.7078</v>
      </c>
      <c r="C1244" t="str">
        <f>"1.7074"</f>
        <v>1.7074</v>
      </c>
    </row>
    <row r="1245" spans="1:3" x14ac:dyDescent="0.25">
      <c r="A1245" t="str">
        <f>"16/07/2014"</f>
        <v>16/07/2014</v>
      </c>
      <c r="B1245" t="str">
        <f>"1.7134"</f>
        <v>1.7134</v>
      </c>
      <c r="C1245" t="str">
        <f>"1.713"</f>
        <v>1.713</v>
      </c>
    </row>
    <row r="1246" spans="1:3" x14ac:dyDescent="0.25">
      <c r="A1246" t="str">
        <f>"17/07/2014"</f>
        <v>17/07/2014</v>
      </c>
      <c r="B1246" t="str">
        <f>"1.7139"</f>
        <v>1.7139</v>
      </c>
      <c r="C1246" t="str">
        <f>"1.7135"</f>
        <v>1.7135</v>
      </c>
    </row>
    <row r="1247" spans="1:3" x14ac:dyDescent="0.25">
      <c r="A1247" t="str">
        <f>"18/07/2014"</f>
        <v>18/07/2014</v>
      </c>
      <c r="B1247" t="str">
        <f>"1.7099"</f>
        <v>1.7099</v>
      </c>
      <c r="C1247" t="str">
        <f>"1.7095"</f>
        <v>1.7095</v>
      </c>
    </row>
    <row r="1248" spans="1:3" x14ac:dyDescent="0.25">
      <c r="A1248" t="str">
        <f>"21/07/2014"</f>
        <v>21/07/2014</v>
      </c>
      <c r="B1248" t="str">
        <f>"1.7099"</f>
        <v>1.7099</v>
      </c>
      <c r="C1248" t="str">
        <f>"1.7094"</f>
        <v>1.7094</v>
      </c>
    </row>
    <row r="1249" spans="1:3" x14ac:dyDescent="0.25">
      <c r="A1249" t="str">
        <f>"22/07/2014"</f>
        <v>22/07/2014</v>
      </c>
      <c r="B1249" t="str">
        <f>"1.7079"</f>
        <v>1.7079</v>
      </c>
      <c r="C1249" t="str">
        <f>"1.7075"</f>
        <v>1.7075</v>
      </c>
    </row>
    <row r="1250" spans="1:3" x14ac:dyDescent="0.25">
      <c r="A1250" t="str">
        <f>"23/07/2014"</f>
        <v>23/07/2014</v>
      </c>
      <c r="B1250" t="str">
        <f>"1.7071"</f>
        <v>1.7071</v>
      </c>
      <c r="C1250" t="str">
        <f>"1.7066"</f>
        <v>1.7066</v>
      </c>
    </row>
    <row r="1251" spans="1:3" x14ac:dyDescent="0.25">
      <c r="A1251" t="str">
        <f>"24/07/2014"</f>
        <v>24/07/2014</v>
      </c>
      <c r="B1251" t="str">
        <f>"1.7033"</f>
        <v>1.7033</v>
      </c>
      <c r="C1251" t="str">
        <f>"1.7029"</f>
        <v>1.7029</v>
      </c>
    </row>
    <row r="1252" spans="1:3" x14ac:dyDescent="0.25">
      <c r="A1252" t="str">
        <f>"25/07/2014"</f>
        <v>25/07/2014</v>
      </c>
      <c r="B1252" t="str">
        <f>"1.6993"</f>
        <v>1.6993</v>
      </c>
      <c r="C1252" t="str">
        <f>"1.6989"</f>
        <v>1.6989</v>
      </c>
    </row>
    <row r="1253" spans="1:3" x14ac:dyDescent="0.25">
      <c r="A1253" t="str">
        <f>"28/07/2014"</f>
        <v>28/07/2014</v>
      </c>
      <c r="B1253" t="str">
        <f>"1.6976"</f>
        <v>1.6976</v>
      </c>
      <c r="C1253" t="str">
        <f>"1.6972"</f>
        <v>1.6972</v>
      </c>
    </row>
    <row r="1254" spans="1:3" x14ac:dyDescent="0.25">
      <c r="A1254" t="str">
        <f>"30/07/2014"</f>
        <v>30/07/2014</v>
      </c>
      <c r="B1254" t="str">
        <f>"1.6947"</f>
        <v>1.6947</v>
      </c>
      <c r="C1254" t="str">
        <f>"1.6943"</f>
        <v>1.6943</v>
      </c>
    </row>
    <row r="1255" spans="1:3" x14ac:dyDescent="0.25">
      <c r="A1255" t="str">
        <f>"31/07/2014"</f>
        <v>31/07/2014</v>
      </c>
      <c r="B1255" t="str">
        <f>"1.6919"</f>
        <v>1.6919</v>
      </c>
      <c r="C1255" t="str">
        <f>"1.6915"</f>
        <v>1.6915</v>
      </c>
    </row>
    <row r="1256" spans="1:3" x14ac:dyDescent="0.25">
      <c r="A1256" t="str">
        <f>"01/08/2014"</f>
        <v>01/08/2014</v>
      </c>
      <c r="B1256" t="str">
        <f>"1.687"</f>
        <v>1.687</v>
      </c>
      <c r="C1256" t="str">
        <f>"1.6866"</f>
        <v>1.6866</v>
      </c>
    </row>
    <row r="1257" spans="1:3" x14ac:dyDescent="0.25">
      <c r="A1257" t="str">
        <f>"04/08/2014"</f>
        <v>04/08/2014</v>
      </c>
      <c r="B1257" t="str">
        <f>"1.6825"</f>
        <v>1.6825</v>
      </c>
      <c r="C1257" t="str">
        <f>"1.6821"</f>
        <v>1.6821</v>
      </c>
    </row>
    <row r="1258" spans="1:3" x14ac:dyDescent="0.25">
      <c r="A1258" t="str">
        <f>"05/08/2014"</f>
        <v>05/08/2014</v>
      </c>
      <c r="B1258" t="str">
        <f>"1.6864"</f>
        <v>1.6864</v>
      </c>
      <c r="C1258" t="str">
        <f>"1.6859"</f>
        <v>1.6859</v>
      </c>
    </row>
    <row r="1259" spans="1:3" x14ac:dyDescent="0.25">
      <c r="A1259" t="str">
        <f>"06/08/2014"</f>
        <v>06/08/2014</v>
      </c>
      <c r="B1259" t="str">
        <f>"1.6871"</f>
        <v>1.6871</v>
      </c>
      <c r="C1259" t="str">
        <f>"1.6867"</f>
        <v>1.6867</v>
      </c>
    </row>
    <row r="1260" spans="1:3" x14ac:dyDescent="0.25">
      <c r="A1260" t="str">
        <f>"07/08/2014"</f>
        <v>07/08/2014</v>
      </c>
      <c r="B1260" t="str">
        <f>"1.6857"</f>
        <v>1.6857</v>
      </c>
      <c r="C1260" t="str">
        <f>"1.6853"</f>
        <v>1.6853</v>
      </c>
    </row>
    <row r="1261" spans="1:3" x14ac:dyDescent="0.25">
      <c r="A1261" t="str">
        <f>"08/08/2014"</f>
        <v>08/08/2014</v>
      </c>
      <c r="B1261" t="str">
        <f>"1.6806"</f>
        <v>1.6806</v>
      </c>
      <c r="C1261" t="str">
        <f>"1.6802"</f>
        <v>1.6802</v>
      </c>
    </row>
    <row r="1262" spans="1:3" x14ac:dyDescent="0.25">
      <c r="A1262" t="str">
        <f>"11/08/2014"</f>
        <v>11/08/2014</v>
      </c>
      <c r="B1262" t="str">
        <f>"1.6782"</f>
        <v>1.6782</v>
      </c>
      <c r="C1262" t="str">
        <f>"1.6777"</f>
        <v>1.6777</v>
      </c>
    </row>
    <row r="1263" spans="1:3" x14ac:dyDescent="0.25">
      <c r="A1263" t="str">
        <f>"12/08/2014"</f>
        <v>12/08/2014</v>
      </c>
      <c r="B1263" t="str">
        <f>"1.6767"</f>
        <v>1.6767</v>
      </c>
      <c r="C1263" t="str">
        <f>"1.6762"</f>
        <v>1.6762</v>
      </c>
    </row>
    <row r="1264" spans="1:3" x14ac:dyDescent="0.25">
      <c r="A1264" t="str">
        <f>"13/08/2014"</f>
        <v>13/08/2014</v>
      </c>
      <c r="B1264" t="str">
        <f>"1.6804"</f>
        <v>1.6804</v>
      </c>
      <c r="C1264" t="str">
        <f>"1.68"</f>
        <v>1.68</v>
      </c>
    </row>
    <row r="1265" spans="1:3" x14ac:dyDescent="0.25">
      <c r="A1265" t="str">
        <f>"14/08/2014"</f>
        <v>14/08/2014</v>
      </c>
      <c r="B1265" t="str">
        <f>"1.668"</f>
        <v>1.668</v>
      </c>
      <c r="C1265" t="str">
        <f>"1.6676"</f>
        <v>1.6676</v>
      </c>
    </row>
    <row r="1266" spans="1:3" x14ac:dyDescent="0.25">
      <c r="A1266" t="str">
        <f>"19/08/2014"</f>
        <v>19/08/2014</v>
      </c>
      <c r="B1266" t="str">
        <f>"1.6721"</f>
        <v>1.6721</v>
      </c>
      <c r="C1266" t="str">
        <f>"1.6716"</f>
        <v>1.6716</v>
      </c>
    </row>
    <row r="1267" spans="1:3" x14ac:dyDescent="0.25">
      <c r="A1267" t="str">
        <f>"20/08/2014"</f>
        <v>20/08/2014</v>
      </c>
      <c r="B1267" t="str">
        <f>"1.6605"</f>
        <v>1.6605</v>
      </c>
      <c r="C1267" t="str">
        <f>"1.6601"</f>
        <v>1.6601</v>
      </c>
    </row>
    <row r="1268" spans="1:3" x14ac:dyDescent="0.25">
      <c r="A1268" t="str">
        <f>"21/08/2014"</f>
        <v>21/08/2014</v>
      </c>
      <c r="B1268" t="str">
        <f>"1.6567"</f>
        <v>1.6567</v>
      </c>
      <c r="C1268" t="str">
        <f>"1.6563"</f>
        <v>1.6563</v>
      </c>
    </row>
    <row r="1269" spans="1:3" x14ac:dyDescent="0.25">
      <c r="A1269" t="str">
        <f>"22/08/2014"</f>
        <v>22/08/2014</v>
      </c>
      <c r="B1269" t="str">
        <f>"1.6582"</f>
        <v>1.6582</v>
      </c>
      <c r="C1269" t="str">
        <f>"1.6578"</f>
        <v>1.6578</v>
      </c>
    </row>
    <row r="1270" spans="1:3" x14ac:dyDescent="0.25">
      <c r="A1270" t="str">
        <f>"25/08/2014"</f>
        <v>25/08/2014</v>
      </c>
      <c r="B1270" t="str">
        <f>"1.6563"</f>
        <v>1.6563</v>
      </c>
      <c r="C1270" t="str">
        <f>"1.6559"</f>
        <v>1.6559</v>
      </c>
    </row>
    <row r="1271" spans="1:3" x14ac:dyDescent="0.25">
      <c r="A1271" t="str">
        <f>"26/08/2014"</f>
        <v>26/08/2014</v>
      </c>
      <c r="B1271" t="str">
        <f>"1.6591"</f>
        <v>1.6591</v>
      </c>
      <c r="C1271" t="str">
        <f>"1.6587"</f>
        <v>1.6587</v>
      </c>
    </row>
    <row r="1272" spans="1:3" x14ac:dyDescent="0.25">
      <c r="A1272" t="str">
        <f>"27/08/2014"</f>
        <v>27/08/2014</v>
      </c>
      <c r="B1272" t="str">
        <f>"1.6554"</f>
        <v>1.6554</v>
      </c>
      <c r="C1272" t="str">
        <f>"1.6549"</f>
        <v>1.6549</v>
      </c>
    </row>
    <row r="1273" spans="1:3" x14ac:dyDescent="0.25">
      <c r="A1273" t="str">
        <f>"28/08/2014"</f>
        <v>28/08/2014</v>
      </c>
      <c r="B1273" t="str">
        <f>"1.6597"</f>
        <v>1.6597</v>
      </c>
      <c r="C1273" t="str">
        <f>"1.6593"</f>
        <v>1.6593</v>
      </c>
    </row>
    <row r="1274" spans="1:3" x14ac:dyDescent="0.25">
      <c r="A1274" t="str">
        <f>"01/09/2014"</f>
        <v>01/09/2014</v>
      </c>
      <c r="B1274" t="str">
        <f>"1.6597"</f>
        <v>1.6597</v>
      </c>
      <c r="C1274" t="str">
        <f>"1.6593"</f>
        <v>1.6593</v>
      </c>
    </row>
    <row r="1275" spans="1:3" x14ac:dyDescent="0.25">
      <c r="A1275" t="str">
        <f>"02/09/2014"</f>
        <v>02/09/2014</v>
      </c>
      <c r="B1275" t="str">
        <f>"1.6584"</f>
        <v>1.6584</v>
      </c>
      <c r="C1275" t="str">
        <f>"1.6579"</f>
        <v>1.6579</v>
      </c>
    </row>
    <row r="1276" spans="1:3" x14ac:dyDescent="0.25">
      <c r="A1276" t="str">
        <f>"03/09/2014"</f>
        <v>03/09/2014</v>
      </c>
      <c r="B1276" t="str">
        <f>"1.6456"</f>
        <v>1.6456</v>
      </c>
      <c r="C1276" t="str">
        <f>"1.6451"</f>
        <v>1.6451</v>
      </c>
    </row>
    <row r="1277" spans="1:3" x14ac:dyDescent="0.25">
      <c r="A1277" t="str">
        <f>"04/09/2014"</f>
        <v>04/09/2014</v>
      </c>
      <c r="B1277" t="str">
        <f>"1.6458"</f>
        <v>1.6458</v>
      </c>
      <c r="C1277" t="str">
        <f>"1.6454"</f>
        <v>1.6454</v>
      </c>
    </row>
    <row r="1278" spans="1:3" x14ac:dyDescent="0.25">
      <c r="A1278" t="str">
        <f>"05/09/2014"</f>
        <v>05/09/2014</v>
      </c>
      <c r="B1278" t="str">
        <f>"1.6314"</f>
        <v>1.6314</v>
      </c>
      <c r="C1278" t="str">
        <f>"1.631"</f>
        <v>1.631</v>
      </c>
    </row>
    <row r="1279" spans="1:3" x14ac:dyDescent="0.25">
      <c r="A1279" t="str">
        <f>"08/09/2014"</f>
        <v>08/09/2014</v>
      </c>
      <c r="B1279" t="str">
        <f>"1.6203"</f>
        <v>1.6203</v>
      </c>
      <c r="C1279" t="str">
        <f>"1.6199"</f>
        <v>1.6199</v>
      </c>
    </row>
    <row r="1280" spans="1:3" x14ac:dyDescent="0.25">
      <c r="A1280" t="str">
        <f>"09/09/2014"</f>
        <v>09/09/2014</v>
      </c>
      <c r="B1280" t="str">
        <f>"1.6073"</f>
        <v>1.6073</v>
      </c>
      <c r="C1280" t="str">
        <f>"1.6069"</f>
        <v>1.6069</v>
      </c>
    </row>
    <row r="1281" spans="1:3" x14ac:dyDescent="0.25">
      <c r="A1281" t="str">
        <f>"10/09/2014"</f>
        <v>10/09/2014</v>
      </c>
      <c r="B1281" t="str">
        <f>"1.6112"</f>
        <v>1.6112</v>
      </c>
      <c r="C1281" t="str">
        <f>"1.6107"</f>
        <v>1.6107</v>
      </c>
    </row>
    <row r="1282" spans="1:3" x14ac:dyDescent="0.25">
      <c r="A1282" t="str">
        <f>"11/09/2014"</f>
        <v>11/09/2014</v>
      </c>
      <c r="B1282" t="str">
        <f>"1.6201"</f>
        <v>1.6201</v>
      </c>
      <c r="C1282" t="str">
        <f>"1.6196"</f>
        <v>1.6196</v>
      </c>
    </row>
    <row r="1283" spans="1:3" x14ac:dyDescent="0.25">
      <c r="A1283" t="str">
        <f>"12/09/2014"</f>
        <v>12/09/2014</v>
      </c>
      <c r="B1283" t="str">
        <f>"1.6234"</f>
        <v>1.6234</v>
      </c>
      <c r="C1283" t="str">
        <f>"1.623"</f>
        <v>1.623</v>
      </c>
    </row>
    <row r="1284" spans="1:3" x14ac:dyDescent="0.25">
      <c r="A1284" t="str">
        <f>"15/09/2014"</f>
        <v>15/09/2014</v>
      </c>
      <c r="B1284" t="str">
        <f>"1.6238"</f>
        <v>1.6238</v>
      </c>
      <c r="C1284" t="str">
        <f>"1.6234"</f>
        <v>1.6234</v>
      </c>
    </row>
    <row r="1285" spans="1:3" x14ac:dyDescent="0.25">
      <c r="A1285" t="str">
        <f>"16/09/2014"</f>
        <v>16/09/2014</v>
      </c>
      <c r="B1285" t="str">
        <f>"1.6222"</f>
        <v>1.6222</v>
      </c>
      <c r="C1285" t="str">
        <f>"1.6218"</f>
        <v>1.6218</v>
      </c>
    </row>
    <row r="1286" spans="1:3" x14ac:dyDescent="0.25">
      <c r="A1286" t="str">
        <f>"17/09/2014"</f>
        <v>17/09/2014</v>
      </c>
      <c r="B1286" t="str">
        <f>"1.6286"</f>
        <v>1.6286</v>
      </c>
      <c r="C1286" t="str">
        <f>"1.6281"</f>
        <v>1.6281</v>
      </c>
    </row>
    <row r="1287" spans="1:3" x14ac:dyDescent="0.25">
      <c r="A1287" t="str">
        <f>"18/09/2014"</f>
        <v>18/09/2014</v>
      </c>
      <c r="B1287" t="str">
        <f>"1.6264"</f>
        <v>1.6264</v>
      </c>
      <c r="C1287" t="str">
        <f>"1.6259"</f>
        <v>1.6259</v>
      </c>
    </row>
    <row r="1288" spans="1:3" x14ac:dyDescent="0.25">
      <c r="A1288" t="str">
        <f>"19/09/2014"</f>
        <v>19/09/2014</v>
      </c>
      <c r="B1288" t="str">
        <f>"1.6491"</f>
        <v>1.6491</v>
      </c>
      <c r="C1288" t="str">
        <f>"1.6487"</f>
        <v>1.6487</v>
      </c>
    </row>
    <row r="1289" spans="1:3" x14ac:dyDescent="0.25">
      <c r="A1289" t="str">
        <f>"22/09/2014"</f>
        <v>22/09/2014</v>
      </c>
      <c r="B1289" t="str">
        <f>"1.6358"</f>
        <v>1.6358</v>
      </c>
      <c r="C1289" t="str">
        <f>"1.6354"</f>
        <v>1.6354</v>
      </c>
    </row>
    <row r="1290" spans="1:3" x14ac:dyDescent="0.25">
      <c r="A1290" t="str">
        <f>"23/09/2014"</f>
        <v>23/09/2014</v>
      </c>
      <c r="B1290" t="str">
        <f>"1.6387"</f>
        <v>1.6387</v>
      </c>
      <c r="C1290" t="str">
        <f>"1.6383"</f>
        <v>1.6383</v>
      </c>
    </row>
    <row r="1291" spans="1:3" x14ac:dyDescent="0.25">
      <c r="A1291" t="str">
        <f>"24/09/2014"</f>
        <v>24/09/2014</v>
      </c>
      <c r="B1291" t="str">
        <f>"1.6405"</f>
        <v>1.6405</v>
      </c>
      <c r="C1291" t="str">
        <f>"1.6401"</f>
        <v>1.6401</v>
      </c>
    </row>
    <row r="1292" spans="1:3" x14ac:dyDescent="0.25">
      <c r="A1292" t="str">
        <f>"25/09/2014"</f>
        <v>25/09/2014</v>
      </c>
      <c r="B1292" t="str">
        <f>"1.6322"</f>
        <v>1.6322</v>
      </c>
      <c r="C1292" t="str">
        <f>"1.6318"</f>
        <v>1.6318</v>
      </c>
    </row>
    <row r="1293" spans="1:3" x14ac:dyDescent="0.25">
      <c r="A1293" t="str">
        <f>"26/09/2014"</f>
        <v>26/09/2014</v>
      </c>
      <c r="B1293" t="str">
        <f>"1.6308"</f>
        <v>1.6308</v>
      </c>
      <c r="C1293" t="str">
        <f>"1.6304"</f>
        <v>1.6304</v>
      </c>
    </row>
    <row r="1294" spans="1:3" x14ac:dyDescent="0.25">
      <c r="A1294" t="str">
        <f>"29/09/2014"</f>
        <v>29/09/2014</v>
      </c>
      <c r="B1294" t="str">
        <f>"1.6229"</f>
        <v>1.6229</v>
      </c>
      <c r="C1294" t="str">
        <f>"1.6225"</f>
        <v>1.6225</v>
      </c>
    </row>
    <row r="1295" spans="1:3" x14ac:dyDescent="0.25">
      <c r="A1295" t="str">
        <f>"30/09/2014"</f>
        <v>30/09/2014</v>
      </c>
      <c r="B1295" t="str">
        <f>"1.6264"</f>
        <v>1.6264</v>
      </c>
      <c r="C1295" t="str">
        <f>"1.6259"</f>
        <v>1.6259</v>
      </c>
    </row>
    <row r="1296" spans="1:3" x14ac:dyDescent="0.25">
      <c r="A1296" t="str">
        <f>"01/10/2014"</f>
        <v>01/10/2014</v>
      </c>
      <c r="B1296" t="str">
        <f>"1.6182"</f>
        <v>1.6182</v>
      </c>
      <c r="C1296" t="str">
        <f>"1.6177"</f>
        <v>1.6177</v>
      </c>
    </row>
    <row r="1297" spans="1:3" x14ac:dyDescent="0.25">
      <c r="A1297" t="str">
        <f>"07/10/2014"</f>
        <v>07/10/2014</v>
      </c>
      <c r="B1297" t="str">
        <f>"1.6043"</f>
        <v>1.6043</v>
      </c>
      <c r="C1297" t="str">
        <f>"1.6038"</f>
        <v>1.6038</v>
      </c>
    </row>
    <row r="1298" spans="1:3" x14ac:dyDescent="0.25">
      <c r="A1298" t="str">
        <f>"08/10/2014"</f>
        <v>08/10/2014</v>
      </c>
      <c r="B1298" t="str">
        <f>"1.6063"</f>
        <v>1.6063</v>
      </c>
      <c r="C1298" t="str">
        <f>"1.6059"</f>
        <v>1.6059</v>
      </c>
    </row>
    <row r="1299" spans="1:3" x14ac:dyDescent="0.25">
      <c r="A1299" t="str">
        <f>"09/10/2014"</f>
        <v>09/10/2014</v>
      </c>
      <c r="B1299" t="str">
        <f>"1.6191"</f>
        <v>1.6191</v>
      </c>
      <c r="C1299" t="str">
        <f>"1.6187"</f>
        <v>1.6187</v>
      </c>
    </row>
    <row r="1300" spans="1:3" x14ac:dyDescent="0.25">
      <c r="A1300" t="str">
        <f>"10/10/2014"</f>
        <v>10/10/2014</v>
      </c>
      <c r="B1300" t="str">
        <f>"1.6124"</f>
        <v>1.6124</v>
      </c>
      <c r="C1300" t="str">
        <f>"1.612"</f>
        <v>1.612</v>
      </c>
    </row>
    <row r="1301" spans="1:3" x14ac:dyDescent="0.25">
      <c r="A1301" t="str">
        <f>"13/10/2014"</f>
        <v>13/10/2014</v>
      </c>
      <c r="B1301" t="str">
        <f>"1.6115"</f>
        <v>1.6115</v>
      </c>
      <c r="C1301" t="str">
        <f>"1.611"</f>
        <v>1.611</v>
      </c>
    </row>
    <row r="1302" spans="1:3" x14ac:dyDescent="0.25">
      <c r="A1302" t="str">
        <f>"14/10/2014"</f>
        <v>14/10/2014</v>
      </c>
      <c r="B1302" t="str">
        <f>"1.6069"</f>
        <v>1.6069</v>
      </c>
      <c r="C1302" t="str">
        <f>"1.6065"</f>
        <v>1.6065</v>
      </c>
    </row>
    <row r="1303" spans="1:3" x14ac:dyDescent="0.25">
      <c r="A1303" t="str">
        <f>"16/10/2014"</f>
        <v>16/10/2014</v>
      </c>
      <c r="B1303" t="str">
        <f>"1.5977"</f>
        <v>1.5977</v>
      </c>
      <c r="C1303" t="str">
        <f>"1.5972"</f>
        <v>1.5972</v>
      </c>
    </row>
    <row r="1304" spans="1:3" x14ac:dyDescent="0.25">
      <c r="A1304" t="str">
        <f>"17/10/2014"</f>
        <v>17/10/2014</v>
      </c>
      <c r="B1304" t="str">
        <f>"1.6074"</f>
        <v>1.6074</v>
      </c>
      <c r="C1304" t="str">
        <f>"1.6069"</f>
        <v>1.6069</v>
      </c>
    </row>
    <row r="1305" spans="1:3" x14ac:dyDescent="0.25">
      <c r="A1305" t="str">
        <f>"20/10/2014"</f>
        <v>20/10/2014</v>
      </c>
      <c r="B1305" t="str">
        <f>"1.6104"</f>
        <v>1.6104</v>
      </c>
      <c r="C1305" t="str">
        <f>"1.6099"</f>
        <v>1.6099</v>
      </c>
    </row>
    <row r="1306" spans="1:3" x14ac:dyDescent="0.25">
      <c r="A1306" t="str">
        <f>"21/10/2014"</f>
        <v>21/10/2014</v>
      </c>
      <c r="B1306" t="str">
        <f>"1.618"</f>
        <v>1.618</v>
      </c>
      <c r="C1306" t="str">
        <f>"1.6176"</f>
        <v>1.6176</v>
      </c>
    </row>
    <row r="1307" spans="1:3" x14ac:dyDescent="0.25">
      <c r="A1307" t="str">
        <f>"22/10/2014"</f>
        <v>22/10/2014</v>
      </c>
      <c r="B1307" t="str">
        <f>"1.6123"</f>
        <v>1.6123</v>
      </c>
      <c r="C1307" t="str">
        <f>"1.6119"</f>
        <v>1.6119</v>
      </c>
    </row>
    <row r="1308" spans="1:3" x14ac:dyDescent="0.25">
      <c r="A1308" t="str">
        <f>"27/10/2014"</f>
        <v>27/10/2014</v>
      </c>
      <c r="B1308" t="str">
        <f>"1.6102"</f>
        <v>1.6102</v>
      </c>
      <c r="C1308" t="str">
        <f>"1.6098"</f>
        <v>1.6098</v>
      </c>
    </row>
    <row r="1309" spans="1:3" x14ac:dyDescent="0.25">
      <c r="A1309" t="str">
        <f>"28/10/2014"</f>
        <v>28/10/2014</v>
      </c>
      <c r="B1309" t="str">
        <f>"1.6129"</f>
        <v>1.6129</v>
      </c>
      <c r="C1309" t="str">
        <f>"1.6125"</f>
        <v>1.6125</v>
      </c>
    </row>
    <row r="1310" spans="1:3" x14ac:dyDescent="0.25">
      <c r="A1310" t="str">
        <f>"29/10/2014"</f>
        <v>29/10/2014</v>
      </c>
      <c r="B1310" t="str">
        <f>"1.6138"</f>
        <v>1.6138</v>
      </c>
      <c r="C1310" t="str">
        <f>"1.6134"</f>
        <v>1.6134</v>
      </c>
    </row>
    <row r="1311" spans="1:3" x14ac:dyDescent="0.25">
      <c r="A1311" t="str">
        <f>"30/10/2014"</f>
        <v>30/10/2014</v>
      </c>
      <c r="B1311" t="str">
        <f>"1.5985"</f>
        <v>1.5985</v>
      </c>
      <c r="C1311" t="str">
        <f>"1.5981"</f>
        <v>1.5981</v>
      </c>
    </row>
    <row r="1312" spans="1:3" x14ac:dyDescent="0.25">
      <c r="A1312" t="str">
        <f>"31/10/2014"</f>
        <v>31/10/2014</v>
      </c>
      <c r="B1312" t="str">
        <f>"1.599"</f>
        <v>1.599</v>
      </c>
      <c r="C1312" t="str">
        <f>"1.5986"</f>
        <v>1.5986</v>
      </c>
    </row>
    <row r="1313" spans="1:3" x14ac:dyDescent="0.25">
      <c r="A1313" t="str">
        <f>"03/11/2014"</f>
        <v>03/11/2014</v>
      </c>
      <c r="B1313" t="str">
        <f>"1.5966"</f>
        <v>1.5966</v>
      </c>
      <c r="C1313" t="str">
        <f>"1.5962"</f>
        <v>1.5962</v>
      </c>
    </row>
    <row r="1314" spans="1:3" x14ac:dyDescent="0.25">
      <c r="A1314" t="str">
        <f>"05/11/2014"</f>
        <v>05/11/2014</v>
      </c>
      <c r="B1314" t="str">
        <f>"1.6013"</f>
        <v>1.6013</v>
      </c>
      <c r="C1314" t="str">
        <f>"1.6009"</f>
        <v>1.6009</v>
      </c>
    </row>
    <row r="1315" spans="1:3" x14ac:dyDescent="0.25">
      <c r="A1315" t="str">
        <f>"07/11/2014"</f>
        <v>07/11/2014</v>
      </c>
      <c r="B1315" t="str">
        <f>"1.5822"</f>
        <v>1.5822</v>
      </c>
      <c r="C1315" t="str">
        <f>"1.5818"</f>
        <v>1.5818</v>
      </c>
    </row>
    <row r="1316" spans="1:3" x14ac:dyDescent="0.25">
      <c r="A1316" t="str">
        <f>"10/11/2014"</f>
        <v>10/11/2014</v>
      </c>
      <c r="B1316" t="str">
        <f>"1.5902"</f>
        <v>1.5902</v>
      </c>
      <c r="C1316" t="str">
        <f>"1.5898"</f>
        <v>1.5898</v>
      </c>
    </row>
    <row r="1317" spans="1:3" x14ac:dyDescent="0.25">
      <c r="A1317" t="str">
        <f>"11/11/2014"</f>
        <v>11/11/2014</v>
      </c>
      <c r="B1317" t="str">
        <f>"1.5842"</f>
        <v>1.5842</v>
      </c>
      <c r="C1317" t="str">
        <f>"1.5838"</f>
        <v>1.5838</v>
      </c>
    </row>
    <row r="1318" spans="1:3" x14ac:dyDescent="0.25">
      <c r="A1318" t="str">
        <f>"12/11/2014"</f>
        <v>12/11/2014</v>
      </c>
      <c r="B1318" t="str">
        <f>"1.5911"</f>
        <v>1.5911</v>
      </c>
      <c r="C1318" t="str">
        <f>"1.5907"</f>
        <v>1.5907</v>
      </c>
    </row>
    <row r="1319" spans="1:3" x14ac:dyDescent="0.25">
      <c r="A1319" t="str">
        <f>"13/11/2014"</f>
        <v>13/11/2014</v>
      </c>
      <c r="B1319" t="str">
        <f>"1.5769"</f>
        <v>1.5769</v>
      </c>
      <c r="C1319" t="str">
        <f>"1.5765"</f>
        <v>1.5765</v>
      </c>
    </row>
    <row r="1320" spans="1:3" x14ac:dyDescent="0.25">
      <c r="A1320" t="str">
        <f>"14/11/2014"</f>
        <v>14/11/2014</v>
      </c>
      <c r="B1320" t="str">
        <f>"1.568"</f>
        <v>1.568</v>
      </c>
      <c r="C1320" t="str">
        <f>"1.5676"</f>
        <v>1.5676</v>
      </c>
    </row>
    <row r="1321" spans="1:3" x14ac:dyDescent="0.25">
      <c r="A1321" t="str">
        <f>"17/11/2014"</f>
        <v>17/11/2014</v>
      </c>
      <c r="B1321" t="str">
        <f>"1.5724"</f>
        <v>1.5724</v>
      </c>
      <c r="C1321" t="str">
        <f>"1.572"</f>
        <v>1.572</v>
      </c>
    </row>
    <row r="1322" spans="1:3" x14ac:dyDescent="0.25">
      <c r="A1322" t="str">
        <f>"18/11/2014"</f>
        <v>18/11/2014</v>
      </c>
      <c r="B1322" t="str">
        <f>"1.5651"</f>
        <v>1.5651</v>
      </c>
      <c r="C1322" t="str">
        <f>"1.5646"</f>
        <v>1.5646</v>
      </c>
    </row>
    <row r="1323" spans="1:3" x14ac:dyDescent="0.25">
      <c r="A1323" t="str">
        <f>"19/11/2014"</f>
        <v>19/11/2014</v>
      </c>
      <c r="B1323" t="str">
        <f>"1.5605"</f>
        <v>1.5605</v>
      </c>
      <c r="C1323" t="str">
        <f>"1.5601"</f>
        <v>1.5601</v>
      </c>
    </row>
    <row r="1324" spans="1:3" x14ac:dyDescent="0.25">
      <c r="A1324" t="str">
        <f>"20/11/2014"</f>
        <v>20/11/2014</v>
      </c>
      <c r="B1324" t="str">
        <f>"1.5672"</f>
        <v>1.5672</v>
      </c>
      <c r="C1324" t="str">
        <f>"1.5668"</f>
        <v>1.5668</v>
      </c>
    </row>
    <row r="1325" spans="1:3" x14ac:dyDescent="0.25">
      <c r="A1325" t="str">
        <f>"21/11/2014"</f>
        <v>21/11/2014</v>
      </c>
      <c r="B1325" t="str">
        <f>"1.5705"</f>
        <v>1.5705</v>
      </c>
      <c r="C1325" t="str">
        <f>"1.5701"</f>
        <v>1.5701</v>
      </c>
    </row>
    <row r="1326" spans="1:3" x14ac:dyDescent="0.25">
      <c r="A1326" t="str">
        <f>"24/11/2014"</f>
        <v>24/11/2014</v>
      </c>
      <c r="B1326" t="str">
        <f>"1.5656"</f>
        <v>1.5656</v>
      </c>
      <c r="C1326" t="str">
        <f>"1.5652"</f>
        <v>1.5652</v>
      </c>
    </row>
    <row r="1327" spans="1:3" x14ac:dyDescent="0.25">
      <c r="A1327" t="str">
        <f>"25/11/2014"</f>
        <v>25/11/2014</v>
      </c>
      <c r="B1327" t="str">
        <f>"1.5678"</f>
        <v>1.5678</v>
      </c>
      <c r="C1327" t="str">
        <f>"1.5674"</f>
        <v>1.5674</v>
      </c>
    </row>
    <row r="1328" spans="1:3" x14ac:dyDescent="0.25">
      <c r="A1328" t="str">
        <f>"26/11/2014"</f>
        <v>26/11/2014</v>
      </c>
      <c r="B1328" t="str">
        <f>"1.5696"</f>
        <v>1.5696</v>
      </c>
      <c r="C1328" t="str">
        <f>"1.5692"</f>
        <v>1.5692</v>
      </c>
    </row>
    <row r="1329" spans="1:3" x14ac:dyDescent="0.25">
      <c r="A1329" t="str">
        <f>"27/11/2014"</f>
        <v>27/11/2014</v>
      </c>
      <c r="B1329" t="str">
        <f>"1.579"</f>
        <v>1.579</v>
      </c>
      <c r="C1329" t="str">
        <f>"1.5787"</f>
        <v>1.5787</v>
      </c>
    </row>
    <row r="1330" spans="1:3" x14ac:dyDescent="0.25">
      <c r="A1330" t="str">
        <f>"28/11/2014"</f>
        <v>28/11/2014</v>
      </c>
      <c r="B1330" t="str">
        <f>"1.571"</f>
        <v>1.571</v>
      </c>
      <c r="C1330" t="str">
        <f>"1.5707"</f>
        <v>1.5707</v>
      </c>
    </row>
    <row r="1331" spans="1:3" x14ac:dyDescent="0.25">
      <c r="A1331" t="str">
        <f>"01/12/2014"</f>
        <v>01/12/2014</v>
      </c>
      <c r="B1331" t="str">
        <f>"1.5614"</f>
        <v>1.5614</v>
      </c>
      <c r="C1331" t="str">
        <f>"1.5611"</f>
        <v>1.5611</v>
      </c>
    </row>
    <row r="1332" spans="1:3" x14ac:dyDescent="0.25">
      <c r="A1332" t="str">
        <f>"02/12/2014"</f>
        <v>02/12/2014</v>
      </c>
      <c r="B1332" t="str">
        <f>"1.5732"</f>
        <v>1.5732</v>
      </c>
      <c r="C1332" t="str">
        <f>"1.5729"</f>
        <v>1.5729</v>
      </c>
    </row>
    <row r="1333" spans="1:3" x14ac:dyDescent="0.25">
      <c r="A1333" t="str">
        <f>"04/12/2014"</f>
        <v>04/12/2014</v>
      </c>
      <c r="B1333" t="str">
        <f>"1.568"</f>
        <v>1.568</v>
      </c>
      <c r="C1333" t="str">
        <f>"1.5678"</f>
        <v>1.5678</v>
      </c>
    </row>
    <row r="1334" spans="1:3" x14ac:dyDescent="0.25">
      <c r="A1334" t="str">
        <f>"05/12/2014"</f>
        <v>05/12/2014</v>
      </c>
      <c r="B1334" t="str">
        <f>"1.5639"</f>
        <v>1.5639</v>
      </c>
      <c r="C1334" t="str">
        <f>"1.5637"</f>
        <v>1.5637</v>
      </c>
    </row>
    <row r="1335" spans="1:3" x14ac:dyDescent="0.25">
      <c r="A1335" t="str">
        <f>"08/12/2014"</f>
        <v>08/12/2014</v>
      </c>
      <c r="B1335" t="str">
        <f>"1.5563"</f>
        <v>1.5563</v>
      </c>
      <c r="C1335" t="str">
        <f>"1.556"</f>
        <v>1.556</v>
      </c>
    </row>
    <row r="1336" spans="1:3" x14ac:dyDescent="0.25">
      <c r="A1336" t="str">
        <f>"09/12/2014"</f>
        <v>09/12/2014</v>
      </c>
      <c r="B1336" t="str">
        <f>"1.5638"</f>
        <v>1.5638</v>
      </c>
      <c r="C1336" t="str">
        <f>"1.5635"</f>
        <v>1.5635</v>
      </c>
    </row>
    <row r="1337" spans="1:3" x14ac:dyDescent="0.25">
      <c r="A1337" t="str">
        <f>"10/12/2014"</f>
        <v>10/12/2014</v>
      </c>
      <c r="B1337" t="str">
        <f>"1.5678"</f>
        <v>1.5678</v>
      </c>
      <c r="C1337" t="str">
        <f>"1.5675"</f>
        <v>1.5675</v>
      </c>
    </row>
    <row r="1338" spans="1:3" x14ac:dyDescent="0.25">
      <c r="A1338" t="str">
        <f>"11/12/2014"</f>
        <v>11/12/2014</v>
      </c>
      <c r="B1338" t="str">
        <f>"1.5713"</f>
        <v>1.5713</v>
      </c>
      <c r="C1338" t="str">
        <f>"1.571"</f>
        <v>1.571</v>
      </c>
    </row>
    <row r="1339" spans="1:3" x14ac:dyDescent="0.25">
      <c r="A1339" t="str">
        <f>"12/12/2014"</f>
        <v>12/12/2014</v>
      </c>
      <c r="B1339" t="str">
        <f>"1.5723"</f>
        <v>1.5723</v>
      </c>
      <c r="C1339" t="str">
        <f>"1.572"</f>
        <v>1.572</v>
      </c>
    </row>
    <row r="1340" spans="1:3" x14ac:dyDescent="0.25">
      <c r="A1340" t="str">
        <f>"15/12/2014"</f>
        <v>15/12/2014</v>
      </c>
      <c r="B1340" t="str">
        <f>"1.5713"</f>
        <v>1.5713</v>
      </c>
      <c r="C1340" t="str">
        <f>"1.571"</f>
        <v>1.571</v>
      </c>
    </row>
    <row r="1341" spans="1:3" x14ac:dyDescent="0.25">
      <c r="A1341" t="str">
        <f>"16/12/2014"</f>
        <v>16/12/2014</v>
      </c>
      <c r="B1341" t="str">
        <f>"1.5656"</f>
        <v>1.5656</v>
      </c>
      <c r="C1341" t="str">
        <f>"1.5652"</f>
        <v>1.5652</v>
      </c>
    </row>
    <row r="1342" spans="1:3" x14ac:dyDescent="0.25">
      <c r="A1342" t="str">
        <f>"17/12/2014"</f>
        <v>17/12/2014</v>
      </c>
      <c r="B1342" t="str">
        <f>"1.5717"</f>
        <v>1.5717</v>
      </c>
      <c r="C1342" t="str">
        <f>"1.5714"</f>
        <v>1.5714</v>
      </c>
    </row>
    <row r="1343" spans="1:3" x14ac:dyDescent="0.25">
      <c r="A1343" t="str">
        <f>"18/12/2014"</f>
        <v>18/12/2014</v>
      </c>
      <c r="B1343" t="str">
        <f>"1.5592"</f>
        <v>1.5592</v>
      </c>
      <c r="C1343" t="str">
        <f>"1.5589"</f>
        <v>1.5589</v>
      </c>
    </row>
    <row r="1344" spans="1:3" x14ac:dyDescent="0.25">
      <c r="A1344" t="str">
        <f>"19/12/2014"</f>
        <v>19/12/2014</v>
      </c>
      <c r="B1344" t="str">
        <f>"1.5654"</f>
        <v>1.5654</v>
      </c>
      <c r="C1344" t="str">
        <f>"1.565"</f>
        <v>1.565</v>
      </c>
    </row>
    <row r="1345" spans="1:3" x14ac:dyDescent="0.25">
      <c r="A1345" t="str">
        <f>"22/12/2014"</f>
        <v>22/12/2014</v>
      </c>
      <c r="B1345" t="str">
        <f>"1.564"</f>
        <v>1.564</v>
      </c>
      <c r="C1345" t="str">
        <f>"1.5636"</f>
        <v>1.5636</v>
      </c>
    </row>
    <row r="1346" spans="1:3" x14ac:dyDescent="0.25">
      <c r="A1346" t="str">
        <f>"23/12/2014"</f>
        <v>23/12/2014</v>
      </c>
      <c r="B1346" t="str">
        <f>"1.5589"</f>
        <v>1.5589</v>
      </c>
      <c r="C1346" t="str">
        <f>"1.5586"</f>
        <v>1.5586</v>
      </c>
    </row>
    <row r="1347" spans="1:3" x14ac:dyDescent="0.25">
      <c r="A1347" t="str">
        <f>"24/12/2014"</f>
        <v>24/12/2014</v>
      </c>
      <c r="B1347" t="str">
        <f>"1.5514"</f>
        <v>1.5514</v>
      </c>
      <c r="C1347" t="str">
        <f>"1.5511"</f>
        <v>1.5511</v>
      </c>
    </row>
    <row r="1348" spans="1:3" x14ac:dyDescent="0.25">
      <c r="A1348" t="str">
        <f>"26/12/2014"</f>
        <v>26/12/2014</v>
      </c>
      <c r="B1348" t="str">
        <f>"1.5557"</f>
        <v>1.5557</v>
      </c>
      <c r="C1348" t="str">
        <f>"1.5555"</f>
        <v>1.5555</v>
      </c>
    </row>
    <row r="1349" spans="1:3" x14ac:dyDescent="0.25">
      <c r="A1349" t="str">
        <f>"29/12/2014"</f>
        <v>29/12/2014</v>
      </c>
      <c r="B1349" t="str">
        <f>"1.5576"</f>
        <v>1.5576</v>
      </c>
      <c r="C1349" t="str">
        <f>"1.5573"</f>
        <v>1.5573</v>
      </c>
    </row>
    <row r="1350" spans="1:3" x14ac:dyDescent="0.25">
      <c r="A1350" t="str">
        <f>"30/12/2014"</f>
        <v>30/12/2014</v>
      </c>
      <c r="B1350" t="str">
        <f>"1.5518"</f>
        <v>1.5518</v>
      </c>
      <c r="C1350" t="str">
        <f>"1.5514"</f>
        <v>1.5514</v>
      </c>
    </row>
    <row r="1351" spans="1:3" x14ac:dyDescent="0.25">
      <c r="A1351" t="str">
        <f>"31/12/2014"</f>
        <v>31/12/2014</v>
      </c>
      <c r="B1351" t="str">
        <f>"1.5601"</f>
        <v>1.5601</v>
      </c>
      <c r="C1351" t="str">
        <f>"1.5597"</f>
        <v>1.5597</v>
      </c>
    </row>
    <row r="1352" spans="1:3" x14ac:dyDescent="0.25">
      <c r="A1352" t="str">
        <f>"01/01/2015"</f>
        <v>01/01/2015</v>
      </c>
      <c r="B1352" t="str">
        <f>"1.5582"</f>
        <v>1.5582</v>
      </c>
      <c r="C1352" t="str">
        <f>"1.5578"</f>
        <v>1.5578</v>
      </c>
    </row>
    <row r="1353" spans="1:3" x14ac:dyDescent="0.25">
      <c r="A1353" t="str">
        <f>"02/01/2015"</f>
        <v>02/01/2015</v>
      </c>
      <c r="B1353" t="str">
        <f>"1.5552"</f>
        <v>1.5552</v>
      </c>
      <c r="C1353" t="str">
        <f>"1.5548"</f>
        <v>1.5548</v>
      </c>
    </row>
    <row r="1354" spans="1:3" x14ac:dyDescent="0.25">
      <c r="A1354" t="str">
        <f>"05/01/2015"</f>
        <v>05/01/2015</v>
      </c>
      <c r="B1354" t="str">
        <f>"1.5285"</f>
        <v>1.5285</v>
      </c>
      <c r="C1354" t="str">
        <f>"1.5281"</f>
        <v>1.5281</v>
      </c>
    </row>
    <row r="1355" spans="1:3" x14ac:dyDescent="0.25">
      <c r="A1355" t="str">
        <f>"06/01/2015"</f>
        <v>06/01/2015</v>
      </c>
      <c r="B1355" t="str">
        <f>"1.526"</f>
        <v>1.526</v>
      </c>
      <c r="C1355" t="str">
        <f>"1.5257"</f>
        <v>1.5257</v>
      </c>
    </row>
    <row r="1356" spans="1:3" x14ac:dyDescent="0.25">
      <c r="A1356" t="str">
        <f>"07/01/2015"</f>
        <v>07/01/2015</v>
      </c>
      <c r="B1356" t="str">
        <f>"1.5141"</f>
        <v>1.5141</v>
      </c>
      <c r="C1356" t="str">
        <f>"1.5137"</f>
        <v>1.5137</v>
      </c>
    </row>
    <row r="1357" spans="1:3" x14ac:dyDescent="0.25">
      <c r="A1357" t="str">
        <f>"08/01/2015"</f>
        <v>08/01/2015</v>
      </c>
      <c r="B1357" t="str">
        <f>"1.5087"</f>
        <v>1.5087</v>
      </c>
      <c r="C1357" t="str">
        <f>"1.5083"</f>
        <v>1.5083</v>
      </c>
    </row>
    <row r="1358" spans="1:3" x14ac:dyDescent="0.25">
      <c r="A1358" t="str">
        <f>"09/01/2015"</f>
        <v>09/01/2015</v>
      </c>
      <c r="B1358" t="str">
        <f>"1.5095"</f>
        <v>1.5095</v>
      </c>
      <c r="C1358" t="str">
        <f>"1.5092"</f>
        <v>1.5092</v>
      </c>
    </row>
    <row r="1359" spans="1:3" x14ac:dyDescent="0.25">
      <c r="A1359" t="str">
        <f>"12/01/2015"</f>
        <v>12/01/2015</v>
      </c>
      <c r="B1359" t="str">
        <f>"1.5163"</f>
        <v>1.5163</v>
      </c>
      <c r="C1359" t="str">
        <f>"1.5158"</f>
        <v>1.5158</v>
      </c>
    </row>
    <row r="1360" spans="1:3" x14ac:dyDescent="0.25">
      <c r="A1360" t="str">
        <f>"13/01/2015"</f>
        <v>13/01/2015</v>
      </c>
      <c r="B1360" t="str">
        <f>"1.5171"</f>
        <v>1.5171</v>
      </c>
      <c r="C1360" t="str">
        <f>"1.5167"</f>
        <v>1.5167</v>
      </c>
    </row>
    <row r="1361" spans="1:3" x14ac:dyDescent="0.25">
      <c r="A1361" t="str">
        <f>"14/01/2015"</f>
        <v>14/01/2015</v>
      </c>
      <c r="B1361" t="str">
        <f>"1.5156"</f>
        <v>1.5156</v>
      </c>
      <c r="C1361" t="str">
        <f>"1.5152"</f>
        <v>1.5152</v>
      </c>
    </row>
    <row r="1362" spans="1:3" x14ac:dyDescent="0.25">
      <c r="A1362" t="str">
        <f>"15/01/2015"</f>
        <v>15/01/2015</v>
      </c>
      <c r="B1362" t="str">
        <f>"1.5238"</f>
        <v>1.5238</v>
      </c>
      <c r="C1362" t="str">
        <f>"1.5234"</f>
        <v>1.5234</v>
      </c>
    </row>
    <row r="1363" spans="1:3" x14ac:dyDescent="0.25">
      <c r="A1363" t="str">
        <f>"16/01/2015"</f>
        <v>16/01/2015</v>
      </c>
      <c r="B1363" t="str">
        <f>"1.518"</f>
        <v>1.518</v>
      </c>
      <c r="C1363" t="str">
        <f>"1.5176"</f>
        <v>1.5176</v>
      </c>
    </row>
    <row r="1364" spans="1:3" x14ac:dyDescent="0.25">
      <c r="A1364" t="str">
        <f>"19/01/2015"</f>
        <v>19/01/2015</v>
      </c>
      <c r="B1364" t="str">
        <f>"1.5137"</f>
        <v>1.5137</v>
      </c>
      <c r="C1364" t="str">
        <f>"1.5133"</f>
        <v>1.5133</v>
      </c>
    </row>
    <row r="1365" spans="1:3" x14ac:dyDescent="0.25">
      <c r="A1365" t="str">
        <f>"20/01/2015"</f>
        <v>20/01/2015</v>
      </c>
      <c r="B1365" t="str">
        <f>"1.5071"</f>
        <v>1.5071</v>
      </c>
      <c r="C1365" t="str">
        <f>"1.5067"</f>
        <v>1.5067</v>
      </c>
    </row>
    <row r="1366" spans="1:3" x14ac:dyDescent="0.25">
      <c r="A1366" t="str">
        <f>"21/01/2015"</f>
        <v>21/01/2015</v>
      </c>
      <c r="B1366" t="str">
        <f>"1.516"</f>
        <v>1.516</v>
      </c>
      <c r="C1366" t="str">
        <f>"1.5156"</f>
        <v>1.5156</v>
      </c>
    </row>
    <row r="1367" spans="1:3" x14ac:dyDescent="0.25">
      <c r="A1367" t="str">
        <f>"22/01/2015"</f>
        <v>22/01/2015</v>
      </c>
      <c r="B1367" t="str">
        <f>"1.5143"</f>
        <v>1.5143</v>
      </c>
      <c r="C1367" t="str">
        <f>"1.5139"</f>
        <v>1.5139</v>
      </c>
    </row>
    <row r="1368" spans="1:3" x14ac:dyDescent="0.25">
      <c r="A1368" t="str">
        <f>"23/01/2015"</f>
        <v>23/01/2015</v>
      </c>
      <c r="B1368" t="str">
        <f>"1.5009"</f>
        <v>1.5009</v>
      </c>
      <c r="C1368" t="str">
        <f>"1.5006"</f>
        <v>1.5006</v>
      </c>
    </row>
    <row r="1369" spans="1:3" x14ac:dyDescent="0.25">
      <c r="A1369" t="str">
        <f>"27/01/2015"</f>
        <v>27/01/2015</v>
      </c>
      <c r="B1369" t="str">
        <f>"1.5099"</f>
        <v>1.5099</v>
      </c>
      <c r="C1369" t="str">
        <f>"1.5096"</f>
        <v>1.5096</v>
      </c>
    </row>
    <row r="1370" spans="1:3" x14ac:dyDescent="0.25">
      <c r="A1370" t="str">
        <f>"28/01/2015"</f>
        <v>28/01/2015</v>
      </c>
      <c r="B1370" t="str">
        <f>"1.5164"</f>
        <v>1.5164</v>
      </c>
      <c r="C1370" t="str">
        <f>"1.5161"</f>
        <v>1.5161</v>
      </c>
    </row>
    <row r="1371" spans="1:3" x14ac:dyDescent="0.25">
      <c r="A1371" t="str">
        <f>"29/01/2015"</f>
        <v>29/01/2015</v>
      </c>
      <c r="B1371" t="str">
        <f>"1.5138"</f>
        <v>1.5138</v>
      </c>
      <c r="C1371" t="str">
        <f>"1.5136"</f>
        <v>1.5136</v>
      </c>
    </row>
    <row r="1372" spans="1:3" x14ac:dyDescent="0.25">
      <c r="A1372" t="str">
        <f>"30/01/2015"</f>
        <v>30/01/2015</v>
      </c>
      <c r="B1372" t="str">
        <f>"1.5074"</f>
        <v>1.5074</v>
      </c>
      <c r="C1372" t="str">
        <f>"1.5071"</f>
        <v>1.5071</v>
      </c>
    </row>
    <row r="1373" spans="1:3" x14ac:dyDescent="0.25">
      <c r="A1373" t="str">
        <f>"02/02/2015"</f>
        <v>02/02/2015</v>
      </c>
      <c r="B1373" t="str">
        <f>"1.5081"</f>
        <v>1.5081</v>
      </c>
      <c r="C1373" t="str">
        <f>"1.5078"</f>
        <v>1.5078</v>
      </c>
    </row>
    <row r="1374" spans="1:3" x14ac:dyDescent="0.25">
      <c r="A1374" t="str">
        <f>"03/02/2015"</f>
        <v>03/02/2015</v>
      </c>
      <c r="B1374" t="str">
        <f>"1.5021"</f>
        <v>1.5021</v>
      </c>
      <c r="C1374" t="str">
        <f>"1.5018"</f>
        <v>1.5018</v>
      </c>
    </row>
    <row r="1375" spans="1:3" x14ac:dyDescent="0.25">
      <c r="A1375" t="str">
        <f>"04/02/2015"</f>
        <v>04/02/2015</v>
      </c>
      <c r="B1375" t="str">
        <f>"1.5161"</f>
        <v>1.5161</v>
      </c>
      <c r="C1375" t="str">
        <f>"1.5158"</f>
        <v>1.5158</v>
      </c>
    </row>
    <row r="1376" spans="1:3" x14ac:dyDescent="0.25">
      <c r="A1376" t="str">
        <f>"05/02/2015"</f>
        <v>05/02/2015</v>
      </c>
      <c r="B1376" t="str">
        <f>"1.5208"</f>
        <v>1.5208</v>
      </c>
      <c r="C1376" t="str">
        <f>"1.5204"</f>
        <v>1.5204</v>
      </c>
    </row>
    <row r="1377" spans="1:3" x14ac:dyDescent="0.25">
      <c r="A1377" t="str">
        <f>"06/02/2015"</f>
        <v>06/02/2015</v>
      </c>
      <c r="B1377" t="str">
        <f>"1.5335"</f>
        <v>1.5335</v>
      </c>
      <c r="C1377" t="str">
        <f>"1.5332"</f>
        <v>1.5332</v>
      </c>
    </row>
    <row r="1378" spans="1:3" x14ac:dyDescent="0.25">
      <c r="A1378" t="str">
        <f>"09/02/2015"</f>
        <v>09/02/2015</v>
      </c>
      <c r="B1378" t="str">
        <f>"1.5258"</f>
        <v>1.5258</v>
      </c>
      <c r="C1378" t="str">
        <f>"1.5255"</f>
        <v>1.5255</v>
      </c>
    </row>
    <row r="1379" spans="1:3" x14ac:dyDescent="0.25">
      <c r="A1379" t="str">
        <f>"10/02/2015"</f>
        <v>10/02/2015</v>
      </c>
      <c r="B1379" t="str">
        <f>"1.5242"</f>
        <v>1.5242</v>
      </c>
      <c r="C1379" t="str">
        <f>"1.5238"</f>
        <v>1.5238</v>
      </c>
    </row>
    <row r="1380" spans="1:3" x14ac:dyDescent="0.25">
      <c r="A1380" t="str">
        <f>"11/02/2015"</f>
        <v>11/02/2015</v>
      </c>
      <c r="B1380" t="str">
        <f>"1.5242"</f>
        <v>1.5242</v>
      </c>
      <c r="C1380" t="str">
        <f>"1.5239"</f>
        <v>1.5239</v>
      </c>
    </row>
    <row r="1381" spans="1:3" x14ac:dyDescent="0.25">
      <c r="A1381" t="str">
        <f>"12/02/2015"</f>
        <v>12/02/2015</v>
      </c>
      <c r="B1381" t="str">
        <f>"1.522"</f>
        <v>1.522</v>
      </c>
      <c r="C1381" t="str">
        <f>"1.5217"</f>
        <v>1.5217</v>
      </c>
    </row>
    <row r="1382" spans="1:3" x14ac:dyDescent="0.25">
      <c r="A1382" t="str">
        <f>"13/02/2015"</f>
        <v>13/02/2015</v>
      </c>
      <c r="B1382" t="str">
        <f>"1.541"</f>
        <v>1.541</v>
      </c>
      <c r="C1382" t="str">
        <f>"1.5407"</f>
        <v>1.5407</v>
      </c>
    </row>
    <row r="1383" spans="1:3" x14ac:dyDescent="0.25">
      <c r="A1383" t="str">
        <f>"16/02/2015"</f>
        <v>16/02/2015</v>
      </c>
      <c r="B1383" t="str">
        <f>"1.5432"</f>
        <v>1.5432</v>
      </c>
      <c r="C1383" t="str">
        <f>"1.5428"</f>
        <v>1.5428</v>
      </c>
    </row>
    <row r="1384" spans="1:3" x14ac:dyDescent="0.25">
      <c r="A1384" t="str">
        <f>"18/02/2015"</f>
        <v>18/02/2015</v>
      </c>
      <c r="B1384" t="str">
        <f>"1.5435"</f>
        <v>1.5435</v>
      </c>
      <c r="C1384" t="str">
        <f>"1.5432"</f>
        <v>1.5432</v>
      </c>
    </row>
    <row r="1385" spans="1:3" x14ac:dyDescent="0.25">
      <c r="A1385" t="str">
        <f>"20/02/2015"</f>
        <v>20/02/2015</v>
      </c>
      <c r="B1385" t="str">
        <f>"1.5398"</f>
        <v>1.5398</v>
      </c>
      <c r="C1385" t="str">
        <f>"1.5395"</f>
        <v>1.5395</v>
      </c>
    </row>
    <row r="1386" spans="1:3" x14ac:dyDescent="0.25">
      <c r="A1386" t="str">
        <f>"23/02/2015"</f>
        <v>23/02/2015</v>
      </c>
      <c r="B1386" t="str">
        <f>"1.5456"</f>
        <v>1.5456</v>
      </c>
      <c r="C1386" t="str">
        <f>"1.5453"</f>
        <v>1.5453</v>
      </c>
    </row>
    <row r="1387" spans="1:3" x14ac:dyDescent="0.25">
      <c r="A1387" t="str">
        <f>"24/02/2015"</f>
        <v>24/02/2015</v>
      </c>
      <c r="B1387" t="str">
        <f>"1.5454"</f>
        <v>1.5454</v>
      </c>
      <c r="C1387" t="str">
        <f>"1.5451"</f>
        <v>1.5451</v>
      </c>
    </row>
    <row r="1388" spans="1:3" x14ac:dyDescent="0.25">
      <c r="A1388" t="str">
        <f>"25/02/2015"</f>
        <v>25/02/2015</v>
      </c>
      <c r="B1388" t="str">
        <f>"1.5527"</f>
        <v>1.5527</v>
      </c>
      <c r="C1388" t="str">
        <f>"1.5523"</f>
        <v>1.5523</v>
      </c>
    </row>
    <row r="1389" spans="1:3" x14ac:dyDescent="0.25">
      <c r="A1389" t="str">
        <f>"26/02/2015"</f>
        <v>26/02/2015</v>
      </c>
      <c r="B1389" t="str">
        <f>"1.5406"</f>
        <v>1.5406</v>
      </c>
      <c r="C1389" t="str">
        <f>"1.5403"</f>
        <v>1.5403</v>
      </c>
    </row>
    <row r="1390" spans="1:3" x14ac:dyDescent="0.25">
      <c r="A1390" t="str">
        <f>"27/02/2015"</f>
        <v>27/02/2015</v>
      </c>
      <c r="B1390" t="str">
        <f>"1.5437"</f>
        <v>1.5437</v>
      </c>
      <c r="C1390" t="str">
        <f>"1.5433"</f>
        <v>1.5433</v>
      </c>
    </row>
    <row r="1391" spans="1:3" x14ac:dyDescent="0.25">
      <c r="A1391" t="str">
        <f>"02/03/2015"</f>
        <v>02/03/2015</v>
      </c>
      <c r="B1391" t="str">
        <f>"1.5365"</f>
        <v>1.5365</v>
      </c>
      <c r="C1391" t="str">
        <f>"1.5361"</f>
        <v>1.5361</v>
      </c>
    </row>
    <row r="1392" spans="1:3" x14ac:dyDescent="0.25">
      <c r="A1392" t="str">
        <f>"03/03/2015"</f>
        <v>03/03/2015</v>
      </c>
      <c r="B1392" t="str">
        <f>"1.536"</f>
        <v>1.536</v>
      </c>
      <c r="C1392" t="str">
        <f>"1.5356"</f>
        <v>1.5356</v>
      </c>
    </row>
    <row r="1393" spans="1:3" x14ac:dyDescent="0.25">
      <c r="A1393" t="str">
        <f>"04/03/2015"</f>
        <v>04/03/2015</v>
      </c>
      <c r="B1393" t="str">
        <f>"1.5264"</f>
        <v>1.5264</v>
      </c>
      <c r="C1393" t="str">
        <f>"1.5261"</f>
        <v>1.5261</v>
      </c>
    </row>
    <row r="1394" spans="1:3" x14ac:dyDescent="0.25">
      <c r="A1394" t="str">
        <f>"05/03/2015"</f>
        <v>05/03/2015</v>
      </c>
      <c r="B1394" t="str">
        <f>"1.524"</f>
        <v>1.524</v>
      </c>
      <c r="C1394" t="str">
        <f>"1.5237"</f>
        <v>1.5237</v>
      </c>
    </row>
    <row r="1395" spans="1:3" x14ac:dyDescent="0.25">
      <c r="A1395" t="str">
        <f>"09/03/2015"</f>
        <v>09/03/2015</v>
      </c>
      <c r="B1395" t="str">
        <f>"1.5128"</f>
        <v>1.5128</v>
      </c>
      <c r="C1395" t="str">
        <f>"1.5125"</f>
        <v>1.5125</v>
      </c>
    </row>
    <row r="1396" spans="1:3" x14ac:dyDescent="0.25">
      <c r="A1396" t="str">
        <f>"10/03/2015"</f>
        <v>10/03/2015</v>
      </c>
      <c r="B1396" t="str">
        <f>"1.5069"</f>
        <v>1.5069</v>
      </c>
      <c r="C1396" t="str">
        <f>"1.5066"</f>
        <v>1.5066</v>
      </c>
    </row>
    <row r="1397" spans="1:3" x14ac:dyDescent="0.25">
      <c r="A1397" t="str">
        <f>"11/03/2015"</f>
        <v>11/03/2015</v>
      </c>
      <c r="B1397" t="str">
        <f>"1.4929"</f>
        <v>1.4929</v>
      </c>
      <c r="C1397" t="str">
        <f>"1.4926"</f>
        <v>1.4926</v>
      </c>
    </row>
    <row r="1398" spans="1:3" x14ac:dyDescent="0.25">
      <c r="A1398" t="str">
        <f>"12/03/2015"</f>
        <v>12/03/2015</v>
      </c>
      <c r="B1398" t="str">
        <f>"1.4882"</f>
        <v>1.4882</v>
      </c>
      <c r="C1398" t="str">
        <f>"1.4879"</f>
        <v>1.4879</v>
      </c>
    </row>
    <row r="1399" spans="1:3" x14ac:dyDescent="0.25">
      <c r="A1399" t="str">
        <f>"13/03/2015"</f>
        <v>13/03/2015</v>
      </c>
      <c r="B1399" t="str">
        <f>"1.4744"</f>
        <v>1.4744</v>
      </c>
      <c r="C1399" t="str">
        <f>"1.4741"</f>
        <v>1.4741</v>
      </c>
    </row>
    <row r="1400" spans="1:3" x14ac:dyDescent="0.25">
      <c r="A1400" t="str">
        <f>"16/03/2015"</f>
        <v>16/03/2015</v>
      </c>
      <c r="B1400" t="str">
        <f>"1.4828"</f>
        <v>1.4828</v>
      </c>
      <c r="C1400" t="str">
        <f>"1.4824"</f>
        <v>1.4824</v>
      </c>
    </row>
    <row r="1401" spans="1:3" x14ac:dyDescent="0.25">
      <c r="A1401" t="str">
        <f>"17/03/2015"</f>
        <v>17/03/2015</v>
      </c>
      <c r="B1401" t="str">
        <f>"1.4748"</f>
        <v>1.4748</v>
      </c>
      <c r="C1401" t="str">
        <f>"1.4745"</f>
        <v>1.4745</v>
      </c>
    </row>
    <row r="1402" spans="1:3" x14ac:dyDescent="0.25">
      <c r="A1402" t="str">
        <f>"18/03/2015"</f>
        <v>18/03/2015</v>
      </c>
      <c r="B1402" t="str">
        <f>"1.4977"</f>
        <v>1.4977</v>
      </c>
      <c r="C1402" t="str">
        <f>"1.4974"</f>
        <v>1.4974</v>
      </c>
    </row>
    <row r="1403" spans="1:3" x14ac:dyDescent="0.25">
      <c r="A1403" t="str">
        <f>"19/03/2015"</f>
        <v>19/03/2015</v>
      </c>
      <c r="B1403" t="str">
        <f>"1.4752"</f>
        <v>1.4752</v>
      </c>
      <c r="C1403" t="str">
        <f>"1.4749"</f>
        <v>1.4749</v>
      </c>
    </row>
    <row r="1404" spans="1:3" x14ac:dyDescent="0.25">
      <c r="A1404" t="str">
        <f>"20/03/2015"</f>
        <v>20/03/2015</v>
      </c>
      <c r="B1404" t="str">
        <f>"1.4948"</f>
        <v>1.4948</v>
      </c>
      <c r="C1404" t="str">
        <f>"1.4945"</f>
        <v>1.4945</v>
      </c>
    </row>
    <row r="1405" spans="1:3" x14ac:dyDescent="0.25">
      <c r="A1405" t="str">
        <f>"23/03/2015"</f>
        <v>23/03/2015</v>
      </c>
      <c r="B1405" t="str">
        <f>"1.4952"</f>
        <v>1.4952</v>
      </c>
      <c r="C1405" t="str">
        <f>"1.4949"</f>
        <v>1.4949</v>
      </c>
    </row>
    <row r="1406" spans="1:3" x14ac:dyDescent="0.25">
      <c r="A1406" t="str">
        <f>"24/03/2015"</f>
        <v>24/03/2015</v>
      </c>
      <c r="B1406" t="str">
        <f>"1.485"</f>
        <v>1.485</v>
      </c>
      <c r="C1406" t="str">
        <f>"1.4847"</f>
        <v>1.4847</v>
      </c>
    </row>
    <row r="1407" spans="1:3" x14ac:dyDescent="0.25">
      <c r="A1407" t="str">
        <f>"25/03/2015"</f>
        <v>25/03/2015</v>
      </c>
      <c r="B1407" t="str">
        <f>"1.488"</f>
        <v>1.488</v>
      </c>
      <c r="C1407" t="str">
        <f>"1.4877"</f>
        <v>1.4877</v>
      </c>
    </row>
    <row r="1408" spans="1:3" x14ac:dyDescent="0.25">
      <c r="A1408" t="str">
        <f>"26/03/2015"</f>
        <v>26/03/2015</v>
      </c>
      <c r="B1408" t="str">
        <f>"1.4849"</f>
        <v>1.4849</v>
      </c>
      <c r="C1408" t="str">
        <f>"1.4846"</f>
        <v>1.4846</v>
      </c>
    </row>
    <row r="1409" spans="1:3" x14ac:dyDescent="0.25">
      <c r="A1409" t="str">
        <f>"27/03/2015"</f>
        <v>27/03/2015</v>
      </c>
      <c r="B1409" t="str">
        <f>"1.4878"</f>
        <v>1.4878</v>
      </c>
      <c r="C1409" t="str">
        <f>"1.4875"</f>
        <v>1.4875</v>
      </c>
    </row>
    <row r="1410" spans="1:3" x14ac:dyDescent="0.25">
      <c r="A1410" t="str">
        <f>"30/03/2015"</f>
        <v>30/03/2015</v>
      </c>
      <c r="B1410" t="str">
        <f>"1.4809"</f>
        <v>1.4809</v>
      </c>
      <c r="C1410" t="str">
        <f>"1.4806"</f>
        <v>1.4806</v>
      </c>
    </row>
    <row r="1411" spans="1:3" x14ac:dyDescent="0.25">
      <c r="A1411" t="str">
        <f>"31/03/2015"</f>
        <v>31/03/2015</v>
      </c>
      <c r="B1411" t="str">
        <f>"1.4817"</f>
        <v>1.4817</v>
      </c>
      <c r="C1411" t="str">
        <f>"1.4814"</f>
        <v>1.4814</v>
      </c>
    </row>
    <row r="1412" spans="1:3" x14ac:dyDescent="0.25">
      <c r="A1412" t="str">
        <f>"06/04/2015"</f>
        <v>06/04/2015</v>
      </c>
      <c r="B1412" t="str">
        <f>"1.4879"</f>
        <v>1.4879</v>
      </c>
      <c r="C1412" t="str">
        <f>"1.4876"</f>
        <v>1.4876</v>
      </c>
    </row>
    <row r="1413" spans="1:3" x14ac:dyDescent="0.25">
      <c r="A1413" t="str">
        <f>"07/04/2015"</f>
        <v>07/04/2015</v>
      </c>
      <c r="B1413" t="str">
        <f>"1.4807"</f>
        <v>1.4807</v>
      </c>
      <c r="C1413" t="str">
        <f>"1.4804"</f>
        <v>1.4804</v>
      </c>
    </row>
    <row r="1414" spans="1:3" x14ac:dyDescent="0.25">
      <c r="A1414" t="str">
        <f>"08/04/2015"</f>
        <v>08/04/2015</v>
      </c>
      <c r="B1414" t="str">
        <f>"1.4866"</f>
        <v>1.4866</v>
      </c>
      <c r="C1414" t="str">
        <f>"1.4863"</f>
        <v>1.4863</v>
      </c>
    </row>
    <row r="1415" spans="1:3" x14ac:dyDescent="0.25">
      <c r="A1415" t="str">
        <f>"09/04/2015"</f>
        <v>09/04/2015</v>
      </c>
      <c r="B1415" t="str">
        <f>"1.4712"</f>
        <v>1.4712</v>
      </c>
      <c r="C1415" t="str">
        <f>"1.4709"</f>
        <v>1.4709</v>
      </c>
    </row>
    <row r="1416" spans="1:3" x14ac:dyDescent="0.25">
      <c r="A1416" t="str">
        <f>"10/04/2015"</f>
        <v>10/04/2015</v>
      </c>
      <c r="B1416" t="str">
        <f>"1.4631"</f>
        <v>1.4631</v>
      </c>
      <c r="C1416" t="str">
        <f>"1.4628"</f>
        <v>1.4628</v>
      </c>
    </row>
    <row r="1417" spans="1:3" x14ac:dyDescent="0.25">
      <c r="A1417" t="str">
        <f>"13/04/2015"</f>
        <v>13/04/2015</v>
      </c>
      <c r="B1417" t="str">
        <f>"1.4675"</f>
        <v>1.4675</v>
      </c>
      <c r="C1417" t="str">
        <f>"1.4672"</f>
        <v>1.4672</v>
      </c>
    </row>
    <row r="1418" spans="1:3" x14ac:dyDescent="0.25">
      <c r="A1418" t="str">
        <f>"15/04/2015"</f>
        <v>15/04/2015</v>
      </c>
      <c r="B1418" t="str">
        <f>"1.4841"</f>
        <v>1.4841</v>
      </c>
      <c r="C1418" t="str">
        <f>"1.4838"</f>
        <v>1.4838</v>
      </c>
    </row>
    <row r="1419" spans="1:3" x14ac:dyDescent="0.25">
      <c r="A1419" t="str">
        <f>"16/04/2015"</f>
        <v>16/04/2015</v>
      </c>
      <c r="B1419" t="str">
        <f>"1.4934"</f>
        <v>1.4934</v>
      </c>
      <c r="C1419" t="str">
        <f>"1.4931"</f>
        <v>1.4931</v>
      </c>
    </row>
    <row r="1420" spans="1:3" x14ac:dyDescent="0.25">
      <c r="A1420" t="str">
        <f>"17/04/2015"</f>
        <v>17/04/2015</v>
      </c>
      <c r="B1420" t="str">
        <f>"1.4961"</f>
        <v>1.4961</v>
      </c>
      <c r="C1420" t="str">
        <f>"1.4958"</f>
        <v>1.4958</v>
      </c>
    </row>
    <row r="1421" spans="1:3" x14ac:dyDescent="0.25">
      <c r="A1421" t="str">
        <f>"20/04/2015"</f>
        <v>20/04/2015</v>
      </c>
      <c r="B1421" t="str">
        <f>"1.4906"</f>
        <v>1.4906</v>
      </c>
      <c r="C1421" t="str">
        <f>"1.4903"</f>
        <v>1.4903</v>
      </c>
    </row>
    <row r="1422" spans="1:3" x14ac:dyDescent="0.25">
      <c r="A1422" t="str">
        <f>"21/04/2015"</f>
        <v>21/04/2015</v>
      </c>
      <c r="B1422" t="str">
        <f>"1.4925"</f>
        <v>1.4925</v>
      </c>
      <c r="C1422" t="str">
        <f>"1.4921"</f>
        <v>1.4921</v>
      </c>
    </row>
    <row r="1423" spans="1:3" x14ac:dyDescent="0.25">
      <c r="A1423" t="str">
        <f>"22/04/2015"</f>
        <v>22/04/2015</v>
      </c>
      <c r="B1423" t="str">
        <f>"1.5036"</f>
        <v>1.5036</v>
      </c>
      <c r="C1423" t="str">
        <f>"1.5033"</f>
        <v>1.5033</v>
      </c>
    </row>
    <row r="1424" spans="1:3" x14ac:dyDescent="0.25">
      <c r="A1424" t="str">
        <f>"23/04/2015"</f>
        <v>23/04/2015</v>
      </c>
      <c r="B1424" t="str">
        <f>"1.5056"</f>
        <v>1.5056</v>
      </c>
      <c r="C1424" t="str">
        <f>"1.5053"</f>
        <v>1.5053</v>
      </c>
    </row>
    <row r="1425" spans="1:3" x14ac:dyDescent="0.25">
      <c r="A1425" t="str">
        <f>"24/04/2015"</f>
        <v>24/04/2015</v>
      </c>
      <c r="B1425" t="str">
        <f>"1.5188"</f>
        <v>1.5188</v>
      </c>
      <c r="C1425" t="str">
        <f>"1.5185"</f>
        <v>1.5185</v>
      </c>
    </row>
    <row r="1426" spans="1:3" x14ac:dyDescent="0.25">
      <c r="A1426" t="str">
        <f>"27/04/2015"</f>
        <v>27/04/2015</v>
      </c>
      <c r="B1426" t="str">
        <f>"1.5237"</f>
        <v>1.5237</v>
      </c>
      <c r="C1426" t="str">
        <f>"1.5234"</f>
        <v>1.5234</v>
      </c>
    </row>
    <row r="1427" spans="1:3" x14ac:dyDescent="0.25">
      <c r="A1427" t="str">
        <f>"28/04/2015"</f>
        <v>28/04/2015</v>
      </c>
      <c r="B1427" t="str">
        <f>"1.5339"</f>
        <v>1.5339</v>
      </c>
      <c r="C1427" t="str">
        <f>"1.5336"</f>
        <v>1.5336</v>
      </c>
    </row>
    <row r="1428" spans="1:3" x14ac:dyDescent="0.25">
      <c r="A1428" t="str">
        <f>"29/04/2015"</f>
        <v>29/04/2015</v>
      </c>
      <c r="B1428" t="str">
        <f>"1.5437"</f>
        <v>1.5437</v>
      </c>
      <c r="C1428" t="str">
        <f>"1.5433"</f>
        <v>1.5433</v>
      </c>
    </row>
    <row r="1429" spans="1:3" x14ac:dyDescent="0.25">
      <c r="A1429" t="str">
        <f>"30/04/2015"</f>
        <v>30/04/2015</v>
      </c>
      <c r="B1429" t="str">
        <f>"1.5351"</f>
        <v>1.5351</v>
      </c>
      <c r="C1429" t="str">
        <f>"1.5348"</f>
        <v>1.5348</v>
      </c>
    </row>
    <row r="1430" spans="1:3" x14ac:dyDescent="0.25">
      <c r="A1430" t="str">
        <f>"05/05/2015"</f>
        <v>05/05/2015</v>
      </c>
      <c r="B1430" t="str">
        <f>"1.5181"</f>
        <v>1.5181</v>
      </c>
      <c r="C1430" t="str">
        <f>"1.5177"</f>
        <v>1.5177</v>
      </c>
    </row>
    <row r="1431" spans="1:3" x14ac:dyDescent="0.25">
      <c r="A1431" t="str">
        <f>"06/05/2015"</f>
        <v>06/05/2015</v>
      </c>
      <c r="B1431" t="str">
        <f>"1.5204"</f>
        <v>1.5204</v>
      </c>
      <c r="C1431" t="str">
        <f>"1.5201"</f>
        <v>1.5201</v>
      </c>
    </row>
    <row r="1432" spans="1:3" x14ac:dyDescent="0.25">
      <c r="A1432" t="str">
        <f>"07/05/2015"</f>
        <v>07/05/2015</v>
      </c>
      <c r="B1432" t="str">
        <f>"1.5245"</f>
        <v>1.5245</v>
      </c>
      <c r="C1432" t="str">
        <f>"1.5241"</f>
        <v>1.5241</v>
      </c>
    </row>
    <row r="1433" spans="1:3" x14ac:dyDescent="0.25">
      <c r="A1433" t="str">
        <f>"08/05/2015"</f>
        <v>08/05/2015</v>
      </c>
      <c r="B1433" t="str">
        <f>"1.5454"</f>
        <v>1.5454</v>
      </c>
      <c r="C1433" t="str">
        <f>"1.545"</f>
        <v>1.545</v>
      </c>
    </row>
    <row r="1434" spans="1:3" x14ac:dyDescent="0.25">
      <c r="A1434" t="str">
        <f>"11/05/2015"</f>
        <v>11/05/2015</v>
      </c>
      <c r="B1434" t="str">
        <f>"1.5585"</f>
        <v>1.5585</v>
      </c>
      <c r="C1434" t="str">
        <f>"1.5581"</f>
        <v>1.5581</v>
      </c>
    </row>
    <row r="1435" spans="1:3" x14ac:dyDescent="0.25">
      <c r="A1435" t="str">
        <f>"12/05/2015"</f>
        <v>12/05/2015</v>
      </c>
      <c r="B1435" t="str">
        <f>"1.567"</f>
        <v>1.567</v>
      </c>
      <c r="C1435" t="str">
        <f>"1.5666"</f>
        <v>1.5666</v>
      </c>
    </row>
    <row r="1436" spans="1:3" x14ac:dyDescent="0.25">
      <c r="A1436" t="str">
        <f>"13/05/2015"</f>
        <v>13/05/2015</v>
      </c>
      <c r="B1436" t="str">
        <f>"1.5744"</f>
        <v>1.5744</v>
      </c>
      <c r="C1436" t="str">
        <f>"1.574"</f>
        <v>1.574</v>
      </c>
    </row>
    <row r="1437" spans="1:3" x14ac:dyDescent="0.25">
      <c r="A1437" t="str">
        <f>"14/05/2015"</f>
        <v>14/05/2015</v>
      </c>
      <c r="B1437" t="str">
        <f>"1.5775"</f>
        <v>1.5775</v>
      </c>
      <c r="C1437" t="str">
        <f>"1.5771"</f>
        <v>1.5771</v>
      </c>
    </row>
    <row r="1438" spans="1:3" x14ac:dyDescent="0.25">
      <c r="A1438" t="str">
        <f>"15/05/2015"</f>
        <v>15/05/2015</v>
      </c>
      <c r="B1438" t="str">
        <f>"1.5727"</f>
        <v>1.5727</v>
      </c>
      <c r="C1438" t="str">
        <f>"1.5723"</f>
        <v>1.5723</v>
      </c>
    </row>
    <row r="1439" spans="1:3" x14ac:dyDescent="0.25">
      <c r="A1439" t="str">
        <f>"18/05/2015"</f>
        <v>18/05/2015</v>
      </c>
      <c r="B1439" t="str">
        <f>"1.5652"</f>
        <v>1.5652</v>
      </c>
      <c r="C1439" t="str">
        <f>"1.5648"</f>
        <v>1.5648</v>
      </c>
    </row>
    <row r="1440" spans="1:3" x14ac:dyDescent="0.25">
      <c r="A1440" t="str">
        <f>"19/05/2015"</f>
        <v>19/05/2015</v>
      </c>
      <c r="B1440" t="str">
        <f>"1.5512"</f>
        <v>1.5512</v>
      </c>
      <c r="C1440" t="str">
        <f>"1.5508"</f>
        <v>1.5508</v>
      </c>
    </row>
    <row r="1441" spans="1:3" x14ac:dyDescent="0.25">
      <c r="A1441" t="str">
        <f>"20/05/2015"</f>
        <v>20/05/2015</v>
      </c>
      <c r="B1441" t="str">
        <f>"1.5536"</f>
        <v>1.5536</v>
      </c>
      <c r="C1441" t="str">
        <f>"1.5532"</f>
        <v>1.5532</v>
      </c>
    </row>
    <row r="1442" spans="1:3" x14ac:dyDescent="0.25">
      <c r="A1442" t="str">
        <f>"21/05/2015"</f>
        <v>21/05/2015</v>
      </c>
      <c r="B1442" t="str">
        <f>"1.5662"</f>
        <v>1.5662</v>
      </c>
      <c r="C1442" t="str">
        <f>"1.5658"</f>
        <v>1.5658</v>
      </c>
    </row>
    <row r="1443" spans="1:3" x14ac:dyDescent="0.25">
      <c r="A1443" t="str">
        <f>"22/05/2015"</f>
        <v>22/05/2015</v>
      </c>
      <c r="B1443" t="str">
        <f>"1.5489"</f>
        <v>1.5489</v>
      </c>
      <c r="C1443" t="str">
        <f>"1.5485"</f>
        <v>1.5485</v>
      </c>
    </row>
    <row r="1444" spans="1:3" x14ac:dyDescent="0.25">
      <c r="A1444" t="str">
        <f>"25/05/2015"</f>
        <v>25/05/2015</v>
      </c>
      <c r="B1444" t="str">
        <f>"1.547"</f>
        <v>1.547</v>
      </c>
      <c r="C1444" t="str">
        <f>"1.5466"</f>
        <v>1.5466</v>
      </c>
    </row>
    <row r="1445" spans="1:3" x14ac:dyDescent="0.25">
      <c r="A1445" t="str">
        <f>"26/05/2015"</f>
        <v>26/05/2015</v>
      </c>
      <c r="B1445" t="str">
        <f>"1.5384"</f>
        <v>1.5384</v>
      </c>
      <c r="C1445" t="str">
        <f>"1.538"</f>
        <v>1.538</v>
      </c>
    </row>
    <row r="1446" spans="1:3" x14ac:dyDescent="0.25">
      <c r="A1446" t="str">
        <f>"27/05/2015"</f>
        <v>27/05/2015</v>
      </c>
      <c r="B1446" t="str">
        <f>"1.5354"</f>
        <v>1.5354</v>
      </c>
      <c r="C1446" t="str">
        <f>"1.535"</f>
        <v>1.535</v>
      </c>
    </row>
    <row r="1447" spans="1:3" x14ac:dyDescent="0.25">
      <c r="A1447" t="str">
        <f>"28/05/2015"</f>
        <v>28/05/2015</v>
      </c>
      <c r="B1447" t="str">
        <f>"1.5315"</f>
        <v>1.5315</v>
      </c>
      <c r="C1447" t="str">
        <f>"1.5312"</f>
        <v>1.5312</v>
      </c>
    </row>
    <row r="1448" spans="1:3" x14ac:dyDescent="0.25">
      <c r="A1448" t="str">
        <f>"29/05/2015"</f>
        <v>29/05/2015</v>
      </c>
      <c r="B1448" t="str">
        <f>"1.529"</f>
        <v>1.529</v>
      </c>
      <c r="C1448" t="str">
        <f>"1.5287"</f>
        <v>1.5287</v>
      </c>
    </row>
    <row r="1449" spans="1:3" x14ac:dyDescent="0.25">
      <c r="A1449" t="str">
        <f>"01/06/2015"</f>
        <v>01/06/2015</v>
      </c>
      <c r="B1449" t="str">
        <f>"1.52"</f>
        <v>1.52</v>
      </c>
      <c r="C1449" t="str">
        <f>"1.5197"</f>
        <v>1.5197</v>
      </c>
    </row>
    <row r="1450" spans="1:3" x14ac:dyDescent="0.25">
      <c r="A1450" t="str">
        <f>"02/06/2015"</f>
        <v>02/06/2015</v>
      </c>
      <c r="B1450" t="str">
        <f>"1.5343"</f>
        <v>1.5343</v>
      </c>
      <c r="C1450" t="str">
        <f>"1.5339"</f>
        <v>1.5339</v>
      </c>
    </row>
    <row r="1451" spans="1:3" x14ac:dyDescent="0.25">
      <c r="A1451" t="str">
        <f>"03/06/2015"</f>
        <v>03/06/2015</v>
      </c>
      <c r="B1451" t="str">
        <f>"1.534"</f>
        <v>1.534</v>
      </c>
      <c r="C1451" t="str">
        <f>"1.5336"</f>
        <v>1.5336</v>
      </c>
    </row>
    <row r="1452" spans="1:3" x14ac:dyDescent="0.25">
      <c r="A1452" t="str">
        <f>"04/06/2015"</f>
        <v>04/06/2015</v>
      </c>
      <c r="B1452" t="str">
        <f>"1.5364"</f>
        <v>1.5364</v>
      </c>
      <c r="C1452" t="str">
        <f>"1.5361"</f>
        <v>1.5361</v>
      </c>
    </row>
    <row r="1453" spans="1:3" x14ac:dyDescent="0.25">
      <c r="A1453" t="str">
        <f>"05/06/2015"</f>
        <v>05/06/2015</v>
      </c>
      <c r="B1453" t="str">
        <f>"1.5269"</f>
        <v>1.5269</v>
      </c>
      <c r="C1453" t="str">
        <f>"1.5266"</f>
        <v>1.5266</v>
      </c>
    </row>
    <row r="1454" spans="1:3" x14ac:dyDescent="0.25">
      <c r="A1454" t="str">
        <f>"08/06/2015"</f>
        <v>08/06/2015</v>
      </c>
      <c r="B1454" t="str">
        <f>"1.5348"</f>
        <v>1.5348</v>
      </c>
      <c r="C1454" t="str">
        <f>"1.5345"</f>
        <v>1.5345</v>
      </c>
    </row>
    <row r="1455" spans="1:3" x14ac:dyDescent="0.25">
      <c r="A1455" t="str">
        <f>"09/06/2015"</f>
        <v>09/06/2015</v>
      </c>
      <c r="B1455" t="str">
        <f>"1.5385"</f>
        <v>1.5385</v>
      </c>
      <c r="C1455" t="str">
        <f>"1.5381"</f>
        <v>1.5381</v>
      </c>
    </row>
    <row r="1456" spans="1:3" x14ac:dyDescent="0.25">
      <c r="A1456" t="str">
        <f>"10/06/2015"</f>
        <v>10/06/2015</v>
      </c>
      <c r="B1456" t="str">
        <f>"1.5529"</f>
        <v>1.5529</v>
      </c>
      <c r="C1456" t="str">
        <f>"1.5526"</f>
        <v>1.5526</v>
      </c>
    </row>
    <row r="1457" spans="1:3" x14ac:dyDescent="0.25">
      <c r="A1457" t="str">
        <f>"11/06/2015"</f>
        <v>11/06/2015</v>
      </c>
      <c r="B1457" t="str">
        <f>"1.5517"</f>
        <v>1.5517</v>
      </c>
      <c r="C1457" t="str">
        <f>"1.5514"</f>
        <v>1.5514</v>
      </c>
    </row>
    <row r="1458" spans="1:3" x14ac:dyDescent="0.25">
      <c r="A1458" t="str">
        <f>"12/06/2015"</f>
        <v>12/06/2015</v>
      </c>
      <c r="B1458" t="str">
        <f>"1.556"</f>
        <v>1.556</v>
      </c>
      <c r="C1458" t="str">
        <f>"1.5556"</f>
        <v>1.5556</v>
      </c>
    </row>
    <row r="1459" spans="1:3" x14ac:dyDescent="0.25">
      <c r="A1459" t="str">
        <f>"15/06/2015"</f>
        <v>15/06/2015</v>
      </c>
      <c r="B1459" t="str">
        <f>"1.56"</f>
        <v>1.56</v>
      </c>
      <c r="C1459" t="str">
        <f>"1.5597"</f>
        <v>1.5597</v>
      </c>
    </row>
    <row r="1460" spans="1:3" x14ac:dyDescent="0.25">
      <c r="A1460" t="str">
        <f>"16/06/2015"</f>
        <v>16/06/2015</v>
      </c>
      <c r="B1460" t="str">
        <f>"1.5648"</f>
        <v>1.5648</v>
      </c>
      <c r="C1460" t="str">
        <f>"1.5644"</f>
        <v>1.5644</v>
      </c>
    </row>
    <row r="1461" spans="1:3" x14ac:dyDescent="0.25">
      <c r="A1461" t="str">
        <f>"17/06/2015"</f>
        <v>17/06/2015</v>
      </c>
      <c r="B1461" t="str">
        <f>"1.5639"</f>
        <v>1.5639</v>
      </c>
      <c r="C1461" t="str">
        <f>"1.5635"</f>
        <v>1.5635</v>
      </c>
    </row>
    <row r="1462" spans="1:3" x14ac:dyDescent="0.25">
      <c r="A1462" t="str">
        <f>"18/06/2015"</f>
        <v>18/06/2015</v>
      </c>
      <c r="B1462" t="str">
        <f>"1.588"</f>
        <v>1.588</v>
      </c>
      <c r="C1462" t="str">
        <f>"1.5877"</f>
        <v>1.5877</v>
      </c>
    </row>
    <row r="1463" spans="1:3" x14ac:dyDescent="0.25">
      <c r="A1463" t="str">
        <f>"19/06/2015"</f>
        <v>19/06/2015</v>
      </c>
      <c r="B1463" t="str">
        <f>"1.5882"</f>
        <v>1.5882</v>
      </c>
      <c r="C1463" t="str">
        <f>"1.5879"</f>
        <v>1.5879</v>
      </c>
    </row>
    <row r="1464" spans="1:3" x14ac:dyDescent="0.25">
      <c r="A1464" t="str">
        <f>"22/06/2015"</f>
        <v>22/06/2015</v>
      </c>
      <c r="B1464" t="str">
        <f>"1.5824"</f>
        <v>1.5824</v>
      </c>
      <c r="C1464" t="str">
        <f>"1.5821"</f>
        <v>1.5821</v>
      </c>
    </row>
    <row r="1465" spans="1:3" x14ac:dyDescent="0.25">
      <c r="A1465" t="str">
        <f>"23/06/2015"</f>
        <v>23/06/2015</v>
      </c>
      <c r="B1465" t="str">
        <f>"1.5729"</f>
        <v>1.5729</v>
      </c>
      <c r="C1465" t="str">
        <f>"1.5725"</f>
        <v>1.5725</v>
      </c>
    </row>
    <row r="1466" spans="1:3" x14ac:dyDescent="0.25">
      <c r="A1466" t="str">
        <f>"24/06/2015"</f>
        <v>24/06/2015</v>
      </c>
      <c r="B1466" t="str">
        <f>"1.5705"</f>
        <v>1.5705</v>
      </c>
      <c r="C1466" t="str">
        <f>"1.5702"</f>
        <v>1.5702</v>
      </c>
    </row>
    <row r="1467" spans="1:3" x14ac:dyDescent="0.25">
      <c r="A1467" t="str">
        <f>"25/06/2015"</f>
        <v>25/06/2015</v>
      </c>
      <c r="B1467" t="str">
        <f>"1.5746"</f>
        <v>1.5746</v>
      </c>
      <c r="C1467" t="str">
        <f>"1.5743"</f>
        <v>1.5743</v>
      </c>
    </row>
    <row r="1468" spans="1:3" x14ac:dyDescent="0.25">
      <c r="A1468" t="str">
        <f>"26/06/2015"</f>
        <v>26/06/2015</v>
      </c>
      <c r="B1468" t="str">
        <f>"1.5745"</f>
        <v>1.5745</v>
      </c>
      <c r="C1468" t="str">
        <f>"1.5742"</f>
        <v>1.5742</v>
      </c>
    </row>
    <row r="1469" spans="1:3" x14ac:dyDescent="0.25">
      <c r="A1469" t="str">
        <f>"29/06/2015"</f>
        <v>29/06/2015</v>
      </c>
      <c r="B1469" t="str">
        <f>"1.5737"</f>
        <v>1.5737</v>
      </c>
      <c r="C1469" t="str">
        <f>"1.5733"</f>
        <v>1.5733</v>
      </c>
    </row>
    <row r="1470" spans="1:3" x14ac:dyDescent="0.25">
      <c r="A1470" t="str">
        <f>"30/06/2015"</f>
        <v>30/06/2015</v>
      </c>
      <c r="B1470" t="str">
        <f>"1.5711"</f>
        <v>1.5711</v>
      </c>
      <c r="C1470" t="str">
        <f>"1.5708"</f>
        <v>1.5708</v>
      </c>
    </row>
    <row r="1471" spans="1:3" x14ac:dyDescent="0.25">
      <c r="A1471" t="str">
        <f>"01/07/2015"</f>
        <v>01/07/2015</v>
      </c>
      <c r="B1471" t="str">
        <f>"1.5617"</f>
        <v>1.5617</v>
      </c>
      <c r="C1471" t="str">
        <f>"1.5614"</f>
        <v>1.5614</v>
      </c>
    </row>
    <row r="1472" spans="1:3" x14ac:dyDescent="0.25">
      <c r="A1472" t="str">
        <f>"02/07/2015"</f>
        <v>02/07/2015</v>
      </c>
      <c r="B1472" t="str">
        <f>"1.5609"</f>
        <v>1.5609</v>
      </c>
      <c r="C1472" t="str">
        <f>"1.5606"</f>
        <v>1.5606</v>
      </c>
    </row>
    <row r="1473" spans="1:3" x14ac:dyDescent="0.25">
      <c r="A1473" t="str">
        <f>"03/07/2015"</f>
        <v>03/07/2015</v>
      </c>
      <c r="B1473" t="str">
        <f>"1.5569"</f>
        <v>1.5569</v>
      </c>
      <c r="C1473" t="str">
        <f>"1.5566"</f>
        <v>1.5566</v>
      </c>
    </row>
    <row r="1474" spans="1:3" x14ac:dyDescent="0.25">
      <c r="A1474" t="str">
        <f>"06/07/2015"</f>
        <v>06/07/2015</v>
      </c>
      <c r="B1474" t="str">
        <f>"1.5604"</f>
        <v>1.5604</v>
      </c>
      <c r="C1474" t="str">
        <f>"1.56"</f>
        <v>1.56</v>
      </c>
    </row>
    <row r="1475" spans="1:3" x14ac:dyDescent="0.25">
      <c r="A1475" t="str">
        <f>"07/07/2015"</f>
        <v>07/07/2015</v>
      </c>
      <c r="B1475" t="str">
        <f>"1.5461"</f>
        <v>1.5461</v>
      </c>
      <c r="C1475" t="str">
        <f>"1.5458"</f>
        <v>1.5458</v>
      </c>
    </row>
    <row r="1476" spans="1:3" x14ac:dyDescent="0.25">
      <c r="A1476" t="str">
        <f>"08/07/2015"</f>
        <v>08/07/2015</v>
      </c>
      <c r="B1476" t="str">
        <f>"1.536"</f>
        <v>1.536</v>
      </c>
      <c r="C1476" t="str">
        <f>"1.5357"</f>
        <v>1.5357</v>
      </c>
    </row>
    <row r="1477" spans="1:3" x14ac:dyDescent="0.25">
      <c r="A1477" t="str">
        <f>"09/07/2015"</f>
        <v>09/07/2015</v>
      </c>
      <c r="B1477" t="str">
        <f>"1.5379"</f>
        <v>1.5379</v>
      </c>
      <c r="C1477" t="str">
        <f>"1.5376"</f>
        <v>1.5376</v>
      </c>
    </row>
    <row r="1478" spans="1:3" x14ac:dyDescent="0.25">
      <c r="A1478" t="str">
        <f>"10/07/2015"</f>
        <v>10/07/2015</v>
      </c>
      <c r="B1478" t="str">
        <f>"1.5516"</f>
        <v>1.5516</v>
      </c>
      <c r="C1478" t="str">
        <f>"1.5512"</f>
        <v>1.5512</v>
      </c>
    </row>
    <row r="1479" spans="1:3" x14ac:dyDescent="0.25">
      <c r="A1479" t="str">
        <f>"13/07/2015"</f>
        <v>13/07/2015</v>
      </c>
      <c r="B1479" t="str">
        <f>"1.5486"</f>
        <v>1.5486</v>
      </c>
      <c r="C1479" t="str">
        <f>"1.5482"</f>
        <v>1.5482</v>
      </c>
    </row>
    <row r="1480" spans="1:3" x14ac:dyDescent="0.25">
      <c r="A1480" t="str">
        <f>"14/07/2015"</f>
        <v>14/07/2015</v>
      </c>
      <c r="B1480" t="str">
        <f>"1.5636"</f>
        <v>1.5636</v>
      </c>
      <c r="C1480" t="str">
        <f>"1.5632"</f>
        <v>1.5632</v>
      </c>
    </row>
    <row r="1481" spans="1:3" x14ac:dyDescent="0.25">
      <c r="A1481" t="str">
        <f>"15/07/2015"</f>
        <v>15/07/2015</v>
      </c>
      <c r="B1481" t="str">
        <f>"1.5639"</f>
        <v>1.5639</v>
      </c>
      <c r="C1481" t="str">
        <f>"1.5635"</f>
        <v>1.5635</v>
      </c>
    </row>
    <row r="1482" spans="1:3" x14ac:dyDescent="0.25">
      <c r="A1482" t="str">
        <f>"16/07/2015"</f>
        <v>16/07/2015</v>
      </c>
      <c r="B1482" t="str">
        <f>"1.5608"</f>
        <v>1.5608</v>
      </c>
      <c r="C1482" t="str">
        <f>"1.5604"</f>
        <v>1.5604</v>
      </c>
    </row>
    <row r="1483" spans="1:3" x14ac:dyDescent="0.25">
      <c r="A1483" t="str">
        <f>"17/07/2015"</f>
        <v>17/07/2015</v>
      </c>
      <c r="B1483" t="str">
        <f>"1.5599"</f>
        <v>1.5599</v>
      </c>
      <c r="C1483" t="str">
        <f>"1.5595"</f>
        <v>1.5595</v>
      </c>
    </row>
    <row r="1484" spans="1:3" x14ac:dyDescent="0.25">
      <c r="A1484" t="str">
        <f>"20/07/2015"</f>
        <v>20/07/2015</v>
      </c>
      <c r="B1484" t="str">
        <f>"1.5563"</f>
        <v>1.5563</v>
      </c>
      <c r="C1484" t="str">
        <f>"1.5559"</f>
        <v>1.5559</v>
      </c>
    </row>
    <row r="1485" spans="1:3" x14ac:dyDescent="0.25">
      <c r="A1485" t="str">
        <f>"21/07/2015"</f>
        <v>21/07/2015</v>
      </c>
      <c r="B1485" t="str">
        <f>"1.5556"</f>
        <v>1.5556</v>
      </c>
      <c r="C1485" t="str">
        <f>"1.5552"</f>
        <v>1.5552</v>
      </c>
    </row>
    <row r="1486" spans="1:3" x14ac:dyDescent="0.25">
      <c r="A1486" t="str">
        <f>"22/07/2015"</f>
        <v>22/07/2015</v>
      </c>
      <c r="B1486" t="str">
        <f>"1.5612"</f>
        <v>1.5612</v>
      </c>
      <c r="C1486" t="str">
        <f>"1.5608"</f>
        <v>1.5608</v>
      </c>
    </row>
    <row r="1487" spans="1:3" x14ac:dyDescent="0.25">
      <c r="A1487" t="str">
        <f>"23/07/2015"</f>
        <v>23/07/2015</v>
      </c>
      <c r="B1487" t="str">
        <f>"1.5624"</f>
        <v>1.5624</v>
      </c>
      <c r="C1487" t="str">
        <f>"1.562"</f>
        <v>1.562</v>
      </c>
    </row>
    <row r="1488" spans="1:3" x14ac:dyDescent="0.25">
      <c r="A1488" t="str">
        <f>"24/07/2015"</f>
        <v>24/07/2015</v>
      </c>
      <c r="B1488" t="str">
        <f>"1.5513"</f>
        <v>1.5513</v>
      </c>
      <c r="C1488" t="str">
        <f>"1.551"</f>
        <v>1.551</v>
      </c>
    </row>
    <row r="1489" spans="1:3" x14ac:dyDescent="0.25">
      <c r="A1489" t="str">
        <f>"27/07/2015"</f>
        <v>27/07/2015</v>
      </c>
      <c r="B1489" t="str">
        <f>"1.5558"</f>
        <v>1.5558</v>
      </c>
      <c r="C1489" t="str">
        <f>"1.5554"</f>
        <v>1.5554</v>
      </c>
    </row>
    <row r="1490" spans="1:3" x14ac:dyDescent="0.25">
      <c r="A1490" t="str">
        <f>"28/07/2015"</f>
        <v>28/07/2015</v>
      </c>
      <c r="B1490" t="str">
        <f>"1.5612"</f>
        <v>1.5612</v>
      </c>
      <c r="C1490" t="str">
        <f>"1.5609"</f>
        <v>1.5609</v>
      </c>
    </row>
    <row r="1491" spans="1:3" x14ac:dyDescent="0.25">
      <c r="A1491" t="str">
        <f>"29/07/2015"</f>
        <v>29/07/2015</v>
      </c>
      <c r="B1491" t="str">
        <f>"1.561"</f>
        <v>1.561</v>
      </c>
      <c r="C1491" t="str">
        <f>"1.5607"</f>
        <v>1.5607</v>
      </c>
    </row>
    <row r="1492" spans="1:3" x14ac:dyDescent="0.25">
      <c r="A1492" t="str">
        <f>"30/07/2015"</f>
        <v>30/07/2015</v>
      </c>
      <c r="B1492" t="str">
        <f>"1.5601"</f>
        <v>1.5601</v>
      </c>
      <c r="C1492" t="str">
        <f>"1.5597"</f>
        <v>1.5597</v>
      </c>
    </row>
    <row r="1493" spans="1:3" x14ac:dyDescent="0.25">
      <c r="A1493" t="str">
        <f>"31/07/2015"</f>
        <v>31/07/2015</v>
      </c>
      <c r="B1493" t="str">
        <f>"1.5621"</f>
        <v>1.5621</v>
      </c>
      <c r="C1493" t="str">
        <f>"1.5617"</f>
        <v>1.5617</v>
      </c>
    </row>
    <row r="1494" spans="1:3" x14ac:dyDescent="0.25">
      <c r="A1494" t="str">
        <f>"03/08/2015"</f>
        <v>03/08/2015</v>
      </c>
      <c r="B1494" t="str">
        <f>"1.5586"</f>
        <v>1.5586</v>
      </c>
      <c r="C1494" t="str">
        <f>"1.5582"</f>
        <v>1.5582</v>
      </c>
    </row>
    <row r="1495" spans="1:3" x14ac:dyDescent="0.25">
      <c r="A1495" t="str">
        <f>"04/08/2015"</f>
        <v>04/08/2015</v>
      </c>
      <c r="B1495" t="str">
        <f>"1.5593"</f>
        <v>1.5593</v>
      </c>
      <c r="C1495" t="str">
        <f>"1.5589"</f>
        <v>1.5589</v>
      </c>
    </row>
    <row r="1496" spans="1:3" x14ac:dyDescent="0.25">
      <c r="A1496" t="str">
        <f>"05/08/2015"</f>
        <v>05/08/2015</v>
      </c>
      <c r="B1496" t="str">
        <f>"1.5602"</f>
        <v>1.5602</v>
      </c>
      <c r="C1496" t="str">
        <f>"1.5598"</f>
        <v>1.5598</v>
      </c>
    </row>
    <row r="1497" spans="1:3" x14ac:dyDescent="0.25">
      <c r="A1497" t="str">
        <f>"06/08/2015"</f>
        <v>06/08/2015</v>
      </c>
      <c r="B1497" t="str">
        <f>"1.5512"</f>
        <v>1.5512</v>
      </c>
      <c r="C1497" t="str">
        <f>"1.5508"</f>
        <v>1.5508</v>
      </c>
    </row>
    <row r="1498" spans="1:3" x14ac:dyDescent="0.25">
      <c r="A1498" t="str">
        <f>"07/08/2015"</f>
        <v>07/08/2015</v>
      </c>
      <c r="B1498" t="str">
        <f>"1.549"</f>
        <v>1.549</v>
      </c>
      <c r="C1498" t="str">
        <f>"1.5486"</f>
        <v>1.5486</v>
      </c>
    </row>
    <row r="1499" spans="1:3" x14ac:dyDescent="0.25">
      <c r="A1499" t="str">
        <f>"10/08/2015"</f>
        <v>10/08/2015</v>
      </c>
      <c r="B1499" t="str">
        <f>"1.5591"</f>
        <v>1.5591</v>
      </c>
      <c r="C1499" t="str">
        <f>"1.5587"</f>
        <v>1.5587</v>
      </c>
    </row>
    <row r="1500" spans="1:3" x14ac:dyDescent="0.25">
      <c r="A1500" t="str">
        <f>"11/08/2015"</f>
        <v>11/08/2015</v>
      </c>
      <c r="B1500" t="str">
        <f>"1.5572"</f>
        <v>1.5572</v>
      </c>
      <c r="C1500" t="str">
        <f>"1.5568"</f>
        <v>1.5568</v>
      </c>
    </row>
    <row r="1501" spans="1:3" x14ac:dyDescent="0.25">
      <c r="A1501" t="str">
        <f>"12/08/2015"</f>
        <v>12/08/2015</v>
      </c>
      <c r="B1501" t="str">
        <f>"1.5612"</f>
        <v>1.5612</v>
      </c>
      <c r="C1501" t="str">
        <f>"1.5608"</f>
        <v>1.5608</v>
      </c>
    </row>
    <row r="1502" spans="1:3" x14ac:dyDescent="0.25">
      <c r="A1502" t="str">
        <f>"13/08/2015"</f>
        <v>13/08/2015</v>
      </c>
      <c r="B1502" t="str">
        <f>"1.561"</f>
        <v>1.561</v>
      </c>
      <c r="C1502" t="str">
        <f>"1.5606"</f>
        <v>1.5606</v>
      </c>
    </row>
    <row r="1503" spans="1:3" x14ac:dyDescent="0.25">
      <c r="A1503" t="str">
        <f>"14/08/2015"</f>
        <v>14/08/2015</v>
      </c>
      <c r="B1503" t="str">
        <f>"1.5641"</f>
        <v>1.5641</v>
      </c>
      <c r="C1503" t="str">
        <f>"1.5638"</f>
        <v>1.5638</v>
      </c>
    </row>
    <row r="1504" spans="1:3" x14ac:dyDescent="0.25">
      <c r="A1504" t="str">
        <f>"17/08/2015"</f>
        <v>17/08/2015</v>
      </c>
      <c r="B1504" t="str">
        <f>"1.5586"</f>
        <v>1.5586</v>
      </c>
      <c r="C1504" t="str">
        <f>"1.5582"</f>
        <v>1.5582</v>
      </c>
    </row>
    <row r="1505" spans="1:3" x14ac:dyDescent="0.25">
      <c r="A1505" t="str">
        <f>"19/08/2015"</f>
        <v>19/08/2015</v>
      </c>
      <c r="B1505" t="str">
        <f>"1.5679"</f>
        <v>1.5679</v>
      </c>
      <c r="C1505" t="str">
        <f>"1.5676"</f>
        <v>1.5676</v>
      </c>
    </row>
    <row r="1506" spans="1:3" x14ac:dyDescent="0.25">
      <c r="A1506" t="str">
        <f>"20/08/2015"</f>
        <v>20/08/2015</v>
      </c>
      <c r="B1506" t="str">
        <f>"1.5689"</f>
        <v>1.5689</v>
      </c>
      <c r="C1506" t="str">
        <f>"1.5686"</f>
        <v>1.5686</v>
      </c>
    </row>
    <row r="1507" spans="1:3" x14ac:dyDescent="0.25">
      <c r="A1507" t="str">
        <f>"21/08/2015"</f>
        <v>21/08/2015</v>
      </c>
      <c r="B1507" t="str">
        <f>"1.5692"</f>
        <v>1.5692</v>
      </c>
      <c r="C1507" t="str">
        <f>"1.5689"</f>
        <v>1.5689</v>
      </c>
    </row>
    <row r="1508" spans="1:3" x14ac:dyDescent="0.25">
      <c r="A1508" t="str">
        <f>"25/08/2015"</f>
        <v>25/08/2015</v>
      </c>
      <c r="B1508" t="str">
        <f>"1.5687"</f>
        <v>1.5687</v>
      </c>
      <c r="C1508" t="str">
        <f>"1.5684"</f>
        <v>1.5684</v>
      </c>
    </row>
    <row r="1509" spans="1:3" x14ac:dyDescent="0.25">
      <c r="A1509" t="str">
        <f>"26/08/2015"</f>
        <v>26/08/2015</v>
      </c>
      <c r="B1509" t="str">
        <f>"1.5463"</f>
        <v>1.5463</v>
      </c>
      <c r="C1509" t="str">
        <f>"1.546"</f>
        <v>1.546</v>
      </c>
    </row>
    <row r="1510" spans="1:3" x14ac:dyDescent="0.25">
      <c r="A1510" t="str">
        <f>"27/08/2015"</f>
        <v>27/08/2015</v>
      </c>
      <c r="B1510" t="str">
        <f>"1.5402"</f>
        <v>1.5402</v>
      </c>
      <c r="C1510" t="str">
        <f>"1.5399"</f>
        <v>1.5399</v>
      </c>
    </row>
    <row r="1511" spans="1:3" x14ac:dyDescent="0.25">
      <c r="A1511" t="str">
        <f>"28/08/2015"</f>
        <v>28/08/2015</v>
      </c>
      <c r="B1511" t="str">
        <f>"1.539"</f>
        <v>1.539</v>
      </c>
      <c r="C1511" t="str">
        <f>"1.5387"</f>
        <v>1.5387</v>
      </c>
    </row>
    <row r="1512" spans="1:3" x14ac:dyDescent="0.25">
      <c r="A1512" t="str">
        <f>"31/08/2015"</f>
        <v>31/08/2015</v>
      </c>
      <c r="B1512" t="str">
        <f>"1.5344"</f>
        <v>1.5344</v>
      </c>
      <c r="C1512" t="str">
        <f>"1.5341"</f>
        <v>1.5341</v>
      </c>
    </row>
    <row r="1513" spans="1:3" x14ac:dyDescent="0.25">
      <c r="A1513" t="str">
        <f>"01/09/2015"</f>
        <v>01/09/2015</v>
      </c>
      <c r="B1513" t="str">
        <f>"1.5303"</f>
        <v>1.5303</v>
      </c>
      <c r="C1513" t="str">
        <f>"1.53"</f>
        <v>1.53</v>
      </c>
    </row>
    <row r="1514" spans="1:3" x14ac:dyDescent="0.25">
      <c r="A1514" t="str">
        <f>"02/09/2015"</f>
        <v>02/09/2015</v>
      </c>
      <c r="B1514" t="str">
        <f>"1.5298"</f>
        <v>1.5298</v>
      </c>
      <c r="C1514" t="str">
        <f>"1.5295"</f>
        <v>1.5295</v>
      </c>
    </row>
    <row r="1515" spans="1:3" x14ac:dyDescent="0.25">
      <c r="A1515" t="str">
        <f>"03/09/2015"</f>
        <v>03/09/2015</v>
      </c>
      <c r="B1515" t="str">
        <f>"1.5257"</f>
        <v>1.5257</v>
      </c>
      <c r="C1515" t="str">
        <f>"1.5255"</f>
        <v>1.5255</v>
      </c>
    </row>
    <row r="1516" spans="1:3" x14ac:dyDescent="0.25">
      <c r="A1516" t="str">
        <f>"04/09/2015"</f>
        <v>04/09/2015</v>
      </c>
      <c r="B1516" t="str">
        <f>"1.5169"</f>
        <v>1.5169</v>
      </c>
      <c r="C1516" t="str">
        <f>"1.5167"</f>
        <v>1.5167</v>
      </c>
    </row>
    <row r="1517" spans="1:3" x14ac:dyDescent="0.25">
      <c r="A1517" t="str">
        <f>"07/09/2015"</f>
        <v>07/09/2015</v>
      </c>
      <c r="B1517" t="str">
        <f>"1.5275"</f>
        <v>1.5275</v>
      </c>
      <c r="C1517" t="str">
        <f>"1.5273"</f>
        <v>1.5273</v>
      </c>
    </row>
    <row r="1518" spans="1:3" x14ac:dyDescent="0.25">
      <c r="A1518" t="str">
        <f>"08/09/2015"</f>
        <v>08/09/2015</v>
      </c>
      <c r="B1518" t="str">
        <f>"1.5395"</f>
        <v>1.5395</v>
      </c>
      <c r="C1518" t="str">
        <f>"1.5392"</f>
        <v>1.5392</v>
      </c>
    </row>
    <row r="1519" spans="1:3" x14ac:dyDescent="0.25">
      <c r="A1519" t="str">
        <f>"09/09/2015"</f>
        <v>09/09/2015</v>
      </c>
      <c r="B1519" t="str">
        <f>"1.5367"</f>
        <v>1.5367</v>
      </c>
      <c r="C1519" t="str">
        <f>"1.5364"</f>
        <v>1.5364</v>
      </c>
    </row>
    <row r="1520" spans="1:3" x14ac:dyDescent="0.25">
      <c r="A1520" t="str">
        <f>"10/09/2015"</f>
        <v>10/09/2015</v>
      </c>
      <c r="B1520" t="str">
        <f>"1.5444"</f>
        <v>1.5444</v>
      </c>
      <c r="C1520" t="str">
        <f>"1.5442"</f>
        <v>1.5442</v>
      </c>
    </row>
    <row r="1521" spans="1:3" x14ac:dyDescent="0.25">
      <c r="A1521" t="str">
        <f>"11/09/2015"</f>
        <v>11/09/2015</v>
      </c>
      <c r="B1521" t="str">
        <f>"1.5428"</f>
        <v>1.5428</v>
      </c>
      <c r="C1521" t="str">
        <f>"1.5426"</f>
        <v>1.5426</v>
      </c>
    </row>
    <row r="1522" spans="1:3" x14ac:dyDescent="0.25">
      <c r="A1522" t="str">
        <f>"14/09/2015"</f>
        <v>14/09/2015</v>
      </c>
      <c r="B1522" t="str">
        <f>"1.5426"</f>
        <v>1.5426</v>
      </c>
      <c r="C1522" t="str">
        <f>"1.5424"</f>
        <v>1.5424</v>
      </c>
    </row>
    <row r="1523" spans="1:3" x14ac:dyDescent="0.25">
      <c r="A1523" t="str">
        <f>"15/09/2015"</f>
        <v>15/09/2015</v>
      </c>
      <c r="B1523" t="str">
        <f>"1.5343"</f>
        <v>1.5343</v>
      </c>
      <c r="C1523" t="str">
        <f>"1.5341"</f>
        <v>1.5341</v>
      </c>
    </row>
    <row r="1524" spans="1:3" x14ac:dyDescent="0.25">
      <c r="A1524" t="str">
        <f>"16/09/2015"</f>
        <v>16/09/2015</v>
      </c>
      <c r="B1524" t="str">
        <f>"1.5492"</f>
        <v>1.5492</v>
      </c>
      <c r="C1524" t="str">
        <f>"1.549"</f>
        <v>1.549</v>
      </c>
    </row>
    <row r="1525" spans="1:3" x14ac:dyDescent="0.25">
      <c r="A1525" t="str">
        <f>"18/09/2015"</f>
        <v>18/09/2015</v>
      </c>
      <c r="B1525" t="str">
        <f>"1.5535"</f>
        <v>1.5535</v>
      </c>
      <c r="C1525" t="str">
        <f>"1.5532"</f>
        <v>1.5532</v>
      </c>
    </row>
    <row r="1526" spans="1:3" x14ac:dyDescent="0.25">
      <c r="A1526" t="str">
        <f>"21/09/2015"</f>
        <v>21/09/2015</v>
      </c>
      <c r="B1526" t="str">
        <f>"1.5507"</f>
        <v>1.5507</v>
      </c>
      <c r="C1526" t="str">
        <f>"1.5505"</f>
        <v>1.5505</v>
      </c>
    </row>
    <row r="1527" spans="1:3" x14ac:dyDescent="0.25">
      <c r="A1527" t="str">
        <f>"22/09/2015"</f>
        <v>22/09/2015</v>
      </c>
      <c r="B1527" t="str">
        <f>"1.5365"</f>
        <v>1.5365</v>
      </c>
      <c r="C1527" t="str">
        <f>"1.5363"</f>
        <v>1.5363</v>
      </c>
    </row>
    <row r="1528" spans="1:3" x14ac:dyDescent="0.25">
      <c r="A1528" t="str">
        <f>"23/09/2015"</f>
        <v>23/09/2015</v>
      </c>
      <c r="B1528" t="str">
        <f>"1.5244"</f>
        <v>1.5244</v>
      </c>
      <c r="C1528" t="str">
        <f>"1.5242"</f>
        <v>1.5242</v>
      </c>
    </row>
    <row r="1529" spans="1:3" x14ac:dyDescent="0.25">
      <c r="A1529" t="str">
        <f>"24/09/2015"</f>
        <v>24/09/2015</v>
      </c>
      <c r="B1529" t="str">
        <f>"1.5241"</f>
        <v>1.5241</v>
      </c>
      <c r="C1529" t="str">
        <f>"1.5239"</f>
        <v>1.5239</v>
      </c>
    </row>
    <row r="1530" spans="1:3" x14ac:dyDescent="0.25">
      <c r="A1530" t="str">
        <f>"28/09/2015"</f>
        <v>28/09/2015</v>
      </c>
      <c r="B1530" t="str">
        <f>"1.5173"</f>
        <v>1.5173</v>
      </c>
      <c r="C1530" t="str">
        <f>"1.5171"</f>
        <v>1.5171</v>
      </c>
    </row>
    <row r="1531" spans="1:3" x14ac:dyDescent="0.25">
      <c r="A1531" t="str">
        <f>"29/09/2015"</f>
        <v>29/09/2015</v>
      </c>
      <c r="B1531" t="str">
        <f>"1.515"</f>
        <v>1.515</v>
      </c>
      <c r="C1531" t="str">
        <f>"1.5148"</f>
        <v>1.5148</v>
      </c>
    </row>
    <row r="1532" spans="1:3" x14ac:dyDescent="0.25">
      <c r="A1532" t="str">
        <f>"30/09/2015"</f>
        <v>30/09/2015</v>
      </c>
      <c r="B1532" t="str">
        <f>"1.5128"</f>
        <v>1.5128</v>
      </c>
      <c r="C1532" t="str">
        <f>"1.5126"</f>
        <v>1.5126</v>
      </c>
    </row>
    <row r="1533" spans="1:3" x14ac:dyDescent="0.25">
      <c r="A1533" t="str">
        <f>"01/10/2015"</f>
        <v>01/10/2015</v>
      </c>
      <c r="B1533" t="str">
        <f>"1.513"</f>
        <v>1.513</v>
      </c>
      <c r="C1533" t="str">
        <f>"1.5128"</f>
        <v>1.5128</v>
      </c>
    </row>
    <row r="1534" spans="1:3" x14ac:dyDescent="0.25">
      <c r="A1534" t="str">
        <f>"05/10/2015"</f>
        <v>05/10/2015</v>
      </c>
      <c r="B1534" t="str">
        <f>"1.5145"</f>
        <v>1.5145</v>
      </c>
      <c r="C1534" t="str">
        <f>"1.5142"</f>
        <v>1.5142</v>
      </c>
    </row>
    <row r="1535" spans="1:3" x14ac:dyDescent="0.25">
      <c r="A1535" t="str">
        <f>"06/10/2015"</f>
        <v>06/10/2015</v>
      </c>
      <c r="B1535" t="str">
        <f>"1.5226"</f>
        <v>1.5226</v>
      </c>
      <c r="C1535" t="str">
        <f>"1.5223"</f>
        <v>1.5223</v>
      </c>
    </row>
    <row r="1536" spans="1:3" x14ac:dyDescent="0.25">
      <c r="A1536" t="str">
        <f>"07/10/2015"</f>
        <v>07/10/2015</v>
      </c>
      <c r="B1536" t="str">
        <f>"1.5318"</f>
        <v>1.5318</v>
      </c>
      <c r="C1536" t="str">
        <f>"1.5315"</f>
        <v>1.5315</v>
      </c>
    </row>
    <row r="1537" spans="1:3" x14ac:dyDescent="0.25">
      <c r="A1537" t="str">
        <f>"08/10/2015"</f>
        <v>08/10/2015</v>
      </c>
      <c r="B1537" t="str">
        <f>"1.5347"</f>
        <v>1.5347</v>
      </c>
      <c r="C1537" t="str">
        <f>"1.5344"</f>
        <v>1.5344</v>
      </c>
    </row>
    <row r="1538" spans="1:3" x14ac:dyDescent="0.25">
      <c r="A1538" t="str">
        <f>"09/10/2015"</f>
        <v>09/10/2015</v>
      </c>
      <c r="B1538" t="str">
        <f>"1.5321"</f>
        <v>1.5321</v>
      </c>
      <c r="C1538" t="str">
        <f>"1.5318"</f>
        <v>1.5318</v>
      </c>
    </row>
    <row r="1539" spans="1:3" x14ac:dyDescent="0.25">
      <c r="A1539" t="str">
        <f>"12/10/2015"</f>
        <v>12/10/2015</v>
      </c>
      <c r="B1539" t="str">
        <f>"1.5347"</f>
        <v>1.5347</v>
      </c>
      <c r="C1539" t="str">
        <f>"1.5344"</f>
        <v>1.5344</v>
      </c>
    </row>
    <row r="1540" spans="1:3" x14ac:dyDescent="0.25">
      <c r="A1540" t="str">
        <f>"13/10/2015"</f>
        <v>13/10/2015</v>
      </c>
      <c r="B1540" t="str">
        <f>"1.5247"</f>
        <v>1.5247</v>
      </c>
      <c r="C1540" t="str">
        <f>"1.5244"</f>
        <v>1.5244</v>
      </c>
    </row>
    <row r="1541" spans="1:3" x14ac:dyDescent="0.25">
      <c r="A1541" t="str">
        <f>"14/10/2015"</f>
        <v>14/10/2015</v>
      </c>
      <c r="B1541" t="str">
        <f>"1.5477"</f>
        <v>1.5477</v>
      </c>
      <c r="C1541" t="str">
        <f>"1.5474"</f>
        <v>1.5474</v>
      </c>
    </row>
    <row r="1542" spans="1:3" x14ac:dyDescent="0.25">
      <c r="A1542" t="str">
        <f>"15/10/2015"</f>
        <v>15/10/2015</v>
      </c>
      <c r="B1542" t="str">
        <f>"1.5459"</f>
        <v>1.5459</v>
      </c>
      <c r="C1542" t="str">
        <f>"1.5456"</f>
        <v>1.5456</v>
      </c>
    </row>
    <row r="1543" spans="1:3" x14ac:dyDescent="0.25">
      <c r="A1543" t="str">
        <f>"16/10/2015"</f>
        <v>16/10/2015</v>
      </c>
      <c r="B1543" t="str">
        <f>"1.5437"</f>
        <v>1.5437</v>
      </c>
      <c r="C1543" t="str">
        <f>"1.5434"</f>
        <v>1.5434</v>
      </c>
    </row>
    <row r="1544" spans="1:3" x14ac:dyDescent="0.25">
      <c r="A1544" t="str">
        <f>"19/10/2015"</f>
        <v>19/10/2015</v>
      </c>
      <c r="B1544" t="str">
        <f>"1.5464"</f>
        <v>1.5464</v>
      </c>
      <c r="C1544" t="str">
        <f>"1.5461"</f>
        <v>1.5461</v>
      </c>
    </row>
    <row r="1545" spans="1:3" x14ac:dyDescent="0.25">
      <c r="A1545" t="str">
        <f>"20/10/2015"</f>
        <v>20/10/2015</v>
      </c>
      <c r="B1545" t="str">
        <f>"1.5443"</f>
        <v>1.5443</v>
      </c>
      <c r="C1545" t="str">
        <f>"1.544"</f>
        <v>1.544</v>
      </c>
    </row>
    <row r="1546" spans="1:3" x14ac:dyDescent="0.25">
      <c r="A1546" t="str">
        <f>"21/10/2015"</f>
        <v>21/10/2015</v>
      </c>
      <c r="B1546" t="str">
        <f>"1.5445"</f>
        <v>1.5445</v>
      </c>
      <c r="C1546" t="str">
        <f>"1.5442"</f>
        <v>1.5442</v>
      </c>
    </row>
    <row r="1547" spans="1:3" x14ac:dyDescent="0.25">
      <c r="A1547" t="str">
        <f>"23/10/2015"</f>
        <v>23/10/2015</v>
      </c>
      <c r="B1547" t="str">
        <f>"1.5313"</f>
        <v>1.5313</v>
      </c>
      <c r="C1547" t="str">
        <f>"1.531"</f>
        <v>1.531</v>
      </c>
    </row>
    <row r="1548" spans="1:3" x14ac:dyDescent="0.25">
      <c r="A1548" t="str">
        <f>"26/10/2015"</f>
        <v>26/10/2015</v>
      </c>
      <c r="B1548" t="str">
        <f>"1.5352"</f>
        <v>1.5352</v>
      </c>
      <c r="C1548" t="str">
        <f>"1.5349"</f>
        <v>1.5349</v>
      </c>
    </row>
    <row r="1549" spans="1:3" x14ac:dyDescent="0.25">
      <c r="A1549" t="str">
        <f>"27/10/2015"</f>
        <v>27/10/2015</v>
      </c>
      <c r="B1549" t="str">
        <f>"1.5299"</f>
        <v>1.5299</v>
      </c>
      <c r="C1549" t="str">
        <f>"1.5296"</f>
        <v>1.5296</v>
      </c>
    </row>
    <row r="1550" spans="1:3" x14ac:dyDescent="0.25">
      <c r="A1550" t="str">
        <f>"29/10/2015"</f>
        <v>29/10/2015</v>
      </c>
      <c r="B1550" t="str">
        <f>"1.531"</f>
        <v>1.531</v>
      </c>
      <c r="C1550" t="str">
        <f>"1.5307"</f>
        <v>1.5307</v>
      </c>
    </row>
    <row r="1551" spans="1:3" x14ac:dyDescent="0.25">
      <c r="A1551" t="str">
        <f>"30/10/2015"</f>
        <v>30/10/2015</v>
      </c>
      <c r="B1551" t="str">
        <f>"1.5427"</f>
        <v>1.5427</v>
      </c>
      <c r="C1551" t="str">
        <f>"1.5424"</f>
        <v>1.5424</v>
      </c>
    </row>
    <row r="1552" spans="1:3" x14ac:dyDescent="0.25">
      <c r="A1552" t="str">
        <f>"02/11/2015"</f>
        <v>02/11/2015</v>
      </c>
      <c r="B1552" t="str">
        <f>"1.5416"</f>
        <v>1.5416</v>
      </c>
      <c r="C1552" t="str">
        <f>"1.5413"</f>
        <v>1.5413</v>
      </c>
    </row>
    <row r="1553" spans="1:3" x14ac:dyDescent="0.25">
      <c r="A1553" t="str">
        <f>"03/11/2015"</f>
        <v>03/11/2015</v>
      </c>
      <c r="B1553" t="str">
        <f>"1.5421"</f>
        <v>1.5421</v>
      </c>
      <c r="C1553" t="str">
        <f>"1.5418"</f>
        <v>1.5418</v>
      </c>
    </row>
    <row r="1554" spans="1:3" x14ac:dyDescent="0.25">
      <c r="A1554" t="str">
        <f>"04/11/2015"</f>
        <v>04/11/2015</v>
      </c>
      <c r="B1554" t="str">
        <f>"1.5385"</f>
        <v>1.5385</v>
      </c>
      <c r="C1554" t="str">
        <f>"1.5382"</f>
        <v>1.5382</v>
      </c>
    </row>
    <row r="1555" spans="1:3" x14ac:dyDescent="0.25">
      <c r="A1555" t="str">
        <f>"05/11/2015"</f>
        <v>05/11/2015</v>
      </c>
      <c r="B1555" t="str">
        <f>"1.5207"</f>
        <v>1.5207</v>
      </c>
      <c r="C1555" t="str">
        <f>"1.5204"</f>
        <v>1.5204</v>
      </c>
    </row>
    <row r="1556" spans="1:3" x14ac:dyDescent="0.25">
      <c r="A1556" t="str">
        <f>"06/11/2015"</f>
        <v>06/11/2015</v>
      </c>
      <c r="B1556" t="str">
        <f>"1.5052"</f>
        <v>1.5052</v>
      </c>
      <c r="C1556" t="str">
        <f>"1.5049"</f>
        <v>1.5049</v>
      </c>
    </row>
    <row r="1557" spans="1:3" x14ac:dyDescent="0.25">
      <c r="A1557" t="str">
        <f>"09/11/2015"</f>
        <v>09/11/2015</v>
      </c>
      <c r="B1557" t="str">
        <f>"1.5115"</f>
        <v>1.5115</v>
      </c>
      <c r="C1557" t="str">
        <f>"1.5112"</f>
        <v>1.5112</v>
      </c>
    </row>
    <row r="1558" spans="1:3" x14ac:dyDescent="0.25">
      <c r="A1558" t="str">
        <f>"10/11/2015"</f>
        <v>10/11/2015</v>
      </c>
      <c r="B1558" t="str">
        <f>"1.5118"</f>
        <v>1.5118</v>
      </c>
      <c r="C1558" t="str">
        <f>"1.5115"</f>
        <v>1.5115</v>
      </c>
    </row>
    <row r="1559" spans="1:3" x14ac:dyDescent="0.25">
      <c r="A1559" t="str">
        <f>"13/11/2015"</f>
        <v>13/11/2015</v>
      </c>
      <c r="B1559" t="str">
        <f>"1.5236"</f>
        <v>1.5236</v>
      </c>
      <c r="C1559" t="str">
        <f>"1.5232"</f>
        <v>1.5232</v>
      </c>
    </row>
    <row r="1560" spans="1:3" x14ac:dyDescent="0.25">
      <c r="A1560" t="str">
        <f>"16/11/2015"</f>
        <v>16/11/2015</v>
      </c>
      <c r="B1560" t="str">
        <f>"1.5202"</f>
        <v>1.5202</v>
      </c>
      <c r="C1560" t="str">
        <f>"1.5199"</f>
        <v>1.5199</v>
      </c>
    </row>
    <row r="1561" spans="1:3" x14ac:dyDescent="0.25">
      <c r="A1561" t="str">
        <f>"17/11/2015"</f>
        <v>17/11/2015</v>
      </c>
      <c r="B1561" t="str">
        <f>"1.5212"</f>
        <v>1.5212</v>
      </c>
      <c r="C1561" t="str">
        <f>"1.5209"</f>
        <v>1.5209</v>
      </c>
    </row>
    <row r="1562" spans="1:3" x14ac:dyDescent="0.25">
      <c r="A1562" t="str">
        <f>"18/11/2015"</f>
        <v>18/11/2015</v>
      </c>
      <c r="B1562" t="str">
        <f>"1.5236"</f>
        <v>1.5236</v>
      </c>
      <c r="C1562" t="str">
        <f>"1.5233"</f>
        <v>1.5233</v>
      </c>
    </row>
    <row r="1563" spans="1:3" x14ac:dyDescent="0.25">
      <c r="A1563" t="str">
        <f>"19/11/2015"</f>
        <v>19/11/2015</v>
      </c>
      <c r="B1563" t="str">
        <f>"1.5291"</f>
        <v>1.5291</v>
      </c>
      <c r="C1563" t="str">
        <f>"1.5288"</f>
        <v>1.5288</v>
      </c>
    </row>
    <row r="1564" spans="1:3" x14ac:dyDescent="0.25">
      <c r="A1564" t="str">
        <f>"20/11/2015"</f>
        <v>20/11/2015</v>
      </c>
      <c r="B1564" t="str">
        <f>"1.519"</f>
        <v>1.519</v>
      </c>
      <c r="C1564" t="str">
        <f>"1.5187"</f>
        <v>1.5187</v>
      </c>
    </row>
    <row r="1565" spans="1:3" x14ac:dyDescent="0.25">
      <c r="A1565" t="str">
        <f>"23/11/2015"</f>
        <v>23/11/2015</v>
      </c>
      <c r="B1565" t="str">
        <f>"1.5124"</f>
        <v>1.5124</v>
      </c>
      <c r="C1565" t="str">
        <f>"1.5121"</f>
        <v>1.5121</v>
      </c>
    </row>
    <row r="1566" spans="1:3" x14ac:dyDescent="0.25">
      <c r="A1566" t="str">
        <f>"24/11/2015"</f>
        <v>24/11/2015</v>
      </c>
      <c r="B1566" t="str">
        <f>"1.5083"</f>
        <v>1.5083</v>
      </c>
      <c r="C1566" t="str">
        <f>"1.5081"</f>
        <v>1.5081</v>
      </c>
    </row>
    <row r="1567" spans="1:3" x14ac:dyDescent="0.25">
      <c r="A1567" t="str">
        <f>"26/11/2015"</f>
        <v>26/11/2015</v>
      </c>
      <c r="B1567" t="str">
        <f>"1.5101"</f>
        <v>1.5101</v>
      </c>
      <c r="C1567" t="str">
        <f>"1.5099"</f>
        <v>1.5099</v>
      </c>
    </row>
    <row r="1568" spans="1:3" x14ac:dyDescent="0.25">
      <c r="A1568" t="str">
        <f>"27/11/2015"</f>
        <v>27/11/2015</v>
      </c>
      <c r="B1568" t="str">
        <f>"1.5035"</f>
        <v>1.5035</v>
      </c>
      <c r="C1568" t="str">
        <f>"1.5038"</f>
        <v>1.5038</v>
      </c>
    </row>
    <row r="1569" spans="1:3" x14ac:dyDescent="0.25">
      <c r="A1569" t="str">
        <f>"30/11/2015"</f>
        <v>30/11/2015</v>
      </c>
      <c r="B1569" t="str">
        <f>"1.5055"</f>
        <v>1.5055</v>
      </c>
      <c r="C1569" t="str">
        <f>"1.5057"</f>
        <v>1.5057</v>
      </c>
    </row>
    <row r="1570" spans="1:3" x14ac:dyDescent="0.25">
      <c r="A1570" t="str">
        <f>"01/12/2015"</f>
        <v>01/12/2015</v>
      </c>
      <c r="B1570" t="str">
        <f>"1.5081"</f>
        <v>1.5081</v>
      </c>
      <c r="C1570" t="str">
        <f>"1.5084"</f>
        <v>1.5084</v>
      </c>
    </row>
    <row r="1571" spans="1:3" x14ac:dyDescent="0.25">
      <c r="A1571" t="str">
        <f>"02/12/2015"</f>
        <v>02/12/2015</v>
      </c>
      <c r="B1571" t="str">
        <f>"1.4951"</f>
        <v>1.4951</v>
      </c>
      <c r="C1571" t="str">
        <f>"1.4954"</f>
        <v>1.4954</v>
      </c>
    </row>
    <row r="1572" spans="1:3" x14ac:dyDescent="0.25">
      <c r="A1572" t="str">
        <f>"03/12/2015"</f>
        <v>03/12/2015</v>
      </c>
      <c r="B1572" t="str">
        <f>"1.5143"</f>
        <v>1.5143</v>
      </c>
      <c r="C1572" t="str">
        <f>"1.5146"</f>
        <v>1.5146</v>
      </c>
    </row>
    <row r="1573" spans="1:3" x14ac:dyDescent="0.25">
      <c r="A1573" t="str">
        <f>"04/12/2015"</f>
        <v>04/12/2015</v>
      </c>
      <c r="B1573" t="str">
        <f>"1.5111"</f>
        <v>1.5111</v>
      </c>
      <c r="C1573" t="str">
        <f>"1.5114"</f>
        <v>1.5114</v>
      </c>
    </row>
    <row r="1574" spans="1:3" x14ac:dyDescent="0.25">
      <c r="A1574" t="str">
        <f>"07/12/2015"</f>
        <v>07/12/2015</v>
      </c>
      <c r="B1574" t="str">
        <f>"1.5055"</f>
        <v>1.5055</v>
      </c>
      <c r="C1574" t="str">
        <f>"1.5057"</f>
        <v>1.5057</v>
      </c>
    </row>
    <row r="1575" spans="1:3" x14ac:dyDescent="0.25">
      <c r="A1575" t="str">
        <f>"08/12/2015"</f>
        <v>08/12/2015</v>
      </c>
      <c r="B1575" t="str">
        <f>"1.5008"</f>
        <v>1.5008</v>
      </c>
      <c r="C1575" t="str">
        <f>"1.501"</f>
        <v>1.501</v>
      </c>
    </row>
    <row r="1576" spans="1:3" x14ac:dyDescent="0.25">
      <c r="A1576" t="str">
        <f>"09/12/2015"</f>
        <v>09/12/2015</v>
      </c>
      <c r="B1576" t="str">
        <f>"1.518"</f>
        <v>1.518</v>
      </c>
      <c r="C1576" t="str">
        <f>"1.5182"</f>
        <v>1.5182</v>
      </c>
    </row>
    <row r="1577" spans="1:3" x14ac:dyDescent="0.25">
      <c r="A1577" t="str">
        <f>"10/12/2015"</f>
        <v>10/12/2015</v>
      </c>
      <c r="B1577" t="str">
        <f>"1.516"</f>
        <v>1.516</v>
      </c>
      <c r="C1577" t="str">
        <f>"1.5162"</f>
        <v>1.5162</v>
      </c>
    </row>
    <row r="1578" spans="1:3" x14ac:dyDescent="0.25">
      <c r="A1578" t="str">
        <f>"11/12/2015"</f>
        <v>11/12/2015</v>
      </c>
      <c r="B1578" t="str">
        <f>"1.5212"</f>
        <v>1.5212</v>
      </c>
      <c r="C1578" t="str">
        <f>"1.5214"</f>
        <v>1.5214</v>
      </c>
    </row>
    <row r="1579" spans="1:3" x14ac:dyDescent="0.25">
      <c r="A1579" t="str">
        <f>"14/12/2015"</f>
        <v>14/12/2015</v>
      </c>
      <c r="B1579" t="str">
        <f>"1.5142"</f>
        <v>1.5142</v>
      </c>
      <c r="C1579" t="str">
        <f>"1.5143"</f>
        <v>1.5143</v>
      </c>
    </row>
    <row r="1580" spans="1:3" x14ac:dyDescent="0.25">
      <c r="A1580" t="str">
        <f>"15/12/2015"</f>
        <v>15/12/2015</v>
      </c>
      <c r="B1580" t="str">
        <f>"1.5038"</f>
        <v>1.5038</v>
      </c>
      <c r="C1580" t="str">
        <f>"1.504"</f>
        <v>1.504</v>
      </c>
    </row>
    <row r="1581" spans="1:3" x14ac:dyDescent="0.25">
      <c r="A1581" t="str">
        <f>"16/12/2015"</f>
        <v>16/12/2015</v>
      </c>
      <c r="B1581" t="str">
        <f>"1.5003"</f>
        <v>1.5003</v>
      </c>
      <c r="C1581" t="str">
        <f>"1.5005"</f>
        <v>1.5005</v>
      </c>
    </row>
    <row r="1582" spans="1:3" x14ac:dyDescent="0.25">
      <c r="A1582" t="str">
        <f>"17/12/2015"</f>
        <v>17/12/2015</v>
      </c>
      <c r="B1582" t="str">
        <f>"1.4901"</f>
        <v>1.4901</v>
      </c>
      <c r="C1582" t="str">
        <f>"1.4851"</f>
        <v>1.4851</v>
      </c>
    </row>
    <row r="1583" spans="1:3" x14ac:dyDescent="0.25">
      <c r="A1583" t="str">
        <f>"18/12/2015"</f>
        <v>18/12/2015</v>
      </c>
      <c r="B1583" t="str">
        <f>"1.4894"</f>
        <v>1.4894</v>
      </c>
      <c r="C1583" t="str">
        <f>"1.4869"</f>
        <v>1.4869</v>
      </c>
    </row>
    <row r="1584" spans="1:3" x14ac:dyDescent="0.25">
      <c r="A1584" t="str">
        <f>"21/12/2015"</f>
        <v>21/12/2015</v>
      </c>
      <c r="B1584" t="str">
        <f>"1.4906"</f>
        <v>1.4906</v>
      </c>
      <c r="C1584" t="str">
        <f>"1.491"</f>
        <v>1.491</v>
      </c>
    </row>
    <row r="1585" spans="1:3" x14ac:dyDescent="0.25">
      <c r="A1585" t="str">
        <f>"22/12/2015"</f>
        <v>22/12/2015</v>
      </c>
      <c r="B1585" t="str">
        <f>"1.4872"</f>
        <v>1.4872</v>
      </c>
      <c r="C1585" t="str">
        <f>"1.4876"</f>
        <v>1.4876</v>
      </c>
    </row>
    <row r="1586" spans="1:3" x14ac:dyDescent="0.25">
      <c r="A1586" t="str">
        <f>"23/12/2015"</f>
        <v>23/12/2015</v>
      </c>
      <c r="B1586" t="str">
        <f>"1.4884"</f>
        <v>1.4884</v>
      </c>
      <c r="C1586" t="str">
        <f>"1.4888"</f>
        <v>1.4888</v>
      </c>
    </row>
    <row r="1587" spans="1:3" x14ac:dyDescent="0.25">
      <c r="A1587" t="str">
        <f>"28/12/2015"</f>
        <v>28/12/2015</v>
      </c>
      <c r="B1587" t="str">
        <f>"1.4902"</f>
        <v>1.4902</v>
      </c>
      <c r="C1587" t="str">
        <f>"1.4905"</f>
        <v>1.4905</v>
      </c>
    </row>
    <row r="1588" spans="1:3" x14ac:dyDescent="0.25">
      <c r="A1588" t="str">
        <f>"29/12/2015"</f>
        <v>29/12/2015</v>
      </c>
      <c r="B1588" t="str">
        <f>"1.4826"</f>
        <v>1.4826</v>
      </c>
      <c r="C1588" t="str">
        <f>"1.4829"</f>
        <v>1.4829</v>
      </c>
    </row>
    <row r="1589" spans="1:3" x14ac:dyDescent="0.25">
      <c r="A1589" t="str">
        <f>"30/12/2015"</f>
        <v>30/12/2015</v>
      </c>
      <c r="B1589" t="str">
        <f>"1.482"</f>
        <v>1.482</v>
      </c>
      <c r="C1589" t="str">
        <f>"1.4821"</f>
        <v>1.4821</v>
      </c>
    </row>
    <row r="1590" spans="1:3" x14ac:dyDescent="0.25">
      <c r="A1590" t="str">
        <f>"31/12/2015"</f>
        <v>31/12/2015</v>
      </c>
      <c r="B1590" t="str">
        <f>"1.4824"</f>
        <v>1.4824</v>
      </c>
      <c r="C1590" t="str">
        <f>"1.4825"</f>
        <v>1.4825</v>
      </c>
    </row>
    <row r="1591" spans="1:3" x14ac:dyDescent="0.25">
      <c r="A1591" t="str">
        <f>"01/01/2016"</f>
        <v>01/01/2016</v>
      </c>
      <c r="B1591" t="str">
        <f>"1.4745"</f>
        <v>1.4745</v>
      </c>
      <c r="C1591" t="str">
        <f>"1.4746"</f>
        <v>1.4746</v>
      </c>
    </row>
    <row r="1592" spans="1:3" x14ac:dyDescent="0.25">
      <c r="A1592" t="str">
        <f>"04/01/2016"</f>
        <v>04/01/2016</v>
      </c>
      <c r="B1592" t="str">
        <f>"1.4769"</f>
        <v>1.4769</v>
      </c>
      <c r="C1592" t="str">
        <f>"1.477"</f>
        <v>1.477</v>
      </c>
    </row>
    <row r="1593" spans="1:3" x14ac:dyDescent="0.25">
      <c r="A1593" t="str">
        <f>"05/01/2016"</f>
        <v>05/01/2016</v>
      </c>
      <c r="B1593" t="str">
        <f>"1.4677"</f>
        <v>1.4677</v>
      </c>
      <c r="C1593" t="str">
        <f>"1.4678"</f>
        <v>1.4678</v>
      </c>
    </row>
    <row r="1594" spans="1:3" x14ac:dyDescent="0.25">
      <c r="A1594" t="str">
        <f>"06/01/2016"</f>
        <v>06/01/2016</v>
      </c>
      <c r="B1594" t="str">
        <f>"1.4662"</f>
        <v>1.4662</v>
      </c>
      <c r="C1594" t="str">
        <f>"1.4662"</f>
        <v>1.4662</v>
      </c>
    </row>
    <row r="1595" spans="1:3" x14ac:dyDescent="0.25">
      <c r="A1595" t="str">
        <f>"07/01/2016"</f>
        <v>07/01/2016</v>
      </c>
      <c r="B1595" t="str">
        <f>"1.4575"</f>
        <v>1.4575</v>
      </c>
      <c r="C1595" t="str">
        <f>"1.4575"</f>
        <v>1.4575</v>
      </c>
    </row>
    <row r="1596" spans="1:3" x14ac:dyDescent="0.25">
      <c r="A1596" t="str">
        <f>"08/01/2016"</f>
        <v>08/01/2016</v>
      </c>
      <c r="B1596" t="str">
        <f>"1.4633"</f>
        <v>1.4633</v>
      </c>
      <c r="C1596" t="str">
        <f>"1.4633"</f>
        <v>1.4633</v>
      </c>
    </row>
    <row r="1597" spans="1:3" x14ac:dyDescent="0.25">
      <c r="A1597" t="str">
        <f>"11/01/2016"</f>
        <v>11/01/2016</v>
      </c>
      <c r="B1597" t="str">
        <f>"1.4528"</f>
        <v>1.4528</v>
      </c>
      <c r="C1597" t="str">
        <f>"1.4528"</f>
        <v>1.4528</v>
      </c>
    </row>
    <row r="1598" spans="1:3" x14ac:dyDescent="0.25">
      <c r="A1598" t="str">
        <f>"12/01/2016"</f>
        <v>12/01/2016</v>
      </c>
      <c r="B1598" t="str">
        <f>"1.4435"</f>
        <v>1.4435</v>
      </c>
      <c r="C1598" t="str">
        <f>"1.4435"</f>
        <v>1.4435</v>
      </c>
    </row>
    <row r="1599" spans="1:3" x14ac:dyDescent="0.25">
      <c r="A1599" t="str">
        <f>"13/01/2016"</f>
        <v>13/01/2016</v>
      </c>
      <c r="B1599" t="str">
        <f>"1.4427"</f>
        <v>1.4427</v>
      </c>
      <c r="C1599" t="str">
        <f>"1.4427"</f>
        <v>1.4427</v>
      </c>
    </row>
    <row r="1600" spans="1:3" x14ac:dyDescent="0.25">
      <c r="A1600" t="str">
        <f>"14/01/2016"</f>
        <v>14/01/2016</v>
      </c>
      <c r="B1600" t="str">
        <f>"1.4389"</f>
        <v>1.4389</v>
      </c>
      <c r="C1600" t="str">
        <f>"1.4389"</f>
        <v>1.4389</v>
      </c>
    </row>
    <row r="1601" spans="1:3" x14ac:dyDescent="0.25">
      <c r="A1601" t="str">
        <f>"15/01/2016"</f>
        <v>15/01/2016</v>
      </c>
      <c r="B1601" t="str">
        <f>"1.4339"</f>
        <v>1.4339</v>
      </c>
      <c r="C1601" t="str">
        <f>"1.4339"</f>
        <v>1.4339</v>
      </c>
    </row>
    <row r="1602" spans="1:3" x14ac:dyDescent="0.25">
      <c r="A1602" t="str">
        <f>"18/01/2016"</f>
        <v>18/01/2016</v>
      </c>
      <c r="B1602" t="str">
        <f>"1.4294"</f>
        <v>1.4294</v>
      </c>
      <c r="C1602" t="str">
        <f>"1.4294"</f>
        <v>1.4294</v>
      </c>
    </row>
    <row r="1603" spans="1:3" x14ac:dyDescent="0.25">
      <c r="A1603" t="str">
        <f>"19/01/2016"</f>
        <v>19/01/2016</v>
      </c>
      <c r="B1603" t="str">
        <f>"1.431"</f>
        <v>1.431</v>
      </c>
      <c r="C1603" t="str">
        <f>"1.431"</f>
        <v>1.431</v>
      </c>
    </row>
    <row r="1604" spans="1:3" x14ac:dyDescent="0.25">
      <c r="A1604" t="str">
        <f>"20/01/2016"</f>
        <v>20/01/2016</v>
      </c>
      <c r="B1604" t="str">
        <f>"1.4152"</f>
        <v>1.4152</v>
      </c>
      <c r="C1604" t="str">
        <f>"1.4152"</f>
        <v>1.4152</v>
      </c>
    </row>
    <row r="1605" spans="1:3" x14ac:dyDescent="0.25">
      <c r="A1605" t="str">
        <f>"21/01/2016"</f>
        <v>21/01/2016</v>
      </c>
      <c r="B1605" t="str">
        <f>"1.4135"</f>
        <v>1.4135</v>
      </c>
      <c r="C1605" t="str">
        <f>"1.4135"</f>
        <v>1.4135</v>
      </c>
    </row>
    <row r="1606" spans="1:3" x14ac:dyDescent="0.25">
      <c r="A1606" t="str">
        <f>"22/01/2016"</f>
        <v>22/01/2016</v>
      </c>
      <c r="B1606" t="str">
        <f>"1.4271"</f>
        <v>1.4271</v>
      </c>
      <c r="C1606" t="str">
        <f>"1.4271"</f>
        <v>1.4271</v>
      </c>
    </row>
    <row r="1607" spans="1:3" x14ac:dyDescent="0.25">
      <c r="A1607" t="str">
        <f>"25/01/2016"</f>
        <v>25/01/2016</v>
      </c>
      <c r="B1607" t="str">
        <f>"1.4232"</f>
        <v>1.4232</v>
      </c>
      <c r="C1607" t="str">
        <f>"1.4232"</f>
        <v>1.4232</v>
      </c>
    </row>
    <row r="1608" spans="1:3" x14ac:dyDescent="0.25">
      <c r="A1608" t="str">
        <f>"27/01/2016"</f>
        <v>27/01/2016</v>
      </c>
      <c r="B1608" t="str">
        <f>"1.4304"</f>
        <v>1.4304</v>
      </c>
      <c r="C1608" t="str">
        <f>"1.4304"</f>
        <v>1.4304</v>
      </c>
    </row>
    <row r="1609" spans="1:3" x14ac:dyDescent="0.25">
      <c r="A1609" t="str">
        <f>"28/01/2016"</f>
        <v>28/01/2016</v>
      </c>
      <c r="B1609" t="str">
        <f>"1.4296"</f>
        <v>1.4296</v>
      </c>
      <c r="C1609" t="str">
        <f>"1.4296"</f>
        <v>1.4296</v>
      </c>
    </row>
    <row r="1610" spans="1:3" x14ac:dyDescent="0.25">
      <c r="A1610" t="str">
        <f>"29/01/2016"</f>
        <v>29/01/2016</v>
      </c>
      <c r="B1610" t="str">
        <f>"1.4307"</f>
        <v>1.4307</v>
      </c>
      <c r="C1610" t="str">
        <f>"1.4307"</f>
        <v>1.4307</v>
      </c>
    </row>
    <row r="1611" spans="1:3" x14ac:dyDescent="0.25">
      <c r="A1611" t="str">
        <f>"01/02/2016"</f>
        <v>01/02/2016</v>
      </c>
      <c r="B1611" t="str">
        <f>"1.4283"</f>
        <v>1.4283</v>
      </c>
      <c r="C1611" t="str">
        <f>"1.4283"</f>
        <v>1.4283</v>
      </c>
    </row>
    <row r="1612" spans="1:3" x14ac:dyDescent="0.25">
      <c r="A1612" t="str">
        <f>"02/02/2016"</f>
        <v>02/02/2016</v>
      </c>
      <c r="B1612" t="str">
        <f>"1.4417"</f>
        <v>1.4417</v>
      </c>
      <c r="C1612" t="str">
        <f>"1.4417"</f>
        <v>1.4417</v>
      </c>
    </row>
    <row r="1613" spans="1:3" x14ac:dyDescent="0.25">
      <c r="A1613" t="str">
        <f>"03/02/2016"</f>
        <v>03/02/2016</v>
      </c>
      <c r="B1613" t="str">
        <f>"1.4489"</f>
        <v>1.4489</v>
      </c>
      <c r="C1613" t="str">
        <f>"1.4489"</f>
        <v>1.4489</v>
      </c>
    </row>
    <row r="1614" spans="1:3" x14ac:dyDescent="0.25">
      <c r="A1614" t="str">
        <f>"04/02/2016"</f>
        <v>04/02/2016</v>
      </c>
      <c r="B1614" t="str">
        <f>"1.4613"</f>
        <v>1.4613</v>
      </c>
      <c r="C1614" t="str">
        <f>"1.4613"</f>
        <v>1.4613</v>
      </c>
    </row>
    <row r="1615" spans="1:3" x14ac:dyDescent="0.25">
      <c r="A1615" t="str">
        <f>"05/02/2016"</f>
        <v>05/02/2016</v>
      </c>
      <c r="B1615" t="str">
        <f>"1.4563"</f>
        <v>1.4563</v>
      </c>
      <c r="C1615" t="str">
        <f>"1.4563"</f>
        <v>1.4563</v>
      </c>
    </row>
    <row r="1616" spans="1:3" x14ac:dyDescent="0.25">
      <c r="A1616" t="str">
        <f>"08/02/2016"</f>
        <v>08/02/2016</v>
      </c>
      <c r="B1616" t="str">
        <f>"1.4406"</f>
        <v>1.4406</v>
      </c>
      <c r="C1616" t="str">
        <f>"1.4406"</f>
        <v>1.4406</v>
      </c>
    </row>
    <row r="1617" spans="1:3" x14ac:dyDescent="0.25">
      <c r="A1617" t="str">
        <f>"09/02/2016"</f>
        <v>09/02/2016</v>
      </c>
      <c r="B1617" t="str">
        <f>"1.4432"</f>
        <v>1.4432</v>
      </c>
      <c r="C1617" t="str">
        <f>"1.4432"</f>
        <v>1.4432</v>
      </c>
    </row>
    <row r="1618" spans="1:3" x14ac:dyDescent="0.25">
      <c r="A1618" t="str">
        <f>"10/02/2016"</f>
        <v>10/02/2016</v>
      </c>
      <c r="B1618" t="str">
        <f>"1.4511"</f>
        <v>1.4511</v>
      </c>
      <c r="C1618" t="str">
        <f>"1.4511"</f>
        <v>1.4511</v>
      </c>
    </row>
    <row r="1619" spans="1:3" x14ac:dyDescent="0.25">
      <c r="A1619" t="str">
        <f>"11/02/2016"</f>
        <v>11/02/2016</v>
      </c>
      <c r="B1619" t="str">
        <f>"1.4414"</f>
        <v>1.4414</v>
      </c>
      <c r="C1619" t="str">
        <f>"1.4414"</f>
        <v>1.4414</v>
      </c>
    </row>
    <row r="1620" spans="1:3" x14ac:dyDescent="0.25">
      <c r="A1620" t="str">
        <f>"12/02/2016"</f>
        <v>12/02/2016</v>
      </c>
      <c r="B1620" t="str">
        <f>"1.4501"</f>
        <v>1.4501</v>
      </c>
      <c r="C1620" t="str">
        <f>"1.4501"</f>
        <v>1.4501</v>
      </c>
    </row>
    <row r="1621" spans="1:3" x14ac:dyDescent="0.25">
      <c r="A1621" t="str">
        <f>"15/02/2016"</f>
        <v>15/02/2016</v>
      </c>
      <c r="B1621" t="str">
        <f>"1.4524"</f>
        <v>1.4524</v>
      </c>
      <c r="C1621" t="str">
        <f>"1.4524"</f>
        <v>1.4524</v>
      </c>
    </row>
    <row r="1622" spans="1:3" x14ac:dyDescent="0.25">
      <c r="A1622" t="str">
        <f>"16/02/2016"</f>
        <v>16/02/2016</v>
      </c>
      <c r="B1622" t="str">
        <f>"1.4426"</f>
        <v>1.4426</v>
      </c>
      <c r="C1622" t="str">
        <f>"1.4426"</f>
        <v>1.4426</v>
      </c>
    </row>
    <row r="1623" spans="1:3" x14ac:dyDescent="0.25">
      <c r="A1623" t="str">
        <f>"17/02/2016"</f>
        <v>17/02/2016</v>
      </c>
      <c r="B1623" t="str">
        <f>"1.4305"</f>
        <v>1.4305</v>
      </c>
      <c r="C1623" t="str">
        <f>"1.4305"</f>
        <v>1.4305</v>
      </c>
    </row>
    <row r="1624" spans="1:3" x14ac:dyDescent="0.25">
      <c r="A1624" t="str">
        <f>"18/02/2016"</f>
        <v>18/02/2016</v>
      </c>
      <c r="B1624" t="str">
        <f>"1.4368"</f>
        <v>1.4368</v>
      </c>
      <c r="C1624" t="str">
        <f>"1.4368"</f>
        <v>1.4368</v>
      </c>
    </row>
    <row r="1625" spans="1:3" x14ac:dyDescent="0.25">
      <c r="A1625" t="str">
        <f>"22/02/2016"</f>
        <v>22/02/2016</v>
      </c>
      <c r="B1625" t="str">
        <f>"1.4109"</f>
        <v>1.4109</v>
      </c>
      <c r="C1625" t="str">
        <f>"1.411"</f>
        <v>1.411</v>
      </c>
    </row>
    <row r="1626" spans="1:3" x14ac:dyDescent="0.25">
      <c r="A1626" t="str">
        <f>"23/02/2016"</f>
        <v>23/02/2016</v>
      </c>
      <c r="B1626" t="str">
        <f>"1.4115"</f>
        <v>1.4115</v>
      </c>
      <c r="C1626" t="str">
        <f>"1.4116"</f>
        <v>1.4116</v>
      </c>
    </row>
    <row r="1627" spans="1:3" x14ac:dyDescent="0.25">
      <c r="A1627" t="str">
        <f>"24/02/2016"</f>
        <v>24/02/2016</v>
      </c>
      <c r="B1627" t="str">
        <f>"1.3983"</f>
        <v>1.3983</v>
      </c>
      <c r="C1627" t="str">
        <f>"1.3984"</f>
        <v>1.3984</v>
      </c>
    </row>
    <row r="1628" spans="1:3" x14ac:dyDescent="0.25">
      <c r="A1628" t="str">
        <f>"25/02/2016"</f>
        <v>25/02/2016</v>
      </c>
      <c r="B1628" t="str">
        <f>"1.3941"</f>
        <v>1.3941</v>
      </c>
      <c r="C1628" t="str">
        <f>"1.3942"</f>
        <v>1.3942</v>
      </c>
    </row>
    <row r="1629" spans="1:3" x14ac:dyDescent="0.25">
      <c r="A1629" t="str">
        <f>"26/02/2016"</f>
        <v>26/02/2016</v>
      </c>
      <c r="B1629" t="str">
        <f>"1.4003"</f>
        <v>1.4003</v>
      </c>
      <c r="C1629" t="str">
        <f>"1.4004"</f>
        <v>1.4004</v>
      </c>
    </row>
    <row r="1630" spans="1:3" x14ac:dyDescent="0.25">
      <c r="A1630" t="str">
        <f>"29/02/2016"</f>
        <v>29/02/2016</v>
      </c>
      <c r="B1630" t="str">
        <f>"1.3856"</f>
        <v>1.3856</v>
      </c>
      <c r="C1630" t="str">
        <f>"1.3857"</f>
        <v>1.3857</v>
      </c>
    </row>
    <row r="1631" spans="1:3" x14ac:dyDescent="0.25">
      <c r="A1631" t="str">
        <f>"01/03/2016"</f>
        <v>01/03/2016</v>
      </c>
      <c r="B1631" t="str">
        <f>"1.3977"</f>
        <v>1.3977</v>
      </c>
      <c r="C1631" t="str">
        <f>"1.3979"</f>
        <v>1.3979</v>
      </c>
    </row>
    <row r="1632" spans="1:3" x14ac:dyDescent="0.25">
      <c r="A1632" t="str">
        <f>"02/03/2016"</f>
        <v>02/03/2016</v>
      </c>
      <c r="B1632" t="str">
        <f>"1.3987"</f>
        <v>1.3987</v>
      </c>
      <c r="C1632" t="str">
        <f>"1.3989"</f>
        <v>1.3989</v>
      </c>
    </row>
    <row r="1633" spans="1:3" x14ac:dyDescent="0.25">
      <c r="A1633" t="str">
        <f>"03/03/2016"</f>
        <v>03/03/2016</v>
      </c>
      <c r="B1633" t="str">
        <f>"1.4065"</f>
        <v>1.4065</v>
      </c>
      <c r="C1633" t="str">
        <f>"1.4067"</f>
        <v>1.4067</v>
      </c>
    </row>
    <row r="1634" spans="1:3" x14ac:dyDescent="0.25">
      <c r="A1634" t="str">
        <f>"04/03/2016"</f>
        <v>04/03/2016</v>
      </c>
      <c r="B1634" t="str">
        <f>"1.4146"</f>
        <v>1.4146</v>
      </c>
      <c r="C1634" t="str">
        <f>"1.4148"</f>
        <v>1.4148</v>
      </c>
    </row>
    <row r="1635" spans="1:3" x14ac:dyDescent="0.25">
      <c r="A1635" t="str">
        <f>"08/03/2016"</f>
        <v>08/03/2016</v>
      </c>
      <c r="B1635" t="str">
        <f>"1.425"</f>
        <v>1.425</v>
      </c>
      <c r="C1635" t="str">
        <f>"1.4252"</f>
        <v>1.4252</v>
      </c>
    </row>
    <row r="1636" spans="1:3" x14ac:dyDescent="0.25">
      <c r="A1636" t="str">
        <f>"09/03/2016"</f>
        <v>09/03/2016</v>
      </c>
      <c r="B1636" t="str">
        <f>"1.422"</f>
        <v>1.422</v>
      </c>
      <c r="C1636" t="str">
        <f>"1.4221"</f>
        <v>1.4221</v>
      </c>
    </row>
    <row r="1637" spans="1:3" x14ac:dyDescent="0.25">
      <c r="A1637" t="str">
        <f>"10/03/2016"</f>
        <v>10/03/2016</v>
      </c>
      <c r="B1637" t="str">
        <f>"1.4202"</f>
        <v>1.4202</v>
      </c>
      <c r="C1637" t="str">
        <f>"1.4203"</f>
        <v>1.4203</v>
      </c>
    </row>
    <row r="1638" spans="1:3" x14ac:dyDescent="0.25">
      <c r="A1638" t="str">
        <f>"11/03/2016"</f>
        <v>11/03/2016</v>
      </c>
      <c r="B1638" t="str">
        <f>"1.4302"</f>
        <v>1.4302</v>
      </c>
      <c r="C1638" t="str">
        <f>"1.4303"</f>
        <v>1.4303</v>
      </c>
    </row>
    <row r="1639" spans="1:3" x14ac:dyDescent="0.25">
      <c r="A1639" t="str">
        <f>"14/03/2016"</f>
        <v>14/03/2016</v>
      </c>
      <c r="B1639" t="str">
        <f>"1.4355"</f>
        <v>1.4355</v>
      </c>
      <c r="C1639" t="str">
        <f>"1.4357"</f>
        <v>1.4357</v>
      </c>
    </row>
    <row r="1640" spans="1:3" x14ac:dyDescent="0.25">
      <c r="A1640" t="str">
        <f>"15/03/2016"</f>
        <v>15/03/2016</v>
      </c>
      <c r="B1640" t="str">
        <f>"1.417"</f>
        <v>1.417</v>
      </c>
      <c r="C1640" t="str">
        <f>"1.4172"</f>
        <v>1.4172</v>
      </c>
    </row>
    <row r="1641" spans="1:3" x14ac:dyDescent="0.25">
      <c r="A1641" t="str">
        <f>"16/03/2016"</f>
        <v>16/03/2016</v>
      </c>
      <c r="B1641" t="str">
        <f>"1.4095"</f>
        <v>1.4095</v>
      </c>
      <c r="C1641" t="str">
        <f>"1.4097"</f>
        <v>1.4097</v>
      </c>
    </row>
    <row r="1642" spans="1:3" x14ac:dyDescent="0.25">
      <c r="A1642" t="str">
        <f>"17/03/2016"</f>
        <v>17/03/2016</v>
      </c>
      <c r="B1642" t="str">
        <f>"1.4359"</f>
        <v>1.4359</v>
      </c>
      <c r="C1642" t="str">
        <f>"1.4361"</f>
        <v>1.4361</v>
      </c>
    </row>
    <row r="1643" spans="1:3" x14ac:dyDescent="0.25">
      <c r="A1643" t="str">
        <f>"18/03/2016"</f>
        <v>18/03/2016</v>
      </c>
      <c r="B1643" t="str">
        <f>"1.4448"</f>
        <v>1.4448</v>
      </c>
      <c r="C1643" t="str">
        <f>"1.4449"</f>
        <v>1.4449</v>
      </c>
    </row>
    <row r="1644" spans="1:3" x14ac:dyDescent="0.25">
      <c r="A1644" t="str">
        <f>"21/03/2016"</f>
        <v>21/03/2016</v>
      </c>
      <c r="B1644" t="str">
        <f>"1.4391"</f>
        <v>1.4391</v>
      </c>
      <c r="C1644" t="str">
        <f>"1.4393"</f>
        <v>1.4393</v>
      </c>
    </row>
    <row r="1645" spans="1:3" x14ac:dyDescent="0.25">
      <c r="A1645" t="str">
        <f>"22/03/2016"</f>
        <v>22/03/2016</v>
      </c>
      <c r="B1645" t="str">
        <f>"1.4276"</f>
        <v>1.4276</v>
      </c>
      <c r="C1645" t="str">
        <f>"1.4278"</f>
        <v>1.4278</v>
      </c>
    </row>
    <row r="1646" spans="1:3" x14ac:dyDescent="0.25">
      <c r="A1646" t="str">
        <f>"23/03/2016"</f>
        <v>23/03/2016</v>
      </c>
      <c r="B1646" t="str">
        <f>"1.419"</f>
        <v>1.419</v>
      </c>
      <c r="C1646" t="str">
        <f>"1.4192"</f>
        <v>1.4192</v>
      </c>
    </row>
    <row r="1647" spans="1:3" x14ac:dyDescent="0.25">
      <c r="A1647" t="str">
        <f>"28/03/2016"</f>
        <v>28/03/2016</v>
      </c>
      <c r="B1647" t="str">
        <f>"1.4161"</f>
        <v>1.4161</v>
      </c>
      <c r="C1647" t="str">
        <f>"1.4162"</f>
        <v>1.4162</v>
      </c>
    </row>
    <row r="1648" spans="1:3" x14ac:dyDescent="0.25">
      <c r="A1648" t="str">
        <f>"29/03/2016"</f>
        <v>29/03/2016</v>
      </c>
      <c r="B1648" t="str">
        <f>"1.4275"</f>
        <v>1.4275</v>
      </c>
      <c r="C1648" t="str">
        <f>"1.4276"</f>
        <v>1.4276</v>
      </c>
    </row>
    <row r="1649" spans="1:3" x14ac:dyDescent="0.25">
      <c r="A1649" t="str">
        <f>"30/03/2016"</f>
        <v>30/03/2016</v>
      </c>
      <c r="B1649" t="str">
        <f>"1.4407"</f>
        <v>1.4407</v>
      </c>
      <c r="C1649" t="str">
        <f>"1.4408"</f>
        <v>1.4408</v>
      </c>
    </row>
    <row r="1650" spans="1:3" x14ac:dyDescent="0.25">
      <c r="A1650" t="str">
        <f>"31/03/2016"</f>
        <v>31/03/2016</v>
      </c>
      <c r="B1650" t="str">
        <f>"1.4413"</f>
        <v>1.4413</v>
      </c>
      <c r="C1650" t="str">
        <f>"1.4414"</f>
        <v>1.4414</v>
      </c>
    </row>
    <row r="1651" spans="1:3" x14ac:dyDescent="0.25">
      <c r="A1651" t="str">
        <f>"04/04/2016"</f>
        <v>04/04/2016</v>
      </c>
      <c r="B1651" t="str">
        <f>"1.4261"</f>
        <v>1.4261</v>
      </c>
      <c r="C1651" t="str">
        <f>"1.4262"</f>
        <v>1.4262</v>
      </c>
    </row>
    <row r="1652" spans="1:3" x14ac:dyDescent="0.25">
      <c r="A1652" t="str">
        <f>"05/04/2016"</f>
        <v>05/04/2016</v>
      </c>
      <c r="B1652" t="str">
        <f>"1.4186"</f>
        <v>1.4186</v>
      </c>
      <c r="C1652" t="str">
        <f>"1.4187"</f>
        <v>1.4187</v>
      </c>
    </row>
    <row r="1653" spans="1:3" x14ac:dyDescent="0.25">
      <c r="A1653" t="str">
        <f>"06/04/2016"</f>
        <v>06/04/2016</v>
      </c>
      <c r="B1653" t="str">
        <f>"1.4037"</f>
        <v>1.4037</v>
      </c>
      <c r="C1653" t="str">
        <f>"1.4038"</f>
        <v>1.4038</v>
      </c>
    </row>
    <row r="1654" spans="1:3" x14ac:dyDescent="0.25">
      <c r="A1654" t="str">
        <f>"07/04/2016"</f>
        <v>07/04/2016</v>
      </c>
      <c r="B1654" t="str">
        <f>"1.4152"</f>
        <v>1.4152</v>
      </c>
      <c r="C1654" t="str">
        <f>"1.4153"</f>
        <v>1.4153</v>
      </c>
    </row>
    <row r="1655" spans="1:3" x14ac:dyDescent="0.25">
      <c r="A1655" t="str">
        <f>"11/04/2016"</f>
        <v>11/04/2016</v>
      </c>
      <c r="B1655" t="str">
        <f>"1.4235"</f>
        <v>1.4235</v>
      </c>
      <c r="C1655" t="str">
        <f>"1.4236"</f>
        <v>1.4236</v>
      </c>
    </row>
    <row r="1656" spans="1:3" x14ac:dyDescent="0.25">
      <c r="A1656" t="str">
        <f>"12/04/2016"</f>
        <v>12/04/2016</v>
      </c>
      <c r="B1656" t="str">
        <f>"1.431"</f>
        <v>1.431</v>
      </c>
      <c r="C1656" t="str">
        <f>"1.4311"</f>
        <v>1.4311</v>
      </c>
    </row>
    <row r="1657" spans="1:3" x14ac:dyDescent="0.25">
      <c r="A1657" t="str">
        <f>"13/04/2016"</f>
        <v>13/04/2016</v>
      </c>
      <c r="B1657" t="str">
        <f>"1.4258"</f>
        <v>1.4258</v>
      </c>
      <c r="C1657" t="str">
        <f>"1.4259"</f>
        <v>1.4259</v>
      </c>
    </row>
    <row r="1658" spans="1:3" x14ac:dyDescent="0.25">
      <c r="A1658" t="str">
        <f>"18/04/2016"</f>
        <v>18/04/2016</v>
      </c>
      <c r="B1658" t="str">
        <f>"1.4175"</f>
        <v>1.4175</v>
      </c>
      <c r="C1658" t="str">
        <f>"1.4176"</f>
        <v>1.4176</v>
      </c>
    </row>
    <row r="1659" spans="1:3" x14ac:dyDescent="0.25">
      <c r="A1659" t="str">
        <f>"20/04/2016"</f>
        <v>20/04/2016</v>
      </c>
      <c r="B1659" t="str">
        <f>"1.4378"</f>
        <v>1.4378</v>
      </c>
      <c r="C1659" t="str">
        <f>"1.4379"</f>
        <v>1.4379</v>
      </c>
    </row>
    <row r="1660" spans="1:3" x14ac:dyDescent="0.25">
      <c r="A1660" t="str">
        <f>"21/04/2016"</f>
        <v>21/04/2016</v>
      </c>
      <c r="B1660" t="str">
        <f>"1.4404"</f>
        <v>1.4404</v>
      </c>
      <c r="C1660" t="str">
        <f>"1.4405"</f>
        <v>1.4405</v>
      </c>
    </row>
    <row r="1661" spans="1:3" x14ac:dyDescent="0.25">
      <c r="A1661" t="str">
        <f>"22/04/2016"</f>
        <v>22/04/2016</v>
      </c>
      <c r="B1661" t="str">
        <f>"1.4384"</f>
        <v>1.4384</v>
      </c>
      <c r="C1661" t="str">
        <f>"1.4385"</f>
        <v>1.4385</v>
      </c>
    </row>
    <row r="1662" spans="1:3" x14ac:dyDescent="0.25">
      <c r="A1662" t="str">
        <f>"25/04/2016"</f>
        <v>25/04/2016</v>
      </c>
      <c r="B1662" t="str">
        <f>"1.4482"</f>
        <v>1.4482</v>
      </c>
      <c r="C1662" t="str">
        <f>"1.4483"</f>
        <v>1.4483</v>
      </c>
    </row>
    <row r="1663" spans="1:3" x14ac:dyDescent="0.25">
      <c r="A1663" t="str">
        <f>"26/04/2016"</f>
        <v>26/04/2016</v>
      </c>
      <c r="B1663" t="str">
        <f>"1.4554"</f>
        <v>1.4554</v>
      </c>
      <c r="C1663" t="str">
        <f>"1.4555"</f>
        <v>1.4555</v>
      </c>
    </row>
    <row r="1664" spans="1:3" x14ac:dyDescent="0.25">
      <c r="A1664" t="str">
        <f>"27/04/2016"</f>
        <v>27/04/2016</v>
      </c>
      <c r="B1664" t="str">
        <f>"1.4597"</f>
        <v>1.4597</v>
      </c>
      <c r="C1664" t="str">
        <f>"1.4598"</f>
        <v>1.4598</v>
      </c>
    </row>
    <row r="1665" spans="1:3" x14ac:dyDescent="0.25">
      <c r="A1665" t="str">
        <f>"28/04/2016"</f>
        <v>28/04/2016</v>
      </c>
      <c r="B1665" t="str">
        <f>"1.456"</f>
        <v>1.456</v>
      </c>
      <c r="C1665" t="str">
        <f>"1.4561"</f>
        <v>1.4561</v>
      </c>
    </row>
    <row r="1666" spans="1:3" x14ac:dyDescent="0.25">
      <c r="A1666" t="str">
        <f>"29/04/2016"</f>
        <v>29/04/2016</v>
      </c>
      <c r="B1666" t="str">
        <f>"1.4611"</f>
        <v>1.4611</v>
      </c>
      <c r="C1666" t="str">
        <f>"1.4612"</f>
        <v>1.4612</v>
      </c>
    </row>
    <row r="1667" spans="1:3" x14ac:dyDescent="0.25">
      <c r="A1667" t="str">
        <f>"02/05/2016"</f>
        <v>02/05/2016</v>
      </c>
      <c r="B1667" t="str">
        <f>"1.4643"</f>
        <v>1.4643</v>
      </c>
      <c r="C1667" t="str">
        <f>"1.4644"</f>
        <v>1.4644</v>
      </c>
    </row>
    <row r="1668" spans="1:3" x14ac:dyDescent="0.25">
      <c r="A1668" t="str">
        <f>"03/05/2016"</f>
        <v>03/05/2016</v>
      </c>
      <c r="B1668" t="str">
        <f>"1.4681"</f>
        <v>1.4681</v>
      </c>
      <c r="C1668" t="str">
        <f>"1.4682"</f>
        <v>1.4682</v>
      </c>
    </row>
    <row r="1669" spans="1:3" x14ac:dyDescent="0.25">
      <c r="A1669" t="str">
        <f>"04/05/2016"</f>
        <v>04/05/2016</v>
      </c>
      <c r="B1669" t="str">
        <f>"1.4509"</f>
        <v>1.4509</v>
      </c>
      <c r="C1669" t="str">
        <f>"1.451"</f>
        <v>1.451</v>
      </c>
    </row>
    <row r="1670" spans="1:3" x14ac:dyDescent="0.25">
      <c r="A1670" t="str">
        <f>"05/05/2016"</f>
        <v>05/05/2016</v>
      </c>
      <c r="B1670" t="str">
        <f>"1.4479"</f>
        <v>1.4479</v>
      </c>
      <c r="C1670" t="str">
        <f>"1.448"</f>
        <v>1.448</v>
      </c>
    </row>
    <row r="1671" spans="1:3" x14ac:dyDescent="0.25">
      <c r="A1671" t="str">
        <f>"06/05/2016"</f>
        <v>06/05/2016</v>
      </c>
      <c r="B1671" t="str">
        <f>"1.4492"</f>
        <v>1.4492</v>
      </c>
      <c r="C1671" t="str">
        <f>"1.4493"</f>
        <v>1.4493</v>
      </c>
    </row>
    <row r="1672" spans="1:3" x14ac:dyDescent="0.25">
      <c r="A1672" t="str">
        <f>"09/05/2016"</f>
        <v>09/05/2016</v>
      </c>
      <c r="B1672" t="str">
        <f>"1.4438"</f>
        <v>1.4438</v>
      </c>
      <c r="C1672" t="str">
        <f>"1.4439"</f>
        <v>1.4439</v>
      </c>
    </row>
    <row r="1673" spans="1:3" x14ac:dyDescent="0.25">
      <c r="A1673" t="str">
        <f>"10/05/2016"</f>
        <v>10/05/2016</v>
      </c>
      <c r="B1673" t="str">
        <f>"1.4429"</f>
        <v>1.4429</v>
      </c>
      <c r="C1673" t="str">
        <f>"1.443"</f>
        <v>1.443</v>
      </c>
    </row>
    <row r="1674" spans="1:3" x14ac:dyDescent="0.25">
      <c r="A1674" t="str">
        <f>"11/05/2016"</f>
        <v>11/05/2016</v>
      </c>
      <c r="B1674" t="str">
        <f>"1.4435"</f>
        <v>1.4435</v>
      </c>
      <c r="C1674" t="str">
        <f>"1.4436"</f>
        <v>1.4436</v>
      </c>
    </row>
    <row r="1675" spans="1:3" x14ac:dyDescent="0.25">
      <c r="A1675" t="str">
        <f>"12/05/2016"</f>
        <v>12/05/2016</v>
      </c>
      <c r="B1675" t="str">
        <f>"1.4457"</f>
        <v>1.4457</v>
      </c>
      <c r="C1675" t="str">
        <f>"1.4458"</f>
        <v>1.4458</v>
      </c>
    </row>
    <row r="1676" spans="1:3" x14ac:dyDescent="0.25">
      <c r="A1676" t="str">
        <f>"13/05/2016"</f>
        <v>13/05/2016</v>
      </c>
      <c r="B1676" t="str">
        <f>"1.4382"</f>
        <v>1.4382</v>
      </c>
      <c r="C1676" t="str">
        <f>"1.4383"</f>
        <v>1.4383</v>
      </c>
    </row>
    <row r="1677" spans="1:3" x14ac:dyDescent="0.25">
      <c r="A1677" t="str">
        <f>"16/05/2016"</f>
        <v>16/05/2016</v>
      </c>
      <c r="B1677" t="str">
        <f>"1.4369"</f>
        <v>1.4369</v>
      </c>
      <c r="C1677" t="str">
        <f>"1.437"</f>
        <v>1.437</v>
      </c>
    </row>
    <row r="1678" spans="1:3" x14ac:dyDescent="0.25">
      <c r="A1678" t="str">
        <f>"17/05/2016"</f>
        <v>17/05/2016</v>
      </c>
      <c r="B1678" t="str">
        <f>"1.4475"</f>
        <v>1.4475</v>
      </c>
      <c r="C1678" t="str">
        <f>"1.4476"</f>
        <v>1.4476</v>
      </c>
    </row>
    <row r="1679" spans="1:3" x14ac:dyDescent="0.25">
      <c r="A1679" t="str">
        <f>"18/05/2016"</f>
        <v>18/05/2016</v>
      </c>
      <c r="B1679" t="str">
        <f>"1.4524"</f>
        <v>1.4524</v>
      </c>
      <c r="C1679" t="str">
        <f>"1.4525"</f>
        <v>1.4525</v>
      </c>
    </row>
    <row r="1680" spans="1:3" x14ac:dyDescent="0.25">
      <c r="A1680" t="str">
        <f>"19/05/2016"</f>
        <v>19/05/2016</v>
      </c>
      <c r="B1680" t="str">
        <f>"1.4643"</f>
        <v>1.4643</v>
      </c>
      <c r="C1680" t="str">
        <f>"1.4644"</f>
        <v>1.4644</v>
      </c>
    </row>
    <row r="1681" spans="1:3" x14ac:dyDescent="0.25">
      <c r="A1681" t="str">
        <f>"20/05/2016"</f>
        <v>20/05/2016</v>
      </c>
      <c r="B1681" t="str">
        <f>"1.4569"</f>
        <v>1.4569</v>
      </c>
      <c r="C1681" t="str">
        <f>"1.457"</f>
        <v>1.457</v>
      </c>
    </row>
    <row r="1682" spans="1:3" x14ac:dyDescent="0.25">
      <c r="A1682" t="str">
        <f>"23/05/2016"</f>
        <v>23/05/2016</v>
      </c>
      <c r="B1682" t="str">
        <f>"1.4485"</f>
        <v>1.4485</v>
      </c>
      <c r="C1682" t="str">
        <f>"1.4486"</f>
        <v>1.4486</v>
      </c>
    </row>
    <row r="1683" spans="1:3" x14ac:dyDescent="0.25">
      <c r="A1683" t="str">
        <f>"24/05/2016"</f>
        <v>24/05/2016</v>
      </c>
      <c r="B1683" t="str">
        <f>"1.4487"</f>
        <v>1.4487</v>
      </c>
      <c r="C1683" t="str">
        <f>"1.4488"</f>
        <v>1.4488</v>
      </c>
    </row>
    <row r="1684" spans="1:3" x14ac:dyDescent="0.25">
      <c r="A1684" t="str">
        <f>"25/05/2016"</f>
        <v>25/05/2016</v>
      </c>
      <c r="B1684" t="str">
        <f>"1.4693"</f>
        <v>1.4693</v>
      </c>
      <c r="C1684" t="str">
        <f>"1.4695"</f>
        <v>1.4695</v>
      </c>
    </row>
    <row r="1685" spans="1:3" x14ac:dyDescent="0.25">
      <c r="A1685" t="str">
        <f>"26/05/2016"</f>
        <v>26/05/2016</v>
      </c>
      <c r="B1685" t="str">
        <f>"1.4699"</f>
        <v>1.4699</v>
      </c>
      <c r="C1685" t="str">
        <f>"1.4701"</f>
        <v>1.4701</v>
      </c>
    </row>
    <row r="1686" spans="1:3" x14ac:dyDescent="0.25">
      <c r="A1686" t="str">
        <f>"27/05/2016"</f>
        <v>27/05/2016</v>
      </c>
      <c r="B1686" t="str">
        <f>"1.466"</f>
        <v>1.466</v>
      </c>
      <c r="C1686" t="str">
        <f>"1.4663"</f>
        <v>1.4663</v>
      </c>
    </row>
    <row r="1687" spans="1:3" x14ac:dyDescent="0.25">
      <c r="A1687" t="str">
        <f>"30/05/2016"</f>
        <v>30/05/2016</v>
      </c>
      <c r="B1687" t="str">
        <f>"1.4608"</f>
        <v>1.4608</v>
      </c>
      <c r="C1687" t="str">
        <f>"1.4611"</f>
        <v>1.4611</v>
      </c>
    </row>
    <row r="1688" spans="1:3" x14ac:dyDescent="0.25">
      <c r="A1688" t="str">
        <f>"31/05/2016"</f>
        <v>31/05/2016</v>
      </c>
      <c r="B1688" t="str">
        <f>"1.4642"</f>
        <v>1.4642</v>
      </c>
      <c r="C1688" t="str">
        <f>"1.4645"</f>
        <v>1.4645</v>
      </c>
    </row>
    <row r="1689" spans="1:3" x14ac:dyDescent="0.25">
      <c r="A1689" t="str">
        <f>"01/06/2016"</f>
        <v>01/06/2016</v>
      </c>
      <c r="B1689" t="str">
        <f>"1.444"</f>
        <v>1.444</v>
      </c>
      <c r="C1689" t="str">
        <f>"1.4444"</f>
        <v>1.4444</v>
      </c>
    </row>
    <row r="1690" spans="1:3" x14ac:dyDescent="0.25">
      <c r="A1690" t="str">
        <f>"02/06/2016"</f>
        <v>02/06/2016</v>
      </c>
      <c r="B1690" t="str">
        <f>"1.4448"</f>
        <v>1.4448</v>
      </c>
      <c r="C1690" t="str">
        <f>"1.4452"</f>
        <v>1.4452</v>
      </c>
    </row>
    <row r="1691" spans="1:3" x14ac:dyDescent="0.25">
      <c r="A1691" t="str">
        <f>"03/06/2016"</f>
        <v>03/06/2016</v>
      </c>
      <c r="B1691" t="str">
        <f>"1.442"</f>
        <v>1.442</v>
      </c>
      <c r="C1691" t="str">
        <f>"1.4424"</f>
        <v>1.4424</v>
      </c>
    </row>
    <row r="1692" spans="1:3" x14ac:dyDescent="0.25">
      <c r="A1692" t="str">
        <f>"06/06/2016"</f>
        <v>06/06/2016</v>
      </c>
      <c r="B1692" t="str">
        <f>"1.4411"</f>
        <v>1.4411</v>
      </c>
      <c r="C1692" t="str">
        <f>"1.4415"</f>
        <v>1.4415</v>
      </c>
    </row>
    <row r="1693" spans="1:3" x14ac:dyDescent="0.25">
      <c r="A1693" t="str">
        <f>"07/06/2016"</f>
        <v>07/06/2016</v>
      </c>
      <c r="B1693" t="str">
        <f>"1.4584"</f>
        <v>1.4584</v>
      </c>
      <c r="C1693" t="str">
        <f>"1.4588"</f>
        <v>1.4588</v>
      </c>
    </row>
    <row r="1694" spans="1:3" x14ac:dyDescent="0.25">
      <c r="A1694" t="str">
        <f>"08/06/2016"</f>
        <v>08/06/2016</v>
      </c>
      <c r="B1694" t="str">
        <f>"1.456"</f>
        <v>1.456</v>
      </c>
      <c r="C1694" t="str">
        <f>"1.4564"</f>
        <v>1.4564</v>
      </c>
    </row>
    <row r="1695" spans="1:3" x14ac:dyDescent="0.25">
      <c r="A1695" t="str">
        <f>"09/06/2016"</f>
        <v>09/06/2016</v>
      </c>
      <c r="B1695" t="str">
        <f>"1.4466"</f>
        <v>1.4466</v>
      </c>
      <c r="C1695" t="str">
        <f>"1.447"</f>
        <v>1.447</v>
      </c>
    </row>
    <row r="1696" spans="1:3" x14ac:dyDescent="0.25">
      <c r="A1696" t="str">
        <f>"10/06/2016"</f>
        <v>10/06/2016</v>
      </c>
      <c r="B1696" t="str">
        <f>"1.4418"</f>
        <v>1.4418</v>
      </c>
      <c r="C1696" t="str">
        <f>"1.4421"</f>
        <v>1.4421</v>
      </c>
    </row>
    <row r="1697" spans="1:3" x14ac:dyDescent="0.25">
      <c r="A1697" t="str">
        <f>"13/06/2016"</f>
        <v>13/06/2016</v>
      </c>
      <c r="B1697" t="str">
        <f>"1.4189"</f>
        <v>1.4189</v>
      </c>
      <c r="C1697" t="str">
        <f>"1.4193"</f>
        <v>1.4193</v>
      </c>
    </row>
    <row r="1698" spans="1:3" x14ac:dyDescent="0.25">
      <c r="A1698" t="str">
        <f>"14/06/2016"</f>
        <v>14/06/2016</v>
      </c>
      <c r="B1698" t="str">
        <f>"1.4154"</f>
        <v>1.4154</v>
      </c>
      <c r="C1698" t="str">
        <f>"1.4158"</f>
        <v>1.4158</v>
      </c>
    </row>
    <row r="1699" spans="1:3" x14ac:dyDescent="0.25">
      <c r="A1699" t="str">
        <f>"15/06/2016"</f>
        <v>15/06/2016</v>
      </c>
      <c r="B1699" t="str">
        <f>"1.414"</f>
        <v>1.414</v>
      </c>
      <c r="C1699" t="str">
        <f>"1.4144"</f>
        <v>1.4144</v>
      </c>
    </row>
    <row r="1700" spans="1:3" x14ac:dyDescent="0.25">
      <c r="A1700" t="str">
        <f>"16/06/2016"</f>
        <v>16/06/2016</v>
      </c>
      <c r="B1700" t="str">
        <f>"1.4118"</f>
        <v>1.4118</v>
      </c>
      <c r="C1700" t="str">
        <f>"1.4122"</f>
        <v>1.4122</v>
      </c>
    </row>
    <row r="1701" spans="1:3" x14ac:dyDescent="0.25">
      <c r="A1701" t="str">
        <f>"17/06/2016"</f>
        <v>17/06/2016</v>
      </c>
      <c r="B1701" t="str">
        <f>"1.4287"</f>
        <v>1.4287</v>
      </c>
      <c r="C1701" t="str">
        <f>"1.4292"</f>
        <v>1.4292</v>
      </c>
    </row>
    <row r="1702" spans="1:3" x14ac:dyDescent="0.25">
      <c r="A1702" t="str">
        <f>"20/06/2016"</f>
        <v>20/06/2016</v>
      </c>
      <c r="B1702" t="str">
        <f>"1.463"</f>
        <v>1.463</v>
      </c>
      <c r="C1702" t="str">
        <f>"1.4634"</f>
        <v>1.4634</v>
      </c>
    </row>
    <row r="1703" spans="1:3" x14ac:dyDescent="0.25">
      <c r="A1703" t="str">
        <f>"21/06/2016"</f>
        <v>21/06/2016</v>
      </c>
      <c r="B1703" t="str">
        <f>"1.4741"</f>
        <v>1.4741</v>
      </c>
      <c r="C1703" t="str">
        <f>"1.4745"</f>
        <v>1.4745</v>
      </c>
    </row>
    <row r="1704" spans="1:3" x14ac:dyDescent="0.25">
      <c r="A1704" t="str">
        <f>"22/06/2016"</f>
        <v>22/06/2016</v>
      </c>
      <c r="B1704" t="str">
        <f>"1.4684"</f>
        <v>1.4684</v>
      </c>
      <c r="C1704" t="str">
        <f>"1.4688"</f>
        <v>1.4688</v>
      </c>
    </row>
    <row r="1705" spans="1:3" x14ac:dyDescent="0.25">
      <c r="A1705" t="str">
        <f>"23/06/2016"</f>
        <v>23/06/2016</v>
      </c>
      <c r="B1705" t="str">
        <f>"1.4857"</f>
        <v>1.4857</v>
      </c>
      <c r="C1705" t="str">
        <f>"1.486"</f>
        <v>1.486</v>
      </c>
    </row>
    <row r="1706" spans="1:3" x14ac:dyDescent="0.25">
      <c r="A1706" t="str">
        <f>"24/06/2016"</f>
        <v>24/06/2016</v>
      </c>
      <c r="B1706" t="str">
        <f>"1.3705"</f>
        <v>1.3705</v>
      </c>
      <c r="C1706" t="str">
        <f>"1.3713"</f>
        <v>1.3713</v>
      </c>
    </row>
    <row r="1707" spans="1:3" x14ac:dyDescent="0.25">
      <c r="A1707" t="str">
        <f>"27/06/2016"</f>
        <v>27/06/2016</v>
      </c>
      <c r="B1707" t="str">
        <f>"1.3164"</f>
        <v>1.3164</v>
      </c>
      <c r="C1707" t="str">
        <f>"1.317"</f>
        <v>1.317</v>
      </c>
    </row>
    <row r="1708" spans="1:3" x14ac:dyDescent="0.25">
      <c r="A1708" t="str">
        <f>"28/06/2016"</f>
        <v>28/06/2016</v>
      </c>
      <c r="B1708" t="str">
        <f>"1.3331"</f>
        <v>1.3331</v>
      </c>
      <c r="C1708" t="str">
        <f>"1.3335"</f>
        <v>1.3335</v>
      </c>
    </row>
    <row r="1709" spans="1:3" x14ac:dyDescent="0.25">
      <c r="A1709" t="str">
        <f>"29/06/2016"</f>
        <v>29/06/2016</v>
      </c>
      <c r="B1709" t="str">
        <f>"1.3439"</f>
        <v>1.3439</v>
      </c>
      <c r="C1709" t="str">
        <f>"1.3442"</f>
        <v>1.3442</v>
      </c>
    </row>
    <row r="1710" spans="1:3" x14ac:dyDescent="0.25">
      <c r="A1710" t="str">
        <f>"30/06/2016"</f>
        <v>30/06/2016</v>
      </c>
      <c r="B1710" t="str">
        <f>"1.3451"</f>
        <v>1.3451</v>
      </c>
      <c r="C1710" t="str">
        <f>"1.3454"</f>
        <v>1.3454</v>
      </c>
    </row>
    <row r="1711" spans="1:3" x14ac:dyDescent="0.25">
      <c r="A1711" t="str">
        <f>"01/07/2016"</f>
        <v>01/07/2016</v>
      </c>
      <c r="B1711" t="str">
        <f>"1.3299"</f>
        <v>1.3299</v>
      </c>
      <c r="C1711" t="str">
        <f>"1.3302"</f>
        <v>1.3302</v>
      </c>
    </row>
    <row r="1712" spans="1:3" x14ac:dyDescent="0.25">
      <c r="A1712" t="str">
        <f>"04/07/2016"</f>
        <v>04/07/2016</v>
      </c>
      <c r="B1712" t="str">
        <f>"1.328"</f>
        <v>1.328</v>
      </c>
      <c r="C1712" t="str">
        <f>"1.3283"</f>
        <v>1.3283</v>
      </c>
    </row>
    <row r="1713" spans="1:3" x14ac:dyDescent="0.25">
      <c r="A1713" t="str">
        <f>"05/07/2016"</f>
        <v>05/07/2016</v>
      </c>
    </row>
    <row r="1714" spans="1:3" x14ac:dyDescent="0.25">
      <c r="A1714" t="str">
        <f>"07/07/2016"</f>
        <v>07/07/2016</v>
      </c>
      <c r="B1714" t="str">
        <f>"1.3016"</f>
        <v>1.3016</v>
      </c>
      <c r="C1714" t="str">
        <f>"1.302"</f>
        <v>1.302</v>
      </c>
    </row>
    <row r="1715" spans="1:3" x14ac:dyDescent="0.25">
      <c r="A1715" t="str">
        <f>"08/07/2016"</f>
        <v>08/07/2016</v>
      </c>
      <c r="B1715" t="str">
        <f>"1.2969"</f>
        <v>1.2969</v>
      </c>
      <c r="C1715" t="str">
        <f>"1.2973"</f>
        <v>1.2973</v>
      </c>
    </row>
    <row r="1716" spans="1:3" x14ac:dyDescent="0.25">
      <c r="A1716" t="str">
        <f>"11/07/2016"</f>
        <v>11/07/2016</v>
      </c>
      <c r="B1716" t="str">
        <f>"1.2929"</f>
        <v>1.2929</v>
      </c>
      <c r="C1716" t="str">
        <f>"1.2934"</f>
        <v>1.2934</v>
      </c>
    </row>
    <row r="1717" spans="1:3" x14ac:dyDescent="0.25">
      <c r="A1717" t="str">
        <f>"12/07/2016"</f>
        <v>12/07/2016</v>
      </c>
      <c r="B1717" t="str">
        <f>"1.3161"</f>
        <v>1.3161</v>
      </c>
      <c r="C1717" t="str">
        <f>"1.3166"</f>
        <v>1.3166</v>
      </c>
    </row>
    <row r="1718" spans="1:3" x14ac:dyDescent="0.25">
      <c r="A1718" t="str">
        <f>"13/07/2016"</f>
        <v>13/07/2016</v>
      </c>
      <c r="B1718" t="str">
        <f>"1.3263"</f>
        <v>1.3263</v>
      </c>
      <c r="C1718" t="str">
        <f>"1.3267"</f>
        <v>1.3267</v>
      </c>
    </row>
    <row r="1719" spans="1:3" x14ac:dyDescent="0.25">
      <c r="A1719" t="str">
        <f>"14/07/2016"</f>
        <v>14/07/2016</v>
      </c>
      <c r="B1719" t="str">
        <f>"1.3372"</f>
        <v>1.3372</v>
      </c>
      <c r="C1719" t="str">
        <f>"1.3374"</f>
        <v>1.3374</v>
      </c>
    </row>
    <row r="1720" spans="1:3" x14ac:dyDescent="0.25">
      <c r="A1720" t="str">
        <f>"15/07/2016"</f>
        <v>15/07/2016</v>
      </c>
      <c r="B1720" t="str">
        <f>"1.3294"</f>
        <v>1.3294</v>
      </c>
      <c r="C1720" t="str">
        <f>"1.3297"</f>
        <v>1.3297</v>
      </c>
    </row>
    <row r="1721" spans="1:3" x14ac:dyDescent="0.25">
      <c r="A1721" t="str">
        <f>"18/07/2016"</f>
        <v>18/07/2016</v>
      </c>
      <c r="B1721" t="str">
        <f>"1.3239"</f>
        <v>1.3239</v>
      </c>
      <c r="C1721" t="str">
        <f>"1.3242"</f>
        <v>1.3242</v>
      </c>
    </row>
    <row r="1722" spans="1:3" x14ac:dyDescent="0.25">
      <c r="A1722" t="str">
        <f>"19/07/2016"</f>
        <v>19/07/2016</v>
      </c>
      <c r="B1722" t="str">
        <f>"1.3215"</f>
        <v>1.3215</v>
      </c>
      <c r="C1722" t="str">
        <f>"1.3218"</f>
        <v>1.3218</v>
      </c>
    </row>
    <row r="1723" spans="1:3" x14ac:dyDescent="0.25">
      <c r="A1723" t="str">
        <f>"20/07/2016"</f>
        <v>20/07/2016</v>
      </c>
      <c r="B1723" t="str">
        <f>"1.316"</f>
        <v>1.316</v>
      </c>
      <c r="C1723" t="str">
        <f>"1.3163"</f>
        <v>1.3163</v>
      </c>
    </row>
    <row r="1724" spans="1:3" x14ac:dyDescent="0.25">
      <c r="A1724" t="str">
        <f>"21/07/2016"</f>
        <v>21/07/2016</v>
      </c>
      <c r="B1724" t="str">
        <f>"1.3176"</f>
        <v>1.3176</v>
      </c>
      <c r="C1724" t="str">
        <f>"1.318"</f>
        <v>1.318</v>
      </c>
    </row>
    <row r="1725" spans="1:3" x14ac:dyDescent="0.25">
      <c r="A1725" t="str">
        <f>"22/07/2016"</f>
        <v>22/07/2016</v>
      </c>
      <c r="B1725" t="str">
        <f>"1.3116"</f>
        <v>1.3116</v>
      </c>
      <c r="C1725" t="str">
        <f>"1.312"</f>
        <v>1.312</v>
      </c>
    </row>
    <row r="1726" spans="1:3" x14ac:dyDescent="0.25">
      <c r="A1726" t="str">
        <f>"25/07/2016"</f>
        <v>25/07/2016</v>
      </c>
      <c r="B1726" t="str">
        <f>"1.3127"</f>
        <v>1.3127</v>
      </c>
      <c r="C1726" t="str">
        <f>"1.3132"</f>
        <v>1.3132</v>
      </c>
    </row>
    <row r="1727" spans="1:3" x14ac:dyDescent="0.25">
      <c r="A1727" t="str">
        <f>"26/07/2016"</f>
        <v>26/07/2016</v>
      </c>
      <c r="B1727" t="str">
        <f>"1.3126"</f>
        <v>1.3126</v>
      </c>
      <c r="C1727" t="str">
        <f>"1.3132"</f>
        <v>1.3132</v>
      </c>
    </row>
    <row r="1728" spans="1:3" x14ac:dyDescent="0.25">
      <c r="A1728" t="str">
        <f>"27/07/2016"</f>
        <v>27/07/2016</v>
      </c>
      <c r="B1728" t="str">
        <f>"1.31"</f>
        <v>1.31</v>
      </c>
      <c r="C1728" t="str">
        <f>"1.3106"</f>
        <v>1.3106</v>
      </c>
    </row>
    <row r="1729" spans="1:3" x14ac:dyDescent="0.25">
      <c r="A1729" t="str">
        <f>"28/07/2016"</f>
        <v>28/07/2016</v>
      </c>
      <c r="B1729" t="str">
        <f>"1.3202"</f>
        <v>1.3202</v>
      </c>
      <c r="C1729" t="str">
        <f>"1.3208"</f>
        <v>1.3208</v>
      </c>
    </row>
    <row r="1730" spans="1:3" x14ac:dyDescent="0.25">
      <c r="A1730" t="str">
        <f>"29/07/2016"</f>
        <v>29/07/2016</v>
      </c>
      <c r="B1730" t="str">
        <f>"1.3177"</f>
        <v>1.3177</v>
      </c>
      <c r="C1730" t="str">
        <f>"1.3183"</f>
        <v>1.3183</v>
      </c>
    </row>
    <row r="1731" spans="1:3" x14ac:dyDescent="0.25">
      <c r="A1731" t="str">
        <f>"01/08/2016"</f>
        <v>01/08/2016</v>
      </c>
      <c r="B1731" t="str">
        <f>"1.3197"</f>
        <v>1.3197</v>
      </c>
      <c r="C1731" t="str">
        <f>"1.3204"</f>
        <v>1.3204</v>
      </c>
    </row>
    <row r="1732" spans="1:3" x14ac:dyDescent="0.25">
      <c r="A1732" t="str">
        <f>"02/08/2016"</f>
        <v>02/08/2016</v>
      </c>
      <c r="B1732" t="str">
        <f>"1.3242"</f>
        <v>1.3242</v>
      </c>
      <c r="C1732" t="str">
        <f>"1.3249"</f>
        <v>1.3249</v>
      </c>
    </row>
    <row r="1733" spans="1:3" x14ac:dyDescent="0.25">
      <c r="A1733" t="str">
        <f>"03/08/2016"</f>
        <v>03/08/2016</v>
      </c>
      <c r="B1733" t="str">
        <f>"1.3352"</f>
        <v>1.3352</v>
      </c>
      <c r="C1733" t="str">
        <f>"1.3358"</f>
        <v>1.3358</v>
      </c>
    </row>
    <row r="1734" spans="1:3" x14ac:dyDescent="0.25">
      <c r="A1734" t="str">
        <f>"04/08/2016"</f>
        <v>04/08/2016</v>
      </c>
      <c r="B1734" t="str">
        <f>"1.3155"</f>
        <v>1.3155</v>
      </c>
      <c r="C1734" t="str">
        <f>"1.3161"</f>
        <v>1.3161</v>
      </c>
    </row>
    <row r="1735" spans="1:3" x14ac:dyDescent="0.25">
      <c r="A1735" t="str">
        <f>"05/08/2016"</f>
        <v>05/08/2016</v>
      </c>
      <c r="B1735" t="str">
        <f>"1.3133"</f>
        <v>1.3133</v>
      </c>
      <c r="C1735" t="str">
        <f>"1.3139"</f>
        <v>1.3139</v>
      </c>
    </row>
    <row r="1736" spans="1:3" x14ac:dyDescent="0.25">
      <c r="A1736" t="str">
        <f>"08/08/2016"</f>
        <v>08/08/2016</v>
      </c>
      <c r="B1736" t="str">
        <f>"1.3061"</f>
        <v>1.3061</v>
      </c>
      <c r="C1736" t="str">
        <f>"1.3068"</f>
        <v>1.3068</v>
      </c>
    </row>
    <row r="1737" spans="1:3" x14ac:dyDescent="0.25">
      <c r="A1737" t="str">
        <f>"09/08/2016"</f>
        <v>09/08/2016</v>
      </c>
      <c r="B1737" t="str">
        <f>"1.297"</f>
        <v>1.297</v>
      </c>
      <c r="C1737" t="str">
        <f>"1.2977"</f>
        <v>1.2977</v>
      </c>
    </row>
    <row r="1738" spans="1:3" x14ac:dyDescent="0.25">
      <c r="A1738" t="str">
        <f>"10/08/2016"</f>
        <v>10/08/2016</v>
      </c>
      <c r="B1738" t="str">
        <f>"1.3075"</f>
        <v>1.3075</v>
      </c>
      <c r="C1738" t="str">
        <f>"1.3082"</f>
        <v>1.3082</v>
      </c>
    </row>
    <row r="1739" spans="1:3" x14ac:dyDescent="0.25">
      <c r="A1739" t="str">
        <f>"11/08/2016"</f>
        <v>11/08/2016</v>
      </c>
      <c r="B1739" t="str">
        <f>"1.2988"</f>
        <v>1.2988</v>
      </c>
      <c r="C1739" t="str">
        <f>"1.2994"</f>
        <v>1.2994</v>
      </c>
    </row>
    <row r="1740" spans="1:3" x14ac:dyDescent="0.25">
      <c r="A1740" t="str">
        <f>"12/08/2016"</f>
        <v>12/08/2016</v>
      </c>
      <c r="B1740" t="str">
        <f>"1.297"</f>
        <v>1.297</v>
      </c>
      <c r="C1740" t="str">
        <f>"1.2976"</f>
        <v>1.2976</v>
      </c>
    </row>
    <row r="1741" spans="1:3" x14ac:dyDescent="0.25">
      <c r="A1741" t="str">
        <f>"16/08/2016"</f>
        <v>16/08/2016</v>
      </c>
      <c r="B1741" t="str">
        <f>"1.2987"</f>
        <v>1.2987</v>
      </c>
      <c r="C1741" t="str">
        <f>"1.2993"</f>
        <v>1.2993</v>
      </c>
    </row>
    <row r="1742" spans="1:3" x14ac:dyDescent="0.25">
      <c r="A1742" t="str">
        <f>"18/08/2016"</f>
        <v>18/08/2016</v>
      </c>
      <c r="B1742" t="str">
        <f>"1.315"</f>
        <v>1.315</v>
      </c>
      <c r="C1742" t="str">
        <f>"1.3156"</f>
        <v>1.3156</v>
      </c>
    </row>
    <row r="1743" spans="1:3" x14ac:dyDescent="0.25">
      <c r="A1743" t="str">
        <f>"19/08/2016"</f>
        <v>19/08/2016</v>
      </c>
      <c r="B1743" t="str">
        <f>"1.3123"</f>
        <v>1.3123</v>
      </c>
      <c r="C1743" t="str">
        <f>"1.3129"</f>
        <v>1.3129</v>
      </c>
    </row>
    <row r="1744" spans="1:3" x14ac:dyDescent="0.25">
      <c r="A1744" t="str">
        <f>"22/08/2016"</f>
        <v>22/08/2016</v>
      </c>
      <c r="B1744" t="str">
        <f>"1.3044"</f>
        <v>1.3044</v>
      </c>
      <c r="C1744" t="str">
        <f>"1.305"</f>
        <v>1.305</v>
      </c>
    </row>
    <row r="1745" spans="1:3" x14ac:dyDescent="0.25">
      <c r="A1745" t="str">
        <f>"23/08/2016"</f>
        <v>23/08/2016</v>
      </c>
      <c r="B1745" t="str">
        <f>"1.3166"</f>
        <v>1.3166</v>
      </c>
      <c r="C1745" t="str">
        <f>"1.3172"</f>
        <v>1.3172</v>
      </c>
    </row>
    <row r="1746" spans="1:3" x14ac:dyDescent="0.25">
      <c r="A1746" t="str">
        <f>"24/08/2016"</f>
        <v>24/08/2016</v>
      </c>
      <c r="B1746" t="str">
        <f>"1.3176"</f>
        <v>1.3176</v>
      </c>
      <c r="C1746" t="str">
        <f>"1.3183"</f>
        <v>1.3183</v>
      </c>
    </row>
    <row r="1747" spans="1:3" x14ac:dyDescent="0.25">
      <c r="A1747" t="str">
        <f>"25/08/2016"</f>
        <v>25/08/2016</v>
      </c>
      <c r="B1747" t="str">
        <f>"1.3184"</f>
        <v>1.3184</v>
      </c>
      <c r="C1747" t="str">
        <f>"1.3191"</f>
        <v>1.3191</v>
      </c>
    </row>
    <row r="1748" spans="1:3" x14ac:dyDescent="0.25">
      <c r="A1748" t="str">
        <f>"26/08/2016"</f>
        <v>26/08/2016</v>
      </c>
      <c r="B1748" t="str">
        <f>"1.3202"</f>
        <v>1.3202</v>
      </c>
      <c r="C1748" t="str">
        <f>"1.3209"</f>
        <v>1.3209</v>
      </c>
    </row>
    <row r="1749" spans="1:3" x14ac:dyDescent="0.25">
      <c r="A1749" t="str">
        <f>"29/08/2016"</f>
        <v>29/08/2016</v>
      </c>
      <c r="B1749" t="str">
        <f>"1.3077"</f>
        <v>1.3077</v>
      </c>
      <c r="C1749" t="str">
        <f>"1.3084"</f>
        <v>1.3084</v>
      </c>
    </row>
    <row r="1750" spans="1:3" x14ac:dyDescent="0.25">
      <c r="A1750" t="str">
        <f>"30/08/2016"</f>
        <v>30/08/2016</v>
      </c>
      <c r="B1750" t="str">
        <f>"1.3113"</f>
        <v>1.3113</v>
      </c>
      <c r="C1750" t="str">
        <f>"1.3123"</f>
        <v>1.3123</v>
      </c>
    </row>
    <row r="1751" spans="1:3" x14ac:dyDescent="0.25">
      <c r="A1751" t="str">
        <f>"31/08/2016"</f>
        <v>31/08/2016</v>
      </c>
      <c r="B1751" t="str">
        <f>"1.3136"</f>
        <v>1.3136</v>
      </c>
      <c r="C1751" t="str">
        <f>"1.3146"</f>
        <v>1.3146</v>
      </c>
    </row>
    <row r="1752" spans="1:3" x14ac:dyDescent="0.25">
      <c r="A1752" t="str">
        <f>"01/09/2016"</f>
        <v>01/09/2016</v>
      </c>
      <c r="B1752" t="str">
        <f>"1.3245"</f>
        <v>1.3245</v>
      </c>
      <c r="C1752" t="str">
        <f>"1.3255"</f>
        <v>1.3255</v>
      </c>
    </row>
    <row r="1753" spans="1:3" x14ac:dyDescent="0.25">
      <c r="A1753" t="str">
        <f>"02/09/2016"</f>
        <v>02/09/2016</v>
      </c>
      <c r="B1753" t="str">
        <f>"1.3269"</f>
        <v>1.3269</v>
      </c>
      <c r="C1753" t="str">
        <f>"1.3279"</f>
        <v>1.3279</v>
      </c>
    </row>
    <row r="1754" spans="1:3" x14ac:dyDescent="0.25">
      <c r="A1754" t="str">
        <f>"06/09/2016"</f>
        <v>06/09/2016</v>
      </c>
      <c r="B1754" t="str">
        <f>"1.3346"</f>
        <v>1.3346</v>
      </c>
      <c r="C1754" t="str">
        <f>"1.3356"</f>
        <v>1.3356</v>
      </c>
    </row>
    <row r="1755" spans="1:3" x14ac:dyDescent="0.25">
      <c r="A1755" t="str">
        <f>"07/09/2016"</f>
        <v>07/09/2016</v>
      </c>
      <c r="B1755" t="str">
        <f>"1.338"</f>
        <v>1.338</v>
      </c>
      <c r="C1755" t="str">
        <f>"1.3389"</f>
        <v>1.3389</v>
      </c>
    </row>
    <row r="1756" spans="1:3" x14ac:dyDescent="0.25">
      <c r="A1756" t="str">
        <f>"08/09/2016"</f>
        <v>08/09/2016</v>
      </c>
      <c r="B1756" t="str">
        <f>"1.3351"</f>
        <v>1.3351</v>
      </c>
      <c r="C1756" t="str">
        <f>"1.336"</f>
        <v>1.336</v>
      </c>
    </row>
    <row r="1757" spans="1:3" x14ac:dyDescent="0.25">
      <c r="A1757" t="str">
        <f>"09/09/2016"</f>
        <v>09/09/2016</v>
      </c>
      <c r="B1757" t="str">
        <f>"1.3329"</f>
        <v>1.3329</v>
      </c>
      <c r="C1757" t="str">
        <f>"1.3337"</f>
        <v>1.3337</v>
      </c>
    </row>
    <row r="1758" spans="1:3" x14ac:dyDescent="0.25">
      <c r="A1758" t="str">
        <f>"12/09/2016"</f>
        <v>12/09/2016</v>
      </c>
      <c r="B1758" t="str">
        <f>"1.3269"</f>
        <v>1.3269</v>
      </c>
      <c r="C1758" t="str">
        <f>"1.3277"</f>
        <v>1.3277</v>
      </c>
    </row>
    <row r="1759" spans="1:3" x14ac:dyDescent="0.25">
      <c r="A1759" t="str">
        <f>"14/09/2016"</f>
        <v>14/09/2016</v>
      </c>
      <c r="B1759" t="str">
        <f>"1.3191"</f>
        <v>1.3191</v>
      </c>
      <c r="C1759" t="str">
        <f>"1.3199"</f>
        <v>1.3199</v>
      </c>
    </row>
    <row r="1760" spans="1:3" x14ac:dyDescent="0.25">
      <c r="A1760" t="str">
        <f>"15/09/2016"</f>
        <v>15/09/2016</v>
      </c>
      <c r="B1760" t="str">
        <f>"1.3256"</f>
        <v>1.3256</v>
      </c>
      <c r="C1760" t="str">
        <f>"1.3265"</f>
        <v>1.3265</v>
      </c>
    </row>
    <row r="1761" spans="1:3" x14ac:dyDescent="0.25">
      <c r="A1761" t="str">
        <f>"16/09/2016"</f>
        <v>16/09/2016</v>
      </c>
      <c r="B1761" t="str">
        <f>"1.3171"</f>
        <v>1.3171</v>
      </c>
      <c r="C1761" t="str">
        <f>"1.318"</f>
        <v>1.318</v>
      </c>
    </row>
    <row r="1762" spans="1:3" x14ac:dyDescent="0.25">
      <c r="A1762" t="str">
        <f>"19/09/2016"</f>
        <v>19/09/2016</v>
      </c>
      <c r="B1762" t="str">
        <f>"1.3044"</f>
        <v>1.3044</v>
      </c>
      <c r="C1762" t="str">
        <f>"1.3053"</f>
        <v>1.3053</v>
      </c>
    </row>
    <row r="1763" spans="1:3" x14ac:dyDescent="0.25">
      <c r="A1763" t="str">
        <f>"20/09/2016"</f>
        <v>20/09/2016</v>
      </c>
      <c r="B1763" t="str">
        <f>"1.2961"</f>
        <v>1.2961</v>
      </c>
      <c r="C1763" t="str">
        <f>"1.297"</f>
        <v>1.297</v>
      </c>
    </row>
    <row r="1764" spans="1:3" x14ac:dyDescent="0.25">
      <c r="A1764" t="str">
        <f>"21/09/2016"</f>
        <v>21/09/2016</v>
      </c>
      <c r="B1764" t="str">
        <f>"1.2991"</f>
        <v>1.2991</v>
      </c>
      <c r="C1764" t="str">
        <f>"1.30"</f>
        <v>1.30</v>
      </c>
    </row>
    <row r="1765" spans="1:3" x14ac:dyDescent="0.25">
      <c r="A1765" t="str">
        <f>"22/09/2016"</f>
        <v>22/09/2016</v>
      </c>
      <c r="B1765" t="str">
        <f>"1.3069"</f>
        <v>1.3069</v>
      </c>
      <c r="C1765" t="str">
        <f>"1.3078"</f>
        <v>1.3078</v>
      </c>
    </row>
    <row r="1766" spans="1:3" x14ac:dyDescent="0.25">
      <c r="A1766" t="str">
        <f>"23/09/2016"</f>
        <v>23/09/2016</v>
      </c>
      <c r="B1766" t="str">
        <f>"1.2961"</f>
        <v>1.2961</v>
      </c>
      <c r="C1766" t="str">
        <f>"1.297"</f>
        <v>1.297</v>
      </c>
    </row>
    <row r="1767" spans="1:3" x14ac:dyDescent="0.25">
      <c r="A1767" t="str">
        <f>"26/09/2016"</f>
        <v>26/09/2016</v>
      </c>
      <c r="B1767" t="str">
        <f>"1.2931"</f>
        <v>1.2931</v>
      </c>
      <c r="C1767" t="str">
        <f>"1.294"</f>
        <v>1.294</v>
      </c>
    </row>
    <row r="1768" spans="1:3" x14ac:dyDescent="0.25">
      <c r="A1768" t="str">
        <f>"27/09/2016"</f>
        <v>27/09/2016</v>
      </c>
      <c r="B1768" t="str">
        <f>"1.2988"</f>
        <v>1.2988</v>
      </c>
      <c r="C1768" t="str">
        <f>"1.2999"</f>
        <v>1.2999</v>
      </c>
    </row>
    <row r="1769" spans="1:3" x14ac:dyDescent="0.25">
      <c r="A1769" t="str">
        <f>"28/09/2016"</f>
        <v>28/09/2016</v>
      </c>
      <c r="B1769" t="str">
        <f>"1.302"</f>
        <v>1.302</v>
      </c>
      <c r="C1769" t="str">
        <f>"1.303"</f>
        <v>1.303</v>
      </c>
    </row>
    <row r="1770" spans="1:3" x14ac:dyDescent="0.25">
      <c r="A1770" t="str">
        <f>"29/09/2016"</f>
        <v>29/09/2016</v>
      </c>
      <c r="B1770" t="str">
        <f>"1.3023"</f>
        <v>1.3023</v>
      </c>
      <c r="C1770" t="str">
        <f>"1.3029"</f>
        <v>1.3029</v>
      </c>
    </row>
    <row r="1771" spans="1:3" x14ac:dyDescent="0.25">
      <c r="A1771" t="str">
        <f>"30/09/2016"</f>
        <v>30/09/2016</v>
      </c>
      <c r="B1771" t="str">
        <f>"1.2955"</f>
        <v>1.2955</v>
      </c>
      <c r="C1771" t="str">
        <f>"1.2963"</f>
        <v>1.2963</v>
      </c>
    </row>
    <row r="1772" spans="1:3" x14ac:dyDescent="0.25">
      <c r="A1772" t="str">
        <f>"03/10/2016"</f>
        <v>03/10/2016</v>
      </c>
      <c r="B1772" t="str">
        <f>"1.2873"</f>
        <v>1.2873</v>
      </c>
      <c r="C1772" t="str">
        <f>"1.2881"</f>
        <v>1.2881</v>
      </c>
    </row>
    <row r="1773" spans="1:3" x14ac:dyDescent="0.25">
      <c r="A1773" t="str">
        <f>"04/10/2016"</f>
        <v>04/10/2016</v>
      </c>
      <c r="B1773" t="str">
        <f>"1.2742"</f>
        <v>1.2742</v>
      </c>
      <c r="C1773" t="str">
        <f>"1.275"</f>
        <v>1.275</v>
      </c>
    </row>
    <row r="1774" spans="1:3" x14ac:dyDescent="0.25">
      <c r="A1774" t="str">
        <f>"05/10/2016"</f>
        <v>05/10/2016</v>
      </c>
      <c r="B1774" t="str">
        <f>"1.273"</f>
        <v>1.273</v>
      </c>
      <c r="C1774" t="str">
        <f>"1.2737"</f>
        <v>1.2737</v>
      </c>
    </row>
    <row r="1775" spans="1:3" x14ac:dyDescent="0.25">
      <c r="A1775" t="str">
        <f>"06/10/2016"</f>
        <v>06/10/2016</v>
      </c>
      <c r="B1775" t="str">
        <f>"1.2663"</f>
        <v>1.2663</v>
      </c>
      <c r="C1775" t="str">
        <f>"1.2669"</f>
        <v>1.2669</v>
      </c>
    </row>
    <row r="1776" spans="1:3" x14ac:dyDescent="0.25">
      <c r="A1776" t="str">
        <f>"07/10/2016"</f>
        <v>07/10/2016</v>
      </c>
      <c r="B1776" t="str">
        <f>"1.2344"</f>
        <v>1.2344</v>
      </c>
      <c r="C1776" t="str">
        <f>"1.235"</f>
        <v>1.235</v>
      </c>
    </row>
    <row r="1777" spans="1:3" x14ac:dyDescent="0.25">
      <c r="A1777" t="str">
        <f>"10/10/2016"</f>
        <v>10/10/2016</v>
      </c>
      <c r="B1777" t="str">
        <f>"1.2424"</f>
        <v>1.2424</v>
      </c>
      <c r="C1777" t="str">
        <f>"1.243"</f>
        <v>1.243</v>
      </c>
    </row>
    <row r="1778" spans="1:3" x14ac:dyDescent="0.25">
      <c r="A1778" t="str">
        <f>"13/10/2016"</f>
        <v>13/10/2016</v>
      </c>
      <c r="B1778" t="str">
        <f>"1.2194"</f>
        <v>1.2194</v>
      </c>
      <c r="C1778" t="str">
        <f>"1.2201"</f>
        <v>1.2201</v>
      </c>
    </row>
    <row r="1779" spans="1:3" x14ac:dyDescent="0.25">
      <c r="A1779" t="str">
        <f>"14/10/2016"</f>
        <v>14/10/2016</v>
      </c>
      <c r="B1779" t="str">
        <f>"1.2248"</f>
        <v>1.2248</v>
      </c>
      <c r="C1779" t="str">
        <f>"1.2254"</f>
        <v>1.2254</v>
      </c>
    </row>
    <row r="1780" spans="1:3" x14ac:dyDescent="0.25">
      <c r="A1780" t="str">
        <f>"17/10/2016"</f>
        <v>17/10/2016</v>
      </c>
      <c r="B1780" t="str">
        <f>"1.2159"</f>
        <v>1.2159</v>
      </c>
      <c r="C1780" t="str">
        <f>"1.2166"</f>
        <v>1.2166</v>
      </c>
    </row>
    <row r="1781" spans="1:3" x14ac:dyDescent="0.25">
      <c r="A1781" t="str">
        <f>"18/10/2016"</f>
        <v>18/10/2016</v>
      </c>
      <c r="B1781" t="str">
        <f>"1.2221"</f>
        <v>1.2221</v>
      </c>
      <c r="C1781" t="str">
        <f>"1.2228"</f>
        <v>1.2228</v>
      </c>
    </row>
    <row r="1782" spans="1:3" x14ac:dyDescent="0.25">
      <c r="A1782" t="str">
        <f>"19/10/2016"</f>
        <v>19/10/2016</v>
      </c>
      <c r="B1782" t="str">
        <f>"1.2284"</f>
        <v>1.2284</v>
      </c>
      <c r="C1782" t="str">
        <f>"1.229"</f>
        <v>1.229</v>
      </c>
    </row>
    <row r="1783" spans="1:3" x14ac:dyDescent="0.25">
      <c r="A1783" t="str">
        <f>"20/10/2016"</f>
        <v>20/10/2016</v>
      </c>
      <c r="B1783" t="str">
        <f>"1.2263"</f>
        <v>1.2263</v>
      </c>
      <c r="C1783" t="str">
        <f>"1.2269"</f>
        <v>1.2269</v>
      </c>
    </row>
    <row r="1784" spans="1:3" x14ac:dyDescent="0.25">
      <c r="A1784" t="str">
        <f>"21/10/2016"</f>
        <v>21/10/2016</v>
      </c>
      <c r="B1784" t="str">
        <f>"1.2206"</f>
        <v>1.2206</v>
      </c>
      <c r="C1784" t="str">
        <f>"1.2212"</f>
        <v>1.2212</v>
      </c>
    </row>
    <row r="1785" spans="1:3" x14ac:dyDescent="0.25">
      <c r="A1785" t="str">
        <f>"24/10/2016"</f>
        <v>24/10/2016</v>
      </c>
      <c r="B1785" t="str">
        <f>"1.2237"</f>
        <v>1.2237</v>
      </c>
      <c r="C1785" t="str">
        <f>"1.2244"</f>
        <v>1.2244</v>
      </c>
    </row>
    <row r="1786" spans="1:3" x14ac:dyDescent="0.25">
      <c r="A1786" t="str">
        <f>"25/10/2016"</f>
        <v>25/10/2016</v>
      </c>
      <c r="B1786" t="str">
        <f>"1.2228"</f>
        <v>1.2228</v>
      </c>
      <c r="C1786" t="str">
        <f>"1.2235"</f>
        <v>1.2235</v>
      </c>
    </row>
    <row r="1787" spans="1:3" x14ac:dyDescent="0.25">
      <c r="A1787" t="str">
        <f>"26/10/2016"</f>
        <v>26/10/2016</v>
      </c>
      <c r="B1787" t="str">
        <f>"1.2205"</f>
        <v>1.2205</v>
      </c>
      <c r="C1787" t="str">
        <f>"1.2212"</f>
        <v>1.2212</v>
      </c>
    </row>
    <row r="1788" spans="1:3" x14ac:dyDescent="0.25">
      <c r="A1788" t="str">
        <f>"27/10/2016"</f>
        <v>27/10/2016</v>
      </c>
      <c r="B1788" t="str">
        <f>"1.2212"</f>
        <v>1.2212</v>
      </c>
      <c r="C1788" t="str">
        <f>"1.2218"</f>
        <v>1.2218</v>
      </c>
    </row>
    <row r="1789" spans="1:3" x14ac:dyDescent="0.25">
      <c r="A1789" t="str">
        <f>"28/10/2016"</f>
        <v>28/10/2016</v>
      </c>
      <c r="B1789" t="str">
        <f>"1.2126"</f>
        <v>1.2126</v>
      </c>
      <c r="C1789" t="str">
        <f>"1.2133"</f>
        <v>1.2133</v>
      </c>
    </row>
    <row r="1790" spans="1:3" x14ac:dyDescent="0.25">
      <c r="A1790" t="str">
        <f>"01/11/2016"</f>
        <v>01/11/2016</v>
      </c>
      <c r="B1790" t="str">
        <f>"1.2232"</f>
        <v>1.2232</v>
      </c>
      <c r="C1790" t="str">
        <f>"1.2239"</f>
        <v>1.2239</v>
      </c>
    </row>
    <row r="1791" spans="1:3" x14ac:dyDescent="0.25">
      <c r="A1791" t="str">
        <f>"02/11/2016"</f>
        <v>02/11/2016</v>
      </c>
      <c r="B1791" t="str">
        <f>"1.2251"</f>
        <v>1.2251</v>
      </c>
      <c r="C1791" t="str">
        <f>"1.2257"</f>
        <v>1.2257</v>
      </c>
    </row>
    <row r="1792" spans="1:3" x14ac:dyDescent="0.25">
      <c r="A1792" t="str">
        <f>"03/11/2016"</f>
        <v>03/11/2016</v>
      </c>
      <c r="B1792" t="str">
        <f>"1.2328"</f>
        <v>1.2328</v>
      </c>
      <c r="C1792" t="str">
        <f>"1.2334"</f>
        <v>1.2334</v>
      </c>
    </row>
    <row r="1793" spans="1:3" x14ac:dyDescent="0.25">
      <c r="A1793" t="str">
        <f>"04/11/2016"</f>
        <v>04/11/2016</v>
      </c>
      <c r="B1793" t="str">
        <f>"1.2491"</f>
        <v>1.2491</v>
      </c>
      <c r="C1793" t="str">
        <f>"1.2497"</f>
        <v>1.2497</v>
      </c>
    </row>
    <row r="1794" spans="1:3" x14ac:dyDescent="0.25">
      <c r="A1794" t="str">
        <f>"07/11/2016"</f>
        <v>07/11/2016</v>
      </c>
      <c r="B1794" t="str">
        <f>"1.2423"</f>
        <v>1.2423</v>
      </c>
      <c r="C1794" t="str">
        <f>"1.2429"</f>
        <v>1.2429</v>
      </c>
    </row>
    <row r="1795" spans="1:3" x14ac:dyDescent="0.25">
      <c r="A1795" t="str">
        <f>"08/11/2016"</f>
        <v>08/11/2016</v>
      </c>
      <c r="B1795" t="str">
        <f>"1.2387"</f>
        <v>1.2387</v>
      </c>
      <c r="C1795" t="str">
        <f>"1.2393"</f>
        <v>1.2393</v>
      </c>
    </row>
    <row r="1796" spans="1:3" x14ac:dyDescent="0.25">
      <c r="A1796" t="str">
        <f>"09/11/2016"</f>
        <v>09/11/2016</v>
      </c>
      <c r="B1796" t="str">
        <f>"1.2508"</f>
        <v>1.2508</v>
      </c>
      <c r="C1796" t="str">
        <f>"1.2514"</f>
        <v>1.2514</v>
      </c>
    </row>
    <row r="1797" spans="1:3" x14ac:dyDescent="0.25">
      <c r="A1797" t="str">
        <f>"10/11/2016"</f>
        <v>10/11/2016</v>
      </c>
      <c r="B1797" t="str">
        <f>"1.2404"</f>
        <v>1.2404</v>
      </c>
      <c r="C1797" t="str">
        <f>"1.2409"</f>
        <v>1.2409</v>
      </c>
    </row>
    <row r="1798" spans="1:3" x14ac:dyDescent="0.25">
      <c r="A1798" t="str">
        <f>"11/11/2016"</f>
        <v>11/11/2016</v>
      </c>
      <c r="B1798" t="str">
        <f>"1.2564"</f>
        <v>1.2564</v>
      </c>
      <c r="C1798" t="str">
        <f>"1.2569"</f>
        <v>1.2569</v>
      </c>
    </row>
    <row r="1799" spans="1:3" x14ac:dyDescent="0.25">
      <c r="A1799" t="str">
        <f>"15/11/2016"</f>
        <v>15/11/2016</v>
      </c>
      <c r="B1799" t="str">
        <f>"1.2488"</f>
        <v>1.2488</v>
      </c>
      <c r="C1799" t="str">
        <f>"1.2494"</f>
        <v>1.2494</v>
      </c>
    </row>
    <row r="1800" spans="1:3" x14ac:dyDescent="0.25">
      <c r="A1800" t="str">
        <f>"16/11/2016"</f>
        <v>16/11/2016</v>
      </c>
      <c r="B1800" t="str">
        <f>"1.2421"</f>
        <v>1.2421</v>
      </c>
      <c r="C1800" t="str">
        <f>"1.2427"</f>
        <v>1.2427</v>
      </c>
    </row>
    <row r="1801" spans="1:3" x14ac:dyDescent="0.25">
      <c r="A1801" t="str">
        <f>"17/11/2016"</f>
        <v>17/11/2016</v>
      </c>
      <c r="B1801" t="str">
        <f>"1.2469"</f>
        <v>1.2469</v>
      </c>
      <c r="C1801" t="str">
        <f>"1.2475"</f>
        <v>1.2475</v>
      </c>
    </row>
    <row r="1802" spans="1:3" x14ac:dyDescent="0.25">
      <c r="A1802" t="str">
        <f>"18/11/2016"</f>
        <v>18/11/2016</v>
      </c>
      <c r="B1802" t="str">
        <f>"1.2398"</f>
        <v>1.2398</v>
      </c>
      <c r="C1802" t="str">
        <f>"1.2404"</f>
        <v>1.2404</v>
      </c>
    </row>
    <row r="1803" spans="1:3" x14ac:dyDescent="0.25">
      <c r="A1803" t="str">
        <f>"21/11/2016"</f>
        <v>21/11/2016</v>
      </c>
      <c r="B1803" t="str">
        <f>"1.2332"</f>
        <v>1.2332</v>
      </c>
      <c r="C1803" t="str">
        <f>"1.2338"</f>
        <v>1.2338</v>
      </c>
    </row>
    <row r="1804" spans="1:3" x14ac:dyDescent="0.25">
      <c r="A1804" t="str">
        <f>"22/11/2016"</f>
        <v>22/11/2016</v>
      </c>
      <c r="B1804" t="str">
        <f>"1.2446"</f>
        <v>1.2446</v>
      </c>
      <c r="C1804" t="str">
        <f>"1.2453"</f>
        <v>1.2453</v>
      </c>
    </row>
    <row r="1805" spans="1:3" x14ac:dyDescent="0.25">
      <c r="A1805" t="str">
        <f>"23/11/2016"</f>
        <v>23/11/2016</v>
      </c>
      <c r="B1805" t="str">
        <f>"1.2416"</f>
        <v>1.2416</v>
      </c>
      <c r="C1805" t="str">
        <f>"1.2423"</f>
        <v>1.2423</v>
      </c>
    </row>
    <row r="1806" spans="1:3" x14ac:dyDescent="0.25">
      <c r="A1806" t="str">
        <f>"24/11/2016"</f>
        <v>24/11/2016</v>
      </c>
      <c r="B1806" t="str">
        <f>"1.2468"</f>
        <v>1.2468</v>
      </c>
      <c r="C1806" t="str">
        <f>"1.2475"</f>
        <v>1.2475</v>
      </c>
    </row>
    <row r="1807" spans="1:3" x14ac:dyDescent="0.25">
      <c r="A1807" t="str">
        <f>"25/11/2016"</f>
        <v>25/11/2016</v>
      </c>
      <c r="B1807" t="str">
        <f>"1.2457"</f>
        <v>1.2457</v>
      </c>
      <c r="C1807" t="str">
        <f>"1.2463"</f>
        <v>1.2463</v>
      </c>
    </row>
    <row r="1808" spans="1:3" x14ac:dyDescent="0.25">
      <c r="A1808" t="str">
        <f>"28/11/2016"</f>
        <v>28/11/2016</v>
      </c>
      <c r="B1808" t="str">
        <f>"1.2392"</f>
        <v>1.2392</v>
      </c>
      <c r="C1808" t="str">
        <f>"1.2399"</f>
        <v>1.2399</v>
      </c>
    </row>
    <row r="1809" spans="1:3" x14ac:dyDescent="0.25">
      <c r="A1809" t="str">
        <f>"29/11/2016"</f>
        <v>29/11/2016</v>
      </c>
      <c r="B1809" t="str">
        <f>"1.2397"</f>
        <v>1.2397</v>
      </c>
      <c r="C1809" t="str">
        <f>"1.241"</f>
        <v>1.241</v>
      </c>
    </row>
    <row r="1810" spans="1:3" x14ac:dyDescent="0.25">
      <c r="A1810" t="str">
        <f>"30/11/2016"</f>
        <v>30/11/2016</v>
      </c>
      <c r="B1810" t="str">
        <f>"1.2441"</f>
        <v>1.2441</v>
      </c>
      <c r="C1810" t="str">
        <f>"1.2455"</f>
        <v>1.2455</v>
      </c>
    </row>
    <row r="1811" spans="1:3" x14ac:dyDescent="0.25">
      <c r="A1811" t="str">
        <f>"01/12/2016"</f>
        <v>01/12/2016</v>
      </c>
      <c r="B1811" t="str">
        <f>"1.2524"</f>
        <v>1.2524</v>
      </c>
      <c r="C1811" t="str">
        <f>"1.2537"</f>
        <v>1.2537</v>
      </c>
    </row>
    <row r="1812" spans="1:3" x14ac:dyDescent="0.25">
      <c r="A1812" t="str">
        <f>"02/12/2016"</f>
        <v>02/12/2016</v>
      </c>
      <c r="B1812" t="str">
        <f>"1.2607"</f>
        <v>1.2607</v>
      </c>
      <c r="C1812" t="str">
        <f>"1.2621"</f>
        <v>1.2621</v>
      </c>
    </row>
    <row r="1813" spans="1:3" x14ac:dyDescent="0.25">
      <c r="A1813" t="str">
        <f>"05/12/2016"</f>
        <v>05/12/2016</v>
      </c>
      <c r="B1813" t="str">
        <f>"1.2714"</f>
        <v>1.2714</v>
      </c>
      <c r="C1813" t="str">
        <f>"1.2729"</f>
        <v>1.2729</v>
      </c>
    </row>
    <row r="1814" spans="1:3" x14ac:dyDescent="0.25">
      <c r="A1814" t="str">
        <f>"06/12/2016"</f>
        <v>06/12/2016</v>
      </c>
      <c r="B1814" t="str">
        <f>"1.2757"</f>
        <v>1.2757</v>
      </c>
      <c r="C1814" t="str">
        <f>"1.2771"</f>
        <v>1.2771</v>
      </c>
    </row>
    <row r="1815" spans="1:3" x14ac:dyDescent="0.25">
      <c r="A1815" t="str">
        <f>"07/12/2016"</f>
        <v>07/12/2016</v>
      </c>
      <c r="B1815" t="str">
        <f>"1.2601"</f>
        <v>1.2601</v>
      </c>
      <c r="C1815" t="str">
        <f>"1.2614"</f>
        <v>1.2614</v>
      </c>
    </row>
    <row r="1816" spans="1:3" x14ac:dyDescent="0.25">
      <c r="A1816" t="str">
        <f>"08/12/2016"</f>
        <v>08/12/2016</v>
      </c>
      <c r="B1816" t="str">
        <f>"1.2678"</f>
        <v>1.2678</v>
      </c>
      <c r="C1816" t="str">
        <f>"1.2691"</f>
        <v>1.2691</v>
      </c>
    </row>
    <row r="1817" spans="1:3" x14ac:dyDescent="0.25">
      <c r="A1817" t="str">
        <f>"09/12/2016"</f>
        <v>09/12/2016</v>
      </c>
      <c r="B1817" t="str">
        <f>"1.2609"</f>
        <v>1.2609</v>
      </c>
      <c r="C1817" t="str">
        <f>"1.2622"</f>
        <v>1.2622</v>
      </c>
    </row>
    <row r="1818" spans="1:3" x14ac:dyDescent="0.25">
      <c r="A1818" t="str">
        <f>"13/12/2016"</f>
        <v>13/12/2016</v>
      </c>
      <c r="B1818" t="str">
        <f>"1.2699"</f>
        <v>1.2699</v>
      </c>
      <c r="C1818" t="str">
        <f>"1.2714"</f>
        <v>1.2714</v>
      </c>
    </row>
    <row r="1819" spans="1:3" x14ac:dyDescent="0.25">
      <c r="A1819" t="str">
        <f>"14/12/2016"</f>
        <v>14/12/2016</v>
      </c>
      <c r="B1819" t="str">
        <f>"1.2655"</f>
        <v>1.2655</v>
      </c>
      <c r="C1819" t="str">
        <f>"1.267"</f>
        <v>1.267</v>
      </c>
    </row>
    <row r="1820" spans="1:3" x14ac:dyDescent="0.25">
      <c r="A1820" t="str">
        <f>"15/12/2016"</f>
        <v>15/12/2016</v>
      </c>
      <c r="B1820" t="str">
        <f>"1.2545"</f>
        <v>1.2545</v>
      </c>
      <c r="C1820" t="str">
        <f>"1.2559"</f>
        <v>1.2559</v>
      </c>
    </row>
    <row r="1821" spans="1:3" x14ac:dyDescent="0.25">
      <c r="A1821" t="str">
        <f>"16/12/2016"</f>
        <v>16/12/2016</v>
      </c>
      <c r="B1821" t="str">
        <f>"1.2448"</f>
        <v>1.2448</v>
      </c>
      <c r="C1821" t="str">
        <f>"1.2463"</f>
        <v>1.2463</v>
      </c>
    </row>
    <row r="1822" spans="1:3" x14ac:dyDescent="0.25">
      <c r="A1822" t="str">
        <f>"19/12/2016"</f>
        <v>19/12/2016</v>
      </c>
      <c r="B1822" t="str">
        <f>"1.2413"</f>
        <v>1.2413</v>
      </c>
      <c r="C1822" t="str">
        <f>"1.2428"</f>
        <v>1.2428</v>
      </c>
    </row>
    <row r="1823" spans="1:3" x14ac:dyDescent="0.25">
      <c r="A1823" t="str">
        <f>"20/12/2016"</f>
        <v>20/12/2016</v>
      </c>
      <c r="B1823" t="str">
        <f>"1.2348"</f>
        <v>1.2348</v>
      </c>
      <c r="C1823" t="str">
        <f>"1.2364"</f>
        <v>1.2364</v>
      </c>
    </row>
    <row r="1824" spans="1:3" x14ac:dyDescent="0.25">
      <c r="A1824" t="str">
        <f>"21/12/2016"</f>
        <v>21/12/2016</v>
      </c>
      <c r="B1824" t="str">
        <f>"1.2378"</f>
        <v>1.2378</v>
      </c>
      <c r="C1824" t="str">
        <f>"1.2394"</f>
        <v>1.2394</v>
      </c>
    </row>
    <row r="1825" spans="1:3" x14ac:dyDescent="0.25">
      <c r="A1825" t="str">
        <f>"22/12/2016"</f>
        <v>22/12/2016</v>
      </c>
      <c r="B1825" t="str">
        <f>"1.233"</f>
        <v>1.233</v>
      </c>
      <c r="C1825" t="str">
        <f>"1.2345"</f>
        <v>1.2345</v>
      </c>
    </row>
    <row r="1826" spans="1:3" x14ac:dyDescent="0.25">
      <c r="A1826" t="str">
        <f>"23/12/2016"</f>
        <v>23/12/2016</v>
      </c>
      <c r="B1826" t="str">
        <f>"1.2288"</f>
        <v>1.2288</v>
      </c>
      <c r="C1826" t="str">
        <f>"1.2303"</f>
        <v>1.2303</v>
      </c>
    </row>
    <row r="1827" spans="1:3" x14ac:dyDescent="0.25">
      <c r="A1827" t="str">
        <f>"26/12/2016"</f>
        <v>26/12/2016</v>
      </c>
      <c r="B1827" t="str">
        <f>"1.2267"</f>
        <v>1.2267</v>
      </c>
      <c r="C1827" t="str">
        <f>"1.2282"</f>
        <v>1.2282</v>
      </c>
    </row>
    <row r="1828" spans="1:3" x14ac:dyDescent="0.25">
      <c r="A1828" t="str">
        <f>"27/12/2016"</f>
        <v>27/12/2016</v>
      </c>
      <c r="B1828" t="str">
        <f>"1.2259"</f>
        <v>1.2259</v>
      </c>
      <c r="C1828" t="str">
        <f>"1.2274"</f>
        <v>1.2274</v>
      </c>
    </row>
    <row r="1829" spans="1:3" x14ac:dyDescent="0.25">
      <c r="A1829" t="str">
        <f>"28/12/2016"</f>
        <v>28/12/2016</v>
      </c>
      <c r="B1829" t="str">
        <f>"1.221"</f>
        <v>1.221</v>
      </c>
      <c r="C1829" t="str">
        <f>"1.2226"</f>
        <v>1.2226</v>
      </c>
    </row>
    <row r="1830" spans="1:3" x14ac:dyDescent="0.25">
      <c r="A1830" t="str">
        <f>"29/12/2016"</f>
        <v>29/12/2016</v>
      </c>
      <c r="B1830" t="str">
        <f>"1.2264"</f>
        <v>1.2264</v>
      </c>
      <c r="C1830" t="str">
        <f>"1.2273"</f>
        <v>1.2273</v>
      </c>
    </row>
    <row r="1831" spans="1:3" x14ac:dyDescent="0.25">
      <c r="A1831" t="str">
        <f>"30/12/2016"</f>
        <v>30/12/2016</v>
      </c>
      <c r="B1831" t="str">
        <f>"1.2303"</f>
        <v>1.2303</v>
      </c>
      <c r="C1831" t="str">
        <f>"1.2313"</f>
        <v>1.2313</v>
      </c>
    </row>
    <row r="1832" spans="1:3" x14ac:dyDescent="0.25">
      <c r="A1832" t="str">
        <f>"02/01/2017"</f>
        <v>02/01/2017</v>
      </c>
      <c r="B1832" t="str">
        <f>"1.2294"</f>
        <v>1.2294</v>
      </c>
      <c r="C1832" t="str">
        <f>"1.2304"</f>
        <v>1.2304</v>
      </c>
    </row>
    <row r="1833" spans="1:3" x14ac:dyDescent="0.25">
      <c r="A1833" t="str">
        <f>"03/01/2017"</f>
        <v>03/01/2017</v>
      </c>
      <c r="B1833" t="str">
        <f>"1.2273"</f>
        <v>1.2273</v>
      </c>
      <c r="C1833" t="str">
        <f>"1.2281"</f>
        <v>1.2281</v>
      </c>
    </row>
    <row r="1834" spans="1:3" x14ac:dyDescent="0.25">
      <c r="A1834" t="str">
        <f>"04/01/2017"</f>
        <v>04/01/2017</v>
      </c>
      <c r="B1834" t="str">
        <f>"1.2259"</f>
        <v>1.2259</v>
      </c>
      <c r="C1834" t="str">
        <f>"1.2267"</f>
        <v>1.2267</v>
      </c>
    </row>
    <row r="1835" spans="1:3" x14ac:dyDescent="0.25">
      <c r="A1835" t="str">
        <f>"05/01/2017"</f>
        <v>05/01/2017</v>
      </c>
      <c r="B1835" t="str">
        <f>"1.231"</f>
        <v>1.231</v>
      </c>
      <c r="C1835" t="str">
        <f>"1.2318"</f>
        <v>1.2318</v>
      </c>
    </row>
    <row r="1836" spans="1:3" x14ac:dyDescent="0.25">
      <c r="A1836" t="str">
        <f>"06/01/2017"</f>
        <v>06/01/2017</v>
      </c>
      <c r="B1836" t="str">
        <f>"1.2368"</f>
        <v>1.2368</v>
      </c>
      <c r="C1836" t="str">
        <f>"1.2376"</f>
        <v>1.2376</v>
      </c>
    </row>
    <row r="1837" spans="1:3" x14ac:dyDescent="0.25">
      <c r="A1837" t="str">
        <f>"09/01/2017"</f>
        <v>09/01/2017</v>
      </c>
      <c r="B1837" t="str">
        <f>"1.2177"</f>
        <v>1.2177</v>
      </c>
      <c r="C1837" t="str">
        <f>"1.2186"</f>
        <v>1.2186</v>
      </c>
    </row>
    <row r="1838" spans="1:3" x14ac:dyDescent="0.25">
      <c r="A1838" t="str">
        <f>"10/01/2017"</f>
        <v>10/01/2017</v>
      </c>
      <c r="B1838" t="str">
        <f>"1.2148"</f>
        <v>1.2148</v>
      </c>
      <c r="C1838" t="str">
        <f>"1.2156"</f>
        <v>1.2156</v>
      </c>
    </row>
    <row r="1839" spans="1:3" x14ac:dyDescent="0.25">
      <c r="A1839" t="str">
        <f>"11/01/2017"</f>
        <v>11/01/2017</v>
      </c>
      <c r="B1839" t="str">
        <f>"1.2123"</f>
        <v>1.2123</v>
      </c>
      <c r="C1839" t="str">
        <f>"1.2131"</f>
        <v>1.2131</v>
      </c>
    </row>
    <row r="1840" spans="1:3" x14ac:dyDescent="0.25">
      <c r="A1840" t="str">
        <f>"12/01/2017"</f>
        <v>12/01/2017</v>
      </c>
      <c r="B1840" t="str">
        <f>"1.2274"</f>
        <v>1.2274</v>
      </c>
      <c r="C1840" t="str">
        <f>"1.2282"</f>
        <v>1.2282</v>
      </c>
    </row>
    <row r="1841" spans="1:3" x14ac:dyDescent="0.25">
      <c r="A1841" t="str">
        <f>"13/01/2017"</f>
        <v>13/01/2017</v>
      </c>
      <c r="B1841" t="str">
        <f>"1.2197"</f>
        <v>1.2197</v>
      </c>
      <c r="C1841" t="str">
        <f>"1.2204"</f>
        <v>1.2204</v>
      </c>
    </row>
    <row r="1842" spans="1:3" x14ac:dyDescent="0.25">
      <c r="A1842" t="str">
        <f>"16/01/2017"</f>
        <v>16/01/2017</v>
      </c>
      <c r="B1842" t="str">
        <f>"1.2033"</f>
        <v>1.2033</v>
      </c>
      <c r="C1842" t="str">
        <f>"1.2041"</f>
        <v>1.2041</v>
      </c>
    </row>
    <row r="1843" spans="1:3" x14ac:dyDescent="0.25">
      <c r="A1843" t="str">
        <f>"17/01/2017"</f>
        <v>17/01/2017</v>
      </c>
      <c r="B1843" t="str">
        <f>"1.218"</f>
        <v>1.218</v>
      </c>
      <c r="C1843" t="str">
        <f>"1.2188"</f>
        <v>1.2188</v>
      </c>
    </row>
    <row r="1844" spans="1:3" x14ac:dyDescent="0.25">
      <c r="A1844" t="str">
        <f>"18/01/2017"</f>
        <v>18/01/2017</v>
      </c>
      <c r="B1844" t="str">
        <f>"1.2283"</f>
        <v>1.2283</v>
      </c>
      <c r="C1844" t="str">
        <f>"1.2291"</f>
        <v>1.2291</v>
      </c>
    </row>
    <row r="1845" spans="1:3" x14ac:dyDescent="0.25">
      <c r="A1845" t="str">
        <f>"19/01/2017"</f>
        <v>19/01/2017</v>
      </c>
      <c r="B1845" t="str">
        <f>"1.2274"</f>
        <v>1.2274</v>
      </c>
      <c r="C1845" t="str">
        <f>"1.2282"</f>
        <v>1.2282</v>
      </c>
    </row>
    <row r="1846" spans="1:3" x14ac:dyDescent="0.25">
      <c r="A1846" t="str">
        <f>"20/01/2017"</f>
        <v>20/01/2017</v>
      </c>
      <c r="B1846" t="str">
        <f>"1.2264"</f>
        <v>1.2264</v>
      </c>
      <c r="C1846" t="str">
        <f>"1.2272"</f>
        <v>1.2272</v>
      </c>
    </row>
    <row r="1847" spans="1:3" x14ac:dyDescent="0.25">
      <c r="A1847" t="str">
        <f>"23/01/2017"</f>
        <v>23/01/2017</v>
      </c>
      <c r="B1847" t="str">
        <f>"1.2449"</f>
        <v>1.2449</v>
      </c>
      <c r="C1847" t="str">
        <f>"1.2457"</f>
        <v>1.2457</v>
      </c>
    </row>
    <row r="1848" spans="1:3" x14ac:dyDescent="0.25">
      <c r="A1848" t="str">
        <f>"24/01/2017"</f>
        <v>24/01/2017</v>
      </c>
      <c r="B1848" t="str">
        <f>"1.2507"</f>
        <v>1.2507</v>
      </c>
      <c r="C1848" t="str">
        <f>"1.2515"</f>
        <v>1.2515</v>
      </c>
    </row>
    <row r="1849" spans="1:3" x14ac:dyDescent="0.25">
      <c r="A1849" t="str">
        <f>"25/01/2017"</f>
        <v>25/01/2017</v>
      </c>
      <c r="B1849" t="str">
        <f>"1.2569"</f>
        <v>1.2569</v>
      </c>
      <c r="C1849" t="str">
        <f>"1.2577"</f>
        <v>1.2577</v>
      </c>
    </row>
    <row r="1850" spans="1:3" x14ac:dyDescent="0.25">
      <c r="A1850" t="str">
        <f>"27/01/2017"</f>
        <v>27/01/2017</v>
      </c>
      <c r="B1850" t="str">
        <f>"1.254"</f>
        <v>1.254</v>
      </c>
      <c r="C1850" t="str">
        <f>"1.2546"</f>
        <v>1.2546</v>
      </c>
    </row>
    <row r="1851" spans="1:3" x14ac:dyDescent="0.25">
      <c r="A1851" t="str">
        <f>"30/01/2017"</f>
        <v>30/01/2017</v>
      </c>
      <c r="B1851" t="str">
        <f>"1.2574"</f>
        <v>1.2574</v>
      </c>
      <c r="C1851" t="str">
        <f>"1.258"</f>
        <v>1.258</v>
      </c>
    </row>
    <row r="1852" spans="1:3" x14ac:dyDescent="0.25">
      <c r="A1852" t="str">
        <f>"31/01/2017"</f>
        <v>31/01/2017</v>
      </c>
      <c r="B1852" t="str">
        <f>"1.2569"</f>
        <v>1.2569</v>
      </c>
      <c r="C1852" t="str">
        <f>"1.2435"</f>
        <v>1.2435</v>
      </c>
    </row>
    <row r="1853" spans="1:3" x14ac:dyDescent="0.25">
      <c r="A1853" t="str">
        <f>"01/02/2017"</f>
        <v>01/02/2017</v>
      </c>
      <c r="B1853" t="str">
        <f>"1.2569"</f>
        <v>1.2569</v>
      </c>
      <c r="C1853" t="str">
        <f>"1.2575"</f>
        <v>1.2575</v>
      </c>
    </row>
    <row r="1854" spans="1:3" x14ac:dyDescent="0.25">
      <c r="A1854" t="str">
        <f>"02/02/2017"</f>
        <v>02/02/2017</v>
      </c>
      <c r="B1854" t="str">
        <f>"1.2656"</f>
        <v>1.2656</v>
      </c>
      <c r="C1854" t="str">
        <f>"1.2662"</f>
        <v>1.2662</v>
      </c>
    </row>
    <row r="1855" spans="1:3" x14ac:dyDescent="0.25">
      <c r="A1855" t="str">
        <f>"03/02/2017"</f>
        <v>03/02/2017</v>
      </c>
      <c r="B1855" t="str">
        <f>"1.2472"</f>
        <v>1.2472</v>
      </c>
      <c r="C1855" t="str">
        <f>"1.2478"</f>
        <v>1.2478</v>
      </c>
    </row>
    <row r="1856" spans="1:3" x14ac:dyDescent="0.25">
      <c r="A1856" t="str">
        <f>"06/02/2017"</f>
        <v>06/02/2017</v>
      </c>
      <c r="B1856" t="str">
        <f>"1.2458"</f>
        <v>1.2458</v>
      </c>
      <c r="C1856" t="str">
        <f>"1.2464"</f>
        <v>1.2464</v>
      </c>
    </row>
    <row r="1857" spans="1:3" x14ac:dyDescent="0.25">
      <c r="A1857" t="str">
        <f>"07/02/2017"</f>
        <v>07/02/2017</v>
      </c>
      <c r="B1857" t="str">
        <f>"1.2363"</f>
        <v>1.2363</v>
      </c>
      <c r="C1857" t="str">
        <f>"1.2369"</f>
        <v>1.2369</v>
      </c>
    </row>
    <row r="1858" spans="1:3" x14ac:dyDescent="0.25">
      <c r="A1858" t="str">
        <f>"08/02/2017"</f>
        <v>08/02/2017</v>
      </c>
      <c r="B1858" t="str">
        <f>"1.2499"</f>
        <v>1.2499</v>
      </c>
      <c r="C1858" t="str">
        <f>"1.2505"</f>
        <v>1.2505</v>
      </c>
    </row>
    <row r="1859" spans="1:3" x14ac:dyDescent="0.25">
      <c r="A1859" t="str">
        <f>"09/02/2017"</f>
        <v>09/02/2017</v>
      </c>
      <c r="B1859" t="str">
        <f>"1.2549"</f>
        <v>1.2549</v>
      </c>
      <c r="C1859" t="str">
        <f>"1.2555"</f>
        <v>1.2555</v>
      </c>
    </row>
    <row r="1860" spans="1:3" x14ac:dyDescent="0.25">
      <c r="A1860" t="str">
        <f>"10/02/2017"</f>
        <v>10/02/2017</v>
      </c>
      <c r="B1860" t="str">
        <f>"1.2485"</f>
        <v>1.2485</v>
      </c>
      <c r="C1860" t="str">
        <f>"1.2491"</f>
        <v>1.2491</v>
      </c>
    </row>
    <row r="1861" spans="1:3" x14ac:dyDescent="0.25">
      <c r="A1861" t="str">
        <f>"13/02/2017"</f>
        <v>13/02/2017</v>
      </c>
      <c r="B1861" t="str">
        <f>"1.2525"</f>
        <v>1.2525</v>
      </c>
      <c r="C1861" t="str">
        <f>"1.2531"</f>
        <v>1.2531</v>
      </c>
    </row>
    <row r="1862" spans="1:3" x14ac:dyDescent="0.25">
      <c r="A1862" t="str">
        <f>"14/02/2017"</f>
        <v>14/02/2017</v>
      </c>
      <c r="B1862" t="str">
        <f>"1.2468"</f>
        <v>1.2468</v>
      </c>
      <c r="C1862" t="str">
        <f>"1.2474"</f>
        <v>1.2474</v>
      </c>
    </row>
    <row r="1863" spans="1:3" x14ac:dyDescent="0.25">
      <c r="A1863" t="str">
        <f>"15/02/2017"</f>
        <v>15/02/2017</v>
      </c>
      <c r="B1863" t="str">
        <f>"1.2427"</f>
        <v>1.2427</v>
      </c>
      <c r="C1863" t="str">
        <f>"1.2433"</f>
        <v>1.2433</v>
      </c>
    </row>
    <row r="1864" spans="1:3" x14ac:dyDescent="0.25">
      <c r="A1864" t="str">
        <f>"16/02/2017"</f>
        <v>16/02/2017</v>
      </c>
      <c r="B1864" t="str">
        <f>"1.2501"</f>
        <v>1.2501</v>
      </c>
      <c r="C1864" t="str">
        <f>"1.2507"</f>
        <v>1.2507</v>
      </c>
    </row>
    <row r="1865" spans="1:3" x14ac:dyDescent="0.25">
      <c r="A1865" t="str">
        <f>"17/02/2017"</f>
        <v>17/02/2017</v>
      </c>
      <c r="B1865" t="str">
        <f>"1.2405"</f>
        <v>1.2405</v>
      </c>
      <c r="C1865" t="str">
        <f>"1.2411"</f>
        <v>1.2411</v>
      </c>
    </row>
    <row r="1866" spans="1:3" x14ac:dyDescent="0.25">
      <c r="A1866" t="str">
        <f>"20/02/2017"</f>
        <v>20/02/2017</v>
      </c>
      <c r="B1866" t="str">
        <f>"1.247"</f>
        <v>1.247</v>
      </c>
      <c r="C1866" t="str">
        <f>"1.2476"</f>
        <v>1.2476</v>
      </c>
    </row>
    <row r="1867" spans="1:3" x14ac:dyDescent="0.25">
      <c r="A1867" t="str">
        <f>"22/02/2017"</f>
        <v>22/02/2017</v>
      </c>
      <c r="B1867" t="str">
        <f>"1.2443"</f>
        <v>1.2443</v>
      </c>
      <c r="C1867" t="str">
        <f>"1.2449"</f>
        <v>1.2449</v>
      </c>
    </row>
    <row r="1868" spans="1:3" x14ac:dyDescent="0.25">
      <c r="A1868" t="str">
        <f>"23/02/2017"</f>
        <v>23/02/2017</v>
      </c>
      <c r="B1868" t="str">
        <f>"1.2477"</f>
        <v>1.2477</v>
      </c>
      <c r="C1868" t="str">
        <f>"1.2483"</f>
        <v>1.2483</v>
      </c>
    </row>
    <row r="1869" spans="1:3" x14ac:dyDescent="0.25">
      <c r="A1869" t="str">
        <f>"27/02/2017"</f>
        <v>27/02/2017</v>
      </c>
      <c r="B1869" t="str">
        <f>"1.2418"</f>
        <v>1.2418</v>
      </c>
      <c r="C1869" t="str">
        <f>"1.2428"</f>
        <v>1.2428</v>
      </c>
    </row>
    <row r="1870" spans="1:3" x14ac:dyDescent="0.25">
      <c r="A1870" t="str">
        <f>"28/02/2017"</f>
        <v>28/02/2017</v>
      </c>
      <c r="B1870" t="str">
        <f>"1.2429"</f>
        <v>1.2429</v>
      </c>
      <c r="C1870" t="str">
        <f>"1.2439"</f>
        <v>1.2439</v>
      </c>
    </row>
    <row r="1871" spans="1:3" x14ac:dyDescent="0.25">
      <c r="A1871" t="str">
        <f>"01/03/2017"</f>
        <v>01/03/2017</v>
      </c>
      <c r="B1871" t="str">
        <f>"1.231"</f>
        <v>1.231</v>
      </c>
      <c r="C1871" t="str">
        <f>"1.232"</f>
        <v>1.232</v>
      </c>
    </row>
    <row r="1872" spans="1:3" x14ac:dyDescent="0.25">
      <c r="A1872" t="str">
        <f>"02/03/2017"</f>
        <v>02/03/2017</v>
      </c>
      <c r="B1872" t="str">
        <f>"1.2281"</f>
        <v>1.2281</v>
      </c>
      <c r="C1872" t="str">
        <f>"1.2291"</f>
        <v>1.2291</v>
      </c>
    </row>
    <row r="1873" spans="1:3" x14ac:dyDescent="0.25">
      <c r="A1873" t="str">
        <f>"03/03/2017"</f>
        <v>03/03/2017</v>
      </c>
      <c r="B1873" t="str">
        <f>"1.227"</f>
        <v>1.227</v>
      </c>
      <c r="C1873" t="str">
        <f>"1.228"</f>
        <v>1.228</v>
      </c>
    </row>
    <row r="1874" spans="1:3" x14ac:dyDescent="0.25">
      <c r="A1874" t="str">
        <f>"06/03/2017"</f>
        <v>06/03/2017</v>
      </c>
      <c r="B1874" t="str">
        <f>"1.226"</f>
        <v>1.226</v>
      </c>
      <c r="C1874" t="str">
        <f>"1.2271"</f>
        <v>1.2271</v>
      </c>
    </row>
    <row r="1875" spans="1:3" x14ac:dyDescent="0.25">
      <c r="A1875" t="str">
        <f>"07/03/2017"</f>
        <v>07/03/2017</v>
      </c>
      <c r="B1875" t="str">
        <f>"1.2196"</f>
        <v>1.2196</v>
      </c>
      <c r="C1875" t="str">
        <f>"1.2207"</f>
        <v>1.2207</v>
      </c>
    </row>
    <row r="1876" spans="1:3" x14ac:dyDescent="0.25">
      <c r="A1876" t="str">
        <f>"08/03/2017"</f>
        <v>08/03/2017</v>
      </c>
      <c r="B1876" t="str">
        <f>"1.2148"</f>
        <v>1.2148</v>
      </c>
      <c r="C1876" t="str">
        <f>"1.2159"</f>
        <v>1.2159</v>
      </c>
    </row>
    <row r="1877" spans="1:3" x14ac:dyDescent="0.25">
      <c r="A1877" t="str">
        <f>"09/03/2017"</f>
        <v>09/03/2017</v>
      </c>
      <c r="B1877" t="str">
        <f>"1.2153"</f>
        <v>1.2153</v>
      </c>
      <c r="C1877" t="str">
        <f>"1.2164"</f>
        <v>1.2164</v>
      </c>
    </row>
    <row r="1878" spans="1:3" x14ac:dyDescent="0.25">
      <c r="A1878" t="str">
        <f>"10/03/2017"</f>
        <v>10/03/2017</v>
      </c>
      <c r="B1878" t="str">
        <f>"1.2149"</f>
        <v>1.2149</v>
      </c>
      <c r="C1878" t="str">
        <f>"1.216"</f>
        <v>1.216</v>
      </c>
    </row>
    <row r="1879" spans="1:3" x14ac:dyDescent="0.25">
      <c r="A1879" t="str">
        <f>"14/03/2017"</f>
        <v>14/03/2017</v>
      </c>
      <c r="B1879" t="str">
        <f>"1.2129"</f>
        <v>1.2129</v>
      </c>
      <c r="C1879" t="str">
        <f>"1.214"</f>
        <v>1.214</v>
      </c>
    </row>
    <row r="1880" spans="1:3" x14ac:dyDescent="0.25">
      <c r="A1880" t="str">
        <f>"15/03/2017"</f>
        <v>15/03/2017</v>
      </c>
      <c r="B1880" t="str">
        <f>"1.2161"</f>
        <v>1.2161</v>
      </c>
      <c r="C1880" t="str">
        <f>"1.2172"</f>
        <v>1.2172</v>
      </c>
    </row>
    <row r="1881" spans="1:3" x14ac:dyDescent="0.25">
      <c r="A1881" t="str">
        <f>"16/03/2017"</f>
        <v>16/03/2017</v>
      </c>
      <c r="B1881" t="str">
        <f>"1.2269"</f>
        <v>1.2269</v>
      </c>
      <c r="C1881" t="str">
        <f>"1.228"</f>
        <v>1.228</v>
      </c>
    </row>
    <row r="1882" spans="1:3" x14ac:dyDescent="0.25">
      <c r="A1882" t="str">
        <f>"17/03/2017"</f>
        <v>17/03/2017</v>
      </c>
      <c r="B1882" t="str">
        <f>"1.2352"</f>
        <v>1.2352</v>
      </c>
      <c r="C1882" t="str">
        <f>"1.2364"</f>
        <v>1.2364</v>
      </c>
    </row>
    <row r="1883" spans="1:3" x14ac:dyDescent="0.25">
      <c r="A1883" t="str">
        <f>"20/03/2017"</f>
        <v>20/03/2017</v>
      </c>
      <c r="B1883" t="str">
        <f>"1.2384"</f>
        <v>1.2384</v>
      </c>
      <c r="C1883" t="str">
        <f>"1.2396"</f>
        <v>1.2396</v>
      </c>
    </row>
    <row r="1884" spans="1:3" x14ac:dyDescent="0.25">
      <c r="A1884" t="str">
        <f>"21/03/2017"</f>
        <v>21/03/2017</v>
      </c>
      <c r="B1884" t="str">
        <f>"1.2456"</f>
        <v>1.2456</v>
      </c>
      <c r="C1884" t="str">
        <f>"1.2468"</f>
        <v>1.2468</v>
      </c>
    </row>
    <row r="1885" spans="1:3" x14ac:dyDescent="0.25">
      <c r="A1885" t="str">
        <f>"22/03/2017"</f>
        <v>22/03/2017</v>
      </c>
      <c r="B1885" t="str">
        <f>"1.246"</f>
        <v>1.246</v>
      </c>
      <c r="C1885" t="str">
        <f>"1.2472"</f>
        <v>1.2472</v>
      </c>
    </row>
    <row r="1886" spans="1:3" x14ac:dyDescent="0.25">
      <c r="A1886" t="str">
        <f>"23/03/2017"</f>
        <v>23/03/2017</v>
      </c>
      <c r="B1886" t="str">
        <f>"1.2486"</f>
        <v>1.2486</v>
      </c>
      <c r="C1886" t="str">
        <f>"1.2497"</f>
        <v>1.2497</v>
      </c>
    </row>
    <row r="1887" spans="1:3" x14ac:dyDescent="0.25">
      <c r="A1887" t="str">
        <f>"24/03/2017"</f>
        <v>24/03/2017</v>
      </c>
      <c r="B1887" t="str">
        <f>"1.2487"</f>
        <v>1.2487</v>
      </c>
      <c r="C1887" t="str">
        <f>"1.2499"</f>
        <v>1.2499</v>
      </c>
    </row>
    <row r="1888" spans="1:3" x14ac:dyDescent="0.25">
      <c r="A1888" t="str">
        <f>"27/03/2017"</f>
        <v>27/03/2017</v>
      </c>
      <c r="B1888" t="str">
        <f>"1.2592"</f>
        <v>1.2592</v>
      </c>
      <c r="C1888" t="str">
        <f>"1.2602"</f>
        <v>1.2602</v>
      </c>
    </row>
    <row r="1889" spans="1:3" x14ac:dyDescent="0.25">
      <c r="A1889" t="str">
        <f>"29/03/2017"</f>
        <v>29/03/2017</v>
      </c>
      <c r="B1889" t="str">
        <f>"1.2412"</f>
        <v>1.2412</v>
      </c>
      <c r="C1889" t="str">
        <f>"1.2422"</f>
        <v>1.2422</v>
      </c>
    </row>
    <row r="1890" spans="1:3" x14ac:dyDescent="0.25">
      <c r="A1890" t="str">
        <f>"30/03/2017"</f>
        <v>30/03/2017</v>
      </c>
      <c r="B1890" t="str">
        <f>"1.2468"</f>
        <v>1.2468</v>
      </c>
      <c r="C1890" t="str">
        <f>"1.2476"</f>
        <v>1.2476</v>
      </c>
    </row>
    <row r="1891" spans="1:3" x14ac:dyDescent="0.25">
      <c r="A1891" t="str">
        <f>"31/03/2017"</f>
        <v>31/03/2017</v>
      </c>
      <c r="B1891" t="str">
        <f>"1.2539"</f>
        <v>1.2539</v>
      </c>
      <c r="C1891" t="str">
        <f>"1.2491"</f>
        <v>1.2491</v>
      </c>
    </row>
    <row r="1892" spans="1:3" x14ac:dyDescent="0.25">
      <c r="A1892" t="str">
        <f>"03/04/2017"</f>
        <v>03/04/2017</v>
      </c>
      <c r="B1892" t="str">
        <f>"1.2488"</f>
        <v>1.2488</v>
      </c>
      <c r="C1892" t="str">
        <f>"1.2497"</f>
        <v>1.2497</v>
      </c>
    </row>
    <row r="1893" spans="1:3" x14ac:dyDescent="0.25">
      <c r="A1893" t="str">
        <f>"05/04/2017"</f>
        <v>05/04/2017</v>
      </c>
      <c r="B1893" t="str">
        <f>"1.248"</f>
        <v>1.248</v>
      </c>
      <c r="C1893" t="str">
        <f>"1.2489"</f>
        <v>1.2489</v>
      </c>
    </row>
    <row r="1894" spans="1:3" x14ac:dyDescent="0.25">
      <c r="A1894" t="str">
        <f>"06/04/2017"</f>
        <v>06/04/2017</v>
      </c>
      <c r="B1894" t="str">
        <f>"1.2462"</f>
        <v>1.2462</v>
      </c>
      <c r="C1894" t="str">
        <f>"1.2471"</f>
        <v>1.2471</v>
      </c>
    </row>
    <row r="1895" spans="1:3" x14ac:dyDescent="0.25">
      <c r="A1895" t="str">
        <f>"07/04/2017"</f>
        <v>07/04/2017</v>
      </c>
      <c r="B1895" t="str">
        <f>"1.2414"</f>
        <v>1.2414</v>
      </c>
      <c r="C1895" t="str">
        <f>"1.2423"</f>
        <v>1.2423</v>
      </c>
    </row>
    <row r="1896" spans="1:3" x14ac:dyDescent="0.25">
      <c r="A1896" t="str">
        <f>"10/04/2017"</f>
        <v>10/04/2017</v>
      </c>
      <c r="B1896" t="str">
        <f>"1.2385"</f>
        <v>1.2385</v>
      </c>
      <c r="C1896" t="str">
        <f>"1.2394"</f>
        <v>1.2394</v>
      </c>
    </row>
    <row r="1897" spans="1:3" x14ac:dyDescent="0.25">
      <c r="A1897" t="str">
        <f>"11/04/2017"</f>
        <v>11/04/2017</v>
      </c>
      <c r="B1897" t="str">
        <f>"1.2424"</f>
        <v>1.2424</v>
      </c>
      <c r="C1897" t="str">
        <f>"1.2434"</f>
        <v>1.2434</v>
      </c>
    </row>
    <row r="1898" spans="1:3" x14ac:dyDescent="0.25">
      <c r="A1898" t="str">
        <f>"12/04/2017"</f>
        <v>12/04/2017</v>
      </c>
      <c r="B1898" t="str">
        <f>"1.2484"</f>
        <v>1.2484</v>
      </c>
      <c r="C1898" t="str">
        <f>"1.2493"</f>
        <v>1.2493</v>
      </c>
    </row>
    <row r="1899" spans="1:3" x14ac:dyDescent="0.25">
      <c r="A1899" t="str">
        <f>"13/04/2017"</f>
        <v>13/04/2017</v>
      </c>
      <c r="B1899" t="str">
        <f>"1.2534"</f>
        <v>1.2534</v>
      </c>
      <c r="C1899" t="str">
        <f>"1.2544"</f>
        <v>1.2544</v>
      </c>
    </row>
    <row r="1900" spans="1:3" x14ac:dyDescent="0.25">
      <c r="A1900" t="str">
        <f>"17/04/2017"</f>
        <v>17/04/2017</v>
      </c>
      <c r="B1900" t="str">
        <f>"1.2544"</f>
        <v>1.2544</v>
      </c>
      <c r="C1900" t="str">
        <f>"1.2554"</f>
        <v>1.2554</v>
      </c>
    </row>
    <row r="1901" spans="1:3" x14ac:dyDescent="0.25">
      <c r="A1901" t="str">
        <f>"18/04/2017"</f>
        <v>18/04/2017</v>
      </c>
      <c r="B1901" t="str">
        <f>"1.2674"</f>
        <v>1.2674</v>
      </c>
      <c r="C1901" t="str">
        <f>"1.2684"</f>
        <v>1.2684</v>
      </c>
    </row>
    <row r="1902" spans="1:3" x14ac:dyDescent="0.25">
      <c r="A1902" t="str">
        <f>"19/04/2017"</f>
        <v>19/04/2017</v>
      </c>
      <c r="B1902" t="str">
        <f>"1.2822"</f>
        <v>1.2822</v>
      </c>
      <c r="C1902" t="str">
        <f>"1.2832"</f>
        <v>1.2832</v>
      </c>
    </row>
    <row r="1903" spans="1:3" x14ac:dyDescent="0.25">
      <c r="A1903" t="str">
        <f>"20/04/2017"</f>
        <v>20/04/2017</v>
      </c>
      <c r="B1903" t="str">
        <f>"1.2793"</f>
        <v>1.2793</v>
      </c>
      <c r="C1903" t="str">
        <f>"1.2802"</f>
        <v>1.2802</v>
      </c>
    </row>
    <row r="1904" spans="1:3" x14ac:dyDescent="0.25">
      <c r="A1904" t="str">
        <f>"21/04/2017"</f>
        <v>21/04/2017</v>
      </c>
      <c r="B1904" t="str">
        <f>"1.2777"</f>
        <v>1.2777</v>
      </c>
      <c r="C1904" t="str">
        <f>"1.2787"</f>
        <v>1.2787</v>
      </c>
    </row>
    <row r="1905" spans="1:3" x14ac:dyDescent="0.25">
      <c r="A1905" t="str">
        <f>"24/04/2017"</f>
        <v>24/04/2017</v>
      </c>
      <c r="B1905" t="str">
        <f>"1.2814"</f>
        <v>1.2814</v>
      </c>
      <c r="C1905" t="str">
        <f>"1.2823"</f>
        <v>1.2823</v>
      </c>
    </row>
    <row r="1906" spans="1:3" x14ac:dyDescent="0.25">
      <c r="A1906" t="str">
        <f>"25/04/2017"</f>
        <v>25/04/2017</v>
      </c>
      <c r="B1906" t="str">
        <f>"1.2829"</f>
        <v>1.2829</v>
      </c>
      <c r="C1906" t="str">
        <f>"1.284"</f>
        <v>1.284</v>
      </c>
    </row>
    <row r="1907" spans="1:3" x14ac:dyDescent="0.25">
      <c r="A1907" t="str">
        <f>"26/04/2017"</f>
        <v>26/04/2017</v>
      </c>
      <c r="B1907" t="str">
        <f>"1.2826"</f>
        <v>1.2826</v>
      </c>
      <c r="C1907" t="str">
        <f>"1.2837"</f>
        <v>1.2837</v>
      </c>
    </row>
    <row r="1908" spans="1:3" x14ac:dyDescent="0.25">
      <c r="A1908" t="str">
        <f>"27/04/2017"</f>
        <v>27/04/2017</v>
      </c>
      <c r="B1908" t="str">
        <f>"1.2898"</f>
        <v>1.2898</v>
      </c>
      <c r="C1908" t="str">
        <f>"1.2908"</f>
        <v>1.2908</v>
      </c>
    </row>
    <row r="1909" spans="1:3" x14ac:dyDescent="0.25">
      <c r="A1909" t="str">
        <f>"28/04/2017"</f>
        <v>28/04/2017</v>
      </c>
      <c r="B1909" t="str">
        <f>"1.2945"</f>
        <v>1.2945</v>
      </c>
      <c r="C1909" t="str">
        <f>"1.2955"</f>
        <v>1.2955</v>
      </c>
    </row>
    <row r="1910" spans="1:3" x14ac:dyDescent="0.25">
      <c r="A1910" t="str">
        <f>"02/05/2017"</f>
        <v>02/05/2017</v>
      </c>
      <c r="B1910" t="str">
        <f>"1.2917"</f>
        <v>1.2917</v>
      </c>
      <c r="C1910" t="str">
        <f>"1.2928"</f>
        <v>1.2928</v>
      </c>
    </row>
    <row r="1911" spans="1:3" x14ac:dyDescent="0.25">
      <c r="A1911" t="str">
        <f>"03/05/2017"</f>
        <v>03/05/2017</v>
      </c>
      <c r="B1911" t="str">
        <f>"1.2925"</f>
        <v>1.2925</v>
      </c>
      <c r="C1911" t="str">
        <f>"1.2935"</f>
        <v>1.2935</v>
      </c>
    </row>
    <row r="1912" spans="1:3" x14ac:dyDescent="0.25">
      <c r="A1912" t="str">
        <f>"04/05/2017"</f>
        <v>04/05/2017</v>
      </c>
      <c r="B1912" t="str">
        <f>"1.2875"</f>
        <v>1.2875</v>
      </c>
      <c r="C1912" t="str">
        <f>"1.2885"</f>
        <v>1.2885</v>
      </c>
    </row>
    <row r="1913" spans="1:3" x14ac:dyDescent="0.25">
      <c r="A1913" t="str">
        <f>"05/05/2017"</f>
        <v>05/05/2017</v>
      </c>
      <c r="B1913" t="str">
        <f>"1.2928"</f>
        <v>1.2928</v>
      </c>
      <c r="C1913" t="str">
        <f>"1.2938"</f>
        <v>1.2938</v>
      </c>
    </row>
    <row r="1914" spans="1:3" x14ac:dyDescent="0.25">
      <c r="A1914" t="str">
        <f>"08/05/2017"</f>
        <v>08/05/2017</v>
      </c>
      <c r="B1914" t="str">
        <f>"1.2958"</f>
        <v>1.2958</v>
      </c>
      <c r="C1914" t="str">
        <f>"1.2968"</f>
        <v>1.2968</v>
      </c>
    </row>
    <row r="1915" spans="1:3" x14ac:dyDescent="0.25">
      <c r="A1915" t="str">
        <f>"09/05/2017"</f>
        <v>09/05/2017</v>
      </c>
      <c r="B1915" t="str">
        <f>"1.2953"</f>
        <v>1.2953</v>
      </c>
      <c r="C1915" t="str">
        <f>"1.2963"</f>
        <v>1.2963</v>
      </c>
    </row>
    <row r="1916" spans="1:3" x14ac:dyDescent="0.25">
      <c r="A1916" t="str">
        <f>"11/05/2017"</f>
        <v>11/05/2017</v>
      </c>
      <c r="B1916" t="str">
        <f>"1.2884"</f>
        <v>1.2884</v>
      </c>
      <c r="C1916" t="str">
        <f>"1.2894"</f>
        <v>1.2894</v>
      </c>
    </row>
    <row r="1917" spans="1:3" x14ac:dyDescent="0.25">
      <c r="A1917" t="str">
        <f>"12/05/2017"</f>
        <v>12/05/2017</v>
      </c>
      <c r="B1917" t="str">
        <f>"1.2851"</f>
        <v>1.2851</v>
      </c>
      <c r="C1917" t="str">
        <f>"1.2861"</f>
        <v>1.2861</v>
      </c>
    </row>
    <row r="1918" spans="1:3" x14ac:dyDescent="0.25">
      <c r="A1918" t="str">
        <f>"15/05/2017"</f>
        <v>15/05/2017</v>
      </c>
      <c r="B1918" t="str">
        <f>"1.293"</f>
        <v>1.293</v>
      </c>
      <c r="C1918" t="str">
        <f>"1.2941"</f>
        <v>1.2941</v>
      </c>
    </row>
    <row r="1919" spans="1:3" x14ac:dyDescent="0.25">
      <c r="A1919" t="str">
        <f>"16/05/2017"</f>
        <v>16/05/2017</v>
      </c>
      <c r="B1919" t="str">
        <f>"1.2887"</f>
        <v>1.2887</v>
      </c>
      <c r="C1919" t="str">
        <f>"1.2898"</f>
        <v>1.2898</v>
      </c>
    </row>
    <row r="1920" spans="1:3" x14ac:dyDescent="0.25">
      <c r="A1920" t="str">
        <f>"17/05/2017"</f>
        <v>17/05/2017</v>
      </c>
      <c r="B1920" t="str">
        <f>"1.2961"</f>
        <v>1.2961</v>
      </c>
      <c r="C1920" t="str">
        <f>"1.2971"</f>
        <v>1.2971</v>
      </c>
    </row>
    <row r="1921" spans="1:3" x14ac:dyDescent="0.25">
      <c r="A1921" t="str">
        <f>"18/05/2017"</f>
        <v>18/05/2017</v>
      </c>
      <c r="B1921" t="str">
        <f>"1.3024"</f>
        <v>1.3024</v>
      </c>
      <c r="C1921" t="str">
        <f>"1.3035"</f>
        <v>1.3035</v>
      </c>
    </row>
    <row r="1922" spans="1:3" x14ac:dyDescent="0.25">
      <c r="A1922" t="str">
        <f>"19/05/2017"</f>
        <v>19/05/2017</v>
      </c>
      <c r="B1922" t="str">
        <f>"1.3007"</f>
        <v>1.3007</v>
      </c>
      <c r="C1922" t="str">
        <f>"1.3017"</f>
        <v>1.3017</v>
      </c>
    </row>
    <row r="1923" spans="1:3" x14ac:dyDescent="0.25">
      <c r="A1923" t="str">
        <f>"22/05/2017"</f>
        <v>22/05/2017</v>
      </c>
      <c r="B1923" t="str">
        <f>"1.30"</f>
        <v>1.30</v>
      </c>
      <c r="C1923" t="str">
        <f>"1.3011"</f>
        <v>1.3011</v>
      </c>
    </row>
    <row r="1924" spans="1:3" x14ac:dyDescent="0.25">
      <c r="A1924" t="str">
        <f>"23/05/2017"</f>
        <v>23/05/2017</v>
      </c>
      <c r="B1924" t="str">
        <f>"1.2974"</f>
        <v>1.2974</v>
      </c>
      <c r="C1924" t="str">
        <f>"1.2985"</f>
        <v>1.2985</v>
      </c>
    </row>
    <row r="1925" spans="1:3" x14ac:dyDescent="0.25">
      <c r="A1925" t="str">
        <f>"24/05/2017"</f>
        <v>24/05/2017</v>
      </c>
      <c r="B1925" t="str">
        <f>"1.2971"</f>
        <v>1.2971</v>
      </c>
      <c r="C1925" t="str">
        <f>"1.2982"</f>
        <v>1.2982</v>
      </c>
    </row>
    <row r="1926" spans="1:3" x14ac:dyDescent="0.25">
      <c r="A1926" t="str">
        <f>"25/05/2017"</f>
        <v>25/05/2017</v>
      </c>
      <c r="B1926" t="str">
        <f>"1.2953"</f>
        <v>1.2953</v>
      </c>
      <c r="C1926" t="str">
        <f>"1.2964"</f>
        <v>1.2964</v>
      </c>
    </row>
    <row r="1927" spans="1:3" x14ac:dyDescent="0.25">
      <c r="A1927" t="str">
        <f>"26/05/2017"</f>
        <v>26/05/2017</v>
      </c>
      <c r="B1927" t="str">
        <f>"1.285"</f>
        <v>1.285</v>
      </c>
      <c r="C1927" t="str">
        <f>"1.2861"</f>
        <v>1.2861</v>
      </c>
    </row>
    <row r="1928" spans="1:3" x14ac:dyDescent="0.25">
      <c r="A1928" t="str">
        <f>"29/05/2017"</f>
        <v>29/05/2017</v>
      </c>
      <c r="B1928" t="str">
        <f>"1.2844"</f>
        <v>1.2844</v>
      </c>
      <c r="C1928" t="str">
        <f>"1.2855"</f>
        <v>1.2855</v>
      </c>
    </row>
    <row r="1929" spans="1:3" x14ac:dyDescent="0.25">
      <c r="A1929" t="str">
        <f>"30/05/2017"</f>
        <v>30/05/2017</v>
      </c>
      <c r="B1929" t="str">
        <f>"1.2863"</f>
        <v>1.2863</v>
      </c>
      <c r="C1929" t="str">
        <f>"1.2877"</f>
        <v>1.2877</v>
      </c>
    </row>
    <row r="1930" spans="1:3" x14ac:dyDescent="0.25">
      <c r="A1930" t="str">
        <f>"31/05/2017"</f>
        <v>31/05/2017</v>
      </c>
      <c r="B1930" t="str">
        <f>"1.2889"</f>
        <v>1.2889</v>
      </c>
      <c r="C1930" t="str">
        <f>"1.2852"</f>
        <v>1.2852</v>
      </c>
    </row>
    <row r="1931" spans="1:3" x14ac:dyDescent="0.25">
      <c r="A1931" t="str">
        <f>"01/06/2017"</f>
        <v>01/06/2017</v>
      </c>
      <c r="B1931" t="str">
        <f>"1.286"</f>
        <v>1.286</v>
      </c>
      <c r="C1931" t="str">
        <f>"1.2872"</f>
        <v>1.2872</v>
      </c>
    </row>
    <row r="1932" spans="1:3" x14ac:dyDescent="0.25">
      <c r="A1932" t="str">
        <f>"02/06/2017"</f>
        <v>02/06/2017</v>
      </c>
      <c r="B1932" t="str">
        <f>"1.2853"</f>
        <v>1.2853</v>
      </c>
      <c r="C1932" t="str">
        <f>"1.2865"</f>
        <v>1.2865</v>
      </c>
    </row>
    <row r="1933" spans="1:3" x14ac:dyDescent="0.25">
      <c r="A1933" t="str">
        <f>"05/06/2017"</f>
        <v>05/06/2017</v>
      </c>
      <c r="B1933" t="str">
        <f>"1.2907"</f>
        <v>1.2907</v>
      </c>
      <c r="C1933" t="str">
        <f>"1.2919"</f>
        <v>1.2919</v>
      </c>
    </row>
    <row r="1934" spans="1:3" x14ac:dyDescent="0.25">
      <c r="A1934" t="str">
        <f>"06/06/2017"</f>
        <v>06/06/2017</v>
      </c>
      <c r="B1934" t="str">
        <f>"1.2909"</f>
        <v>1.2909</v>
      </c>
      <c r="C1934" t="str">
        <f>"1.2922"</f>
        <v>1.2922</v>
      </c>
    </row>
    <row r="1935" spans="1:3" x14ac:dyDescent="0.25">
      <c r="A1935" t="str">
        <f>"07/06/2017"</f>
        <v>07/06/2017</v>
      </c>
      <c r="B1935" t="str">
        <f>"1.291"</f>
        <v>1.291</v>
      </c>
      <c r="C1935" t="str">
        <f>"1.2923"</f>
        <v>1.2923</v>
      </c>
    </row>
    <row r="1936" spans="1:3" x14ac:dyDescent="0.25">
      <c r="A1936" t="str">
        <f>"08/06/2017"</f>
        <v>08/06/2017</v>
      </c>
      <c r="B1936" t="str">
        <f>"1.2953"</f>
        <v>1.2953</v>
      </c>
      <c r="C1936" t="str">
        <f>"1.2966"</f>
        <v>1.2966</v>
      </c>
    </row>
    <row r="1937" spans="1:3" x14ac:dyDescent="0.25">
      <c r="A1937" t="str">
        <f>"09/06/2017"</f>
        <v>09/06/2017</v>
      </c>
      <c r="B1937" t="str">
        <f>"1.2775"</f>
        <v>1.2775</v>
      </c>
      <c r="C1937" t="str">
        <f>"1.2788"</f>
        <v>1.2788</v>
      </c>
    </row>
    <row r="1938" spans="1:3" x14ac:dyDescent="0.25">
      <c r="A1938" t="str">
        <f>"12/06/2017"</f>
        <v>12/06/2017</v>
      </c>
      <c r="B1938" t="str">
        <f>"1.2701"</f>
        <v>1.2701</v>
      </c>
      <c r="C1938" t="str">
        <f>"1.2714"</f>
        <v>1.2714</v>
      </c>
    </row>
    <row r="1939" spans="1:3" x14ac:dyDescent="0.25">
      <c r="A1939" t="str">
        <f>"13/06/2017"</f>
        <v>13/06/2017</v>
      </c>
      <c r="B1939" t="str">
        <f>"1.273"</f>
        <v>1.273</v>
      </c>
      <c r="C1939" t="str">
        <f>"1.2744"</f>
        <v>1.2744</v>
      </c>
    </row>
    <row r="1940" spans="1:3" x14ac:dyDescent="0.25">
      <c r="A1940" t="str">
        <f>"14/06/2017"</f>
        <v>14/06/2017</v>
      </c>
      <c r="B1940" t="str">
        <f>"1.274"</f>
        <v>1.274</v>
      </c>
      <c r="C1940" t="str">
        <f>"1.2753"</f>
        <v>1.2753</v>
      </c>
    </row>
    <row r="1941" spans="1:3" x14ac:dyDescent="0.25">
      <c r="A1941" t="str">
        <f>"15/06/2017"</f>
        <v>15/06/2017</v>
      </c>
      <c r="B1941" t="str">
        <f>"1.2775"</f>
        <v>1.2775</v>
      </c>
      <c r="C1941" t="str">
        <f>"1.2788"</f>
        <v>1.2788</v>
      </c>
    </row>
    <row r="1942" spans="1:3" x14ac:dyDescent="0.25">
      <c r="A1942" t="str">
        <f>"16/06/2017"</f>
        <v>16/06/2017</v>
      </c>
      <c r="B1942" t="str">
        <f>"1.277"</f>
        <v>1.277</v>
      </c>
      <c r="C1942" t="str">
        <f>"1.2783"</f>
        <v>1.2783</v>
      </c>
    </row>
    <row r="1943" spans="1:3" x14ac:dyDescent="0.25">
      <c r="A1943" t="str">
        <f>"19/06/2017"</f>
        <v>19/06/2017</v>
      </c>
      <c r="B1943" t="str">
        <f>"1.2773"</f>
        <v>1.2773</v>
      </c>
      <c r="C1943" t="str">
        <f>"1.2786"</f>
        <v>1.2786</v>
      </c>
    </row>
    <row r="1944" spans="1:3" x14ac:dyDescent="0.25">
      <c r="A1944" t="str">
        <f>"20/06/2017"</f>
        <v>20/06/2017</v>
      </c>
      <c r="B1944" t="str">
        <f>"1.2668"</f>
        <v>1.2668</v>
      </c>
      <c r="C1944" t="str">
        <f>"1.2682"</f>
        <v>1.2682</v>
      </c>
    </row>
    <row r="1945" spans="1:3" x14ac:dyDescent="0.25">
      <c r="A1945" t="str">
        <f>"21/06/2017"</f>
        <v>21/06/2017</v>
      </c>
      <c r="B1945" t="str">
        <f>"1.2693"</f>
        <v>1.2693</v>
      </c>
      <c r="C1945" t="str">
        <f>"1.2707"</f>
        <v>1.2707</v>
      </c>
    </row>
    <row r="1946" spans="1:3" x14ac:dyDescent="0.25">
      <c r="A1946" t="str">
        <f>"22/06/2017"</f>
        <v>22/06/2017</v>
      </c>
      <c r="B1946" t="str">
        <f>"1.2666"</f>
        <v>1.2666</v>
      </c>
      <c r="C1946" t="str">
        <f>"1.2679"</f>
        <v>1.2679</v>
      </c>
    </row>
    <row r="1947" spans="1:3" x14ac:dyDescent="0.25">
      <c r="A1947" t="str">
        <f>"23/06/2017"</f>
        <v>23/06/2017</v>
      </c>
      <c r="B1947" t="str">
        <f>"1.2731"</f>
        <v>1.2731</v>
      </c>
      <c r="C1947" t="str">
        <f>"1.2745"</f>
        <v>1.2745</v>
      </c>
    </row>
    <row r="1948" spans="1:3" x14ac:dyDescent="0.25">
      <c r="A1948" t="str">
        <f>"27/06/2017"</f>
        <v>27/06/2017</v>
      </c>
      <c r="B1948" t="str">
        <f>"1.2725"</f>
        <v>1.2725</v>
      </c>
      <c r="C1948" t="str">
        <f>"1.274"</f>
        <v>1.274</v>
      </c>
    </row>
    <row r="1949" spans="1:3" x14ac:dyDescent="0.25">
      <c r="A1949" t="str">
        <f>"28/06/2017"</f>
        <v>28/06/2017</v>
      </c>
      <c r="B1949" t="str">
        <f>"1.2822"</f>
        <v>1.2822</v>
      </c>
      <c r="C1949" t="str">
        <f>"1.2836"</f>
        <v>1.2836</v>
      </c>
    </row>
    <row r="1950" spans="1:3" x14ac:dyDescent="0.25">
      <c r="A1950" t="str">
        <f>"29/06/2017"</f>
        <v>29/06/2017</v>
      </c>
      <c r="B1950" t="str">
        <f>"1.2974"</f>
        <v>1.2974</v>
      </c>
      <c r="C1950" t="str">
        <f>"1.2987"</f>
        <v>1.2987</v>
      </c>
    </row>
    <row r="1951" spans="1:3" x14ac:dyDescent="0.25">
      <c r="A1951" t="str">
        <f>"30/06/2017"</f>
        <v>30/06/2017</v>
      </c>
      <c r="B1951" t="str">
        <f>"1.3016"</f>
        <v>1.3016</v>
      </c>
      <c r="C1951" t="str">
        <f>"1.2984"</f>
        <v>1.2984</v>
      </c>
    </row>
    <row r="1952" spans="1:3" x14ac:dyDescent="0.25">
      <c r="A1952" t="str">
        <f>"03/07/2017"</f>
        <v>03/07/2017</v>
      </c>
      <c r="B1952" t="str">
        <f>"1.2953"</f>
        <v>1.2953</v>
      </c>
      <c r="C1952" t="str">
        <f>"1.2966"</f>
        <v>1.2966</v>
      </c>
    </row>
    <row r="1953" spans="1:3" x14ac:dyDescent="0.25">
      <c r="A1953" t="str">
        <f>"04/07/2017"</f>
        <v>04/07/2017</v>
      </c>
      <c r="B1953" t="str">
        <f>"1.2928"</f>
        <v>1.2928</v>
      </c>
      <c r="C1953" t="str">
        <f>"1.2941"</f>
        <v>1.2941</v>
      </c>
    </row>
    <row r="1954" spans="1:3" x14ac:dyDescent="0.25">
      <c r="A1954" t="str">
        <f>"05/07/2017"</f>
        <v>05/07/2017</v>
      </c>
      <c r="B1954" t="str">
        <f>"1.2928"</f>
        <v>1.2928</v>
      </c>
      <c r="C1954" t="str">
        <f>"1.294"</f>
        <v>1.294</v>
      </c>
    </row>
    <row r="1955" spans="1:3" x14ac:dyDescent="0.25">
      <c r="A1955" t="str">
        <f>"06/07/2017"</f>
        <v>06/07/2017</v>
      </c>
      <c r="B1955" t="str">
        <f>"1.2948"</f>
        <v>1.2948</v>
      </c>
      <c r="C1955" t="str">
        <f>"1.2961"</f>
        <v>1.2961</v>
      </c>
    </row>
    <row r="1956" spans="1:3" x14ac:dyDescent="0.25">
      <c r="A1956" t="str">
        <f>"07/07/2017"</f>
        <v>07/07/2017</v>
      </c>
      <c r="B1956" t="str">
        <f>"1.2957"</f>
        <v>1.2957</v>
      </c>
      <c r="C1956" t="str">
        <f>"1.2969"</f>
        <v>1.2969</v>
      </c>
    </row>
    <row r="1957" spans="1:3" x14ac:dyDescent="0.25">
      <c r="A1957" t="str">
        <f>"10/07/2017"</f>
        <v>10/07/2017</v>
      </c>
      <c r="B1957" t="str">
        <f>"1.2883"</f>
        <v>1.2883</v>
      </c>
      <c r="C1957" t="str">
        <f>"1.2897"</f>
        <v>1.2897</v>
      </c>
    </row>
    <row r="1958" spans="1:3" x14ac:dyDescent="0.25">
      <c r="A1958" t="str">
        <f>"11/07/2017"</f>
        <v>11/07/2017</v>
      </c>
      <c r="B1958" t="str">
        <f>"1.2909"</f>
        <v>1.2909</v>
      </c>
      <c r="C1958" t="str">
        <f>"1.2922"</f>
        <v>1.2922</v>
      </c>
    </row>
    <row r="1959" spans="1:3" x14ac:dyDescent="0.25">
      <c r="A1959" t="str">
        <f>"12/07/2017"</f>
        <v>12/07/2017</v>
      </c>
      <c r="B1959" t="str">
        <f>"1.2869"</f>
        <v>1.2869</v>
      </c>
      <c r="C1959" t="str">
        <f>"1.2882"</f>
        <v>1.2882</v>
      </c>
    </row>
    <row r="1960" spans="1:3" x14ac:dyDescent="0.25">
      <c r="A1960" t="str">
        <f>"13/07/2017"</f>
        <v>13/07/2017</v>
      </c>
      <c r="B1960" t="str">
        <f>"1.2929"</f>
        <v>1.2929</v>
      </c>
      <c r="C1960" t="str">
        <f>"1.2941"</f>
        <v>1.2941</v>
      </c>
    </row>
    <row r="1961" spans="1:3" x14ac:dyDescent="0.25">
      <c r="A1961" t="str">
        <f>"14/07/2017"</f>
        <v>14/07/2017</v>
      </c>
      <c r="B1961" t="str">
        <f>"1.2975"</f>
        <v>1.2975</v>
      </c>
      <c r="C1961" t="str">
        <f>"1.2988"</f>
        <v>1.2988</v>
      </c>
    </row>
    <row r="1962" spans="1:3" x14ac:dyDescent="0.25">
      <c r="A1962" t="str">
        <f>"17/07/2017"</f>
        <v>17/07/2017</v>
      </c>
      <c r="B1962" t="str">
        <f>"1.3063"</f>
        <v>1.3063</v>
      </c>
      <c r="C1962" t="str">
        <f>"1.3077"</f>
        <v>1.3077</v>
      </c>
    </row>
    <row r="1963" spans="1:3" x14ac:dyDescent="0.25">
      <c r="A1963" t="str">
        <f>"18/07/2017"</f>
        <v>18/07/2017</v>
      </c>
      <c r="B1963" t="str">
        <f>"1.3015"</f>
        <v>1.3015</v>
      </c>
      <c r="C1963" t="str">
        <f>"1.3029"</f>
        <v>1.3029</v>
      </c>
    </row>
    <row r="1964" spans="1:3" x14ac:dyDescent="0.25">
      <c r="A1964" t="str">
        <f>"19/07/2017"</f>
        <v>19/07/2017</v>
      </c>
      <c r="B1964" t="str">
        <f>"1.3025"</f>
        <v>1.3025</v>
      </c>
      <c r="C1964" t="str">
        <f>"1.3038"</f>
        <v>1.3038</v>
      </c>
    </row>
    <row r="1965" spans="1:3" x14ac:dyDescent="0.25">
      <c r="A1965" t="str">
        <f>"20/07/2017"</f>
        <v>20/07/2017</v>
      </c>
      <c r="B1965" t="str">
        <f>"1.2941"</f>
        <v>1.2941</v>
      </c>
      <c r="C1965" t="str">
        <f>"1.2954"</f>
        <v>1.2954</v>
      </c>
    </row>
    <row r="1966" spans="1:3" x14ac:dyDescent="0.25">
      <c r="A1966" t="str">
        <f>"21/07/2017"</f>
        <v>21/07/2017</v>
      </c>
      <c r="B1966" t="str">
        <f>"1.3006"</f>
        <v>1.3006</v>
      </c>
      <c r="C1966" t="str">
        <f>"1.3019"</f>
        <v>1.3019</v>
      </c>
    </row>
    <row r="1967" spans="1:3" x14ac:dyDescent="0.25">
      <c r="A1967" t="str">
        <f>"24/07/2017"</f>
        <v>24/07/2017</v>
      </c>
      <c r="B1967" t="str">
        <f>"1.303"</f>
        <v>1.303</v>
      </c>
      <c r="C1967" t="str">
        <f>"1.3044"</f>
        <v>1.3044</v>
      </c>
    </row>
    <row r="1968" spans="1:3" x14ac:dyDescent="0.25">
      <c r="A1968" t="str">
        <f>"25/07/2017"</f>
        <v>25/07/2017</v>
      </c>
      <c r="B1968" t="str">
        <f>"1.3042"</f>
        <v>1.3042</v>
      </c>
      <c r="C1968" t="str">
        <f>"1.3056"</f>
        <v>1.3056</v>
      </c>
    </row>
    <row r="1969" spans="1:3" x14ac:dyDescent="0.25">
      <c r="A1969" t="str">
        <f>"26/07/2017"</f>
        <v>26/07/2017</v>
      </c>
      <c r="B1969" t="str">
        <f>"1.3057"</f>
        <v>1.3057</v>
      </c>
      <c r="C1969" t="str">
        <f>"1.3071"</f>
        <v>1.3071</v>
      </c>
    </row>
    <row r="1970" spans="1:3" x14ac:dyDescent="0.25">
      <c r="A1970" t="str">
        <f>"27/07/2017"</f>
        <v>27/07/2017</v>
      </c>
      <c r="B1970" t="str">
        <f>"1.3137"</f>
        <v>1.3137</v>
      </c>
      <c r="C1970" t="str">
        <f>"1.315"</f>
        <v>1.315</v>
      </c>
    </row>
    <row r="1971" spans="1:3" x14ac:dyDescent="0.25">
      <c r="A1971" t="str">
        <f>"28/07/2017"</f>
        <v>28/07/2017</v>
      </c>
      <c r="B1971" t="str">
        <f>"1.3088"</f>
        <v>1.3088</v>
      </c>
      <c r="C1971" t="str">
        <f>"1.3101"</f>
        <v>1.3101</v>
      </c>
    </row>
    <row r="1972" spans="1:3" x14ac:dyDescent="0.25">
      <c r="A1972" t="str">
        <f>"31/07/2017"</f>
        <v>31/07/2017</v>
      </c>
      <c r="B1972" t="str">
        <f>"1.319"</f>
        <v>1.319</v>
      </c>
      <c r="C1972" t="str">
        <f>"1.3141"</f>
        <v>1.3141</v>
      </c>
    </row>
    <row r="1973" spans="1:3" x14ac:dyDescent="0.25">
      <c r="A1973" t="str">
        <f>"01/08/2017"</f>
        <v>01/08/2017</v>
      </c>
      <c r="B1973" t="str">
        <f>"1.3208"</f>
        <v>1.3208</v>
      </c>
      <c r="C1973" t="str">
        <f>"1.3222"</f>
        <v>1.3222</v>
      </c>
    </row>
    <row r="1974" spans="1:3" x14ac:dyDescent="0.25">
      <c r="A1974" t="str">
        <f>"02/08/2017"</f>
        <v>02/08/2017</v>
      </c>
      <c r="B1974" t="str">
        <f>"1.3222"</f>
        <v>1.3222</v>
      </c>
      <c r="C1974" t="str">
        <f>"1.3235"</f>
        <v>1.3235</v>
      </c>
    </row>
    <row r="1975" spans="1:3" x14ac:dyDescent="0.25">
      <c r="A1975" t="str">
        <f>"03/08/2017"</f>
        <v>03/08/2017</v>
      </c>
      <c r="B1975" t="str">
        <f>"1.3155"</f>
        <v>1.3155</v>
      </c>
      <c r="C1975" t="str">
        <f>"1.3168"</f>
        <v>1.3168</v>
      </c>
    </row>
    <row r="1976" spans="1:3" x14ac:dyDescent="0.25">
      <c r="A1976" t="str">
        <f>"04/08/2017"</f>
        <v>04/08/2017</v>
      </c>
      <c r="B1976" t="str">
        <f>"1.3143"</f>
        <v>1.3143</v>
      </c>
      <c r="C1976" t="str">
        <f>"1.3156"</f>
        <v>1.3156</v>
      </c>
    </row>
    <row r="1977" spans="1:3" x14ac:dyDescent="0.25">
      <c r="A1977" t="str">
        <f>"07/08/2017"</f>
        <v>07/08/2017</v>
      </c>
      <c r="B1977" t="str">
        <f>"1.3054"</f>
        <v>1.3054</v>
      </c>
      <c r="C1977" t="str">
        <f>"1.3068"</f>
        <v>1.3068</v>
      </c>
    </row>
    <row r="1978" spans="1:3" x14ac:dyDescent="0.25">
      <c r="A1978" t="str">
        <f>"08/08/2017"</f>
        <v>08/08/2017</v>
      </c>
      <c r="B1978" t="str">
        <f>"1.3049"</f>
        <v>1.3049</v>
      </c>
      <c r="C1978" t="str">
        <f>"1.3062"</f>
        <v>1.3062</v>
      </c>
    </row>
    <row r="1979" spans="1:3" x14ac:dyDescent="0.25">
      <c r="A1979" t="str">
        <f>"09/08/2017"</f>
        <v>09/08/2017</v>
      </c>
      <c r="B1979" t="str">
        <f>"1.2991"</f>
        <v>1.2991</v>
      </c>
      <c r="C1979" t="str">
        <f>"1.3004"</f>
        <v>1.3004</v>
      </c>
    </row>
    <row r="1980" spans="1:3" x14ac:dyDescent="0.25">
      <c r="A1980" t="str">
        <f>"10/08/2017"</f>
        <v>10/08/2017</v>
      </c>
      <c r="B1980" t="str">
        <f>"1.2999"</f>
        <v>1.2999</v>
      </c>
      <c r="C1980" t="str">
        <f>"1.3012"</f>
        <v>1.3012</v>
      </c>
    </row>
    <row r="1981" spans="1:3" x14ac:dyDescent="0.25">
      <c r="A1981" t="str">
        <f>"11/08/2017"</f>
        <v>11/08/2017</v>
      </c>
      <c r="B1981" t="str">
        <f>"1.2984"</f>
        <v>1.2984</v>
      </c>
      <c r="C1981" t="str">
        <f>"1.2997"</f>
        <v>1.2997</v>
      </c>
    </row>
    <row r="1982" spans="1:3" x14ac:dyDescent="0.25">
      <c r="A1982" t="str">
        <f>"14/08/2017"</f>
        <v>14/08/2017</v>
      </c>
      <c r="B1982" t="str">
        <f>"1.2972"</f>
        <v>1.2972</v>
      </c>
      <c r="C1982" t="str">
        <f>"1.2986"</f>
        <v>1.2986</v>
      </c>
    </row>
    <row r="1983" spans="1:3" x14ac:dyDescent="0.25">
      <c r="A1983" t="str">
        <f>"16/08/2017"</f>
        <v>16/08/2017</v>
      </c>
      <c r="B1983" t="str">
        <f>"1.287"</f>
        <v>1.287</v>
      </c>
      <c r="C1983" t="str">
        <f>"1.2883"</f>
        <v>1.2883</v>
      </c>
    </row>
    <row r="1984" spans="1:3" x14ac:dyDescent="0.25">
      <c r="A1984" t="str">
        <f>"18/08/2017"</f>
        <v>18/08/2017</v>
      </c>
      <c r="B1984" t="str">
        <f>"1.2878"</f>
        <v>1.2878</v>
      </c>
      <c r="C1984" t="str">
        <f>"1.2891"</f>
        <v>1.2891</v>
      </c>
    </row>
    <row r="1985" spans="1:3" x14ac:dyDescent="0.25">
      <c r="A1985" t="str">
        <f>"21/08/2017"</f>
        <v>21/08/2017</v>
      </c>
      <c r="B1985" t="str">
        <f>"1.2883"</f>
        <v>1.2883</v>
      </c>
      <c r="C1985" t="str">
        <f>"1.2896"</f>
        <v>1.2896</v>
      </c>
    </row>
    <row r="1986" spans="1:3" x14ac:dyDescent="0.25">
      <c r="A1986" t="str">
        <f>"22/08/2017"</f>
        <v>22/08/2017</v>
      </c>
      <c r="B1986" t="str">
        <f>"1.2826"</f>
        <v>1.2826</v>
      </c>
      <c r="C1986" t="str">
        <f>"1.2839"</f>
        <v>1.2839</v>
      </c>
    </row>
    <row r="1987" spans="1:3" x14ac:dyDescent="0.25">
      <c r="A1987" t="str">
        <f>"23/08/2017"</f>
        <v>23/08/2017</v>
      </c>
      <c r="B1987" t="str">
        <f>"1.2812"</f>
        <v>1.2812</v>
      </c>
      <c r="C1987" t="str">
        <f>"1.2825"</f>
        <v>1.2825</v>
      </c>
    </row>
    <row r="1988" spans="1:3" x14ac:dyDescent="0.25">
      <c r="A1988" t="str">
        <f>"24/08/2017"</f>
        <v>24/08/2017</v>
      </c>
      <c r="B1988" t="str">
        <f>"1.2818"</f>
        <v>1.2818</v>
      </c>
      <c r="C1988" t="str">
        <f>"1.2831"</f>
        <v>1.2831</v>
      </c>
    </row>
    <row r="1989" spans="1:3" x14ac:dyDescent="0.25">
      <c r="A1989" t="str">
        <f>"28/08/2017"</f>
        <v>28/08/2017</v>
      </c>
      <c r="B1989" t="str">
        <f>"1.2913"</f>
        <v>1.2913</v>
      </c>
      <c r="C1989" t="str">
        <f>"1.2925"</f>
        <v>1.2925</v>
      </c>
    </row>
    <row r="1990" spans="1:3" x14ac:dyDescent="0.25">
      <c r="A1990" t="str">
        <f>"29/08/2017"</f>
        <v>29/08/2017</v>
      </c>
      <c r="B1990" t="str">
        <f>"1.2951"</f>
        <v>1.2951</v>
      </c>
      <c r="C1990" t="str">
        <f>"1.2963"</f>
        <v>1.2963</v>
      </c>
    </row>
    <row r="1991" spans="1:3" x14ac:dyDescent="0.25">
      <c r="A1991" t="str">
        <f>"30/08/2017"</f>
        <v>30/08/2017</v>
      </c>
      <c r="B1991" t="str">
        <f>"1.2933"</f>
        <v>1.2933</v>
      </c>
      <c r="C1991" t="str">
        <f>"1.2947"</f>
        <v>1.2947</v>
      </c>
    </row>
    <row r="1992" spans="1:3" x14ac:dyDescent="0.25">
      <c r="A1992" t="str">
        <f>"31/08/2017"</f>
        <v>31/08/2017</v>
      </c>
      <c r="B1992" t="str">
        <f>"1.2894"</f>
        <v>1.2894</v>
      </c>
      <c r="C1992" t="str">
        <f>"1.2877"</f>
        <v>1.2877</v>
      </c>
    </row>
    <row r="1993" spans="1:3" x14ac:dyDescent="0.25">
      <c r="A1993" t="str">
        <f>"01/09/2017"</f>
        <v>01/09/2017</v>
      </c>
      <c r="B1993" t="str">
        <f>"1.294"</f>
        <v>1.294</v>
      </c>
      <c r="C1993" t="str">
        <f>"1.2953"</f>
        <v>1.2953</v>
      </c>
    </row>
    <row r="1994" spans="1:3" x14ac:dyDescent="0.25">
      <c r="A1994" t="str">
        <f>"04/09/2017"</f>
        <v>04/09/2017</v>
      </c>
      <c r="B1994" t="str">
        <f>"1.2954"</f>
        <v>1.2954</v>
      </c>
      <c r="C1994" t="str">
        <f>"1.2967"</f>
        <v>1.2967</v>
      </c>
    </row>
    <row r="1995" spans="1:3" x14ac:dyDescent="0.25">
      <c r="A1995" t="str">
        <f>"05/09/2017"</f>
        <v>05/09/2017</v>
      </c>
      <c r="B1995" t="str">
        <f>"1.2959"</f>
        <v>1.2959</v>
      </c>
      <c r="C1995" t="str">
        <f>"1.2973"</f>
        <v>1.2973</v>
      </c>
    </row>
    <row r="1996" spans="1:3" x14ac:dyDescent="0.25">
      <c r="A1996" t="str">
        <f>"06/09/2017"</f>
        <v>06/09/2017</v>
      </c>
      <c r="B1996" t="str">
        <f>"1.3044"</f>
        <v>1.3044</v>
      </c>
      <c r="C1996" t="str">
        <f>"1.3058"</f>
        <v>1.3058</v>
      </c>
    </row>
    <row r="1997" spans="1:3" x14ac:dyDescent="0.25">
      <c r="A1997" t="str">
        <f>"07/09/2017"</f>
        <v>07/09/2017</v>
      </c>
      <c r="B1997" t="str">
        <f>"1.309"</f>
        <v>1.309</v>
      </c>
      <c r="C1997" t="str">
        <f>"1.3103"</f>
        <v>1.3103</v>
      </c>
    </row>
    <row r="1998" spans="1:3" x14ac:dyDescent="0.25">
      <c r="A1998" t="str">
        <f>"08/09/2017"</f>
        <v>08/09/2017</v>
      </c>
      <c r="B1998" t="str">
        <f>"1.3203"</f>
        <v>1.3203</v>
      </c>
      <c r="C1998" t="str">
        <f>"1.3216"</f>
        <v>1.3216</v>
      </c>
    </row>
    <row r="1999" spans="1:3" x14ac:dyDescent="0.25">
      <c r="A1999" t="str">
        <f>"11/09/2017"</f>
        <v>11/09/2017</v>
      </c>
      <c r="B1999" t="str">
        <f>"1.3213"</f>
        <v>1.3213</v>
      </c>
      <c r="C1999" t="str">
        <f>"1.3226"</f>
        <v>1.3226</v>
      </c>
    </row>
    <row r="2000" spans="1:3" x14ac:dyDescent="0.25">
      <c r="A2000" t="str">
        <f>"12/09/2017"</f>
        <v>12/09/2017</v>
      </c>
      <c r="B2000" t="str">
        <f>"1.3265"</f>
        <v>1.3265</v>
      </c>
      <c r="C2000" t="str">
        <f>"1.3279"</f>
        <v>1.3279</v>
      </c>
    </row>
    <row r="2001" spans="1:3" x14ac:dyDescent="0.25">
      <c r="A2001" t="str">
        <f>"13/09/2017"</f>
        <v>13/09/2017</v>
      </c>
      <c r="B2001" t="str">
        <f>"1.3273"</f>
        <v>1.3273</v>
      </c>
      <c r="C2001" t="str">
        <f>"1.3286"</f>
        <v>1.3286</v>
      </c>
    </row>
    <row r="2002" spans="1:3" x14ac:dyDescent="0.25">
      <c r="A2002" t="str">
        <f>"14/09/2017"</f>
        <v>14/09/2017</v>
      </c>
      <c r="B2002" t="str">
        <f>"1.3321"</f>
        <v>1.3321</v>
      </c>
      <c r="C2002" t="str">
        <f>"1.3334"</f>
        <v>1.3334</v>
      </c>
    </row>
    <row r="2003" spans="1:3" x14ac:dyDescent="0.25">
      <c r="A2003" t="str">
        <f>"15/09/2017"</f>
        <v>15/09/2017</v>
      </c>
      <c r="B2003" t="str">
        <f>"1.3396"</f>
        <v>1.3396</v>
      </c>
      <c r="C2003" t="str">
        <f>"1.3409"</f>
        <v>1.3409</v>
      </c>
    </row>
    <row r="2004" spans="1:3" x14ac:dyDescent="0.25">
      <c r="A2004" t="str">
        <f>"18/09/2017"</f>
        <v>18/09/2017</v>
      </c>
      <c r="B2004" t="str">
        <f>"1.3543"</f>
        <v>1.3543</v>
      </c>
      <c r="C2004" t="str">
        <f>"1.3556"</f>
        <v>1.3556</v>
      </c>
    </row>
    <row r="2005" spans="1:3" x14ac:dyDescent="0.25">
      <c r="A2005" t="str">
        <f>"19/09/2017"</f>
        <v>19/09/2017</v>
      </c>
      <c r="B2005" t="str">
        <f>"1.3495"</f>
        <v>1.3495</v>
      </c>
      <c r="C2005" t="str">
        <f>"1.351"</f>
        <v>1.351</v>
      </c>
    </row>
    <row r="2006" spans="1:3" x14ac:dyDescent="0.25">
      <c r="A2006" t="str">
        <f>"20/09/2017"</f>
        <v>20/09/2017</v>
      </c>
      <c r="B2006" t="str">
        <f>"1.3516"</f>
        <v>1.3516</v>
      </c>
      <c r="C2006" t="str">
        <f>"1.353"</f>
        <v>1.353</v>
      </c>
    </row>
    <row r="2007" spans="1:3" x14ac:dyDescent="0.25">
      <c r="A2007" t="str">
        <f>"21/09/2017"</f>
        <v>21/09/2017</v>
      </c>
      <c r="B2007" t="str">
        <f>"1.3477"</f>
        <v>1.3477</v>
      </c>
      <c r="C2007" t="str">
        <f>"1.349"</f>
        <v>1.349</v>
      </c>
    </row>
    <row r="2008" spans="1:3" x14ac:dyDescent="0.25">
      <c r="A2008" t="str">
        <f>"22/09/2017"</f>
        <v>22/09/2017</v>
      </c>
      <c r="B2008" t="str">
        <f>"1.3567"</f>
        <v>1.3567</v>
      </c>
      <c r="C2008" t="str">
        <f>"1.3581"</f>
        <v>1.3581</v>
      </c>
    </row>
    <row r="2009" spans="1:3" x14ac:dyDescent="0.25">
      <c r="A2009" t="str">
        <f>"25/09/2017"</f>
        <v>25/09/2017</v>
      </c>
      <c r="B2009" t="str">
        <f>"1.3484"</f>
        <v>1.3484</v>
      </c>
      <c r="C2009" t="str">
        <f>"1.3498"</f>
        <v>1.3498</v>
      </c>
    </row>
    <row r="2010" spans="1:3" x14ac:dyDescent="0.25">
      <c r="A2010" t="str">
        <f>"26/09/2017"</f>
        <v>26/09/2017</v>
      </c>
      <c r="B2010" t="str">
        <f>"1.3427"</f>
        <v>1.3427</v>
      </c>
      <c r="C2010" t="str">
        <f>"1.3443"</f>
        <v>1.3443</v>
      </c>
    </row>
    <row r="2011" spans="1:3" x14ac:dyDescent="0.25">
      <c r="A2011" t="str">
        <f>"27/09/2017"</f>
        <v>27/09/2017</v>
      </c>
      <c r="B2011" t="str">
        <f>"1.3415"</f>
        <v>1.3415</v>
      </c>
      <c r="C2011" t="str">
        <f>"1.3431"</f>
        <v>1.3431</v>
      </c>
    </row>
    <row r="2012" spans="1:3" x14ac:dyDescent="0.25">
      <c r="A2012" t="str">
        <f>"28/09/2017"</f>
        <v>28/09/2017</v>
      </c>
      <c r="B2012" t="str">
        <f>"1.3374"</f>
        <v>1.3374</v>
      </c>
      <c r="C2012" t="str">
        <f>"1.3387"</f>
        <v>1.3387</v>
      </c>
    </row>
    <row r="2013" spans="1:3" x14ac:dyDescent="0.25">
      <c r="A2013" t="str">
        <f>"29/09/2017"</f>
        <v>29/09/2017</v>
      </c>
      <c r="B2013" t="str">
        <f>"1.3385"</f>
        <v>1.3385</v>
      </c>
      <c r="C2013" t="str">
        <f>"1.3397"</f>
        <v>1.3397</v>
      </c>
    </row>
    <row r="2014" spans="1:3" x14ac:dyDescent="0.25">
      <c r="A2014" t="str">
        <f>"03/10/2017"</f>
        <v>03/10/2017</v>
      </c>
      <c r="B2014" t="str">
        <f>"1.3257"</f>
        <v>1.3257</v>
      </c>
      <c r="C2014" t="str">
        <f>"1.3271"</f>
        <v>1.3271</v>
      </c>
    </row>
    <row r="2015" spans="1:3" x14ac:dyDescent="0.25">
      <c r="A2015" t="str">
        <f>"04/10/2017"</f>
        <v>04/10/2017</v>
      </c>
      <c r="B2015" t="str">
        <f>"1.328"</f>
        <v>1.328</v>
      </c>
      <c r="C2015" t="str">
        <f>"1.3293"</f>
        <v>1.3293</v>
      </c>
    </row>
    <row r="2016" spans="1:3" x14ac:dyDescent="0.25">
      <c r="A2016" t="str">
        <f>"05/10/2017"</f>
        <v>05/10/2017</v>
      </c>
      <c r="B2016" t="str">
        <f>"1.3166"</f>
        <v>1.3166</v>
      </c>
      <c r="C2016" t="str">
        <f>"1.3179"</f>
        <v>1.3179</v>
      </c>
    </row>
    <row r="2017" spans="1:3" x14ac:dyDescent="0.25">
      <c r="A2017" t="str">
        <f>"06/10/2017"</f>
        <v>06/10/2017</v>
      </c>
      <c r="B2017" t="str">
        <f>"1.3081"</f>
        <v>1.3081</v>
      </c>
      <c r="C2017" t="str">
        <f>"1.3094"</f>
        <v>1.3094</v>
      </c>
    </row>
    <row r="2018" spans="1:3" x14ac:dyDescent="0.25">
      <c r="A2018" t="str">
        <f>"09/10/2017"</f>
        <v>09/10/2017</v>
      </c>
      <c r="B2018" t="str">
        <f>"1.3175"</f>
        <v>1.3175</v>
      </c>
      <c r="C2018" t="str">
        <f>"1.3188"</f>
        <v>1.3188</v>
      </c>
    </row>
    <row r="2019" spans="1:3" x14ac:dyDescent="0.25">
      <c r="A2019" t="str">
        <f>"10/10/2017"</f>
        <v>10/10/2017</v>
      </c>
      <c r="B2019" t="str">
        <f>"1.3182"</f>
        <v>1.3182</v>
      </c>
      <c r="C2019" t="str">
        <f>"1.3195"</f>
        <v>1.3195</v>
      </c>
    </row>
    <row r="2020" spans="1:3" x14ac:dyDescent="0.25">
      <c r="A2020" t="str">
        <f>"11/10/2017"</f>
        <v>11/10/2017</v>
      </c>
      <c r="B2020" t="str">
        <f>"1.3186"</f>
        <v>1.3186</v>
      </c>
      <c r="C2020" t="str">
        <f>"1.3199"</f>
        <v>1.3199</v>
      </c>
    </row>
    <row r="2021" spans="1:3" x14ac:dyDescent="0.25">
      <c r="A2021" t="str">
        <f>"12/10/2017"</f>
        <v>12/10/2017</v>
      </c>
      <c r="B2021" t="str">
        <f>"1.3146"</f>
        <v>1.3146</v>
      </c>
      <c r="C2021" t="str">
        <f>"1.3159"</f>
        <v>1.3159</v>
      </c>
    </row>
    <row r="2022" spans="1:3" x14ac:dyDescent="0.25">
      <c r="A2022" t="str">
        <f>"13/10/2017"</f>
        <v>13/10/2017</v>
      </c>
      <c r="B2022" t="str">
        <f>"1.3289"</f>
        <v>1.3289</v>
      </c>
      <c r="C2022" t="str">
        <f>"1.3301"</f>
        <v>1.3301</v>
      </c>
    </row>
    <row r="2023" spans="1:3" x14ac:dyDescent="0.25">
      <c r="A2023" t="str">
        <f>"16/10/2017"</f>
        <v>16/10/2017</v>
      </c>
      <c r="B2023" t="str">
        <f>"1.3301"</f>
        <v>1.3301</v>
      </c>
      <c r="C2023" t="str">
        <f>"1.3314"</f>
        <v>1.3314</v>
      </c>
    </row>
    <row r="2024" spans="1:3" x14ac:dyDescent="0.25">
      <c r="A2024" t="str">
        <f>"17/10/2017"</f>
        <v>17/10/2017</v>
      </c>
      <c r="B2024" t="str">
        <f>"1.3196"</f>
        <v>1.3196</v>
      </c>
      <c r="C2024" t="str">
        <f>"1.3209"</f>
        <v>1.3209</v>
      </c>
    </row>
    <row r="2025" spans="1:3" x14ac:dyDescent="0.25">
      <c r="A2025" t="str">
        <f>"18/10/2017"</f>
        <v>18/10/2017</v>
      </c>
      <c r="B2025" t="str">
        <f>"1.3168"</f>
        <v>1.3168</v>
      </c>
      <c r="C2025" t="str">
        <f>"1.318"</f>
        <v>1.318</v>
      </c>
    </row>
    <row r="2026" spans="1:3" x14ac:dyDescent="0.25">
      <c r="A2026" t="str">
        <f>"23/10/2017"</f>
        <v>23/10/2017</v>
      </c>
      <c r="B2026" t="str">
        <f>"1.3162"</f>
        <v>1.3162</v>
      </c>
      <c r="C2026" t="str">
        <f>"1.3174"</f>
        <v>1.3174</v>
      </c>
    </row>
    <row r="2027" spans="1:3" x14ac:dyDescent="0.25">
      <c r="A2027" t="str">
        <f>"24/10/2017"</f>
        <v>24/10/2017</v>
      </c>
      <c r="B2027" t="str">
        <f>"1.3173"</f>
        <v>1.3173</v>
      </c>
      <c r="C2027" t="str">
        <f>"1.3185"</f>
        <v>1.3185</v>
      </c>
    </row>
    <row r="2028" spans="1:3" x14ac:dyDescent="0.25">
      <c r="A2028" t="str">
        <f>"25/10/2017"</f>
        <v>25/10/2017</v>
      </c>
      <c r="B2028" t="str">
        <f>"1.3252"</f>
        <v>1.3252</v>
      </c>
      <c r="C2028" t="str">
        <f>"1.3263"</f>
        <v>1.3263</v>
      </c>
    </row>
    <row r="2029" spans="1:3" x14ac:dyDescent="0.25">
      <c r="A2029" t="str">
        <f>"26/10/2017"</f>
        <v>26/10/2017</v>
      </c>
      <c r="B2029" t="str">
        <f>"1.3221"</f>
        <v>1.3221</v>
      </c>
      <c r="C2029" t="str">
        <f>"1.3232"</f>
        <v>1.3232</v>
      </c>
    </row>
    <row r="2030" spans="1:3" x14ac:dyDescent="0.25">
      <c r="A2030" t="str">
        <f>"27/10/2017"</f>
        <v>27/10/2017</v>
      </c>
      <c r="B2030" t="str">
        <f>"1.3097"</f>
        <v>1.3097</v>
      </c>
      <c r="C2030" t="str">
        <f>"1.3108"</f>
        <v>1.3108</v>
      </c>
    </row>
    <row r="2031" spans="1:3" x14ac:dyDescent="0.25">
      <c r="A2031" t="str">
        <f>"30/10/2017"</f>
        <v>30/10/2017</v>
      </c>
      <c r="B2031" t="str">
        <f>"1.318"</f>
        <v>1.318</v>
      </c>
      <c r="C2031" t="str">
        <f>"1.3191"</f>
        <v>1.3191</v>
      </c>
    </row>
    <row r="2032" spans="1:3" x14ac:dyDescent="0.25">
      <c r="A2032" t="str">
        <f>"31/10/2017"</f>
        <v>31/10/2017</v>
      </c>
      <c r="B2032" t="str">
        <f>"1.3273"</f>
        <v>1.3273</v>
      </c>
      <c r="C2032" t="str">
        <f>"1.3228"</f>
        <v>1.3228</v>
      </c>
    </row>
    <row r="2033" spans="1:3" x14ac:dyDescent="0.25">
      <c r="A2033" t="str">
        <f>"01/11/2017"</f>
        <v>01/11/2017</v>
      </c>
      <c r="B2033" t="str">
        <f>"1.3299"</f>
        <v>1.3299</v>
      </c>
      <c r="C2033" t="str">
        <f>"1.331"</f>
        <v>1.331</v>
      </c>
    </row>
    <row r="2034" spans="1:3" x14ac:dyDescent="0.25">
      <c r="A2034" t="str">
        <f>"02/11/2017"</f>
        <v>02/11/2017</v>
      </c>
      <c r="B2034" t="str">
        <f>"1.3209"</f>
        <v>1.3209</v>
      </c>
      <c r="C2034" t="str">
        <f>"1.3219"</f>
        <v>1.3219</v>
      </c>
    </row>
    <row r="2035" spans="1:3" x14ac:dyDescent="0.25">
      <c r="A2035" t="str">
        <f>"03/11/2017"</f>
        <v>03/11/2017</v>
      </c>
      <c r="B2035" t="str">
        <f>"1.3086"</f>
        <v>1.3086</v>
      </c>
      <c r="C2035" t="str">
        <f>"1.3096"</f>
        <v>1.3096</v>
      </c>
    </row>
    <row r="2036" spans="1:3" x14ac:dyDescent="0.25">
      <c r="A2036" t="str">
        <f>"06/11/2017"</f>
        <v>06/11/2017</v>
      </c>
      <c r="B2036" t="str">
        <f>"1.311"</f>
        <v>1.311</v>
      </c>
      <c r="C2036" t="str">
        <f>"1.312"</f>
        <v>1.312</v>
      </c>
    </row>
    <row r="2037" spans="1:3" x14ac:dyDescent="0.25">
      <c r="A2037" t="str">
        <f>"07/11/2017"</f>
        <v>07/11/2017</v>
      </c>
      <c r="B2037" t="str">
        <f>"1.3143"</f>
        <v>1.3143</v>
      </c>
      <c r="C2037" t="str">
        <f>"1.3153"</f>
        <v>1.3153</v>
      </c>
    </row>
    <row r="2038" spans="1:3" x14ac:dyDescent="0.25">
      <c r="A2038" t="str">
        <f>"08/11/2017"</f>
        <v>08/11/2017</v>
      </c>
      <c r="B2038" t="str">
        <f>"1.3129"</f>
        <v>1.3129</v>
      </c>
      <c r="C2038" t="str">
        <f>"1.3139"</f>
        <v>1.3139</v>
      </c>
    </row>
    <row r="2039" spans="1:3" x14ac:dyDescent="0.25">
      <c r="A2039" t="str">
        <f>"09/11/2017"</f>
        <v>09/11/2017</v>
      </c>
      <c r="B2039" t="str">
        <f>"1.3113"</f>
        <v>1.3113</v>
      </c>
      <c r="C2039" t="str">
        <f>"1.3123"</f>
        <v>1.3123</v>
      </c>
    </row>
    <row r="2040" spans="1:3" x14ac:dyDescent="0.25">
      <c r="A2040" t="str">
        <f>"10/11/2017"</f>
        <v>10/11/2017</v>
      </c>
      <c r="B2040" t="str">
        <f>"1.3151"</f>
        <v>1.3151</v>
      </c>
      <c r="C2040" t="str">
        <f>"1.3161"</f>
        <v>1.3161</v>
      </c>
    </row>
    <row r="2041" spans="1:3" x14ac:dyDescent="0.25">
      <c r="A2041" t="str">
        <f>"13/11/2017"</f>
        <v>13/11/2017</v>
      </c>
      <c r="B2041" t="str">
        <f>"1.3088"</f>
        <v>1.3088</v>
      </c>
      <c r="C2041" t="str">
        <f>"1.3098"</f>
        <v>1.3098</v>
      </c>
    </row>
    <row r="2042" spans="1:3" x14ac:dyDescent="0.25">
      <c r="A2042" t="str">
        <f>"14/11/2017"</f>
        <v>14/11/2017</v>
      </c>
      <c r="B2042" t="str">
        <f>"1.3107"</f>
        <v>1.3107</v>
      </c>
      <c r="C2042" t="str">
        <f>"1.3117"</f>
        <v>1.3117</v>
      </c>
    </row>
    <row r="2043" spans="1:3" x14ac:dyDescent="0.25">
      <c r="A2043" t="str">
        <f>"15/11/2017"</f>
        <v>15/11/2017</v>
      </c>
      <c r="B2043" t="str">
        <f>"1.3162"</f>
        <v>1.3162</v>
      </c>
      <c r="C2043" t="str">
        <f>"1.3172"</f>
        <v>1.3172</v>
      </c>
    </row>
    <row r="2044" spans="1:3" x14ac:dyDescent="0.25">
      <c r="A2044" t="str">
        <f>"16/11/2017"</f>
        <v>16/11/2017</v>
      </c>
      <c r="B2044" t="str">
        <f>"1.319"</f>
        <v>1.319</v>
      </c>
      <c r="C2044" t="str">
        <f>"1.32"</f>
        <v>1.32</v>
      </c>
    </row>
    <row r="2045" spans="1:3" x14ac:dyDescent="0.25">
      <c r="A2045" t="str">
        <f>"17/11/2017"</f>
        <v>17/11/2017</v>
      </c>
      <c r="B2045" t="str">
        <f>"1.3228"</f>
        <v>1.3228</v>
      </c>
      <c r="C2045" t="str">
        <f>"1.3238"</f>
        <v>1.3238</v>
      </c>
    </row>
    <row r="2046" spans="1:3" x14ac:dyDescent="0.25">
      <c r="A2046" t="str">
        <f>"20/11/2017"</f>
        <v>20/11/2017</v>
      </c>
      <c r="B2046" t="str">
        <f>"1.3252"</f>
        <v>1.3252</v>
      </c>
      <c r="C2046" t="str">
        <f>"1.3262"</f>
        <v>1.3262</v>
      </c>
    </row>
    <row r="2047" spans="1:3" x14ac:dyDescent="0.25">
      <c r="A2047" t="str">
        <f>"21/11/2017"</f>
        <v>21/11/2017</v>
      </c>
      <c r="B2047" t="str">
        <f>"1.3227"</f>
        <v>1.3227</v>
      </c>
      <c r="C2047" t="str">
        <f>"1.3239"</f>
        <v>1.3239</v>
      </c>
    </row>
    <row r="2048" spans="1:3" x14ac:dyDescent="0.25">
      <c r="A2048" t="str">
        <f>"22/11/2017"</f>
        <v>22/11/2017</v>
      </c>
      <c r="B2048" t="str">
        <f>"1.3236"</f>
        <v>1.3236</v>
      </c>
      <c r="C2048" t="str">
        <f>"1.3248"</f>
        <v>1.3248</v>
      </c>
    </row>
    <row r="2049" spans="1:3" x14ac:dyDescent="0.25">
      <c r="A2049" t="str">
        <f>"23/11/2017"</f>
        <v>23/11/2017</v>
      </c>
      <c r="B2049" t="str">
        <f>"1.331"</f>
        <v>1.331</v>
      </c>
      <c r="C2049" t="str">
        <f>"1.3321"</f>
        <v>1.3321</v>
      </c>
    </row>
    <row r="2050" spans="1:3" x14ac:dyDescent="0.25">
      <c r="A2050" t="str">
        <f>"24/11/2017"</f>
        <v>24/11/2017</v>
      </c>
      <c r="B2050" t="str">
        <f>"1.3316"</f>
        <v>1.3316</v>
      </c>
      <c r="C2050" t="str">
        <f>"1.3327"</f>
        <v>1.3327</v>
      </c>
    </row>
    <row r="2051" spans="1:3" x14ac:dyDescent="0.25">
      <c r="A2051" t="str">
        <f>"27/11/2017"</f>
        <v>27/11/2017</v>
      </c>
      <c r="B2051" t="str">
        <f>"1.3348"</f>
        <v>1.3348</v>
      </c>
      <c r="C2051" t="str">
        <f>"1.3359"</f>
        <v>1.3359</v>
      </c>
    </row>
    <row r="2052" spans="1:3" x14ac:dyDescent="0.25">
      <c r="A2052" t="str">
        <f>"28/11/2017"</f>
        <v>28/11/2017</v>
      </c>
      <c r="B2052" t="str">
        <f>"1.3294"</f>
        <v>1.3294</v>
      </c>
      <c r="C2052" t="str">
        <f>"1.3305"</f>
        <v>1.3305</v>
      </c>
    </row>
    <row r="2053" spans="1:3" x14ac:dyDescent="0.25">
      <c r="A2053" t="str">
        <f>"29/11/2017"</f>
        <v>29/11/2017</v>
      </c>
      <c r="B2053" t="str">
        <f>"1.3406"</f>
        <v>1.3406</v>
      </c>
      <c r="C2053" t="str">
        <f>"1.3424"</f>
        <v>1.3424</v>
      </c>
    </row>
    <row r="2054" spans="1:3" x14ac:dyDescent="0.25">
      <c r="A2054" t="str">
        <f>"30/11/2017"</f>
        <v>30/11/2017</v>
      </c>
      <c r="B2054" t="str">
        <f>"1.3508"</f>
        <v>1.3508</v>
      </c>
      <c r="C2054" t="str">
        <f>"1.3456"</f>
        <v>1.3456</v>
      </c>
    </row>
    <row r="2055" spans="1:3" x14ac:dyDescent="0.25">
      <c r="A2055" t="str">
        <f>"04/12/2017"</f>
        <v>04/12/2017</v>
      </c>
      <c r="B2055" t="str">
        <f>"1.3465"</f>
        <v>1.3465</v>
      </c>
      <c r="C2055" t="str">
        <f>"1.3484"</f>
        <v>1.3484</v>
      </c>
    </row>
    <row r="2056" spans="1:3" x14ac:dyDescent="0.25">
      <c r="A2056" t="str">
        <f>"05/12/2017"</f>
        <v>05/12/2017</v>
      </c>
      <c r="B2056" t="str">
        <f>"1.3413"</f>
        <v>1.3413</v>
      </c>
      <c r="C2056" t="str">
        <f>"1.3433"</f>
        <v>1.3433</v>
      </c>
    </row>
    <row r="2057" spans="1:3" x14ac:dyDescent="0.25">
      <c r="A2057" t="str">
        <f>"06/12/2017"</f>
        <v>06/12/2017</v>
      </c>
      <c r="B2057" t="str">
        <f>"1.3377"</f>
        <v>1.3377</v>
      </c>
      <c r="C2057" t="str">
        <f>"1.3398"</f>
        <v>1.3398</v>
      </c>
    </row>
    <row r="2058" spans="1:3" x14ac:dyDescent="0.25">
      <c r="A2058" t="str">
        <f>"07/12/2017"</f>
        <v>07/12/2017</v>
      </c>
      <c r="B2058" t="str">
        <f>"1.3372"</f>
        <v>1.3372</v>
      </c>
      <c r="C2058" t="str">
        <f>"1.3394"</f>
        <v>1.3394</v>
      </c>
    </row>
    <row r="2059" spans="1:3" x14ac:dyDescent="0.25">
      <c r="A2059" t="str">
        <f>"08/12/2017"</f>
        <v>08/12/2017</v>
      </c>
      <c r="B2059" t="str">
        <f>"1.3469"</f>
        <v>1.3469</v>
      </c>
      <c r="C2059" t="str">
        <f>"1.3492"</f>
        <v>1.3492</v>
      </c>
    </row>
    <row r="2060" spans="1:3" x14ac:dyDescent="0.25">
      <c r="A2060" t="str">
        <f>"11/12/2017"</f>
        <v>11/12/2017</v>
      </c>
      <c r="B2060" t="str">
        <f>"1.3389"</f>
        <v>1.3389</v>
      </c>
      <c r="C2060" t="str">
        <f>"1.3412"</f>
        <v>1.3412</v>
      </c>
    </row>
    <row r="2061" spans="1:3" x14ac:dyDescent="0.25">
      <c r="A2061" t="str">
        <f>"12/12/2017"</f>
        <v>12/12/2017</v>
      </c>
      <c r="B2061" t="str">
        <f>"1.3339"</f>
        <v>1.3339</v>
      </c>
      <c r="C2061" t="str">
        <f>"1.3363"</f>
        <v>1.3363</v>
      </c>
    </row>
    <row r="2062" spans="1:3" x14ac:dyDescent="0.25">
      <c r="A2062" t="str">
        <f>"13/12/2017"</f>
        <v>13/12/2017</v>
      </c>
      <c r="B2062" t="str">
        <f>"1.3356"</f>
        <v>1.3356</v>
      </c>
      <c r="C2062" t="str">
        <f>"1.3383"</f>
        <v>1.3383</v>
      </c>
    </row>
    <row r="2063" spans="1:3" x14ac:dyDescent="0.25">
      <c r="A2063" t="str">
        <f>"14/12/2017"</f>
        <v>14/12/2017</v>
      </c>
      <c r="B2063" t="str">
        <f>"1.3452"</f>
        <v>1.3452</v>
      </c>
      <c r="C2063" t="str">
        <f>"1.3481"</f>
        <v>1.3481</v>
      </c>
    </row>
    <row r="2064" spans="1:3" x14ac:dyDescent="0.25">
      <c r="A2064" t="str">
        <f>"15/12/2017"</f>
        <v>15/12/2017</v>
      </c>
      <c r="B2064" t="str">
        <f>"1.3412"</f>
        <v>1.3412</v>
      </c>
      <c r="C2064" t="str">
        <f>"1.3446"</f>
        <v>1.3446</v>
      </c>
    </row>
    <row r="2065" spans="1:3" x14ac:dyDescent="0.25">
      <c r="A2065" t="str">
        <f>"18/12/2017"</f>
        <v>18/12/2017</v>
      </c>
      <c r="B2065" t="str">
        <f>"1.3355"</f>
        <v>1.3355</v>
      </c>
      <c r="C2065" t="str">
        <f>"1.339"</f>
        <v>1.339</v>
      </c>
    </row>
    <row r="2066" spans="1:3" x14ac:dyDescent="0.25">
      <c r="A2066" t="str">
        <f>"19/12/2017"</f>
        <v>19/12/2017</v>
      </c>
      <c r="B2066" t="str">
        <f>"1.3377"</f>
        <v>1.3377</v>
      </c>
      <c r="C2066" t="str">
        <f>"1.3406"</f>
        <v>1.3406</v>
      </c>
    </row>
    <row r="2067" spans="1:3" x14ac:dyDescent="0.25">
      <c r="A2067" t="str">
        <f>"20/12/2017"</f>
        <v>20/12/2017</v>
      </c>
      <c r="B2067" t="str">
        <f>"1.3401"</f>
        <v>1.3401</v>
      </c>
      <c r="C2067" t="str">
        <f>"1.3426"</f>
        <v>1.3426</v>
      </c>
    </row>
    <row r="2068" spans="1:3" x14ac:dyDescent="0.25">
      <c r="A2068" t="str">
        <f>"21/12/2017"</f>
        <v>21/12/2017</v>
      </c>
      <c r="B2068" t="str">
        <f>"1.337"</f>
        <v>1.337</v>
      </c>
      <c r="C2068" t="str">
        <f>"1.3398"</f>
        <v>1.3398</v>
      </c>
    </row>
    <row r="2069" spans="1:3" x14ac:dyDescent="0.25">
      <c r="A2069" t="str">
        <f>"22/12/2017"</f>
        <v>22/12/2017</v>
      </c>
      <c r="B2069" t="str">
        <f>"1.3369"</f>
        <v>1.3369</v>
      </c>
      <c r="C2069" t="str">
        <f>"1.3401"</f>
        <v>1.3401</v>
      </c>
    </row>
    <row r="2070" spans="1:3" x14ac:dyDescent="0.25">
      <c r="A2070" t="str">
        <f>"26/12/2017"</f>
        <v>26/12/2017</v>
      </c>
      <c r="B2070" t="str">
        <f>"1.3358"</f>
        <v>1.3358</v>
      </c>
      <c r="C2070" t="str">
        <f>"1.3387"</f>
        <v>1.3387</v>
      </c>
    </row>
    <row r="2071" spans="1:3" x14ac:dyDescent="0.25">
      <c r="A2071" t="str">
        <f>"27/12/2017"</f>
        <v>27/12/2017</v>
      </c>
      <c r="B2071" t="str">
        <f>"1.3418"</f>
        <v>1.3418</v>
      </c>
      <c r="C2071" t="str">
        <f>"1.3447"</f>
        <v>1.3447</v>
      </c>
    </row>
    <row r="2072" spans="1:3" x14ac:dyDescent="0.25">
      <c r="A2072" t="str">
        <f>"28/12/2017"</f>
        <v>28/12/2017</v>
      </c>
      <c r="B2072" t="str">
        <f>"1.3437"</f>
        <v>1.3437</v>
      </c>
      <c r="C2072" t="str">
        <f>"1.345"</f>
        <v>1.345</v>
      </c>
    </row>
    <row r="2073" spans="1:3" x14ac:dyDescent="0.25">
      <c r="A2073" t="str">
        <f>"29/12/2017"</f>
        <v>29/12/2017</v>
      </c>
      <c r="B2073" t="str">
        <f>"1.3474"</f>
        <v>1.3474</v>
      </c>
      <c r="C2073" t="str">
        <f>"1.3522"</f>
        <v>1.3522</v>
      </c>
    </row>
    <row r="2074" spans="1:3" x14ac:dyDescent="0.25">
      <c r="A2074" t="str">
        <f>"02/01/2018"</f>
        <v>02/01/2018</v>
      </c>
      <c r="B2074" t="str">
        <f>"1.3543"</f>
        <v>1.3543</v>
      </c>
      <c r="C2074" t="str">
        <f>"1.3556"</f>
        <v>1.3556</v>
      </c>
    </row>
    <row r="2075" spans="1:3" x14ac:dyDescent="0.25">
      <c r="A2075" t="str">
        <f>"03/01/2018"</f>
        <v>03/01/2018</v>
      </c>
      <c r="B2075" t="str">
        <f>"1.3566"</f>
        <v>1.3566</v>
      </c>
      <c r="C2075" t="str">
        <f>"1.3579"</f>
        <v>1.3579</v>
      </c>
    </row>
    <row r="2076" spans="1:3" x14ac:dyDescent="0.25">
      <c r="A2076" t="str">
        <f>"04/01/2018"</f>
        <v>04/01/2018</v>
      </c>
      <c r="B2076" t="str">
        <f>"1.3547"</f>
        <v>1.3547</v>
      </c>
      <c r="C2076" t="str">
        <f>"1.356"</f>
        <v>1.356</v>
      </c>
    </row>
    <row r="2077" spans="1:3" x14ac:dyDescent="0.25">
      <c r="A2077" t="str">
        <f>"05/01/2018"</f>
        <v>05/01/2018</v>
      </c>
      <c r="B2077" t="str">
        <f>"1.3542"</f>
        <v>1.3542</v>
      </c>
      <c r="C2077" t="str">
        <f>"1.3555"</f>
        <v>1.3555</v>
      </c>
    </row>
    <row r="2078" spans="1:3" x14ac:dyDescent="0.25">
      <c r="A2078" t="str">
        <f>"08/01/2018"</f>
        <v>08/01/2018</v>
      </c>
      <c r="B2078" t="str">
        <f>"1.3542"</f>
        <v>1.3542</v>
      </c>
      <c r="C2078" t="str">
        <f>"1.3556"</f>
        <v>1.3556</v>
      </c>
    </row>
    <row r="2079" spans="1:3" x14ac:dyDescent="0.25">
      <c r="A2079" t="str">
        <f>"09/01/2018"</f>
        <v>09/01/2018</v>
      </c>
      <c r="B2079" t="str">
        <f>"1.3535"</f>
        <v>1.3535</v>
      </c>
      <c r="C2079" t="str">
        <f>"1.3549"</f>
        <v>1.3549</v>
      </c>
    </row>
    <row r="2080" spans="1:3" x14ac:dyDescent="0.25">
      <c r="A2080" t="str">
        <f>"10/01/2018"</f>
        <v>10/01/2018</v>
      </c>
      <c r="B2080" t="str">
        <f>"1.3548"</f>
        <v>1.3548</v>
      </c>
      <c r="C2080" t="str">
        <f>"1.3561"</f>
        <v>1.3561</v>
      </c>
    </row>
    <row r="2081" spans="1:3" x14ac:dyDescent="0.25">
      <c r="A2081" t="str">
        <f>"11/01/2018"</f>
        <v>11/01/2018</v>
      </c>
      <c r="B2081" t="str">
        <f>"1.3476"</f>
        <v>1.3476</v>
      </c>
      <c r="C2081" t="str">
        <f>"1.349"</f>
        <v>1.349</v>
      </c>
    </row>
    <row r="2082" spans="1:3" x14ac:dyDescent="0.25">
      <c r="A2082" t="str">
        <f>"12/01/2018"</f>
        <v>12/01/2018</v>
      </c>
      <c r="B2082" t="str">
        <f>"1.3634"</f>
        <v>1.3634</v>
      </c>
      <c r="C2082" t="str">
        <f>"1.3648"</f>
        <v>1.3648</v>
      </c>
    </row>
    <row r="2083" spans="1:3" x14ac:dyDescent="0.25">
      <c r="A2083" t="str">
        <f>"15/01/2018"</f>
        <v>15/01/2018</v>
      </c>
      <c r="B2083" t="str">
        <f>"1.3774"</f>
        <v>1.3774</v>
      </c>
      <c r="C2083" t="str">
        <f>"1.3789"</f>
        <v>1.3789</v>
      </c>
    </row>
    <row r="2084" spans="1:3" x14ac:dyDescent="0.25">
      <c r="A2084" t="str">
        <f>"16/01/2018"</f>
        <v>16/01/2018</v>
      </c>
      <c r="B2084" t="str">
        <f>"1.3757"</f>
        <v>1.3757</v>
      </c>
      <c r="C2084" t="str">
        <f>"1.3772"</f>
        <v>1.3772</v>
      </c>
    </row>
    <row r="2085" spans="1:3" x14ac:dyDescent="0.25">
      <c r="A2085" t="str">
        <f>"17/01/2018"</f>
        <v>17/01/2018</v>
      </c>
      <c r="B2085" t="str">
        <f>"1.3794"</f>
        <v>1.3794</v>
      </c>
      <c r="C2085" t="str">
        <f>"1.3809"</f>
        <v>1.3809</v>
      </c>
    </row>
    <row r="2086" spans="1:3" x14ac:dyDescent="0.25">
      <c r="A2086" t="str">
        <f>"18/01/2018"</f>
        <v>18/01/2018</v>
      </c>
      <c r="B2086" t="str">
        <f>"1.3874"</f>
        <v>1.3874</v>
      </c>
      <c r="C2086" t="str">
        <f>"1.3888"</f>
        <v>1.3888</v>
      </c>
    </row>
    <row r="2087" spans="1:3" x14ac:dyDescent="0.25">
      <c r="A2087" t="str">
        <f>"19/01/2018"</f>
        <v>19/01/2018</v>
      </c>
      <c r="B2087" t="str">
        <f>"1.3894"</f>
        <v>1.3894</v>
      </c>
      <c r="C2087" t="str">
        <f>"1.3908"</f>
        <v>1.3908</v>
      </c>
    </row>
    <row r="2088" spans="1:3" x14ac:dyDescent="0.25">
      <c r="A2088" t="str">
        <f>"22/01/2018"</f>
        <v>22/01/2018</v>
      </c>
      <c r="B2088" t="str">
        <f>"1.3906"</f>
        <v>1.3906</v>
      </c>
      <c r="C2088" t="str">
        <f>"1.3921"</f>
        <v>1.3921</v>
      </c>
    </row>
    <row r="2089" spans="1:3" x14ac:dyDescent="0.25">
      <c r="A2089" t="str">
        <f>"23/01/2018"</f>
        <v>23/01/2018</v>
      </c>
      <c r="B2089" t="str">
        <f>"1.3948"</f>
        <v>1.3948</v>
      </c>
      <c r="C2089" t="str">
        <f>"1.3963"</f>
        <v>1.3963</v>
      </c>
    </row>
    <row r="2090" spans="1:3" x14ac:dyDescent="0.25">
      <c r="A2090" t="str">
        <f>"24/01/2018"</f>
        <v>24/01/2018</v>
      </c>
      <c r="B2090" t="str">
        <f>"1.4101"</f>
        <v>1.4101</v>
      </c>
      <c r="C2090" t="str">
        <f>"1.4116"</f>
        <v>1.4116</v>
      </c>
    </row>
    <row r="2091" spans="1:3" x14ac:dyDescent="0.25">
      <c r="A2091" t="str">
        <f>"25/01/2018"</f>
        <v>25/01/2018</v>
      </c>
      <c r="B2091" t="str">
        <f>"1.4261"</f>
        <v>1.4261</v>
      </c>
      <c r="C2091" t="str">
        <f>"1.4275"</f>
        <v>1.4275</v>
      </c>
    </row>
    <row r="2092" spans="1:3" x14ac:dyDescent="0.25">
      <c r="A2092" t="str">
        <f>"29/01/2018"</f>
        <v>29/01/2018</v>
      </c>
      <c r="B2092" t="str">
        <f>"1.4077"</f>
        <v>1.4077</v>
      </c>
      <c r="C2092" t="str">
        <f>"1.4091"</f>
        <v>1.4091</v>
      </c>
    </row>
    <row r="2093" spans="1:3" x14ac:dyDescent="0.25">
      <c r="A2093" t="str">
        <f>"30/01/2018"</f>
        <v>30/01/2018</v>
      </c>
      <c r="B2093" t="str">
        <f>"1.411"</f>
        <v>1.411</v>
      </c>
      <c r="C2093" t="str">
        <f>"1.4124"</f>
        <v>1.4124</v>
      </c>
    </row>
    <row r="2094" spans="1:3" x14ac:dyDescent="0.25">
      <c r="A2094" t="str">
        <f>"31/01/2018"</f>
        <v>31/01/2018</v>
      </c>
      <c r="B2094" t="str">
        <f>"1.4184"</f>
        <v>1.4184</v>
      </c>
      <c r="C2094" t="str">
        <f>"1.4155"</f>
        <v>1.4155</v>
      </c>
    </row>
    <row r="2095" spans="1:3" x14ac:dyDescent="0.25">
      <c r="A2095" t="str">
        <f>"01/02/2018"</f>
        <v>01/02/2018</v>
      </c>
      <c r="B2095" t="str">
        <f>"1.4232"</f>
        <v>1.4232</v>
      </c>
      <c r="C2095" t="str">
        <f>"1.4247"</f>
        <v>1.4247</v>
      </c>
    </row>
    <row r="2096" spans="1:3" x14ac:dyDescent="0.25">
      <c r="A2096" t="str">
        <f>"02/02/2018"</f>
        <v>02/02/2018</v>
      </c>
      <c r="B2096" t="str">
        <f>"1.4224"</f>
        <v>1.4224</v>
      </c>
      <c r="C2096" t="str">
        <f>"1.4239"</f>
        <v>1.4239</v>
      </c>
    </row>
    <row r="2097" spans="1:3" x14ac:dyDescent="0.25">
      <c r="A2097" t="str">
        <f>"05/02/2018"</f>
        <v>05/02/2018</v>
      </c>
      <c r="B2097" t="str">
        <f>"1.4097"</f>
        <v>1.4097</v>
      </c>
      <c r="C2097" t="str">
        <f>"1.4112"</f>
        <v>1.4112</v>
      </c>
    </row>
    <row r="2098" spans="1:3" x14ac:dyDescent="0.25">
      <c r="A2098" t="str">
        <f>"06/02/2018"</f>
        <v>06/02/2018</v>
      </c>
      <c r="B2098" t="str">
        <f>"1.3947"</f>
        <v>1.3947</v>
      </c>
      <c r="C2098" t="str">
        <f>"1.3961"</f>
        <v>1.3961</v>
      </c>
    </row>
    <row r="2099" spans="1:3" x14ac:dyDescent="0.25">
      <c r="A2099" t="str">
        <f>"07/02/2018"</f>
        <v>07/02/2018</v>
      </c>
      <c r="B2099" t="str">
        <f>"1.3875"</f>
        <v>1.3875</v>
      </c>
      <c r="C2099" t="str">
        <f>"1.3889"</f>
        <v>1.3889</v>
      </c>
    </row>
    <row r="2100" spans="1:3" x14ac:dyDescent="0.25">
      <c r="A2100" t="str">
        <f>"08/02/2018"</f>
        <v>08/02/2018</v>
      </c>
      <c r="B2100" t="str">
        <f>"1.3902"</f>
        <v>1.3902</v>
      </c>
      <c r="C2100" t="str">
        <f>"1.3916"</f>
        <v>1.3916</v>
      </c>
    </row>
    <row r="2101" spans="1:3" x14ac:dyDescent="0.25">
      <c r="A2101" t="str">
        <f>"09/02/2018"</f>
        <v>09/02/2018</v>
      </c>
      <c r="B2101" t="str">
        <f>"1.3883"</f>
        <v>1.3883</v>
      </c>
      <c r="C2101" t="str">
        <f>"1.3898"</f>
        <v>1.3898</v>
      </c>
    </row>
    <row r="2102" spans="1:3" x14ac:dyDescent="0.25">
      <c r="A2102" t="str">
        <f>"12/02/2018"</f>
        <v>12/02/2018</v>
      </c>
      <c r="B2102" t="str">
        <f>"1.3865"</f>
        <v>1.3865</v>
      </c>
      <c r="C2102" t="str">
        <f>"1.388"</f>
        <v>1.388</v>
      </c>
    </row>
    <row r="2103" spans="1:3" x14ac:dyDescent="0.25">
      <c r="A2103" t="str">
        <f>"14/02/2018"</f>
        <v>14/02/2018</v>
      </c>
      <c r="B2103" t="str">
        <f>"1.3848"</f>
        <v>1.3848</v>
      </c>
      <c r="C2103" t="str">
        <f>"1.3862"</f>
        <v>1.3862</v>
      </c>
    </row>
    <row r="2104" spans="1:3" x14ac:dyDescent="0.25">
      <c r="A2104" t="str">
        <f>"15/02/2018"</f>
        <v>15/02/2018</v>
      </c>
      <c r="B2104" t="str">
        <f>"1.4051"</f>
        <v>1.4051</v>
      </c>
      <c r="C2104" t="str">
        <f>"1.4065"</f>
        <v>1.4065</v>
      </c>
    </row>
    <row r="2105" spans="1:3" x14ac:dyDescent="0.25">
      <c r="A2105" t="str">
        <f>"16/02/2018"</f>
        <v>16/02/2018</v>
      </c>
      <c r="B2105" t="str">
        <f>"1.4068"</f>
        <v>1.4068</v>
      </c>
      <c r="C2105" t="str">
        <f>"1.4082"</f>
        <v>1.4082</v>
      </c>
    </row>
    <row r="2106" spans="1:3" x14ac:dyDescent="0.25">
      <c r="A2106" t="str">
        <f>"20/02/2018"</f>
        <v>20/02/2018</v>
      </c>
      <c r="B2106" t="str">
        <f>"1.3974"</f>
        <v>1.3974</v>
      </c>
      <c r="C2106" t="str">
        <f>"1.3988"</f>
        <v>1.3988</v>
      </c>
    </row>
    <row r="2107" spans="1:3" x14ac:dyDescent="0.25">
      <c r="A2107" t="str">
        <f>"21/02/2018"</f>
        <v>21/02/2018</v>
      </c>
      <c r="B2107" t="str">
        <f>"1.3927"</f>
        <v>1.3927</v>
      </c>
      <c r="C2107" t="str">
        <f>"1.3941"</f>
        <v>1.3941</v>
      </c>
    </row>
    <row r="2108" spans="1:3" x14ac:dyDescent="0.25">
      <c r="A2108" t="str">
        <f>"22/02/2018"</f>
        <v>22/02/2018</v>
      </c>
      <c r="B2108" t="str">
        <f>"1.3873"</f>
        <v>1.3873</v>
      </c>
      <c r="C2108" t="str">
        <f>"1.3887"</f>
        <v>1.3887</v>
      </c>
    </row>
    <row r="2109" spans="1:3" x14ac:dyDescent="0.25">
      <c r="A2109" t="str">
        <f>"23/02/2018"</f>
        <v>23/02/2018</v>
      </c>
      <c r="B2109" t="str">
        <f>"1.3947"</f>
        <v>1.3947</v>
      </c>
      <c r="C2109" t="str">
        <f>"1.3961"</f>
        <v>1.3961</v>
      </c>
    </row>
    <row r="2110" spans="1:3" x14ac:dyDescent="0.25">
      <c r="A2110" t="str">
        <f>"26/02/2018"</f>
        <v>26/02/2018</v>
      </c>
      <c r="B2110" t="str">
        <f>"1.4051"</f>
        <v>1.4051</v>
      </c>
      <c r="C2110" t="str">
        <f>"1.4066"</f>
        <v>1.4066</v>
      </c>
    </row>
    <row r="2111" spans="1:3" x14ac:dyDescent="0.25">
      <c r="A2111" t="str">
        <f>"27/02/2018"</f>
        <v>27/02/2018</v>
      </c>
      <c r="B2111" t="str">
        <f>"1.3969"</f>
        <v>1.3969</v>
      </c>
      <c r="C2111" t="str">
        <f>"1.3991"</f>
        <v>1.3991</v>
      </c>
    </row>
    <row r="2112" spans="1:3" x14ac:dyDescent="0.25">
      <c r="A2112" t="str">
        <f>"28/02/2018"</f>
        <v>28/02/2018</v>
      </c>
      <c r="B2112" t="str">
        <f>"1.3785"</f>
        <v>1.3785</v>
      </c>
      <c r="C2112" t="str">
        <f>"1.3893"</f>
        <v>1.3893</v>
      </c>
    </row>
    <row r="2113" spans="1:3" x14ac:dyDescent="0.25">
      <c r="A2113" t="str">
        <f>"01/03/2018"</f>
        <v>01/03/2018</v>
      </c>
      <c r="B2113" t="str">
        <f>"1.3742"</f>
        <v>1.3742</v>
      </c>
      <c r="C2113" t="str">
        <f>"1.3764"</f>
        <v>1.3764</v>
      </c>
    </row>
    <row r="2114" spans="1:3" x14ac:dyDescent="0.25">
      <c r="A2114" t="str">
        <f>"05/03/2018"</f>
        <v>05/03/2018</v>
      </c>
      <c r="B2114" t="str">
        <f>"1.3811"</f>
        <v>1.3811</v>
      </c>
      <c r="C2114" t="str">
        <f>"1.3834"</f>
        <v>1.3834</v>
      </c>
    </row>
    <row r="2115" spans="1:3" x14ac:dyDescent="0.25">
      <c r="A2115" t="str">
        <f>"06/03/2018"</f>
        <v>06/03/2018</v>
      </c>
      <c r="B2115" t="str">
        <f>"1.3882"</f>
        <v>1.3882</v>
      </c>
      <c r="C2115" t="str">
        <f>"1.3905"</f>
        <v>1.3905</v>
      </c>
    </row>
    <row r="2116" spans="1:3" x14ac:dyDescent="0.25">
      <c r="A2116" t="str">
        <f>"07/03/2018"</f>
        <v>07/03/2018</v>
      </c>
      <c r="B2116" t="str">
        <f>"1.3865"</f>
        <v>1.3865</v>
      </c>
      <c r="C2116" t="str">
        <f>"1.3887"</f>
        <v>1.3887</v>
      </c>
    </row>
    <row r="2117" spans="1:3" x14ac:dyDescent="0.25">
      <c r="A2117" t="str">
        <f>"08/03/2018"</f>
        <v>08/03/2018</v>
      </c>
      <c r="B2117" t="str">
        <f>"1.3865"</f>
        <v>1.3865</v>
      </c>
      <c r="C2117" t="str">
        <f>"1.3888"</f>
        <v>1.3888</v>
      </c>
    </row>
    <row r="2118" spans="1:3" x14ac:dyDescent="0.25">
      <c r="A2118" t="str">
        <f>"09/03/2018"</f>
        <v>09/03/2018</v>
      </c>
      <c r="B2118" t="str">
        <f>"1.3819"</f>
        <v>1.3819</v>
      </c>
      <c r="C2118" t="str">
        <f>"1.3842"</f>
        <v>1.3842</v>
      </c>
    </row>
    <row r="2119" spans="1:3" x14ac:dyDescent="0.25">
      <c r="A2119" t="str">
        <f>"12/03/2018"</f>
        <v>12/03/2018</v>
      </c>
      <c r="B2119" t="str">
        <f>"1.3844"</f>
        <v>1.3844</v>
      </c>
      <c r="C2119" t="str">
        <f>"1.3869"</f>
        <v>1.3869</v>
      </c>
    </row>
    <row r="2120" spans="1:3" x14ac:dyDescent="0.25">
      <c r="A2120" t="str">
        <f>"13/03/2018"</f>
        <v>13/03/2018</v>
      </c>
      <c r="B2120" t="str">
        <f>"1.3887"</f>
        <v>1.3887</v>
      </c>
      <c r="C2120" t="str">
        <f>"1.3912"</f>
        <v>1.3912</v>
      </c>
    </row>
    <row r="2121" spans="1:3" x14ac:dyDescent="0.25">
      <c r="A2121" t="str">
        <f>"14/03/2018"</f>
        <v>14/03/2018</v>
      </c>
      <c r="B2121" t="str">
        <f>"1.3965"</f>
        <v>1.3965</v>
      </c>
      <c r="C2121" t="str">
        <f>"1.399"</f>
        <v>1.399</v>
      </c>
    </row>
    <row r="2122" spans="1:3" x14ac:dyDescent="0.25">
      <c r="A2122" t="str">
        <f>"15/03/2018"</f>
        <v>15/03/2018</v>
      </c>
      <c r="B2122" t="str">
        <f>"1.3926"</f>
        <v>1.3926</v>
      </c>
      <c r="C2122" t="str">
        <f>"1.3952"</f>
        <v>1.3952</v>
      </c>
    </row>
    <row r="2123" spans="1:3" x14ac:dyDescent="0.25">
      <c r="A2123" t="str">
        <f>"16/03/2018"</f>
        <v>16/03/2018</v>
      </c>
      <c r="B2123" t="str">
        <f>"1.3958"</f>
        <v>1.3958</v>
      </c>
      <c r="C2123" t="str">
        <f>"1.3982"</f>
        <v>1.3982</v>
      </c>
    </row>
    <row r="2124" spans="1:3" x14ac:dyDescent="0.25">
      <c r="A2124" t="str">
        <f>"19/03/2018"</f>
        <v>19/03/2018</v>
      </c>
      <c r="B2124" t="str">
        <f>"1.4013"</f>
        <v>1.4013</v>
      </c>
      <c r="C2124" t="str">
        <f>"1.4038"</f>
        <v>1.4038</v>
      </c>
    </row>
    <row r="2125" spans="1:3" x14ac:dyDescent="0.25">
      <c r="A2125" t="str">
        <f>"20/03/2018"</f>
        <v>20/03/2018</v>
      </c>
      <c r="B2125" t="str">
        <f>"1.4016"</f>
        <v>1.4016</v>
      </c>
      <c r="C2125" t="str">
        <f>"1.404"</f>
        <v>1.404</v>
      </c>
    </row>
    <row r="2126" spans="1:3" x14ac:dyDescent="0.25">
      <c r="A2126" t="str">
        <f>"21/03/2018"</f>
        <v>21/03/2018</v>
      </c>
      <c r="B2126" t="str">
        <f>"1.4059"</f>
        <v>1.4059</v>
      </c>
      <c r="C2126" t="str">
        <f>"1.4081"</f>
        <v>1.4081</v>
      </c>
    </row>
    <row r="2127" spans="1:3" x14ac:dyDescent="0.25">
      <c r="A2127" t="str">
        <f>"22/03/2018"</f>
        <v>22/03/2018</v>
      </c>
      <c r="B2127" t="str">
        <f>"1.4157"</f>
        <v>1.4157</v>
      </c>
      <c r="C2127" t="str">
        <f>"1.4177"</f>
        <v>1.4177</v>
      </c>
    </row>
    <row r="2128" spans="1:3" x14ac:dyDescent="0.25">
      <c r="A2128" t="str">
        <f>"23/03/2018"</f>
        <v>23/03/2018</v>
      </c>
      <c r="B2128" t="str">
        <f>"1.4116"</f>
        <v>1.4116</v>
      </c>
      <c r="C2128" t="str">
        <f>"1.4137"</f>
        <v>1.4137</v>
      </c>
    </row>
    <row r="2129" spans="1:3" x14ac:dyDescent="0.25">
      <c r="A2129" t="str">
        <f>"26/03/2018"</f>
        <v>26/03/2018</v>
      </c>
      <c r="B2129" t="str">
        <f>"1.4221"</f>
        <v>1.4221</v>
      </c>
      <c r="C2129" t="str">
        <f>"1.4243"</f>
        <v>1.4243</v>
      </c>
    </row>
    <row r="2130" spans="1:3" x14ac:dyDescent="0.25">
      <c r="A2130" t="str">
        <f>"27/03/2018"</f>
        <v>27/03/2018</v>
      </c>
      <c r="B2130" t="str">
        <f>"1.41"</f>
        <v>1.41</v>
      </c>
      <c r="C2130" t="str">
        <f>"1.412"</f>
        <v>1.412</v>
      </c>
    </row>
    <row r="2131" spans="1:3" x14ac:dyDescent="0.25">
      <c r="A2131" t="str">
        <f>"28/03/2018"</f>
        <v>28/03/2018</v>
      </c>
      <c r="B2131" t="str">
        <f>"1.4106"</f>
        <v>1.4106</v>
      </c>
      <c r="C2131" t="str">
        <f>"1.4179"</f>
        <v>1.4179</v>
      </c>
    </row>
    <row r="2132" spans="1:3" x14ac:dyDescent="0.25">
      <c r="A2132" t="str">
        <f>"03/04/2018"</f>
        <v>03/04/2018</v>
      </c>
      <c r="B2132" t="str">
        <f>"1.4041"</f>
        <v>1.4041</v>
      </c>
      <c r="C2132" t="str">
        <f>"1.4061"</f>
        <v>1.4061</v>
      </c>
    </row>
    <row r="2133" spans="1:3" x14ac:dyDescent="0.25">
      <c r="A2133" t="str">
        <f>"04/04/2018"</f>
        <v>04/04/2018</v>
      </c>
      <c r="B2133" t="str">
        <f>"1.404"</f>
        <v>1.404</v>
      </c>
      <c r="C2133" t="str">
        <f>"1.4061"</f>
        <v>1.4061</v>
      </c>
    </row>
    <row r="2134" spans="1:3" x14ac:dyDescent="0.25">
      <c r="A2134" t="str">
        <f>"05/04/2018"</f>
        <v>05/04/2018</v>
      </c>
      <c r="B2134" t="str">
        <f>"1.4044"</f>
        <v>1.4044</v>
      </c>
      <c r="C2134" t="str">
        <f>"1.4063"</f>
        <v>1.4063</v>
      </c>
    </row>
    <row r="2135" spans="1:3" x14ac:dyDescent="0.25">
      <c r="A2135" t="str">
        <f>"06/04/2018"</f>
        <v>06/04/2018</v>
      </c>
      <c r="B2135" t="str">
        <f>"1.4005"</f>
        <v>1.4005</v>
      </c>
      <c r="C2135" t="str">
        <f>"1.4023"</f>
        <v>1.4023</v>
      </c>
    </row>
    <row r="2136" spans="1:3" x14ac:dyDescent="0.25">
      <c r="A2136" t="str">
        <f>"09/04/2018"</f>
        <v>09/04/2018</v>
      </c>
      <c r="B2136" t="str">
        <f>"1.4095"</f>
        <v>1.4095</v>
      </c>
      <c r="C2136" t="str">
        <f>"1.4113"</f>
        <v>1.4113</v>
      </c>
    </row>
    <row r="2137" spans="1:3" x14ac:dyDescent="0.25">
      <c r="A2137" t="str">
        <f>"10/04/2018"</f>
        <v>10/04/2018</v>
      </c>
      <c r="B2137" t="str">
        <f>"1.4179"</f>
        <v>1.4179</v>
      </c>
      <c r="C2137" t="str">
        <f>"1.4198"</f>
        <v>1.4198</v>
      </c>
    </row>
    <row r="2138" spans="1:3" x14ac:dyDescent="0.25">
      <c r="A2138" t="str">
        <f>"11/04/2018"</f>
        <v>11/04/2018</v>
      </c>
      <c r="B2138" t="str">
        <f>"1.4178"</f>
        <v>1.4178</v>
      </c>
      <c r="C2138" t="str">
        <f>"1.4196"</f>
        <v>1.4196</v>
      </c>
    </row>
    <row r="2139" spans="1:3" x14ac:dyDescent="0.25">
      <c r="A2139" t="str">
        <f>"12/04/2018"</f>
        <v>12/04/2018</v>
      </c>
      <c r="B2139" t="str">
        <f>"1.4197"</f>
        <v>1.4197</v>
      </c>
      <c r="C2139" t="str">
        <f>"1.4215"</f>
        <v>1.4215</v>
      </c>
    </row>
    <row r="2140" spans="1:3" x14ac:dyDescent="0.25">
      <c r="A2140" t="str">
        <f>"13/04/2018"</f>
        <v>13/04/2018</v>
      </c>
      <c r="B2140" t="str">
        <f>"1.4252"</f>
        <v>1.4252</v>
      </c>
      <c r="C2140" t="str">
        <f>"1.427"</f>
        <v>1.427</v>
      </c>
    </row>
    <row r="2141" spans="1:3" x14ac:dyDescent="0.25">
      <c r="A2141" t="str">
        <f>"16/04/2018"</f>
        <v>16/04/2018</v>
      </c>
      <c r="B2141" t="str">
        <f>"1.4307"</f>
        <v>1.4307</v>
      </c>
      <c r="C2141" t="str">
        <f>"1.4325"</f>
        <v>1.4325</v>
      </c>
    </row>
    <row r="2142" spans="1:3" x14ac:dyDescent="0.25">
      <c r="A2142" t="str">
        <f>"17/04/2018"</f>
        <v>17/04/2018</v>
      </c>
      <c r="B2142" t="str">
        <f>"1.4332"</f>
        <v>1.4332</v>
      </c>
      <c r="C2142" t="str">
        <f>"1.4351"</f>
        <v>1.4351</v>
      </c>
    </row>
    <row r="2143" spans="1:3" x14ac:dyDescent="0.25">
      <c r="A2143" t="str">
        <f>"18/04/2018"</f>
        <v>18/04/2018</v>
      </c>
      <c r="B2143" t="str">
        <f>"1.4212"</f>
        <v>1.4212</v>
      </c>
      <c r="C2143" t="str">
        <f>"1.423"</f>
        <v>1.423</v>
      </c>
    </row>
    <row r="2144" spans="1:3" x14ac:dyDescent="0.25">
      <c r="A2144" t="str">
        <f>"19/04/2018"</f>
        <v>19/04/2018</v>
      </c>
      <c r="B2144" t="str">
        <f>"1.4234"</f>
        <v>1.4234</v>
      </c>
      <c r="C2144" t="str">
        <f>"1.4251"</f>
        <v>1.4251</v>
      </c>
    </row>
    <row r="2145" spans="1:3" x14ac:dyDescent="0.25">
      <c r="A2145" t="str">
        <f>"20/04/2018"</f>
        <v>20/04/2018</v>
      </c>
      <c r="B2145" t="str">
        <f>"1.4064"</f>
        <v>1.4064</v>
      </c>
      <c r="C2145" t="str">
        <f>"1.4081"</f>
        <v>1.4081</v>
      </c>
    </row>
    <row r="2146" spans="1:3" x14ac:dyDescent="0.25">
      <c r="A2146" t="str">
        <f>"23/04/2018"</f>
        <v>23/04/2018</v>
      </c>
      <c r="B2146" t="str">
        <f>"1.3948"</f>
        <v>1.3948</v>
      </c>
      <c r="C2146" t="str">
        <f>"1.3966"</f>
        <v>1.3966</v>
      </c>
    </row>
    <row r="2147" spans="1:3" x14ac:dyDescent="0.25">
      <c r="A2147" t="str">
        <f>"24/04/2018"</f>
        <v>24/04/2018</v>
      </c>
      <c r="B2147" t="str">
        <f>"1.3951"</f>
        <v>1.3951</v>
      </c>
      <c r="C2147" t="str">
        <f>"1.397"</f>
        <v>1.397</v>
      </c>
    </row>
    <row r="2148" spans="1:3" x14ac:dyDescent="0.25">
      <c r="A2148" t="str">
        <f>"25/04/2018"</f>
        <v>25/04/2018</v>
      </c>
      <c r="B2148" t="str">
        <f>"1.3948"</f>
        <v>1.3948</v>
      </c>
      <c r="C2148" t="str">
        <f>"1.3966"</f>
        <v>1.3966</v>
      </c>
    </row>
    <row r="2149" spans="1:3" x14ac:dyDescent="0.25">
      <c r="A2149" t="str">
        <f>"26/04/2018"</f>
        <v>26/04/2018</v>
      </c>
      <c r="B2149" t="str">
        <f>"1.3958"</f>
        <v>1.3958</v>
      </c>
      <c r="C2149" t="str">
        <f>"1.3976"</f>
        <v>1.3976</v>
      </c>
    </row>
    <row r="2150" spans="1:3" x14ac:dyDescent="0.25">
      <c r="A2150" t="str">
        <f>"27/04/2018"</f>
        <v>27/04/2018</v>
      </c>
      <c r="B2150" t="str">
        <f>"1.3772"</f>
        <v>1.3772</v>
      </c>
      <c r="C2150" t="str">
        <f>"1.379"</f>
        <v>1.379</v>
      </c>
    </row>
    <row r="2151" spans="1:3" x14ac:dyDescent="0.25">
      <c r="A2151" t="str">
        <f>"02/05/2018"</f>
        <v>02/05/2018</v>
      </c>
      <c r="B2151" t="str">
        <f>"1.3639"</f>
        <v>1.3639</v>
      </c>
      <c r="C2151" t="str">
        <f>"1.3657"</f>
        <v>1.3657</v>
      </c>
    </row>
    <row r="2152" spans="1:3" x14ac:dyDescent="0.25">
      <c r="A2152" t="str">
        <f>"03/05/2018"</f>
        <v>03/05/2018</v>
      </c>
      <c r="B2152" t="str">
        <f>"1.3582"</f>
        <v>1.3582</v>
      </c>
      <c r="C2152" t="str">
        <f>"1.36"</f>
        <v>1.36</v>
      </c>
    </row>
    <row r="2153" spans="1:3" x14ac:dyDescent="0.25">
      <c r="A2153" t="str">
        <f>"04/05/2018"</f>
        <v>04/05/2018</v>
      </c>
      <c r="B2153" t="str">
        <f>"1.3561"</f>
        <v>1.3561</v>
      </c>
      <c r="C2153" t="str">
        <f>"1.358"</f>
        <v>1.358</v>
      </c>
    </row>
    <row r="2154" spans="1:3" x14ac:dyDescent="0.25">
      <c r="A2154" t="str">
        <f>"07/05/2018"</f>
        <v>07/05/2018</v>
      </c>
      <c r="B2154" t="str">
        <f>"1.3533"</f>
        <v>1.3533</v>
      </c>
      <c r="C2154" t="str">
        <f>"1.3552"</f>
        <v>1.3552</v>
      </c>
    </row>
    <row r="2155" spans="1:3" x14ac:dyDescent="0.25">
      <c r="A2155" t="str">
        <f>"08/05/2018"</f>
        <v>08/05/2018</v>
      </c>
      <c r="B2155" t="str">
        <f>"1.3504"</f>
        <v>1.3504</v>
      </c>
      <c r="C2155" t="str">
        <f>"1.3522"</f>
        <v>1.3522</v>
      </c>
    </row>
    <row r="2156" spans="1:3" x14ac:dyDescent="0.25">
      <c r="A2156" t="str">
        <f>"09/05/2018"</f>
        <v>09/05/2018</v>
      </c>
      <c r="B2156" t="str">
        <f>"1.3589"</f>
        <v>1.3589</v>
      </c>
      <c r="C2156" t="str">
        <f>"1.3606"</f>
        <v>1.3606</v>
      </c>
    </row>
    <row r="2157" spans="1:3" x14ac:dyDescent="0.25">
      <c r="A2157" t="str">
        <f>"10/05/2018"</f>
        <v>10/05/2018</v>
      </c>
      <c r="B2157" t="str">
        <f>"1.352"</f>
        <v>1.352</v>
      </c>
      <c r="C2157" t="str">
        <f>"1.3537"</f>
        <v>1.3537</v>
      </c>
    </row>
    <row r="2158" spans="1:3" x14ac:dyDescent="0.25">
      <c r="A2158" t="str">
        <f>"11/05/2018"</f>
        <v>11/05/2018</v>
      </c>
      <c r="B2158" t="str">
        <f>"1.3566"</f>
        <v>1.3566</v>
      </c>
      <c r="C2158" t="str">
        <f>"1.3583"</f>
        <v>1.3583</v>
      </c>
    </row>
    <row r="2159" spans="1:3" x14ac:dyDescent="0.25">
      <c r="A2159" t="str">
        <f>"14/05/2018"</f>
        <v>14/05/2018</v>
      </c>
      <c r="B2159" t="str">
        <f>"1.3593"</f>
        <v>1.3593</v>
      </c>
      <c r="C2159" t="str">
        <f>"1.3611"</f>
        <v>1.3611</v>
      </c>
    </row>
    <row r="2160" spans="1:3" x14ac:dyDescent="0.25">
      <c r="A2160" t="str">
        <f>"15/05/2018"</f>
        <v>15/05/2018</v>
      </c>
      <c r="B2160" t="str">
        <f>"1.3523"</f>
        <v>1.3523</v>
      </c>
      <c r="C2160" t="str">
        <f>"1.3541"</f>
        <v>1.3541</v>
      </c>
    </row>
    <row r="2161" spans="1:3" x14ac:dyDescent="0.25">
      <c r="A2161" t="str">
        <f>"16/05/2018"</f>
        <v>16/05/2018</v>
      </c>
      <c r="B2161" t="str">
        <f>"1.3486"</f>
        <v>1.3486</v>
      </c>
      <c r="C2161" t="str">
        <f>"1.3504"</f>
        <v>1.3504</v>
      </c>
    </row>
    <row r="2162" spans="1:3" x14ac:dyDescent="0.25">
      <c r="A2162" t="str">
        <f>"17/05/2018"</f>
        <v>17/05/2018</v>
      </c>
      <c r="B2162" t="str">
        <f>"1.3489"</f>
        <v>1.3489</v>
      </c>
      <c r="C2162" t="str">
        <f>"1.3507"</f>
        <v>1.3507</v>
      </c>
    </row>
    <row r="2163" spans="1:3" x14ac:dyDescent="0.25">
      <c r="A2163" t="str">
        <f>"18/05/2018"</f>
        <v>18/05/2018</v>
      </c>
      <c r="B2163" t="str">
        <f>"1.3484"</f>
        <v>1.3484</v>
      </c>
      <c r="C2163" t="str">
        <f>"1.3502"</f>
        <v>1.3502</v>
      </c>
    </row>
    <row r="2164" spans="1:3" x14ac:dyDescent="0.25">
      <c r="A2164" t="str">
        <f>"21/05/2018"</f>
        <v>21/05/2018</v>
      </c>
      <c r="B2164" t="str">
        <f>"1.342"</f>
        <v>1.342</v>
      </c>
      <c r="C2164" t="str">
        <f>"1.3439"</f>
        <v>1.3439</v>
      </c>
    </row>
    <row r="2165" spans="1:3" x14ac:dyDescent="0.25">
      <c r="A2165" t="str">
        <f>"22/05/2018"</f>
        <v>22/05/2018</v>
      </c>
      <c r="B2165" t="str">
        <f>"1.3451"</f>
        <v>1.3451</v>
      </c>
      <c r="C2165" t="str">
        <f>"1.347"</f>
        <v>1.347</v>
      </c>
    </row>
    <row r="2166" spans="1:3" x14ac:dyDescent="0.25">
      <c r="A2166" t="str">
        <f>"23/05/2018"</f>
        <v>23/05/2018</v>
      </c>
      <c r="B2166" t="str">
        <f>"1.3322"</f>
        <v>1.3322</v>
      </c>
      <c r="C2166" t="str">
        <f>"1.334"</f>
        <v>1.334</v>
      </c>
    </row>
    <row r="2167" spans="1:3" x14ac:dyDescent="0.25">
      <c r="A2167" t="str">
        <f>"24/05/2018"</f>
        <v>24/05/2018</v>
      </c>
      <c r="B2167" t="str">
        <f>"1.3399"</f>
        <v>1.3399</v>
      </c>
      <c r="C2167" t="str">
        <f>"1.3417"</f>
        <v>1.3417</v>
      </c>
    </row>
    <row r="2168" spans="1:3" x14ac:dyDescent="0.25">
      <c r="A2168" t="str">
        <f>"25/05/2018"</f>
        <v>25/05/2018</v>
      </c>
      <c r="B2168" t="str">
        <f>"1.3343"</f>
        <v>1.3343</v>
      </c>
      <c r="C2168" t="str">
        <f>"1.3361"</f>
        <v>1.3361</v>
      </c>
    </row>
    <row r="2169" spans="1:3" x14ac:dyDescent="0.25">
      <c r="A2169" t="str">
        <f>"28/05/2018"</f>
        <v>28/05/2018</v>
      </c>
      <c r="B2169" t="str">
        <f>"1.3315"</f>
        <v>1.3315</v>
      </c>
      <c r="C2169" t="str">
        <f>"1.3333"</f>
        <v>1.3333</v>
      </c>
    </row>
    <row r="2170" spans="1:3" x14ac:dyDescent="0.25">
      <c r="A2170" t="str">
        <f>"29/05/2018"</f>
        <v>29/05/2018</v>
      </c>
      <c r="B2170" t="str">
        <f>"1.3251"</f>
        <v>1.3251</v>
      </c>
      <c r="C2170" t="str">
        <f>"1.3268"</f>
        <v>1.3268</v>
      </c>
    </row>
    <row r="2171" spans="1:3" x14ac:dyDescent="0.25">
      <c r="A2171" t="str">
        <f>"30/05/2018"</f>
        <v>30/05/2018</v>
      </c>
      <c r="B2171" t="str">
        <f>"1.3254"</f>
        <v>1.3254</v>
      </c>
      <c r="C2171" t="str">
        <f>"1.3276"</f>
        <v>1.3276</v>
      </c>
    </row>
    <row r="2172" spans="1:3" x14ac:dyDescent="0.25">
      <c r="A2172" t="str">
        <f>"31/05/2018"</f>
        <v>31/05/2018</v>
      </c>
      <c r="B2172" t="str">
        <f>"1.3292"</f>
        <v>1.3292</v>
      </c>
      <c r="C2172" t="str">
        <f>"1.3357"</f>
        <v>1.3357</v>
      </c>
    </row>
    <row r="2173" spans="1:3" x14ac:dyDescent="0.25">
      <c r="A2173" t="str">
        <f>"01/06/2018"</f>
        <v>01/06/2018</v>
      </c>
      <c r="B2173" t="str">
        <f>"1.3322"</f>
        <v>1.3322</v>
      </c>
      <c r="C2173" t="str">
        <f>"1.3343"</f>
        <v>1.3343</v>
      </c>
    </row>
    <row r="2174" spans="1:3" x14ac:dyDescent="0.25">
      <c r="A2174" t="str">
        <f>"04/06/2018"</f>
        <v>04/06/2018</v>
      </c>
      <c r="B2174" t="str">
        <f>"1.3382"</f>
        <v>1.3382</v>
      </c>
      <c r="C2174" t="str">
        <f>"1.3402"</f>
        <v>1.3402</v>
      </c>
    </row>
    <row r="2175" spans="1:3" x14ac:dyDescent="0.25">
      <c r="A2175" t="str">
        <f>"05/06/2018"</f>
        <v>05/06/2018</v>
      </c>
      <c r="B2175" t="str">
        <f>"1.3356"</f>
        <v>1.3356</v>
      </c>
      <c r="C2175" t="str">
        <f>"1.3378"</f>
        <v>1.3378</v>
      </c>
    </row>
    <row r="2176" spans="1:3" x14ac:dyDescent="0.25">
      <c r="A2176" t="str">
        <f>"06/06/2018"</f>
        <v>06/06/2018</v>
      </c>
      <c r="B2176" t="str">
        <f>"1.3426"</f>
        <v>1.3426</v>
      </c>
      <c r="C2176" t="str">
        <f>"1.3447"</f>
        <v>1.3447</v>
      </c>
    </row>
    <row r="2177" spans="1:3" x14ac:dyDescent="0.25">
      <c r="A2177" t="str">
        <f>"07/06/2018"</f>
        <v>07/06/2018</v>
      </c>
      <c r="B2177" t="str">
        <f>"1.3412"</f>
        <v>1.3412</v>
      </c>
      <c r="C2177" t="str">
        <f>"1.3433"</f>
        <v>1.3433</v>
      </c>
    </row>
    <row r="2178" spans="1:3" x14ac:dyDescent="0.25">
      <c r="A2178" t="str">
        <f>"08/06/2018"</f>
        <v>08/06/2018</v>
      </c>
      <c r="B2178" t="str">
        <f>"1.3391"</f>
        <v>1.3391</v>
      </c>
      <c r="C2178" t="str">
        <f>"1.3412"</f>
        <v>1.3412</v>
      </c>
    </row>
    <row r="2179" spans="1:3" x14ac:dyDescent="0.25">
      <c r="A2179" t="str">
        <f>"11/06/2018"</f>
        <v>11/06/2018</v>
      </c>
      <c r="B2179" t="str">
        <f>"1.3375"</f>
        <v>1.3375</v>
      </c>
      <c r="C2179" t="str">
        <f>"1.3396"</f>
        <v>1.3396</v>
      </c>
    </row>
    <row r="2180" spans="1:3" x14ac:dyDescent="0.25">
      <c r="A2180" t="str">
        <f>"12/06/2018"</f>
        <v>12/06/2018</v>
      </c>
      <c r="B2180" t="str">
        <f>"1.3382"</f>
        <v>1.3382</v>
      </c>
      <c r="C2180" t="str">
        <f>"1.3404"</f>
        <v>1.3404</v>
      </c>
    </row>
    <row r="2181" spans="1:3" x14ac:dyDescent="0.25">
      <c r="A2181" t="str">
        <f>"13/06/2018"</f>
        <v>13/06/2018</v>
      </c>
      <c r="B2181" t="str">
        <f>"1.3328"</f>
        <v>1.3328</v>
      </c>
      <c r="C2181" t="str">
        <f>"1.3349"</f>
        <v>1.3349</v>
      </c>
    </row>
    <row r="2182" spans="1:3" x14ac:dyDescent="0.25">
      <c r="A2182" t="str">
        <f>"14/06/2018"</f>
        <v>14/06/2018</v>
      </c>
      <c r="B2182" t="str">
        <f>"1.3419"</f>
        <v>1.3419</v>
      </c>
      <c r="C2182" t="str">
        <f>"1.3439"</f>
        <v>1.3439</v>
      </c>
    </row>
    <row r="2183" spans="1:3" x14ac:dyDescent="0.25">
      <c r="A2183" t="str">
        <f>"15/06/2018"</f>
        <v>15/06/2018</v>
      </c>
      <c r="B2183" t="str">
        <f>"1.3283"</f>
        <v>1.3283</v>
      </c>
      <c r="C2183" t="str">
        <f>"1.3302"</f>
        <v>1.3302</v>
      </c>
    </row>
    <row r="2184" spans="1:3" x14ac:dyDescent="0.25">
      <c r="A2184" t="str">
        <f>"18/06/2018"</f>
        <v>18/06/2018</v>
      </c>
      <c r="B2184" t="str">
        <f>"1.325"</f>
        <v>1.325</v>
      </c>
      <c r="C2184" t="str">
        <f>"1.3269"</f>
        <v>1.3269</v>
      </c>
    </row>
    <row r="2185" spans="1:3" x14ac:dyDescent="0.25">
      <c r="A2185" t="str">
        <f>"19/06/2018"</f>
        <v>19/06/2018</v>
      </c>
      <c r="B2185" t="str">
        <f>"1.3152"</f>
        <v>1.3152</v>
      </c>
      <c r="C2185" t="str">
        <f>"1.3172"</f>
        <v>1.3172</v>
      </c>
    </row>
    <row r="2186" spans="1:3" x14ac:dyDescent="0.25">
      <c r="A2186" t="str">
        <f>"20/06/2018"</f>
        <v>20/06/2018</v>
      </c>
      <c r="B2186" t="str">
        <f>"1.3173"</f>
        <v>1.3173</v>
      </c>
      <c r="C2186" t="str">
        <f>"1.3192"</f>
        <v>1.3192</v>
      </c>
    </row>
    <row r="2187" spans="1:3" x14ac:dyDescent="0.25">
      <c r="A2187" t="str">
        <f>"21/06/2018"</f>
        <v>21/06/2018</v>
      </c>
      <c r="B2187" t="str">
        <f>"1.3219"</f>
        <v>1.3219</v>
      </c>
      <c r="C2187" t="str">
        <f>"1.3237"</f>
        <v>1.3237</v>
      </c>
    </row>
    <row r="2188" spans="1:3" x14ac:dyDescent="0.25">
      <c r="A2188" t="str">
        <f>"22/06/2018"</f>
        <v>22/06/2018</v>
      </c>
      <c r="B2188" t="str">
        <f>"1.3279"</f>
        <v>1.3279</v>
      </c>
      <c r="C2188" t="str">
        <f>"1.3298"</f>
        <v>1.3298</v>
      </c>
    </row>
    <row r="2189" spans="1:3" x14ac:dyDescent="0.25">
      <c r="A2189" t="str">
        <f>"25/06/2018"</f>
        <v>25/06/2018</v>
      </c>
      <c r="B2189" t="str">
        <f>"1.3273"</f>
        <v>1.3273</v>
      </c>
      <c r="C2189" t="str">
        <f>"1.3292"</f>
        <v>1.3292</v>
      </c>
    </row>
    <row r="2190" spans="1:3" x14ac:dyDescent="0.25">
      <c r="A2190" t="str">
        <f>"26/06/2018"</f>
        <v>26/06/2018</v>
      </c>
      <c r="B2190" t="str">
        <f>"1.3243"</f>
        <v>1.3243</v>
      </c>
      <c r="C2190" t="str">
        <f>"1.3263"</f>
        <v>1.3263</v>
      </c>
    </row>
    <row r="2191" spans="1:3" x14ac:dyDescent="0.25">
      <c r="A2191" t="str">
        <f>"27/06/2018"</f>
        <v>27/06/2018</v>
      </c>
      <c r="B2191" t="str">
        <f>"1.3186"</f>
        <v>1.3186</v>
      </c>
      <c r="C2191" t="str">
        <f>"1.3206"</f>
        <v>1.3206</v>
      </c>
    </row>
    <row r="2192" spans="1:3" x14ac:dyDescent="0.25">
      <c r="A2192" t="str">
        <f>"28/06/2018"</f>
        <v>28/06/2018</v>
      </c>
      <c r="B2192" t="str">
        <f>"1.3089"</f>
        <v>1.3089</v>
      </c>
      <c r="C2192" t="str">
        <f>"1.3108"</f>
        <v>1.3108</v>
      </c>
    </row>
    <row r="2193" spans="1:3" x14ac:dyDescent="0.25">
      <c r="A2193" t="str">
        <f>"29/06/2018"</f>
        <v>29/06/2018</v>
      </c>
      <c r="B2193" t="str">
        <f>"1.3196"</f>
        <v>1.3196</v>
      </c>
      <c r="C2193" t="str">
        <f>"1.3161"</f>
        <v>1.3161</v>
      </c>
    </row>
    <row r="2194" spans="1:3" x14ac:dyDescent="0.25">
      <c r="A2194" t="str">
        <f>"02/07/2018"</f>
        <v>02/07/2018</v>
      </c>
      <c r="B2194" t="str">
        <f>"1.3149"</f>
        <v>1.3149</v>
      </c>
      <c r="C2194" t="str">
        <f>"1.3168"</f>
        <v>1.3168</v>
      </c>
    </row>
    <row r="2195" spans="1:3" x14ac:dyDescent="0.25">
      <c r="A2195" t="str">
        <f>"03/07/2018"</f>
        <v>03/07/2018</v>
      </c>
      <c r="B2195" t="str">
        <f>"1.319"</f>
        <v>1.319</v>
      </c>
      <c r="C2195" t="str">
        <f>"1.3208"</f>
        <v>1.3208</v>
      </c>
    </row>
    <row r="2196" spans="1:3" x14ac:dyDescent="0.25">
      <c r="A2196" t="str">
        <f>"04/07/2018"</f>
        <v>04/07/2018</v>
      </c>
      <c r="B2196" t="str">
        <f>"1.3202"</f>
        <v>1.3202</v>
      </c>
      <c r="C2196" t="str">
        <f>"1.322"</f>
        <v>1.322</v>
      </c>
    </row>
    <row r="2197" spans="1:3" x14ac:dyDescent="0.25">
      <c r="A2197" t="str">
        <f>"05/07/2018"</f>
        <v>05/07/2018</v>
      </c>
      <c r="B2197" t="str">
        <f>"1.3255"</f>
        <v>1.3255</v>
      </c>
      <c r="C2197" t="str">
        <f>"1.3273"</f>
        <v>1.3273</v>
      </c>
    </row>
    <row r="2198" spans="1:3" x14ac:dyDescent="0.25">
      <c r="A2198" t="str">
        <f>"06/07/2018"</f>
        <v>06/07/2018</v>
      </c>
      <c r="B2198" t="str">
        <f>"1.3232"</f>
        <v>1.3232</v>
      </c>
      <c r="C2198" t="str">
        <f>"1.325"</f>
        <v>1.325</v>
      </c>
    </row>
    <row r="2199" spans="1:3" x14ac:dyDescent="0.25">
      <c r="A2199" t="str">
        <f>"09/07/2018"</f>
        <v>09/07/2018</v>
      </c>
      <c r="B2199" t="str">
        <f>"1.3345"</f>
        <v>1.3345</v>
      </c>
      <c r="C2199" t="str">
        <f>"1.3365"</f>
        <v>1.3365</v>
      </c>
    </row>
    <row r="2200" spans="1:3" x14ac:dyDescent="0.25">
      <c r="A2200" t="str">
        <f>"10/07/2018"</f>
        <v>10/07/2018</v>
      </c>
      <c r="B2200" t="str">
        <f>"1.3237"</f>
        <v>1.3237</v>
      </c>
      <c r="C2200" t="str">
        <f>"1.3256"</f>
        <v>1.3256</v>
      </c>
    </row>
    <row r="2201" spans="1:3" x14ac:dyDescent="0.25">
      <c r="A2201" t="str">
        <f>"11/07/2018"</f>
        <v>11/07/2018</v>
      </c>
      <c r="B2201" t="str">
        <f>"1.3252"</f>
        <v>1.3252</v>
      </c>
      <c r="C2201" t="str">
        <f>"1.327"</f>
        <v>1.327</v>
      </c>
    </row>
    <row r="2202" spans="1:3" x14ac:dyDescent="0.25">
      <c r="A2202" t="str">
        <f>"12/07/2018"</f>
        <v>12/07/2018</v>
      </c>
      <c r="B2202" t="str">
        <f>"1.3191"</f>
        <v>1.3191</v>
      </c>
      <c r="C2202" t="str">
        <f>"1.3208"</f>
        <v>1.3208</v>
      </c>
    </row>
    <row r="2203" spans="1:3" x14ac:dyDescent="0.25">
      <c r="A2203" t="str">
        <f>"13/07/2018"</f>
        <v>13/07/2018</v>
      </c>
      <c r="B2203" t="str">
        <f>"1.3121"</f>
        <v>1.3121</v>
      </c>
      <c r="C2203" t="str">
        <f>"1.3138"</f>
        <v>1.3138</v>
      </c>
    </row>
    <row r="2204" spans="1:3" x14ac:dyDescent="0.25">
      <c r="A2204" t="str">
        <f>"16/07/2018"</f>
        <v>16/07/2018</v>
      </c>
      <c r="B2204" t="str">
        <f>"1.3284"</f>
        <v>1.3284</v>
      </c>
      <c r="C2204" t="str">
        <f>"1.3302"</f>
        <v>1.3302</v>
      </c>
    </row>
    <row r="2205" spans="1:3" x14ac:dyDescent="0.25">
      <c r="A2205" t="str">
        <f>"17/07/2018"</f>
        <v>17/07/2018</v>
      </c>
      <c r="B2205" t="str">
        <f>"1.3205"</f>
        <v>1.3205</v>
      </c>
      <c r="C2205" t="str">
        <f>"1.3223"</f>
        <v>1.3223</v>
      </c>
    </row>
    <row r="2206" spans="1:3" x14ac:dyDescent="0.25">
      <c r="A2206" t="str">
        <f>"18/07/2018"</f>
        <v>18/07/2018</v>
      </c>
      <c r="B2206" t="str">
        <f>"1.3027"</f>
        <v>1.3027</v>
      </c>
      <c r="C2206" t="str">
        <f>"1.3044"</f>
        <v>1.3044</v>
      </c>
    </row>
    <row r="2207" spans="1:3" x14ac:dyDescent="0.25">
      <c r="A2207" t="str">
        <f>"19/07/2018"</f>
        <v>19/07/2018</v>
      </c>
      <c r="B2207" t="str">
        <f>"1.2989"</f>
        <v>1.2989</v>
      </c>
      <c r="C2207" t="str">
        <f>"1.3006"</f>
        <v>1.3006</v>
      </c>
    </row>
    <row r="2208" spans="1:3" x14ac:dyDescent="0.25">
      <c r="A2208" t="str">
        <f>"20/07/2018"</f>
        <v>20/07/2018</v>
      </c>
      <c r="B2208" t="str">
        <f>"1.304"</f>
        <v>1.304</v>
      </c>
      <c r="C2208" t="str">
        <f>"1.3056"</f>
        <v>1.3056</v>
      </c>
    </row>
    <row r="2209" spans="1:3" x14ac:dyDescent="0.25">
      <c r="A2209" t="str">
        <f>"23/07/2018"</f>
        <v>23/07/2018</v>
      </c>
      <c r="B2209" t="str">
        <f>"1.314"</f>
        <v>1.314</v>
      </c>
      <c r="C2209" t="str">
        <f>"1.3158"</f>
        <v>1.3158</v>
      </c>
    </row>
    <row r="2210" spans="1:3" x14ac:dyDescent="0.25">
      <c r="A2210" t="str">
        <f>"24/07/2018"</f>
        <v>24/07/2018</v>
      </c>
      <c r="B2210" t="str">
        <f>"1.3128"</f>
        <v>1.3128</v>
      </c>
      <c r="C2210" t="str">
        <f>"1.3146"</f>
        <v>1.3146</v>
      </c>
    </row>
    <row r="2211" spans="1:3" x14ac:dyDescent="0.25">
      <c r="A2211" t="str">
        <f>"25/07/2018"</f>
        <v>25/07/2018</v>
      </c>
      <c r="B2211" t="str">
        <f>"1.3158"</f>
        <v>1.3158</v>
      </c>
      <c r="C2211" t="str">
        <f>"1.3175"</f>
        <v>1.3175</v>
      </c>
    </row>
    <row r="2212" spans="1:3" x14ac:dyDescent="0.25">
      <c r="A2212" t="str">
        <f>"26/07/2018"</f>
        <v>26/07/2018</v>
      </c>
      <c r="B2212" t="str">
        <f>"1.3179"</f>
        <v>1.3179</v>
      </c>
      <c r="C2212" t="str">
        <f>"1.3196"</f>
        <v>1.3196</v>
      </c>
    </row>
    <row r="2213" spans="1:3" x14ac:dyDescent="0.25">
      <c r="A2213" t="str">
        <f>"27/07/2018"</f>
        <v>27/07/2018</v>
      </c>
      <c r="B2213" t="str">
        <f>"1.3103"</f>
        <v>1.3103</v>
      </c>
      <c r="C2213" t="str">
        <f>"1.3119"</f>
        <v>1.3119</v>
      </c>
    </row>
    <row r="2214" spans="1:3" x14ac:dyDescent="0.25">
      <c r="A2214" t="str">
        <f>"30/07/2018"</f>
        <v>30/07/2018</v>
      </c>
      <c r="B2214" t="str">
        <f>"1.3119"</f>
        <v>1.3119</v>
      </c>
      <c r="C2214" t="str">
        <f>"1.3137"</f>
        <v>1.3137</v>
      </c>
    </row>
    <row r="2215" spans="1:3" x14ac:dyDescent="0.25">
      <c r="A2215" t="str">
        <f>"31/07/2018"</f>
        <v>31/07/2018</v>
      </c>
      <c r="B2215" t="str">
        <f>"1.3162"</f>
        <v>1.3162</v>
      </c>
      <c r="C2215" t="str">
        <f>"1.318"</f>
        <v>1.318</v>
      </c>
    </row>
    <row r="2216" spans="1:3" x14ac:dyDescent="0.25">
      <c r="A2216" t="str">
        <f>"01/08/2018"</f>
        <v>01/08/2018</v>
      </c>
      <c r="B2216" t="str">
        <f>"1.3136"</f>
        <v>1.3136</v>
      </c>
      <c r="C2216" t="str">
        <f>"1.3153"</f>
        <v>1.3153</v>
      </c>
    </row>
    <row r="2217" spans="1:3" x14ac:dyDescent="0.25">
      <c r="A2217" t="str">
        <f>"02/08/2018"</f>
        <v>02/08/2018</v>
      </c>
      <c r="B2217" t="str">
        <f>"1.3094"</f>
        <v>1.3094</v>
      </c>
      <c r="C2217" t="str">
        <f>"1.311"</f>
        <v>1.311</v>
      </c>
    </row>
    <row r="2218" spans="1:3" x14ac:dyDescent="0.25">
      <c r="A2218" t="str">
        <f>"03/08/2018"</f>
        <v>03/08/2018</v>
      </c>
      <c r="B2218" t="str">
        <f>"1.3038"</f>
        <v>1.3038</v>
      </c>
      <c r="C2218" t="str">
        <f>"1.3054"</f>
        <v>1.3054</v>
      </c>
    </row>
    <row r="2219" spans="1:3" x14ac:dyDescent="0.25">
      <c r="A2219" t="str">
        <f>"06/08/2018"</f>
        <v>06/08/2018</v>
      </c>
      <c r="B2219" t="str">
        <f>"1.2929"</f>
        <v>1.2929</v>
      </c>
      <c r="C2219" t="str">
        <f>"1.2945"</f>
        <v>1.2945</v>
      </c>
    </row>
    <row r="2220" spans="1:3" x14ac:dyDescent="0.25">
      <c r="A2220" t="str">
        <f>"07/08/2018"</f>
        <v>07/08/2018</v>
      </c>
      <c r="B2220" t="str">
        <f>"1.2958"</f>
        <v>1.2958</v>
      </c>
      <c r="C2220" t="str">
        <f>"1.2974"</f>
        <v>1.2974</v>
      </c>
    </row>
    <row r="2221" spans="1:3" x14ac:dyDescent="0.25">
      <c r="A2221" t="str">
        <f>"08/08/2018"</f>
        <v>08/08/2018</v>
      </c>
      <c r="B2221" t="str">
        <f>"1.2867"</f>
        <v>1.2867</v>
      </c>
      <c r="C2221" t="str">
        <f>"1.2882"</f>
        <v>1.2882</v>
      </c>
    </row>
    <row r="2222" spans="1:3" x14ac:dyDescent="0.25">
      <c r="A2222" t="str">
        <f>"09/08/2018"</f>
        <v>09/08/2018</v>
      </c>
      <c r="B2222" t="str">
        <f>"1.289"</f>
        <v>1.289</v>
      </c>
      <c r="C2222" t="str">
        <f>"1.2905"</f>
        <v>1.2905</v>
      </c>
    </row>
    <row r="2223" spans="1:3" x14ac:dyDescent="0.25">
      <c r="A2223" t="str">
        <f>"10/08/2018"</f>
        <v>10/08/2018</v>
      </c>
      <c r="B2223" t="str">
        <f>"1.2766"</f>
        <v>1.2766</v>
      </c>
      <c r="C2223" t="str">
        <f>"1.2781"</f>
        <v>1.2781</v>
      </c>
    </row>
    <row r="2224" spans="1:3" x14ac:dyDescent="0.25">
      <c r="A2224" t="str">
        <f>"13/08/2018"</f>
        <v>13/08/2018</v>
      </c>
      <c r="B2224" t="str">
        <f>"1.2746"</f>
        <v>1.2746</v>
      </c>
      <c r="C2224" t="str">
        <f>"1.2762"</f>
        <v>1.2762</v>
      </c>
    </row>
    <row r="2225" spans="1:3" x14ac:dyDescent="0.25">
      <c r="A2225" t="str">
        <f>"14/08/2018"</f>
        <v>14/08/2018</v>
      </c>
      <c r="B2225" t="str">
        <f>"1.2769"</f>
        <v>1.2769</v>
      </c>
      <c r="C2225" t="str">
        <f>"1.2785"</f>
        <v>1.2785</v>
      </c>
    </row>
    <row r="2226" spans="1:3" x14ac:dyDescent="0.25">
      <c r="A2226" t="str">
        <f>"16/08/2018"</f>
        <v>16/08/2018</v>
      </c>
      <c r="B2226" t="str">
        <f>"1.2708"</f>
        <v>1.2708</v>
      </c>
      <c r="C2226" t="str">
        <f>"1.2723"</f>
        <v>1.2723</v>
      </c>
    </row>
    <row r="2227" spans="1:3" x14ac:dyDescent="0.25">
      <c r="A2227" t="str">
        <f>"20/08/2018"</f>
        <v>20/08/2018</v>
      </c>
      <c r="B2227" t="str">
        <f>"1.2762"</f>
        <v>1.2762</v>
      </c>
      <c r="C2227" t="str">
        <f>"1.2778"</f>
        <v>1.2778</v>
      </c>
    </row>
    <row r="2228" spans="1:3" x14ac:dyDescent="0.25">
      <c r="A2228" t="str">
        <f>"21/08/2018"</f>
        <v>21/08/2018</v>
      </c>
      <c r="B2228" t="str">
        <f>"1.2839"</f>
        <v>1.2839</v>
      </c>
      <c r="C2228" t="str">
        <f>"1.2854"</f>
        <v>1.2854</v>
      </c>
    </row>
    <row r="2229" spans="1:3" x14ac:dyDescent="0.25">
      <c r="A2229" t="str">
        <f>"23/08/2018"</f>
        <v>23/08/2018</v>
      </c>
      <c r="B2229" t="str">
        <f>"1.2893"</f>
        <v>1.2893</v>
      </c>
      <c r="C2229" t="str">
        <f>"1.2908"</f>
        <v>1.2908</v>
      </c>
    </row>
    <row r="2230" spans="1:3" x14ac:dyDescent="0.25">
      <c r="A2230" t="str">
        <f>"24/08/2018"</f>
        <v>24/08/2018</v>
      </c>
      <c r="B2230" t="str">
        <f>"1.2854"</f>
        <v>1.2854</v>
      </c>
      <c r="C2230" t="str">
        <f>"1.2869"</f>
        <v>1.2869</v>
      </c>
    </row>
    <row r="2231" spans="1:3" x14ac:dyDescent="0.25">
      <c r="A2231" t="str">
        <f>"27/08/2018"</f>
        <v>27/08/2018</v>
      </c>
      <c r="B2231" t="str">
        <f>"1.2856"</f>
        <v>1.2856</v>
      </c>
      <c r="C2231" t="str">
        <f>"1.2871"</f>
        <v>1.2871</v>
      </c>
    </row>
    <row r="2232" spans="1:3" x14ac:dyDescent="0.25">
      <c r="A2232" t="str">
        <f>"28/08/2018"</f>
        <v>28/08/2018</v>
      </c>
      <c r="B2232" t="str">
        <f>"1.2895"</f>
        <v>1.2895</v>
      </c>
      <c r="C2232" t="str">
        <f>"1.2909"</f>
        <v>1.2909</v>
      </c>
    </row>
    <row r="2233" spans="1:3" x14ac:dyDescent="0.25">
      <c r="A2233" t="str">
        <f>"29/08/2018"</f>
        <v>29/08/2018</v>
      </c>
      <c r="B2233" t="str">
        <f>"1.2888"</f>
        <v>1.2888</v>
      </c>
      <c r="C2233" t="str">
        <f>"1.2902"</f>
        <v>1.2902</v>
      </c>
    </row>
    <row r="2234" spans="1:3" x14ac:dyDescent="0.25">
      <c r="A2234" t="str">
        <f>"30/08/2018"</f>
        <v>30/08/2018</v>
      </c>
      <c r="B2234" t="str">
        <f>"1.3014"</f>
        <v>1.3014</v>
      </c>
      <c r="C2234" t="str">
        <f>"1.303"</f>
        <v>1.303</v>
      </c>
    </row>
    <row r="2235" spans="1:3" x14ac:dyDescent="0.25">
      <c r="A2235" t="str">
        <f>"31/08/2018"</f>
        <v>31/08/2018</v>
      </c>
      <c r="B2235" t="str">
        <f>"1.2951"</f>
        <v>1.2951</v>
      </c>
      <c r="C2235" t="str">
        <f>"1.3007"</f>
        <v>1.3007</v>
      </c>
    </row>
    <row r="2236" spans="1:3" x14ac:dyDescent="0.25">
      <c r="A2236" t="str">
        <f>"03/09/2018"</f>
        <v>03/09/2018</v>
      </c>
      <c r="B2236" t="str">
        <f>"1.2868"</f>
        <v>1.2868</v>
      </c>
      <c r="C2236" t="str">
        <f>"1.2884"</f>
        <v>1.2884</v>
      </c>
    </row>
    <row r="2237" spans="1:3" x14ac:dyDescent="0.25">
      <c r="A2237" t="str">
        <f>"04/09/2018"</f>
        <v>04/09/2018</v>
      </c>
      <c r="B2237" t="str">
        <f>"1.2821"</f>
        <v>1.2821</v>
      </c>
      <c r="C2237" t="str">
        <f>"1.2839"</f>
        <v>1.2839</v>
      </c>
    </row>
    <row r="2238" spans="1:3" x14ac:dyDescent="0.25">
      <c r="A2238" t="str">
        <f>"05/09/2018"</f>
        <v>05/09/2018</v>
      </c>
      <c r="B2238" t="str">
        <f>"1.2821"</f>
        <v>1.2821</v>
      </c>
      <c r="C2238" t="str">
        <f>"1.2838"</f>
        <v>1.2838</v>
      </c>
    </row>
    <row r="2239" spans="1:3" x14ac:dyDescent="0.25">
      <c r="A2239" t="str">
        <f>"06/09/2018"</f>
        <v>06/09/2018</v>
      </c>
      <c r="B2239" t="str">
        <f>"1.2936"</f>
        <v>1.2936</v>
      </c>
      <c r="C2239" t="str">
        <f>"1.2952"</f>
        <v>1.2952</v>
      </c>
    </row>
    <row r="2240" spans="1:3" x14ac:dyDescent="0.25">
      <c r="A2240" t="str">
        <f>"07/09/2018"</f>
        <v>07/09/2018</v>
      </c>
      <c r="B2240" t="str">
        <f>"1.299"</f>
        <v>1.299</v>
      </c>
      <c r="C2240" t="str">
        <f>"1.3006"</f>
        <v>1.3006</v>
      </c>
    </row>
    <row r="2241" spans="1:3" x14ac:dyDescent="0.25">
      <c r="A2241" t="str">
        <f>"10/09/2018"</f>
        <v>10/09/2018</v>
      </c>
      <c r="B2241" t="str">
        <f>"1.2926"</f>
        <v>1.2926</v>
      </c>
      <c r="C2241" t="str">
        <f>"1.2942"</f>
        <v>1.2942</v>
      </c>
    </row>
    <row r="2242" spans="1:3" x14ac:dyDescent="0.25">
      <c r="A2242" t="str">
        <f>"11/09/2018"</f>
        <v>11/09/2018</v>
      </c>
      <c r="B2242" t="str">
        <f>"1.304"</f>
        <v>1.304</v>
      </c>
      <c r="C2242" t="str">
        <f>"1.3058"</f>
        <v>1.3058</v>
      </c>
    </row>
    <row r="2243" spans="1:3" x14ac:dyDescent="0.25">
      <c r="A2243" t="str">
        <f>"12/09/2018"</f>
        <v>12/09/2018</v>
      </c>
      <c r="B2243" t="str">
        <f>"1.2988"</f>
        <v>1.2988</v>
      </c>
      <c r="C2243" t="str">
        <f>"1.3005"</f>
        <v>1.3005</v>
      </c>
    </row>
    <row r="2244" spans="1:3" x14ac:dyDescent="0.25">
      <c r="A2244" t="str">
        <f>"14/09/2018"</f>
        <v>14/09/2018</v>
      </c>
      <c r="B2244" t="str">
        <f>"1.3123"</f>
        <v>1.3123</v>
      </c>
      <c r="C2244" t="str">
        <f>"1.314"</f>
        <v>1.314</v>
      </c>
    </row>
    <row r="2245" spans="1:3" x14ac:dyDescent="0.25">
      <c r="A2245" t="str">
        <f>"17/09/2018"</f>
        <v>17/09/2018</v>
      </c>
      <c r="B2245" t="str">
        <f>"1.3114"</f>
        <v>1.3114</v>
      </c>
      <c r="C2245" t="str">
        <f>"1.3131"</f>
        <v>1.3131</v>
      </c>
    </row>
    <row r="2246" spans="1:3" x14ac:dyDescent="0.25">
      <c r="A2246" t="str">
        <f>"18/09/2018"</f>
        <v>18/09/2018</v>
      </c>
      <c r="B2246" t="str">
        <f>"1.3131"</f>
        <v>1.3131</v>
      </c>
      <c r="C2246" t="str">
        <f>"1.3149"</f>
        <v>1.3149</v>
      </c>
    </row>
    <row r="2247" spans="1:3" x14ac:dyDescent="0.25">
      <c r="A2247" t="str">
        <f>"19/09/2018"</f>
        <v>19/09/2018</v>
      </c>
      <c r="B2247" t="str">
        <f>"1.3137"</f>
        <v>1.3137</v>
      </c>
      <c r="C2247" t="str">
        <f>"1.3155"</f>
        <v>1.3155</v>
      </c>
    </row>
    <row r="2248" spans="1:3" x14ac:dyDescent="0.25">
      <c r="A2248" t="str">
        <f>"21/09/2018"</f>
        <v>21/09/2018</v>
      </c>
      <c r="B2248" t="str">
        <f>"1.3195"</f>
        <v>1.3195</v>
      </c>
      <c r="C2248" t="str">
        <f>"1.3212"</f>
        <v>1.3212</v>
      </c>
    </row>
    <row r="2249" spans="1:3" x14ac:dyDescent="0.25">
      <c r="A2249" t="str">
        <f>"24/09/2018"</f>
        <v>24/09/2018</v>
      </c>
      <c r="B2249" t="str">
        <f>"1.314"</f>
        <v>1.314</v>
      </c>
      <c r="C2249" t="str">
        <f>"1.3158"</f>
        <v>1.3158</v>
      </c>
    </row>
    <row r="2250" spans="1:3" x14ac:dyDescent="0.25">
      <c r="A2250" t="str">
        <f>"25/09/2018"</f>
        <v>25/09/2018</v>
      </c>
      <c r="B2250" t="str">
        <f>"1.3166"</f>
        <v>1.3166</v>
      </c>
      <c r="C2250" t="str">
        <f>"1.3185"</f>
        <v>1.3185</v>
      </c>
    </row>
    <row r="2251" spans="1:3" x14ac:dyDescent="0.25">
      <c r="A2251" t="str">
        <f>"26/09/2018"</f>
        <v>26/09/2018</v>
      </c>
      <c r="B2251" t="str">
        <f>"1.3147"</f>
        <v>1.3147</v>
      </c>
      <c r="C2251" t="str">
        <f>"1.3166"</f>
        <v>1.3166</v>
      </c>
    </row>
    <row r="2252" spans="1:3" x14ac:dyDescent="0.25">
      <c r="A2252" t="str">
        <f>"27/09/2018"</f>
        <v>27/09/2018</v>
      </c>
      <c r="B2252" t="str">
        <f>"1.3129"</f>
        <v>1.3129</v>
      </c>
      <c r="C2252" t="str">
        <f>"1.3147"</f>
        <v>1.3147</v>
      </c>
    </row>
    <row r="2253" spans="1:3" x14ac:dyDescent="0.25">
      <c r="A2253" t="str">
        <f>"28/09/2018"</f>
        <v>28/09/2018</v>
      </c>
      <c r="B2253" t="str">
        <f>"1.3024"</f>
        <v>1.3024</v>
      </c>
      <c r="C2253" t="str">
        <f>"1.3066"</f>
        <v>1.3066</v>
      </c>
    </row>
    <row r="2254" spans="1:3" x14ac:dyDescent="0.25">
      <c r="A2254" t="str">
        <f>"01/10/2018"</f>
        <v>01/10/2018</v>
      </c>
      <c r="B2254" t="str">
        <f>"1.3046"</f>
        <v>1.3046</v>
      </c>
      <c r="C2254" t="str">
        <f>"1.3065"</f>
        <v>1.3065</v>
      </c>
    </row>
    <row r="2255" spans="1:3" x14ac:dyDescent="0.25">
      <c r="A2255" t="str">
        <f>"03/10/2018"</f>
        <v>03/10/2018</v>
      </c>
      <c r="B2255" t="str">
        <f>"1.2973"</f>
        <v>1.2973</v>
      </c>
      <c r="C2255" t="str">
        <f>"1.299"</f>
        <v>1.299</v>
      </c>
    </row>
    <row r="2256" spans="1:3" x14ac:dyDescent="0.25">
      <c r="A2256" t="str">
        <f>"04/10/2018"</f>
        <v>04/10/2018</v>
      </c>
      <c r="B2256" t="str">
        <f>"1.2992"</f>
        <v>1.2992</v>
      </c>
      <c r="C2256" t="str">
        <f>"1.301"</f>
        <v>1.301</v>
      </c>
    </row>
    <row r="2257" spans="1:3" x14ac:dyDescent="0.25">
      <c r="A2257" t="str">
        <f>"05/10/2018"</f>
        <v>05/10/2018</v>
      </c>
      <c r="B2257" t="str">
        <f>"1.3047"</f>
        <v>1.3047</v>
      </c>
      <c r="C2257" t="str">
        <f>"1.3065"</f>
        <v>1.3065</v>
      </c>
    </row>
    <row r="2258" spans="1:3" x14ac:dyDescent="0.25">
      <c r="A2258" t="str">
        <f>"08/10/2018"</f>
        <v>08/10/2018</v>
      </c>
      <c r="B2258" t="str">
        <f>"1.3039"</f>
        <v>1.3039</v>
      </c>
      <c r="C2258" t="str">
        <f>"1.3058"</f>
        <v>1.3058</v>
      </c>
    </row>
    <row r="2259" spans="1:3" x14ac:dyDescent="0.25">
      <c r="A2259" t="str">
        <f>"09/10/2018"</f>
        <v>09/10/2018</v>
      </c>
      <c r="B2259" t="str">
        <f>"1.3041"</f>
        <v>1.3041</v>
      </c>
      <c r="C2259" t="str">
        <f>"1.306"</f>
        <v>1.306</v>
      </c>
    </row>
    <row r="2260" spans="1:3" x14ac:dyDescent="0.25">
      <c r="A2260" t="str">
        <f>"10/10/2018"</f>
        <v>10/10/2018</v>
      </c>
      <c r="B2260" t="str">
        <f>"1.3164"</f>
        <v>1.3164</v>
      </c>
      <c r="C2260" t="str">
        <f>"1.3183"</f>
        <v>1.3183</v>
      </c>
    </row>
    <row r="2261" spans="1:3" x14ac:dyDescent="0.25">
      <c r="A2261" t="str">
        <f>"11/10/2018"</f>
        <v>11/10/2018</v>
      </c>
      <c r="B2261" t="str">
        <f>"1.3223"</f>
        <v>1.3223</v>
      </c>
      <c r="C2261" t="str">
        <f>"1.3241"</f>
        <v>1.3241</v>
      </c>
    </row>
    <row r="2262" spans="1:3" x14ac:dyDescent="0.25">
      <c r="A2262" t="str">
        <f>"12/10/2018"</f>
        <v>12/10/2018</v>
      </c>
      <c r="B2262" t="str">
        <f>"1.321"</f>
        <v>1.321</v>
      </c>
      <c r="C2262" t="str">
        <f>"1.3228"</f>
        <v>1.3228</v>
      </c>
    </row>
    <row r="2263" spans="1:3" x14ac:dyDescent="0.25">
      <c r="A2263" t="str">
        <f>"15/10/2018"</f>
        <v>15/10/2018</v>
      </c>
      <c r="B2263" t="str">
        <f>"1.317"</f>
        <v>1.317</v>
      </c>
      <c r="C2263" t="str">
        <f>"1.3189"</f>
        <v>1.3189</v>
      </c>
    </row>
    <row r="2264" spans="1:3" x14ac:dyDescent="0.25">
      <c r="A2264" t="str">
        <f>"16/10/2018"</f>
        <v>16/10/2018</v>
      </c>
      <c r="B2264" t="str">
        <f>"1.322"</f>
        <v>1.322</v>
      </c>
      <c r="C2264" t="str">
        <f>"1.3239"</f>
        <v>1.3239</v>
      </c>
    </row>
    <row r="2265" spans="1:3" x14ac:dyDescent="0.25">
      <c r="A2265" t="str">
        <f>"17/10/2018"</f>
        <v>17/10/2018</v>
      </c>
      <c r="B2265" t="str">
        <f>"1.3112"</f>
        <v>1.3112</v>
      </c>
      <c r="C2265" t="str">
        <f>"1.313"</f>
        <v>1.313</v>
      </c>
    </row>
    <row r="2266" spans="1:3" x14ac:dyDescent="0.25">
      <c r="A2266" t="str">
        <f>"19/10/2018"</f>
        <v>19/10/2018</v>
      </c>
      <c r="B2266" t="str">
        <f>"1.3031"</f>
        <v>1.3031</v>
      </c>
      <c r="C2266" t="str">
        <f>"1.3049"</f>
        <v>1.3049</v>
      </c>
    </row>
    <row r="2267" spans="1:3" x14ac:dyDescent="0.25">
      <c r="A2267" t="str">
        <f>"22/10/2018"</f>
        <v>22/10/2018</v>
      </c>
      <c r="B2267" t="str">
        <f>"1.302"</f>
        <v>1.302</v>
      </c>
      <c r="C2267" t="str">
        <f>"1.3039"</f>
        <v>1.3039</v>
      </c>
    </row>
    <row r="2268" spans="1:3" x14ac:dyDescent="0.25">
      <c r="A2268" t="str">
        <f>"23/10/2018"</f>
        <v>23/10/2018</v>
      </c>
      <c r="B2268" t="str">
        <f>"1.2983"</f>
        <v>1.2983</v>
      </c>
      <c r="C2268" t="str">
        <f>"1.3001"</f>
        <v>1.3001</v>
      </c>
    </row>
    <row r="2269" spans="1:3" x14ac:dyDescent="0.25">
      <c r="A2269" t="str">
        <f>"24/10/2018"</f>
        <v>24/10/2018</v>
      </c>
      <c r="B2269" t="str">
        <f>"1.2914"</f>
        <v>1.2914</v>
      </c>
      <c r="C2269" t="str">
        <f>"1.2931"</f>
        <v>1.2931</v>
      </c>
    </row>
    <row r="2270" spans="1:3" x14ac:dyDescent="0.25">
      <c r="A2270" t="str">
        <f>"25/10/2018"</f>
        <v>25/10/2018</v>
      </c>
      <c r="B2270" t="str">
        <f>"1.2899"</f>
        <v>1.2899</v>
      </c>
      <c r="C2270" t="str">
        <f>"1.2916"</f>
        <v>1.2916</v>
      </c>
    </row>
    <row r="2271" spans="1:3" x14ac:dyDescent="0.25">
      <c r="A2271" t="str">
        <f>"26/10/2018"</f>
        <v>26/10/2018</v>
      </c>
      <c r="B2271" t="str">
        <f>"1.2794"</f>
        <v>1.2794</v>
      </c>
      <c r="C2271" t="str">
        <f>"1.2811"</f>
        <v>1.2811</v>
      </c>
    </row>
    <row r="2272" spans="1:3" x14ac:dyDescent="0.25">
      <c r="A2272" t="str">
        <f>"29/10/2018"</f>
        <v>29/10/2018</v>
      </c>
      <c r="B2272" t="str">
        <f>"1.2833"</f>
        <v>1.2833</v>
      </c>
      <c r="C2272" t="str">
        <f>"1.285"</f>
        <v>1.285</v>
      </c>
    </row>
    <row r="2273" spans="1:3" x14ac:dyDescent="0.25">
      <c r="A2273" t="str">
        <f>"30/10/2018"</f>
        <v>30/10/2018</v>
      </c>
      <c r="B2273" t="str">
        <f>"1.2804"</f>
        <v>1.2804</v>
      </c>
      <c r="C2273" t="str">
        <f>"1.2822"</f>
        <v>1.2822</v>
      </c>
    </row>
    <row r="2274" spans="1:3" x14ac:dyDescent="0.25">
      <c r="A2274" t="str">
        <f>"31/10/2018"</f>
        <v>31/10/2018</v>
      </c>
      <c r="B2274" t="str">
        <f>"1.2776"</f>
        <v>1.2776</v>
      </c>
      <c r="C2274" t="str">
        <f>"1.2793"</f>
        <v>1.2793</v>
      </c>
    </row>
    <row r="2275" spans="1:3" x14ac:dyDescent="0.25">
      <c r="A2275" t="str">
        <f>"01/11/2018"</f>
        <v>01/11/2018</v>
      </c>
      <c r="B2275" t="str">
        <f>"1.2895"</f>
        <v>1.2895</v>
      </c>
      <c r="C2275" t="str">
        <f>"1.2911"</f>
        <v>1.2911</v>
      </c>
    </row>
    <row r="2276" spans="1:3" x14ac:dyDescent="0.25">
      <c r="A2276" t="str">
        <f>"02/11/2018"</f>
        <v>02/11/2018</v>
      </c>
      <c r="B2276" t="str">
        <f>"1.3023"</f>
        <v>1.3023</v>
      </c>
      <c r="C2276" t="str">
        <f>"1.3039"</f>
        <v>1.3039</v>
      </c>
    </row>
    <row r="2277" spans="1:3" x14ac:dyDescent="0.25">
      <c r="A2277" t="str">
        <f>"05/11/2018"</f>
        <v>05/11/2018</v>
      </c>
      <c r="B2277" t="str">
        <f>"1.3008"</f>
        <v>1.3008</v>
      </c>
      <c r="C2277" t="str">
        <f>"1.3024"</f>
        <v>1.3024</v>
      </c>
    </row>
    <row r="2278" spans="1:3" x14ac:dyDescent="0.25">
      <c r="A2278" t="str">
        <f>"06/11/2018"</f>
        <v>06/11/2018</v>
      </c>
      <c r="B2278" t="str">
        <f>"1.3061"</f>
        <v>1.3061</v>
      </c>
      <c r="C2278" t="str">
        <f>"1.3079"</f>
        <v>1.3079</v>
      </c>
    </row>
    <row r="2279" spans="1:3" x14ac:dyDescent="0.25">
      <c r="A2279" t="str">
        <f>"09/11/2018"</f>
        <v>09/11/2018</v>
      </c>
      <c r="B2279" t="str">
        <f>"1.3048"</f>
        <v>1.3048</v>
      </c>
      <c r="C2279" t="str">
        <f>"1.3065"</f>
        <v>1.3065</v>
      </c>
    </row>
    <row r="2280" spans="1:3" x14ac:dyDescent="0.25">
      <c r="A2280" t="str">
        <f>"12/11/2018"</f>
        <v>12/11/2018</v>
      </c>
      <c r="B2280" t="str">
        <f>"1.2867"</f>
        <v>1.2867</v>
      </c>
      <c r="C2280" t="str">
        <f>"1.2884"</f>
        <v>1.2884</v>
      </c>
    </row>
    <row r="2281" spans="1:3" x14ac:dyDescent="0.25">
      <c r="A2281" t="str">
        <f>"13/11/2018"</f>
        <v>13/11/2018</v>
      </c>
      <c r="B2281" t="str">
        <f>"1.2918"</f>
        <v>1.2918</v>
      </c>
      <c r="C2281" t="str">
        <f>"1.2936"</f>
        <v>1.2936</v>
      </c>
    </row>
    <row r="2282" spans="1:3" x14ac:dyDescent="0.25">
      <c r="A2282" t="str">
        <f>"14/11/2018"</f>
        <v>14/11/2018</v>
      </c>
      <c r="B2282" t="str">
        <f>"1.2904"</f>
        <v>1.2904</v>
      </c>
      <c r="C2282" t="str">
        <f>"1.2921"</f>
        <v>1.2921</v>
      </c>
    </row>
    <row r="2283" spans="1:3" x14ac:dyDescent="0.25">
      <c r="A2283" t="str">
        <f>"15/11/2018"</f>
        <v>15/11/2018</v>
      </c>
      <c r="B2283" t="str">
        <f>"1.2831"</f>
        <v>1.2831</v>
      </c>
      <c r="C2283" t="str">
        <f>"1.2847"</f>
        <v>1.2847</v>
      </c>
    </row>
    <row r="2284" spans="1:3" x14ac:dyDescent="0.25">
      <c r="A2284" t="str">
        <f>"16/11/2018"</f>
        <v>16/11/2018</v>
      </c>
      <c r="B2284" t="str">
        <f>"1.2807"</f>
        <v>1.2807</v>
      </c>
      <c r="C2284" t="str">
        <f>"1.2823"</f>
        <v>1.2823</v>
      </c>
    </row>
    <row r="2285" spans="1:3" x14ac:dyDescent="0.25">
      <c r="A2285" t="str">
        <f>"19/11/2018"</f>
        <v>19/11/2018</v>
      </c>
      <c r="B2285" t="str">
        <f>"1.2878"</f>
        <v>1.2878</v>
      </c>
      <c r="C2285" t="str">
        <f>"1.2894"</f>
        <v>1.2894</v>
      </c>
    </row>
    <row r="2286" spans="1:3" x14ac:dyDescent="0.25">
      <c r="A2286" t="str">
        <f>"20/11/2018"</f>
        <v>20/11/2018</v>
      </c>
      <c r="B2286" t="str">
        <f>"1.2857"</f>
        <v>1.2857</v>
      </c>
      <c r="C2286" t="str">
        <f>"1.2874"</f>
        <v>1.2874</v>
      </c>
    </row>
    <row r="2287" spans="1:3" x14ac:dyDescent="0.25">
      <c r="A2287" t="str">
        <f>"22/11/2018"</f>
        <v>22/11/2018</v>
      </c>
      <c r="B2287" t="str">
        <f>"1.287"</f>
        <v>1.287</v>
      </c>
      <c r="C2287" t="str">
        <f>"1.2887"</f>
        <v>1.2887</v>
      </c>
    </row>
    <row r="2288" spans="1:3" x14ac:dyDescent="0.25">
      <c r="A2288" t="str">
        <f>"26/11/2018"</f>
        <v>26/11/2018</v>
      </c>
      <c r="B2288" t="str">
        <f>"1.2852"</f>
        <v>1.2852</v>
      </c>
      <c r="C2288" t="str">
        <f>"1.2869"</f>
        <v>1.2869</v>
      </c>
    </row>
    <row r="2289" spans="1:3" x14ac:dyDescent="0.25">
      <c r="A2289" t="str">
        <f>"27/11/2018"</f>
        <v>27/11/2018</v>
      </c>
      <c r="B2289" t="str">
        <f>"1.2756"</f>
        <v>1.2756</v>
      </c>
      <c r="C2289" t="str">
        <f>"1.2774"</f>
        <v>1.2774</v>
      </c>
    </row>
    <row r="2290" spans="1:3" x14ac:dyDescent="0.25">
      <c r="A2290" t="str">
        <f>"28/11/2018"</f>
        <v>28/11/2018</v>
      </c>
      <c r="B2290" t="str">
        <f>"1.2783"</f>
        <v>1.2783</v>
      </c>
      <c r="C2290" t="str">
        <f>"1.2801"</f>
        <v>1.2801</v>
      </c>
    </row>
    <row r="2291" spans="1:3" x14ac:dyDescent="0.25">
      <c r="A2291" t="str">
        <f>"29/11/2018"</f>
        <v>29/11/2018</v>
      </c>
      <c r="B2291" t="str">
        <f>"1.2762"</f>
        <v>1.2762</v>
      </c>
      <c r="C2291" t="str">
        <f>"1.2784"</f>
        <v>1.2784</v>
      </c>
    </row>
    <row r="2292" spans="1:3" x14ac:dyDescent="0.25">
      <c r="A2292" t="str">
        <f>"30/11/2018"</f>
        <v>30/11/2018</v>
      </c>
      <c r="B2292" t="str">
        <f>"1.2752"</f>
        <v>1.2752</v>
      </c>
      <c r="C2292" t="str">
        <f>"1.2775"</f>
        <v>1.2775</v>
      </c>
    </row>
    <row r="2293" spans="1:3" x14ac:dyDescent="0.25">
      <c r="A2293" t="str">
        <f>"03/12/2018"</f>
        <v>03/12/2018</v>
      </c>
      <c r="B2293" t="str">
        <f>"1.2724"</f>
        <v>1.2724</v>
      </c>
      <c r="C2293" t="str">
        <f>"1.2752"</f>
        <v>1.2752</v>
      </c>
    </row>
    <row r="2294" spans="1:3" x14ac:dyDescent="0.25">
      <c r="A2294" t="str">
        <f>"04/12/2018"</f>
        <v>04/12/2018</v>
      </c>
      <c r="B2294" t="str">
        <f>"1.2816"</f>
        <v>1.2816</v>
      </c>
      <c r="C2294" t="str">
        <f>"1.2843"</f>
        <v>1.2843</v>
      </c>
    </row>
    <row r="2295" spans="1:3" x14ac:dyDescent="0.25">
      <c r="A2295" t="str">
        <f>"05/12/2018"</f>
        <v>05/12/2018</v>
      </c>
      <c r="B2295" t="str">
        <f>"1.2783"</f>
        <v>1.2783</v>
      </c>
      <c r="C2295" t="str">
        <f>"1.2808"</f>
        <v>1.2808</v>
      </c>
    </row>
    <row r="2296" spans="1:3" x14ac:dyDescent="0.25">
      <c r="A2296" t="str">
        <f>"06/12/2018"</f>
        <v>06/12/2018</v>
      </c>
      <c r="B2296" t="str">
        <f>"1.2739"</f>
        <v>1.2739</v>
      </c>
      <c r="C2296" t="str">
        <f>"1.2764"</f>
        <v>1.2764</v>
      </c>
    </row>
    <row r="2297" spans="1:3" x14ac:dyDescent="0.25">
      <c r="A2297" t="str">
        <f>"07/12/2018"</f>
        <v>07/12/2018</v>
      </c>
      <c r="B2297" t="str">
        <f>"1.2765"</f>
        <v>1.2765</v>
      </c>
      <c r="C2297" t="str">
        <f>"1.279"</f>
        <v>1.279</v>
      </c>
    </row>
    <row r="2298" spans="1:3" x14ac:dyDescent="0.25">
      <c r="A2298" t="str">
        <f>"10/12/2018"</f>
        <v>10/12/2018</v>
      </c>
      <c r="B2298" t="str">
        <f>"1.2713"</f>
        <v>1.2713</v>
      </c>
      <c r="C2298" t="str">
        <f>"1.2739"</f>
        <v>1.2739</v>
      </c>
    </row>
    <row r="2299" spans="1:3" x14ac:dyDescent="0.25">
      <c r="A2299" t="str">
        <f>"11/12/2018"</f>
        <v>11/12/2018</v>
      </c>
      <c r="B2299" t="str">
        <f>"1.2623"</f>
        <v>1.2623</v>
      </c>
      <c r="C2299" t="str">
        <f>"1.2649"</f>
        <v>1.2649</v>
      </c>
    </row>
    <row r="2300" spans="1:3" x14ac:dyDescent="0.25">
      <c r="A2300" t="str">
        <f>"12/12/2018"</f>
        <v>12/12/2018</v>
      </c>
      <c r="B2300" t="str">
        <f>"1.2507"</f>
        <v>1.2507</v>
      </c>
      <c r="C2300" t="str">
        <f>"1.2532"</f>
        <v>1.2532</v>
      </c>
    </row>
    <row r="2301" spans="1:3" x14ac:dyDescent="0.25">
      <c r="A2301" t="str">
        <f>"13/12/2018"</f>
        <v>13/12/2018</v>
      </c>
      <c r="B2301" t="str">
        <f>"1.2649"</f>
        <v>1.2649</v>
      </c>
      <c r="C2301" t="str">
        <f>"1.2672"</f>
        <v>1.2672</v>
      </c>
    </row>
    <row r="2302" spans="1:3" x14ac:dyDescent="0.25">
      <c r="A2302" t="str">
        <f>"14/12/2018"</f>
        <v>14/12/2018</v>
      </c>
      <c r="B2302" t="str">
        <f>"1.2573"</f>
        <v>1.2573</v>
      </c>
      <c r="C2302" t="str">
        <f>"1.2596"</f>
        <v>1.2596</v>
      </c>
    </row>
    <row r="2303" spans="1:3" x14ac:dyDescent="0.25">
      <c r="A2303" t="str">
        <f>"17/12/2018"</f>
        <v>17/12/2018</v>
      </c>
      <c r="B2303" t="str">
        <f>"1.2626"</f>
        <v>1.2626</v>
      </c>
      <c r="C2303" t="str">
        <f>"1.2651"</f>
        <v>1.2651</v>
      </c>
    </row>
    <row r="2304" spans="1:3" x14ac:dyDescent="0.25">
      <c r="A2304" t="str">
        <f>"18/12/2018"</f>
        <v>18/12/2018</v>
      </c>
      <c r="B2304" t="str">
        <f>"1.2684"</f>
        <v>1.2684</v>
      </c>
      <c r="C2304" t="str">
        <f>"1.2708"</f>
        <v>1.2708</v>
      </c>
    </row>
    <row r="2305" spans="1:3" x14ac:dyDescent="0.25">
      <c r="A2305" t="str">
        <f>"19/12/2018"</f>
        <v>19/12/2018</v>
      </c>
      <c r="B2305" t="str">
        <f>"1.2636"</f>
        <v>1.2636</v>
      </c>
      <c r="C2305" t="str">
        <f>"1.2659"</f>
        <v>1.2659</v>
      </c>
    </row>
    <row r="2306" spans="1:3" x14ac:dyDescent="0.25">
      <c r="A2306" t="str">
        <f>"20/12/2018"</f>
        <v>20/12/2018</v>
      </c>
      <c r="B2306" t="str">
        <f>"1.2694"</f>
        <v>1.2694</v>
      </c>
      <c r="C2306" t="str">
        <f>"1.2717"</f>
        <v>1.2717</v>
      </c>
    </row>
    <row r="2307" spans="1:3" x14ac:dyDescent="0.25">
      <c r="A2307" t="str">
        <f>"21/12/2018"</f>
        <v>21/12/2018</v>
      </c>
      <c r="B2307" t="str">
        <f>"1.2667"</f>
        <v>1.2667</v>
      </c>
      <c r="C2307" t="str">
        <f>"1.2689"</f>
        <v>1.2689</v>
      </c>
    </row>
    <row r="2308" spans="1:3" x14ac:dyDescent="0.25">
      <c r="A2308" t="str">
        <f>"24/12/2018"</f>
        <v>24/12/2018</v>
      </c>
      <c r="B2308" t="str">
        <f>"1.2646"</f>
        <v>1.2646</v>
      </c>
      <c r="C2308" t="str">
        <f>"1.2667"</f>
        <v>1.2667</v>
      </c>
    </row>
    <row r="2309" spans="1:3" x14ac:dyDescent="0.25">
      <c r="A2309" t="str">
        <f>"26/12/2018"</f>
        <v>26/12/2018</v>
      </c>
      <c r="B2309" t="str">
        <f>"1.2685"</f>
        <v>1.2685</v>
      </c>
      <c r="C2309" t="str">
        <f>"1.2705"</f>
        <v>1.2705</v>
      </c>
    </row>
    <row r="2310" spans="1:3" x14ac:dyDescent="0.25">
      <c r="A2310" t="str">
        <f>"27/12/2018"</f>
        <v>27/12/2018</v>
      </c>
      <c r="B2310" t="str">
        <f>"1.2634"</f>
        <v>1.2634</v>
      </c>
      <c r="C2310" t="str">
        <f>"1.2654"</f>
        <v>1.2654</v>
      </c>
    </row>
    <row r="2311" spans="1:3" x14ac:dyDescent="0.25">
      <c r="A2311" t="str">
        <f>"28/12/2018"</f>
        <v>28/12/2018</v>
      </c>
      <c r="B2311" t="str">
        <f>"1.2664"</f>
        <v>1.2664</v>
      </c>
      <c r="C2311" t="str">
        <f>"1.2685"</f>
        <v>1.2685</v>
      </c>
    </row>
    <row r="2312" spans="1:3" x14ac:dyDescent="0.25">
      <c r="A2312" t="str">
        <f>"31/12/2018"</f>
        <v>31/12/2018</v>
      </c>
      <c r="B2312" t="str">
        <f>"1.2764"</f>
        <v>1.2764</v>
      </c>
      <c r="C2312" t="str">
        <f>"1.2784"</f>
        <v>1.2784</v>
      </c>
    </row>
    <row r="2313" spans="1:3" x14ac:dyDescent="0.25">
      <c r="A2313" t="str">
        <f>"01/01/2019"</f>
        <v>01/01/2019</v>
      </c>
      <c r="B2313" t="str">
        <f>"1.2558"</f>
        <v>1.2558</v>
      </c>
      <c r="C2313" t="str">
        <f>"1.2578"</f>
        <v>1.2578</v>
      </c>
    </row>
    <row r="2314" spans="1:3" x14ac:dyDescent="0.25">
      <c r="A2314" t="str">
        <f>"02/01/2019"</f>
        <v>02/01/2019</v>
      </c>
      <c r="B2314" t="str">
        <f>"1.2668"</f>
        <v>1.2668</v>
      </c>
      <c r="C2314" t="str">
        <f>"1.2687"</f>
        <v>1.2687</v>
      </c>
    </row>
    <row r="2315" spans="1:3" x14ac:dyDescent="0.25">
      <c r="A2315" t="str">
        <f>"03/01/2019"</f>
        <v>03/01/2019</v>
      </c>
      <c r="B2315" t="str">
        <f>"1.2564"</f>
        <v>1.2564</v>
      </c>
      <c r="C2315" t="str">
        <f>"1.2583"</f>
        <v>1.2583</v>
      </c>
    </row>
    <row r="2316" spans="1:3" x14ac:dyDescent="0.25">
      <c r="A2316" t="str">
        <f>"04/01/2019"</f>
        <v>04/01/2019</v>
      </c>
      <c r="B2316" t="str">
        <f>"1.2674"</f>
        <v>1.2674</v>
      </c>
      <c r="C2316" t="str">
        <f>"1.2693"</f>
        <v>1.2693</v>
      </c>
    </row>
    <row r="2317" spans="1:3" x14ac:dyDescent="0.25">
      <c r="A2317" t="str">
        <f>"07/01/2019"</f>
        <v>07/01/2019</v>
      </c>
      <c r="B2317" t="str">
        <f>"1.2736"</f>
        <v>1.2736</v>
      </c>
      <c r="C2317" t="str">
        <f>"1.2757"</f>
        <v>1.2757</v>
      </c>
    </row>
    <row r="2318" spans="1:3" x14ac:dyDescent="0.25">
      <c r="A2318" t="str">
        <f>"08/01/2019"</f>
        <v>08/01/2019</v>
      </c>
      <c r="B2318" t="str">
        <f>"1.2757"</f>
        <v>1.2757</v>
      </c>
      <c r="C2318" t="str">
        <f>"1.2777"</f>
        <v>1.2777</v>
      </c>
    </row>
    <row r="2319" spans="1:3" x14ac:dyDescent="0.25">
      <c r="A2319" t="str">
        <f>"09/01/2019"</f>
        <v>09/01/2019</v>
      </c>
      <c r="B2319" t="str">
        <f>"1.273"</f>
        <v>1.273</v>
      </c>
      <c r="C2319" t="str">
        <f>"1.2749"</f>
        <v>1.2749</v>
      </c>
    </row>
    <row r="2320" spans="1:3" x14ac:dyDescent="0.25">
      <c r="A2320" t="str">
        <f>"10/01/2019"</f>
        <v>10/01/2019</v>
      </c>
      <c r="B2320" t="str">
        <f>"1.2742"</f>
        <v>1.2742</v>
      </c>
      <c r="C2320" t="str">
        <f>"1.2761"</f>
        <v>1.2761</v>
      </c>
    </row>
    <row r="2321" spans="1:3" x14ac:dyDescent="0.25">
      <c r="A2321" t="str">
        <f>"11/01/2019"</f>
        <v>11/01/2019</v>
      </c>
      <c r="B2321" t="str">
        <f>"1.2787"</f>
        <v>1.2787</v>
      </c>
      <c r="C2321" t="str">
        <f>"1.2806"</f>
        <v>1.2806</v>
      </c>
    </row>
    <row r="2322" spans="1:3" x14ac:dyDescent="0.25">
      <c r="A2322" t="str">
        <f>"14/01/2019"</f>
        <v>14/01/2019</v>
      </c>
      <c r="B2322" t="str">
        <f>"1.2867"</f>
        <v>1.2867</v>
      </c>
      <c r="C2322" t="str">
        <f>"1.2889"</f>
        <v>1.2889</v>
      </c>
    </row>
    <row r="2323" spans="1:3" x14ac:dyDescent="0.25">
      <c r="A2323" t="str">
        <f>"15/01/2019"</f>
        <v>15/01/2019</v>
      </c>
      <c r="B2323" t="str">
        <f>"1.2852"</f>
        <v>1.2852</v>
      </c>
      <c r="C2323" t="str">
        <f>"1.2873"</f>
        <v>1.2873</v>
      </c>
    </row>
    <row r="2324" spans="1:3" x14ac:dyDescent="0.25">
      <c r="A2324" t="str">
        <f>"16/01/2019"</f>
        <v>16/01/2019</v>
      </c>
      <c r="B2324" t="str">
        <f>"1.2856"</f>
        <v>1.2856</v>
      </c>
      <c r="C2324" t="str">
        <f>"1.2877"</f>
        <v>1.2877</v>
      </c>
    </row>
    <row r="2325" spans="1:3" x14ac:dyDescent="0.25">
      <c r="A2325" t="str">
        <f>"17/01/2019"</f>
        <v>17/01/2019</v>
      </c>
      <c r="B2325" t="str">
        <f>"1.2898"</f>
        <v>1.2898</v>
      </c>
      <c r="C2325" t="str">
        <f>"1.2918"</f>
        <v>1.2918</v>
      </c>
    </row>
    <row r="2326" spans="1:3" x14ac:dyDescent="0.25">
      <c r="A2326" t="str">
        <f>"18/01/2019"</f>
        <v>18/01/2019</v>
      </c>
      <c r="B2326" t="str">
        <f>"1.2946"</f>
        <v>1.2946</v>
      </c>
      <c r="C2326" t="str">
        <f>"1.2966"</f>
        <v>1.2966</v>
      </c>
    </row>
    <row r="2327" spans="1:3" x14ac:dyDescent="0.25">
      <c r="A2327" t="str">
        <f>"21/01/2019"</f>
        <v>21/01/2019</v>
      </c>
      <c r="B2327" t="str">
        <f>"1.287"</f>
        <v>1.287</v>
      </c>
      <c r="C2327" t="str">
        <f>"1.2891"</f>
        <v>1.2891</v>
      </c>
    </row>
    <row r="2328" spans="1:3" x14ac:dyDescent="0.25">
      <c r="A2328" t="str">
        <f>"22/01/2019"</f>
        <v>22/01/2019</v>
      </c>
      <c r="B2328" t="str">
        <f>"1.2913"</f>
        <v>1.2913</v>
      </c>
      <c r="C2328" t="str">
        <f>"1.2934"</f>
        <v>1.2934</v>
      </c>
    </row>
    <row r="2329" spans="1:3" x14ac:dyDescent="0.25">
      <c r="A2329" t="str">
        <f>"23/01/2019"</f>
        <v>23/01/2019</v>
      </c>
      <c r="B2329" t="str">
        <f>"1.3021"</f>
        <v>1.3021</v>
      </c>
      <c r="C2329" t="str">
        <f>"1.3042"</f>
        <v>1.3042</v>
      </c>
    </row>
    <row r="2330" spans="1:3" x14ac:dyDescent="0.25">
      <c r="A2330" t="str">
        <f>"24/01/2019"</f>
        <v>24/01/2019</v>
      </c>
      <c r="B2330" t="str">
        <f>"1.3025"</f>
        <v>1.3025</v>
      </c>
      <c r="C2330" t="str">
        <f>"1.3045"</f>
        <v>1.3045</v>
      </c>
    </row>
    <row r="2331" spans="1:3" x14ac:dyDescent="0.25">
      <c r="A2331" t="str">
        <f>"25/01/2019"</f>
        <v>25/01/2019</v>
      </c>
      <c r="B2331" t="str">
        <f>"1.3093"</f>
        <v>1.3093</v>
      </c>
      <c r="C2331" t="str">
        <f>"1.3113"</f>
        <v>1.3113</v>
      </c>
    </row>
    <row r="2332" spans="1:3" x14ac:dyDescent="0.25">
      <c r="A2332" t="str">
        <f>"28/01/2019"</f>
        <v>28/01/2019</v>
      </c>
      <c r="B2332" t="str">
        <f>"1.3174"</f>
        <v>1.3174</v>
      </c>
      <c r="C2332" t="str">
        <f>"1.3194"</f>
        <v>1.3194</v>
      </c>
    </row>
    <row r="2333" spans="1:3" x14ac:dyDescent="0.25">
      <c r="A2333" t="str">
        <f>"29/01/2019"</f>
        <v>29/01/2019</v>
      </c>
      <c r="B2333" t="str">
        <f>"1.315"</f>
        <v>1.315</v>
      </c>
      <c r="C2333" t="str">
        <f>"1.3169"</f>
        <v>1.3169</v>
      </c>
    </row>
    <row r="2334" spans="1:3" x14ac:dyDescent="0.25">
      <c r="A2334" t="str">
        <f>"30/01/2019"</f>
        <v>30/01/2019</v>
      </c>
      <c r="B2334" t="str">
        <f>"1.3098"</f>
        <v>1.3098</v>
      </c>
      <c r="C2334" t="str">
        <f>"1.3117"</f>
        <v>1.3117</v>
      </c>
    </row>
    <row r="2335" spans="1:3" x14ac:dyDescent="0.25">
      <c r="A2335" t="str">
        <f>"31/01/2019"</f>
        <v>31/01/2019</v>
      </c>
      <c r="B2335" t="str">
        <f>"1.3131"</f>
        <v>1.3131</v>
      </c>
      <c r="C2335" t="str">
        <f>"1.315"</f>
        <v>1.315</v>
      </c>
    </row>
    <row r="2336" spans="1:3" x14ac:dyDescent="0.25">
      <c r="A2336" t="str">
        <f>"01/02/2019"</f>
        <v>01/02/2019</v>
      </c>
      <c r="B2336" t="str">
        <f>"1.3066"</f>
        <v>1.3066</v>
      </c>
      <c r="C2336" t="str">
        <f>"1.3084"</f>
        <v>1.3084</v>
      </c>
    </row>
    <row r="2337" spans="1:3" x14ac:dyDescent="0.25">
      <c r="A2337" t="str">
        <f>"04/02/2019"</f>
        <v>04/02/2019</v>
      </c>
      <c r="B2337" t="str">
        <f>"1.3057"</f>
        <v>1.3057</v>
      </c>
      <c r="C2337" t="str">
        <f>"1.3076"</f>
        <v>1.3076</v>
      </c>
    </row>
    <row r="2338" spans="1:3" x14ac:dyDescent="0.25">
      <c r="A2338" t="str">
        <f>"05/02/2019"</f>
        <v>05/02/2019</v>
      </c>
      <c r="B2338" t="str">
        <f>"1.3005"</f>
        <v>1.3005</v>
      </c>
      <c r="C2338" t="str">
        <f>"1.3024"</f>
        <v>1.3024</v>
      </c>
    </row>
    <row r="2339" spans="1:3" x14ac:dyDescent="0.25">
      <c r="A2339" t="str">
        <f>"06/02/2019"</f>
        <v>06/02/2019</v>
      </c>
      <c r="B2339" t="str">
        <f>"1.2956"</f>
        <v>1.2956</v>
      </c>
      <c r="C2339" t="str">
        <f>"1.2974"</f>
        <v>1.2974</v>
      </c>
    </row>
    <row r="2340" spans="1:3" x14ac:dyDescent="0.25">
      <c r="A2340" t="str">
        <f>"07/02/2019"</f>
        <v>07/02/2019</v>
      </c>
      <c r="B2340" t="str">
        <f>"1.2901"</f>
        <v>1.2901</v>
      </c>
      <c r="C2340" t="str">
        <f>"1.2919"</f>
        <v>1.2919</v>
      </c>
    </row>
    <row r="2341" spans="1:3" x14ac:dyDescent="0.25">
      <c r="A2341" t="str">
        <f>"08/02/2019"</f>
        <v>08/02/2019</v>
      </c>
      <c r="B2341" t="str">
        <f>"1.2962"</f>
        <v>1.2962</v>
      </c>
      <c r="C2341" t="str">
        <f>"1.298"</f>
        <v>1.298</v>
      </c>
    </row>
    <row r="2342" spans="1:3" x14ac:dyDescent="0.25">
      <c r="A2342" t="str">
        <f>"11/02/2019"</f>
        <v>11/02/2019</v>
      </c>
      <c r="B2342" t="str">
        <f>"1.2924"</f>
        <v>1.2924</v>
      </c>
      <c r="C2342" t="str">
        <f>"1.2942"</f>
        <v>1.2942</v>
      </c>
    </row>
    <row r="2343" spans="1:3" x14ac:dyDescent="0.25">
      <c r="A2343" t="str">
        <f>"12/02/2019"</f>
        <v>12/02/2019</v>
      </c>
      <c r="B2343" t="str">
        <f>"1.2863"</f>
        <v>1.2863</v>
      </c>
      <c r="C2343" t="str">
        <f>"1.2881"</f>
        <v>1.2881</v>
      </c>
    </row>
    <row r="2344" spans="1:3" x14ac:dyDescent="0.25">
      <c r="A2344" t="str">
        <f>"13/02/2019"</f>
        <v>13/02/2019</v>
      </c>
      <c r="B2344" t="str">
        <f>"1.2917"</f>
        <v>1.2917</v>
      </c>
      <c r="C2344" t="str">
        <f>"1.2935"</f>
        <v>1.2935</v>
      </c>
    </row>
    <row r="2345" spans="1:3" x14ac:dyDescent="0.25">
      <c r="A2345" t="str">
        <f>"14/02/2019"</f>
        <v>14/02/2019</v>
      </c>
      <c r="B2345" t="str">
        <f>"1.2824"</f>
        <v>1.2824</v>
      </c>
      <c r="C2345" t="str">
        <f>"1.2842"</f>
        <v>1.2842</v>
      </c>
    </row>
    <row r="2346" spans="1:3" x14ac:dyDescent="0.25">
      <c r="A2346" t="str">
        <f>"15/02/2019"</f>
        <v>15/02/2019</v>
      </c>
      <c r="B2346" t="str">
        <f>"1.2817"</f>
        <v>1.2817</v>
      </c>
      <c r="C2346" t="str">
        <f>"1.2835"</f>
        <v>1.2835</v>
      </c>
    </row>
    <row r="2347" spans="1:3" x14ac:dyDescent="0.25">
      <c r="A2347" t="str">
        <f>"18/02/2019"</f>
        <v>18/02/2019</v>
      </c>
      <c r="B2347" t="str">
        <f>"1.2912"</f>
        <v>1.2912</v>
      </c>
      <c r="C2347" t="str">
        <f>"1.293"</f>
        <v>1.293</v>
      </c>
    </row>
    <row r="2348" spans="1:3" x14ac:dyDescent="0.25">
      <c r="A2348" t="str">
        <f>"20/02/2019"</f>
        <v>20/02/2019</v>
      </c>
      <c r="B2348" t="str">
        <f>"1.3023"</f>
        <v>1.3023</v>
      </c>
      <c r="C2348" t="str">
        <f>"1.3041"</f>
        <v>1.3041</v>
      </c>
    </row>
    <row r="2349" spans="1:3" x14ac:dyDescent="0.25">
      <c r="A2349" t="str">
        <f>"21/02/2019"</f>
        <v>21/02/2019</v>
      </c>
      <c r="B2349" t="str">
        <f>"1.3045"</f>
        <v>1.3045</v>
      </c>
      <c r="C2349" t="str">
        <f>"1.3063"</f>
        <v>1.3063</v>
      </c>
    </row>
    <row r="2350" spans="1:3" x14ac:dyDescent="0.25">
      <c r="A2350" t="str">
        <f>"22/02/2019"</f>
        <v>22/02/2019</v>
      </c>
      <c r="B2350" t="str">
        <f>"1.3014"</f>
        <v>1.3014</v>
      </c>
      <c r="C2350" t="str">
        <f>"1.3032"</f>
        <v>1.3032</v>
      </c>
    </row>
    <row r="2351" spans="1:3" x14ac:dyDescent="0.25">
      <c r="A2351" t="str">
        <f>"25/02/2019"</f>
        <v>25/02/2019</v>
      </c>
      <c r="B2351" t="str">
        <f>"1.308"</f>
        <v>1.308</v>
      </c>
      <c r="C2351" t="str">
        <f>"1.3099"</f>
        <v>1.3099</v>
      </c>
    </row>
    <row r="2352" spans="1:3" x14ac:dyDescent="0.25">
      <c r="A2352" t="str">
        <f>"26/02/2019"</f>
        <v>26/02/2019</v>
      </c>
      <c r="B2352" t="str">
        <f>"1.3199"</f>
        <v>1.3199</v>
      </c>
      <c r="C2352" t="str">
        <f>"1.3218"</f>
        <v>1.3218</v>
      </c>
    </row>
    <row r="2353" spans="1:3" x14ac:dyDescent="0.25">
      <c r="A2353" t="str">
        <f>"27/02/2019"</f>
        <v>27/02/2019</v>
      </c>
      <c r="B2353" t="str">
        <f>"1.3315"</f>
        <v>1.3315</v>
      </c>
      <c r="C2353" t="str">
        <f>"1.3336"</f>
        <v>1.3336</v>
      </c>
    </row>
    <row r="2354" spans="1:3" x14ac:dyDescent="0.25">
      <c r="A2354" t="str">
        <f>"28/02/2019"</f>
        <v>28/02/2019</v>
      </c>
      <c r="B2354" t="str">
        <f>"1.33"</f>
        <v>1.33</v>
      </c>
      <c r="C2354" t="str">
        <f>"1.3321"</f>
        <v>1.3321</v>
      </c>
    </row>
    <row r="2355" spans="1:3" x14ac:dyDescent="0.25">
      <c r="A2355" t="str">
        <f>"01/03/2019"</f>
        <v>01/03/2019</v>
      </c>
      <c r="B2355" t="str">
        <f>"1.3238"</f>
        <v>1.3238</v>
      </c>
      <c r="C2355" t="str">
        <f>"1.3259"</f>
        <v>1.3259</v>
      </c>
    </row>
    <row r="2356" spans="1:3" x14ac:dyDescent="0.25">
      <c r="A2356" t="str">
        <f>"05/03/2019"</f>
        <v>05/03/2019</v>
      </c>
      <c r="B2356" t="str">
        <f>"1.3165"</f>
        <v>1.3165</v>
      </c>
      <c r="C2356" t="str">
        <f>"1.3186"</f>
        <v>1.3186</v>
      </c>
    </row>
    <row r="2357" spans="1:3" x14ac:dyDescent="0.25">
      <c r="A2357" t="str">
        <f>"06/03/2019"</f>
        <v>06/03/2019</v>
      </c>
      <c r="B2357" t="str">
        <f>"1.3139"</f>
        <v>1.3139</v>
      </c>
      <c r="C2357" t="str">
        <f>"1.316"</f>
        <v>1.316</v>
      </c>
    </row>
    <row r="2358" spans="1:3" x14ac:dyDescent="0.25">
      <c r="A2358" t="str">
        <f>"07/03/2019"</f>
        <v>07/03/2019</v>
      </c>
      <c r="B2358" t="str">
        <f>"1.3138"</f>
        <v>1.3138</v>
      </c>
      <c r="C2358" t="str">
        <f>"1.3158"</f>
        <v>1.3158</v>
      </c>
    </row>
    <row r="2359" spans="1:3" x14ac:dyDescent="0.25">
      <c r="A2359" t="str">
        <f>"08/03/2019"</f>
        <v>08/03/2019</v>
      </c>
      <c r="B2359" t="str">
        <f>"1.3075"</f>
        <v>1.3075</v>
      </c>
      <c r="C2359" t="str">
        <f>"1.3095"</f>
        <v>1.3095</v>
      </c>
    </row>
    <row r="2360" spans="1:3" x14ac:dyDescent="0.25">
      <c r="A2360" t="str">
        <f>"11/03/2019"</f>
        <v>11/03/2019</v>
      </c>
      <c r="B2360" t="str">
        <f>"1.3018"</f>
        <v>1.3018</v>
      </c>
      <c r="C2360" t="str">
        <f>"1.304"</f>
        <v>1.304</v>
      </c>
    </row>
    <row r="2361" spans="1:3" x14ac:dyDescent="0.25">
      <c r="A2361" t="str">
        <f>"12/03/2019"</f>
        <v>12/03/2019</v>
      </c>
      <c r="B2361" t="str">
        <f>"1.3044"</f>
        <v>1.3044</v>
      </c>
      <c r="C2361" t="str">
        <f>"1.3065"</f>
        <v>1.3065</v>
      </c>
    </row>
    <row r="2362" spans="1:3" x14ac:dyDescent="0.25">
      <c r="A2362" t="str">
        <f>"13/03/2019"</f>
        <v>13/03/2019</v>
      </c>
      <c r="B2362" t="str">
        <f>"1.3089"</f>
        <v>1.3089</v>
      </c>
      <c r="C2362" t="str">
        <f>"1.3109"</f>
        <v>1.3109</v>
      </c>
    </row>
    <row r="2363" spans="1:3" x14ac:dyDescent="0.25">
      <c r="A2363" t="str">
        <f>"14/03/2019"</f>
        <v>14/03/2019</v>
      </c>
      <c r="B2363" t="str">
        <f>"1.3228"</f>
        <v>1.3228</v>
      </c>
      <c r="C2363" t="str">
        <f>"1.3249"</f>
        <v>1.3249</v>
      </c>
    </row>
    <row r="2364" spans="1:3" x14ac:dyDescent="0.25">
      <c r="A2364" t="str">
        <f>"18/03/2019"</f>
        <v>18/03/2019</v>
      </c>
      <c r="B2364" t="str">
        <f>"1.327"</f>
        <v>1.327</v>
      </c>
      <c r="C2364" t="str">
        <f>"1.3293"</f>
        <v>1.3293</v>
      </c>
    </row>
    <row r="2365" spans="1:3" x14ac:dyDescent="0.25">
      <c r="A2365" t="str">
        <f>"19/03/2019"</f>
        <v>19/03/2019</v>
      </c>
      <c r="B2365" t="str">
        <f>"1.3278"</f>
        <v>1.3278</v>
      </c>
      <c r="C2365" t="str">
        <f>"1.33"</f>
        <v>1.33</v>
      </c>
    </row>
    <row r="2366" spans="1:3" x14ac:dyDescent="0.25">
      <c r="A2366" t="str">
        <f>"20/03/2019"</f>
        <v>20/03/2019</v>
      </c>
      <c r="B2366" t="str">
        <f>"1.3226"</f>
        <v>1.3226</v>
      </c>
      <c r="C2366" t="str">
        <f>"1.3247"</f>
        <v>1.3247</v>
      </c>
    </row>
    <row r="2367" spans="1:3" x14ac:dyDescent="0.25">
      <c r="A2367" t="str">
        <f>"22/03/2019"</f>
        <v>22/03/2019</v>
      </c>
      <c r="B2367" t="str">
        <f>"1.3152"</f>
        <v>1.3152</v>
      </c>
      <c r="C2367" t="str">
        <f>"1.3173"</f>
        <v>1.3173</v>
      </c>
    </row>
    <row r="2368" spans="1:3" x14ac:dyDescent="0.25">
      <c r="A2368" t="str">
        <f>"25/03/2019"</f>
        <v>25/03/2019</v>
      </c>
      <c r="B2368" t="str">
        <f>"1.3176"</f>
        <v>1.3176</v>
      </c>
      <c r="C2368" t="str">
        <f>"1.3198"</f>
        <v>1.3198</v>
      </c>
    </row>
    <row r="2369" spans="1:3" x14ac:dyDescent="0.25">
      <c r="A2369" t="str">
        <f>"26/03/2019"</f>
        <v>26/03/2019</v>
      </c>
      <c r="B2369" t="str">
        <f>"1.3234"</f>
        <v>1.3234</v>
      </c>
      <c r="C2369" t="str">
        <f>"1.3256"</f>
        <v>1.3256</v>
      </c>
    </row>
    <row r="2370" spans="1:3" x14ac:dyDescent="0.25">
      <c r="A2370" t="str">
        <f>"27/03/2019"</f>
        <v>27/03/2019</v>
      </c>
      <c r="B2370" t="str">
        <f>"1.3223"</f>
        <v>1.3223</v>
      </c>
      <c r="C2370" t="str">
        <f>"1.3244"</f>
        <v>1.3244</v>
      </c>
    </row>
    <row r="2371" spans="1:3" x14ac:dyDescent="0.25">
      <c r="A2371" t="str">
        <f>"28/03/2019"</f>
        <v>28/03/2019</v>
      </c>
      <c r="B2371" t="str">
        <f>"1.3115"</f>
        <v>1.3115</v>
      </c>
      <c r="C2371" t="str">
        <f>"1.3134"</f>
        <v>1.3134</v>
      </c>
    </row>
    <row r="2372" spans="1:3" x14ac:dyDescent="0.25">
      <c r="A2372" t="str">
        <f>"29/03/2019"</f>
        <v>29/03/2019</v>
      </c>
      <c r="B2372" t="str">
        <f>"1.3088"</f>
        <v>1.3088</v>
      </c>
      <c r="C2372" t="str">
        <f>"1.3108"</f>
        <v>1.3108</v>
      </c>
    </row>
    <row r="2373" spans="1:3" x14ac:dyDescent="0.25">
      <c r="A2373" t="str">
        <f>"02/04/2019"</f>
        <v>02/04/2019</v>
      </c>
      <c r="B2373" t="str">
        <f>"1.3044"</f>
        <v>1.3044</v>
      </c>
      <c r="C2373" t="str">
        <f>"1.3066"</f>
        <v>1.3066</v>
      </c>
    </row>
    <row r="2374" spans="1:3" x14ac:dyDescent="0.25">
      <c r="A2374" t="str">
        <f>"03/04/2019"</f>
        <v>03/04/2019</v>
      </c>
      <c r="B2374" t="str">
        <f>"1.3158"</f>
        <v>1.3158</v>
      </c>
      <c r="C2374" t="str">
        <f>"1.3179"</f>
        <v>1.3179</v>
      </c>
    </row>
    <row r="2375" spans="1:3" x14ac:dyDescent="0.25">
      <c r="A2375" t="str">
        <f>"04/04/2019"</f>
        <v>04/04/2019</v>
      </c>
      <c r="B2375" t="str">
        <f>"1.3139"</f>
        <v>1.3139</v>
      </c>
      <c r="C2375" t="str">
        <f>"1.3159"</f>
        <v>1.3159</v>
      </c>
    </row>
    <row r="2376" spans="1:3" x14ac:dyDescent="0.25">
      <c r="A2376" t="str">
        <f>"05/04/2019"</f>
        <v>05/04/2019</v>
      </c>
      <c r="B2376" t="str">
        <f>"1.3062"</f>
        <v>1.3062</v>
      </c>
      <c r="C2376" t="str">
        <f>"1.3082"</f>
        <v>1.3082</v>
      </c>
    </row>
    <row r="2377" spans="1:3" x14ac:dyDescent="0.25">
      <c r="A2377" t="str">
        <f>"08/04/2019"</f>
        <v>08/04/2019</v>
      </c>
      <c r="B2377" t="str">
        <f>"1.3052"</f>
        <v>1.3052</v>
      </c>
      <c r="C2377" t="str">
        <f>"1.3072"</f>
        <v>1.3072</v>
      </c>
    </row>
    <row r="2378" spans="1:3" x14ac:dyDescent="0.25">
      <c r="A2378" t="str">
        <f>"09/04/2019"</f>
        <v>09/04/2019</v>
      </c>
      <c r="B2378" t="str">
        <f>"1.3073"</f>
        <v>1.3073</v>
      </c>
      <c r="C2378" t="str">
        <f>"1.3095"</f>
        <v>1.3095</v>
      </c>
    </row>
    <row r="2379" spans="1:3" x14ac:dyDescent="0.25">
      <c r="A2379" t="str">
        <f>"10/04/2019"</f>
        <v>10/04/2019</v>
      </c>
      <c r="B2379" t="str">
        <f>"1.3096"</f>
        <v>1.3096</v>
      </c>
      <c r="C2379" t="str">
        <f>"1.3117"</f>
        <v>1.3117</v>
      </c>
    </row>
    <row r="2380" spans="1:3" x14ac:dyDescent="0.25">
      <c r="A2380" t="str">
        <f>"11/04/2019"</f>
        <v>11/04/2019</v>
      </c>
      <c r="B2380" t="str">
        <f>"1.308"</f>
        <v>1.308</v>
      </c>
      <c r="C2380" t="str">
        <f>"1.31"</f>
        <v>1.31</v>
      </c>
    </row>
    <row r="2381" spans="1:3" x14ac:dyDescent="0.25">
      <c r="A2381" t="str">
        <f>"12/04/2019"</f>
        <v>12/04/2019</v>
      </c>
      <c r="B2381" t="str">
        <f>"1.3089"</f>
        <v>1.3089</v>
      </c>
      <c r="C2381" t="str">
        <f>"1.3109"</f>
        <v>1.3109</v>
      </c>
    </row>
    <row r="2382" spans="1:3" x14ac:dyDescent="0.25">
      <c r="A2382" t="str">
        <f>"15/04/2019"</f>
        <v>15/04/2019</v>
      </c>
      <c r="B2382" t="str">
        <f>"1.3109"</f>
        <v>1.3109</v>
      </c>
      <c r="C2382" t="str">
        <f>"1.3129"</f>
        <v>1.3129</v>
      </c>
    </row>
    <row r="2383" spans="1:3" x14ac:dyDescent="0.25">
      <c r="A2383" t="str">
        <f>"16/04/2019"</f>
        <v>16/04/2019</v>
      </c>
      <c r="B2383" t="str">
        <f>"1.309"</f>
        <v>1.309</v>
      </c>
      <c r="C2383" t="str">
        <f>"1.3112"</f>
        <v>1.3112</v>
      </c>
    </row>
    <row r="2384" spans="1:3" x14ac:dyDescent="0.25">
      <c r="A2384" t="str">
        <f>"18/04/2019"</f>
        <v>18/04/2019</v>
      </c>
      <c r="B2384" t="str">
        <f>"1.3009"</f>
        <v>1.3009</v>
      </c>
      <c r="C2384" t="str">
        <f>"1.3029"</f>
        <v>1.3029</v>
      </c>
    </row>
    <row r="2385" spans="1:3" x14ac:dyDescent="0.25">
      <c r="A2385" t="str">
        <f>"22/04/2019"</f>
        <v>22/04/2019</v>
      </c>
      <c r="B2385" t="str">
        <f>"1.2988"</f>
        <v>1.2988</v>
      </c>
      <c r="C2385" t="str">
        <f>"1.3008"</f>
        <v>1.3008</v>
      </c>
    </row>
    <row r="2386" spans="1:3" x14ac:dyDescent="0.25">
      <c r="A2386" t="str">
        <f>"23/04/2019"</f>
        <v>23/04/2019</v>
      </c>
      <c r="B2386" t="str">
        <f>"1.3003"</f>
        <v>1.3003</v>
      </c>
      <c r="C2386" t="str">
        <f>"1.3025"</f>
        <v>1.3025</v>
      </c>
    </row>
    <row r="2387" spans="1:3" x14ac:dyDescent="0.25">
      <c r="A2387" t="str">
        <f>"24/04/2019"</f>
        <v>24/04/2019</v>
      </c>
      <c r="B2387" t="str">
        <f>"1.2941"</f>
        <v>1.2941</v>
      </c>
      <c r="C2387" t="str">
        <f>"1.2963"</f>
        <v>1.2963</v>
      </c>
    </row>
    <row r="2388" spans="1:3" x14ac:dyDescent="0.25">
      <c r="A2388" t="str">
        <f>"25/04/2019"</f>
        <v>25/04/2019</v>
      </c>
      <c r="B2388" t="str">
        <f>"1.2875"</f>
        <v>1.2875</v>
      </c>
      <c r="C2388" t="str">
        <f>"1.2895"</f>
        <v>1.2895</v>
      </c>
    </row>
    <row r="2389" spans="1:3" x14ac:dyDescent="0.25">
      <c r="A2389" t="str">
        <f>"26/04/2019"</f>
        <v>26/04/2019</v>
      </c>
      <c r="B2389" t="str">
        <f>"1.291"</f>
        <v>1.291</v>
      </c>
      <c r="C2389" t="str">
        <f>"1.2931"</f>
        <v>1.2931</v>
      </c>
    </row>
    <row r="2390" spans="1:3" x14ac:dyDescent="0.25">
      <c r="A2390" t="str">
        <f>"30/04/2019"</f>
        <v>30/04/2019</v>
      </c>
      <c r="B2390" t="str">
        <f>"1.3004"</f>
        <v>1.3004</v>
      </c>
      <c r="C2390" t="str">
        <f>"1.3026"</f>
        <v>1.3026</v>
      </c>
    </row>
    <row r="2391" spans="1:3" x14ac:dyDescent="0.25">
      <c r="A2391" t="str">
        <f>"02/05/2019"</f>
        <v>02/05/2019</v>
      </c>
      <c r="B2391" t="str">
        <f>"1.3042"</f>
        <v>1.3042</v>
      </c>
      <c r="C2391" t="str">
        <f>"1.3063"</f>
        <v>1.3063</v>
      </c>
    </row>
    <row r="2392" spans="1:3" x14ac:dyDescent="0.25">
      <c r="A2392" t="str">
        <f>"03/05/2019"</f>
        <v>03/05/2019</v>
      </c>
      <c r="B2392" t="str">
        <f>"1.30"</f>
        <v>1.30</v>
      </c>
      <c r="C2392" t="str">
        <f>"1.3022"</f>
        <v>1.3022</v>
      </c>
    </row>
    <row r="2393" spans="1:3" x14ac:dyDescent="0.25">
      <c r="A2393" t="str">
        <f>"06/05/2019"</f>
        <v>06/05/2019</v>
      </c>
      <c r="B2393" t="str">
        <f>"1.31"</f>
        <v>1.31</v>
      </c>
      <c r="C2393" t="str">
        <f>"1.3123"</f>
        <v>1.3123</v>
      </c>
    </row>
    <row r="2394" spans="1:3" x14ac:dyDescent="0.25">
      <c r="A2394" t="str">
        <f>"07/05/2019"</f>
        <v>07/05/2019</v>
      </c>
      <c r="B2394" t="str">
        <f>"1.3083"</f>
        <v>1.3083</v>
      </c>
      <c r="C2394" t="str">
        <f>"1.3104"</f>
        <v>1.3104</v>
      </c>
    </row>
    <row r="2395" spans="1:3" x14ac:dyDescent="0.25">
      <c r="A2395" t="str">
        <f>"08/05/2019"</f>
        <v>08/05/2019</v>
      </c>
      <c r="B2395" t="str">
        <f>"1.3011"</f>
        <v>1.3011</v>
      </c>
      <c r="C2395" t="str">
        <f>"1.3031"</f>
        <v>1.3031</v>
      </c>
    </row>
    <row r="2396" spans="1:3" x14ac:dyDescent="0.25">
      <c r="A2396" t="str">
        <f>"09/05/2019"</f>
        <v>09/05/2019</v>
      </c>
      <c r="B2396" t="str">
        <f>"1.2987"</f>
        <v>1.2987</v>
      </c>
      <c r="C2396" t="str">
        <f>"1.3007"</f>
        <v>1.3007</v>
      </c>
    </row>
    <row r="2397" spans="1:3" x14ac:dyDescent="0.25">
      <c r="A2397" t="str">
        <f>"10/05/2019"</f>
        <v>10/05/2019</v>
      </c>
      <c r="B2397" t="str">
        <f>"1.301"</f>
        <v>1.301</v>
      </c>
      <c r="C2397" t="str">
        <f>"1.303"</f>
        <v>1.303</v>
      </c>
    </row>
    <row r="2398" spans="1:3" x14ac:dyDescent="0.25">
      <c r="A2398" t="str">
        <f>"13/05/2019"</f>
        <v>13/05/2019</v>
      </c>
      <c r="B2398" t="str">
        <f>"1.3009"</f>
        <v>1.3009</v>
      </c>
      <c r="C2398" t="str">
        <f>"1.303"</f>
        <v>1.303</v>
      </c>
    </row>
    <row r="2399" spans="1:3" x14ac:dyDescent="0.25">
      <c r="A2399" t="str">
        <f>"14/05/2019"</f>
        <v>14/05/2019</v>
      </c>
      <c r="B2399" t="str">
        <f>"1.2946"</f>
        <v>1.2946</v>
      </c>
      <c r="C2399" t="str">
        <f>"1.2967"</f>
        <v>1.2967</v>
      </c>
    </row>
    <row r="2400" spans="1:3" x14ac:dyDescent="0.25">
      <c r="A2400" t="str">
        <f>"15/05/2019"</f>
        <v>15/05/2019</v>
      </c>
      <c r="B2400" t="str">
        <f>"1.2897"</f>
        <v>1.2897</v>
      </c>
      <c r="C2400" t="str">
        <f>"1.2917"</f>
        <v>1.2917</v>
      </c>
    </row>
    <row r="2401" spans="1:3" x14ac:dyDescent="0.25">
      <c r="A2401" t="str">
        <f>"16/05/2019"</f>
        <v>16/05/2019</v>
      </c>
      <c r="B2401" t="str">
        <f>"1.2813"</f>
        <v>1.2813</v>
      </c>
      <c r="C2401" t="str">
        <f>"1.2833"</f>
        <v>1.2833</v>
      </c>
    </row>
    <row r="2402" spans="1:3" x14ac:dyDescent="0.25">
      <c r="A2402" t="str">
        <f>"17/05/2019"</f>
        <v>17/05/2019</v>
      </c>
      <c r="B2402" t="str">
        <f>"1.2753"</f>
        <v>1.2753</v>
      </c>
      <c r="C2402" t="str">
        <f>"1.2773"</f>
        <v>1.2773</v>
      </c>
    </row>
    <row r="2403" spans="1:3" x14ac:dyDescent="0.25">
      <c r="A2403" t="str">
        <f>"20/05/2019"</f>
        <v>20/05/2019</v>
      </c>
      <c r="B2403" t="str">
        <f>"1.2742"</f>
        <v>1.2742</v>
      </c>
      <c r="C2403" t="str">
        <f>"1.2763"</f>
        <v>1.2763</v>
      </c>
    </row>
    <row r="2404" spans="1:3" x14ac:dyDescent="0.25">
      <c r="A2404" t="str">
        <f>"21/05/2019"</f>
        <v>21/05/2019</v>
      </c>
      <c r="B2404" t="str">
        <f>"1.2693"</f>
        <v>1.2693</v>
      </c>
      <c r="C2404" t="str">
        <f>"1.2713"</f>
        <v>1.2713</v>
      </c>
    </row>
    <row r="2405" spans="1:3" x14ac:dyDescent="0.25">
      <c r="A2405" t="str">
        <f>"22/05/2019"</f>
        <v>22/05/2019</v>
      </c>
      <c r="B2405" t="str">
        <f>"1.2651"</f>
        <v>1.2651</v>
      </c>
      <c r="C2405" t="str">
        <f>"1.2671"</f>
        <v>1.2671</v>
      </c>
    </row>
    <row r="2406" spans="1:3" x14ac:dyDescent="0.25">
      <c r="A2406" t="str">
        <f>"23/05/2019"</f>
        <v>23/05/2019</v>
      </c>
      <c r="B2406" t="str">
        <f>"1.2643"</f>
        <v>1.2643</v>
      </c>
      <c r="C2406" t="str">
        <f>"1.2663"</f>
        <v>1.2663</v>
      </c>
    </row>
    <row r="2407" spans="1:3" x14ac:dyDescent="0.25">
      <c r="A2407" t="str">
        <f>"24/05/2019"</f>
        <v>24/05/2019</v>
      </c>
      <c r="B2407" t="str">
        <f>"1.2687"</f>
        <v>1.2687</v>
      </c>
      <c r="C2407" t="str">
        <f>"1.2706"</f>
        <v>1.2706</v>
      </c>
    </row>
    <row r="2408" spans="1:3" x14ac:dyDescent="0.25">
      <c r="A2408" t="str">
        <f>"27/05/2019"</f>
        <v>27/05/2019</v>
      </c>
      <c r="B2408" t="str">
        <f>"1.2692"</f>
        <v>1.2692</v>
      </c>
      <c r="C2408" t="str">
        <f>"1.2711"</f>
        <v>1.2711</v>
      </c>
    </row>
    <row r="2409" spans="1:3" x14ac:dyDescent="0.25">
      <c r="A2409" t="str">
        <f>"28/05/2019"</f>
        <v>28/05/2019</v>
      </c>
      <c r="B2409" t="str">
        <f>"1.267"</f>
        <v>1.267</v>
      </c>
      <c r="C2409" t="str">
        <f>"1.2688"</f>
        <v>1.2688</v>
      </c>
    </row>
    <row r="2410" spans="1:3" x14ac:dyDescent="0.25">
      <c r="A2410" t="str">
        <f>"29/05/2019"</f>
        <v>29/05/2019</v>
      </c>
      <c r="B2410" t="str">
        <f>"1.2639"</f>
        <v>1.2639</v>
      </c>
      <c r="C2410" t="str">
        <f>"1.2657"</f>
        <v>1.2657</v>
      </c>
    </row>
    <row r="2411" spans="1:3" x14ac:dyDescent="0.25">
      <c r="A2411" t="str">
        <f>"30/05/2019"</f>
        <v>30/05/2019</v>
      </c>
      <c r="B2411" t="str">
        <f>"1.2629"</f>
        <v>1.2629</v>
      </c>
      <c r="C2411" t="str">
        <f>"1.2649"</f>
        <v>1.2649</v>
      </c>
    </row>
    <row r="2412" spans="1:3" x14ac:dyDescent="0.25">
      <c r="A2412" t="str">
        <f>"31/05/2019"</f>
        <v>31/05/2019</v>
      </c>
      <c r="B2412" t="str">
        <f>"1.2608"</f>
        <v>1.2608</v>
      </c>
      <c r="C2412" t="str">
        <f>"1.2628"</f>
        <v>1.2628</v>
      </c>
    </row>
    <row r="2413" spans="1:3" x14ac:dyDescent="0.25">
      <c r="A2413" t="str">
        <f>"03/06/2019"</f>
        <v>03/06/2019</v>
      </c>
      <c r="B2413" t="str">
        <f>"1.2637"</f>
        <v>1.2637</v>
      </c>
      <c r="C2413" t="str">
        <f>"1.2656"</f>
        <v>1.2656</v>
      </c>
    </row>
    <row r="2414" spans="1:3" x14ac:dyDescent="0.25">
      <c r="A2414" t="str">
        <f>"04/06/2019"</f>
        <v>04/06/2019</v>
      </c>
      <c r="B2414" t="str">
        <f>"1.2668"</f>
        <v>1.2668</v>
      </c>
      <c r="C2414" t="str">
        <f>"1.2688"</f>
        <v>1.2688</v>
      </c>
    </row>
    <row r="2415" spans="1:3" x14ac:dyDescent="0.25">
      <c r="A2415" t="str">
        <f>"06/06/2019"</f>
        <v>06/06/2019</v>
      </c>
      <c r="B2415" t="str">
        <f>"1.2695"</f>
        <v>1.2695</v>
      </c>
      <c r="C2415" t="str">
        <f>"1.2714"</f>
        <v>1.2714</v>
      </c>
    </row>
    <row r="2416" spans="1:3" x14ac:dyDescent="0.25">
      <c r="A2416" t="str">
        <f>"07/06/2019"</f>
        <v>07/06/2019</v>
      </c>
      <c r="B2416" t="str">
        <f>"1.2709"</f>
        <v>1.2709</v>
      </c>
      <c r="C2416" t="str">
        <f>"1.2728"</f>
        <v>1.2728</v>
      </c>
    </row>
    <row r="2417" spans="1:3" x14ac:dyDescent="0.25">
      <c r="A2417" t="str">
        <f>"10/06/2019"</f>
        <v>10/06/2019</v>
      </c>
      <c r="B2417" t="str">
        <f>"1.2672"</f>
        <v>1.2672</v>
      </c>
      <c r="C2417" t="str">
        <f>"1.2691"</f>
        <v>1.2691</v>
      </c>
    </row>
    <row r="2418" spans="1:3" x14ac:dyDescent="0.25">
      <c r="A2418" t="str">
        <f>"11/06/2019"</f>
        <v>11/06/2019</v>
      </c>
      <c r="B2418" t="str">
        <f>"1.2699"</f>
        <v>1.2699</v>
      </c>
      <c r="C2418" t="str">
        <f>"1.2719"</f>
        <v>1.2719</v>
      </c>
    </row>
    <row r="2419" spans="1:3" x14ac:dyDescent="0.25">
      <c r="A2419" t="str">
        <f>"12/06/2019"</f>
        <v>12/06/2019</v>
      </c>
      <c r="B2419" t="str">
        <f>"1.2733"</f>
        <v>1.2733</v>
      </c>
      <c r="C2419" t="str">
        <f>"1.2752"</f>
        <v>1.2752</v>
      </c>
    </row>
    <row r="2420" spans="1:3" x14ac:dyDescent="0.25">
      <c r="A2420" t="str">
        <f>"13/06/2019"</f>
        <v>13/06/2019</v>
      </c>
      <c r="B2420" t="str">
        <f>"1.2685"</f>
        <v>1.2685</v>
      </c>
      <c r="C2420" t="str">
        <f>"1.2704"</f>
        <v>1.2704</v>
      </c>
    </row>
    <row r="2421" spans="1:3" x14ac:dyDescent="0.25">
      <c r="A2421" t="str">
        <f>"14/06/2019"</f>
        <v>14/06/2019</v>
      </c>
      <c r="B2421" t="str">
        <f>"1.2644"</f>
        <v>1.2644</v>
      </c>
      <c r="C2421" t="str">
        <f>"1.2663"</f>
        <v>1.2663</v>
      </c>
    </row>
    <row r="2422" spans="1:3" x14ac:dyDescent="0.25">
      <c r="A2422" t="str">
        <f>"17/06/2019"</f>
        <v>17/06/2019</v>
      </c>
      <c r="B2422" t="str">
        <f>"1.2587"</f>
        <v>1.2587</v>
      </c>
      <c r="C2422" t="str">
        <f>"1.2606"</f>
        <v>1.2606</v>
      </c>
    </row>
    <row r="2423" spans="1:3" x14ac:dyDescent="0.25">
      <c r="A2423" t="str">
        <f>"18/06/2019"</f>
        <v>18/06/2019</v>
      </c>
      <c r="B2423" t="str">
        <f>"1.2516"</f>
        <v>1.2516</v>
      </c>
      <c r="C2423" t="str">
        <f>"1.2536"</f>
        <v>1.2536</v>
      </c>
    </row>
    <row r="2424" spans="1:3" x14ac:dyDescent="0.25">
      <c r="A2424" t="str">
        <f>"19/06/2019"</f>
        <v>19/06/2019</v>
      </c>
      <c r="B2424" t="str">
        <f>"1.258"</f>
        <v>1.258</v>
      </c>
      <c r="C2424" t="str">
        <f>"1.2599"</f>
        <v>1.2599</v>
      </c>
    </row>
    <row r="2425" spans="1:3" x14ac:dyDescent="0.25">
      <c r="A2425" t="str">
        <f>"20/06/2019"</f>
        <v>20/06/2019</v>
      </c>
      <c r="B2425" t="str">
        <f>"1.2691"</f>
        <v>1.2691</v>
      </c>
      <c r="C2425" t="str">
        <f>"1.271"</f>
        <v>1.271</v>
      </c>
    </row>
    <row r="2426" spans="1:3" x14ac:dyDescent="0.25">
      <c r="A2426" t="str">
        <f>"21/06/2019"</f>
        <v>21/06/2019</v>
      </c>
      <c r="B2426" t="str">
        <f>"1.2652"</f>
        <v>1.2652</v>
      </c>
      <c r="C2426" t="str">
        <f>"1.2671"</f>
        <v>1.2671</v>
      </c>
    </row>
    <row r="2427" spans="1:3" x14ac:dyDescent="0.25">
      <c r="A2427" t="str">
        <f>"24/06/2019"</f>
        <v>24/06/2019</v>
      </c>
      <c r="B2427" t="str">
        <f>"1.2755"</f>
        <v>1.2755</v>
      </c>
      <c r="C2427" t="str">
        <f>"1.2774"</f>
        <v>1.2774</v>
      </c>
    </row>
    <row r="2428" spans="1:3" x14ac:dyDescent="0.25">
      <c r="A2428" t="str">
        <f>"25/06/2019"</f>
        <v>25/06/2019</v>
      </c>
      <c r="B2428" t="str">
        <f>"1.2743"</f>
        <v>1.2743</v>
      </c>
      <c r="C2428" t="str">
        <f>"1.2764"</f>
        <v>1.2764</v>
      </c>
    </row>
    <row r="2429" spans="1:3" x14ac:dyDescent="0.25">
      <c r="A2429" t="str">
        <f>"26/06/2019"</f>
        <v>26/06/2019</v>
      </c>
      <c r="B2429" t="str">
        <f>"1.2687"</f>
        <v>1.2687</v>
      </c>
      <c r="C2429" t="str">
        <f>"1.2709"</f>
        <v>1.2709</v>
      </c>
    </row>
    <row r="2430" spans="1:3" x14ac:dyDescent="0.25">
      <c r="A2430" t="str">
        <f>"27/06/2019"</f>
        <v>27/06/2019</v>
      </c>
      <c r="B2430" t="str">
        <f>"1.2702"</f>
        <v>1.2702</v>
      </c>
      <c r="C2430" t="str">
        <f>"1.2722"</f>
        <v>1.2722</v>
      </c>
    </row>
    <row r="2431" spans="1:3" x14ac:dyDescent="0.25">
      <c r="A2431" t="str">
        <f>"28/06/2019"</f>
        <v>28/06/2019</v>
      </c>
      <c r="B2431" t="str">
        <f>"1.2687"</f>
        <v>1.2687</v>
      </c>
      <c r="C2431" t="str">
        <f>"1.2706"</f>
        <v>1.2706</v>
      </c>
    </row>
    <row r="2432" spans="1:3" x14ac:dyDescent="0.25">
      <c r="A2432" t="str">
        <f>"01/07/2019"</f>
        <v>01/07/2019</v>
      </c>
      <c r="B2432" t="str">
        <f>"1.2646"</f>
        <v>1.2646</v>
      </c>
      <c r="C2432" t="str">
        <f>"1.2667"</f>
        <v>1.2667</v>
      </c>
    </row>
    <row r="2433" spans="1:3" x14ac:dyDescent="0.25">
      <c r="A2433" t="str">
        <f>"02/07/2019"</f>
        <v>02/07/2019</v>
      </c>
      <c r="B2433" t="str">
        <f>"1.2633"</f>
        <v>1.2633</v>
      </c>
      <c r="C2433" t="str">
        <f>"1.2653"</f>
        <v>1.2653</v>
      </c>
    </row>
    <row r="2434" spans="1:3" x14ac:dyDescent="0.25">
      <c r="A2434" t="str">
        <f>"03/07/2019"</f>
        <v>03/07/2019</v>
      </c>
      <c r="B2434" t="str">
        <f>"1.2578"</f>
        <v>1.2578</v>
      </c>
      <c r="C2434" t="str">
        <f>"1.2597"</f>
        <v>1.2597</v>
      </c>
    </row>
    <row r="2435" spans="1:3" x14ac:dyDescent="0.25">
      <c r="A2435" t="str">
        <f>"04/07/2019"</f>
        <v>04/07/2019</v>
      </c>
      <c r="B2435" t="str">
        <f>"1.2583"</f>
        <v>1.2583</v>
      </c>
      <c r="C2435" t="str">
        <f>"1.2602"</f>
        <v>1.2602</v>
      </c>
    </row>
    <row r="2436" spans="1:3" x14ac:dyDescent="0.25">
      <c r="A2436" t="str">
        <f>"05/07/2019"</f>
        <v>05/07/2019</v>
      </c>
      <c r="B2436" t="str">
        <f>"1.256"</f>
        <v>1.256</v>
      </c>
      <c r="C2436" t="str">
        <f>"1.2579"</f>
        <v>1.2579</v>
      </c>
    </row>
    <row r="2437" spans="1:3" x14ac:dyDescent="0.25">
      <c r="A2437" t="str">
        <f>"08/07/2019"</f>
        <v>08/07/2019</v>
      </c>
      <c r="B2437" t="str">
        <f>"1.2526"</f>
        <v>1.2526</v>
      </c>
      <c r="C2437" t="str">
        <f>"1.2547"</f>
        <v>1.2547</v>
      </c>
    </row>
    <row r="2438" spans="1:3" x14ac:dyDescent="0.25">
      <c r="A2438" t="str">
        <f>"09/07/2019"</f>
        <v>09/07/2019</v>
      </c>
      <c r="B2438" t="str">
        <f>"1.2511"</f>
        <v>1.2511</v>
      </c>
      <c r="C2438" t="str">
        <f>"1.2531"</f>
        <v>1.2531</v>
      </c>
    </row>
    <row r="2439" spans="1:3" x14ac:dyDescent="0.25">
      <c r="A2439" t="str">
        <f>"10/07/2019"</f>
        <v>10/07/2019</v>
      </c>
      <c r="B2439" t="str">
        <f>"1.2452"</f>
        <v>1.2452</v>
      </c>
      <c r="C2439" t="str">
        <f>"1.2471"</f>
        <v>1.2471</v>
      </c>
    </row>
    <row r="2440" spans="1:3" x14ac:dyDescent="0.25">
      <c r="A2440" t="str">
        <f>"11/07/2019"</f>
        <v>11/07/2019</v>
      </c>
      <c r="B2440" t="str">
        <f>"1.2565"</f>
        <v>1.2565</v>
      </c>
      <c r="C2440" t="str">
        <f>"1.2584"</f>
        <v>1.2584</v>
      </c>
    </row>
    <row r="2441" spans="1:3" x14ac:dyDescent="0.25">
      <c r="A2441" t="str">
        <f>"12/07/2019"</f>
        <v>12/07/2019</v>
      </c>
      <c r="B2441" t="str">
        <f>"1.254"</f>
        <v>1.254</v>
      </c>
      <c r="C2441" t="str">
        <f>"1.2559"</f>
        <v>1.2559</v>
      </c>
    </row>
    <row r="2442" spans="1:3" x14ac:dyDescent="0.25">
      <c r="A2442" t="str">
        <f>"15/07/2019"</f>
        <v>15/07/2019</v>
      </c>
      <c r="B2442" t="str">
        <f>"1.2542"</f>
        <v>1.2542</v>
      </c>
      <c r="C2442" t="str">
        <f>"1.2562"</f>
        <v>1.2562</v>
      </c>
    </row>
    <row r="2443" spans="1:3" x14ac:dyDescent="0.25">
      <c r="A2443" t="str">
        <f>"16/07/2019"</f>
        <v>16/07/2019</v>
      </c>
      <c r="B2443" t="str">
        <f>"1.2429"</f>
        <v>1.2429</v>
      </c>
      <c r="C2443" t="str">
        <f>"1.2448"</f>
        <v>1.2448</v>
      </c>
    </row>
    <row r="2444" spans="1:3" x14ac:dyDescent="0.25">
      <c r="A2444" t="str">
        <f>"17/07/2019"</f>
        <v>17/07/2019</v>
      </c>
      <c r="B2444" t="str">
        <f>"1.2409"</f>
        <v>1.2409</v>
      </c>
      <c r="C2444" t="str">
        <f>"1.2428"</f>
        <v>1.2428</v>
      </c>
    </row>
    <row r="2445" spans="1:3" x14ac:dyDescent="0.25">
      <c r="A2445" t="str">
        <f>"18/07/2019"</f>
        <v>18/07/2019</v>
      </c>
      <c r="B2445" t="str">
        <f>"1.2482"</f>
        <v>1.2482</v>
      </c>
      <c r="C2445" t="str">
        <f>"1.25"</f>
        <v>1.25</v>
      </c>
    </row>
    <row r="2446" spans="1:3" x14ac:dyDescent="0.25">
      <c r="A2446" t="str">
        <f>"19/07/2019"</f>
        <v>19/07/2019</v>
      </c>
      <c r="B2446" t="str">
        <f>"1.2543"</f>
        <v>1.2543</v>
      </c>
      <c r="C2446" t="str">
        <f>"1.2561"</f>
        <v>1.2561</v>
      </c>
    </row>
    <row r="2447" spans="1:3" x14ac:dyDescent="0.25">
      <c r="A2447" t="str">
        <f>"22/07/2019"</f>
        <v>22/07/2019</v>
      </c>
      <c r="B2447" t="str">
        <f>"1.2501"</f>
        <v>1.2501</v>
      </c>
      <c r="C2447" t="str">
        <f>"1.2521"</f>
        <v>1.2521</v>
      </c>
    </row>
    <row r="2448" spans="1:3" x14ac:dyDescent="0.25">
      <c r="A2448" t="str">
        <f>"23/07/2019"</f>
        <v>23/07/2019</v>
      </c>
      <c r="B2448" t="str">
        <f>"1.2479"</f>
        <v>1.2479</v>
      </c>
      <c r="C2448" t="str">
        <f>"1.2498"</f>
        <v>1.2498</v>
      </c>
    </row>
    <row r="2449" spans="1:3" x14ac:dyDescent="0.25">
      <c r="A2449" t="str">
        <f>"24/07/2019"</f>
        <v>24/07/2019</v>
      </c>
      <c r="B2449" t="str">
        <f>"1.2434"</f>
        <v>1.2434</v>
      </c>
      <c r="C2449" t="str">
        <f>"1.2452"</f>
        <v>1.2452</v>
      </c>
    </row>
    <row r="2450" spans="1:3" x14ac:dyDescent="0.25">
      <c r="A2450" t="str">
        <f>"25/07/2019"</f>
        <v>25/07/2019</v>
      </c>
      <c r="B2450" t="str">
        <f>"1.2498"</f>
        <v>1.2498</v>
      </c>
      <c r="C2450" t="str">
        <f>"1.2516"</f>
        <v>1.2516</v>
      </c>
    </row>
    <row r="2451" spans="1:3" x14ac:dyDescent="0.25">
      <c r="A2451" t="str">
        <f>"26/07/2019"</f>
        <v>26/07/2019</v>
      </c>
      <c r="B2451" t="str">
        <f>"1.243"</f>
        <v>1.243</v>
      </c>
      <c r="C2451" t="str">
        <f>"1.2448"</f>
        <v>1.2448</v>
      </c>
    </row>
    <row r="2452" spans="1:3" x14ac:dyDescent="0.25">
      <c r="A2452" t="str">
        <f>"29/07/2019"</f>
        <v>29/07/2019</v>
      </c>
      <c r="B2452" t="str">
        <f>"1.2306"</f>
        <v>1.2306</v>
      </c>
      <c r="C2452" t="str">
        <f>"1.2323"</f>
        <v>1.2323</v>
      </c>
    </row>
    <row r="2453" spans="1:3" x14ac:dyDescent="0.25">
      <c r="A2453" t="str">
        <f>"30/07/2019"</f>
        <v>30/07/2019</v>
      </c>
      <c r="B2453" t="str">
        <f>"1.2162"</f>
        <v>1.2162</v>
      </c>
      <c r="C2453" t="str">
        <f>"1.2182"</f>
        <v>1.2182</v>
      </c>
    </row>
    <row r="2454" spans="1:3" x14ac:dyDescent="0.25">
      <c r="A2454" t="str">
        <f>"31/07/2019"</f>
        <v>31/07/2019</v>
      </c>
      <c r="B2454" t="str">
        <f>"1.217"</f>
        <v>1.217</v>
      </c>
      <c r="C2454" t="str">
        <f>"1.2188"</f>
        <v>1.2188</v>
      </c>
    </row>
    <row r="2455" spans="1:3" x14ac:dyDescent="0.25">
      <c r="A2455" t="str">
        <f>"01/08/2019"</f>
        <v>01/08/2019</v>
      </c>
      <c r="B2455" t="str">
        <f>"1.2116"</f>
        <v>1.2116</v>
      </c>
      <c r="C2455" t="str">
        <f>"1.2133"</f>
        <v>1.2133</v>
      </c>
    </row>
    <row r="2456" spans="1:3" x14ac:dyDescent="0.25">
      <c r="A2456" t="str">
        <f>"02/08/2019"</f>
        <v>02/08/2019</v>
      </c>
      <c r="B2456" t="str">
        <f>"1.2123"</f>
        <v>1.2123</v>
      </c>
      <c r="C2456" t="str">
        <f>"1.214"</f>
        <v>1.214</v>
      </c>
    </row>
    <row r="2457" spans="1:3" x14ac:dyDescent="0.25">
      <c r="A2457" t="str">
        <f>"05/08/2019"</f>
        <v>05/08/2019</v>
      </c>
      <c r="B2457" t="str">
        <f>"1.2165"</f>
        <v>1.2165</v>
      </c>
      <c r="C2457" t="str">
        <f>"1.2183"</f>
        <v>1.2183</v>
      </c>
    </row>
    <row r="2458" spans="1:3" x14ac:dyDescent="0.25">
      <c r="A2458" t="str">
        <f>"06/08/2019"</f>
        <v>06/08/2019</v>
      </c>
      <c r="B2458" t="str">
        <f>"1.2177"</f>
        <v>1.2177</v>
      </c>
      <c r="C2458" t="str">
        <f>"1.2194"</f>
        <v>1.2194</v>
      </c>
    </row>
    <row r="2459" spans="1:3" x14ac:dyDescent="0.25">
      <c r="A2459" t="str">
        <f>"07/08/2019"</f>
        <v>07/08/2019</v>
      </c>
      <c r="B2459" t="str">
        <f>"1.2162"</f>
        <v>1.2162</v>
      </c>
      <c r="C2459" t="str">
        <f>"1.2178"</f>
        <v>1.2178</v>
      </c>
    </row>
    <row r="2460" spans="1:3" x14ac:dyDescent="0.25">
      <c r="A2460" t="str">
        <f>"08/08/2019"</f>
        <v>08/08/2019</v>
      </c>
      <c r="B2460" t="str">
        <f>"1.2138"</f>
        <v>1.2138</v>
      </c>
      <c r="C2460" t="str">
        <f>"1.2154"</f>
        <v>1.2154</v>
      </c>
    </row>
    <row r="2461" spans="1:3" x14ac:dyDescent="0.25">
      <c r="A2461" t="str">
        <f>"09/08/2019"</f>
        <v>09/08/2019</v>
      </c>
      <c r="B2461" t="str">
        <f>"1.2072"</f>
        <v>1.2072</v>
      </c>
      <c r="C2461" t="str">
        <f>"1.2088"</f>
        <v>1.2088</v>
      </c>
    </row>
    <row r="2462" spans="1:3" x14ac:dyDescent="0.25">
      <c r="A2462" t="str">
        <f>"13/08/2019"</f>
        <v>13/08/2019</v>
      </c>
      <c r="B2462" t="str">
        <f>"1.2082"</f>
        <v>1.2082</v>
      </c>
      <c r="C2462" t="str">
        <f>"1.2099"</f>
        <v>1.2099</v>
      </c>
    </row>
    <row r="2463" spans="1:3" x14ac:dyDescent="0.25">
      <c r="A2463" t="str">
        <f>"14/08/2019"</f>
        <v>14/08/2019</v>
      </c>
      <c r="B2463" t="str">
        <f>"1.2066"</f>
        <v>1.2066</v>
      </c>
      <c r="C2463" t="str">
        <f>"1.2083"</f>
        <v>1.2083</v>
      </c>
    </row>
    <row r="2464" spans="1:3" x14ac:dyDescent="0.25">
      <c r="A2464" t="str">
        <f>"16/08/2019"</f>
        <v>16/08/2019</v>
      </c>
      <c r="B2464" t="str">
        <f>"1.2088"</f>
        <v>1.2088</v>
      </c>
      <c r="C2464" t="str">
        <f>"1.2105"</f>
        <v>1.2105</v>
      </c>
    </row>
    <row r="2465" spans="1:3" x14ac:dyDescent="0.25">
      <c r="A2465" t="str">
        <f>"19/08/2019"</f>
        <v>19/08/2019</v>
      </c>
      <c r="B2465" t="str">
        <f>"1.2156"</f>
        <v>1.2156</v>
      </c>
      <c r="C2465" t="str">
        <f>"1.2173"</f>
        <v>1.2173</v>
      </c>
    </row>
    <row r="2466" spans="1:3" x14ac:dyDescent="0.25">
      <c r="A2466" t="str">
        <f>"20/08/2019"</f>
        <v>20/08/2019</v>
      </c>
      <c r="B2466" t="str">
        <f>"1.2132"</f>
        <v>1.2132</v>
      </c>
      <c r="C2466" t="str">
        <f>"1.2149"</f>
        <v>1.2149</v>
      </c>
    </row>
    <row r="2467" spans="1:3" x14ac:dyDescent="0.25">
      <c r="A2467" t="str">
        <f>"21/08/2019"</f>
        <v>21/08/2019</v>
      </c>
      <c r="B2467" t="str">
        <f>"1.2156"</f>
        <v>1.2156</v>
      </c>
      <c r="C2467" t="str">
        <f>"1.2172"</f>
        <v>1.2172</v>
      </c>
    </row>
    <row r="2468" spans="1:3" x14ac:dyDescent="0.25">
      <c r="A2468" t="str">
        <f>"22/08/2019"</f>
        <v>22/08/2019</v>
      </c>
      <c r="B2468" t="str">
        <f>"1.2118"</f>
        <v>1.2118</v>
      </c>
      <c r="C2468" t="str">
        <f>"1.2134"</f>
        <v>1.2134</v>
      </c>
    </row>
    <row r="2469" spans="1:3" x14ac:dyDescent="0.25">
      <c r="A2469" t="str">
        <f>"23/08/2019"</f>
        <v>23/08/2019</v>
      </c>
      <c r="B2469" t="str">
        <f>"1.2223"</f>
        <v>1.2223</v>
      </c>
      <c r="C2469" t="str">
        <f>"1.224"</f>
        <v>1.224</v>
      </c>
    </row>
    <row r="2470" spans="1:3" x14ac:dyDescent="0.25">
      <c r="A2470" t="str">
        <f>"26/08/2019"</f>
        <v>26/08/2019</v>
      </c>
      <c r="B2470" t="str">
        <f>"1.2267"</f>
        <v>1.2267</v>
      </c>
      <c r="C2470" t="str">
        <f>"1.2284"</f>
        <v>1.2284</v>
      </c>
    </row>
    <row r="2471" spans="1:3" x14ac:dyDescent="0.25">
      <c r="A2471" t="str">
        <f>"27/08/2019"</f>
        <v>27/08/2019</v>
      </c>
      <c r="B2471" t="str">
        <f>"1.2217"</f>
        <v>1.2217</v>
      </c>
      <c r="C2471" t="str">
        <f>"1.2233"</f>
        <v>1.2233</v>
      </c>
    </row>
    <row r="2472" spans="1:3" x14ac:dyDescent="0.25">
      <c r="A2472" t="str">
        <f>"28/08/2019"</f>
        <v>28/08/2019</v>
      </c>
      <c r="B2472" t="str">
        <f>"1.2219"</f>
        <v>1.2219</v>
      </c>
      <c r="C2472" t="str">
        <f>"1.2234"</f>
        <v>1.2234</v>
      </c>
    </row>
    <row r="2473" spans="1:3" x14ac:dyDescent="0.25">
      <c r="A2473" t="str">
        <f>"29/08/2019"</f>
        <v>29/08/2019</v>
      </c>
      <c r="B2473" t="str">
        <f>"1.2208"</f>
        <v>1.2208</v>
      </c>
      <c r="C2473" t="str">
        <f>"1.2224"</f>
        <v>1.2224</v>
      </c>
    </row>
    <row r="2474" spans="1:3" x14ac:dyDescent="0.25">
      <c r="A2474" t="str">
        <f>"30/08/2019"</f>
        <v>30/08/2019</v>
      </c>
      <c r="B2474" t="str">
        <f>"1.2174"</f>
        <v>1.2174</v>
      </c>
      <c r="C2474" t="str">
        <f>"1.219"</f>
        <v>1.219</v>
      </c>
    </row>
    <row r="2475" spans="1:3" x14ac:dyDescent="0.25">
      <c r="A2475" t="str">
        <f>"03/09/2019"</f>
        <v>03/09/2019</v>
      </c>
      <c r="B2475" t="str">
        <f>"1.2036"</f>
        <v>1.2036</v>
      </c>
      <c r="C2475" t="str">
        <f>"1.2053"</f>
        <v>1.2053</v>
      </c>
    </row>
    <row r="2476" spans="1:3" x14ac:dyDescent="0.25">
      <c r="A2476" t="str">
        <f>"04/09/2019"</f>
        <v>04/09/2019</v>
      </c>
      <c r="B2476" t="str">
        <f>"1.2151"</f>
        <v>1.2151</v>
      </c>
      <c r="C2476" t="str">
        <f>"1.2168"</f>
        <v>1.2168</v>
      </c>
    </row>
    <row r="2477" spans="1:3" x14ac:dyDescent="0.25">
      <c r="A2477" t="str">
        <f>"05/09/2019"</f>
        <v>05/09/2019</v>
      </c>
      <c r="B2477" t="str">
        <f>"1.2335"</f>
        <v>1.2335</v>
      </c>
      <c r="C2477" t="str">
        <f>"1.2351"</f>
        <v>1.2351</v>
      </c>
    </row>
    <row r="2478" spans="1:3" x14ac:dyDescent="0.25">
      <c r="A2478" t="str">
        <f>"06/09/2019"</f>
        <v>06/09/2019</v>
      </c>
      <c r="B2478" t="str">
        <f>"1.2327"</f>
        <v>1.2327</v>
      </c>
      <c r="C2478" t="str">
        <f>"1.2343"</f>
        <v>1.2343</v>
      </c>
    </row>
    <row r="2479" spans="1:3" x14ac:dyDescent="0.25">
      <c r="A2479" t="str">
        <f>"09/09/2019"</f>
        <v>09/09/2019</v>
      </c>
      <c r="B2479" t="str">
        <f>"1.2357"</f>
        <v>1.2357</v>
      </c>
      <c r="C2479" t="str">
        <f>"1.2373"</f>
        <v>1.2373</v>
      </c>
    </row>
    <row r="2480" spans="1:3" x14ac:dyDescent="0.25">
      <c r="A2480" t="str">
        <f>"11/09/2019"</f>
        <v>11/09/2019</v>
      </c>
      <c r="B2480" t="str">
        <f>"1.2349"</f>
        <v>1.2349</v>
      </c>
      <c r="C2480" t="str">
        <f>"1.2367"</f>
        <v>1.2367</v>
      </c>
    </row>
    <row r="2481" spans="1:3" x14ac:dyDescent="0.25">
      <c r="A2481" t="str">
        <f>"12/09/2019"</f>
        <v>12/09/2019</v>
      </c>
      <c r="B2481" t="str">
        <f>"1.2317"</f>
        <v>1.2317</v>
      </c>
      <c r="C2481" t="str">
        <f>"1.2333"</f>
        <v>1.2333</v>
      </c>
    </row>
    <row r="2482" spans="1:3" x14ac:dyDescent="0.25">
      <c r="A2482" t="str">
        <f>"16/09/2019"</f>
        <v>16/09/2019</v>
      </c>
      <c r="B2482" t="str">
        <f>"1.2465"</f>
        <v>1.2465</v>
      </c>
      <c r="C2482" t="str">
        <f>"1.248"</f>
        <v>1.248</v>
      </c>
    </row>
    <row r="2483" spans="1:3" x14ac:dyDescent="0.25">
      <c r="A2483" t="str">
        <f>"17/09/2019"</f>
        <v>17/09/2019</v>
      </c>
      <c r="B2483" t="str">
        <f>"1.2411"</f>
        <v>1.2411</v>
      </c>
      <c r="C2483" t="str">
        <f>"1.243"</f>
        <v>1.243</v>
      </c>
    </row>
    <row r="2484" spans="1:3" x14ac:dyDescent="0.25">
      <c r="A2484" t="str">
        <f>"18/09/2019"</f>
        <v>18/09/2019</v>
      </c>
      <c r="B2484" t="str">
        <f>"1.2485"</f>
        <v>1.2485</v>
      </c>
      <c r="C2484" t="str">
        <f>"1.2501"</f>
        <v>1.2501</v>
      </c>
    </row>
    <row r="2485" spans="1:3" x14ac:dyDescent="0.25">
      <c r="A2485" t="str">
        <f>"19/09/2019"</f>
        <v>19/09/2019</v>
      </c>
      <c r="B2485" t="str">
        <f>"1.2474"</f>
        <v>1.2474</v>
      </c>
      <c r="C2485" t="str">
        <f>"1.249"</f>
        <v>1.249</v>
      </c>
    </row>
    <row r="2486" spans="1:3" x14ac:dyDescent="0.25">
      <c r="A2486" t="str">
        <f>"20/09/2019"</f>
        <v>20/09/2019</v>
      </c>
      <c r="B2486" t="str">
        <f>"1.255"</f>
        <v>1.255</v>
      </c>
      <c r="C2486" t="str">
        <f>"1.2567"</f>
        <v>1.2567</v>
      </c>
    </row>
    <row r="2487" spans="1:3" x14ac:dyDescent="0.25">
      <c r="A2487" t="str">
        <f>"23/09/2019"</f>
        <v>23/09/2019</v>
      </c>
      <c r="B2487" t="str">
        <f>"1.2439"</f>
        <v>1.2439</v>
      </c>
      <c r="C2487" t="str">
        <f>"1.2453"</f>
        <v>1.2453</v>
      </c>
    </row>
    <row r="2488" spans="1:3" x14ac:dyDescent="0.25">
      <c r="A2488" t="str">
        <f>"24/09/2019"</f>
        <v>24/09/2019</v>
      </c>
      <c r="B2488" t="str">
        <f>"1.2428"</f>
        <v>1.2428</v>
      </c>
      <c r="C2488" t="str">
        <f>"1.2444"</f>
        <v>1.2444</v>
      </c>
    </row>
    <row r="2489" spans="1:3" x14ac:dyDescent="0.25">
      <c r="A2489" t="str">
        <f>"25/09/2019"</f>
        <v>25/09/2019</v>
      </c>
      <c r="B2489" t="str">
        <f>"1.2399"</f>
        <v>1.2399</v>
      </c>
      <c r="C2489" t="str">
        <f>"1.2418"</f>
        <v>1.2418</v>
      </c>
    </row>
    <row r="2490" spans="1:3" x14ac:dyDescent="0.25">
      <c r="A2490" t="str">
        <f>"26/09/2019"</f>
        <v>26/09/2019</v>
      </c>
      <c r="B2490" t="str">
        <f>"1.2374"</f>
        <v>1.2374</v>
      </c>
      <c r="C2490" t="str">
        <f>"1.2391"</f>
        <v>1.2391</v>
      </c>
    </row>
    <row r="2491" spans="1:3" x14ac:dyDescent="0.25">
      <c r="A2491" t="str">
        <f>"27/09/2019"</f>
        <v>27/09/2019</v>
      </c>
      <c r="B2491" t="str">
        <f>"1.23"</f>
        <v>1.23</v>
      </c>
      <c r="C2491" t="str">
        <f>"1.2315"</f>
        <v>1.2315</v>
      </c>
    </row>
    <row r="2492" spans="1:3" x14ac:dyDescent="0.25">
      <c r="A2492" t="str">
        <f>"30/09/2019"</f>
        <v>30/09/2019</v>
      </c>
      <c r="B2492" t="str">
        <f>"1.2314"</f>
        <v>1.2314</v>
      </c>
      <c r="C2492" t="str">
        <f>"1.233"</f>
        <v>1.233</v>
      </c>
    </row>
    <row r="2493" spans="1:3" x14ac:dyDescent="0.25">
      <c r="A2493" t="str">
        <f>"01/10/2019"</f>
        <v>01/10/2019</v>
      </c>
      <c r="B2493" t="str">
        <f>"1.2275"</f>
        <v>1.2275</v>
      </c>
      <c r="C2493" t="str">
        <f>"1.2291"</f>
        <v>1.2291</v>
      </c>
    </row>
    <row r="2494" spans="1:3" x14ac:dyDescent="0.25">
      <c r="A2494" t="str">
        <f>"03/10/2019"</f>
        <v>03/10/2019</v>
      </c>
      <c r="B2494" t="str">
        <f>"1.2303"</f>
        <v>1.2303</v>
      </c>
      <c r="C2494" t="str">
        <f>"1.2318"</f>
        <v>1.2318</v>
      </c>
    </row>
    <row r="2495" spans="1:3" x14ac:dyDescent="0.25">
      <c r="A2495" t="str">
        <f>"04/10/2019"</f>
        <v>04/10/2019</v>
      </c>
      <c r="B2495" t="str">
        <f>"1.2335"</f>
        <v>1.2335</v>
      </c>
      <c r="C2495" t="str">
        <f>"1.235"</f>
        <v>1.235</v>
      </c>
    </row>
    <row r="2496" spans="1:3" x14ac:dyDescent="0.25">
      <c r="A2496" t="str">
        <f>"07/10/2019"</f>
        <v>07/10/2019</v>
      </c>
      <c r="B2496" t="str">
        <f>"1.2321"</f>
        <v>1.2321</v>
      </c>
      <c r="C2496" t="str">
        <f>"1.2336"</f>
        <v>1.2336</v>
      </c>
    </row>
    <row r="2497" spans="1:3" x14ac:dyDescent="0.25">
      <c r="A2497" t="str">
        <f>"09/10/2019"</f>
        <v>09/10/2019</v>
      </c>
      <c r="B2497" t="str">
        <f>"1.2216"</f>
        <v>1.2216</v>
      </c>
      <c r="C2497" t="str">
        <f>"1.223"</f>
        <v>1.223</v>
      </c>
    </row>
    <row r="2498" spans="1:3" x14ac:dyDescent="0.25">
      <c r="A2498" t="str">
        <f>"10/10/2019"</f>
        <v>10/10/2019</v>
      </c>
      <c r="B2498" t="str">
        <f>"1.2239"</f>
        <v>1.2239</v>
      </c>
      <c r="C2498" t="str">
        <f>"1.2253"</f>
        <v>1.2253</v>
      </c>
    </row>
    <row r="2499" spans="1:3" x14ac:dyDescent="0.25">
      <c r="A2499" t="str">
        <f>"11/10/2019"</f>
        <v>11/10/2019</v>
      </c>
      <c r="B2499" t="str">
        <f>"1.2636"</f>
        <v>1.2636</v>
      </c>
      <c r="C2499" t="str">
        <f>"1.265"</f>
        <v>1.265</v>
      </c>
    </row>
    <row r="2500" spans="1:3" x14ac:dyDescent="0.25">
      <c r="A2500" t="str">
        <f>"14/10/2019"</f>
        <v>14/10/2019</v>
      </c>
      <c r="B2500" t="str">
        <f>"1.2554"</f>
        <v>1.2554</v>
      </c>
      <c r="C2500" t="str">
        <f>"1.2568"</f>
        <v>1.2568</v>
      </c>
    </row>
    <row r="2501" spans="1:3" x14ac:dyDescent="0.25">
      <c r="A2501" t="str">
        <f>"15/10/2019"</f>
        <v>15/10/2019</v>
      </c>
      <c r="B2501" t="str">
        <f>"1.2638"</f>
        <v>1.2638</v>
      </c>
      <c r="C2501" t="str">
        <f>"1.2651"</f>
        <v>1.2651</v>
      </c>
    </row>
    <row r="2502" spans="1:3" x14ac:dyDescent="0.25">
      <c r="A2502" t="str">
        <f>"16/10/2019"</f>
        <v>16/10/2019</v>
      </c>
      <c r="B2502" t="str">
        <f>"1.2736"</f>
        <v>1.2736</v>
      </c>
      <c r="C2502" t="str">
        <f>"1.2749"</f>
        <v>1.2749</v>
      </c>
    </row>
    <row r="2503" spans="1:3" x14ac:dyDescent="0.25">
      <c r="A2503" t="str">
        <f>"17/10/2019"</f>
        <v>17/10/2019</v>
      </c>
      <c r="B2503" t="str">
        <f>"1.2858"</f>
        <v>1.2858</v>
      </c>
      <c r="C2503" t="str">
        <f>"1.2871"</f>
        <v>1.2871</v>
      </c>
    </row>
    <row r="2504" spans="1:3" x14ac:dyDescent="0.25">
      <c r="A2504" t="str">
        <f>"18/10/2019"</f>
        <v>18/10/2019</v>
      </c>
      <c r="B2504" t="str">
        <f>"1.2888"</f>
        <v>1.2888</v>
      </c>
      <c r="C2504" t="str">
        <f>"1.2901"</f>
        <v>1.2901</v>
      </c>
    </row>
    <row r="2505" spans="1:3" x14ac:dyDescent="0.25">
      <c r="A2505" t="str">
        <f>"22/10/2019"</f>
        <v>22/10/2019</v>
      </c>
      <c r="B2505" t="str">
        <f>"1.2931"</f>
        <v>1.2931</v>
      </c>
      <c r="C2505" t="str">
        <f>"1.2945"</f>
        <v>1.2945</v>
      </c>
    </row>
    <row r="2506" spans="1:3" x14ac:dyDescent="0.25">
      <c r="A2506" t="str">
        <f>"23/10/2019"</f>
        <v>23/10/2019</v>
      </c>
      <c r="B2506" t="str">
        <f>"1.2873"</f>
        <v>1.2873</v>
      </c>
      <c r="C2506" t="str">
        <f>"1.2886"</f>
        <v>1.2886</v>
      </c>
    </row>
    <row r="2507" spans="1:3" x14ac:dyDescent="0.25">
      <c r="A2507" t="str">
        <f>"24/10/2019"</f>
        <v>24/10/2019</v>
      </c>
      <c r="B2507" t="str">
        <f>"1.2896"</f>
        <v>1.2896</v>
      </c>
      <c r="C2507" t="str">
        <f>"1.2909"</f>
        <v>1.2909</v>
      </c>
    </row>
    <row r="2508" spans="1:3" x14ac:dyDescent="0.25">
      <c r="A2508" t="str">
        <f>"25/10/2019"</f>
        <v>25/10/2019</v>
      </c>
      <c r="B2508" t="str">
        <f>"1.2841"</f>
        <v>1.2841</v>
      </c>
      <c r="C2508" t="str">
        <f>"1.2854"</f>
        <v>1.2854</v>
      </c>
    </row>
    <row r="2509" spans="1:3" x14ac:dyDescent="0.25">
      <c r="A2509" t="str">
        <f>"29/10/2019"</f>
        <v>29/10/2019</v>
      </c>
      <c r="B2509" t="str">
        <f>"1.2866"</f>
        <v>1.2866</v>
      </c>
      <c r="C2509" t="str">
        <f>"1.2878"</f>
        <v>1.2878</v>
      </c>
    </row>
    <row r="2510" spans="1:3" x14ac:dyDescent="0.25">
      <c r="A2510" t="str">
        <f>"30/10/2019"</f>
        <v>30/10/2019</v>
      </c>
      <c r="B2510" t="str">
        <f>"1.2864"</f>
        <v>1.2864</v>
      </c>
      <c r="C2510" t="str">
        <f>"1.2876"</f>
        <v>1.2876</v>
      </c>
    </row>
    <row r="2511" spans="1:3" x14ac:dyDescent="0.25">
      <c r="A2511" t="str">
        <f>"31/10/2019"</f>
        <v>31/10/2019</v>
      </c>
      <c r="B2511" t="str">
        <f>"1.2957"</f>
        <v>1.2957</v>
      </c>
      <c r="C2511" t="str">
        <f>"1.2969"</f>
        <v>1.2969</v>
      </c>
    </row>
    <row r="2512" spans="1:3" x14ac:dyDescent="0.25">
      <c r="A2512" t="str">
        <f>"01/11/2019"</f>
        <v>01/11/2019</v>
      </c>
      <c r="B2512" t="str">
        <f>"1.2959"</f>
        <v>1.2959</v>
      </c>
      <c r="C2512" t="str">
        <f>"1.2971"</f>
        <v>1.2971</v>
      </c>
    </row>
    <row r="2513" spans="1:3" x14ac:dyDescent="0.25">
      <c r="A2513" t="str">
        <f>"04/11/2019"</f>
        <v>04/11/2019</v>
      </c>
      <c r="B2513" t="str">
        <f>"1.2938"</f>
        <v>1.2938</v>
      </c>
      <c r="C2513" t="str">
        <f>"1.295"</f>
        <v>1.295</v>
      </c>
    </row>
    <row r="2514" spans="1:3" x14ac:dyDescent="0.25">
      <c r="A2514" t="str">
        <f>"05/11/2019"</f>
        <v>05/11/2019</v>
      </c>
      <c r="B2514" t="str">
        <f>"1.2878"</f>
        <v>1.2878</v>
      </c>
      <c r="C2514" t="str">
        <f>"1.289"</f>
        <v>1.289</v>
      </c>
    </row>
    <row r="2515" spans="1:3" x14ac:dyDescent="0.25">
      <c r="A2515" t="str">
        <f>"06/11/2019"</f>
        <v>06/11/2019</v>
      </c>
      <c r="B2515" t="str">
        <f>"1.288"</f>
        <v>1.288</v>
      </c>
      <c r="C2515" t="str">
        <f>"1.2892"</f>
        <v>1.2892</v>
      </c>
    </row>
    <row r="2516" spans="1:3" x14ac:dyDescent="0.25">
      <c r="A2516" t="str">
        <f>"07/11/2019"</f>
        <v>07/11/2019</v>
      </c>
      <c r="B2516" t="str">
        <f>"1.2853"</f>
        <v>1.2853</v>
      </c>
      <c r="C2516" t="str">
        <f>"1.2864"</f>
        <v>1.2864</v>
      </c>
    </row>
    <row r="2517" spans="1:3" x14ac:dyDescent="0.25">
      <c r="A2517" t="str">
        <f>"08/11/2019"</f>
        <v>08/11/2019</v>
      </c>
      <c r="B2517" t="str">
        <f>"1.2798"</f>
        <v>1.2798</v>
      </c>
      <c r="C2517" t="str">
        <f>"1.2809"</f>
        <v>1.2809</v>
      </c>
    </row>
    <row r="2518" spans="1:3" x14ac:dyDescent="0.25">
      <c r="A2518" t="str">
        <f>"11/11/2019"</f>
        <v>11/11/2019</v>
      </c>
      <c r="B2518" t="str">
        <f>"1.2822"</f>
        <v>1.2822</v>
      </c>
      <c r="C2518" t="str">
        <f>"1.2833"</f>
        <v>1.2833</v>
      </c>
    </row>
    <row r="2519" spans="1:3" x14ac:dyDescent="0.25">
      <c r="A2519" t="str">
        <f>"13/11/2019"</f>
        <v>13/11/2019</v>
      </c>
      <c r="B2519" t="str">
        <f>"1.2834"</f>
        <v>1.2834</v>
      </c>
      <c r="C2519" t="str">
        <f>"1.2845"</f>
        <v>1.2845</v>
      </c>
    </row>
    <row r="2520" spans="1:3" x14ac:dyDescent="0.25">
      <c r="A2520" t="str">
        <f>"14/11/2019"</f>
        <v>14/11/2019</v>
      </c>
      <c r="B2520" t="str">
        <f>"1.2844"</f>
        <v>1.2844</v>
      </c>
      <c r="C2520" t="str">
        <f>"1.2855"</f>
        <v>1.2855</v>
      </c>
    </row>
    <row r="2521" spans="1:3" x14ac:dyDescent="0.25">
      <c r="A2521" t="str">
        <f>"15/11/2019"</f>
        <v>15/11/2019</v>
      </c>
      <c r="B2521" t="str">
        <f>"1.2879"</f>
        <v>1.2879</v>
      </c>
      <c r="C2521" t="str">
        <f>"1.289"</f>
        <v>1.289</v>
      </c>
    </row>
    <row r="2522" spans="1:3" x14ac:dyDescent="0.25">
      <c r="A2522" t="str">
        <f>"18/11/2019"</f>
        <v>18/11/2019</v>
      </c>
      <c r="B2522" t="str">
        <f>"1.2964"</f>
        <v>1.2964</v>
      </c>
      <c r="C2522" t="str">
        <f>"1.2975"</f>
        <v>1.2975</v>
      </c>
    </row>
    <row r="2523" spans="1:3" x14ac:dyDescent="0.25">
      <c r="A2523" t="str">
        <f>"19/11/2019"</f>
        <v>19/11/2019</v>
      </c>
      <c r="B2523" t="str">
        <f>"1.2931"</f>
        <v>1.2931</v>
      </c>
      <c r="C2523" t="str">
        <f>"1.2942"</f>
        <v>1.2942</v>
      </c>
    </row>
    <row r="2524" spans="1:3" x14ac:dyDescent="0.25">
      <c r="A2524" t="str">
        <f>"20/11/2019"</f>
        <v>20/11/2019</v>
      </c>
      <c r="B2524" t="str">
        <f>"1.2906"</f>
        <v>1.2906</v>
      </c>
      <c r="C2524" t="str">
        <f>"1.2917"</f>
        <v>1.2917</v>
      </c>
    </row>
    <row r="2525" spans="1:3" x14ac:dyDescent="0.25">
      <c r="A2525" t="str">
        <f>"21/11/2019"</f>
        <v>21/11/2019</v>
      </c>
      <c r="B2525" t="str">
        <f>"1.2926"</f>
        <v>1.2926</v>
      </c>
      <c r="C2525" t="str">
        <f>"1.2937"</f>
        <v>1.2937</v>
      </c>
    </row>
    <row r="2526" spans="1:3" x14ac:dyDescent="0.25">
      <c r="A2526" t="str">
        <f>"22/11/2019"</f>
        <v>22/11/2019</v>
      </c>
      <c r="B2526" t="str">
        <f>"1.2915"</f>
        <v>1.2915</v>
      </c>
      <c r="C2526" t="str">
        <f>"1.2926"</f>
        <v>1.2926</v>
      </c>
    </row>
    <row r="2527" spans="1:3" x14ac:dyDescent="0.25">
      <c r="A2527" t="str">
        <f>"25/11/2019"</f>
        <v>25/11/2019</v>
      </c>
      <c r="B2527" t="str">
        <f>"1.2872"</f>
        <v>1.2872</v>
      </c>
      <c r="C2527" t="str">
        <f>"1.2883"</f>
        <v>1.2883</v>
      </c>
    </row>
    <row r="2528" spans="1:3" x14ac:dyDescent="0.25">
      <c r="A2528" t="str">
        <f>"26/11/2019"</f>
        <v>26/11/2019</v>
      </c>
      <c r="B2528" t="str">
        <f>"1.2877"</f>
        <v>1.2877</v>
      </c>
      <c r="C2528" t="str">
        <f>"1.2889"</f>
        <v>1.2889</v>
      </c>
    </row>
    <row r="2529" spans="1:3" x14ac:dyDescent="0.25">
      <c r="A2529" t="str">
        <f>"27/11/2019"</f>
        <v>27/11/2019</v>
      </c>
      <c r="B2529" t="str">
        <f>"1.289"</f>
        <v>1.289</v>
      </c>
      <c r="C2529" t="str">
        <f>"1.2902"</f>
        <v>1.2902</v>
      </c>
    </row>
    <row r="2530" spans="1:3" x14ac:dyDescent="0.25">
      <c r="A2530" t="str">
        <f>"28/11/2019"</f>
        <v>28/11/2019</v>
      </c>
      <c r="B2530" t="str">
        <f>"1.2917"</f>
        <v>1.2917</v>
      </c>
      <c r="C2530" t="str">
        <f>"1.2935"</f>
        <v>1.2935</v>
      </c>
    </row>
    <row r="2531" spans="1:3" x14ac:dyDescent="0.25">
      <c r="A2531" t="str">
        <f>"29/11/2019"</f>
        <v>29/11/2019</v>
      </c>
      <c r="B2531" t="str">
        <f>"1.2911"</f>
        <v>1.2911</v>
      </c>
      <c r="C2531" t="str">
        <f>"1.2929"</f>
        <v>1.2929</v>
      </c>
    </row>
    <row r="2532" spans="1:3" x14ac:dyDescent="0.25">
      <c r="A2532" t="str">
        <f>"02/12/2019"</f>
        <v>02/12/2019</v>
      </c>
      <c r="B2532" t="str">
        <f>"1.2915"</f>
        <v>1.2915</v>
      </c>
      <c r="C2532" t="str">
        <f>"1.2934"</f>
        <v>1.2934</v>
      </c>
    </row>
    <row r="2533" spans="1:3" x14ac:dyDescent="0.25">
      <c r="A2533" t="str">
        <f>"03/12/2019"</f>
        <v>03/12/2019</v>
      </c>
      <c r="B2533" t="str">
        <f>"1.2994"</f>
        <v>1.2994</v>
      </c>
      <c r="C2533" t="str">
        <f>"1.3012"</f>
        <v>1.3012</v>
      </c>
    </row>
    <row r="2534" spans="1:3" x14ac:dyDescent="0.25">
      <c r="A2534" t="str">
        <f>"04/12/2019"</f>
        <v>04/12/2019</v>
      </c>
      <c r="B2534" t="str">
        <f>"1.3048"</f>
        <v>1.3048</v>
      </c>
      <c r="C2534" t="str">
        <f>"1.3064"</f>
        <v>1.3064</v>
      </c>
    </row>
    <row r="2535" spans="1:3" x14ac:dyDescent="0.25">
      <c r="A2535" t="str">
        <f>"05/12/2019"</f>
        <v>05/12/2019</v>
      </c>
      <c r="B2535" t="str">
        <f>"1.3138"</f>
        <v>1.3138</v>
      </c>
      <c r="C2535" t="str">
        <f>"1.3154"</f>
        <v>1.3154</v>
      </c>
    </row>
    <row r="2536" spans="1:3" x14ac:dyDescent="0.25">
      <c r="A2536" t="str">
        <f>"06/12/2019"</f>
        <v>06/12/2019</v>
      </c>
      <c r="B2536" t="str">
        <f>"1.3133"</f>
        <v>1.3133</v>
      </c>
      <c r="C2536" t="str">
        <f>"1.315"</f>
        <v>1.315</v>
      </c>
    </row>
    <row r="2537" spans="1:3" x14ac:dyDescent="0.25">
      <c r="A2537" t="str">
        <f>"09/12/2019"</f>
        <v>09/12/2019</v>
      </c>
      <c r="B2537" t="str">
        <f>"1.3161"</f>
        <v>1.3161</v>
      </c>
      <c r="C2537" t="str">
        <f>"1.3179"</f>
        <v>1.3179</v>
      </c>
    </row>
    <row r="2538" spans="1:3" x14ac:dyDescent="0.25">
      <c r="A2538" t="str">
        <f>"10/12/2019"</f>
        <v>10/12/2019</v>
      </c>
      <c r="B2538" t="str">
        <f>"1.3169"</f>
        <v>1.3169</v>
      </c>
      <c r="C2538" t="str">
        <f>"1.3188"</f>
        <v>1.3188</v>
      </c>
    </row>
    <row r="2539" spans="1:3" x14ac:dyDescent="0.25">
      <c r="A2539" t="str">
        <f>"11/12/2019"</f>
        <v>11/12/2019</v>
      </c>
      <c r="B2539" t="str">
        <f>"1.3151"</f>
        <v>1.3151</v>
      </c>
      <c r="C2539" t="str">
        <f>"1.317"</f>
        <v>1.317</v>
      </c>
    </row>
    <row r="2540" spans="1:3" x14ac:dyDescent="0.25">
      <c r="A2540" t="str">
        <f>"12/12/2019"</f>
        <v>12/12/2019</v>
      </c>
      <c r="B2540" t="str">
        <f>"1.3183"</f>
        <v>1.3183</v>
      </c>
      <c r="C2540" t="str">
        <f>"1.3201"</f>
        <v>1.3201</v>
      </c>
    </row>
    <row r="2541" spans="1:3" x14ac:dyDescent="0.25">
      <c r="A2541" t="str">
        <f>"13/12/2019"</f>
        <v>13/12/2019</v>
      </c>
      <c r="B2541" t="str">
        <f>"1.3461"</f>
        <v>1.3461</v>
      </c>
      <c r="C2541" t="str">
        <f>"1.3478"</f>
        <v>1.3478</v>
      </c>
    </row>
    <row r="2542" spans="1:3" x14ac:dyDescent="0.25">
      <c r="A2542" t="str">
        <f>"16/12/2019"</f>
        <v>16/12/2019</v>
      </c>
      <c r="B2542" t="str">
        <f>"1.3368"</f>
        <v>1.3368</v>
      </c>
      <c r="C2542" t="str">
        <f>"1.3386"</f>
        <v>1.3386</v>
      </c>
    </row>
    <row r="2543" spans="1:3" x14ac:dyDescent="0.25">
      <c r="A2543" t="str">
        <f>"17/12/2019"</f>
        <v>17/12/2019</v>
      </c>
      <c r="B2543" t="str">
        <f>"1.3296"</f>
        <v>1.3296</v>
      </c>
      <c r="C2543" t="str">
        <f>"1.3314"</f>
        <v>1.3314</v>
      </c>
    </row>
    <row r="2544" spans="1:3" x14ac:dyDescent="0.25">
      <c r="A2544" t="str">
        <f>"18/12/2019"</f>
        <v>18/12/2019</v>
      </c>
      <c r="B2544" t="str">
        <f>"1.3093"</f>
        <v>1.3093</v>
      </c>
      <c r="C2544" t="str">
        <f>"1.311"</f>
        <v>1.311</v>
      </c>
    </row>
    <row r="2545" spans="1:3" x14ac:dyDescent="0.25">
      <c r="A2545" t="str">
        <f>"19/12/2019"</f>
        <v>19/12/2019</v>
      </c>
      <c r="B2545" t="str">
        <f>"1.3086"</f>
        <v>1.3086</v>
      </c>
      <c r="C2545" t="str">
        <f>"1.3103"</f>
        <v>1.3103</v>
      </c>
    </row>
    <row r="2546" spans="1:3" x14ac:dyDescent="0.25">
      <c r="A2546" t="str">
        <f>"20/12/2019"</f>
        <v>20/12/2019</v>
      </c>
      <c r="B2546" t="str">
        <f>"1.3025"</f>
        <v>1.3025</v>
      </c>
      <c r="C2546" t="str">
        <f>"1.3041"</f>
        <v>1.3041</v>
      </c>
    </row>
    <row r="2547" spans="1:3" x14ac:dyDescent="0.25">
      <c r="A2547" t="str">
        <f>"23/12/2019"</f>
        <v>23/12/2019</v>
      </c>
      <c r="B2547" t="str">
        <f>"1.2974"</f>
        <v>1.2974</v>
      </c>
      <c r="C2547" t="str">
        <f>"1.2991"</f>
        <v>1.2991</v>
      </c>
    </row>
    <row r="2548" spans="1:3" x14ac:dyDescent="0.25">
      <c r="A2548" t="str">
        <f>"24/12/2019"</f>
        <v>24/12/2019</v>
      </c>
      <c r="B2548" t="str">
        <f>"1.2956"</f>
        <v>1.2956</v>
      </c>
      <c r="C2548" t="str">
        <f>"1.2974"</f>
        <v>1.2974</v>
      </c>
    </row>
    <row r="2549" spans="1:3" x14ac:dyDescent="0.25">
      <c r="A2549" t="str">
        <f>"26/12/2019"</f>
        <v>26/12/2019</v>
      </c>
      <c r="B2549" t="str">
        <f>"1.2971"</f>
        <v>1.2971</v>
      </c>
      <c r="C2549" t="str">
        <f>"1.2989"</f>
        <v>1.2989</v>
      </c>
    </row>
    <row r="2550" spans="1:3" x14ac:dyDescent="0.25">
      <c r="A2550" t="str">
        <f>"27/12/2019"</f>
        <v>27/12/2019</v>
      </c>
      <c r="B2550" t="str">
        <f>"1.3074"</f>
        <v>1.3074</v>
      </c>
      <c r="C2550" t="str">
        <f>"1.3089"</f>
        <v>1.3089</v>
      </c>
    </row>
    <row r="2551" spans="1:3" x14ac:dyDescent="0.25">
      <c r="A2551" t="str">
        <f>"30/12/2019"</f>
        <v>30/12/2019</v>
      </c>
      <c r="B2551" t="str">
        <f>"1.3117"</f>
        <v>1.3117</v>
      </c>
      <c r="C2551" t="str">
        <f>"1.3129"</f>
        <v>1.3129</v>
      </c>
    </row>
    <row r="2552" spans="1:3" x14ac:dyDescent="0.25">
      <c r="A2552" t="str">
        <f>"31/12/2019"</f>
        <v>31/12/2019</v>
      </c>
      <c r="B2552" t="str">
        <f>"1.3196"</f>
        <v>1.3196</v>
      </c>
      <c r="C2552" t="str">
        <f>"1.3208"</f>
        <v>1.3208</v>
      </c>
    </row>
    <row r="2553" spans="1:3" x14ac:dyDescent="0.25">
      <c r="A2553" t="str">
        <f>"02/01/2020"</f>
        <v>02/01/2020</v>
      </c>
      <c r="B2553" t="str">
        <f>"1.3197"</f>
        <v>1.3197</v>
      </c>
      <c r="C2553" t="str">
        <f>"1.3208"</f>
        <v>1.3208</v>
      </c>
    </row>
    <row r="2554" spans="1:3" x14ac:dyDescent="0.25">
      <c r="A2554" t="str">
        <f>"03/01/2020"</f>
        <v>03/01/2020</v>
      </c>
      <c r="B2554" t="str">
        <f>"1.3058"</f>
        <v>1.3058</v>
      </c>
      <c r="C2554" t="str">
        <f>"1.3069"</f>
        <v>1.3069</v>
      </c>
    </row>
    <row r="2555" spans="1:3" x14ac:dyDescent="0.25">
      <c r="A2555" t="str">
        <f>"06/01/2020"</f>
        <v>06/01/2020</v>
      </c>
      <c r="B2555" t="str">
        <f>"1.3084"</f>
        <v>1.3084</v>
      </c>
      <c r="C2555" t="str">
        <f>"1.3096"</f>
        <v>1.3096</v>
      </c>
    </row>
    <row r="2556" spans="1:3" x14ac:dyDescent="0.25">
      <c r="A2556" t="str">
        <f>"07/01/2020"</f>
        <v>07/01/2020</v>
      </c>
      <c r="B2556" t="str">
        <f>"1.3149"</f>
        <v>1.3149</v>
      </c>
      <c r="C2556" t="str">
        <f>"1.316"</f>
        <v>1.316</v>
      </c>
    </row>
    <row r="2557" spans="1:3" x14ac:dyDescent="0.25">
      <c r="A2557" t="str">
        <f>"08/01/2020"</f>
        <v>08/01/2020</v>
      </c>
      <c r="B2557" t="str">
        <f>"1.312"</f>
        <v>1.312</v>
      </c>
      <c r="C2557" t="str">
        <f>"1.3131"</f>
        <v>1.3131</v>
      </c>
    </row>
    <row r="2558" spans="1:3" x14ac:dyDescent="0.25">
      <c r="A2558" t="str">
        <f>"09/01/2020"</f>
        <v>09/01/2020</v>
      </c>
      <c r="B2558" t="str">
        <f>"1.302"</f>
        <v>1.302</v>
      </c>
      <c r="C2558" t="str">
        <f>"1.3031"</f>
        <v>1.3031</v>
      </c>
    </row>
    <row r="2559" spans="1:3" x14ac:dyDescent="0.25">
      <c r="A2559" t="str">
        <f>"10/01/2020"</f>
        <v>10/01/2020</v>
      </c>
      <c r="B2559" t="str">
        <f>"1.3072"</f>
        <v>1.3072</v>
      </c>
      <c r="C2559" t="str">
        <f>"1.3083"</f>
        <v>1.3083</v>
      </c>
    </row>
    <row r="2560" spans="1:3" x14ac:dyDescent="0.25">
      <c r="A2560" t="str">
        <f>"13/01/2020"</f>
        <v>13/01/2020</v>
      </c>
      <c r="B2560" t="str">
        <f>"1.304"</f>
        <v>1.304</v>
      </c>
      <c r="C2560" t="str">
        <f>"1.3052"</f>
        <v>1.3052</v>
      </c>
    </row>
    <row r="2561" spans="1:3" x14ac:dyDescent="0.25">
      <c r="A2561" t="str">
        <f>"14/01/2020"</f>
        <v>14/01/2020</v>
      </c>
      <c r="B2561" t="str">
        <f>"1.2994"</f>
        <v>1.2994</v>
      </c>
      <c r="C2561" t="str">
        <f>"1.3006"</f>
        <v>1.3006</v>
      </c>
    </row>
    <row r="2562" spans="1:3" x14ac:dyDescent="0.25">
      <c r="A2562" t="str">
        <f>"15/01/2020"</f>
        <v>15/01/2020</v>
      </c>
      <c r="B2562" t="str">
        <f>"1.3027"</f>
        <v>1.3027</v>
      </c>
      <c r="C2562" t="str">
        <f>"1.3039"</f>
        <v>1.3039</v>
      </c>
    </row>
    <row r="2563" spans="1:3" x14ac:dyDescent="0.25">
      <c r="A2563" t="str">
        <f>"16/01/2020"</f>
        <v>16/01/2020</v>
      </c>
      <c r="B2563" t="str">
        <f>"1.3054"</f>
        <v>1.3054</v>
      </c>
      <c r="C2563" t="str">
        <f>"1.3066"</f>
        <v>1.3066</v>
      </c>
    </row>
    <row r="2564" spans="1:3" x14ac:dyDescent="0.25">
      <c r="A2564" t="str">
        <f>"17/01/2020"</f>
        <v>17/01/2020</v>
      </c>
      <c r="B2564" t="str">
        <f>"1.3033"</f>
        <v>1.3033</v>
      </c>
      <c r="C2564" t="str">
        <f>"1.3045"</f>
        <v>1.3045</v>
      </c>
    </row>
    <row r="2565" spans="1:3" x14ac:dyDescent="0.25">
      <c r="A2565" t="str">
        <f>"20/01/2020"</f>
        <v>20/01/2020</v>
      </c>
      <c r="B2565" t="str">
        <f>"1.2991"</f>
        <v>1.2991</v>
      </c>
      <c r="C2565" t="str">
        <f>"1.3004"</f>
        <v>1.3004</v>
      </c>
    </row>
    <row r="2566" spans="1:3" x14ac:dyDescent="0.25">
      <c r="A2566" t="str">
        <f>"21/01/2020"</f>
        <v>21/01/2020</v>
      </c>
      <c r="B2566" t="str">
        <f>"1.3055"</f>
        <v>1.3055</v>
      </c>
      <c r="C2566" t="str">
        <f>"1.3067"</f>
        <v>1.3067</v>
      </c>
    </row>
    <row r="2567" spans="1:3" x14ac:dyDescent="0.25">
      <c r="A2567" t="str">
        <f>"22/01/2020"</f>
        <v>22/01/2020</v>
      </c>
      <c r="B2567" t="str">
        <f>"1.3093"</f>
        <v>1.3093</v>
      </c>
      <c r="C2567" t="str">
        <f>"1.3105"</f>
        <v>1.3105</v>
      </c>
    </row>
    <row r="2568" spans="1:3" x14ac:dyDescent="0.25">
      <c r="A2568" t="str">
        <f>"23/01/2020"</f>
        <v>23/01/2020</v>
      </c>
      <c r="B2568" t="str">
        <f>"1.3127"</f>
        <v>1.3127</v>
      </c>
      <c r="C2568" t="str">
        <f>"1.3139"</f>
        <v>1.3139</v>
      </c>
    </row>
    <row r="2569" spans="1:3" x14ac:dyDescent="0.25">
      <c r="A2569" t="str">
        <f>"24/01/2020"</f>
        <v>24/01/2020</v>
      </c>
      <c r="B2569" t="str">
        <f>"1.309"</f>
        <v>1.309</v>
      </c>
      <c r="C2569" t="str">
        <f>"1.3102"</f>
        <v>1.3102</v>
      </c>
    </row>
    <row r="2570" spans="1:3" x14ac:dyDescent="0.25">
      <c r="A2570" t="str">
        <f>"27/01/2020"</f>
        <v>27/01/2020</v>
      </c>
      <c r="B2570" t="str">
        <f>"1.3084"</f>
        <v>1.3084</v>
      </c>
      <c r="C2570" t="str">
        <f>"1.3096"</f>
        <v>1.3096</v>
      </c>
    </row>
    <row r="2571" spans="1:3" x14ac:dyDescent="0.25">
      <c r="A2571" t="str">
        <f>"28/01/2020"</f>
        <v>28/01/2020</v>
      </c>
      <c r="B2571" t="str">
        <f>"1.3011"</f>
        <v>1.3011</v>
      </c>
      <c r="C2571" t="str">
        <f>"1.3023"</f>
        <v>1.3023</v>
      </c>
    </row>
    <row r="2572" spans="1:3" x14ac:dyDescent="0.25">
      <c r="A2572" t="str">
        <f>"29/01/2020"</f>
        <v>29/01/2020</v>
      </c>
      <c r="B2572" t="str">
        <f>"1.3013"</f>
        <v>1.3013</v>
      </c>
      <c r="C2572" t="str">
        <f>"1.3024"</f>
        <v>1.3024</v>
      </c>
    </row>
    <row r="2573" spans="1:3" x14ac:dyDescent="0.25">
      <c r="A2573" t="str">
        <f>"30/01/2020"</f>
        <v>30/01/2020</v>
      </c>
      <c r="B2573" t="str">
        <f>"1.3027"</f>
        <v>1.3027</v>
      </c>
      <c r="C2573" t="str">
        <f>"1.3038"</f>
        <v>1.3038</v>
      </c>
    </row>
    <row r="2574" spans="1:3" x14ac:dyDescent="0.25">
      <c r="A2574" t="str">
        <f>"31/01/2020"</f>
        <v>31/01/2020</v>
      </c>
      <c r="B2574" t="str">
        <f>"1.3098"</f>
        <v>1.3098</v>
      </c>
      <c r="C2574" t="str">
        <f>"1.3108"</f>
        <v>1.3108</v>
      </c>
    </row>
    <row r="2575" spans="1:3" x14ac:dyDescent="0.25">
      <c r="A2575" t="str">
        <f>"03/02/2020"</f>
        <v>03/02/2020</v>
      </c>
      <c r="B2575" t="str">
        <f>"1.3054"</f>
        <v>1.3054</v>
      </c>
      <c r="C2575" t="str">
        <f>"1.3064"</f>
        <v>1.3064</v>
      </c>
    </row>
    <row r="2576" spans="1:3" x14ac:dyDescent="0.25">
      <c r="A2576" t="str">
        <f>"04/02/2020"</f>
        <v>04/02/2020</v>
      </c>
      <c r="B2576" t="str">
        <f>"1.3012"</f>
        <v>1.3012</v>
      </c>
      <c r="C2576" t="str">
        <f>"1.3022"</f>
        <v>1.3022</v>
      </c>
    </row>
    <row r="2577" spans="1:3" x14ac:dyDescent="0.25">
      <c r="A2577" t="str">
        <f>"05/02/2020"</f>
        <v>05/02/2020</v>
      </c>
      <c r="B2577" t="str">
        <f>"1.3061"</f>
        <v>1.3061</v>
      </c>
      <c r="C2577" t="str">
        <f>"1.3072"</f>
        <v>1.3072</v>
      </c>
    </row>
    <row r="2578" spans="1:3" x14ac:dyDescent="0.25">
      <c r="A2578" t="str">
        <f>"06/02/2020"</f>
        <v>06/02/2020</v>
      </c>
      <c r="B2578" t="str">
        <f>"1.2963"</f>
        <v>1.2963</v>
      </c>
      <c r="C2578" t="str">
        <f>"1.2973"</f>
        <v>1.2973</v>
      </c>
    </row>
    <row r="2579" spans="1:3" x14ac:dyDescent="0.25">
      <c r="A2579" t="str">
        <f>"07/02/2020"</f>
        <v>07/02/2020</v>
      </c>
      <c r="B2579" t="str">
        <f>"1.2932"</f>
        <v>1.2932</v>
      </c>
      <c r="C2579" t="str">
        <f>"1.2942"</f>
        <v>1.2942</v>
      </c>
    </row>
    <row r="2580" spans="1:3" x14ac:dyDescent="0.25">
      <c r="A2580" t="str">
        <f>"10/02/2020"</f>
        <v>10/02/2020</v>
      </c>
      <c r="B2580" t="str">
        <f>"1.2924"</f>
        <v>1.2924</v>
      </c>
      <c r="C2580" t="str">
        <f>"1.2934"</f>
        <v>1.2934</v>
      </c>
    </row>
    <row r="2581" spans="1:3" x14ac:dyDescent="0.25">
      <c r="A2581" t="str">
        <f>"11/02/2020"</f>
        <v>11/02/2020</v>
      </c>
      <c r="B2581" t="str">
        <f>"1.293"</f>
        <v>1.293</v>
      </c>
      <c r="C2581" t="str">
        <f>"1.294"</f>
        <v>1.294</v>
      </c>
    </row>
    <row r="2582" spans="1:3" x14ac:dyDescent="0.25">
      <c r="A2582" t="str">
        <f>"12/02/2020"</f>
        <v>12/02/2020</v>
      </c>
      <c r="B2582" t="str">
        <f>"1.2986"</f>
        <v>1.2986</v>
      </c>
      <c r="C2582" t="str">
        <f>"1.2997"</f>
        <v>1.2997</v>
      </c>
    </row>
    <row r="2583" spans="1:3" x14ac:dyDescent="0.25">
      <c r="A2583" t="str">
        <f>"13/02/2020"</f>
        <v>13/02/2020</v>
      </c>
      <c r="B2583" t="str">
        <f>"1.2974"</f>
        <v>1.2974</v>
      </c>
      <c r="C2583" t="str">
        <f>"1.2984"</f>
        <v>1.2984</v>
      </c>
    </row>
    <row r="2584" spans="1:3" x14ac:dyDescent="0.25">
      <c r="A2584" t="str">
        <f>"14/02/2020"</f>
        <v>14/02/2020</v>
      </c>
      <c r="B2584" t="str">
        <f>"1.3028"</f>
        <v>1.3028</v>
      </c>
      <c r="C2584" t="str">
        <f>"1.3038"</f>
        <v>1.3038</v>
      </c>
    </row>
    <row r="2585" spans="1:3" x14ac:dyDescent="0.25">
      <c r="A2585" t="str">
        <f>"17/02/2020"</f>
        <v>17/02/2020</v>
      </c>
      <c r="B2585" t="str">
        <f>"1.3014"</f>
        <v>1.3014</v>
      </c>
      <c r="C2585" t="str">
        <f>"1.3024"</f>
        <v>1.3024</v>
      </c>
    </row>
    <row r="2586" spans="1:3" x14ac:dyDescent="0.25">
      <c r="A2586" t="str">
        <f>"18/02/2020"</f>
        <v>18/02/2020</v>
      </c>
      <c r="B2586" t="str">
        <f>"1.3036"</f>
        <v>1.3036</v>
      </c>
      <c r="C2586" t="str">
        <f>"1.3046"</f>
        <v>1.3046</v>
      </c>
    </row>
    <row r="2587" spans="1:3" x14ac:dyDescent="0.25">
      <c r="A2587" t="str">
        <f>"20/02/2020"</f>
        <v>20/02/2020</v>
      </c>
      <c r="B2587" t="str">
        <f>"1.2863"</f>
        <v>1.2863</v>
      </c>
      <c r="C2587" t="str">
        <f>"1.2873"</f>
        <v>1.2873</v>
      </c>
    </row>
    <row r="2588" spans="1:3" x14ac:dyDescent="0.25">
      <c r="A2588" t="str">
        <f>"24/02/2020"</f>
        <v>24/02/2020</v>
      </c>
      <c r="B2588" t="str">
        <f>"1.2906"</f>
        <v>1.2906</v>
      </c>
      <c r="C2588" t="str">
        <f>"1.2916"</f>
        <v>1.2916</v>
      </c>
    </row>
    <row r="2589" spans="1:3" x14ac:dyDescent="0.25">
      <c r="A2589" t="str">
        <f>"25/02/2020"</f>
        <v>25/02/2020</v>
      </c>
      <c r="B2589" t="str">
        <f>"1.2962"</f>
        <v>1.2962</v>
      </c>
      <c r="C2589" t="str">
        <f>"1.2972"</f>
        <v>1.2972</v>
      </c>
    </row>
    <row r="2590" spans="1:3" x14ac:dyDescent="0.25">
      <c r="A2590" t="str">
        <f>"26/02/2020"</f>
        <v>26/02/2020</v>
      </c>
      <c r="B2590" t="str">
        <f>"1.2936"</f>
        <v>1.2936</v>
      </c>
      <c r="C2590" t="str">
        <f>"1.2947"</f>
        <v>1.2947</v>
      </c>
    </row>
    <row r="2591" spans="1:3" x14ac:dyDescent="0.25">
      <c r="A2591" t="str">
        <f>"27/02/2020"</f>
        <v>27/02/2020</v>
      </c>
      <c r="B2591" t="str">
        <f>"1.2868"</f>
        <v>1.2868</v>
      </c>
      <c r="C2591" t="str">
        <f>"1.2879"</f>
        <v>1.2879</v>
      </c>
    </row>
    <row r="2592" spans="1:3" x14ac:dyDescent="0.25">
      <c r="A2592" t="str">
        <f>"28/02/2020"</f>
        <v>28/02/2020</v>
      </c>
      <c r="B2592" t="str">
        <f>"1.2879"</f>
        <v>1.2879</v>
      </c>
      <c r="C2592" t="str">
        <f>"1.289"</f>
        <v>1.289</v>
      </c>
    </row>
    <row r="2593" spans="1:3" x14ac:dyDescent="0.25">
      <c r="A2593" t="str">
        <f>"02/03/2020"</f>
        <v>02/03/2020</v>
      </c>
      <c r="B2593" t="str">
        <f>"1.2781"</f>
        <v>1.2781</v>
      </c>
      <c r="C2593" t="str">
        <f>"1.2792"</f>
        <v>1.2792</v>
      </c>
    </row>
    <row r="2594" spans="1:3" x14ac:dyDescent="0.25">
      <c r="A2594" t="str">
        <f>"03/03/2020"</f>
        <v>03/03/2020</v>
      </c>
      <c r="B2594" t="str">
        <f>"1.2789"</f>
        <v>1.2789</v>
      </c>
      <c r="C2594" t="str">
        <f>"1.2799"</f>
        <v>1.2799</v>
      </c>
    </row>
    <row r="2595" spans="1:3" x14ac:dyDescent="0.25">
      <c r="A2595" t="str">
        <f>"04/03/2020"</f>
        <v>04/03/2020</v>
      </c>
      <c r="B2595" t="str">
        <f>"1.2792"</f>
        <v>1.2792</v>
      </c>
      <c r="C2595" t="str">
        <f>"1.28"</f>
        <v>1.28</v>
      </c>
    </row>
    <row r="2596" spans="1:3" x14ac:dyDescent="0.25">
      <c r="A2596" t="str">
        <f>"05/03/2020"</f>
        <v>05/03/2020</v>
      </c>
      <c r="B2596" t="str">
        <f>"1.2925"</f>
        <v>1.2925</v>
      </c>
      <c r="C2596" t="str">
        <f>"1.2932"</f>
        <v>1.2932</v>
      </c>
    </row>
    <row r="2597" spans="1:3" x14ac:dyDescent="0.25">
      <c r="A2597" t="str">
        <f>"06/03/2020"</f>
        <v>06/03/2020</v>
      </c>
      <c r="B2597" t="str">
        <f>"1.3012"</f>
        <v>1.3012</v>
      </c>
      <c r="C2597" t="str">
        <f>"1.3019"</f>
        <v>1.3019</v>
      </c>
    </row>
    <row r="2598" spans="1:3" x14ac:dyDescent="0.25">
      <c r="A2598" t="str">
        <f>"09/03/2020"</f>
        <v>09/03/2020</v>
      </c>
      <c r="B2598" t="str">
        <f>"1.3066"</f>
        <v>1.3066</v>
      </c>
      <c r="C2598" t="str">
        <f>"1.3071"</f>
        <v>1.3071</v>
      </c>
    </row>
    <row r="2599" spans="1:3" x14ac:dyDescent="0.25">
      <c r="A2599" t="str">
        <f>"11/03/2020"</f>
        <v>11/03/2020</v>
      </c>
      <c r="B2599" t="str">
        <f>"1.292"</f>
        <v>1.292</v>
      </c>
      <c r="C2599" t="str">
        <f>"1.2926"</f>
        <v>1.2926</v>
      </c>
    </row>
    <row r="2600" spans="1:3" x14ac:dyDescent="0.25">
      <c r="A2600" t="str">
        <f>"12/03/2020"</f>
        <v>12/03/2020</v>
      </c>
      <c r="B2600" t="str">
        <f>"1.2731"</f>
        <v>1.2731</v>
      </c>
      <c r="C2600" t="str">
        <f>"1.2741"</f>
        <v>1.2741</v>
      </c>
    </row>
    <row r="2601" spans="1:3" x14ac:dyDescent="0.25">
      <c r="A2601" t="str">
        <f>"13/03/2020"</f>
        <v>13/03/2020</v>
      </c>
      <c r="B2601" t="str">
        <f>"1.2546"</f>
        <v>1.2546</v>
      </c>
      <c r="C2601" t="str">
        <f>"1.2557"</f>
        <v>1.2557</v>
      </c>
    </row>
    <row r="2602" spans="1:3" x14ac:dyDescent="0.25">
      <c r="A2602" t="str">
        <f>"16/03/2020"</f>
        <v>16/03/2020</v>
      </c>
      <c r="B2602" t="str">
        <f>"1.2279"</f>
        <v>1.2279</v>
      </c>
      <c r="C2602" t="str">
        <f>"1.2291"</f>
        <v>1.2291</v>
      </c>
    </row>
    <row r="2603" spans="1:3" x14ac:dyDescent="0.25">
      <c r="A2603" t="str">
        <f>"17/03/2020"</f>
        <v>17/03/2020</v>
      </c>
      <c r="B2603" t="str">
        <f>"1.2265"</f>
        <v>1.2265</v>
      </c>
      <c r="C2603" t="str">
        <f>"1.2281"</f>
        <v>1.2281</v>
      </c>
    </row>
    <row r="2604" spans="1:3" x14ac:dyDescent="0.25">
      <c r="A2604" t="str">
        <f>"18/03/2020"</f>
        <v>18/03/2020</v>
      </c>
      <c r="B2604" t="str">
        <f>"1.1937"</f>
        <v>1.1937</v>
      </c>
      <c r="C2604" t="str">
        <f>"1.195"</f>
        <v>1.195</v>
      </c>
    </row>
    <row r="2605" spans="1:3" x14ac:dyDescent="0.25">
      <c r="A2605" t="str">
        <f>"19/03/2020"</f>
        <v>19/03/2020</v>
      </c>
      <c r="B2605" t="str">
        <f>"1.1533"</f>
        <v>1.1533</v>
      </c>
      <c r="C2605" t="str">
        <f>"1.1554"</f>
        <v>1.1554</v>
      </c>
    </row>
    <row r="2606" spans="1:3" x14ac:dyDescent="0.25">
      <c r="A2606" t="str">
        <f>"20/03/2020"</f>
        <v>20/03/2020</v>
      </c>
      <c r="B2606" t="str">
        <f>"1.1669"</f>
        <v>1.1669</v>
      </c>
      <c r="C2606" t="str">
        <f>"1.1683"</f>
        <v>1.1683</v>
      </c>
    </row>
    <row r="2607" spans="1:3" x14ac:dyDescent="0.25">
      <c r="A2607" t="str">
        <f>"23/03/2020"</f>
        <v>23/03/2020</v>
      </c>
      <c r="B2607" t="str">
        <f>"1.1511"</f>
        <v>1.1511</v>
      </c>
      <c r="C2607" t="str">
        <f>"1.1519"</f>
        <v>1.1519</v>
      </c>
    </row>
    <row r="2608" spans="1:3" x14ac:dyDescent="0.25">
      <c r="A2608" t="str">
        <f>"24/03/2020"</f>
        <v>24/03/2020</v>
      </c>
      <c r="B2608" t="str">
        <f>"1.1633"</f>
        <v>1.1633</v>
      </c>
      <c r="C2608" t="str">
        <f>"1.1641"</f>
        <v>1.1641</v>
      </c>
    </row>
    <row r="2609" spans="1:3" x14ac:dyDescent="0.25">
      <c r="A2609" t="str">
        <f>"26/03/2020"</f>
        <v>26/03/2020</v>
      </c>
      <c r="B2609" t="str">
        <f>"1.1974"</f>
        <v>1.1974</v>
      </c>
      <c r="C2609" t="str">
        <f>"1.1982"</f>
        <v>1.1982</v>
      </c>
    </row>
    <row r="2610" spans="1:3" x14ac:dyDescent="0.25">
      <c r="A2610" t="str">
        <f>"27/03/2020"</f>
        <v>27/03/2020</v>
      </c>
      <c r="B2610" t="str">
        <f>"1.2253"</f>
        <v>1.2253</v>
      </c>
      <c r="C2610" t="str">
        <f>"1.2262"</f>
        <v>1.2262</v>
      </c>
    </row>
    <row r="2611" spans="1:3" x14ac:dyDescent="0.25">
      <c r="A2611" t="str">
        <f>"30/03/2020"</f>
        <v>30/03/2020</v>
      </c>
      <c r="B2611" t="str">
        <f>"1.2437"</f>
        <v>1.2437</v>
      </c>
      <c r="C2611" t="str">
        <f>"1.2446"</f>
        <v>1.2446</v>
      </c>
    </row>
    <row r="2612" spans="1:3" x14ac:dyDescent="0.25">
      <c r="A2612" t="str">
        <f>"31/03/2020"</f>
        <v>31/03/2020</v>
      </c>
      <c r="B2612" t="str">
        <f>"1.239"</f>
        <v>1.239</v>
      </c>
      <c r="C2612" t="str">
        <f>"1.2398"</f>
        <v>1.2398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0E89B-D255-4438-9D2F-A4CFB61EEBCB}">
  <dimension ref="A1:C2612"/>
  <sheetViews>
    <sheetView workbookViewId="0"/>
  </sheetViews>
  <sheetFormatPr defaultRowHeight="15" x14ac:dyDescent="0.25"/>
  <cols>
    <col min="1" max="1" width="10.710937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tr">
        <f>"29/05/2009"</f>
        <v>29/05/2009</v>
      </c>
      <c r="B2" t="str">
        <f>"47.4875"</f>
        <v>47.4875</v>
      </c>
      <c r="C2" t="str">
        <f>"47.6325"</f>
        <v>47.6325</v>
      </c>
    </row>
    <row r="3" spans="1:3" x14ac:dyDescent="0.25">
      <c r="A3" t="str">
        <f>"01/06/2009"</f>
        <v>01/06/2009</v>
      </c>
      <c r="B3" t="str">
        <f>"47.0225"</f>
        <v>47.0225</v>
      </c>
      <c r="C3" t="str">
        <f>"47.185"</f>
        <v>47.185</v>
      </c>
    </row>
    <row r="4" spans="1:3" x14ac:dyDescent="0.25">
      <c r="A4" t="str">
        <f>"02/06/2009"</f>
        <v>02/06/2009</v>
      </c>
      <c r="B4" t="str">
        <f>"47.10"</f>
        <v>47.10</v>
      </c>
      <c r="C4" t="str">
        <f>"47.265"</f>
        <v>47.265</v>
      </c>
    </row>
    <row r="5" spans="1:3" x14ac:dyDescent="0.25">
      <c r="A5" t="str">
        <f>"03/06/2009"</f>
        <v>03/06/2009</v>
      </c>
      <c r="B5" t="str">
        <f>"46.8525"</f>
        <v>46.8525</v>
      </c>
      <c r="C5" t="str">
        <f>"47.01"</f>
        <v>47.01</v>
      </c>
    </row>
    <row r="6" spans="1:3" x14ac:dyDescent="0.25">
      <c r="A6" t="str">
        <f>"04/06/2009"</f>
        <v>04/06/2009</v>
      </c>
      <c r="B6" t="str">
        <f>"47.225"</f>
        <v>47.225</v>
      </c>
      <c r="C6" t="str">
        <f>"47.38"</f>
        <v>47.38</v>
      </c>
    </row>
    <row r="7" spans="1:3" x14ac:dyDescent="0.25">
      <c r="A7" t="str">
        <f>"05/06/2009"</f>
        <v>05/06/2009</v>
      </c>
      <c r="B7" t="str">
        <f>"47.09"</f>
        <v>47.09</v>
      </c>
      <c r="C7" t="str">
        <f>"47.2375"</f>
        <v>47.2375</v>
      </c>
    </row>
    <row r="8" spans="1:3" x14ac:dyDescent="0.25">
      <c r="A8" t="str">
        <f>"08/06/2009"</f>
        <v>08/06/2009</v>
      </c>
      <c r="B8" t="str">
        <f>"47.63"</f>
        <v>47.63</v>
      </c>
      <c r="C8" t="str">
        <f>"47.7725"</f>
        <v>47.7725</v>
      </c>
    </row>
    <row r="9" spans="1:3" x14ac:dyDescent="0.25">
      <c r="A9" t="str">
        <f>"09/06/2009"</f>
        <v>09/06/2009</v>
      </c>
      <c r="B9" t="str">
        <f>"47.675"</f>
        <v>47.675</v>
      </c>
      <c r="C9" t="str">
        <f>"47.8325"</f>
        <v>47.8325</v>
      </c>
    </row>
    <row r="10" spans="1:3" x14ac:dyDescent="0.25">
      <c r="A10" t="str">
        <f>"10/06/2009"</f>
        <v>10/06/2009</v>
      </c>
      <c r="B10" t="str">
        <f>"47.34"</f>
        <v>47.34</v>
      </c>
      <c r="C10" t="str">
        <f>"47.4975"</f>
        <v>47.4975</v>
      </c>
    </row>
    <row r="11" spans="1:3" x14ac:dyDescent="0.25">
      <c r="A11" t="str">
        <f>"11/06/2009"</f>
        <v>11/06/2009</v>
      </c>
      <c r="B11" t="str">
        <f>"47.365"</f>
        <v>47.365</v>
      </c>
      <c r="C11" t="str">
        <f>"47.5225"</f>
        <v>47.5225</v>
      </c>
    </row>
    <row r="12" spans="1:3" x14ac:dyDescent="0.25">
      <c r="A12" t="str">
        <f>"12/06/2009"</f>
        <v>12/06/2009</v>
      </c>
      <c r="B12" t="str">
        <f>"47.46"</f>
        <v>47.46</v>
      </c>
      <c r="C12" t="str">
        <f>"47.61"</f>
        <v>47.61</v>
      </c>
    </row>
    <row r="13" spans="1:3" x14ac:dyDescent="0.25">
      <c r="A13" t="str">
        <f>"15/06/2009"</f>
        <v>15/06/2009</v>
      </c>
      <c r="B13" t="str">
        <f>"47.80"</f>
        <v>47.80</v>
      </c>
      <c r="C13" t="str">
        <f>"47.9475"</f>
        <v>47.9475</v>
      </c>
    </row>
    <row r="14" spans="1:3" x14ac:dyDescent="0.25">
      <c r="A14" t="str">
        <f>"16/06/2009"</f>
        <v>16/06/2009</v>
      </c>
      <c r="B14" t="str">
        <f>"47.925"</f>
        <v>47.925</v>
      </c>
      <c r="C14" t="str">
        <f>"48.0825"</f>
        <v>48.0825</v>
      </c>
    </row>
    <row r="15" spans="1:3" x14ac:dyDescent="0.25">
      <c r="A15" t="str">
        <f>"17/06/2009"</f>
        <v>17/06/2009</v>
      </c>
      <c r="B15" t="str">
        <f>"47.87"</f>
        <v>47.87</v>
      </c>
      <c r="C15" t="str">
        <f>"48.025"</f>
        <v>48.025</v>
      </c>
    </row>
    <row r="16" spans="1:3" x14ac:dyDescent="0.25">
      <c r="A16" t="str">
        <f>"18/06/2009"</f>
        <v>18/06/2009</v>
      </c>
      <c r="B16" t="str">
        <f>"48.11"</f>
        <v>48.11</v>
      </c>
      <c r="C16" t="str">
        <f>"48.2725"</f>
        <v>48.2725</v>
      </c>
    </row>
    <row r="17" spans="1:3" x14ac:dyDescent="0.25">
      <c r="A17" t="str">
        <f>"19/06/2009"</f>
        <v>19/06/2009</v>
      </c>
      <c r="B17" t="str">
        <f>"48.12"</f>
        <v>48.12</v>
      </c>
      <c r="C17" t="str">
        <f>"48.255"</f>
        <v>48.255</v>
      </c>
    </row>
    <row r="18" spans="1:3" x14ac:dyDescent="0.25">
      <c r="A18" t="str">
        <f>"22/06/2009"</f>
        <v>22/06/2009</v>
      </c>
      <c r="B18" t="str">
        <f>"48.19"</f>
        <v>48.19</v>
      </c>
      <c r="C18" t="str">
        <f>"48.3375"</f>
        <v>48.3375</v>
      </c>
    </row>
    <row r="19" spans="1:3" x14ac:dyDescent="0.25">
      <c r="A19" t="str">
        <f>"23/06/2009"</f>
        <v>23/06/2009</v>
      </c>
      <c r="B19" t="str">
        <f>"48.88"</f>
        <v>48.88</v>
      </c>
      <c r="C19" t="str">
        <f>"49.0325"</f>
        <v>49.0325</v>
      </c>
    </row>
    <row r="20" spans="1:3" x14ac:dyDescent="0.25">
      <c r="A20" t="str">
        <f>"24/06/2009"</f>
        <v>24/06/2009</v>
      </c>
      <c r="B20" t="str">
        <f>"48.40"</f>
        <v>48.40</v>
      </c>
      <c r="C20" t="str">
        <f>"48.5425"</f>
        <v>48.5425</v>
      </c>
    </row>
    <row r="21" spans="1:3" x14ac:dyDescent="0.25">
      <c r="A21" t="str">
        <f>"25/06/2009"</f>
        <v>25/06/2009</v>
      </c>
      <c r="B21" t="str">
        <f>"48.57"</f>
        <v>48.57</v>
      </c>
      <c r="C21" t="str">
        <f>"48.7225"</f>
        <v>48.7225</v>
      </c>
    </row>
    <row r="22" spans="1:3" x14ac:dyDescent="0.25">
      <c r="A22" t="str">
        <f>"26/06/2009"</f>
        <v>26/06/2009</v>
      </c>
      <c r="B22" t="str">
        <f>"48.525"</f>
        <v>48.525</v>
      </c>
      <c r="C22" t="str">
        <f>"48.6575"</f>
        <v>48.6575</v>
      </c>
    </row>
    <row r="23" spans="1:3" x14ac:dyDescent="0.25">
      <c r="A23" t="str">
        <f>"29/06/2009"</f>
        <v>29/06/2009</v>
      </c>
      <c r="B23" t="str">
        <f>"48.1225"</f>
        <v>48.1225</v>
      </c>
      <c r="C23" t="str">
        <f>"48.2625"</f>
        <v>48.2625</v>
      </c>
    </row>
    <row r="24" spans="1:3" x14ac:dyDescent="0.25">
      <c r="A24" t="str">
        <f>"30/06/2009"</f>
        <v>30/06/2009</v>
      </c>
      <c r="B24" t="str">
        <f>"47.87"</f>
        <v>47.87</v>
      </c>
      <c r="C24" t="str">
        <f>"48.0025"</f>
        <v>48.0025</v>
      </c>
    </row>
    <row r="25" spans="1:3" x14ac:dyDescent="0.25">
      <c r="A25" t="str">
        <f>"01/07/2009"</f>
        <v>01/07/2009</v>
      </c>
      <c r="B25" t="str">
        <f>"47.91"</f>
        <v>47.91</v>
      </c>
      <c r="C25" t="str">
        <f>"48.0425"</f>
        <v>48.0425</v>
      </c>
    </row>
    <row r="26" spans="1:3" x14ac:dyDescent="0.25">
      <c r="A26" t="str">
        <f>"03/07/2009"</f>
        <v>03/07/2009</v>
      </c>
      <c r="B26" t="str">
        <f>"48.10"</f>
        <v>48.10</v>
      </c>
      <c r="C26" t="str">
        <f>"48.2275"</f>
        <v>48.2275</v>
      </c>
    </row>
    <row r="27" spans="1:3" x14ac:dyDescent="0.25">
      <c r="A27" t="str">
        <f>"06/07/2009"</f>
        <v>06/07/2009</v>
      </c>
      <c r="B27" t="str">
        <f>"47.96"</f>
        <v>47.96</v>
      </c>
      <c r="C27" t="str">
        <f>"48.0825"</f>
        <v>48.0825</v>
      </c>
    </row>
    <row r="28" spans="1:3" x14ac:dyDescent="0.25">
      <c r="A28" t="str">
        <f>"07/07/2009"</f>
        <v>07/07/2009</v>
      </c>
      <c r="B28" t="str">
        <f>"48.39"</f>
        <v>48.39</v>
      </c>
      <c r="C28" t="str">
        <f>"48.5175"</f>
        <v>48.5175</v>
      </c>
    </row>
    <row r="29" spans="1:3" x14ac:dyDescent="0.25">
      <c r="A29" t="str">
        <f>"08/07/2009"</f>
        <v>08/07/2009</v>
      </c>
      <c r="B29" t="str">
        <f>"48.81"</f>
        <v>48.81</v>
      </c>
      <c r="C29" t="str">
        <f>"48.9275"</f>
        <v>48.9275</v>
      </c>
    </row>
    <row r="30" spans="1:3" x14ac:dyDescent="0.25">
      <c r="A30" t="str">
        <f>"09/07/2009"</f>
        <v>09/07/2009</v>
      </c>
      <c r="B30" t="str">
        <f>"49.01"</f>
        <v>49.01</v>
      </c>
      <c r="C30" t="str">
        <f>"49.135"</f>
        <v>49.135</v>
      </c>
    </row>
    <row r="31" spans="1:3" x14ac:dyDescent="0.25">
      <c r="A31" t="str">
        <f>"10/07/2009"</f>
        <v>10/07/2009</v>
      </c>
      <c r="B31" t="str">
        <f>"48.73"</f>
        <v>48.73</v>
      </c>
      <c r="C31" t="str">
        <f>"48.845"</f>
        <v>48.845</v>
      </c>
    </row>
    <row r="32" spans="1:3" x14ac:dyDescent="0.25">
      <c r="A32" t="str">
        <f>"13/07/2009"</f>
        <v>13/07/2009</v>
      </c>
      <c r="B32" t="str">
        <f>"49.23"</f>
        <v>49.23</v>
      </c>
      <c r="C32" t="str">
        <f>"49.35"</f>
        <v>49.35</v>
      </c>
    </row>
    <row r="33" spans="1:3" x14ac:dyDescent="0.25">
      <c r="A33" t="str">
        <f>"14/07/2009"</f>
        <v>14/07/2009</v>
      </c>
      <c r="B33" t="str">
        <f>"48.82"</f>
        <v>48.82</v>
      </c>
      <c r="C33" t="str">
        <f>"48.94"</f>
        <v>48.94</v>
      </c>
    </row>
    <row r="34" spans="1:3" x14ac:dyDescent="0.25">
      <c r="A34" t="str">
        <f>"15/07/2009"</f>
        <v>15/07/2009</v>
      </c>
      <c r="B34" t="str">
        <f>"48.75"</f>
        <v>48.75</v>
      </c>
      <c r="C34" t="str">
        <f>"48.865"</f>
        <v>48.865</v>
      </c>
    </row>
    <row r="35" spans="1:3" x14ac:dyDescent="0.25">
      <c r="A35" t="str">
        <f>"16/07/2009"</f>
        <v>16/07/2009</v>
      </c>
      <c r="B35" t="str">
        <f>"48.52"</f>
        <v>48.52</v>
      </c>
      <c r="C35" t="str">
        <f>"48.64"</f>
        <v>48.64</v>
      </c>
    </row>
    <row r="36" spans="1:3" x14ac:dyDescent="0.25">
      <c r="A36" t="str">
        <f>"17/07/2009"</f>
        <v>17/07/2009</v>
      </c>
      <c r="B36" t="str">
        <f>"48.67"</f>
        <v>48.67</v>
      </c>
      <c r="C36" t="str">
        <f>"48.775"</f>
        <v>48.775</v>
      </c>
    </row>
    <row r="37" spans="1:3" x14ac:dyDescent="0.25">
      <c r="A37" t="str">
        <f>"20/07/2009"</f>
        <v>20/07/2009</v>
      </c>
      <c r="B37" t="str">
        <f>"48.4875"</f>
        <v>48.4875</v>
      </c>
      <c r="C37" t="str">
        <f>"48.60"</f>
        <v>48.60</v>
      </c>
    </row>
    <row r="38" spans="1:3" x14ac:dyDescent="0.25">
      <c r="A38" t="str">
        <f>"21/07/2009"</f>
        <v>21/07/2009</v>
      </c>
      <c r="B38" t="str">
        <f>"48.29"</f>
        <v>48.29</v>
      </c>
      <c r="C38" t="str">
        <f>"48.4025"</f>
        <v>48.4025</v>
      </c>
    </row>
    <row r="39" spans="1:3" x14ac:dyDescent="0.25">
      <c r="A39" t="str">
        <f>"22/07/2009"</f>
        <v>22/07/2009</v>
      </c>
      <c r="B39" t="str">
        <f>"48.39"</f>
        <v>48.39</v>
      </c>
      <c r="C39" t="str">
        <f>"48.5025"</f>
        <v>48.5025</v>
      </c>
    </row>
    <row r="40" spans="1:3" x14ac:dyDescent="0.25">
      <c r="A40" t="str">
        <f>"23/07/2009"</f>
        <v>23/07/2009</v>
      </c>
      <c r="B40" t="str">
        <f>"48.385"</f>
        <v>48.385</v>
      </c>
      <c r="C40" t="str">
        <f>"48.505"</f>
        <v>48.505</v>
      </c>
    </row>
    <row r="41" spans="1:3" x14ac:dyDescent="0.25">
      <c r="A41" t="str">
        <f>"24/07/2009"</f>
        <v>24/07/2009</v>
      </c>
      <c r="B41" t="str">
        <f>"48.40"</f>
        <v>48.40</v>
      </c>
      <c r="C41" t="str">
        <f>"48.515"</f>
        <v>48.515</v>
      </c>
    </row>
    <row r="42" spans="1:3" x14ac:dyDescent="0.25">
      <c r="A42" t="str">
        <f>"27/07/2009"</f>
        <v>27/07/2009</v>
      </c>
      <c r="B42" t="str">
        <f>"48.19"</f>
        <v>48.19</v>
      </c>
      <c r="C42" t="str">
        <f>"48.305"</f>
        <v>48.305</v>
      </c>
    </row>
    <row r="43" spans="1:3" x14ac:dyDescent="0.25">
      <c r="A43" t="str">
        <f>"28/07/2009"</f>
        <v>28/07/2009</v>
      </c>
      <c r="B43" t="str">
        <f>"48.265"</f>
        <v>48.265</v>
      </c>
      <c r="C43" t="str">
        <f>"48.38"</f>
        <v>48.38</v>
      </c>
    </row>
    <row r="44" spans="1:3" x14ac:dyDescent="0.25">
      <c r="A44" t="str">
        <f>"29/07/2009"</f>
        <v>29/07/2009</v>
      </c>
      <c r="B44" t="str">
        <f>"48.3525"</f>
        <v>48.3525</v>
      </c>
      <c r="C44" t="str">
        <f>"48.4575"</f>
        <v>48.4575</v>
      </c>
    </row>
    <row r="45" spans="1:3" x14ac:dyDescent="0.25">
      <c r="A45" t="str">
        <f>"30/07/2009"</f>
        <v>30/07/2009</v>
      </c>
      <c r="B45" t="str">
        <f>"48.545"</f>
        <v>48.545</v>
      </c>
      <c r="C45" t="str">
        <f>"48.6625"</f>
        <v>48.6625</v>
      </c>
    </row>
    <row r="46" spans="1:3" x14ac:dyDescent="0.25">
      <c r="A46" t="str">
        <f>"31/07/2009"</f>
        <v>31/07/2009</v>
      </c>
      <c r="B46" t="str">
        <f>"48.245"</f>
        <v>48.245</v>
      </c>
      <c r="C46" t="str">
        <f>"48.365"</f>
        <v>48.365</v>
      </c>
    </row>
    <row r="47" spans="1:3" x14ac:dyDescent="0.25">
      <c r="A47" t="str">
        <f>"03/08/2009"</f>
        <v>03/08/2009</v>
      </c>
      <c r="B47" t="str">
        <f>"47.84"</f>
        <v>47.84</v>
      </c>
      <c r="C47" t="str">
        <f>"47.975"</f>
        <v>47.975</v>
      </c>
    </row>
    <row r="48" spans="1:3" x14ac:dyDescent="0.25">
      <c r="A48" t="str">
        <f>"04/08/2009"</f>
        <v>04/08/2009</v>
      </c>
      <c r="B48" t="str">
        <f>"47.4775"</f>
        <v>47.4775</v>
      </c>
      <c r="C48" t="str">
        <f>"47.61"</f>
        <v>47.61</v>
      </c>
    </row>
    <row r="49" spans="1:3" x14ac:dyDescent="0.25">
      <c r="A49" t="str">
        <f>"05/08/2009"</f>
        <v>05/08/2009</v>
      </c>
      <c r="B49" t="str">
        <f>"47.65"</f>
        <v>47.65</v>
      </c>
      <c r="C49" t="str">
        <f>"47.78"</f>
        <v>47.78</v>
      </c>
    </row>
    <row r="50" spans="1:3" x14ac:dyDescent="0.25">
      <c r="A50" t="str">
        <f>"06/08/2009"</f>
        <v>06/08/2009</v>
      </c>
      <c r="B50" t="str">
        <f>"47.665"</f>
        <v>47.665</v>
      </c>
      <c r="C50" t="str">
        <f>"47.8025"</f>
        <v>47.8025</v>
      </c>
    </row>
    <row r="51" spans="1:3" x14ac:dyDescent="0.25">
      <c r="A51" t="str">
        <f>"07/08/2009"</f>
        <v>07/08/2009</v>
      </c>
      <c r="B51" t="str">
        <f>"47.83"</f>
        <v>47.83</v>
      </c>
      <c r="C51" t="str">
        <f>"47.96"</f>
        <v>47.96</v>
      </c>
    </row>
    <row r="52" spans="1:3" x14ac:dyDescent="0.25">
      <c r="A52" t="str">
        <f>"10/08/2009"</f>
        <v>10/08/2009</v>
      </c>
      <c r="B52" t="str">
        <f>"47.79"</f>
        <v>47.79</v>
      </c>
      <c r="C52" t="str">
        <f>"47.9225"</f>
        <v>47.9225</v>
      </c>
    </row>
    <row r="53" spans="1:3" x14ac:dyDescent="0.25">
      <c r="A53" t="str">
        <f>"11/08/2009"</f>
        <v>11/08/2009</v>
      </c>
      <c r="B53" t="str">
        <f>"48.03"</f>
        <v>48.03</v>
      </c>
      <c r="C53" t="str">
        <f>"48.1675"</f>
        <v>48.1675</v>
      </c>
    </row>
    <row r="54" spans="1:3" x14ac:dyDescent="0.25">
      <c r="A54" t="str">
        <f>"12/08/2009"</f>
        <v>12/08/2009</v>
      </c>
      <c r="B54" t="str">
        <f>"48.145"</f>
        <v>48.145</v>
      </c>
      <c r="C54" t="str">
        <f>"48.2775"</f>
        <v>48.2775</v>
      </c>
    </row>
    <row r="55" spans="1:3" x14ac:dyDescent="0.25">
      <c r="A55" t="str">
        <f>"13/08/2009"</f>
        <v>13/08/2009</v>
      </c>
      <c r="B55" t="str">
        <f>"48.17"</f>
        <v>48.17</v>
      </c>
      <c r="C55" t="str">
        <f>"48.315"</f>
        <v>48.315</v>
      </c>
    </row>
    <row r="56" spans="1:3" x14ac:dyDescent="0.25">
      <c r="A56" t="str">
        <f>"14/08/2009"</f>
        <v>14/08/2009</v>
      </c>
      <c r="B56" t="str">
        <f>"48.2525"</f>
        <v>48.2525</v>
      </c>
      <c r="C56" t="str">
        <f>"48.3825"</f>
        <v>48.3825</v>
      </c>
    </row>
    <row r="57" spans="1:3" x14ac:dyDescent="0.25">
      <c r="A57" t="str">
        <f>"17/08/2009"</f>
        <v>17/08/2009</v>
      </c>
      <c r="B57" t="str">
        <f>"48.59"</f>
        <v>48.59</v>
      </c>
      <c r="C57" t="str">
        <f>"48.72"</f>
        <v>48.72</v>
      </c>
    </row>
    <row r="58" spans="1:3" x14ac:dyDescent="0.25">
      <c r="A58" t="str">
        <f>"18/08/2009"</f>
        <v>18/08/2009</v>
      </c>
      <c r="B58" t="str">
        <f>"48.85"</f>
        <v>48.85</v>
      </c>
      <c r="C58" t="str">
        <f>"48.97"</f>
        <v>48.97</v>
      </c>
    </row>
    <row r="59" spans="1:3" x14ac:dyDescent="0.25">
      <c r="A59" t="str">
        <f>"20/08/2009"</f>
        <v>20/08/2009</v>
      </c>
      <c r="B59" t="str">
        <f>"48.7175"</f>
        <v>48.7175</v>
      </c>
      <c r="C59" t="str">
        <f>"48.845"</f>
        <v>48.845</v>
      </c>
    </row>
    <row r="60" spans="1:3" x14ac:dyDescent="0.25">
      <c r="A60" t="str">
        <f>"21/08/2009"</f>
        <v>21/08/2009</v>
      </c>
      <c r="B60" t="str">
        <f>"48.67"</f>
        <v>48.67</v>
      </c>
      <c r="C60" t="str">
        <f>"48.795"</f>
        <v>48.795</v>
      </c>
    </row>
    <row r="61" spans="1:3" x14ac:dyDescent="0.25">
      <c r="A61" t="str">
        <f>"24/08/2009"</f>
        <v>24/08/2009</v>
      </c>
      <c r="B61" t="str">
        <f>"48.43"</f>
        <v>48.43</v>
      </c>
      <c r="C61" t="str">
        <f>"48.56"</f>
        <v>48.56</v>
      </c>
    </row>
    <row r="62" spans="1:3" x14ac:dyDescent="0.25">
      <c r="A62" t="str">
        <f>"25/08/2009"</f>
        <v>25/08/2009</v>
      </c>
      <c r="B62" t="str">
        <f>"48.83"</f>
        <v>48.83</v>
      </c>
      <c r="C62" t="str">
        <f>"48.96"</f>
        <v>48.96</v>
      </c>
    </row>
    <row r="63" spans="1:3" x14ac:dyDescent="0.25">
      <c r="A63" t="str">
        <f>"26/08/2009"</f>
        <v>26/08/2009</v>
      </c>
      <c r="B63" t="str">
        <f>"48.8325"</f>
        <v>48.8325</v>
      </c>
      <c r="C63" t="str">
        <f>"48.9625"</f>
        <v>48.9625</v>
      </c>
    </row>
    <row r="64" spans="1:3" x14ac:dyDescent="0.25">
      <c r="A64" t="str">
        <f>"27/08/2009"</f>
        <v>27/08/2009</v>
      </c>
      <c r="B64" t="str">
        <f>"49.04"</f>
        <v>49.04</v>
      </c>
      <c r="C64" t="str">
        <f>"49.16"</f>
        <v>49.16</v>
      </c>
    </row>
    <row r="65" spans="1:3" x14ac:dyDescent="0.25">
      <c r="A65" t="str">
        <f>"28/08/2009"</f>
        <v>28/08/2009</v>
      </c>
      <c r="B65" t="str">
        <f>"48.85"</f>
        <v>48.85</v>
      </c>
      <c r="C65" t="str">
        <f>"48.955"</f>
        <v>48.955</v>
      </c>
    </row>
    <row r="66" spans="1:3" x14ac:dyDescent="0.25">
      <c r="A66" t="str">
        <f>"31/08/2009"</f>
        <v>31/08/2009</v>
      </c>
      <c r="B66" t="str">
        <f>"48.88"</f>
        <v>48.88</v>
      </c>
      <c r="C66" t="str">
        <f>"48.99"</f>
        <v>48.99</v>
      </c>
    </row>
    <row r="67" spans="1:3" x14ac:dyDescent="0.25">
      <c r="A67" t="str">
        <f>"01/09/2009"</f>
        <v>01/09/2009</v>
      </c>
      <c r="B67" t="str">
        <f>"48.75"</f>
        <v>48.75</v>
      </c>
      <c r="C67" t="str">
        <f>"48.86"</f>
        <v>48.86</v>
      </c>
    </row>
    <row r="68" spans="1:3" x14ac:dyDescent="0.25">
      <c r="A68" t="str">
        <f>"02/09/2009"</f>
        <v>02/09/2009</v>
      </c>
      <c r="B68" t="str">
        <f>"49.20"</f>
        <v>49.20</v>
      </c>
      <c r="C68" t="str">
        <f>"49.3075"</f>
        <v>49.3075</v>
      </c>
    </row>
    <row r="69" spans="1:3" x14ac:dyDescent="0.25">
      <c r="A69" t="str">
        <f>"03/09/2009"</f>
        <v>03/09/2009</v>
      </c>
      <c r="B69" t="str">
        <f>"48.85"</f>
        <v>48.85</v>
      </c>
      <c r="C69" t="str">
        <f>"48.9625"</f>
        <v>48.9625</v>
      </c>
    </row>
    <row r="70" spans="1:3" x14ac:dyDescent="0.25">
      <c r="A70" t="str">
        <f>"04/09/2009"</f>
        <v>04/09/2009</v>
      </c>
      <c r="B70" t="str">
        <f>"48.955"</f>
        <v>48.955</v>
      </c>
      <c r="C70" t="str">
        <f>"49.06"</f>
        <v>49.06</v>
      </c>
    </row>
    <row r="71" spans="1:3" x14ac:dyDescent="0.25">
      <c r="A71" t="str">
        <f>"07/09/2009"</f>
        <v>07/09/2009</v>
      </c>
      <c r="B71" t="str">
        <f>"48.75"</f>
        <v>48.75</v>
      </c>
      <c r="C71" t="str">
        <f>"48.8525"</f>
        <v>48.8525</v>
      </c>
    </row>
    <row r="72" spans="1:3" x14ac:dyDescent="0.25">
      <c r="A72" t="str">
        <f>"08/09/2009"</f>
        <v>08/09/2009</v>
      </c>
      <c r="B72" t="str">
        <f>"48.64"</f>
        <v>48.64</v>
      </c>
      <c r="C72" t="str">
        <f>"48.7525"</f>
        <v>48.7525</v>
      </c>
    </row>
    <row r="73" spans="1:3" x14ac:dyDescent="0.25">
      <c r="A73" t="str">
        <f>"09/09/2009"</f>
        <v>09/09/2009</v>
      </c>
      <c r="B73" t="str">
        <f>"48.54"</f>
        <v>48.54</v>
      </c>
      <c r="C73" t="str">
        <f>"48.6525"</f>
        <v>48.6525</v>
      </c>
    </row>
    <row r="74" spans="1:3" x14ac:dyDescent="0.25">
      <c r="A74" t="str">
        <f>"10/09/2009"</f>
        <v>10/09/2009</v>
      </c>
      <c r="B74" t="str">
        <f>"48.4325"</f>
        <v>48.4325</v>
      </c>
      <c r="C74" t="str">
        <f>"48.535"</f>
        <v>48.535</v>
      </c>
    </row>
    <row r="75" spans="1:3" x14ac:dyDescent="0.25">
      <c r="A75" t="str">
        <f>"11/09/2009"</f>
        <v>11/09/2009</v>
      </c>
      <c r="B75" t="str">
        <f>"48.44"</f>
        <v>48.44</v>
      </c>
      <c r="C75" t="str">
        <f>"48.5425"</f>
        <v>48.5425</v>
      </c>
    </row>
    <row r="76" spans="1:3" x14ac:dyDescent="0.25">
      <c r="A76" t="str">
        <f>"14/09/2009"</f>
        <v>14/09/2009</v>
      </c>
      <c r="B76" t="str">
        <f>"48.69"</f>
        <v>48.69</v>
      </c>
      <c r="C76" t="str">
        <f>"48.79"</f>
        <v>48.79</v>
      </c>
    </row>
    <row r="77" spans="1:3" x14ac:dyDescent="0.25">
      <c r="A77" t="str">
        <f>"15/09/2009"</f>
        <v>15/09/2009</v>
      </c>
      <c r="B77" t="str">
        <f>"48.67"</f>
        <v>48.67</v>
      </c>
      <c r="C77" t="str">
        <f>"48.7925"</f>
        <v>48.7925</v>
      </c>
    </row>
    <row r="78" spans="1:3" x14ac:dyDescent="0.25">
      <c r="A78" t="str">
        <f>"16/09/2009"</f>
        <v>16/09/2009</v>
      </c>
      <c r="B78" t="str">
        <f>"48.47"</f>
        <v>48.47</v>
      </c>
      <c r="C78" t="str">
        <f>"48.585"</f>
        <v>48.585</v>
      </c>
    </row>
    <row r="79" spans="1:3" x14ac:dyDescent="0.25">
      <c r="A79" t="str">
        <f>"17/09/2009"</f>
        <v>17/09/2009</v>
      </c>
      <c r="B79" t="str">
        <f>"48.00"</f>
        <v>48.00</v>
      </c>
      <c r="C79" t="str">
        <f>"48.125"</f>
        <v>48.125</v>
      </c>
    </row>
    <row r="80" spans="1:3" x14ac:dyDescent="0.25">
      <c r="A80" t="str">
        <f>"18/09/2009"</f>
        <v>18/09/2009</v>
      </c>
      <c r="B80" t="str">
        <f>"48.19"</f>
        <v>48.19</v>
      </c>
      <c r="C80" t="str">
        <f>"48.3075"</f>
        <v>48.3075</v>
      </c>
    </row>
    <row r="81" spans="1:3" x14ac:dyDescent="0.25">
      <c r="A81" t="str">
        <f>"22/09/2009"</f>
        <v>22/09/2009</v>
      </c>
      <c r="B81" t="str">
        <f>"48.17"</f>
        <v>48.17</v>
      </c>
      <c r="C81" t="str">
        <f>"48.3475"</f>
        <v>48.3475</v>
      </c>
    </row>
    <row r="82" spans="1:3" x14ac:dyDescent="0.25">
      <c r="A82" t="str">
        <f>"23/09/2009"</f>
        <v>23/09/2009</v>
      </c>
      <c r="B82" t="str">
        <f>"47.91"</f>
        <v>47.91</v>
      </c>
      <c r="C82" t="str">
        <f>"48.0325"</f>
        <v>48.0325</v>
      </c>
    </row>
    <row r="83" spans="1:3" x14ac:dyDescent="0.25">
      <c r="A83" t="str">
        <f>"24/09/2009"</f>
        <v>24/09/2009</v>
      </c>
      <c r="B83" t="str">
        <f>"48.19"</f>
        <v>48.19</v>
      </c>
      <c r="C83" t="str">
        <f>"48.3225"</f>
        <v>48.3225</v>
      </c>
    </row>
    <row r="84" spans="1:3" x14ac:dyDescent="0.25">
      <c r="A84" t="str">
        <f>"25/09/2009"</f>
        <v>25/09/2009</v>
      </c>
      <c r="B84" t="str">
        <f>"48.2375"</f>
        <v>48.2375</v>
      </c>
      <c r="C84" t="str">
        <f>"48.3675"</f>
        <v>48.3675</v>
      </c>
    </row>
    <row r="85" spans="1:3" x14ac:dyDescent="0.25">
      <c r="A85" t="str">
        <f>"29/09/2009"</f>
        <v>29/09/2009</v>
      </c>
      <c r="B85" t="str">
        <f>"48.02"</f>
        <v>48.02</v>
      </c>
      <c r="C85" t="str">
        <f>"48.1325"</f>
        <v>48.1325</v>
      </c>
    </row>
    <row r="86" spans="1:3" x14ac:dyDescent="0.25">
      <c r="A86" t="str">
        <f>"01/10/2009"</f>
        <v>01/10/2009</v>
      </c>
      <c r="B86" t="str">
        <f>"47.89"</f>
        <v>47.89</v>
      </c>
      <c r="C86" t="str">
        <f>"48.0075"</f>
        <v>48.0075</v>
      </c>
    </row>
    <row r="87" spans="1:3" x14ac:dyDescent="0.25">
      <c r="A87" t="str">
        <f>"05/10/2009"</f>
        <v>05/10/2009</v>
      </c>
      <c r="B87" t="str">
        <f>"47.5975"</f>
        <v>47.5975</v>
      </c>
      <c r="C87" t="str">
        <f>"47.7175"</f>
        <v>47.7175</v>
      </c>
    </row>
    <row r="88" spans="1:3" x14ac:dyDescent="0.25">
      <c r="A88" t="str">
        <f>"06/10/2009"</f>
        <v>06/10/2009</v>
      </c>
      <c r="B88" t="str">
        <f>"47.19"</f>
        <v>47.19</v>
      </c>
      <c r="C88" t="str">
        <f>"47.30"</f>
        <v>47.30</v>
      </c>
    </row>
    <row r="89" spans="1:3" x14ac:dyDescent="0.25">
      <c r="A89" t="str">
        <f>"07/10/2009"</f>
        <v>07/10/2009</v>
      </c>
      <c r="B89" t="str">
        <f>"46.905"</f>
        <v>46.905</v>
      </c>
      <c r="C89" t="str">
        <f>"47.0125"</f>
        <v>47.0125</v>
      </c>
    </row>
    <row r="90" spans="1:3" x14ac:dyDescent="0.25">
      <c r="A90" t="str">
        <f>"08/10/2009"</f>
        <v>08/10/2009</v>
      </c>
      <c r="B90" t="str">
        <f>"46.43"</f>
        <v>46.43</v>
      </c>
      <c r="C90" t="str">
        <f>"46.555"</f>
        <v>46.555</v>
      </c>
    </row>
    <row r="91" spans="1:3" x14ac:dyDescent="0.25">
      <c r="A91" t="str">
        <f>"09/10/2009"</f>
        <v>09/10/2009</v>
      </c>
      <c r="B91" t="str">
        <f>"46.385"</f>
        <v>46.385</v>
      </c>
      <c r="C91" t="str">
        <f>"46.495"</f>
        <v>46.495</v>
      </c>
    </row>
    <row r="92" spans="1:3" x14ac:dyDescent="0.25">
      <c r="A92" t="str">
        <f>"12/10/2009"</f>
        <v>12/10/2009</v>
      </c>
      <c r="B92" t="str">
        <f>"46.5375"</f>
        <v>46.5375</v>
      </c>
      <c r="C92" t="str">
        <f>"46.65"</f>
        <v>46.65</v>
      </c>
    </row>
    <row r="93" spans="1:3" x14ac:dyDescent="0.25">
      <c r="A93" t="str">
        <f>"14/10/2009"</f>
        <v>14/10/2009</v>
      </c>
      <c r="B93" t="str">
        <f>"46.1925"</f>
        <v>46.1925</v>
      </c>
      <c r="C93" t="str">
        <f>"46.29"</f>
        <v>46.29</v>
      </c>
    </row>
    <row r="94" spans="1:3" x14ac:dyDescent="0.25">
      <c r="A94" t="str">
        <f>"15/10/2009"</f>
        <v>15/10/2009</v>
      </c>
      <c r="B94" t="str">
        <f>"45.875"</f>
        <v>45.875</v>
      </c>
      <c r="C94" t="str">
        <f>"45.9825"</f>
        <v>45.9825</v>
      </c>
    </row>
    <row r="95" spans="1:3" x14ac:dyDescent="0.25">
      <c r="A95" t="str">
        <f>"16/10/2009"</f>
        <v>16/10/2009</v>
      </c>
      <c r="B95" t="str">
        <f>"46.135"</f>
        <v>46.135</v>
      </c>
      <c r="C95" t="str">
        <f>"46.2475"</f>
        <v>46.2475</v>
      </c>
    </row>
    <row r="96" spans="1:3" x14ac:dyDescent="0.25">
      <c r="A96" t="str">
        <f>"20/10/2009"</f>
        <v>20/10/2009</v>
      </c>
      <c r="B96" t="str">
        <f>"46.045"</f>
        <v>46.045</v>
      </c>
      <c r="C96" t="str">
        <f>"46.155"</f>
        <v>46.155</v>
      </c>
    </row>
    <row r="97" spans="1:3" x14ac:dyDescent="0.25">
      <c r="A97" t="str">
        <f>"21/10/2009"</f>
        <v>21/10/2009</v>
      </c>
      <c r="B97" t="str">
        <f>"46.4925"</f>
        <v>46.4925</v>
      </c>
      <c r="C97" t="str">
        <f>"46.6075"</f>
        <v>46.6075</v>
      </c>
    </row>
    <row r="98" spans="1:3" x14ac:dyDescent="0.25">
      <c r="A98" t="str">
        <f>"22/10/2009"</f>
        <v>22/10/2009</v>
      </c>
      <c r="B98" t="str">
        <f>"46.555"</f>
        <v>46.555</v>
      </c>
      <c r="C98" t="str">
        <f>"46.67"</f>
        <v>46.67</v>
      </c>
    </row>
    <row r="99" spans="1:3" x14ac:dyDescent="0.25">
      <c r="A99" t="str">
        <f>"23/10/2009"</f>
        <v>23/10/2009</v>
      </c>
      <c r="B99" t="str">
        <f>"46.505"</f>
        <v>46.505</v>
      </c>
      <c r="C99" t="str">
        <f>"46.6125"</f>
        <v>46.6125</v>
      </c>
    </row>
    <row r="100" spans="1:3" x14ac:dyDescent="0.25">
      <c r="A100" t="str">
        <f>"26/10/2009"</f>
        <v>26/10/2009</v>
      </c>
      <c r="B100" t="str">
        <f>"46.50"</f>
        <v>46.50</v>
      </c>
      <c r="C100" t="str">
        <f>"46.615"</f>
        <v>46.615</v>
      </c>
    </row>
    <row r="101" spans="1:3" x14ac:dyDescent="0.25">
      <c r="A101" t="str">
        <f>"27/10/2009"</f>
        <v>27/10/2009</v>
      </c>
      <c r="B101" t="str">
        <f>"46.89"</f>
        <v>46.89</v>
      </c>
      <c r="C101" t="str">
        <f>"47.0075"</f>
        <v>47.0075</v>
      </c>
    </row>
    <row r="102" spans="1:3" x14ac:dyDescent="0.25">
      <c r="A102" t="str">
        <f>"28/10/2009"</f>
        <v>28/10/2009</v>
      </c>
      <c r="B102" t="str">
        <f>"47.0725"</f>
        <v>47.0725</v>
      </c>
      <c r="C102" t="str">
        <f>"47.18"</f>
        <v>47.18</v>
      </c>
    </row>
    <row r="103" spans="1:3" x14ac:dyDescent="0.25">
      <c r="A103" t="str">
        <f>"29/10/2009"</f>
        <v>29/10/2009</v>
      </c>
      <c r="B103" t="str">
        <f>"47.60"</f>
        <v>47.60</v>
      </c>
      <c r="C103" t="str">
        <f>"47.72"</f>
        <v>47.72</v>
      </c>
    </row>
    <row r="104" spans="1:3" x14ac:dyDescent="0.25">
      <c r="A104" t="str">
        <f>"30/10/2009"</f>
        <v>30/10/2009</v>
      </c>
      <c r="B104" t="str">
        <f>"46.875"</f>
        <v>46.875</v>
      </c>
      <c r="C104" t="str">
        <f>"46.9775"</f>
        <v>46.9775</v>
      </c>
    </row>
    <row r="105" spans="1:3" x14ac:dyDescent="0.25">
      <c r="A105" t="str">
        <f>"03/11/2009"</f>
        <v>03/11/2009</v>
      </c>
      <c r="B105" t="str">
        <f>"46.995"</f>
        <v>46.995</v>
      </c>
      <c r="C105" t="str">
        <f>"47.115"</f>
        <v>47.115</v>
      </c>
    </row>
    <row r="106" spans="1:3" x14ac:dyDescent="0.25">
      <c r="A106" t="str">
        <f>"04/11/2009"</f>
        <v>04/11/2009</v>
      </c>
      <c r="B106" t="str">
        <f>"47.18"</f>
        <v>47.18</v>
      </c>
      <c r="C106" t="str">
        <f>"47.2825"</f>
        <v>47.2825</v>
      </c>
    </row>
    <row r="107" spans="1:3" x14ac:dyDescent="0.25">
      <c r="A107" t="str">
        <f>"05/11/2009"</f>
        <v>05/11/2009</v>
      </c>
      <c r="B107" t="str">
        <f>"47.11"</f>
        <v>47.11</v>
      </c>
      <c r="C107" t="str">
        <f>"47.2175"</f>
        <v>47.2175</v>
      </c>
    </row>
    <row r="108" spans="1:3" x14ac:dyDescent="0.25">
      <c r="A108" t="str">
        <f>"06/11/2009"</f>
        <v>06/11/2009</v>
      </c>
      <c r="B108" t="str">
        <f>"46.79"</f>
        <v>46.79</v>
      </c>
      <c r="C108" t="str">
        <f>"46.8775"</f>
        <v>46.8775</v>
      </c>
    </row>
    <row r="109" spans="1:3" x14ac:dyDescent="0.25">
      <c r="A109" t="str">
        <f>"09/11/2009"</f>
        <v>09/11/2009</v>
      </c>
      <c r="B109" t="str">
        <f>"46.5525"</f>
        <v>46.5525</v>
      </c>
      <c r="C109" t="str">
        <f>"46.6425"</f>
        <v>46.6425</v>
      </c>
    </row>
    <row r="110" spans="1:3" x14ac:dyDescent="0.25">
      <c r="A110" t="str">
        <f>"10/11/2009"</f>
        <v>10/11/2009</v>
      </c>
      <c r="B110" t="str">
        <f>"46.43"</f>
        <v>46.43</v>
      </c>
      <c r="C110" t="str">
        <f>"46.51"</f>
        <v>46.51</v>
      </c>
    </row>
    <row r="111" spans="1:3" x14ac:dyDescent="0.25">
      <c r="A111" t="str">
        <f>"11/11/2009"</f>
        <v>11/11/2009</v>
      </c>
      <c r="B111" t="str">
        <f>"46.59"</f>
        <v>46.59</v>
      </c>
      <c r="C111" t="str">
        <f>"46.67"</f>
        <v>46.67</v>
      </c>
    </row>
    <row r="112" spans="1:3" x14ac:dyDescent="0.25">
      <c r="A112" t="str">
        <f>"12/11/2009"</f>
        <v>12/11/2009</v>
      </c>
      <c r="B112" t="str">
        <f>"46.44"</f>
        <v>46.44</v>
      </c>
      <c r="C112" t="str">
        <f>"46.525"</f>
        <v>46.525</v>
      </c>
    </row>
    <row r="113" spans="1:3" x14ac:dyDescent="0.25">
      <c r="A113" t="str">
        <f>"13/11/2009"</f>
        <v>13/11/2009</v>
      </c>
      <c r="B113" t="str">
        <f>"46.64"</f>
        <v>46.64</v>
      </c>
      <c r="C113" t="str">
        <f>"46.7225"</f>
        <v>46.7225</v>
      </c>
    </row>
    <row r="114" spans="1:3" x14ac:dyDescent="0.25">
      <c r="A114" t="str">
        <f>"16/11/2009"</f>
        <v>16/11/2009</v>
      </c>
      <c r="B114" t="str">
        <f>"46.14"</f>
        <v>46.14</v>
      </c>
      <c r="C114" t="str">
        <f>"46.2275"</f>
        <v>46.2275</v>
      </c>
    </row>
    <row r="115" spans="1:3" x14ac:dyDescent="0.25">
      <c r="A115" t="str">
        <f>"17/11/2009"</f>
        <v>17/11/2009</v>
      </c>
      <c r="B115" t="str">
        <f>"46.1525"</f>
        <v>46.1525</v>
      </c>
      <c r="C115" t="str">
        <f>"46.2475"</f>
        <v>46.2475</v>
      </c>
    </row>
    <row r="116" spans="1:3" x14ac:dyDescent="0.25">
      <c r="A116" t="str">
        <f>"18/11/2009"</f>
        <v>18/11/2009</v>
      </c>
      <c r="B116" t="str">
        <f>"46.255"</f>
        <v>46.255</v>
      </c>
      <c r="C116" t="str">
        <f>"46.345"</f>
        <v>46.345</v>
      </c>
    </row>
    <row r="117" spans="1:3" x14ac:dyDescent="0.25">
      <c r="A117" t="str">
        <f>"19/11/2009"</f>
        <v>19/11/2009</v>
      </c>
      <c r="B117" t="str">
        <f>"46.3925"</f>
        <v>46.3925</v>
      </c>
      <c r="C117" t="str">
        <f>"46.485"</f>
        <v>46.485</v>
      </c>
    </row>
    <row r="118" spans="1:3" x14ac:dyDescent="0.25">
      <c r="A118" t="str">
        <f>"20/11/2009"</f>
        <v>20/11/2009</v>
      </c>
      <c r="B118" t="str">
        <f>"46.70"</f>
        <v>46.70</v>
      </c>
      <c r="C118" t="str">
        <f>"46.80"</f>
        <v>46.80</v>
      </c>
    </row>
    <row r="119" spans="1:3" x14ac:dyDescent="0.25">
      <c r="A119" t="str">
        <f>"23/11/2009"</f>
        <v>23/11/2009</v>
      </c>
      <c r="B119" t="str">
        <f>"46.485"</f>
        <v>46.485</v>
      </c>
      <c r="C119" t="str">
        <f>"46.595"</f>
        <v>46.595</v>
      </c>
    </row>
    <row r="120" spans="1:3" x14ac:dyDescent="0.25">
      <c r="A120" t="str">
        <f>"24/11/2009"</f>
        <v>24/11/2009</v>
      </c>
      <c r="B120" t="str">
        <f>"46.57"</f>
        <v>46.57</v>
      </c>
      <c r="C120" t="str">
        <f>"46.685"</f>
        <v>46.685</v>
      </c>
    </row>
    <row r="121" spans="1:3" x14ac:dyDescent="0.25">
      <c r="A121" t="str">
        <f>"25/11/2009"</f>
        <v>25/11/2009</v>
      </c>
      <c r="B121" t="str">
        <f>"46.33"</f>
        <v>46.33</v>
      </c>
      <c r="C121" t="str">
        <f>"46.445"</f>
        <v>46.445</v>
      </c>
    </row>
    <row r="122" spans="1:3" x14ac:dyDescent="0.25">
      <c r="A122" t="str">
        <f>"26/11/2009"</f>
        <v>26/11/2009</v>
      </c>
      <c r="B122" t="str">
        <f>"46.27"</f>
        <v>46.27</v>
      </c>
      <c r="C122" t="str">
        <f>"46.3675"</f>
        <v>46.3675</v>
      </c>
    </row>
    <row r="123" spans="1:3" x14ac:dyDescent="0.25">
      <c r="A123" t="str">
        <f>"27/11/2009"</f>
        <v>27/11/2009</v>
      </c>
      <c r="B123" t="str">
        <f>"46.795"</f>
        <v>46.795</v>
      </c>
      <c r="C123" t="str">
        <f>"46.91"</f>
        <v>46.91</v>
      </c>
    </row>
    <row r="124" spans="1:3" x14ac:dyDescent="0.25">
      <c r="A124" t="str">
        <f>"30/11/2009"</f>
        <v>30/11/2009</v>
      </c>
      <c r="B124" t="str">
        <f>"46.42"</f>
        <v>46.42</v>
      </c>
      <c r="C124" t="str">
        <f>"46.52"</f>
        <v>46.52</v>
      </c>
    </row>
    <row r="125" spans="1:3" x14ac:dyDescent="0.25">
      <c r="A125" t="str">
        <f>"01/12/2009"</f>
        <v>01/12/2009</v>
      </c>
      <c r="B125" t="str">
        <f>"46.43"</f>
        <v>46.43</v>
      </c>
      <c r="C125" t="str">
        <f>"46.5225"</f>
        <v>46.5225</v>
      </c>
    </row>
    <row r="126" spans="1:3" x14ac:dyDescent="0.25">
      <c r="A126" t="str">
        <f>"02/12/2009"</f>
        <v>02/12/2009</v>
      </c>
      <c r="B126" t="str">
        <f>"46.165"</f>
        <v>46.165</v>
      </c>
      <c r="C126" t="str">
        <f>"46.265"</f>
        <v>46.265</v>
      </c>
    </row>
    <row r="127" spans="1:3" x14ac:dyDescent="0.25">
      <c r="A127" t="str">
        <f>"03/12/2009"</f>
        <v>03/12/2009</v>
      </c>
      <c r="B127" t="str">
        <f>"46.2425"</f>
        <v>46.2425</v>
      </c>
      <c r="C127" t="str">
        <f>"46.35"</f>
        <v>46.35</v>
      </c>
    </row>
    <row r="128" spans="1:3" x14ac:dyDescent="0.25">
      <c r="A128" t="str">
        <f>"04/12/2009"</f>
        <v>04/12/2009</v>
      </c>
      <c r="B128" t="str">
        <f>"46.20"</f>
        <v>46.20</v>
      </c>
      <c r="C128" t="str">
        <f>"46.3075"</f>
        <v>46.3075</v>
      </c>
    </row>
    <row r="129" spans="1:3" x14ac:dyDescent="0.25">
      <c r="A129" t="str">
        <f>"07/12/2009"</f>
        <v>07/12/2009</v>
      </c>
      <c r="B129" t="str">
        <f>"46.46"</f>
        <v>46.46</v>
      </c>
      <c r="C129" t="str">
        <f>"46.565"</f>
        <v>46.565</v>
      </c>
    </row>
    <row r="130" spans="1:3" x14ac:dyDescent="0.25">
      <c r="A130" t="str">
        <f>"08/12/2009"</f>
        <v>08/12/2009</v>
      </c>
      <c r="B130" t="str">
        <f>"46.525"</f>
        <v>46.525</v>
      </c>
      <c r="C130" t="str">
        <f>"46.625"</f>
        <v>46.625</v>
      </c>
    </row>
    <row r="131" spans="1:3" x14ac:dyDescent="0.25">
      <c r="A131" t="str">
        <f>"09/12/2009"</f>
        <v>09/12/2009</v>
      </c>
      <c r="B131" t="str">
        <f>"46.85"</f>
        <v>46.85</v>
      </c>
      <c r="C131" t="str">
        <f>"46.9475"</f>
        <v>46.9475</v>
      </c>
    </row>
    <row r="132" spans="1:3" x14ac:dyDescent="0.25">
      <c r="A132" t="str">
        <f>"10/12/2009"</f>
        <v>10/12/2009</v>
      </c>
      <c r="B132" t="str">
        <f>"46.65"</f>
        <v>46.65</v>
      </c>
      <c r="C132" t="str">
        <f>"46.75"</f>
        <v>46.75</v>
      </c>
    </row>
    <row r="133" spans="1:3" x14ac:dyDescent="0.25">
      <c r="A133" t="str">
        <f>"11/12/2009"</f>
        <v>11/12/2009</v>
      </c>
      <c r="B133" t="str">
        <f>"46.60"</f>
        <v>46.60</v>
      </c>
      <c r="C133" t="str">
        <f>"46.705"</f>
        <v>46.705</v>
      </c>
    </row>
    <row r="134" spans="1:3" x14ac:dyDescent="0.25">
      <c r="A134" t="str">
        <f>"14/12/2009"</f>
        <v>14/12/2009</v>
      </c>
      <c r="B134" t="str">
        <f>"46.74"</f>
        <v>46.74</v>
      </c>
      <c r="C134" t="str">
        <f>"46.865"</f>
        <v>46.865</v>
      </c>
    </row>
    <row r="135" spans="1:3" x14ac:dyDescent="0.25">
      <c r="A135" t="str">
        <f>"15/12/2009"</f>
        <v>15/12/2009</v>
      </c>
      <c r="B135" t="str">
        <f>"46.65"</f>
        <v>46.65</v>
      </c>
      <c r="C135" t="str">
        <f>"46.765"</f>
        <v>46.765</v>
      </c>
    </row>
    <row r="136" spans="1:3" x14ac:dyDescent="0.25">
      <c r="A136" t="str">
        <f>"16/12/2009"</f>
        <v>16/12/2009</v>
      </c>
      <c r="B136" t="str">
        <f>"46.75"</f>
        <v>46.75</v>
      </c>
      <c r="C136" t="str">
        <f>"46.875"</f>
        <v>46.875</v>
      </c>
    </row>
    <row r="137" spans="1:3" x14ac:dyDescent="0.25">
      <c r="A137" t="str">
        <f>"17/12/2009"</f>
        <v>17/12/2009</v>
      </c>
      <c r="B137" t="str">
        <f>"46.83"</f>
        <v>46.83</v>
      </c>
      <c r="C137" t="str">
        <f>"46.95"</f>
        <v>46.95</v>
      </c>
    </row>
    <row r="138" spans="1:3" x14ac:dyDescent="0.25">
      <c r="A138" t="str">
        <f>"18/12/2009"</f>
        <v>18/12/2009</v>
      </c>
      <c r="B138" t="str">
        <f>"46.86"</f>
        <v>46.86</v>
      </c>
      <c r="C138" t="str">
        <f>"46.965"</f>
        <v>46.965</v>
      </c>
    </row>
    <row r="139" spans="1:3" x14ac:dyDescent="0.25">
      <c r="A139" t="str">
        <f>"21/12/2009"</f>
        <v>21/12/2009</v>
      </c>
      <c r="B139" t="str">
        <f>"46.79"</f>
        <v>46.79</v>
      </c>
      <c r="C139" t="str">
        <f>"46.91"</f>
        <v>46.91</v>
      </c>
    </row>
    <row r="140" spans="1:3" x14ac:dyDescent="0.25">
      <c r="A140" t="str">
        <f>"22/12/2009"</f>
        <v>22/12/2009</v>
      </c>
      <c r="B140" t="str">
        <f>"46.855"</f>
        <v>46.855</v>
      </c>
      <c r="C140" t="str">
        <f>"46.975"</f>
        <v>46.975</v>
      </c>
    </row>
    <row r="141" spans="1:3" x14ac:dyDescent="0.25">
      <c r="A141" t="str">
        <f>"23/12/2009"</f>
        <v>23/12/2009</v>
      </c>
      <c r="B141" t="str">
        <f>"46.84"</f>
        <v>46.84</v>
      </c>
      <c r="C141" t="str">
        <f>"46.97"</f>
        <v>46.97</v>
      </c>
    </row>
    <row r="142" spans="1:3" x14ac:dyDescent="0.25">
      <c r="A142" t="str">
        <f>"24/12/2009"</f>
        <v>24/12/2009</v>
      </c>
      <c r="B142" t="str">
        <f>"46.76"</f>
        <v>46.76</v>
      </c>
      <c r="C142" t="str">
        <f>"46.875"</f>
        <v>46.875</v>
      </c>
    </row>
    <row r="143" spans="1:3" x14ac:dyDescent="0.25">
      <c r="A143" t="str">
        <f>"29/12/2009"</f>
        <v>29/12/2009</v>
      </c>
      <c r="B143" t="str">
        <f>"46.71"</f>
        <v>46.71</v>
      </c>
      <c r="C143" t="str">
        <f>"46.82"</f>
        <v>46.82</v>
      </c>
    </row>
    <row r="144" spans="1:3" x14ac:dyDescent="0.25">
      <c r="A144" t="str">
        <f>"30/12/2009"</f>
        <v>30/12/2009</v>
      </c>
      <c r="B144" t="str">
        <f>"46.7725"</f>
        <v>46.7725</v>
      </c>
      <c r="C144" t="str">
        <f>"46.905"</f>
        <v>46.905</v>
      </c>
    </row>
    <row r="145" spans="1:3" x14ac:dyDescent="0.25">
      <c r="A145" t="str">
        <f>"31/12/2009"</f>
        <v>31/12/2009</v>
      </c>
      <c r="B145" t="str">
        <f>"46.69"</f>
        <v>46.69</v>
      </c>
      <c r="C145" t="str">
        <f>"46.81"</f>
        <v>46.81</v>
      </c>
    </row>
    <row r="146" spans="1:3" x14ac:dyDescent="0.25">
      <c r="A146" t="str">
        <f>"01/01/2010"</f>
        <v>01/01/2010</v>
      </c>
      <c r="B146" t="str">
        <f>"46.62"</f>
        <v>46.62</v>
      </c>
      <c r="C146" t="str">
        <f>"46.7325"</f>
        <v>46.7325</v>
      </c>
    </row>
    <row r="147" spans="1:3" x14ac:dyDescent="0.25">
      <c r="A147" t="str">
        <f>"04/01/2010"</f>
        <v>04/01/2010</v>
      </c>
      <c r="B147" t="str">
        <f>"46.59"</f>
        <v>46.59</v>
      </c>
      <c r="C147" t="str">
        <f>"46.7175"</f>
        <v>46.7175</v>
      </c>
    </row>
    <row r="148" spans="1:3" x14ac:dyDescent="0.25">
      <c r="A148" t="str">
        <f>"05/01/2010"</f>
        <v>05/01/2010</v>
      </c>
      <c r="B148" t="str">
        <f>"46.23"</f>
        <v>46.23</v>
      </c>
      <c r="C148" t="str">
        <f>"46.3275"</f>
        <v>46.3275</v>
      </c>
    </row>
    <row r="149" spans="1:3" x14ac:dyDescent="0.25">
      <c r="A149" t="str">
        <f>"06/01/2010"</f>
        <v>06/01/2010</v>
      </c>
      <c r="B149" t="str">
        <f>"46.12"</f>
        <v>46.12</v>
      </c>
      <c r="C149" t="str">
        <f>"46.225"</f>
        <v>46.225</v>
      </c>
    </row>
    <row r="150" spans="1:3" x14ac:dyDescent="0.25">
      <c r="A150" t="str">
        <f>"07/01/2010"</f>
        <v>07/01/2010</v>
      </c>
      <c r="B150" t="str">
        <f>"45.78"</f>
        <v>45.78</v>
      </c>
      <c r="C150" t="str">
        <f>"45.8875"</f>
        <v>45.8875</v>
      </c>
    </row>
    <row r="151" spans="1:3" x14ac:dyDescent="0.25">
      <c r="A151" t="str">
        <f>"08/01/2010"</f>
        <v>08/01/2010</v>
      </c>
      <c r="B151" t="str">
        <f>"45.7425"</f>
        <v>45.7425</v>
      </c>
      <c r="C151" t="str">
        <f>"45.835"</f>
        <v>45.835</v>
      </c>
    </row>
    <row r="152" spans="1:3" x14ac:dyDescent="0.25">
      <c r="A152" t="str">
        <f>"11/01/2010"</f>
        <v>11/01/2010</v>
      </c>
      <c r="B152" t="str">
        <f>"45.39"</f>
        <v>45.39</v>
      </c>
      <c r="C152" t="str">
        <f>"45.50"</f>
        <v>45.50</v>
      </c>
    </row>
    <row r="153" spans="1:3" x14ac:dyDescent="0.25">
      <c r="A153" t="str">
        <f>"12/01/2010"</f>
        <v>12/01/2010</v>
      </c>
      <c r="B153" t="str">
        <f>"45.50"</f>
        <v>45.50</v>
      </c>
      <c r="C153" t="str">
        <f>"45.6275"</f>
        <v>45.6275</v>
      </c>
    </row>
    <row r="154" spans="1:3" x14ac:dyDescent="0.25">
      <c r="A154" t="str">
        <f>"13/01/2010"</f>
        <v>13/01/2010</v>
      </c>
      <c r="B154" t="str">
        <f>"45.68"</f>
        <v>45.68</v>
      </c>
      <c r="C154" t="str">
        <f>"45.795"</f>
        <v>45.795</v>
      </c>
    </row>
    <row r="155" spans="1:3" x14ac:dyDescent="0.25">
      <c r="A155" t="str">
        <f>"14/01/2010"</f>
        <v>14/01/2010</v>
      </c>
      <c r="B155" t="str">
        <f>"45.495"</f>
        <v>45.495</v>
      </c>
      <c r="C155" t="str">
        <f>"45.6325"</f>
        <v>45.6325</v>
      </c>
    </row>
    <row r="156" spans="1:3" x14ac:dyDescent="0.25">
      <c r="A156" t="str">
        <f>"15/01/2010"</f>
        <v>15/01/2010</v>
      </c>
      <c r="B156" t="str">
        <f>"45.675"</f>
        <v>45.675</v>
      </c>
      <c r="C156" t="str">
        <f>"45.805"</f>
        <v>45.805</v>
      </c>
    </row>
    <row r="157" spans="1:3" x14ac:dyDescent="0.25">
      <c r="A157" t="str">
        <f>"18/01/2010"</f>
        <v>18/01/2010</v>
      </c>
      <c r="B157" t="str">
        <f>"45.84"</f>
        <v>45.84</v>
      </c>
      <c r="C157" t="str">
        <f>"45.9625"</f>
        <v>45.9625</v>
      </c>
    </row>
    <row r="158" spans="1:3" x14ac:dyDescent="0.25">
      <c r="A158" t="str">
        <f>"19/01/2010"</f>
        <v>19/01/2010</v>
      </c>
      <c r="B158" t="str">
        <f>"45.58"</f>
        <v>45.58</v>
      </c>
      <c r="C158" t="str">
        <f>"45.715"</f>
        <v>45.715</v>
      </c>
    </row>
    <row r="159" spans="1:3" x14ac:dyDescent="0.25">
      <c r="A159" t="str">
        <f>"20/01/2010"</f>
        <v>20/01/2010</v>
      </c>
      <c r="B159" t="str">
        <f>"45.88"</f>
        <v>45.88</v>
      </c>
      <c r="C159" t="str">
        <f>"46.01"</f>
        <v>46.01</v>
      </c>
    </row>
    <row r="160" spans="1:3" x14ac:dyDescent="0.25">
      <c r="A160" t="str">
        <f>"21/01/2010"</f>
        <v>21/01/2010</v>
      </c>
      <c r="B160" t="str">
        <f>"45.995"</f>
        <v>45.995</v>
      </c>
      <c r="C160" t="str">
        <f>"46.115"</f>
        <v>46.115</v>
      </c>
    </row>
    <row r="161" spans="1:3" x14ac:dyDescent="0.25">
      <c r="A161" t="str">
        <f>"22/01/2010"</f>
        <v>22/01/2010</v>
      </c>
      <c r="B161" t="str">
        <f>"46.25"</f>
        <v>46.25</v>
      </c>
      <c r="C161" t="str">
        <f>"46.355"</f>
        <v>46.355</v>
      </c>
    </row>
    <row r="162" spans="1:3" x14ac:dyDescent="0.25">
      <c r="A162" t="str">
        <f>"25/01/2010"</f>
        <v>25/01/2010</v>
      </c>
      <c r="B162" t="str">
        <f>"46.135"</f>
        <v>46.135</v>
      </c>
      <c r="C162" t="str">
        <f>"46.245"</f>
        <v>46.245</v>
      </c>
    </row>
    <row r="163" spans="1:3" x14ac:dyDescent="0.25">
      <c r="A163" t="str">
        <f>"27/01/2010"</f>
        <v>27/01/2010</v>
      </c>
      <c r="B163" t="str">
        <f>"46.33"</f>
        <v>46.33</v>
      </c>
      <c r="C163" t="str">
        <f>"46.445"</f>
        <v>46.445</v>
      </c>
    </row>
    <row r="164" spans="1:3" x14ac:dyDescent="0.25">
      <c r="A164" t="str">
        <f>"28/01/2010"</f>
        <v>28/01/2010</v>
      </c>
      <c r="B164" t="str">
        <f>"46.29"</f>
        <v>46.29</v>
      </c>
      <c r="C164" t="str">
        <f>"46.395"</f>
        <v>46.395</v>
      </c>
    </row>
    <row r="165" spans="1:3" x14ac:dyDescent="0.25">
      <c r="A165" t="str">
        <f>"29/01/2010"</f>
        <v>29/01/2010</v>
      </c>
      <c r="B165" t="str">
        <f>"46.385"</f>
        <v>46.385</v>
      </c>
      <c r="C165" t="str">
        <f>"46.50"</f>
        <v>46.50</v>
      </c>
    </row>
    <row r="166" spans="1:3" x14ac:dyDescent="0.25">
      <c r="A166" t="str">
        <f>"01/02/2010"</f>
        <v>01/02/2010</v>
      </c>
      <c r="B166" t="str">
        <f>"46.41"</f>
        <v>46.41</v>
      </c>
      <c r="C166" t="str">
        <f>"46.5225"</f>
        <v>46.5225</v>
      </c>
    </row>
    <row r="167" spans="1:3" x14ac:dyDescent="0.25">
      <c r="A167" t="str">
        <f>"02/02/2010"</f>
        <v>02/02/2010</v>
      </c>
      <c r="B167" t="str">
        <f>"46.235"</f>
        <v>46.235</v>
      </c>
      <c r="C167" t="str">
        <f>"46.34"</f>
        <v>46.34</v>
      </c>
    </row>
    <row r="168" spans="1:3" x14ac:dyDescent="0.25">
      <c r="A168" t="str">
        <f>"03/02/2010"</f>
        <v>03/02/2010</v>
      </c>
      <c r="B168" t="str">
        <f>"46.12"</f>
        <v>46.12</v>
      </c>
      <c r="C168" t="str">
        <f>"46.2275"</f>
        <v>46.2275</v>
      </c>
    </row>
    <row r="169" spans="1:3" x14ac:dyDescent="0.25">
      <c r="A169" t="str">
        <f>"04/02/2010"</f>
        <v>04/02/2010</v>
      </c>
      <c r="B169" t="str">
        <f>"46.07"</f>
        <v>46.07</v>
      </c>
      <c r="C169" t="str">
        <f>"46.1625"</f>
        <v>46.1625</v>
      </c>
    </row>
    <row r="170" spans="1:3" x14ac:dyDescent="0.25">
      <c r="A170" t="str">
        <f>"05/02/2010"</f>
        <v>05/02/2010</v>
      </c>
      <c r="B170" t="str">
        <f>"46.53"</f>
        <v>46.53</v>
      </c>
      <c r="C170" t="str">
        <f>"46.6075"</f>
        <v>46.6075</v>
      </c>
    </row>
    <row r="171" spans="1:3" x14ac:dyDescent="0.25">
      <c r="A171" t="str">
        <f>"08/02/2010"</f>
        <v>08/02/2010</v>
      </c>
      <c r="B171" t="str">
        <f>"46.7425"</f>
        <v>46.7425</v>
      </c>
      <c r="C171" t="str">
        <f>"46.8275"</f>
        <v>46.8275</v>
      </c>
    </row>
    <row r="172" spans="1:3" x14ac:dyDescent="0.25">
      <c r="A172" t="str">
        <f>"09/02/2010"</f>
        <v>09/02/2010</v>
      </c>
      <c r="B172" t="str">
        <f>"46.79"</f>
        <v>46.79</v>
      </c>
      <c r="C172" t="str">
        <f>"46.875"</f>
        <v>46.875</v>
      </c>
    </row>
    <row r="173" spans="1:3" x14ac:dyDescent="0.25">
      <c r="A173" t="str">
        <f>"10/02/2010"</f>
        <v>10/02/2010</v>
      </c>
      <c r="B173" t="str">
        <f>"46.54"</f>
        <v>46.54</v>
      </c>
      <c r="C173" t="str">
        <f>"46.64"</f>
        <v>46.64</v>
      </c>
    </row>
    <row r="174" spans="1:3" x14ac:dyDescent="0.25">
      <c r="A174" t="str">
        <f>"11/02/2010"</f>
        <v>11/02/2010</v>
      </c>
      <c r="B174" t="str">
        <f>"46.45"</f>
        <v>46.45</v>
      </c>
      <c r="C174" t="str">
        <f>"46.5525"</f>
        <v>46.5525</v>
      </c>
    </row>
    <row r="175" spans="1:3" x14ac:dyDescent="0.25">
      <c r="A175" t="str">
        <f>"15/02/2010"</f>
        <v>15/02/2010</v>
      </c>
      <c r="B175" t="str">
        <f>"46.3975"</f>
        <v>46.3975</v>
      </c>
      <c r="C175" t="str">
        <f>"46.4875"</f>
        <v>46.4875</v>
      </c>
    </row>
    <row r="176" spans="1:3" x14ac:dyDescent="0.25">
      <c r="A176" t="str">
        <f>"16/02/2010"</f>
        <v>16/02/2010</v>
      </c>
      <c r="B176" t="str">
        <f>"46.235"</f>
        <v>46.235</v>
      </c>
      <c r="C176" t="str">
        <f>"46.315"</f>
        <v>46.315</v>
      </c>
    </row>
    <row r="177" spans="1:3" x14ac:dyDescent="0.25">
      <c r="A177" t="str">
        <f>"17/02/2010"</f>
        <v>17/02/2010</v>
      </c>
      <c r="B177" t="str">
        <f>"46.00"</f>
        <v>46.00</v>
      </c>
      <c r="C177" t="str">
        <f>"46.0775"</f>
        <v>46.0775</v>
      </c>
    </row>
    <row r="178" spans="1:3" x14ac:dyDescent="0.25">
      <c r="A178" t="str">
        <f>"18/02/2010"</f>
        <v>18/02/2010</v>
      </c>
      <c r="B178" t="str">
        <f>"46.1975"</f>
        <v>46.1975</v>
      </c>
      <c r="C178" t="str">
        <f>"46.265"</f>
        <v>46.265</v>
      </c>
    </row>
    <row r="179" spans="1:3" x14ac:dyDescent="0.25">
      <c r="A179" t="str">
        <f>"19/02/2010"</f>
        <v>19/02/2010</v>
      </c>
      <c r="B179" t="str">
        <f>"46.43"</f>
        <v>46.43</v>
      </c>
      <c r="C179" t="str">
        <f>"46.5025"</f>
        <v>46.5025</v>
      </c>
    </row>
    <row r="180" spans="1:3" x14ac:dyDescent="0.25">
      <c r="A180" t="str">
        <f>"22/02/2010"</f>
        <v>22/02/2010</v>
      </c>
      <c r="B180" t="str">
        <f>"46.09"</f>
        <v>46.09</v>
      </c>
      <c r="C180" t="str">
        <f>"46.1875"</f>
        <v>46.1875</v>
      </c>
    </row>
    <row r="181" spans="1:3" x14ac:dyDescent="0.25">
      <c r="A181" t="str">
        <f>"23/02/2010"</f>
        <v>23/02/2010</v>
      </c>
      <c r="B181" t="str">
        <f>"46.235"</f>
        <v>46.235</v>
      </c>
      <c r="C181" t="str">
        <f>"46.32"</f>
        <v>46.32</v>
      </c>
    </row>
    <row r="182" spans="1:3" x14ac:dyDescent="0.25">
      <c r="A182" t="str">
        <f>"24/02/2010"</f>
        <v>24/02/2010</v>
      </c>
      <c r="B182" t="str">
        <f>"46.285"</f>
        <v>46.285</v>
      </c>
      <c r="C182" t="str">
        <f>"46.305"</f>
        <v>46.305</v>
      </c>
    </row>
    <row r="183" spans="1:3" x14ac:dyDescent="0.25">
      <c r="A183" t="str">
        <f>"25/02/2010"</f>
        <v>25/02/2010</v>
      </c>
      <c r="B183" t="str">
        <f>"46.3525"</f>
        <v>46.3525</v>
      </c>
      <c r="C183" t="str">
        <f>"46.4675"</f>
        <v>46.4675</v>
      </c>
    </row>
    <row r="184" spans="1:3" x14ac:dyDescent="0.25">
      <c r="A184" t="str">
        <f>"26/02/2010"</f>
        <v>26/02/2010</v>
      </c>
      <c r="B184" t="str">
        <f>"46.31"</f>
        <v>46.31</v>
      </c>
      <c r="C184" t="str">
        <f>"46.435"</f>
        <v>46.435</v>
      </c>
    </row>
    <row r="185" spans="1:3" x14ac:dyDescent="0.25">
      <c r="A185" t="str">
        <f>"02/03/2010"</f>
        <v>02/03/2010</v>
      </c>
      <c r="B185" t="str">
        <f>"46.015"</f>
        <v>46.015</v>
      </c>
      <c r="C185" t="str">
        <f>"46.14"</f>
        <v>46.14</v>
      </c>
    </row>
    <row r="186" spans="1:3" x14ac:dyDescent="0.25">
      <c r="A186" t="str">
        <f>"03/03/2010"</f>
        <v>03/03/2010</v>
      </c>
      <c r="B186" t="str">
        <f>"45.88"</f>
        <v>45.88</v>
      </c>
      <c r="C186" t="str">
        <f>"46.005"</f>
        <v>46.005</v>
      </c>
    </row>
    <row r="187" spans="1:3" x14ac:dyDescent="0.25">
      <c r="A187" t="str">
        <f>"04/03/2010"</f>
        <v>04/03/2010</v>
      </c>
      <c r="B187" t="str">
        <f>"45.80"</f>
        <v>45.80</v>
      </c>
      <c r="C187" t="str">
        <f>"45.9175"</f>
        <v>45.9175</v>
      </c>
    </row>
    <row r="188" spans="1:3" x14ac:dyDescent="0.25">
      <c r="A188" t="str">
        <f>"05/03/2010"</f>
        <v>05/03/2010</v>
      </c>
      <c r="B188" t="str">
        <f>"45.81"</f>
        <v>45.81</v>
      </c>
      <c r="C188" t="str">
        <f>"46.0725"</f>
        <v>46.0725</v>
      </c>
    </row>
    <row r="189" spans="1:3" x14ac:dyDescent="0.25">
      <c r="A189" t="str">
        <f>"08/03/2010"</f>
        <v>08/03/2010</v>
      </c>
      <c r="B189" t="str">
        <f>"45.49"</f>
        <v>45.49</v>
      </c>
      <c r="C189" t="str">
        <f>"45.73"</f>
        <v>45.73</v>
      </c>
    </row>
    <row r="190" spans="1:3" x14ac:dyDescent="0.25">
      <c r="A190" t="str">
        <f>"09/03/2010"</f>
        <v>09/03/2010</v>
      </c>
      <c r="B190" t="str">
        <f>"45.55"</f>
        <v>45.55</v>
      </c>
      <c r="C190" t="str">
        <f>"45.6875"</f>
        <v>45.6875</v>
      </c>
    </row>
    <row r="191" spans="1:3" x14ac:dyDescent="0.25">
      <c r="A191" t="str">
        <f>"10/03/2010"</f>
        <v>10/03/2010</v>
      </c>
      <c r="B191" t="str">
        <f>"45.53"</f>
        <v>45.53</v>
      </c>
      <c r="C191" t="str">
        <f>"45.6675"</f>
        <v>45.6675</v>
      </c>
    </row>
    <row r="192" spans="1:3" x14ac:dyDescent="0.25">
      <c r="A192" t="str">
        <f>"11/03/2010"</f>
        <v>11/03/2010</v>
      </c>
      <c r="B192" t="str">
        <f>"45.46"</f>
        <v>45.46</v>
      </c>
      <c r="C192" t="str">
        <f>"45.61"</f>
        <v>45.61</v>
      </c>
    </row>
    <row r="193" spans="1:3" x14ac:dyDescent="0.25">
      <c r="A193" t="str">
        <f>"12/03/2010"</f>
        <v>12/03/2010</v>
      </c>
      <c r="B193" t="str">
        <f>"45.5125"</f>
        <v>45.5125</v>
      </c>
      <c r="C193" t="str">
        <f>"45.685"</f>
        <v>45.685</v>
      </c>
    </row>
    <row r="194" spans="1:3" x14ac:dyDescent="0.25">
      <c r="A194" t="str">
        <f>"15/03/2010"</f>
        <v>15/03/2010</v>
      </c>
      <c r="B194" t="str">
        <f>"45.605"</f>
        <v>45.605</v>
      </c>
      <c r="C194" t="str">
        <f>"45.7525"</f>
        <v>45.7525</v>
      </c>
    </row>
    <row r="195" spans="1:3" x14ac:dyDescent="0.25">
      <c r="A195" t="str">
        <f>"17/03/2010"</f>
        <v>17/03/2010</v>
      </c>
      <c r="B195" t="str">
        <f>"45.44"</f>
        <v>45.44</v>
      </c>
      <c r="C195" t="str">
        <f>"45.5925"</f>
        <v>45.5925</v>
      </c>
    </row>
    <row r="196" spans="1:3" x14ac:dyDescent="0.25">
      <c r="A196" t="str">
        <f>"18/03/2010"</f>
        <v>18/03/2010</v>
      </c>
      <c r="B196" t="str">
        <f>"45.43"</f>
        <v>45.43</v>
      </c>
      <c r="C196" t="str">
        <f>"45.565"</f>
        <v>45.565</v>
      </c>
    </row>
    <row r="197" spans="1:3" x14ac:dyDescent="0.25">
      <c r="A197" t="str">
        <f>"19/03/2010"</f>
        <v>19/03/2010</v>
      </c>
      <c r="B197" t="str">
        <f>"45.45"</f>
        <v>45.45</v>
      </c>
      <c r="C197" t="str">
        <f>"45.5825"</f>
        <v>45.5825</v>
      </c>
    </row>
    <row r="198" spans="1:3" x14ac:dyDescent="0.25">
      <c r="A198" t="str">
        <f>"22/03/2010"</f>
        <v>22/03/2010</v>
      </c>
      <c r="B198" t="str">
        <f>"45.53"</f>
        <v>45.53</v>
      </c>
      <c r="C198" t="str">
        <f>"45.685"</f>
        <v>45.685</v>
      </c>
    </row>
    <row r="199" spans="1:3" x14ac:dyDescent="0.25">
      <c r="A199" t="str">
        <f>"23/03/2010"</f>
        <v>23/03/2010</v>
      </c>
      <c r="B199" t="str">
        <f>"45.49"</f>
        <v>45.49</v>
      </c>
      <c r="C199" t="str">
        <f>"45.635"</f>
        <v>45.635</v>
      </c>
    </row>
    <row r="200" spans="1:3" x14ac:dyDescent="0.25">
      <c r="A200" t="str">
        <f>"25/03/2010"</f>
        <v>25/03/2010</v>
      </c>
      <c r="B200" t="str">
        <f>"45.705"</f>
        <v>45.705</v>
      </c>
      <c r="C200" t="str">
        <f>"45.85"</f>
        <v>45.85</v>
      </c>
    </row>
    <row r="201" spans="1:3" x14ac:dyDescent="0.25">
      <c r="A201" t="str">
        <f>"26/03/2010"</f>
        <v>26/03/2010</v>
      </c>
      <c r="B201" t="str">
        <f>"45.52"</f>
        <v>45.52</v>
      </c>
      <c r="C201" t="str">
        <f>"45.665"</f>
        <v>45.665</v>
      </c>
    </row>
    <row r="202" spans="1:3" x14ac:dyDescent="0.25">
      <c r="A202" t="str">
        <f>"29/03/2010"</f>
        <v>29/03/2010</v>
      </c>
      <c r="B202" t="str">
        <f>"45.07"</f>
        <v>45.07</v>
      </c>
      <c r="C202" t="str">
        <f>"45.22"</f>
        <v>45.22</v>
      </c>
    </row>
    <row r="203" spans="1:3" x14ac:dyDescent="0.25">
      <c r="A203" t="str">
        <f>"30/03/2010"</f>
        <v>30/03/2010</v>
      </c>
      <c r="B203" t="str">
        <f>"44.95"</f>
        <v>44.95</v>
      </c>
      <c r="C203" t="str">
        <f>"45.08"</f>
        <v>45.08</v>
      </c>
    </row>
    <row r="204" spans="1:3" x14ac:dyDescent="0.25">
      <c r="A204" t="str">
        <f>"31/03/2010"</f>
        <v>31/03/2010</v>
      </c>
      <c r="B204" t="str">
        <f>"45.12"</f>
        <v>45.12</v>
      </c>
      <c r="C204" t="str">
        <f>"45.295"</f>
        <v>45.295</v>
      </c>
    </row>
    <row r="205" spans="1:3" x14ac:dyDescent="0.25">
      <c r="A205" t="str">
        <f>"05/04/2010"</f>
        <v>05/04/2010</v>
      </c>
      <c r="B205" t="str">
        <f>"44.745"</f>
        <v>44.745</v>
      </c>
      <c r="C205" t="str">
        <f>"44.9225"</f>
        <v>44.9225</v>
      </c>
    </row>
    <row r="206" spans="1:3" x14ac:dyDescent="0.25">
      <c r="A206" t="str">
        <f>"06/04/2010"</f>
        <v>06/04/2010</v>
      </c>
      <c r="B206" t="str">
        <f>"44.41"</f>
        <v>44.41</v>
      </c>
      <c r="C206" t="str">
        <f>"44.595"</f>
        <v>44.595</v>
      </c>
    </row>
    <row r="207" spans="1:3" x14ac:dyDescent="0.25">
      <c r="A207" t="str">
        <f>"07/04/2010"</f>
        <v>07/04/2010</v>
      </c>
      <c r="B207" t="str">
        <f>"44.365"</f>
        <v>44.365</v>
      </c>
      <c r="C207" t="str">
        <f>"44.5275"</f>
        <v>44.5275</v>
      </c>
    </row>
    <row r="208" spans="1:3" x14ac:dyDescent="0.25">
      <c r="A208" t="str">
        <f>"08/04/2010"</f>
        <v>08/04/2010</v>
      </c>
      <c r="B208" t="str">
        <f>"44.57"</f>
        <v>44.57</v>
      </c>
      <c r="C208" t="str">
        <f>"44.71"</f>
        <v>44.71</v>
      </c>
    </row>
    <row r="209" spans="1:3" x14ac:dyDescent="0.25">
      <c r="A209" t="str">
        <f>"09/04/2010"</f>
        <v>09/04/2010</v>
      </c>
      <c r="B209" t="str">
        <f>"44.43"</f>
        <v>44.43</v>
      </c>
      <c r="C209" t="str">
        <f>"44.5675"</f>
        <v>44.5675</v>
      </c>
    </row>
    <row r="210" spans="1:3" x14ac:dyDescent="0.25">
      <c r="A210" t="str">
        <f>"12/04/2010"</f>
        <v>12/04/2010</v>
      </c>
      <c r="B210" t="str">
        <f>"44.23"</f>
        <v>44.23</v>
      </c>
      <c r="C210" t="str">
        <f>"44.3875"</f>
        <v>44.3875</v>
      </c>
    </row>
    <row r="211" spans="1:3" x14ac:dyDescent="0.25">
      <c r="A211" t="str">
        <f>"13/04/2010"</f>
        <v>13/04/2010</v>
      </c>
      <c r="B211" t="str">
        <f>"44.61"</f>
        <v>44.61</v>
      </c>
      <c r="C211" t="str">
        <f>"44.7475"</f>
        <v>44.7475</v>
      </c>
    </row>
    <row r="212" spans="1:3" x14ac:dyDescent="0.25">
      <c r="A212" t="str">
        <f>"15/04/2010"</f>
        <v>15/04/2010</v>
      </c>
      <c r="B212" t="str">
        <f>"44.26"</f>
        <v>44.26</v>
      </c>
      <c r="C212" t="str">
        <f>"44.415"</f>
        <v>44.415</v>
      </c>
    </row>
    <row r="213" spans="1:3" x14ac:dyDescent="0.25">
      <c r="A213" t="str">
        <f>"16/04/2010"</f>
        <v>16/04/2010</v>
      </c>
      <c r="B213" t="str">
        <f>"44.515"</f>
        <v>44.515</v>
      </c>
      <c r="C213" t="str">
        <f>"44.655"</f>
        <v>44.655</v>
      </c>
    </row>
    <row r="214" spans="1:3" x14ac:dyDescent="0.25">
      <c r="A214" t="str">
        <f>"19/04/2010"</f>
        <v>19/04/2010</v>
      </c>
      <c r="B214" t="str">
        <f>"44.60"</f>
        <v>44.60</v>
      </c>
      <c r="C214" t="str">
        <f>"44.745"</f>
        <v>44.745</v>
      </c>
    </row>
    <row r="215" spans="1:3" x14ac:dyDescent="0.25">
      <c r="A215" t="str">
        <f>"20/04/2010"</f>
        <v>20/04/2010</v>
      </c>
      <c r="B215" t="str">
        <f>"44.58"</f>
        <v>44.58</v>
      </c>
      <c r="C215" t="str">
        <f>"44.73"</f>
        <v>44.73</v>
      </c>
    </row>
    <row r="216" spans="1:3" x14ac:dyDescent="0.25">
      <c r="A216" t="str">
        <f>"21/04/2010"</f>
        <v>21/04/2010</v>
      </c>
      <c r="B216" t="str">
        <f>"44.405"</f>
        <v>44.405</v>
      </c>
      <c r="C216" t="str">
        <f>"44.555"</f>
        <v>44.555</v>
      </c>
    </row>
    <row r="217" spans="1:3" x14ac:dyDescent="0.25">
      <c r="A217" t="str">
        <f>"22/04/2010"</f>
        <v>22/04/2010</v>
      </c>
      <c r="B217" t="str">
        <f>"44.56"</f>
        <v>44.56</v>
      </c>
      <c r="C217" t="str">
        <f>"44.7075"</f>
        <v>44.7075</v>
      </c>
    </row>
    <row r="218" spans="1:3" x14ac:dyDescent="0.25">
      <c r="A218" t="str">
        <f>"23/04/2010"</f>
        <v>23/04/2010</v>
      </c>
      <c r="B218" t="str">
        <f>"44.60"</f>
        <v>44.60</v>
      </c>
      <c r="C218" t="str">
        <f>"44.73"</f>
        <v>44.73</v>
      </c>
    </row>
    <row r="219" spans="1:3" x14ac:dyDescent="0.25">
      <c r="A219" t="str">
        <f>"26/04/2010"</f>
        <v>26/04/2010</v>
      </c>
      <c r="B219" t="str">
        <f>"44.305"</f>
        <v>44.305</v>
      </c>
      <c r="C219" t="str">
        <f>"44.44"</f>
        <v>44.44</v>
      </c>
    </row>
    <row r="220" spans="1:3" x14ac:dyDescent="0.25">
      <c r="A220" t="str">
        <f>"27/04/2010"</f>
        <v>27/04/2010</v>
      </c>
      <c r="B220" t="str">
        <f>"44.47"</f>
        <v>44.47</v>
      </c>
      <c r="C220" t="str">
        <f>"44.61"</f>
        <v>44.61</v>
      </c>
    </row>
    <row r="221" spans="1:3" x14ac:dyDescent="0.25">
      <c r="A221" t="str">
        <f>"28/04/2010"</f>
        <v>28/04/2010</v>
      </c>
      <c r="B221" t="str">
        <f>"44.57"</f>
        <v>44.57</v>
      </c>
      <c r="C221" t="str">
        <f>"44.7025"</f>
        <v>44.7025</v>
      </c>
    </row>
    <row r="222" spans="1:3" x14ac:dyDescent="0.25">
      <c r="A222" t="str">
        <f>"29/04/2010"</f>
        <v>29/04/2010</v>
      </c>
      <c r="B222" t="str">
        <f>"44.57"</f>
        <v>44.57</v>
      </c>
      <c r="C222" t="str">
        <f>"44.72"</f>
        <v>44.72</v>
      </c>
    </row>
    <row r="223" spans="1:3" x14ac:dyDescent="0.25">
      <c r="A223" t="str">
        <f>"30/04/2010"</f>
        <v>30/04/2010</v>
      </c>
      <c r="B223" t="str">
        <f>"44.45"</f>
        <v>44.45</v>
      </c>
      <c r="C223" t="str">
        <f>"44.605"</f>
        <v>44.605</v>
      </c>
    </row>
    <row r="224" spans="1:3" x14ac:dyDescent="0.25">
      <c r="A224" t="str">
        <f>"03/05/2010"</f>
        <v>03/05/2010</v>
      </c>
      <c r="B224" t="str">
        <f>"44.515"</f>
        <v>44.515</v>
      </c>
      <c r="C224" t="str">
        <f>"44.665"</f>
        <v>44.665</v>
      </c>
    </row>
    <row r="225" spans="1:3" x14ac:dyDescent="0.25">
      <c r="A225" t="str">
        <f>"04/05/2010"</f>
        <v>04/05/2010</v>
      </c>
      <c r="B225" t="str">
        <f>"44.52"</f>
        <v>44.52</v>
      </c>
      <c r="C225" t="str">
        <f>"44.595"</f>
        <v>44.595</v>
      </c>
    </row>
    <row r="226" spans="1:3" x14ac:dyDescent="0.25">
      <c r="A226" t="str">
        <f>"05/05/2010"</f>
        <v>05/05/2010</v>
      </c>
      <c r="B226" t="str">
        <f>"44.91"</f>
        <v>44.91</v>
      </c>
      <c r="C226" t="str">
        <f>"45.05"</f>
        <v>45.05</v>
      </c>
    </row>
    <row r="227" spans="1:3" x14ac:dyDescent="0.25">
      <c r="A227" t="str">
        <f>"06/05/2010"</f>
        <v>06/05/2010</v>
      </c>
      <c r="B227" t="str">
        <f>"45.13"</f>
        <v>45.13</v>
      </c>
      <c r="C227" t="str">
        <f>"45.2775"</f>
        <v>45.2775</v>
      </c>
    </row>
    <row r="228" spans="1:3" x14ac:dyDescent="0.25">
      <c r="A228" t="str">
        <f>"07/05/2010"</f>
        <v>07/05/2010</v>
      </c>
      <c r="B228" t="str">
        <f>"45.63"</f>
        <v>45.63</v>
      </c>
      <c r="C228" t="str">
        <f>"45.755"</f>
        <v>45.755</v>
      </c>
    </row>
    <row r="229" spans="1:3" x14ac:dyDescent="0.25">
      <c r="A229" t="str">
        <f>"10/05/2010"</f>
        <v>10/05/2010</v>
      </c>
      <c r="B229" t="str">
        <f>"45.05"</f>
        <v>45.05</v>
      </c>
      <c r="C229" t="str">
        <f>"45.18"</f>
        <v>45.18</v>
      </c>
    </row>
    <row r="230" spans="1:3" x14ac:dyDescent="0.25">
      <c r="A230" t="str">
        <f>"11/05/2010"</f>
        <v>11/05/2010</v>
      </c>
      <c r="B230" t="str">
        <f>"44.965"</f>
        <v>44.965</v>
      </c>
      <c r="C230" t="str">
        <f>"45.0975"</f>
        <v>45.0975</v>
      </c>
    </row>
    <row r="231" spans="1:3" x14ac:dyDescent="0.25">
      <c r="A231" t="str">
        <f>"12/05/2010"</f>
        <v>12/05/2010</v>
      </c>
      <c r="B231" t="str">
        <f>"45.24"</f>
        <v>45.24</v>
      </c>
      <c r="C231" t="str">
        <f>"45.3675"</f>
        <v>45.3675</v>
      </c>
    </row>
    <row r="232" spans="1:3" x14ac:dyDescent="0.25">
      <c r="A232" t="str">
        <f>"13/05/2010"</f>
        <v>13/05/2010</v>
      </c>
      <c r="B232" t="str">
        <f>"44.98"</f>
        <v>44.98</v>
      </c>
      <c r="C232" t="str">
        <f>"45.105"</f>
        <v>45.105</v>
      </c>
    </row>
    <row r="233" spans="1:3" x14ac:dyDescent="0.25">
      <c r="A233" t="str">
        <f>"14/05/2010"</f>
        <v>14/05/2010</v>
      </c>
      <c r="B233" t="str">
        <f>"45.0975"</f>
        <v>45.0975</v>
      </c>
      <c r="C233" t="str">
        <f>"45.2325"</f>
        <v>45.2325</v>
      </c>
    </row>
    <row r="234" spans="1:3" x14ac:dyDescent="0.25">
      <c r="A234" t="str">
        <f>"17/05/2010"</f>
        <v>17/05/2010</v>
      </c>
      <c r="B234" t="str">
        <f>"45.61"</f>
        <v>45.61</v>
      </c>
      <c r="C234" t="str">
        <f>"45.735"</f>
        <v>45.735</v>
      </c>
    </row>
    <row r="235" spans="1:3" x14ac:dyDescent="0.25">
      <c r="A235" t="str">
        <f>"18/05/2010"</f>
        <v>18/05/2010</v>
      </c>
      <c r="B235" t="str">
        <f>"45.67"</f>
        <v>45.67</v>
      </c>
      <c r="C235" t="str">
        <f>"45.80"</f>
        <v>45.80</v>
      </c>
    </row>
    <row r="236" spans="1:3" x14ac:dyDescent="0.25">
      <c r="A236" t="str">
        <f>"19/05/2010"</f>
        <v>19/05/2010</v>
      </c>
      <c r="B236" t="str">
        <f>"45.8825"</f>
        <v>45.8825</v>
      </c>
      <c r="C236" t="str">
        <f>"46.005"</f>
        <v>46.005</v>
      </c>
    </row>
    <row r="237" spans="1:3" x14ac:dyDescent="0.25">
      <c r="A237" t="str">
        <f>"20/05/2010"</f>
        <v>20/05/2010</v>
      </c>
      <c r="B237" t="str">
        <f>"46.34"</f>
        <v>46.34</v>
      </c>
      <c r="C237" t="str">
        <f>"46.445"</f>
        <v>46.445</v>
      </c>
    </row>
    <row r="238" spans="1:3" x14ac:dyDescent="0.25">
      <c r="A238" t="str">
        <f>"21/05/2010"</f>
        <v>21/05/2010</v>
      </c>
      <c r="B238" t="str">
        <f>"47.11"</f>
        <v>47.11</v>
      </c>
      <c r="C238" t="str">
        <f>"47.2375"</f>
        <v>47.2375</v>
      </c>
    </row>
    <row r="239" spans="1:3" x14ac:dyDescent="0.25">
      <c r="A239" t="str">
        <f>"24/05/2010"</f>
        <v>24/05/2010</v>
      </c>
      <c r="B239" t="str">
        <f>"46.845"</f>
        <v>46.845</v>
      </c>
      <c r="C239" t="str">
        <f>"46.98"</f>
        <v>46.98</v>
      </c>
    </row>
    <row r="240" spans="1:3" x14ac:dyDescent="0.25">
      <c r="A240" t="str">
        <f>"25/05/2010"</f>
        <v>25/05/2010</v>
      </c>
      <c r="B240" t="str">
        <f>"47.27"</f>
        <v>47.27</v>
      </c>
      <c r="C240" t="str">
        <f>"47.43"</f>
        <v>47.43</v>
      </c>
    </row>
    <row r="241" spans="1:3" x14ac:dyDescent="0.25">
      <c r="A241" t="str">
        <f>"26/05/2010"</f>
        <v>26/05/2010</v>
      </c>
      <c r="B241" t="str">
        <f>"47.42"</f>
        <v>47.42</v>
      </c>
      <c r="C241" t="str">
        <f>"47.6175"</f>
        <v>47.6175</v>
      </c>
    </row>
    <row r="242" spans="1:3" x14ac:dyDescent="0.25">
      <c r="A242" t="str">
        <f>"28/05/2010"</f>
        <v>28/05/2010</v>
      </c>
      <c r="B242" t="str">
        <f>"46.65"</f>
        <v>46.65</v>
      </c>
      <c r="C242" t="str">
        <f>"46.7875"</f>
        <v>46.7875</v>
      </c>
    </row>
    <row r="243" spans="1:3" x14ac:dyDescent="0.25">
      <c r="A243" t="str">
        <f>"31/05/2010"</f>
        <v>31/05/2010</v>
      </c>
      <c r="B243" t="str">
        <f>"46.475"</f>
        <v>46.475</v>
      </c>
      <c r="C243" t="str">
        <f>"46.625"</f>
        <v>46.625</v>
      </c>
    </row>
    <row r="244" spans="1:3" x14ac:dyDescent="0.25">
      <c r="A244" t="str">
        <f>"01/06/2010"</f>
        <v>01/06/2010</v>
      </c>
      <c r="B244" t="str">
        <f>"46.6025"</f>
        <v>46.6025</v>
      </c>
      <c r="C244" t="str">
        <f>"46.7775"</f>
        <v>46.7775</v>
      </c>
    </row>
    <row r="245" spans="1:3" x14ac:dyDescent="0.25">
      <c r="A245" t="str">
        <f>"02/06/2010"</f>
        <v>02/06/2010</v>
      </c>
      <c r="B245" t="str">
        <f>"47.26"</f>
        <v>47.26</v>
      </c>
      <c r="C245" t="str">
        <f>"47.44"</f>
        <v>47.44</v>
      </c>
    </row>
    <row r="246" spans="1:3" x14ac:dyDescent="0.25">
      <c r="A246" t="str">
        <f>"03/06/2010"</f>
        <v>03/06/2010</v>
      </c>
      <c r="B246" t="str">
        <f>"46.66"</f>
        <v>46.66</v>
      </c>
      <c r="C246" t="str">
        <f>"46.8375"</f>
        <v>46.8375</v>
      </c>
    </row>
    <row r="247" spans="1:3" x14ac:dyDescent="0.25">
      <c r="A247" t="str">
        <f>"04/06/2010"</f>
        <v>04/06/2010</v>
      </c>
      <c r="B247" t="str">
        <f>"46.65"</f>
        <v>46.65</v>
      </c>
      <c r="C247" t="str">
        <f>"46.825"</f>
        <v>46.825</v>
      </c>
    </row>
    <row r="248" spans="1:3" x14ac:dyDescent="0.25">
      <c r="A248" t="str">
        <f>"07/06/2010"</f>
        <v>07/06/2010</v>
      </c>
      <c r="B248" t="str">
        <f>"47.39"</f>
        <v>47.39</v>
      </c>
      <c r="C248" t="str">
        <f>"47.5575"</f>
        <v>47.5575</v>
      </c>
    </row>
    <row r="249" spans="1:3" x14ac:dyDescent="0.25">
      <c r="A249" t="str">
        <f>"08/06/2010"</f>
        <v>08/06/2010</v>
      </c>
      <c r="B249" t="str">
        <f>"46.9825"</f>
        <v>46.9825</v>
      </c>
      <c r="C249" t="str">
        <f>"47.1625"</f>
        <v>47.1625</v>
      </c>
    </row>
    <row r="250" spans="1:3" x14ac:dyDescent="0.25">
      <c r="A250" t="str">
        <f>"09/06/2010"</f>
        <v>09/06/2010</v>
      </c>
      <c r="B250" t="str">
        <f>"46.96"</f>
        <v>46.96</v>
      </c>
      <c r="C250" t="str">
        <f>"47.14"</f>
        <v>47.14</v>
      </c>
    </row>
    <row r="251" spans="1:3" x14ac:dyDescent="0.25">
      <c r="A251" t="str">
        <f>"10/06/2010"</f>
        <v>10/06/2010</v>
      </c>
      <c r="B251" t="str">
        <f>"46.98"</f>
        <v>46.98</v>
      </c>
      <c r="C251" t="str">
        <f>"47.15"</f>
        <v>47.15</v>
      </c>
    </row>
    <row r="252" spans="1:3" x14ac:dyDescent="0.25">
      <c r="A252" t="str">
        <f>"11/06/2010"</f>
        <v>11/06/2010</v>
      </c>
      <c r="B252" t="str">
        <f>"46.77"</f>
        <v>46.77</v>
      </c>
      <c r="C252" t="str">
        <f>"46.9375"</f>
        <v>46.9375</v>
      </c>
    </row>
    <row r="253" spans="1:3" x14ac:dyDescent="0.25">
      <c r="A253" t="str">
        <f>"14/06/2010"</f>
        <v>14/06/2010</v>
      </c>
      <c r="B253" t="str">
        <f>"46.60"</f>
        <v>46.60</v>
      </c>
      <c r="C253" t="str">
        <f>"46.765"</f>
        <v>46.765</v>
      </c>
    </row>
    <row r="254" spans="1:3" x14ac:dyDescent="0.25">
      <c r="A254" t="str">
        <f>"15/06/2010"</f>
        <v>15/06/2010</v>
      </c>
      <c r="B254" t="str">
        <f>"46.60"</f>
        <v>46.60</v>
      </c>
      <c r="C254" t="str">
        <f>"46.7675"</f>
        <v>46.7675</v>
      </c>
    </row>
    <row r="255" spans="1:3" x14ac:dyDescent="0.25">
      <c r="A255" t="str">
        <f>"16/06/2010"</f>
        <v>16/06/2010</v>
      </c>
      <c r="B255" t="str">
        <f>"46.41"</f>
        <v>46.41</v>
      </c>
      <c r="C255" t="str">
        <f>"46.565"</f>
        <v>46.565</v>
      </c>
    </row>
    <row r="256" spans="1:3" x14ac:dyDescent="0.25">
      <c r="A256" t="str">
        <f>"17/06/2010"</f>
        <v>17/06/2010</v>
      </c>
      <c r="B256" t="str">
        <f>"46.61"</f>
        <v>46.61</v>
      </c>
      <c r="C256" t="str">
        <f>"46.7675"</f>
        <v>46.7675</v>
      </c>
    </row>
    <row r="257" spans="1:3" x14ac:dyDescent="0.25">
      <c r="A257" t="str">
        <f>"18/06/2010"</f>
        <v>18/06/2010</v>
      </c>
      <c r="B257" t="str">
        <f>"46.155"</f>
        <v>46.155</v>
      </c>
      <c r="C257" t="str">
        <f>"46.3125"</f>
        <v>46.3125</v>
      </c>
    </row>
    <row r="258" spans="1:3" x14ac:dyDescent="0.25">
      <c r="A258" t="str">
        <f>"21/06/2010"</f>
        <v>21/06/2010</v>
      </c>
      <c r="B258" t="str">
        <f>"45.65"</f>
        <v>45.65</v>
      </c>
      <c r="C258" t="str">
        <f>"45.79"</f>
        <v>45.79</v>
      </c>
    </row>
    <row r="259" spans="1:3" x14ac:dyDescent="0.25">
      <c r="A259" t="str">
        <f>"22/06/2010"</f>
        <v>22/06/2010</v>
      </c>
      <c r="B259" t="str">
        <f>"45.9425"</f>
        <v>45.9425</v>
      </c>
      <c r="C259" t="str">
        <f>"46.095"</f>
        <v>46.095</v>
      </c>
    </row>
    <row r="260" spans="1:3" x14ac:dyDescent="0.25">
      <c r="A260" t="str">
        <f>"23/06/2010"</f>
        <v>23/06/2010</v>
      </c>
      <c r="B260" t="str">
        <f>"46.22"</f>
        <v>46.22</v>
      </c>
      <c r="C260" t="str">
        <f>"46.3825"</f>
        <v>46.3825</v>
      </c>
    </row>
    <row r="261" spans="1:3" x14ac:dyDescent="0.25">
      <c r="A261" t="str">
        <f>"24/06/2010"</f>
        <v>24/06/2010</v>
      </c>
      <c r="B261" t="str">
        <f>"46.24"</f>
        <v>46.24</v>
      </c>
      <c r="C261" t="str">
        <f>"46.405"</f>
        <v>46.405</v>
      </c>
    </row>
    <row r="262" spans="1:3" x14ac:dyDescent="0.25">
      <c r="A262" t="str">
        <f>"25/06/2010"</f>
        <v>25/06/2010</v>
      </c>
      <c r="B262" t="str">
        <f>"46.58"</f>
        <v>46.58</v>
      </c>
      <c r="C262" t="str">
        <f>"46.7575"</f>
        <v>46.7575</v>
      </c>
    </row>
    <row r="263" spans="1:3" x14ac:dyDescent="0.25">
      <c r="A263" t="str">
        <f>"28/06/2010"</f>
        <v>28/06/2010</v>
      </c>
      <c r="B263" t="str">
        <f>"46.17"</f>
        <v>46.17</v>
      </c>
      <c r="C263" t="str">
        <f>"46.345"</f>
        <v>46.345</v>
      </c>
    </row>
    <row r="264" spans="1:3" x14ac:dyDescent="0.25">
      <c r="A264" t="str">
        <f>"29/06/2010"</f>
        <v>29/06/2010</v>
      </c>
      <c r="B264" t="str">
        <f>"46.44"</f>
        <v>46.44</v>
      </c>
      <c r="C264" t="str">
        <f>"46.615"</f>
        <v>46.615</v>
      </c>
    </row>
    <row r="265" spans="1:3" x14ac:dyDescent="0.25">
      <c r="A265" t="str">
        <f>"30/06/2010"</f>
        <v>30/06/2010</v>
      </c>
      <c r="B265" t="str">
        <f>"46.625"</f>
        <v>46.625</v>
      </c>
      <c r="C265" t="str">
        <f>"46.825"</f>
        <v>46.825</v>
      </c>
    </row>
    <row r="266" spans="1:3" x14ac:dyDescent="0.25">
      <c r="A266" t="str">
        <f>"01/07/2010"</f>
        <v>01/07/2010</v>
      </c>
      <c r="B266" t="str">
        <f>"46.7575"</f>
        <v>46.7575</v>
      </c>
      <c r="C266" t="str">
        <f>"46.935"</f>
        <v>46.935</v>
      </c>
    </row>
    <row r="267" spans="1:3" x14ac:dyDescent="0.25">
      <c r="A267" t="str">
        <f>"02/07/2010"</f>
        <v>02/07/2010</v>
      </c>
      <c r="B267" t="str">
        <f>"46.6625"</f>
        <v>46.6625</v>
      </c>
      <c r="C267" t="str">
        <f>"46.85"</f>
        <v>46.85</v>
      </c>
    </row>
    <row r="268" spans="1:3" x14ac:dyDescent="0.25">
      <c r="A268" t="str">
        <f>"05/07/2010"</f>
        <v>05/07/2010</v>
      </c>
      <c r="B268" t="str">
        <f>"46.79"</f>
        <v>46.79</v>
      </c>
      <c r="C268" t="str">
        <f>"46.9975"</f>
        <v>46.9975</v>
      </c>
    </row>
    <row r="269" spans="1:3" x14ac:dyDescent="0.25">
      <c r="A269" t="str">
        <f>"06/07/2010"</f>
        <v>06/07/2010</v>
      </c>
      <c r="B269" t="str">
        <f>"46.78"</f>
        <v>46.78</v>
      </c>
      <c r="C269" t="str">
        <f>"46.975"</f>
        <v>46.975</v>
      </c>
    </row>
    <row r="270" spans="1:3" x14ac:dyDescent="0.25">
      <c r="A270" t="str">
        <f>"07/07/2010"</f>
        <v>07/07/2010</v>
      </c>
      <c r="B270" t="str">
        <f>"47.07"</f>
        <v>47.07</v>
      </c>
      <c r="C270" t="str">
        <f>"47.2775"</f>
        <v>47.2775</v>
      </c>
    </row>
    <row r="271" spans="1:3" x14ac:dyDescent="0.25">
      <c r="A271" t="str">
        <f>"08/07/2010"</f>
        <v>08/07/2010</v>
      </c>
      <c r="B271" t="str">
        <f>"46.87"</f>
        <v>46.87</v>
      </c>
      <c r="C271" t="str">
        <f>"47.0725"</f>
        <v>47.0725</v>
      </c>
    </row>
    <row r="272" spans="1:3" x14ac:dyDescent="0.25">
      <c r="A272" t="str">
        <f>"09/07/2010"</f>
        <v>09/07/2010</v>
      </c>
      <c r="B272" t="str">
        <f>"46.73"</f>
        <v>46.73</v>
      </c>
      <c r="C272" t="str">
        <f>"46.9325"</f>
        <v>46.9325</v>
      </c>
    </row>
    <row r="273" spans="1:3" x14ac:dyDescent="0.25">
      <c r="A273" t="str">
        <f>"12/07/2010"</f>
        <v>12/07/2010</v>
      </c>
      <c r="B273" t="str">
        <f>"46.63"</f>
        <v>46.63</v>
      </c>
      <c r="C273" t="str">
        <f>"46.84"</f>
        <v>46.84</v>
      </c>
    </row>
    <row r="274" spans="1:3" x14ac:dyDescent="0.25">
      <c r="A274" t="str">
        <f>"13/07/2010"</f>
        <v>13/07/2010</v>
      </c>
      <c r="B274" t="str">
        <f>"46.89"</f>
        <v>46.89</v>
      </c>
      <c r="C274" t="str">
        <f>"47.0975"</f>
        <v>47.0975</v>
      </c>
    </row>
    <row r="275" spans="1:3" x14ac:dyDescent="0.25">
      <c r="A275" t="str">
        <f>"14/07/2010"</f>
        <v>14/07/2010</v>
      </c>
      <c r="B275" t="str">
        <f>"46.63"</f>
        <v>46.63</v>
      </c>
      <c r="C275" t="str">
        <f>"46.825"</f>
        <v>46.825</v>
      </c>
    </row>
    <row r="276" spans="1:3" x14ac:dyDescent="0.25">
      <c r="A276" t="str">
        <f>"15/07/2010"</f>
        <v>15/07/2010</v>
      </c>
      <c r="B276" t="str">
        <f>"46.73"</f>
        <v>46.73</v>
      </c>
      <c r="C276" t="str">
        <f>"46.935"</f>
        <v>46.935</v>
      </c>
    </row>
    <row r="277" spans="1:3" x14ac:dyDescent="0.25">
      <c r="A277" t="str">
        <f>"16/07/2010"</f>
        <v>16/07/2010</v>
      </c>
      <c r="B277" t="str">
        <f>"46.70"</f>
        <v>46.70</v>
      </c>
      <c r="C277" t="str">
        <f>"46.895"</f>
        <v>46.895</v>
      </c>
    </row>
    <row r="278" spans="1:3" x14ac:dyDescent="0.25">
      <c r="A278" t="str">
        <f>"19/07/2010"</f>
        <v>19/07/2010</v>
      </c>
      <c r="B278" t="str">
        <f>"47.04"</f>
        <v>47.04</v>
      </c>
      <c r="C278" t="str">
        <f>"47.2425"</f>
        <v>47.2425</v>
      </c>
    </row>
    <row r="279" spans="1:3" x14ac:dyDescent="0.25">
      <c r="A279" t="str">
        <f>"20/07/2010"</f>
        <v>20/07/2010</v>
      </c>
      <c r="B279" t="str">
        <f>"47.19"</f>
        <v>47.19</v>
      </c>
      <c r="C279" t="str">
        <f>"47.39"</f>
        <v>47.39</v>
      </c>
    </row>
    <row r="280" spans="1:3" x14ac:dyDescent="0.25">
      <c r="A280" t="str">
        <f>"21/07/2010"</f>
        <v>21/07/2010</v>
      </c>
      <c r="B280" t="str">
        <f>"47.235"</f>
        <v>47.235</v>
      </c>
      <c r="C280" t="str">
        <f>"47.4325"</f>
        <v>47.4325</v>
      </c>
    </row>
    <row r="281" spans="1:3" x14ac:dyDescent="0.25">
      <c r="A281" t="str">
        <f>"22/07/2010"</f>
        <v>22/07/2010</v>
      </c>
      <c r="B281" t="str">
        <f>"47.335"</f>
        <v>47.335</v>
      </c>
      <c r="C281" t="str">
        <f>"47.5325"</f>
        <v>47.5325</v>
      </c>
    </row>
    <row r="282" spans="1:3" x14ac:dyDescent="0.25">
      <c r="A282" t="str">
        <f>"23/07/2010"</f>
        <v>23/07/2010</v>
      </c>
      <c r="B282" t="str">
        <f>"47.03"</f>
        <v>47.03</v>
      </c>
      <c r="C282" t="str">
        <f>"47.2375"</f>
        <v>47.2375</v>
      </c>
    </row>
    <row r="283" spans="1:3" x14ac:dyDescent="0.25">
      <c r="A283" t="str">
        <f>"26/07/2010"</f>
        <v>26/07/2010</v>
      </c>
      <c r="B283" t="str">
        <f>"46.87"</f>
        <v>46.87</v>
      </c>
      <c r="C283" t="str">
        <f>"47.085"</f>
        <v>47.085</v>
      </c>
    </row>
    <row r="284" spans="1:3" x14ac:dyDescent="0.25">
      <c r="A284" t="str">
        <f>"27/07/2010"</f>
        <v>27/07/2010</v>
      </c>
      <c r="B284" t="str">
        <f>"46.865"</f>
        <v>46.865</v>
      </c>
      <c r="C284" t="str">
        <f>"47.0675"</f>
        <v>47.0675</v>
      </c>
    </row>
    <row r="285" spans="1:3" x14ac:dyDescent="0.25">
      <c r="A285" t="str">
        <f>"28/07/2010"</f>
        <v>28/07/2010</v>
      </c>
      <c r="B285" t="str">
        <f>"46.74"</f>
        <v>46.74</v>
      </c>
      <c r="C285" t="str">
        <f>"46.945"</f>
        <v>46.945</v>
      </c>
    </row>
    <row r="286" spans="1:3" x14ac:dyDescent="0.25">
      <c r="A286" t="str">
        <f>"29/07/2010"</f>
        <v>29/07/2010</v>
      </c>
      <c r="B286" t="str">
        <f>"46.675"</f>
        <v>46.675</v>
      </c>
      <c r="C286" t="str">
        <f>"46.88"</f>
        <v>46.88</v>
      </c>
    </row>
    <row r="287" spans="1:3" x14ac:dyDescent="0.25">
      <c r="A287" t="str">
        <f>"30/07/2010"</f>
        <v>30/07/2010</v>
      </c>
      <c r="B287" t="str">
        <f>"46.46"</f>
        <v>46.46</v>
      </c>
      <c r="C287" t="str">
        <f>"46.67"</f>
        <v>46.67</v>
      </c>
    </row>
    <row r="288" spans="1:3" x14ac:dyDescent="0.25">
      <c r="A288" t="str">
        <f>"02/08/2010"</f>
        <v>02/08/2010</v>
      </c>
      <c r="B288" t="str">
        <f>"46.18"</f>
        <v>46.18</v>
      </c>
      <c r="C288" t="str">
        <f>"46.4325"</f>
        <v>46.4325</v>
      </c>
    </row>
    <row r="289" spans="1:3" x14ac:dyDescent="0.25">
      <c r="A289" t="str">
        <f>"03/08/2010"</f>
        <v>03/08/2010</v>
      </c>
      <c r="B289" t="str">
        <f>"46.22"</f>
        <v>46.22</v>
      </c>
      <c r="C289" t="str">
        <f>"46.455"</f>
        <v>46.455</v>
      </c>
    </row>
    <row r="290" spans="1:3" x14ac:dyDescent="0.25">
      <c r="A290" t="str">
        <f>"04/08/2010"</f>
        <v>04/08/2010</v>
      </c>
      <c r="B290" t="str">
        <f>"46.275"</f>
        <v>46.275</v>
      </c>
      <c r="C290" t="str">
        <f>"46.4975"</f>
        <v>46.4975</v>
      </c>
    </row>
    <row r="291" spans="1:3" x14ac:dyDescent="0.25">
      <c r="A291" t="str">
        <f>"05/08/2010"</f>
        <v>05/08/2010</v>
      </c>
      <c r="B291" t="str">
        <f>"46.23"</f>
        <v>46.23</v>
      </c>
      <c r="C291" t="str">
        <f>"46.4525"</f>
        <v>46.4525</v>
      </c>
    </row>
    <row r="292" spans="1:3" x14ac:dyDescent="0.25">
      <c r="A292" t="str">
        <f>"06/08/2010"</f>
        <v>06/08/2010</v>
      </c>
      <c r="B292" t="str">
        <f>"46.06"</f>
        <v>46.06</v>
      </c>
      <c r="C292" t="str">
        <f>"46.29"</f>
        <v>46.29</v>
      </c>
    </row>
    <row r="293" spans="1:3" x14ac:dyDescent="0.25">
      <c r="A293" t="str">
        <f>"09/08/2010"</f>
        <v>09/08/2010</v>
      </c>
      <c r="B293" t="str">
        <f>"46.08"</f>
        <v>46.08</v>
      </c>
      <c r="C293" t="str">
        <f>"46.30"</f>
        <v>46.30</v>
      </c>
    </row>
    <row r="294" spans="1:3" x14ac:dyDescent="0.25">
      <c r="A294" t="str">
        <f>"10/08/2010"</f>
        <v>10/08/2010</v>
      </c>
      <c r="B294" t="str">
        <f>"46.24"</f>
        <v>46.24</v>
      </c>
      <c r="C294" t="str">
        <f>"46.4625"</f>
        <v>46.4625</v>
      </c>
    </row>
    <row r="295" spans="1:3" x14ac:dyDescent="0.25">
      <c r="A295" t="str">
        <f>"11/08/2010"</f>
        <v>11/08/2010</v>
      </c>
      <c r="B295" t="str">
        <f>"46.50"</f>
        <v>46.50</v>
      </c>
      <c r="C295" t="str">
        <f>"46.72"</f>
        <v>46.72</v>
      </c>
    </row>
    <row r="296" spans="1:3" x14ac:dyDescent="0.25">
      <c r="A296" t="str">
        <f>"12/08/2010"</f>
        <v>12/08/2010</v>
      </c>
      <c r="B296" t="str">
        <f>"46.93"</f>
        <v>46.93</v>
      </c>
      <c r="C296" t="str">
        <f>"47.1525"</f>
        <v>47.1525</v>
      </c>
    </row>
    <row r="297" spans="1:3" x14ac:dyDescent="0.25">
      <c r="A297" t="str">
        <f>"13/08/2010"</f>
        <v>13/08/2010</v>
      </c>
      <c r="B297" t="str">
        <f>"46.61"</f>
        <v>46.61</v>
      </c>
      <c r="C297" t="str">
        <f>"46.83"</f>
        <v>46.83</v>
      </c>
    </row>
    <row r="298" spans="1:3" x14ac:dyDescent="0.25">
      <c r="A298" t="str">
        <f>"16/08/2010"</f>
        <v>16/08/2010</v>
      </c>
      <c r="B298" t="str">
        <f>"46.75"</f>
        <v>46.75</v>
      </c>
      <c r="C298" t="str">
        <f>"46.975"</f>
        <v>46.975</v>
      </c>
    </row>
    <row r="299" spans="1:3" x14ac:dyDescent="0.25">
      <c r="A299" t="str">
        <f>"17/08/2010"</f>
        <v>17/08/2010</v>
      </c>
      <c r="B299" t="str">
        <f>"46.65"</f>
        <v>46.65</v>
      </c>
      <c r="C299" t="str">
        <f>"46.865"</f>
        <v>46.865</v>
      </c>
    </row>
    <row r="300" spans="1:3" x14ac:dyDescent="0.25">
      <c r="A300" t="str">
        <f>"18/08/2010"</f>
        <v>18/08/2010</v>
      </c>
      <c r="B300" t="str">
        <f>"46.67"</f>
        <v>46.67</v>
      </c>
      <c r="C300" t="str">
        <f>"46.885"</f>
        <v>46.885</v>
      </c>
    </row>
    <row r="301" spans="1:3" x14ac:dyDescent="0.25">
      <c r="A301" t="str">
        <f>"20/08/2010"</f>
        <v>20/08/2010</v>
      </c>
      <c r="B301" t="str">
        <f>"46.59"</f>
        <v>46.59</v>
      </c>
      <c r="C301" t="str">
        <f>"46.81"</f>
        <v>46.81</v>
      </c>
    </row>
    <row r="302" spans="1:3" x14ac:dyDescent="0.25">
      <c r="A302" t="str">
        <f>"23/08/2010"</f>
        <v>23/08/2010</v>
      </c>
      <c r="B302" t="str">
        <f>"46.62"</f>
        <v>46.62</v>
      </c>
      <c r="C302" t="str">
        <f>"46.8525"</f>
        <v>46.8525</v>
      </c>
    </row>
    <row r="303" spans="1:3" x14ac:dyDescent="0.25">
      <c r="A303" t="str">
        <f>"24/08/2010"</f>
        <v>24/08/2010</v>
      </c>
      <c r="B303" t="str">
        <f>"46.79"</f>
        <v>46.79</v>
      </c>
      <c r="C303" t="str">
        <f>"47.01"</f>
        <v>47.01</v>
      </c>
    </row>
    <row r="304" spans="1:3" x14ac:dyDescent="0.25">
      <c r="A304" t="str">
        <f>"25/08/2010"</f>
        <v>25/08/2010</v>
      </c>
      <c r="B304" t="str">
        <f>"46.90"</f>
        <v>46.90</v>
      </c>
      <c r="C304" t="str">
        <f>"47.11"</f>
        <v>47.11</v>
      </c>
    </row>
    <row r="305" spans="1:3" x14ac:dyDescent="0.25">
      <c r="A305" t="str">
        <f>"26/08/2010"</f>
        <v>26/08/2010</v>
      </c>
      <c r="B305" t="str">
        <f>"46.82"</f>
        <v>46.82</v>
      </c>
      <c r="C305" t="str">
        <f>"47.0325"</f>
        <v>47.0325</v>
      </c>
    </row>
    <row r="306" spans="1:3" x14ac:dyDescent="0.25">
      <c r="A306" t="str">
        <f>"27/08/2010"</f>
        <v>27/08/2010</v>
      </c>
      <c r="B306" t="str">
        <f>"46.835"</f>
        <v>46.835</v>
      </c>
      <c r="C306" t="str">
        <f>"47.035"</f>
        <v>47.035</v>
      </c>
    </row>
    <row r="307" spans="1:3" x14ac:dyDescent="0.25">
      <c r="A307" t="str">
        <f>"30/08/2010"</f>
        <v>30/08/2010</v>
      </c>
      <c r="B307" t="str">
        <f>"46.80"</f>
        <v>46.80</v>
      </c>
      <c r="C307" t="str">
        <f>"47.0025"</f>
        <v>47.0025</v>
      </c>
    </row>
    <row r="308" spans="1:3" x14ac:dyDescent="0.25">
      <c r="A308" t="str">
        <f>"31/08/2010"</f>
        <v>31/08/2010</v>
      </c>
      <c r="B308" t="str">
        <f>"47.04"</f>
        <v>47.04</v>
      </c>
      <c r="C308" t="str">
        <f>"47.2625"</f>
        <v>47.2625</v>
      </c>
    </row>
    <row r="309" spans="1:3" x14ac:dyDescent="0.25">
      <c r="A309" t="str">
        <f>"01/09/2010"</f>
        <v>01/09/2010</v>
      </c>
      <c r="B309" t="str">
        <f>"46.88"</f>
        <v>46.88</v>
      </c>
      <c r="C309" t="str">
        <f>"47.10"</f>
        <v>47.10</v>
      </c>
    </row>
    <row r="310" spans="1:3" x14ac:dyDescent="0.25">
      <c r="A310" t="str">
        <f>"02/09/2010"</f>
        <v>02/09/2010</v>
      </c>
      <c r="B310" t="str">
        <f>"46.81"</f>
        <v>46.81</v>
      </c>
      <c r="C310" t="str">
        <f>"47.035"</f>
        <v>47.035</v>
      </c>
    </row>
    <row r="311" spans="1:3" x14ac:dyDescent="0.25">
      <c r="A311" t="str">
        <f>"03/09/2010"</f>
        <v>03/09/2010</v>
      </c>
      <c r="B311" t="str">
        <f>"46.695"</f>
        <v>46.695</v>
      </c>
      <c r="C311" t="str">
        <f>"46.915"</f>
        <v>46.915</v>
      </c>
    </row>
    <row r="312" spans="1:3" x14ac:dyDescent="0.25">
      <c r="A312" t="str">
        <f>"06/09/2010"</f>
        <v>06/09/2010</v>
      </c>
      <c r="B312" t="str">
        <f>"46.53"</f>
        <v>46.53</v>
      </c>
      <c r="C312" t="str">
        <f>"46.745"</f>
        <v>46.745</v>
      </c>
    </row>
    <row r="313" spans="1:3" x14ac:dyDescent="0.25">
      <c r="A313" t="str">
        <f>"07/09/2010"</f>
        <v>07/09/2010</v>
      </c>
      <c r="B313" t="str">
        <f>"46.63"</f>
        <v>46.63</v>
      </c>
      <c r="C313" t="str">
        <f>"46.8675"</f>
        <v>46.8675</v>
      </c>
    </row>
    <row r="314" spans="1:3" x14ac:dyDescent="0.25">
      <c r="A314" t="str">
        <f>"08/09/2010"</f>
        <v>08/09/2010</v>
      </c>
      <c r="B314" t="str">
        <f>"46.79"</f>
        <v>46.79</v>
      </c>
      <c r="C314" t="str">
        <f>"47.0025"</f>
        <v>47.0025</v>
      </c>
    </row>
    <row r="315" spans="1:3" x14ac:dyDescent="0.25">
      <c r="A315" t="str">
        <f>"09/09/2010"</f>
        <v>09/09/2010</v>
      </c>
      <c r="B315" t="str">
        <f>"46.54"</f>
        <v>46.54</v>
      </c>
      <c r="C315" t="str">
        <f>"46.755"</f>
        <v>46.755</v>
      </c>
    </row>
    <row r="316" spans="1:3" x14ac:dyDescent="0.25">
      <c r="A316" t="str">
        <f>"13/09/2010"</f>
        <v>13/09/2010</v>
      </c>
      <c r="B316" t="str">
        <f>"46.295"</f>
        <v>46.295</v>
      </c>
      <c r="C316" t="str">
        <f>"46.5125"</f>
        <v>46.5125</v>
      </c>
    </row>
    <row r="317" spans="1:3" x14ac:dyDescent="0.25">
      <c r="A317" t="str">
        <f>"14/09/2010"</f>
        <v>14/09/2010</v>
      </c>
      <c r="B317" t="str">
        <f>"46.34"</f>
        <v>46.34</v>
      </c>
      <c r="C317" t="str">
        <f>"46.5775"</f>
        <v>46.5775</v>
      </c>
    </row>
    <row r="318" spans="1:3" x14ac:dyDescent="0.25">
      <c r="A318" t="str">
        <f>"15/09/2010"</f>
        <v>15/09/2010</v>
      </c>
      <c r="B318" t="str">
        <f>"46.43"</f>
        <v>46.43</v>
      </c>
      <c r="C318" t="str">
        <f>"46.66"</f>
        <v>46.66</v>
      </c>
    </row>
    <row r="319" spans="1:3" x14ac:dyDescent="0.25">
      <c r="A319" t="str">
        <f>"16/09/2010"</f>
        <v>16/09/2010</v>
      </c>
      <c r="B319" t="str">
        <f>"46.36"</f>
        <v>46.36</v>
      </c>
      <c r="C319" t="str">
        <f>"46.58"</f>
        <v>46.58</v>
      </c>
    </row>
    <row r="320" spans="1:3" x14ac:dyDescent="0.25">
      <c r="A320" t="str">
        <f>"17/09/2010"</f>
        <v>17/09/2010</v>
      </c>
      <c r="B320" t="str">
        <f>"45.99"</f>
        <v>45.99</v>
      </c>
      <c r="C320" t="str">
        <f>"46.2225"</f>
        <v>46.2225</v>
      </c>
    </row>
    <row r="321" spans="1:3" x14ac:dyDescent="0.25">
      <c r="A321" t="str">
        <f>"20/09/2010"</f>
        <v>20/09/2010</v>
      </c>
      <c r="B321" t="str">
        <f>"45.6225"</f>
        <v>45.6225</v>
      </c>
      <c r="C321" t="str">
        <f>"45.85"</f>
        <v>45.85</v>
      </c>
    </row>
    <row r="322" spans="1:3" x14ac:dyDescent="0.25">
      <c r="A322" t="str">
        <f>"21/09/2010"</f>
        <v>21/09/2010</v>
      </c>
      <c r="B322" t="str">
        <f>"45.62"</f>
        <v>45.62</v>
      </c>
      <c r="C322" t="str">
        <f>"45.8625"</f>
        <v>45.8625</v>
      </c>
    </row>
    <row r="323" spans="1:3" x14ac:dyDescent="0.25">
      <c r="A323" t="str">
        <f>"22/09/2010"</f>
        <v>22/09/2010</v>
      </c>
      <c r="B323" t="str">
        <f>"45.5725"</f>
        <v>45.5725</v>
      </c>
      <c r="C323" t="str">
        <f>"45.8125"</f>
        <v>45.8125</v>
      </c>
    </row>
    <row r="324" spans="1:3" x14ac:dyDescent="0.25">
      <c r="A324" t="str">
        <f>"23/09/2010"</f>
        <v>23/09/2010</v>
      </c>
      <c r="B324" t="str">
        <f>"45.65"</f>
        <v>45.65</v>
      </c>
      <c r="C324" t="str">
        <f>"45.8925"</f>
        <v>45.8925</v>
      </c>
    </row>
    <row r="325" spans="1:3" x14ac:dyDescent="0.25">
      <c r="A325" t="str">
        <f>"24/09/2010"</f>
        <v>24/09/2010</v>
      </c>
      <c r="B325" t="str">
        <f>"45.58"</f>
        <v>45.58</v>
      </c>
      <c r="C325" t="str">
        <f>"45.815"</f>
        <v>45.815</v>
      </c>
    </row>
    <row r="326" spans="1:3" x14ac:dyDescent="0.25">
      <c r="A326" t="str">
        <f>"27/09/2010"</f>
        <v>27/09/2010</v>
      </c>
      <c r="B326" t="str">
        <f>"45.1825"</f>
        <v>45.1825</v>
      </c>
      <c r="C326" t="str">
        <f>"45.4275"</f>
        <v>45.4275</v>
      </c>
    </row>
    <row r="327" spans="1:3" x14ac:dyDescent="0.25">
      <c r="A327" t="str">
        <f>"28/09/2010"</f>
        <v>28/09/2010</v>
      </c>
      <c r="B327" t="str">
        <f>"45.16"</f>
        <v>45.16</v>
      </c>
      <c r="C327" t="str">
        <f>"45.415"</f>
        <v>45.415</v>
      </c>
    </row>
    <row r="328" spans="1:3" x14ac:dyDescent="0.25">
      <c r="A328" t="str">
        <f>"29/09/2010"</f>
        <v>29/09/2010</v>
      </c>
      <c r="B328" t="str">
        <f>"44.885"</f>
        <v>44.885</v>
      </c>
      <c r="C328" t="str">
        <f>"45.1425"</f>
        <v>45.1425</v>
      </c>
    </row>
    <row r="329" spans="1:3" x14ac:dyDescent="0.25">
      <c r="A329" t="str">
        <f>"01/10/2010"</f>
        <v>01/10/2010</v>
      </c>
      <c r="B329" t="str">
        <f>"44.7125"</f>
        <v>44.7125</v>
      </c>
      <c r="C329" t="str">
        <f>"44.9875"</f>
        <v>44.9875</v>
      </c>
    </row>
    <row r="330" spans="1:3" x14ac:dyDescent="0.25">
      <c r="A330" t="str">
        <f>"04/10/2010"</f>
        <v>04/10/2010</v>
      </c>
      <c r="B330" t="str">
        <f>"44.34"</f>
        <v>44.34</v>
      </c>
      <c r="C330" t="str">
        <f>"44.6125"</f>
        <v>44.6125</v>
      </c>
    </row>
    <row r="331" spans="1:3" x14ac:dyDescent="0.25">
      <c r="A331" t="str">
        <f>"05/10/2010"</f>
        <v>05/10/2010</v>
      </c>
      <c r="B331" t="str">
        <f>"44.73"</f>
        <v>44.73</v>
      </c>
      <c r="C331" t="str">
        <f>"44.9925"</f>
        <v>44.9925</v>
      </c>
    </row>
    <row r="332" spans="1:3" x14ac:dyDescent="0.25">
      <c r="A332" t="str">
        <f>"06/10/2010"</f>
        <v>06/10/2010</v>
      </c>
      <c r="B332" t="str">
        <f>"44.335"</f>
        <v>44.335</v>
      </c>
      <c r="C332" t="str">
        <f>"44.585"</f>
        <v>44.585</v>
      </c>
    </row>
    <row r="333" spans="1:3" x14ac:dyDescent="0.25">
      <c r="A333" t="str">
        <f>"07/10/2010"</f>
        <v>07/10/2010</v>
      </c>
      <c r="B333" t="str">
        <f>"44.38"</f>
        <v>44.38</v>
      </c>
      <c r="C333" t="str">
        <f>"44.6375"</f>
        <v>44.6375</v>
      </c>
    </row>
    <row r="334" spans="1:3" x14ac:dyDescent="0.25">
      <c r="A334" t="str">
        <f>"08/10/2010"</f>
        <v>08/10/2010</v>
      </c>
      <c r="B334" t="str">
        <f>"44.395"</f>
        <v>44.395</v>
      </c>
      <c r="C334" t="str">
        <f>"44.67"</f>
        <v>44.67</v>
      </c>
    </row>
    <row r="335" spans="1:3" x14ac:dyDescent="0.25">
      <c r="A335" t="str">
        <f>"11/10/2010"</f>
        <v>11/10/2010</v>
      </c>
      <c r="B335" t="str">
        <f>"44.32"</f>
        <v>44.32</v>
      </c>
      <c r="C335" t="str">
        <f>"44.5825"</f>
        <v>44.5825</v>
      </c>
    </row>
    <row r="336" spans="1:3" x14ac:dyDescent="0.25">
      <c r="A336" t="str">
        <f>"12/10/2010"</f>
        <v>12/10/2010</v>
      </c>
      <c r="B336" t="str">
        <f>"44.575"</f>
        <v>44.575</v>
      </c>
      <c r="C336" t="str">
        <f>"44.835"</f>
        <v>44.835</v>
      </c>
    </row>
    <row r="337" spans="1:3" x14ac:dyDescent="0.25">
      <c r="A337" t="str">
        <f>"13/10/2010"</f>
        <v>13/10/2010</v>
      </c>
      <c r="B337" t="str">
        <f>"44.46"</f>
        <v>44.46</v>
      </c>
      <c r="C337" t="str">
        <f>"44.7075"</f>
        <v>44.7075</v>
      </c>
    </row>
    <row r="338" spans="1:3" x14ac:dyDescent="0.25">
      <c r="A338" t="str">
        <f>"14/10/2010"</f>
        <v>14/10/2010</v>
      </c>
      <c r="B338" t="str">
        <f>"44.29"</f>
        <v>44.29</v>
      </c>
      <c r="C338" t="str">
        <f>"44.55"</f>
        <v>44.55</v>
      </c>
    </row>
    <row r="339" spans="1:3" x14ac:dyDescent="0.25">
      <c r="A339" t="str">
        <f>"15/10/2010"</f>
        <v>15/10/2010</v>
      </c>
      <c r="B339" t="str">
        <f>"44.075"</f>
        <v>44.075</v>
      </c>
      <c r="C339" t="str">
        <f>"44.38"</f>
        <v>44.38</v>
      </c>
    </row>
    <row r="340" spans="1:3" x14ac:dyDescent="0.25">
      <c r="A340" t="str">
        <f>"18/10/2010"</f>
        <v>18/10/2010</v>
      </c>
      <c r="B340" t="str">
        <f>"44.22"</f>
        <v>44.22</v>
      </c>
      <c r="C340" t="str">
        <f>"44.5375"</f>
        <v>44.5375</v>
      </c>
    </row>
    <row r="341" spans="1:3" x14ac:dyDescent="0.25">
      <c r="A341" t="str">
        <f>"19/10/2010"</f>
        <v>19/10/2010</v>
      </c>
      <c r="B341" t="str">
        <f>"44.50"</f>
        <v>44.50</v>
      </c>
      <c r="C341" t="str">
        <f>"44.82"</f>
        <v>44.82</v>
      </c>
    </row>
    <row r="342" spans="1:3" x14ac:dyDescent="0.25">
      <c r="A342" t="str">
        <f>"20/10/2010"</f>
        <v>20/10/2010</v>
      </c>
      <c r="B342" t="str">
        <f>"44.30"</f>
        <v>44.30</v>
      </c>
      <c r="C342" t="str">
        <f>"44.615"</f>
        <v>44.615</v>
      </c>
    </row>
    <row r="343" spans="1:3" x14ac:dyDescent="0.25">
      <c r="A343" t="str">
        <f>"21/10/2010"</f>
        <v>21/10/2010</v>
      </c>
      <c r="B343" t="str">
        <f>"44.39"</f>
        <v>44.39</v>
      </c>
      <c r="C343" t="str">
        <f>"44.76"</f>
        <v>44.76</v>
      </c>
    </row>
    <row r="344" spans="1:3" x14ac:dyDescent="0.25">
      <c r="A344" t="str">
        <f>"22/10/2010"</f>
        <v>22/10/2010</v>
      </c>
      <c r="B344" t="str">
        <f>"44.57"</f>
        <v>44.57</v>
      </c>
      <c r="C344" t="str">
        <f>"44.8525"</f>
        <v>44.8525</v>
      </c>
    </row>
    <row r="345" spans="1:3" x14ac:dyDescent="0.25">
      <c r="A345" t="str">
        <f>"25/10/2010"</f>
        <v>25/10/2010</v>
      </c>
      <c r="B345" t="str">
        <f>"44.435"</f>
        <v>44.435</v>
      </c>
      <c r="C345" t="str">
        <f>"44.7525"</f>
        <v>44.7525</v>
      </c>
    </row>
    <row r="346" spans="1:3" x14ac:dyDescent="0.25">
      <c r="A346" t="str">
        <f>"26/10/2010"</f>
        <v>26/10/2010</v>
      </c>
      <c r="B346" t="str">
        <f>"44.485"</f>
        <v>44.485</v>
      </c>
      <c r="C346" t="str">
        <f>"44.7875"</f>
        <v>44.7875</v>
      </c>
    </row>
    <row r="347" spans="1:3" x14ac:dyDescent="0.25">
      <c r="A347" t="str">
        <f>"27/10/2010"</f>
        <v>27/10/2010</v>
      </c>
      <c r="B347" t="str">
        <f>"44.56"</f>
        <v>44.56</v>
      </c>
      <c r="C347" t="str">
        <f>"44.885"</f>
        <v>44.885</v>
      </c>
    </row>
    <row r="348" spans="1:3" x14ac:dyDescent="0.25">
      <c r="A348" t="str">
        <f>"28/10/2010"</f>
        <v>28/10/2010</v>
      </c>
      <c r="B348" t="str">
        <f>"44.4875"</f>
        <v>44.4875</v>
      </c>
      <c r="C348" t="str">
        <f>"44.84"</f>
        <v>44.84</v>
      </c>
    </row>
    <row r="349" spans="1:3" x14ac:dyDescent="0.25">
      <c r="A349" t="str">
        <f>"29/10/2010"</f>
        <v>29/10/2010</v>
      </c>
      <c r="B349" t="str">
        <f>"44.57"</f>
        <v>44.57</v>
      </c>
      <c r="C349" t="str">
        <f>"44.91"</f>
        <v>44.91</v>
      </c>
    </row>
    <row r="350" spans="1:3" x14ac:dyDescent="0.25">
      <c r="A350" t="str">
        <f>"01/11/2010"</f>
        <v>01/11/2010</v>
      </c>
      <c r="B350" t="str">
        <f>"44.475"</f>
        <v>44.475</v>
      </c>
      <c r="C350" t="str">
        <f>"44.7875"</f>
        <v>44.7875</v>
      </c>
    </row>
    <row r="351" spans="1:3" x14ac:dyDescent="0.25">
      <c r="A351" t="str">
        <f>"02/11/2010"</f>
        <v>02/11/2010</v>
      </c>
      <c r="B351" t="str">
        <f>"44.4225"</f>
        <v>44.4225</v>
      </c>
      <c r="C351" t="str">
        <f>"44.6975"</f>
        <v>44.6975</v>
      </c>
    </row>
    <row r="352" spans="1:3" x14ac:dyDescent="0.25">
      <c r="A352" t="str">
        <f>"03/11/2010"</f>
        <v>03/11/2010</v>
      </c>
      <c r="B352" t="str">
        <f>"44.2625"</f>
        <v>44.2625</v>
      </c>
      <c r="C352" t="str">
        <f>"44.5425"</f>
        <v>44.5425</v>
      </c>
    </row>
    <row r="353" spans="1:3" x14ac:dyDescent="0.25">
      <c r="A353" t="str">
        <f>"04/11/2010"</f>
        <v>04/11/2010</v>
      </c>
      <c r="B353" t="str">
        <f>"44.315"</f>
        <v>44.315</v>
      </c>
      <c r="C353" t="str">
        <f>"44.57"</f>
        <v>44.57</v>
      </c>
    </row>
    <row r="354" spans="1:3" x14ac:dyDescent="0.25">
      <c r="A354" t="str">
        <f>"08/11/2010"</f>
        <v>08/11/2010</v>
      </c>
      <c r="B354" t="str">
        <f>"44.285"</f>
        <v>44.285</v>
      </c>
      <c r="C354" t="str">
        <f>"44.5425"</f>
        <v>44.5425</v>
      </c>
    </row>
    <row r="355" spans="1:3" x14ac:dyDescent="0.25">
      <c r="A355" t="str">
        <f>"09/11/2010"</f>
        <v>09/11/2010</v>
      </c>
      <c r="B355" t="str">
        <f>"44.41"</f>
        <v>44.41</v>
      </c>
      <c r="C355" t="str">
        <f>"44.6925"</f>
        <v>44.6925</v>
      </c>
    </row>
    <row r="356" spans="1:3" x14ac:dyDescent="0.25">
      <c r="A356" t="str">
        <f>"10/11/2010"</f>
        <v>10/11/2010</v>
      </c>
      <c r="B356" t="str">
        <f>"44.40"</f>
        <v>44.40</v>
      </c>
      <c r="C356" t="str">
        <f>"44.715"</f>
        <v>44.715</v>
      </c>
    </row>
    <row r="357" spans="1:3" x14ac:dyDescent="0.25">
      <c r="A357" t="str">
        <f>"11/11/2010"</f>
        <v>11/11/2010</v>
      </c>
      <c r="B357" t="str">
        <f>"44.29"</f>
        <v>44.29</v>
      </c>
      <c r="C357" t="str">
        <f>"44.595"</f>
        <v>44.595</v>
      </c>
    </row>
    <row r="358" spans="1:3" x14ac:dyDescent="0.25">
      <c r="A358" t="str">
        <f>"12/11/2010"</f>
        <v>12/11/2010</v>
      </c>
      <c r="B358" t="str">
        <f>"44.575"</f>
        <v>44.575</v>
      </c>
      <c r="C358" t="str">
        <f>"44.865"</f>
        <v>44.865</v>
      </c>
    </row>
    <row r="359" spans="1:3" x14ac:dyDescent="0.25">
      <c r="A359" t="str">
        <f>"15/11/2010"</f>
        <v>15/11/2010</v>
      </c>
      <c r="B359" t="str">
        <f>"45.05"</f>
        <v>45.05</v>
      </c>
      <c r="C359" t="str">
        <f>"45.35"</f>
        <v>45.35</v>
      </c>
    </row>
    <row r="360" spans="1:3" x14ac:dyDescent="0.25">
      <c r="A360" t="str">
        <f>"16/11/2010"</f>
        <v>16/11/2010</v>
      </c>
      <c r="B360" t="str">
        <f>"45.115"</f>
        <v>45.115</v>
      </c>
      <c r="C360" t="str">
        <f>"45.40"</f>
        <v>45.40</v>
      </c>
    </row>
    <row r="361" spans="1:3" x14ac:dyDescent="0.25">
      <c r="A361" t="str">
        <f>"18/11/2010"</f>
        <v>18/11/2010</v>
      </c>
      <c r="B361" t="str">
        <f>"45.535"</f>
        <v>45.535</v>
      </c>
      <c r="C361" t="str">
        <f>"45.795"</f>
        <v>45.795</v>
      </c>
    </row>
    <row r="362" spans="1:3" x14ac:dyDescent="0.25">
      <c r="A362" t="str">
        <f>"22/11/2010"</f>
        <v>22/11/2010</v>
      </c>
      <c r="B362" t="str">
        <f>"45.23"</f>
        <v>45.23</v>
      </c>
      <c r="C362" t="str">
        <f>"45.4975"</f>
        <v>45.4975</v>
      </c>
    </row>
    <row r="363" spans="1:3" x14ac:dyDescent="0.25">
      <c r="A363" t="str">
        <f>"23/11/2010"</f>
        <v>23/11/2010</v>
      </c>
      <c r="B363" t="str">
        <f>"45.59"</f>
        <v>45.59</v>
      </c>
      <c r="C363" t="str">
        <f>"45.85"</f>
        <v>45.85</v>
      </c>
    </row>
    <row r="364" spans="1:3" x14ac:dyDescent="0.25">
      <c r="A364" t="str">
        <f>"24/11/2010"</f>
        <v>24/11/2010</v>
      </c>
      <c r="B364" t="str">
        <f>"45.67"</f>
        <v>45.67</v>
      </c>
      <c r="C364" t="str">
        <f>"45.94"</f>
        <v>45.94</v>
      </c>
    </row>
    <row r="365" spans="1:3" x14ac:dyDescent="0.25">
      <c r="A365" t="str">
        <f>"25/11/2010"</f>
        <v>25/11/2010</v>
      </c>
      <c r="B365" t="str">
        <f>"45.70"</f>
        <v>45.70</v>
      </c>
      <c r="C365" t="str">
        <f>"45.945"</f>
        <v>45.945</v>
      </c>
    </row>
    <row r="366" spans="1:3" x14ac:dyDescent="0.25">
      <c r="A366" t="str">
        <f>"26/11/2010"</f>
        <v>26/11/2010</v>
      </c>
      <c r="B366" t="str">
        <f>"45.635"</f>
        <v>45.635</v>
      </c>
      <c r="C366" t="str">
        <f>"45.9175"</f>
        <v>45.9175</v>
      </c>
    </row>
    <row r="367" spans="1:3" x14ac:dyDescent="0.25">
      <c r="A367" t="str">
        <f>"29/11/2010"</f>
        <v>29/11/2010</v>
      </c>
      <c r="B367" t="str">
        <f>"45.78"</f>
        <v>45.78</v>
      </c>
      <c r="C367" t="str">
        <f>"46.07"</f>
        <v>46.07</v>
      </c>
    </row>
    <row r="368" spans="1:3" x14ac:dyDescent="0.25">
      <c r="A368" t="str">
        <f>"30/11/2010"</f>
        <v>30/11/2010</v>
      </c>
      <c r="B368" t="str">
        <f>"46.06"</f>
        <v>46.06</v>
      </c>
      <c r="C368" t="str">
        <f>"46.35"</f>
        <v>46.35</v>
      </c>
    </row>
    <row r="369" spans="1:3" x14ac:dyDescent="0.25">
      <c r="A369" t="str">
        <f>"01/12/2010"</f>
        <v>01/12/2010</v>
      </c>
      <c r="B369" t="str">
        <f>"45.745"</f>
        <v>45.745</v>
      </c>
      <c r="C369" t="str">
        <f>"46.00"</f>
        <v>46.00</v>
      </c>
    </row>
    <row r="370" spans="1:3" x14ac:dyDescent="0.25">
      <c r="A370" t="str">
        <f>"02/12/2010"</f>
        <v>02/12/2010</v>
      </c>
      <c r="B370" t="str">
        <f>"45.385"</f>
        <v>45.385</v>
      </c>
      <c r="C370" t="str">
        <f>"45.64"</f>
        <v>45.64</v>
      </c>
    </row>
    <row r="371" spans="1:3" x14ac:dyDescent="0.25">
      <c r="A371" t="str">
        <f>"03/12/2010"</f>
        <v>03/12/2010</v>
      </c>
      <c r="B371" t="str">
        <f>"45.165"</f>
        <v>45.165</v>
      </c>
      <c r="C371" t="str">
        <f>"45.44"</f>
        <v>45.44</v>
      </c>
    </row>
    <row r="372" spans="1:3" x14ac:dyDescent="0.25">
      <c r="A372" t="str">
        <f>"06/12/2010"</f>
        <v>06/12/2010</v>
      </c>
      <c r="B372" t="str">
        <f>"44.93"</f>
        <v>44.93</v>
      </c>
      <c r="C372" t="str">
        <f>"45.2125"</f>
        <v>45.2125</v>
      </c>
    </row>
    <row r="373" spans="1:3" x14ac:dyDescent="0.25">
      <c r="A373" t="str">
        <f>"07/12/2010"</f>
        <v>07/12/2010</v>
      </c>
      <c r="B373" t="str">
        <f>"44.85"</f>
        <v>44.85</v>
      </c>
      <c r="C373" t="str">
        <f>"45.14"</f>
        <v>45.14</v>
      </c>
    </row>
    <row r="374" spans="1:3" x14ac:dyDescent="0.25">
      <c r="A374" t="str">
        <f>"08/12/2010"</f>
        <v>08/12/2010</v>
      </c>
      <c r="B374" t="str">
        <f>"44.99"</f>
        <v>44.99</v>
      </c>
      <c r="C374" t="str">
        <f>"45.27"</f>
        <v>45.27</v>
      </c>
    </row>
    <row r="375" spans="1:3" x14ac:dyDescent="0.25">
      <c r="A375" t="str">
        <f>"09/12/2010"</f>
        <v>09/12/2010</v>
      </c>
      <c r="B375" t="str">
        <f>"45.08"</f>
        <v>45.08</v>
      </c>
      <c r="C375" t="str">
        <f>"45.35"</f>
        <v>45.35</v>
      </c>
    </row>
    <row r="376" spans="1:3" x14ac:dyDescent="0.25">
      <c r="A376" t="str">
        <f>"10/12/2010"</f>
        <v>10/12/2010</v>
      </c>
      <c r="B376" t="str">
        <f>"45.33"</f>
        <v>45.33</v>
      </c>
      <c r="C376" t="str">
        <f>"45.61"</f>
        <v>45.61</v>
      </c>
    </row>
    <row r="377" spans="1:3" x14ac:dyDescent="0.25">
      <c r="A377" t="str">
        <f>"13/12/2010"</f>
        <v>13/12/2010</v>
      </c>
      <c r="B377" t="str">
        <f>"45.17"</f>
        <v>45.17</v>
      </c>
      <c r="C377" t="str">
        <f>"45.4725"</f>
        <v>45.4725</v>
      </c>
    </row>
    <row r="378" spans="1:3" x14ac:dyDescent="0.25">
      <c r="A378" t="str">
        <f>"14/12/2010"</f>
        <v>14/12/2010</v>
      </c>
      <c r="B378" t="str">
        <f>"45.05"</f>
        <v>45.05</v>
      </c>
      <c r="C378" t="str">
        <f>"45.36"</f>
        <v>45.36</v>
      </c>
    </row>
    <row r="379" spans="1:3" x14ac:dyDescent="0.25">
      <c r="A379" t="str">
        <f>"15/12/2010"</f>
        <v>15/12/2010</v>
      </c>
      <c r="B379" t="str">
        <f>"45.29"</f>
        <v>45.29</v>
      </c>
      <c r="C379" t="str">
        <f>"45.5675"</f>
        <v>45.5675</v>
      </c>
    </row>
    <row r="380" spans="1:3" x14ac:dyDescent="0.25">
      <c r="A380" t="str">
        <f>"16/12/2010"</f>
        <v>16/12/2010</v>
      </c>
      <c r="B380" t="str">
        <f>"45.57"</f>
        <v>45.57</v>
      </c>
      <c r="C380" t="str">
        <f>"45.835"</f>
        <v>45.835</v>
      </c>
    </row>
    <row r="381" spans="1:3" x14ac:dyDescent="0.25">
      <c r="A381" t="str">
        <f>"20/12/2010"</f>
        <v>20/12/2010</v>
      </c>
      <c r="B381" t="str">
        <f>"45.54"</f>
        <v>45.54</v>
      </c>
      <c r="C381" t="str">
        <f>"45.81"</f>
        <v>45.81</v>
      </c>
    </row>
    <row r="382" spans="1:3" x14ac:dyDescent="0.25">
      <c r="A382" t="str">
        <f>"21/12/2010"</f>
        <v>21/12/2010</v>
      </c>
      <c r="B382" t="str">
        <f>"45.265"</f>
        <v>45.265</v>
      </c>
      <c r="C382" t="str">
        <f>"45.5375"</f>
        <v>45.5375</v>
      </c>
    </row>
    <row r="383" spans="1:3" x14ac:dyDescent="0.25">
      <c r="A383" t="str">
        <f>"22/12/2010"</f>
        <v>22/12/2010</v>
      </c>
      <c r="B383" t="str">
        <f>"45.22"</f>
        <v>45.22</v>
      </c>
      <c r="C383" t="str">
        <f>"45.4925"</f>
        <v>45.4925</v>
      </c>
    </row>
    <row r="384" spans="1:3" x14ac:dyDescent="0.25">
      <c r="A384" t="str">
        <f>"23/12/2010"</f>
        <v>23/12/2010</v>
      </c>
      <c r="B384" t="str">
        <f>"44.9975"</f>
        <v>44.9975</v>
      </c>
      <c r="C384" t="str">
        <f>"45.26"</f>
        <v>45.26</v>
      </c>
    </row>
    <row r="385" spans="1:3" x14ac:dyDescent="0.25">
      <c r="A385" t="str">
        <f>"24/12/2010"</f>
        <v>24/12/2010</v>
      </c>
      <c r="B385" t="str">
        <f>"45.195"</f>
        <v>45.195</v>
      </c>
      <c r="C385" t="str">
        <f>"45.45"</f>
        <v>45.45</v>
      </c>
    </row>
    <row r="386" spans="1:3" x14ac:dyDescent="0.25">
      <c r="A386" t="str">
        <f>"27/12/2010"</f>
        <v>27/12/2010</v>
      </c>
      <c r="B386" t="str">
        <f>"45.13"</f>
        <v>45.13</v>
      </c>
      <c r="C386" t="str">
        <f>"45.3975"</f>
        <v>45.3975</v>
      </c>
    </row>
    <row r="387" spans="1:3" x14ac:dyDescent="0.25">
      <c r="A387" t="str">
        <f>"28/12/2010"</f>
        <v>28/12/2010</v>
      </c>
      <c r="B387" t="str">
        <f>"45.19"</f>
        <v>45.19</v>
      </c>
      <c r="C387" t="str">
        <f>"45.455"</f>
        <v>45.455</v>
      </c>
    </row>
    <row r="388" spans="1:3" x14ac:dyDescent="0.25">
      <c r="A388" t="str">
        <f>"29/12/2010"</f>
        <v>29/12/2010</v>
      </c>
      <c r="B388" t="str">
        <f>"45.14"</f>
        <v>45.14</v>
      </c>
      <c r="C388" t="str">
        <f>"45.40"</f>
        <v>45.40</v>
      </c>
    </row>
    <row r="389" spans="1:3" x14ac:dyDescent="0.25">
      <c r="A389" t="str">
        <f>"30/12/2010"</f>
        <v>30/12/2010</v>
      </c>
      <c r="B389" t="str">
        <f>"44.91"</f>
        <v>44.91</v>
      </c>
      <c r="C389" t="str">
        <f>"45.155"</f>
        <v>45.155</v>
      </c>
    </row>
    <row r="390" spans="1:3" x14ac:dyDescent="0.25">
      <c r="A390" t="str">
        <f>"31/12/2010"</f>
        <v>31/12/2010</v>
      </c>
      <c r="B390" t="str">
        <f>"44.86"</f>
        <v>44.86</v>
      </c>
      <c r="C390" t="str">
        <f>"45.1075"</f>
        <v>45.1075</v>
      </c>
    </row>
    <row r="391" spans="1:3" x14ac:dyDescent="0.25">
      <c r="A391" t="str">
        <f>"03/01/2011"</f>
        <v>03/01/2011</v>
      </c>
      <c r="B391" t="str">
        <f>"44.74"</f>
        <v>44.74</v>
      </c>
      <c r="C391" t="str">
        <f>"45.0125"</f>
        <v>45.0125</v>
      </c>
    </row>
    <row r="392" spans="1:3" x14ac:dyDescent="0.25">
      <c r="A392" t="str">
        <f>"04/01/2011"</f>
        <v>04/01/2011</v>
      </c>
      <c r="B392" t="str">
        <f>"44.7175"</f>
        <v>44.7175</v>
      </c>
      <c r="C392" t="str">
        <f>"44.9875"</f>
        <v>44.9875</v>
      </c>
    </row>
    <row r="393" spans="1:3" x14ac:dyDescent="0.25">
      <c r="A393" t="str">
        <f>"05/01/2011"</f>
        <v>05/01/2011</v>
      </c>
      <c r="B393" t="str">
        <f>"45.155"</f>
        <v>45.155</v>
      </c>
      <c r="C393" t="str">
        <f>"45.3975"</f>
        <v>45.3975</v>
      </c>
    </row>
    <row r="394" spans="1:3" x14ac:dyDescent="0.25">
      <c r="A394" t="str">
        <f>"06/01/2011"</f>
        <v>06/01/2011</v>
      </c>
      <c r="B394" t="str">
        <f>"45.4125"</f>
        <v>45.4125</v>
      </c>
      <c r="C394" t="str">
        <f>"45.6675"</f>
        <v>45.6675</v>
      </c>
    </row>
    <row r="395" spans="1:3" x14ac:dyDescent="0.25">
      <c r="A395" t="str">
        <f>"07/01/2011"</f>
        <v>07/01/2011</v>
      </c>
      <c r="B395" t="str">
        <f>"45.34"</f>
        <v>45.34</v>
      </c>
      <c r="C395" t="str">
        <f>"45.5925"</f>
        <v>45.5925</v>
      </c>
    </row>
    <row r="396" spans="1:3" x14ac:dyDescent="0.25">
      <c r="A396" t="str">
        <f>"10/01/2011"</f>
        <v>10/01/2011</v>
      </c>
      <c r="B396" t="str">
        <f>"45.37"</f>
        <v>45.37</v>
      </c>
      <c r="C396" t="str">
        <f>"45.645"</f>
        <v>45.645</v>
      </c>
    </row>
    <row r="397" spans="1:3" x14ac:dyDescent="0.25">
      <c r="A397" t="str">
        <f>"11/01/2011"</f>
        <v>11/01/2011</v>
      </c>
      <c r="B397" t="str">
        <f>"45.365"</f>
        <v>45.365</v>
      </c>
      <c r="C397" t="str">
        <f>"45.63"</f>
        <v>45.63</v>
      </c>
    </row>
    <row r="398" spans="1:3" x14ac:dyDescent="0.25">
      <c r="A398" t="str">
        <f>"12/01/2011"</f>
        <v>12/01/2011</v>
      </c>
      <c r="B398" t="str">
        <f>"45.14"</f>
        <v>45.14</v>
      </c>
      <c r="C398" t="str">
        <f>"45.40"</f>
        <v>45.40</v>
      </c>
    </row>
    <row r="399" spans="1:3" x14ac:dyDescent="0.25">
      <c r="A399" t="str">
        <f>"13/01/2011"</f>
        <v>13/01/2011</v>
      </c>
      <c r="B399" t="str">
        <f>"45.08"</f>
        <v>45.08</v>
      </c>
      <c r="C399" t="str">
        <f>"45.3425"</f>
        <v>45.3425</v>
      </c>
    </row>
    <row r="400" spans="1:3" x14ac:dyDescent="0.25">
      <c r="A400" t="str">
        <f>"14/01/2011"</f>
        <v>14/01/2011</v>
      </c>
      <c r="B400" t="str">
        <f>"45.30"</f>
        <v>45.30</v>
      </c>
      <c r="C400" t="str">
        <f>"45.5875"</f>
        <v>45.5875</v>
      </c>
    </row>
    <row r="401" spans="1:3" x14ac:dyDescent="0.25">
      <c r="A401" t="str">
        <f>"17/01/2011"</f>
        <v>17/01/2011</v>
      </c>
      <c r="B401" t="str">
        <f>"45.5125"</f>
        <v>45.5125</v>
      </c>
      <c r="C401" t="str">
        <f>"45.7925"</f>
        <v>45.7925</v>
      </c>
    </row>
    <row r="402" spans="1:3" x14ac:dyDescent="0.25">
      <c r="A402" t="str">
        <f>"18/01/2011"</f>
        <v>18/01/2011</v>
      </c>
      <c r="B402" t="str">
        <f>"45.4725"</f>
        <v>45.4725</v>
      </c>
      <c r="C402" t="str">
        <f>"45.755"</f>
        <v>45.755</v>
      </c>
    </row>
    <row r="403" spans="1:3" x14ac:dyDescent="0.25">
      <c r="A403" t="str">
        <f>"19/01/2011"</f>
        <v>19/01/2011</v>
      </c>
      <c r="B403" t="str">
        <f>"45.39"</f>
        <v>45.39</v>
      </c>
      <c r="C403" t="str">
        <f>"45.66"</f>
        <v>45.66</v>
      </c>
    </row>
    <row r="404" spans="1:3" x14ac:dyDescent="0.25">
      <c r="A404" t="str">
        <f>"20/01/2011"</f>
        <v>20/01/2011</v>
      </c>
      <c r="B404" t="str">
        <f>"45.58"</f>
        <v>45.58</v>
      </c>
      <c r="C404" t="str">
        <f>"45.8625"</f>
        <v>45.8625</v>
      </c>
    </row>
    <row r="405" spans="1:3" x14ac:dyDescent="0.25">
      <c r="A405" t="str">
        <f>"21/01/2011"</f>
        <v>21/01/2011</v>
      </c>
      <c r="B405" t="str">
        <f>"45.6675"</f>
        <v>45.6675</v>
      </c>
      <c r="C405" t="str">
        <f>"45.93"</f>
        <v>45.93</v>
      </c>
    </row>
    <row r="406" spans="1:3" x14ac:dyDescent="0.25">
      <c r="A406" t="str">
        <f>"24/01/2011"</f>
        <v>24/01/2011</v>
      </c>
      <c r="B406" t="str">
        <f>"45.60"</f>
        <v>45.60</v>
      </c>
      <c r="C406" t="str">
        <f>"45.8775"</f>
        <v>45.8775</v>
      </c>
    </row>
    <row r="407" spans="1:3" x14ac:dyDescent="0.25">
      <c r="A407" t="str">
        <f>"25/01/2011"</f>
        <v>25/01/2011</v>
      </c>
      <c r="B407" t="str">
        <f>"45.5075"</f>
        <v>45.5075</v>
      </c>
      <c r="C407" t="str">
        <f>"45.7725"</f>
        <v>45.7725</v>
      </c>
    </row>
    <row r="408" spans="1:3" x14ac:dyDescent="0.25">
      <c r="A408" t="str">
        <f>"27/01/2011"</f>
        <v>27/01/2011</v>
      </c>
      <c r="B408" t="str">
        <f>"45.585"</f>
        <v>45.585</v>
      </c>
      <c r="C408" t="str">
        <f>"45.8175"</f>
        <v>45.8175</v>
      </c>
    </row>
    <row r="409" spans="1:3" x14ac:dyDescent="0.25">
      <c r="A409" t="str">
        <f>"28/01/2011"</f>
        <v>28/01/2011</v>
      </c>
      <c r="B409" t="str">
        <f>"45.7175"</f>
        <v>45.7175</v>
      </c>
      <c r="C409" t="str">
        <f>"45.9525"</f>
        <v>45.9525</v>
      </c>
    </row>
    <row r="410" spans="1:3" x14ac:dyDescent="0.25">
      <c r="A410" t="str">
        <f>"31/01/2011"</f>
        <v>31/01/2011</v>
      </c>
      <c r="B410" t="str">
        <f>"46.02"</f>
        <v>46.02</v>
      </c>
      <c r="C410" t="str">
        <f>"46.2675"</f>
        <v>46.2675</v>
      </c>
    </row>
    <row r="411" spans="1:3" x14ac:dyDescent="0.25">
      <c r="A411" t="str">
        <f>"01/02/2011"</f>
        <v>01/02/2011</v>
      </c>
      <c r="B411" t="str">
        <f>"45.845"</f>
        <v>45.845</v>
      </c>
      <c r="C411" t="str">
        <f>"46.0875"</f>
        <v>46.0875</v>
      </c>
    </row>
    <row r="412" spans="1:3" x14ac:dyDescent="0.25">
      <c r="A412" t="str">
        <f>"02/02/2011"</f>
        <v>02/02/2011</v>
      </c>
      <c r="B412" t="str">
        <f>"45.605"</f>
        <v>45.605</v>
      </c>
      <c r="C412" t="str">
        <f>"45.85"</f>
        <v>45.85</v>
      </c>
    </row>
    <row r="413" spans="1:3" x14ac:dyDescent="0.25">
      <c r="A413" t="str">
        <f>"03/02/2011"</f>
        <v>03/02/2011</v>
      </c>
      <c r="B413" t="str">
        <f>"45.645"</f>
        <v>45.645</v>
      </c>
      <c r="C413" t="str">
        <f>"45.875"</f>
        <v>45.875</v>
      </c>
    </row>
    <row r="414" spans="1:3" x14ac:dyDescent="0.25">
      <c r="A414" t="str">
        <f>"04/02/2011"</f>
        <v>04/02/2011</v>
      </c>
      <c r="B414" t="str">
        <f>"45.64"</f>
        <v>45.64</v>
      </c>
      <c r="C414" t="str">
        <f>"45.87"</f>
        <v>45.87</v>
      </c>
    </row>
    <row r="415" spans="1:3" x14ac:dyDescent="0.25">
      <c r="A415" t="str">
        <f>"07/02/2011"</f>
        <v>07/02/2011</v>
      </c>
      <c r="B415" t="str">
        <f>"45.585"</f>
        <v>45.585</v>
      </c>
      <c r="C415" t="str">
        <f>"45.82"</f>
        <v>45.82</v>
      </c>
    </row>
    <row r="416" spans="1:3" x14ac:dyDescent="0.25">
      <c r="A416" t="str">
        <f>"08/02/2011"</f>
        <v>08/02/2011</v>
      </c>
      <c r="B416" t="str">
        <f>"45.37"</f>
        <v>45.37</v>
      </c>
      <c r="C416" t="str">
        <f>"45.595"</f>
        <v>45.595</v>
      </c>
    </row>
    <row r="417" spans="1:3" x14ac:dyDescent="0.25">
      <c r="A417" t="str">
        <f>"09/02/2011"</f>
        <v>09/02/2011</v>
      </c>
      <c r="B417" t="str">
        <f>"45.36"</f>
        <v>45.36</v>
      </c>
      <c r="C417" t="str">
        <f>"45.5825"</f>
        <v>45.5825</v>
      </c>
    </row>
    <row r="418" spans="1:3" x14ac:dyDescent="0.25">
      <c r="A418" t="str">
        <f>"10/02/2011"</f>
        <v>10/02/2011</v>
      </c>
      <c r="B418" t="str">
        <f>"45.57"</f>
        <v>45.57</v>
      </c>
      <c r="C418" t="str">
        <f>"45.8075"</f>
        <v>45.8075</v>
      </c>
    </row>
    <row r="419" spans="1:3" x14ac:dyDescent="0.25">
      <c r="A419" t="str">
        <f>"11/02/2011"</f>
        <v>11/02/2011</v>
      </c>
      <c r="B419" t="str">
        <f>"45.755"</f>
        <v>45.755</v>
      </c>
      <c r="C419" t="str">
        <f>"45.9825"</f>
        <v>45.9825</v>
      </c>
    </row>
    <row r="420" spans="1:3" x14ac:dyDescent="0.25">
      <c r="A420" t="str">
        <f>"14/02/2011"</f>
        <v>14/02/2011</v>
      </c>
      <c r="B420" t="str">
        <f>"45.575"</f>
        <v>45.575</v>
      </c>
      <c r="C420" t="str">
        <f>"45.8075"</f>
        <v>45.8075</v>
      </c>
    </row>
    <row r="421" spans="1:3" x14ac:dyDescent="0.25">
      <c r="A421" t="str">
        <f>"15/02/2011"</f>
        <v>15/02/2011</v>
      </c>
      <c r="B421" t="str">
        <f>"45.425"</f>
        <v>45.425</v>
      </c>
      <c r="C421" t="str">
        <f>"45.655"</f>
        <v>45.655</v>
      </c>
    </row>
    <row r="422" spans="1:3" x14ac:dyDescent="0.25">
      <c r="A422" t="str">
        <f>"17/02/2011"</f>
        <v>17/02/2011</v>
      </c>
      <c r="B422" t="str">
        <f>"45.425"</f>
        <v>45.425</v>
      </c>
      <c r="C422" t="str">
        <f>"45.67"</f>
        <v>45.67</v>
      </c>
    </row>
    <row r="423" spans="1:3" x14ac:dyDescent="0.25">
      <c r="A423" t="str">
        <f>"18/02/2011"</f>
        <v>18/02/2011</v>
      </c>
      <c r="B423" t="str">
        <f>"45.20"</f>
        <v>45.20</v>
      </c>
      <c r="C423" t="str">
        <f>"45.4375"</f>
        <v>45.4375</v>
      </c>
    </row>
    <row r="424" spans="1:3" x14ac:dyDescent="0.25">
      <c r="A424" t="str">
        <f>"21/02/2011"</f>
        <v>21/02/2011</v>
      </c>
      <c r="B424" t="str">
        <f>"45.1475"</f>
        <v>45.1475</v>
      </c>
      <c r="C424" t="str">
        <f>"45.395"</f>
        <v>45.395</v>
      </c>
    </row>
    <row r="425" spans="1:3" x14ac:dyDescent="0.25">
      <c r="A425" t="str">
        <f>"22/02/2011"</f>
        <v>22/02/2011</v>
      </c>
      <c r="B425" t="str">
        <f>"45.1925"</f>
        <v>45.1925</v>
      </c>
      <c r="C425" t="str">
        <f>"45.4325"</f>
        <v>45.4325</v>
      </c>
    </row>
    <row r="426" spans="1:3" x14ac:dyDescent="0.25">
      <c r="A426" t="str">
        <f>"23/02/2011"</f>
        <v>23/02/2011</v>
      </c>
      <c r="B426" t="str">
        <f>"45.235"</f>
        <v>45.235</v>
      </c>
      <c r="C426" t="str">
        <f>"45.4825"</f>
        <v>45.4825</v>
      </c>
    </row>
    <row r="427" spans="1:3" x14ac:dyDescent="0.25">
      <c r="A427" t="str">
        <f>"24/02/2011"</f>
        <v>24/02/2011</v>
      </c>
      <c r="B427" t="str">
        <f>"45.325"</f>
        <v>45.325</v>
      </c>
      <c r="C427" t="str">
        <f>"45.60"</f>
        <v>45.60</v>
      </c>
    </row>
    <row r="428" spans="1:3" x14ac:dyDescent="0.25">
      <c r="A428" t="str">
        <f>"25/02/2011"</f>
        <v>25/02/2011</v>
      </c>
      <c r="B428" t="str">
        <f>"45.395"</f>
        <v>45.395</v>
      </c>
      <c r="C428" t="str">
        <f>"45.705"</f>
        <v>45.705</v>
      </c>
    </row>
    <row r="429" spans="1:3" x14ac:dyDescent="0.25">
      <c r="A429" t="str">
        <f>"28/02/2011"</f>
        <v>28/02/2011</v>
      </c>
      <c r="B429" t="str">
        <f>"45.2975"</f>
        <v>45.2975</v>
      </c>
      <c r="C429" t="str">
        <f>"45.59"</f>
        <v>45.59</v>
      </c>
    </row>
    <row r="430" spans="1:3" x14ac:dyDescent="0.25">
      <c r="A430" t="str">
        <f>"01/03/2011"</f>
        <v>01/03/2011</v>
      </c>
      <c r="B430" t="str">
        <f>"45.14"</f>
        <v>45.14</v>
      </c>
      <c r="C430" t="str">
        <f>"45.42"</f>
        <v>45.42</v>
      </c>
    </row>
    <row r="431" spans="1:3" x14ac:dyDescent="0.25">
      <c r="A431" t="str">
        <f>"03/03/2011"</f>
        <v>03/03/2011</v>
      </c>
      <c r="B431" t="str">
        <f>"45.03"</f>
        <v>45.03</v>
      </c>
      <c r="C431" t="str">
        <f>"45.2925"</f>
        <v>45.2925</v>
      </c>
    </row>
    <row r="432" spans="1:3" x14ac:dyDescent="0.25">
      <c r="A432" t="str">
        <f>"04/03/2011"</f>
        <v>04/03/2011</v>
      </c>
      <c r="B432" t="str">
        <f>"44.99"</f>
        <v>44.99</v>
      </c>
      <c r="C432" t="str">
        <f>"45.25"</f>
        <v>45.25</v>
      </c>
    </row>
    <row r="433" spans="1:3" x14ac:dyDescent="0.25">
      <c r="A433" t="str">
        <f>"07/03/2011"</f>
        <v>07/03/2011</v>
      </c>
      <c r="B433" t="str">
        <f>"45.13"</f>
        <v>45.13</v>
      </c>
      <c r="C433" t="str">
        <f>"45.42"</f>
        <v>45.42</v>
      </c>
    </row>
    <row r="434" spans="1:3" x14ac:dyDescent="0.25">
      <c r="A434" t="str">
        <f>"08/03/2011"</f>
        <v>08/03/2011</v>
      </c>
      <c r="B434" t="str">
        <f>"45.0375"</f>
        <v>45.0375</v>
      </c>
      <c r="C434" t="str">
        <f>"45.32"</f>
        <v>45.32</v>
      </c>
    </row>
    <row r="435" spans="1:3" x14ac:dyDescent="0.25">
      <c r="A435" t="str">
        <f>"09/03/2011"</f>
        <v>09/03/2011</v>
      </c>
      <c r="B435" t="str">
        <f>"45.0325"</f>
        <v>45.0325</v>
      </c>
      <c r="C435" t="str">
        <f>"45.3025"</f>
        <v>45.3025</v>
      </c>
    </row>
    <row r="436" spans="1:3" x14ac:dyDescent="0.25">
      <c r="A436" t="str">
        <f>"10/03/2011"</f>
        <v>10/03/2011</v>
      </c>
      <c r="B436" t="str">
        <f>"45.11"</f>
        <v>45.11</v>
      </c>
      <c r="C436" t="str">
        <f>"45.40"</f>
        <v>45.40</v>
      </c>
    </row>
    <row r="437" spans="1:3" x14ac:dyDescent="0.25">
      <c r="A437" t="str">
        <f>"11/03/2011"</f>
        <v>11/03/2011</v>
      </c>
      <c r="B437" t="str">
        <f>"45.225"</f>
        <v>45.225</v>
      </c>
      <c r="C437" t="str">
        <f>"45.52"</f>
        <v>45.52</v>
      </c>
    </row>
    <row r="438" spans="1:3" x14ac:dyDescent="0.25">
      <c r="A438" t="str">
        <f>"14/03/2011"</f>
        <v>14/03/2011</v>
      </c>
      <c r="B438" t="str">
        <f>"45.21"</f>
        <v>45.21</v>
      </c>
      <c r="C438" t="str">
        <f>"45.54"</f>
        <v>45.54</v>
      </c>
    </row>
    <row r="439" spans="1:3" x14ac:dyDescent="0.25">
      <c r="A439" t="str">
        <f>"15/03/2011"</f>
        <v>15/03/2011</v>
      </c>
      <c r="B439" t="str">
        <f>"45.34"</f>
        <v>45.34</v>
      </c>
      <c r="C439" t="str">
        <f>"45.66"</f>
        <v>45.66</v>
      </c>
    </row>
    <row r="440" spans="1:3" x14ac:dyDescent="0.25">
      <c r="A440" t="str">
        <f>"16/03/2011"</f>
        <v>16/03/2011</v>
      </c>
      <c r="B440" t="str">
        <f>"45.235"</f>
        <v>45.235</v>
      </c>
      <c r="C440" t="str">
        <f>"45.5575"</f>
        <v>45.5575</v>
      </c>
    </row>
    <row r="441" spans="1:3" x14ac:dyDescent="0.25">
      <c r="A441" t="str">
        <f>"17/03/2011"</f>
        <v>17/03/2011</v>
      </c>
      <c r="B441" t="str">
        <f>"45.27"</f>
        <v>45.27</v>
      </c>
      <c r="C441" t="str">
        <f>"45.6275"</f>
        <v>45.6275</v>
      </c>
    </row>
    <row r="442" spans="1:3" x14ac:dyDescent="0.25">
      <c r="A442" t="str">
        <f>"18/03/2011"</f>
        <v>18/03/2011</v>
      </c>
      <c r="B442" t="str">
        <f>"45.095"</f>
        <v>45.095</v>
      </c>
      <c r="C442" t="str">
        <f>"45.46"</f>
        <v>45.46</v>
      </c>
    </row>
    <row r="443" spans="1:3" x14ac:dyDescent="0.25">
      <c r="A443" t="str">
        <f>"21/03/2011"</f>
        <v>21/03/2011</v>
      </c>
      <c r="B443" t="str">
        <f>"45.05"</f>
        <v>45.05</v>
      </c>
      <c r="C443" t="str">
        <f>"45.3975"</f>
        <v>45.3975</v>
      </c>
    </row>
    <row r="444" spans="1:3" x14ac:dyDescent="0.25">
      <c r="A444" t="str">
        <f>"22/03/2011"</f>
        <v>22/03/2011</v>
      </c>
      <c r="B444" t="str">
        <f>"45.015"</f>
        <v>45.015</v>
      </c>
      <c r="C444" t="str">
        <f>"45.3525"</f>
        <v>45.3525</v>
      </c>
    </row>
    <row r="445" spans="1:3" x14ac:dyDescent="0.25">
      <c r="A445" t="str">
        <f>"23/03/2011"</f>
        <v>23/03/2011</v>
      </c>
      <c r="B445" t="str">
        <f>"44.9875"</f>
        <v>44.9875</v>
      </c>
      <c r="C445" t="str">
        <f>"45.30"</f>
        <v>45.30</v>
      </c>
    </row>
    <row r="446" spans="1:3" x14ac:dyDescent="0.25">
      <c r="A446" t="str">
        <f>"24/03/2011"</f>
        <v>24/03/2011</v>
      </c>
      <c r="B446" t="str">
        <f>"44.815"</f>
        <v>44.815</v>
      </c>
      <c r="C446" t="str">
        <f>"45.1425"</f>
        <v>45.1425</v>
      </c>
    </row>
    <row r="447" spans="1:3" x14ac:dyDescent="0.25">
      <c r="A447" t="str">
        <f>"25/03/2011"</f>
        <v>25/03/2011</v>
      </c>
      <c r="B447" t="str">
        <f>"44.6475"</f>
        <v>44.6475</v>
      </c>
      <c r="C447" t="str">
        <f>"44.9775"</f>
        <v>44.9775</v>
      </c>
    </row>
    <row r="448" spans="1:3" x14ac:dyDescent="0.25">
      <c r="A448" t="str">
        <f>"28/03/2011"</f>
        <v>28/03/2011</v>
      </c>
      <c r="B448" t="str">
        <f>"44.765"</f>
        <v>44.765</v>
      </c>
      <c r="C448" t="str">
        <f>"45.08"</f>
        <v>45.08</v>
      </c>
    </row>
    <row r="449" spans="1:3" x14ac:dyDescent="0.25">
      <c r="A449" t="str">
        <f>"29/03/2011"</f>
        <v>29/03/2011</v>
      </c>
      <c r="B449" t="str">
        <f>"44.745"</f>
        <v>44.745</v>
      </c>
      <c r="C449" t="str">
        <f>"45.04"</f>
        <v>45.04</v>
      </c>
    </row>
    <row r="450" spans="1:3" x14ac:dyDescent="0.25">
      <c r="A450" t="str">
        <f>"30/03/2011"</f>
        <v>30/03/2011</v>
      </c>
      <c r="B450" t="str">
        <f>"44.735"</f>
        <v>44.735</v>
      </c>
      <c r="C450" t="str">
        <f>"45.01"</f>
        <v>45.01</v>
      </c>
    </row>
    <row r="451" spans="1:3" x14ac:dyDescent="0.25">
      <c r="A451" t="str">
        <f>"31/03/2011"</f>
        <v>31/03/2011</v>
      </c>
      <c r="B451" t="str">
        <f>"44.7225"</f>
        <v>44.7225</v>
      </c>
      <c r="C451" t="str">
        <f>"44.9875"</f>
        <v>44.9875</v>
      </c>
    </row>
    <row r="452" spans="1:3" x14ac:dyDescent="0.25">
      <c r="A452" t="str">
        <f>"01/04/2011"</f>
        <v>01/04/2011</v>
      </c>
      <c r="B452" t="str">
        <f>"44.59"</f>
        <v>44.59</v>
      </c>
      <c r="C452" t="str">
        <f>"44.845"</f>
        <v>44.845</v>
      </c>
    </row>
    <row r="453" spans="1:3" x14ac:dyDescent="0.25">
      <c r="A453" t="str">
        <f>"05/04/2011"</f>
        <v>05/04/2011</v>
      </c>
      <c r="B453" t="str">
        <f>"44.45"</f>
        <v>44.45</v>
      </c>
      <c r="C453" t="str">
        <f>"44.7275"</f>
        <v>44.7275</v>
      </c>
    </row>
    <row r="454" spans="1:3" x14ac:dyDescent="0.25">
      <c r="A454" t="str">
        <f>"06/04/2011"</f>
        <v>06/04/2011</v>
      </c>
      <c r="B454" t="str">
        <f>"44.27"</f>
        <v>44.27</v>
      </c>
      <c r="C454" t="str">
        <f>"44.5425"</f>
        <v>44.5425</v>
      </c>
    </row>
    <row r="455" spans="1:3" x14ac:dyDescent="0.25">
      <c r="A455" t="str">
        <f>"07/04/2011"</f>
        <v>07/04/2011</v>
      </c>
      <c r="B455" t="str">
        <f>"44.22"</f>
        <v>44.22</v>
      </c>
      <c r="C455" t="str">
        <f>"44.4925"</f>
        <v>44.4925</v>
      </c>
    </row>
    <row r="456" spans="1:3" x14ac:dyDescent="0.25">
      <c r="A456" t="str">
        <f>"08/04/2011"</f>
        <v>08/04/2011</v>
      </c>
      <c r="B456" t="str">
        <f>"44.03"</f>
        <v>44.03</v>
      </c>
      <c r="C456" t="str">
        <f>"44.30"</f>
        <v>44.30</v>
      </c>
    </row>
    <row r="457" spans="1:3" x14ac:dyDescent="0.25">
      <c r="A457" t="str">
        <f>"11/04/2011"</f>
        <v>11/04/2011</v>
      </c>
      <c r="B457" t="str">
        <f>"44.155"</f>
        <v>44.155</v>
      </c>
      <c r="C457" t="str">
        <f>"44.4375"</f>
        <v>44.4375</v>
      </c>
    </row>
    <row r="458" spans="1:3" x14ac:dyDescent="0.25">
      <c r="A458" t="str">
        <f>"13/04/2011"</f>
        <v>13/04/2011</v>
      </c>
      <c r="B458" t="str">
        <f>"44.49"</f>
        <v>44.49</v>
      </c>
      <c r="C458" t="str">
        <f>"44.77"</f>
        <v>44.77</v>
      </c>
    </row>
    <row r="459" spans="1:3" x14ac:dyDescent="0.25">
      <c r="A459" t="str">
        <f>"15/04/2011"</f>
        <v>15/04/2011</v>
      </c>
      <c r="B459" t="str">
        <f>"44.50"</f>
        <v>44.50</v>
      </c>
      <c r="C459" t="str">
        <f>"44.7675"</f>
        <v>44.7675</v>
      </c>
    </row>
    <row r="460" spans="1:3" x14ac:dyDescent="0.25">
      <c r="A460" t="str">
        <f>"18/04/2011"</f>
        <v>18/04/2011</v>
      </c>
      <c r="B460" t="str">
        <f>"44.29"</f>
        <v>44.29</v>
      </c>
      <c r="C460" t="str">
        <f>"44.565"</f>
        <v>44.565</v>
      </c>
    </row>
    <row r="461" spans="1:3" x14ac:dyDescent="0.25">
      <c r="A461" t="str">
        <f>"19/04/2011"</f>
        <v>19/04/2011</v>
      </c>
      <c r="B461" t="str">
        <f>"44.665"</f>
        <v>44.665</v>
      </c>
      <c r="C461" t="str">
        <f>"44.9575"</f>
        <v>44.9575</v>
      </c>
    </row>
    <row r="462" spans="1:3" x14ac:dyDescent="0.25">
      <c r="A462" t="str">
        <f>"20/04/2011"</f>
        <v>20/04/2011</v>
      </c>
      <c r="B462" t="str">
        <f>"44.415"</f>
        <v>44.415</v>
      </c>
      <c r="C462" t="str">
        <f>"44.695"</f>
        <v>44.695</v>
      </c>
    </row>
    <row r="463" spans="1:3" x14ac:dyDescent="0.25">
      <c r="A463" t="str">
        <f>"21/04/2011"</f>
        <v>21/04/2011</v>
      </c>
      <c r="B463" t="str">
        <f>"44.32"</f>
        <v>44.32</v>
      </c>
      <c r="C463" t="str">
        <f>"44.595"</f>
        <v>44.595</v>
      </c>
    </row>
    <row r="464" spans="1:3" x14ac:dyDescent="0.25">
      <c r="A464" t="str">
        <f>"25/04/2011"</f>
        <v>25/04/2011</v>
      </c>
      <c r="B464" t="str">
        <f>"44.48"</f>
        <v>44.48</v>
      </c>
      <c r="C464" t="str">
        <f>"44.755"</f>
        <v>44.755</v>
      </c>
    </row>
    <row r="465" spans="1:3" x14ac:dyDescent="0.25">
      <c r="A465" t="str">
        <f>"26/04/2011"</f>
        <v>26/04/2011</v>
      </c>
      <c r="B465" t="str">
        <f>"44.605"</f>
        <v>44.605</v>
      </c>
      <c r="C465" t="str">
        <f>"44.90"</f>
        <v>44.90</v>
      </c>
    </row>
    <row r="466" spans="1:3" x14ac:dyDescent="0.25">
      <c r="A466" t="str">
        <f>"27/04/2011"</f>
        <v>27/04/2011</v>
      </c>
      <c r="B466" t="str">
        <f>"44.4325"</f>
        <v>44.4325</v>
      </c>
      <c r="C466" t="str">
        <f>"44.7225"</f>
        <v>44.7225</v>
      </c>
    </row>
    <row r="467" spans="1:3" x14ac:dyDescent="0.25">
      <c r="A467" t="str">
        <f>"28/04/2011"</f>
        <v>28/04/2011</v>
      </c>
      <c r="B467" t="str">
        <f>"44.2875"</f>
        <v>44.2875</v>
      </c>
      <c r="C467" t="str">
        <f>"44.5975"</f>
        <v>44.5975</v>
      </c>
    </row>
    <row r="468" spans="1:3" x14ac:dyDescent="0.25">
      <c r="A468" t="str">
        <f>"29/04/2011"</f>
        <v>29/04/2011</v>
      </c>
      <c r="B468" t="str">
        <f>"44.42"</f>
        <v>44.42</v>
      </c>
      <c r="C468" t="str">
        <f>"44.70"</f>
        <v>44.70</v>
      </c>
    </row>
    <row r="469" spans="1:3" x14ac:dyDescent="0.25">
      <c r="A469" t="str">
        <f>"02/05/2011"</f>
        <v>02/05/2011</v>
      </c>
      <c r="B469" t="str">
        <f>"44.335"</f>
        <v>44.335</v>
      </c>
      <c r="C469" t="str">
        <f>"44.6275"</f>
        <v>44.6275</v>
      </c>
    </row>
    <row r="470" spans="1:3" x14ac:dyDescent="0.25">
      <c r="A470" t="str">
        <f>"03/05/2011"</f>
        <v>03/05/2011</v>
      </c>
      <c r="B470" t="str">
        <f>"44.4125"</f>
        <v>44.4125</v>
      </c>
      <c r="C470" t="str">
        <f>"44.705"</f>
        <v>44.705</v>
      </c>
    </row>
    <row r="471" spans="1:3" x14ac:dyDescent="0.25">
      <c r="A471" t="str">
        <f>"04/05/2011"</f>
        <v>04/05/2011</v>
      </c>
      <c r="B471" t="str">
        <f>"44.5725"</f>
        <v>44.5725</v>
      </c>
      <c r="C471" t="str">
        <f>"44.8475"</f>
        <v>44.8475</v>
      </c>
    </row>
    <row r="472" spans="1:3" x14ac:dyDescent="0.25">
      <c r="A472" t="str">
        <f>"05/05/2011"</f>
        <v>05/05/2011</v>
      </c>
      <c r="B472" t="str">
        <f>"44.54"</f>
        <v>44.54</v>
      </c>
      <c r="C472" t="str">
        <f>"44.8225"</f>
        <v>44.8225</v>
      </c>
    </row>
    <row r="473" spans="1:3" x14ac:dyDescent="0.25">
      <c r="A473" t="str">
        <f>"06/05/2011"</f>
        <v>06/05/2011</v>
      </c>
      <c r="B473" t="str">
        <f>"44.8275"</f>
        <v>44.8275</v>
      </c>
      <c r="C473" t="str">
        <f>"45.0875"</f>
        <v>45.0875</v>
      </c>
    </row>
    <row r="474" spans="1:3" x14ac:dyDescent="0.25">
      <c r="A474" t="str">
        <f>"09/05/2011"</f>
        <v>09/05/2011</v>
      </c>
      <c r="B474" t="str">
        <f>"44.6825"</f>
        <v>44.6825</v>
      </c>
      <c r="C474" t="str">
        <f>"44.9775"</f>
        <v>44.9775</v>
      </c>
    </row>
    <row r="475" spans="1:3" x14ac:dyDescent="0.25">
      <c r="A475" t="str">
        <f>"10/05/2011"</f>
        <v>10/05/2011</v>
      </c>
      <c r="B475" t="str">
        <f>"44.7025"</f>
        <v>44.7025</v>
      </c>
      <c r="C475" t="str">
        <f>"44.9875"</f>
        <v>44.9875</v>
      </c>
    </row>
    <row r="476" spans="1:3" x14ac:dyDescent="0.25">
      <c r="A476" t="str">
        <f>"11/05/2011"</f>
        <v>11/05/2011</v>
      </c>
      <c r="B476" t="str">
        <f>"44.6725"</f>
        <v>44.6725</v>
      </c>
      <c r="C476" t="str">
        <f>"44.955"</f>
        <v>44.955</v>
      </c>
    </row>
    <row r="477" spans="1:3" x14ac:dyDescent="0.25">
      <c r="A477" t="str">
        <f>"12/05/2011"</f>
        <v>12/05/2011</v>
      </c>
      <c r="B477" t="str">
        <f>"44.765"</f>
        <v>44.765</v>
      </c>
      <c r="C477" t="str">
        <f>"45.075"</f>
        <v>45.075</v>
      </c>
    </row>
    <row r="478" spans="1:3" x14ac:dyDescent="0.25">
      <c r="A478" t="str">
        <f>"13/05/2011"</f>
        <v>13/05/2011</v>
      </c>
      <c r="B478" t="str">
        <f>"45.05"</f>
        <v>45.05</v>
      </c>
      <c r="C478" t="str">
        <f>"45.3525"</f>
        <v>45.3525</v>
      </c>
    </row>
    <row r="479" spans="1:3" x14ac:dyDescent="0.25">
      <c r="A479" t="str">
        <f>"16/05/2011"</f>
        <v>16/05/2011</v>
      </c>
      <c r="B479" t="str">
        <f>"45.0675"</f>
        <v>45.0675</v>
      </c>
      <c r="C479" t="str">
        <f>"45.36"</f>
        <v>45.36</v>
      </c>
    </row>
    <row r="480" spans="1:3" x14ac:dyDescent="0.25">
      <c r="A480" t="str">
        <f>"18/05/2011"</f>
        <v>18/05/2011</v>
      </c>
      <c r="B480" t="str">
        <f>"45.075"</f>
        <v>45.075</v>
      </c>
      <c r="C480" t="str">
        <f>"45.3125"</f>
        <v>45.3125</v>
      </c>
    </row>
    <row r="481" spans="1:3" x14ac:dyDescent="0.25">
      <c r="A481" t="str">
        <f>"19/05/2011"</f>
        <v>19/05/2011</v>
      </c>
      <c r="B481" t="str">
        <f>"44.9425"</f>
        <v>44.9425</v>
      </c>
      <c r="C481" t="str">
        <f>"45.1825"</f>
        <v>45.1825</v>
      </c>
    </row>
    <row r="482" spans="1:3" x14ac:dyDescent="0.25">
      <c r="A482" t="str">
        <f>"20/05/2011"</f>
        <v>20/05/2011</v>
      </c>
      <c r="B482" t="str">
        <f>"44.92"</f>
        <v>44.92</v>
      </c>
      <c r="C482" t="str">
        <f>"45.17"</f>
        <v>45.17</v>
      </c>
    </row>
    <row r="483" spans="1:3" x14ac:dyDescent="0.25">
      <c r="A483" t="str">
        <f>"23/05/2011"</f>
        <v>23/05/2011</v>
      </c>
      <c r="B483" t="str">
        <f>"45.2275"</f>
        <v>45.2275</v>
      </c>
      <c r="C483" t="str">
        <f>"45.48"</f>
        <v>45.48</v>
      </c>
    </row>
    <row r="484" spans="1:3" x14ac:dyDescent="0.25">
      <c r="A484" t="str">
        <f>"24/05/2011"</f>
        <v>24/05/2011</v>
      </c>
      <c r="B484" t="str">
        <f>"45.165"</f>
        <v>45.165</v>
      </c>
      <c r="C484" t="str">
        <f>"45.3925"</f>
        <v>45.3925</v>
      </c>
    </row>
    <row r="485" spans="1:3" x14ac:dyDescent="0.25">
      <c r="A485" t="str">
        <f>"25/05/2011"</f>
        <v>25/05/2011</v>
      </c>
      <c r="B485" t="str">
        <f>"45.33"</f>
        <v>45.33</v>
      </c>
      <c r="C485" t="str">
        <f>"45.555"</f>
        <v>45.555</v>
      </c>
    </row>
    <row r="486" spans="1:3" x14ac:dyDescent="0.25">
      <c r="A486" t="str">
        <f>"26/05/2011"</f>
        <v>26/05/2011</v>
      </c>
      <c r="B486" t="str">
        <f>"45.29"</f>
        <v>45.29</v>
      </c>
      <c r="C486" t="str">
        <f>"45.53"</f>
        <v>45.53</v>
      </c>
    </row>
    <row r="487" spans="1:3" x14ac:dyDescent="0.25">
      <c r="A487" t="str">
        <f>"27/05/2011"</f>
        <v>27/05/2011</v>
      </c>
      <c r="B487" t="str">
        <f>"45.23"</f>
        <v>45.23</v>
      </c>
      <c r="C487" t="str">
        <f>"45.5025"</f>
        <v>45.5025</v>
      </c>
    </row>
    <row r="488" spans="1:3" x14ac:dyDescent="0.25">
      <c r="A488" t="str">
        <f>"30/05/2011"</f>
        <v>30/05/2011</v>
      </c>
      <c r="B488" t="str">
        <f>"45.14"</f>
        <v>45.14</v>
      </c>
      <c r="C488" t="str">
        <f>"45.4075"</f>
        <v>45.4075</v>
      </c>
    </row>
    <row r="489" spans="1:3" x14ac:dyDescent="0.25">
      <c r="A489" t="str">
        <f>"31/05/2011"</f>
        <v>31/05/2011</v>
      </c>
      <c r="B489" t="str">
        <f>"44.995"</f>
        <v>44.995</v>
      </c>
      <c r="C489" t="str">
        <f>"45.25"</f>
        <v>45.25</v>
      </c>
    </row>
    <row r="490" spans="1:3" x14ac:dyDescent="0.25">
      <c r="A490" t="str">
        <f>"01/06/2011"</f>
        <v>01/06/2011</v>
      </c>
      <c r="B490" t="str">
        <f>"44.99"</f>
        <v>44.99</v>
      </c>
      <c r="C490" t="str">
        <f>"45.2275"</f>
        <v>45.2275</v>
      </c>
    </row>
    <row r="491" spans="1:3" x14ac:dyDescent="0.25">
      <c r="A491" t="str">
        <f>"02/06/2011"</f>
        <v>02/06/2011</v>
      </c>
      <c r="B491" t="str">
        <f>"44.935"</f>
        <v>44.935</v>
      </c>
      <c r="C491" t="str">
        <f>"45.1975"</f>
        <v>45.1975</v>
      </c>
    </row>
    <row r="492" spans="1:3" x14ac:dyDescent="0.25">
      <c r="A492" t="str">
        <f>"03/06/2011"</f>
        <v>03/06/2011</v>
      </c>
      <c r="B492" t="str">
        <f>"44.88"</f>
        <v>44.88</v>
      </c>
      <c r="C492" t="str">
        <f>"45.1225"</f>
        <v>45.1225</v>
      </c>
    </row>
    <row r="493" spans="1:3" x14ac:dyDescent="0.25">
      <c r="A493" t="str">
        <f>"06/06/2011"</f>
        <v>06/06/2011</v>
      </c>
      <c r="B493" t="str">
        <f>"44.75"</f>
        <v>44.75</v>
      </c>
      <c r="C493" t="str">
        <f>"45.01"</f>
        <v>45.01</v>
      </c>
    </row>
    <row r="494" spans="1:3" x14ac:dyDescent="0.25">
      <c r="A494" t="str">
        <f>"07/06/2011"</f>
        <v>07/06/2011</v>
      </c>
      <c r="B494" t="str">
        <f>"44.7875"</f>
        <v>44.7875</v>
      </c>
      <c r="C494" t="str">
        <f>"45.06"</f>
        <v>45.06</v>
      </c>
    </row>
    <row r="495" spans="1:3" x14ac:dyDescent="0.25">
      <c r="A495" t="str">
        <f>"08/06/2011"</f>
        <v>08/06/2011</v>
      </c>
      <c r="B495" t="str">
        <f>"44.69"</f>
        <v>44.69</v>
      </c>
      <c r="C495" t="str">
        <f>"44.95"</f>
        <v>44.95</v>
      </c>
    </row>
    <row r="496" spans="1:3" x14ac:dyDescent="0.25">
      <c r="A496" t="str">
        <f>"09/06/2011"</f>
        <v>09/06/2011</v>
      </c>
      <c r="B496" t="str">
        <f>"44.69"</f>
        <v>44.69</v>
      </c>
      <c r="C496" t="str">
        <f>"44.945"</f>
        <v>44.945</v>
      </c>
    </row>
    <row r="497" spans="1:3" x14ac:dyDescent="0.25">
      <c r="A497" t="str">
        <f>"13/06/2011"</f>
        <v>13/06/2011</v>
      </c>
      <c r="B497" t="str">
        <f>"44.87"</f>
        <v>44.87</v>
      </c>
      <c r="C497" t="str">
        <f>"45.13"</f>
        <v>45.13</v>
      </c>
    </row>
    <row r="498" spans="1:3" x14ac:dyDescent="0.25">
      <c r="A498" t="str">
        <f>"14/06/2011"</f>
        <v>14/06/2011</v>
      </c>
      <c r="B498" t="str">
        <f>"44.79"</f>
        <v>44.79</v>
      </c>
      <c r="C498" t="str">
        <f>"45.065"</f>
        <v>45.065</v>
      </c>
    </row>
    <row r="499" spans="1:3" x14ac:dyDescent="0.25">
      <c r="A499" t="str">
        <f>"15/06/2011"</f>
        <v>15/06/2011</v>
      </c>
      <c r="B499" t="str">
        <f>"44.69"</f>
        <v>44.69</v>
      </c>
      <c r="C499" t="str">
        <f>"44.9625"</f>
        <v>44.9625</v>
      </c>
    </row>
    <row r="500" spans="1:3" x14ac:dyDescent="0.25">
      <c r="A500" t="str">
        <f>"16/06/2011"</f>
        <v>16/06/2011</v>
      </c>
      <c r="B500" t="str">
        <f>"44.885"</f>
        <v>44.885</v>
      </c>
      <c r="C500" t="str">
        <f>"45.1425"</f>
        <v>45.1425</v>
      </c>
    </row>
    <row r="501" spans="1:3" x14ac:dyDescent="0.25">
      <c r="A501" t="str">
        <f>"17/06/2011"</f>
        <v>17/06/2011</v>
      </c>
      <c r="B501" t="str">
        <f>"44.905"</f>
        <v>44.905</v>
      </c>
      <c r="C501" t="str">
        <f>"45.16"</f>
        <v>45.16</v>
      </c>
    </row>
    <row r="502" spans="1:3" x14ac:dyDescent="0.25">
      <c r="A502" t="str">
        <f>"20/06/2011"</f>
        <v>20/06/2011</v>
      </c>
      <c r="B502" t="str">
        <f>"44.95"</f>
        <v>44.95</v>
      </c>
      <c r="C502" t="str">
        <f>"45.20"</f>
        <v>45.20</v>
      </c>
    </row>
    <row r="503" spans="1:3" x14ac:dyDescent="0.25">
      <c r="A503" t="str">
        <f>"21/06/2011"</f>
        <v>21/06/2011</v>
      </c>
      <c r="B503" t="str">
        <f>"44.9525"</f>
        <v>44.9525</v>
      </c>
      <c r="C503" t="str">
        <f>"45.215"</f>
        <v>45.215</v>
      </c>
    </row>
    <row r="504" spans="1:3" x14ac:dyDescent="0.25">
      <c r="A504" t="str">
        <f>"22/06/2011"</f>
        <v>22/06/2011</v>
      </c>
      <c r="B504" t="str">
        <f>"44.84"</f>
        <v>44.84</v>
      </c>
      <c r="C504" t="str">
        <f>"45.1075"</f>
        <v>45.1075</v>
      </c>
    </row>
    <row r="505" spans="1:3" x14ac:dyDescent="0.25">
      <c r="A505" t="str">
        <f>"23/06/2011"</f>
        <v>23/06/2011</v>
      </c>
      <c r="B505" t="str">
        <f>"44.925"</f>
        <v>44.925</v>
      </c>
      <c r="C505" t="str">
        <f>"45.1675"</f>
        <v>45.1675</v>
      </c>
    </row>
    <row r="506" spans="1:3" x14ac:dyDescent="0.25">
      <c r="A506" t="str">
        <f>"24/06/2011"</f>
        <v>24/06/2011</v>
      </c>
      <c r="B506" t="str">
        <f>"44.94"</f>
        <v>44.94</v>
      </c>
      <c r="C506" t="str">
        <f>"45.1825"</f>
        <v>45.1825</v>
      </c>
    </row>
    <row r="507" spans="1:3" x14ac:dyDescent="0.25">
      <c r="A507" t="str">
        <f>"27/06/2011"</f>
        <v>27/06/2011</v>
      </c>
      <c r="B507" t="str">
        <f>"45.11"</f>
        <v>45.11</v>
      </c>
      <c r="C507" t="str">
        <f>"45.345"</f>
        <v>45.345</v>
      </c>
    </row>
    <row r="508" spans="1:3" x14ac:dyDescent="0.25">
      <c r="A508" t="str">
        <f>"28/06/2011"</f>
        <v>28/06/2011</v>
      </c>
      <c r="B508" t="str">
        <f>"45.02"</f>
        <v>45.02</v>
      </c>
      <c r="C508" t="str">
        <f>"45.2375"</f>
        <v>45.2375</v>
      </c>
    </row>
    <row r="509" spans="1:3" x14ac:dyDescent="0.25">
      <c r="A509" t="str">
        <f>"29/06/2011"</f>
        <v>29/06/2011</v>
      </c>
      <c r="B509" t="str">
        <f>"44.985"</f>
        <v>44.985</v>
      </c>
      <c r="C509" t="str">
        <f>"45.23"</f>
        <v>45.23</v>
      </c>
    </row>
    <row r="510" spans="1:3" x14ac:dyDescent="0.25">
      <c r="A510" t="str">
        <f>"30/06/2011"</f>
        <v>30/06/2011</v>
      </c>
      <c r="B510" t="str">
        <f>"44.76"</f>
        <v>44.76</v>
      </c>
      <c r="C510" t="str">
        <f>"45.035"</f>
        <v>45.035</v>
      </c>
    </row>
    <row r="511" spans="1:3" x14ac:dyDescent="0.25">
      <c r="A511" t="str">
        <f>"01/07/2011"</f>
        <v>01/07/2011</v>
      </c>
      <c r="B511" t="str">
        <f>"44.6025"</f>
        <v>44.6025</v>
      </c>
      <c r="C511" t="str">
        <f>"44.88"</f>
        <v>44.88</v>
      </c>
    </row>
    <row r="512" spans="1:3" x14ac:dyDescent="0.25">
      <c r="A512" t="str">
        <f>"04/07/2011"</f>
        <v>04/07/2011</v>
      </c>
      <c r="B512" t="str">
        <f>"44.4675"</f>
        <v>44.4675</v>
      </c>
      <c r="C512" t="str">
        <f>"44.74"</f>
        <v>44.74</v>
      </c>
    </row>
    <row r="513" spans="1:3" x14ac:dyDescent="0.25">
      <c r="A513" t="str">
        <f>"05/07/2011"</f>
        <v>05/07/2011</v>
      </c>
      <c r="B513" t="str">
        <f>"44.535"</f>
        <v>44.535</v>
      </c>
      <c r="C513" t="str">
        <f>"44.8075"</f>
        <v>44.8075</v>
      </c>
    </row>
    <row r="514" spans="1:3" x14ac:dyDescent="0.25">
      <c r="A514" t="str">
        <f>"06/07/2011"</f>
        <v>06/07/2011</v>
      </c>
      <c r="B514" t="str">
        <f>"44.375"</f>
        <v>44.375</v>
      </c>
      <c r="C514" t="str">
        <f>"44.6275"</f>
        <v>44.6275</v>
      </c>
    </row>
    <row r="515" spans="1:3" x14ac:dyDescent="0.25">
      <c r="A515" t="str">
        <f>"07/07/2011"</f>
        <v>07/07/2011</v>
      </c>
      <c r="B515" t="str">
        <f>"44.395"</f>
        <v>44.395</v>
      </c>
      <c r="C515" t="str">
        <f>"44.65"</f>
        <v>44.65</v>
      </c>
    </row>
    <row r="516" spans="1:3" x14ac:dyDescent="0.25">
      <c r="A516" t="str">
        <f>"08/07/2011"</f>
        <v>08/07/2011</v>
      </c>
      <c r="B516" t="str">
        <f>"44.355"</f>
        <v>44.355</v>
      </c>
      <c r="C516" t="str">
        <f>"44.6075"</f>
        <v>44.6075</v>
      </c>
    </row>
    <row r="517" spans="1:3" x14ac:dyDescent="0.25">
      <c r="A517" t="str">
        <f>"11/07/2011"</f>
        <v>11/07/2011</v>
      </c>
      <c r="B517" t="str">
        <f>"44.38"</f>
        <v>44.38</v>
      </c>
      <c r="C517" t="str">
        <f>"44.66"</f>
        <v>44.66</v>
      </c>
    </row>
    <row r="518" spans="1:3" x14ac:dyDescent="0.25">
      <c r="A518" t="str">
        <f>"12/07/2011"</f>
        <v>12/07/2011</v>
      </c>
      <c r="B518" t="str">
        <f>"44.645"</f>
        <v>44.645</v>
      </c>
      <c r="C518" t="str">
        <f>"44.90"</f>
        <v>44.90</v>
      </c>
    </row>
    <row r="519" spans="1:3" x14ac:dyDescent="0.25">
      <c r="A519" t="str">
        <f>"13/07/2011"</f>
        <v>13/07/2011</v>
      </c>
      <c r="B519" t="str">
        <f>"44.60"</f>
        <v>44.60</v>
      </c>
      <c r="C519" t="str">
        <f>"44.8475"</f>
        <v>44.8475</v>
      </c>
    </row>
    <row r="520" spans="1:3" x14ac:dyDescent="0.25">
      <c r="A520" t="str">
        <f>"14/07/2011"</f>
        <v>14/07/2011</v>
      </c>
      <c r="B520" t="str">
        <f>"44.495"</f>
        <v>44.495</v>
      </c>
      <c r="C520" t="str">
        <f>"44.7425"</f>
        <v>44.7425</v>
      </c>
    </row>
    <row r="521" spans="1:3" x14ac:dyDescent="0.25">
      <c r="A521" t="str">
        <f>"15/07/2011"</f>
        <v>15/07/2011</v>
      </c>
      <c r="B521" t="str">
        <f>"44.515"</f>
        <v>44.515</v>
      </c>
      <c r="C521" t="str">
        <f>"44.79"</f>
        <v>44.79</v>
      </c>
    </row>
    <row r="522" spans="1:3" x14ac:dyDescent="0.25">
      <c r="A522" t="str">
        <f>"18/07/2011"</f>
        <v>18/07/2011</v>
      </c>
      <c r="B522" t="str">
        <f>"44.5675"</f>
        <v>44.5675</v>
      </c>
      <c r="C522" t="str">
        <f>"44.84"</f>
        <v>44.84</v>
      </c>
    </row>
    <row r="523" spans="1:3" x14ac:dyDescent="0.25">
      <c r="A523" t="str">
        <f>"19/07/2011"</f>
        <v>19/07/2011</v>
      </c>
      <c r="B523" t="str">
        <f>"44.565"</f>
        <v>44.565</v>
      </c>
      <c r="C523" t="str">
        <f>"44.825"</f>
        <v>44.825</v>
      </c>
    </row>
    <row r="524" spans="1:3" x14ac:dyDescent="0.25">
      <c r="A524" t="str">
        <f>"20/07/2011"</f>
        <v>20/07/2011</v>
      </c>
      <c r="B524" t="str">
        <f>"44.475"</f>
        <v>44.475</v>
      </c>
      <c r="C524" t="str">
        <f>"44.7275"</f>
        <v>44.7275</v>
      </c>
    </row>
    <row r="525" spans="1:3" x14ac:dyDescent="0.25">
      <c r="A525" t="str">
        <f>"21/07/2011"</f>
        <v>21/07/2011</v>
      </c>
      <c r="B525" t="str">
        <f>"44.46"</f>
        <v>44.46</v>
      </c>
      <c r="C525" t="str">
        <f>"44.7125"</f>
        <v>44.7125</v>
      </c>
    </row>
    <row r="526" spans="1:3" x14ac:dyDescent="0.25">
      <c r="A526" t="str">
        <f>"22/07/2011"</f>
        <v>22/07/2011</v>
      </c>
      <c r="B526" t="str">
        <f>"44.40"</f>
        <v>44.40</v>
      </c>
      <c r="C526" t="str">
        <f>"44.6475"</f>
        <v>44.6475</v>
      </c>
    </row>
    <row r="527" spans="1:3" x14ac:dyDescent="0.25">
      <c r="A527" t="str">
        <f>"25/07/2011"</f>
        <v>25/07/2011</v>
      </c>
      <c r="B527" t="str">
        <f>"44.405"</f>
        <v>44.405</v>
      </c>
      <c r="C527" t="str">
        <f>"44.6675"</f>
        <v>44.6675</v>
      </c>
    </row>
    <row r="528" spans="1:3" x14ac:dyDescent="0.25">
      <c r="A528" t="str">
        <f>"26/07/2011"</f>
        <v>26/07/2011</v>
      </c>
      <c r="B528" t="str">
        <f>"44.34"</f>
        <v>44.34</v>
      </c>
      <c r="C528" t="str">
        <f>"44.60"</f>
        <v>44.60</v>
      </c>
    </row>
    <row r="529" spans="1:3" x14ac:dyDescent="0.25">
      <c r="A529" t="str">
        <f>"27/07/2011"</f>
        <v>27/07/2011</v>
      </c>
      <c r="B529" t="str">
        <f>"43.95"</f>
        <v>43.95</v>
      </c>
      <c r="C529" t="str">
        <f>"44.205"</f>
        <v>44.205</v>
      </c>
    </row>
    <row r="530" spans="1:3" x14ac:dyDescent="0.25">
      <c r="A530" t="str">
        <f>"28/07/2011"</f>
        <v>28/07/2011</v>
      </c>
      <c r="B530" t="str">
        <f>"44.12"</f>
        <v>44.12</v>
      </c>
      <c r="C530" t="str">
        <f>"44.385"</f>
        <v>44.385</v>
      </c>
    </row>
    <row r="531" spans="1:3" x14ac:dyDescent="0.25">
      <c r="A531" t="str">
        <f>"29/07/2011"</f>
        <v>29/07/2011</v>
      </c>
      <c r="B531" t="str">
        <f>"44.09"</f>
        <v>44.09</v>
      </c>
      <c r="C531" t="str">
        <f>"44.3425"</f>
        <v>44.3425</v>
      </c>
    </row>
    <row r="532" spans="1:3" x14ac:dyDescent="0.25">
      <c r="A532" t="str">
        <f>"01/08/2011"</f>
        <v>01/08/2011</v>
      </c>
      <c r="B532" t="str">
        <f>"44.09"</f>
        <v>44.09</v>
      </c>
      <c r="C532" t="str">
        <f>"44.365"</f>
        <v>44.365</v>
      </c>
    </row>
    <row r="533" spans="1:3" x14ac:dyDescent="0.25">
      <c r="A533" t="str">
        <f>"02/08/2011"</f>
        <v>02/08/2011</v>
      </c>
      <c r="B533" t="str">
        <f>"44.23"</f>
        <v>44.23</v>
      </c>
      <c r="C533" t="str">
        <f>"44.46"</f>
        <v>44.46</v>
      </c>
    </row>
    <row r="534" spans="1:3" x14ac:dyDescent="0.25">
      <c r="A534" t="str">
        <f>"03/08/2011"</f>
        <v>03/08/2011</v>
      </c>
      <c r="B534" t="str">
        <f>"44.335"</f>
        <v>44.335</v>
      </c>
      <c r="C534" t="str">
        <f>"44.56"</f>
        <v>44.56</v>
      </c>
    </row>
    <row r="535" spans="1:3" x14ac:dyDescent="0.25">
      <c r="A535" t="str">
        <f>"04/08/2011"</f>
        <v>04/08/2011</v>
      </c>
      <c r="B535" t="str">
        <f>"44.375"</f>
        <v>44.375</v>
      </c>
      <c r="C535" t="str">
        <f>"44.6075"</f>
        <v>44.6075</v>
      </c>
    </row>
    <row r="536" spans="1:3" x14ac:dyDescent="0.25">
      <c r="A536" t="str">
        <f>"09/08/2011"</f>
        <v>09/08/2011</v>
      </c>
      <c r="B536" t="str">
        <f>"45.30"</f>
        <v>45.30</v>
      </c>
      <c r="C536" t="str">
        <f>"45.5025"</f>
        <v>45.5025</v>
      </c>
    </row>
    <row r="537" spans="1:3" x14ac:dyDescent="0.25">
      <c r="A537" t="str">
        <f>"10/08/2011"</f>
        <v>10/08/2011</v>
      </c>
      <c r="B537" t="str">
        <f>"45.01"</f>
        <v>45.01</v>
      </c>
      <c r="C537" t="str">
        <f>"45.17"</f>
        <v>45.17</v>
      </c>
    </row>
    <row r="538" spans="1:3" x14ac:dyDescent="0.25">
      <c r="A538" t="str">
        <f>"11/08/2011"</f>
        <v>11/08/2011</v>
      </c>
      <c r="B538" t="str">
        <f>"45.44"</f>
        <v>45.44</v>
      </c>
      <c r="C538" t="str">
        <f>"45.4625"</f>
        <v>45.4625</v>
      </c>
    </row>
    <row r="539" spans="1:3" x14ac:dyDescent="0.25">
      <c r="A539" t="str">
        <f>"12/08/2011"</f>
        <v>12/08/2011</v>
      </c>
      <c r="B539" t="str">
        <f>"45.33"</f>
        <v>45.33</v>
      </c>
      <c r="C539" t="str">
        <f>"45.405"</f>
        <v>45.405</v>
      </c>
    </row>
    <row r="540" spans="1:3" x14ac:dyDescent="0.25">
      <c r="A540" t="str">
        <f>"16/08/2011"</f>
        <v>16/08/2011</v>
      </c>
      <c r="B540" t="str">
        <f>"45.22"</f>
        <v>45.22</v>
      </c>
      <c r="C540" t="str">
        <f>"45.34"</f>
        <v>45.34</v>
      </c>
    </row>
    <row r="541" spans="1:3" x14ac:dyDescent="0.25">
      <c r="A541" t="str">
        <f>"17/08/2011"</f>
        <v>17/08/2011</v>
      </c>
      <c r="B541" t="str">
        <f>"45.39"</f>
        <v>45.39</v>
      </c>
      <c r="C541" t="str">
        <f>"45.505"</f>
        <v>45.505</v>
      </c>
    </row>
    <row r="542" spans="1:3" x14ac:dyDescent="0.25">
      <c r="A542" t="str">
        <f>"18/08/2011"</f>
        <v>18/08/2011</v>
      </c>
      <c r="B542" t="str">
        <f>"45.655"</f>
        <v>45.655</v>
      </c>
      <c r="C542" t="str">
        <f>"45.7075"</f>
        <v>45.7075</v>
      </c>
    </row>
    <row r="543" spans="1:3" x14ac:dyDescent="0.25">
      <c r="A543" t="str">
        <f>"19/08/2011"</f>
        <v>19/08/2011</v>
      </c>
      <c r="B543" t="str">
        <f>"45.75"</f>
        <v>45.75</v>
      </c>
      <c r="C543" t="str">
        <f>"45.84"</f>
        <v>45.84</v>
      </c>
    </row>
    <row r="544" spans="1:3" x14ac:dyDescent="0.25">
      <c r="A544" t="str">
        <f>"22/08/2011"</f>
        <v>22/08/2011</v>
      </c>
      <c r="B544" t="str">
        <f>"45.945"</f>
        <v>45.945</v>
      </c>
      <c r="C544" t="str">
        <f>"46.0425"</f>
        <v>46.0425</v>
      </c>
    </row>
    <row r="545" spans="1:3" x14ac:dyDescent="0.25">
      <c r="A545" t="str">
        <f>"23/08/2011"</f>
        <v>23/08/2011</v>
      </c>
      <c r="B545" t="str">
        <f>"45.71"</f>
        <v>45.71</v>
      </c>
      <c r="C545" t="str">
        <f>"45.855"</f>
        <v>45.855</v>
      </c>
    </row>
    <row r="546" spans="1:3" x14ac:dyDescent="0.25">
      <c r="A546" t="str">
        <f>"24/08/2011"</f>
        <v>24/08/2011</v>
      </c>
      <c r="B546" t="str">
        <f>"45.76"</f>
        <v>45.76</v>
      </c>
      <c r="C546" t="str">
        <f>"45.885"</f>
        <v>45.885</v>
      </c>
    </row>
    <row r="547" spans="1:3" x14ac:dyDescent="0.25">
      <c r="A547" t="str">
        <f>"25/08/2011"</f>
        <v>25/08/2011</v>
      </c>
      <c r="B547" t="str">
        <f>"46.16"</f>
        <v>46.16</v>
      </c>
      <c r="C547" t="str">
        <f>"46.265"</f>
        <v>46.265</v>
      </c>
    </row>
    <row r="548" spans="1:3" x14ac:dyDescent="0.25">
      <c r="A548" t="str">
        <f>"26/08/2011"</f>
        <v>26/08/2011</v>
      </c>
      <c r="B548" t="str">
        <f>"46.07"</f>
        <v>46.07</v>
      </c>
      <c r="C548" t="str">
        <f>"46.175"</f>
        <v>46.175</v>
      </c>
    </row>
    <row r="549" spans="1:3" x14ac:dyDescent="0.25">
      <c r="A549" t="str">
        <f>"29/08/2011"</f>
        <v>29/08/2011</v>
      </c>
      <c r="B549" t="str">
        <f>"45.81"</f>
        <v>45.81</v>
      </c>
      <c r="C549" t="str">
        <f>"45.9525"</f>
        <v>45.9525</v>
      </c>
    </row>
    <row r="550" spans="1:3" x14ac:dyDescent="0.25">
      <c r="A550" t="str">
        <f>"30/08/2011"</f>
        <v>30/08/2011</v>
      </c>
      <c r="B550" t="str">
        <f>"45.9925"</f>
        <v>45.9925</v>
      </c>
      <c r="C550" t="str">
        <f>"46.0925"</f>
        <v>46.0925</v>
      </c>
    </row>
    <row r="551" spans="1:3" x14ac:dyDescent="0.25">
      <c r="A551" t="str">
        <f>"02/09/2011"</f>
        <v>02/09/2011</v>
      </c>
      <c r="B551" t="str">
        <f>"45.90"</f>
        <v>45.90</v>
      </c>
      <c r="C551" t="str">
        <f>"46.0025"</f>
        <v>46.0025</v>
      </c>
    </row>
    <row r="552" spans="1:3" x14ac:dyDescent="0.25">
      <c r="A552" t="str">
        <f>"05/09/2011"</f>
        <v>05/09/2011</v>
      </c>
      <c r="B552" t="str">
        <f>"45.945"</f>
        <v>45.945</v>
      </c>
      <c r="C552" t="str">
        <f>"46.055"</f>
        <v>46.055</v>
      </c>
    </row>
    <row r="553" spans="1:3" x14ac:dyDescent="0.25">
      <c r="A553" t="str">
        <f>"06/09/2011"</f>
        <v>06/09/2011</v>
      </c>
      <c r="B553" t="str">
        <f>"46.12"</f>
        <v>46.12</v>
      </c>
      <c r="C553" t="str">
        <f>"46.2525"</f>
        <v>46.2525</v>
      </c>
    </row>
    <row r="554" spans="1:3" x14ac:dyDescent="0.25">
      <c r="A554" t="str">
        <f>"07/09/2011"</f>
        <v>07/09/2011</v>
      </c>
      <c r="B554" t="str">
        <f>"46.055"</f>
        <v>46.055</v>
      </c>
      <c r="C554" t="str">
        <f>"46.1925"</f>
        <v>46.1925</v>
      </c>
    </row>
    <row r="555" spans="1:3" x14ac:dyDescent="0.25">
      <c r="A555" t="str">
        <f>"08/09/2011"</f>
        <v>08/09/2011</v>
      </c>
      <c r="B555" t="str">
        <f>"46.21"</f>
        <v>46.21</v>
      </c>
      <c r="C555" t="str">
        <f>"46.35"</f>
        <v>46.35</v>
      </c>
    </row>
    <row r="556" spans="1:3" x14ac:dyDescent="0.25">
      <c r="A556" t="str">
        <f>"09/09/2011"</f>
        <v>09/09/2011</v>
      </c>
      <c r="B556" t="str">
        <f>"46.45"</f>
        <v>46.45</v>
      </c>
      <c r="C556" t="str">
        <f>"46.6525"</f>
        <v>46.6525</v>
      </c>
    </row>
    <row r="557" spans="1:3" x14ac:dyDescent="0.25">
      <c r="A557" t="str">
        <f>"12/09/2011"</f>
        <v>12/09/2011</v>
      </c>
      <c r="B557" t="str">
        <f>"46.92"</f>
        <v>46.92</v>
      </c>
      <c r="C557" t="str">
        <f>"47.0925"</f>
        <v>47.0925</v>
      </c>
    </row>
    <row r="558" spans="1:3" x14ac:dyDescent="0.25">
      <c r="A558" t="str">
        <f>"13/09/2011"</f>
        <v>13/09/2011</v>
      </c>
      <c r="B558" t="str">
        <f>"47.0675"</f>
        <v>47.0675</v>
      </c>
      <c r="C558" t="str">
        <f>"47.2525"</f>
        <v>47.2525</v>
      </c>
    </row>
    <row r="559" spans="1:3" x14ac:dyDescent="0.25">
      <c r="A559" t="str">
        <f>"14/09/2011"</f>
        <v>14/09/2011</v>
      </c>
      <c r="B559" t="str">
        <f>"47.95"</f>
        <v>47.95</v>
      </c>
      <c r="C559" t="str">
        <f>"48.1175"</f>
        <v>48.1175</v>
      </c>
    </row>
    <row r="560" spans="1:3" x14ac:dyDescent="0.25">
      <c r="A560" t="str">
        <f>"15/09/2011"</f>
        <v>15/09/2011</v>
      </c>
      <c r="B560" t="str">
        <f>"47.845"</f>
        <v>47.845</v>
      </c>
      <c r="C560" t="str">
        <f>"48.0275"</f>
        <v>48.0275</v>
      </c>
    </row>
    <row r="561" spans="1:3" x14ac:dyDescent="0.25">
      <c r="A561" t="str">
        <f>"16/09/2011"</f>
        <v>16/09/2011</v>
      </c>
      <c r="B561" t="str">
        <f>"47.445"</f>
        <v>47.445</v>
      </c>
      <c r="C561" t="str">
        <f>"47.6475"</f>
        <v>47.6475</v>
      </c>
    </row>
    <row r="562" spans="1:3" x14ac:dyDescent="0.25">
      <c r="A562" t="str">
        <f>"19/09/2011"</f>
        <v>19/09/2011</v>
      </c>
      <c r="B562" t="str">
        <f>"47.71"</f>
        <v>47.71</v>
      </c>
      <c r="C562" t="str">
        <f>"47.90"</f>
        <v>47.90</v>
      </c>
    </row>
    <row r="563" spans="1:3" x14ac:dyDescent="0.25">
      <c r="A563" t="str">
        <f>"20/09/2011"</f>
        <v>20/09/2011</v>
      </c>
      <c r="B563" t="str">
        <f>"48.115"</f>
        <v>48.115</v>
      </c>
      <c r="C563" t="str">
        <f>"48.29"</f>
        <v>48.29</v>
      </c>
    </row>
    <row r="564" spans="1:3" x14ac:dyDescent="0.25">
      <c r="A564" t="str">
        <f>"21/09/2011"</f>
        <v>21/09/2011</v>
      </c>
      <c r="B564" t="str">
        <f>"47.905"</f>
        <v>47.905</v>
      </c>
      <c r="C564" t="str">
        <f>"48.09"</f>
        <v>48.09</v>
      </c>
    </row>
    <row r="565" spans="1:3" x14ac:dyDescent="0.25">
      <c r="A565" t="str">
        <f>"22/09/2011"</f>
        <v>22/09/2011</v>
      </c>
      <c r="B565" t="str">
        <f>"48.725"</f>
        <v>48.725</v>
      </c>
      <c r="C565" t="str">
        <f>"48.9325"</f>
        <v>48.9325</v>
      </c>
    </row>
    <row r="566" spans="1:3" x14ac:dyDescent="0.25">
      <c r="A566" t="str">
        <f>"23/09/2011"</f>
        <v>23/09/2011</v>
      </c>
      <c r="B566" t="str">
        <f>"49.775"</f>
        <v>49.775</v>
      </c>
      <c r="C566" t="str">
        <f>"50.015"</f>
        <v>50.015</v>
      </c>
    </row>
    <row r="567" spans="1:3" x14ac:dyDescent="0.25">
      <c r="A567" t="str">
        <f>"26/09/2011"</f>
        <v>26/09/2011</v>
      </c>
      <c r="B567" t="str">
        <f>"49.40"</f>
        <v>49.40</v>
      </c>
      <c r="C567" t="str">
        <f>"49.6175"</f>
        <v>49.6175</v>
      </c>
    </row>
    <row r="568" spans="1:3" x14ac:dyDescent="0.25">
      <c r="A568" t="str">
        <f>"27/09/2011"</f>
        <v>27/09/2011</v>
      </c>
      <c r="B568" t="str">
        <f>"49.26"</f>
        <v>49.26</v>
      </c>
      <c r="C568" t="str">
        <f>"49.49"</f>
        <v>49.49</v>
      </c>
    </row>
    <row r="569" spans="1:3" x14ac:dyDescent="0.25">
      <c r="A569" t="str">
        <f>"28/09/2011"</f>
        <v>28/09/2011</v>
      </c>
      <c r="B569" t="str">
        <f>"49.10"</f>
        <v>49.10</v>
      </c>
      <c r="C569" t="str">
        <f>"49.325"</f>
        <v>49.325</v>
      </c>
    </row>
    <row r="570" spans="1:3" x14ac:dyDescent="0.25">
      <c r="A570" t="str">
        <f>"29/09/2011"</f>
        <v>29/09/2011</v>
      </c>
      <c r="B570" t="str">
        <f>"48.905"</f>
        <v>48.905</v>
      </c>
      <c r="C570" t="str">
        <f>"49.145"</f>
        <v>49.145</v>
      </c>
    </row>
    <row r="571" spans="1:3" x14ac:dyDescent="0.25">
      <c r="A571" t="str">
        <f>"30/09/2011"</f>
        <v>30/09/2011</v>
      </c>
      <c r="B571" t="str">
        <f>"48.98"</f>
        <v>48.98</v>
      </c>
      <c r="C571" t="str">
        <f>"49.185"</f>
        <v>49.185</v>
      </c>
    </row>
    <row r="572" spans="1:3" x14ac:dyDescent="0.25">
      <c r="A572" t="str">
        <f>"03/10/2011"</f>
        <v>03/10/2011</v>
      </c>
      <c r="B572" t="str">
        <f>"49.50"</f>
        <v>49.50</v>
      </c>
      <c r="C572" t="str">
        <f>"49.7625"</f>
        <v>49.7625</v>
      </c>
    </row>
    <row r="573" spans="1:3" x14ac:dyDescent="0.25">
      <c r="A573" t="str">
        <f>"04/10/2011"</f>
        <v>04/10/2011</v>
      </c>
      <c r="B573" t="str">
        <f>"49.28"</f>
        <v>49.28</v>
      </c>
      <c r="C573" t="str">
        <f>"49.5075"</f>
        <v>49.5075</v>
      </c>
    </row>
    <row r="574" spans="1:3" x14ac:dyDescent="0.25">
      <c r="A574" t="str">
        <f>"05/10/2011"</f>
        <v>05/10/2011</v>
      </c>
      <c r="B574" t="str">
        <f>"49.155"</f>
        <v>49.155</v>
      </c>
      <c r="C574" t="str">
        <f>"49.375"</f>
        <v>49.375</v>
      </c>
    </row>
    <row r="575" spans="1:3" x14ac:dyDescent="0.25">
      <c r="A575" t="str">
        <f>"07/10/2011"</f>
        <v>07/10/2011</v>
      </c>
      <c r="B575" t="str">
        <f>"49.0675"</f>
        <v>49.0675</v>
      </c>
      <c r="C575" t="str">
        <f>"49.285"</f>
        <v>49.285</v>
      </c>
    </row>
    <row r="576" spans="1:3" x14ac:dyDescent="0.25">
      <c r="A576" t="str">
        <f>"10/10/2011"</f>
        <v>10/10/2011</v>
      </c>
      <c r="B576" t="str">
        <f>"49.095"</f>
        <v>49.095</v>
      </c>
      <c r="C576" t="str">
        <f>"49.33"</f>
        <v>49.33</v>
      </c>
    </row>
    <row r="577" spans="1:3" x14ac:dyDescent="0.25">
      <c r="A577" t="str">
        <f>"11/10/2011"</f>
        <v>11/10/2011</v>
      </c>
      <c r="B577" t="str">
        <f>"48.94"</f>
        <v>48.94</v>
      </c>
      <c r="C577" t="str">
        <f>"49.1675"</f>
        <v>49.1675</v>
      </c>
    </row>
    <row r="578" spans="1:3" x14ac:dyDescent="0.25">
      <c r="A578" t="str">
        <f>"12/10/2011"</f>
        <v>12/10/2011</v>
      </c>
      <c r="B578" t="str">
        <f>"49.285"</f>
        <v>49.285</v>
      </c>
      <c r="C578" t="str">
        <f>"49.49"</f>
        <v>49.49</v>
      </c>
    </row>
    <row r="579" spans="1:3" x14ac:dyDescent="0.25">
      <c r="A579" t="str">
        <f>"13/10/2011"</f>
        <v>13/10/2011</v>
      </c>
      <c r="B579" t="str">
        <f>"48.94"</f>
        <v>48.94</v>
      </c>
      <c r="C579" t="str">
        <f>"49.165"</f>
        <v>49.165</v>
      </c>
    </row>
    <row r="580" spans="1:3" x14ac:dyDescent="0.25">
      <c r="A580" t="str">
        <f>"14/10/2011"</f>
        <v>14/10/2011</v>
      </c>
      <c r="B580" t="str">
        <f>"49.115"</f>
        <v>49.115</v>
      </c>
      <c r="C580" t="str">
        <f>"49.3525"</f>
        <v>49.3525</v>
      </c>
    </row>
    <row r="581" spans="1:3" x14ac:dyDescent="0.25">
      <c r="A581" t="str">
        <f>"17/10/2011"</f>
        <v>17/10/2011</v>
      </c>
      <c r="B581" t="str">
        <f>"48.905"</f>
        <v>48.905</v>
      </c>
      <c r="C581" t="str">
        <f>"49.1675"</f>
        <v>49.1675</v>
      </c>
    </row>
    <row r="582" spans="1:3" x14ac:dyDescent="0.25">
      <c r="A582" t="str">
        <f>"18/10/2011"</f>
        <v>18/10/2011</v>
      </c>
      <c r="B582" t="str">
        <f>"49.15"</f>
        <v>49.15</v>
      </c>
      <c r="C582" t="str">
        <f>"49.3925"</f>
        <v>49.3925</v>
      </c>
    </row>
    <row r="583" spans="1:3" x14ac:dyDescent="0.25">
      <c r="A583" t="str">
        <f>"19/10/2011"</f>
        <v>19/10/2011</v>
      </c>
      <c r="B583" t="str">
        <f>"49.195"</f>
        <v>49.195</v>
      </c>
      <c r="C583" t="str">
        <f>"49.44"</f>
        <v>49.44</v>
      </c>
    </row>
    <row r="584" spans="1:3" x14ac:dyDescent="0.25">
      <c r="A584" t="str">
        <f>"20/10/2011"</f>
        <v>20/10/2011</v>
      </c>
      <c r="B584" t="str">
        <f>"49.555"</f>
        <v>49.555</v>
      </c>
      <c r="C584" t="str">
        <f>"49.815"</f>
        <v>49.815</v>
      </c>
    </row>
    <row r="585" spans="1:3" x14ac:dyDescent="0.25">
      <c r="A585" t="str">
        <f>"21/10/2011"</f>
        <v>21/10/2011</v>
      </c>
      <c r="B585" t="str">
        <f>"50.05"</f>
        <v>50.05</v>
      </c>
      <c r="C585" t="str">
        <f>"50.31"</f>
        <v>50.31</v>
      </c>
    </row>
    <row r="586" spans="1:3" x14ac:dyDescent="0.25">
      <c r="A586" t="str">
        <f>"24/10/2011"</f>
        <v>24/10/2011</v>
      </c>
      <c r="B586" t="str">
        <f>"49.89"</f>
        <v>49.89</v>
      </c>
      <c r="C586" t="str">
        <f>"50.18"</f>
        <v>50.18</v>
      </c>
    </row>
    <row r="587" spans="1:3" x14ac:dyDescent="0.25">
      <c r="A587" t="str">
        <f>"25/10/2011"</f>
        <v>25/10/2011</v>
      </c>
      <c r="B587" t="str">
        <f>"49.715"</f>
        <v>49.715</v>
      </c>
      <c r="C587" t="str">
        <f>"49.965"</f>
        <v>49.965</v>
      </c>
    </row>
    <row r="588" spans="1:3" x14ac:dyDescent="0.25">
      <c r="A588" t="str">
        <f>"28/10/2011"</f>
        <v>28/10/2011</v>
      </c>
      <c r="B588" t="str">
        <f>"48.8225"</f>
        <v>48.8225</v>
      </c>
      <c r="C588" t="str">
        <f>"49.0825"</f>
        <v>49.0825</v>
      </c>
    </row>
    <row r="589" spans="1:3" x14ac:dyDescent="0.25">
      <c r="A589" t="str">
        <f>"31/10/2011"</f>
        <v>31/10/2011</v>
      </c>
      <c r="B589" t="str">
        <f>"48.87"</f>
        <v>48.87</v>
      </c>
      <c r="C589" t="str">
        <f>"49.1375"</f>
        <v>49.1375</v>
      </c>
    </row>
    <row r="590" spans="1:3" x14ac:dyDescent="0.25">
      <c r="A590" t="str">
        <f>"01/11/2011"</f>
        <v>01/11/2011</v>
      </c>
      <c r="B590" t="str">
        <f>"49.015"</f>
        <v>49.015</v>
      </c>
      <c r="C590" t="str">
        <f>"49.305"</f>
        <v>49.305</v>
      </c>
    </row>
    <row r="591" spans="1:3" x14ac:dyDescent="0.25">
      <c r="A591" t="str">
        <f>"02/11/2011"</f>
        <v>02/11/2011</v>
      </c>
      <c r="B591" t="str">
        <f>"49.365"</f>
        <v>49.365</v>
      </c>
      <c r="C591" t="str">
        <f>"49.6475"</f>
        <v>49.6475</v>
      </c>
    </row>
    <row r="592" spans="1:3" x14ac:dyDescent="0.25">
      <c r="A592" t="str">
        <f>"03/11/2011"</f>
        <v>03/11/2011</v>
      </c>
      <c r="B592" t="str">
        <f>"49.43"</f>
        <v>49.43</v>
      </c>
      <c r="C592" t="str">
        <f>"49.6975"</f>
        <v>49.6975</v>
      </c>
    </row>
    <row r="593" spans="1:3" x14ac:dyDescent="0.25">
      <c r="A593" t="str">
        <f>"04/11/2011"</f>
        <v>04/11/2011</v>
      </c>
      <c r="B593" t="str">
        <f>"49.06"</f>
        <v>49.06</v>
      </c>
      <c r="C593" t="str">
        <f>"49.3425"</f>
        <v>49.3425</v>
      </c>
    </row>
    <row r="594" spans="1:3" x14ac:dyDescent="0.25">
      <c r="A594" t="str">
        <f>"08/11/2011"</f>
        <v>08/11/2011</v>
      </c>
      <c r="B594" t="str">
        <f>"49.29"</f>
        <v>49.29</v>
      </c>
      <c r="C594" t="str">
        <f>"49.56"</f>
        <v>49.56</v>
      </c>
    </row>
    <row r="595" spans="1:3" x14ac:dyDescent="0.25">
      <c r="A595" t="str">
        <f>"09/11/2011"</f>
        <v>09/11/2011</v>
      </c>
      <c r="B595" t="str">
        <f>"49.765"</f>
        <v>49.765</v>
      </c>
      <c r="C595" t="str">
        <f>"50.0275"</f>
        <v>50.0275</v>
      </c>
    </row>
    <row r="596" spans="1:3" x14ac:dyDescent="0.25">
      <c r="A596" t="str">
        <f>"11/11/2011"</f>
        <v>11/11/2011</v>
      </c>
      <c r="B596" t="str">
        <f>"50.17"</f>
        <v>50.17</v>
      </c>
      <c r="C596" t="str">
        <f>"50.4375"</f>
        <v>50.4375</v>
      </c>
    </row>
    <row r="597" spans="1:3" x14ac:dyDescent="0.25">
      <c r="A597" t="str">
        <f>"14/11/2011"</f>
        <v>14/11/2011</v>
      </c>
      <c r="B597" t="str">
        <f>"50.005"</f>
        <v>50.005</v>
      </c>
      <c r="C597" t="str">
        <f>"50.15"</f>
        <v>50.15</v>
      </c>
    </row>
    <row r="598" spans="1:3" x14ac:dyDescent="0.25">
      <c r="A598" t="str">
        <f>"15/11/2011"</f>
        <v>15/11/2011</v>
      </c>
      <c r="B598" t="str">
        <f>"50.70"</f>
        <v>50.70</v>
      </c>
      <c r="C598" t="str">
        <f>"51.0125"</f>
        <v>51.0125</v>
      </c>
    </row>
    <row r="599" spans="1:3" x14ac:dyDescent="0.25">
      <c r="A599" t="str">
        <f>"16/11/2011"</f>
        <v>16/11/2011</v>
      </c>
      <c r="B599" t="str">
        <f>"50.90"</f>
        <v>50.90</v>
      </c>
      <c r="C599" t="str">
        <f>"51.23"</f>
        <v>51.23</v>
      </c>
    </row>
    <row r="600" spans="1:3" x14ac:dyDescent="0.25">
      <c r="A600" t="str">
        <f>"17/11/2011"</f>
        <v>17/11/2011</v>
      </c>
      <c r="B600" t="str">
        <f>"50.745"</f>
        <v>50.745</v>
      </c>
      <c r="C600" t="str">
        <f>"51.0525"</f>
        <v>51.0525</v>
      </c>
    </row>
    <row r="601" spans="1:3" x14ac:dyDescent="0.25">
      <c r="A601" t="str">
        <f>"18/11/2011"</f>
        <v>18/11/2011</v>
      </c>
      <c r="B601" t="str">
        <f>"51.12"</f>
        <v>51.12</v>
      </c>
      <c r="C601" t="str">
        <f>"51.4075"</f>
        <v>51.4075</v>
      </c>
    </row>
    <row r="602" spans="1:3" x14ac:dyDescent="0.25">
      <c r="A602" t="str">
        <f>"21/11/2011"</f>
        <v>21/11/2011</v>
      </c>
      <c r="B602" t="str">
        <f>"51.78"</f>
        <v>51.78</v>
      </c>
      <c r="C602" t="str">
        <f>"52.0425"</f>
        <v>52.0425</v>
      </c>
    </row>
    <row r="603" spans="1:3" x14ac:dyDescent="0.25">
      <c r="A603" t="str">
        <f>"22/11/2011"</f>
        <v>22/11/2011</v>
      </c>
      <c r="B603" t="str">
        <f>"52.66"</f>
        <v>52.66</v>
      </c>
      <c r="C603" t="str">
        <f>"52.9325"</f>
        <v>52.9325</v>
      </c>
    </row>
    <row r="604" spans="1:3" x14ac:dyDescent="0.25">
      <c r="A604" t="str">
        <f>"23/11/2011"</f>
        <v>23/11/2011</v>
      </c>
      <c r="B604" t="str">
        <f>"52.0825"</f>
        <v>52.0825</v>
      </c>
      <c r="C604" t="str">
        <f>"52.405"</f>
        <v>52.405</v>
      </c>
    </row>
    <row r="605" spans="1:3" x14ac:dyDescent="0.25">
      <c r="A605" t="str">
        <f>"24/11/2011"</f>
        <v>24/11/2011</v>
      </c>
      <c r="B605" t="str">
        <f>"52.08"</f>
        <v>52.08</v>
      </c>
      <c r="C605" t="str">
        <f>"52.37"</f>
        <v>52.37</v>
      </c>
    </row>
    <row r="606" spans="1:3" x14ac:dyDescent="0.25">
      <c r="A606" t="str">
        <f>"25/11/2011"</f>
        <v>25/11/2011</v>
      </c>
      <c r="B606" t="str">
        <f>"52.35"</f>
        <v>52.35</v>
      </c>
      <c r="C606" t="str">
        <f>"52.635"</f>
        <v>52.635</v>
      </c>
    </row>
    <row r="607" spans="1:3" x14ac:dyDescent="0.25">
      <c r="A607" t="str">
        <f>"28/11/2011"</f>
        <v>28/11/2011</v>
      </c>
      <c r="B607" t="str">
        <f>"51.9475"</f>
        <v>51.9475</v>
      </c>
      <c r="C607" t="str">
        <f>"52.235"</f>
        <v>52.235</v>
      </c>
    </row>
    <row r="608" spans="1:3" x14ac:dyDescent="0.25">
      <c r="A608" t="str">
        <f>"29/11/2011"</f>
        <v>29/11/2011</v>
      </c>
      <c r="B608" t="str">
        <f>"51.9825"</f>
        <v>51.9825</v>
      </c>
      <c r="C608" t="str">
        <f>"52.2875"</f>
        <v>52.2875</v>
      </c>
    </row>
    <row r="609" spans="1:3" x14ac:dyDescent="0.25">
      <c r="A609" t="str">
        <f>"30/11/2011"</f>
        <v>30/11/2011</v>
      </c>
      <c r="B609" t="str">
        <f>"52.38"</f>
        <v>52.38</v>
      </c>
      <c r="C609" t="str">
        <f>"52.655"</f>
        <v>52.655</v>
      </c>
    </row>
    <row r="610" spans="1:3" x14ac:dyDescent="0.25">
      <c r="A610" t="str">
        <f>"01/12/2011"</f>
        <v>01/12/2011</v>
      </c>
      <c r="B610" t="str">
        <f>"51.51"</f>
        <v>51.51</v>
      </c>
      <c r="C610" t="str">
        <f>"51.8025"</f>
        <v>51.8025</v>
      </c>
    </row>
    <row r="611" spans="1:3" x14ac:dyDescent="0.25">
      <c r="A611" t="str">
        <f>"02/12/2011"</f>
        <v>02/12/2011</v>
      </c>
      <c r="B611" t="str">
        <f>"51.255"</f>
        <v>51.255</v>
      </c>
      <c r="C611" t="str">
        <f>"51.5525"</f>
        <v>51.5525</v>
      </c>
    </row>
    <row r="612" spans="1:3" x14ac:dyDescent="0.25">
      <c r="A612" t="str">
        <f>"05/12/2011"</f>
        <v>05/12/2011</v>
      </c>
      <c r="B612" t="str">
        <f>"51.285"</f>
        <v>51.285</v>
      </c>
      <c r="C612" t="str">
        <f>"51.5975"</f>
        <v>51.5975</v>
      </c>
    </row>
    <row r="613" spans="1:3" x14ac:dyDescent="0.25">
      <c r="A613" t="str">
        <f>"07/12/2011"</f>
        <v>07/12/2011</v>
      </c>
      <c r="B613" t="str">
        <f>"51.47"</f>
        <v>51.47</v>
      </c>
      <c r="C613" t="str">
        <f>"51.76"</f>
        <v>51.76</v>
      </c>
    </row>
    <row r="614" spans="1:3" x14ac:dyDescent="0.25">
      <c r="A614" t="str">
        <f>"08/12/2011"</f>
        <v>08/12/2011</v>
      </c>
      <c r="B614" t="str">
        <f>"51.6975"</f>
        <v>51.6975</v>
      </c>
      <c r="C614" t="str">
        <f>"52.0025"</f>
        <v>52.0025</v>
      </c>
    </row>
    <row r="615" spans="1:3" x14ac:dyDescent="0.25">
      <c r="A615" t="str">
        <f>"09/12/2011"</f>
        <v>09/12/2011</v>
      </c>
      <c r="B615" t="str">
        <f>"52.21"</f>
        <v>52.21</v>
      </c>
      <c r="C615" t="str">
        <f>"52.5225"</f>
        <v>52.5225</v>
      </c>
    </row>
    <row r="616" spans="1:3" x14ac:dyDescent="0.25">
      <c r="A616" t="str">
        <f>"12/12/2011"</f>
        <v>12/12/2011</v>
      </c>
      <c r="B616" t="str">
        <f>"52.84"</f>
        <v>52.84</v>
      </c>
      <c r="C616" t="str">
        <f>"53.185"</f>
        <v>53.185</v>
      </c>
    </row>
    <row r="617" spans="1:3" x14ac:dyDescent="0.25">
      <c r="A617" t="str">
        <f>"13/12/2011"</f>
        <v>13/12/2011</v>
      </c>
      <c r="B617" t="str">
        <f>"53.425"</f>
        <v>53.425</v>
      </c>
      <c r="C617" t="str">
        <f>"53.7575"</f>
        <v>53.7575</v>
      </c>
    </row>
    <row r="618" spans="1:3" x14ac:dyDescent="0.25">
      <c r="A618" t="str">
        <f>"14/12/2011"</f>
        <v>14/12/2011</v>
      </c>
      <c r="B618" t="str">
        <f>"53.675"</f>
        <v>53.675</v>
      </c>
      <c r="C618" t="str">
        <f>"54.0275"</f>
        <v>54.0275</v>
      </c>
    </row>
    <row r="619" spans="1:3" x14ac:dyDescent="0.25">
      <c r="A619" t="str">
        <f>"15/12/2011"</f>
        <v>15/12/2011</v>
      </c>
      <c r="B619" t="str">
        <f>"53.83"</f>
        <v>53.83</v>
      </c>
      <c r="C619" t="str">
        <f>"54.1925"</f>
        <v>54.1925</v>
      </c>
    </row>
    <row r="620" spans="1:3" x14ac:dyDescent="0.25">
      <c r="A620" t="str">
        <f>"16/12/2011"</f>
        <v>16/12/2011</v>
      </c>
      <c r="B620" t="str">
        <f>"52.715"</f>
        <v>52.715</v>
      </c>
      <c r="C620" t="str">
        <f>"53.0825"</f>
        <v>53.0825</v>
      </c>
    </row>
    <row r="621" spans="1:3" x14ac:dyDescent="0.25">
      <c r="A621" t="str">
        <f>"19/12/2011"</f>
        <v>19/12/2011</v>
      </c>
      <c r="B621" t="str">
        <f>"52.975"</f>
        <v>52.975</v>
      </c>
      <c r="C621" t="str">
        <f>"53.365"</f>
        <v>53.365</v>
      </c>
    </row>
    <row r="622" spans="1:3" x14ac:dyDescent="0.25">
      <c r="A622" t="str">
        <f>"20/12/2011"</f>
        <v>20/12/2011</v>
      </c>
      <c r="B622" t="str">
        <f>"53.05"</f>
        <v>53.05</v>
      </c>
      <c r="C622" t="str">
        <f>"53.4325"</f>
        <v>53.4325</v>
      </c>
    </row>
    <row r="623" spans="1:3" x14ac:dyDescent="0.25">
      <c r="A623" t="str">
        <f>"21/12/2011"</f>
        <v>21/12/2011</v>
      </c>
      <c r="B623" t="str">
        <f>"52.74"</f>
        <v>52.74</v>
      </c>
      <c r="C623" t="str">
        <f>"53.1325"</f>
        <v>53.1325</v>
      </c>
    </row>
    <row r="624" spans="1:3" x14ac:dyDescent="0.25">
      <c r="A624" t="str">
        <f>"22/12/2011"</f>
        <v>22/12/2011</v>
      </c>
      <c r="B624" t="str">
        <f>"52.79"</f>
        <v>52.79</v>
      </c>
      <c r="C624" t="str">
        <f>"53.18"</f>
        <v>53.18</v>
      </c>
    </row>
    <row r="625" spans="1:3" x14ac:dyDescent="0.25">
      <c r="A625" t="str">
        <f>"23/12/2011"</f>
        <v>23/12/2011</v>
      </c>
      <c r="B625" t="str">
        <f>"52.825"</f>
        <v>52.825</v>
      </c>
      <c r="C625" t="str">
        <f>"53.2525"</f>
        <v>53.2525</v>
      </c>
    </row>
    <row r="626" spans="1:3" x14ac:dyDescent="0.25">
      <c r="A626" t="str">
        <f>"26/12/2011"</f>
        <v>26/12/2011</v>
      </c>
      <c r="B626" t="str">
        <f>"52.83"</f>
        <v>52.83</v>
      </c>
      <c r="C626" t="str">
        <f>"53.215"</f>
        <v>53.215</v>
      </c>
    </row>
    <row r="627" spans="1:3" x14ac:dyDescent="0.25">
      <c r="A627" t="str">
        <f>"27/12/2011"</f>
        <v>27/12/2011</v>
      </c>
      <c r="B627" t="str">
        <f>"52.83"</f>
        <v>52.83</v>
      </c>
      <c r="C627" t="str">
        <f>"53.2225"</f>
        <v>53.2225</v>
      </c>
    </row>
    <row r="628" spans="1:3" x14ac:dyDescent="0.25">
      <c r="A628" t="str">
        <f>"28/12/2011"</f>
        <v>28/12/2011</v>
      </c>
      <c r="B628" t="str">
        <f>"53.235"</f>
        <v>53.235</v>
      </c>
      <c r="C628" t="str">
        <f>"53.675"</f>
        <v>53.675</v>
      </c>
    </row>
    <row r="629" spans="1:3" x14ac:dyDescent="0.25">
      <c r="A629" t="str">
        <f>"29/12/2011"</f>
        <v>29/12/2011</v>
      </c>
      <c r="B629" t="str">
        <f>"53.41"</f>
        <v>53.41</v>
      </c>
      <c r="C629" t="str">
        <f>"53.79"</f>
        <v>53.79</v>
      </c>
    </row>
    <row r="630" spans="1:3" x14ac:dyDescent="0.25">
      <c r="A630" t="str">
        <f>"30/12/2011"</f>
        <v>30/12/2011</v>
      </c>
      <c r="B630" t="str">
        <f>"53.26"</f>
        <v>53.26</v>
      </c>
      <c r="C630" t="str">
        <f>"53.66"</f>
        <v>53.66</v>
      </c>
    </row>
    <row r="631" spans="1:3" x14ac:dyDescent="0.25">
      <c r="A631" t="str">
        <f>"02/01/2012"</f>
        <v>02/01/2012</v>
      </c>
      <c r="B631" t="str">
        <f>"53.325"</f>
        <v>53.325</v>
      </c>
      <c r="C631" t="str">
        <f>"53.7125"</f>
        <v>53.7125</v>
      </c>
    </row>
    <row r="632" spans="1:3" x14ac:dyDescent="0.25">
      <c r="A632" t="str">
        <f>"03/01/2012"</f>
        <v>03/01/2012</v>
      </c>
      <c r="B632" t="str">
        <f>"53.1775"</f>
        <v>53.1775</v>
      </c>
      <c r="C632" t="str">
        <f>"53.5625"</f>
        <v>53.5625</v>
      </c>
    </row>
    <row r="633" spans="1:3" x14ac:dyDescent="0.25">
      <c r="A633" t="str">
        <f>"04/01/2012"</f>
        <v>04/01/2012</v>
      </c>
      <c r="B633" t="str">
        <f>"53.185"</f>
        <v>53.185</v>
      </c>
      <c r="C633" t="str">
        <f>"53.54"</f>
        <v>53.54</v>
      </c>
    </row>
    <row r="634" spans="1:3" x14ac:dyDescent="0.25">
      <c r="A634" t="str">
        <f>"05/01/2012"</f>
        <v>05/01/2012</v>
      </c>
      <c r="B634" t="str">
        <f>"52.815"</f>
        <v>52.815</v>
      </c>
      <c r="C634" t="str">
        <f>"53.1575"</f>
        <v>53.1575</v>
      </c>
    </row>
    <row r="635" spans="1:3" x14ac:dyDescent="0.25">
      <c r="A635" t="str">
        <f>"06/01/2012"</f>
        <v>06/01/2012</v>
      </c>
      <c r="B635" t="str">
        <f>"52.78"</f>
        <v>52.78</v>
      </c>
      <c r="C635" t="str">
        <f>"53.1225"</f>
        <v>53.1225</v>
      </c>
    </row>
    <row r="636" spans="1:3" x14ac:dyDescent="0.25">
      <c r="A636" t="str">
        <f>"09/01/2012"</f>
        <v>09/01/2012</v>
      </c>
      <c r="B636" t="str">
        <f>"52.7325"</f>
        <v>52.7325</v>
      </c>
      <c r="C636" t="str">
        <f>"53.095"</f>
        <v>53.095</v>
      </c>
    </row>
    <row r="637" spans="1:3" x14ac:dyDescent="0.25">
      <c r="A637" t="str">
        <f>"10/01/2012"</f>
        <v>10/01/2012</v>
      </c>
      <c r="B637" t="str">
        <f>"51.965"</f>
        <v>51.965</v>
      </c>
      <c r="C637" t="str">
        <f>"52.335"</f>
        <v>52.335</v>
      </c>
    </row>
    <row r="638" spans="1:3" x14ac:dyDescent="0.25">
      <c r="A638" t="str">
        <f>"11/01/2012"</f>
        <v>11/01/2012</v>
      </c>
      <c r="B638" t="str">
        <f>"51.6775"</f>
        <v>51.6775</v>
      </c>
      <c r="C638" t="str">
        <f>"52.0475"</f>
        <v>52.0475</v>
      </c>
    </row>
    <row r="639" spans="1:3" x14ac:dyDescent="0.25">
      <c r="A639" t="str">
        <f>"12/01/2012"</f>
        <v>12/01/2012</v>
      </c>
      <c r="B639" t="str">
        <f>"51.8325"</f>
        <v>51.8325</v>
      </c>
      <c r="C639" t="str">
        <f>"52.20"</f>
        <v>52.20</v>
      </c>
    </row>
    <row r="640" spans="1:3" x14ac:dyDescent="0.25">
      <c r="A640" t="str">
        <f>"13/01/2012"</f>
        <v>13/01/2012</v>
      </c>
      <c r="B640" t="str">
        <f>"51.39"</f>
        <v>51.39</v>
      </c>
      <c r="C640" t="str">
        <f>"51.825"</f>
        <v>51.825</v>
      </c>
    </row>
    <row r="641" spans="1:3" x14ac:dyDescent="0.25">
      <c r="A641" t="str">
        <f>"16/01/2012"</f>
        <v>16/01/2012</v>
      </c>
      <c r="B641" t="str">
        <f>"51.49"</f>
        <v>51.49</v>
      </c>
      <c r="C641" t="str">
        <f>"51.915"</f>
        <v>51.915</v>
      </c>
    </row>
    <row r="642" spans="1:3" x14ac:dyDescent="0.25">
      <c r="A642" t="str">
        <f>"17/01/2012"</f>
        <v>17/01/2012</v>
      </c>
      <c r="B642" t="str">
        <f>"51.03"</f>
        <v>51.03</v>
      </c>
      <c r="C642" t="str">
        <f>"51.4525"</f>
        <v>51.4525</v>
      </c>
    </row>
    <row r="643" spans="1:3" x14ac:dyDescent="0.25">
      <c r="A643" t="str">
        <f>"18/01/2012"</f>
        <v>18/01/2012</v>
      </c>
      <c r="B643" t="str">
        <f>"50.735"</f>
        <v>50.735</v>
      </c>
      <c r="C643" t="str">
        <f>"51.1425"</f>
        <v>51.1425</v>
      </c>
    </row>
    <row r="644" spans="1:3" x14ac:dyDescent="0.25">
      <c r="A644" t="str">
        <f>"19/01/2012"</f>
        <v>19/01/2012</v>
      </c>
      <c r="B644" t="str">
        <f>"50.27"</f>
        <v>50.27</v>
      </c>
      <c r="C644" t="str">
        <f>"50.6825"</f>
        <v>50.6825</v>
      </c>
    </row>
    <row r="645" spans="1:3" x14ac:dyDescent="0.25">
      <c r="A645" t="str">
        <f>"20/01/2012"</f>
        <v>20/01/2012</v>
      </c>
      <c r="B645" t="str">
        <f>"50.325"</f>
        <v>50.325</v>
      </c>
      <c r="C645" t="str">
        <f>"50.74"</f>
        <v>50.74</v>
      </c>
    </row>
    <row r="646" spans="1:3" x14ac:dyDescent="0.25">
      <c r="A646" t="str">
        <f>"23/01/2012"</f>
        <v>23/01/2012</v>
      </c>
      <c r="B646" t="str">
        <f>"50.1125"</f>
        <v>50.1125</v>
      </c>
      <c r="C646" t="str">
        <f>"50.5325"</f>
        <v>50.5325</v>
      </c>
    </row>
    <row r="647" spans="1:3" x14ac:dyDescent="0.25">
      <c r="A647" t="str">
        <f>"24/01/2012"</f>
        <v>24/01/2012</v>
      </c>
      <c r="B647" t="str">
        <f>"50.08"</f>
        <v>50.08</v>
      </c>
      <c r="C647" t="str">
        <f>"50.475"</f>
        <v>50.475</v>
      </c>
    </row>
    <row r="648" spans="1:3" x14ac:dyDescent="0.25">
      <c r="A648" t="str">
        <f>"25/01/2012"</f>
        <v>25/01/2012</v>
      </c>
      <c r="B648" t="str">
        <f>"50.0725"</f>
        <v>50.0725</v>
      </c>
      <c r="C648" t="str">
        <f>"50.46"</f>
        <v>50.46</v>
      </c>
    </row>
    <row r="649" spans="1:3" x14ac:dyDescent="0.25">
      <c r="A649" t="str">
        <f>"27/01/2012"</f>
        <v>27/01/2012</v>
      </c>
      <c r="B649" t="str">
        <f>"49.32"</f>
        <v>49.32</v>
      </c>
      <c r="C649" t="str">
        <f>"49.69"</f>
        <v>49.69</v>
      </c>
    </row>
    <row r="650" spans="1:3" x14ac:dyDescent="0.25">
      <c r="A650" t="str">
        <f>"30/01/2012"</f>
        <v>30/01/2012</v>
      </c>
      <c r="B650" t="str">
        <f>"49.675"</f>
        <v>49.675</v>
      </c>
      <c r="C650" t="str">
        <f>"50.0425"</f>
        <v>50.0425</v>
      </c>
    </row>
    <row r="651" spans="1:3" x14ac:dyDescent="0.25">
      <c r="A651" t="str">
        <f>"31/01/2012"</f>
        <v>31/01/2012</v>
      </c>
      <c r="B651" t="str">
        <f>"49.46"</f>
        <v>49.46</v>
      </c>
      <c r="C651" t="str">
        <f>"49.815"</f>
        <v>49.815</v>
      </c>
    </row>
    <row r="652" spans="1:3" x14ac:dyDescent="0.25">
      <c r="A652" t="str">
        <f>"01/02/2012"</f>
        <v>01/02/2012</v>
      </c>
      <c r="B652" t="str">
        <f>"49.56"</f>
        <v>49.56</v>
      </c>
      <c r="C652" t="str">
        <f>"49.9375"</f>
        <v>49.9375</v>
      </c>
    </row>
    <row r="653" spans="1:3" x14ac:dyDescent="0.25">
      <c r="A653" t="str">
        <f>"02/02/2012"</f>
        <v>02/02/2012</v>
      </c>
      <c r="B653" t="str">
        <f>"48.995"</f>
        <v>48.995</v>
      </c>
      <c r="C653" t="str">
        <f>"49.3475"</f>
        <v>49.3475</v>
      </c>
    </row>
    <row r="654" spans="1:3" x14ac:dyDescent="0.25">
      <c r="A654" t="str">
        <f>"03/02/2012"</f>
        <v>03/02/2012</v>
      </c>
      <c r="B654" t="str">
        <f>"49.115"</f>
        <v>49.115</v>
      </c>
      <c r="C654" t="str">
        <f>"49.465"</f>
        <v>49.465</v>
      </c>
    </row>
    <row r="655" spans="1:3" x14ac:dyDescent="0.25">
      <c r="A655" t="str">
        <f>"06/02/2012"</f>
        <v>06/02/2012</v>
      </c>
      <c r="B655" t="str">
        <f>"48.76"</f>
        <v>48.76</v>
      </c>
      <c r="C655" t="str">
        <f>"49.10"</f>
        <v>49.10</v>
      </c>
    </row>
    <row r="656" spans="1:3" x14ac:dyDescent="0.25">
      <c r="A656" t="str">
        <f>"07/02/2012"</f>
        <v>07/02/2012</v>
      </c>
      <c r="B656" t="str">
        <f>"49.03"</f>
        <v>49.03</v>
      </c>
      <c r="C656" t="str">
        <f>"49.355"</f>
        <v>49.355</v>
      </c>
    </row>
    <row r="657" spans="1:3" x14ac:dyDescent="0.25">
      <c r="A657" t="str">
        <f>"08/02/2012"</f>
        <v>08/02/2012</v>
      </c>
      <c r="B657" t="str">
        <f>"49.15"</f>
        <v>49.15</v>
      </c>
      <c r="C657" t="str">
        <f>"49.5125"</f>
        <v>49.5125</v>
      </c>
    </row>
    <row r="658" spans="1:3" x14ac:dyDescent="0.25">
      <c r="A658" t="str">
        <f>"09/02/2012"</f>
        <v>09/02/2012</v>
      </c>
      <c r="B658" t="str">
        <f>"49.3975"</f>
        <v>49.3975</v>
      </c>
      <c r="C658" t="str">
        <f>"49.74"</f>
        <v>49.74</v>
      </c>
    </row>
    <row r="659" spans="1:3" x14ac:dyDescent="0.25">
      <c r="A659" t="str">
        <f>"10/02/2012"</f>
        <v>10/02/2012</v>
      </c>
      <c r="B659" t="str">
        <f>"49.59"</f>
        <v>49.59</v>
      </c>
      <c r="C659" t="str">
        <f>"49.9425"</f>
        <v>49.9425</v>
      </c>
    </row>
    <row r="660" spans="1:3" x14ac:dyDescent="0.25">
      <c r="A660" t="str">
        <f>"13/02/2012"</f>
        <v>13/02/2012</v>
      </c>
      <c r="B660" t="str">
        <f>"49.26"</f>
        <v>49.26</v>
      </c>
      <c r="C660" t="str">
        <f>"49.61"</f>
        <v>49.61</v>
      </c>
    </row>
    <row r="661" spans="1:3" x14ac:dyDescent="0.25">
      <c r="A661" t="str">
        <f>"14/02/2012"</f>
        <v>14/02/2012</v>
      </c>
      <c r="B661" t="str">
        <f>"49.30"</f>
        <v>49.30</v>
      </c>
      <c r="C661" t="str">
        <f>"49.65"</f>
        <v>49.65</v>
      </c>
    </row>
    <row r="662" spans="1:3" x14ac:dyDescent="0.25">
      <c r="A662" t="str">
        <f>"15/02/2012"</f>
        <v>15/02/2012</v>
      </c>
      <c r="B662" t="str">
        <f>"49.2775"</f>
        <v>49.2775</v>
      </c>
      <c r="C662" t="str">
        <f>"49.625"</f>
        <v>49.625</v>
      </c>
    </row>
    <row r="663" spans="1:3" x14ac:dyDescent="0.25">
      <c r="A663" t="str">
        <f>"16/02/2012"</f>
        <v>16/02/2012</v>
      </c>
      <c r="B663" t="str">
        <f>"49.295"</f>
        <v>49.295</v>
      </c>
      <c r="C663" t="str">
        <f>"49.6425"</f>
        <v>49.6425</v>
      </c>
    </row>
    <row r="664" spans="1:3" x14ac:dyDescent="0.25">
      <c r="A664" t="str">
        <f>"17/02/2012"</f>
        <v>17/02/2012</v>
      </c>
      <c r="B664" t="str">
        <f>"49.2775"</f>
        <v>49.2775</v>
      </c>
      <c r="C664" t="str">
        <f>"49.6375"</f>
        <v>49.6375</v>
      </c>
    </row>
    <row r="665" spans="1:3" x14ac:dyDescent="0.25">
      <c r="A665" t="str">
        <f>"21/02/2012"</f>
        <v>21/02/2012</v>
      </c>
      <c r="B665" t="str">
        <f>"49.24"</f>
        <v>49.24</v>
      </c>
      <c r="C665" t="str">
        <f>"49.635"</f>
        <v>49.635</v>
      </c>
    </row>
    <row r="666" spans="1:3" x14ac:dyDescent="0.25">
      <c r="A666" t="str">
        <f>"22/02/2012"</f>
        <v>22/02/2012</v>
      </c>
      <c r="B666" t="str">
        <f>"49.2475"</f>
        <v>49.2475</v>
      </c>
      <c r="C666" t="str">
        <f>"49.6275"</f>
        <v>49.6275</v>
      </c>
    </row>
    <row r="667" spans="1:3" x14ac:dyDescent="0.25">
      <c r="A667" t="str">
        <f>"23/02/2012"</f>
        <v>23/02/2012</v>
      </c>
      <c r="B667" t="str">
        <f>"49.1825"</f>
        <v>49.1825</v>
      </c>
      <c r="C667" t="str">
        <f>"49.5425"</f>
        <v>49.5425</v>
      </c>
    </row>
    <row r="668" spans="1:3" x14ac:dyDescent="0.25">
      <c r="A668" t="str">
        <f>"24/02/2012"</f>
        <v>24/02/2012</v>
      </c>
      <c r="B668" t="str">
        <f>"49.06"</f>
        <v>49.06</v>
      </c>
      <c r="C668" t="str">
        <f>"49.43"</f>
        <v>49.43</v>
      </c>
    </row>
    <row r="669" spans="1:3" x14ac:dyDescent="0.25">
      <c r="A669" t="str">
        <f>"27/02/2012"</f>
        <v>27/02/2012</v>
      </c>
      <c r="B669" t="str">
        <f>"49.225"</f>
        <v>49.225</v>
      </c>
      <c r="C669" t="str">
        <f>"49.635"</f>
        <v>49.635</v>
      </c>
    </row>
    <row r="670" spans="1:3" x14ac:dyDescent="0.25">
      <c r="A670" t="str">
        <f>"28/02/2012"</f>
        <v>28/02/2012</v>
      </c>
      <c r="B670" t="str">
        <f>"49.22"</f>
        <v>49.22</v>
      </c>
      <c r="C670" t="str">
        <f>"49.6475"</f>
        <v>49.6475</v>
      </c>
    </row>
    <row r="671" spans="1:3" x14ac:dyDescent="0.25">
      <c r="A671" t="str">
        <f t="shared" ref="A671" si="0">"29/02/2012"</f>
        <v>29/02/2012</v>
      </c>
      <c r="B671" t="str">
        <f>"49.03"</f>
        <v>49.03</v>
      </c>
      <c r="C671" t="str">
        <f>"49.4475"</f>
        <v>49.4475</v>
      </c>
    </row>
    <row r="672" spans="1:3" x14ac:dyDescent="0.25">
      <c r="A672" t="str">
        <f>"01/03/2012"</f>
        <v>01/03/2012</v>
      </c>
      <c r="B672" t="str">
        <f>"49.215"</f>
        <v>49.215</v>
      </c>
      <c r="C672" t="str">
        <f>"49.6675"</f>
        <v>49.6675</v>
      </c>
    </row>
    <row r="673" spans="1:3" x14ac:dyDescent="0.25">
      <c r="A673" t="str">
        <f>"02/03/2012"</f>
        <v>02/03/2012</v>
      </c>
      <c r="B673" t="str">
        <f>"49.3575"</f>
        <v>49.3575</v>
      </c>
      <c r="C673" t="str">
        <f>"49.79"</f>
        <v>49.79</v>
      </c>
    </row>
    <row r="674" spans="1:3" x14ac:dyDescent="0.25">
      <c r="A674" t="str">
        <f>"05/03/2012"</f>
        <v>05/03/2012</v>
      </c>
      <c r="B674" t="str">
        <f>"49.84"</f>
        <v>49.84</v>
      </c>
      <c r="C674" t="str">
        <f>"50.255"</f>
        <v>50.255</v>
      </c>
    </row>
    <row r="675" spans="1:3" x14ac:dyDescent="0.25">
      <c r="A675" t="str">
        <f>"06/03/2012"</f>
        <v>06/03/2012</v>
      </c>
      <c r="B675" t="str">
        <f>"50.04"</f>
        <v>50.04</v>
      </c>
      <c r="C675" t="str">
        <f>"50.4275"</f>
        <v>50.4275</v>
      </c>
    </row>
    <row r="676" spans="1:3" x14ac:dyDescent="0.25">
      <c r="A676" t="str">
        <f>"07/03/2012"</f>
        <v>07/03/2012</v>
      </c>
      <c r="B676" t="str">
        <f>"50.30"</f>
        <v>50.30</v>
      </c>
      <c r="C676" t="str">
        <f>"50.7075"</f>
        <v>50.7075</v>
      </c>
    </row>
    <row r="677" spans="1:3" x14ac:dyDescent="0.25">
      <c r="A677" t="str">
        <f>"09/03/2012"</f>
        <v>09/03/2012</v>
      </c>
      <c r="B677" t="str">
        <f>"49.91"</f>
        <v>49.91</v>
      </c>
      <c r="C677" t="str">
        <f>"50.325"</f>
        <v>50.325</v>
      </c>
    </row>
    <row r="678" spans="1:3" x14ac:dyDescent="0.25">
      <c r="A678" t="str">
        <f>"12/03/2012"</f>
        <v>12/03/2012</v>
      </c>
      <c r="B678" t="str">
        <f>"49.96"</f>
        <v>49.96</v>
      </c>
      <c r="C678" t="str">
        <f>"50.395"</f>
        <v>50.395</v>
      </c>
    </row>
    <row r="679" spans="1:3" x14ac:dyDescent="0.25">
      <c r="A679" t="str">
        <f>"13/03/2012"</f>
        <v>13/03/2012</v>
      </c>
      <c r="B679" t="str">
        <f>"49.8775"</f>
        <v>49.8775</v>
      </c>
      <c r="C679" t="str">
        <f>"50.3025"</f>
        <v>50.3025</v>
      </c>
    </row>
    <row r="680" spans="1:3" x14ac:dyDescent="0.25">
      <c r="A680" t="str">
        <f>"14/03/2012"</f>
        <v>14/03/2012</v>
      </c>
      <c r="B680" t="str">
        <f>"49.905"</f>
        <v>49.905</v>
      </c>
      <c r="C680" t="str">
        <f>"50.3175"</f>
        <v>50.3175</v>
      </c>
    </row>
    <row r="681" spans="1:3" x14ac:dyDescent="0.25">
      <c r="A681" t="str">
        <f>"15/03/2012"</f>
        <v>15/03/2012</v>
      </c>
      <c r="B681" t="str">
        <f>"50.4225"</f>
        <v>50.4225</v>
      </c>
      <c r="C681" t="str">
        <f>"50.83"</f>
        <v>50.83</v>
      </c>
    </row>
    <row r="682" spans="1:3" x14ac:dyDescent="0.25">
      <c r="A682" t="str">
        <f>"16/03/2012"</f>
        <v>16/03/2012</v>
      </c>
      <c r="B682" t="str">
        <f>"50.31"</f>
        <v>50.31</v>
      </c>
      <c r="C682" t="str">
        <f>"50.7175"</f>
        <v>50.7175</v>
      </c>
    </row>
    <row r="683" spans="1:3" x14ac:dyDescent="0.25">
      <c r="A683" t="str">
        <f>"19/03/2012"</f>
        <v>19/03/2012</v>
      </c>
      <c r="B683" t="str">
        <f>"50.105"</f>
        <v>50.105</v>
      </c>
      <c r="C683" t="str">
        <f>"50.54"</f>
        <v>50.54</v>
      </c>
    </row>
    <row r="684" spans="1:3" x14ac:dyDescent="0.25">
      <c r="A684" t="str">
        <f>"20/03/2012"</f>
        <v>20/03/2012</v>
      </c>
      <c r="B684" t="str">
        <f>"50.27"</f>
        <v>50.27</v>
      </c>
      <c r="C684" t="str">
        <f>"50.69"</f>
        <v>50.69</v>
      </c>
    </row>
    <row r="685" spans="1:3" x14ac:dyDescent="0.25">
      <c r="A685" t="str">
        <f>"21/03/2012"</f>
        <v>21/03/2012</v>
      </c>
      <c r="B685" t="str">
        <f>"50.50"</f>
        <v>50.50</v>
      </c>
      <c r="C685" t="str">
        <f>"50.9575"</f>
        <v>50.9575</v>
      </c>
    </row>
    <row r="686" spans="1:3" x14ac:dyDescent="0.25">
      <c r="A686" t="str">
        <f>"22/03/2012"</f>
        <v>22/03/2012</v>
      </c>
      <c r="B686" t="str">
        <f>"51.10"</f>
        <v>51.10</v>
      </c>
      <c r="C686" t="str">
        <f>"51.5525"</f>
        <v>51.5525</v>
      </c>
    </row>
    <row r="687" spans="1:3" x14ac:dyDescent="0.25">
      <c r="A687" t="str">
        <f>"26/03/2012"</f>
        <v>26/03/2012</v>
      </c>
      <c r="B687" t="str">
        <f>"51.3925"</f>
        <v>51.3925</v>
      </c>
      <c r="C687" t="str">
        <f>"51.8925"</f>
        <v>51.8925</v>
      </c>
    </row>
    <row r="688" spans="1:3" x14ac:dyDescent="0.25">
      <c r="A688" t="str">
        <f>"27/03/2012"</f>
        <v>27/03/2012</v>
      </c>
      <c r="B688" t="str">
        <f>"51.135"</f>
        <v>51.135</v>
      </c>
      <c r="C688" t="str">
        <f>"51.6375"</f>
        <v>51.6375</v>
      </c>
    </row>
    <row r="689" spans="1:3" x14ac:dyDescent="0.25">
      <c r="A689" t="str">
        <f>"28/03/2012"</f>
        <v>28/03/2012</v>
      </c>
      <c r="B689" t="str">
        <f>"50.81"</f>
        <v>50.81</v>
      </c>
      <c r="C689" t="str">
        <f>"51.295"</f>
        <v>51.295</v>
      </c>
    </row>
    <row r="690" spans="1:3" x14ac:dyDescent="0.25">
      <c r="A690" t="str">
        <f>"29/03/2012"</f>
        <v>29/03/2012</v>
      </c>
      <c r="B690" t="str">
        <f>"51.245"</f>
        <v>51.245</v>
      </c>
      <c r="C690" t="str">
        <f>"51.6175"</f>
        <v>51.6175</v>
      </c>
    </row>
    <row r="691" spans="1:3" x14ac:dyDescent="0.25">
      <c r="A691" t="str">
        <f>"30/03/2012"</f>
        <v>30/03/2012</v>
      </c>
      <c r="B691" t="str">
        <f>"50.88"</f>
        <v>50.88</v>
      </c>
      <c r="C691" t="str">
        <f>"51.2425"</f>
        <v>51.2425</v>
      </c>
    </row>
    <row r="692" spans="1:3" x14ac:dyDescent="0.25">
      <c r="A692" t="str">
        <f>"03/04/2012"</f>
        <v>03/04/2012</v>
      </c>
      <c r="B692" t="str">
        <f>"50.575"</f>
        <v>50.575</v>
      </c>
      <c r="C692" t="str">
        <f>"50.94"</f>
        <v>50.94</v>
      </c>
    </row>
    <row r="693" spans="1:3" x14ac:dyDescent="0.25">
      <c r="A693" t="str">
        <f>"04/04/2012"</f>
        <v>04/04/2012</v>
      </c>
      <c r="B693" t="str">
        <f>"51.135"</f>
        <v>51.135</v>
      </c>
      <c r="C693" t="str">
        <f>"51.495"</f>
        <v>51.495</v>
      </c>
    </row>
    <row r="694" spans="1:3" x14ac:dyDescent="0.25">
      <c r="A694" t="str">
        <f>"10/04/2012"</f>
        <v>10/04/2012</v>
      </c>
      <c r="B694" t="str">
        <f>"51.1575"</f>
        <v>51.1575</v>
      </c>
      <c r="C694" t="str">
        <f>"51.5575"</f>
        <v>51.5575</v>
      </c>
    </row>
    <row r="695" spans="1:3" x14ac:dyDescent="0.25">
      <c r="A695" t="str">
        <f>"11/04/2012"</f>
        <v>11/04/2012</v>
      </c>
      <c r="B695" t="str">
        <f>"51.54"</f>
        <v>51.54</v>
      </c>
      <c r="C695" t="str">
        <f>"51.925"</f>
        <v>51.925</v>
      </c>
    </row>
    <row r="696" spans="1:3" x14ac:dyDescent="0.25">
      <c r="A696" t="str">
        <f>"12/04/2012"</f>
        <v>12/04/2012</v>
      </c>
      <c r="B696" t="str">
        <f>"51.37"</f>
        <v>51.37</v>
      </c>
      <c r="C696" t="str">
        <f>"51.7375"</f>
        <v>51.7375</v>
      </c>
    </row>
    <row r="697" spans="1:3" x14ac:dyDescent="0.25">
      <c r="A697" t="str">
        <f>"13/04/2012"</f>
        <v>13/04/2012</v>
      </c>
      <c r="B697" t="str">
        <f>"51.405"</f>
        <v>51.405</v>
      </c>
      <c r="C697" t="str">
        <f>"51.755"</f>
        <v>51.755</v>
      </c>
    </row>
    <row r="698" spans="1:3" x14ac:dyDescent="0.25">
      <c r="A698" t="str">
        <f>"16/04/2012"</f>
        <v>16/04/2012</v>
      </c>
      <c r="B698" t="str">
        <f>"51.675"</f>
        <v>51.675</v>
      </c>
      <c r="C698" t="str">
        <f>"52.03"</f>
        <v>52.03</v>
      </c>
    </row>
    <row r="699" spans="1:3" x14ac:dyDescent="0.25">
      <c r="A699" t="str">
        <f>"17/04/2012"</f>
        <v>17/04/2012</v>
      </c>
      <c r="B699" t="str">
        <f>"51.6375"</f>
        <v>51.6375</v>
      </c>
      <c r="C699" t="str">
        <f>"52.015"</f>
        <v>52.015</v>
      </c>
    </row>
    <row r="700" spans="1:3" x14ac:dyDescent="0.25">
      <c r="A700" t="str">
        <f>"18/04/2012"</f>
        <v>18/04/2012</v>
      </c>
      <c r="B700" t="str">
        <f>"51.6625"</f>
        <v>51.6625</v>
      </c>
      <c r="C700" t="str">
        <f>"52.025"</f>
        <v>52.025</v>
      </c>
    </row>
    <row r="701" spans="1:3" x14ac:dyDescent="0.25">
      <c r="A701" t="str">
        <f>"19/04/2012"</f>
        <v>19/04/2012</v>
      </c>
      <c r="B701" t="str">
        <f>"52.00"</f>
        <v>52.00</v>
      </c>
      <c r="C701" t="str">
        <f>"52.36"</f>
        <v>52.36</v>
      </c>
    </row>
    <row r="702" spans="1:3" x14ac:dyDescent="0.25">
      <c r="A702" t="str">
        <f>"20/04/2012"</f>
        <v>20/04/2012</v>
      </c>
      <c r="B702" t="str">
        <f>"52.055"</f>
        <v>52.055</v>
      </c>
      <c r="C702" t="str">
        <f>"52.415"</f>
        <v>52.415</v>
      </c>
    </row>
    <row r="703" spans="1:3" x14ac:dyDescent="0.25">
      <c r="A703" t="str">
        <f>"23/04/2012"</f>
        <v>23/04/2012</v>
      </c>
      <c r="B703" t="str">
        <f>"52.24"</f>
        <v>52.24</v>
      </c>
      <c r="C703" t="str">
        <f>"52.5975"</f>
        <v>52.5975</v>
      </c>
    </row>
    <row r="704" spans="1:3" x14ac:dyDescent="0.25">
      <c r="A704" t="str">
        <f>"24/04/2012"</f>
        <v>24/04/2012</v>
      </c>
      <c r="B704" t="str">
        <f>"52.80"</f>
        <v>52.80</v>
      </c>
      <c r="C704" t="str">
        <f>"53.2125"</f>
        <v>53.2125</v>
      </c>
    </row>
    <row r="705" spans="1:3" x14ac:dyDescent="0.25">
      <c r="A705" t="str">
        <f>"25/04/2012"</f>
        <v>25/04/2012</v>
      </c>
      <c r="B705" t="str">
        <f>"52.61"</f>
        <v>52.61</v>
      </c>
      <c r="C705" t="str">
        <f>"53.0075"</f>
        <v>53.0075</v>
      </c>
    </row>
    <row r="706" spans="1:3" x14ac:dyDescent="0.25">
      <c r="A706" t="str">
        <f>"26/04/2012"</f>
        <v>26/04/2012</v>
      </c>
      <c r="B706" t="str">
        <f>"52.525"</f>
        <v>52.525</v>
      </c>
      <c r="C706" t="str">
        <f>"52.9025"</f>
        <v>52.9025</v>
      </c>
    </row>
    <row r="707" spans="1:3" x14ac:dyDescent="0.25">
      <c r="A707" t="str">
        <f>"27/04/2012"</f>
        <v>27/04/2012</v>
      </c>
      <c r="B707" t="str">
        <f>"52.56"</f>
        <v>52.56</v>
      </c>
      <c r="C707" t="str">
        <f>"52.9875"</f>
        <v>52.9875</v>
      </c>
    </row>
    <row r="708" spans="1:3" x14ac:dyDescent="0.25">
      <c r="A708" t="str">
        <f>"30/04/2012"</f>
        <v>30/04/2012</v>
      </c>
      <c r="B708" t="str">
        <f>"52.525"</f>
        <v>52.525</v>
      </c>
      <c r="C708" t="str">
        <f>"52.90"</f>
        <v>52.90</v>
      </c>
    </row>
    <row r="709" spans="1:3" x14ac:dyDescent="0.25">
      <c r="A709" t="str">
        <f>"02/05/2012"</f>
        <v>02/05/2012</v>
      </c>
      <c r="B709" t="str">
        <f>"52.94"</f>
        <v>52.94</v>
      </c>
      <c r="C709" t="str">
        <f>"53.305"</f>
        <v>53.305</v>
      </c>
    </row>
    <row r="710" spans="1:3" x14ac:dyDescent="0.25">
      <c r="A710" t="str">
        <f>"03/05/2012"</f>
        <v>03/05/2012</v>
      </c>
      <c r="B710" t="str">
        <f>"53.4125"</f>
        <v>53.4125</v>
      </c>
      <c r="C710" t="str">
        <f>"53.775"</f>
        <v>53.775</v>
      </c>
    </row>
    <row r="711" spans="1:3" x14ac:dyDescent="0.25">
      <c r="A711" t="str">
        <f>"04/05/2012"</f>
        <v>04/05/2012</v>
      </c>
      <c r="B711" t="str">
        <f>"53.77"</f>
        <v>53.77</v>
      </c>
      <c r="C711" t="str">
        <f>"54.1325"</f>
        <v>54.1325</v>
      </c>
    </row>
    <row r="712" spans="1:3" x14ac:dyDescent="0.25">
      <c r="A712" t="str">
        <f>"07/05/2012"</f>
        <v>07/05/2012</v>
      </c>
      <c r="B712" t="str">
        <f>"52.92"</f>
        <v>52.92</v>
      </c>
      <c r="C712" t="str">
        <f>"53.305"</f>
        <v>53.305</v>
      </c>
    </row>
    <row r="713" spans="1:3" x14ac:dyDescent="0.25">
      <c r="A713" t="str">
        <f>"08/05/2012"</f>
        <v>08/05/2012</v>
      </c>
      <c r="B713" t="str">
        <f>"52.82"</f>
        <v>52.82</v>
      </c>
      <c r="C713" t="str">
        <f>"53.20"</f>
        <v>53.20</v>
      </c>
    </row>
    <row r="714" spans="1:3" x14ac:dyDescent="0.25">
      <c r="A714" t="str">
        <f>"09/05/2012"</f>
        <v>09/05/2012</v>
      </c>
      <c r="B714" t="str">
        <f>"53.58"</f>
        <v>53.58</v>
      </c>
      <c r="C714" t="str">
        <f>"53.945"</f>
        <v>53.945</v>
      </c>
    </row>
    <row r="715" spans="1:3" x14ac:dyDescent="0.25">
      <c r="A715" t="str">
        <f>"10/05/2012"</f>
        <v>10/05/2012</v>
      </c>
      <c r="B715" t="str">
        <f>"53.63"</f>
        <v>53.63</v>
      </c>
      <c r="C715" t="str">
        <f>"54.035"</f>
        <v>54.035</v>
      </c>
    </row>
    <row r="716" spans="1:3" x14ac:dyDescent="0.25">
      <c r="A716" t="str">
        <f>"11/05/2012"</f>
        <v>11/05/2012</v>
      </c>
      <c r="B716" t="str">
        <f>"53.595"</f>
        <v>53.595</v>
      </c>
      <c r="C716" t="str">
        <f>"53.945"</f>
        <v>53.945</v>
      </c>
    </row>
    <row r="717" spans="1:3" x14ac:dyDescent="0.25">
      <c r="A717" t="str">
        <f>"14/05/2012"</f>
        <v>14/05/2012</v>
      </c>
      <c r="B717" t="str">
        <f>"53.8125"</f>
        <v>53.8125</v>
      </c>
      <c r="C717" t="str">
        <f>"54.185"</f>
        <v>54.185</v>
      </c>
    </row>
    <row r="718" spans="1:3" x14ac:dyDescent="0.25">
      <c r="A718" t="str">
        <f>"15/05/2012"</f>
        <v>15/05/2012</v>
      </c>
      <c r="B718" t="str">
        <f>"53.84"</f>
        <v>53.84</v>
      </c>
      <c r="C718" t="str">
        <f>"54.19"</f>
        <v>54.19</v>
      </c>
    </row>
    <row r="719" spans="1:3" x14ac:dyDescent="0.25">
      <c r="A719" t="str">
        <f>"16/05/2012"</f>
        <v>16/05/2012</v>
      </c>
      <c r="B719" t="str">
        <f>"54.235"</f>
        <v>54.235</v>
      </c>
      <c r="C719" t="str">
        <f>"54.575"</f>
        <v>54.575</v>
      </c>
    </row>
    <row r="720" spans="1:3" x14ac:dyDescent="0.25">
      <c r="A720" t="str">
        <f>"17/05/2012"</f>
        <v>17/05/2012</v>
      </c>
      <c r="B720" t="str">
        <f>"54.405"</f>
        <v>54.405</v>
      </c>
      <c r="C720" t="str">
        <f>"54.76"</f>
        <v>54.76</v>
      </c>
    </row>
    <row r="721" spans="1:3" x14ac:dyDescent="0.25">
      <c r="A721" t="str">
        <f>"18/05/2012"</f>
        <v>18/05/2012</v>
      </c>
      <c r="B721" t="str">
        <f>"54.7725"</f>
        <v>54.7725</v>
      </c>
      <c r="C721" t="str">
        <f>"55.1275"</f>
        <v>55.1275</v>
      </c>
    </row>
    <row r="722" spans="1:3" x14ac:dyDescent="0.25">
      <c r="A722" t="str">
        <f>"21/05/2012"</f>
        <v>21/05/2012</v>
      </c>
      <c r="B722" t="str">
        <f>"54.835"</f>
        <v>54.835</v>
      </c>
      <c r="C722" t="str">
        <f>"55.21"</f>
        <v>55.21</v>
      </c>
    </row>
    <row r="723" spans="1:3" x14ac:dyDescent="0.25">
      <c r="A723" t="str">
        <f>"22/05/2012"</f>
        <v>22/05/2012</v>
      </c>
      <c r="B723" t="str">
        <f>"55.42"</f>
        <v>55.42</v>
      </c>
      <c r="C723" t="str">
        <f>"55.7925"</f>
        <v>55.7925</v>
      </c>
    </row>
    <row r="724" spans="1:3" x14ac:dyDescent="0.25">
      <c r="A724" t="str">
        <f>"23/05/2012"</f>
        <v>23/05/2012</v>
      </c>
      <c r="B724" t="str">
        <f>"55.735"</f>
        <v>55.735</v>
      </c>
      <c r="C724" t="str">
        <f>"56.0925"</f>
        <v>56.0925</v>
      </c>
    </row>
    <row r="725" spans="1:3" x14ac:dyDescent="0.25">
      <c r="A725" t="str">
        <f>"24/05/2012"</f>
        <v>24/05/2012</v>
      </c>
      <c r="B725" t="str">
        <f>"56.30"</f>
        <v>56.30</v>
      </c>
      <c r="C725" t="str">
        <f>"56.6725"</f>
        <v>56.6725</v>
      </c>
    </row>
    <row r="726" spans="1:3" x14ac:dyDescent="0.25">
      <c r="A726" t="str">
        <f>"25/05/2012"</f>
        <v>25/05/2012</v>
      </c>
      <c r="B726" t="str">
        <f>"55.8225"</f>
        <v>55.8225</v>
      </c>
      <c r="C726" t="str">
        <f>"56.1975"</f>
        <v>56.1975</v>
      </c>
    </row>
    <row r="727" spans="1:3" x14ac:dyDescent="0.25">
      <c r="A727" t="str">
        <f>"28/05/2012"</f>
        <v>28/05/2012</v>
      </c>
      <c r="B727" t="str">
        <f>"55.1975"</f>
        <v>55.1975</v>
      </c>
      <c r="C727" t="str">
        <f>"55.5375"</f>
        <v>55.5375</v>
      </c>
    </row>
    <row r="728" spans="1:3" x14ac:dyDescent="0.25">
      <c r="A728" t="str">
        <f>"29/05/2012"</f>
        <v>29/05/2012</v>
      </c>
      <c r="B728" t="str">
        <f>"55.5575"</f>
        <v>55.5575</v>
      </c>
      <c r="C728" t="str">
        <f>"55.90"</f>
        <v>55.90</v>
      </c>
    </row>
    <row r="729" spans="1:3" x14ac:dyDescent="0.25">
      <c r="A729" t="str">
        <f>"30/05/2012"</f>
        <v>30/05/2012</v>
      </c>
      <c r="B729" t="str">
        <f>"56.045"</f>
        <v>56.045</v>
      </c>
      <c r="C729" t="str">
        <f>"56.4175"</f>
        <v>56.4175</v>
      </c>
    </row>
    <row r="730" spans="1:3" x14ac:dyDescent="0.25">
      <c r="A730" t="str">
        <f>"31/05/2012"</f>
        <v>31/05/2012</v>
      </c>
      <c r="B730" t="str">
        <f>"56.4225"</f>
        <v>56.4225</v>
      </c>
      <c r="C730" t="str">
        <f>"56.7825"</f>
        <v>56.7825</v>
      </c>
    </row>
    <row r="731" spans="1:3" x14ac:dyDescent="0.25">
      <c r="A731" t="str">
        <f>"01/06/2012"</f>
        <v>01/06/2012</v>
      </c>
      <c r="B731" t="str">
        <f>"55.92"</f>
        <v>55.92</v>
      </c>
      <c r="C731" t="str">
        <f>"56.265"</f>
        <v>56.265</v>
      </c>
    </row>
    <row r="732" spans="1:3" x14ac:dyDescent="0.25">
      <c r="A732" t="str">
        <f>"04/06/2012"</f>
        <v>04/06/2012</v>
      </c>
      <c r="B732" t="str">
        <f>"55.6575"</f>
        <v>55.6575</v>
      </c>
      <c r="C732" t="str">
        <f>"56.00"</f>
        <v>56.00</v>
      </c>
    </row>
    <row r="733" spans="1:3" x14ac:dyDescent="0.25">
      <c r="A733" t="str">
        <f>"05/06/2012"</f>
        <v>05/06/2012</v>
      </c>
      <c r="B733" t="str">
        <f>"55.6825"</f>
        <v>55.6825</v>
      </c>
      <c r="C733" t="str">
        <f>"56.0425"</f>
        <v>56.0425</v>
      </c>
    </row>
    <row r="734" spans="1:3" x14ac:dyDescent="0.25">
      <c r="A734" t="str">
        <f>"06/06/2012"</f>
        <v>06/06/2012</v>
      </c>
      <c r="B734" t="str">
        <f>"55.3825"</f>
        <v>55.3825</v>
      </c>
      <c r="C734" t="str">
        <f>"55.7375"</f>
        <v>55.7375</v>
      </c>
    </row>
    <row r="735" spans="1:3" x14ac:dyDescent="0.25">
      <c r="A735" t="str">
        <f>"07/06/2012"</f>
        <v>07/06/2012</v>
      </c>
      <c r="B735" t="str">
        <f>"55.06"</f>
        <v>55.06</v>
      </c>
      <c r="C735" t="str">
        <f>"55.4025"</f>
        <v>55.4025</v>
      </c>
    </row>
    <row r="736" spans="1:3" x14ac:dyDescent="0.25">
      <c r="A736" t="str">
        <f>"08/06/2012"</f>
        <v>08/06/2012</v>
      </c>
      <c r="B736" t="str">
        <f>"55.24"</f>
        <v>55.24</v>
      </c>
      <c r="C736" t="str">
        <f>"55.5725"</f>
        <v>55.5725</v>
      </c>
    </row>
    <row r="737" spans="1:3" x14ac:dyDescent="0.25">
      <c r="A737" t="str">
        <f>"11/06/2012"</f>
        <v>11/06/2012</v>
      </c>
      <c r="B737" t="str">
        <f>"55.245"</f>
        <v>55.245</v>
      </c>
      <c r="C737" t="str">
        <f>"55.5875"</f>
        <v>55.5875</v>
      </c>
    </row>
    <row r="738" spans="1:3" x14ac:dyDescent="0.25">
      <c r="A738" t="str">
        <f>"12/06/2012"</f>
        <v>12/06/2012</v>
      </c>
      <c r="B738" t="str">
        <f>"55.82"</f>
        <v>55.82</v>
      </c>
      <c r="C738" t="str">
        <f>"56.1675"</f>
        <v>56.1675</v>
      </c>
    </row>
    <row r="739" spans="1:3" x14ac:dyDescent="0.25">
      <c r="A739" t="str">
        <f>"13/06/2012"</f>
        <v>13/06/2012</v>
      </c>
      <c r="B739" t="str">
        <f>"55.84"</f>
        <v>55.84</v>
      </c>
      <c r="C739" t="str">
        <f>"56.1825"</f>
        <v>56.1825</v>
      </c>
    </row>
    <row r="740" spans="1:3" x14ac:dyDescent="0.25">
      <c r="A740" t="str">
        <f>"14/06/2012"</f>
        <v>14/06/2012</v>
      </c>
      <c r="B740" t="str">
        <f>"55.835"</f>
        <v>55.835</v>
      </c>
      <c r="C740" t="str">
        <f>"56.1625"</f>
        <v>56.1625</v>
      </c>
    </row>
    <row r="741" spans="1:3" x14ac:dyDescent="0.25">
      <c r="A741" t="str">
        <f>"15/06/2012"</f>
        <v>15/06/2012</v>
      </c>
      <c r="B741" t="str">
        <f>"55.735"</f>
        <v>55.735</v>
      </c>
      <c r="C741" t="str">
        <f>"56.0625"</f>
        <v>56.0625</v>
      </c>
    </row>
    <row r="742" spans="1:3" x14ac:dyDescent="0.25">
      <c r="A742" t="str">
        <f>"18/06/2012"</f>
        <v>18/06/2012</v>
      </c>
      <c r="B742" t="str">
        <f>"55.63"</f>
        <v>55.63</v>
      </c>
      <c r="C742" t="str">
        <f>"55.96"</f>
        <v>55.96</v>
      </c>
    </row>
    <row r="743" spans="1:3" x14ac:dyDescent="0.25">
      <c r="A743" t="str">
        <f>"19/06/2012"</f>
        <v>19/06/2012</v>
      </c>
      <c r="B743" t="str">
        <f>"56.01"</f>
        <v>56.01</v>
      </c>
      <c r="C743" t="str">
        <f>"56.3725"</f>
        <v>56.3725</v>
      </c>
    </row>
    <row r="744" spans="1:3" x14ac:dyDescent="0.25">
      <c r="A744" t="str">
        <f>"20/06/2012"</f>
        <v>20/06/2012</v>
      </c>
      <c r="B744" t="str">
        <f>"56.03"</f>
        <v>56.03</v>
      </c>
      <c r="C744" t="str">
        <f>"56.3925"</f>
        <v>56.3925</v>
      </c>
    </row>
    <row r="745" spans="1:3" x14ac:dyDescent="0.25">
      <c r="A745" t="str">
        <f>"21/06/2012"</f>
        <v>21/06/2012</v>
      </c>
      <c r="B745" t="str">
        <f>"56.44"</f>
        <v>56.44</v>
      </c>
      <c r="C745" t="str">
        <f>"56.7925"</f>
        <v>56.7925</v>
      </c>
    </row>
    <row r="746" spans="1:3" x14ac:dyDescent="0.25">
      <c r="A746" t="str">
        <f>"22/06/2012"</f>
        <v>22/06/2012</v>
      </c>
      <c r="B746" t="str">
        <f>"57.16"</f>
        <v>57.16</v>
      </c>
      <c r="C746" t="str">
        <f>"57.51"</f>
        <v>57.51</v>
      </c>
    </row>
    <row r="747" spans="1:3" x14ac:dyDescent="0.25">
      <c r="A747" t="str">
        <f>"25/06/2012"</f>
        <v>25/06/2012</v>
      </c>
      <c r="B747" t="str">
        <f>"56.96"</f>
        <v>56.96</v>
      </c>
      <c r="C747" t="str">
        <f>"57.32"</f>
        <v>57.32</v>
      </c>
    </row>
    <row r="748" spans="1:3" x14ac:dyDescent="0.25">
      <c r="A748" t="str">
        <f>"26/06/2012"</f>
        <v>26/06/2012</v>
      </c>
      <c r="B748" t="str">
        <f>"57.09"</f>
        <v>57.09</v>
      </c>
      <c r="C748" t="str">
        <f>"57.4725"</f>
        <v>57.4725</v>
      </c>
    </row>
    <row r="749" spans="1:3" x14ac:dyDescent="0.25">
      <c r="A749" t="str">
        <f>"27/06/2012"</f>
        <v>27/06/2012</v>
      </c>
      <c r="B749" t="str">
        <f>"57.18"</f>
        <v>57.18</v>
      </c>
      <c r="C749" t="str">
        <f>"57.565"</f>
        <v>57.565</v>
      </c>
    </row>
    <row r="750" spans="1:3" x14ac:dyDescent="0.25">
      <c r="A750" t="str">
        <f>"28/06/2012"</f>
        <v>28/06/2012</v>
      </c>
      <c r="B750" t="str">
        <f>"56.94"</f>
        <v>56.94</v>
      </c>
      <c r="C750" t="str">
        <f>"57.315"</f>
        <v>57.315</v>
      </c>
    </row>
    <row r="751" spans="1:3" x14ac:dyDescent="0.25">
      <c r="A751" t="str">
        <f>"29/06/2012"</f>
        <v>29/06/2012</v>
      </c>
      <c r="B751" t="str">
        <f>"55.65"</f>
        <v>55.65</v>
      </c>
      <c r="C751" t="str">
        <f>"56.0525"</f>
        <v>56.0525</v>
      </c>
    </row>
    <row r="752" spans="1:3" x14ac:dyDescent="0.25">
      <c r="A752" t="str">
        <f>"02/07/2012"</f>
        <v>02/07/2012</v>
      </c>
      <c r="B752" t="str">
        <f>"55.58"</f>
        <v>55.58</v>
      </c>
      <c r="C752" t="str">
        <f>"55.9675"</f>
        <v>55.9675</v>
      </c>
    </row>
    <row r="753" spans="1:3" x14ac:dyDescent="0.25">
      <c r="A753" t="str">
        <f>"03/07/2012"</f>
        <v>03/07/2012</v>
      </c>
      <c r="B753" t="str">
        <f>"54.7425"</f>
        <v>54.7425</v>
      </c>
      <c r="C753" t="str">
        <f>"55.1275"</f>
        <v>55.1275</v>
      </c>
    </row>
    <row r="754" spans="1:3" x14ac:dyDescent="0.25">
      <c r="A754" t="str">
        <f>"04/07/2012"</f>
        <v>04/07/2012</v>
      </c>
      <c r="B754" t="str">
        <f>"54.54"</f>
        <v>54.54</v>
      </c>
      <c r="C754" t="str">
        <f>"54.9175"</f>
        <v>54.9175</v>
      </c>
    </row>
    <row r="755" spans="1:3" x14ac:dyDescent="0.25">
      <c r="A755" t="str">
        <f>"05/07/2012"</f>
        <v>05/07/2012</v>
      </c>
      <c r="B755" t="str">
        <f>"55.05"</f>
        <v>55.05</v>
      </c>
      <c r="C755" t="str">
        <f>"55.41"</f>
        <v>55.41</v>
      </c>
    </row>
    <row r="756" spans="1:3" x14ac:dyDescent="0.25">
      <c r="A756" t="str">
        <f>"06/07/2012"</f>
        <v>06/07/2012</v>
      </c>
      <c r="B756" t="str">
        <f>"55.42"</f>
        <v>55.42</v>
      </c>
      <c r="C756" t="str">
        <f>"55.78"</f>
        <v>55.78</v>
      </c>
    </row>
    <row r="757" spans="1:3" x14ac:dyDescent="0.25">
      <c r="A757" t="str">
        <f>"09/07/2012"</f>
        <v>09/07/2012</v>
      </c>
      <c r="B757" t="str">
        <f>"56.05"</f>
        <v>56.05</v>
      </c>
      <c r="C757" t="str">
        <f>"56.4375"</f>
        <v>56.4375</v>
      </c>
    </row>
    <row r="758" spans="1:3" x14ac:dyDescent="0.25">
      <c r="A758" t="str">
        <f>"10/07/2012"</f>
        <v>10/07/2012</v>
      </c>
      <c r="B758" t="str">
        <f>"55.3925"</f>
        <v>55.3925</v>
      </c>
      <c r="C758" t="str">
        <f>"55.775"</f>
        <v>55.775</v>
      </c>
    </row>
    <row r="759" spans="1:3" x14ac:dyDescent="0.25">
      <c r="A759" t="str">
        <f>"11/07/2012"</f>
        <v>11/07/2012</v>
      </c>
      <c r="B759" t="str">
        <f>"55.64"</f>
        <v>55.64</v>
      </c>
      <c r="C759" t="str">
        <f>"56.005"</f>
        <v>56.005</v>
      </c>
    </row>
    <row r="760" spans="1:3" x14ac:dyDescent="0.25">
      <c r="A760" t="str">
        <f>"12/07/2012"</f>
        <v>12/07/2012</v>
      </c>
      <c r="B760" t="str">
        <f>"55.68"</f>
        <v>55.68</v>
      </c>
      <c r="C760" t="str">
        <f>"56.0425"</f>
        <v>56.0425</v>
      </c>
    </row>
    <row r="761" spans="1:3" x14ac:dyDescent="0.25">
      <c r="A761" t="str">
        <f>"13/07/2012"</f>
        <v>13/07/2012</v>
      </c>
      <c r="B761" t="str">
        <f>"55.33"</f>
        <v>55.33</v>
      </c>
      <c r="C761" t="str">
        <f>"55.685"</f>
        <v>55.685</v>
      </c>
    </row>
    <row r="762" spans="1:3" x14ac:dyDescent="0.25">
      <c r="A762" t="str">
        <f>"16/07/2012"</f>
        <v>16/07/2012</v>
      </c>
      <c r="B762" t="str">
        <f>"55.36"</f>
        <v>55.36</v>
      </c>
      <c r="C762" t="str">
        <f>"55.74"</f>
        <v>55.74</v>
      </c>
    </row>
    <row r="763" spans="1:3" x14ac:dyDescent="0.25">
      <c r="A763" t="str">
        <f>"17/07/2012"</f>
        <v>17/07/2012</v>
      </c>
      <c r="B763" t="str">
        <f>"55.1725"</f>
        <v>55.1725</v>
      </c>
      <c r="C763" t="str">
        <f>"55.5375"</f>
        <v>55.5375</v>
      </c>
    </row>
    <row r="764" spans="1:3" x14ac:dyDescent="0.25">
      <c r="A764" t="str">
        <f>"18/07/2012"</f>
        <v>18/07/2012</v>
      </c>
      <c r="B764" t="str">
        <f>"55.30"</f>
        <v>55.30</v>
      </c>
      <c r="C764" t="str">
        <f>"55.665"</f>
        <v>55.665</v>
      </c>
    </row>
    <row r="765" spans="1:3" x14ac:dyDescent="0.25">
      <c r="A765" t="str">
        <f>"19/07/2012"</f>
        <v>19/07/2012</v>
      </c>
      <c r="B765" t="str">
        <f>"55.19"</f>
        <v>55.19</v>
      </c>
      <c r="C765" t="str">
        <f>"55.545"</f>
        <v>55.545</v>
      </c>
    </row>
    <row r="766" spans="1:3" x14ac:dyDescent="0.25">
      <c r="A766" t="str">
        <f>"20/07/2012"</f>
        <v>20/07/2012</v>
      </c>
      <c r="B766" t="str">
        <f>"55.265"</f>
        <v>55.265</v>
      </c>
      <c r="C766" t="str">
        <f>"55.6225"</f>
        <v>55.6225</v>
      </c>
    </row>
    <row r="767" spans="1:3" x14ac:dyDescent="0.25">
      <c r="A767" t="str">
        <f>"23/07/2012"</f>
        <v>23/07/2012</v>
      </c>
      <c r="B767" t="str">
        <f>"55.915"</f>
        <v>55.915</v>
      </c>
      <c r="C767" t="str">
        <f>"56.2975"</f>
        <v>56.2975</v>
      </c>
    </row>
    <row r="768" spans="1:3" x14ac:dyDescent="0.25">
      <c r="A768" t="str">
        <f>"24/07/2012"</f>
        <v>24/07/2012</v>
      </c>
      <c r="B768" t="str">
        <f>"56.025"</f>
        <v>56.025</v>
      </c>
      <c r="C768" t="str">
        <f>"56.3925"</f>
        <v>56.3925</v>
      </c>
    </row>
    <row r="769" spans="1:3" x14ac:dyDescent="0.25">
      <c r="A769" t="str">
        <f>"25/07/2012"</f>
        <v>25/07/2012</v>
      </c>
      <c r="B769" t="str">
        <f>"56.245"</f>
        <v>56.245</v>
      </c>
      <c r="C769" t="str">
        <f>"56.6125"</f>
        <v>56.6125</v>
      </c>
    </row>
    <row r="770" spans="1:3" x14ac:dyDescent="0.25">
      <c r="A770" t="str">
        <f>"26/07/2012"</f>
        <v>26/07/2012</v>
      </c>
      <c r="B770" t="str">
        <f>"55.92"</f>
        <v>55.92</v>
      </c>
      <c r="C770" t="str">
        <f>"56.2775"</f>
        <v>56.2775</v>
      </c>
    </row>
    <row r="771" spans="1:3" x14ac:dyDescent="0.25">
      <c r="A771" t="str">
        <f>"27/07/2012"</f>
        <v>27/07/2012</v>
      </c>
      <c r="B771" t="str">
        <f>"55.565"</f>
        <v>55.565</v>
      </c>
      <c r="C771" t="str">
        <f>"55.9175"</f>
        <v>55.9175</v>
      </c>
    </row>
    <row r="772" spans="1:3" x14ac:dyDescent="0.25">
      <c r="A772" t="str">
        <f>"30/07/2012"</f>
        <v>30/07/2012</v>
      </c>
      <c r="B772" t="str">
        <f>"55.44"</f>
        <v>55.44</v>
      </c>
      <c r="C772" t="str">
        <f>"55.815"</f>
        <v>55.815</v>
      </c>
    </row>
    <row r="773" spans="1:3" x14ac:dyDescent="0.25">
      <c r="A773" t="str">
        <f>"31/07/2012"</f>
        <v>31/07/2012</v>
      </c>
      <c r="B773" t="str">
        <f>"55.56"</f>
        <v>55.56</v>
      </c>
      <c r="C773" t="str">
        <f>"55.94"</f>
        <v>55.94</v>
      </c>
    </row>
    <row r="774" spans="1:3" x14ac:dyDescent="0.25">
      <c r="A774" t="str">
        <f>"01/08/2012"</f>
        <v>01/08/2012</v>
      </c>
      <c r="B774" t="str">
        <f>"55.49"</f>
        <v>55.49</v>
      </c>
      <c r="C774" t="str">
        <f>"55.86"</f>
        <v>55.86</v>
      </c>
    </row>
    <row r="775" spans="1:3" x14ac:dyDescent="0.25">
      <c r="A775" t="str">
        <f>"02/08/2012"</f>
        <v>02/08/2012</v>
      </c>
      <c r="B775" t="str">
        <f>"55.84"</f>
        <v>55.84</v>
      </c>
      <c r="C775" t="str">
        <f>"56.195"</f>
        <v>56.195</v>
      </c>
    </row>
    <row r="776" spans="1:3" x14ac:dyDescent="0.25">
      <c r="A776" t="str">
        <f>"03/08/2012"</f>
        <v>03/08/2012</v>
      </c>
      <c r="B776" t="str">
        <f>"55.775"</f>
        <v>55.775</v>
      </c>
      <c r="C776" t="str">
        <f>"56.14"</f>
        <v>56.14</v>
      </c>
    </row>
    <row r="777" spans="1:3" x14ac:dyDescent="0.25">
      <c r="A777" t="str">
        <f>"06/08/2012"</f>
        <v>06/08/2012</v>
      </c>
      <c r="B777" t="str">
        <f>"55.49"</f>
        <v>55.49</v>
      </c>
      <c r="C777" t="str">
        <f>"55.88"</f>
        <v>55.88</v>
      </c>
    </row>
    <row r="778" spans="1:3" x14ac:dyDescent="0.25">
      <c r="A778" t="str">
        <f>"07/08/2012"</f>
        <v>07/08/2012</v>
      </c>
      <c r="B778" t="str">
        <f>"55.19"</f>
        <v>55.19</v>
      </c>
      <c r="C778" t="str">
        <f>"55.555"</f>
        <v>55.555</v>
      </c>
    </row>
    <row r="779" spans="1:3" x14ac:dyDescent="0.25">
      <c r="A779" t="str">
        <f>"08/08/2012"</f>
        <v>08/08/2012</v>
      </c>
      <c r="B779" t="str">
        <f>"55.19"</f>
        <v>55.19</v>
      </c>
      <c r="C779" t="str">
        <f>"55.545"</f>
        <v>55.545</v>
      </c>
    </row>
    <row r="780" spans="1:3" x14ac:dyDescent="0.25">
      <c r="A780" t="str">
        <f>"09/08/2012"</f>
        <v>09/08/2012</v>
      </c>
      <c r="B780" t="str">
        <f>"55.37"</f>
        <v>55.37</v>
      </c>
      <c r="C780" t="str">
        <f>"55.73"</f>
        <v>55.73</v>
      </c>
    </row>
    <row r="781" spans="1:3" x14ac:dyDescent="0.25">
      <c r="A781" t="str">
        <f>"10/08/2012"</f>
        <v>10/08/2012</v>
      </c>
      <c r="B781" t="str">
        <f>"55.3475"</f>
        <v>55.3475</v>
      </c>
      <c r="C781" t="str">
        <f>"55.71"</f>
        <v>55.71</v>
      </c>
    </row>
    <row r="782" spans="1:3" x14ac:dyDescent="0.25">
      <c r="A782" t="str">
        <f>"13/08/2012"</f>
        <v>13/08/2012</v>
      </c>
      <c r="B782" t="str">
        <f>"55.43"</f>
        <v>55.43</v>
      </c>
      <c r="C782" t="str">
        <f>"55.805"</f>
        <v>55.805</v>
      </c>
    </row>
    <row r="783" spans="1:3" x14ac:dyDescent="0.25">
      <c r="A783" t="str">
        <f>"14/08/2012"</f>
        <v>14/08/2012</v>
      </c>
      <c r="B783" t="str">
        <f>"55.67"</f>
        <v>55.67</v>
      </c>
      <c r="C783" t="str">
        <f>"56.04"</f>
        <v>56.04</v>
      </c>
    </row>
    <row r="784" spans="1:3" x14ac:dyDescent="0.25">
      <c r="A784" t="str">
        <f>"16/08/2012"</f>
        <v>16/08/2012</v>
      </c>
      <c r="B784" t="str">
        <f>"55.875"</f>
        <v>55.875</v>
      </c>
      <c r="C784" t="str">
        <f>"56.2425"</f>
        <v>56.2425</v>
      </c>
    </row>
    <row r="785" spans="1:3" x14ac:dyDescent="0.25">
      <c r="A785" t="str">
        <f>"17/08/2012"</f>
        <v>17/08/2012</v>
      </c>
      <c r="B785" t="str">
        <f>"55.71"</f>
        <v>55.71</v>
      </c>
      <c r="C785" t="str">
        <f>"56.10"</f>
        <v>56.10</v>
      </c>
    </row>
    <row r="786" spans="1:3" x14ac:dyDescent="0.25">
      <c r="A786" t="str">
        <f>"21/08/2012"</f>
        <v>21/08/2012</v>
      </c>
      <c r="B786" t="str">
        <f>"55.57"</f>
        <v>55.57</v>
      </c>
      <c r="C786" t="str">
        <f>"55.945"</f>
        <v>55.945</v>
      </c>
    </row>
    <row r="787" spans="1:3" x14ac:dyDescent="0.25">
      <c r="A787" t="str">
        <f>"22/08/2012"</f>
        <v>22/08/2012</v>
      </c>
      <c r="B787" t="str">
        <f>"55.4975"</f>
        <v>55.4975</v>
      </c>
      <c r="C787" t="str">
        <f>"55.87"</f>
        <v>55.87</v>
      </c>
    </row>
    <row r="788" spans="1:3" x14ac:dyDescent="0.25">
      <c r="A788" t="str">
        <f>"23/08/2012"</f>
        <v>23/08/2012</v>
      </c>
      <c r="B788" t="str">
        <f>"55.24"</f>
        <v>55.24</v>
      </c>
      <c r="C788" t="str">
        <f>"55.61"</f>
        <v>55.61</v>
      </c>
    </row>
    <row r="789" spans="1:3" x14ac:dyDescent="0.25">
      <c r="A789" t="str">
        <f>"24/08/2012"</f>
        <v>24/08/2012</v>
      </c>
      <c r="B789" t="str">
        <f>"55.50"</f>
        <v>55.50</v>
      </c>
      <c r="C789" t="str">
        <f>"55.8675"</f>
        <v>55.8675</v>
      </c>
    </row>
    <row r="790" spans="1:3" x14ac:dyDescent="0.25">
      <c r="A790" t="str">
        <f>"27/08/2012"</f>
        <v>27/08/2012</v>
      </c>
      <c r="B790" t="str">
        <f>"55.615"</f>
        <v>55.615</v>
      </c>
      <c r="C790" t="str">
        <f>"55.9725"</f>
        <v>55.9725</v>
      </c>
    </row>
    <row r="791" spans="1:3" x14ac:dyDescent="0.25">
      <c r="A791" t="str">
        <f>"28/08/2012"</f>
        <v>28/08/2012</v>
      </c>
      <c r="B791" t="str">
        <f>"55.78"</f>
        <v>55.78</v>
      </c>
      <c r="C791" t="str">
        <f>"56.1275"</f>
        <v>56.1275</v>
      </c>
    </row>
    <row r="792" spans="1:3" x14ac:dyDescent="0.25">
      <c r="A792" t="str">
        <f>"29/08/2012"</f>
        <v>29/08/2012</v>
      </c>
      <c r="B792" t="str">
        <f>"55.675"</f>
        <v>55.675</v>
      </c>
      <c r="C792" t="str">
        <f>"56.005"</f>
        <v>56.005</v>
      </c>
    </row>
    <row r="793" spans="1:3" x14ac:dyDescent="0.25">
      <c r="A793" t="str">
        <f>"30/08/2012"</f>
        <v>30/08/2012</v>
      </c>
      <c r="B793" t="str">
        <f>"55.645"</f>
        <v>55.645</v>
      </c>
      <c r="C793" t="str">
        <f>"56.00"</f>
        <v>56.00</v>
      </c>
    </row>
    <row r="794" spans="1:3" x14ac:dyDescent="0.25">
      <c r="A794" t="str">
        <f>"31/08/2012"</f>
        <v>31/08/2012</v>
      </c>
      <c r="B794" t="str">
        <f>"55.65"</f>
        <v>55.65</v>
      </c>
      <c r="C794" t="str">
        <f>"56.0175"</f>
        <v>56.0175</v>
      </c>
    </row>
    <row r="795" spans="1:3" x14ac:dyDescent="0.25">
      <c r="A795" t="str">
        <f>"03/09/2012"</f>
        <v>03/09/2012</v>
      </c>
      <c r="B795" t="str">
        <f>"55.49"</f>
        <v>55.49</v>
      </c>
      <c r="C795" t="str">
        <f>"55.8425"</f>
        <v>55.8425</v>
      </c>
    </row>
    <row r="796" spans="1:3" x14ac:dyDescent="0.25">
      <c r="A796" t="str">
        <f>"04/09/2012"</f>
        <v>04/09/2012</v>
      </c>
      <c r="B796" t="str">
        <f>"55.45"</f>
        <v>55.45</v>
      </c>
      <c r="C796" t="str">
        <f>"55.835"</f>
        <v>55.835</v>
      </c>
    </row>
    <row r="797" spans="1:3" x14ac:dyDescent="0.25">
      <c r="A797" t="str">
        <f>"05/09/2012"</f>
        <v>05/09/2012</v>
      </c>
      <c r="B797" t="str">
        <f>"55.9075"</f>
        <v>55.9075</v>
      </c>
      <c r="C797" t="str">
        <f>"56.265"</f>
        <v>56.265</v>
      </c>
    </row>
    <row r="798" spans="1:3" x14ac:dyDescent="0.25">
      <c r="A798" t="str">
        <f>"06/09/2012"</f>
        <v>06/09/2012</v>
      </c>
      <c r="B798" t="str">
        <f>"55.66"</f>
        <v>55.66</v>
      </c>
      <c r="C798" t="str">
        <f>"56.0025"</f>
        <v>56.0025</v>
      </c>
    </row>
    <row r="799" spans="1:3" x14ac:dyDescent="0.25">
      <c r="A799" t="str">
        <f>"07/09/2012"</f>
        <v>07/09/2012</v>
      </c>
      <c r="B799" t="str">
        <f>"55.44"</f>
        <v>55.44</v>
      </c>
      <c r="C799" t="str">
        <f>"55.7825"</f>
        <v>55.7825</v>
      </c>
    </row>
    <row r="800" spans="1:3" x14ac:dyDescent="0.25">
      <c r="A800" t="str">
        <f>"10/09/2012"</f>
        <v>10/09/2012</v>
      </c>
      <c r="B800" t="str">
        <f>"55.42"</f>
        <v>55.42</v>
      </c>
      <c r="C800" t="str">
        <f>"55.7675"</f>
        <v>55.7675</v>
      </c>
    </row>
    <row r="801" spans="1:3" x14ac:dyDescent="0.25">
      <c r="A801" t="str">
        <f>"11/09/2012"</f>
        <v>11/09/2012</v>
      </c>
      <c r="B801" t="str">
        <f>"55.455"</f>
        <v>55.455</v>
      </c>
      <c r="C801" t="str">
        <f>"55.82"</f>
        <v>55.82</v>
      </c>
    </row>
    <row r="802" spans="1:3" x14ac:dyDescent="0.25">
      <c r="A802" t="str">
        <f>"12/09/2012"</f>
        <v>12/09/2012</v>
      </c>
      <c r="B802" t="str">
        <f>"55.275"</f>
        <v>55.275</v>
      </c>
      <c r="C802" t="str">
        <f>"55.625"</f>
        <v>55.625</v>
      </c>
    </row>
    <row r="803" spans="1:3" x14ac:dyDescent="0.25">
      <c r="A803" t="str">
        <f>"13/09/2012"</f>
        <v>13/09/2012</v>
      </c>
      <c r="B803" t="str">
        <f>"55.45"</f>
        <v>55.45</v>
      </c>
      <c r="C803" t="str">
        <f>"55.7825"</f>
        <v>55.7825</v>
      </c>
    </row>
    <row r="804" spans="1:3" x14ac:dyDescent="0.25">
      <c r="A804" t="str">
        <f>"14/09/2012"</f>
        <v>14/09/2012</v>
      </c>
      <c r="B804" t="str">
        <f>"54.715"</f>
        <v>54.715</v>
      </c>
      <c r="C804" t="str">
        <f>"55.0275"</f>
        <v>55.0275</v>
      </c>
    </row>
    <row r="805" spans="1:3" x14ac:dyDescent="0.25">
      <c r="A805" t="str">
        <f>"17/09/2012"</f>
        <v>17/09/2012</v>
      </c>
      <c r="B805" t="str">
        <f>"53.84"</f>
        <v>53.84</v>
      </c>
      <c r="C805" t="str">
        <f>"54.185"</f>
        <v>54.185</v>
      </c>
    </row>
    <row r="806" spans="1:3" x14ac:dyDescent="0.25">
      <c r="A806" t="str">
        <f>"18/09/2012"</f>
        <v>18/09/2012</v>
      </c>
      <c r="B806" t="str">
        <f>"54.265"</f>
        <v>54.265</v>
      </c>
      <c r="C806" t="str">
        <f>"54.595"</f>
        <v>54.595</v>
      </c>
    </row>
    <row r="807" spans="1:3" x14ac:dyDescent="0.25">
      <c r="A807" t="str">
        <f>"20/09/2012"</f>
        <v>20/09/2012</v>
      </c>
      <c r="B807" t="str">
        <f>"54.3425"</f>
        <v>54.3425</v>
      </c>
      <c r="C807" t="str">
        <f>"54.675"</f>
        <v>54.675</v>
      </c>
    </row>
    <row r="808" spans="1:3" x14ac:dyDescent="0.25">
      <c r="A808" t="str">
        <f>"21/09/2012"</f>
        <v>21/09/2012</v>
      </c>
      <c r="B808" t="str">
        <f>"53.385"</f>
        <v>53.385</v>
      </c>
      <c r="C808" t="str">
        <f>"53.6875"</f>
        <v>53.6875</v>
      </c>
    </row>
    <row r="809" spans="1:3" x14ac:dyDescent="0.25">
      <c r="A809" t="str">
        <f>"24/09/2012"</f>
        <v>24/09/2012</v>
      </c>
      <c r="B809" t="str">
        <f>"53.44"</f>
        <v>53.44</v>
      </c>
      <c r="C809" t="str">
        <f>"53.775"</f>
        <v>53.775</v>
      </c>
    </row>
    <row r="810" spans="1:3" x14ac:dyDescent="0.25">
      <c r="A810" t="str">
        <f>"25/09/2012"</f>
        <v>25/09/2012</v>
      </c>
      <c r="B810" t="str">
        <f>"53.53"</f>
        <v>53.53</v>
      </c>
      <c r="C810" t="str">
        <f>"53.865"</f>
        <v>53.865</v>
      </c>
    </row>
    <row r="811" spans="1:3" x14ac:dyDescent="0.25">
      <c r="A811" t="str">
        <f>"26/09/2012"</f>
        <v>26/09/2012</v>
      </c>
      <c r="B811" t="str">
        <f>"53.585"</f>
        <v>53.585</v>
      </c>
      <c r="C811" t="str">
        <f>"53.94"</f>
        <v>53.94</v>
      </c>
    </row>
    <row r="812" spans="1:3" x14ac:dyDescent="0.25">
      <c r="A812" t="str">
        <f>"27/09/2012"</f>
        <v>27/09/2012</v>
      </c>
      <c r="B812" t="str">
        <f>"53.37"</f>
        <v>53.37</v>
      </c>
      <c r="C812" t="str">
        <f>"53.705"</f>
        <v>53.705</v>
      </c>
    </row>
    <row r="813" spans="1:3" x14ac:dyDescent="0.25">
      <c r="A813" t="str">
        <f>"28/09/2012"</f>
        <v>28/09/2012</v>
      </c>
      <c r="B813" t="str">
        <f>"52.69"</f>
        <v>52.69</v>
      </c>
      <c r="C813" t="str">
        <f>"53.045"</f>
        <v>53.045</v>
      </c>
    </row>
    <row r="814" spans="1:3" x14ac:dyDescent="0.25">
      <c r="A814" t="str">
        <f>"01/10/2012"</f>
        <v>01/10/2012</v>
      </c>
      <c r="B814" t="str">
        <f>"52.66"</f>
        <v>52.66</v>
      </c>
      <c r="C814" t="str">
        <f>"53.0075"</f>
        <v>53.0075</v>
      </c>
    </row>
    <row r="815" spans="1:3" x14ac:dyDescent="0.25">
      <c r="A815" t="str">
        <f>"03/10/2012"</f>
        <v>03/10/2012</v>
      </c>
      <c r="B815" t="str">
        <f>"52.235"</f>
        <v>52.235</v>
      </c>
      <c r="C815" t="str">
        <f>"52.57"</f>
        <v>52.57</v>
      </c>
    </row>
    <row r="816" spans="1:3" x14ac:dyDescent="0.25">
      <c r="A816" t="str">
        <f>"04/10/2012"</f>
        <v>04/10/2012</v>
      </c>
      <c r="B816" t="str">
        <f>"51.7225"</f>
        <v>51.7225</v>
      </c>
      <c r="C816" t="str">
        <f>"52.0575"</f>
        <v>52.0575</v>
      </c>
    </row>
    <row r="817" spans="1:3" x14ac:dyDescent="0.25">
      <c r="A817" t="str">
        <f>"05/10/2012"</f>
        <v>05/10/2012</v>
      </c>
      <c r="B817" t="str">
        <f>"51.84"</f>
        <v>51.84</v>
      </c>
      <c r="C817" t="str">
        <f>"52.235"</f>
        <v>52.235</v>
      </c>
    </row>
    <row r="818" spans="1:3" x14ac:dyDescent="0.25">
      <c r="A818" t="str">
        <f>"08/10/2012"</f>
        <v>08/10/2012</v>
      </c>
      <c r="B818" t="str">
        <f>"52.215"</f>
        <v>52.215</v>
      </c>
      <c r="C818" t="str">
        <f>"52.60"</f>
        <v>52.60</v>
      </c>
    </row>
    <row r="819" spans="1:3" x14ac:dyDescent="0.25">
      <c r="A819" t="str">
        <f>"09/10/2012"</f>
        <v>09/10/2012</v>
      </c>
      <c r="B819" t="str">
        <f>"52.70"</f>
        <v>52.70</v>
      </c>
      <c r="C819" t="str">
        <f>"53.0775"</f>
        <v>53.0775</v>
      </c>
    </row>
    <row r="820" spans="1:3" x14ac:dyDescent="0.25">
      <c r="A820" t="str">
        <f>"10/10/2012"</f>
        <v>10/10/2012</v>
      </c>
      <c r="B820" t="str">
        <f>"53.10"</f>
        <v>53.10</v>
      </c>
      <c r="C820" t="str">
        <f>"53.46"</f>
        <v>53.46</v>
      </c>
    </row>
    <row r="821" spans="1:3" x14ac:dyDescent="0.25">
      <c r="A821" t="str">
        <f>"11/10/2012"</f>
        <v>11/10/2012</v>
      </c>
      <c r="B821" t="str">
        <f>"52.6825"</f>
        <v>52.6825</v>
      </c>
      <c r="C821" t="str">
        <f>"53.00"</f>
        <v>53.00</v>
      </c>
    </row>
    <row r="822" spans="1:3" x14ac:dyDescent="0.25">
      <c r="A822" t="str">
        <f>"12/10/2012"</f>
        <v>12/10/2012</v>
      </c>
      <c r="B822" t="str">
        <f>"52.76"</f>
        <v>52.76</v>
      </c>
      <c r="C822" t="str">
        <f>"53.0875"</f>
        <v>53.0875</v>
      </c>
    </row>
    <row r="823" spans="1:3" x14ac:dyDescent="0.25">
      <c r="A823" t="str">
        <f>"15/10/2012"</f>
        <v>15/10/2012</v>
      </c>
      <c r="B823" t="str">
        <f>"53.025"</f>
        <v>53.025</v>
      </c>
      <c r="C823" t="str">
        <f>"53.37"</f>
        <v>53.37</v>
      </c>
    </row>
    <row r="824" spans="1:3" x14ac:dyDescent="0.25">
      <c r="A824" t="str">
        <f>"16/10/2012"</f>
        <v>16/10/2012</v>
      </c>
      <c r="B824" t="str">
        <f>"52.835"</f>
        <v>52.835</v>
      </c>
      <c r="C824" t="str">
        <f>"53.1625"</f>
        <v>53.1625</v>
      </c>
    </row>
    <row r="825" spans="1:3" x14ac:dyDescent="0.25">
      <c r="A825" t="str">
        <f>"17/10/2012"</f>
        <v>17/10/2012</v>
      </c>
      <c r="B825" t="str">
        <f>"52.75"</f>
        <v>52.75</v>
      </c>
      <c r="C825" t="str">
        <f>"53.075"</f>
        <v>53.075</v>
      </c>
    </row>
    <row r="826" spans="1:3" x14ac:dyDescent="0.25">
      <c r="A826" t="str">
        <f>"18/10/2012"</f>
        <v>18/10/2012</v>
      </c>
      <c r="B826" t="str">
        <f>"53.055"</f>
        <v>53.055</v>
      </c>
      <c r="C826" t="str">
        <f>"53.39"</f>
        <v>53.39</v>
      </c>
    </row>
    <row r="827" spans="1:3" x14ac:dyDescent="0.25">
      <c r="A827" t="str">
        <f>"19/10/2012"</f>
        <v>19/10/2012</v>
      </c>
      <c r="B827" t="str">
        <f>"53.895"</f>
        <v>53.895</v>
      </c>
      <c r="C827" t="str">
        <f>"54.2175"</f>
        <v>54.2175</v>
      </c>
    </row>
    <row r="828" spans="1:3" x14ac:dyDescent="0.25">
      <c r="A828" t="str">
        <f>"22/10/2012"</f>
        <v>22/10/2012</v>
      </c>
      <c r="B828" t="str">
        <f>"53.48"</f>
        <v>53.48</v>
      </c>
      <c r="C828" t="str">
        <f>"53.81"</f>
        <v>53.81</v>
      </c>
    </row>
    <row r="829" spans="1:3" x14ac:dyDescent="0.25">
      <c r="A829" t="str">
        <f>"23/10/2012"</f>
        <v>23/10/2012</v>
      </c>
      <c r="B829" t="str">
        <f>"53.53"</f>
        <v>53.53</v>
      </c>
      <c r="C829" t="str">
        <f>"53.8525"</f>
        <v>53.8525</v>
      </c>
    </row>
    <row r="830" spans="1:3" x14ac:dyDescent="0.25">
      <c r="A830" t="str">
        <f>"25/10/2012"</f>
        <v>25/10/2012</v>
      </c>
      <c r="B830" t="str">
        <f>"53.58"</f>
        <v>53.58</v>
      </c>
      <c r="C830" t="str">
        <f>"53.915"</f>
        <v>53.915</v>
      </c>
    </row>
    <row r="831" spans="1:3" x14ac:dyDescent="0.25">
      <c r="A831" t="str">
        <f>"26/10/2012"</f>
        <v>26/10/2012</v>
      </c>
      <c r="B831" t="str">
        <f>"53.58"</f>
        <v>53.58</v>
      </c>
      <c r="C831" t="str">
        <f>"53.915"</f>
        <v>53.915</v>
      </c>
    </row>
    <row r="832" spans="1:3" x14ac:dyDescent="0.25">
      <c r="A832" t="str">
        <f>"29/10/2012"</f>
        <v>29/10/2012</v>
      </c>
      <c r="B832" t="str">
        <f>"53.82"</f>
        <v>53.82</v>
      </c>
      <c r="C832" t="str">
        <f>"54.145"</f>
        <v>54.145</v>
      </c>
    </row>
    <row r="833" spans="1:3" x14ac:dyDescent="0.25">
      <c r="A833" t="str">
        <f>"30/10/2012"</f>
        <v>30/10/2012</v>
      </c>
      <c r="B833" t="str">
        <f>"54.03"</f>
        <v>54.03</v>
      </c>
      <c r="C833" t="str">
        <f>"54.37"</f>
        <v>54.37</v>
      </c>
    </row>
    <row r="834" spans="1:3" x14ac:dyDescent="0.25">
      <c r="A834" t="str">
        <f>"31/10/2012"</f>
        <v>31/10/2012</v>
      </c>
      <c r="B834" t="str">
        <f>"53.81"</f>
        <v>53.81</v>
      </c>
      <c r="C834" t="str">
        <f>"54.1525"</f>
        <v>54.1525</v>
      </c>
    </row>
    <row r="835" spans="1:3" x14ac:dyDescent="0.25">
      <c r="A835" t="str">
        <f>"01/11/2012"</f>
        <v>01/11/2012</v>
      </c>
      <c r="B835" t="str">
        <f>"53.785"</f>
        <v>53.785</v>
      </c>
      <c r="C835" t="str">
        <f>"54.11"</f>
        <v>54.11</v>
      </c>
    </row>
    <row r="836" spans="1:3" x14ac:dyDescent="0.25">
      <c r="A836" t="str">
        <f>"02/11/2012"</f>
        <v>02/11/2012</v>
      </c>
      <c r="B836" t="str">
        <f>"53.7025"</f>
        <v>53.7025</v>
      </c>
      <c r="C836" t="str">
        <f>"54.03"</f>
        <v>54.03</v>
      </c>
    </row>
    <row r="837" spans="1:3" x14ac:dyDescent="0.25">
      <c r="A837" t="str">
        <f>"05/11/2012"</f>
        <v>05/11/2012</v>
      </c>
      <c r="B837" t="str">
        <f>"54.075"</f>
        <v>54.075</v>
      </c>
      <c r="C837" t="str">
        <f>"54.4025"</f>
        <v>54.4025</v>
      </c>
    </row>
    <row r="838" spans="1:3" x14ac:dyDescent="0.25">
      <c r="A838" t="str">
        <f>"06/11/2012"</f>
        <v>06/11/2012</v>
      </c>
      <c r="B838" t="str">
        <f>"54.5775"</f>
        <v>54.5775</v>
      </c>
      <c r="C838" t="str">
        <f>"54.925"</f>
        <v>54.925</v>
      </c>
    </row>
    <row r="839" spans="1:3" x14ac:dyDescent="0.25">
      <c r="A839" t="str">
        <f>"07/11/2012"</f>
        <v>07/11/2012</v>
      </c>
      <c r="B839" t="str">
        <f>"54.28"</f>
        <v>54.28</v>
      </c>
      <c r="C839" t="str">
        <f>"54.6125"</f>
        <v>54.6125</v>
      </c>
    </row>
    <row r="840" spans="1:3" x14ac:dyDescent="0.25">
      <c r="A840" t="str">
        <f>"08/11/2012"</f>
        <v>08/11/2012</v>
      </c>
      <c r="B840" t="str">
        <f>"54.48"</f>
        <v>54.48</v>
      </c>
      <c r="C840" t="str">
        <f>"54.8225"</f>
        <v>54.8225</v>
      </c>
    </row>
    <row r="841" spans="1:3" x14ac:dyDescent="0.25">
      <c r="A841" t="str">
        <f>"09/11/2012"</f>
        <v>09/11/2012</v>
      </c>
      <c r="B841" t="str">
        <f>"54.32"</f>
        <v>54.32</v>
      </c>
      <c r="C841" t="str">
        <f>"54.67"</f>
        <v>54.67</v>
      </c>
    </row>
    <row r="842" spans="1:3" x14ac:dyDescent="0.25">
      <c r="A842" t="str">
        <f>"12/11/2012"</f>
        <v>12/11/2012</v>
      </c>
      <c r="B842" t="str">
        <f>"54.665"</f>
        <v>54.665</v>
      </c>
      <c r="C842" t="str">
        <f>"54.9925"</f>
        <v>54.9925</v>
      </c>
    </row>
    <row r="843" spans="1:3" x14ac:dyDescent="0.25">
      <c r="A843" t="str">
        <f>"15/11/2012"</f>
        <v>15/11/2012</v>
      </c>
      <c r="B843" t="str">
        <f>"54.90"</f>
        <v>54.90</v>
      </c>
      <c r="C843" t="str">
        <f>"55.20"</f>
        <v>55.20</v>
      </c>
    </row>
    <row r="844" spans="1:3" x14ac:dyDescent="0.25">
      <c r="A844" t="str">
        <f>"16/11/2012"</f>
        <v>16/11/2012</v>
      </c>
      <c r="B844" t="str">
        <f>"54.955"</f>
        <v>54.955</v>
      </c>
      <c r="C844" t="str">
        <f>"55.265"</f>
        <v>55.265</v>
      </c>
    </row>
    <row r="845" spans="1:3" x14ac:dyDescent="0.25">
      <c r="A845" t="str">
        <f>"19/11/2012"</f>
        <v>19/11/2012</v>
      </c>
      <c r="B845" t="str">
        <f>"55.07"</f>
        <v>55.07</v>
      </c>
      <c r="C845" t="str">
        <f>"55.3925"</f>
        <v>55.3925</v>
      </c>
    </row>
    <row r="846" spans="1:3" x14ac:dyDescent="0.25">
      <c r="A846" t="str">
        <f>"20/11/2012"</f>
        <v>20/11/2012</v>
      </c>
      <c r="B846" t="str">
        <f>"54.86"</f>
        <v>54.86</v>
      </c>
      <c r="C846" t="str">
        <f>"55.1925"</f>
        <v>55.1925</v>
      </c>
    </row>
    <row r="847" spans="1:3" x14ac:dyDescent="0.25">
      <c r="A847" t="str">
        <f>"21/11/2012"</f>
        <v>21/11/2012</v>
      </c>
      <c r="B847" t="str">
        <f>"55.30"</f>
        <v>55.30</v>
      </c>
      <c r="C847" t="str">
        <f>"55.64"</f>
        <v>55.64</v>
      </c>
    </row>
    <row r="848" spans="1:3" x14ac:dyDescent="0.25">
      <c r="A848" t="str">
        <f>"22/11/2012"</f>
        <v>22/11/2012</v>
      </c>
      <c r="B848" t="str">
        <f>"55.24"</f>
        <v>55.24</v>
      </c>
      <c r="C848" t="str">
        <f>"55.5475"</f>
        <v>55.5475</v>
      </c>
    </row>
    <row r="849" spans="1:3" x14ac:dyDescent="0.25">
      <c r="A849" t="str">
        <f>"23/11/2012"</f>
        <v>23/11/2012</v>
      </c>
      <c r="B849" t="str">
        <f>"55.475"</f>
        <v>55.475</v>
      </c>
      <c r="C849" t="str">
        <f>"55.78"</f>
        <v>55.78</v>
      </c>
    </row>
    <row r="850" spans="1:3" x14ac:dyDescent="0.25">
      <c r="A850" t="str">
        <f>"26/11/2012"</f>
        <v>26/11/2012</v>
      </c>
      <c r="B850" t="str">
        <f>"55.485"</f>
        <v>55.485</v>
      </c>
      <c r="C850" t="str">
        <f>"55.8075"</f>
        <v>55.8075</v>
      </c>
    </row>
    <row r="851" spans="1:3" x14ac:dyDescent="0.25">
      <c r="A851" t="str">
        <f>"27/11/2012"</f>
        <v>27/11/2012</v>
      </c>
      <c r="B851" t="str">
        <f>"55.65"</f>
        <v>55.65</v>
      </c>
      <c r="C851" t="str">
        <f>"55.9675"</f>
        <v>55.9675</v>
      </c>
    </row>
    <row r="852" spans="1:3" x14ac:dyDescent="0.25">
      <c r="A852" t="str">
        <f>"29/11/2012"</f>
        <v>29/11/2012</v>
      </c>
      <c r="B852" t="str">
        <f>"55.405"</f>
        <v>55.405</v>
      </c>
      <c r="C852" t="str">
        <f>"55.72"</f>
        <v>55.72</v>
      </c>
    </row>
    <row r="853" spans="1:3" x14ac:dyDescent="0.25">
      <c r="A853" t="str">
        <f>"30/11/2012"</f>
        <v>30/11/2012</v>
      </c>
      <c r="B853" t="str">
        <f>"54.56"</f>
        <v>54.56</v>
      </c>
      <c r="C853" t="str">
        <f>"54.89"</f>
        <v>54.89</v>
      </c>
    </row>
    <row r="854" spans="1:3" x14ac:dyDescent="0.25">
      <c r="A854" t="str">
        <f>"03/12/2012"</f>
        <v>03/12/2012</v>
      </c>
      <c r="B854" t="str">
        <f>"54.37"</f>
        <v>54.37</v>
      </c>
      <c r="C854" t="str">
        <f>"54.72"</f>
        <v>54.72</v>
      </c>
    </row>
    <row r="855" spans="1:3" x14ac:dyDescent="0.25">
      <c r="A855" t="str">
        <f>"04/12/2012"</f>
        <v>04/12/2012</v>
      </c>
      <c r="B855" t="str">
        <f>"54.90"</f>
        <v>54.90</v>
      </c>
      <c r="C855" t="str">
        <f>"55.24"</f>
        <v>55.24</v>
      </c>
    </row>
    <row r="856" spans="1:3" x14ac:dyDescent="0.25">
      <c r="A856" t="str">
        <f>"05/12/2012"</f>
        <v>05/12/2012</v>
      </c>
      <c r="B856" t="str">
        <f>"54.51"</f>
        <v>54.51</v>
      </c>
      <c r="C856" t="str">
        <f>"54.845"</f>
        <v>54.845</v>
      </c>
    </row>
    <row r="857" spans="1:3" x14ac:dyDescent="0.25">
      <c r="A857" t="str">
        <f>"06/12/2012"</f>
        <v>06/12/2012</v>
      </c>
      <c r="B857" t="str">
        <f>"54.54"</f>
        <v>54.54</v>
      </c>
      <c r="C857" t="str">
        <f>"54.87"</f>
        <v>54.87</v>
      </c>
    </row>
    <row r="858" spans="1:3" x14ac:dyDescent="0.25">
      <c r="A858" t="str">
        <f>"07/12/2012"</f>
        <v>07/12/2012</v>
      </c>
      <c r="B858" t="str">
        <f>"54.17"</f>
        <v>54.17</v>
      </c>
      <c r="C858" t="str">
        <f>"54.5025"</f>
        <v>54.5025</v>
      </c>
    </row>
    <row r="859" spans="1:3" x14ac:dyDescent="0.25">
      <c r="A859" t="str">
        <f>"10/12/2012"</f>
        <v>10/12/2012</v>
      </c>
      <c r="B859" t="str">
        <f>"54.385"</f>
        <v>54.385</v>
      </c>
      <c r="C859" t="str">
        <f>"54.7425"</f>
        <v>54.7425</v>
      </c>
    </row>
    <row r="860" spans="1:3" x14ac:dyDescent="0.25">
      <c r="A860" t="str">
        <f>"11/12/2012"</f>
        <v>11/12/2012</v>
      </c>
      <c r="B860" t="str">
        <f>"54.275"</f>
        <v>54.275</v>
      </c>
      <c r="C860" t="str">
        <f>"54.63"</f>
        <v>54.63</v>
      </c>
    </row>
    <row r="861" spans="1:3" x14ac:dyDescent="0.25">
      <c r="A861" t="str">
        <f>"12/12/2012"</f>
        <v>12/12/2012</v>
      </c>
      <c r="B861" t="str">
        <f>"54.25"</f>
        <v>54.25</v>
      </c>
      <c r="C861" t="str">
        <f>"54.59"</f>
        <v>54.59</v>
      </c>
    </row>
    <row r="862" spans="1:3" x14ac:dyDescent="0.25">
      <c r="A862" t="str">
        <f>"13/12/2012"</f>
        <v>13/12/2012</v>
      </c>
      <c r="B862" t="str">
        <f>"54.335"</f>
        <v>54.335</v>
      </c>
      <c r="C862" t="str">
        <f>"54.6675"</f>
        <v>54.6675</v>
      </c>
    </row>
    <row r="863" spans="1:3" x14ac:dyDescent="0.25">
      <c r="A863" t="str">
        <f>"14/12/2012"</f>
        <v>14/12/2012</v>
      </c>
      <c r="B863" t="str">
        <f>"54.36"</f>
        <v>54.36</v>
      </c>
      <c r="C863" t="str">
        <f>"54.6975"</f>
        <v>54.6975</v>
      </c>
    </row>
    <row r="864" spans="1:3" x14ac:dyDescent="0.25">
      <c r="A864" t="str">
        <f>"17/12/2012"</f>
        <v>17/12/2012</v>
      </c>
      <c r="B864" t="str">
        <f>"54.52"</f>
        <v>54.52</v>
      </c>
      <c r="C864" t="str">
        <f>"54.8775"</f>
        <v>54.8775</v>
      </c>
    </row>
    <row r="865" spans="1:3" x14ac:dyDescent="0.25">
      <c r="A865" t="str">
        <f>"18/12/2012"</f>
        <v>18/12/2012</v>
      </c>
      <c r="B865" t="str">
        <f>"54.77"</f>
        <v>54.77</v>
      </c>
      <c r="C865" t="str">
        <f>"55.1175"</f>
        <v>55.1175</v>
      </c>
    </row>
    <row r="866" spans="1:3" x14ac:dyDescent="0.25">
      <c r="A866" t="str">
        <f>"19/12/2012"</f>
        <v>19/12/2012</v>
      </c>
      <c r="B866" t="str">
        <f>"54.80"</f>
        <v>54.80</v>
      </c>
      <c r="C866" t="str">
        <f>"55.1475"</f>
        <v>55.1475</v>
      </c>
    </row>
    <row r="867" spans="1:3" x14ac:dyDescent="0.25">
      <c r="A867" t="str">
        <f>"20/12/2012"</f>
        <v>20/12/2012</v>
      </c>
      <c r="B867" t="str">
        <f>"54.75"</f>
        <v>54.75</v>
      </c>
      <c r="C867" t="str">
        <f>"55.095"</f>
        <v>55.095</v>
      </c>
    </row>
    <row r="868" spans="1:3" x14ac:dyDescent="0.25">
      <c r="A868" t="str">
        <f>"21/12/2012"</f>
        <v>21/12/2012</v>
      </c>
      <c r="B868" t="str">
        <f>"55.125"</f>
        <v>55.125</v>
      </c>
      <c r="C868" t="str">
        <f>"55.4925"</f>
        <v>55.4925</v>
      </c>
    </row>
    <row r="869" spans="1:3" x14ac:dyDescent="0.25">
      <c r="A869" t="str">
        <f>"24/12/2012"</f>
        <v>24/12/2012</v>
      </c>
      <c r="B869" t="str">
        <f>"55.0575"</f>
        <v>55.0575</v>
      </c>
      <c r="C869" t="str">
        <f>"55.415"</f>
        <v>55.415</v>
      </c>
    </row>
    <row r="870" spans="1:3" x14ac:dyDescent="0.25">
      <c r="A870" t="str">
        <f>"26/12/2012"</f>
        <v>26/12/2012</v>
      </c>
      <c r="B870" t="str">
        <f>"55.01"</f>
        <v>55.01</v>
      </c>
      <c r="C870" t="str">
        <f>"55.3575"</f>
        <v>55.3575</v>
      </c>
    </row>
    <row r="871" spans="1:3" x14ac:dyDescent="0.25">
      <c r="A871" t="str">
        <f>"27/12/2012"</f>
        <v>27/12/2012</v>
      </c>
      <c r="B871" t="str">
        <f>"54.78"</f>
        <v>54.78</v>
      </c>
      <c r="C871" t="str">
        <f>"55.1225"</f>
        <v>55.1225</v>
      </c>
    </row>
    <row r="872" spans="1:3" x14ac:dyDescent="0.25">
      <c r="A872" t="str">
        <f>"28/12/2012"</f>
        <v>28/12/2012</v>
      </c>
      <c r="B872" t="str">
        <f>"54.935"</f>
        <v>54.935</v>
      </c>
      <c r="C872" t="str">
        <f>"55.30"</f>
        <v>55.30</v>
      </c>
    </row>
    <row r="873" spans="1:3" x14ac:dyDescent="0.25">
      <c r="A873" t="str">
        <f>"31/12/2012"</f>
        <v>31/12/2012</v>
      </c>
      <c r="B873" t="str">
        <f>"54.79"</f>
        <v>54.79</v>
      </c>
      <c r="C873" t="str">
        <f>"55.145"</f>
        <v>55.145</v>
      </c>
    </row>
    <row r="874" spans="1:3" x14ac:dyDescent="0.25">
      <c r="A874" t="str">
        <f>"01/01/2013"</f>
        <v>01/01/2013</v>
      </c>
      <c r="B874" t="str">
        <f>"54.74"</f>
        <v>54.74</v>
      </c>
      <c r="C874" t="str">
        <f>"55.0825"</f>
        <v>55.0825</v>
      </c>
    </row>
    <row r="875" spans="1:3" x14ac:dyDescent="0.25">
      <c r="A875" t="str">
        <f>"02/01/2013"</f>
        <v>02/01/2013</v>
      </c>
      <c r="B875" t="str">
        <f>"54.465"</f>
        <v>54.465</v>
      </c>
      <c r="C875" t="str">
        <f>"54.805"</f>
        <v>54.805</v>
      </c>
    </row>
    <row r="876" spans="1:3" x14ac:dyDescent="0.25">
      <c r="A876" t="str">
        <f>"03/01/2013"</f>
        <v>03/01/2013</v>
      </c>
      <c r="B876" t="str">
        <f>"54.49"</f>
        <v>54.49</v>
      </c>
      <c r="C876" t="str">
        <f>"54.81"</f>
        <v>54.81</v>
      </c>
    </row>
    <row r="877" spans="1:3" x14ac:dyDescent="0.25">
      <c r="A877" t="str">
        <f>"04/01/2013"</f>
        <v>04/01/2013</v>
      </c>
      <c r="B877" t="str">
        <f>"54.835"</f>
        <v>54.835</v>
      </c>
      <c r="C877" t="str">
        <f>"55.165"</f>
        <v>55.165</v>
      </c>
    </row>
    <row r="878" spans="1:3" x14ac:dyDescent="0.25">
      <c r="A878" t="str">
        <f>"07/01/2013"</f>
        <v>07/01/2013</v>
      </c>
      <c r="B878" t="str">
        <f>"55.14"</f>
        <v>55.14</v>
      </c>
      <c r="C878" t="str">
        <f>"55.48"</f>
        <v>55.48</v>
      </c>
    </row>
    <row r="879" spans="1:3" x14ac:dyDescent="0.25">
      <c r="A879" t="str">
        <f>"08/01/2013"</f>
        <v>08/01/2013</v>
      </c>
      <c r="B879" t="str">
        <f>"55.305"</f>
        <v>55.305</v>
      </c>
      <c r="C879" t="str">
        <f>"55.6475"</f>
        <v>55.6475</v>
      </c>
    </row>
    <row r="880" spans="1:3" x14ac:dyDescent="0.25">
      <c r="A880" t="str">
        <f>"09/01/2013"</f>
        <v>09/01/2013</v>
      </c>
      <c r="B880" t="str">
        <f>"55.06"</f>
        <v>55.06</v>
      </c>
      <c r="C880" t="str">
        <f>"55.40"</f>
        <v>55.40</v>
      </c>
    </row>
    <row r="881" spans="1:3" x14ac:dyDescent="0.25">
      <c r="A881" t="str">
        <f>"10/01/2013"</f>
        <v>10/01/2013</v>
      </c>
      <c r="B881" t="str">
        <f>"54.64"</f>
        <v>54.64</v>
      </c>
      <c r="C881" t="str">
        <f>"54.98"</f>
        <v>54.98</v>
      </c>
    </row>
    <row r="882" spans="1:3" x14ac:dyDescent="0.25">
      <c r="A882" t="str">
        <f>"11/01/2013"</f>
        <v>11/01/2013</v>
      </c>
      <c r="B882" t="str">
        <f>"54.52"</f>
        <v>54.52</v>
      </c>
      <c r="C882" t="str">
        <f>"54.8625"</f>
        <v>54.8625</v>
      </c>
    </row>
    <row r="883" spans="1:3" x14ac:dyDescent="0.25">
      <c r="A883" t="str">
        <f>"14/01/2013"</f>
        <v>14/01/2013</v>
      </c>
      <c r="B883" t="str">
        <f>"54.65"</f>
        <v>54.65</v>
      </c>
      <c r="C883" t="str">
        <f>"55.025"</f>
        <v>55.025</v>
      </c>
    </row>
    <row r="884" spans="1:3" x14ac:dyDescent="0.25">
      <c r="A884" t="str">
        <f>"15/01/2013"</f>
        <v>15/01/2013</v>
      </c>
      <c r="B884" t="str">
        <f>"54.46"</f>
        <v>54.46</v>
      </c>
      <c r="C884" t="str">
        <f>"54.8375"</f>
        <v>54.8375</v>
      </c>
    </row>
    <row r="885" spans="1:3" x14ac:dyDescent="0.25">
      <c r="A885" t="str">
        <f>"16/01/2013"</f>
        <v>16/01/2013</v>
      </c>
      <c r="B885" t="str">
        <f>"54.80"</f>
        <v>54.80</v>
      </c>
      <c r="C885" t="str">
        <f>"55.1725"</f>
        <v>55.1725</v>
      </c>
    </row>
    <row r="886" spans="1:3" x14ac:dyDescent="0.25">
      <c r="A886" t="str">
        <f>"17/01/2013"</f>
        <v>17/01/2013</v>
      </c>
      <c r="B886" t="str">
        <f>"54.7625"</f>
        <v>54.7625</v>
      </c>
      <c r="C886" t="str">
        <f>"55.1075"</f>
        <v>55.1075</v>
      </c>
    </row>
    <row r="887" spans="1:3" x14ac:dyDescent="0.25">
      <c r="A887" t="str">
        <f>"18/01/2013"</f>
        <v>18/01/2013</v>
      </c>
      <c r="B887" t="str">
        <f>"54.0775"</f>
        <v>54.0775</v>
      </c>
      <c r="C887" t="str">
        <f>"54.415"</f>
        <v>54.415</v>
      </c>
    </row>
    <row r="888" spans="1:3" x14ac:dyDescent="0.25">
      <c r="A888" t="str">
        <f>"21/01/2013"</f>
        <v>21/01/2013</v>
      </c>
      <c r="B888" t="str">
        <f>"53.77"</f>
        <v>53.77</v>
      </c>
      <c r="C888" t="str">
        <f>"54.1375"</f>
        <v>54.1375</v>
      </c>
    </row>
    <row r="889" spans="1:3" x14ac:dyDescent="0.25">
      <c r="A889" t="str">
        <f>"22/01/2013"</f>
        <v>22/01/2013</v>
      </c>
      <c r="B889" t="str">
        <f>"53.48"</f>
        <v>53.48</v>
      </c>
      <c r="C889" t="str">
        <f>"53.83"</f>
        <v>53.83</v>
      </c>
    </row>
    <row r="890" spans="1:3" x14ac:dyDescent="0.25">
      <c r="A890" t="str">
        <f>"23/01/2013"</f>
        <v>23/01/2013</v>
      </c>
      <c r="B890" t="str">
        <f>"53.805"</f>
        <v>53.805</v>
      </c>
      <c r="C890" t="str">
        <f>"54.1425"</f>
        <v>54.1425</v>
      </c>
    </row>
    <row r="891" spans="1:3" x14ac:dyDescent="0.25">
      <c r="A891" t="str">
        <f>"24/01/2013"</f>
        <v>24/01/2013</v>
      </c>
      <c r="B891" t="str">
        <f>"53.86"</f>
        <v>53.86</v>
      </c>
      <c r="C891" t="str">
        <f>"54.19"</f>
        <v>54.19</v>
      </c>
    </row>
    <row r="892" spans="1:3" x14ac:dyDescent="0.25">
      <c r="A892" t="str">
        <f>"28/01/2013"</f>
        <v>28/01/2013</v>
      </c>
      <c r="B892" t="str">
        <f>"53.84"</f>
        <v>53.84</v>
      </c>
      <c r="C892" t="str">
        <f>"54.1575"</f>
        <v>54.1575</v>
      </c>
    </row>
    <row r="893" spans="1:3" x14ac:dyDescent="0.25">
      <c r="A893" t="str">
        <f>"29/01/2013"</f>
        <v>29/01/2013</v>
      </c>
      <c r="B893" t="str">
        <f>"53.92"</f>
        <v>53.92</v>
      </c>
      <c r="C893" t="str">
        <f>"54.385"</f>
        <v>54.385</v>
      </c>
    </row>
    <row r="894" spans="1:3" x14ac:dyDescent="0.25">
      <c r="A894" t="str">
        <f>"30/01/2013"</f>
        <v>30/01/2013</v>
      </c>
      <c r="B894" t="str">
        <f>"53.51"</f>
        <v>53.51</v>
      </c>
      <c r="C894" t="str">
        <f>"53.8225"</f>
        <v>53.8225</v>
      </c>
    </row>
    <row r="895" spans="1:3" x14ac:dyDescent="0.25">
      <c r="A895" t="str">
        <f>"31/01/2013"</f>
        <v>31/01/2013</v>
      </c>
      <c r="B895" t="str">
        <f>"53.18"</f>
        <v>53.18</v>
      </c>
      <c r="C895" t="str">
        <f>"53.485"</f>
        <v>53.485</v>
      </c>
    </row>
    <row r="896" spans="1:3" x14ac:dyDescent="0.25">
      <c r="A896" t="str">
        <f>"01/02/2013"</f>
        <v>01/02/2013</v>
      </c>
      <c r="B896" t="str">
        <f>"53.30"</f>
        <v>53.30</v>
      </c>
      <c r="C896" t="str">
        <f>"53.6025"</f>
        <v>53.6025</v>
      </c>
    </row>
    <row r="897" spans="1:3" x14ac:dyDescent="0.25">
      <c r="A897" t="str">
        <f>"04/02/2013"</f>
        <v>04/02/2013</v>
      </c>
      <c r="B897" t="str">
        <f>"53.0175"</f>
        <v>53.0175</v>
      </c>
      <c r="C897" t="str">
        <f>"53.325"</f>
        <v>53.325</v>
      </c>
    </row>
    <row r="898" spans="1:3" x14ac:dyDescent="0.25">
      <c r="A898" t="str">
        <f>"05/02/2013"</f>
        <v>05/02/2013</v>
      </c>
      <c r="B898" t="str">
        <f>"53.35"</f>
        <v>53.35</v>
      </c>
      <c r="C898" t="str">
        <f>"53.6625"</f>
        <v>53.6625</v>
      </c>
    </row>
    <row r="899" spans="1:3" x14ac:dyDescent="0.25">
      <c r="A899" t="str">
        <f>"06/02/2013"</f>
        <v>06/02/2013</v>
      </c>
      <c r="B899" t="str">
        <f>"53.05"</f>
        <v>53.05</v>
      </c>
      <c r="C899" t="str">
        <f>"53.3625"</f>
        <v>53.3625</v>
      </c>
    </row>
    <row r="900" spans="1:3" x14ac:dyDescent="0.25">
      <c r="A900" t="str">
        <f>"07/02/2013"</f>
        <v>07/02/2013</v>
      </c>
      <c r="B900" t="str">
        <f>"53.125"</f>
        <v>53.125</v>
      </c>
      <c r="C900" t="str">
        <f>"53.4475"</f>
        <v>53.4475</v>
      </c>
    </row>
    <row r="901" spans="1:3" x14ac:dyDescent="0.25">
      <c r="A901" t="str">
        <f>"08/02/2013"</f>
        <v>08/02/2013</v>
      </c>
      <c r="B901" t="str">
        <f>"53.57"</f>
        <v>53.57</v>
      </c>
      <c r="C901" t="str">
        <f>"53.90"</f>
        <v>53.90</v>
      </c>
    </row>
    <row r="902" spans="1:3" x14ac:dyDescent="0.25">
      <c r="A902" t="str">
        <f>"11/02/2013"</f>
        <v>11/02/2013</v>
      </c>
      <c r="B902" t="str">
        <f>"53.7375"</f>
        <v>53.7375</v>
      </c>
      <c r="C902" t="str">
        <f>"54.0625"</f>
        <v>54.0625</v>
      </c>
    </row>
    <row r="903" spans="1:3" x14ac:dyDescent="0.25">
      <c r="A903" t="str">
        <f>"12/02/2013"</f>
        <v>12/02/2013</v>
      </c>
      <c r="B903" t="str">
        <f>"53.91"</f>
        <v>53.91</v>
      </c>
      <c r="C903" t="str">
        <f>"54.245"</f>
        <v>54.245</v>
      </c>
    </row>
    <row r="904" spans="1:3" x14ac:dyDescent="0.25">
      <c r="A904" t="str">
        <f>"13/02/2013"</f>
        <v>13/02/2013</v>
      </c>
      <c r="B904" t="str">
        <f>"53.83"</f>
        <v>53.83</v>
      </c>
      <c r="C904" t="str">
        <f>"54.17"</f>
        <v>54.17</v>
      </c>
    </row>
    <row r="905" spans="1:3" x14ac:dyDescent="0.25">
      <c r="A905" t="str">
        <f>"14/02/2013"</f>
        <v>14/02/2013</v>
      </c>
      <c r="B905" t="str">
        <f>"53.915"</f>
        <v>53.915</v>
      </c>
      <c r="C905" t="str">
        <f>"54.2475"</f>
        <v>54.2475</v>
      </c>
    </row>
    <row r="906" spans="1:3" x14ac:dyDescent="0.25">
      <c r="A906" t="str">
        <f>"15/02/2013"</f>
        <v>15/02/2013</v>
      </c>
      <c r="B906" t="str">
        <f>"53.9275"</f>
        <v>53.9275</v>
      </c>
      <c r="C906" t="str">
        <f>"54.255"</f>
        <v>54.255</v>
      </c>
    </row>
    <row r="907" spans="1:3" x14ac:dyDescent="0.25">
      <c r="A907" t="str">
        <f>"18/02/2013"</f>
        <v>18/02/2013</v>
      </c>
      <c r="B907" t="str">
        <f>"54.3825"</f>
        <v>54.3825</v>
      </c>
      <c r="C907" t="str">
        <f>"54.7075"</f>
        <v>54.7075</v>
      </c>
    </row>
    <row r="908" spans="1:3" x14ac:dyDescent="0.25">
      <c r="A908" t="str">
        <f>"20/02/2013"</f>
        <v>20/02/2013</v>
      </c>
      <c r="B908" t="str">
        <f>"54.11"</f>
        <v>54.11</v>
      </c>
      <c r="C908" t="str">
        <f>"54.4475"</f>
        <v>54.4475</v>
      </c>
    </row>
    <row r="909" spans="1:3" x14ac:dyDescent="0.25">
      <c r="A909" t="str">
        <f>"21/02/2013"</f>
        <v>21/02/2013</v>
      </c>
      <c r="B909" t="str">
        <f>"54.43"</f>
        <v>54.43</v>
      </c>
      <c r="C909" t="str">
        <f>"54.7775"</f>
        <v>54.7775</v>
      </c>
    </row>
    <row r="910" spans="1:3" x14ac:dyDescent="0.25">
      <c r="A910" t="str">
        <f>"22/02/2013"</f>
        <v>22/02/2013</v>
      </c>
      <c r="B910" t="str">
        <f>"54.42"</f>
        <v>54.42</v>
      </c>
      <c r="C910" t="str">
        <f>"54.7625"</f>
        <v>54.7625</v>
      </c>
    </row>
    <row r="911" spans="1:3" x14ac:dyDescent="0.25">
      <c r="A911" t="str">
        <f>"25/02/2013"</f>
        <v>25/02/2013</v>
      </c>
      <c r="B911" t="str">
        <f>"54.115"</f>
        <v>54.115</v>
      </c>
      <c r="C911" t="str">
        <f>"54.4725"</f>
        <v>54.4725</v>
      </c>
    </row>
    <row r="912" spans="1:3" x14ac:dyDescent="0.25">
      <c r="A912" t="str">
        <f>"26/02/2013"</f>
        <v>26/02/2013</v>
      </c>
      <c r="B912" t="str">
        <f>"54.0675"</f>
        <v>54.0675</v>
      </c>
      <c r="C912" t="str">
        <f>"54.415"</f>
        <v>54.415</v>
      </c>
    </row>
    <row r="913" spans="1:3" x14ac:dyDescent="0.25">
      <c r="A913" t="str">
        <f>"27/02/2013"</f>
        <v>27/02/2013</v>
      </c>
      <c r="B913" t="str">
        <f>"53.9225"</f>
        <v>53.9225</v>
      </c>
      <c r="C913" t="str">
        <f>"54.315"</f>
        <v>54.315</v>
      </c>
    </row>
    <row r="914" spans="1:3" x14ac:dyDescent="0.25">
      <c r="A914" t="str">
        <f>"28/02/2013"</f>
        <v>28/02/2013</v>
      </c>
      <c r="B914" t="str">
        <f>"53.6975"</f>
        <v>53.6975</v>
      </c>
      <c r="C914" t="str">
        <f>"54.0775"</f>
        <v>54.0775</v>
      </c>
    </row>
    <row r="915" spans="1:3" x14ac:dyDescent="0.25">
      <c r="A915" t="str">
        <f>"01/03/2013"</f>
        <v>01/03/2013</v>
      </c>
      <c r="B915" t="str">
        <f>"54.635"</f>
        <v>54.635</v>
      </c>
      <c r="C915" t="str">
        <f>"55.02"</f>
        <v>55.02</v>
      </c>
    </row>
    <row r="916" spans="1:3" x14ac:dyDescent="0.25">
      <c r="A916" t="str">
        <f>"04/03/2013"</f>
        <v>04/03/2013</v>
      </c>
      <c r="B916" t="str">
        <f>"55.02"</f>
        <v>55.02</v>
      </c>
      <c r="C916" t="str">
        <f>"55.43"</f>
        <v>55.43</v>
      </c>
    </row>
    <row r="917" spans="1:3" x14ac:dyDescent="0.25">
      <c r="A917" t="str">
        <f>"05/03/2013"</f>
        <v>05/03/2013</v>
      </c>
      <c r="B917" t="str">
        <f>"54.735"</f>
        <v>54.735</v>
      </c>
      <c r="C917" t="str">
        <f>"55.1325"</f>
        <v>55.1325</v>
      </c>
    </row>
    <row r="918" spans="1:3" x14ac:dyDescent="0.25">
      <c r="A918" t="str">
        <f>"06/03/2013"</f>
        <v>06/03/2013</v>
      </c>
      <c r="B918" t="str">
        <f>"54.72"</f>
        <v>54.72</v>
      </c>
      <c r="C918" t="str">
        <f>"55.1075"</f>
        <v>55.1075</v>
      </c>
    </row>
    <row r="919" spans="1:3" x14ac:dyDescent="0.25">
      <c r="A919" t="str">
        <f>"07/03/2013"</f>
        <v>07/03/2013</v>
      </c>
      <c r="B919" t="str">
        <f>"54.7625"</f>
        <v>54.7625</v>
      </c>
      <c r="C919" t="str">
        <f>"55.17"</f>
        <v>55.17</v>
      </c>
    </row>
    <row r="920" spans="1:3" x14ac:dyDescent="0.25">
      <c r="A920" t="str">
        <f>"08/03/2013"</f>
        <v>08/03/2013</v>
      </c>
      <c r="B920" t="str">
        <f>"54.48"</f>
        <v>54.48</v>
      </c>
      <c r="C920" t="str">
        <f>"54.8775"</f>
        <v>54.8775</v>
      </c>
    </row>
    <row r="921" spans="1:3" x14ac:dyDescent="0.25">
      <c r="A921" t="str">
        <f>"11/03/2013"</f>
        <v>11/03/2013</v>
      </c>
      <c r="B921" t="str">
        <f>"54.4925"</f>
        <v>54.4925</v>
      </c>
      <c r="C921" t="str">
        <f>"54.9175"</f>
        <v>54.9175</v>
      </c>
    </row>
    <row r="922" spans="1:3" x14ac:dyDescent="0.25">
      <c r="A922" t="str">
        <f>"12/03/2013"</f>
        <v>12/03/2013</v>
      </c>
      <c r="B922" t="str">
        <f>"54.29"</f>
        <v>54.29</v>
      </c>
      <c r="C922" t="str">
        <f>"54.70"</f>
        <v>54.70</v>
      </c>
    </row>
    <row r="923" spans="1:3" x14ac:dyDescent="0.25">
      <c r="A923" t="str">
        <f>"13/03/2013"</f>
        <v>13/03/2013</v>
      </c>
      <c r="B923" t="str">
        <f>"54.10"</f>
        <v>54.10</v>
      </c>
      <c r="C923" t="str">
        <f>"54.5025"</f>
        <v>54.5025</v>
      </c>
    </row>
    <row r="924" spans="1:3" x14ac:dyDescent="0.25">
      <c r="A924" t="str">
        <f>"14/03/2013"</f>
        <v>14/03/2013</v>
      </c>
      <c r="B924" t="str">
        <f>"54.44"</f>
        <v>54.44</v>
      </c>
      <c r="C924" t="str">
        <f>"54.835"</f>
        <v>54.835</v>
      </c>
    </row>
    <row r="925" spans="1:3" x14ac:dyDescent="0.25">
      <c r="A925" t="str">
        <f>"15/03/2013"</f>
        <v>15/03/2013</v>
      </c>
      <c r="B925" t="str">
        <f>"54.10"</f>
        <v>54.10</v>
      </c>
      <c r="C925" t="str">
        <f>"54.535"</f>
        <v>54.535</v>
      </c>
    </row>
    <row r="926" spans="1:3" x14ac:dyDescent="0.25">
      <c r="A926" t="str">
        <f>"18/03/2013"</f>
        <v>18/03/2013</v>
      </c>
      <c r="B926" t="str">
        <f>"54.29"</f>
        <v>54.29</v>
      </c>
      <c r="C926" t="str">
        <f>"54.7175"</f>
        <v>54.7175</v>
      </c>
    </row>
    <row r="927" spans="1:3" x14ac:dyDescent="0.25">
      <c r="A927" t="str">
        <f>"19/03/2013"</f>
        <v>19/03/2013</v>
      </c>
      <c r="B927" t="str">
        <f>"53.96"</f>
        <v>53.96</v>
      </c>
      <c r="C927" t="str">
        <f>"54.37"</f>
        <v>54.37</v>
      </c>
    </row>
    <row r="928" spans="1:3" x14ac:dyDescent="0.25">
      <c r="A928" t="str">
        <f>"20/03/2013"</f>
        <v>20/03/2013</v>
      </c>
      <c r="B928" t="str">
        <f>"54.44"</f>
        <v>54.44</v>
      </c>
      <c r="C928" t="str">
        <f>"54.8375"</f>
        <v>54.8375</v>
      </c>
    </row>
    <row r="929" spans="1:3" x14ac:dyDescent="0.25">
      <c r="A929" t="str">
        <f>"21/03/2013"</f>
        <v>21/03/2013</v>
      </c>
      <c r="B929" t="str">
        <f>"54.2875"</f>
        <v>54.2875</v>
      </c>
      <c r="C929" t="str">
        <f>"54.6925"</f>
        <v>54.6925</v>
      </c>
    </row>
    <row r="930" spans="1:3" x14ac:dyDescent="0.25">
      <c r="A930" t="str">
        <f>"22/03/2013"</f>
        <v>22/03/2013</v>
      </c>
      <c r="B930" t="str">
        <f>"54.31"</f>
        <v>54.31</v>
      </c>
      <c r="C930" t="str">
        <f>"54.7225"</f>
        <v>54.7225</v>
      </c>
    </row>
    <row r="931" spans="1:3" x14ac:dyDescent="0.25">
      <c r="A931" t="str">
        <f>"25/03/2013"</f>
        <v>25/03/2013</v>
      </c>
      <c r="B931" t="str">
        <f>"54.125"</f>
        <v>54.125</v>
      </c>
      <c r="C931" t="str">
        <f>"54.565"</f>
        <v>54.565</v>
      </c>
    </row>
    <row r="932" spans="1:3" x14ac:dyDescent="0.25">
      <c r="A932" t="str">
        <f>"26/03/2013"</f>
        <v>26/03/2013</v>
      </c>
      <c r="B932" t="str">
        <f>"54.3575"</f>
        <v>54.3575</v>
      </c>
      <c r="C932" t="str">
        <f>"54.715"</f>
        <v>54.715</v>
      </c>
    </row>
    <row r="933" spans="1:3" x14ac:dyDescent="0.25">
      <c r="A933" t="str">
        <f>"28/03/2013"</f>
        <v>28/03/2013</v>
      </c>
      <c r="B933" t="str">
        <f>"54.365"</f>
        <v>54.365</v>
      </c>
      <c r="C933" t="str">
        <f>"54.72"</f>
        <v>54.72</v>
      </c>
    </row>
    <row r="934" spans="1:3" x14ac:dyDescent="0.25">
      <c r="A934" t="str">
        <f>"02/04/2013"</f>
        <v>02/04/2013</v>
      </c>
      <c r="B934" t="str">
        <f>"54.36"</f>
        <v>54.36</v>
      </c>
      <c r="C934" t="str">
        <f>"54.745"</f>
        <v>54.745</v>
      </c>
    </row>
    <row r="935" spans="1:3" x14ac:dyDescent="0.25">
      <c r="A935" t="str">
        <f>"03/04/2013"</f>
        <v>03/04/2013</v>
      </c>
      <c r="B935" t="str">
        <f>"54.46"</f>
        <v>54.46</v>
      </c>
      <c r="C935" t="str">
        <f>"54.8425"</f>
        <v>54.8425</v>
      </c>
    </row>
    <row r="936" spans="1:3" x14ac:dyDescent="0.25">
      <c r="A936" t="str">
        <f>"04/04/2013"</f>
        <v>04/04/2013</v>
      </c>
      <c r="B936" t="str">
        <f>"54.635"</f>
        <v>54.635</v>
      </c>
      <c r="C936" t="str">
        <f>"55.01"</f>
        <v>55.01</v>
      </c>
    </row>
    <row r="937" spans="1:3" x14ac:dyDescent="0.25">
      <c r="A937" t="str">
        <f>"05/04/2013"</f>
        <v>05/04/2013</v>
      </c>
      <c r="B937" t="str">
        <f>"54.835"</f>
        <v>54.835</v>
      </c>
      <c r="C937" t="str">
        <f>"55.2075"</f>
        <v>55.2075</v>
      </c>
    </row>
    <row r="938" spans="1:3" x14ac:dyDescent="0.25">
      <c r="A938" t="str">
        <f>"08/04/2013"</f>
        <v>08/04/2013</v>
      </c>
      <c r="B938" t="str">
        <f>"54.7475"</f>
        <v>54.7475</v>
      </c>
      <c r="C938" t="str">
        <f>"55.12"</f>
        <v>55.12</v>
      </c>
    </row>
    <row r="939" spans="1:3" x14ac:dyDescent="0.25">
      <c r="A939" t="str">
        <f>"09/04/2013"</f>
        <v>09/04/2013</v>
      </c>
      <c r="B939" t="str">
        <f>"54.43"</f>
        <v>54.43</v>
      </c>
      <c r="C939" t="str">
        <f>"54.805"</f>
        <v>54.805</v>
      </c>
    </row>
    <row r="940" spans="1:3" x14ac:dyDescent="0.25">
      <c r="A940" t="str">
        <f>"10/04/2013"</f>
        <v>10/04/2013</v>
      </c>
      <c r="B940" t="str">
        <f>"54.455"</f>
        <v>54.455</v>
      </c>
      <c r="C940" t="str">
        <f>"54.8125"</f>
        <v>54.8125</v>
      </c>
    </row>
    <row r="941" spans="1:3" x14ac:dyDescent="0.25">
      <c r="A941" t="str">
        <f>"12/04/2013"</f>
        <v>12/04/2013</v>
      </c>
      <c r="B941" t="str">
        <f>"54.48"</f>
        <v>54.48</v>
      </c>
      <c r="C941" t="str">
        <f>"54.8325"</f>
        <v>54.8325</v>
      </c>
    </row>
    <row r="942" spans="1:3" x14ac:dyDescent="0.25">
      <c r="A942" t="str">
        <f>"15/04/2013"</f>
        <v>15/04/2013</v>
      </c>
      <c r="B942" t="str">
        <f>"54.80"</f>
        <v>54.80</v>
      </c>
      <c r="C942" t="str">
        <f>"55.155"</f>
        <v>55.155</v>
      </c>
    </row>
    <row r="943" spans="1:3" x14ac:dyDescent="0.25">
      <c r="A943" t="str">
        <f>"16/04/2013"</f>
        <v>16/04/2013</v>
      </c>
      <c r="B943" t="str">
        <f>"54.45"</f>
        <v>54.45</v>
      </c>
      <c r="C943" t="str">
        <f>"54.82"</f>
        <v>54.82</v>
      </c>
    </row>
    <row r="944" spans="1:3" x14ac:dyDescent="0.25">
      <c r="A944" t="str">
        <f>"17/04/2013"</f>
        <v>17/04/2013</v>
      </c>
      <c r="B944" t="str">
        <f>"54.10"</f>
        <v>54.10</v>
      </c>
      <c r="C944" t="str">
        <f>"54.4425"</f>
        <v>54.4425</v>
      </c>
    </row>
    <row r="945" spans="1:3" x14ac:dyDescent="0.25">
      <c r="A945" t="str">
        <f>"18/04/2013"</f>
        <v>18/04/2013</v>
      </c>
      <c r="B945" t="str">
        <f>"54.0975"</f>
        <v>54.0975</v>
      </c>
      <c r="C945" t="str">
        <f>"54.44"</f>
        <v>54.44</v>
      </c>
    </row>
    <row r="946" spans="1:3" x14ac:dyDescent="0.25">
      <c r="A946" t="str">
        <f>"22/04/2013"</f>
        <v>22/04/2013</v>
      </c>
      <c r="B946" t="str">
        <f>"54.0225"</f>
        <v>54.0225</v>
      </c>
      <c r="C946" t="str">
        <f>"54.395"</f>
        <v>54.395</v>
      </c>
    </row>
    <row r="947" spans="1:3" x14ac:dyDescent="0.25">
      <c r="A947" t="str">
        <f>"23/04/2013"</f>
        <v>23/04/2013</v>
      </c>
      <c r="B947" t="str">
        <f>"54.33"</f>
        <v>54.33</v>
      </c>
      <c r="C947" t="str">
        <f>"54.6925"</f>
        <v>54.6925</v>
      </c>
    </row>
    <row r="948" spans="1:3" x14ac:dyDescent="0.25">
      <c r="A948" t="str">
        <f>"25/04/2013"</f>
        <v>25/04/2013</v>
      </c>
      <c r="B948" t="str">
        <f>"54.20"</f>
        <v>54.20</v>
      </c>
      <c r="C948" t="str">
        <f>"54.54"</f>
        <v>54.54</v>
      </c>
    </row>
    <row r="949" spans="1:3" x14ac:dyDescent="0.25">
      <c r="A949" t="str">
        <f>"26/04/2013"</f>
        <v>26/04/2013</v>
      </c>
      <c r="B949" t="str">
        <f>"54.195"</f>
        <v>54.195</v>
      </c>
      <c r="C949" t="str">
        <f>"54.685"</f>
        <v>54.685</v>
      </c>
    </row>
    <row r="950" spans="1:3" x14ac:dyDescent="0.25">
      <c r="A950" t="str">
        <f>"29/04/2013"</f>
        <v>29/04/2013</v>
      </c>
      <c r="B950" t="str">
        <f>"54.345"</f>
        <v>54.345</v>
      </c>
      <c r="C950" t="str">
        <f>"54.6975"</f>
        <v>54.6975</v>
      </c>
    </row>
    <row r="951" spans="1:3" x14ac:dyDescent="0.25">
      <c r="A951" t="str">
        <f>"30/04/2013"</f>
        <v>30/04/2013</v>
      </c>
      <c r="B951" t="str">
        <f>"54.165"</f>
        <v>54.165</v>
      </c>
      <c r="C951" t="str">
        <f>"54.4975"</f>
        <v>54.4975</v>
      </c>
    </row>
    <row r="952" spans="1:3" x14ac:dyDescent="0.25">
      <c r="A952" t="str">
        <f>"02/05/2013"</f>
        <v>02/05/2013</v>
      </c>
      <c r="B952" t="str">
        <f>"53.75"</f>
        <v>53.75</v>
      </c>
      <c r="C952" t="str">
        <f>"54.085"</f>
        <v>54.085</v>
      </c>
    </row>
    <row r="953" spans="1:3" x14ac:dyDescent="0.25">
      <c r="A953" t="str">
        <f>"03/05/2013"</f>
        <v>03/05/2013</v>
      </c>
      <c r="B953" t="str">
        <f>"53.9425"</f>
        <v>53.9425</v>
      </c>
      <c r="C953" t="str">
        <f>"54.28"</f>
        <v>54.28</v>
      </c>
    </row>
    <row r="954" spans="1:3" x14ac:dyDescent="0.25">
      <c r="A954" t="str">
        <f>"06/05/2013"</f>
        <v>06/05/2013</v>
      </c>
      <c r="B954" t="str">
        <f>"53.875"</f>
        <v>53.875</v>
      </c>
      <c r="C954" t="str">
        <f>"54.2325"</f>
        <v>54.2325</v>
      </c>
    </row>
    <row r="955" spans="1:3" x14ac:dyDescent="0.25">
      <c r="A955" t="str">
        <f>"07/05/2013"</f>
        <v>07/05/2013</v>
      </c>
      <c r="B955" t="str">
        <f>"54.28"</f>
        <v>54.28</v>
      </c>
      <c r="C955" t="str">
        <f>"54.6275"</f>
        <v>54.6275</v>
      </c>
    </row>
    <row r="956" spans="1:3" x14ac:dyDescent="0.25">
      <c r="A956" t="str">
        <f>"08/05/2013"</f>
        <v>08/05/2013</v>
      </c>
      <c r="B956" t="str">
        <f>"54.06"</f>
        <v>54.06</v>
      </c>
      <c r="C956" t="str">
        <f>"54.40"</f>
        <v>54.40</v>
      </c>
    </row>
    <row r="957" spans="1:3" x14ac:dyDescent="0.25">
      <c r="A957" t="str">
        <f>"09/05/2013"</f>
        <v>09/05/2013</v>
      </c>
      <c r="B957" t="str">
        <f>"54.245"</f>
        <v>54.245</v>
      </c>
      <c r="C957" t="str">
        <f>"54.58"</f>
        <v>54.58</v>
      </c>
    </row>
    <row r="958" spans="1:3" x14ac:dyDescent="0.25">
      <c r="A958" t="str">
        <f>"10/05/2013"</f>
        <v>10/05/2013</v>
      </c>
      <c r="B958" t="str">
        <f>"54.5375"</f>
        <v>54.5375</v>
      </c>
      <c r="C958" t="str">
        <f>"54.8675"</f>
        <v>54.8675</v>
      </c>
    </row>
    <row r="959" spans="1:3" x14ac:dyDescent="0.25">
      <c r="A959" t="str">
        <f>"13/05/2013"</f>
        <v>13/05/2013</v>
      </c>
      <c r="B959" t="str">
        <f>"54.93"</f>
        <v>54.93</v>
      </c>
      <c r="C959" t="str">
        <f>"55.2825"</f>
        <v>55.2825</v>
      </c>
    </row>
    <row r="960" spans="1:3" x14ac:dyDescent="0.25">
      <c r="A960" t="str">
        <f>"14/05/2013"</f>
        <v>14/05/2013</v>
      </c>
      <c r="B960" t="str">
        <f>"54.59"</f>
        <v>54.59</v>
      </c>
      <c r="C960" t="str">
        <f>"54.9275"</f>
        <v>54.9275</v>
      </c>
    </row>
    <row r="961" spans="1:3" x14ac:dyDescent="0.25">
      <c r="A961" t="str">
        <f>"15/05/2013"</f>
        <v>15/05/2013</v>
      </c>
      <c r="B961" t="str">
        <f>"54.76"</f>
        <v>54.76</v>
      </c>
      <c r="C961" t="str">
        <f>"55.09"</f>
        <v>55.09</v>
      </c>
    </row>
    <row r="962" spans="1:3" x14ac:dyDescent="0.25">
      <c r="A962" t="str">
        <f>"16/05/2013"</f>
        <v>16/05/2013</v>
      </c>
      <c r="B962" t="str">
        <f>"54.78"</f>
        <v>54.78</v>
      </c>
      <c r="C962" t="str">
        <f>"55.1125"</f>
        <v>55.1125</v>
      </c>
    </row>
    <row r="963" spans="1:3" x14ac:dyDescent="0.25">
      <c r="A963" t="str">
        <f>"17/05/2013"</f>
        <v>17/05/2013</v>
      </c>
      <c r="B963" t="str">
        <f>"54.9675"</f>
        <v>54.9675</v>
      </c>
      <c r="C963" t="str">
        <f>"55.30"</f>
        <v>55.30</v>
      </c>
    </row>
    <row r="964" spans="1:3" x14ac:dyDescent="0.25">
      <c r="A964" t="str">
        <f>"20/05/2013"</f>
        <v>20/05/2013</v>
      </c>
      <c r="B964" t="str">
        <f>"55.025"</f>
        <v>55.025</v>
      </c>
      <c r="C964" t="str">
        <f>"55.38"</f>
        <v>55.38</v>
      </c>
    </row>
    <row r="965" spans="1:3" x14ac:dyDescent="0.25">
      <c r="A965" t="str">
        <f>"21/05/2013"</f>
        <v>21/05/2013</v>
      </c>
      <c r="B965" t="str">
        <f>"55.0325"</f>
        <v>55.0325</v>
      </c>
      <c r="C965" t="str">
        <f>"55.3775"</f>
        <v>55.3775</v>
      </c>
    </row>
    <row r="966" spans="1:3" x14ac:dyDescent="0.25">
      <c r="A966" t="str">
        <f>"22/05/2013"</f>
        <v>22/05/2013</v>
      </c>
      <c r="B966" t="str">
        <f>"55.44"</f>
        <v>55.44</v>
      </c>
      <c r="C966" t="str">
        <f>"55.7775"</f>
        <v>55.7775</v>
      </c>
    </row>
    <row r="967" spans="1:3" x14ac:dyDescent="0.25">
      <c r="A967" t="str">
        <f>"23/05/2013"</f>
        <v>23/05/2013</v>
      </c>
      <c r="B967" t="str">
        <f>"55.8275"</f>
        <v>55.8275</v>
      </c>
      <c r="C967" t="str">
        <f>"56.1725"</f>
        <v>56.1725</v>
      </c>
    </row>
    <row r="968" spans="1:3" x14ac:dyDescent="0.25">
      <c r="A968" t="str">
        <f>"24/05/2013"</f>
        <v>24/05/2013</v>
      </c>
      <c r="B968" t="str">
        <f>"55.625"</f>
        <v>55.625</v>
      </c>
      <c r="C968" t="str">
        <f>"55.965"</f>
        <v>55.965</v>
      </c>
    </row>
    <row r="969" spans="1:3" x14ac:dyDescent="0.25">
      <c r="A969" t="str">
        <f>"27/05/2013"</f>
        <v>27/05/2013</v>
      </c>
      <c r="B969" t="str">
        <f>"55.68"</f>
        <v>55.68</v>
      </c>
      <c r="C969" t="str">
        <f>"56.0125"</f>
        <v>56.0125</v>
      </c>
    </row>
    <row r="970" spans="1:3" x14ac:dyDescent="0.25">
      <c r="A970" t="str">
        <f>"28/05/2013"</f>
        <v>28/05/2013</v>
      </c>
      <c r="B970" t="str">
        <f>"55.71"</f>
        <v>55.71</v>
      </c>
      <c r="C970" t="str">
        <f>"56.03"</f>
        <v>56.03</v>
      </c>
    </row>
    <row r="971" spans="1:3" x14ac:dyDescent="0.25">
      <c r="A971" t="str">
        <f>"29/05/2013"</f>
        <v>29/05/2013</v>
      </c>
      <c r="B971" t="str">
        <f>"56.14"</f>
        <v>56.14</v>
      </c>
      <c r="C971" t="str">
        <f>"56.46"</f>
        <v>56.46</v>
      </c>
    </row>
    <row r="972" spans="1:3" x14ac:dyDescent="0.25">
      <c r="A972" t="str">
        <f>"30/05/2013"</f>
        <v>30/05/2013</v>
      </c>
      <c r="B972" t="str">
        <f>"56.1425"</f>
        <v>56.1425</v>
      </c>
      <c r="C972" t="str">
        <f>"56.4725"</f>
        <v>56.4725</v>
      </c>
    </row>
    <row r="973" spans="1:3" x14ac:dyDescent="0.25">
      <c r="A973" t="str">
        <f>"31/05/2013"</f>
        <v>31/05/2013</v>
      </c>
      <c r="B973" t="str">
        <f>"56.52"</f>
        <v>56.52</v>
      </c>
      <c r="C973" t="str">
        <f>"56.865"</f>
        <v>56.865</v>
      </c>
    </row>
    <row r="974" spans="1:3" x14ac:dyDescent="0.25">
      <c r="A974" t="str">
        <f>"03/06/2013"</f>
        <v>03/06/2013</v>
      </c>
      <c r="B974" t="str">
        <f>"56.45"</f>
        <v>56.45</v>
      </c>
      <c r="C974" t="str">
        <f>"56.78"</f>
        <v>56.78</v>
      </c>
    </row>
    <row r="975" spans="1:3" x14ac:dyDescent="0.25">
      <c r="A975" t="str">
        <f>"04/06/2013"</f>
        <v>04/06/2013</v>
      </c>
      <c r="B975" t="str">
        <f>"56.5525"</f>
        <v>56.5525</v>
      </c>
      <c r="C975" t="str">
        <f>"56.90"</f>
        <v>56.90</v>
      </c>
    </row>
    <row r="976" spans="1:3" x14ac:dyDescent="0.25">
      <c r="A976" t="str">
        <f>"05/06/2013"</f>
        <v>05/06/2013</v>
      </c>
      <c r="B976" t="str">
        <f>"56.40"</f>
        <v>56.40</v>
      </c>
      <c r="C976" t="str">
        <f>"56.735"</f>
        <v>56.735</v>
      </c>
    </row>
    <row r="977" spans="1:3" x14ac:dyDescent="0.25">
      <c r="A977" t="str">
        <f>"06/06/2013"</f>
        <v>06/06/2013</v>
      </c>
      <c r="B977" t="str">
        <f>"56.965"</f>
        <v>56.965</v>
      </c>
      <c r="C977" t="str">
        <f>"57.2875"</f>
        <v>57.2875</v>
      </c>
    </row>
    <row r="978" spans="1:3" x14ac:dyDescent="0.25">
      <c r="A978" t="str">
        <f>"07/06/2013"</f>
        <v>07/06/2013</v>
      </c>
      <c r="B978" t="str">
        <f>"56.82"</f>
        <v>56.82</v>
      </c>
      <c r="C978" t="str">
        <f>"57.1425"</f>
        <v>57.1425</v>
      </c>
    </row>
    <row r="979" spans="1:3" x14ac:dyDescent="0.25">
      <c r="A979" t="str">
        <f>"10/06/2013"</f>
        <v>10/06/2013</v>
      </c>
      <c r="B979" t="str">
        <f>"57.54"</f>
        <v>57.54</v>
      </c>
      <c r="C979" t="str">
        <f>"57.865"</f>
        <v>57.865</v>
      </c>
    </row>
    <row r="980" spans="1:3" x14ac:dyDescent="0.25">
      <c r="A980" t="str">
        <f>"11/06/2013"</f>
        <v>11/06/2013</v>
      </c>
      <c r="B980" t="str">
        <f>"58.665"</f>
        <v>58.665</v>
      </c>
      <c r="C980" t="str">
        <f>"59.01"</f>
        <v>59.01</v>
      </c>
    </row>
    <row r="981" spans="1:3" x14ac:dyDescent="0.25">
      <c r="A981" t="str">
        <f>"12/06/2013"</f>
        <v>12/06/2013</v>
      </c>
      <c r="B981" t="str">
        <f>"58.26"</f>
        <v>58.26</v>
      </c>
      <c r="C981" t="str">
        <f>"58.5975"</f>
        <v>58.5975</v>
      </c>
    </row>
    <row r="982" spans="1:3" x14ac:dyDescent="0.25">
      <c r="A982" t="str">
        <f>"13/06/2013"</f>
        <v>13/06/2013</v>
      </c>
      <c r="B982" t="str">
        <f>"58.13"</f>
        <v>58.13</v>
      </c>
      <c r="C982" t="str">
        <f>"58.455"</f>
        <v>58.455</v>
      </c>
    </row>
    <row r="983" spans="1:3" x14ac:dyDescent="0.25">
      <c r="A983" t="str">
        <f>"14/06/2013"</f>
        <v>14/06/2013</v>
      </c>
      <c r="B983" t="str">
        <f>"57.83"</f>
        <v>57.83</v>
      </c>
      <c r="C983" t="str">
        <f>"58.1525"</f>
        <v>58.1525</v>
      </c>
    </row>
    <row r="984" spans="1:3" x14ac:dyDescent="0.25">
      <c r="A984" t="str">
        <f>"17/06/2013"</f>
        <v>17/06/2013</v>
      </c>
      <c r="B984" t="str">
        <f>"57.82"</f>
        <v>57.82</v>
      </c>
      <c r="C984" t="str">
        <f>"58.1375"</f>
        <v>58.1375</v>
      </c>
    </row>
    <row r="985" spans="1:3" x14ac:dyDescent="0.25">
      <c r="A985" t="str">
        <f>"18/06/2013"</f>
        <v>18/06/2013</v>
      </c>
      <c r="B985" t="str">
        <f>"58.395"</f>
        <v>58.395</v>
      </c>
      <c r="C985" t="str">
        <f>"58.7425"</f>
        <v>58.7425</v>
      </c>
    </row>
    <row r="986" spans="1:3" x14ac:dyDescent="0.25">
      <c r="A986" t="str">
        <f>"19/06/2013"</f>
        <v>19/06/2013</v>
      </c>
      <c r="B986" t="str">
        <f>"58.6475"</f>
        <v>58.6475</v>
      </c>
      <c r="C986" t="str">
        <f>"58.9925"</f>
        <v>58.9925</v>
      </c>
    </row>
    <row r="987" spans="1:3" x14ac:dyDescent="0.25">
      <c r="A987" t="str">
        <f>"20/06/2013"</f>
        <v>20/06/2013</v>
      </c>
      <c r="B987" t="str">
        <f>"59.73"</f>
        <v>59.73</v>
      </c>
      <c r="C987" t="str">
        <f>"60.075"</f>
        <v>60.075</v>
      </c>
    </row>
    <row r="988" spans="1:3" x14ac:dyDescent="0.25">
      <c r="A988" t="str">
        <f>"21/06/2013"</f>
        <v>21/06/2013</v>
      </c>
      <c r="B988" t="str">
        <f>"59.67"</f>
        <v>59.67</v>
      </c>
      <c r="C988" t="str">
        <f>"60.02"</f>
        <v>60.02</v>
      </c>
    </row>
    <row r="989" spans="1:3" x14ac:dyDescent="0.25">
      <c r="A989" t="str">
        <f>"24/06/2013"</f>
        <v>24/06/2013</v>
      </c>
      <c r="B989" t="str">
        <f>"59.69"</f>
        <v>59.69</v>
      </c>
      <c r="C989" t="str">
        <f>"60.0375"</f>
        <v>60.0375</v>
      </c>
    </row>
    <row r="990" spans="1:3" x14ac:dyDescent="0.25">
      <c r="A990" t="str">
        <f>"25/06/2013"</f>
        <v>25/06/2013</v>
      </c>
      <c r="B990" t="str">
        <f>"59.755"</f>
        <v>59.755</v>
      </c>
      <c r="C990" t="str">
        <f>"60.1225"</f>
        <v>60.1225</v>
      </c>
    </row>
    <row r="991" spans="1:3" x14ac:dyDescent="0.25">
      <c r="A991" t="str">
        <f>"26/06/2013"</f>
        <v>26/06/2013</v>
      </c>
      <c r="B991" t="str">
        <f>"59.82"</f>
        <v>59.82</v>
      </c>
      <c r="C991" t="str">
        <f>"60.1825"</f>
        <v>60.1825</v>
      </c>
    </row>
    <row r="992" spans="1:3" x14ac:dyDescent="0.25">
      <c r="A992" t="str">
        <f>"27/06/2013"</f>
        <v>27/06/2013</v>
      </c>
      <c r="B992" t="str">
        <f>"60.555"</f>
        <v>60.555</v>
      </c>
      <c r="C992" t="str">
        <f>"60.915"</f>
        <v>60.915</v>
      </c>
    </row>
    <row r="993" spans="1:3" x14ac:dyDescent="0.25">
      <c r="A993" t="str">
        <f>"28/06/2013"</f>
        <v>28/06/2013</v>
      </c>
      <c r="B993" t="str">
        <f>"59.80"</f>
        <v>59.80</v>
      </c>
      <c r="C993" t="str">
        <f>"60.145"</f>
        <v>60.145</v>
      </c>
    </row>
    <row r="994" spans="1:3" x14ac:dyDescent="0.25">
      <c r="A994" t="str">
        <f>"01/07/2013"</f>
        <v>01/07/2013</v>
      </c>
      <c r="B994" t="str">
        <f>"59.285"</f>
        <v>59.285</v>
      </c>
      <c r="C994" t="str">
        <f>"59.64"</f>
        <v>59.64</v>
      </c>
    </row>
    <row r="995" spans="1:3" x14ac:dyDescent="0.25">
      <c r="A995" t="str">
        <f>"02/07/2013"</f>
        <v>02/07/2013</v>
      </c>
      <c r="B995" t="str">
        <f>"59.305"</f>
        <v>59.305</v>
      </c>
      <c r="C995" t="str">
        <f>"59.6475"</f>
        <v>59.6475</v>
      </c>
    </row>
    <row r="996" spans="1:3" x14ac:dyDescent="0.25">
      <c r="A996" t="str">
        <f>"03/07/2013"</f>
        <v>03/07/2013</v>
      </c>
      <c r="B996" t="str">
        <f>"59.67"</f>
        <v>59.67</v>
      </c>
      <c r="C996" t="str">
        <f>"60.0125"</f>
        <v>60.0125</v>
      </c>
    </row>
    <row r="997" spans="1:3" x14ac:dyDescent="0.25">
      <c r="A997" t="str">
        <f>"04/07/2013"</f>
        <v>04/07/2013</v>
      </c>
      <c r="B997" t="str">
        <f>"60.03"</f>
        <v>60.03</v>
      </c>
      <c r="C997" t="str">
        <f>"60.375"</f>
        <v>60.375</v>
      </c>
    </row>
    <row r="998" spans="1:3" x14ac:dyDescent="0.25">
      <c r="A998" t="str">
        <f>"05/07/2013"</f>
        <v>05/07/2013</v>
      </c>
      <c r="B998" t="str">
        <f>"60.34"</f>
        <v>60.34</v>
      </c>
      <c r="C998" t="str">
        <f>"60.71"</f>
        <v>60.71</v>
      </c>
    </row>
    <row r="999" spans="1:3" x14ac:dyDescent="0.25">
      <c r="A999" t="str">
        <f>"08/07/2013"</f>
        <v>08/07/2013</v>
      </c>
      <c r="B999" t="str">
        <f>"61.10"</f>
        <v>61.10</v>
      </c>
      <c r="C999" t="str">
        <f>"61.455"</f>
        <v>61.455</v>
      </c>
    </row>
    <row r="1000" spans="1:3" x14ac:dyDescent="0.25">
      <c r="A1000" t="str">
        <f>"09/07/2013"</f>
        <v>09/07/2013</v>
      </c>
      <c r="B1000" t="str">
        <f>"60.25"</f>
        <v>60.25</v>
      </c>
      <c r="C1000" t="str">
        <f>"60.5975"</f>
        <v>60.5975</v>
      </c>
    </row>
    <row r="1001" spans="1:3" x14ac:dyDescent="0.25">
      <c r="A1001" t="str">
        <f>"10/07/2013"</f>
        <v>10/07/2013</v>
      </c>
      <c r="B1001" t="str">
        <f>"60.17"</f>
        <v>60.17</v>
      </c>
      <c r="C1001" t="str">
        <f>"60.51"</f>
        <v>60.51</v>
      </c>
    </row>
    <row r="1002" spans="1:3" x14ac:dyDescent="0.25">
      <c r="A1002" t="str">
        <f>"11/07/2013"</f>
        <v>11/07/2013</v>
      </c>
      <c r="B1002" t="str">
        <f>"59.42"</f>
        <v>59.42</v>
      </c>
      <c r="C1002" t="str">
        <f>"59.7725"</f>
        <v>59.7725</v>
      </c>
    </row>
    <row r="1003" spans="1:3" x14ac:dyDescent="0.25">
      <c r="A1003" t="str">
        <f>"12/07/2013"</f>
        <v>12/07/2013</v>
      </c>
      <c r="B1003" t="str">
        <f>"59.855"</f>
        <v>59.855</v>
      </c>
      <c r="C1003" t="str">
        <f>"60.195"</f>
        <v>60.195</v>
      </c>
    </row>
    <row r="1004" spans="1:3" x14ac:dyDescent="0.25">
      <c r="A1004" t="str">
        <f>"15/07/2013"</f>
        <v>15/07/2013</v>
      </c>
      <c r="B1004" t="str">
        <f>"60.035"</f>
        <v>60.035</v>
      </c>
      <c r="C1004" t="str">
        <f>"60.4075"</f>
        <v>60.4075</v>
      </c>
    </row>
    <row r="1005" spans="1:3" x14ac:dyDescent="0.25">
      <c r="A1005" t="str">
        <f>"16/07/2013"</f>
        <v>16/07/2013</v>
      </c>
      <c r="B1005" t="str">
        <f>"59.375"</f>
        <v>59.375</v>
      </c>
      <c r="C1005" t="str">
        <f>"59.8225"</f>
        <v>59.8225</v>
      </c>
    </row>
    <row r="1006" spans="1:3" x14ac:dyDescent="0.25">
      <c r="A1006" t="str">
        <f>"17/07/2013"</f>
        <v>17/07/2013</v>
      </c>
      <c r="B1006" t="str">
        <f>"59.21"</f>
        <v>59.21</v>
      </c>
      <c r="C1006" t="str">
        <f>"59.6525"</f>
        <v>59.6525</v>
      </c>
    </row>
    <row r="1007" spans="1:3" x14ac:dyDescent="0.25">
      <c r="A1007" t="str">
        <f>"18/07/2013"</f>
        <v>18/07/2013</v>
      </c>
      <c r="B1007" t="str">
        <f>"59.73"</f>
        <v>59.73</v>
      </c>
      <c r="C1007" t="str">
        <f>"60.17"</f>
        <v>60.17</v>
      </c>
    </row>
    <row r="1008" spans="1:3" x14ac:dyDescent="0.25">
      <c r="A1008" t="str">
        <f>"19/07/2013"</f>
        <v>19/07/2013</v>
      </c>
      <c r="B1008" t="str">
        <f>"59.81"</f>
        <v>59.81</v>
      </c>
      <c r="C1008" t="str">
        <f>"60.235"</f>
        <v>60.235</v>
      </c>
    </row>
    <row r="1009" spans="1:3" x14ac:dyDescent="0.25">
      <c r="A1009" t="str">
        <f>"22/07/2013"</f>
        <v>22/07/2013</v>
      </c>
      <c r="B1009" t="str">
        <f>"59.47"</f>
        <v>59.47</v>
      </c>
      <c r="C1009" t="str">
        <f>"59.89"</f>
        <v>59.89</v>
      </c>
    </row>
    <row r="1010" spans="1:3" x14ac:dyDescent="0.25">
      <c r="A1010" t="str">
        <f>"23/07/2013"</f>
        <v>23/07/2013</v>
      </c>
      <c r="B1010" t="str">
        <f>"59.63"</f>
        <v>59.63</v>
      </c>
      <c r="C1010" t="str">
        <f>"60.0975"</f>
        <v>60.0975</v>
      </c>
    </row>
    <row r="1011" spans="1:3" x14ac:dyDescent="0.25">
      <c r="A1011" t="str">
        <f>"24/07/2013"</f>
        <v>24/07/2013</v>
      </c>
      <c r="B1011" t="str">
        <f>"59.48"</f>
        <v>59.48</v>
      </c>
      <c r="C1011" t="str">
        <f>"60.00"</f>
        <v>60.00</v>
      </c>
    </row>
    <row r="1012" spans="1:3" x14ac:dyDescent="0.25">
      <c r="A1012" t="str">
        <f>"25/07/2013"</f>
        <v>25/07/2013</v>
      </c>
      <c r="B1012" t="str">
        <f>"59.1875"</f>
        <v>59.1875</v>
      </c>
      <c r="C1012" t="str">
        <f>"59.7025"</f>
        <v>59.7025</v>
      </c>
    </row>
    <row r="1013" spans="1:3" x14ac:dyDescent="0.25">
      <c r="A1013" t="str">
        <f>"26/07/2013"</f>
        <v>26/07/2013</v>
      </c>
      <c r="B1013" t="str">
        <f>"58.77"</f>
        <v>58.77</v>
      </c>
      <c r="C1013" t="str">
        <f>"59.2825"</f>
        <v>59.2825</v>
      </c>
    </row>
    <row r="1014" spans="1:3" x14ac:dyDescent="0.25">
      <c r="A1014" t="str">
        <f>"29/07/2013"</f>
        <v>29/07/2013</v>
      </c>
      <c r="B1014" t="str">
        <f>"59.30"</f>
        <v>59.30</v>
      </c>
      <c r="C1014" t="str">
        <f>"59.815"</f>
        <v>59.815</v>
      </c>
    </row>
    <row r="1015" spans="1:3" x14ac:dyDescent="0.25">
      <c r="A1015" t="str">
        <f>"30/07/2013"</f>
        <v>30/07/2013</v>
      </c>
      <c r="B1015" t="str">
        <f>"59.5825"</f>
        <v>59.5825</v>
      </c>
      <c r="C1015" t="str">
        <f>"60.115"</f>
        <v>60.115</v>
      </c>
    </row>
    <row r="1016" spans="1:3" x14ac:dyDescent="0.25">
      <c r="A1016" t="str">
        <f>"31/07/2013"</f>
        <v>31/07/2013</v>
      </c>
      <c r="B1016" t="str">
        <f>"61.065"</f>
        <v>61.065</v>
      </c>
      <c r="C1016" t="str">
        <f>"61.6025"</f>
        <v>61.6025</v>
      </c>
    </row>
    <row r="1017" spans="1:3" x14ac:dyDescent="0.25">
      <c r="A1017" t="str">
        <f>"01/08/2013"</f>
        <v>01/08/2013</v>
      </c>
      <c r="B1017" t="str">
        <f>"60.59"</f>
        <v>60.59</v>
      </c>
      <c r="C1017" t="str">
        <f>"61.10"</f>
        <v>61.10</v>
      </c>
    </row>
    <row r="1018" spans="1:3" x14ac:dyDescent="0.25">
      <c r="A1018" t="str">
        <f>"02/08/2013"</f>
        <v>02/08/2013</v>
      </c>
      <c r="B1018" t="str">
        <f>"60.75"</f>
        <v>60.75</v>
      </c>
      <c r="C1018" t="str">
        <f>"61.2575"</f>
        <v>61.2575</v>
      </c>
    </row>
    <row r="1019" spans="1:3" x14ac:dyDescent="0.25">
      <c r="A1019" t="str">
        <f>"05/08/2013"</f>
        <v>05/08/2013</v>
      </c>
      <c r="B1019" t="str">
        <f>"60.88"</f>
        <v>60.88</v>
      </c>
      <c r="C1019" t="str">
        <f>"61.4325"</f>
        <v>61.4325</v>
      </c>
    </row>
    <row r="1020" spans="1:3" x14ac:dyDescent="0.25">
      <c r="A1020" t="str">
        <f>"06/08/2013"</f>
        <v>06/08/2013</v>
      </c>
      <c r="B1020" t="str">
        <f>"61.45"</f>
        <v>61.45</v>
      </c>
      <c r="C1020" t="str">
        <f>"61.9875"</f>
        <v>61.9875</v>
      </c>
    </row>
    <row r="1021" spans="1:3" x14ac:dyDescent="0.25">
      <c r="A1021" t="str">
        <f>"07/08/2013"</f>
        <v>07/08/2013</v>
      </c>
      <c r="B1021" t="str">
        <f>"61.34"</f>
        <v>61.34</v>
      </c>
      <c r="C1021" t="str">
        <f>"61.865"</f>
        <v>61.865</v>
      </c>
    </row>
    <row r="1022" spans="1:3" x14ac:dyDescent="0.25">
      <c r="A1022" t="str">
        <f>"08/08/2013"</f>
        <v>08/08/2013</v>
      </c>
      <c r="B1022" t="str">
        <f>"61.28"</f>
        <v>61.28</v>
      </c>
      <c r="C1022" t="str">
        <f>"61.815"</f>
        <v>61.815</v>
      </c>
    </row>
    <row r="1023" spans="1:3" x14ac:dyDescent="0.25">
      <c r="A1023" t="str">
        <f>"12/08/2013"</f>
        <v>12/08/2013</v>
      </c>
      <c r="B1023" t="str">
        <f>"60.705"</f>
        <v>60.705</v>
      </c>
      <c r="C1023" t="str">
        <f>"61.2725"</f>
        <v>61.2725</v>
      </c>
    </row>
    <row r="1024" spans="1:3" x14ac:dyDescent="0.25">
      <c r="A1024" t="str">
        <f>"13/08/2013"</f>
        <v>13/08/2013</v>
      </c>
      <c r="B1024" t="str">
        <f>"61.66"</f>
        <v>61.66</v>
      </c>
      <c r="C1024" t="str">
        <f>"62.19"</f>
        <v>62.19</v>
      </c>
    </row>
    <row r="1025" spans="1:3" x14ac:dyDescent="0.25">
      <c r="A1025" t="str">
        <f>"14/08/2013"</f>
        <v>14/08/2013</v>
      </c>
      <c r="B1025" t="str">
        <f>"61.49"</f>
        <v>61.49</v>
      </c>
      <c r="C1025" t="str">
        <f>"62.02"</f>
        <v>62.02</v>
      </c>
    </row>
    <row r="1026" spans="1:3" x14ac:dyDescent="0.25">
      <c r="A1026" t="str">
        <f>"16/08/2013"</f>
        <v>16/08/2013</v>
      </c>
      <c r="B1026" t="str">
        <f>"61.67"</f>
        <v>61.67</v>
      </c>
      <c r="C1026" t="str">
        <f>"62.2025"</f>
        <v>62.2025</v>
      </c>
    </row>
    <row r="1027" spans="1:3" x14ac:dyDescent="0.25">
      <c r="A1027" t="str">
        <f>"19/08/2013"</f>
        <v>19/08/2013</v>
      </c>
      <c r="B1027" t="str">
        <f>"62.32"</f>
        <v>62.32</v>
      </c>
      <c r="C1027" t="str">
        <f>"62.86"</f>
        <v>62.86</v>
      </c>
    </row>
    <row r="1028" spans="1:3" x14ac:dyDescent="0.25">
      <c r="A1028" t="str">
        <f>"20/08/2013"</f>
        <v>20/08/2013</v>
      </c>
      <c r="B1028" t="str">
        <f>"63.88"</f>
        <v>63.88</v>
      </c>
      <c r="C1028" t="str">
        <f>"64.475"</f>
        <v>64.475</v>
      </c>
    </row>
    <row r="1029" spans="1:3" x14ac:dyDescent="0.25">
      <c r="A1029" t="str">
        <f>"21/08/2013"</f>
        <v>21/08/2013</v>
      </c>
      <c r="B1029" t="str">
        <f>"63.36"</f>
        <v>63.36</v>
      </c>
      <c r="C1029" t="str">
        <f>"63.9275"</f>
        <v>63.9275</v>
      </c>
    </row>
    <row r="1030" spans="1:3" x14ac:dyDescent="0.25">
      <c r="A1030" t="str">
        <f>"22/08/2013"</f>
        <v>22/08/2013</v>
      </c>
      <c r="B1030" t="str">
        <f>"64.74"</f>
        <v>64.74</v>
      </c>
      <c r="C1030" t="str">
        <f>"65.29"</f>
        <v>65.29</v>
      </c>
    </row>
    <row r="1031" spans="1:3" x14ac:dyDescent="0.25">
      <c r="A1031" t="str">
        <f>"23/08/2013"</f>
        <v>23/08/2013</v>
      </c>
      <c r="B1031" t="str">
        <f>"64.505"</f>
        <v>64.505</v>
      </c>
      <c r="C1031" t="str">
        <f>"65.06"</f>
        <v>65.06</v>
      </c>
    </row>
    <row r="1032" spans="1:3" x14ac:dyDescent="0.25">
      <c r="A1032" t="str">
        <f>"26/08/2013"</f>
        <v>26/08/2013</v>
      </c>
      <c r="B1032" t="str">
        <f>"64.03"</f>
        <v>64.03</v>
      </c>
      <c r="C1032" t="str">
        <f>"64.63"</f>
        <v>64.63</v>
      </c>
    </row>
    <row r="1033" spans="1:3" x14ac:dyDescent="0.25">
      <c r="A1033" t="str">
        <f>"27/08/2013"</f>
        <v>27/08/2013</v>
      </c>
      <c r="B1033" t="str">
        <f>"65.29"</f>
        <v>65.29</v>
      </c>
      <c r="C1033" t="str">
        <f>"65.875"</f>
        <v>65.875</v>
      </c>
    </row>
    <row r="1034" spans="1:3" x14ac:dyDescent="0.25">
      <c r="A1034" t="str">
        <f>"28/08/2013"</f>
        <v>28/08/2013</v>
      </c>
      <c r="B1034" t="str">
        <f>"67.83"</f>
        <v>67.83</v>
      </c>
      <c r="C1034" t="str">
        <f>"68.42"</f>
        <v>68.42</v>
      </c>
    </row>
    <row r="1035" spans="1:3" x14ac:dyDescent="0.25">
      <c r="A1035" t="str">
        <f>"29/08/2013"</f>
        <v>29/08/2013</v>
      </c>
      <c r="B1035" t="str">
        <f>"67.68"</f>
        <v>67.68</v>
      </c>
      <c r="C1035" t="str">
        <f>"68.265"</f>
        <v>68.265</v>
      </c>
    </row>
    <row r="1036" spans="1:3" x14ac:dyDescent="0.25">
      <c r="A1036" t="str">
        <f>"30/08/2013"</f>
        <v>30/08/2013</v>
      </c>
      <c r="B1036" t="str">
        <f>"67.37"</f>
        <v>67.37</v>
      </c>
      <c r="C1036" t="str">
        <f>"67.9475"</f>
        <v>67.9475</v>
      </c>
    </row>
    <row r="1037" spans="1:3" x14ac:dyDescent="0.25">
      <c r="A1037" t="str">
        <f>"02/09/2013"</f>
        <v>02/09/2013</v>
      </c>
      <c r="B1037" t="str">
        <f>"65.96"</f>
        <v>65.96</v>
      </c>
      <c r="C1037" t="str">
        <f>"66.545"</f>
        <v>66.545</v>
      </c>
    </row>
    <row r="1038" spans="1:3" x14ac:dyDescent="0.25">
      <c r="A1038" t="str">
        <f>"03/09/2013"</f>
        <v>03/09/2013</v>
      </c>
      <c r="B1038" t="str">
        <f>"66.80"</f>
        <v>66.80</v>
      </c>
      <c r="C1038" t="str">
        <f>"67.4125"</f>
        <v>67.4125</v>
      </c>
    </row>
    <row r="1039" spans="1:3" x14ac:dyDescent="0.25">
      <c r="A1039" t="str">
        <f>"04/09/2013"</f>
        <v>04/09/2013</v>
      </c>
      <c r="B1039" t="str">
        <f>"68.18"</f>
        <v>68.18</v>
      </c>
      <c r="C1039" t="str">
        <f>"68.76"</f>
        <v>68.76</v>
      </c>
    </row>
    <row r="1040" spans="1:3" x14ac:dyDescent="0.25">
      <c r="A1040" t="str">
        <f>"05/09/2013"</f>
        <v>05/09/2013</v>
      </c>
      <c r="B1040" t="str">
        <f>"65.85"</f>
        <v>65.85</v>
      </c>
      <c r="C1040" t="str">
        <f>"66.3825"</f>
        <v>66.3825</v>
      </c>
    </row>
    <row r="1041" spans="1:3" x14ac:dyDescent="0.25">
      <c r="A1041" t="str">
        <f>"06/09/2013"</f>
        <v>06/09/2013</v>
      </c>
      <c r="B1041" t="str">
        <f>"66.25"</f>
        <v>66.25</v>
      </c>
      <c r="C1041" t="str">
        <f>"66.7975"</f>
        <v>66.7975</v>
      </c>
    </row>
    <row r="1042" spans="1:3" x14ac:dyDescent="0.25">
      <c r="A1042" t="str">
        <f>"10/09/2013"</f>
        <v>10/09/2013</v>
      </c>
      <c r="B1042" t="str">
        <f>"64.285"</f>
        <v>64.285</v>
      </c>
      <c r="C1042" t="str">
        <f>"64.91"</f>
        <v>64.91</v>
      </c>
    </row>
    <row r="1043" spans="1:3" x14ac:dyDescent="0.25">
      <c r="A1043" t="str">
        <f>"11/09/2013"</f>
        <v>11/09/2013</v>
      </c>
      <c r="B1043" t="str">
        <f>"64.11"</f>
        <v>64.11</v>
      </c>
      <c r="C1043" t="str">
        <f>"64.715"</f>
        <v>64.715</v>
      </c>
    </row>
    <row r="1044" spans="1:3" x14ac:dyDescent="0.25">
      <c r="A1044" t="str">
        <f>"12/09/2013"</f>
        <v>12/09/2013</v>
      </c>
      <c r="B1044" t="str">
        <f>"63.25"</f>
        <v>63.25</v>
      </c>
      <c r="C1044" t="str">
        <f>"63.815"</f>
        <v>63.815</v>
      </c>
    </row>
    <row r="1045" spans="1:3" x14ac:dyDescent="0.25">
      <c r="A1045" t="str">
        <f>"13/09/2013"</f>
        <v>13/09/2013</v>
      </c>
      <c r="B1045" t="str">
        <f>"64.03"</f>
        <v>64.03</v>
      </c>
      <c r="C1045" t="str">
        <f>"64.6025"</f>
        <v>64.6025</v>
      </c>
    </row>
    <row r="1046" spans="1:3" x14ac:dyDescent="0.25">
      <c r="A1046" t="str">
        <f>"16/09/2013"</f>
        <v>16/09/2013</v>
      </c>
      <c r="B1046" t="str">
        <f>"62.79"</f>
        <v>62.79</v>
      </c>
      <c r="C1046" t="str">
        <f>"63.3675"</f>
        <v>63.3675</v>
      </c>
    </row>
    <row r="1047" spans="1:3" x14ac:dyDescent="0.25">
      <c r="A1047" t="str">
        <f>"17/09/2013"</f>
        <v>17/09/2013</v>
      </c>
      <c r="B1047" t="str">
        <f>"63.49"</f>
        <v>63.49</v>
      </c>
      <c r="C1047" t="str">
        <f>"64.1025"</f>
        <v>64.1025</v>
      </c>
    </row>
    <row r="1048" spans="1:3" x14ac:dyDescent="0.25">
      <c r="A1048" t="str">
        <f>"18/09/2013"</f>
        <v>18/09/2013</v>
      </c>
      <c r="B1048" t="str">
        <f>"63.29"</f>
        <v>63.29</v>
      </c>
      <c r="C1048" t="str">
        <f>"63.8875"</f>
        <v>63.8875</v>
      </c>
    </row>
    <row r="1049" spans="1:3" x14ac:dyDescent="0.25">
      <c r="A1049" t="str">
        <f>"19/09/2013"</f>
        <v>19/09/2013</v>
      </c>
      <c r="B1049" t="str">
        <f>"61.7325"</f>
        <v>61.7325</v>
      </c>
      <c r="C1049" t="str">
        <f>"62.3125"</f>
        <v>62.3125</v>
      </c>
    </row>
    <row r="1050" spans="1:3" x14ac:dyDescent="0.25">
      <c r="A1050" t="str">
        <f>"20/09/2013"</f>
        <v>20/09/2013</v>
      </c>
      <c r="B1050" t="str">
        <f>"62.14"</f>
        <v>62.14</v>
      </c>
      <c r="C1050" t="str">
        <f>"62.6675"</f>
        <v>62.6675</v>
      </c>
    </row>
    <row r="1051" spans="1:3" x14ac:dyDescent="0.25">
      <c r="A1051" t="str">
        <f>"23/09/2013"</f>
        <v>23/09/2013</v>
      </c>
      <c r="B1051" t="str">
        <f>"62.42"</f>
        <v>62.42</v>
      </c>
      <c r="C1051" t="str">
        <f>"62.9525"</f>
        <v>62.9525</v>
      </c>
    </row>
    <row r="1052" spans="1:3" x14ac:dyDescent="0.25">
      <c r="A1052" t="str">
        <f>"24/09/2013"</f>
        <v>24/09/2013</v>
      </c>
      <c r="B1052" t="str">
        <f>"62.7425"</f>
        <v>62.7425</v>
      </c>
      <c r="C1052" t="str">
        <f>"63.3225"</f>
        <v>63.3225</v>
      </c>
    </row>
    <row r="1053" spans="1:3" x14ac:dyDescent="0.25">
      <c r="A1053" t="str">
        <f>"25/09/2013"</f>
        <v>25/09/2013</v>
      </c>
      <c r="B1053" t="str">
        <f>"62.72"</f>
        <v>62.72</v>
      </c>
      <c r="C1053" t="str">
        <f>"63.2775"</f>
        <v>63.2775</v>
      </c>
    </row>
    <row r="1054" spans="1:3" x14ac:dyDescent="0.25">
      <c r="A1054" t="str">
        <f>"26/09/2013"</f>
        <v>26/09/2013</v>
      </c>
      <c r="B1054" t="str">
        <f>"62.36"</f>
        <v>62.36</v>
      </c>
      <c r="C1054" t="str">
        <f>"62.94"</f>
        <v>62.94</v>
      </c>
    </row>
    <row r="1055" spans="1:3" x14ac:dyDescent="0.25">
      <c r="A1055" t="str">
        <f>"27/09/2013"</f>
        <v>27/09/2013</v>
      </c>
      <c r="B1055" t="str">
        <f>"61.94"</f>
        <v>61.94</v>
      </c>
      <c r="C1055" t="str">
        <f>"62.515"</f>
        <v>62.515</v>
      </c>
    </row>
    <row r="1056" spans="1:3" x14ac:dyDescent="0.25">
      <c r="A1056" t="str">
        <f>"30/09/2013"</f>
        <v>30/09/2013</v>
      </c>
      <c r="B1056" t="str">
        <f>"62.70"</f>
        <v>62.70</v>
      </c>
      <c r="C1056" t="str">
        <f>"63.3025"</f>
        <v>63.3025</v>
      </c>
    </row>
    <row r="1057" spans="1:3" x14ac:dyDescent="0.25">
      <c r="A1057" t="str">
        <f>"01/10/2013"</f>
        <v>01/10/2013</v>
      </c>
      <c r="B1057" t="str">
        <f>"62.455"</f>
        <v>62.455</v>
      </c>
      <c r="C1057" t="str">
        <f>"63.0375"</f>
        <v>63.0375</v>
      </c>
    </row>
    <row r="1058" spans="1:3" x14ac:dyDescent="0.25">
      <c r="A1058" t="str">
        <f>"03/10/2013"</f>
        <v>03/10/2013</v>
      </c>
      <c r="B1058" t="str">
        <f>"61.8625"</f>
        <v>61.8625</v>
      </c>
      <c r="C1058" t="str">
        <f>"62.415"</f>
        <v>62.415</v>
      </c>
    </row>
    <row r="1059" spans="1:3" x14ac:dyDescent="0.25">
      <c r="A1059" t="str">
        <f>"04/10/2013"</f>
        <v>04/10/2013</v>
      </c>
      <c r="B1059" t="str">
        <f>"61.44"</f>
        <v>61.44</v>
      </c>
      <c r="C1059" t="str">
        <f>"61.97"</f>
        <v>61.97</v>
      </c>
    </row>
    <row r="1060" spans="1:3" x14ac:dyDescent="0.25">
      <c r="A1060" t="str">
        <f>"07/10/2013"</f>
        <v>07/10/2013</v>
      </c>
      <c r="B1060" t="str">
        <f>"61.69"</f>
        <v>61.69</v>
      </c>
      <c r="C1060" t="str">
        <f>"62.275"</f>
        <v>62.275</v>
      </c>
    </row>
    <row r="1061" spans="1:3" x14ac:dyDescent="0.25">
      <c r="A1061" t="str">
        <f>"08/10/2013"</f>
        <v>08/10/2013</v>
      </c>
      <c r="B1061" t="str">
        <f>"61.715"</f>
        <v>61.715</v>
      </c>
      <c r="C1061" t="str">
        <f>"62.25"</f>
        <v>62.25</v>
      </c>
    </row>
    <row r="1062" spans="1:3" x14ac:dyDescent="0.25">
      <c r="A1062" t="str">
        <f>"09/10/2013"</f>
        <v>09/10/2013</v>
      </c>
      <c r="B1062" t="str">
        <f>"62.255"</f>
        <v>62.255</v>
      </c>
      <c r="C1062" t="str">
        <f>"62.775"</f>
        <v>62.775</v>
      </c>
    </row>
    <row r="1063" spans="1:3" x14ac:dyDescent="0.25">
      <c r="A1063" t="str">
        <f>"10/10/2013"</f>
        <v>10/10/2013</v>
      </c>
      <c r="B1063" t="str">
        <f>"62.20"</f>
        <v>62.20</v>
      </c>
      <c r="C1063" t="str">
        <f>"62.70"</f>
        <v>62.70</v>
      </c>
    </row>
    <row r="1064" spans="1:3" x14ac:dyDescent="0.25">
      <c r="A1064" t="str">
        <f>"11/10/2013"</f>
        <v>11/10/2013</v>
      </c>
      <c r="B1064" t="str">
        <f>"61.215"</f>
        <v>61.215</v>
      </c>
      <c r="C1064" t="str">
        <f>"61.71"</f>
        <v>61.71</v>
      </c>
    </row>
    <row r="1065" spans="1:3" x14ac:dyDescent="0.25">
      <c r="A1065" t="str">
        <f>"14/10/2013"</f>
        <v>14/10/2013</v>
      </c>
      <c r="B1065" t="str">
        <f>"61.1725"</f>
        <v>61.1725</v>
      </c>
      <c r="C1065" t="str">
        <f>"61.675"</f>
        <v>61.675</v>
      </c>
    </row>
    <row r="1066" spans="1:3" x14ac:dyDescent="0.25">
      <c r="A1066" t="str">
        <f>"15/10/2013"</f>
        <v>15/10/2013</v>
      </c>
      <c r="B1066" t="str">
        <f>"61.57"</f>
        <v>61.57</v>
      </c>
      <c r="C1066" t="str">
        <f>"62.0625"</f>
        <v>62.0625</v>
      </c>
    </row>
    <row r="1067" spans="1:3" x14ac:dyDescent="0.25">
      <c r="A1067" t="str">
        <f>"17/10/2013"</f>
        <v>17/10/2013</v>
      </c>
      <c r="B1067" t="str">
        <f>"61.585"</f>
        <v>61.585</v>
      </c>
      <c r="C1067" t="str">
        <f>"62.08"</f>
        <v>62.08</v>
      </c>
    </row>
    <row r="1068" spans="1:3" x14ac:dyDescent="0.25">
      <c r="A1068" t="str">
        <f>"18/10/2013"</f>
        <v>18/10/2013</v>
      </c>
      <c r="B1068" t="str">
        <f>"61.1175"</f>
        <v>61.1175</v>
      </c>
      <c r="C1068" t="str">
        <f>"61.61"</f>
        <v>61.61</v>
      </c>
    </row>
    <row r="1069" spans="1:3" x14ac:dyDescent="0.25">
      <c r="A1069" t="str">
        <f>"21/10/2013"</f>
        <v>21/10/2013</v>
      </c>
      <c r="B1069" t="str">
        <f>"61.5325"</f>
        <v>61.5325</v>
      </c>
      <c r="C1069" t="str">
        <f>"62.06"</f>
        <v>62.06</v>
      </c>
    </row>
    <row r="1070" spans="1:3" x14ac:dyDescent="0.25">
      <c r="A1070" t="str">
        <f>"22/10/2013"</f>
        <v>22/10/2013</v>
      </c>
      <c r="B1070" t="str">
        <f>"61.765"</f>
        <v>61.765</v>
      </c>
      <c r="C1070" t="str">
        <f>"62.2825"</f>
        <v>62.2825</v>
      </c>
    </row>
    <row r="1071" spans="1:3" x14ac:dyDescent="0.25">
      <c r="A1071" t="str">
        <f>"23/10/2013"</f>
        <v>23/10/2013</v>
      </c>
      <c r="B1071" t="str">
        <f>"61.33"</f>
        <v>61.33</v>
      </c>
      <c r="C1071" t="str">
        <f>"61.825"</f>
        <v>61.825</v>
      </c>
    </row>
    <row r="1072" spans="1:3" x14ac:dyDescent="0.25">
      <c r="A1072" t="str">
        <f>"24/10/2013"</f>
        <v>24/10/2013</v>
      </c>
      <c r="B1072" t="str">
        <f>"61.49"</f>
        <v>61.49</v>
      </c>
      <c r="C1072" t="str">
        <f>"62.00"</f>
        <v>62.00</v>
      </c>
    </row>
    <row r="1073" spans="1:3" x14ac:dyDescent="0.25">
      <c r="A1073" t="str">
        <f>"25/10/2013"</f>
        <v>25/10/2013</v>
      </c>
      <c r="B1073" t="str">
        <f>"61.67"</f>
        <v>61.67</v>
      </c>
      <c r="C1073" t="str">
        <f>"62.15"</f>
        <v>62.15</v>
      </c>
    </row>
    <row r="1074" spans="1:3" x14ac:dyDescent="0.25">
      <c r="A1074" t="str">
        <f>"28/10/2013"</f>
        <v>28/10/2013</v>
      </c>
      <c r="B1074" t="str">
        <f>"61.485"</f>
        <v>61.485</v>
      </c>
      <c r="C1074" t="str">
        <f>"61.95"</f>
        <v>61.95</v>
      </c>
    </row>
    <row r="1075" spans="1:3" x14ac:dyDescent="0.25">
      <c r="A1075" t="str">
        <f>"29/10/2013"</f>
        <v>29/10/2013</v>
      </c>
      <c r="B1075" t="str">
        <f>"61.65"</f>
        <v>61.65</v>
      </c>
      <c r="C1075" t="str">
        <f>"62.105"</f>
        <v>62.105</v>
      </c>
    </row>
    <row r="1076" spans="1:3" x14ac:dyDescent="0.25">
      <c r="A1076" t="str">
        <f>"30/10/2013"</f>
        <v>30/10/2013</v>
      </c>
      <c r="B1076" t="str">
        <f>"61.5275"</f>
        <v>61.5275</v>
      </c>
      <c r="C1076" t="str">
        <f>"61.995"</f>
        <v>61.995</v>
      </c>
    </row>
    <row r="1077" spans="1:3" x14ac:dyDescent="0.25">
      <c r="A1077" t="str">
        <f>"31/10/2013"</f>
        <v>31/10/2013</v>
      </c>
      <c r="B1077" t="str">
        <f>"61.35"</f>
        <v>61.35</v>
      </c>
      <c r="C1077" t="str">
        <f>"61.815"</f>
        <v>61.815</v>
      </c>
    </row>
    <row r="1078" spans="1:3" x14ac:dyDescent="0.25">
      <c r="A1078" t="str">
        <f>"01/11/2013"</f>
        <v>01/11/2013</v>
      </c>
      <c r="B1078" t="str">
        <f>"61.91"</f>
        <v>61.91</v>
      </c>
      <c r="C1078" t="str">
        <f>"62.355"</f>
        <v>62.355</v>
      </c>
    </row>
    <row r="1079" spans="1:3" x14ac:dyDescent="0.25">
      <c r="A1079" t="str">
        <f>"05/11/2013"</f>
        <v>05/11/2013</v>
      </c>
      <c r="B1079" t="str">
        <f>"61.8325"</f>
        <v>61.8325</v>
      </c>
      <c r="C1079" t="str">
        <f>"62.2875"</f>
        <v>62.2875</v>
      </c>
    </row>
    <row r="1080" spans="1:3" x14ac:dyDescent="0.25">
      <c r="A1080" t="str">
        <f>"06/11/2013"</f>
        <v>06/11/2013</v>
      </c>
      <c r="B1080" t="str">
        <f>"61.88"</f>
        <v>61.88</v>
      </c>
      <c r="C1080" t="str">
        <f>"62.3425"</f>
        <v>62.3425</v>
      </c>
    </row>
    <row r="1081" spans="1:3" x14ac:dyDescent="0.25">
      <c r="A1081" t="str">
        <f>"07/11/2013"</f>
        <v>07/11/2013</v>
      </c>
      <c r="B1081" t="str">
        <f>"62.6325"</f>
        <v>62.6325</v>
      </c>
      <c r="C1081" t="str">
        <f>"63.0875"</f>
        <v>63.0875</v>
      </c>
    </row>
    <row r="1082" spans="1:3" x14ac:dyDescent="0.25">
      <c r="A1082" t="str">
        <f>"08/11/2013"</f>
        <v>08/11/2013</v>
      </c>
      <c r="B1082" t="str">
        <f>"62.715"</f>
        <v>62.715</v>
      </c>
      <c r="C1082" t="str">
        <f>"63.18"</f>
        <v>63.18</v>
      </c>
    </row>
    <row r="1083" spans="1:3" x14ac:dyDescent="0.25">
      <c r="A1083" t="str">
        <f>"11/11/2013"</f>
        <v>11/11/2013</v>
      </c>
      <c r="B1083" t="str">
        <f>"63.205"</f>
        <v>63.205</v>
      </c>
      <c r="C1083" t="str">
        <f>"63.685"</f>
        <v>63.685</v>
      </c>
    </row>
    <row r="1084" spans="1:3" x14ac:dyDescent="0.25">
      <c r="A1084" t="str">
        <f>"12/11/2013"</f>
        <v>12/11/2013</v>
      </c>
      <c r="B1084" t="str">
        <f>"63.485"</f>
        <v>63.485</v>
      </c>
      <c r="C1084" t="str">
        <f>"63.9975"</f>
        <v>63.9975</v>
      </c>
    </row>
    <row r="1085" spans="1:3" x14ac:dyDescent="0.25">
      <c r="A1085" t="str">
        <f>"13/11/2013"</f>
        <v>13/11/2013</v>
      </c>
      <c r="B1085" t="str">
        <f>"63.74"</f>
        <v>63.74</v>
      </c>
      <c r="C1085" t="str">
        <f>"64.24"</f>
        <v>64.24</v>
      </c>
    </row>
    <row r="1086" spans="1:3" x14ac:dyDescent="0.25">
      <c r="A1086" t="str">
        <f>"14/11/2013"</f>
        <v>14/11/2013</v>
      </c>
      <c r="B1086" t="str">
        <f>"63.045"</f>
        <v>63.045</v>
      </c>
      <c r="C1086" t="str">
        <f>"63.5225"</f>
        <v>63.5225</v>
      </c>
    </row>
    <row r="1087" spans="1:3" x14ac:dyDescent="0.25">
      <c r="A1087" t="str">
        <f>"18/11/2013"</f>
        <v>18/11/2013</v>
      </c>
      <c r="B1087" t="str">
        <f>"62.86"</f>
        <v>62.86</v>
      </c>
      <c r="C1087" t="str">
        <f>"63.345"</f>
        <v>63.345</v>
      </c>
    </row>
    <row r="1088" spans="1:3" x14ac:dyDescent="0.25">
      <c r="A1088" t="str">
        <f>"19/11/2013"</f>
        <v>19/11/2013</v>
      </c>
      <c r="B1088" t="str">
        <f>"62.265"</f>
        <v>62.265</v>
      </c>
      <c r="C1088" t="str">
        <f>"62.7825"</f>
        <v>62.7825</v>
      </c>
    </row>
    <row r="1089" spans="1:3" x14ac:dyDescent="0.25">
      <c r="A1089" t="str">
        <f>"20/11/2013"</f>
        <v>20/11/2013</v>
      </c>
      <c r="B1089" t="str">
        <f>"62.41"</f>
        <v>62.41</v>
      </c>
      <c r="C1089" t="str">
        <f>"62.9125"</f>
        <v>62.9125</v>
      </c>
    </row>
    <row r="1090" spans="1:3" x14ac:dyDescent="0.25">
      <c r="A1090" t="str">
        <f>"21/11/2013"</f>
        <v>21/11/2013</v>
      </c>
      <c r="B1090" t="str">
        <f>"62.92"</f>
        <v>62.92</v>
      </c>
      <c r="C1090" t="str">
        <f>"63.4325"</f>
        <v>63.4325</v>
      </c>
    </row>
    <row r="1091" spans="1:3" x14ac:dyDescent="0.25">
      <c r="A1091" t="str">
        <f>"22/11/2013"</f>
        <v>22/11/2013</v>
      </c>
      <c r="B1091" t="str">
        <f>"63.0475"</f>
        <v>63.0475</v>
      </c>
      <c r="C1091" t="str">
        <f>"63.54"</f>
        <v>63.54</v>
      </c>
    </row>
    <row r="1092" spans="1:3" x14ac:dyDescent="0.25">
      <c r="A1092" t="str">
        <f>"25/11/2013"</f>
        <v>25/11/2013</v>
      </c>
      <c r="B1092" t="str">
        <f>"62.515"</f>
        <v>62.515</v>
      </c>
      <c r="C1092" t="str">
        <f>"62.995"</f>
        <v>62.995</v>
      </c>
    </row>
    <row r="1093" spans="1:3" x14ac:dyDescent="0.25">
      <c r="A1093" t="str">
        <f>"26/11/2013"</f>
        <v>26/11/2013</v>
      </c>
      <c r="B1093" t="str">
        <f>"62.375"</f>
        <v>62.375</v>
      </c>
      <c r="C1093" t="str">
        <f>"62.85"</f>
        <v>62.85</v>
      </c>
    </row>
    <row r="1094" spans="1:3" x14ac:dyDescent="0.25">
      <c r="A1094" t="str">
        <f>"27/11/2013"</f>
        <v>27/11/2013</v>
      </c>
      <c r="B1094" t="str">
        <f>"62.3375"</f>
        <v>62.3375</v>
      </c>
      <c r="C1094" t="str">
        <f>"62.8325"</f>
        <v>62.8325</v>
      </c>
    </row>
    <row r="1095" spans="1:3" x14ac:dyDescent="0.25">
      <c r="A1095" t="str">
        <f>"28/11/2013"</f>
        <v>28/11/2013</v>
      </c>
      <c r="B1095" t="str">
        <f>"62.32"</f>
        <v>62.32</v>
      </c>
      <c r="C1095" t="str">
        <f>"62.805"</f>
        <v>62.805</v>
      </c>
    </row>
    <row r="1096" spans="1:3" x14ac:dyDescent="0.25">
      <c r="A1096" t="str">
        <f>"29/11/2013"</f>
        <v>29/11/2013</v>
      </c>
      <c r="B1096" t="str">
        <f>"62.2825"</f>
        <v>62.2825</v>
      </c>
      <c r="C1096" t="str">
        <f>"62.77"</f>
        <v>62.77</v>
      </c>
    </row>
    <row r="1097" spans="1:3" x14ac:dyDescent="0.25">
      <c r="A1097" t="str">
        <f>"02/12/2013"</f>
        <v>02/12/2013</v>
      </c>
      <c r="B1097" t="str">
        <f>"62.3275"</f>
        <v>62.3275</v>
      </c>
      <c r="C1097" t="str">
        <f>"62.8175"</f>
        <v>62.8175</v>
      </c>
    </row>
    <row r="1098" spans="1:3" x14ac:dyDescent="0.25">
      <c r="A1098" t="str">
        <f>"03/12/2013"</f>
        <v>03/12/2013</v>
      </c>
      <c r="B1098" t="str">
        <f>"62.42"</f>
        <v>62.42</v>
      </c>
      <c r="C1098" t="str">
        <f>"62.87"</f>
        <v>62.87</v>
      </c>
    </row>
    <row r="1099" spans="1:3" x14ac:dyDescent="0.25">
      <c r="A1099" t="str">
        <f>"04/12/2013"</f>
        <v>04/12/2013</v>
      </c>
      <c r="B1099" t="str">
        <f>"62.4975"</f>
        <v>62.4975</v>
      </c>
      <c r="C1099" t="str">
        <f>"62.9375"</f>
        <v>62.9375</v>
      </c>
    </row>
    <row r="1100" spans="1:3" x14ac:dyDescent="0.25">
      <c r="A1100" t="str">
        <f>"05/12/2013"</f>
        <v>05/12/2013</v>
      </c>
      <c r="B1100" t="str">
        <f>"61.57"</f>
        <v>61.57</v>
      </c>
      <c r="C1100" t="str">
        <f>"62.015"</f>
        <v>62.015</v>
      </c>
    </row>
    <row r="1101" spans="1:3" x14ac:dyDescent="0.25">
      <c r="A1101" t="str">
        <f>"06/12/2013"</f>
        <v>06/12/2013</v>
      </c>
      <c r="B1101" t="str">
        <f>"61.6575"</f>
        <v>61.6575</v>
      </c>
      <c r="C1101" t="str">
        <f>"62.1175"</f>
        <v>62.1175</v>
      </c>
    </row>
    <row r="1102" spans="1:3" x14ac:dyDescent="0.25">
      <c r="A1102" t="str">
        <f>"09/12/2013"</f>
        <v>09/12/2013</v>
      </c>
      <c r="B1102" t="str">
        <f>"61.055"</f>
        <v>61.055</v>
      </c>
      <c r="C1102" t="str">
        <f>"61.5175"</f>
        <v>61.5175</v>
      </c>
    </row>
    <row r="1103" spans="1:3" x14ac:dyDescent="0.25">
      <c r="A1103" t="str">
        <f>"10/12/2013"</f>
        <v>10/12/2013</v>
      </c>
      <c r="B1103" t="str">
        <f>"61.22"</f>
        <v>61.22</v>
      </c>
      <c r="C1103" t="str">
        <f>"61.7075"</f>
        <v>61.7075</v>
      </c>
    </row>
    <row r="1104" spans="1:3" x14ac:dyDescent="0.25">
      <c r="A1104" t="str">
        <f>"11/12/2013"</f>
        <v>11/12/2013</v>
      </c>
      <c r="B1104" t="str">
        <f>"61.355"</f>
        <v>61.355</v>
      </c>
      <c r="C1104" t="str">
        <f>"61.83"</f>
        <v>61.83</v>
      </c>
    </row>
    <row r="1105" spans="1:3" x14ac:dyDescent="0.25">
      <c r="A1105" t="str">
        <f>"12/12/2013"</f>
        <v>12/12/2013</v>
      </c>
      <c r="B1105" t="str">
        <f>"61.6575"</f>
        <v>61.6575</v>
      </c>
      <c r="C1105" t="str">
        <f>"62.1375"</f>
        <v>62.1375</v>
      </c>
    </row>
    <row r="1106" spans="1:3" x14ac:dyDescent="0.25">
      <c r="A1106" t="str">
        <f>"13/12/2013"</f>
        <v>13/12/2013</v>
      </c>
      <c r="B1106" t="str">
        <f>"62.08"</f>
        <v>62.08</v>
      </c>
      <c r="C1106" t="str">
        <f>"62.5575"</f>
        <v>62.5575</v>
      </c>
    </row>
    <row r="1107" spans="1:3" x14ac:dyDescent="0.25">
      <c r="A1107" t="str">
        <f>"16/12/2013"</f>
        <v>16/12/2013</v>
      </c>
      <c r="B1107" t="str">
        <f>"62.2025"</f>
        <v>62.2025</v>
      </c>
      <c r="C1107" t="str">
        <f>"62.73"</f>
        <v>62.73</v>
      </c>
    </row>
    <row r="1108" spans="1:3" x14ac:dyDescent="0.25">
      <c r="A1108" t="str">
        <f>"17/12/2013"</f>
        <v>17/12/2013</v>
      </c>
      <c r="B1108" t="str">
        <f>"62.005"</f>
        <v>62.005</v>
      </c>
      <c r="C1108" t="str">
        <f>"62.5175"</f>
        <v>62.5175</v>
      </c>
    </row>
    <row r="1109" spans="1:3" x14ac:dyDescent="0.25">
      <c r="A1109" t="str">
        <f>"18/12/2013"</f>
        <v>18/12/2013</v>
      </c>
      <c r="B1109" t="str">
        <f>"61.88"</f>
        <v>61.88</v>
      </c>
      <c r="C1109" t="str">
        <f>"62.39"</f>
        <v>62.39</v>
      </c>
    </row>
    <row r="1110" spans="1:3" x14ac:dyDescent="0.25">
      <c r="A1110" t="str">
        <f>"19/12/2013"</f>
        <v>19/12/2013</v>
      </c>
      <c r="B1110" t="str">
        <f>"62.44"</f>
        <v>62.44</v>
      </c>
      <c r="C1110" t="str">
        <f>"62.93"</f>
        <v>62.93</v>
      </c>
    </row>
    <row r="1111" spans="1:3" x14ac:dyDescent="0.25">
      <c r="A1111" t="str">
        <f>"20/12/2013"</f>
        <v>20/12/2013</v>
      </c>
      <c r="B1111" t="str">
        <f>"62.2825"</f>
        <v>62.2825</v>
      </c>
      <c r="C1111" t="str">
        <f>"62.7725"</f>
        <v>62.7725</v>
      </c>
    </row>
    <row r="1112" spans="1:3" x14ac:dyDescent="0.25">
      <c r="A1112" t="str">
        <f>"23/12/2013"</f>
        <v>23/12/2013</v>
      </c>
      <c r="B1112" t="str">
        <f>"61.93"</f>
        <v>61.93</v>
      </c>
      <c r="C1112" t="str">
        <f>"62.425"</f>
        <v>62.425</v>
      </c>
    </row>
    <row r="1113" spans="1:3" x14ac:dyDescent="0.25">
      <c r="A1113" t="str">
        <f>"24/12/2013"</f>
        <v>24/12/2013</v>
      </c>
      <c r="B1113" t="str">
        <f>"61.85"</f>
        <v>61.85</v>
      </c>
      <c r="C1113" t="str">
        <f>"62.35"</f>
        <v>62.35</v>
      </c>
    </row>
    <row r="1114" spans="1:3" x14ac:dyDescent="0.25">
      <c r="A1114" t="str">
        <f>"26/12/2013"</f>
        <v>26/12/2013</v>
      </c>
      <c r="B1114" t="str">
        <f>"61.93"</f>
        <v>61.93</v>
      </c>
      <c r="C1114" t="str">
        <f>"62.42"</f>
        <v>62.42</v>
      </c>
    </row>
    <row r="1115" spans="1:3" x14ac:dyDescent="0.25">
      <c r="A1115" t="str">
        <f>"27/12/2013"</f>
        <v>27/12/2013</v>
      </c>
      <c r="B1115" t="str">
        <f>"62.155"</f>
        <v>62.155</v>
      </c>
      <c r="C1115" t="str">
        <f>"62.645"</f>
        <v>62.645</v>
      </c>
    </row>
    <row r="1116" spans="1:3" x14ac:dyDescent="0.25">
      <c r="A1116" t="str">
        <f>"30/12/2013"</f>
        <v>30/12/2013</v>
      </c>
      <c r="B1116" t="str">
        <f>"61.975"</f>
        <v>61.975</v>
      </c>
      <c r="C1116" t="str">
        <f>"62.465"</f>
        <v>62.465</v>
      </c>
    </row>
    <row r="1117" spans="1:3" x14ac:dyDescent="0.25">
      <c r="A1117" t="str">
        <f>"31/12/2013"</f>
        <v>31/12/2013</v>
      </c>
      <c r="B1117" t="str">
        <f>"61.885"</f>
        <v>61.885</v>
      </c>
      <c r="C1117" t="str">
        <f>"62.37"</f>
        <v>62.37</v>
      </c>
    </row>
    <row r="1118" spans="1:3" x14ac:dyDescent="0.25">
      <c r="A1118" t="str">
        <f>"01/01/2014"</f>
        <v>01/01/2014</v>
      </c>
      <c r="B1118" t="str">
        <f>"61.915"</f>
        <v>61.915</v>
      </c>
      <c r="C1118" t="str">
        <f>"62.39"</f>
        <v>62.39</v>
      </c>
    </row>
    <row r="1119" spans="1:3" x14ac:dyDescent="0.25">
      <c r="A1119" t="str">
        <f>"02/01/2014"</f>
        <v>02/01/2014</v>
      </c>
      <c r="B1119" t="str">
        <f>"61.80"</f>
        <v>61.80</v>
      </c>
      <c r="C1119" t="str">
        <f>"62.2475"</f>
        <v>62.2475</v>
      </c>
    </row>
    <row r="1120" spans="1:3" x14ac:dyDescent="0.25">
      <c r="A1120" t="str">
        <f>"03/01/2014"</f>
        <v>03/01/2014</v>
      </c>
      <c r="B1120" t="str">
        <f>"62.35"</f>
        <v>62.35</v>
      </c>
      <c r="C1120" t="str">
        <f>"62.80"</f>
        <v>62.80</v>
      </c>
    </row>
    <row r="1121" spans="1:3" x14ac:dyDescent="0.25">
      <c r="A1121" t="str">
        <f>"06/01/2014"</f>
        <v>06/01/2014</v>
      </c>
      <c r="B1121" t="str">
        <f>"62.44"</f>
        <v>62.44</v>
      </c>
      <c r="C1121" t="str">
        <f>"62.915"</f>
        <v>62.915</v>
      </c>
    </row>
    <row r="1122" spans="1:3" x14ac:dyDescent="0.25">
      <c r="A1122" t="str">
        <f>"07/01/2014"</f>
        <v>07/01/2014</v>
      </c>
      <c r="B1122" t="str">
        <f>"62.40"</f>
        <v>62.40</v>
      </c>
      <c r="C1122" t="str">
        <f>"62.875"</f>
        <v>62.875</v>
      </c>
    </row>
    <row r="1123" spans="1:3" x14ac:dyDescent="0.25">
      <c r="A1123" t="str">
        <f>"08/01/2014"</f>
        <v>08/01/2014</v>
      </c>
      <c r="B1123" t="str">
        <f>"62.23"</f>
        <v>62.23</v>
      </c>
      <c r="C1123" t="str">
        <f>"62.69"</f>
        <v>62.69</v>
      </c>
    </row>
    <row r="1124" spans="1:3" x14ac:dyDescent="0.25">
      <c r="A1124" t="str">
        <f>"09/01/2014"</f>
        <v>09/01/2014</v>
      </c>
      <c r="B1124" t="str">
        <f>"62.2125"</f>
        <v>62.2125</v>
      </c>
      <c r="C1124" t="str">
        <f>"62.67"</f>
        <v>62.67</v>
      </c>
    </row>
    <row r="1125" spans="1:3" x14ac:dyDescent="0.25">
      <c r="A1125" t="str">
        <f>"10/01/2014"</f>
        <v>10/01/2014</v>
      </c>
      <c r="B1125" t="str">
        <f>"61.965"</f>
        <v>61.965</v>
      </c>
      <c r="C1125" t="str">
        <f>"62.4575"</f>
        <v>62.4575</v>
      </c>
    </row>
    <row r="1126" spans="1:3" x14ac:dyDescent="0.25">
      <c r="A1126" t="str">
        <f>"16/01/2014"</f>
        <v>16/01/2014</v>
      </c>
      <c r="B1126" t="str">
        <f>"61.5375"</f>
        <v>61.5375</v>
      </c>
      <c r="C1126" t="str">
        <f>"61.995"</f>
        <v>61.995</v>
      </c>
    </row>
    <row r="1127" spans="1:3" x14ac:dyDescent="0.25">
      <c r="A1127" t="str">
        <f>"17/01/2014"</f>
        <v>17/01/2014</v>
      </c>
      <c r="B1127" t="str">
        <f>"61.355"</f>
        <v>61.355</v>
      </c>
      <c r="C1127" t="str">
        <f>"61.815"</f>
        <v>61.815</v>
      </c>
    </row>
    <row r="1128" spans="1:3" x14ac:dyDescent="0.25">
      <c r="A1128" t="str">
        <f>"20/01/2014"</f>
        <v>20/01/2014</v>
      </c>
      <c r="B1128" t="str">
        <f>"61.62"</f>
        <v>61.62</v>
      </c>
      <c r="C1128" t="str">
        <f>"62.1125"</f>
        <v>62.1125</v>
      </c>
    </row>
    <row r="1129" spans="1:3" x14ac:dyDescent="0.25">
      <c r="A1129" t="str">
        <f>"21/01/2014"</f>
        <v>21/01/2014</v>
      </c>
      <c r="B1129" t="str">
        <f>"61.49"</f>
        <v>61.49</v>
      </c>
      <c r="C1129" t="str">
        <f>"61.945"</f>
        <v>61.945</v>
      </c>
    </row>
    <row r="1130" spans="1:3" x14ac:dyDescent="0.25">
      <c r="A1130" t="str">
        <f>"22/01/2014"</f>
        <v>22/01/2014</v>
      </c>
      <c r="B1130" t="str">
        <f>"61.95"</f>
        <v>61.95</v>
      </c>
      <c r="C1130" t="str">
        <f>"62.3925"</f>
        <v>62.3925</v>
      </c>
    </row>
    <row r="1131" spans="1:3" x14ac:dyDescent="0.25">
      <c r="A1131" t="str">
        <f>"23/01/2014"</f>
        <v>23/01/2014</v>
      </c>
      <c r="B1131" t="str">
        <f>"62.05"</f>
        <v>62.05</v>
      </c>
      <c r="C1131" t="str">
        <f>"62.4975"</f>
        <v>62.4975</v>
      </c>
    </row>
    <row r="1132" spans="1:3" x14ac:dyDescent="0.25">
      <c r="A1132" t="str">
        <f>"24/01/2014"</f>
        <v>24/01/2014</v>
      </c>
      <c r="B1132" t="str">
        <f>"62.18"</f>
        <v>62.18</v>
      </c>
      <c r="C1132" t="str">
        <f>"62.6175"</f>
        <v>62.6175</v>
      </c>
    </row>
    <row r="1133" spans="1:3" x14ac:dyDescent="0.25">
      <c r="A1133" t="str">
        <f>"27/01/2014"</f>
        <v>27/01/2014</v>
      </c>
      <c r="B1133" t="str">
        <f>"62.7775"</f>
        <v>62.7775</v>
      </c>
      <c r="C1133" t="str">
        <f>"63.2325"</f>
        <v>63.2325</v>
      </c>
    </row>
    <row r="1134" spans="1:3" x14ac:dyDescent="0.25">
      <c r="A1134" t="str">
        <f>"28/01/2014"</f>
        <v>28/01/2014</v>
      </c>
      <c r="B1134" t="str">
        <f>"63.04"</f>
        <v>63.04</v>
      </c>
      <c r="C1134" t="str">
        <f>"63.465"</f>
        <v>63.465</v>
      </c>
    </row>
    <row r="1135" spans="1:3" x14ac:dyDescent="0.25">
      <c r="A1135" t="str">
        <f>"29/01/2014"</f>
        <v>29/01/2014</v>
      </c>
      <c r="B1135" t="str">
        <f>"62.18"</f>
        <v>62.18</v>
      </c>
      <c r="C1135" t="str">
        <f>"62.5875"</f>
        <v>62.5875</v>
      </c>
    </row>
    <row r="1136" spans="1:3" x14ac:dyDescent="0.25">
      <c r="A1136" t="str">
        <f>"30/01/2014"</f>
        <v>30/01/2014</v>
      </c>
      <c r="B1136" t="str">
        <f>"62.8425"</f>
        <v>62.8425</v>
      </c>
      <c r="C1136" t="str">
        <f>"63.265"</f>
        <v>63.265</v>
      </c>
    </row>
    <row r="1137" spans="1:3" x14ac:dyDescent="0.25">
      <c r="A1137" t="str">
        <f>"31/01/2014"</f>
        <v>31/01/2014</v>
      </c>
      <c r="B1137" t="str">
        <f>"62.47"</f>
        <v>62.47</v>
      </c>
      <c r="C1137" t="str">
        <f>"62.89"</f>
        <v>62.89</v>
      </c>
    </row>
    <row r="1138" spans="1:3" x14ac:dyDescent="0.25">
      <c r="A1138" t="str">
        <f>"03/02/2014"</f>
        <v>03/02/2014</v>
      </c>
      <c r="B1138" t="str">
        <f>"62.625"</f>
        <v>62.625</v>
      </c>
      <c r="C1138" t="str">
        <f>"63.0475"</f>
        <v>63.0475</v>
      </c>
    </row>
    <row r="1139" spans="1:3" x14ac:dyDescent="0.25">
      <c r="A1139" t="str">
        <f>"04/02/2014"</f>
        <v>04/02/2014</v>
      </c>
      <c r="B1139" t="str">
        <f>"62.73"</f>
        <v>62.73</v>
      </c>
      <c r="C1139" t="str">
        <f>"63.1525"</f>
        <v>63.1525</v>
      </c>
    </row>
    <row r="1140" spans="1:3" x14ac:dyDescent="0.25">
      <c r="A1140" t="str">
        <f>"05/02/2014"</f>
        <v>05/02/2014</v>
      </c>
      <c r="B1140" t="str">
        <f>"62.45"</f>
        <v>62.45</v>
      </c>
      <c r="C1140" t="str">
        <f>"62.8675"</f>
        <v>62.8675</v>
      </c>
    </row>
    <row r="1141" spans="1:3" x14ac:dyDescent="0.25">
      <c r="A1141" t="str">
        <f>"06/02/2014"</f>
        <v>06/02/2014</v>
      </c>
      <c r="B1141" t="str">
        <f>"62.44"</f>
        <v>62.44</v>
      </c>
      <c r="C1141" t="str">
        <f>"62.8525"</f>
        <v>62.8525</v>
      </c>
    </row>
    <row r="1142" spans="1:3" x14ac:dyDescent="0.25">
      <c r="A1142" t="str">
        <f>"07/02/2014"</f>
        <v>07/02/2014</v>
      </c>
      <c r="B1142" t="str">
        <f>"62.375"</f>
        <v>62.375</v>
      </c>
      <c r="C1142" t="str">
        <f>"62.7975"</f>
        <v>62.7975</v>
      </c>
    </row>
    <row r="1143" spans="1:3" x14ac:dyDescent="0.25">
      <c r="A1143" t="str">
        <f>"10/02/2014"</f>
        <v>10/02/2014</v>
      </c>
      <c r="B1143" t="str">
        <f>"62.19"</f>
        <v>62.19</v>
      </c>
      <c r="C1143" t="str">
        <f>"62.615"</f>
        <v>62.615</v>
      </c>
    </row>
    <row r="1144" spans="1:3" x14ac:dyDescent="0.25">
      <c r="A1144" t="str">
        <f>"11/02/2014"</f>
        <v>11/02/2014</v>
      </c>
      <c r="B1144" t="str">
        <f>"62.44"</f>
        <v>62.44</v>
      </c>
      <c r="C1144" t="str">
        <f>"62.87"</f>
        <v>62.87</v>
      </c>
    </row>
    <row r="1145" spans="1:3" x14ac:dyDescent="0.25">
      <c r="A1145" t="str">
        <f>"12/02/2014"</f>
        <v>12/02/2014</v>
      </c>
      <c r="B1145" t="str">
        <f>"62.12"</f>
        <v>62.12</v>
      </c>
      <c r="C1145" t="str">
        <f>"62.5475"</f>
        <v>62.5475</v>
      </c>
    </row>
    <row r="1146" spans="1:3" x14ac:dyDescent="0.25">
      <c r="A1146" t="str">
        <f>"13/02/2014"</f>
        <v>13/02/2014</v>
      </c>
      <c r="B1146" t="str">
        <f>"62.19"</f>
        <v>62.19</v>
      </c>
      <c r="C1146" t="str">
        <f>"62.625"</f>
        <v>62.625</v>
      </c>
    </row>
    <row r="1147" spans="1:3" x14ac:dyDescent="0.25">
      <c r="A1147" t="str">
        <f>"14/02/2014"</f>
        <v>14/02/2014</v>
      </c>
      <c r="B1147" t="str">
        <f>"62.345"</f>
        <v>62.345</v>
      </c>
      <c r="C1147" t="str">
        <f>"62.7825"</f>
        <v>62.7825</v>
      </c>
    </row>
    <row r="1148" spans="1:3" x14ac:dyDescent="0.25">
      <c r="A1148" t="str">
        <f>"17/02/2014"</f>
        <v>17/02/2014</v>
      </c>
      <c r="B1148" t="str">
        <f>"62.05"</f>
        <v>62.05</v>
      </c>
      <c r="C1148" t="str">
        <f>"62.49"</f>
        <v>62.49</v>
      </c>
    </row>
    <row r="1149" spans="1:3" x14ac:dyDescent="0.25">
      <c r="A1149" t="str">
        <f>"18/02/2014"</f>
        <v>18/02/2014</v>
      </c>
      <c r="B1149" t="str">
        <f>"62.05"</f>
        <v>62.05</v>
      </c>
      <c r="C1149" t="str">
        <f>"62.49"</f>
        <v>62.49</v>
      </c>
    </row>
    <row r="1150" spans="1:3" x14ac:dyDescent="0.25">
      <c r="A1150" t="str">
        <f>"19/02/2014"</f>
        <v>19/02/2014</v>
      </c>
      <c r="B1150" t="str">
        <f>"62.23"</f>
        <v>62.23</v>
      </c>
      <c r="C1150" t="str">
        <f>"62.6625"</f>
        <v>62.6625</v>
      </c>
    </row>
    <row r="1151" spans="1:3" x14ac:dyDescent="0.25">
      <c r="A1151" t="str">
        <f>"20/02/2014"</f>
        <v>20/02/2014</v>
      </c>
      <c r="B1151" t="str">
        <f>"62.4175"</f>
        <v>62.4175</v>
      </c>
      <c r="C1151" t="str">
        <f>"62.8575"</f>
        <v>62.8575</v>
      </c>
    </row>
    <row r="1152" spans="1:3" x14ac:dyDescent="0.25">
      <c r="A1152" t="str">
        <f>"21/02/2014"</f>
        <v>21/02/2014</v>
      </c>
      <c r="B1152" t="str">
        <f>"62.1375"</f>
        <v>62.1375</v>
      </c>
      <c r="C1152" t="str">
        <f>"62.5725"</f>
        <v>62.5725</v>
      </c>
    </row>
    <row r="1153" spans="1:3" x14ac:dyDescent="0.25">
      <c r="A1153" t="str">
        <f>"24/02/2014"</f>
        <v>24/02/2014</v>
      </c>
      <c r="B1153" t="str">
        <f>"62.1525"</f>
        <v>62.1525</v>
      </c>
      <c r="C1153" t="str">
        <f>"62.5925"</f>
        <v>62.5925</v>
      </c>
    </row>
    <row r="1154" spans="1:3" x14ac:dyDescent="0.25">
      <c r="A1154" t="str">
        <f>"25/02/2014"</f>
        <v>25/02/2014</v>
      </c>
      <c r="B1154" t="str">
        <f>"62.02"</f>
        <v>62.02</v>
      </c>
      <c r="C1154" t="str">
        <f>"62.4525"</f>
        <v>62.4525</v>
      </c>
    </row>
    <row r="1155" spans="1:3" x14ac:dyDescent="0.25">
      <c r="A1155" t="str">
        <f>"26/02/2014"</f>
        <v>26/02/2014</v>
      </c>
      <c r="B1155" t="str">
        <f>"61.98"</f>
        <v>61.98</v>
      </c>
      <c r="C1155" t="str">
        <f>"62.465"</f>
        <v>62.465</v>
      </c>
    </row>
    <row r="1156" spans="1:3" x14ac:dyDescent="0.25">
      <c r="A1156" t="str">
        <f>"28/02/2014"</f>
        <v>28/02/2014</v>
      </c>
      <c r="B1156" t="str">
        <f>"62.14"</f>
        <v>62.14</v>
      </c>
      <c r="C1156" t="str">
        <f>"62.635"</f>
        <v>62.635</v>
      </c>
    </row>
    <row r="1157" spans="1:3" x14ac:dyDescent="0.25">
      <c r="A1157" t="str">
        <f>"03/03/2014"</f>
        <v>03/03/2014</v>
      </c>
      <c r="B1157" t="str">
        <f>"61.9275"</f>
        <v>61.9275</v>
      </c>
      <c r="C1157" t="str">
        <f>"62.46"</f>
        <v>62.46</v>
      </c>
    </row>
    <row r="1158" spans="1:3" x14ac:dyDescent="0.25">
      <c r="A1158" t="str">
        <f>"04/03/2014"</f>
        <v>04/03/2014</v>
      </c>
      <c r="B1158" t="str">
        <f>"62.12"</f>
        <v>62.12</v>
      </c>
      <c r="C1158" t="str">
        <f>"62.64"</f>
        <v>62.64</v>
      </c>
    </row>
    <row r="1159" spans="1:3" x14ac:dyDescent="0.25">
      <c r="A1159" t="str">
        <f>"05/03/2014"</f>
        <v>05/03/2014</v>
      </c>
      <c r="B1159" t="str">
        <f>"61.855"</f>
        <v>61.855</v>
      </c>
      <c r="C1159" t="str">
        <f>"62.36"</f>
        <v>62.36</v>
      </c>
    </row>
    <row r="1160" spans="1:3" x14ac:dyDescent="0.25">
      <c r="A1160" t="str">
        <f>"06/03/2014"</f>
        <v>06/03/2014</v>
      </c>
      <c r="B1160" t="str">
        <f>"61.46"</f>
        <v>61.46</v>
      </c>
      <c r="C1160" t="str">
        <f>"61.98"</f>
        <v>61.98</v>
      </c>
    </row>
    <row r="1161" spans="1:3" x14ac:dyDescent="0.25">
      <c r="A1161" t="str">
        <f>"07/03/2014"</f>
        <v>07/03/2014</v>
      </c>
      <c r="B1161" t="str">
        <f>"61.025"</f>
        <v>61.025</v>
      </c>
      <c r="C1161" t="str">
        <f>"61.5575"</f>
        <v>61.5575</v>
      </c>
    </row>
    <row r="1162" spans="1:3" x14ac:dyDescent="0.25">
      <c r="A1162" t="str">
        <f>"10/03/2014"</f>
        <v>10/03/2014</v>
      </c>
      <c r="B1162" t="str">
        <f>"61.33"</f>
        <v>61.33</v>
      </c>
      <c r="C1162" t="str">
        <f>"61.93"</f>
        <v>61.93</v>
      </c>
    </row>
    <row r="1163" spans="1:3" x14ac:dyDescent="0.25">
      <c r="A1163" t="str">
        <f>"11/03/2014"</f>
        <v>11/03/2014</v>
      </c>
      <c r="B1163" t="str">
        <f>"60.65"</f>
        <v>60.65</v>
      </c>
      <c r="C1163" t="str">
        <f>"61.245"</f>
        <v>61.245</v>
      </c>
    </row>
    <row r="1164" spans="1:3" x14ac:dyDescent="0.25">
      <c r="A1164" t="str">
        <f>"12/03/2014"</f>
        <v>12/03/2014</v>
      </c>
      <c r="B1164" t="str">
        <f>"61.0825"</f>
        <v>61.0825</v>
      </c>
      <c r="C1164" t="str">
        <f>"61.6675"</f>
        <v>61.6675</v>
      </c>
    </row>
    <row r="1165" spans="1:3" x14ac:dyDescent="0.25">
      <c r="A1165" t="str">
        <f>"13/03/2014"</f>
        <v>13/03/2014</v>
      </c>
      <c r="B1165" t="str">
        <f>"60.96"</f>
        <v>60.96</v>
      </c>
      <c r="C1165" t="str">
        <f>"61.59"</f>
        <v>61.59</v>
      </c>
    </row>
    <row r="1166" spans="1:3" x14ac:dyDescent="0.25">
      <c r="A1166" t="str">
        <f>"14/03/2014"</f>
        <v>14/03/2014</v>
      </c>
      <c r="B1166" t="str">
        <f>"61.48"</f>
        <v>61.48</v>
      </c>
      <c r="C1166" t="str">
        <f>"62.05"</f>
        <v>62.05</v>
      </c>
    </row>
    <row r="1167" spans="1:3" x14ac:dyDescent="0.25">
      <c r="A1167" t="str">
        <f>"18/03/2014"</f>
        <v>18/03/2014</v>
      </c>
      <c r="B1167" t="str">
        <f>"60.9075"</f>
        <v>60.9075</v>
      </c>
      <c r="C1167" t="str">
        <f>"61.47"</f>
        <v>61.47</v>
      </c>
    </row>
    <row r="1168" spans="1:3" x14ac:dyDescent="0.25">
      <c r="A1168" t="str">
        <f>"19/03/2014"</f>
        <v>19/03/2014</v>
      </c>
      <c r="B1168" t="str">
        <f>"61.15"</f>
        <v>61.15</v>
      </c>
      <c r="C1168" t="str">
        <f>"61.7025"</f>
        <v>61.7025</v>
      </c>
    </row>
    <row r="1169" spans="1:3" x14ac:dyDescent="0.25">
      <c r="A1169" t="str">
        <f>"20/03/2014"</f>
        <v>20/03/2014</v>
      </c>
      <c r="B1169" t="str">
        <f>"61.2025"</f>
        <v>61.2025</v>
      </c>
      <c r="C1169" t="str">
        <f>"61.745"</f>
        <v>61.745</v>
      </c>
    </row>
    <row r="1170" spans="1:3" x14ac:dyDescent="0.25">
      <c r="A1170" t="str">
        <f>"21/03/2014"</f>
        <v>21/03/2014</v>
      </c>
      <c r="B1170" t="str">
        <f>"61.0225"</f>
        <v>61.0225</v>
      </c>
      <c r="C1170" t="str">
        <f>"61.5375"</f>
        <v>61.5375</v>
      </c>
    </row>
    <row r="1171" spans="1:3" x14ac:dyDescent="0.25">
      <c r="A1171" t="str">
        <f>"24/03/2014"</f>
        <v>24/03/2014</v>
      </c>
      <c r="B1171" t="str">
        <f>"60.6775"</f>
        <v>60.6775</v>
      </c>
      <c r="C1171" t="str">
        <f>"61.2125"</f>
        <v>61.2125</v>
      </c>
    </row>
    <row r="1172" spans="1:3" x14ac:dyDescent="0.25">
      <c r="A1172" t="str">
        <f>"25/03/2014"</f>
        <v>25/03/2014</v>
      </c>
      <c r="B1172" t="str">
        <f>"60.50"</f>
        <v>60.50</v>
      </c>
      <c r="C1172" t="str">
        <f>"61.0175"</f>
        <v>61.0175</v>
      </c>
    </row>
    <row r="1173" spans="1:3" x14ac:dyDescent="0.25">
      <c r="A1173" t="str">
        <f>"26/03/2014"</f>
        <v>26/03/2014</v>
      </c>
      <c r="B1173" t="str">
        <f>"60.26"</f>
        <v>60.26</v>
      </c>
      <c r="C1173" t="str">
        <f>"60.8025"</f>
        <v>60.8025</v>
      </c>
    </row>
    <row r="1174" spans="1:3" x14ac:dyDescent="0.25">
      <c r="A1174" t="str">
        <f>"27/03/2014"</f>
        <v>27/03/2014</v>
      </c>
      <c r="B1174" t="str">
        <f>"60.22"</f>
        <v>60.22</v>
      </c>
      <c r="C1174" t="str">
        <f>"60.655"</f>
        <v>60.655</v>
      </c>
    </row>
    <row r="1175" spans="1:3" x14ac:dyDescent="0.25">
      <c r="A1175" t="str">
        <f>"28/03/2014"</f>
        <v>28/03/2014</v>
      </c>
      <c r="B1175" t="str">
        <f>"60.03"</f>
        <v>60.03</v>
      </c>
      <c r="C1175" t="str">
        <f>"60.4975"</f>
        <v>60.4975</v>
      </c>
    </row>
    <row r="1176" spans="1:3" x14ac:dyDescent="0.25">
      <c r="A1176" t="str">
        <f>"02/04/2014"</f>
        <v>02/04/2014</v>
      </c>
      <c r="B1176" t="str">
        <f>"59.7375"</f>
        <v>59.7375</v>
      </c>
      <c r="C1176" t="str">
        <f>"60.22"</f>
        <v>60.22</v>
      </c>
    </row>
    <row r="1177" spans="1:3" x14ac:dyDescent="0.25">
      <c r="A1177" t="str">
        <f>"03/04/2014"</f>
        <v>03/04/2014</v>
      </c>
      <c r="B1177" t="str">
        <f>"60.025"</f>
        <v>60.025</v>
      </c>
      <c r="C1177" t="str">
        <f>"60.4925"</f>
        <v>60.4925</v>
      </c>
    </row>
    <row r="1178" spans="1:3" x14ac:dyDescent="0.25">
      <c r="A1178" t="str">
        <f>"04/04/2014"</f>
        <v>04/04/2014</v>
      </c>
      <c r="B1178" t="str">
        <f>"60.35"</f>
        <v>60.35</v>
      </c>
      <c r="C1178" t="str">
        <f>"60.795"</f>
        <v>60.795</v>
      </c>
    </row>
    <row r="1179" spans="1:3" x14ac:dyDescent="0.25">
      <c r="A1179" t="str">
        <f>"07/04/2014"</f>
        <v>07/04/2014</v>
      </c>
      <c r="B1179" t="str">
        <f>"59.93"</f>
        <v>59.93</v>
      </c>
      <c r="C1179" t="str">
        <f>"60.37"</f>
        <v>60.37</v>
      </c>
    </row>
    <row r="1180" spans="1:3" x14ac:dyDescent="0.25">
      <c r="A1180" t="str">
        <f>"09/04/2014"</f>
        <v>09/04/2014</v>
      </c>
      <c r="B1180" t="str">
        <f>"59.9925"</f>
        <v>59.9925</v>
      </c>
      <c r="C1180" t="str">
        <f>"60.44"</f>
        <v>60.44</v>
      </c>
    </row>
    <row r="1181" spans="1:3" x14ac:dyDescent="0.25">
      <c r="A1181" t="str">
        <f>"10/04/2014"</f>
        <v>10/04/2014</v>
      </c>
      <c r="B1181" t="str">
        <f>"60.2625"</f>
        <v>60.2625</v>
      </c>
      <c r="C1181" t="str">
        <f>"60.6975"</f>
        <v>60.6975</v>
      </c>
    </row>
    <row r="1182" spans="1:3" x14ac:dyDescent="0.25">
      <c r="A1182" t="str">
        <f>"11/04/2014"</f>
        <v>11/04/2014</v>
      </c>
      <c r="B1182" t="str">
        <f>"60.24"</f>
        <v>60.24</v>
      </c>
      <c r="C1182" t="str">
        <f>"60.6725"</f>
        <v>60.6725</v>
      </c>
    </row>
    <row r="1183" spans="1:3" x14ac:dyDescent="0.25">
      <c r="A1183" t="str">
        <f>"15/04/2014"</f>
        <v>15/04/2014</v>
      </c>
      <c r="B1183" t="str">
        <f>"60.30"</f>
        <v>60.30</v>
      </c>
      <c r="C1183" t="str">
        <f>"60.735"</f>
        <v>60.735</v>
      </c>
    </row>
    <row r="1184" spans="1:3" x14ac:dyDescent="0.25">
      <c r="A1184" t="str">
        <f>"16/04/2014"</f>
        <v>16/04/2014</v>
      </c>
      <c r="B1184" t="str">
        <f>"60.2625"</f>
        <v>60.2625</v>
      </c>
      <c r="C1184" t="str">
        <f>"60.6975"</f>
        <v>60.6975</v>
      </c>
    </row>
    <row r="1185" spans="1:3" x14ac:dyDescent="0.25">
      <c r="A1185" t="str">
        <f>"17/04/2014"</f>
        <v>17/04/2014</v>
      </c>
      <c r="B1185" t="str">
        <f>"60.36"</f>
        <v>60.36</v>
      </c>
      <c r="C1185" t="str">
        <f>"60.7925"</f>
        <v>60.7925</v>
      </c>
    </row>
    <row r="1186" spans="1:3" x14ac:dyDescent="0.25">
      <c r="A1186" t="str">
        <f>"21/04/2014"</f>
        <v>21/04/2014</v>
      </c>
      <c r="B1186" t="str">
        <f>"60.37"</f>
        <v>60.37</v>
      </c>
      <c r="C1186" t="str">
        <f>"60.8025"</f>
        <v>60.8025</v>
      </c>
    </row>
    <row r="1187" spans="1:3" x14ac:dyDescent="0.25">
      <c r="A1187" t="str">
        <f>"22/04/2014"</f>
        <v>22/04/2014</v>
      </c>
      <c r="B1187" t="str">
        <f>"60.725"</f>
        <v>60.725</v>
      </c>
      <c r="C1187" t="str">
        <f>"61.185"</f>
        <v>61.185</v>
      </c>
    </row>
    <row r="1188" spans="1:3" x14ac:dyDescent="0.25">
      <c r="A1188" t="str">
        <f>"23/04/2014"</f>
        <v>23/04/2014</v>
      </c>
      <c r="B1188" t="str">
        <f>"61.0125"</f>
        <v>61.0125</v>
      </c>
      <c r="C1188" t="str">
        <f>"61.4475"</f>
        <v>61.4475</v>
      </c>
    </row>
    <row r="1189" spans="1:3" x14ac:dyDescent="0.25">
      <c r="A1189" t="str">
        <f>"25/04/2014"</f>
        <v>25/04/2014</v>
      </c>
      <c r="B1189" t="str">
        <f>"61.12"</f>
        <v>61.12</v>
      </c>
      <c r="C1189" t="str">
        <f>"61.5525"</f>
        <v>61.5525</v>
      </c>
    </row>
    <row r="1190" spans="1:3" x14ac:dyDescent="0.25">
      <c r="A1190" t="str">
        <f>"28/04/2014"</f>
        <v>28/04/2014</v>
      </c>
      <c r="B1190" t="str">
        <f>"60.51"</f>
        <v>60.51</v>
      </c>
      <c r="C1190" t="str">
        <f>"60.94"</f>
        <v>60.94</v>
      </c>
    </row>
    <row r="1191" spans="1:3" x14ac:dyDescent="0.25">
      <c r="A1191" t="str">
        <f>"29/04/2014"</f>
        <v>29/04/2014</v>
      </c>
      <c r="B1191" t="str">
        <f>"60.535"</f>
        <v>60.535</v>
      </c>
      <c r="C1191" t="str">
        <f>"60.975"</f>
        <v>60.975</v>
      </c>
    </row>
    <row r="1192" spans="1:3" x14ac:dyDescent="0.25">
      <c r="A1192" t="str">
        <f>"30/04/2014"</f>
        <v>30/04/2014</v>
      </c>
      <c r="B1192" t="str">
        <f>"60.3475"</f>
        <v>60.3475</v>
      </c>
      <c r="C1192" t="str">
        <f>"60.7775"</f>
        <v>60.7775</v>
      </c>
    </row>
    <row r="1193" spans="1:3" x14ac:dyDescent="0.25">
      <c r="A1193" t="str">
        <f>"02/05/2014"</f>
        <v>02/05/2014</v>
      </c>
      <c r="B1193" t="str">
        <f>"60.1875"</f>
        <v>60.1875</v>
      </c>
      <c r="C1193" t="str">
        <f>"60.595"</f>
        <v>60.595</v>
      </c>
    </row>
    <row r="1194" spans="1:3" x14ac:dyDescent="0.25">
      <c r="A1194" t="str">
        <f>"05/05/2014"</f>
        <v>05/05/2014</v>
      </c>
      <c r="B1194" t="str">
        <f>"60.0625"</f>
        <v>60.0625</v>
      </c>
      <c r="C1194" t="str">
        <f>"60.5075"</f>
        <v>60.5075</v>
      </c>
    </row>
    <row r="1195" spans="1:3" x14ac:dyDescent="0.25">
      <c r="A1195" t="str">
        <f>"06/05/2014"</f>
        <v>06/05/2014</v>
      </c>
      <c r="B1195" t="str">
        <f>"60.20"</f>
        <v>60.20</v>
      </c>
      <c r="C1195" t="str">
        <f>"60.6275"</f>
        <v>60.6275</v>
      </c>
    </row>
    <row r="1196" spans="1:3" x14ac:dyDescent="0.25">
      <c r="A1196" t="str">
        <f>"07/05/2014"</f>
        <v>07/05/2014</v>
      </c>
      <c r="B1196" t="str">
        <f>"60.1175"</f>
        <v>60.1175</v>
      </c>
      <c r="C1196" t="str">
        <f>"60.53"</f>
        <v>60.53</v>
      </c>
    </row>
    <row r="1197" spans="1:3" x14ac:dyDescent="0.25">
      <c r="A1197" t="str">
        <f>"08/05/2014"</f>
        <v>08/05/2014</v>
      </c>
      <c r="B1197" t="str">
        <f>"60.04"</f>
        <v>60.04</v>
      </c>
      <c r="C1197" t="str">
        <f>"60.45"</f>
        <v>60.45</v>
      </c>
    </row>
    <row r="1198" spans="1:3" x14ac:dyDescent="0.25">
      <c r="A1198" t="str">
        <f>"09/05/2014"</f>
        <v>09/05/2014</v>
      </c>
      <c r="B1198" t="str">
        <f>"60.0725"</f>
        <v>60.0725</v>
      </c>
      <c r="C1198" t="str">
        <f>"60.4975"</f>
        <v>60.4975</v>
      </c>
    </row>
    <row r="1199" spans="1:3" x14ac:dyDescent="0.25">
      <c r="A1199" t="str">
        <f>"12/05/2014"</f>
        <v>12/05/2014</v>
      </c>
      <c r="B1199" t="str">
        <f>"59.73"</f>
        <v>59.73</v>
      </c>
      <c r="C1199" t="str">
        <f>"60.1675"</f>
        <v>60.1675</v>
      </c>
    </row>
    <row r="1200" spans="1:3" x14ac:dyDescent="0.25">
      <c r="A1200" t="str">
        <f>"13/05/2014"</f>
        <v>13/05/2014</v>
      </c>
      <c r="B1200" t="str">
        <f>"59.7675"</f>
        <v>59.7675</v>
      </c>
      <c r="C1200" t="str">
        <f>"60.1925"</f>
        <v>60.1925</v>
      </c>
    </row>
    <row r="1201" spans="1:3" x14ac:dyDescent="0.25">
      <c r="A1201" t="str">
        <f>"15/05/2014"</f>
        <v>15/05/2014</v>
      </c>
      <c r="B1201" t="str">
        <f>"59.52"</f>
        <v>59.52</v>
      </c>
      <c r="C1201" t="str">
        <f>"59.945"</f>
        <v>59.945</v>
      </c>
    </row>
    <row r="1202" spans="1:3" x14ac:dyDescent="0.25">
      <c r="A1202" t="str">
        <f>"16/05/2014"</f>
        <v>16/05/2014</v>
      </c>
      <c r="B1202" t="str">
        <f>"58.74"</f>
        <v>58.74</v>
      </c>
      <c r="C1202" t="str">
        <f>"59.155"</f>
        <v>59.155</v>
      </c>
    </row>
    <row r="1203" spans="1:3" x14ac:dyDescent="0.25">
      <c r="A1203" t="str">
        <f>"19/05/2014"</f>
        <v>19/05/2014</v>
      </c>
      <c r="B1203" t="str">
        <f>"58.46"</f>
        <v>58.46</v>
      </c>
      <c r="C1203" t="str">
        <f>"58.8925"</f>
        <v>58.8925</v>
      </c>
    </row>
    <row r="1204" spans="1:3" x14ac:dyDescent="0.25">
      <c r="A1204" t="str">
        <f>"20/05/2014"</f>
        <v>20/05/2014</v>
      </c>
      <c r="B1204" t="str">
        <f>"58.645"</f>
        <v>58.645</v>
      </c>
      <c r="C1204" t="str">
        <f>"59.08"</f>
        <v>59.08</v>
      </c>
    </row>
    <row r="1205" spans="1:3" x14ac:dyDescent="0.25">
      <c r="A1205" t="str">
        <f>"21/05/2014"</f>
        <v>21/05/2014</v>
      </c>
      <c r="B1205" t="str">
        <f>"58.81"</f>
        <v>58.81</v>
      </c>
      <c r="C1205" t="str">
        <f>"59.225"</f>
        <v>59.225</v>
      </c>
    </row>
    <row r="1206" spans="1:3" x14ac:dyDescent="0.25">
      <c r="A1206" t="str">
        <f>"22/05/2014"</f>
        <v>22/05/2014</v>
      </c>
      <c r="B1206" t="str">
        <f>"58.6275"</f>
        <v>58.6275</v>
      </c>
      <c r="C1206" t="str">
        <f>"59.055"</f>
        <v>59.055</v>
      </c>
    </row>
    <row r="1207" spans="1:3" x14ac:dyDescent="0.25">
      <c r="A1207" t="str">
        <f>"23/05/2014"</f>
        <v>23/05/2014</v>
      </c>
      <c r="B1207" t="str">
        <f>"58.54"</f>
        <v>58.54</v>
      </c>
      <c r="C1207" t="str">
        <f>"58.965"</f>
        <v>58.965</v>
      </c>
    </row>
    <row r="1208" spans="1:3" x14ac:dyDescent="0.25">
      <c r="A1208" t="str">
        <f>"26/05/2014"</f>
        <v>26/05/2014</v>
      </c>
      <c r="B1208" t="str">
        <f>"58.4725"</f>
        <v>58.4725</v>
      </c>
      <c r="C1208" t="str">
        <f>"58.9275"</f>
        <v>58.9275</v>
      </c>
    </row>
    <row r="1209" spans="1:3" x14ac:dyDescent="0.25">
      <c r="A1209" t="str">
        <f>"27/05/2014"</f>
        <v>27/05/2014</v>
      </c>
      <c r="B1209" t="str">
        <f>"58.945"</f>
        <v>58.945</v>
      </c>
      <c r="C1209" t="str">
        <f>"59.3975"</f>
        <v>59.3975</v>
      </c>
    </row>
    <row r="1210" spans="1:3" x14ac:dyDescent="0.25">
      <c r="A1210" t="str">
        <f>"28/05/2014"</f>
        <v>28/05/2014</v>
      </c>
      <c r="B1210" t="str">
        <f>"59.22"</f>
        <v>59.22</v>
      </c>
      <c r="C1210" t="str">
        <f>"59.63"</f>
        <v>59.63</v>
      </c>
    </row>
    <row r="1211" spans="1:3" x14ac:dyDescent="0.25">
      <c r="A1211" t="str">
        <f>"29/05/2014"</f>
        <v>29/05/2014</v>
      </c>
      <c r="B1211" t="str">
        <f>"58.7975"</f>
        <v>58.7975</v>
      </c>
      <c r="C1211" t="str">
        <f>"59.195"</f>
        <v>59.195</v>
      </c>
    </row>
    <row r="1212" spans="1:3" x14ac:dyDescent="0.25">
      <c r="A1212" t="str">
        <f>"30/05/2014"</f>
        <v>30/05/2014</v>
      </c>
      <c r="B1212" t="str">
        <f>"58.9575"</f>
        <v>58.9575</v>
      </c>
      <c r="C1212" t="str">
        <f>"59.3675"</f>
        <v>59.3675</v>
      </c>
    </row>
    <row r="1213" spans="1:3" x14ac:dyDescent="0.25">
      <c r="A1213" t="str">
        <f>"02/06/2014"</f>
        <v>02/06/2014</v>
      </c>
      <c r="B1213" t="str">
        <f>"59.10"</f>
        <v>59.10</v>
      </c>
      <c r="C1213" t="str">
        <f>"59.55"</f>
        <v>59.55</v>
      </c>
    </row>
    <row r="1214" spans="1:3" x14ac:dyDescent="0.25">
      <c r="A1214" t="str">
        <f>"03/06/2014"</f>
        <v>03/06/2014</v>
      </c>
      <c r="B1214" t="str">
        <f>"59.17"</f>
        <v>59.17</v>
      </c>
      <c r="C1214" t="str">
        <f>"59.62"</f>
        <v>59.62</v>
      </c>
    </row>
    <row r="1215" spans="1:3" x14ac:dyDescent="0.25">
      <c r="A1215" t="str">
        <f>"04/06/2014"</f>
        <v>04/06/2014</v>
      </c>
      <c r="B1215" t="str">
        <f>"59.40"</f>
        <v>59.40</v>
      </c>
      <c r="C1215" t="str">
        <f>"59.82"</f>
        <v>59.82</v>
      </c>
    </row>
    <row r="1216" spans="1:3" x14ac:dyDescent="0.25">
      <c r="A1216" t="str">
        <f>"05/06/2014"</f>
        <v>05/06/2014</v>
      </c>
      <c r="B1216" t="str">
        <f>"59.31"</f>
        <v>59.31</v>
      </c>
      <c r="C1216" t="str">
        <f>"59.7225"</f>
        <v>59.7225</v>
      </c>
    </row>
    <row r="1217" spans="1:3" x14ac:dyDescent="0.25">
      <c r="A1217" t="str">
        <f>"06/06/2014"</f>
        <v>06/06/2014</v>
      </c>
      <c r="B1217" t="str">
        <f>"59.21"</f>
        <v>59.21</v>
      </c>
      <c r="C1217" t="str">
        <f>"59.63"</f>
        <v>59.63</v>
      </c>
    </row>
    <row r="1218" spans="1:3" x14ac:dyDescent="0.25">
      <c r="A1218" t="str">
        <f>"09/06/2014"</f>
        <v>09/06/2014</v>
      </c>
      <c r="B1218" t="str">
        <f>"59.04"</f>
        <v>59.04</v>
      </c>
      <c r="C1218" t="str">
        <f>"59.47"</f>
        <v>59.47</v>
      </c>
    </row>
    <row r="1219" spans="1:3" x14ac:dyDescent="0.25">
      <c r="A1219" t="str">
        <f>"10/06/2014"</f>
        <v>10/06/2014</v>
      </c>
      <c r="B1219" t="str">
        <f>"59.29"</f>
        <v>59.29</v>
      </c>
      <c r="C1219" t="str">
        <f>"59.7425"</f>
        <v>59.7425</v>
      </c>
    </row>
    <row r="1220" spans="1:3" x14ac:dyDescent="0.25">
      <c r="A1220" t="str">
        <f>"11/06/2014"</f>
        <v>11/06/2014</v>
      </c>
      <c r="B1220" t="str">
        <f>"59.33"</f>
        <v>59.33</v>
      </c>
      <c r="C1220" t="str">
        <f>"59.77"</f>
        <v>59.77</v>
      </c>
    </row>
    <row r="1221" spans="1:3" x14ac:dyDescent="0.25">
      <c r="A1221" t="str">
        <f>"12/06/2014"</f>
        <v>12/06/2014</v>
      </c>
      <c r="B1221" t="str">
        <f>"59.3225"</f>
        <v>59.3225</v>
      </c>
      <c r="C1221" t="str">
        <f>"59.7625"</f>
        <v>59.7625</v>
      </c>
    </row>
    <row r="1222" spans="1:3" x14ac:dyDescent="0.25">
      <c r="A1222" t="str">
        <f>"13/06/2014"</f>
        <v>13/06/2014</v>
      </c>
      <c r="B1222" t="str">
        <f>"59.455"</f>
        <v>59.455</v>
      </c>
      <c r="C1222" t="str">
        <f>"59.8775"</f>
        <v>59.8775</v>
      </c>
    </row>
    <row r="1223" spans="1:3" x14ac:dyDescent="0.25">
      <c r="A1223" t="str">
        <f>"16/06/2014"</f>
        <v>16/06/2014</v>
      </c>
      <c r="B1223" t="str">
        <f>"59.9925"</f>
        <v>59.9925</v>
      </c>
      <c r="C1223" t="str">
        <f>"60.4275"</f>
        <v>60.4275</v>
      </c>
    </row>
    <row r="1224" spans="1:3" x14ac:dyDescent="0.25">
      <c r="A1224" t="str">
        <f>"17/06/2014"</f>
        <v>17/06/2014</v>
      </c>
      <c r="B1224" t="str">
        <f>"60.38"</f>
        <v>60.38</v>
      </c>
      <c r="C1224" t="str">
        <f>"60.85"</f>
        <v>60.85</v>
      </c>
    </row>
    <row r="1225" spans="1:3" x14ac:dyDescent="0.25">
      <c r="A1225" t="str">
        <f>"18/06/2014"</f>
        <v>18/06/2014</v>
      </c>
      <c r="B1225" t="str">
        <f>"60.155"</f>
        <v>60.155</v>
      </c>
      <c r="C1225" t="str">
        <f>"60.5975"</f>
        <v>60.5975</v>
      </c>
    </row>
    <row r="1226" spans="1:3" x14ac:dyDescent="0.25">
      <c r="A1226" t="str">
        <f>"19/06/2014"</f>
        <v>19/06/2014</v>
      </c>
      <c r="B1226" t="str">
        <f>"59.98"</f>
        <v>59.98</v>
      </c>
      <c r="C1226" t="str">
        <f>"60.4125"</f>
        <v>60.4125</v>
      </c>
    </row>
    <row r="1227" spans="1:3" x14ac:dyDescent="0.25">
      <c r="A1227" t="str">
        <f>"20/06/2014"</f>
        <v>20/06/2014</v>
      </c>
      <c r="B1227" t="str">
        <f>"60.255"</f>
        <v>60.255</v>
      </c>
      <c r="C1227" t="str">
        <f>"60.685"</f>
        <v>60.685</v>
      </c>
    </row>
    <row r="1228" spans="1:3" x14ac:dyDescent="0.25">
      <c r="A1228" t="str">
        <f>"23/06/2014"</f>
        <v>23/06/2014</v>
      </c>
      <c r="B1228" t="str">
        <f>"60.16"</f>
        <v>60.16</v>
      </c>
      <c r="C1228" t="str">
        <f>"60.605"</f>
        <v>60.605</v>
      </c>
    </row>
    <row r="1229" spans="1:3" x14ac:dyDescent="0.25">
      <c r="A1229" t="str">
        <f>"24/06/2014"</f>
        <v>24/06/2014</v>
      </c>
      <c r="B1229" t="str">
        <f>"60.09"</f>
        <v>60.09</v>
      </c>
      <c r="C1229" t="str">
        <f>"60.5575"</f>
        <v>60.5575</v>
      </c>
    </row>
    <row r="1230" spans="1:3" x14ac:dyDescent="0.25">
      <c r="A1230" t="str">
        <f>"25/06/2014"</f>
        <v>25/06/2014</v>
      </c>
      <c r="B1230" t="str">
        <f>"60.345"</f>
        <v>60.345</v>
      </c>
      <c r="C1230" t="str">
        <f>"60.7925"</f>
        <v>60.7925</v>
      </c>
    </row>
    <row r="1231" spans="1:3" x14ac:dyDescent="0.25">
      <c r="A1231" t="str">
        <f>"26/06/2014"</f>
        <v>26/06/2014</v>
      </c>
      <c r="B1231" t="str">
        <f>"60.1825"</f>
        <v>60.1825</v>
      </c>
      <c r="C1231" t="str">
        <f>"60.625"</f>
        <v>60.625</v>
      </c>
    </row>
    <row r="1232" spans="1:3" x14ac:dyDescent="0.25">
      <c r="A1232" t="str">
        <f>"27/06/2014"</f>
        <v>27/06/2014</v>
      </c>
      <c r="B1232" t="str">
        <f>"60.135"</f>
        <v>60.135</v>
      </c>
      <c r="C1232" t="str">
        <f>"60.58"</f>
        <v>60.58</v>
      </c>
    </row>
    <row r="1233" spans="1:3" x14ac:dyDescent="0.25">
      <c r="A1233" t="str">
        <f>"30/06/2014"</f>
        <v>30/06/2014</v>
      </c>
      <c r="B1233" t="str">
        <f>"60.0675"</f>
        <v>60.0675</v>
      </c>
      <c r="C1233" t="str">
        <f>"60.5025"</f>
        <v>60.5025</v>
      </c>
    </row>
    <row r="1234" spans="1:3" x14ac:dyDescent="0.25">
      <c r="A1234" t="str">
        <f>"01/07/2014"</f>
        <v>01/07/2014</v>
      </c>
      <c r="B1234" t="str">
        <f>"60.18"</f>
        <v>60.18</v>
      </c>
      <c r="C1234" t="str">
        <f>"60.6525"</f>
        <v>60.6525</v>
      </c>
    </row>
    <row r="1235" spans="1:3" x14ac:dyDescent="0.25">
      <c r="A1235" t="str">
        <f>"02/07/2014"</f>
        <v>02/07/2014</v>
      </c>
      <c r="B1235" t="str">
        <f>"60.0475"</f>
        <v>60.0475</v>
      </c>
      <c r="C1235" t="str">
        <f>"60.495"</f>
        <v>60.495</v>
      </c>
    </row>
    <row r="1236" spans="1:3" x14ac:dyDescent="0.25">
      <c r="A1236" t="str">
        <f>"03/07/2014"</f>
        <v>03/07/2014</v>
      </c>
      <c r="B1236" t="str">
        <f>"59.62"</f>
        <v>59.62</v>
      </c>
      <c r="C1236" t="str">
        <f>"60.07"</f>
        <v>60.07</v>
      </c>
    </row>
    <row r="1237" spans="1:3" x14ac:dyDescent="0.25">
      <c r="A1237" t="str">
        <f>"04/07/2014"</f>
        <v>04/07/2014</v>
      </c>
      <c r="B1237" t="str">
        <f>"59.7375"</f>
        <v>59.7375</v>
      </c>
      <c r="C1237" t="str">
        <f>"60.1775"</f>
        <v>60.1775</v>
      </c>
    </row>
    <row r="1238" spans="1:3" x14ac:dyDescent="0.25">
      <c r="A1238" t="str">
        <f>"07/07/2014"</f>
        <v>07/07/2014</v>
      </c>
      <c r="B1238" t="str">
        <f>"59.875"</f>
        <v>59.875</v>
      </c>
      <c r="C1238" t="str">
        <f>"60.335"</f>
        <v>60.335</v>
      </c>
    </row>
    <row r="1239" spans="1:3" x14ac:dyDescent="0.25">
      <c r="A1239" t="str">
        <f>"08/07/2014"</f>
        <v>08/07/2014</v>
      </c>
      <c r="B1239" t="str">
        <f>"59.73"</f>
        <v>59.73</v>
      </c>
      <c r="C1239" t="str">
        <f>"60.18"</f>
        <v>60.18</v>
      </c>
    </row>
    <row r="1240" spans="1:3" x14ac:dyDescent="0.25">
      <c r="A1240" t="str">
        <f>"09/07/2014"</f>
        <v>09/07/2014</v>
      </c>
      <c r="B1240" t="str">
        <f>"59.845"</f>
        <v>59.845</v>
      </c>
      <c r="C1240" t="str">
        <f>"60.285"</f>
        <v>60.285</v>
      </c>
    </row>
    <row r="1241" spans="1:3" x14ac:dyDescent="0.25">
      <c r="A1241" t="str">
        <f>"10/07/2014"</f>
        <v>10/07/2014</v>
      </c>
      <c r="B1241" t="str">
        <f>"59.645"</f>
        <v>59.645</v>
      </c>
      <c r="C1241" t="str">
        <f>"60.0875"</f>
        <v>60.0875</v>
      </c>
    </row>
    <row r="1242" spans="1:3" x14ac:dyDescent="0.25">
      <c r="A1242" t="str">
        <f>"11/07/2014"</f>
        <v>11/07/2014</v>
      </c>
      <c r="B1242" t="str">
        <f>"60.20"</f>
        <v>60.20</v>
      </c>
      <c r="C1242" t="str">
        <f>"60.705"</f>
        <v>60.705</v>
      </c>
    </row>
    <row r="1243" spans="1:3" x14ac:dyDescent="0.25">
      <c r="A1243" t="str">
        <f>"14/07/2014"</f>
        <v>14/07/2014</v>
      </c>
      <c r="B1243" t="str">
        <f>"59.99"</f>
        <v>59.99</v>
      </c>
      <c r="C1243" t="str">
        <f>"60.4725"</f>
        <v>60.4725</v>
      </c>
    </row>
    <row r="1244" spans="1:3" x14ac:dyDescent="0.25">
      <c r="A1244" t="str">
        <f>"15/07/2014"</f>
        <v>15/07/2014</v>
      </c>
      <c r="B1244" t="str">
        <f>"60.23"</f>
        <v>60.23</v>
      </c>
      <c r="C1244" t="str">
        <f>"60.6975"</f>
        <v>60.6975</v>
      </c>
    </row>
    <row r="1245" spans="1:3" x14ac:dyDescent="0.25">
      <c r="A1245" t="str">
        <f>"16/07/2014"</f>
        <v>16/07/2014</v>
      </c>
      <c r="B1245" t="str">
        <f>"60.2175"</f>
        <v>60.2175</v>
      </c>
      <c r="C1245" t="str">
        <f>"60.6775"</f>
        <v>60.6775</v>
      </c>
    </row>
    <row r="1246" spans="1:3" x14ac:dyDescent="0.25">
      <c r="A1246" t="str">
        <f>"17/07/2014"</f>
        <v>17/07/2014</v>
      </c>
      <c r="B1246" t="str">
        <f>"60.1725"</f>
        <v>60.1725</v>
      </c>
      <c r="C1246" t="str">
        <f>"60.62"</f>
        <v>60.62</v>
      </c>
    </row>
    <row r="1247" spans="1:3" x14ac:dyDescent="0.25">
      <c r="A1247" t="str">
        <f>"18/07/2014"</f>
        <v>18/07/2014</v>
      </c>
      <c r="B1247" t="str">
        <f>"60.37"</f>
        <v>60.37</v>
      </c>
      <c r="C1247" t="str">
        <f>"60.8125"</f>
        <v>60.8125</v>
      </c>
    </row>
    <row r="1248" spans="1:3" x14ac:dyDescent="0.25">
      <c r="A1248" t="str">
        <f>"21/07/2014"</f>
        <v>21/07/2014</v>
      </c>
      <c r="B1248" t="str">
        <f>"60.2125"</f>
        <v>60.2125</v>
      </c>
      <c r="C1248" t="str">
        <f>"60.6825"</f>
        <v>60.6825</v>
      </c>
    </row>
    <row r="1249" spans="1:3" x14ac:dyDescent="0.25">
      <c r="A1249" t="str">
        <f>"22/07/2014"</f>
        <v>22/07/2014</v>
      </c>
      <c r="B1249" t="str">
        <f>"60.1925"</f>
        <v>60.1925</v>
      </c>
      <c r="C1249" t="str">
        <f>"60.65"</f>
        <v>60.65</v>
      </c>
    </row>
    <row r="1250" spans="1:3" x14ac:dyDescent="0.25">
      <c r="A1250" t="str">
        <f>"23/07/2014"</f>
        <v>23/07/2014</v>
      </c>
      <c r="B1250" t="str">
        <f>"60.17"</f>
        <v>60.17</v>
      </c>
      <c r="C1250" t="str">
        <f>"60.615"</f>
        <v>60.615</v>
      </c>
    </row>
    <row r="1251" spans="1:3" x14ac:dyDescent="0.25">
      <c r="A1251" t="str">
        <f>"24/07/2014"</f>
        <v>24/07/2014</v>
      </c>
      <c r="B1251" t="str">
        <f>"60.0675"</f>
        <v>60.0675</v>
      </c>
      <c r="C1251" t="str">
        <f>"60.5125"</f>
        <v>60.5125</v>
      </c>
    </row>
    <row r="1252" spans="1:3" x14ac:dyDescent="0.25">
      <c r="A1252" t="str">
        <f>"25/07/2014"</f>
        <v>25/07/2014</v>
      </c>
      <c r="B1252" t="str">
        <f>"60.15"</f>
        <v>60.15</v>
      </c>
      <c r="C1252" t="str">
        <f>"60.57"</f>
        <v>60.57</v>
      </c>
    </row>
    <row r="1253" spans="1:3" x14ac:dyDescent="0.25">
      <c r="A1253" t="str">
        <f>"28/07/2014"</f>
        <v>28/07/2014</v>
      </c>
      <c r="B1253" t="str">
        <f>"60.105"</f>
        <v>60.105</v>
      </c>
      <c r="C1253" t="str">
        <f>"60.5075"</f>
        <v>60.5075</v>
      </c>
    </row>
    <row r="1254" spans="1:3" x14ac:dyDescent="0.25">
      <c r="A1254" t="str">
        <f>"30/07/2014"</f>
        <v>30/07/2014</v>
      </c>
      <c r="B1254" t="str">
        <f>"60.19"</f>
        <v>60.19</v>
      </c>
      <c r="C1254" t="str">
        <f>"60.6475"</f>
        <v>60.6475</v>
      </c>
    </row>
    <row r="1255" spans="1:3" x14ac:dyDescent="0.25">
      <c r="A1255" t="str">
        <f>"31/07/2014"</f>
        <v>31/07/2014</v>
      </c>
      <c r="B1255" t="str">
        <f>"60.22"</f>
        <v>60.22</v>
      </c>
      <c r="C1255" t="str">
        <f>"60.6575"</f>
        <v>60.6575</v>
      </c>
    </row>
    <row r="1256" spans="1:3" x14ac:dyDescent="0.25">
      <c r="A1256" t="str">
        <f>"01/08/2014"</f>
        <v>01/08/2014</v>
      </c>
      <c r="B1256" t="str">
        <f>"60.8075"</f>
        <v>60.8075</v>
      </c>
      <c r="C1256" t="str">
        <f>"61.26"</f>
        <v>61.26</v>
      </c>
    </row>
    <row r="1257" spans="1:3" x14ac:dyDescent="0.25">
      <c r="A1257" t="str">
        <f>"04/08/2014"</f>
        <v>04/08/2014</v>
      </c>
      <c r="B1257" t="str">
        <f>"60.98"</f>
        <v>60.98</v>
      </c>
      <c r="C1257" t="str">
        <f>"61.4525"</f>
        <v>61.4525</v>
      </c>
    </row>
    <row r="1258" spans="1:3" x14ac:dyDescent="0.25">
      <c r="A1258" t="str">
        <f>"05/08/2014"</f>
        <v>05/08/2014</v>
      </c>
      <c r="B1258" t="str">
        <f>"60.84"</f>
        <v>60.84</v>
      </c>
      <c r="C1258" t="str">
        <f>"61.2925"</f>
        <v>61.2925</v>
      </c>
    </row>
    <row r="1259" spans="1:3" x14ac:dyDescent="0.25">
      <c r="A1259" t="str">
        <f>"06/08/2014"</f>
        <v>06/08/2014</v>
      </c>
      <c r="B1259" t="str">
        <f>"61.1975"</f>
        <v>61.1975</v>
      </c>
      <c r="C1259" t="str">
        <f>"61.6425"</f>
        <v>61.6425</v>
      </c>
    </row>
    <row r="1260" spans="1:3" x14ac:dyDescent="0.25">
      <c r="A1260" t="str">
        <f>"07/08/2014"</f>
        <v>07/08/2014</v>
      </c>
      <c r="B1260" t="str">
        <f>"61.295"</f>
        <v>61.295</v>
      </c>
      <c r="C1260" t="str">
        <f>"61.7475"</f>
        <v>61.7475</v>
      </c>
    </row>
    <row r="1261" spans="1:3" x14ac:dyDescent="0.25">
      <c r="A1261" t="str">
        <f>"08/08/2014"</f>
        <v>08/08/2014</v>
      </c>
      <c r="B1261" t="str">
        <f>"61.65"</f>
        <v>61.65</v>
      </c>
      <c r="C1261" t="str">
        <f>"62.1075"</f>
        <v>62.1075</v>
      </c>
    </row>
    <row r="1262" spans="1:3" x14ac:dyDescent="0.25">
      <c r="A1262" t="str">
        <f>"11/08/2014"</f>
        <v>11/08/2014</v>
      </c>
      <c r="B1262" t="str">
        <f>"61.10"</f>
        <v>61.10</v>
      </c>
      <c r="C1262" t="str">
        <f>"61.5825"</f>
        <v>61.5825</v>
      </c>
    </row>
    <row r="1263" spans="1:3" x14ac:dyDescent="0.25">
      <c r="A1263" t="str">
        <f>"12/08/2014"</f>
        <v>12/08/2014</v>
      </c>
      <c r="B1263" t="str">
        <f>"61.125"</f>
        <v>61.125</v>
      </c>
      <c r="C1263" t="str">
        <f>"61.59"</f>
        <v>61.59</v>
      </c>
    </row>
    <row r="1264" spans="1:3" x14ac:dyDescent="0.25">
      <c r="A1264" t="str">
        <f>"13/08/2014"</f>
        <v>13/08/2014</v>
      </c>
      <c r="B1264" t="str">
        <f>"61.2475"</f>
        <v>61.2475</v>
      </c>
      <c r="C1264" t="str">
        <f>"61.70"</f>
        <v>61.70</v>
      </c>
    </row>
    <row r="1265" spans="1:3" x14ac:dyDescent="0.25">
      <c r="A1265" t="str">
        <f>"14/08/2014"</f>
        <v>14/08/2014</v>
      </c>
      <c r="B1265" t="str">
        <f>"61.055"</f>
        <v>61.055</v>
      </c>
      <c r="C1265" t="str">
        <f>"61.535"</f>
        <v>61.535</v>
      </c>
    </row>
    <row r="1266" spans="1:3" x14ac:dyDescent="0.25">
      <c r="A1266" t="str">
        <f>"19/08/2014"</f>
        <v>19/08/2014</v>
      </c>
      <c r="B1266" t="str">
        <f>"60.7475"</f>
        <v>60.7475</v>
      </c>
      <c r="C1266" t="str">
        <f>"61.2125"</f>
        <v>61.2125</v>
      </c>
    </row>
    <row r="1267" spans="1:3" x14ac:dyDescent="0.25">
      <c r="A1267" t="str">
        <f>"20/08/2014"</f>
        <v>20/08/2014</v>
      </c>
      <c r="B1267" t="str">
        <f>"60.79"</f>
        <v>60.79</v>
      </c>
      <c r="C1267" t="str">
        <f>"61.2375"</f>
        <v>61.2375</v>
      </c>
    </row>
    <row r="1268" spans="1:3" x14ac:dyDescent="0.25">
      <c r="A1268" t="str">
        <f>"21/08/2014"</f>
        <v>21/08/2014</v>
      </c>
      <c r="B1268" t="str">
        <f>"60.645"</f>
        <v>60.645</v>
      </c>
      <c r="C1268" t="str">
        <f>"61.0925"</f>
        <v>61.0925</v>
      </c>
    </row>
    <row r="1269" spans="1:3" x14ac:dyDescent="0.25">
      <c r="A1269" t="str">
        <f>"22/08/2014"</f>
        <v>22/08/2014</v>
      </c>
      <c r="B1269" t="str">
        <f>"60.4625"</f>
        <v>60.4625</v>
      </c>
      <c r="C1269" t="str">
        <f>"60.915"</f>
        <v>60.915</v>
      </c>
    </row>
    <row r="1270" spans="1:3" x14ac:dyDescent="0.25">
      <c r="A1270" t="str">
        <f>"25/08/2014"</f>
        <v>25/08/2014</v>
      </c>
      <c r="B1270" t="str">
        <f>"60.47"</f>
        <v>60.47</v>
      </c>
      <c r="C1270" t="str">
        <f>"60.9475"</f>
        <v>60.9475</v>
      </c>
    </row>
    <row r="1271" spans="1:3" x14ac:dyDescent="0.25">
      <c r="A1271" t="str">
        <f>"26/08/2014"</f>
        <v>26/08/2014</v>
      </c>
      <c r="B1271" t="str">
        <f>"60.515"</f>
        <v>60.515</v>
      </c>
      <c r="C1271" t="str">
        <f>"60.9975"</f>
        <v>60.9975</v>
      </c>
    </row>
    <row r="1272" spans="1:3" x14ac:dyDescent="0.25">
      <c r="A1272" t="str">
        <f>"27/08/2014"</f>
        <v>27/08/2014</v>
      </c>
      <c r="B1272" t="str">
        <f>"60.47"</f>
        <v>60.47</v>
      </c>
      <c r="C1272" t="str">
        <f>"60.9725"</f>
        <v>60.9725</v>
      </c>
    </row>
    <row r="1273" spans="1:3" x14ac:dyDescent="0.25">
      <c r="A1273" t="str">
        <f>"28/08/2014"</f>
        <v>28/08/2014</v>
      </c>
      <c r="B1273" t="str">
        <f>"60.405"</f>
        <v>60.405</v>
      </c>
      <c r="C1273" t="str">
        <f>"60.905"</f>
        <v>60.905</v>
      </c>
    </row>
    <row r="1274" spans="1:3" x14ac:dyDescent="0.25">
      <c r="A1274" t="str">
        <f>"01/09/2014"</f>
        <v>01/09/2014</v>
      </c>
      <c r="B1274" t="str">
        <f>"60.505"</f>
        <v>60.505</v>
      </c>
      <c r="C1274" t="str">
        <f>"60.99"</f>
        <v>60.99</v>
      </c>
    </row>
    <row r="1275" spans="1:3" x14ac:dyDescent="0.25">
      <c r="A1275" t="str">
        <f>"02/09/2014"</f>
        <v>02/09/2014</v>
      </c>
      <c r="B1275" t="str">
        <f>"60.6175"</f>
        <v>60.6175</v>
      </c>
      <c r="C1275" t="str">
        <f>"61.0875"</f>
        <v>61.0875</v>
      </c>
    </row>
    <row r="1276" spans="1:3" x14ac:dyDescent="0.25">
      <c r="A1276" t="str">
        <f>"03/09/2014"</f>
        <v>03/09/2014</v>
      </c>
      <c r="B1276" t="str">
        <f>"60.635"</f>
        <v>60.635</v>
      </c>
      <c r="C1276" t="str">
        <f>"61.08"</f>
        <v>61.08</v>
      </c>
    </row>
    <row r="1277" spans="1:3" x14ac:dyDescent="0.25">
      <c r="A1277" t="str">
        <f>"04/09/2014"</f>
        <v>04/09/2014</v>
      </c>
      <c r="B1277" t="str">
        <f>"60.4775"</f>
        <v>60.4775</v>
      </c>
      <c r="C1277" t="str">
        <f>"60.9025"</f>
        <v>60.9025</v>
      </c>
    </row>
    <row r="1278" spans="1:3" x14ac:dyDescent="0.25">
      <c r="A1278" t="str">
        <f>"05/09/2014"</f>
        <v>05/09/2014</v>
      </c>
      <c r="B1278" t="str">
        <f>"60.435"</f>
        <v>60.435</v>
      </c>
      <c r="C1278" t="str">
        <f>"60.865"</f>
        <v>60.865</v>
      </c>
    </row>
    <row r="1279" spans="1:3" x14ac:dyDescent="0.25">
      <c r="A1279" t="str">
        <f>"08/09/2014"</f>
        <v>08/09/2014</v>
      </c>
      <c r="B1279" t="str">
        <f>"60.205"</f>
        <v>60.205</v>
      </c>
      <c r="C1279" t="str">
        <f>"60.6425"</f>
        <v>60.6425</v>
      </c>
    </row>
    <row r="1280" spans="1:3" x14ac:dyDescent="0.25">
      <c r="A1280" t="str">
        <f>"09/09/2014"</f>
        <v>09/09/2014</v>
      </c>
      <c r="B1280" t="str">
        <f>"60.4575"</f>
        <v>60.4575</v>
      </c>
      <c r="C1280" t="str">
        <f>"60.93"</f>
        <v>60.93</v>
      </c>
    </row>
    <row r="1281" spans="1:3" x14ac:dyDescent="0.25">
      <c r="A1281" t="str">
        <f>"10/09/2014"</f>
        <v>10/09/2014</v>
      </c>
      <c r="B1281" t="str">
        <f>"60.8025"</f>
        <v>60.8025</v>
      </c>
      <c r="C1281" t="str">
        <f>"61.2675"</f>
        <v>61.2675</v>
      </c>
    </row>
    <row r="1282" spans="1:3" x14ac:dyDescent="0.25">
      <c r="A1282" t="str">
        <f>"11/09/2014"</f>
        <v>11/09/2014</v>
      </c>
      <c r="B1282" t="str">
        <f>"60.865"</f>
        <v>60.865</v>
      </c>
      <c r="C1282" t="str">
        <f>"61.3025"</f>
        <v>61.3025</v>
      </c>
    </row>
    <row r="1283" spans="1:3" x14ac:dyDescent="0.25">
      <c r="A1283" t="str">
        <f>"12/09/2014"</f>
        <v>12/09/2014</v>
      </c>
      <c r="B1283" t="str">
        <f>"60.97"</f>
        <v>60.97</v>
      </c>
      <c r="C1283" t="str">
        <f>"61.4025"</f>
        <v>61.4025</v>
      </c>
    </row>
    <row r="1284" spans="1:3" x14ac:dyDescent="0.25">
      <c r="A1284" t="str">
        <f>"15/09/2014"</f>
        <v>15/09/2014</v>
      </c>
      <c r="B1284" t="str">
        <f>"61.0425"</f>
        <v>61.0425</v>
      </c>
      <c r="C1284" t="str">
        <f>"61.4825"</f>
        <v>61.4825</v>
      </c>
    </row>
    <row r="1285" spans="1:3" x14ac:dyDescent="0.25">
      <c r="A1285" t="str">
        <f>"16/09/2014"</f>
        <v>16/09/2014</v>
      </c>
      <c r="B1285" t="str">
        <f>"61.09"</f>
        <v>61.09</v>
      </c>
      <c r="C1285" t="str">
        <f>"61.555"</f>
        <v>61.555</v>
      </c>
    </row>
    <row r="1286" spans="1:3" x14ac:dyDescent="0.25">
      <c r="A1286" t="str">
        <f>"17/09/2014"</f>
        <v>17/09/2014</v>
      </c>
      <c r="B1286" t="str">
        <f>"60.9775"</f>
        <v>60.9775</v>
      </c>
      <c r="C1286" t="str">
        <f>"61.425"</f>
        <v>61.425</v>
      </c>
    </row>
    <row r="1287" spans="1:3" x14ac:dyDescent="0.25">
      <c r="A1287" t="str">
        <f>"18/09/2014"</f>
        <v>18/09/2014</v>
      </c>
      <c r="B1287" t="str">
        <f>"61.115"</f>
        <v>61.115</v>
      </c>
      <c r="C1287" t="str">
        <f>"61.5475"</f>
        <v>61.5475</v>
      </c>
    </row>
    <row r="1288" spans="1:3" x14ac:dyDescent="0.25">
      <c r="A1288" t="str">
        <f>"19/09/2014"</f>
        <v>19/09/2014</v>
      </c>
      <c r="B1288" t="str">
        <f>"60.79"</f>
        <v>60.79</v>
      </c>
      <c r="C1288" t="str">
        <f>"61.2775"</f>
        <v>61.2775</v>
      </c>
    </row>
    <row r="1289" spans="1:3" x14ac:dyDescent="0.25">
      <c r="A1289" t="str">
        <f>"22/09/2014"</f>
        <v>22/09/2014</v>
      </c>
      <c r="B1289" t="str">
        <f>"60.775"</f>
        <v>60.775</v>
      </c>
      <c r="C1289" t="str">
        <f>"61.2525"</f>
        <v>61.2525</v>
      </c>
    </row>
    <row r="1290" spans="1:3" x14ac:dyDescent="0.25">
      <c r="A1290" t="str">
        <f>"23/09/2014"</f>
        <v>23/09/2014</v>
      </c>
      <c r="B1290" t="str">
        <f>"60.91"</f>
        <v>60.91</v>
      </c>
      <c r="C1290" t="str">
        <f>"61.3675"</f>
        <v>61.3675</v>
      </c>
    </row>
    <row r="1291" spans="1:3" x14ac:dyDescent="0.25">
      <c r="A1291" t="str">
        <f>"24/09/2014"</f>
        <v>24/09/2014</v>
      </c>
      <c r="B1291" t="str">
        <f>"60.98"</f>
        <v>60.98</v>
      </c>
      <c r="C1291" t="str">
        <f>"61.425"</f>
        <v>61.425</v>
      </c>
    </row>
    <row r="1292" spans="1:3" x14ac:dyDescent="0.25">
      <c r="A1292" t="str">
        <f>"25/09/2014"</f>
        <v>25/09/2014</v>
      </c>
      <c r="B1292" t="str">
        <f>"61.03"</f>
        <v>61.03</v>
      </c>
      <c r="C1292" t="str">
        <f>"61.4625"</f>
        <v>61.4625</v>
      </c>
    </row>
    <row r="1293" spans="1:3" x14ac:dyDescent="0.25">
      <c r="A1293" t="str">
        <f>"26/09/2014"</f>
        <v>26/09/2014</v>
      </c>
      <c r="B1293" t="str">
        <f>"61.435"</f>
        <v>61.435</v>
      </c>
      <c r="C1293" t="str">
        <f>"61.8725"</f>
        <v>61.8725</v>
      </c>
    </row>
    <row r="1294" spans="1:3" x14ac:dyDescent="0.25">
      <c r="A1294" t="str">
        <f>"29/09/2014"</f>
        <v>29/09/2014</v>
      </c>
      <c r="B1294" t="str">
        <f>"61.415"</f>
        <v>61.415</v>
      </c>
      <c r="C1294" t="str">
        <f>"61.8775"</f>
        <v>61.8775</v>
      </c>
    </row>
    <row r="1295" spans="1:3" x14ac:dyDescent="0.25">
      <c r="A1295" t="str">
        <f>"30/09/2014"</f>
        <v>30/09/2014</v>
      </c>
      <c r="B1295" t="str">
        <f>"61.63"</f>
        <v>61.63</v>
      </c>
      <c r="C1295" t="str">
        <f>"62.06"</f>
        <v>62.06</v>
      </c>
    </row>
    <row r="1296" spans="1:3" x14ac:dyDescent="0.25">
      <c r="A1296" t="str">
        <f>"01/10/2014"</f>
        <v>01/10/2014</v>
      </c>
      <c r="B1296" t="str">
        <f>"61.80"</f>
        <v>61.80</v>
      </c>
      <c r="C1296" t="str">
        <f>"62.2625"</f>
        <v>62.2625</v>
      </c>
    </row>
    <row r="1297" spans="1:3" x14ac:dyDescent="0.25">
      <c r="A1297" t="str">
        <f>"07/10/2014"</f>
        <v>07/10/2014</v>
      </c>
      <c r="B1297" t="str">
        <f>"61.44"</f>
        <v>61.44</v>
      </c>
      <c r="C1297" t="str">
        <f>"61.89"</f>
        <v>61.89</v>
      </c>
    </row>
    <row r="1298" spans="1:3" x14ac:dyDescent="0.25">
      <c r="A1298" t="str">
        <f>"08/10/2014"</f>
        <v>08/10/2014</v>
      </c>
      <c r="B1298" t="str">
        <f>"61.4275"</f>
        <v>61.4275</v>
      </c>
      <c r="C1298" t="str">
        <f>"61.8675"</f>
        <v>61.8675</v>
      </c>
    </row>
    <row r="1299" spans="1:3" x14ac:dyDescent="0.25">
      <c r="A1299" t="str">
        <f>"09/10/2014"</f>
        <v>09/10/2014</v>
      </c>
      <c r="B1299" t="str">
        <f>"61.0825"</f>
        <v>61.0825</v>
      </c>
      <c r="C1299" t="str">
        <f>"61.5175"</f>
        <v>61.5175</v>
      </c>
    </row>
    <row r="1300" spans="1:3" x14ac:dyDescent="0.25">
      <c r="A1300" t="str">
        <f>"10/10/2014"</f>
        <v>10/10/2014</v>
      </c>
      <c r="B1300" t="str">
        <f>"61.17"</f>
        <v>61.17</v>
      </c>
      <c r="C1300" t="str">
        <f>"61.64"</f>
        <v>61.64</v>
      </c>
    </row>
    <row r="1301" spans="1:3" x14ac:dyDescent="0.25">
      <c r="A1301" t="str">
        <f>"13/10/2014"</f>
        <v>13/10/2014</v>
      </c>
      <c r="B1301" t="str">
        <f>"61.235"</f>
        <v>61.235</v>
      </c>
      <c r="C1301" t="str">
        <f>"61.6775"</f>
        <v>61.6775</v>
      </c>
    </row>
    <row r="1302" spans="1:3" x14ac:dyDescent="0.25">
      <c r="A1302" t="str">
        <f>"14/10/2014"</f>
        <v>14/10/2014</v>
      </c>
      <c r="B1302" t="str">
        <f>"61.015"</f>
        <v>61.015</v>
      </c>
      <c r="C1302" t="str">
        <f>"61.4375"</f>
        <v>61.4375</v>
      </c>
    </row>
    <row r="1303" spans="1:3" x14ac:dyDescent="0.25">
      <c r="A1303" t="str">
        <f>"16/10/2014"</f>
        <v>16/10/2014</v>
      </c>
      <c r="B1303" t="str">
        <f>"61.61"</f>
        <v>61.61</v>
      </c>
      <c r="C1303" t="str">
        <f>"62.03"</f>
        <v>62.03</v>
      </c>
    </row>
    <row r="1304" spans="1:3" x14ac:dyDescent="0.25">
      <c r="A1304" t="str">
        <f>"17/10/2014"</f>
        <v>17/10/2014</v>
      </c>
      <c r="B1304" t="str">
        <f>"61.585"</f>
        <v>61.585</v>
      </c>
      <c r="C1304" t="str">
        <f>"62.0125"</f>
        <v>62.0125</v>
      </c>
    </row>
    <row r="1305" spans="1:3" x14ac:dyDescent="0.25">
      <c r="A1305" t="str">
        <f>"20/10/2014"</f>
        <v>20/10/2014</v>
      </c>
      <c r="B1305" t="str">
        <f>"61.27"</f>
        <v>61.27</v>
      </c>
      <c r="C1305" t="str">
        <f>"61.725"</f>
        <v>61.725</v>
      </c>
    </row>
    <row r="1306" spans="1:3" x14ac:dyDescent="0.25">
      <c r="A1306" t="str">
        <f>"21/10/2014"</f>
        <v>21/10/2014</v>
      </c>
      <c r="B1306" t="str">
        <f>"61.28"</f>
        <v>61.28</v>
      </c>
      <c r="C1306" t="str">
        <f>"61.7175"</f>
        <v>61.7175</v>
      </c>
    </row>
    <row r="1307" spans="1:3" x14ac:dyDescent="0.25">
      <c r="A1307" t="str">
        <f>"22/10/2014"</f>
        <v>22/10/2014</v>
      </c>
      <c r="B1307" t="str">
        <f>"61.2125"</f>
        <v>61.2125</v>
      </c>
      <c r="C1307" t="str">
        <f>"61.63"</f>
        <v>61.63</v>
      </c>
    </row>
    <row r="1308" spans="1:3" x14ac:dyDescent="0.25">
      <c r="A1308" t="str">
        <f>"27/10/2014"</f>
        <v>27/10/2014</v>
      </c>
      <c r="B1308" t="str">
        <f>"61.2225"</f>
        <v>61.2225</v>
      </c>
      <c r="C1308" t="str">
        <f>"61.6275"</f>
        <v>61.6275</v>
      </c>
    </row>
    <row r="1309" spans="1:3" x14ac:dyDescent="0.25">
      <c r="A1309" t="str">
        <f>"28/10/2014"</f>
        <v>28/10/2014</v>
      </c>
      <c r="B1309" t="str">
        <f>"61.385"</f>
        <v>61.385</v>
      </c>
      <c r="C1309" t="str">
        <f>"61.7825"</f>
        <v>61.7825</v>
      </c>
    </row>
    <row r="1310" spans="1:3" x14ac:dyDescent="0.25">
      <c r="A1310" t="str">
        <f>"29/10/2014"</f>
        <v>29/10/2014</v>
      </c>
      <c r="B1310" t="str">
        <f>"61.30"</f>
        <v>61.30</v>
      </c>
      <c r="C1310" t="str">
        <f>"61.6825"</f>
        <v>61.6825</v>
      </c>
    </row>
    <row r="1311" spans="1:3" x14ac:dyDescent="0.25">
      <c r="A1311" t="str">
        <f>"30/10/2014"</f>
        <v>30/10/2014</v>
      </c>
      <c r="B1311" t="str">
        <f>"61.4125"</f>
        <v>61.4125</v>
      </c>
      <c r="C1311" t="str">
        <f>"61.815"</f>
        <v>61.815</v>
      </c>
    </row>
    <row r="1312" spans="1:3" x14ac:dyDescent="0.25">
      <c r="A1312" t="str">
        <f>"31/10/2014"</f>
        <v>31/10/2014</v>
      </c>
      <c r="B1312" t="str">
        <f>"61.3625"</f>
        <v>61.3625</v>
      </c>
      <c r="C1312" t="str">
        <f>"61.77"</f>
        <v>61.77</v>
      </c>
    </row>
    <row r="1313" spans="1:3" x14ac:dyDescent="0.25">
      <c r="A1313" t="str">
        <f>"03/11/2014"</f>
        <v>03/11/2014</v>
      </c>
      <c r="B1313" t="str">
        <f>"61.4775"</f>
        <v>61.4775</v>
      </c>
      <c r="C1313" t="str">
        <f>"61.89"</f>
        <v>61.89</v>
      </c>
    </row>
    <row r="1314" spans="1:3" x14ac:dyDescent="0.25">
      <c r="A1314" t="str">
        <f>"05/11/2014"</f>
        <v>05/11/2014</v>
      </c>
      <c r="B1314" t="str">
        <f>"61.365"</f>
        <v>61.365</v>
      </c>
      <c r="C1314" t="str">
        <f>"61.76"</f>
        <v>61.76</v>
      </c>
    </row>
    <row r="1315" spans="1:3" x14ac:dyDescent="0.25">
      <c r="A1315" t="str">
        <f>"07/11/2014"</f>
        <v>07/11/2014</v>
      </c>
      <c r="B1315" t="str">
        <f>"61.5425"</f>
        <v>61.5425</v>
      </c>
      <c r="C1315" t="str">
        <f>"61.9275"</f>
        <v>61.9275</v>
      </c>
    </row>
    <row r="1316" spans="1:3" x14ac:dyDescent="0.25">
      <c r="A1316" t="str">
        <f>"10/11/2014"</f>
        <v>10/11/2014</v>
      </c>
      <c r="B1316" t="str">
        <f>"61.4725"</f>
        <v>61.4725</v>
      </c>
      <c r="C1316" t="str">
        <f>"61.8675"</f>
        <v>61.8675</v>
      </c>
    </row>
    <row r="1317" spans="1:3" x14ac:dyDescent="0.25">
      <c r="A1317" t="str">
        <f>"11/11/2014"</f>
        <v>11/11/2014</v>
      </c>
      <c r="B1317" t="str">
        <f>"61.545"</f>
        <v>61.545</v>
      </c>
      <c r="C1317" t="str">
        <f>"61.97"</f>
        <v>61.97</v>
      </c>
    </row>
    <row r="1318" spans="1:3" x14ac:dyDescent="0.25">
      <c r="A1318" t="str">
        <f>"12/11/2014"</f>
        <v>12/11/2014</v>
      </c>
      <c r="B1318" t="str">
        <f>"61.51"</f>
        <v>61.51</v>
      </c>
      <c r="C1318" t="str">
        <f>"61.9325"</f>
        <v>61.9325</v>
      </c>
    </row>
    <row r="1319" spans="1:3" x14ac:dyDescent="0.25">
      <c r="A1319" t="str">
        <f>"13/11/2014"</f>
        <v>13/11/2014</v>
      </c>
      <c r="B1319" t="str">
        <f>"61.5525"</f>
        <v>61.5525</v>
      </c>
      <c r="C1319" t="str">
        <f>"61.9625"</f>
        <v>61.9625</v>
      </c>
    </row>
    <row r="1320" spans="1:3" x14ac:dyDescent="0.25">
      <c r="A1320" t="str">
        <f>"14/11/2014"</f>
        <v>14/11/2014</v>
      </c>
      <c r="B1320" t="str">
        <f>"61.6075"</f>
        <v>61.6075</v>
      </c>
      <c r="C1320" t="str">
        <f>"62.0175"</f>
        <v>62.0175</v>
      </c>
    </row>
    <row r="1321" spans="1:3" x14ac:dyDescent="0.25">
      <c r="A1321" t="str">
        <f>"17/11/2014"</f>
        <v>17/11/2014</v>
      </c>
      <c r="B1321" t="str">
        <f>"61.7175"</f>
        <v>61.7175</v>
      </c>
      <c r="C1321" t="str">
        <f>"62.125"</f>
        <v>62.125</v>
      </c>
    </row>
    <row r="1322" spans="1:3" x14ac:dyDescent="0.25">
      <c r="A1322" t="str">
        <f>"18/11/2014"</f>
        <v>18/11/2014</v>
      </c>
      <c r="B1322" t="str">
        <f>"61.835"</f>
        <v>61.835</v>
      </c>
      <c r="C1322" t="str">
        <f>"62.2825"</f>
        <v>62.2825</v>
      </c>
    </row>
    <row r="1323" spans="1:3" x14ac:dyDescent="0.25">
      <c r="A1323" t="str">
        <f>"19/11/2014"</f>
        <v>19/11/2014</v>
      </c>
      <c r="B1323" t="str">
        <f>"61.8625"</f>
        <v>61.8625</v>
      </c>
      <c r="C1323" t="str">
        <f>"62.28"</f>
        <v>62.28</v>
      </c>
    </row>
    <row r="1324" spans="1:3" x14ac:dyDescent="0.25">
      <c r="A1324" t="str">
        <f>"20/11/2014"</f>
        <v>20/11/2014</v>
      </c>
      <c r="B1324" t="str">
        <f>"62.19"</f>
        <v>62.19</v>
      </c>
      <c r="C1324" t="str">
        <f>"62.605"</f>
        <v>62.605</v>
      </c>
    </row>
    <row r="1325" spans="1:3" x14ac:dyDescent="0.25">
      <c r="A1325" t="str">
        <f>"21/11/2014"</f>
        <v>21/11/2014</v>
      </c>
      <c r="B1325" t="str">
        <f>"61.845"</f>
        <v>61.845</v>
      </c>
      <c r="C1325" t="str">
        <f>"62.2725"</f>
        <v>62.2725</v>
      </c>
    </row>
    <row r="1326" spans="1:3" x14ac:dyDescent="0.25">
      <c r="A1326" t="str">
        <f>"24/11/2014"</f>
        <v>24/11/2014</v>
      </c>
      <c r="B1326" t="str">
        <f>"61.69"</f>
        <v>61.69</v>
      </c>
      <c r="C1326" t="str">
        <f>"62.10"</f>
        <v>62.10</v>
      </c>
    </row>
    <row r="1327" spans="1:3" x14ac:dyDescent="0.25">
      <c r="A1327" t="str">
        <f>"25/11/2014"</f>
        <v>25/11/2014</v>
      </c>
      <c r="B1327" t="str">
        <f>"61.99"</f>
        <v>61.99</v>
      </c>
      <c r="C1327" t="str">
        <f>"62.4325"</f>
        <v>62.4325</v>
      </c>
    </row>
    <row r="1328" spans="1:3" x14ac:dyDescent="0.25">
      <c r="A1328" t="str">
        <f>"26/11/2014"</f>
        <v>26/11/2014</v>
      </c>
      <c r="B1328" t="str">
        <f>"61.845"</f>
        <v>61.845</v>
      </c>
      <c r="C1328" t="str">
        <f>"62.3125"</f>
        <v>62.3125</v>
      </c>
    </row>
    <row r="1329" spans="1:3" x14ac:dyDescent="0.25">
      <c r="A1329" t="str">
        <f>"27/11/2014"</f>
        <v>27/11/2014</v>
      </c>
      <c r="B1329" t="str">
        <f>"61.845"</f>
        <v>61.845</v>
      </c>
      <c r="C1329" t="str">
        <f>"62.2775"</f>
        <v>62.2775</v>
      </c>
    </row>
    <row r="1330" spans="1:3" x14ac:dyDescent="0.25">
      <c r="A1330" t="str">
        <f>"28/11/2014"</f>
        <v>28/11/2014</v>
      </c>
      <c r="B1330" t="str">
        <f>"61.895"</f>
        <v>61.895</v>
      </c>
      <c r="C1330" t="str">
        <f>"62.3075"</f>
        <v>62.3075</v>
      </c>
    </row>
    <row r="1331" spans="1:3" x14ac:dyDescent="0.25">
      <c r="A1331" t="str">
        <f>"01/12/2014"</f>
        <v>01/12/2014</v>
      </c>
      <c r="B1331" t="str">
        <f>"62.1625"</f>
        <v>62.1625</v>
      </c>
      <c r="C1331" t="str">
        <f>"62.60"</f>
        <v>62.60</v>
      </c>
    </row>
    <row r="1332" spans="1:3" x14ac:dyDescent="0.25">
      <c r="A1332" t="str">
        <f>"02/12/2014"</f>
        <v>02/12/2014</v>
      </c>
      <c r="B1332" t="str">
        <f>"61.9825"</f>
        <v>61.9825</v>
      </c>
      <c r="C1332" t="str">
        <f>"62.4075"</f>
        <v>62.4075</v>
      </c>
    </row>
    <row r="1333" spans="1:3" x14ac:dyDescent="0.25">
      <c r="A1333" t="str">
        <f>"04/12/2014"</f>
        <v>04/12/2014</v>
      </c>
      <c r="B1333" t="str">
        <f>"61.915"</f>
        <v>61.915</v>
      </c>
      <c r="C1333" t="str">
        <f>"62.3375"</f>
        <v>62.3375</v>
      </c>
    </row>
    <row r="1334" spans="1:3" x14ac:dyDescent="0.25">
      <c r="A1334" t="str">
        <f>"05/12/2014"</f>
        <v>05/12/2014</v>
      </c>
      <c r="B1334" t="str">
        <f>"61.8575"</f>
        <v>61.8575</v>
      </c>
      <c r="C1334" t="str">
        <f>"62.28"</f>
        <v>62.28</v>
      </c>
    </row>
    <row r="1335" spans="1:3" x14ac:dyDescent="0.25">
      <c r="A1335" t="str">
        <f>"08/12/2014"</f>
        <v>08/12/2014</v>
      </c>
      <c r="B1335" t="str">
        <f>"61.9225"</f>
        <v>61.9225</v>
      </c>
      <c r="C1335" t="str">
        <f>"62.3775"</f>
        <v>62.3775</v>
      </c>
    </row>
    <row r="1336" spans="1:3" x14ac:dyDescent="0.25">
      <c r="A1336" t="str">
        <f>"09/12/2014"</f>
        <v>09/12/2014</v>
      </c>
      <c r="B1336" t="str">
        <f>"61.88"</f>
        <v>61.88</v>
      </c>
      <c r="C1336" t="str">
        <f>"62.32"</f>
        <v>62.32</v>
      </c>
    </row>
    <row r="1337" spans="1:3" x14ac:dyDescent="0.25">
      <c r="A1337" t="str">
        <f>"10/12/2014"</f>
        <v>10/12/2014</v>
      </c>
      <c r="B1337" t="str">
        <f>"61.93"</f>
        <v>61.93</v>
      </c>
      <c r="C1337" t="str">
        <f>"62.36"</f>
        <v>62.36</v>
      </c>
    </row>
    <row r="1338" spans="1:3" x14ac:dyDescent="0.25">
      <c r="A1338" t="str">
        <f>"11/12/2014"</f>
        <v>11/12/2014</v>
      </c>
      <c r="B1338" t="str">
        <f>"62.145"</f>
        <v>62.145</v>
      </c>
      <c r="C1338" t="str">
        <f>"62.5825"</f>
        <v>62.5825</v>
      </c>
    </row>
    <row r="1339" spans="1:3" x14ac:dyDescent="0.25">
      <c r="A1339" t="str">
        <f>"12/12/2014"</f>
        <v>12/12/2014</v>
      </c>
      <c r="B1339" t="str">
        <f>"62.4625"</f>
        <v>62.4625</v>
      </c>
      <c r="C1339" t="str">
        <f>"62.89"</f>
        <v>62.89</v>
      </c>
    </row>
    <row r="1340" spans="1:3" x14ac:dyDescent="0.25">
      <c r="A1340" t="str">
        <f>"15/12/2014"</f>
        <v>15/12/2014</v>
      </c>
      <c r="B1340" t="str">
        <f>"62.50"</f>
        <v>62.50</v>
      </c>
      <c r="C1340" t="str">
        <f>"62.9625"</f>
        <v>62.9625</v>
      </c>
    </row>
    <row r="1341" spans="1:3" x14ac:dyDescent="0.25">
      <c r="A1341" t="str">
        <f>"16/12/2014"</f>
        <v>16/12/2014</v>
      </c>
      <c r="B1341" t="str">
        <f>"63.3375"</f>
        <v>63.3375</v>
      </c>
      <c r="C1341" t="str">
        <f>"63.805"</f>
        <v>63.805</v>
      </c>
    </row>
    <row r="1342" spans="1:3" x14ac:dyDescent="0.25">
      <c r="A1342" t="str">
        <f>"17/12/2014"</f>
        <v>17/12/2014</v>
      </c>
      <c r="B1342" t="str">
        <f>"63.78"</f>
        <v>63.78</v>
      </c>
      <c r="C1342" t="str">
        <f>"64.2375"</f>
        <v>64.2375</v>
      </c>
    </row>
    <row r="1343" spans="1:3" x14ac:dyDescent="0.25">
      <c r="A1343" t="str">
        <f>"18/12/2014"</f>
        <v>18/12/2014</v>
      </c>
      <c r="B1343" t="str">
        <f>"63.245"</f>
        <v>63.245</v>
      </c>
      <c r="C1343" t="str">
        <f>"63.68"</f>
        <v>63.68</v>
      </c>
    </row>
    <row r="1344" spans="1:3" x14ac:dyDescent="0.25">
      <c r="A1344" t="str">
        <f>"19/12/2014"</f>
        <v>19/12/2014</v>
      </c>
      <c r="B1344" t="str">
        <f>"63.05"</f>
        <v>63.05</v>
      </c>
      <c r="C1344" t="str">
        <f>"63.49"</f>
        <v>63.49</v>
      </c>
    </row>
    <row r="1345" spans="1:3" x14ac:dyDescent="0.25">
      <c r="A1345" t="str">
        <f>"22/12/2014"</f>
        <v>22/12/2014</v>
      </c>
      <c r="B1345" t="str">
        <f>"63.23"</f>
        <v>63.23</v>
      </c>
      <c r="C1345" t="str">
        <f>"63.71"</f>
        <v>63.71</v>
      </c>
    </row>
    <row r="1346" spans="1:3" x14ac:dyDescent="0.25">
      <c r="A1346" t="str">
        <f>"23/12/2014"</f>
        <v>23/12/2014</v>
      </c>
      <c r="B1346" t="str">
        <f>"63.28"</f>
        <v>63.28</v>
      </c>
      <c r="C1346" t="str">
        <f>"63.7275"</f>
        <v>63.7275</v>
      </c>
    </row>
    <row r="1347" spans="1:3" x14ac:dyDescent="0.25">
      <c r="A1347" t="str">
        <f>"24/12/2014"</f>
        <v>24/12/2014</v>
      </c>
      <c r="B1347" t="str">
        <f>"63.40"</f>
        <v>63.40</v>
      </c>
      <c r="C1347" t="str">
        <f>"63.835"</f>
        <v>63.835</v>
      </c>
    </row>
    <row r="1348" spans="1:3" x14ac:dyDescent="0.25">
      <c r="A1348" t="str">
        <f>"26/12/2014"</f>
        <v>26/12/2014</v>
      </c>
      <c r="B1348" t="str">
        <f>"63.5825"</f>
        <v>63.5825</v>
      </c>
      <c r="C1348" t="str">
        <f>"64.015"</f>
        <v>64.015</v>
      </c>
    </row>
    <row r="1349" spans="1:3" x14ac:dyDescent="0.25">
      <c r="A1349" t="str">
        <f>"29/12/2014"</f>
        <v>29/12/2014</v>
      </c>
      <c r="B1349" t="str">
        <f>"63.685"</f>
        <v>63.685</v>
      </c>
      <c r="C1349" t="str">
        <f>"64.0925"</f>
        <v>64.0925</v>
      </c>
    </row>
    <row r="1350" spans="1:3" x14ac:dyDescent="0.25">
      <c r="A1350" t="str">
        <f>"30/12/2014"</f>
        <v>30/12/2014</v>
      </c>
      <c r="B1350" t="str">
        <f>"63.75"</f>
        <v>63.75</v>
      </c>
      <c r="C1350" t="str">
        <f>"64.18"</f>
        <v>64.18</v>
      </c>
    </row>
    <row r="1351" spans="1:3" x14ac:dyDescent="0.25">
      <c r="A1351" t="str">
        <f>"31/12/2014"</f>
        <v>31/12/2014</v>
      </c>
      <c r="B1351" t="str">
        <f>"63.05"</f>
        <v>63.05</v>
      </c>
      <c r="C1351" t="str">
        <f>"63.51"</f>
        <v>63.51</v>
      </c>
    </row>
    <row r="1352" spans="1:3" x14ac:dyDescent="0.25">
      <c r="A1352" t="str">
        <f>"01/01/2015"</f>
        <v>01/01/2015</v>
      </c>
      <c r="B1352" t="str">
        <f>"63.27"</f>
        <v>63.27</v>
      </c>
      <c r="C1352" t="str">
        <f>"63.695"</f>
        <v>63.695</v>
      </c>
    </row>
    <row r="1353" spans="1:3" x14ac:dyDescent="0.25">
      <c r="A1353" t="str">
        <f>"02/01/2015"</f>
        <v>02/01/2015</v>
      </c>
      <c r="B1353" t="str">
        <f>"63.345"</f>
        <v>63.345</v>
      </c>
      <c r="C1353" t="str">
        <f>"63.7725"</f>
        <v>63.7725</v>
      </c>
    </row>
    <row r="1354" spans="1:3" x14ac:dyDescent="0.25">
      <c r="A1354" t="str">
        <f>"05/01/2015"</f>
        <v>05/01/2015</v>
      </c>
      <c r="B1354" t="str">
        <f>"63.42"</f>
        <v>63.42</v>
      </c>
      <c r="C1354" t="str">
        <f>"63.8875"</f>
        <v>63.8875</v>
      </c>
    </row>
    <row r="1355" spans="1:3" x14ac:dyDescent="0.25">
      <c r="A1355" t="str">
        <f>"06/01/2015"</f>
        <v>06/01/2015</v>
      </c>
      <c r="B1355" t="str">
        <f>"63.46"</f>
        <v>63.46</v>
      </c>
      <c r="C1355" t="str">
        <f>"63.90"</f>
        <v>63.90</v>
      </c>
    </row>
    <row r="1356" spans="1:3" x14ac:dyDescent="0.25">
      <c r="A1356" t="str">
        <f>"07/01/2015"</f>
        <v>07/01/2015</v>
      </c>
      <c r="B1356" t="str">
        <f>"63.475"</f>
        <v>63.475</v>
      </c>
      <c r="C1356" t="str">
        <f>"63.905"</f>
        <v>63.905</v>
      </c>
    </row>
    <row r="1357" spans="1:3" x14ac:dyDescent="0.25">
      <c r="A1357" t="str">
        <f>"08/01/2015"</f>
        <v>08/01/2015</v>
      </c>
      <c r="B1357" t="str">
        <f>"63.115"</f>
        <v>63.115</v>
      </c>
      <c r="C1357" t="str">
        <f>"63.54"</f>
        <v>63.54</v>
      </c>
    </row>
    <row r="1358" spans="1:3" x14ac:dyDescent="0.25">
      <c r="A1358" t="str">
        <f>"09/01/2015"</f>
        <v>09/01/2015</v>
      </c>
      <c r="B1358" t="str">
        <f>"62.325"</f>
        <v>62.325</v>
      </c>
      <c r="C1358" t="str">
        <f>"62.7475"</f>
        <v>62.7475</v>
      </c>
    </row>
    <row r="1359" spans="1:3" x14ac:dyDescent="0.25">
      <c r="A1359" t="str">
        <f>"12/01/2015"</f>
        <v>12/01/2015</v>
      </c>
      <c r="B1359" t="str">
        <f>"62.1475"</f>
        <v>62.1475</v>
      </c>
      <c r="C1359" t="str">
        <f>"62.6225"</f>
        <v>62.6225</v>
      </c>
    </row>
    <row r="1360" spans="1:3" x14ac:dyDescent="0.25">
      <c r="A1360" t="str">
        <f>"13/01/2015"</f>
        <v>13/01/2015</v>
      </c>
      <c r="B1360" t="str">
        <f>"62.09"</f>
        <v>62.09</v>
      </c>
      <c r="C1360" t="str">
        <f>"62.55"</f>
        <v>62.55</v>
      </c>
    </row>
    <row r="1361" spans="1:3" x14ac:dyDescent="0.25">
      <c r="A1361" t="str">
        <f>"14/01/2015"</f>
        <v>14/01/2015</v>
      </c>
      <c r="B1361" t="str">
        <f>"62.0925"</f>
        <v>62.0925</v>
      </c>
      <c r="C1361" t="str">
        <f>"62.54"</f>
        <v>62.54</v>
      </c>
    </row>
    <row r="1362" spans="1:3" x14ac:dyDescent="0.25">
      <c r="A1362" t="str">
        <f>"15/01/2015"</f>
        <v>15/01/2015</v>
      </c>
      <c r="B1362" t="str">
        <f>"61.80"</f>
        <v>61.80</v>
      </c>
      <c r="C1362" t="str">
        <f>"62.2175"</f>
        <v>62.2175</v>
      </c>
    </row>
    <row r="1363" spans="1:3" x14ac:dyDescent="0.25">
      <c r="A1363" t="str">
        <f>"16/01/2015"</f>
        <v>16/01/2015</v>
      </c>
      <c r="B1363" t="str">
        <f>"62.11"</f>
        <v>62.11</v>
      </c>
      <c r="C1363" t="str">
        <f>"62.56"</f>
        <v>62.56</v>
      </c>
    </row>
    <row r="1364" spans="1:3" x14ac:dyDescent="0.25">
      <c r="A1364" t="str">
        <f>"19/01/2015"</f>
        <v>19/01/2015</v>
      </c>
      <c r="B1364" t="str">
        <f>"61.6125"</f>
        <v>61.6125</v>
      </c>
      <c r="C1364" t="str">
        <f>"62.0525"</f>
        <v>62.0525</v>
      </c>
    </row>
    <row r="1365" spans="1:3" x14ac:dyDescent="0.25">
      <c r="A1365" t="str">
        <f>"20/01/2015"</f>
        <v>20/01/2015</v>
      </c>
      <c r="B1365" t="str">
        <f>"61.785"</f>
        <v>61.785</v>
      </c>
      <c r="C1365" t="str">
        <f>"62.2125"</f>
        <v>62.2125</v>
      </c>
    </row>
    <row r="1366" spans="1:3" x14ac:dyDescent="0.25">
      <c r="A1366" t="str">
        <f>"21/01/2015"</f>
        <v>21/01/2015</v>
      </c>
      <c r="B1366" t="str">
        <f>"61.615"</f>
        <v>61.615</v>
      </c>
      <c r="C1366" t="str">
        <f>"62.025"</f>
        <v>62.025</v>
      </c>
    </row>
    <row r="1367" spans="1:3" x14ac:dyDescent="0.25">
      <c r="A1367" t="str">
        <f>"22/01/2015"</f>
        <v>22/01/2015</v>
      </c>
      <c r="B1367" t="str">
        <f>"61.5625"</f>
        <v>61.5625</v>
      </c>
      <c r="C1367" t="str">
        <f>"61.98"</f>
        <v>61.98</v>
      </c>
    </row>
    <row r="1368" spans="1:3" x14ac:dyDescent="0.25">
      <c r="A1368" t="str">
        <f>"23/01/2015"</f>
        <v>23/01/2015</v>
      </c>
      <c r="B1368" t="str">
        <f>"61.43"</f>
        <v>61.43</v>
      </c>
      <c r="C1368" t="str">
        <f>"61.83"</f>
        <v>61.83</v>
      </c>
    </row>
    <row r="1369" spans="1:3" x14ac:dyDescent="0.25">
      <c r="A1369" t="str">
        <f>"27/01/2015"</f>
        <v>27/01/2015</v>
      </c>
      <c r="B1369" t="str">
        <f>"61.42"</f>
        <v>61.42</v>
      </c>
      <c r="C1369" t="str">
        <f>"61.80"</f>
        <v>61.80</v>
      </c>
    </row>
    <row r="1370" spans="1:3" x14ac:dyDescent="0.25">
      <c r="A1370" t="str">
        <f>"28/01/2015"</f>
        <v>28/01/2015</v>
      </c>
      <c r="B1370" t="str">
        <f>"61.495"</f>
        <v>61.495</v>
      </c>
      <c r="C1370" t="str">
        <f>"61.8325"</f>
        <v>61.8325</v>
      </c>
    </row>
    <row r="1371" spans="1:3" x14ac:dyDescent="0.25">
      <c r="A1371" t="str">
        <f>"29/01/2015"</f>
        <v>29/01/2015</v>
      </c>
      <c r="B1371" t="str">
        <f>"61.51"</f>
        <v>61.51</v>
      </c>
      <c r="C1371" t="str">
        <f>"61.875"</f>
        <v>61.875</v>
      </c>
    </row>
    <row r="1372" spans="1:3" x14ac:dyDescent="0.25">
      <c r="A1372" t="str">
        <f>"30/01/2015"</f>
        <v>30/01/2015</v>
      </c>
      <c r="B1372" t="str">
        <f>"61.7875"</f>
        <v>61.7875</v>
      </c>
      <c r="C1372" t="str">
        <f>"62.155"</f>
        <v>62.155</v>
      </c>
    </row>
    <row r="1373" spans="1:3" x14ac:dyDescent="0.25">
      <c r="A1373" t="str">
        <f>"02/02/2015"</f>
        <v>02/02/2015</v>
      </c>
      <c r="B1373" t="str">
        <f>"61.9025"</f>
        <v>61.9025</v>
      </c>
      <c r="C1373" t="str">
        <f>"62.2725"</f>
        <v>62.2725</v>
      </c>
    </row>
    <row r="1374" spans="1:3" x14ac:dyDescent="0.25">
      <c r="A1374" t="str">
        <f>"03/02/2015"</f>
        <v>03/02/2015</v>
      </c>
      <c r="B1374" t="str">
        <f>"61.65"</f>
        <v>61.65</v>
      </c>
      <c r="C1374" t="str">
        <f>"62.015"</f>
        <v>62.015</v>
      </c>
    </row>
    <row r="1375" spans="1:3" x14ac:dyDescent="0.25">
      <c r="A1375" t="str">
        <f>"04/02/2015"</f>
        <v>04/02/2015</v>
      </c>
      <c r="B1375" t="str">
        <f>"61.6275"</f>
        <v>61.6275</v>
      </c>
      <c r="C1375" t="str">
        <f>"62.045"</f>
        <v>62.045</v>
      </c>
    </row>
    <row r="1376" spans="1:3" x14ac:dyDescent="0.25">
      <c r="A1376" t="str">
        <f>"05/02/2015"</f>
        <v>05/02/2015</v>
      </c>
      <c r="B1376" t="str">
        <f>"61.8225"</f>
        <v>61.8225</v>
      </c>
      <c r="C1376" t="str">
        <f>"62.20"</f>
        <v>62.20</v>
      </c>
    </row>
    <row r="1377" spans="1:3" x14ac:dyDescent="0.25">
      <c r="A1377" t="str">
        <f>"06/02/2015"</f>
        <v>06/02/2015</v>
      </c>
      <c r="B1377" t="str">
        <f>"61.7275"</f>
        <v>61.7275</v>
      </c>
      <c r="C1377" t="str">
        <f>"62.105"</f>
        <v>62.105</v>
      </c>
    </row>
    <row r="1378" spans="1:3" x14ac:dyDescent="0.25">
      <c r="A1378" t="str">
        <f>"09/02/2015"</f>
        <v>09/02/2015</v>
      </c>
      <c r="B1378" t="str">
        <f>"62.105"</f>
        <v>62.105</v>
      </c>
      <c r="C1378" t="str">
        <f>"62.4825"</f>
        <v>62.4825</v>
      </c>
    </row>
    <row r="1379" spans="1:3" x14ac:dyDescent="0.25">
      <c r="A1379" t="str">
        <f>"10/02/2015"</f>
        <v>10/02/2015</v>
      </c>
      <c r="B1379" t="str">
        <f>"61.975"</f>
        <v>61.975</v>
      </c>
      <c r="C1379" t="str">
        <f>"62.3475"</f>
        <v>62.3475</v>
      </c>
    </row>
    <row r="1380" spans="1:3" x14ac:dyDescent="0.25">
      <c r="A1380" t="str">
        <f>"11/02/2015"</f>
        <v>11/02/2015</v>
      </c>
      <c r="B1380" t="str">
        <f>"62.25"</f>
        <v>62.25</v>
      </c>
      <c r="C1380" t="str">
        <f>"62.63"</f>
        <v>62.63</v>
      </c>
    </row>
    <row r="1381" spans="1:3" x14ac:dyDescent="0.25">
      <c r="A1381" t="str">
        <f>"12/02/2015"</f>
        <v>12/02/2015</v>
      </c>
      <c r="B1381" t="str">
        <f>"62.38"</f>
        <v>62.38</v>
      </c>
      <c r="C1381" t="str">
        <f>"62.7575"</f>
        <v>62.7575</v>
      </c>
    </row>
    <row r="1382" spans="1:3" x14ac:dyDescent="0.25">
      <c r="A1382" t="str">
        <f>"13/02/2015"</f>
        <v>13/02/2015</v>
      </c>
      <c r="B1382" t="str">
        <f>"62.1175"</f>
        <v>62.1175</v>
      </c>
      <c r="C1382" t="str">
        <f>"62.505"</f>
        <v>62.505</v>
      </c>
    </row>
    <row r="1383" spans="1:3" x14ac:dyDescent="0.25">
      <c r="A1383" t="str">
        <f>"16/02/2015"</f>
        <v>16/02/2015</v>
      </c>
      <c r="B1383" t="str">
        <f>"62.13"</f>
        <v>62.13</v>
      </c>
      <c r="C1383" t="str">
        <f>"62.5075"</f>
        <v>62.5075</v>
      </c>
    </row>
    <row r="1384" spans="1:3" x14ac:dyDescent="0.25">
      <c r="A1384" t="str">
        <f>"18/02/2015"</f>
        <v>18/02/2015</v>
      </c>
      <c r="B1384" t="str">
        <f>"62.345"</f>
        <v>62.345</v>
      </c>
      <c r="C1384" t="str">
        <f>"62.7175"</f>
        <v>62.7175</v>
      </c>
    </row>
    <row r="1385" spans="1:3" x14ac:dyDescent="0.25">
      <c r="A1385" t="str">
        <f>"20/02/2015"</f>
        <v>20/02/2015</v>
      </c>
      <c r="B1385" t="str">
        <f>"62.225"</f>
        <v>62.225</v>
      </c>
      <c r="C1385" t="str">
        <f>"62.6025"</f>
        <v>62.6025</v>
      </c>
    </row>
    <row r="1386" spans="1:3" x14ac:dyDescent="0.25">
      <c r="A1386" t="str">
        <f>"23/02/2015"</f>
        <v>23/02/2015</v>
      </c>
      <c r="B1386" t="str">
        <f>"62.32"</f>
        <v>62.32</v>
      </c>
      <c r="C1386" t="str">
        <f>"62.7025"</f>
        <v>62.7025</v>
      </c>
    </row>
    <row r="1387" spans="1:3" x14ac:dyDescent="0.25">
      <c r="A1387" t="str">
        <f>"24/02/2015"</f>
        <v>24/02/2015</v>
      </c>
      <c r="B1387" t="str">
        <f>"62.205"</f>
        <v>62.205</v>
      </c>
      <c r="C1387" t="str">
        <f>"62.59"</f>
        <v>62.59</v>
      </c>
    </row>
    <row r="1388" spans="1:3" x14ac:dyDescent="0.25">
      <c r="A1388" t="str">
        <f>"25/02/2015"</f>
        <v>25/02/2015</v>
      </c>
      <c r="B1388" t="str">
        <f>"61.975"</f>
        <v>61.975</v>
      </c>
      <c r="C1388" t="str">
        <f>"62.4125"</f>
        <v>62.4125</v>
      </c>
    </row>
    <row r="1389" spans="1:3" x14ac:dyDescent="0.25">
      <c r="A1389" t="str">
        <f>"26/02/2015"</f>
        <v>26/02/2015</v>
      </c>
      <c r="B1389" t="str">
        <f>"61.7575"</f>
        <v>61.7575</v>
      </c>
      <c r="C1389" t="str">
        <f>"62.245"</f>
        <v>62.245</v>
      </c>
    </row>
    <row r="1390" spans="1:3" x14ac:dyDescent="0.25">
      <c r="A1390" t="str">
        <f>"27/02/2015"</f>
        <v>27/02/2015</v>
      </c>
      <c r="B1390" t="str">
        <f>"61.8475"</f>
        <v>61.8475</v>
      </c>
      <c r="C1390" t="str">
        <f>"62.3275"</f>
        <v>62.3275</v>
      </c>
    </row>
    <row r="1391" spans="1:3" x14ac:dyDescent="0.25">
      <c r="A1391" t="str">
        <f>"02/03/2015"</f>
        <v>02/03/2015</v>
      </c>
      <c r="B1391" t="str">
        <f>"61.87"</f>
        <v>61.87</v>
      </c>
      <c r="C1391" t="str">
        <f>"62.345"</f>
        <v>62.345</v>
      </c>
    </row>
    <row r="1392" spans="1:3" x14ac:dyDescent="0.25">
      <c r="A1392" t="str">
        <f>"03/03/2015"</f>
        <v>03/03/2015</v>
      </c>
      <c r="B1392" t="str">
        <f>"61.925"</f>
        <v>61.925</v>
      </c>
      <c r="C1392" t="str">
        <f>"62.3825"</f>
        <v>62.3825</v>
      </c>
    </row>
    <row r="1393" spans="1:3" x14ac:dyDescent="0.25">
      <c r="A1393" t="str">
        <f>"04/03/2015"</f>
        <v>04/03/2015</v>
      </c>
      <c r="B1393" t="str">
        <f>"62.27"</f>
        <v>62.27</v>
      </c>
      <c r="C1393" t="str">
        <f>"62.72"</f>
        <v>62.72</v>
      </c>
    </row>
    <row r="1394" spans="1:3" x14ac:dyDescent="0.25">
      <c r="A1394" t="str">
        <f>"05/03/2015"</f>
        <v>05/03/2015</v>
      </c>
      <c r="B1394" t="str">
        <f>"62.1775"</f>
        <v>62.1775</v>
      </c>
      <c r="C1394" t="str">
        <f>"62.62"</f>
        <v>62.62</v>
      </c>
    </row>
    <row r="1395" spans="1:3" x14ac:dyDescent="0.25">
      <c r="A1395" t="str">
        <f>"09/03/2015"</f>
        <v>09/03/2015</v>
      </c>
      <c r="B1395" t="str">
        <f>"62.545"</f>
        <v>62.545</v>
      </c>
      <c r="C1395" t="str">
        <f>"63.02"</f>
        <v>63.02</v>
      </c>
    </row>
    <row r="1396" spans="1:3" x14ac:dyDescent="0.25">
      <c r="A1396" t="str">
        <f>"10/03/2015"</f>
        <v>10/03/2015</v>
      </c>
      <c r="B1396" t="str">
        <f>"62.79"</f>
        <v>62.79</v>
      </c>
      <c r="C1396" t="str">
        <f>"63.27"</f>
        <v>63.27</v>
      </c>
    </row>
    <row r="1397" spans="1:3" x14ac:dyDescent="0.25">
      <c r="A1397" t="str">
        <f>"11/03/2015"</f>
        <v>11/03/2015</v>
      </c>
      <c r="B1397" t="str">
        <f>"62.7825"</f>
        <v>62.7825</v>
      </c>
      <c r="C1397" t="str">
        <f>"63.2525"</f>
        <v>63.2525</v>
      </c>
    </row>
    <row r="1398" spans="1:3" x14ac:dyDescent="0.25">
      <c r="A1398" t="str">
        <f>"12/03/2015"</f>
        <v>12/03/2015</v>
      </c>
      <c r="B1398" t="str">
        <f>"62.515"</f>
        <v>62.515</v>
      </c>
      <c r="C1398" t="str">
        <f>"62.985"</f>
        <v>62.985</v>
      </c>
    </row>
    <row r="1399" spans="1:3" x14ac:dyDescent="0.25">
      <c r="A1399" t="str">
        <f>"13/03/2015"</f>
        <v>13/03/2015</v>
      </c>
      <c r="B1399" t="str">
        <f>"62.9675"</f>
        <v>62.9675</v>
      </c>
      <c r="C1399" t="str">
        <f>"63.4425"</f>
        <v>63.4425</v>
      </c>
    </row>
    <row r="1400" spans="1:3" x14ac:dyDescent="0.25">
      <c r="A1400" t="str">
        <f>"16/03/2015"</f>
        <v>16/03/2015</v>
      </c>
      <c r="B1400" t="str">
        <f>"62.82"</f>
        <v>62.82</v>
      </c>
      <c r="C1400" t="str">
        <f>"63.325"</f>
        <v>63.325</v>
      </c>
    </row>
    <row r="1401" spans="1:3" x14ac:dyDescent="0.25">
      <c r="A1401" t="str">
        <f>"17/03/2015"</f>
        <v>17/03/2015</v>
      </c>
      <c r="B1401" t="str">
        <f>"62.73"</f>
        <v>62.73</v>
      </c>
      <c r="C1401" t="str">
        <f>"63.2125"</f>
        <v>63.2125</v>
      </c>
    </row>
    <row r="1402" spans="1:3" x14ac:dyDescent="0.25">
      <c r="A1402" t="str">
        <f>"18/03/2015"</f>
        <v>18/03/2015</v>
      </c>
      <c r="B1402" t="str">
        <f>"62.695"</f>
        <v>62.695</v>
      </c>
      <c r="C1402" t="str">
        <f>"63.1575"</f>
        <v>63.1575</v>
      </c>
    </row>
    <row r="1403" spans="1:3" x14ac:dyDescent="0.25">
      <c r="A1403" t="str">
        <f>"19/03/2015"</f>
        <v>19/03/2015</v>
      </c>
      <c r="B1403" t="str">
        <f>"62.5225"</f>
        <v>62.5225</v>
      </c>
      <c r="C1403" t="str">
        <f>"62.9925"</f>
        <v>62.9925</v>
      </c>
    </row>
    <row r="1404" spans="1:3" x14ac:dyDescent="0.25">
      <c r="A1404" t="str">
        <f>"20/03/2015"</f>
        <v>20/03/2015</v>
      </c>
      <c r="B1404" t="str">
        <f>"62.4725"</f>
        <v>62.4725</v>
      </c>
      <c r="C1404" t="str">
        <f>"62.9525"</f>
        <v>62.9525</v>
      </c>
    </row>
    <row r="1405" spans="1:3" x14ac:dyDescent="0.25">
      <c r="A1405" t="str">
        <f>"23/03/2015"</f>
        <v>23/03/2015</v>
      </c>
      <c r="B1405" t="str">
        <f>"62.28"</f>
        <v>62.28</v>
      </c>
      <c r="C1405" t="str">
        <f>"62.7925"</f>
        <v>62.7925</v>
      </c>
    </row>
    <row r="1406" spans="1:3" x14ac:dyDescent="0.25">
      <c r="A1406" t="str">
        <f>"24/03/2015"</f>
        <v>24/03/2015</v>
      </c>
      <c r="B1406" t="str">
        <f>"62.265"</f>
        <v>62.265</v>
      </c>
      <c r="C1406" t="str">
        <f>"62.7675"</f>
        <v>62.7675</v>
      </c>
    </row>
    <row r="1407" spans="1:3" x14ac:dyDescent="0.25">
      <c r="A1407" t="str">
        <f>"25/03/2015"</f>
        <v>25/03/2015</v>
      </c>
      <c r="B1407" t="str">
        <f>"62.34"</f>
        <v>62.34</v>
      </c>
      <c r="C1407" t="str">
        <f>"62.8425"</f>
        <v>62.8425</v>
      </c>
    </row>
    <row r="1408" spans="1:3" x14ac:dyDescent="0.25">
      <c r="A1408" t="str">
        <f>"26/03/2015"</f>
        <v>26/03/2015</v>
      </c>
      <c r="B1408" t="str">
        <f>"62.675"</f>
        <v>62.675</v>
      </c>
      <c r="C1408" t="str">
        <f>"63.185"</f>
        <v>63.185</v>
      </c>
    </row>
    <row r="1409" spans="1:3" x14ac:dyDescent="0.25">
      <c r="A1409" t="str">
        <f>"27/03/2015"</f>
        <v>27/03/2015</v>
      </c>
      <c r="B1409" t="str">
        <f>"62.4225"</f>
        <v>62.4225</v>
      </c>
      <c r="C1409" t="str">
        <f>"62.9325"</f>
        <v>62.9325</v>
      </c>
    </row>
    <row r="1410" spans="1:3" x14ac:dyDescent="0.25">
      <c r="A1410" t="str">
        <f>"30/03/2015"</f>
        <v>30/03/2015</v>
      </c>
      <c r="B1410" t="str">
        <f>"62.68"</f>
        <v>62.68</v>
      </c>
      <c r="C1410" t="str">
        <f>"63.1175"</f>
        <v>63.1175</v>
      </c>
    </row>
    <row r="1411" spans="1:3" x14ac:dyDescent="0.25">
      <c r="A1411" t="str">
        <f>"31/03/2015"</f>
        <v>31/03/2015</v>
      </c>
      <c r="B1411" t="str">
        <f>"62.68"</f>
        <v>62.68</v>
      </c>
      <c r="C1411" t="str">
        <f>"63.1075"</f>
        <v>63.1075</v>
      </c>
    </row>
    <row r="1412" spans="1:3" x14ac:dyDescent="0.25">
      <c r="A1412" t="str">
        <f>"06/04/2015"</f>
        <v>06/04/2015</v>
      </c>
      <c r="B1412" t="str">
        <f>"62.19"</f>
        <v>62.19</v>
      </c>
      <c r="C1412" t="str">
        <f>"62.6125"</f>
        <v>62.6125</v>
      </c>
    </row>
    <row r="1413" spans="1:3" x14ac:dyDescent="0.25">
      <c r="A1413" t="str">
        <f>"07/04/2015"</f>
        <v>07/04/2015</v>
      </c>
      <c r="B1413" t="str">
        <f>"62.26"</f>
        <v>62.26</v>
      </c>
      <c r="C1413" t="str">
        <f>"62.7125"</f>
        <v>62.7125</v>
      </c>
    </row>
    <row r="1414" spans="1:3" x14ac:dyDescent="0.25">
      <c r="A1414" t="str">
        <f>"08/04/2015"</f>
        <v>08/04/2015</v>
      </c>
      <c r="B1414" t="str">
        <f>"62.25"</f>
        <v>62.25</v>
      </c>
      <c r="C1414" t="str">
        <f>"62.6875"</f>
        <v>62.6875</v>
      </c>
    </row>
    <row r="1415" spans="1:3" x14ac:dyDescent="0.25">
      <c r="A1415" t="str">
        <f>"09/04/2015"</f>
        <v>09/04/2015</v>
      </c>
      <c r="B1415" t="str">
        <f>"62.25"</f>
        <v>62.25</v>
      </c>
      <c r="C1415" t="str">
        <f>"62.6725"</f>
        <v>62.6725</v>
      </c>
    </row>
    <row r="1416" spans="1:3" x14ac:dyDescent="0.25">
      <c r="A1416" t="str">
        <f>"10/04/2015"</f>
        <v>10/04/2015</v>
      </c>
      <c r="B1416" t="str">
        <f>"62.325"</f>
        <v>62.325</v>
      </c>
      <c r="C1416" t="str">
        <f>"62.74"</f>
        <v>62.74</v>
      </c>
    </row>
    <row r="1417" spans="1:3" x14ac:dyDescent="0.25">
      <c r="A1417" t="str">
        <f>"13/04/2015"</f>
        <v>13/04/2015</v>
      </c>
      <c r="B1417" t="str">
        <f>"62.52"</f>
        <v>62.52</v>
      </c>
      <c r="C1417" t="str">
        <f>"62.955"</f>
        <v>62.955</v>
      </c>
    </row>
    <row r="1418" spans="1:3" x14ac:dyDescent="0.25">
      <c r="A1418" t="str">
        <f>"15/04/2015"</f>
        <v>15/04/2015</v>
      </c>
      <c r="B1418" t="str">
        <f>"62.3725"</f>
        <v>62.3725</v>
      </c>
      <c r="C1418" t="str">
        <f>"62.7975"</f>
        <v>62.7975</v>
      </c>
    </row>
    <row r="1419" spans="1:3" x14ac:dyDescent="0.25">
      <c r="A1419" t="str">
        <f>"16/04/2015"</f>
        <v>16/04/2015</v>
      </c>
      <c r="B1419" t="str">
        <f>"62.3075"</f>
        <v>62.3075</v>
      </c>
      <c r="C1419" t="str">
        <f>"62.7225"</f>
        <v>62.7225</v>
      </c>
    </row>
    <row r="1420" spans="1:3" x14ac:dyDescent="0.25">
      <c r="A1420" t="str">
        <f>"17/04/2015"</f>
        <v>17/04/2015</v>
      </c>
      <c r="B1420" t="str">
        <f>"62.37"</f>
        <v>62.37</v>
      </c>
      <c r="C1420" t="str">
        <f>"62.785"</f>
        <v>62.785</v>
      </c>
    </row>
    <row r="1421" spans="1:3" x14ac:dyDescent="0.25">
      <c r="A1421" t="str">
        <f>"20/04/2015"</f>
        <v>20/04/2015</v>
      </c>
      <c r="B1421" t="str">
        <f>"62.92"</f>
        <v>62.92</v>
      </c>
      <c r="C1421" t="str">
        <f>"63.3475"</f>
        <v>63.3475</v>
      </c>
    </row>
    <row r="1422" spans="1:3" x14ac:dyDescent="0.25">
      <c r="A1422" t="str">
        <f>"21/04/2015"</f>
        <v>21/04/2015</v>
      </c>
      <c r="B1422" t="str">
        <f>"62.855"</f>
        <v>62.855</v>
      </c>
      <c r="C1422" t="str">
        <f>"63.3075"</f>
        <v>63.3075</v>
      </c>
    </row>
    <row r="1423" spans="1:3" x14ac:dyDescent="0.25">
      <c r="A1423" t="str">
        <f>"22/04/2015"</f>
        <v>22/04/2015</v>
      </c>
      <c r="B1423" t="str">
        <f>"62.84"</f>
        <v>62.84</v>
      </c>
      <c r="C1423" t="str">
        <f>"63.28"</f>
        <v>63.28</v>
      </c>
    </row>
    <row r="1424" spans="1:3" x14ac:dyDescent="0.25">
      <c r="A1424" t="str">
        <f>"23/04/2015"</f>
        <v>23/04/2015</v>
      </c>
      <c r="B1424" t="str">
        <f>"63.325"</f>
        <v>63.325</v>
      </c>
      <c r="C1424" t="str">
        <f>"63.735"</f>
        <v>63.735</v>
      </c>
    </row>
    <row r="1425" spans="1:3" x14ac:dyDescent="0.25">
      <c r="A1425" t="str">
        <f>"24/04/2015"</f>
        <v>24/04/2015</v>
      </c>
      <c r="B1425" t="str">
        <f>"63.565"</f>
        <v>63.565</v>
      </c>
      <c r="C1425" t="str">
        <f>"63.9725"</f>
        <v>63.9725</v>
      </c>
    </row>
    <row r="1426" spans="1:3" x14ac:dyDescent="0.25">
      <c r="A1426" t="str">
        <f>"27/04/2015"</f>
        <v>27/04/2015</v>
      </c>
      <c r="B1426" t="str">
        <f>"63.49"</f>
        <v>63.49</v>
      </c>
      <c r="C1426" t="str">
        <f>"63.905"</f>
        <v>63.905</v>
      </c>
    </row>
    <row r="1427" spans="1:3" x14ac:dyDescent="0.25">
      <c r="A1427" t="str">
        <f>"28/04/2015"</f>
        <v>28/04/2015</v>
      </c>
      <c r="B1427" t="str">
        <f>"63.15"</f>
        <v>63.15</v>
      </c>
      <c r="C1427" t="str">
        <f>"63.5575"</f>
        <v>63.5575</v>
      </c>
    </row>
    <row r="1428" spans="1:3" x14ac:dyDescent="0.25">
      <c r="A1428" t="str">
        <f>"29/04/2015"</f>
        <v>29/04/2015</v>
      </c>
      <c r="B1428" t="str">
        <f>"63.31"</f>
        <v>63.31</v>
      </c>
      <c r="C1428" t="str">
        <f>"63.74"</f>
        <v>63.74</v>
      </c>
    </row>
    <row r="1429" spans="1:3" x14ac:dyDescent="0.25">
      <c r="A1429" t="str">
        <f>"30/04/2015"</f>
        <v>30/04/2015</v>
      </c>
      <c r="B1429" t="str">
        <f>"63.425"</f>
        <v>63.425</v>
      </c>
      <c r="C1429" t="str">
        <f>"63.8925"</f>
        <v>63.8925</v>
      </c>
    </row>
    <row r="1430" spans="1:3" x14ac:dyDescent="0.25">
      <c r="A1430" t="str">
        <f>"05/05/2015"</f>
        <v>05/05/2015</v>
      </c>
      <c r="B1430" t="str">
        <f>"63.445"</f>
        <v>63.445</v>
      </c>
      <c r="C1430" t="str">
        <f>"63.895"</f>
        <v>63.895</v>
      </c>
    </row>
    <row r="1431" spans="1:3" x14ac:dyDescent="0.25">
      <c r="A1431" t="str">
        <f>"06/05/2015"</f>
        <v>06/05/2015</v>
      </c>
      <c r="B1431" t="str">
        <f>"63.535"</f>
        <v>63.535</v>
      </c>
      <c r="C1431" t="str">
        <f>"63.97"</f>
        <v>63.97</v>
      </c>
    </row>
    <row r="1432" spans="1:3" x14ac:dyDescent="0.25">
      <c r="A1432" t="str">
        <f>"07/05/2015"</f>
        <v>07/05/2015</v>
      </c>
      <c r="B1432" t="str">
        <f>"64.25"</f>
        <v>64.25</v>
      </c>
      <c r="C1432" t="str">
        <f>"64.6825"</f>
        <v>64.6825</v>
      </c>
    </row>
    <row r="1433" spans="1:3" x14ac:dyDescent="0.25">
      <c r="A1433" t="str">
        <f>"08/05/2015"</f>
        <v>08/05/2015</v>
      </c>
      <c r="B1433" t="str">
        <f>"63.945"</f>
        <v>63.945</v>
      </c>
      <c r="C1433" t="str">
        <f>"64.3775"</f>
        <v>64.3775</v>
      </c>
    </row>
    <row r="1434" spans="1:3" x14ac:dyDescent="0.25">
      <c r="A1434" t="str">
        <f>"11/05/2015"</f>
        <v>11/05/2015</v>
      </c>
      <c r="B1434" t="str">
        <f>"63.86"</f>
        <v>63.86</v>
      </c>
      <c r="C1434" t="str">
        <f>"64.305"</f>
        <v>64.305</v>
      </c>
    </row>
    <row r="1435" spans="1:3" x14ac:dyDescent="0.25">
      <c r="A1435" t="str">
        <f>"12/05/2015"</f>
        <v>12/05/2015</v>
      </c>
      <c r="B1435" t="str">
        <f>"64.17"</f>
        <v>64.17</v>
      </c>
      <c r="C1435" t="str">
        <f>"64.605"</f>
        <v>64.605</v>
      </c>
    </row>
    <row r="1436" spans="1:3" x14ac:dyDescent="0.25">
      <c r="A1436" t="str">
        <f>"13/05/2015"</f>
        <v>13/05/2015</v>
      </c>
      <c r="B1436" t="str">
        <f>"64.02"</f>
        <v>64.02</v>
      </c>
      <c r="C1436" t="str">
        <f>"64.445"</f>
        <v>64.445</v>
      </c>
    </row>
    <row r="1437" spans="1:3" x14ac:dyDescent="0.25">
      <c r="A1437" t="str">
        <f>"14/05/2015"</f>
        <v>14/05/2015</v>
      </c>
      <c r="B1437" t="str">
        <f>"63.66"</f>
        <v>63.66</v>
      </c>
      <c r="C1437" t="str">
        <f>"64.0775"</f>
        <v>64.0775</v>
      </c>
    </row>
    <row r="1438" spans="1:3" x14ac:dyDescent="0.25">
      <c r="A1438" t="str">
        <f>"15/05/2015"</f>
        <v>15/05/2015</v>
      </c>
      <c r="B1438" t="str">
        <f>"63.52"</f>
        <v>63.52</v>
      </c>
      <c r="C1438" t="str">
        <f>"63.94"</f>
        <v>63.94</v>
      </c>
    </row>
    <row r="1439" spans="1:3" x14ac:dyDescent="0.25">
      <c r="A1439" t="str">
        <f>"18/05/2015"</f>
        <v>18/05/2015</v>
      </c>
      <c r="B1439" t="str">
        <f>"63.725"</f>
        <v>63.725</v>
      </c>
      <c r="C1439" t="str">
        <f>"64.1725"</f>
        <v>64.1725</v>
      </c>
    </row>
    <row r="1440" spans="1:3" x14ac:dyDescent="0.25">
      <c r="A1440" t="str">
        <f>"19/05/2015"</f>
        <v>19/05/2015</v>
      </c>
      <c r="B1440" t="str">
        <f>"63.68"</f>
        <v>63.68</v>
      </c>
      <c r="C1440" t="str">
        <f>"64.11"</f>
        <v>64.11</v>
      </c>
    </row>
    <row r="1441" spans="1:3" x14ac:dyDescent="0.25">
      <c r="A1441" t="str">
        <f>"20/05/2015"</f>
        <v>20/05/2015</v>
      </c>
      <c r="B1441" t="str">
        <f>"63.83"</f>
        <v>63.83</v>
      </c>
      <c r="C1441" t="str">
        <f>"64.25"</f>
        <v>64.25</v>
      </c>
    </row>
    <row r="1442" spans="1:3" x14ac:dyDescent="0.25">
      <c r="A1442" t="str">
        <f>"21/05/2015"</f>
        <v>21/05/2015</v>
      </c>
      <c r="B1442" t="str">
        <f>"63.645"</f>
        <v>63.645</v>
      </c>
      <c r="C1442" t="str">
        <f>"64.0675"</f>
        <v>64.0675</v>
      </c>
    </row>
    <row r="1443" spans="1:3" x14ac:dyDescent="0.25">
      <c r="A1443" t="str">
        <f>"22/05/2015"</f>
        <v>22/05/2015</v>
      </c>
      <c r="B1443" t="str">
        <f>"63.5275"</f>
        <v>63.5275</v>
      </c>
      <c r="C1443" t="str">
        <f>"63.985"</f>
        <v>63.985</v>
      </c>
    </row>
    <row r="1444" spans="1:3" x14ac:dyDescent="0.25">
      <c r="A1444" t="str">
        <f>"25/05/2015"</f>
        <v>25/05/2015</v>
      </c>
      <c r="B1444" t="str">
        <f>"63.5725"</f>
        <v>63.5725</v>
      </c>
      <c r="C1444" t="str">
        <f>"64.0175"</f>
        <v>64.0175</v>
      </c>
    </row>
    <row r="1445" spans="1:3" x14ac:dyDescent="0.25">
      <c r="A1445" t="str">
        <f>"26/05/2015"</f>
        <v>26/05/2015</v>
      </c>
      <c r="B1445" t="str">
        <f>"63.9825"</f>
        <v>63.9825</v>
      </c>
      <c r="C1445" t="str">
        <f>"64.405"</f>
        <v>64.405</v>
      </c>
    </row>
    <row r="1446" spans="1:3" x14ac:dyDescent="0.25">
      <c r="A1446" t="str">
        <f>"27/05/2015"</f>
        <v>27/05/2015</v>
      </c>
      <c r="B1446" t="str">
        <f>"64.035"</f>
        <v>64.035</v>
      </c>
      <c r="C1446" t="str">
        <f>"64.46"</f>
        <v>64.46</v>
      </c>
    </row>
    <row r="1447" spans="1:3" x14ac:dyDescent="0.25">
      <c r="A1447" t="str">
        <f>"28/05/2015"</f>
        <v>28/05/2015</v>
      </c>
      <c r="B1447" t="str">
        <f>"63.81"</f>
        <v>63.81</v>
      </c>
      <c r="C1447" t="str">
        <f>"64.21"</f>
        <v>64.21</v>
      </c>
    </row>
    <row r="1448" spans="1:3" x14ac:dyDescent="0.25">
      <c r="A1448" t="str">
        <f>"29/05/2015"</f>
        <v>29/05/2015</v>
      </c>
      <c r="B1448" t="str">
        <f>"63.83"</f>
        <v>63.83</v>
      </c>
      <c r="C1448" t="str">
        <f>"64.2275"</f>
        <v>64.2275</v>
      </c>
    </row>
    <row r="1449" spans="1:3" x14ac:dyDescent="0.25">
      <c r="A1449" t="str">
        <f>"01/06/2015"</f>
        <v>01/06/2015</v>
      </c>
      <c r="B1449" t="str">
        <f>"63.7075"</f>
        <v>63.7075</v>
      </c>
      <c r="C1449" t="str">
        <f>"64.105"</f>
        <v>64.105</v>
      </c>
    </row>
    <row r="1450" spans="1:3" x14ac:dyDescent="0.25">
      <c r="A1450" t="str">
        <f>"02/06/2015"</f>
        <v>02/06/2015</v>
      </c>
      <c r="B1450" t="str">
        <f>"63.83"</f>
        <v>63.83</v>
      </c>
      <c r="C1450" t="str">
        <f>"64.25"</f>
        <v>64.25</v>
      </c>
    </row>
    <row r="1451" spans="1:3" x14ac:dyDescent="0.25">
      <c r="A1451" t="str">
        <f>"03/06/2015"</f>
        <v>03/06/2015</v>
      </c>
      <c r="B1451" t="str">
        <f>"63.91"</f>
        <v>63.91</v>
      </c>
      <c r="C1451" t="str">
        <f>"64.3125"</f>
        <v>64.3125</v>
      </c>
    </row>
    <row r="1452" spans="1:3" x14ac:dyDescent="0.25">
      <c r="A1452" t="str">
        <f>"04/06/2015"</f>
        <v>04/06/2015</v>
      </c>
      <c r="B1452" t="str">
        <f>"64.01"</f>
        <v>64.01</v>
      </c>
      <c r="C1452" t="str">
        <f>"64.4075"</f>
        <v>64.4075</v>
      </c>
    </row>
    <row r="1453" spans="1:3" x14ac:dyDescent="0.25">
      <c r="A1453" t="str">
        <f>"05/06/2015"</f>
        <v>05/06/2015</v>
      </c>
      <c r="B1453" t="str">
        <f>"63.76"</f>
        <v>63.76</v>
      </c>
      <c r="C1453" t="str">
        <f>"64.15"</f>
        <v>64.15</v>
      </c>
    </row>
    <row r="1454" spans="1:3" x14ac:dyDescent="0.25">
      <c r="A1454" t="str">
        <f>"08/06/2015"</f>
        <v>08/06/2015</v>
      </c>
      <c r="B1454" t="str">
        <f>"64.09"</f>
        <v>64.09</v>
      </c>
      <c r="C1454" t="str">
        <f>"64.4775"</f>
        <v>64.4775</v>
      </c>
    </row>
    <row r="1455" spans="1:3" x14ac:dyDescent="0.25">
      <c r="A1455" t="str">
        <f>"09/06/2015"</f>
        <v>09/06/2015</v>
      </c>
      <c r="B1455" t="str">
        <f>"63.9275"</f>
        <v>63.9275</v>
      </c>
      <c r="C1455" t="str">
        <f>"64.3375"</f>
        <v>64.3375</v>
      </c>
    </row>
    <row r="1456" spans="1:3" x14ac:dyDescent="0.25">
      <c r="A1456" t="str">
        <f>"10/06/2015"</f>
        <v>10/06/2015</v>
      </c>
      <c r="B1456" t="str">
        <f>"63.85"</f>
        <v>63.85</v>
      </c>
      <c r="C1456" t="str">
        <f>"64.2575"</f>
        <v>64.2575</v>
      </c>
    </row>
    <row r="1457" spans="1:3" x14ac:dyDescent="0.25">
      <c r="A1457" t="str">
        <f>"11/06/2015"</f>
        <v>11/06/2015</v>
      </c>
      <c r="B1457" t="str">
        <f>"63.98"</f>
        <v>63.98</v>
      </c>
      <c r="C1457" t="str">
        <f>"64.3725"</f>
        <v>64.3725</v>
      </c>
    </row>
    <row r="1458" spans="1:3" x14ac:dyDescent="0.25">
      <c r="A1458" t="str">
        <f>"12/06/2015"</f>
        <v>12/06/2015</v>
      </c>
      <c r="B1458" t="str">
        <f>"64.065"</f>
        <v>64.065</v>
      </c>
      <c r="C1458" t="str">
        <f>"64.4575"</f>
        <v>64.4575</v>
      </c>
    </row>
    <row r="1459" spans="1:3" x14ac:dyDescent="0.25">
      <c r="A1459" t="str">
        <f>"15/06/2015"</f>
        <v>15/06/2015</v>
      </c>
      <c r="B1459" t="str">
        <f>"64.175"</f>
        <v>64.175</v>
      </c>
      <c r="C1459" t="str">
        <f>"64.56"</f>
        <v>64.56</v>
      </c>
    </row>
    <row r="1460" spans="1:3" x14ac:dyDescent="0.25">
      <c r="A1460" t="str">
        <f>"16/06/2015"</f>
        <v>16/06/2015</v>
      </c>
      <c r="B1460" t="str">
        <f>"64.255"</f>
        <v>64.255</v>
      </c>
      <c r="C1460" t="str">
        <f>"64.675"</f>
        <v>64.675</v>
      </c>
    </row>
    <row r="1461" spans="1:3" x14ac:dyDescent="0.25">
      <c r="A1461" t="str">
        <f>"17/06/2015"</f>
        <v>17/06/2015</v>
      </c>
      <c r="B1461" t="str">
        <f>"64.16"</f>
        <v>64.16</v>
      </c>
      <c r="C1461" t="str">
        <f>"64.5625"</f>
        <v>64.5625</v>
      </c>
    </row>
    <row r="1462" spans="1:3" x14ac:dyDescent="0.25">
      <c r="A1462" t="str">
        <f>"18/06/2015"</f>
        <v>18/06/2015</v>
      </c>
      <c r="B1462" t="str">
        <f>"63.735"</f>
        <v>63.735</v>
      </c>
      <c r="C1462" t="str">
        <f>"64.1275"</f>
        <v>64.1275</v>
      </c>
    </row>
    <row r="1463" spans="1:3" x14ac:dyDescent="0.25">
      <c r="A1463" t="str">
        <f>"19/06/2015"</f>
        <v>19/06/2015</v>
      </c>
      <c r="B1463" t="str">
        <f>"63.57"</f>
        <v>63.57</v>
      </c>
      <c r="C1463" t="str">
        <f>"63.9625"</f>
        <v>63.9625</v>
      </c>
    </row>
    <row r="1464" spans="1:3" x14ac:dyDescent="0.25">
      <c r="A1464" t="str">
        <f>"22/06/2015"</f>
        <v>22/06/2015</v>
      </c>
      <c r="B1464" t="str">
        <f>"63.52"</f>
        <v>63.52</v>
      </c>
      <c r="C1464" t="str">
        <f>"63.91"</f>
        <v>63.91</v>
      </c>
    </row>
    <row r="1465" spans="1:3" x14ac:dyDescent="0.25">
      <c r="A1465" t="str">
        <f>"23/06/2015"</f>
        <v>23/06/2015</v>
      </c>
      <c r="B1465" t="str">
        <f>"63.61"</f>
        <v>63.61</v>
      </c>
      <c r="C1465" t="str">
        <f>"64.0225"</f>
        <v>64.0225</v>
      </c>
    </row>
    <row r="1466" spans="1:3" x14ac:dyDescent="0.25">
      <c r="A1466" t="str">
        <f>"24/06/2015"</f>
        <v>24/06/2015</v>
      </c>
      <c r="B1466" t="str">
        <f>"63.60"</f>
        <v>63.60</v>
      </c>
      <c r="C1466" t="str">
        <f>"64.00"</f>
        <v>64.00</v>
      </c>
    </row>
    <row r="1467" spans="1:3" x14ac:dyDescent="0.25">
      <c r="A1467" t="str">
        <f>"25/06/2015"</f>
        <v>25/06/2015</v>
      </c>
      <c r="B1467" t="str">
        <f>"63.63"</f>
        <v>63.63</v>
      </c>
      <c r="C1467" t="str">
        <f>"64.02"</f>
        <v>64.02</v>
      </c>
    </row>
    <row r="1468" spans="1:3" x14ac:dyDescent="0.25">
      <c r="A1468" t="str">
        <f>"26/06/2015"</f>
        <v>26/06/2015</v>
      </c>
      <c r="B1468" t="str">
        <f>"63.645"</f>
        <v>63.645</v>
      </c>
      <c r="C1468" t="str">
        <f>"64.0425"</f>
        <v>64.0425</v>
      </c>
    </row>
    <row r="1469" spans="1:3" x14ac:dyDescent="0.25">
      <c r="A1469" t="str">
        <f>"29/06/2015"</f>
        <v>29/06/2015</v>
      </c>
      <c r="B1469" t="str">
        <f>"63.855"</f>
        <v>63.855</v>
      </c>
      <c r="C1469" t="str">
        <f>"64.28"</f>
        <v>64.28</v>
      </c>
    </row>
    <row r="1470" spans="1:3" x14ac:dyDescent="0.25">
      <c r="A1470" t="str">
        <f>"30/06/2015"</f>
        <v>30/06/2015</v>
      </c>
      <c r="B1470" t="str">
        <f>"63.6525"</f>
        <v>63.6525</v>
      </c>
      <c r="C1470" t="str">
        <f>"64.0625"</f>
        <v>64.0625</v>
      </c>
    </row>
    <row r="1471" spans="1:3" x14ac:dyDescent="0.25">
      <c r="A1471" t="str">
        <f>"01/07/2015"</f>
        <v>01/07/2015</v>
      </c>
      <c r="B1471" t="str">
        <f>"63.61"</f>
        <v>63.61</v>
      </c>
      <c r="C1471" t="str">
        <f>"64.0075"</f>
        <v>64.0075</v>
      </c>
    </row>
    <row r="1472" spans="1:3" x14ac:dyDescent="0.25">
      <c r="A1472" t="str">
        <f>"02/07/2015"</f>
        <v>02/07/2015</v>
      </c>
      <c r="B1472" t="str">
        <f>"63.515"</f>
        <v>63.515</v>
      </c>
      <c r="C1472" t="str">
        <f>"63.915"</f>
        <v>63.915</v>
      </c>
    </row>
    <row r="1473" spans="1:3" x14ac:dyDescent="0.25">
      <c r="A1473" t="str">
        <f>"03/07/2015"</f>
        <v>03/07/2015</v>
      </c>
      <c r="B1473" t="str">
        <f>"63.4425"</f>
        <v>63.4425</v>
      </c>
      <c r="C1473" t="str">
        <f>"63.8375"</f>
        <v>63.8375</v>
      </c>
    </row>
    <row r="1474" spans="1:3" x14ac:dyDescent="0.25">
      <c r="A1474" t="str">
        <f>"06/07/2015"</f>
        <v>06/07/2015</v>
      </c>
      <c r="B1474" t="str">
        <f>"63.41"</f>
        <v>63.41</v>
      </c>
      <c r="C1474" t="str">
        <f>"63.825"</f>
        <v>63.825</v>
      </c>
    </row>
    <row r="1475" spans="1:3" x14ac:dyDescent="0.25">
      <c r="A1475" t="str">
        <f>"07/07/2015"</f>
        <v>07/07/2015</v>
      </c>
      <c r="B1475" t="str">
        <f>"63.465"</f>
        <v>63.465</v>
      </c>
      <c r="C1475" t="str">
        <f>"63.8675"</f>
        <v>63.8675</v>
      </c>
    </row>
    <row r="1476" spans="1:3" x14ac:dyDescent="0.25">
      <c r="A1476" t="str">
        <f>"08/07/2015"</f>
        <v>08/07/2015</v>
      </c>
      <c r="B1476" t="str">
        <f>"63.6025"</f>
        <v>63.6025</v>
      </c>
      <c r="C1476" t="str">
        <f>"63.995"</f>
        <v>63.995</v>
      </c>
    </row>
    <row r="1477" spans="1:3" x14ac:dyDescent="0.25">
      <c r="A1477" t="str">
        <f>"09/07/2015"</f>
        <v>09/07/2015</v>
      </c>
      <c r="B1477" t="str">
        <f>"63.395"</f>
        <v>63.395</v>
      </c>
      <c r="C1477" t="str">
        <f>"63.795"</f>
        <v>63.795</v>
      </c>
    </row>
    <row r="1478" spans="1:3" x14ac:dyDescent="0.25">
      <c r="A1478" t="str">
        <f>"10/07/2015"</f>
        <v>10/07/2015</v>
      </c>
      <c r="B1478" t="str">
        <f>"63.41"</f>
        <v>63.41</v>
      </c>
      <c r="C1478" t="str">
        <f>"63.805"</f>
        <v>63.805</v>
      </c>
    </row>
    <row r="1479" spans="1:3" x14ac:dyDescent="0.25">
      <c r="A1479" t="str">
        <f>"13/07/2015"</f>
        <v>13/07/2015</v>
      </c>
      <c r="B1479" t="str">
        <f>"63.52"</f>
        <v>63.52</v>
      </c>
      <c r="C1479" t="str">
        <f>"63.9425"</f>
        <v>63.9425</v>
      </c>
    </row>
    <row r="1480" spans="1:3" x14ac:dyDescent="0.25">
      <c r="A1480" t="str">
        <f>"14/07/2015"</f>
        <v>14/07/2015</v>
      </c>
      <c r="B1480" t="str">
        <f>"63.395"</f>
        <v>63.395</v>
      </c>
      <c r="C1480" t="str">
        <f>"63.8025"</f>
        <v>63.8025</v>
      </c>
    </row>
    <row r="1481" spans="1:3" x14ac:dyDescent="0.25">
      <c r="A1481" t="str">
        <f>"15/07/2015"</f>
        <v>15/07/2015</v>
      </c>
      <c r="B1481" t="str">
        <f>"63.4275"</f>
        <v>63.4275</v>
      </c>
      <c r="C1481" t="str">
        <f>"63.825"</f>
        <v>63.825</v>
      </c>
    </row>
    <row r="1482" spans="1:3" x14ac:dyDescent="0.25">
      <c r="A1482" t="str">
        <f>"16/07/2015"</f>
        <v>16/07/2015</v>
      </c>
      <c r="B1482" t="str">
        <f>"63.52"</f>
        <v>63.52</v>
      </c>
      <c r="C1482" t="str">
        <f>"63.91"</f>
        <v>63.91</v>
      </c>
    </row>
    <row r="1483" spans="1:3" x14ac:dyDescent="0.25">
      <c r="A1483" t="str">
        <f>"17/07/2015"</f>
        <v>17/07/2015</v>
      </c>
      <c r="B1483" t="str">
        <f>"63.475"</f>
        <v>63.475</v>
      </c>
      <c r="C1483" t="str">
        <f>"63.8725"</f>
        <v>63.8725</v>
      </c>
    </row>
    <row r="1484" spans="1:3" x14ac:dyDescent="0.25">
      <c r="A1484" t="str">
        <f>"20/07/2015"</f>
        <v>20/07/2015</v>
      </c>
      <c r="B1484" t="str">
        <f>"63.67"</f>
        <v>63.67</v>
      </c>
      <c r="C1484" t="str">
        <f>"64.085"</f>
        <v>64.085</v>
      </c>
    </row>
    <row r="1485" spans="1:3" x14ac:dyDescent="0.25">
      <c r="A1485" t="str">
        <f>"21/07/2015"</f>
        <v>21/07/2015</v>
      </c>
      <c r="B1485" t="str">
        <f>"63.555"</f>
        <v>63.555</v>
      </c>
      <c r="C1485" t="str">
        <f>"63.96"</f>
        <v>63.96</v>
      </c>
    </row>
    <row r="1486" spans="1:3" x14ac:dyDescent="0.25">
      <c r="A1486" t="str">
        <f>"22/07/2015"</f>
        <v>22/07/2015</v>
      </c>
      <c r="B1486" t="str">
        <f>"63.585"</f>
        <v>63.585</v>
      </c>
      <c r="C1486" t="str">
        <f>"63.98"</f>
        <v>63.98</v>
      </c>
    </row>
    <row r="1487" spans="1:3" x14ac:dyDescent="0.25">
      <c r="A1487" t="str">
        <f>"23/07/2015"</f>
        <v>23/07/2015</v>
      </c>
      <c r="B1487" t="str">
        <f>"63.7325"</f>
        <v>63.7325</v>
      </c>
      <c r="C1487" t="str">
        <f>"64.125"</f>
        <v>64.125</v>
      </c>
    </row>
    <row r="1488" spans="1:3" x14ac:dyDescent="0.25">
      <c r="A1488" t="str">
        <f>"24/07/2015"</f>
        <v>24/07/2015</v>
      </c>
      <c r="B1488" t="str">
        <f>"63.9425"</f>
        <v>63.9425</v>
      </c>
      <c r="C1488" t="str">
        <f>"64.34"</f>
        <v>64.34</v>
      </c>
    </row>
    <row r="1489" spans="1:3" x14ac:dyDescent="0.25">
      <c r="A1489" t="str">
        <f>"27/07/2015"</f>
        <v>27/07/2015</v>
      </c>
      <c r="B1489" t="str">
        <f>"64.175"</f>
        <v>64.175</v>
      </c>
      <c r="C1489" t="str">
        <f>"64.6025"</f>
        <v>64.6025</v>
      </c>
    </row>
    <row r="1490" spans="1:3" x14ac:dyDescent="0.25">
      <c r="A1490" t="str">
        <f>"28/07/2015"</f>
        <v>28/07/2015</v>
      </c>
      <c r="B1490" t="str">
        <f>"63.92"</f>
        <v>63.92</v>
      </c>
      <c r="C1490" t="str">
        <f>"64.3325"</f>
        <v>64.3325</v>
      </c>
    </row>
    <row r="1491" spans="1:3" x14ac:dyDescent="0.25">
      <c r="A1491" t="str">
        <f>"29/07/2015"</f>
        <v>29/07/2015</v>
      </c>
      <c r="B1491" t="str">
        <f>"63.89"</f>
        <v>63.89</v>
      </c>
      <c r="C1491" t="str">
        <f>"64.2825"</f>
        <v>64.2825</v>
      </c>
    </row>
    <row r="1492" spans="1:3" x14ac:dyDescent="0.25">
      <c r="A1492" t="str">
        <f>"30/07/2015"</f>
        <v>30/07/2015</v>
      </c>
      <c r="B1492" t="str">
        <f>"64.045"</f>
        <v>64.045</v>
      </c>
      <c r="C1492" t="str">
        <f>"64.44"</f>
        <v>64.44</v>
      </c>
    </row>
    <row r="1493" spans="1:3" x14ac:dyDescent="0.25">
      <c r="A1493" t="str">
        <f>"31/07/2015"</f>
        <v>31/07/2015</v>
      </c>
      <c r="B1493" t="str">
        <f>"64.14"</f>
        <v>64.14</v>
      </c>
      <c r="C1493" t="str">
        <f>"64.5275"</f>
        <v>64.5275</v>
      </c>
    </row>
    <row r="1494" spans="1:3" x14ac:dyDescent="0.25">
      <c r="A1494" t="str">
        <f>"03/08/2015"</f>
        <v>03/08/2015</v>
      </c>
      <c r="B1494" t="str">
        <f>"64.045"</f>
        <v>64.045</v>
      </c>
      <c r="C1494" t="str">
        <f>"64.475"</f>
        <v>64.475</v>
      </c>
    </row>
    <row r="1495" spans="1:3" x14ac:dyDescent="0.25">
      <c r="A1495" t="str">
        <f>"04/08/2015"</f>
        <v>04/08/2015</v>
      </c>
      <c r="B1495" t="str">
        <f>"63.985"</f>
        <v>63.985</v>
      </c>
      <c r="C1495" t="str">
        <f>"64.3925"</f>
        <v>64.3925</v>
      </c>
    </row>
    <row r="1496" spans="1:3" x14ac:dyDescent="0.25">
      <c r="A1496" t="str">
        <f>"05/08/2015"</f>
        <v>05/08/2015</v>
      </c>
      <c r="B1496" t="str">
        <f>"63.76"</f>
        <v>63.76</v>
      </c>
      <c r="C1496" t="str">
        <f>"64.165"</f>
        <v>64.165</v>
      </c>
    </row>
    <row r="1497" spans="1:3" x14ac:dyDescent="0.25">
      <c r="A1497" t="str">
        <f>"06/08/2015"</f>
        <v>06/08/2015</v>
      </c>
      <c r="B1497" t="str">
        <f>"63.77"</f>
        <v>63.77</v>
      </c>
      <c r="C1497" t="str">
        <f>"64.1575"</f>
        <v>64.1575</v>
      </c>
    </row>
    <row r="1498" spans="1:3" x14ac:dyDescent="0.25">
      <c r="A1498" t="str">
        <f>"07/08/2015"</f>
        <v>07/08/2015</v>
      </c>
      <c r="B1498" t="str">
        <f>"63.82"</f>
        <v>63.82</v>
      </c>
      <c r="C1498" t="str">
        <f>"64.2075"</f>
        <v>64.2075</v>
      </c>
    </row>
    <row r="1499" spans="1:3" x14ac:dyDescent="0.25">
      <c r="A1499" t="str">
        <f>"10/08/2015"</f>
        <v>10/08/2015</v>
      </c>
      <c r="B1499" t="str">
        <f>"63.875"</f>
        <v>63.875</v>
      </c>
      <c r="C1499" t="str">
        <f>"64.2875"</f>
        <v>64.2875</v>
      </c>
    </row>
    <row r="1500" spans="1:3" x14ac:dyDescent="0.25">
      <c r="A1500" t="str">
        <f>"11/08/2015"</f>
        <v>11/08/2015</v>
      </c>
      <c r="B1500" t="str">
        <f>"64.21"</f>
        <v>64.21</v>
      </c>
      <c r="C1500" t="str">
        <f>"64.6125"</f>
        <v>64.6125</v>
      </c>
    </row>
    <row r="1501" spans="1:3" x14ac:dyDescent="0.25">
      <c r="A1501" t="str">
        <f>"12/08/2015"</f>
        <v>12/08/2015</v>
      </c>
      <c r="B1501" t="str">
        <f>"64.85"</f>
        <v>64.85</v>
      </c>
      <c r="C1501" t="str">
        <f>"65.245"</f>
        <v>65.245</v>
      </c>
    </row>
    <row r="1502" spans="1:3" x14ac:dyDescent="0.25">
      <c r="A1502" t="str">
        <f>"13/08/2015"</f>
        <v>13/08/2015</v>
      </c>
      <c r="B1502" t="str">
        <f>"65.11"</f>
        <v>65.11</v>
      </c>
      <c r="C1502" t="str">
        <f>"65.5125"</f>
        <v>65.5125</v>
      </c>
    </row>
    <row r="1503" spans="1:3" x14ac:dyDescent="0.25">
      <c r="A1503" t="str">
        <f>"14/08/2015"</f>
        <v>14/08/2015</v>
      </c>
      <c r="B1503" t="str">
        <f>"65.01"</f>
        <v>65.01</v>
      </c>
      <c r="C1503" t="str">
        <f>"65.4275"</f>
        <v>65.4275</v>
      </c>
    </row>
    <row r="1504" spans="1:3" x14ac:dyDescent="0.25">
      <c r="A1504" t="str">
        <f>"17/08/2015"</f>
        <v>17/08/2015</v>
      </c>
      <c r="B1504" t="str">
        <f>"65.32"</f>
        <v>65.32</v>
      </c>
      <c r="C1504" t="str">
        <f>"65.7225"</f>
        <v>65.7225</v>
      </c>
    </row>
    <row r="1505" spans="1:3" x14ac:dyDescent="0.25">
      <c r="A1505" t="str">
        <f>"19/08/2015"</f>
        <v>19/08/2015</v>
      </c>
      <c r="B1505" t="str">
        <f>"65.2775"</f>
        <v>65.2775</v>
      </c>
      <c r="C1505" t="str">
        <f>"65.675"</f>
        <v>65.675</v>
      </c>
    </row>
    <row r="1506" spans="1:3" x14ac:dyDescent="0.25">
      <c r="A1506" t="str">
        <f>"20/08/2015"</f>
        <v>20/08/2015</v>
      </c>
      <c r="B1506" t="str">
        <f>"65.55"</f>
        <v>65.55</v>
      </c>
      <c r="C1506" t="str">
        <f>"65.9475"</f>
        <v>65.9475</v>
      </c>
    </row>
    <row r="1507" spans="1:3" x14ac:dyDescent="0.25">
      <c r="A1507" t="str">
        <f>"21/08/2015"</f>
        <v>21/08/2015</v>
      </c>
      <c r="B1507" t="str">
        <f>"65.74"</f>
        <v>65.74</v>
      </c>
      <c r="C1507" t="str">
        <f>"66.1725"</f>
        <v>66.1725</v>
      </c>
    </row>
    <row r="1508" spans="1:3" x14ac:dyDescent="0.25">
      <c r="A1508" t="str">
        <f>"25/08/2015"</f>
        <v>25/08/2015</v>
      </c>
      <c r="B1508" t="str">
        <f>"66.1025"</f>
        <v>66.1025</v>
      </c>
      <c r="C1508" t="str">
        <f>"66.5175"</f>
        <v>66.5175</v>
      </c>
    </row>
    <row r="1509" spans="1:3" x14ac:dyDescent="0.25">
      <c r="A1509" t="str">
        <f>"26/08/2015"</f>
        <v>26/08/2015</v>
      </c>
      <c r="B1509" t="str">
        <f>"66.15"</f>
        <v>66.15</v>
      </c>
      <c r="C1509" t="str">
        <f>"66.55"</f>
        <v>66.55</v>
      </c>
    </row>
    <row r="1510" spans="1:3" x14ac:dyDescent="0.25">
      <c r="A1510" t="str">
        <f>"27/08/2015"</f>
        <v>27/08/2015</v>
      </c>
      <c r="B1510" t="str">
        <f>"66.05"</f>
        <v>66.05</v>
      </c>
      <c r="C1510" t="str">
        <f>"66.43"</f>
        <v>66.43</v>
      </c>
    </row>
    <row r="1511" spans="1:3" x14ac:dyDescent="0.25">
      <c r="A1511" t="str">
        <f>"28/08/2015"</f>
        <v>28/08/2015</v>
      </c>
      <c r="B1511" t="str">
        <f>"66.1675"</f>
        <v>66.1675</v>
      </c>
      <c r="C1511" t="str">
        <f>"66.55"</f>
        <v>66.55</v>
      </c>
    </row>
    <row r="1512" spans="1:3" x14ac:dyDescent="0.25">
      <c r="A1512" t="str">
        <f>"31/08/2015"</f>
        <v>31/08/2015</v>
      </c>
      <c r="B1512" t="str">
        <f>"66.4875"</f>
        <v>66.4875</v>
      </c>
      <c r="C1512" t="str">
        <f>"66.905"</f>
        <v>66.905</v>
      </c>
    </row>
    <row r="1513" spans="1:3" x14ac:dyDescent="0.25">
      <c r="A1513" t="str">
        <f>"01/09/2015"</f>
        <v>01/09/2015</v>
      </c>
      <c r="B1513" t="str">
        <f>"66.22"</f>
        <v>66.22</v>
      </c>
      <c r="C1513" t="str">
        <f>"66.6225"</f>
        <v>66.6225</v>
      </c>
    </row>
    <row r="1514" spans="1:3" x14ac:dyDescent="0.25">
      <c r="A1514" t="str">
        <f>"02/09/2015"</f>
        <v>02/09/2015</v>
      </c>
      <c r="B1514" t="str">
        <f>"66.20"</f>
        <v>66.20</v>
      </c>
      <c r="C1514" t="str">
        <f>"66.5975"</f>
        <v>66.5975</v>
      </c>
    </row>
    <row r="1515" spans="1:3" x14ac:dyDescent="0.25">
      <c r="A1515" t="str">
        <f>"03/09/2015"</f>
        <v>03/09/2015</v>
      </c>
      <c r="B1515" t="str">
        <f>"66.25"</f>
        <v>66.25</v>
      </c>
      <c r="C1515" t="str">
        <f>"66.635"</f>
        <v>66.635</v>
      </c>
    </row>
    <row r="1516" spans="1:3" x14ac:dyDescent="0.25">
      <c r="A1516" t="str">
        <f>"04/09/2015"</f>
        <v>04/09/2015</v>
      </c>
      <c r="B1516" t="str">
        <f>"66.47"</f>
        <v>66.47</v>
      </c>
      <c r="C1516" t="str">
        <f>"66.855"</f>
        <v>66.855</v>
      </c>
    </row>
    <row r="1517" spans="1:3" x14ac:dyDescent="0.25">
      <c r="A1517" t="str">
        <f>"07/09/2015"</f>
        <v>07/09/2015</v>
      </c>
      <c r="B1517" t="str">
        <f>"66.83"</f>
        <v>66.83</v>
      </c>
      <c r="C1517" t="str">
        <f>"67.2075"</f>
        <v>67.2075</v>
      </c>
    </row>
    <row r="1518" spans="1:3" x14ac:dyDescent="0.25">
      <c r="A1518" t="str">
        <f>"08/09/2015"</f>
        <v>08/09/2015</v>
      </c>
      <c r="B1518" t="str">
        <f>"66.5525"</f>
        <v>66.5525</v>
      </c>
      <c r="C1518" t="str">
        <f>"66.97"</f>
        <v>66.97</v>
      </c>
    </row>
    <row r="1519" spans="1:3" x14ac:dyDescent="0.25">
      <c r="A1519" t="str">
        <f>"09/09/2015"</f>
        <v>09/09/2015</v>
      </c>
      <c r="B1519" t="str">
        <f>"66.415"</f>
        <v>66.415</v>
      </c>
      <c r="C1519" t="str">
        <f>"66.82"</f>
        <v>66.82</v>
      </c>
    </row>
    <row r="1520" spans="1:3" x14ac:dyDescent="0.25">
      <c r="A1520" t="str">
        <f>"10/09/2015"</f>
        <v>10/09/2015</v>
      </c>
      <c r="B1520" t="str">
        <f>"66.44"</f>
        <v>66.44</v>
      </c>
      <c r="C1520" t="str">
        <f>"66.82"</f>
        <v>66.82</v>
      </c>
    </row>
    <row r="1521" spans="1:3" x14ac:dyDescent="0.25">
      <c r="A1521" t="str">
        <f>"11/09/2015"</f>
        <v>11/09/2015</v>
      </c>
      <c r="B1521" t="str">
        <f>"66.545"</f>
        <v>66.545</v>
      </c>
      <c r="C1521" t="str">
        <f>"66.92"</f>
        <v>66.92</v>
      </c>
    </row>
    <row r="1522" spans="1:3" x14ac:dyDescent="0.25">
      <c r="A1522" t="str">
        <f>"14/09/2015"</f>
        <v>14/09/2015</v>
      </c>
      <c r="B1522" t="str">
        <f>"66.335"</f>
        <v>66.335</v>
      </c>
      <c r="C1522" t="str">
        <f>"66.7075"</f>
        <v>66.7075</v>
      </c>
    </row>
    <row r="1523" spans="1:3" x14ac:dyDescent="0.25">
      <c r="A1523" t="str">
        <f>"15/09/2015"</f>
        <v>15/09/2015</v>
      </c>
      <c r="B1523" t="str">
        <f>"66.3675"</f>
        <v>66.3675</v>
      </c>
      <c r="C1523" t="str">
        <f>"66.7525"</f>
        <v>66.7525</v>
      </c>
    </row>
    <row r="1524" spans="1:3" x14ac:dyDescent="0.25">
      <c r="A1524" t="str">
        <f>"16/09/2015"</f>
        <v>16/09/2015</v>
      </c>
      <c r="B1524" t="str">
        <f>"66.465"</f>
        <v>66.465</v>
      </c>
      <c r="C1524" t="str">
        <f>"66.8425"</f>
        <v>66.8425</v>
      </c>
    </row>
    <row r="1525" spans="1:3" x14ac:dyDescent="0.25">
      <c r="A1525" t="str">
        <f>"18/09/2015"</f>
        <v>18/09/2015</v>
      </c>
      <c r="B1525" t="str">
        <f>"65.68"</f>
        <v>65.68</v>
      </c>
      <c r="C1525" t="str">
        <f>"66.0725"</f>
        <v>66.0725</v>
      </c>
    </row>
    <row r="1526" spans="1:3" x14ac:dyDescent="0.25">
      <c r="A1526" t="str">
        <f>"21/09/2015"</f>
        <v>21/09/2015</v>
      </c>
      <c r="B1526" t="str">
        <f>"65.745"</f>
        <v>65.745</v>
      </c>
      <c r="C1526" t="str">
        <f>"66.1225"</f>
        <v>66.1225</v>
      </c>
    </row>
    <row r="1527" spans="1:3" x14ac:dyDescent="0.25">
      <c r="A1527" t="str">
        <f>"22/09/2015"</f>
        <v>22/09/2015</v>
      </c>
      <c r="B1527" t="str">
        <f>"65.885"</f>
        <v>65.885</v>
      </c>
      <c r="C1527" t="str">
        <f>"66.285"</f>
        <v>66.285</v>
      </c>
    </row>
    <row r="1528" spans="1:3" x14ac:dyDescent="0.25">
      <c r="A1528" t="str">
        <f>"23/09/2015"</f>
        <v>23/09/2015</v>
      </c>
      <c r="B1528" t="str">
        <f>"65.9925"</f>
        <v>65.9925</v>
      </c>
      <c r="C1528" t="str">
        <f>"66.37"</f>
        <v>66.37</v>
      </c>
    </row>
    <row r="1529" spans="1:3" x14ac:dyDescent="0.25">
      <c r="A1529" t="str">
        <f>"24/09/2015"</f>
        <v>24/09/2015</v>
      </c>
      <c r="B1529" t="str">
        <f>"66.16"</f>
        <v>66.16</v>
      </c>
      <c r="C1529" t="str">
        <f>"66.535"</f>
        <v>66.535</v>
      </c>
    </row>
    <row r="1530" spans="1:3" x14ac:dyDescent="0.25">
      <c r="A1530" t="str">
        <f>"28/09/2015"</f>
        <v>28/09/2015</v>
      </c>
      <c r="B1530" t="str">
        <f>"66.05"</f>
        <v>66.05</v>
      </c>
      <c r="C1530" t="str">
        <f>"66.42"</f>
        <v>66.42</v>
      </c>
    </row>
    <row r="1531" spans="1:3" x14ac:dyDescent="0.25">
      <c r="A1531" t="str">
        <f>"29/09/2015"</f>
        <v>29/09/2015</v>
      </c>
      <c r="B1531" t="str">
        <f>"65.96"</f>
        <v>65.96</v>
      </c>
      <c r="C1531" t="str">
        <f>"66.3575"</f>
        <v>66.3575</v>
      </c>
    </row>
    <row r="1532" spans="1:3" x14ac:dyDescent="0.25">
      <c r="A1532" t="str">
        <f>"30/09/2015"</f>
        <v>30/09/2015</v>
      </c>
      <c r="B1532" t="str">
        <f>"65.595"</f>
        <v>65.595</v>
      </c>
      <c r="C1532" t="str">
        <f>"65.9775"</f>
        <v>65.9775</v>
      </c>
    </row>
    <row r="1533" spans="1:3" x14ac:dyDescent="0.25">
      <c r="A1533" t="str">
        <f>"01/10/2015"</f>
        <v>01/10/2015</v>
      </c>
      <c r="B1533" t="str">
        <f>"65.5175"</f>
        <v>65.5175</v>
      </c>
      <c r="C1533" t="str">
        <f>"65.90"</f>
        <v>65.90</v>
      </c>
    </row>
    <row r="1534" spans="1:3" x14ac:dyDescent="0.25">
      <c r="A1534" t="str">
        <f>"05/10/2015"</f>
        <v>05/10/2015</v>
      </c>
      <c r="B1534" t="str">
        <f>"65.305"</f>
        <v>65.305</v>
      </c>
      <c r="C1534" t="str">
        <f>"65.7125"</f>
        <v>65.7125</v>
      </c>
    </row>
    <row r="1535" spans="1:3" x14ac:dyDescent="0.25">
      <c r="A1535" t="str">
        <f>"06/10/2015"</f>
        <v>06/10/2015</v>
      </c>
      <c r="B1535" t="str">
        <f>"65.415"</f>
        <v>65.415</v>
      </c>
      <c r="C1535" t="str">
        <f>"65.805"</f>
        <v>65.805</v>
      </c>
    </row>
    <row r="1536" spans="1:3" x14ac:dyDescent="0.25">
      <c r="A1536" t="str">
        <f>"07/10/2015"</f>
        <v>07/10/2015</v>
      </c>
      <c r="B1536" t="str">
        <f>"64.9675"</f>
        <v>64.9675</v>
      </c>
      <c r="C1536" t="str">
        <f>"65.3475"</f>
        <v>65.3475</v>
      </c>
    </row>
    <row r="1537" spans="1:3" x14ac:dyDescent="0.25">
      <c r="A1537" t="str">
        <f>"08/10/2015"</f>
        <v>08/10/2015</v>
      </c>
      <c r="B1537" t="str">
        <f>"65.09"</f>
        <v>65.09</v>
      </c>
      <c r="C1537" t="str">
        <f>"65.4725"</f>
        <v>65.4725</v>
      </c>
    </row>
    <row r="1538" spans="1:3" x14ac:dyDescent="0.25">
      <c r="A1538" t="str">
        <f>"09/10/2015"</f>
        <v>09/10/2015</v>
      </c>
      <c r="B1538" t="str">
        <f>"64.74"</f>
        <v>64.74</v>
      </c>
      <c r="C1538" t="str">
        <f>"65.155"</f>
        <v>65.155</v>
      </c>
    </row>
    <row r="1539" spans="1:3" x14ac:dyDescent="0.25">
      <c r="A1539" t="str">
        <f>"12/10/2015"</f>
        <v>12/10/2015</v>
      </c>
      <c r="B1539" t="str">
        <f>"64.7575"</f>
        <v>64.7575</v>
      </c>
      <c r="C1539" t="str">
        <f>"65.1525"</f>
        <v>65.1525</v>
      </c>
    </row>
    <row r="1540" spans="1:3" x14ac:dyDescent="0.25">
      <c r="A1540" t="str">
        <f>"13/10/2015"</f>
        <v>13/10/2015</v>
      </c>
      <c r="B1540" t="str">
        <f>"65.19"</f>
        <v>65.19</v>
      </c>
      <c r="C1540" t="str">
        <f>"65.5825"</f>
        <v>65.5825</v>
      </c>
    </row>
    <row r="1541" spans="1:3" x14ac:dyDescent="0.25">
      <c r="A1541" t="str">
        <f>"14/10/2015"</f>
        <v>14/10/2015</v>
      </c>
      <c r="B1541" t="str">
        <f>"65.04"</f>
        <v>65.04</v>
      </c>
      <c r="C1541" t="str">
        <f>"65.4175"</f>
        <v>65.4175</v>
      </c>
    </row>
    <row r="1542" spans="1:3" x14ac:dyDescent="0.25">
      <c r="A1542" t="str">
        <f>"15/10/2015"</f>
        <v>15/10/2015</v>
      </c>
      <c r="B1542" t="str">
        <f>"64.83"</f>
        <v>64.83</v>
      </c>
      <c r="C1542" t="str">
        <f>"65.20"</f>
        <v>65.20</v>
      </c>
    </row>
    <row r="1543" spans="1:3" x14ac:dyDescent="0.25">
      <c r="A1543" t="str">
        <f>"16/10/2015"</f>
        <v>16/10/2015</v>
      </c>
      <c r="B1543" t="str">
        <f>"64.82"</f>
        <v>64.82</v>
      </c>
      <c r="C1543" t="str">
        <f>"65.195"</f>
        <v>65.195</v>
      </c>
    </row>
    <row r="1544" spans="1:3" x14ac:dyDescent="0.25">
      <c r="A1544" t="str">
        <f>"19/10/2015"</f>
        <v>19/10/2015</v>
      </c>
      <c r="B1544" t="str">
        <f>"64.81"</f>
        <v>64.81</v>
      </c>
      <c r="C1544" t="str">
        <f>"65.2125"</f>
        <v>65.2125</v>
      </c>
    </row>
    <row r="1545" spans="1:3" x14ac:dyDescent="0.25">
      <c r="A1545" t="str">
        <f>"20/10/2015"</f>
        <v>20/10/2015</v>
      </c>
      <c r="B1545" t="str">
        <f>"65.06"</f>
        <v>65.06</v>
      </c>
      <c r="C1545" t="str">
        <f>"65.43"</f>
        <v>65.43</v>
      </c>
    </row>
    <row r="1546" spans="1:3" x14ac:dyDescent="0.25">
      <c r="A1546" t="str">
        <f>"21/10/2015"</f>
        <v>21/10/2015</v>
      </c>
      <c r="B1546" t="str">
        <f>"65.1225"</f>
        <v>65.1225</v>
      </c>
      <c r="C1546" t="str">
        <f>"65.5075"</f>
        <v>65.5075</v>
      </c>
    </row>
    <row r="1547" spans="1:3" x14ac:dyDescent="0.25">
      <c r="A1547" t="str">
        <f>"23/10/2015"</f>
        <v>23/10/2015</v>
      </c>
      <c r="B1547" t="str">
        <f>"65.06"</f>
        <v>65.06</v>
      </c>
      <c r="C1547" t="str">
        <f>"65.44"</f>
        <v>65.44</v>
      </c>
    </row>
    <row r="1548" spans="1:3" x14ac:dyDescent="0.25">
      <c r="A1548" t="str">
        <f>"26/10/2015"</f>
        <v>26/10/2015</v>
      </c>
      <c r="B1548" t="str">
        <f>"64.835"</f>
        <v>64.835</v>
      </c>
      <c r="C1548" t="str">
        <f>"65.225"</f>
        <v>65.225</v>
      </c>
    </row>
    <row r="1549" spans="1:3" x14ac:dyDescent="0.25">
      <c r="A1549" t="str">
        <f>"27/10/2015"</f>
        <v>27/10/2015</v>
      </c>
      <c r="B1549" t="str">
        <f>"64.9675"</f>
        <v>64.9675</v>
      </c>
      <c r="C1549" t="str">
        <f>"65.3525"</f>
        <v>65.3525</v>
      </c>
    </row>
    <row r="1550" spans="1:3" x14ac:dyDescent="0.25">
      <c r="A1550" t="str">
        <f>"29/10/2015"</f>
        <v>29/10/2015</v>
      </c>
      <c r="B1550" t="str">
        <f>"65.31"</f>
        <v>65.31</v>
      </c>
      <c r="C1550" t="str">
        <f>"65.67"</f>
        <v>65.67</v>
      </c>
    </row>
    <row r="1551" spans="1:3" x14ac:dyDescent="0.25">
      <c r="A1551" t="str">
        <f>"30/10/2015"</f>
        <v>30/10/2015</v>
      </c>
      <c r="B1551" t="str">
        <f>"65.27"</f>
        <v>65.27</v>
      </c>
      <c r="C1551" t="str">
        <f>"65.63"</f>
        <v>65.63</v>
      </c>
    </row>
    <row r="1552" spans="1:3" x14ac:dyDescent="0.25">
      <c r="A1552" t="str">
        <f>"02/11/2015"</f>
        <v>02/11/2015</v>
      </c>
      <c r="B1552" t="str">
        <f>"65.59"</f>
        <v>65.59</v>
      </c>
      <c r="C1552" t="str">
        <f>"65.9475"</f>
        <v>65.9475</v>
      </c>
    </row>
    <row r="1553" spans="1:3" x14ac:dyDescent="0.25">
      <c r="A1553" t="str">
        <f>"03/11/2015"</f>
        <v>03/11/2015</v>
      </c>
      <c r="B1553" t="str">
        <f>"65.66"</f>
        <v>65.66</v>
      </c>
      <c r="C1553" t="str">
        <f>"66.04"</f>
        <v>66.04</v>
      </c>
    </row>
    <row r="1554" spans="1:3" x14ac:dyDescent="0.25">
      <c r="A1554" t="str">
        <f>"04/11/2015"</f>
        <v>04/11/2015</v>
      </c>
      <c r="B1554" t="str">
        <f>"65.49"</f>
        <v>65.49</v>
      </c>
      <c r="C1554" t="str">
        <f>"65.865"</f>
        <v>65.865</v>
      </c>
    </row>
    <row r="1555" spans="1:3" x14ac:dyDescent="0.25">
      <c r="A1555" t="str">
        <f>"05/11/2015"</f>
        <v>05/11/2015</v>
      </c>
      <c r="B1555" t="str">
        <f>"65.7475"</f>
        <v>65.7475</v>
      </c>
      <c r="C1555" t="str">
        <f>"66.11"</f>
        <v>66.11</v>
      </c>
    </row>
    <row r="1556" spans="1:3" x14ac:dyDescent="0.25">
      <c r="A1556" t="str">
        <f>"06/11/2015"</f>
        <v>06/11/2015</v>
      </c>
      <c r="B1556" t="str">
        <f>"65.765"</f>
        <v>65.765</v>
      </c>
      <c r="C1556" t="str">
        <f>"66.13"</f>
        <v>66.13</v>
      </c>
    </row>
    <row r="1557" spans="1:3" x14ac:dyDescent="0.25">
      <c r="A1557" t="str">
        <f>"09/11/2015"</f>
        <v>09/11/2015</v>
      </c>
      <c r="B1557" t="str">
        <f>"66.45"</f>
        <v>66.45</v>
      </c>
      <c r="C1557" t="str">
        <f>"66.8225"</f>
        <v>66.8225</v>
      </c>
    </row>
    <row r="1558" spans="1:3" x14ac:dyDescent="0.25">
      <c r="A1558" t="str">
        <f>"10/11/2015"</f>
        <v>10/11/2015</v>
      </c>
      <c r="B1558" t="str">
        <f>"66.32"</f>
        <v>66.32</v>
      </c>
      <c r="C1558" t="str">
        <f>"66.685"</f>
        <v>66.685</v>
      </c>
    </row>
    <row r="1559" spans="1:3" x14ac:dyDescent="0.25">
      <c r="A1559" t="str">
        <f>"13/11/2015"</f>
        <v>13/11/2015</v>
      </c>
      <c r="B1559" t="str">
        <f>"66.1025"</f>
        <v>66.1025</v>
      </c>
      <c r="C1559" t="str">
        <f>"66.4675"</f>
        <v>66.4675</v>
      </c>
    </row>
    <row r="1560" spans="1:3" x14ac:dyDescent="0.25">
      <c r="A1560" t="str">
        <f>"16/11/2015"</f>
        <v>16/11/2015</v>
      </c>
      <c r="B1560" t="str">
        <f>"66.00"</f>
        <v>66.00</v>
      </c>
      <c r="C1560" t="str">
        <f>"66.365"</f>
        <v>66.365</v>
      </c>
    </row>
    <row r="1561" spans="1:3" x14ac:dyDescent="0.25">
      <c r="A1561" t="str">
        <f>"17/11/2015"</f>
        <v>17/11/2015</v>
      </c>
      <c r="B1561" t="str">
        <f>"66.0375"</f>
        <v>66.0375</v>
      </c>
      <c r="C1561" t="str">
        <f>"66.42"</f>
        <v>66.42</v>
      </c>
    </row>
    <row r="1562" spans="1:3" x14ac:dyDescent="0.25">
      <c r="A1562" t="str">
        <f>"18/11/2015"</f>
        <v>18/11/2015</v>
      </c>
      <c r="B1562" t="str">
        <f>"66.31"</f>
        <v>66.31</v>
      </c>
      <c r="C1562" t="str">
        <f>"66.685"</f>
        <v>66.685</v>
      </c>
    </row>
    <row r="1563" spans="1:3" x14ac:dyDescent="0.25">
      <c r="A1563" t="str">
        <f>"19/11/2015"</f>
        <v>19/11/2015</v>
      </c>
      <c r="B1563" t="str">
        <f>"66.19"</f>
        <v>66.19</v>
      </c>
      <c r="C1563" t="str">
        <f>"66.555"</f>
        <v>66.555</v>
      </c>
    </row>
    <row r="1564" spans="1:3" x14ac:dyDescent="0.25">
      <c r="A1564" t="str">
        <f>"20/11/2015"</f>
        <v>20/11/2015</v>
      </c>
      <c r="B1564" t="str">
        <f>"66.20"</f>
        <v>66.20</v>
      </c>
      <c r="C1564" t="str">
        <f>"66.61"</f>
        <v>66.61</v>
      </c>
    </row>
    <row r="1565" spans="1:3" x14ac:dyDescent="0.25">
      <c r="A1565" t="str">
        <f>"23/11/2015"</f>
        <v>23/11/2015</v>
      </c>
      <c r="B1565" t="str">
        <f>"66.4825"</f>
        <v>66.4825</v>
      </c>
      <c r="C1565" t="str">
        <f>"66.85"</f>
        <v>66.85</v>
      </c>
    </row>
    <row r="1566" spans="1:3" x14ac:dyDescent="0.25">
      <c r="A1566" t="str">
        <f>"24/11/2015"</f>
        <v>24/11/2015</v>
      </c>
      <c r="B1566" t="str">
        <f>"66.33"</f>
        <v>66.33</v>
      </c>
      <c r="C1566" t="str">
        <f>"66.73"</f>
        <v>66.73</v>
      </c>
    </row>
    <row r="1567" spans="1:3" x14ac:dyDescent="0.25">
      <c r="A1567" t="str">
        <f>"26/11/2015"</f>
        <v>26/11/2015</v>
      </c>
      <c r="B1567" t="str">
        <f>"66.57"</f>
        <v>66.57</v>
      </c>
      <c r="C1567" t="str">
        <f>"66.9325"</f>
        <v>66.9325</v>
      </c>
    </row>
    <row r="1568" spans="1:3" x14ac:dyDescent="0.25">
      <c r="A1568" t="str">
        <f>"27/11/2015"</f>
        <v>27/11/2015</v>
      </c>
      <c r="B1568" t="str">
        <f>"66.765"</f>
        <v>66.765</v>
      </c>
      <c r="C1568" t="str">
        <f>"67.1625"</f>
        <v>67.1625</v>
      </c>
    </row>
    <row r="1569" spans="1:3" x14ac:dyDescent="0.25">
      <c r="A1569" t="str">
        <f>"30/11/2015"</f>
        <v>30/11/2015</v>
      </c>
      <c r="B1569" t="str">
        <f>"66.67"</f>
        <v>66.67</v>
      </c>
      <c r="C1569" t="str">
        <f>"67.0525"</f>
        <v>67.0525</v>
      </c>
    </row>
    <row r="1570" spans="1:3" x14ac:dyDescent="0.25">
      <c r="A1570" t="str">
        <f>"01/12/2015"</f>
        <v>01/12/2015</v>
      </c>
      <c r="B1570" t="str">
        <f>"66.5025"</f>
        <v>66.5025</v>
      </c>
      <c r="C1570" t="str">
        <f>"66.875"</f>
        <v>66.875</v>
      </c>
    </row>
    <row r="1571" spans="1:3" x14ac:dyDescent="0.25">
      <c r="A1571" t="str">
        <f>"02/12/2015"</f>
        <v>02/12/2015</v>
      </c>
      <c r="B1571" t="str">
        <f>"66.61"</f>
        <v>66.61</v>
      </c>
      <c r="C1571" t="str">
        <f>"66.9725"</f>
        <v>66.9725</v>
      </c>
    </row>
    <row r="1572" spans="1:3" x14ac:dyDescent="0.25">
      <c r="A1572" t="str">
        <f>"03/12/2015"</f>
        <v>03/12/2015</v>
      </c>
      <c r="B1572" t="str">
        <f>"66.665"</f>
        <v>66.665</v>
      </c>
      <c r="C1572" t="str">
        <f>"67.0275"</f>
        <v>67.0275</v>
      </c>
    </row>
    <row r="1573" spans="1:3" x14ac:dyDescent="0.25">
      <c r="A1573" t="str">
        <f>"04/12/2015"</f>
        <v>04/12/2015</v>
      </c>
      <c r="B1573" t="str">
        <f>"66.695"</f>
        <v>66.695</v>
      </c>
      <c r="C1573" t="str">
        <f>"67.0525"</f>
        <v>67.0525</v>
      </c>
    </row>
    <row r="1574" spans="1:3" x14ac:dyDescent="0.25">
      <c r="A1574" t="str">
        <f>"07/12/2015"</f>
        <v>07/12/2015</v>
      </c>
      <c r="B1574" t="str">
        <f>"66.74"</f>
        <v>66.74</v>
      </c>
      <c r="C1574" t="str">
        <f>"67.1225"</f>
        <v>67.1225</v>
      </c>
    </row>
    <row r="1575" spans="1:3" x14ac:dyDescent="0.25">
      <c r="A1575" t="str">
        <f>"08/12/2015"</f>
        <v>08/12/2015</v>
      </c>
      <c r="B1575" t="str">
        <f>"66.845"</f>
        <v>66.845</v>
      </c>
      <c r="C1575" t="str">
        <f>"67.2125"</f>
        <v>67.2125</v>
      </c>
    </row>
    <row r="1576" spans="1:3" x14ac:dyDescent="0.25">
      <c r="A1576" t="str">
        <f>"09/12/2015"</f>
        <v>09/12/2015</v>
      </c>
      <c r="B1576" t="str">
        <f>"66.845"</f>
        <v>66.845</v>
      </c>
      <c r="C1576" t="str">
        <f>"67.205"</f>
        <v>67.205</v>
      </c>
    </row>
    <row r="1577" spans="1:3" x14ac:dyDescent="0.25">
      <c r="A1577" t="str">
        <f>"10/12/2015"</f>
        <v>10/12/2015</v>
      </c>
      <c r="B1577" t="str">
        <f>"66.725"</f>
        <v>66.725</v>
      </c>
      <c r="C1577" t="str">
        <f>"67.0825"</f>
        <v>67.0825</v>
      </c>
    </row>
    <row r="1578" spans="1:3" x14ac:dyDescent="0.25">
      <c r="A1578" t="str">
        <f>"11/12/2015"</f>
        <v>11/12/2015</v>
      </c>
      <c r="B1578" t="str">
        <f>"66.90"</f>
        <v>66.90</v>
      </c>
      <c r="C1578" t="str">
        <f>"67.26"</f>
        <v>67.26</v>
      </c>
    </row>
    <row r="1579" spans="1:3" x14ac:dyDescent="0.25">
      <c r="A1579" t="str">
        <f>"14/12/2015"</f>
        <v>14/12/2015</v>
      </c>
      <c r="B1579" t="str">
        <f>"67.1075"</f>
        <v>67.1075</v>
      </c>
      <c r="C1579" t="str">
        <f>"67.5075"</f>
        <v>67.5075</v>
      </c>
    </row>
    <row r="1580" spans="1:3" x14ac:dyDescent="0.25">
      <c r="A1580" t="str">
        <f>"15/12/2015"</f>
        <v>15/12/2015</v>
      </c>
      <c r="B1580" t="str">
        <f>"66.9375"</f>
        <v>66.9375</v>
      </c>
      <c r="C1580" t="str">
        <f>"67.3325"</f>
        <v>67.3325</v>
      </c>
    </row>
    <row r="1581" spans="1:3" x14ac:dyDescent="0.25">
      <c r="A1581" t="str">
        <f>"16/12/2015"</f>
        <v>16/12/2015</v>
      </c>
      <c r="B1581" t="str">
        <f>"66.7325"</f>
        <v>66.7325</v>
      </c>
      <c r="C1581" t="str">
        <f>"67.1125"</f>
        <v>67.1125</v>
      </c>
    </row>
    <row r="1582" spans="1:3" x14ac:dyDescent="0.25">
      <c r="A1582" t="str">
        <f>"17/12/2015"</f>
        <v>17/12/2015</v>
      </c>
      <c r="B1582" t="str">
        <f>"66.425"</f>
        <v>66.425</v>
      </c>
      <c r="C1582" t="str">
        <f>"66.57"</f>
        <v>66.57</v>
      </c>
    </row>
    <row r="1583" spans="1:3" x14ac:dyDescent="0.25">
      <c r="A1583" t="str">
        <f>"18/12/2015"</f>
        <v>18/12/2015</v>
      </c>
      <c r="B1583" t="str">
        <f>"66.4075"</f>
        <v>66.4075</v>
      </c>
      <c r="C1583" t="str">
        <f>"66.7625"</f>
        <v>66.7625</v>
      </c>
    </row>
    <row r="1584" spans="1:3" x14ac:dyDescent="0.25">
      <c r="A1584" t="str">
        <f>"21/12/2015"</f>
        <v>21/12/2015</v>
      </c>
      <c r="B1584" t="str">
        <f>"66.3575"</f>
        <v>66.3575</v>
      </c>
      <c r="C1584" t="str">
        <f>"66.7375"</f>
        <v>66.7375</v>
      </c>
    </row>
    <row r="1585" spans="1:3" x14ac:dyDescent="0.25">
      <c r="A1585" t="str">
        <f>"22/12/2015"</f>
        <v>22/12/2015</v>
      </c>
      <c r="B1585" t="str">
        <f>"66.335"</f>
        <v>66.335</v>
      </c>
      <c r="C1585" t="str">
        <f>"66.69"</f>
        <v>66.69</v>
      </c>
    </row>
    <row r="1586" spans="1:3" x14ac:dyDescent="0.25">
      <c r="A1586" t="str">
        <f>"23/12/2015"</f>
        <v>23/12/2015</v>
      </c>
      <c r="B1586" t="str">
        <f>"66.215"</f>
        <v>66.215</v>
      </c>
      <c r="C1586" t="str">
        <f>"66.5725"</f>
        <v>66.5725</v>
      </c>
    </row>
    <row r="1587" spans="1:3" x14ac:dyDescent="0.25">
      <c r="A1587" t="str">
        <f>"28/12/2015"</f>
        <v>28/12/2015</v>
      </c>
      <c r="B1587" t="str">
        <f>"66.2025"</f>
        <v>66.2025</v>
      </c>
      <c r="C1587" t="str">
        <f>"66.5525"</f>
        <v>66.5525</v>
      </c>
    </row>
    <row r="1588" spans="1:3" x14ac:dyDescent="0.25">
      <c r="A1588" t="str">
        <f>"29/12/2015"</f>
        <v>29/12/2015</v>
      </c>
      <c r="B1588" t="str">
        <f>"66.40"</f>
        <v>66.40</v>
      </c>
      <c r="C1588" t="str">
        <f>"66.725"</f>
        <v>66.725</v>
      </c>
    </row>
    <row r="1589" spans="1:3" x14ac:dyDescent="0.25">
      <c r="A1589" t="str">
        <f>"30/12/2015"</f>
        <v>30/12/2015</v>
      </c>
      <c r="B1589" t="str">
        <f>"66.39"</f>
        <v>66.39</v>
      </c>
      <c r="C1589" t="str">
        <f>"66.745"</f>
        <v>66.745</v>
      </c>
    </row>
    <row r="1590" spans="1:3" x14ac:dyDescent="0.25">
      <c r="A1590" t="str">
        <f>"31/12/2015"</f>
        <v>31/12/2015</v>
      </c>
      <c r="B1590" t="str">
        <f>"66.1575"</f>
        <v>66.1575</v>
      </c>
      <c r="C1590" t="str">
        <f>"66.5075"</f>
        <v>66.5075</v>
      </c>
    </row>
    <row r="1591" spans="1:3" x14ac:dyDescent="0.25">
      <c r="A1591" t="str">
        <f>"01/01/2016"</f>
        <v>01/01/2016</v>
      </c>
      <c r="B1591" t="str">
        <f>"66.145"</f>
        <v>66.145</v>
      </c>
      <c r="C1591" t="str">
        <f>"66.49"</f>
        <v>66.49</v>
      </c>
    </row>
    <row r="1592" spans="1:3" x14ac:dyDescent="0.25">
      <c r="A1592" t="str">
        <f>"04/01/2016"</f>
        <v>04/01/2016</v>
      </c>
      <c r="B1592" t="str">
        <f>"66.6225"</f>
        <v>66.6225</v>
      </c>
      <c r="C1592" t="str">
        <f>"66.995"</f>
        <v>66.995</v>
      </c>
    </row>
    <row r="1593" spans="1:3" x14ac:dyDescent="0.25">
      <c r="A1593" t="str">
        <f>"05/01/2016"</f>
        <v>05/01/2016</v>
      </c>
      <c r="B1593" t="str">
        <f>"66.60"</f>
        <v>66.60</v>
      </c>
      <c r="C1593" t="str">
        <f>"66.9625"</f>
        <v>66.9625</v>
      </c>
    </row>
    <row r="1594" spans="1:3" x14ac:dyDescent="0.25">
      <c r="A1594" t="str">
        <f>"06/01/2016"</f>
        <v>06/01/2016</v>
      </c>
      <c r="B1594" t="str">
        <f>"66.835"</f>
        <v>66.835</v>
      </c>
      <c r="C1594" t="str">
        <f>"67.1875"</f>
        <v>67.1875</v>
      </c>
    </row>
    <row r="1595" spans="1:3" x14ac:dyDescent="0.25">
      <c r="A1595" t="str">
        <f>"07/01/2016"</f>
        <v>07/01/2016</v>
      </c>
      <c r="B1595" t="str">
        <f>"66.9325"</f>
        <v>66.9325</v>
      </c>
      <c r="C1595" t="str">
        <f>"67.285"</f>
        <v>67.285</v>
      </c>
    </row>
    <row r="1596" spans="1:3" x14ac:dyDescent="0.25">
      <c r="A1596" t="str">
        <f>"08/01/2016"</f>
        <v>08/01/2016</v>
      </c>
      <c r="B1596" t="str">
        <f>"66.65"</f>
        <v>66.65</v>
      </c>
      <c r="C1596" t="str">
        <f>"67.0075"</f>
        <v>67.0075</v>
      </c>
    </row>
    <row r="1597" spans="1:3" x14ac:dyDescent="0.25">
      <c r="A1597" t="str">
        <f>"11/01/2016"</f>
        <v>11/01/2016</v>
      </c>
      <c r="B1597" t="str">
        <f>"66.81"</f>
        <v>66.81</v>
      </c>
      <c r="C1597" t="str">
        <f>"67.205"</f>
        <v>67.205</v>
      </c>
    </row>
    <row r="1598" spans="1:3" x14ac:dyDescent="0.25">
      <c r="A1598" t="str">
        <f>"12/01/2016"</f>
        <v>12/01/2016</v>
      </c>
      <c r="B1598" t="str">
        <f>"66.875"</f>
        <v>66.875</v>
      </c>
      <c r="C1598" t="str">
        <f>"67.255"</f>
        <v>67.255</v>
      </c>
    </row>
    <row r="1599" spans="1:3" x14ac:dyDescent="0.25">
      <c r="A1599" t="str">
        <f>"13/01/2016"</f>
        <v>13/01/2016</v>
      </c>
      <c r="B1599" t="str">
        <f>"66.8575"</f>
        <v>66.8575</v>
      </c>
      <c r="C1599" t="str">
        <f>"67.2375"</f>
        <v>67.2375</v>
      </c>
    </row>
    <row r="1600" spans="1:3" x14ac:dyDescent="0.25">
      <c r="A1600" t="str">
        <f>"14/01/2016"</f>
        <v>14/01/2016</v>
      </c>
      <c r="B1600" t="str">
        <f>"67.30"</f>
        <v>67.30</v>
      </c>
      <c r="C1600" t="str">
        <f>"67.6975"</f>
        <v>67.6975</v>
      </c>
    </row>
    <row r="1601" spans="1:3" x14ac:dyDescent="0.25">
      <c r="A1601" t="str">
        <f>"15/01/2016"</f>
        <v>15/01/2016</v>
      </c>
      <c r="B1601" t="str">
        <f>"67.61"</f>
        <v>67.61</v>
      </c>
      <c r="C1601" t="str">
        <f>"68.015"</f>
        <v>68.015</v>
      </c>
    </row>
    <row r="1602" spans="1:3" x14ac:dyDescent="0.25">
      <c r="A1602" t="str">
        <f>"18/01/2016"</f>
        <v>18/01/2016</v>
      </c>
      <c r="B1602" t="str">
        <f>"67.7025"</f>
        <v>67.7025</v>
      </c>
      <c r="C1602" t="str">
        <f>"68.0875"</f>
        <v>68.0875</v>
      </c>
    </row>
    <row r="1603" spans="1:3" x14ac:dyDescent="0.25">
      <c r="A1603" t="str">
        <f>"19/01/2016"</f>
        <v>19/01/2016</v>
      </c>
      <c r="B1603" t="str">
        <f>"67.65"</f>
        <v>67.65</v>
      </c>
      <c r="C1603" t="str">
        <f>"68.0325"</f>
        <v>68.0325</v>
      </c>
    </row>
    <row r="1604" spans="1:3" x14ac:dyDescent="0.25">
      <c r="A1604" t="str">
        <f>"20/01/2016"</f>
        <v>20/01/2016</v>
      </c>
      <c r="B1604" t="str">
        <f>"67.9725"</f>
        <v>67.9725</v>
      </c>
      <c r="C1604" t="str">
        <f>"68.3375"</f>
        <v>68.3375</v>
      </c>
    </row>
    <row r="1605" spans="1:3" x14ac:dyDescent="0.25">
      <c r="A1605" t="str">
        <f>"21/01/2016"</f>
        <v>21/01/2016</v>
      </c>
      <c r="B1605" t="str">
        <f>"68.03"</f>
        <v>68.03</v>
      </c>
      <c r="C1605" t="str">
        <f>"68.40"</f>
        <v>68.40</v>
      </c>
    </row>
    <row r="1606" spans="1:3" x14ac:dyDescent="0.25">
      <c r="A1606" t="str">
        <f>"22/01/2016"</f>
        <v>22/01/2016</v>
      </c>
      <c r="B1606" t="str">
        <f>"67.635"</f>
        <v>67.635</v>
      </c>
      <c r="C1606" t="str">
        <f>"68.0225"</f>
        <v>68.0225</v>
      </c>
    </row>
    <row r="1607" spans="1:3" x14ac:dyDescent="0.25">
      <c r="A1607" t="str">
        <f>"25/01/2016"</f>
        <v>25/01/2016</v>
      </c>
      <c r="B1607" t="str">
        <f>"67.84"</f>
        <v>67.84</v>
      </c>
      <c r="C1607" t="str">
        <f>"68.2175"</f>
        <v>68.2175</v>
      </c>
    </row>
    <row r="1608" spans="1:3" x14ac:dyDescent="0.25">
      <c r="A1608" t="str">
        <f>"27/01/2016"</f>
        <v>27/01/2016</v>
      </c>
      <c r="B1608" t="str">
        <f>"68.055"</f>
        <v>68.055</v>
      </c>
      <c r="C1608" t="str">
        <f>"68.415"</f>
        <v>68.415</v>
      </c>
    </row>
    <row r="1609" spans="1:3" x14ac:dyDescent="0.25">
      <c r="A1609" t="str">
        <f>"28/01/2016"</f>
        <v>28/01/2016</v>
      </c>
      <c r="B1609" t="str">
        <f>"68.23"</f>
        <v>68.23</v>
      </c>
      <c r="C1609" t="str">
        <f>"68.5675"</f>
        <v>68.5675</v>
      </c>
    </row>
    <row r="1610" spans="1:3" x14ac:dyDescent="0.25">
      <c r="A1610" t="str">
        <f>"29/01/2016"</f>
        <v>29/01/2016</v>
      </c>
      <c r="B1610" t="str">
        <f>"67.795"</f>
        <v>67.795</v>
      </c>
      <c r="C1610" t="str">
        <f>"68.1325"</f>
        <v>68.1325</v>
      </c>
    </row>
    <row r="1611" spans="1:3" x14ac:dyDescent="0.25">
      <c r="A1611" t="str">
        <f>"01/02/2016"</f>
        <v>01/02/2016</v>
      </c>
      <c r="B1611" t="str">
        <f>"67.845"</f>
        <v>67.845</v>
      </c>
      <c r="C1611" t="str">
        <f>"68.185"</f>
        <v>68.185</v>
      </c>
    </row>
    <row r="1612" spans="1:3" x14ac:dyDescent="0.25">
      <c r="A1612" t="str">
        <f>"02/02/2016"</f>
        <v>02/02/2016</v>
      </c>
      <c r="B1612" t="str">
        <f>"67.985"</f>
        <v>67.985</v>
      </c>
      <c r="C1612" t="str">
        <f>"68.335"</f>
        <v>68.335</v>
      </c>
    </row>
    <row r="1613" spans="1:3" x14ac:dyDescent="0.25">
      <c r="A1613" t="str">
        <f>"03/02/2016"</f>
        <v>03/02/2016</v>
      </c>
      <c r="B1613" t="str">
        <f>"68.0775"</f>
        <v>68.0775</v>
      </c>
      <c r="C1613" t="str">
        <f>"68.4625"</f>
        <v>68.4625</v>
      </c>
    </row>
    <row r="1614" spans="1:3" x14ac:dyDescent="0.25">
      <c r="A1614" t="str">
        <f>"04/02/2016"</f>
        <v>04/02/2016</v>
      </c>
      <c r="B1614" t="str">
        <f>"67.5725"</f>
        <v>67.5725</v>
      </c>
      <c r="C1614" t="str">
        <f>"67.9175"</f>
        <v>67.9175</v>
      </c>
    </row>
    <row r="1615" spans="1:3" x14ac:dyDescent="0.25">
      <c r="A1615" t="str">
        <f>"05/02/2016"</f>
        <v>05/02/2016</v>
      </c>
      <c r="B1615" t="str">
        <f>"67.625"</f>
        <v>67.625</v>
      </c>
      <c r="C1615" t="str">
        <f>"67.975"</f>
        <v>67.975</v>
      </c>
    </row>
    <row r="1616" spans="1:3" x14ac:dyDescent="0.25">
      <c r="A1616" t="str">
        <f>"08/02/2016"</f>
        <v>08/02/2016</v>
      </c>
      <c r="B1616" t="str">
        <f>"67.945"</f>
        <v>67.945</v>
      </c>
      <c r="C1616" t="str">
        <f>"68.3025"</f>
        <v>68.3025</v>
      </c>
    </row>
    <row r="1617" spans="1:3" x14ac:dyDescent="0.25">
      <c r="A1617" t="str">
        <f>"09/02/2016"</f>
        <v>09/02/2016</v>
      </c>
      <c r="B1617" t="str">
        <f>"67.9025"</f>
        <v>67.9025</v>
      </c>
      <c r="C1617" t="str">
        <f>"68.265"</f>
        <v>68.265</v>
      </c>
    </row>
    <row r="1618" spans="1:3" x14ac:dyDescent="0.25">
      <c r="A1618" t="str">
        <f>"10/02/2016"</f>
        <v>10/02/2016</v>
      </c>
      <c r="B1618" t="str">
        <f>"67.86"</f>
        <v>67.86</v>
      </c>
      <c r="C1618" t="str">
        <f>"68.2425"</f>
        <v>68.2425</v>
      </c>
    </row>
    <row r="1619" spans="1:3" x14ac:dyDescent="0.25">
      <c r="A1619" t="str">
        <f>"11/02/2016"</f>
        <v>11/02/2016</v>
      </c>
      <c r="B1619" t="str">
        <f>"68.305"</f>
        <v>68.305</v>
      </c>
      <c r="C1619" t="str">
        <f>"68.6675"</f>
        <v>68.6675</v>
      </c>
    </row>
    <row r="1620" spans="1:3" x14ac:dyDescent="0.25">
      <c r="A1620" t="str">
        <f>"12/02/2016"</f>
        <v>12/02/2016</v>
      </c>
      <c r="B1620" t="str">
        <f>"68.2775"</f>
        <v>68.2775</v>
      </c>
      <c r="C1620" t="str">
        <f>"68.6525"</f>
        <v>68.6525</v>
      </c>
    </row>
    <row r="1621" spans="1:3" x14ac:dyDescent="0.25">
      <c r="A1621" t="str">
        <f>"15/02/2016"</f>
        <v>15/02/2016</v>
      </c>
      <c r="B1621" t="str">
        <f>"68.08"</f>
        <v>68.08</v>
      </c>
      <c r="C1621" t="str">
        <f>"68.445"</f>
        <v>68.445</v>
      </c>
    </row>
    <row r="1622" spans="1:3" x14ac:dyDescent="0.25">
      <c r="A1622" t="str">
        <f>"16/02/2016"</f>
        <v>16/02/2016</v>
      </c>
      <c r="B1622" t="str">
        <f>"68.3875"</f>
        <v>68.3875</v>
      </c>
      <c r="C1622" t="str">
        <f>"68.76"</f>
        <v>68.76</v>
      </c>
    </row>
    <row r="1623" spans="1:3" x14ac:dyDescent="0.25">
      <c r="A1623" t="str">
        <f>"17/02/2016"</f>
        <v>17/02/2016</v>
      </c>
      <c r="B1623" t="str">
        <f>"68.4725"</f>
        <v>68.4725</v>
      </c>
      <c r="C1623" t="str">
        <f>"68.845"</f>
        <v>68.845</v>
      </c>
    </row>
    <row r="1624" spans="1:3" x14ac:dyDescent="0.25">
      <c r="A1624" t="str">
        <f>"18/02/2016"</f>
        <v>18/02/2016</v>
      </c>
      <c r="B1624" t="str">
        <f>"68.4725"</f>
        <v>68.4725</v>
      </c>
      <c r="C1624" t="str">
        <f>"68.8425"</f>
        <v>68.8425</v>
      </c>
    </row>
    <row r="1625" spans="1:3" x14ac:dyDescent="0.25">
      <c r="A1625" t="str">
        <f>"22/02/2016"</f>
        <v>22/02/2016</v>
      </c>
      <c r="B1625" t="str">
        <f>"68.61"</f>
        <v>68.61</v>
      </c>
      <c r="C1625" t="str">
        <f>"69.045"</f>
        <v>69.045</v>
      </c>
    </row>
    <row r="1626" spans="1:3" x14ac:dyDescent="0.25">
      <c r="A1626" t="str">
        <f>"23/02/2016"</f>
        <v>23/02/2016</v>
      </c>
      <c r="B1626" t="str">
        <f>"68.59"</f>
        <v>68.59</v>
      </c>
      <c r="C1626" t="str">
        <f>"69.0175"</f>
        <v>69.0175</v>
      </c>
    </row>
    <row r="1627" spans="1:3" x14ac:dyDescent="0.25">
      <c r="A1627" t="str">
        <f>"24/02/2016"</f>
        <v>24/02/2016</v>
      </c>
      <c r="B1627" t="str">
        <f>"68.5625"</f>
        <v>68.5625</v>
      </c>
      <c r="C1627" t="str">
        <f>"68.9725"</f>
        <v>68.9725</v>
      </c>
    </row>
    <row r="1628" spans="1:3" x14ac:dyDescent="0.25">
      <c r="A1628" t="str">
        <f>"25/02/2016"</f>
        <v>25/02/2016</v>
      </c>
      <c r="B1628" t="str">
        <f>"68.545"</f>
        <v>68.545</v>
      </c>
      <c r="C1628" t="str">
        <f>"68.965"</f>
        <v>68.965</v>
      </c>
    </row>
    <row r="1629" spans="1:3" x14ac:dyDescent="0.25">
      <c r="A1629" t="str">
        <f>"26/02/2016"</f>
        <v>26/02/2016</v>
      </c>
      <c r="B1629" t="str">
        <f>"68.7475"</f>
        <v>68.7475</v>
      </c>
      <c r="C1629" t="str">
        <f>"69.235"</f>
        <v>69.235</v>
      </c>
    </row>
    <row r="1630" spans="1:3" x14ac:dyDescent="0.25">
      <c r="A1630" t="str">
        <f>"29/02/2016"</f>
        <v>29/02/2016</v>
      </c>
      <c r="B1630" t="str">
        <f>"68.4275"</f>
        <v>68.4275</v>
      </c>
      <c r="C1630" t="str">
        <f>"68.885"</f>
        <v>68.885</v>
      </c>
    </row>
    <row r="1631" spans="1:3" x14ac:dyDescent="0.25">
      <c r="A1631" t="str">
        <f>"01/03/2016"</f>
        <v>01/03/2016</v>
      </c>
      <c r="B1631" t="str">
        <f>"67.87"</f>
        <v>67.87</v>
      </c>
      <c r="C1631" t="str">
        <f>"68.31"</f>
        <v>68.31</v>
      </c>
    </row>
    <row r="1632" spans="1:3" x14ac:dyDescent="0.25">
      <c r="A1632" t="str">
        <f>"02/03/2016"</f>
        <v>02/03/2016</v>
      </c>
      <c r="B1632" t="str">
        <f>"67.55"</f>
        <v>67.55</v>
      </c>
      <c r="C1632" t="str">
        <f>"67.9825"</f>
        <v>67.9825</v>
      </c>
    </row>
    <row r="1633" spans="1:3" x14ac:dyDescent="0.25">
      <c r="A1633" t="str">
        <f>"03/03/2016"</f>
        <v>03/03/2016</v>
      </c>
      <c r="B1633" t="str">
        <f>"67.3425"</f>
        <v>67.3425</v>
      </c>
      <c r="C1633" t="str">
        <f>"67.8275"</f>
        <v>67.8275</v>
      </c>
    </row>
    <row r="1634" spans="1:3" x14ac:dyDescent="0.25">
      <c r="A1634" t="str">
        <f>"04/03/2016"</f>
        <v>04/03/2016</v>
      </c>
      <c r="B1634" t="str">
        <f>"67.10"</f>
        <v>67.10</v>
      </c>
      <c r="C1634" t="str">
        <f>"67.585"</f>
        <v>67.585</v>
      </c>
    </row>
    <row r="1635" spans="1:3" x14ac:dyDescent="0.25">
      <c r="A1635" t="str">
        <f>"08/03/2016"</f>
        <v>08/03/2016</v>
      </c>
      <c r="B1635" t="str">
        <f>"67.305"</f>
        <v>67.305</v>
      </c>
      <c r="C1635" t="str">
        <f>"67.78"</f>
        <v>67.78</v>
      </c>
    </row>
    <row r="1636" spans="1:3" x14ac:dyDescent="0.25">
      <c r="A1636" t="str">
        <f>"09/03/2016"</f>
        <v>09/03/2016</v>
      </c>
      <c r="B1636" t="str">
        <f>"67.22"</f>
        <v>67.22</v>
      </c>
      <c r="C1636" t="str">
        <f>"67.7075"</f>
        <v>67.7075</v>
      </c>
    </row>
    <row r="1637" spans="1:3" x14ac:dyDescent="0.25">
      <c r="A1637" t="str">
        <f>"10/03/2016"</f>
        <v>10/03/2016</v>
      </c>
      <c r="B1637" t="str">
        <f>"67.07"</f>
        <v>67.07</v>
      </c>
      <c r="C1637" t="str">
        <f>"67.6175"</f>
        <v>67.6175</v>
      </c>
    </row>
    <row r="1638" spans="1:3" x14ac:dyDescent="0.25">
      <c r="A1638" t="str">
        <f>"11/03/2016"</f>
        <v>11/03/2016</v>
      </c>
      <c r="B1638" t="str">
        <f>"67.0575"</f>
        <v>67.0575</v>
      </c>
      <c r="C1638" t="str">
        <f>"67.5925"</f>
        <v>67.5925</v>
      </c>
    </row>
    <row r="1639" spans="1:3" x14ac:dyDescent="0.25">
      <c r="A1639" t="str">
        <f>"14/03/2016"</f>
        <v>14/03/2016</v>
      </c>
      <c r="B1639" t="str">
        <f>"67.11"</f>
        <v>67.11</v>
      </c>
      <c r="C1639" t="str">
        <f>"67.6375"</f>
        <v>67.6375</v>
      </c>
    </row>
    <row r="1640" spans="1:3" x14ac:dyDescent="0.25">
      <c r="A1640" t="str">
        <f>"15/03/2016"</f>
        <v>15/03/2016</v>
      </c>
      <c r="B1640" t="str">
        <f>"67.39"</f>
        <v>67.39</v>
      </c>
      <c r="C1640" t="str">
        <f>"67.9025"</f>
        <v>67.9025</v>
      </c>
    </row>
    <row r="1641" spans="1:3" x14ac:dyDescent="0.25">
      <c r="A1641" t="str">
        <f>"16/03/2016"</f>
        <v>16/03/2016</v>
      </c>
      <c r="B1641" t="str">
        <f>"67.24"</f>
        <v>67.24</v>
      </c>
      <c r="C1641" t="str">
        <f>"67.7325"</f>
        <v>67.7325</v>
      </c>
    </row>
    <row r="1642" spans="1:3" x14ac:dyDescent="0.25">
      <c r="A1642" t="str">
        <f>"17/03/2016"</f>
        <v>17/03/2016</v>
      </c>
      <c r="B1642" t="str">
        <f>"66.75"</f>
        <v>66.75</v>
      </c>
      <c r="C1642" t="str">
        <f>"67.24"</f>
        <v>67.24</v>
      </c>
    </row>
    <row r="1643" spans="1:3" x14ac:dyDescent="0.25">
      <c r="A1643" t="str">
        <f>"18/03/2016"</f>
        <v>18/03/2016</v>
      </c>
      <c r="B1643" t="str">
        <f>"66.5225"</f>
        <v>66.5225</v>
      </c>
      <c r="C1643" t="str">
        <f>"67.0225"</f>
        <v>67.0225</v>
      </c>
    </row>
    <row r="1644" spans="1:3" x14ac:dyDescent="0.25">
      <c r="A1644" t="str">
        <f>"21/03/2016"</f>
        <v>21/03/2016</v>
      </c>
      <c r="B1644" t="str">
        <f>"66.54"</f>
        <v>66.54</v>
      </c>
      <c r="C1644" t="str">
        <f>"67.0625"</f>
        <v>67.0625</v>
      </c>
    </row>
    <row r="1645" spans="1:3" x14ac:dyDescent="0.25">
      <c r="A1645" t="str">
        <f>"22/03/2016"</f>
        <v>22/03/2016</v>
      </c>
      <c r="B1645" t="str">
        <f>"66.7225"</f>
        <v>66.7225</v>
      </c>
      <c r="C1645" t="str">
        <f>"67.2475"</f>
        <v>67.2475</v>
      </c>
    </row>
    <row r="1646" spans="1:3" x14ac:dyDescent="0.25">
      <c r="A1646" t="str">
        <f>"23/03/2016"</f>
        <v>23/03/2016</v>
      </c>
      <c r="B1646" t="str">
        <f>"66.64"</f>
        <v>66.64</v>
      </c>
      <c r="C1646" t="str">
        <f>"67.185"</f>
        <v>67.185</v>
      </c>
    </row>
    <row r="1647" spans="1:3" x14ac:dyDescent="0.25">
      <c r="A1647" t="str">
        <f>"28/03/2016"</f>
        <v>28/03/2016</v>
      </c>
      <c r="B1647" t="str">
        <f>"66.575"</f>
        <v>66.575</v>
      </c>
      <c r="C1647" t="str">
        <f>"67.125"</f>
        <v>67.125</v>
      </c>
    </row>
    <row r="1648" spans="1:3" x14ac:dyDescent="0.25">
      <c r="A1648" t="str">
        <f>"29/03/2016"</f>
        <v>29/03/2016</v>
      </c>
      <c r="B1648" t="str">
        <f>"66.5425"</f>
        <v>66.5425</v>
      </c>
      <c r="C1648" t="str">
        <f>"67.1025"</f>
        <v>67.1025</v>
      </c>
    </row>
    <row r="1649" spans="1:3" x14ac:dyDescent="0.25">
      <c r="A1649" t="str">
        <f>"30/03/2016"</f>
        <v>30/03/2016</v>
      </c>
      <c r="B1649" t="str">
        <f>"66.39"</f>
        <v>66.39</v>
      </c>
      <c r="C1649" t="str">
        <f>"66.7775"</f>
        <v>66.7775</v>
      </c>
    </row>
    <row r="1650" spans="1:3" x14ac:dyDescent="0.25">
      <c r="A1650" t="str">
        <f>"31/03/2016"</f>
        <v>31/03/2016</v>
      </c>
      <c r="B1650" t="str">
        <f>"66.2525"</f>
        <v>66.2525</v>
      </c>
      <c r="C1650" t="str">
        <f>"66.6375"</f>
        <v>66.6375</v>
      </c>
    </row>
    <row r="1651" spans="1:3" x14ac:dyDescent="0.25">
      <c r="A1651" t="str">
        <f>"04/04/2016"</f>
        <v>04/04/2016</v>
      </c>
      <c r="B1651" t="str">
        <f>"66.21"</f>
        <v>66.21</v>
      </c>
      <c r="C1651" t="str">
        <f>"66.585"</f>
        <v>66.585</v>
      </c>
    </row>
    <row r="1652" spans="1:3" x14ac:dyDescent="0.25">
      <c r="A1652" t="str">
        <f>"05/04/2016"</f>
        <v>05/04/2016</v>
      </c>
      <c r="B1652" t="str">
        <f>"66.4675"</f>
        <v>66.4675</v>
      </c>
      <c r="C1652" t="str">
        <f>"66.895"</f>
        <v>66.895</v>
      </c>
    </row>
    <row r="1653" spans="1:3" x14ac:dyDescent="0.25">
      <c r="A1653" t="str">
        <f>"06/04/2016"</f>
        <v>06/04/2016</v>
      </c>
      <c r="B1653" t="str">
        <f>"66.665"</f>
        <v>66.665</v>
      </c>
      <c r="C1653" t="str">
        <f>"67.0375"</f>
        <v>67.0375</v>
      </c>
    </row>
    <row r="1654" spans="1:3" x14ac:dyDescent="0.25">
      <c r="A1654" t="str">
        <f>"07/04/2016"</f>
        <v>07/04/2016</v>
      </c>
      <c r="B1654" t="str">
        <f>"66.47"</f>
        <v>66.47</v>
      </c>
      <c r="C1654" t="str">
        <f>"66.8475"</f>
        <v>66.8475</v>
      </c>
    </row>
    <row r="1655" spans="1:3" x14ac:dyDescent="0.25">
      <c r="A1655" t="str">
        <f>"11/04/2016"</f>
        <v>11/04/2016</v>
      </c>
      <c r="B1655" t="str">
        <f>"66.435"</f>
        <v>66.435</v>
      </c>
      <c r="C1655" t="str">
        <f>"66.8225"</f>
        <v>66.8225</v>
      </c>
    </row>
    <row r="1656" spans="1:3" x14ac:dyDescent="0.25">
      <c r="A1656" t="str">
        <f>"12/04/2016"</f>
        <v>12/04/2016</v>
      </c>
      <c r="B1656" t="str">
        <f>"66.43"</f>
        <v>66.43</v>
      </c>
      <c r="C1656" t="str">
        <f>"66.82"</f>
        <v>66.82</v>
      </c>
    </row>
    <row r="1657" spans="1:3" x14ac:dyDescent="0.25">
      <c r="A1657" t="str">
        <f>"13/04/2016"</f>
        <v>13/04/2016</v>
      </c>
      <c r="B1657" t="str">
        <f>"66.385"</f>
        <v>66.385</v>
      </c>
      <c r="C1657" t="str">
        <f>"66.7725"</f>
        <v>66.7725</v>
      </c>
    </row>
    <row r="1658" spans="1:3" x14ac:dyDescent="0.25">
      <c r="A1658" t="str">
        <f>"18/04/2016"</f>
        <v>18/04/2016</v>
      </c>
      <c r="B1658" t="str">
        <f>"66.5575"</f>
        <v>66.5575</v>
      </c>
      <c r="C1658" t="str">
        <f>"66.975"</f>
        <v>66.975</v>
      </c>
    </row>
    <row r="1659" spans="1:3" x14ac:dyDescent="0.25">
      <c r="A1659" t="str">
        <f>"20/04/2016"</f>
        <v>20/04/2016</v>
      </c>
      <c r="B1659" t="str">
        <f>"66.225"</f>
        <v>66.225</v>
      </c>
      <c r="C1659" t="str">
        <f>"66.645"</f>
        <v>66.645</v>
      </c>
    </row>
    <row r="1660" spans="1:3" x14ac:dyDescent="0.25">
      <c r="A1660" t="str">
        <f>"21/04/2016"</f>
        <v>21/04/2016</v>
      </c>
      <c r="B1660" t="str">
        <f>"66.40"</f>
        <v>66.40</v>
      </c>
      <c r="C1660" t="str">
        <f>"66.815"</f>
        <v>66.815</v>
      </c>
    </row>
    <row r="1661" spans="1:3" x14ac:dyDescent="0.25">
      <c r="A1661" t="str">
        <f>"22/04/2016"</f>
        <v>22/04/2016</v>
      </c>
      <c r="B1661" t="str">
        <f>"66.4875"</f>
        <v>66.4875</v>
      </c>
      <c r="C1661" t="str">
        <f>"66.895"</f>
        <v>66.895</v>
      </c>
    </row>
    <row r="1662" spans="1:3" x14ac:dyDescent="0.25">
      <c r="A1662" t="str">
        <f>"25/04/2016"</f>
        <v>25/04/2016</v>
      </c>
      <c r="B1662" t="str">
        <f>"66.6225"</f>
        <v>66.6225</v>
      </c>
      <c r="C1662" t="str">
        <f>"67.02"</f>
        <v>67.02</v>
      </c>
    </row>
    <row r="1663" spans="1:3" x14ac:dyDescent="0.25">
      <c r="A1663" t="str">
        <f>"26/04/2016"</f>
        <v>26/04/2016</v>
      </c>
      <c r="B1663" t="str">
        <f>"66.5275"</f>
        <v>66.5275</v>
      </c>
      <c r="C1663" t="str">
        <f>"66.9675"</f>
        <v>66.9675</v>
      </c>
    </row>
    <row r="1664" spans="1:3" x14ac:dyDescent="0.25">
      <c r="A1664" t="str">
        <f>"27/04/2016"</f>
        <v>27/04/2016</v>
      </c>
      <c r="B1664" t="str">
        <f>"66.4575"</f>
        <v>66.4575</v>
      </c>
      <c r="C1664" t="str">
        <f>"66.8775"</f>
        <v>66.8775</v>
      </c>
    </row>
    <row r="1665" spans="1:3" x14ac:dyDescent="0.25">
      <c r="A1665" t="str">
        <f>"28/04/2016"</f>
        <v>28/04/2016</v>
      </c>
      <c r="B1665" t="str">
        <f>"66.525"</f>
        <v>66.525</v>
      </c>
      <c r="C1665" t="str">
        <f>"66.93"</f>
        <v>66.93</v>
      </c>
    </row>
    <row r="1666" spans="1:3" x14ac:dyDescent="0.25">
      <c r="A1666" t="str">
        <f>"29/04/2016"</f>
        <v>29/04/2016</v>
      </c>
      <c r="B1666" t="str">
        <f>"66.335"</f>
        <v>66.335</v>
      </c>
      <c r="C1666" t="str">
        <f>"66.74"</f>
        <v>66.74</v>
      </c>
    </row>
    <row r="1667" spans="1:3" x14ac:dyDescent="0.25">
      <c r="A1667" t="str">
        <f>"02/05/2016"</f>
        <v>02/05/2016</v>
      </c>
      <c r="B1667" t="str">
        <f>"66.4575"</f>
        <v>66.4575</v>
      </c>
      <c r="C1667" t="str">
        <f>"66.885"</f>
        <v>66.885</v>
      </c>
    </row>
    <row r="1668" spans="1:3" x14ac:dyDescent="0.25">
      <c r="A1668" t="str">
        <f>"03/05/2016"</f>
        <v>03/05/2016</v>
      </c>
      <c r="B1668" t="str">
        <f>"66.335"</f>
        <v>66.335</v>
      </c>
      <c r="C1668" t="str">
        <f>"66.7525"</f>
        <v>66.7525</v>
      </c>
    </row>
    <row r="1669" spans="1:3" x14ac:dyDescent="0.25">
      <c r="A1669" t="str">
        <f>"04/05/2016"</f>
        <v>04/05/2016</v>
      </c>
      <c r="B1669" t="str">
        <f>"66.56"</f>
        <v>66.56</v>
      </c>
      <c r="C1669" t="str">
        <f>"66.96"</f>
        <v>66.96</v>
      </c>
    </row>
    <row r="1670" spans="1:3" x14ac:dyDescent="0.25">
      <c r="A1670" t="str">
        <f>"05/05/2016"</f>
        <v>05/05/2016</v>
      </c>
      <c r="B1670" t="str">
        <f>"66.56"</f>
        <v>66.56</v>
      </c>
      <c r="C1670" t="str">
        <f>"66.9575"</f>
        <v>66.9575</v>
      </c>
    </row>
    <row r="1671" spans="1:3" x14ac:dyDescent="0.25">
      <c r="A1671" t="str">
        <f>"06/05/2016"</f>
        <v>06/05/2016</v>
      </c>
      <c r="B1671" t="str">
        <f>"66.5575"</f>
        <v>66.5575</v>
      </c>
      <c r="C1671" t="str">
        <f>"66.945"</f>
        <v>66.945</v>
      </c>
    </row>
    <row r="1672" spans="1:3" x14ac:dyDescent="0.25">
      <c r="A1672" t="str">
        <f>"09/05/2016"</f>
        <v>09/05/2016</v>
      </c>
      <c r="B1672" t="str">
        <f>"66.585"</f>
        <v>66.585</v>
      </c>
      <c r="C1672" t="str">
        <f>"66.995"</f>
        <v>66.995</v>
      </c>
    </row>
    <row r="1673" spans="1:3" x14ac:dyDescent="0.25">
      <c r="A1673" t="str">
        <f>"10/05/2016"</f>
        <v>10/05/2016</v>
      </c>
      <c r="B1673" t="str">
        <f>"66.68"</f>
        <v>66.68</v>
      </c>
      <c r="C1673" t="str">
        <f>"67.075"</f>
        <v>67.075</v>
      </c>
    </row>
    <row r="1674" spans="1:3" x14ac:dyDescent="0.25">
      <c r="A1674" t="str">
        <f>"11/05/2016"</f>
        <v>11/05/2016</v>
      </c>
      <c r="B1674" t="str">
        <f>"66.57"</f>
        <v>66.57</v>
      </c>
      <c r="C1674" t="str">
        <f>"66.955"</f>
        <v>66.955</v>
      </c>
    </row>
    <row r="1675" spans="1:3" x14ac:dyDescent="0.25">
      <c r="A1675" t="str">
        <f>"12/05/2016"</f>
        <v>12/05/2016</v>
      </c>
      <c r="B1675" t="str">
        <f>"66.63"</f>
        <v>66.63</v>
      </c>
      <c r="C1675" t="str">
        <f>"67.015"</f>
        <v>67.015</v>
      </c>
    </row>
    <row r="1676" spans="1:3" x14ac:dyDescent="0.25">
      <c r="A1676" t="str">
        <f>"13/05/2016"</f>
        <v>13/05/2016</v>
      </c>
      <c r="B1676" t="str">
        <f>"66.78"</f>
        <v>66.78</v>
      </c>
      <c r="C1676" t="str">
        <f>"67.1625"</f>
        <v>67.1625</v>
      </c>
    </row>
    <row r="1677" spans="1:3" x14ac:dyDescent="0.25">
      <c r="A1677" t="str">
        <f>"16/05/2016"</f>
        <v>16/05/2016</v>
      </c>
      <c r="B1677" t="str">
        <f>"66.81"</f>
        <v>66.81</v>
      </c>
      <c r="C1677" t="str">
        <f>"67.2125"</f>
        <v>67.2125</v>
      </c>
    </row>
    <row r="1678" spans="1:3" x14ac:dyDescent="0.25">
      <c r="A1678" t="str">
        <f>"17/05/2016"</f>
        <v>17/05/2016</v>
      </c>
      <c r="B1678" t="str">
        <f>"66.88"</f>
        <v>66.88</v>
      </c>
      <c r="C1678" t="str">
        <f>"67.27"</f>
        <v>67.27</v>
      </c>
    </row>
    <row r="1679" spans="1:3" x14ac:dyDescent="0.25">
      <c r="A1679" t="str">
        <f>"18/05/2016"</f>
        <v>18/05/2016</v>
      </c>
      <c r="B1679" t="str">
        <f>"66.99"</f>
        <v>66.99</v>
      </c>
      <c r="C1679" t="str">
        <f>"67.3675"</f>
        <v>67.3675</v>
      </c>
    </row>
    <row r="1680" spans="1:3" x14ac:dyDescent="0.25">
      <c r="A1680" t="str">
        <f>"19/05/2016"</f>
        <v>19/05/2016</v>
      </c>
      <c r="B1680" t="str">
        <f>"67.34"</f>
        <v>67.34</v>
      </c>
      <c r="C1680" t="str">
        <f>"67.7175"</f>
        <v>67.7175</v>
      </c>
    </row>
    <row r="1681" spans="1:3" x14ac:dyDescent="0.25">
      <c r="A1681" t="str">
        <f>"20/05/2016"</f>
        <v>20/05/2016</v>
      </c>
      <c r="B1681" t="str">
        <f>"67.455"</f>
        <v>67.455</v>
      </c>
      <c r="C1681" t="str">
        <f>"67.835"</f>
        <v>67.835</v>
      </c>
    </row>
    <row r="1682" spans="1:3" x14ac:dyDescent="0.25">
      <c r="A1682" t="str">
        <f>"23/05/2016"</f>
        <v>23/05/2016</v>
      </c>
      <c r="B1682" t="str">
        <f>"67.50"</f>
        <v>67.50</v>
      </c>
      <c r="C1682" t="str">
        <f>"67.90"</f>
        <v>67.90</v>
      </c>
    </row>
    <row r="1683" spans="1:3" x14ac:dyDescent="0.25">
      <c r="A1683" t="str">
        <f>"24/05/2016"</f>
        <v>24/05/2016</v>
      </c>
      <c r="B1683" t="str">
        <f>"67.70"</f>
        <v>67.70</v>
      </c>
      <c r="C1683" t="str">
        <f>"68.085"</f>
        <v>68.085</v>
      </c>
    </row>
    <row r="1684" spans="1:3" x14ac:dyDescent="0.25">
      <c r="A1684" t="str">
        <f>"25/05/2016"</f>
        <v>25/05/2016</v>
      </c>
      <c r="B1684" t="str">
        <f>"67.34"</f>
        <v>67.34</v>
      </c>
      <c r="C1684" t="str">
        <f>"67.72"</f>
        <v>67.72</v>
      </c>
    </row>
    <row r="1685" spans="1:3" x14ac:dyDescent="0.25">
      <c r="A1685" t="str">
        <f>"26/05/2016"</f>
        <v>26/05/2016</v>
      </c>
      <c r="B1685" t="str">
        <f>"67.1825"</f>
        <v>67.1825</v>
      </c>
      <c r="C1685" t="str">
        <f>"67.5425"</f>
        <v>67.5425</v>
      </c>
    </row>
    <row r="1686" spans="1:3" x14ac:dyDescent="0.25">
      <c r="A1686" t="str">
        <f>"27/05/2016"</f>
        <v>27/05/2016</v>
      </c>
      <c r="B1686" t="str">
        <f>"67.04"</f>
        <v>67.04</v>
      </c>
      <c r="C1686" t="str">
        <f>"67.46"</f>
        <v>67.46</v>
      </c>
    </row>
    <row r="1687" spans="1:3" x14ac:dyDescent="0.25">
      <c r="A1687" t="str">
        <f>"30/05/2016"</f>
        <v>30/05/2016</v>
      </c>
      <c r="B1687" t="str">
        <f>"67.1725"</f>
        <v>67.1725</v>
      </c>
      <c r="C1687" t="str">
        <f>"67.7475"</f>
        <v>67.7475</v>
      </c>
    </row>
    <row r="1688" spans="1:3" x14ac:dyDescent="0.25">
      <c r="A1688" t="str">
        <f>"31/05/2016"</f>
        <v>31/05/2016</v>
      </c>
      <c r="B1688" t="str">
        <f>"67.265"</f>
        <v>67.265</v>
      </c>
      <c r="C1688" t="str">
        <f>"67.655"</f>
        <v>67.655</v>
      </c>
    </row>
    <row r="1689" spans="1:3" x14ac:dyDescent="0.25">
      <c r="A1689" t="str">
        <f>"01/06/2016"</f>
        <v>01/06/2016</v>
      </c>
      <c r="B1689" t="str">
        <f>"67.4575"</f>
        <v>67.4575</v>
      </c>
      <c r="C1689" t="str">
        <f>"67.8375"</f>
        <v>67.8375</v>
      </c>
    </row>
    <row r="1690" spans="1:3" x14ac:dyDescent="0.25">
      <c r="A1690" t="str">
        <f>"02/06/2016"</f>
        <v>02/06/2016</v>
      </c>
      <c r="B1690" t="str">
        <f>"67.295"</f>
        <v>67.295</v>
      </c>
      <c r="C1690" t="str">
        <f>"67.665"</f>
        <v>67.665</v>
      </c>
    </row>
    <row r="1691" spans="1:3" x14ac:dyDescent="0.25">
      <c r="A1691" t="str">
        <f>"03/06/2016"</f>
        <v>03/06/2016</v>
      </c>
      <c r="B1691" t="str">
        <f>"67.265"</f>
        <v>67.265</v>
      </c>
      <c r="C1691" t="str">
        <f>"67.6175"</f>
        <v>67.6175</v>
      </c>
    </row>
    <row r="1692" spans="1:3" x14ac:dyDescent="0.25">
      <c r="A1692" t="str">
        <f>"06/06/2016"</f>
        <v>06/06/2016</v>
      </c>
      <c r="B1692" t="str">
        <f>"66.9825"</f>
        <v>66.9825</v>
      </c>
      <c r="C1692" t="str">
        <f>"67.3375"</f>
        <v>67.3375</v>
      </c>
    </row>
    <row r="1693" spans="1:3" x14ac:dyDescent="0.25">
      <c r="A1693" t="str">
        <f>"07/06/2016"</f>
        <v>07/06/2016</v>
      </c>
      <c r="B1693" t="str">
        <f>"66.78"</f>
        <v>66.78</v>
      </c>
      <c r="C1693" t="str">
        <f>"67.165"</f>
        <v>67.165</v>
      </c>
    </row>
    <row r="1694" spans="1:3" x14ac:dyDescent="0.25">
      <c r="A1694" t="str">
        <f>"08/06/2016"</f>
        <v>08/06/2016</v>
      </c>
      <c r="B1694" t="str">
        <f>"66.6575"</f>
        <v>66.6575</v>
      </c>
      <c r="C1694" t="str">
        <f>"67.0275"</f>
        <v>67.0275</v>
      </c>
    </row>
    <row r="1695" spans="1:3" x14ac:dyDescent="0.25">
      <c r="A1695" t="str">
        <f>"09/06/2016"</f>
        <v>09/06/2016</v>
      </c>
      <c r="B1695" t="str">
        <f>"66.725"</f>
        <v>66.725</v>
      </c>
      <c r="C1695" t="str">
        <f>"67.08"</f>
        <v>67.08</v>
      </c>
    </row>
    <row r="1696" spans="1:3" x14ac:dyDescent="0.25">
      <c r="A1696" t="str">
        <f>"10/06/2016"</f>
        <v>10/06/2016</v>
      </c>
      <c r="B1696" t="str">
        <f>"66.7625"</f>
        <v>66.7625</v>
      </c>
      <c r="C1696" t="str">
        <f>"67.125"</f>
        <v>67.125</v>
      </c>
    </row>
    <row r="1697" spans="1:3" x14ac:dyDescent="0.25">
      <c r="A1697" t="str">
        <f>"13/06/2016"</f>
        <v>13/06/2016</v>
      </c>
      <c r="B1697" t="str">
        <f>"67.145"</f>
        <v>67.145</v>
      </c>
      <c r="C1697" t="str">
        <f>"67.5075"</f>
        <v>67.5075</v>
      </c>
    </row>
    <row r="1698" spans="1:3" x14ac:dyDescent="0.25">
      <c r="A1698" t="str">
        <f>"14/06/2016"</f>
        <v>14/06/2016</v>
      </c>
      <c r="B1698" t="str">
        <f>"67.27"</f>
        <v>67.27</v>
      </c>
      <c r="C1698" t="str">
        <f>"67.655"</f>
        <v>67.655</v>
      </c>
    </row>
    <row r="1699" spans="1:3" x14ac:dyDescent="0.25">
      <c r="A1699" t="str">
        <f>"15/06/2016"</f>
        <v>15/06/2016</v>
      </c>
      <c r="B1699" t="str">
        <f>"67.215"</f>
        <v>67.215</v>
      </c>
      <c r="C1699" t="str">
        <f>"67.59"</f>
        <v>67.59</v>
      </c>
    </row>
    <row r="1700" spans="1:3" x14ac:dyDescent="0.25">
      <c r="A1700" t="str">
        <f>"16/06/2016"</f>
        <v>16/06/2016</v>
      </c>
      <c r="B1700" t="str">
        <f>"67.2875"</f>
        <v>67.2875</v>
      </c>
      <c r="C1700" t="str">
        <f>"67.6575"</f>
        <v>67.6575</v>
      </c>
    </row>
    <row r="1701" spans="1:3" x14ac:dyDescent="0.25">
      <c r="A1701" t="str">
        <f>"17/06/2016"</f>
        <v>17/06/2016</v>
      </c>
      <c r="B1701" t="str">
        <f>"67.09"</f>
        <v>67.09</v>
      </c>
      <c r="C1701" t="str">
        <f>"67.4575"</f>
        <v>67.4575</v>
      </c>
    </row>
    <row r="1702" spans="1:3" x14ac:dyDescent="0.25">
      <c r="A1702" t="str">
        <f>"20/06/2016"</f>
        <v>20/06/2016</v>
      </c>
      <c r="B1702" t="str">
        <f>"67.315"</f>
        <v>67.315</v>
      </c>
      <c r="C1702" t="str">
        <f>"67.675"</f>
        <v>67.675</v>
      </c>
    </row>
    <row r="1703" spans="1:3" x14ac:dyDescent="0.25">
      <c r="A1703" t="str">
        <f>"21/06/2016"</f>
        <v>21/06/2016</v>
      </c>
      <c r="B1703" t="str">
        <f>"67.4975"</f>
        <v>67.4975</v>
      </c>
      <c r="C1703" t="str">
        <f>"67.8825"</f>
        <v>67.8825</v>
      </c>
    </row>
    <row r="1704" spans="1:3" x14ac:dyDescent="0.25">
      <c r="A1704" t="str">
        <f>"22/06/2016"</f>
        <v>22/06/2016</v>
      </c>
      <c r="B1704" t="str">
        <f>"67.485"</f>
        <v>67.485</v>
      </c>
      <c r="C1704" t="str">
        <f>"67.855"</f>
        <v>67.855</v>
      </c>
    </row>
    <row r="1705" spans="1:3" x14ac:dyDescent="0.25">
      <c r="A1705" t="str">
        <f>"23/06/2016"</f>
        <v>23/06/2016</v>
      </c>
      <c r="B1705" t="str">
        <f>"67.255"</f>
        <v>67.255</v>
      </c>
      <c r="C1705" t="str">
        <f>"67.6125"</f>
        <v>67.6125</v>
      </c>
    </row>
    <row r="1706" spans="1:3" x14ac:dyDescent="0.25">
      <c r="A1706" t="str">
        <f>"24/06/2016"</f>
        <v>24/06/2016</v>
      </c>
      <c r="B1706" t="str">
        <f>"67.9725"</f>
        <v>67.9725</v>
      </c>
      <c r="C1706" t="str">
        <f>"68.3375"</f>
        <v>68.3375</v>
      </c>
    </row>
    <row r="1707" spans="1:3" x14ac:dyDescent="0.25">
      <c r="A1707" t="str">
        <f>"27/06/2016"</f>
        <v>27/06/2016</v>
      </c>
      <c r="B1707" t="str">
        <f>"67.95"</f>
        <v>67.95</v>
      </c>
      <c r="C1707" t="str">
        <f>"68.31"</f>
        <v>68.31</v>
      </c>
    </row>
    <row r="1708" spans="1:3" x14ac:dyDescent="0.25">
      <c r="A1708" t="str">
        <f>"28/06/2016"</f>
        <v>28/06/2016</v>
      </c>
      <c r="B1708" t="str">
        <f>"67.96"</f>
        <v>67.96</v>
      </c>
      <c r="C1708" t="str">
        <f>"68.305"</f>
        <v>68.305</v>
      </c>
    </row>
    <row r="1709" spans="1:3" x14ac:dyDescent="0.25">
      <c r="A1709" t="str">
        <f>"29/06/2016"</f>
        <v>29/06/2016</v>
      </c>
      <c r="B1709" t="str">
        <f>"67.69"</f>
        <v>67.69</v>
      </c>
      <c r="C1709" t="str">
        <f>"68.0625"</f>
        <v>68.0625</v>
      </c>
    </row>
    <row r="1710" spans="1:3" x14ac:dyDescent="0.25">
      <c r="A1710" t="str">
        <f>"30/06/2016"</f>
        <v>30/06/2016</v>
      </c>
      <c r="B1710" t="str">
        <f>"67.53"</f>
        <v>67.53</v>
      </c>
      <c r="C1710" t="str">
        <f>"67.905"</f>
        <v>67.905</v>
      </c>
    </row>
    <row r="1711" spans="1:3" x14ac:dyDescent="0.25">
      <c r="A1711" t="str">
        <f>"01/07/2016"</f>
        <v>01/07/2016</v>
      </c>
      <c r="B1711" t="str">
        <f>"67.3275"</f>
        <v>67.3275</v>
      </c>
      <c r="C1711" t="str">
        <f>"67.735"</f>
        <v>67.735</v>
      </c>
    </row>
    <row r="1712" spans="1:3" x14ac:dyDescent="0.25">
      <c r="A1712" t="str">
        <f>"04/07/2016"</f>
        <v>04/07/2016</v>
      </c>
      <c r="B1712" t="str">
        <f>"67.2175"</f>
        <v>67.2175</v>
      </c>
      <c r="C1712" t="str">
        <f>"67.5975"</f>
        <v>67.5975</v>
      </c>
    </row>
    <row r="1713" spans="1:3" x14ac:dyDescent="0.25">
      <c r="A1713" t="str">
        <f>"05/07/2016"</f>
        <v>05/07/2016</v>
      </c>
      <c r="B1713" t="str">
        <f>"67.46"</f>
        <v>67.46</v>
      </c>
      <c r="C1713" t="str">
        <f>"67.8275"</f>
        <v>67.8275</v>
      </c>
    </row>
    <row r="1714" spans="1:3" x14ac:dyDescent="0.25">
      <c r="A1714" t="str">
        <f>"07/07/2016"</f>
        <v>07/07/2016</v>
      </c>
      <c r="B1714" t="str">
        <f>"67.40"</f>
        <v>67.40</v>
      </c>
      <c r="C1714" t="str">
        <f>"67.7625"</f>
        <v>67.7625</v>
      </c>
    </row>
    <row r="1715" spans="1:3" x14ac:dyDescent="0.25">
      <c r="A1715" t="str">
        <f>"08/07/2016"</f>
        <v>08/07/2016</v>
      </c>
      <c r="B1715" t="str">
        <f>"67.375"</f>
        <v>67.375</v>
      </c>
      <c r="C1715" t="str">
        <f>"67.7425"</f>
        <v>67.7425</v>
      </c>
    </row>
    <row r="1716" spans="1:3" x14ac:dyDescent="0.25">
      <c r="A1716" t="str">
        <f>"11/07/2016"</f>
        <v>11/07/2016</v>
      </c>
      <c r="B1716" t="str">
        <f>"67.15"</f>
        <v>67.15</v>
      </c>
      <c r="C1716" t="str">
        <f>"67.5475"</f>
        <v>67.5475</v>
      </c>
    </row>
    <row r="1717" spans="1:3" x14ac:dyDescent="0.25">
      <c r="A1717" t="str">
        <f>"12/07/2016"</f>
        <v>12/07/2016</v>
      </c>
      <c r="B1717" t="str">
        <f>"67.1875"</f>
        <v>67.1875</v>
      </c>
      <c r="C1717" t="str">
        <f>"67.5725"</f>
        <v>67.5725</v>
      </c>
    </row>
    <row r="1718" spans="1:3" x14ac:dyDescent="0.25">
      <c r="A1718" t="str">
        <f>"13/07/2016"</f>
        <v>13/07/2016</v>
      </c>
      <c r="B1718" t="str">
        <f>"67.06"</f>
        <v>67.06</v>
      </c>
      <c r="C1718" t="str">
        <f>"67.95"</f>
        <v>67.95</v>
      </c>
    </row>
    <row r="1719" spans="1:3" x14ac:dyDescent="0.25">
      <c r="A1719" t="str">
        <f>"14/07/2016"</f>
        <v>14/07/2016</v>
      </c>
      <c r="B1719" t="str">
        <f>"66.92"</f>
        <v>66.92</v>
      </c>
      <c r="C1719" t="str">
        <f>"67.28"</f>
        <v>67.28</v>
      </c>
    </row>
    <row r="1720" spans="1:3" x14ac:dyDescent="0.25">
      <c r="A1720" t="str">
        <f>"15/07/2016"</f>
        <v>15/07/2016</v>
      </c>
      <c r="B1720" t="str">
        <f>"67.075"</f>
        <v>67.075</v>
      </c>
      <c r="C1720" t="str">
        <f>"67.435"</f>
        <v>67.435</v>
      </c>
    </row>
    <row r="1721" spans="1:3" x14ac:dyDescent="0.25">
      <c r="A1721" t="str">
        <f>"18/07/2016"</f>
        <v>18/07/2016</v>
      </c>
      <c r="B1721" t="str">
        <f>"67.20"</f>
        <v>67.20</v>
      </c>
      <c r="C1721" t="str">
        <f>"67.5825"</f>
        <v>67.5825</v>
      </c>
    </row>
    <row r="1722" spans="1:3" x14ac:dyDescent="0.25">
      <c r="A1722" t="str">
        <f>"19/07/2016"</f>
        <v>19/07/2016</v>
      </c>
      <c r="B1722" t="str">
        <f>"67.185"</f>
        <v>67.185</v>
      </c>
      <c r="C1722" t="str">
        <f>"67.5575"</f>
        <v>67.5575</v>
      </c>
    </row>
    <row r="1723" spans="1:3" x14ac:dyDescent="0.25">
      <c r="A1723" t="str">
        <f>"20/07/2016"</f>
        <v>20/07/2016</v>
      </c>
      <c r="B1723" t="str">
        <f>"67.20"</f>
        <v>67.20</v>
      </c>
      <c r="C1723" t="str">
        <f>"67.5625"</f>
        <v>67.5625</v>
      </c>
    </row>
    <row r="1724" spans="1:3" x14ac:dyDescent="0.25">
      <c r="A1724" t="str">
        <f>"21/07/2016"</f>
        <v>21/07/2016</v>
      </c>
      <c r="B1724" t="str">
        <f>"67.18"</f>
        <v>67.18</v>
      </c>
      <c r="C1724" t="str">
        <f>"67.5425"</f>
        <v>67.5425</v>
      </c>
    </row>
    <row r="1725" spans="1:3" x14ac:dyDescent="0.25">
      <c r="A1725" t="str">
        <f>"22/07/2016"</f>
        <v>22/07/2016</v>
      </c>
      <c r="B1725" t="str">
        <f>"67.13"</f>
        <v>67.13</v>
      </c>
      <c r="C1725" t="str">
        <f>"67.4925"</f>
        <v>67.4925</v>
      </c>
    </row>
    <row r="1726" spans="1:3" x14ac:dyDescent="0.25">
      <c r="A1726" t="str">
        <f>"25/07/2016"</f>
        <v>25/07/2016</v>
      </c>
      <c r="B1726" t="str">
        <f>"67.3575"</f>
        <v>67.3575</v>
      </c>
      <c r="C1726" t="str">
        <f>"67.7425"</f>
        <v>67.7425</v>
      </c>
    </row>
    <row r="1727" spans="1:3" x14ac:dyDescent="0.25">
      <c r="A1727" t="str">
        <f>"26/07/2016"</f>
        <v>26/07/2016</v>
      </c>
      <c r="B1727" t="str">
        <f>"67.28"</f>
        <v>67.28</v>
      </c>
      <c r="C1727" t="str">
        <f>"67.6525"</f>
        <v>67.6525</v>
      </c>
    </row>
    <row r="1728" spans="1:3" x14ac:dyDescent="0.25">
      <c r="A1728" t="str">
        <f>"27/07/2016"</f>
        <v>27/07/2016</v>
      </c>
      <c r="B1728" t="str">
        <f>"67.15"</f>
        <v>67.15</v>
      </c>
      <c r="C1728" t="str">
        <f>"67.5325"</f>
        <v>67.5325</v>
      </c>
    </row>
    <row r="1729" spans="1:3" x14ac:dyDescent="0.25">
      <c r="A1729" t="str">
        <f>"28/07/2016"</f>
        <v>28/07/2016</v>
      </c>
      <c r="B1729" t="str">
        <f>"67.0325"</f>
        <v>67.0325</v>
      </c>
      <c r="C1729" t="str">
        <f>"67.39"</f>
        <v>67.39</v>
      </c>
    </row>
    <row r="1730" spans="1:3" x14ac:dyDescent="0.25">
      <c r="A1730" t="str">
        <f>"29/07/2016"</f>
        <v>29/07/2016</v>
      </c>
      <c r="B1730" t="str">
        <f>"67.00"</f>
        <v>67.00</v>
      </c>
      <c r="C1730" t="str">
        <f>"67.3575"</f>
        <v>67.3575</v>
      </c>
    </row>
    <row r="1731" spans="1:3" x14ac:dyDescent="0.25">
      <c r="A1731" t="str">
        <f>"01/08/2016"</f>
        <v>01/08/2016</v>
      </c>
      <c r="B1731" t="str">
        <f>"66.7475"</f>
        <v>66.7475</v>
      </c>
      <c r="C1731" t="str">
        <f>"67.1425"</f>
        <v>67.1425</v>
      </c>
    </row>
    <row r="1732" spans="1:3" x14ac:dyDescent="0.25">
      <c r="A1732" t="str">
        <f>"02/08/2016"</f>
        <v>02/08/2016</v>
      </c>
      <c r="B1732" t="str">
        <f>"66.7425"</f>
        <v>66.7425</v>
      </c>
      <c r="C1732" t="str">
        <f>"67.1275"</f>
        <v>67.1275</v>
      </c>
    </row>
    <row r="1733" spans="1:3" x14ac:dyDescent="0.25">
      <c r="A1733" t="str">
        <f>"03/08/2016"</f>
        <v>03/08/2016</v>
      </c>
      <c r="B1733" t="str">
        <f>"66.9975"</f>
        <v>66.9975</v>
      </c>
      <c r="C1733" t="str">
        <f>"67.3775"</f>
        <v>67.3775</v>
      </c>
    </row>
    <row r="1734" spans="1:3" x14ac:dyDescent="0.25">
      <c r="A1734" t="str">
        <f>"04/08/2016"</f>
        <v>04/08/2016</v>
      </c>
      <c r="B1734" t="str">
        <f>"66.9225"</f>
        <v>66.9225</v>
      </c>
      <c r="C1734" t="str">
        <f>"67.285"</f>
        <v>67.285</v>
      </c>
    </row>
    <row r="1735" spans="1:3" x14ac:dyDescent="0.25">
      <c r="A1735" t="str">
        <f>"05/08/2016"</f>
        <v>05/08/2016</v>
      </c>
      <c r="B1735" t="str">
        <f>"66.83"</f>
        <v>66.83</v>
      </c>
      <c r="C1735" t="str">
        <f>"67.1925"</f>
        <v>67.1925</v>
      </c>
    </row>
    <row r="1736" spans="1:3" x14ac:dyDescent="0.25">
      <c r="A1736" t="str">
        <f>"08/08/2016"</f>
        <v>08/08/2016</v>
      </c>
      <c r="B1736" t="str">
        <f>"66.85"</f>
        <v>66.85</v>
      </c>
      <c r="C1736" t="str">
        <f>"67.235"</f>
        <v>67.235</v>
      </c>
    </row>
    <row r="1737" spans="1:3" x14ac:dyDescent="0.25">
      <c r="A1737" t="str">
        <f>"09/08/2016"</f>
        <v>09/08/2016</v>
      </c>
      <c r="B1737" t="str">
        <f>"66.8475"</f>
        <v>66.8475</v>
      </c>
      <c r="C1737" t="str">
        <f>"67.22"</f>
        <v>67.22</v>
      </c>
    </row>
    <row r="1738" spans="1:3" x14ac:dyDescent="0.25">
      <c r="A1738" t="str">
        <f>"10/08/2016"</f>
        <v>10/08/2016</v>
      </c>
      <c r="B1738" t="str">
        <f>"66.72"</f>
        <v>66.72</v>
      </c>
      <c r="C1738" t="str">
        <f>"67.0875"</f>
        <v>67.0875</v>
      </c>
    </row>
    <row r="1739" spans="1:3" x14ac:dyDescent="0.25">
      <c r="A1739" t="str">
        <f>"11/08/2016"</f>
        <v>11/08/2016</v>
      </c>
      <c r="B1739" t="str">
        <f>"66.85"</f>
        <v>66.85</v>
      </c>
      <c r="C1739" t="str">
        <f>"67.2175"</f>
        <v>67.2175</v>
      </c>
    </row>
    <row r="1740" spans="1:3" x14ac:dyDescent="0.25">
      <c r="A1740" t="str">
        <f>"12/08/2016"</f>
        <v>12/08/2016</v>
      </c>
      <c r="B1740" t="str">
        <f>"66.815"</f>
        <v>66.815</v>
      </c>
      <c r="C1740" t="str">
        <f>"67.195"</f>
        <v>67.195</v>
      </c>
    </row>
    <row r="1741" spans="1:3" x14ac:dyDescent="0.25">
      <c r="A1741" t="str">
        <f>"16/08/2016"</f>
        <v>16/08/2016</v>
      </c>
      <c r="B1741" t="str">
        <f>"66.77"</f>
        <v>66.77</v>
      </c>
      <c r="C1741" t="str">
        <f>"67.1375"</f>
        <v>67.1375</v>
      </c>
    </row>
    <row r="1742" spans="1:3" x14ac:dyDescent="0.25">
      <c r="A1742" t="str">
        <f>"18/08/2016"</f>
        <v>18/08/2016</v>
      </c>
      <c r="B1742" t="str">
        <f>"66.815"</f>
        <v>66.815</v>
      </c>
      <c r="C1742" t="str">
        <f>"67.1825"</f>
        <v>67.1825</v>
      </c>
    </row>
    <row r="1743" spans="1:3" x14ac:dyDescent="0.25">
      <c r="A1743" t="str">
        <f>"19/08/2016"</f>
        <v>19/08/2016</v>
      </c>
      <c r="B1743" t="str">
        <f>"67.065"</f>
        <v>67.065</v>
      </c>
      <c r="C1743" t="str">
        <f>"67.4325"</f>
        <v>67.4325</v>
      </c>
    </row>
    <row r="1744" spans="1:3" x14ac:dyDescent="0.25">
      <c r="A1744" t="str">
        <f>"22/08/2016"</f>
        <v>22/08/2016</v>
      </c>
      <c r="B1744" t="str">
        <f>"67.20"</f>
        <v>67.20</v>
      </c>
      <c r="C1744" t="str">
        <f>"67.5875"</f>
        <v>67.5875</v>
      </c>
    </row>
    <row r="1745" spans="1:3" x14ac:dyDescent="0.25">
      <c r="A1745" t="str">
        <f>"23/08/2016"</f>
        <v>23/08/2016</v>
      </c>
      <c r="B1745" t="str">
        <f>"67.09"</f>
        <v>67.09</v>
      </c>
      <c r="C1745" t="str">
        <f>"67.4725"</f>
        <v>67.4725</v>
      </c>
    </row>
    <row r="1746" spans="1:3" x14ac:dyDescent="0.25">
      <c r="A1746" t="str">
        <f>"24/08/2016"</f>
        <v>24/08/2016</v>
      </c>
      <c r="B1746" t="str">
        <f>"67.095"</f>
        <v>67.095</v>
      </c>
      <c r="C1746" t="str">
        <f>"67.4675"</f>
        <v>67.4675</v>
      </c>
    </row>
    <row r="1747" spans="1:3" x14ac:dyDescent="0.25">
      <c r="A1747" t="str">
        <f>"25/08/2016"</f>
        <v>25/08/2016</v>
      </c>
      <c r="B1747" t="str">
        <f>"67.06"</f>
        <v>67.06</v>
      </c>
      <c r="C1747" t="str">
        <f>"67.4275"</f>
        <v>67.4275</v>
      </c>
    </row>
    <row r="1748" spans="1:3" x14ac:dyDescent="0.25">
      <c r="A1748" t="str">
        <f>"26/08/2016"</f>
        <v>26/08/2016</v>
      </c>
      <c r="B1748" t="str">
        <f>"67.06"</f>
        <v>67.06</v>
      </c>
      <c r="C1748" t="str">
        <f>"67.425"</f>
        <v>67.425</v>
      </c>
    </row>
    <row r="1749" spans="1:3" x14ac:dyDescent="0.25">
      <c r="A1749" t="str">
        <f>"29/08/2016"</f>
        <v>29/08/2016</v>
      </c>
      <c r="B1749" t="str">
        <f>"67.18"</f>
        <v>67.18</v>
      </c>
      <c r="C1749" t="str">
        <f>"67.5275"</f>
        <v>67.5275</v>
      </c>
    </row>
    <row r="1750" spans="1:3" x14ac:dyDescent="0.25">
      <c r="A1750" t="str">
        <f>"30/08/2016"</f>
        <v>30/08/2016</v>
      </c>
      <c r="B1750" t="str">
        <f>"67.035"</f>
        <v>67.035</v>
      </c>
      <c r="C1750" t="str">
        <f>"67.41"</f>
        <v>67.41</v>
      </c>
    </row>
    <row r="1751" spans="1:3" x14ac:dyDescent="0.25">
      <c r="A1751" t="str">
        <f>"31/08/2016"</f>
        <v>31/08/2016</v>
      </c>
      <c r="B1751" t="str">
        <f>"66.9675"</f>
        <v>66.9675</v>
      </c>
      <c r="C1751" t="str">
        <f>"67.3325"</f>
        <v>67.3325</v>
      </c>
    </row>
    <row r="1752" spans="1:3" x14ac:dyDescent="0.25">
      <c r="A1752" t="str">
        <f>"01/09/2016"</f>
        <v>01/09/2016</v>
      </c>
      <c r="B1752" t="str">
        <f>"66.965"</f>
        <v>66.965</v>
      </c>
      <c r="C1752" t="str">
        <f>"67.3225"</f>
        <v>67.3225</v>
      </c>
    </row>
    <row r="1753" spans="1:3" x14ac:dyDescent="0.25">
      <c r="A1753" t="str">
        <f>"02/09/2016"</f>
        <v>02/09/2016</v>
      </c>
      <c r="B1753" t="str">
        <f>"66.83"</f>
        <v>66.83</v>
      </c>
      <c r="C1753" t="str">
        <f>"67.1925"</f>
        <v>67.1925</v>
      </c>
    </row>
    <row r="1754" spans="1:3" x14ac:dyDescent="0.25">
      <c r="A1754" t="str">
        <f>"06/09/2016"</f>
        <v>06/09/2016</v>
      </c>
      <c r="B1754" t="str">
        <f>"66.53"</f>
        <v>66.53</v>
      </c>
      <c r="C1754" t="str">
        <f>"66.945"</f>
        <v>66.945</v>
      </c>
    </row>
    <row r="1755" spans="1:3" x14ac:dyDescent="0.25">
      <c r="A1755" t="str">
        <f>"07/09/2016"</f>
        <v>07/09/2016</v>
      </c>
      <c r="B1755" t="str">
        <f>"66.37"</f>
        <v>66.37</v>
      </c>
      <c r="C1755" t="str">
        <f>"66.77"</f>
        <v>66.77</v>
      </c>
    </row>
    <row r="1756" spans="1:3" x14ac:dyDescent="0.25">
      <c r="A1756" t="str">
        <f>"08/09/2016"</f>
        <v>08/09/2016</v>
      </c>
      <c r="B1756" t="str">
        <f>"66.475"</f>
        <v>66.475</v>
      </c>
      <c r="C1756" t="str">
        <f>"66.8375"</f>
        <v>66.8375</v>
      </c>
    </row>
    <row r="1757" spans="1:3" x14ac:dyDescent="0.25">
      <c r="A1757" t="str">
        <f>"09/09/2016"</f>
        <v>09/09/2016</v>
      </c>
      <c r="B1757" t="str">
        <f>"66.535"</f>
        <v>66.535</v>
      </c>
      <c r="C1757" t="str">
        <f>"66.8875"</f>
        <v>66.8875</v>
      </c>
    </row>
    <row r="1758" spans="1:3" x14ac:dyDescent="0.25">
      <c r="A1758" t="str">
        <f>"12/09/2016"</f>
        <v>12/09/2016</v>
      </c>
      <c r="B1758" t="str">
        <f>"66.8725"</f>
        <v>66.8725</v>
      </c>
      <c r="C1758" t="str">
        <f>"67.25"</f>
        <v>67.25</v>
      </c>
    </row>
    <row r="1759" spans="1:3" x14ac:dyDescent="0.25">
      <c r="A1759" t="str">
        <f>"14/09/2016"</f>
        <v>14/09/2016</v>
      </c>
      <c r="B1759" t="str">
        <f>"66.99"</f>
        <v>66.99</v>
      </c>
      <c r="C1759" t="str">
        <f>"67.355"</f>
        <v>67.355</v>
      </c>
    </row>
    <row r="1760" spans="1:3" x14ac:dyDescent="0.25">
      <c r="A1760" t="str">
        <f>"15/09/2016"</f>
        <v>15/09/2016</v>
      </c>
      <c r="B1760" t="str">
        <f>"67.0125"</f>
        <v>67.0125</v>
      </c>
      <c r="C1760" t="str">
        <f>"67.3725"</f>
        <v>67.3725</v>
      </c>
    </row>
    <row r="1761" spans="1:3" x14ac:dyDescent="0.25">
      <c r="A1761" t="str">
        <f>"16/09/2016"</f>
        <v>16/09/2016</v>
      </c>
      <c r="B1761" t="str">
        <f>"66.99"</f>
        <v>66.99</v>
      </c>
      <c r="C1761" t="str">
        <f>"67.355"</f>
        <v>67.355</v>
      </c>
    </row>
    <row r="1762" spans="1:3" x14ac:dyDescent="0.25">
      <c r="A1762" t="str">
        <f>"19/09/2016"</f>
        <v>19/09/2016</v>
      </c>
      <c r="B1762" t="str">
        <f>"66.9725"</f>
        <v>66.9725</v>
      </c>
      <c r="C1762" t="str">
        <f>"67.34"</f>
        <v>67.34</v>
      </c>
    </row>
    <row r="1763" spans="1:3" x14ac:dyDescent="0.25">
      <c r="A1763" t="str">
        <f>"20/09/2016"</f>
        <v>20/09/2016</v>
      </c>
      <c r="B1763" t="str">
        <f>"67.02"</f>
        <v>67.02</v>
      </c>
      <c r="C1763" t="str">
        <f>"67.4125"</f>
        <v>67.4125</v>
      </c>
    </row>
    <row r="1764" spans="1:3" x14ac:dyDescent="0.25">
      <c r="A1764" t="str">
        <f>"21/09/2016"</f>
        <v>21/09/2016</v>
      </c>
      <c r="B1764" t="str">
        <f>"67.025"</f>
        <v>67.025</v>
      </c>
      <c r="C1764" t="str">
        <f>"67.4025"</f>
        <v>67.4025</v>
      </c>
    </row>
    <row r="1765" spans="1:3" x14ac:dyDescent="0.25">
      <c r="A1765" t="str">
        <f>"22/09/2016"</f>
        <v>22/09/2016</v>
      </c>
      <c r="B1765" t="str">
        <f>"66.67"</f>
        <v>66.67</v>
      </c>
      <c r="C1765" t="str">
        <f>"67.035"</f>
        <v>67.035</v>
      </c>
    </row>
    <row r="1766" spans="1:3" x14ac:dyDescent="0.25">
      <c r="A1766" t="str">
        <f>"23/09/2016"</f>
        <v>23/09/2016</v>
      </c>
      <c r="B1766" t="str">
        <f>"66.6575"</f>
        <v>66.6575</v>
      </c>
      <c r="C1766" t="str">
        <f>"67.015"</f>
        <v>67.015</v>
      </c>
    </row>
    <row r="1767" spans="1:3" x14ac:dyDescent="0.25">
      <c r="A1767" t="str">
        <f>"26/09/2016"</f>
        <v>26/09/2016</v>
      </c>
      <c r="B1767" t="str">
        <f>"66.615"</f>
        <v>66.615</v>
      </c>
      <c r="C1767" t="str">
        <f>"66.9675"</f>
        <v>66.9675</v>
      </c>
    </row>
    <row r="1768" spans="1:3" x14ac:dyDescent="0.25">
      <c r="A1768" t="str">
        <f>"27/09/2016"</f>
        <v>27/09/2016</v>
      </c>
      <c r="B1768" t="str">
        <f>"66.49"</f>
        <v>66.49</v>
      </c>
      <c r="C1768" t="str">
        <f>"66.835"</f>
        <v>66.835</v>
      </c>
    </row>
    <row r="1769" spans="1:3" x14ac:dyDescent="0.25">
      <c r="A1769" t="str">
        <f>"28/09/2016"</f>
        <v>28/09/2016</v>
      </c>
      <c r="B1769" t="str">
        <f>"66.47"</f>
        <v>66.47</v>
      </c>
      <c r="C1769" t="str">
        <f>"66.81"</f>
        <v>66.81</v>
      </c>
    </row>
    <row r="1770" spans="1:3" x14ac:dyDescent="0.25">
      <c r="A1770" t="str">
        <f>"29/09/2016"</f>
        <v>29/09/2016</v>
      </c>
      <c r="B1770" t="str">
        <f>"66.47"</f>
        <v>66.47</v>
      </c>
      <c r="C1770" t="str">
        <f>"66.84"</f>
        <v>66.84</v>
      </c>
    </row>
    <row r="1771" spans="1:3" x14ac:dyDescent="0.25">
      <c r="A1771" t="str">
        <f>"30/09/2016"</f>
        <v>30/09/2016</v>
      </c>
      <c r="B1771" t="str">
        <f>"66.62"</f>
        <v>66.62</v>
      </c>
      <c r="C1771" t="str">
        <f>"66.9925"</f>
        <v>66.9925</v>
      </c>
    </row>
    <row r="1772" spans="1:3" x14ac:dyDescent="0.25">
      <c r="A1772" t="str">
        <f>"03/10/2016"</f>
        <v>03/10/2016</v>
      </c>
      <c r="B1772" t="str">
        <f>"66.585"</f>
        <v>66.585</v>
      </c>
      <c r="C1772" t="str">
        <f>"66.9775"</f>
        <v>66.9775</v>
      </c>
    </row>
    <row r="1773" spans="1:3" x14ac:dyDescent="0.25">
      <c r="A1773" t="str">
        <f>"04/10/2016"</f>
        <v>04/10/2016</v>
      </c>
      <c r="B1773" t="str">
        <f>"66.465"</f>
        <v>66.465</v>
      </c>
      <c r="C1773" t="str">
        <f>"66.8375"</f>
        <v>66.8375</v>
      </c>
    </row>
    <row r="1774" spans="1:3" x14ac:dyDescent="0.25">
      <c r="A1774" t="str">
        <f>"05/10/2016"</f>
        <v>05/10/2016</v>
      </c>
      <c r="B1774" t="str">
        <f>"66.5125"</f>
        <v>66.5125</v>
      </c>
      <c r="C1774" t="str">
        <f>"66.865"</f>
        <v>66.865</v>
      </c>
    </row>
    <row r="1775" spans="1:3" x14ac:dyDescent="0.25">
      <c r="A1775" t="str">
        <f>"06/10/2016"</f>
        <v>06/10/2016</v>
      </c>
      <c r="B1775" t="str">
        <f>"66.705"</f>
        <v>66.705</v>
      </c>
      <c r="C1775" t="str">
        <f>"67.0825"</f>
        <v>67.0825</v>
      </c>
    </row>
    <row r="1776" spans="1:3" x14ac:dyDescent="0.25">
      <c r="A1776" t="str">
        <f>"07/10/2016"</f>
        <v>07/10/2016</v>
      </c>
      <c r="B1776" t="str">
        <f>"66.69"</f>
        <v>66.69</v>
      </c>
      <c r="C1776" t="str">
        <f>"67.065"</f>
        <v>67.065</v>
      </c>
    </row>
    <row r="1777" spans="1:3" x14ac:dyDescent="0.25">
      <c r="A1777" t="str">
        <f>"10/10/2016"</f>
        <v>10/10/2016</v>
      </c>
      <c r="B1777" t="str">
        <f>"66.5375"</f>
        <v>66.5375</v>
      </c>
      <c r="C1777" t="str">
        <f>"66.90"</f>
        <v>66.90</v>
      </c>
    </row>
    <row r="1778" spans="1:3" x14ac:dyDescent="0.25">
      <c r="A1778" t="str">
        <f>"13/10/2016"</f>
        <v>13/10/2016</v>
      </c>
      <c r="B1778" t="str">
        <f>"66.94"</f>
        <v>66.94</v>
      </c>
      <c r="C1778" t="str">
        <f>"67.295"</f>
        <v>67.295</v>
      </c>
    </row>
    <row r="1779" spans="1:3" x14ac:dyDescent="0.25">
      <c r="A1779" t="str">
        <f>"14/10/2016"</f>
        <v>14/10/2016</v>
      </c>
      <c r="B1779" t="str">
        <f>"66.72"</f>
        <v>66.72</v>
      </c>
      <c r="C1779" t="str">
        <f>"67.0775"</f>
        <v>67.0775</v>
      </c>
    </row>
    <row r="1780" spans="1:3" x14ac:dyDescent="0.25">
      <c r="A1780" t="str">
        <f>"17/10/2016"</f>
        <v>17/10/2016</v>
      </c>
      <c r="B1780" t="str">
        <f>"66.895"</f>
        <v>66.895</v>
      </c>
      <c r="C1780" t="str">
        <f>"67.27"</f>
        <v>67.27</v>
      </c>
    </row>
    <row r="1781" spans="1:3" x14ac:dyDescent="0.25">
      <c r="A1781" t="str">
        <f>"18/10/2016"</f>
        <v>18/10/2016</v>
      </c>
      <c r="B1781" t="str">
        <f>"66.755"</f>
        <v>66.755</v>
      </c>
      <c r="C1781" t="str">
        <f>"67.12"</f>
        <v>67.12</v>
      </c>
    </row>
    <row r="1782" spans="1:3" x14ac:dyDescent="0.25">
      <c r="A1782" t="str">
        <f>"19/10/2016"</f>
        <v>19/10/2016</v>
      </c>
      <c r="B1782" t="str">
        <f>"66.6825"</f>
        <v>66.6825</v>
      </c>
      <c r="C1782" t="str">
        <f>"67.0275"</f>
        <v>67.0275</v>
      </c>
    </row>
    <row r="1783" spans="1:3" x14ac:dyDescent="0.25">
      <c r="A1783" t="str">
        <f>"20/10/2016"</f>
        <v>20/10/2016</v>
      </c>
      <c r="B1783" t="str">
        <f>"66.815"</f>
        <v>66.815</v>
      </c>
      <c r="C1783" t="str">
        <f>"67.16"</f>
        <v>67.16</v>
      </c>
    </row>
    <row r="1784" spans="1:3" x14ac:dyDescent="0.25">
      <c r="A1784" t="str">
        <f>"21/10/2016"</f>
        <v>21/10/2016</v>
      </c>
      <c r="B1784" t="str">
        <f>"66.895"</f>
        <v>66.895</v>
      </c>
      <c r="C1784" t="str">
        <f>"67.2375"</f>
        <v>67.2375</v>
      </c>
    </row>
    <row r="1785" spans="1:3" x14ac:dyDescent="0.25">
      <c r="A1785" t="str">
        <f>"24/10/2016"</f>
        <v>24/10/2016</v>
      </c>
      <c r="B1785" t="str">
        <f>"66.8575"</f>
        <v>66.8575</v>
      </c>
      <c r="C1785" t="str">
        <f>"67.2175"</f>
        <v>67.2175</v>
      </c>
    </row>
    <row r="1786" spans="1:3" x14ac:dyDescent="0.25">
      <c r="A1786" t="str">
        <f>"25/10/2016"</f>
        <v>25/10/2016</v>
      </c>
      <c r="B1786" t="str">
        <f>"66.83"</f>
        <v>66.83</v>
      </c>
      <c r="C1786" t="str">
        <f>"67.18"</f>
        <v>67.18</v>
      </c>
    </row>
    <row r="1787" spans="1:3" x14ac:dyDescent="0.25">
      <c r="A1787" t="str">
        <f>"26/10/2016"</f>
        <v>26/10/2016</v>
      </c>
      <c r="B1787" t="str">
        <f>"66.8375"</f>
        <v>66.8375</v>
      </c>
      <c r="C1787" t="str">
        <f>"67.185"</f>
        <v>67.185</v>
      </c>
    </row>
    <row r="1788" spans="1:3" x14ac:dyDescent="0.25">
      <c r="A1788" t="str">
        <f>"27/10/2016"</f>
        <v>27/10/2016</v>
      </c>
      <c r="B1788" t="str">
        <f>"66.88"</f>
        <v>66.88</v>
      </c>
      <c r="C1788" t="str">
        <f>"67.1925"</f>
        <v>67.1925</v>
      </c>
    </row>
    <row r="1789" spans="1:3" x14ac:dyDescent="0.25">
      <c r="A1789" t="str">
        <f>"28/10/2016"</f>
        <v>28/10/2016</v>
      </c>
      <c r="B1789" t="str">
        <f>"66.78"</f>
        <v>66.78</v>
      </c>
      <c r="C1789" t="str">
        <f>"67.0875"</f>
        <v>67.0875</v>
      </c>
    </row>
    <row r="1790" spans="1:3" x14ac:dyDescent="0.25">
      <c r="A1790" t="str">
        <f>"01/11/2016"</f>
        <v>01/11/2016</v>
      </c>
      <c r="B1790" t="str">
        <f>"66.73"</f>
        <v>66.73</v>
      </c>
      <c r="C1790" t="str">
        <f>"67.06"</f>
        <v>67.06</v>
      </c>
    </row>
    <row r="1791" spans="1:3" x14ac:dyDescent="0.25">
      <c r="A1791" t="str">
        <f>"02/11/2016"</f>
        <v>02/11/2016</v>
      </c>
      <c r="B1791" t="str">
        <f>"66.8325"</f>
        <v>66.8325</v>
      </c>
      <c r="C1791" t="str">
        <f>"67.1525"</f>
        <v>67.1525</v>
      </c>
    </row>
    <row r="1792" spans="1:3" x14ac:dyDescent="0.25">
      <c r="A1792" t="str">
        <f>"03/11/2016"</f>
        <v>03/11/2016</v>
      </c>
      <c r="B1792" t="str">
        <f>"66.695"</f>
        <v>66.695</v>
      </c>
      <c r="C1792" t="str">
        <f>"67.02"</f>
        <v>67.02</v>
      </c>
    </row>
    <row r="1793" spans="1:3" x14ac:dyDescent="0.25">
      <c r="A1793" t="str">
        <f>"04/11/2016"</f>
        <v>04/11/2016</v>
      </c>
      <c r="B1793" t="str">
        <f>"66.71"</f>
        <v>66.71</v>
      </c>
      <c r="C1793" t="str">
        <f>"67.02"</f>
        <v>67.02</v>
      </c>
    </row>
    <row r="1794" spans="1:3" x14ac:dyDescent="0.25">
      <c r="A1794" t="str">
        <f>"07/11/2016"</f>
        <v>07/11/2016</v>
      </c>
      <c r="B1794" t="str">
        <f>"66.7425"</f>
        <v>66.7425</v>
      </c>
      <c r="C1794" t="str">
        <f>"67.055"</f>
        <v>67.055</v>
      </c>
    </row>
    <row r="1795" spans="1:3" x14ac:dyDescent="0.25">
      <c r="A1795" t="str">
        <f>"08/11/2016"</f>
        <v>08/11/2016</v>
      </c>
      <c r="B1795" t="str">
        <f>"66.71"</f>
        <v>66.71</v>
      </c>
      <c r="C1795" t="str">
        <f>"67.0575"</f>
        <v>67.0575</v>
      </c>
    </row>
    <row r="1796" spans="1:3" x14ac:dyDescent="0.25">
      <c r="A1796" t="str">
        <f>"09/11/2016"</f>
        <v>09/11/2016</v>
      </c>
      <c r="B1796" t="str">
        <f>"66.78"</f>
        <v>66.78</v>
      </c>
      <c r="C1796" t="str">
        <f>"67.0925"</f>
        <v>67.0925</v>
      </c>
    </row>
    <row r="1797" spans="1:3" x14ac:dyDescent="0.25">
      <c r="A1797" t="str">
        <f>"10/11/2016"</f>
        <v>10/11/2016</v>
      </c>
      <c r="B1797" t="str">
        <f>"66.63"</f>
        <v>66.63</v>
      </c>
      <c r="C1797" t="str">
        <f>"66.935"</f>
        <v>66.935</v>
      </c>
    </row>
    <row r="1798" spans="1:3" x14ac:dyDescent="0.25">
      <c r="A1798" t="str">
        <f>"11/11/2016"</f>
        <v>11/11/2016</v>
      </c>
      <c r="B1798" t="str">
        <f>"66.99"</f>
        <v>66.99</v>
      </c>
      <c r="C1798" t="str">
        <f>"67.2975"</f>
        <v>67.2975</v>
      </c>
    </row>
    <row r="1799" spans="1:3" x14ac:dyDescent="0.25">
      <c r="A1799" t="str">
        <f>"15/11/2016"</f>
        <v>15/11/2016</v>
      </c>
      <c r="B1799" t="str">
        <f>"67.7525"</f>
        <v>67.7525</v>
      </c>
      <c r="C1799" t="str">
        <f>"68.0375"</f>
        <v>68.0375</v>
      </c>
    </row>
    <row r="1800" spans="1:3" x14ac:dyDescent="0.25">
      <c r="A1800" t="str">
        <f>"16/11/2016"</f>
        <v>16/11/2016</v>
      </c>
      <c r="B1800" t="str">
        <f>"67.955"</f>
        <v>67.955</v>
      </c>
      <c r="C1800" t="str">
        <f>"68.235"</f>
        <v>68.235</v>
      </c>
    </row>
    <row r="1801" spans="1:3" x14ac:dyDescent="0.25">
      <c r="A1801" t="str">
        <f>"17/11/2016"</f>
        <v>17/11/2016</v>
      </c>
      <c r="B1801" t="str">
        <f>"67.83"</f>
        <v>67.83</v>
      </c>
      <c r="C1801" t="str">
        <f>"68.12"</f>
        <v>68.12</v>
      </c>
    </row>
    <row r="1802" spans="1:3" x14ac:dyDescent="0.25">
      <c r="A1802" t="str">
        <f>"18/11/2016"</f>
        <v>18/11/2016</v>
      </c>
      <c r="B1802" t="str">
        <f>"68.14"</f>
        <v>68.14</v>
      </c>
      <c r="C1802" t="str">
        <f>"68.405"</f>
        <v>68.405</v>
      </c>
    </row>
    <row r="1803" spans="1:3" x14ac:dyDescent="0.25">
      <c r="A1803" t="str">
        <f>"21/11/2016"</f>
        <v>21/11/2016</v>
      </c>
      <c r="B1803" t="str">
        <f>"68.18"</f>
        <v>68.18</v>
      </c>
      <c r="C1803" t="str">
        <f>"68.4275"</f>
        <v>68.4275</v>
      </c>
    </row>
    <row r="1804" spans="1:3" x14ac:dyDescent="0.25">
      <c r="A1804" t="str">
        <f>"22/11/2016"</f>
        <v>22/11/2016</v>
      </c>
      <c r="B1804" t="str">
        <f>"68.26"</f>
        <v>68.26</v>
      </c>
      <c r="C1804" t="str">
        <f>"68.485"</f>
        <v>68.485</v>
      </c>
    </row>
    <row r="1805" spans="1:3" x14ac:dyDescent="0.25">
      <c r="A1805" t="str">
        <f>"23/11/2016"</f>
        <v>23/11/2016</v>
      </c>
      <c r="B1805" t="str">
        <f>"68.46"</f>
        <v>68.46</v>
      </c>
      <c r="C1805" t="str">
        <f>"68.685"</f>
        <v>68.685</v>
      </c>
    </row>
    <row r="1806" spans="1:3" x14ac:dyDescent="0.25">
      <c r="A1806" t="str">
        <f>"24/11/2016"</f>
        <v>24/11/2016</v>
      </c>
      <c r="B1806" t="str">
        <f>"68.7525"</f>
        <v>68.7525</v>
      </c>
      <c r="C1806" t="str">
        <f>"68.865"</f>
        <v>68.865</v>
      </c>
    </row>
    <row r="1807" spans="1:3" x14ac:dyDescent="0.25">
      <c r="A1807" t="str">
        <f>"25/11/2016"</f>
        <v>25/11/2016</v>
      </c>
      <c r="B1807" t="str">
        <f>"68.4725"</f>
        <v>68.4725</v>
      </c>
      <c r="C1807" t="str">
        <f>"68.61"</f>
        <v>68.61</v>
      </c>
    </row>
    <row r="1808" spans="1:3" x14ac:dyDescent="0.25">
      <c r="A1808" t="str">
        <f>"28/11/2016"</f>
        <v>28/11/2016</v>
      </c>
      <c r="B1808" t="str">
        <f>"68.78"</f>
        <v>68.78</v>
      </c>
      <c r="C1808" t="str">
        <f>"68.96"</f>
        <v>68.96</v>
      </c>
    </row>
    <row r="1809" spans="1:3" x14ac:dyDescent="0.25">
      <c r="A1809" t="str">
        <f>"29/11/2016"</f>
        <v>29/11/2016</v>
      </c>
      <c r="B1809" t="str">
        <f>"68.70"</f>
        <v>68.70</v>
      </c>
      <c r="C1809" t="str">
        <f>"68.92"</f>
        <v>68.92</v>
      </c>
    </row>
    <row r="1810" spans="1:3" x14ac:dyDescent="0.25">
      <c r="A1810" t="str">
        <f>"30/11/2016"</f>
        <v>30/11/2016</v>
      </c>
      <c r="B1810" t="str">
        <f>"68.395"</f>
        <v>68.395</v>
      </c>
      <c r="C1810" t="str">
        <f>"68.6175"</f>
        <v>68.6175</v>
      </c>
    </row>
    <row r="1811" spans="1:3" x14ac:dyDescent="0.25">
      <c r="A1811" t="str">
        <f>"01/12/2016"</f>
        <v>01/12/2016</v>
      </c>
      <c r="B1811" t="str">
        <f>"68.405"</f>
        <v>68.405</v>
      </c>
      <c r="C1811" t="str">
        <f>"68.6175"</f>
        <v>68.6175</v>
      </c>
    </row>
    <row r="1812" spans="1:3" x14ac:dyDescent="0.25">
      <c r="A1812" t="str">
        <f>"02/12/2016"</f>
        <v>02/12/2016</v>
      </c>
      <c r="B1812" t="str">
        <f>"68.365"</f>
        <v>68.365</v>
      </c>
      <c r="C1812" t="str">
        <f>"68.58"</f>
        <v>68.58</v>
      </c>
    </row>
    <row r="1813" spans="1:3" x14ac:dyDescent="0.25">
      <c r="A1813" t="str">
        <f>"05/12/2016"</f>
        <v>05/12/2016</v>
      </c>
      <c r="B1813" t="str">
        <f>"68.225"</f>
        <v>68.225</v>
      </c>
      <c r="C1813" t="str">
        <f>"68.4575"</f>
        <v>68.4575</v>
      </c>
    </row>
    <row r="1814" spans="1:3" x14ac:dyDescent="0.25">
      <c r="A1814" t="str">
        <f>"06/12/2016"</f>
        <v>06/12/2016</v>
      </c>
      <c r="B1814" t="str">
        <f>"67.905"</f>
        <v>67.905</v>
      </c>
      <c r="C1814" t="str">
        <f>"68.1325"</f>
        <v>68.1325</v>
      </c>
    </row>
    <row r="1815" spans="1:3" x14ac:dyDescent="0.25">
      <c r="A1815" t="str">
        <f>"07/12/2016"</f>
        <v>07/12/2016</v>
      </c>
      <c r="B1815" t="str">
        <f>"67.64"</f>
        <v>67.64</v>
      </c>
      <c r="C1815" t="str">
        <f>"67.885"</f>
        <v>67.885</v>
      </c>
    </row>
    <row r="1816" spans="1:3" x14ac:dyDescent="0.25">
      <c r="A1816" t="str">
        <f>"08/12/2016"</f>
        <v>08/12/2016</v>
      </c>
      <c r="B1816" t="str">
        <f>"67.36"</f>
        <v>67.36</v>
      </c>
      <c r="C1816" t="str">
        <f>"67.6325"</f>
        <v>67.6325</v>
      </c>
    </row>
    <row r="1817" spans="1:3" x14ac:dyDescent="0.25">
      <c r="A1817" t="str">
        <f>"09/12/2016"</f>
        <v>09/12/2016</v>
      </c>
      <c r="B1817" t="str">
        <f>"67.4225"</f>
        <v>67.4225</v>
      </c>
      <c r="C1817" t="str">
        <f>"67.695"</f>
        <v>67.695</v>
      </c>
    </row>
    <row r="1818" spans="1:3" x14ac:dyDescent="0.25">
      <c r="A1818" t="str">
        <f>"13/12/2016"</f>
        <v>13/12/2016</v>
      </c>
      <c r="B1818" t="str">
        <f>"67.545"</f>
        <v>67.545</v>
      </c>
      <c r="C1818" t="str">
        <f>"67.785"</f>
        <v>67.785</v>
      </c>
    </row>
    <row r="1819" spans="1:3" x14ac:dyDescent="0.25">
      <c r="A1819" t="str">
        <f>"14/12/2016"</f>
        <v>14/12/2016</v>
      </c>
      <c r="B1819" t="str">
        <f>"67.535"</f>
        <v>67.535</v>
      </c>
      <c r="C1819" t="str">
        <f>"67.7725"</f>
        <v>67.7725</v>
      </c>
    </row>
    <row r="1820" spans="1:3" x14ac:dyDescent="0.25">
      <c r="A1820" t="str">
        <f>"15/12/2016"</f>
        <v>15/12/2016</v>
      </c>
      <c r="B1820" t="str">
        <f>"67.75"</f>
        <v>67.75</v>
      </c>
      <c r="C1820" t="str">
        <f>"67.9875"</f>
        <v>67.9875</v>
      </c>
    </row>
    <row r="1821" spans="1:3" x14ac:dyDescent="0.25">
      <c r="A1821" t="str">
        <f>"16/12/2016"</f>
        <v>16/12/2016</v>
      </c>
      <c r="B1821" t="str">
        <f>"67.775"</f>
        <v>67.775</v>
      </c>
      <c r="C1821" t="str">
        <f>"68.02"</f>
        <v>68.02</v>
      </c>
    </row>
    <row r="1822" spans="1:3" x14ac:dyDescent="0.25">
      <c r="A1822" t="str">
        <f>"19/12/2016"</f>
        <v>19/12/2016</v>
      </c>
      <c r="B1822" t="str">
        <f>"67.875"</f>
        <v>67.875</v>
      </c>
      <c r="C1822" t="str">
        <f>"68.1575"</f>
        <v>68.1575</v>
      </c>
    </row>
    <row r="1823" spans="1:3" x14ac:dyDescent="0.25">
      <c r="A1823" t="str">
        <f>"20/12/2016"</f>
        <v>20/12/2016</v>
      </c>
      <c r="B1823" t="str">
        <f>"68.0475"</f>
        <v>68.0475</v>
      </c>
      <c r="C1823" t="str">
        <f>"68.3125"</f>
        <v>68.3125</v>
      </c>
    </row>
    <row r="1824" spans="1:3" x14ac:dyDescent="0.25">
      <c r="A1824" t="str">
        <f>"21/12/2016"</f>
        <v>21/12/2016</v>
      </c>
      <c r="B1824" t="str">
        <f>"67.925"</f>
        <v>67.925</v>
      </c>
      <c r="C1824" t="str">
        <f>"68.18"</f>
        <v>68.18</v>
      </c>
    </row>
    <row r="1825" spans="1:3" x14ac:dyDescent="0.25">
      <c r="A1825" t="str">
        <f>"22/12/2016"</f>
        <v>22/12/2016</v>
      </c>
      <c r="B1825" t="str">
        <f>"67.995"</f>
        <v>67.995</v>
      </c>
      <c r="C1825" t="str">
        <f>"68.2525"</f>
        <v>68.2525</v>
      </c>
    </row>
    <row r="1826" spans="1:3" x14ac:dyDescent="0.25">
      <c r="A1826" t="str">
        <f>"23/12/2016"</f>
        <v>23/12/2016</v>
      </c>
      <c r="B1826" t="str">
        <f>"67.8575"</f>
        <v>67.8575</v>
      </c>
      <c r="C1826" t="str">
        <f>"68.1275"</f>
        <v>68.1275</v>
      </c>
    </row>
    <row r="1827" spans="1:3" x14ac:dyDescent="0.25">
      <c r="A1827" t="str">
        <f>"26/12/2016"</f>
        <v>26/12/2016</v>
      </c>
      <c r="B1827" t="str">
        <f>"67.74"</f>
        <v>67.74</v>
      </c>
      <c r="C1827" t="str">
        <f>"68.025"</f>
        <v>68.025</v>
      </c>
    </row>
    <row r="1828" spans="1:3" x14ac:dyDescent="0.25">
      <c r="A1828" t="str">
        <f>"27/12/2016"</f>
        <v>27/12/2016</v>
      </c>
      <c r="B1828" t="str">
        <f>"68.0625"</f>
        <v>68.0625</v>
      </c>
      <c r="C1828" t="str">
        <f>"68.325"</f>
        <v>68.325</v>
      </c>
    </row>
    <row r="1829" spans="1:3" x14ac:dyDescent="0.25">
      <c r="A1829" t="str">
        <f>"28/12/2016"</f>
        <v>28/12/2016</v>
      </c>
      <c r="B1829" t="str">
        <f>"68.245"</f>
        <v>68.245</v>
      </c>
      <c r="C1829" t="str">
        <f>"68.455"</f>
        <v>68.455</v>
      </c>
    </row>
    <row r="1830" spans="1:3" x14ac:dyDescent="0.25">
      <c r="A1830" t="str">
        <f>"29/12/2016"</f>
        <v>29/12/2016</v>
      </c>
      <c r="B1830" t="str">
        <f>"68.105"</f>
        <v>68.105</v>
      </c>
      <c r="C1830" t="str">
        <f>"68.325"</f>
        <v>68.325</v>
      </c>
    </row>
    <row r="1831" spans="1:3" x14ac:dyDescent="0.25">
      <c r="A1831" t="str">
        <f>"30/12/2016"</f>
        <v>30/12/2016</v>
      </c>
      <c r="B1831" t="str">
        <f>"67.93"</f>
        <v>67.93</v>
      </c>
      <c r="C1831" t="str">
        <f>"68.15"</f>
        <v>68.15</v>
      </c>
    </row>
    <row r="1832" spans="1:3" x14ac:dyDescent="0.25">
      <c r="A1832" t="str">
        <f>"02/01/2017"</f>
        <v>02/01/2017</v>
      </c>
      <c r="B1832" t="str">
        <f>"68.2325"</f>
        <v>68.2325</v>
      </c>
      <c r="C1832" t="str">
        <f>"68.4875"</f>
        <v>68.4875</v>
      </c>
    </row>
    <row r="1833" spans="1:3" x14ac:dyDescent="0.25">
      <c r="A1833" t="str">
        <f>"03/01/2017"</f>
        <v>03/01/2017</v>
      </c>
      <c r="B1833" t="str">
        <f>"68.335"</f>
        <v>68.335</v>
      </c>
      <c r="C1833" t="str">
        <f>"68.575"</f>
        <v>68.575</v>
      </c>
    </row>
    <row r="1834" spans="1:3" x14ac:dyDescent="0.25">
      <c r="A1834" t="str">
        <f>"04/01/2017"</f>
        <v>04/01/2017</v>
      </c>
      <c r="B1834" t="str">
        <f>"68.05"</f>
        <v>68.05</v>
      </c>
      <c r="C1834" t="str">
        <f>"68.2925"</f>
        <v>68.2925</v>
      </c>
    </row>
    <row r="1835" spans="1:3" x14ac:dyDescent="0.25">
      <c r="A1835" t="str">
        <f>"05/01/2017"</f>
        <v>05/01/2017</v>
      </c>
      <c r="B1835" t="str">
        <f>"67.9675"</f>
        <v>67.9675</v>
      </c>
      <c r="C1835" t="str">
        <f>"68.225"</f>
        <v>68.225</v>
      </c>
    </row>
    <row r="1836" spans="1:3" x14ac:dyDescent="0.25">
      <c r="A1836" t="str">
        <f>"06/01/2017"</f>
        <v>06/01/2017</v>
      </c>
      <c r="B1836" t="str">
        <f>"67.965"</f>
        <v>67.965</v>
      </c>
      <c r="C1836" t="str">
        <f>"68.23"</f>
        <v>68.23</v>
      </c>
    </row>
    <row r="1837" spans="1:3" x14ac:dyDescent="0.25">
      <c r="A1837" t="str">
        <f>"09/01/2017"</f>
        <v>09/01/2017</v>
      </c>
      <c r="B1837" t="str">
        <f>"68.21"</f>
        <v>68.21</v>
      </c>
      <c r="C1837" t="str">
        <f>"68.515"</f>
        <v>68.515</v>
      </c>
    </row>
    <row r="1838" spans="1:3" x14ac:dyDescent="0.25">
      <c r="A1838" t="str">
        <f>"10/01/2017"</f>
        <v>10/01/2017</v>
      </c>
      <c r="B1838" t="str">
        <f>"68.1875"</f>
        <v>68.1875</v>
      </c>
      <c r="C1838" t="str">
        <f>"68.4875"</f>
        <v>68.4875</v>
      </c>
    </row>
    <row r="1839" spans="1:3" x14ac:dyDescent="0.25">
      <c r="A1839" t="str">
        <f>"11/01/2017"</f>
        <v>11/01/2017</v>
      </c>
      <c r="B1839" t="str">
        <f>"68.335"</f>
        <v>68.335</v>
      </c>
      <c r="C1839" t="str">
        <f>"68.63"</f>
        <v>68.63</v>
      </c>
    </row>
    <row r="1840" spans="1:3" x14ac:dyDescent="0.25">
      <c r="A1840" t="str">
        <f>"12/01/2017"</f>
        <v>12/01/2017</v>
      </c>
      <c r="B1840" t="str">
        <f>"68.0875"</f>
        <v>68.0875</v>
      </c>
      <c r="C1840" t="str">
        <f>"68.3775"</f>
        <v>68.3775</v>
      </c>
    </row>
    <row r="1841" spans="1:3" x14ac:dyDescent="0.25">
      <c r="A1841" t="str">
        <f>"13/01/2017"</f>
        <v>13/01/2017</v>
      </c>
      <c r="B1841" t="str">
        <f>"68.1625"</f>
        <v>68.1625</v>
      </c>
      <c r="C1841" t="str">
        <f>"68.475"</f>
        <v>68.475</v>
      </c>
    </row>
    <row r="1842" spans="1:3" x14ac:dyDescent="0.25">
      <c r="A1842" t="str">
        <f>"16/01/2017"</f>
        <v>16/01/2017</v>
      </c>
      <c r="B1842" t="str">
        <f>"68.205"</f>
        <v>68.205</v>
      </c>
      <c r="C1842" t="str">
        <f>"68.525"</f>
        <v>68.525</v>
      </c>
    </row>
    <row r="1843" spans="1:3" x14ac:dyDescent="0.25">
      <c r="A1843" t="str">
        <f>"17/01/2017"</f>
        <v>17/01/2017</v>
      </c>
      <c r="B1843" t="str">
        <f>"67.965"</f>
        <v>67.965</v>
      </c>
      <c r="C1843" t="str">
        <f>"68.27"</f>
        <v>68.27</v>
      </c>
    </row>
    <row r="1844" spans="1:3" x14ac:dyDescent="0.25">
      <c r="A1844" t="str">
        <f>"18/01/2017"</f>
        <v>18/01/2017</v>
      </c>
      <c r="B1844" t="str">
        <f>"68.08"</f>
        <v>68.08</v>
      </c>
      <c r="C1844" t="str">
        <f>"68.3775"</f>
        <v>68.3775</v>
      </c>
    </row>
    <row r="1845" spans="1:3" x14ac:dyDescent="0.25">
      <c r="A1845" t="str">
        <f>"19/01/2017"</f>
        <v>19/01/2017</v>
      </c>
      <c r="B1845" t="str">
        <f>"68.2125"</f>
        <v>68.2125</v>
      </c>
      <c r="C1845" t="str">
        <f>"68.5025"</f>
        <v>68.5025</v>
      </c>
    </row>
    <row r="1846" spans="1:3" x14ac:dyDescent="0.25">
      <c r="A1846" t="str">
        <f>"20/01/2017"</f>
        <v>20/01/2017</v>
      </c>
      <c r="B1846" t="str">
        <f>"68.19"</f>
        <v>68.19</v>
      </c>
      <c r="C1846" t="str">
        <f>"68.505"</f>
        <v>68.505</v>
      </c>
    </row>
    <row r="1847" spans="1:3" x14ac:dyDescent="0.25">
      <c r="A1847" t="str">
        <f>"23/01/2017"</f>
        <v>23/01/2017</v>
      </c>
      <c r="B1847" t="str">
        <f>"68.22"</f>
        <v>68.22</v>
      </c>
      <c r="C1847" t="str">
        <f>"68.5275"</f>
        <v>68.5275</v>
      </c>
    </row>
    <row r="1848" spans="1:3" x14ac:dyDescent="0.25">
      <c r="A1848" t="str">
        <f>"24/01/2017"</f>
        <v>24/01/2017</v>
      </c>
      <c r="B1848" t="str">
        <f>"68.1275"</f>
        <v>68.1275</v>
      </c>
      <c r="C1848" t="str">
        <f>"68.4175"</f>
        <v>68.4175</v>
      </c>
    </row>
    <row r="1849" spans="1:3" x14ac:dyDescent="0.25">
      <c r="A1849" t="str">
        <f>"25/01/2017"</f>
        <v>25/01/2017</v>
      </c>
      <c r="B1849" t="str">
        <f>"68.08"</f>
        <v>68.08</v>
      </c>
      <c r="C1849" t="str">
        <f>"68.35"</f>
        <v>68.35</v>
      </c>
    </row>
    <row r="1850" spans="1:3" x14ac:dyDescent="0.25">
      <c r="A1850" t="str">
        <f>"27/01/2017"</f>
        <v>27/01/2017</v>
      </c>
      <c r="B1850" t="str">
        <f>"68.04"</f>
        <v>68.04</v>
      </c>
      <c r="C1850" t="str">
        <f>"68.30"</f>
        <v>68.30</v>
      </c>
    </row>
    <row r="1851" spans="1:3" x14ac:dyDescent="0.25">
      <c r="A1851" t="str">
        <f>"30/01/2017"</f>
        <v>30/01/2017</v>
      </c>
      <c r="B1851" t="str">
        <f>"68.07"</f>
        <v>68.07</v>
      </c>
      <c r="C1851" t="str">
        <f>"68.335"</f>
        <v>68.335</v>
      </c>
    </row>
    <row r="1852" spans="1:3" x14ac:dyDescent="0.25">
      <c r="A1852" t="str">
        <f>"31/01/2017"</f>
        <v>31/01/2017</v>
      </c>
      <c r="B1852" t="str">
        <f>"67.87"</f>
        <v>67.87</v>
      </c>
      <c r="C1852" t="str">
        <f>"68.13"</f>
        <v>68.13</v>
      </c>
    </row>
    <row r="1853" spans="1:3" x14ac:dyDescent="0.25">
      <c r="A1853" t="str">
        <f>"01/02/2017"</f>
        <v>01/02/2017</v>
      </c>
      <c r="B1853" t="str">
        <f>"67.60"</f>
        <v>67.60</v>
      </c>
      <c r="C1853" t="str">
        <f>"67.8575"</f>
        <v>67.8575</v>
      </c>
    </row>
    <row r="1854" spans="1:3" x14ac:dyDescent="0.25">
      <c r="A1854" t="str">
        <f>"02/02/2017"</f>
        <v>02/02/2017</v>
      </c>
      <c r="B1854" t="str">
        <f>"67.3775"</f>
        <v>67.3775</v>
      </c>
      <c r="C1854" t="str">
        <f>"67.6375"</f>
        <v>67.6375</v>
      </c>
    </row>
    <row r="1855" spans="1:3" x14ac:dyDescent="0.25">
      <c r="A1855" t="str">
        <f>"03/02/2017"</f>
        <v>03/02/2017</v>
      </c>
      <c r="B1855" t="str">
        <f>"67.3225"</f>
        <v>67.3225</v>
      </c>
      <c r="C1855" t="str">
        <f>"67.575"</f>
        <v>67.575</v>
      </c>
    </row>
    <row r="1856" spans="1:3" x14ac:dyDescent="0.25">
      <c r="A1856" t="str">
        <f>"06/02/2017"</f>
        <v>06/02/2017</v>
      </c>
      <c r="B1856" t="str">
        <f>"67.2225"</f>
        <v>67.2225</v>
      </c>
      <c r="C1856" t="str">
        <f>"67.475"</f>
        <v>67.475</v>
      </c>
    </row>
    <row r="1857" spans="1:3" x14ac:dyDescent="0.25">
      <c r="A1857" t="str">
        <f>"07/02/2017"</f>
        <v>07/02/2017</v>
      </c>
      <c r="B1857" t="str">
        <f>"67.415"</f>
        <v>67.415</v>
      </c>
      <c r="C1857" t="str">
        <f>"67.675"</f>
        <v>67.675</v>
      </c>
    </row>
    <row r="1858" spans="1:3" x14ac:dyDescent="0.25">
      <c r="A1858" t="str">
        <f>"08/02/2017"</f>
        <v>08/02/2017</v>
      </c>
      <c r="B1858" t="str">
        <f>"67.3325"</f>
        <v>67.3325</v>
      </c>
      <c r="C1858" t="str">
        <f>"67.5875"</f>
        <v>67.5875</v>
      </c>
    </row>
    <row r="1859" spans="1:3" x14ac:dyDescent="0.25">
      <c r="A1859" t="str">
        <f>"09/02/2017"</f>
        <v>09/02/2017</v>
      </c>
      <c r="B1859" t="str">
        <f>"66.855"</f>
        <v>66.855</v>
      </c>
      <c r="C1859" t="str">
        <f>"67.1475"</f>
        <v>67.1475</v>
      </c>
    </row>
    <row r="1860" spans="1:3" x14ac:dyDescent="0.25">
      <c r="A1860" t="str">
        <f>"10/02/2017"</f>
        <v>10/02/2017</v>
      </c>
      <c r="B1860" t="str">
        <f>"66.8875"</f>
        <v>66.8875</v>
      </c>
      <c r="C1860" t="str">
        <f>"67.165"</f>
        <v>67.165</v>
      </c>
    </row>
    <row r="1861" spans="1:3" x14ac:dyDescent="0.25">
      <c r="A1861" t="str">
        <f>"13/02/2017"</f>
        <v>13/02/2017</v>
      </c>
      <c r="B1861" t="str">
        <f>"67.02"</f>
        <v>67.02</v>
      </c>
      <c r="C1861" t="str">
        <f>"67.2875"</f>
        <v>67.2875</v>
      </c>
    </row>
    <row r="1862" spans="1:3" x14ac:dyDescent="0.25">
      <c r="A1862" t="str">
        <f>"14/02/2017"</f>
        <v>14/02/2017</v>
      </c>
      <c r="B1862" t="str">
        <f>"66.9225"</f>
        <v>66.9225</v>
      </c>
      <c r="C1862" t="str">
        <f>"67.1825"</f>
        <v>67.1825</v>
      </c>
    </row>
    <row r="1863" spans="1:3" x14ac:dyDescent="0.25">
      <c r="A1863" t="str">
        <f>"15/02/2017"</f>
        <v>15/02/2017</v>
      </c>
      <c r="B1863" t="str">
        <f>"66.91"</f>
        <v>66.91</v>
      </c>
      <c r="C1863" t="str">
        <f>"67.1625"</f>
        <v>67.1625</v>
      </c>
    </row>
    <row r="1864" spans="1:3" x14ac:dyDescent="0.25">
      <c r="A1864" t="str">
        <f>"16/02/2017"</f>
        <v>16/02/2017</v>
      </c>
      <c r="B1864" t="str">
        <f>"67.0775"</f>
        <v>67.0775</v>
      </c>
      <c r="C1864" t="str">
        <f>"67.34"</f>
        <v>67.34</v>
      </c>
    </row>
    <row r="1865" spans="1:3" x14ac:dyDescent="0.25">
      <c r="A1865" t="str">
        <f>"17/02/2017"</f>
        <v>17/02/2017</v>
      </c>
      <c r="B1865" t="str">
        <f>"67.025"</f>
        <v>67.025</v>
      </c>
      <c r="C1865" t="str">
        <f>"67.2975"</f>
        <v>67.2975</v>
      </c>
    </row>
    <row r="1866" spans="1:3" x14ac:dyDescent="0.25">
      <c r="A1866" t="str">
        <f>"20/02/2017"</f>
        <v>20/02/2017</v>
      </c>
      <c r="B1866" t="str">
        <f>"66.93"</f>
        <v>66.93</v>
      </c>
      <c r="C1866" t="str">
        <f>"67.1975"</f>
        <v>67.1975</v>
      </c>
    </row>
    <row r="1867" spans="1:3" x14ac:dyDescent="0.25">
      <c r="A1867" t="str">
        <f>"22/02/2017"</f>
        <v>22/02/2017</v>
      </c>
      <c r="B1867" t="str">
        <f>"66.9725"</f>
        <v>66.9725</v>
      </c>
      <c r="C1867" t="str">
        <f>"67.2375"</f>
        <v>67.2375</v>
      </c>
    </row>
    <row r="1868" spans="1:3" x14ac:dyDescent="0.25">
      <c r="A1868" t="str">
        <f>"23/02/2017"</f>
        <v>23/02/2017</v>
      </c>
      <c r="B1868" t="str">
        <f>"66.83"</f>
        <v>66.83</v>
      </c>
      <c r="C1868" t="str">
        <f>"67.1075"</f>
        <v>67.1075</v>
      </c>
    </row>
    <row r="1869" spans="1:3" x14ac:dyDescent="0.25">
      <c r="A1869" t="str">
        <f>"27/02/2017"</f>
        <v>27/02/2017</v>
      </c>
      <c r="B1869" t="str">
        <f>"66.7125"</f>
        <v>66.7125</v>
      </c>
      <c r="C1869" t="str">
        <f>"67.01"</f>
        <v>67.01</v>
      </c>
    </row>
    <row r="1870" spans="1:3" x14ac:dyDescent="0.25">
      <c r="A1870" t="str">
        <f>"28/02/2017"</f>
        <v>28/02/2017</v>
      </c>
      <c r="B1870" t="str">
        <f>"66.695"</f>
        <v>66.695</v>
      </c>
      <c r="C1870" t="str">
        <f>"66.9825"</f>
        <v>66.9825</v>
      </c>
    </row>
    <row r="1871" spans="1:3" x14ac:dyDescent="0.25">
      <c r="A1871" t="str">
        <f>"01/03/2017"</f>
        <v>01/03/2017</v>
      </c>
      <c r="B1871" t="str">
        <f>"66.83"</f>
        <v>66.83</v>
      </c>
      <c r="C1871" t="str">
        <f>"67.1125"</f>
        <v>67.1125</v>
      </c>
    </row>
    <row r="1872" spans="1:3" x14ac:dyDescent="0.25">
      <c r="A1872" t="str">
        <f>"02/03/2017"</f>
        <v>02/03/2017</v>
      </c>
      <c r="B1872" t="str">
        <f>"66.715"</f>
        <v>66.715</v>
      </c>
      <c r="C1872" t="str">
        <f>"67.01"</f>
        <v>67.01</v>
      </c>
    </row>
    <row r="1873" spans="1:3" x14ac:dyDescent="0.25">
      <c r="A1873" t="str">
        <f>"03/03/2017"</f>
        <v>03/03/2017</v>
      </c>
      <c r="B1873" t="str">
        <f>"66.85"</f>
        <v>66.85</v>
      </c>
      <c r="C1873" t="str">
        <f>"67.145"</f>
        <v>67.145</v>
      </c>
    </row>
    <row r="1874" spans="1:3" x14ac:dyDescent="0.25">
      <c r="A1874" t="str">
        <f>"06/03/2017"</f>
        <v>06/03/2017</v>
      </c>
      <c r="B1874" t="str">
        <f>"66.72"</f>
        <v>66.72</v>
      </c>
      <c r="C1874" t="str">
        <f>"67.035"</f>
        <v>67.035</v>
      </c>
    </row>
    <row r="1875" spans="1:3" x14ac:dyDescent="0.25">
      <c r="A1875" t="str">
        <f>"07/03/2017"</f>
        <v>07/03/2017</v>
      </c>
      <c r="B1875" t="str">
        <f>"66.6775"</f>
        <v>66.6775</v>
      </c>
      <c r="C1875" t="str">
        <f>"66.98"</f>
        <v>66.98</v>
      </c>
    </row>
    <row r="1876" spans="1:3" x14ac:dyDescent="0.25">
      <c r="A1876" t="str">
        <f>"08/03/2017"</f>
        <v>08/03/2017</v>
      </c>
      <c r="B1876" t="str">
        <f>"66.705"</f>
        <v>66.705</v>
      </c>
      <c r="C1876" t="str">
        <f>"66.9975"</f>
        <v>66.9975</v>
      </c>
    </row>
    <row r="1877" spans="1:3" x14ac:dyDescent="0.25">
      <c r="A1877" t="str">
        <f>"09/03/2017"</f>
        <v>09/03/2017</v>
      </c>
      <c r="B1877" t="str">
        <f>"66.72"</f>
        <v>66.72</v>
      </c>
      <c r="C1877" t="str">
        <f>"67.0425"</f>
        <v>67.0425</v>
      </c>
    </row>
    <row r="1878" spans="1:3" x14ac:dyDescent="0.25">
      <c r="A1878" t="str">
        <f>"10/03/2017"</f>
        <v>10/03/2017</v>
      </c>
      <c r="B1878" t="str">
        <f>"66.61"</f>
        <v>66.61</v>
      </c>
      <c r="C1878" t="str">
        <f>"66.925"</f>
        <v>66.925</v>
      </c>
    </row>
    <row r="1879" spans="1:3" x14ac:dyDescent="0.25">
      <c r="A1879" t="str">
        <f>"14/03/2017"</f>
        <v>14/03/2017</v>
      </c>
      <c r="B1879" t="str">
        <f>"65.8225"</f>
        <v>65.8225</v>
      </c>
      <c r="C1879" t="str">
        <f>"66.1375"</f>
        <v>66.1375</v>
      </c>
    </row>
    <row r="1880" spans="1:3" x14ac:dyDescent="0.25">
      <c r="A1880" t="str">
        <f>"15/03/2017"</f>
        <v>15/03/2017</v>
      </c>
      <c r="B1880" t="str">
        <f>"65.42"</f>
        <v>65.42</v>
      </c>
      <c r="C1880" t="str">
        <f>"65.73"</f>
        <v>65.73</v>
      </c>
    </row>
    <row r="1881" spans="1:3" x14ac:dyDescent="0.25">
      <c r="A1881" t="str">
        <f>"16/03/2017"</f>
        <v>16/03/2017</v>
      </c>
      <c r="B1881" t="str">
        <f>"65.4125"</f>
        <v>65.4125</v>
      </c>
      <c r="C1881" t="str">
        <f>"65.7225"</f>
        <v>65.7225</v>
      </c>
    </row>
    <row r="1882" spans="1:3" x14ac:dyDescent="0.25">
      <c r="A1882" t="str">
        <f>"17/03/2017"</f>
        <v>17/03/2017</v>
      </c>
      <c r="B1882" t="str">
        <f>"65.48"</f>
        <v>65.48</v>
      </c>
      <c r="C1882" t="str">
        <f>"65.795"</f>
        <v>65.795</v>
      </c>
    </row>
    <row r="1883" spans="1:3" x14ac:dyDescent="0.25">
      <c r="A1883" t="str">
        <f>"20/03/2017"</f>
        <v>20/03/2017</v>
      </c>
      <c r="B1883" t="str">
        <f>"65.365"</f>
        <v>65.365</v>
      </c>
      <c r="C1883" t="str">
        <f>"65.705"</f>
        <v>65.705</v>
      </c>
    </row>
    <row r="1884" spans="1:3" x14ac:dyDescent="0.25">
      <c r="A1884" t="str">
        <f>"21/03/2017"</f>
        <v>21/03/2017</v>
      </c>
      <c r="B1884" t="str">
        <f>"65.285"</f>
        <v>65.285</v>
      </c>
      <c r="C1884" t="str">
        <f>"65.61"</f>
        <v>65.61</v>
      </c>
    </row>
    <row r="1885" spans="1:3" x14ac:dyDescent="0.25">
      <c r="A1885" t="str">
        <f>"22/03/2017"</f>
        <v>22/03/2017</v>
      </c>
      <c r="B1885" t="str">
        <f>"65.445"</f>
        <v>65.445</v>
      </c>
      <c r="C1885" t="str">
        <f>"65.76"</f>
        <v>65.76</v>
      </c>
    </row>
    <row r="1886" spans="1:3" x14ac:dyDescent="0.25">
      <c r="A1886" t="str">
        <f>"23/03/2017"</f>
        <v>23/03/2017</v>
      </c>
      <c r="B1886" t="str">
        <f>"65.415"</f>
        <v>65.415</v>
      </c>
      <c r="C1886" t="str">
        <f>"65.7225"</f>
        <v>65.7225</v>
      </c>
    </row>
    <row r="1887" spans="1:3" x14ac:dyDescent="0.25">
      <c r="A1887" t="str">
        <f>"24/03/2017"</f>
        <v>24/03/2017</v>
      </c>
      <c r="B1887" t="str">
        <f>"65.42"</f>
        <v>65.42</v>
      </c>
      <c r="C1887" t="str">
        <f>"65.7125"</f>
        <v>65.7125</v>
      </c>
    </row>
    <row r="1888" spans="1:3" x14ac:dyDescent="0.25">
      <c r="A1888" t="str">
        <f>"27/03/2017"</f>
        <v>27/03/2017</v>
      </c>
      <c r="B1888" t="str">
        <f>"65.05"</f>
        <v>65.05</v>
      </c>
      <c r="C1888" t="str">
        <f>"65.335"</f>
        <v>65.335</v>
      </c>
    </row>
    <row r="1889" spans="1:3" x14ac:dyDescent="0.25">
      <c r="A1889" t="str">
        <f>"29/03/2017"</f>
        <v>29/03/2017</v>
      </c>
      <c r="B1889" t="str">
        <f>"64.915"</f>
        <v>64.915</v>
      </c>
      <c r="C1889" t="str">
        <f>"65.185"</f>
        <v>65.185</v>
      </c>
    </row>
    <row r="1890" spans="1:3" x14ac:dyDescent="0.25">
      <c r="A1890" t="str">
        <f>"30/03/2017"</f>
        <v>30/03/2017</v>
      </c>
      <c r="B1890" t="str">
        <f>"64.92"</f>
        <v>64.92</v>
      </c>
      <c r="C1890" t="str">
        <f>"65.20"</f>
        <v>65.20</v>
      </c>
    </row>
    <row r="1891" spans="1:3" x14ac:dyDescent="0.25">
      <c r="A1891" t="str">
        <f>"31/03/2017"</f>
        <v>31/03/2017</v>
      </c>
      <c r="B1891" t="str">
        <f>"64.855"</f>
        <v>64.855</v>
      </c>
      <c r="C1891" t="str">
        <f>"65.1325"</f>
        <v>65.1325</v>
      </c>
    </row>
    <row r="1892" spans="1:3" x14ac:dyDescent="0.25">
      <c r="A1892" t="str">
        <f>"03/04/2017"</f>
        <v>03/04/2017</v>
      </c>
      <c r="B1892" t="str">
        <f>"65.03"</f>
        <v>65.03</v>
      </c>
      <c r="C1892" t="str">
        <f>"65.33"</f>
        <v>65.33</v>
      </c>
    </row>
    <row r="1893" spans="1:3" x14ac:dyDescent="0.25">
      <c r="A1893" t="str">
        <f>"05/04/2017"</f>
        <v>05/04/2017</v>
      </c>
      <c r="B1893" t="str">
        <f>"64.8875"</f>
        <v>64.8875</v>
      </c>
      <c r="C1893" t="str">
        <f>"65.19"</f>
        <v>65.19</v>
      </c>
    </row>
    <row r="1894" spans="1:3" x14ac:dyDescent="0.25">
      <c r="A1894" t="str">
        <f>"06/04/2017"</f>
        <v>06/04/2017</v>
      </c>
      <c r="B1894" t="str">
        <f>"64.5375"</f>
        <v>64.5375</v>
      </c>
      <c r="C1894" t="str">
        <f>"64.8425"</f>
        <v>64.8425</v>
      </c>
    </row>
    <row r="1895" spans="1:3" x14ac:dyDescent="0.25">
      <c r="A1895" t="str">
        <f>"07/04/2017"</f>
        <v>07/04/2017</v>
      </c>
      <c r="B1895" t="str">
        <f>"64.285"</f>
        <v>64.285</v>
      </c>
      <c r="C1895" t="str">
        <f>"64.58"</f>
        <v>64.58</v>
      </c>
    </row>
    <row r="1896" spans="1:3" x14ac:dyDescent="0.25">
      <c r="A1896" t="str">
        <f>"10/04/2017"</f>
        <v>10/04/2017</v>
      </c>
      <c r="B1896" t="str">
        <f>"64.485"</f>
        <v>64.485</v>
      </c>
      <c r="C1896" t="str">
        <f>"64.7775"</f>
        <v>64.7775</v>
      </c>
    </row>
    <row r="1897" spans="1:3" x14ac:dyDescent="0.25">
      <c r="A1897" t="str">
        <f>"11/04/2017"</f>
        <v>11/04/2017</v>
      </c>
      <c r="B1897" t="str">
        <f>"64.505"</f>
        <v>64.505</v>
      </c>
      <c r="C1897" t="str">
        <f>"64.82"</f>
        <v>64.82</v>
      </c>
    </row>
    <row r="1898" spans="1:3" x14ac:dyDescent="0.25">
      <c r="A1898" t="str">
        <f>"12/04/2017"</f>
        <v>12/04/2017</v>
      </c>
      <c r="B1898" t="str">
        <f>"64.70"</f>
        <v>64.70</v>
      </c>
      <c r="C1898" t="str">
        <f>"64.99"</f>
        <v>64.99</v>
      </c>
    </row>
    <row r="1899" spans="1:3" x14ac:dyDescent="0.25">
      <c r="A1899" t="str">
        <f>"13/04/2017"</f>
        <v>13/04/2017</v>
      </c>
      <c r="B1899" t="str">
        <f>"64.415"</f>
        <v>64.415</v>
      </c>
      <c r="C1899" t="str">
        <f>"64.705"</f>
        <v>64.705</v>
      </c>
    </row>
    <row r="1900" spans="1:3" x14ac:dyDescent="0.25">
      <c r="A1900" t="str">
        <f>"17/04/2017"</f>
        <v>17/04/2017</v>
      </c>
      <c r="B1900" t="str">
        <f>"64.52"</f>
        <v>64.52</v>
      </c>
      <c r="C1900" t="str">
        <f>"64.81"</f>
        <v>64.81</v>
      </c>
    </row>
    <row r="1901" spans="1:3" x14ac:dyDescent="0.25">
      <c r="A1901" t="str">
        <f>"18/04/2017"</f>
        <v>18/04/2017</v>
      </c>
      <c r="B1901" t="str">
        <f>"64.6325"</f>
        <v>64.6325</v>
      </c>
      <c r="C1901" t="str">
        <f>"64.9375"</f>
        <v>64.9375</v>
      </c>
    </row>
    <row r="1902" spans="1:3" x14ac:dyDescent="0.25">
      <c r="A1902" t="str">
        <f>"19/04/2017"</f>
        <v>19/04/2017</v>
      </c>
      <c r="B1902" t="str">
        <f>"64.5675"</f>
        <v>64.5675</v>
      </c>
      <c r="C1902" t="str">
        <f>"64.865"</f>
        <v>64.865</v>
      </c>
    </row>
    <row r="1903" spans="1:3" x14ac:dyDescent="0.25">
      <c r="A1903" t="str">
        <f>"20/04/2017"</f>
        <v>20/04/2017</v>
      </c>
      <c r="B1903" t="str">
        <f>"64.565"</f>
        <v>64.565</v>
      </c>
      <c r="C1903" t="str">
        <f>"64.85"</f>
        <v>64.85</v>
      </c>
    </row>
    <row r="1904" spans="1:3" x14ac:dyDescent="0.25">
      <c r="A1904" t="str">
        <f>"21/04/2017"</f>
        <v>21/04/2017</v>
      </c>
      <c r="B1904" t="str">
        <f>"64.615"</f>
        <v>64.615</v>
      </c>
      <c r="C1904" t="str">
        <f>"64.9075"</f>
        <v>64.9075</v>
      </c>
    </row>
    <row r="1905" spans="1:3" x14ac:dyDescent="0.25">
      <c r="A1905" t="str">
        <f>"24/04/2017"</f>
        <v>24/04/2017</v>
      </c>
      <c r="B1905" t="str">
        <f>"64.4425"</f>
        <v>64.4425</v>
      </c>
      <c r="C1905" t="str">
        <f>"64.73"</f>
        <v>64.73</v>
      </c>
    </row>
    <row r="1906" spans="1:3" x14ac:dyDescent="0.25">
      <c r="A1906" t="str">
        <f>"25/04/2017"</f>
        <v>25/04/2017</v>
      </c>
      <c r="B1906" t="str">
        <f>"64.275"</f>
        <v>64.275</v>
      </c>
      <c r="C1906" t="str">
        <f>"64.59"</f>
        <v>64.59</v>
      </c>
    </row>
    <row r="1907" spans="1:3" x14ac:dyDescent="0.25">
      <c r="A1907" t="str">
        <f>"26/04/2017"</f>
        <v>26/04/2017</v>
      </c>
      <c r="B1907" t="str">
        <f>"64.12"</f>
        <v>64.12</v>
      </c>
      <c r="C1907" t="str">
        <f>"64.43"</f>
        <v>64.43</v>
      </c>
    </row>
    <row r="1908" spans="1:3" x14ac:dyDescent="0.25">
      <c r="A1908" t="str">
        <f>"27/04/2017"</f>
        <v>27/04/2017</v>
      </c>
      <c r="B1908" t="str">
        <f>"64.16"</f>
        <v>64.16</v>
      </c>
      <c r="C1908" t="str">
        <f>"64.4525"</f>
        <v>64.4525</v>
      </c>
    </row>
    <row r="1909" spans="1:3" x14ac:dyDescent="0.25">
      <c r="A1909" t="str">
        <f>"28/04/2017"</f>
        <v>28/04/2017</v>
      </c>
      <c r="B1909" t="str">
        <f>"64.25"</f>
        <v>64.25</v>
      </c>
      <c r="C1909" t="str">
        <f>"64.5575"</f>
        <v>64.5575</v>
      </c>
    </row>
    <row r="1910" spans="1:3" x14ac:dyDescent="0.25">
      <c r="A1910" t="str">
        <f>"02/05/2017"</f>
        <v>02/05/2017</v>
      </c>
      <c r="B1910" t="str">
        <f>"64.2175"</f>
        <v>64.2175</v>
      </c>
      <c r="C1910" t="str">
        <f>"64.515"</f>
        <v>64.515</v>
      </c>
    </row>
    <row r="1911" spans="1:3" x14ac:dyDescent="0.25">
      <c r="A1911" t="str">
        <f>"03/05/2017"</f>
        <v>03/05/2017</v>
      </c>
      <c r="B1911" t="str">
        <f>"64.1525"</f>
        <v>64.1525</v>
      </c>
      <c r="C1911" t="str">
        <f>"64.435"</f>
        <v>64.435</v>
      </c>
    </row>
    <row r="1912" spans="1:3" x14ac:dyDescent="0.25">
      <c r="A1912" t="str">
        <f>"04/05/2017"</f>
        <v>04/05/2017</v>
      </c>
      <c r="B1912" t="str">
        <f>"64.2175"</f>
        <v>64.2175</v>
      </c>
      <c r="C1912" t="str">
        <f>"64.4975"</f>
        <v>64.4975</v>
      </c>
    </row>
    <row r="1913" spans="1:3" x14ac:dyDescent="0.25">
      <c r="A1913" t="str">
        <f>"05/05/2017"</f>
        <v>05/05/2017</v>
      </c>
      <c r="B1913" t="str">
        <f>"64.38"</f>
        <v>64.38</v>
      </c>
      <c r="C1913" t="str">
        <f>"64.66"</f>
        <v>64.66</v>
      </c>
    </row>
    <row r="1914" spans="1:3" x14ac:dyDescent="0.25">
      <c r="A1914" t="str">
        <f>"08/05/2017"</f>
        <v>08/05/2017</v>
      </c>
      <c r="B1914" t="str">
        <f>"64.31"</f>
        <v>64.31</v>
      </c>
      <c r="C1914" t="str">
        <f>"64.6025"</f>
        <v>64.6025</v>
      </c>
    </row>
    <row r="1915" spans="1:3" x14ac:dyDescent="0.25">
      <c r="A1915" t="str">
        <f>"09/05/2017"</f>
        <v>09/05/2017</v>
      </c>
      <c r="B1915" t="str">
        <f>"64.49"</f>
        <v>64.49</v>
      </c>
      <c r="C1915" t="str">
        <f>"64.775"</f>
        <v>64.775</v>
      </c>
    </row>
    <row r="1916" spans="1:3" x14ac:dyDescent="0.25">
      <c r="A1916" t="str">
        <f>"11/05/2017"</f>
        <v>11/05/2017</v>
      </c>
      <c r="B1916" t="str">
        <f>"64.38"</f>
        <v>64.38</v>
      </c>
      <c r="C1916" t="str">
        <f>"64.665"</f>
        <v>64.665</v>
      </c>
    </row>
    <row r="1917" spans="1:3" x14ac:dyDescent="0.25">
      <c r="A1917" t="str">
        <f>"12/05/2017"</f>
        <v>12/05/2017</v>
      </c>
      <c r="B1917" t="str">
        <f>"64.315"</f>
        <v>64.315</v>
      </c>
      <c r="C1917" t="str">
        <f>"64.60"</f>
        <v>64.60</v>
      </c>
    </row>
    <row r="1918" spans="1:3" x14ac:dyDescent="0.25">
      <c r="A1918" t="str">
        <f>"15/05/2017"</f>
        <v>15/05/2017</v>
      </c>
      <c r="B1918" t="str">
        <f>"64.065"</f>
        <v>64.065</v>
      </c>
      <c r="C1918" t="str">
        <f>"64.3675"</f>
        <v>64.3675</v>
      </c>
    </row>
    <row r="1919" spans="1:3" x14ac:dyDescent="0.25">
      <c r="A1919" t="str">
        <f>"16/05/2017"</f>
        <v>16/05/2017</v>
      </c>
      <c r="B1919" t="str">
        <f>"64.085"</f>
        <v>64.085</v>
      </c>
      <c r="C1919" t="str">
        <f>"64.38"</f>
        <v>64.38</v>
      </c>
    </row>
    <row r="1920" spans="1:3" x14ac:dyDescent="0.25">
      <c r="A1920" t="str">
        <f>"17/05/2017"</f>
        <v>17/05/2017</v>
      </c>
      <c r="B1920" t="str">
        <f>"64.1625"</f>
        <v>64.1625</v>
      </c>
      <c r="C1920" t="str">
        <f>"64.4475"</f>
        <v>64.4475</v>
      </c>
    </row>
    <row r="1921" spans="1:3" x14ac:dyDescent="0.25">
      <c r="A1921" t="str">
        <f>"18/05/2017"</f>
        <v>18/05/2017</v>
      </c>
      <c r="B1921" t="str">
        <f>"64.85"</f>
        <v>64.85</v>
      </c>
      <c r="C1921" t="str">
        <f>"65.135"</f>
        <v>65.135</v>
      </c>
    </row>
    <row r="1922" spans="1:3" x14ac:dyDescent="0.25">
      <c r="A1922" t="str">
        <f>"19/05/2017"</f>
        <v>19/05/2017</v>
      </c>
      <c r="B1922" t="str">
        <f>"64.6425"</f>
        <v>64.6425</v>
      </c>
      <c r="C1922" t="str">
        <f>"64.9275"</f>
        <v>64.9275</v>
      </c>
    </row>
    <row r="1923" spans="1:3" x14ac:dyDescent="0.25">
      <c r="A1923" t="str">
        <f>"22/05/2017"</f>
        <v>22/05/2017</v>
      </c>
      <c r="B1923" t="str">
        <f>"64.555"</f>
        <v>64.555</v>
      </c>
      <c r="C1923" t="str">
        <f>"64.86"</f>
        <v>64.86</v>
      </c>
    </row>
    <row r="1924" spans="1:3" x14ac:dyDescent="0.25">
      <c r="A1924" t="str">
        <f>"23/05/2017"</f>
        <v>23/05/2017</v>
      </c>
      <c r="B1924" t="str">
        <f>"64.895"</f>
        <v>64.895</v>
      </c>
      <c r="C1924" t="str">
        <f>"65.1925"</f>
        <v>65.1925</v>
      </c>
    </row>
    <row r="1925" spans="1:3" x14ac:dyDescent="0.25">
      <c r="A1925" t="str">
        <f>"24/05/2017"</f>
        <v>24/05/2017</v>
      </c>
      <c r="B1925" t="str">
        <f>"64.75"</f>
        <v>64.75</v>
      </c>
      <c r="C1925" t="str">
        <f>"65.0375"</f>
        <v>65.0375</v>
      </c>
    </row>
    <row r="1926" spans="1:3" x14ac:dyDescent="0.25">
      <c r="A1926" t="str">
        <f>"25/05/2017"</f>
        <v>25/05/2017</v>
      </c>
      <c r="B1926" t="str">
        <f>"64.6275"</f>
        <v>64.6275</v>
      </c>
      <c r="C1926" t="str">
        <f>"64.90"</f>
        <v>64.90</v>
      </c>
    </row>
    <row r="1927" spans="1:3" x14ac:dyDescent="0.25">
      <c r="A1927" t="str">
        <f>"26/05/2017"</f>
        <v>26/05/2017</v>
      </c>
      <c r="B1927" t="str">
        <f>"64.45"</f>
        <v>64.45</v>
      </c>
      <c r="C1927" t="str">
        <f>"64.7225"</f>
        <v>64.7225</v>
      </c>
    </row>
    <row r="1928" spans="1:3" x14ac:dyDescent="0.25">
      <c r="A1928" t="str">
        <f>"29/05/2017"</f>
        <v>29/05/2017</v>
      </c>
      <c r="B1928" t="str">
        <f>"64.50"</f>
        <v>64.50</v>
      </c>
      <c r="C1928" t="str">
        <f>"64.765"</f>
        <v>64.765</v>
      </c>
    </row>
    <row r="1929" spans="1:3" x14ac:dyDescent="0.25">
      <c r="A1929" t="str">
        <f>"30/05/2017"</f>
        <v>30/05/2017</v>
      </c>
      <c r="B1929" t="str">
        <f>"64.67"</f>
        <v>64.67</v>
      </c>
      <c r="C1929" t="str">
        <f>"64.9475"</f>
        <v>64.9475</v>
      </c>
    </row>
    <row r="1930" spans="1:3" x14ac:dyDescent="0.25">
      <c r="A1930" t="str">
        <f>"31/05/2017"</f>
        <v>31/05/2017</v>
      </c>
      <c r="B1930" t="str">
        <f>"64.5175"</f>
        <v>64.5175</v>
      </c>
      <c r="C1930" t="str">
        <f>"64.785"</f>
        <v>64.785</v>
      </c>
    </row>
    <row r="1931" spans="1:3" x14ac:dyDescent="0.25">
      <c r="A1931" t="str">
        <f>"01/06/2017"</f>
        <v>01/06/2017</v>
      </c>
      <c r="B1931" t="str">
        <f>"64.4825"</f>
        <v>64.4825</v>
      </c>
      <c r="C1931" t="str">
        <f>"64.745"</f>
        <v>64.745</v>
      </c>
    </row>
    <row r="1932" spans="1:3" x14ac:dyDescent="0.25">
      <c r="A1932" t="str">
        <f>"02/06/2017"</f>
        <v>02/06/2017</v>
      </c>
      <c r="B1932" t="str">
        <f>"64.4475"</f>
        <v>64.4475</v>
      </c>
      <c r="C1932" t="str">
        <f>"64.7075"</f>
        <v>64.7075</v>
      </c>
    </row>
    <row r="1933" spans="1:3" x14ac:dyDescent="0.25">
      <c r="A1933" t="str">
        <f>"05/06/2017"</f>
        <v>05/06/2017</v>
      </c>
      <c r="B1933" t="str">
        <f>"64.37"</f>
        <v>64.37</v>
      </c>
      <c r="C1933" t="str">
        <f>"64.63"</f>
        <v>64.63</v>
      </c>
    </row>
    <row r="1934" spans="1:3" x14ac:dyDescent="0.25">
      <c r="A1934" t="str">
        <f>"06/06/2017"</f>
        <v>06/06/2017</v>
      </c>
      <c r="B1934" t="str">
        <f>"64.4325"</f>
        <v>64.4325</v>
      </c>
      <c r="C1934" t="str">
        <f>"64.71"</f>
        <v>64.71</v>
      </c>
    </row>
    <row r="1935" spans="1:3" x14ac:dyDescent="0.25">
      <c r="A1935" t="str">
        <f>"07/06/2017"</f>
        <v>07/06/2017</v>
      </c>
      <c r="B1935" t="str">
        <f>"64.3375"</f>
        <v>64.3375</v>
      </c>
      <c r="C1935" t="str">
        <f>"64.605"</f>
        <v>64.605</v>
      </c>
    </row>
    <row r="1936" spans="1:3" x14ac:dyDescent="0.25">
      <c r="A1936" t="str">
        <f>"08/06/2017"</f>
        <v>08/06/2017</v>
      </c>
      <c r="B1936" t="str">
        <f>"64.42"</f>
        <v>64.42</v>
      </c>
      <c r="C1936" t="str">
        <f>"64.6775"</f>
        <v>64.6775</v>
      </c>
    </row>
    <row r="1937" spans="1:3" x14ac:dyDescent="0.25">
      <c r="A1937" t="str">
        <f>"09/06/2017"</f>
        <v>09/06/2017</v>
      </c>
      <c r="B1937" t="str">
        <f>"64.255"</f>
        <v>64.255</v>
      </c>
      <c r="C1937" t="str">
        <f>"64.5175"</f>
        <v>64.5175</v>
      </c>
    </row>
    <row r="1938" spans="1:3" x14ac:dyDescent="0.25">
      <c r="A1938" t="str">
        <f>"12/06/2017"</f>
        <v>12/06/2017</v>
      </c>
      <c r="B1938" t="str">
        <f>"64.4475"</f>
        <v>64.4475</v>
      </c>
      <c r="C1938" t="str">
        <f>"64.71"</f>
        <v>64.71</v>
      </c>
    </row>
    <row r="1939" spans="1:3" x14ac:dyDescent="0.25">
      <c r="A1939" t="str">
        <f>"13/06/2017"</f>
        <v>13/06/2017</v>
      </c>
      <c r="B1939" t="str">
        <f>"64.3425"</f>
        <v>64.3425</v>
      </c>
      <c r="C1939" t="str">
        <f>"64.6225"</f>
        <v>64.6225</v>
      </c>
    </row>
    <row r="1940" spans="1:3" x14ac:dyDescent="0.25">
      <c r="A1940" t="str">
        <f>"14/06/2017"</f>
        <v>14/06/2017</v>
      </c>
      <c r="B1940" t="str">
        <f>"64.30"</f>
        <v>64.30</v>
      </c>
      <c r="C1940" t="str">
        <f>"64.57"</f>
        <v>64.57</v>
      </c>
    </row>
    <row r="1941" spans="1:3" x14ac:dyDescent="0.25">
      <c r="A1941" t="str">
        <f>"15/06/2017"</f>
        <v>15/06/2017</v>
      </c>
      <c r="B1941" t="str">
        <f>"64.54"</f>
        <v>64.54</v>
      </c>
      <c r="C1941" t="str">
        <f>"64.805"</f>
        <v>64.805</v>
      </c>
    </row>
    <row r="1942" spans="1:3" x14ac:dyDescent="0.25">
      <c r="A1942" t="str">
        <f>"16/06/2017"</f>
        <v>16/06/2017</v>
      </c>
      <c r="B1942" t="str">
        <f>"64.4325"</f>
        <v>64.4325</v>
      </c>
      <c r="C1942" t="str">
        <f>"64.70"</f>
        <v>64.70</v>
      </c>
    </row>
    <row r="1943" spans="1:3" x14ac:dyDescent="0.25">
      <c r="A1943" t="str">
        <f>"19/06/2017"</f>
        <v>19/06/2017</v>
      </c>
      <c r="B1943" t="str">
        <f>"64.3725"</f>
        <v>64.3725</v>
      </c>
      <c r="C1943" t="str">
        <f>"64.64"</f>
        <v>64.64</v>
      </c>
    </row>
    <row r="1944" spans="1:3" x14ac:dyDescent="0.25">
      <c r="A1944" t="str">
        <f>"20/06/2017"</f>
        <v>20/06/2017</v>
      </c>
      <c r="B1944" t="str">
        <f>"64.505"</f>
        <v>64.505</v>
      </c>
      <c r="C1944" t="str">
        <f>"64.785"</f>
        <v>64.785</v>
      </c>
    </row>
    <row r="1945" spans="1:3" x14ac:dyDescent="0.25">
      <c r="A1945" t="str">
        <f>"21/06/2017"</f>
        <v>21/06/2017</v>
      </c>
      <c r="B1945" t="str">
        <f>"64.5275"</f>
        <v>64.5275</v>
      </c>
      <c r="C1945" t="str">
        <f>"64.80"</f>
        <v>64.80</v>
      </c>
    </row>
    <row r="1946" spans="1:3" x14ac:dyDescent="0.25">
      <c r="A1946" t="str">
        <f>"22/06/2017"</f>
        <v>22/06/2017</v>
      </c>
      <c r="B1946" t="str">
        <f>"64.60"</f>
        <v>64.60</v>
      </c>
      <c r="C1946" t="str">
        <f>"64.8625"</f>
        <v>64.8625</v>
      </c>
    </row>
    <row r="1947" spans="1:3" x14ac:dyDescent="0.25">
      <c r="A1947" t="str">
        <f>"23/06/2017"</f>
        <v>23/06/2017</v>
      </c>
      <c r="B1947" t="str">
        <f>"64.5225"</f>
        <v>64.5225</v>
      </c>
      <c r="C1947" t="str">
        <f>"64.785"</f>
        <v>64.785</v>
      </c>
    </row>
    <row r="1948" spans="1:3" x14ac:dyDescent="0.25">
      <c r="A1948" t="str">
        <f>"27/06/2017"</f>
        <v>27/06/2017</v>
      </c>
      <c r="B1948" t="str">
        <f>"64.4475"</f>
        <v>64.4475</v>
      </c>
      <c r="C1948" t="str">
        <f>"64.7175"</f>
        <v>64.7175</v>
      </c>
    </row>
    <row r="1949" spans="1:3" x14ac:dyDescent="0.25">
      <c r="A1949" t="str">
        <f>"28/06/2017"</f>
        <v>28/06/2017</v>
      </c>
      <c r="B1949" t="str">
        <f>"64.555"</f>
        <v>64.555</v>
      </c>
      <c r="C1949" t="str">
        <f>"64.825"</f>
        <v>64.825</v>
      </c>
    </row>
    <row r="1950" spans="1:3" x14ac:dyDescent="0.25">
      <c r="A1950" t="str">
        <f>"29/06/2017"</f>
        <v>29/06/2017</v>
      </c>
      <c r="B1950" t="str">
        <f>"64.6325"</f>
        <v>64.6325</v>
      </c>
      <c r="C1950" t="str">
        <f>"64.90"</f>
        <v>64.90</v>
      </c>
    </row>
    <row r="1951" spans="1:3" x14ac:dyDescent="0.25">
      <c r="A1951" t="str">
        <f>"30/06/2017"</f>
        <v>30/06/2017</v>
      </c>
      <c r="B1951" t="str">
        <f>"64.5825"</f>
        <v>64.5825</v>
      </c>
      <c r="C1951" t="str">
        <f>"64.865"</f>
        <v>64.865</v>
      </c>
    </row>
    <row r="1952" spans="1:3" x14ac:dyDescent="0.25">
      <c r="A1952" t="str">
        <f>"03/07/2017"</f>
        <v>03/07/2017</v>
      </c>
      <c r="B1952" t="str">
        <f>"64.88"</f>
        <v>64.88</v>
      </c>
      <c r="C1952" t="str">
        <f>"65.165"</f>
        <v>65.165</v>
      </c>
    </row>
    <row r="1953" spans="1:3" x14ac:dyDescent="0.25">
      <c r="A1953" t="str">
        <f>"04/07/2017"</f>
        <v>04/07/2017</v>
      </c>
      <c r="B1953" t="str">
        <f>"64.745"</f>
        <v>64.745</v>
      </c>
      <c r="C1953" t="str">
        <f>"65.02"</f>
        <v>65.02</v>
      </c>
    </row>
    <row r="1954" spans="1:3" x14ac:dyDescent="0.25">
      <c r="A1954" t="str">
        <f>"05/07/2017"</f>
        <v>05/07/2017</v>
      </c>
      <c r="B1954" t="str">
        <f>"64.7325"</f>
        <v>64.7325</v>
      </c>
      <c r="C1954" t="str">
        <f>"65.0025"</f>
        <v>65.0025</v>
      </c>
    </row>
    <row r="1955" spans="1:3" x14ac:dyDescent="0.25">
      <c r="A1955" t="str">
        <f>"06/07/2017"</f>
        <v>06/07/2017</v>
      </c>
      <c r="B1955" t="str">
        <f>"64.78"</f>
        <v>64.78</v>
      </c>
      <c r="C1955" t="str">
        <f>"65.045"</f>
        <v>65.045</v>
      </c>
    </row>
    <row r="1956" spans="1:3" x14ac:dyDescent="0.25">
      <c r="A1956" t="str">
        <f>"07/07/2017"</f>
        <v>07/07/2017</v>
      </c>
      <c r="B1956" t="str">
        <f>"64.7525"</f>
        <v>64.7525</v>
      </c>
      <c r="C1956" t="str">
        <f>"65.0175"</f>
        <v>65.0175</v>
      </c>
    </row>
    <row r="1957" spans="1:3" x14ac:dyDescent="0.25">
      <c r="A1957" t="str">
        <f>"10/07/2017"</f>
        <v>10/07/2017</v>
      </c>
      <c r="B1957" t="str">
        <f>"64.5425"</f>
        <v>64.5425</v>
      </c>
      <c r="C1957" t="str">
        <f>"64.8225"</f>
        <v>64.8225</v>
      </c>
    </row>
    <row r="1958" spans="1:3" x14ac:dyDescent="0.25">
      <c r="A1958" t="str">
        <f>"11/07/2017"</f>
        <v>11/07/2017</v>
      </c>
      <c r="B1958" t="str">
        <f>"64.5975"</f>
        <v>64.5975</v>
      </c>
      <c r="C1958" t="str">
        <f>"64.8725"</f>
        <v>64.8725</v>
      </c>
    </row>
    <row r="1959" spans="1:3" x14ac:dyDescent="0.25">
      <c r="A1959" t="str">
        <f>"12/07/2017"</f>
        <v>12/07/2017</v>
      </c>
      <c r="B1959" t="str">
        <f>"64.545"</f>
        <v>64.545</v>
      </c>
      <c r="C1959" t="str">
        <f>"64.815"</f>
        <v>64.815</v>
      </c>
    </row>
    <row r="1960" spans="1:3" x14ac:dyDescent="0.25">
      <c r="A1960" t="str">
        <f>"13/07/2017"</f>
        <v>13/07/2017</v>
      </c>
      <c r="B1960" t="str">
        <f>"64.4475"</f>
        <v>64.4475</v>
      </c>
      <c r="C1960" t="str">
        <f>"64.725"</f>
        <v>64.725</v>
      </c>
    </row>
    <row r="1961" spans="1:3" x14ac:dyDescent="0.25">
      <c r="A1961" t="str">
        <f>"14/07/2017"</f>
        <v>14/07/2017</v>
      </c>
      <c r="B1961" t="str">
        <f>"64.45"</f>
        <v>64.45</v>
      </c>
      <c r="C1961" t="str">
        <f>"64.72"</f>
        <v>64.72</v>
      </c>
    </row>
    <row r="1962" spans="1:3" x14ac:dyDescent="0.25">
      <c r="A1962" t="str">
        <f>"17/07/2017"</f>
        <v>17/07/2017</v>
      </c>
      <c r="B1962" t="str">
        <f>"64.3575"</f>
        <v>64.3575</v>
      </c>
      <c r="C1962" t="str">
        <f>"64.64"</f>
        <v>64.64</v>
      </c>
    </row>
    <row r="1963" spans="1:3" x14ac:dyDescent="0.25">
      <c r="A1963" t="str">
        <f>"18/07/2017"</f>
        <v>18/07/2017</v>
      </c>
      <c r="B1963" t="str">
        <f>"64.3375"</f>
        <v>64.3375</v>
      </c>
      <c r="C1963" t="str">
        <f>"64.6125"</f>
        <v>64.6125</v>
      </c>
    </row>
    <row r="1964" spans="1:3" x14ac:dyDescent="0.25">
      <c r="A1964" t="str">
        <f>"19/07/2017"</f>
        <v>19/07/2017</v>
      </c>
      <c r="B1964" t="str">
        <f>"64.2875"</f>
        <v>64.2875</v>
      </c>
      <c r="C1964" t="str">
        <f>"64.5525"</f>
        <v>64.5525</v>
      </c>
    </row>
    <row r="1965" spans="1:3" x14ac:dyDescent="0.25">
      <c r="A1965" t="str">
        <f>"20/07/2017"</f>
        <v>20/07/2017</v>
      </c>
      <c r="B1965" t="str">
        <f>"64.435"</f>
        <v>64.435</v>
      </c>
      <c r="C1965" t="str">
        <f>"64.70"</f>
        <v>64.70</v>
      </c>
    </row>
    <row r="1966" spans="1:3" x14ac:dyDescent="0.25">
      <c r="A1966" t="str">
        <f>"21/07/2017"</f>
        <v>21/07/2017</v>
      </c>
      <c r="B1966" t="str">
        <f>"64.3225"</f>
        <v>64.3225</v>
      </c>
      <c r="C1966" t="str">
        <f>"64.61"</f>
        <v>64.61</v>
      </c>
    </row>
    <row r="1967" spans="1:3" x14ac:dyDescent="0.25">
      <c r="A1967" t="str">
        <f>"24/07/2017"</f>
        <v>24/07/2017</v>
      </c>
      <c r="B1967" t="str">
        <f>"64.345"</f>
        <v>64.345</v>
      </c>
      <c r="C1967" t="str">
        <f>"64.6275"</f>
        <v>64.6275</v>
      </c>
    </row>
    <row r="1968" spans="1:3" x14ac:dyDescent="0.25">
      <c r="A1968" t="str">
        <f>"25/07/2017"</f>
        <v>25/07/2017</v>
      </c>
      <c r="B1968" t="str">
        <f>"64.385"</f>
        <v>64.385</v>
      </c>
      <c r="C1968" t="str">
        <f>"64.6525"</f>
        <v>64.6525</v>
      </c>
    </row>
    <row r="1969" spans="1:3" x14ac:dyDescent="0.25">
      <c r="A1969" t="str">
        <f>"26/07/2017"</f>
        <v>26/07/2017</v>
      </c>
      <c r="B1969" t="str">
        <f>"64.3725"</f>
        <v>64.3725</v>
      </c>
      <c r="C1969" t="str">
        <f>"64.635"</f>
        <v>64.635</v>
      </c>
    </row>
    <row r="1970" spans="1:3" x14ac:dyDescent="0.25">
      <c r="A1970" t="str">
        <f>"27/07/2017"</f>
        <v>27/07/2017</v>
      </c>
      <c r="B1970" t="str">
        <f>"64.115"</f>
        <v>64.115</v>
      </c>
      <c r="C1970" t="str">
        <f>"64.375"</f>
        <v>64.375</v>
      </c>
    </row>
    <row r="1971" spans="1:3" x14ac:dyDescent="0.25">
      <c r="A1971" t="str">
        <f>"28/07/2017"</f>
        <v>28/07/2017</v>
      </c>
      <c r="B1971" t="str">
        <f>"64.1575"</f>
        <v>64.1575</v>
      </c>
      <c r="C1971" t="str">
        <f>"64.4175"</f>
        <v>64.4175</v>
      </c>
    </row>
    <row r="1972" spans="1:3" x14ac:dyDescent="0.25">
      <c r="A1972" t="str">
        <f>"31/07/2017"</f>
        <v>31/07/2017</v>
      </c>
      <c r="B1972" t="str">
        <f>"64.1925"</f>
        <v>64.1925</v>
      </c>
      <c r="C1972" t="str">
        <f>"64.4775"</f>
        <v>64.4775</v>
      </c>
    </row>
    <row r="1973" spans="1:3" x14ac:dyDescent="0.25">
      <c r="A1973" t="str">
        <f>"01/08/2017"</f>
        <v>01/08/2017</v>
      </c>
      <c r="B1973" t="str">
        <f>"64.085"</f>
        <v>64.085</v>
      </c>
      <c r="C1973" t="str">
        <f>"64.36"</f>
        <v>64.36</v>
      </c>
    </row>
    <row r="1974" spans="1:3" x14ac:dyDescent="0.25">
      <c r="A1974" t="str">
        <f>"02/08/2017"</f>
        <v>02/08/2017</v>
      </c>
      <c r="B1974" t="str">
        <f>"63.7075"</f>
        <v>63.7075</v>
      </c>
      <c r="C1974" t="str">
        <f>"63.975"</f>
        <v>63.975</v>
      </c>
    </row>
    <row r="1975" spans="1:3" x14ac:dyDescent="0.25">
      <c r="A1975" t="str">
        <f>"03/08/2017"</f>
        <v>03/08/2017</v>
      </c>
      <c r="B1975" t="str">
        <f>"63.6975"</f>
        <v>63.6975</v>
      </c>
      <c r="C1975" t="str">
        <f>"63.955"</f>
        <v>63.955</v>
      </c>
    </row>
    <row r="1976" spans="1:3" x14ac:dyDescent="0.25">
      <c r="A1976" t="str">
        <f>"04/08/2017"</f>
        <v>04/08/2017</v>
      </c>
      <c r="B1976" t="str">
        <f>"63.5875"</f>
        <v>63.5875</v>
      </c>
      <c r="C1976" t="str">
        <f>"63.845"</f>
        <v>63.845</v>
      </c>
    </row>
    <row r="1977" spans="1:3" x14ac:dyDescent="0.25">
      <c r="A1977" t="str">
        <f>"07/08/2017"</f>
        <v>07/08/2017</v>
      </c>
      <c r="B1977" t="str">
        <f>"63.815"</f>
        <v>63.815</v>
      </c>
      <c r="C1977" t="str">
        <f>"64.0925"</f>
        <v>64.0925</v>
      </c>
    </row>
    <row r="1978" spans="1:3" x14ac:dyDescent="0.25">
      <c r="A1978" t="str">
        <f>"08/08/2017"</f>
        <v>08/08/2017</v>
      </c>
      <c r="B1978" t="str">
        <f>"63.7625"</f>
        <v>63.7625</v>
      </c>
      <c r="C1978" t="str">
        <f>"64.03"</f>
        <v>64.03</v>
      </c>
    </row>
    <row r="1979" spans="1:3" x14ac:dyDescent="0.25">
      <c r="A1979" t="str">
        <f>"09/08/2017"</f>
        <v>09/08/2017</v>
      </c>
      <c r="B1979" t="str">
        <f>"63.84"</f>
        <v>63.84</v>
      </c>
      <c r="C1979" t="str">
        <f>"64.0975"</f>
        <v>64.0975</v>
      </c>
    </row>
    <row r="1980" spans="1:3" x14ac:dyDescent="0.25">
      <c r="A1980" t="str">
        <f>"10/08/2017"</f>
        <v>10/08/2017</v>
      </c>
      <c r="B1980" t="str">
        <f>"64.085"</f>
        <v>64.085</v>
      </c>
      <c r="C1980" t="str">
        <f>"64.345"</f>
        <v>64.345</v>
      </c>
    </row>
    <row r="1981" spans="1:3" x14ac:dyDescent="0.25">
      <c r="A1981" t="str">
        <f>"11/08/2017"</f>
        <v>11/08/2017</v>
      </c>
      <c r="B1981" t="str">
        <f>"64.1425"</f>
        <v>64.1425</v>
      </c>
      <c r="C1981" t="str">
        <f>"64.415"</f>
        <v>64.415</v>
      </c>
    </row>
    <row r="1982" spans="1:3" x14ac:dyDescent="0.25">
      <c r="A1982" t="str">
        <f>"14/08/2017"</f>
        <v>14/08/2017</v>
      </c>
      <c r="B1982" t="str">
        <f>"64.1275"</f>
        <v>64.1275</v>
      </c>
      <c r="C1982" t="str">
        <f>"64.38"</f>
        <v>64.38</v>
      </c>
    </row>
    <row r="1983" spans="1:3" x14ac:dyDescent="0.25">
      <c r="A1983" t="str">
        <f>"16/08/2017"</f>
        <v>16/08/2017</v>
      </c>
      <c r="B1983" t="str">
        <f>"64.30"</f>
        <v>64.30</v>
      </c>
      <c r="C1983" t="str">
        <f>"64.5575"</f>
        <v>64.5575</v>
      </c>
    </row>
    <row r="1984" spans="1:3" x14ac:dyDescent="0.25">
      <c r="A1984" t="str">
        <f>"18/08/2017"</f>
        <v>18/08/2017</v>
      </c>
      <c r="B1984" t="str">
        <f>"64.1525"</f>
        <v>64.1525</v>
      </c>
      <c r="C1984" t="str">
        <f>"64.41"</f>
        <v>64.41</v>
      </c>
    </row>
    <row r="1985" spans="1:3" x14ac:dyDescent="0.25">
      <c r="A1985" t="str">
        <f>"21/08/2017"</f>
        <v>21/08/2017</v>
      </c>
      <c r="B1985" t="str">
        <f>"64.145"</f>
        <v>64.145</v>
      </c>
      <c r="C1985" t="str">
        <f>"64.4175"</f>
        <v>64.4175</v>
      </c>
    </row>
    <row r="1986" spans="1:3" x14ac:dyDescent="0.25">
      <c r="A1986" t="str">
        <f>"22/08/2017"</f>
        <v>22/08/2017</v>
      </c>
      <c r="B1986" t="str">
        <f>"64.11"</f>
        <v>64.11</v>
      </c>
      <c r="C1986" t="str">
        <f>"64.375"</f>
        <v>64.375</v>
      </c>
    </row>
    <row r="1987" spans="1:3" x14ac:dyDescent="0.25">
      <c r="A1987" t="str">
        <f>"23/08/2017"</f>
        <v>23/08/2017</v>
      </c>
      <c r="B1987" t="str">
        <f>"64.12"</f>
        <v>64.12</v>
      </c>
      <c r="C1987" t="str">
        <f>"64.38"</f>
        <v>64.38</v>
      </c>
    </row>
    <row r="1988" spans="1:3" x14ac:dyDescent="0.25">
      <c r="A1988" t="str">
        <f>"24/08/2017"</f>
        <v>24/08/2017</v>
      </c>
      <c r="B1988" t="str">
        <f>"64.0375"</f>
        <v>64.0375</v>
      </c>
      <c r="C1988" t="str">
        <f>"64.2925"</f>
        <v>64.2925</v>
      </c>
    </row>
    <row r="1989" spans="1:3" x14ac:dyDescent="0.25">
      <c r="A1989" t="str">
        <f>"28/08/2017"</f>
        <v>28/08/2017</v>
      </c>
      <c r="B1989" t="str">
        <f>"63.92"</f>
        <v>63.92</v>
      </c>
      <c r="C1989" t="str">
        <f>"64.165"</f>
        <v>64.165</v>
      </c>
    </row>
    <row r="1990" spans="1:3" x14ac:dyDescent="0.25">
      <c r="A1990" t="str">
        <f>"29/08/2017"</f>
        <v>29/08/2017</v>
      </c>
      <c r="B1990" t="str">
        <f>"64.0275"</f>
        <v>64.0275</v>
      </c>
      <c r="C1990" t="str">
        <f>"64.26"</f>
        <v>64.26</v>
      </c>
    </row>
    <row r="1991" spans="1:3" x14ac:dyDescent="0.25">
      <c r="A1991" t="str">
        <f>"30/08/2017"</f>
        <v>30/08/2017</v>
      </c>
      <c r="B1991" t="str">
        <f>"63.9425"</f>
        <v>63.9425</v>
      </c>
      <c r="C1991" t="str">
        <f>"64.175"</f>
        <v>64.175</v>
      </c>
    </row>
    <row r="1992" spans="1:3" x14ac:dyDescent="0.25">
      <c r="A1992" t="str">
        <f>"31/08/2017"</f>
        <v>31/08/2017</v>
      </c>
      <c r="B1992" t="str">
        <f>"63.91"</f>
        <v>63.91</v>
      </c>
      <c r="C1992" t="str">
        <f>"64.145"</f>
        <v>64.145</v>
      </c>
    </row>
    <row r="1993" spans="1:3" x14ac:dyDescent="0.25">
      <c r="A1993" t="str">
        <f>"01/09/2017"</f>
        <v>01/09/2017</v>
      </c>
      <c r="B1993" t="str">
        <f>"64.035"</f>
        <v>64.035</v>
      </c>
      <c r="C1993" t="str">
        <f>"64.2725"</f>
        <v>64.2725</v>
      </c>
    </row>
    <row r="1994" spans="1:3" x14ac:dyDescent="0.25">
      <c r="A1994" t="str">
        <f>"04/09/2017"</f>
        <v>04/09/2017</v>
      </c>
      <c r="B1994" t="str">
        <f>"63.99"</f>
        <v>63.99</v>
      </c>
      <c r="C1994" t="str">
        <f>"64.2225"</f>
        <v>64.2225</v>
      </c>
    </row>
    <row r="1995" spans="1:3" x14ac:dyDescent="0.25">
      <c r="A1995" t="str">
        <f>"05/09/2017"</f>
        <v>05/09/2017</v>
      </c>
      <c r="B1995" t="str">
        <f>"64.1375"</f>
        <v>64.1375</v>
      </c>
      <c r="C1995" t="str">
        <f>"64.3875"</f>
        <v>64.3875</v>
      </c>
    </row>
    <row r="1996" spans="1:3" x14ac:dyDescent="0.25">
      <c r="A1996" t="str">
        <f>"06/09/2017"</f>
        <v>06/09/2017</v>
      </c>
      <c r="B1996" t="str">
        <f>"64.1125"</f>
        <v>64.1125</v>
      </c>
      <c r="C1996" t="str">
        <f>"64.355"</f>
        <v>64.355</v>
      </c>
    </row>
    <row r="1997" spans="1:3" x14ac:dyDescent="0.25">
      <c r="A1997" t="str">
        <f>"07/09/2017"</f>
        <v>07/09/2017</v>
      </c>
      <c r="B1997" t="str">
        <f>"64.05"</f>
        <v>64.05</v>
      </c>
      <c r="C1997" t="str">
        <f>"64.28"</f>
        <v>64.28</v>
      </c>
    </row>
    <row r="1998" spans="1:3" x14ac:dyDescent="0.25">
      <c r="A1998" t="str">
        <f>"08/09/2017"</f>
        <v>08/09/2017</v>
      </c>
      <c r="B1998" t="str">
        <f>"63.7925"</f>
        <v>63.7925</v>
      </c>
      <c r="C1998" t="str">
        <f>"64.025"</f>
        <v>64.025</v>
      </c>
    </row>
    <row r="1999" spans="1:3" x14ac:dyDescent="0.25">
      <c r="A1999" t="str">
        <f>"11/09/2017"</f>
        <v>11/09/2017</v>
      </c>
      <c r="B1999" t="str">
        <f>"63.935"</f>
        <v>63.935</v>
      </c>
      <c r="C1999" t="str">
        <f>"64.1725"</f>
        <v>64.1725</v>
      </c>
    </row>
    <row r="2000" spans="1:3" x14ac:dyDescent="0.25">
      <c r="A2000" t="str">
        <f>"12/09/2017"</f>
        <v>12/09/2017</v>
      </c>
      <c r="B2000" t="str">
        <f>"64.05"</f>
        <v>64.05</v>
      </c>
      <c r="C2000" t="str">
        <f>"64.3025"</f>
        <v>64.3025</v>
      </c>
    </row>
    <row r="2001" spans="1:3" x14ac:dyDescent="0.25">
      <c r="A2001" t="str">
        <f>"13/09/2017"</f>
        <v>13/09/2017</v>
      </c>
      <c r="B2001" t="str">
        <f>"64.0025"</f>
        <v>64.0025</v>
      </c>
      <c r="C2001" t="str">
        <f>"64.2475"</f>
        <v>64.2475</v>
      </c>
    </row>
    <row r="2002" spans="1:3" x14ac:dyDescent="0.25">
      <c r="A2002" t="str">
        <f>"14/09/2017"</f>
        <v>14/09/2017</v>
      </c>
      <c r="B2002" t="str">
        <f>"64.1275"</f>
        <v>64.1275</v>
      </c>
      <c r="C2002" t="str">
        <f>"64.365"</f>
        <v>64.365</v>
      </c>
    </row>
    <row r="2003" spans="1:3" x14ac:dyDescent="0.25">
      <c r="A2003" t="str">
        <f>"15/09/2017"</f>
        <v>15/09/2017</v>
      </c>
      <c r="B2003" t="str">
        <f>"64.11"</f>
        <v>64.11</v>
      </c>
      <c r="C2003" t="str">
        <f>"64.3775"</f>
        <v>64.3775</v>
      </c>
    </row>
    <row r="2004" spans="1:3" x14ac:dyDescent="0.25">
      <c r="A2004" t="str">
        <f>"18/09/2017"</f>
        <v>18/09/2017</v>
      </c>
      <c r="B2004" t="str">
        <f>"64.1425"</f>
        <v>64.1425</v>
      </c>
      <c r="C2004" t="str">
        <f>"64.4075"</f>
        <v>64.4075</v>
      </c>
    </row>
    <row r="2005" spans="1:3" x14ac:dyDescent="0.25">
      <c r="A2005" t="str">
        <f>"19/09/2017"</f>
        <v>19/09/2017</v>
      </c>
      <c r="B2005" t="str">
        <f>"64.3325"</f>
        <v>64.3325</v>
      </c>
      <c r="C2005" t="str">
        <f>"64.59"</f>
        <v>64.59</v>
      </c>
    </row>
    <row r="2006" spans="1:3" x14ac:dyDescent="0.25">
      <c r="A2006" t="str">
        <f>"20/09/2017"</f>
        <v>20/09/2017</v>
      </c>
      <c r="B2006" t="str">
        <f>"64.3125"</f>
        <v>64.3125</v>
      </c>
      <c r="C2006" t="str">
        <f>"64.56"</f>
        <v>64.56</v>
      </c>
    </row>
    <row r="2007" spans="1:3" x14ac:dyDescent="0.25">
      <c r="A2007" t="str">
        <f>"21/09/2017"</f>
        <v>21/09/2017</v>
      </c>
      <c r="B2007" t="str">
        <f>"64.80"</f>
        <v>64.80</v>
      </c>
      <c r="C2007" t="str">
        <f>"65.045"</f>
        <v>65.045</v>
      </c>
    </row>
    <row r="2008" spans="1:3" x14ac:dyDescent="0.25">
      <c r="A2008" t="str">
        <f>"22/09/2017"</f>
        <v>22/09/2017</v>
      </c>
      <c r="B2008" t="str">
        <f>"64.805"</f>
        <v>64.805</v>
      </c>
      <c r="C2008" t="str">
        <f>"65.0525"</f>
        <v>65.0525</v>
      </c>
    </row>
    <row r="2009" spans="1:3" x14ac:dyDescent="0.25">
      <c r="A2009" t="str">
        <f>"25/09/2017"</f>
        <v>25/09/2017</v>
      </c>
      <c r="B2009" t="str">
        <f>"65.1275"</f>
        <v>65.1275</v>
      </c>
      <c r="C2009" t="str">
        <f>"65.375"</f>
        <v>65.375</v>
      </c>
    </row>
    <row r="2010" spans="1:3" x14ac:dyDescent="0.25">
      <c r="A2010" t="str">
        <f>"26/09/2017"</f>
        <v>26/09/2017</v>
      </c>
      <c r="B2010" t="str">
        <f>"65.45"</f>
        <v>65.45</v>
      </c>
      <c r="C2010" t="str">
        <f>"65.72"</f>
        <v>65.72</v>
      </c>
    </row>
    <row r="2011" spans="1:3" x14ac:dyDescent="0.25">
      <c r="A2011" t="str">
        <f>"27/09/2017"</f>
        <v>27/09/2017</v>
      </c>
      <c r="B2011" t="str">
        <f>"65.715"</f>
        <v>65.715</v>
      </c>
      <c r="C2011" t="str">
        <f>"65.9875"</f>
        <v>65.9875</v>
      </c>
    </row>
    <row r="2012" spans="1:3" x14ac:dyDescent="0.25">
      <c r="A2012" t="str">
        <f>"28/09/2017"</f>
        <v>28/09/2017</v>
      </c>
      <c r="B2012" t="str">
        <f>"65.705"</f>
        <v>65.705</v>
      </c>
      <c r="C2012" t="str">
        <f>"65.9725"</f>
        <v>65.9725</v>
      </c>
    </row>
    <row r="2013" spans="1:3" x14ac:dyDescent="0.25">
      <c r="A2013" t="str">
        <f>"29/09/2017"</f>
        <v>29/09/2017</v>
      </c>
      <c r="B2013" t="str">
        <f>"65.2825"</f>
        <v>65.2825</v>
      </c>
      <c r="C2013" t="str">
        <f>"65.5575"</f>
        <v>65.5575</v>
      </c>
    </row>
    <row r="2014" spans="1:3" x14ac:dyDescent="0.25">
      <c r="A2014" t="str">
        <f>"03/10/2017"</f>
        <v>03/10/2017</v>
      </c>
      <c r="B2014" t="str">
        <f>"65.505"</f>
        <v>65.505</v>
      </c>
      <c r="C2014" t="str">
        <f>"65.78"</f>
        <v>65.78</v>
      </c>
    </row>
    <row r="2015" spans="1:3" x14ac:dyDescent="0.25">
      <c r="A2015" t="str">
        <f>"04/10/2017"</f>
        <v>04/10/2017</v>
      </c>
      <c r="B2015" t="str">
        <f>"65.015"</f>
        <v>65.015</v>
      </c>
      <c r="C2015" t="str">
        <f>"65.28"</f>
        <v>65.28</v>
      </c>
    </row>
    <row r="2016" spans="1:3" x14ac:dyDescent="0.25">
      <c r="A2016" t="str">
        <f>"05/10/2017"</f>
        <v>05/10/2017</v>
      </c>
      <c r="B2016" t="str">
        <f>"65.1475"</f>
        <v>65.1475</v>
      </c>
      <c r="C2016" t="str">
        <f>"65.415"</f>
        <v>65.415</v>
      </c>
    </row>
    <row r="2017" spans="1:3" x14ac:dyDescent="0.25">
      <c r="A2017" t="str">
        <f>"06/10/2017"</f>
        <v>06/10/2017</v>
      </c>
      <c r="B2017" t="str">
        <f>"65.3725"</f>
        <v>65.3725</v>
      </c>
      <c r="C2017" t="str">
        <f>"65.65"</f>
        <v>65.65</v>
      </c>
    </row>
    <row r="2018" spans="1:3" x14ac:dyDescent="0.25">
      <c r="A2018" t="str">
        <f>"09/10/2017"</f>
        <v>09/10/2017</v>
      </c>
      <c r="B2018" t="str">
        <f>"65.3625"</f>
        <v>65.3625</v>
      </c>
      <c r="C2018" t="str">
        <f>"65.6525"</f>
        <v>65.6525</v>
      </c>
    </row>
    <row r="2019" spans="1:3" x14ac:dyDescent="0.25">
      <c r="A2019" t="str">
        <f>"10/10/2017"</f>
        <v>10/10/2017</v>
      </c>
      <c r="B2019" t="str">
        <f>"65.2875"</f>
        <v>65.2875</v>
      </c>
      <c r="C2019" t="str">
        <f>"65.5675"</f>
        <v>65.5675</v>
      </c>
    </row>
    <row r="2020" spans="1:3" x14ac:dyDescent="0.25">
      <c r="A2020" t="str">
        <f>"11/10/2017"</f>
        <v>11/10/2017</v>
      </c>
      <c r="B2020" t="str">
        <f>"65.145"</f>
        <v>65.145</v>
      </c>
      <c r="C2020" t="str">
        <f>"65.4125"</f>
        <v>65.4125</v>
      </c>
    </row>
    <row r="2021" spans="1:3" x14ac:dyDescent="0.25">
      <c r="A2021" t="str">
        <f>"12/10/2017"</f>
        <v>12/10/2017</v>
      </c>
      <c r="B2021" t="str">
        <f>"65.0925"</f>
        <v>65.0925</v>
      </c>
      <c r="C2021" t="str">
        <f>"65.355"</f>
        <v>65.355</v>
      </c>
    </row>
    <row r="2022" spans="1:3" x14ac:dyDescent="0.25">
      <c r="A2022" t="str">
        <f>"13/10/2017"</f>
        <v>13/10/2017</v>
      </c>
      <c r="B2022" t="str">
        <f>"64.9325"</f>
        <v>64.9325</v>
      </c>
      <c r="C2022" t="str">
        <f>"65.1875"</f>
        <v>65.1875</v>
      </c>
    </row>
    <row r="2023" spans="1:3" x14ac:dyDescent="0.25">
      <c r="A2023" t="str">
        <f>"16/10/2017"</f>
        <v>16/10/2017</v>
      </c>
      <c r="B2023" t="str">
        <f>"64.725"</f>
        <v>64.725</v>
      </c>
      <c r="C2023" t="str">
        <f>"64.995"</f>
        <v>64.995</v>
      </c>
    </row>
    <row r="2024" spans="1:3" x14ac:dyDescent="0.25">
      <c r="A2024" t="str">
        <f>"17/10/2017"</f>
        <v>17/10/2017</v>
      </c>
      <c r="B2024" t="str">
        <f>"65.03"</f>
        <v>65.03</v>
      </c>
      <c r="C2024" t="str">
        <f>"65.295"</f>
        <v>65.295</v>
      </c>
    </row>
    <row r="2025" spans="1:3" x14ac:dyDescent="0.25">
      <c r="A2025" t="str">
        <f>"18/10/2017"</f>
        <v>18/10/2017</v>
      </c>
      <c r="B2025" t="str">
        <f>"65.045"</f>
        <v>65.045</v>
      </c>
      <c r="C2025" t="str">
        <f>"65.30"</f>
        <v>65.30</v>
      </c>
    </row>
    <row r="2026" spans="1:3" x14ac:dyDescent="0.25">
      <c r="A2026" t="str">
        <f>"23/10/2017"</f>
        <v>23/10/2017</v>
      </c>
      <c r="B2026" t="str">
        <f>"65.0225"</f>
        <v>65.0225</v>
      </c>
      <c r="C2026" t="str">
        <f>"65.2925"</f>
        <v>65.2925</v>
      </c>
    </row>
    <row r="2027" spans="1:3" x14ac:dyDescent="0.25">
      <c r="A2027" t="str">
        <f>"24/10/2017"</f>
        <v>24/10/2017</v>
      </c>
      <c r="B2027" t="str">
        <f>"65.0725"</f>
        <v>65.0725</v>
      </c>
      <c r="C2027" t="str">
        <f>"65.335"</f>
        <v>65.335</v>
      </c>
    </row>
    <row r="2028" spans="1:3" x14ac:dyDescent="0.25">
      <c r="A2028" t="str">
        <f>"25/10/2017"</f>
        <v>25/10/2017</v>
      </c>
      <c r="B2028" t="str">
        <f>"64.9025"</f>
        <v>64.9025</v>
      </c>
      <c r="C2028" t="str">
        <f>"65.16"</f>
        <v>65.16</v>
      </c>
    </row>
    <row r="2029" spans="1:3" x14ac:dyDescent="0.25">
      <c r="A2029" t="str">
        <f>"26/10/2017"</f>
        <v>26/10/2017</v>
      </c>
      <c r="B2029" t="str">
        <f>"64.8275"</f>
        <v>64.8275</v>
      </c>
      <c r="C2029" t="str">
        <f>"65.0825"</f>
        <v>65.0825</v>
      </c>
    </row>
    <row r="2030" spans="1:3" x14ac:dyDescent="0.25">
      <c r="A2030" t="str">
        <f>"27/10/2017"</f>
        <v>27/10/2017</v>
      </c>
      <c r="B2030" t="str">
        <f>"65.055"</f>
        <v>65.055</v>
      </c>
      <c r="C2030" t="str">
        <f>"65.30"</f>
        <v>65.30</v>
      </c>
    </row>
    <row r="2031" spans="1:3" x14ac:dyDescent="0.25">
      <c r="A2031" t="str">
        <f>"30/10/2017"</f>
        <v>30/10/2017</v>
      </c>
      <c r="B2031" t="str">
        <f>"64.8575"</f>
        <v>64.8575</v>
      </c>
      <c r="C2031" t="str">
        <f>"65.14"</f>
        <v>65.14</v>
      </c>
    </row>
    <row r="2032" spans="1:3" x14ac:dyDescent="0.25">
      <c r="A2032" t="str">
        <f>"31/10/2017"</f>
        <v>31/10/2017</v>
      </c>
      <c r="B2032" t="str">
        <f>"64.7525"</f>
        <v>64.7525</v>
      </c>
      <c r="C2032" t="str">
        <f>"65.0275"</f>
        <v>65.0275</v>
      </c>
    </row>
    <row r="2033" spans="1:3" x14ac:dyDescent="0.25">
      <c r="A2033" t="str">
        <f>"01/11/2017"</f>
        <v>01/11/2017</v>
      </c>
      <c r="B2033" t="str">
        <f>"64.6025"</f>
        <v>64.6025</v>
      </c>
      <c r="C2033" t="str">
        <f>"64.87"</f>
        <v>64.87</v>
      </c>
    </row>
    <row r="2034" spans="1:3" x14ac:dyDescent="0.25">
      <c r="A2034" t="str">
        <f>"02/11/2017"</f>
        <v>02/11/2017</v>
      </c>
      <c r="B2034" t="str">
        <f>"64.615"</f>
        <v>64.615</v>
      </c>
      <c r="C2034" t="str">
        <f>"64.87"</f>
        <v>64.87</v>
      </c>
    </row>
    <row r="2035" spans="1:3" x14ac:dyDescent="0.25">
      <c r="A2035" t="str">
        <f>"03/11/2017"</f>
        <v>03/11/2017</v>
      </c>
      <c r="B2035" t="str">
        <f>"64.5525"</f>
        <v>64.5525</v>
      </c>
      <c r="C2035" t="str">
        <f>"64.805"</f>
        <v>64.805</v>
      </c>
    </row>
    <row r="2036" spans="1:3" x14ac:dyDescent="0.25">
      <c r="A2036" t="str">
        <f>"06/11/2017"</f>
        <v>06/11/2017</v>
      </c>
      <c r="B2036" t="str">
        <f>"64.685"</f>
        <v>64.685</v>
      </c>
      <c r="C2036" t="str">
        <f>"64.935"</f>
        <v>64.935</v>
      </c>
    </row>
    <row r="2037" spans="1:3" x14ac:dyDescent="0.25">
      <c r="A2037" t="str">
        <f>"07/11/2017"</f>
        <v>07/11/2017</v>
      </c>
      <c r="B2037" t="str">
        <f>"65.035"</f>
        <v>65.035</v>
      </c>
      <c r="C2037" t="str">
        <f>"65.3025"</f>
        <v>65.3025</v>
      </c>
    </row>
    <row r="2038" spans="1:3" x14ac:dyDescent="0.25">
      <c r="A2038" t="str">
        <f>"08/11/2017"</f>
        <v>08/11/2017</v>
      </c>
      <c r="B2038" t="str">
        <f>"64.9625"</f>
        <v>64.9625</v>
      </c>
      <c r="C2038" t="str">
        <f>"65.2225"</f>
        <v>65.2225</v>
      </c>
    </row>
    <row r="2039" spans="1:3" x14ac:dyDescent="0.25">
      <c r="A2039" t="str">
        <f>"09/11/2017"</f>
        <v>09/11/2017</v>
      </c>
      <c r="B2039" t="str">
        <f>"64.9475"</f>
        <v>64.9475</v>
      </c>
      <c r="C2039" t="str">
        <f>"65.20"</f>
        <v>65.20</v>
      </c>
    </row>
    <row r="2040" spans="1:3" x14ac:dyDescent="0.25">
      <c r="A2040" t="str">
        <f>"10/11/2017"</f>
        <v>10/11/2017</v>
      </c>
      <c r="B2040" t="str">
        <f>"65.1725"</f>
        <v>65.1725</v>
      </c>
      <c r="C2040" t="str">
        <f>"65.4225"</f>
        <v>65.4225</v>
      </c>
    </row>
    <row r="2041" spans="1:3" x14ac:dyDescent="0.25">
      <c r="A2041" t="str">
        <f>"13/11/2017"</f>
        <v>13/11/2017</v>
      </c>
      <c r="B2041" t="str">
        <f>"65.435"</f>
        <v>65.435</v>
      </c>
      <c r="C2041" t="str">
        <f>"65.6875"</f>
        <v>65.6875</v>
      </c>
    </row>
    <row r="2042" spans="1:3" x14ac:dyDescent="0.25">
      <c r="A2042" t="str">
        <f>"14/11/2017"</f>
        <v>14/11/2017</v>
      </c>
      <c r="B2042" t="str">
        <f>"65.4225"</f>
        <v>65.4225</v>
      </c>
      <c r="C2042" t="str">
        <f>"65.69"</f>
        <v>65.69</v>
      </c>
    </row>
    <row r="2043" spans="1:3" x14ac:dyDescent="0.25">
      <c r="A2043" t="str">
        <f>"15/11/2017"</f>
        <v>15/11/2017</v>
      </c>
      <c r="B2043" t="str">
        <f>"65.215"</f>
        <v>65.215</v>
      </c>
      <c r="C2043" t="str">
        <f>"65.4725"</f>
        <v>65.4725</v>
      </c>
    </row>
    <row r="2044" spans="1:3" x14ac:dyDescent="0.25">
      <c r="A2044" t="str">
        <f>"16/11/2017"</f>
        <v>16/11/2017</v>
      </c>
      <c r="B2044" t="str">
        <f>"65.3275"</f>
        <v>65.3275</v>
      </c>
      <c r="C2044" t="str">
        <f>"65.58"</f>
        <v>65.58</v>
      </c>
    </row>
    <row r="2045" spans="1:3" x14ac:dyDescent="0.25">
      <c r="A2045" t="str">
        <f>"17/11/2017"</f>
        <v>17/11/2017</v>
      </c>
      <c r="B2045" t="str">
        <f>"64.855"</f>
        <v>64.855</v>
      </c>
      <c r="C2045" t="str">
        <f>"65.1025"</f>
        <v>65.1025</v>
      </c>
    </row>
    <row r="2046" spans="1:3" x14ac:dyDescent="0.25">
      <c r="A2046" t="str">
        <f>"20/11/2017"</f>
        <v>20/11/2017</v>
      </c>
      <c r="B2046" t="str">
        <f>"65.095"</f>
        <v>65.095</v>
      </c>
      <c r="C2046" t="str">
        <f>"65.3425"</f>
        <v>65.3425</v>
      </c>
    </row>
    <row r="2047" spans="1:3" x14ac:dyDescent="0.25">
      <c r="A2047" t="str">
        <f>"21/11/2017"</f>
        <v>21/11/2017</v>
      </c>
      <c r="B2047" t="str">
        <f>"64.90"</f>
        <v>64.90</v>
      </c>
      <c r="C2047" t="str">
        <f>"65.1575"</f>
        <v>65.1575</v>
      </c>
    </row>
    <row r="2048" spans="1:3" x14ac:dyDescent="0.25">
      <c r="A2048" t="str">
        <f>"22/11/2017"</f>
        <v>22/11/2017</v>
      </c>
      <c r="B2048" t="str">
        <f>"64.93"</f>
        <v>64.93</v>
      </c>
      <c r="C2048" t="str">
        <f>"65.1825"</f>
        <v>65.1825</v>
      </c>
    </row>
    <row r="2049" spans="1:3" x14ac:dyDescent="0.25">
      <c r="A2049" t="str">
        <f>"23/11/2017"</f>
        <v>23/11/2017</v>
      </c>
      <c r="B2049" t="str">
        <f>"64.58"</f>
        <v>64.58</v>
      </c>
      <c r="C2049" t="str">
        <f>"64.815"</f>
        <v>64.815</v>
      </c>
    </row>
    <row r="2050" spans="1:3" x14ac:dyDescent="0.25">
      <c r="A2050" t="str">
        <f>"24/11/2017"</f>
        <v>24/11/2017</v>
      </c>
      <c r="B2050" t="str">
        <f>"64.705"</f>
        <v>64.705</v>
      </c>
      <c r="C2050" t="str">
        <f>"64.94"</f>
        <v>64.94</v>
      </c>
    </row>
    <row r="2051" spans="1:3" x14ac:dyDescent="0.25">
      <c r="A2051" t="str">
        <f>"27/11/2017"</f>
        <v>27/11/2017</v>
      </c>
      <c r="B2051" t="str">
        <f>"64.5075"</f>
        <v>64.5075</v>
      </c>
      <c r="C2051" t="str">
        <f>"64.7375"</f>
        <v>64.7375</v>
      </c>
    </row>
    <row r="2052" spans="1:3" x14ac:dyDescent="0.25">
      <c r="A2052" t="str">
        <f>"28/11/2017"</f>
        <v>28/11/2017</v>
      </c>
      <c r="B2052" t="str">
        <f>"64.4175"</f>
        <v>64.4175</v>
      </c>
      <c r="C2052" t="str">
        <f>"64.6325"</f>
        <v>64.6325</v>
      </c>
    </row>
    <row r="2053" spans="1:3" x14ac:dyDescent="0.25">
      <c r="A2053" t="str">
        <f>"29/11/2017"</f>
        <v>29/11/2017</v>
      </c>
      <c r="B2053" t="str">
        <f>"64.325"</f>
        <v>64.325</v>
      </c>
      <c r="C2053" t="str">
        <f>"64.555"</f>
        <v>64.555</v>
      </c>
    </row>
    <row r="2054" spans="1:3" x14ac:dyDescent="0.25">
      <c r="A2054" t="str">
        <f>"30/11/2017"</f>
        <v>30/11/2017</v>
      </c>
      <c r="B2054" t="str">
        <f>"64.47"</f>
        <v>64.47</v>
      </c>
      <c r="C2054" t="str">
        <f>"64.705"</f>
        <v>64.705</v>
      </c>
    </row>
    <row r="2055" spans="1:3" x14ac:dyDescent="0.25">
      <c r="A2055" t="str">
        <f>"04/12/2017"</f>
        <v>04/12/2017</v>
      </c>
      <c r="B2055" t="str">
        <f>"64.4125"</f>
        <v>64.4125</v>
      </c>
      <c r="C2055" t="str">
        <f>"64.6625"</f>
        <v>64.6625</v>
      </c>
    </row>
    <row r="2056" spans="1:3" x14ac:dyDescent="0.25">
      <c r="A2056" t="str">
        <f>"05/12/2017"</f>
        <v>05/12/2017</v>
      </c>
      <c r="B2056" t="str">
        <f>"64.39"</f>
        <v>64.39</v>
      </c>
      <c r="C2056" t="str">
        <f>"64.6275"</f>
        <v>64.6275</v>
      </c>
    </row>
    <row r="2057" spans="1:3" x14ac:dyDescent="0.25">
      <c r="A2057" t="str">
        <f>"06/12/2017"</f>
        <v>06/12/2017</v>
      </c>
      <c r="B2057" t="str">
        <f>"64.5225"</f>
        <v>64.5225</v>
      </c>
      <c r="C2057" t="str">
        <f>"64.75"</f>
        <v>64.75</v>
      </c>
    </row>
    <row r="2058" spans="1:3" x14ac:dyDescent="0.25">
      <c r="A2058" t="str">
        <f>"07/12/2017"</f>
        <v>07/12/2017</v>
      </c>
      <c r="B2058" t="str">
        <f>"64.575"</f>
        <v>64.575</v>
      </c>
      <c r="C2058" t="str">
        <f>"64.795"</f>
        <v>64.795</v>
      </c>
    </row>
    <row r="2059" spans="1:3" x14ac:dyDescent="0.25">
      <c r="A2059" t="str">
        <f>"08/12/2017"</f>
        <v>08/12/2017</v>
      </c>
      <c r="B2059" t="str">
        <f>"64.4625"</f>
        <v>64.4625</v>
      </c>
      <c r="C2059" t="str">
        <f>"64.675"</f>
        <v>64.675</v>
      </c>
    </row>
    <row r="2060" spans="1:3" x14ac:dyDescent="0.25">
      <c r="A2060" t="str">
        <f>"11/12/2017"</f>
        <v>11/12/2017</v>
      </c>
      <c r="B2060" t="str">
        <f>"64.375"</f>
        <v>64.375</v>
      </c>
      <c r="C2060" t="str">
        <f>"64.6025"</f>
        <v>64.6025</v>
      </c>
    </row>
    <row r="2061" spans="1:3" x14ac:dyDescent="0.25">
      <c r="A2061" t="str">
        <f>"12/12/2017"</f>
        <v>12/12/2017</v>
      </c>
      <c r="B2061" t="str">
        <f>"64.40"</f>
        <v>64.40</v>
      </c>
      <c r="C2061" t="str">
        <f>"64.6225"</f>
        <v>64.6225</v>
      </c>
    </row>
    <row r="2062" spans="1:3" x14ac:dyDescent="0.25">
      <c r="A2062" t="str">
        <f>"13/12/2017"</f>
        <v>13/12/2017</v>
      </c>
      <c r="B2062" t="str">
        <f>"64.445"</f>
        <v>64.445</v>
      </c>
      <c r="C2062" t="str">
        <f>"64.66"</f>
        <v>64.66</v>
      </c>
    </row>
    <row r="2063" spans="1:3" x14ac:dyDescent="0.25">
      <c r="A2063" t="str">
        <f>"14/12/2017"</f>
        <v>14/12/2017</v>
      </c>
      <c r="B2063" t="str">
        <f>"64.35"</f>
        <v>64.35</v>
      </c>
      <c r="C2063" t="str">
        <f>"64.56"</f>
        <v>64.56</v>
      </c>
    </row>
    <row r="2064" spans="1:3" x14ac:dyDescent="0.25">
      <c r="A2064" t="str">
        <f>"15/12/2017"</f>
        <v>15/12/2017</v>
      </c>
      <c r="B2064" t="str">
        <f>"64.05"</f>
        <v>64.05</v>
      </c>
      <c r="C2064" t="str">
        <f>"64.265"</f>
        <v>64.265</v>
      </c>
    </row>
    <row r="2065" spans="1:3" x14ac:dyDescent="0.25">
      <c r="A2065" t="str">
        <f>"18/12/2017"</f>
        <v>18/12/2017</v>
      </c>
      <c r="B2065" t="str">
        <f>"64.24"</f>
        <v>64.24</v>
      </c>
      <c r="C2065" t="str">
        <f>"64.4675"</f>
        <v>64.4675</v>
      </c>
    </row>
    <row r="2066" spans="1:3" x14ac:dyDescent="0.25">
      <c r="A2066" t="str">
        <f>"19/12/2017"</f>
        <v>19/12/2017</v>
      </c>
      <c r="B2066" t="str">
        <f>"64.0375"</f>
        <v>64.0375</v>
      </c>
      <c r="C2066" t="str">
        <f>"64.255"</f>
        <v>64.255</v>
      </c>
    </row>
    <row r="2067" spans="1:3" x14ac:dyDescent="0.25">
      <c r="A2067" t="str">
        <f>"20/12/2017"</f>
        <v>20/12/2017</v>
      </c>
      <c r="B2067" t="str">
        <f>"64.12"</f>
        <v>64.12</v>
      </c>
      <c r="C2067" t="str">
        <f>"64.3225"</f>
        <v>64.3225</v>
      </c>
    </row>
    <row r="2068" spans="1:3" x14ac:dyDescent="0.25">
      <c r="A2068" t="str">
        <f>"21/12/2017"</f>
        <v>21/12/2017</v>
      </c>
      <c r="B2068" t="str">
        <f>"64.0675"</f>
        <v>64.0675</v>
      </c>
      <c r="C2068" t="str">
        <f>"64.2875"</f>
        <v>64.2875</v>
      </c>
    </row>
    <row r="2069" spans="1:3" x14ac:dyDescent="0.25">
      <c r="A2069" t="str">
        <f>"22/12/2017"</f>
        <v>22/12/2017</v>
      </c>
      <c r="B2069" t="str">
        <f>"64.045"</f>
        <v>64.045</v>
      </c>
      <c r="C2069" t="str">
        <f>"64.26"</f>
        <v>64.26</v>
      </c>
    </row>
    <row r="2070" spans="1:3" x14ac:dyDescent="0.25">
      <c r="A2070" t="str">
        <f>"26/12/2017"</f>
        <v>26/12/2017</v>
      </c>
      <c r="B2070" t="str">
        <f>"64.0825"</f>
        <v>64.0825</v>
      </c>
      <c r="C2070" t="str">
        <f>"64.2875"</f>
        <v>64.2875</v>
      </c>
    </row>
    <row r="2071" spans="1:3" x14ac:dyDescent="0.25">
      <c r="A2071" t="str">
        <f>"27/12/2017"</f>
        <v>27/12/2017</v>
      </c>
      <c r="B2071" t="str">
        <f>"64.1575"</f>
        <v>64.1575</v>
      </c>
      <c r="C2071" t="str">
        <f>"64.3675"</f>
        <v>64.3675</v>
      </c>
    </row>
    <row r="2072" spans="1:3" x14ac:dyDescent="0.25">
      <c r="A2072" t="str">
        <f>"28/12/2017"</f>
        <v>28/12/2017</v>
      </c>
      <c r="B2072" t="str">
        <f>"64.085"</f>
        <v>64.085</v>
      </c>
      <c r="C2072" t="str">
        <f>"64.3225"</f>
        <v>64.3225</v>
      </c>
    </row>
    <row r="2073" spans="1:3" x14ac:dyDescent="0.25">
      <c r="A2073" t="str">
        <f>"29/12/2017"</f>
        <v>29/12/2017</v>
      </c>
      <c r="B2073" t="str">
        <f>"63.88"</f>
        <v>63.88</v>
      </c>
      <c r="C2073" t="str">
        <f>"64.1325"</f>
        <v>64.1325</v>
      </c>
    </row>
    <row r="2074" spans="1:3" x14ac:dyDescent="0.25">
      <c r="A2074" t="str">
        <f>"02/01/2018"</f>
        <v>02/01/2018</v>
      </c>
      <c r="B2074" t="str">
        <f>"63.4875"</f>
        <v>63.4875</v>
      </c>
      <c r="C2074" t="str">
        <f>"63.7325"</f>
        <v>63.7325</v>
      </c>
    </row>
    <row r="2075" spans="1:3" x14ac:dyDescent="0.25">
      <c r="A2075" t="str">
        <f>"03/01/2018"</f>
        <v>03/01/2018</v>
      </c>
      <c r="B2075" t="str">
        <f>"63.54"</f>
        <v>63.54</v>
      </c>
      <c r="C2075" t="str">
        <f>"63.7725"</f>
        <v>63.7725</v>
      </c>
    </row>
    <row r="2076" spans="1:3" x14ac:dyDescent="0.25">
      <c r="A2076" t="str">
        <f>"04/01/2018"</f>
        <v>04/01/2018</v>
      </c>
      <c r="B2076" t="str">
        <f>"63.415"</f>
        <v>63.415</v>
      </c>
      <c r="C2076" t="str">
        <f>"63.65"</f>
        <v>63.65</v>
      </c>
    </row>
    <row r="2077" spans="1:3" x14ac:dyDescent="0.25">
      <c r="A2077" t="str">
        <f>"05/01/2018"</f>
        <v>05/01/2018</v>
      </c>
      <c r="B2077" t="str">
        <f>"63.375"</f>
        <v>63.375</v>
      </c>
      <c r="C2077" t="str">
        <f>"63.61"</f>
        <v>63.61</v>
      </c>
    </row>
    <row r="2078" spans="1:3" x14ac:dyDescent="0.25">
      <c r="A2078" t="str">
        <f>"08/01/2018"</f>
        <v>08/01/2018</v>
      </c>
      <c r="B2078" t="str">
        <f>"63.51"</f>
        <v>63.51</v>
      </c>
      <c r="C2078" t="str">
        <f>"63.7575"</f>
        <v>63.7575</v>
      </c>
    </row>
    <row r="2079" spans="1:3" x14ac:dyDescent="0.25">
      <c r="A2079" t="str">
        <f>"09/01/2018"</f>
        <v>09/01/2018</v>
      </c>
      <c r="B2079" t="str">
        <f>"63.7175"</f>
        <v>63.7175</v>
      </c>
      <c r="C2079" t="str">
        <f>"63.965"</f>
        <v>63.965</v>
      </c>
    </row>
    <row r="2080" spans="1:3" x14ac:dyDescent="0.25">
      <c r="A2080" t="str">
        <f>"10/01/2018"</f>
        <v>10/01/2018</v>
      </c>
      <c r="B2080" t="str">
        <f>"63.60"</f>
        <v>63.60</v>
      </c>
      <c r="C2080" t="str">
        <f>"63.8425"</f>
        <v>63.8425</v>
      </c>
    </row>
    <row r="2081" spans="1:3" x14ac:dyDescent="0.25">
      <c r="A2081" t="str">
        <f>"11/01/2018"</f>
        <v>11/01/2018</v>
      </c>
      <c r="B2081" t="str">
        <f>"63.67"</f>
        <v>63.67</v>
      </c>
      <c r="C2081" t="str">
        <f>"63.9125"</f>
        <v>63.9125</v>
      </c>
    </row>
    <row r="2082" spans="1:3" x14ac:dyDescent="0.25">
      <c r="A2082" t="str">
        <f>"12/01/2018"</f>
        <v>12/01/2018</v>
      </c>
      <c r="B2082" t="str">
        <f>"63.6325"</f>
        <v>63.6325</v>
      </c>
      <c r="C2082" t="str">
        <f>"63.89"</f>
        <v>63.89</v>
      </c>
    </row>
    <row r="2083" spans="1:3" x14ac:dyDescent="0.25">
      <c r="A2083" t="str">
        <f>"15/01/2018"</f>
        <v>15/01/2018</v>
      </c>
      <c r="B2083" t="str">
        <f>"63.4975"</f>
        <v>63.4975</v>
      </c>
      <c r="C2083" t="str">
        <f>"63.7575"</f>
        <v>63.7575</v>
      </c>
    </row>
    <row r="2084" spans="1:3" x14ac:dyDescent="0.25">
      <c r="A2084" t="str">
        <f>"16/01/2018"</f>
        <v>16/01/2018</v>
      </c>
      <c r="B2084" t="str">
        <f>"64.0475"</f>
        <v>64.0475</v>
      </c>
      <c r="C2084" t="str">
        <f>"64.305"</f>
        <v>64.305</v>
      </c>
    </row>
    <row r="2085" spans="1:3" x14ac:dyDescent="0.25">
      <c r="A2085" t="str">
        <f>"17/01/2018"</f>
        <v>17/01/2018</v>
      </c>
      <c r="B2085" t="str">
        <f>"63.895"</f>
        <v>63.895</v>
      </c>
      <c r="C2085" t="str">
        <f>"64.14"</f>
        <v>64.14</v>
      </c>
    </row>
    <row r="2086" spans="1:3" x14ac:dyDescent="0.25">
      <c r="A2086" t="str">
        <f>"18/01/2018"</f>
        <v>18/01/2018</v>
      </c>
      <c r="B2086" t="str">
        <f>"63.865"</f>
        <v>63.865</v>
      </c>
      <c r="C2086" t="str">
        <f>"64.1075"</f>
        <v>64.1075</v>
      </c>
    </row>
    <row r="2087" spans="1:3" x14ac:dyDescent="0.25">
      <c r="A2087" t="str">
        <f>"19/01/2018"</f>
        <v>19/01/2018</v>
      </c>
      <c r="B2087" t="str">
        <f>"63.8425"</f>
        <v>63.8425</v>
      </c>
      <c r="C2087" t="str">
        <f>"64.0825"</f>
        <v>64.0825</v>
      </c>
    </row>
    <row r="2088" spans="1:3" x14ac:dyDescent="0.25">
      <c r="A2088" t="str">
        <f>"22/01/2018"</f>
        <v>22/01/2018</v>
      </c>
      <c r="B2088" t="str">
        <f>"63.875"</f>
        <v>63.875</v>
      </c>
      <c r="C2088" t="str">
        <f>"64.1325"</f>
        <v>64.1325</v>
      </c>
    </row>
    <row r="2089" spans="1:3" x14ac:dyDescent="0.25">
      <c r="A2089" t="str">
        <f>"23/01/2018"</f>
        <v>23/01/2018</v>
      </c>
      <c r="B2089" t="str">
        <f>"63.785"</f>
        <v>63.785</v>
      </c>
      <c r="C2089" t="str">
        <f>"64.0325"</f>
        <v>64.0325</v>
      </c>
    </row>
    <row r="2090" spans="1:3" x14ac:dyDescent="0.25">
      <c r="A2090" t="str">
        <f>"24/01/2018"</f>
        <v>24/01/2018</v>
      </c>
      <c r="B2090" t="str">
        <f>"63.6975"</f>
        <v>63.6975</v>
      </c>
      <c r="C2090" t="str">
        <f>"63.9325"</f>
        <v>63.9325</v>
      </c>
    </row>
    <row r="2091" spans="1:3" x14ac:dyDescent="0.25">
      <c r="A2091" t="str">
        <f>"25/01/2018"</f>
        <v>25/01/2018</v>
      </c>
      <c r="B2091" t="str">
        <f>"63.5475"</f>
        <v>63.5475</v>
      </c>
      <c r="C2091" t="str">
        <f>"63.7775"</f>
        <v>63.7775</v>
      </c>
    </row>
    <row r="2092" spans="1:3" x14ac:dyDescent="0.25">
      <c r="A2092" t="str">
        <f>"29/01/2018"</f>
        <v>29/01/2018</v>
      </c>
      <c r="B2092" t="str">
        <f>"63.5925"</f>
        <v>63.5925</v>
      </c>
      <c r="C2092" t="str">
        <f>"63.8125"</f>
        <v>63.8125</v>
      </c>
    </row>
    <row r="2093" spans="1:3" x14ac:dyDescent="0.25">
      <c r="A2093" t="str">
        <f>"30/01/2018"</f>
        <v>30/01/2018</v>
      </c>
      <c r="B2093" t="str">
        <f>"63.615"</f>
        <v>63.615</v>
      </c>
      <c r="C2093" t="str">
        <f>"63.8375"</f>
        <v>63.8375</v>
      </c>
    </row>
    <row r="2094" spans="1:3" x14ac:dyDescent="0.25">
      <c r="A2094" t="str">
        <f>"31/01/2018"</f>
        <v>31/01/2018</v>
      </c>
      <c r="B2094" t="str">
        <f>"63.59"</f>
        <v>63.59</v>
      </c>
      <c r="C2094" t="str">
        <f>"63.84"</f>
        <v>63.84</v>
      </c>
    </row>
    <row r="2095" spans="1:3" x14ac:dyDescent="0.25">
      <c r="A2095" t="str">
        <f>"01/02/2018"</f>
        <v>01/02/2018</v>
      </c>
      <c r="B2095" t="str">
        <f>"64.0275"</f>
        <v>64.0275</v>
      </c>
      <c r="C2095" t="str">
        <f>"64.265"</f>
        <v>64.265</v>
      </c>
    </row>
    <row r="2096" spans="1:3" x14ac:dyDescent="0.25">
      <c r="A2096" t="str">
        <f>"02/02/2018"</f>
        <v>02/02/2018</v>
      </c>
      <c r="B2096" t="str">
        <f>"64.07"</f>
        <v>64.07</v>
      </c>
      <c r="C2096" t="str">
        <f>"64.31"</f>
        <v>64.31</v>
      </c>
    </row>
    <row r="2097" spans="1:3" x14ac:dyDescent="0.25">
      <c r="A2097" t="str">
        <f>"05/02/2018"</f>
        <v>05/02/2018</v>
      </c>
      <c r="B2097" t="str">
        <f>"64.07"</f>
        <v>64.07</v>
      </c>
      <c r="C2097" t="str">
        <f>"64.3075"</f>
        <v>64.3075</v>
      </c>
    </row>
    <row r="2098" spans="1:3" x14ac:dyDescent="0.25">
      <c r="A2098" t="str">
        <f>"06/02/2018"</f>
        <v>06/02/2018</v>
      </c>
      <c r="B2098" t="str">
        <f>"64.255"</f>
        <v>64.255</v>
      </c>
      <c r="C2098" t="str">
        <f>"64.495"</f>
        <v>64.495</v>
      </c>
    </row>
    <row r="2099" spans="1:3" x14ac:dyDescent="0.25">
      <c r="A2099" t="str">
        <f>"07/02/2018"</f>
        <v>07/02/2018</v>
      </c>
      <c r="B2099" t="str">
        <f>"64.29"</f>
        <v>64.29</v>
      </c>
      <c r="C2099" t="str">
        <f>"64.53"</f>
        <v>64.53</v>
      </c>
    </row>
    <row r="2100" spans="1:3" x14ac:dyDescent="0.25">
      <c r="A2100" t="str">
        <f>"08/02/2018"</f>
        <v>08/02/2018</v>
      </c>
      <c r="B2100" t="str">
        <f>"64.26"</f>
        <v>64.26</v>
      </c>
      <c r="C2100" t="str">
        <f>"64.5025"</f>
        <v>64.5025</v>
      </c>
    </row>
    <row r="2101" spans="1:3" x14ac:dyDescent="0.25">
      <c r="A2101" t="str">
        <f>"09/02/2018"</f>
        <v>09/02/2018</v>
      </c>
      <c r="B2101" t="str">
        <f>"64.40"</f>
        <v>64.40</v>
      </c>
      <c r="C2101" t="str">
        <f>"64.6475"</f>
        <v>64.6475</v>
      </c>
    </row>
    <row r="2102" spans="1:3" x14ac:dyDescent="0.25">
      <c r="A2102" t="str">
        <f>"12/02/2018"</f>
        <v>12/02/2018</v>
      </c>
      <c r="B2102" t="str">
        <f>"64.3175"</f>
        <v>64.3175</v>
      </c>
      <c r="C2102" t="str">
        <f>"64.56"</f>
        <v>64.56</v>
      </c>
    </row>
    <row r="2103" spans="1:3" x14ac:dyDescent="0.25">
      <c r="A2103" t="str">
        <f>"14/02/2018"</f>
        <v>14/02/2018</v>
      </c>
      <c r="B2103" t="str">
        <f>"64.09"</f>
        <v>64.09</v>
      </c>
      <c r="C2103" t="str">
        <f>"64.3375"</f>
        <v>64.3375</v>
      </c>
    </row>
    <row r="2104" spans="1:3" x14ac:dyDescent="0.25">
      <c r="A2104" t="str">
        <f>"15/02/2018"</f>
        <v>15/02/2018</v>
      </c>
      <c r="B2104" t="str">
        <f>"63.915"</f>
        <v>63.915</v>
      </c>
      <c r="C2104" t="str">
        <f>"64.1575"</f>
        <v>64.1575</v>
      </c>
    </row>
    <row r="2105" spans="1:3" x14ac:dyDescent="0.25">
      <c r="A2105" t="str">
        <f>"16/02/2018"</f>
        <v>16/02/2018</v>
      </c>
      <c r="B2105" t="str">
        <f>"64.22"</f>
        <v>64.22</v>
      </c>
      <c r="C2105" t="str">
        <f>"64.4625"</f>
        <v>64.4625</v>
      </c>
    </row>
    <row r="2106" spans="1:3" x14ac:dyDescent="0.25">
      <c r="A2106" t="str">
        <f>"20/02/2018"</f>
        <v>20/02/2018</v>
      </c>
      <c r="B2106" t="str">
        <f>"64.795"</f>
        <v>64.795</v>
      </c>
      <c r="C2106" t="str">
        <f>"65.0425"</f>
        <v>65.0425</v>
      </c>
    </row>
    <row r="2107" spans="1:3" x14ac:dyDescent="0.25">
      <c r="A2107" t="str">
        <f>"21/02/2018"</f>
        <v>21/02/2018</v>
      </c>
      <c r="B2107" t="str">
        <f>"64.7775"</f>
        <v>64.7775</v>
      </c>
      <c r="C2107" t="str">
        <f>"65.02"</f>
        <v>65.02</v>
      </c>
    </row>
    <row r="2108" spans="1:3" x14ac:dyDescent="0.25">
      <c r="A2108" t="str">
        <f>"22/02/2018"</f>
        <v>22/02/2018</v>
      </c>
      <c r="B2108" t="str">
        <f>"65.05"</f>
        <v>65.05</v>
      </c>
      <c r="C2108" t="str">
        <f>"65.2875"</f>
        <v>65.2875</v>
      </c>
    </row>
    <row r="2109" spans="1:3" x14ac:dyDescent="0.25">
      <c r="A2109" t="str">
        <f>"23/02/2018"</f>
        <v>23/02/2018</v>
      </c>
      <c r="B2109" t="str">
        <f>"64.7325"</f>
        <v>64.7325</v>
      </c>
      <c r="C2109" t="str">
        <f>"64.97"</f>
        <v>64.97</v>
      </c>
    </row>
    <row r="2110" spans="1:3" x14ac:dyDescent="0.25">
      <c r="A2110" t="str">
        <f>"26/02/2018"</f>
        <v>26/02/2018</v>
      </c>
      <c r="B2110" t="str">
        <f>"64.80"</f>
        <v>64.80</v>
      </c>
      <c r="C2110" t="str">
        <f>"65.045"</f>
        <v>65.045</v>
      </c>
    </row>
    <row r="2111" spans="1:3" x14ac:dyDescent="0.25">
      <c r="A2111" t="str">
        <f>"27/02/2018"</f>
        <v>27/02/2018</v>
      </c>
      <c r="B2111" t="str">
        <f>"64.8925"</f>
        <v>64.8925</v>
      </c>
      <c r="C2111" t="str">
        <f>"65.1725"</f>
        <v>65.1725</v>
      </c>
    </row>
    <row r="2112" spans="1:3" x14ac:dyDescent="0.25">
      <c r="A2112" t="str">
        <f>"28/02/2018"</f>
        <v>28/02/2018</v>
      </c>
      <c r="B2112" t="str">
        <f>"65.18"</f>
        <v>65.18</v>
      </c>
      <c r="C2112" t="str">
        <f>"65.43"</f>
        <v>65.43</v>
      </c>
    </row>
    <row r="2113" spans="1:3" x14ac:dyDescent="0.25">
      <c r="A2113" t="str">
        <f>"01/03/2018"</f>
        <v>01/03/2018</v>
      </c>
      <c r="B2113" t="str">
        <f>"65.17"</f>
        <v>65.17</v>
      </c>
      <c r="C2113" t="str">
        <f>"65.4325"</f>
        <v>65.4325</v>
      </c>
    </row>
    <row r="2114" spans="1:3" x14ac:dyDescent="0.25">
      <c r="A2114" t="str">
        <f>"05/03/2018"</f>
        <v>05/03/2018</v>
      </c>
      <c r="B2114" t="str">
        <f>"65.12"</f>
        <v>65.12</v>
      </c>
      <c r="C2114" t="str">
        <f>"65.4075"</f>
        <v>65.4075</v>
      </c>
    </row>
    <row r="2115" spans="1:3" x14ac:dyDescent="0.25">
      <c r="A2115" t="str">
        <f>"06/03/2018"</f>
        <v>06/03/2018</v>
      </c>
      <c r="B2115" t="str">
        <f>"64.9625"</f>
        <v>64.9625</v>
      </c>
      <c r="C2115" t="str">
        <f>"65.24"</f>
        <v>65.24</v>
      </c>
    </row>
    <row r="2116" spans="1:3" x14ac:dyDescent="0.25">
      <c r="A2116" t="str">
        <f>"07/03/2018"</f>
        <v>07/03/2018</v>
      </c>
      <c r="B2116" t="str">
        <f>"64.8925"</f>
        <v>64.8925</v>
      </c>
      <c r="C2116" t="str">
        <f>"65.165"</f>
        <v>65.165</v>
      </c>
    </row>
    <row r="2117" spans="1:3" x14ac:dyDescent="0.25">
      <c r="A2117" t="str">
        <f>"08/03/2018"</f>
        <v>08/03/2018</v>
      </c>
      <c r="B2117" t="str">
        <f>"65.1525"</f>
        <v>65.1525</v>
      </c>
      <c r="C2117" t="str">
        <f>"65.4325"</f>
        <v>65.4325</v>
      </c>
    </row>
    <row r="2118" spans="1:3" x14ac:dyDescent="0.25">
      <c r="A2118" t="str">
        <f>"09/03/2018"</f>
        <v>09/03/2018</v>
      </c>
      <c r="B2118" t="str">
        <f>"65.17"</f>
        <v>65.17</v>
      </c>
      <c r="C2118" t="str">
        <f>"65.4575"</f>
        <v>65.4575</v>
      </c>
    </row>
    <row r="2119" spans="1:3" x14ac:dyDescent="0.25">
      <c r="A2119" t="str">
        <f>"12/03/2018"</f>
        <v>12/03/2018</v>
      </c>
      <c r="B2119" t="str">
        <f>"65.0475"</f>
        <v>65.0475</v>
      </c>
      <c r="C2119" t="str">
        <f>"65.3525"</f>
        <v>65.3525</v>
      </c>
    </row>
    <row r="2120" spans="1:3" x14ac:dyDescent="0.25">
      <c r="A2120" t="str">
        <f>"13/03/2018"</f>
        <v>13/03/2018</v>
      </c>
      <c r="B2120" t="str">
        <f>"64.8975"</f>
        <v>64.8975</v>
      </c>
      <c r="C2120" t="str">
        <f>"65.1925"</f>
        <v>65.1925</v>
      </c>
    </row>
    <row r="2121" spans="1:3" x14ac:dyDescent="0.25">
      <c r="A2121" t="str">
        <f>"14/03/2018"</f>
        <v>14/03/2018</v>
      </c>
      <c r="B2121" t="str">
        <f>"64.8375"</f>
        <v>64.8375</v>
      </c>
      <c r="C2121" t="str">
        <f>"65.12"</f>
        <v>65.12</v>
      </c>
    </row>
    <row r="2122" spans="1:3" x14ac:dyDescent="0.25">
      <c r="A2122" t="str">
        <f>"15/03/2018"</f>
        <v>15/03/2018</v>
      </c>
      <c r="B2122" t="str">
        <f>"64.935"</f>
        <v>64.935</v>
      </c>
      <c r="C2122" t="str">
        <f>"65.23"</f>
        <v>65.23</v>
      </c>
    </row>
    <row r="2123" spans="1:3" x14ac:dyDescent="0.25">
      <c r="A2123" t="str">
        <f>"16/03/2018"</f>
        <v>16/03/2018</v>
      </c>
      <c r="B2123" t="str">
        <f>"64.945"</f>
        <v>64.945</v>
      </c>
      <c r="C2123" t="str">
        <f>"65.2475"</f>
        <v>65.2475</v>
      </c>
    </row>
    <row r="2124" spans="1:3" x14ac:dyDescent="0.25">
      <c r="A2124" t="str">
        <f>"19/03/2018"</f>
        <v>19/03/2018</v>
      </c>
      <c r="B2124" t="str">
        <f>"65.1825"</f>
        <v>65.1825</v>
      </c>
      <c r="C2124" t="str">
        <f>"65.5125"</f>
        <v>65.5125</v>
      </c>
    </row>
    <row r="2125" spans="1:3" x14ac:dyDescent="0.25">
      <c r="A2125" t="str">
        <f>"20/03/2018"</f>
        <v>20/03/2018</v>
      </c>
      <c r="B2125" t="str">
        <f>"65.20"</f>
        <v>65.20</v>
      </c>
      <c r="C2125" t="str">
        <f>"65.525"</f>
        <v>65.525</v>
      </c>
    </row>
    <row r="2126" spans="1:3" x14ac:dyDescent="0.25">
      <c r="A2126" t="str">
        <f>"21/03/2018"</f>
        <v>21/03/2018</v>
      </c>
      <c r="B2126" t="str">
        <f>"65.2125"</f>
        <v>65.2125</v>
      </c>
      <c r="C2126" t="str">
        <f>"65.5275"</f>
        <v>65.5275</v>
      </c>
    </row>
    <row r="2127" spans="1:3" x14ac:dyDescent="0.25">
      <c r="A2127" t="str">
        <f>"22/03/2018"</f>
        <v>22/03/2018</v>
      </c>
      <c r="B2127" t="str">
        <f>"65.1125"</f>
        <v>65.1125</v>
      </c>
      <c r="C2127" t="str">
        <f>"65.4225"</f>
        <v>65.4225</v>
      </c>
    </row>
    <row r="2128" spans="1:3" x14ac:dyDescent="0.25">
      <c r="A2128" t="str">
        <f>"23/03/2018"</f>
        <v>23/03/2018</v>
      </c>
      <c r="B2128" t="str">
        <f>"65.0175"</f>
        <v>65.0175</v>
      </c>
      <c r="C2128" t="str">
        <f>"65.335"</f>
        <v>65.335</v>
      </c>
    </row>
    <row r="2129" spans="1:3" x14ac:dyDescent="0.25">
      <c r="A2129" t="str">
        <f>"26/03/2018"</f>
        <v>26/03/2018</v>
      </c>
      <c r="B2129" t="str">
        <f>"64.865"</f>
        <v>64.865</v>
      </c>
      <c r="C2129" t="str">
        <f>"65.185"</f>
        <v>65.185</v>
      </c>
    </row>
    <row r="2130" spans="1:3" x14ac:dyDescent="0.25">
      <c r="A2130" t="str">
        <f>"27/03/2018"</f>
        <v>27/03/2018</v>
      </c>
      <c r="B2130" t="str">
        <f>"64.9775"</f>
        <v>64.9775</v>
      </c>
      <c r="C2130" t="str">
        <f>"65.2325"</f>
        <v>65.2325</v>
      </c>
    </row>
    <row r="2131" spans="1:3" x14ac:dyDescent="0.25">
      <c r="A2131" t="str">
        <f>"28/03/2018"</f>
        <v>28/03/2018</v>
      </c>
      <c r="B2131" t="str">
        <f>"65.1825"</f>
        <v>65.1825</v>
      </c>
      <c r="C2131" t="str">
        <f>"65.44"</f>
        <v>65.44</v>
      </c>
    </row>
    <row r="2132" spans="1:3" x14ac:dyDescent="0.25">
      <c r="A2132" t="str">
        <f>"03/04/2018"</f>
        <v>03/04/2018</v>
      </c>
      <c r="B2132" t="str">
        <f>"65.0175"</f>
        <v>65.0175</v>
      </c>
      <c r="C2132" t="str">
        <f>"65.285"</f>
        <v>65.285</v>
      </c>
    </row>
    <row r="2133" spans="1:3" x14ac:dyDescent="0.25">
      <c r="A2133" t="str">
        <f>"04/04/2018"</f>
        <v>04/04/2018</v>
      </c>
      <c r="B2133" t="str">
        <f>"65.15"</f>
        <v>65.15</v>
      </c>
      <c r="C2133" t="str">
        <f>"65.4075"</f>
        <v>65.4075</v>
      </c>
    </row>
    <row r="2134" spans="1:3" x14ac:dyDescent="0.25">
      <c r="A2134" t="str">
        <f>"05/04/2018"</f>
        <v>05/04/2018</v>
      </c>
      <c r="B2134" t="str">
        <f>"64.9675"</f>
        <v>64.9675</v>
      </c>
      <c r="C2134" t="str">
        <f>"65.2125"</f>
        <v>65.2125</v>
      </c>
    </row>
    <row r="2135" spans="1:3" x14ac:dyDescent="0.25">
      <c r="A2135" t="str">
        <f>"06/04/2018"</f>
        <v>06/04/2018</v>
      </c>
      <c r="B2135" t="str">
        <f>"64.9825"</f>
        <v>64.9825</v>
      </c>
      <c r="C2135" t="str">
        <f>"65.225"</f>
        <v>65.225</v>
      </c>
    </row>
    <row r="2136" spans="1:3" x14ac:dyDescent="0.25">
      <c r="A2136" t="str">
        <f>"09/04/2018"</f>
        <v>09/04/2018</v>
      </c>
      <c r="B2136" t="str">
        <f>"64.885"</f>
        <v>64.885</v>
      </c>
      <c r="C2136" t="str">
        <f>"65.1275"</f>
        <v>65.1275</v>
      </c>
    </row>
    <row r="2137" spans="1:3" x14ac:dyDescent="0.25">
      <c r="A2137" t="str">
        <f>"10/04/2018"</f>
        <v>10/04/2018</v>
      </c>
      <c r="B2137" t="str">
        <f>"64.995"</f>
        <v>64.995</v>
      </c>
      <c r="C2137" t="str">
        <f>"65.2475"</f>
        <v>65.2475</v>
      </c>
    </row>
    <row r="2138" spans="1:3" x14ac:dyDescent="0.25">
      <c r="A2138" t="str">
        <f>"11/04/2018"</f>
        <v>11/04/2018</v>
      </c>
      <c r="B2138" t="str">
        <f>"65.315"</f>
        <v>65.315</v>
      </c>
      <c r="C2138" t="str">
        <f>"65.5625"</f>
        <v>65.5625</v>
      </c>
    </row>
    <row r="2139" spans="1:3" x14ac:dyDescent="0.25">
      <c r="A2139" t="str">
        <f>"12/04/2018"</f>
        <v>12/04/2018</v>
      </c>
      <c r="B2139" t="str">
        <f>"65.26"</f>
        <v>65.26</v>
      </c>
      <c r="C2139" t="str">
        <f>"65.495"</f>
        <v>65.495</v>
      </c>
    </row>
    <row r="2140" spans="1:3" x14ac:dyDescent="0.25">
      <c r="A2140" t="str">
        <f>"13/04/2018"</f>
        <v>13/04/2018</v>
      </c>
      <c r="B2140" t="str">
        <f>"65.215"</f>
        <v>65.215</v>
      </c>
      <c r="C2140" t="str">
        <f>"65.45"</f>
        <v>65.45</v>
      </c>
    </row>
    <row r="2141" spans="1:3" x14ac:dyDescent="0.25">
      <c r="A2141" t="str">
        <f>"16/04/2018"</f>
        <v>16/04/2018</v>
      </c>
      <c r="B2141" t="str">
        <f>"65.4975"</f>
        <v>65.4975</v>
      </c>
      <c r="C2141" t="str">
        <f>"65.7325"</f>
        <v>65.7325</v>
      </c>
    </row>
    <row r="2142" spans="1:3" x14ac:dyDescent="0.25">
      <c r="A2142" t="str">
        <f>"17/04/2018"</f>
        <v>17/04/2018</v>
      </c>
      <c r="B2142" t="str">
        <f>"65.65"</f>
        <v>65.65</v>
      </c>
      <c r="C2142" t="str">
        <f>"65.90"</f>
        <v>65.90</v>
      </c>
    </row>
    <row r="2143" spans="1:3" x14ac:dyDescent="0.25">
      <c r="A2143" t="str">
        <f>"18/04/2018"</f>
        <v>18/04/2018</v>
      </c>
      <c r="B2143" t="str">
        <f>"65.665"</f>
        <v>65.665</v>
      </c>
      <c r="C2143" t="str">
        <f>"65.9075"</f>
        <v>65.9075</v>
      </c>
    </row>
    <row r="2144" spans="1:3" x14ac:dyDescent="0.25">
      <c r="A2144" t="str">
        <f>"19/04/2018"</f>
        <v>19/04/2018</v>
      </c>
      <c r="B2144" t="str">
        <f>"65.80"</f>
        <v>65.80</v>
      </c>
      <c r="C2144" t="str">
        <f>"66.0375"</f>
        <v>66.0375</v>
      </c>
    </row>
    <row r="2145" spans="1:3" x14ac:dyDescent="0.25">
      <c r="A2145" t="str">
        <f>"20/04/2018"</f>
        <v>20/04/2018</v>
      </c>
      <c r="B2145" t="str">
        <f>"66.115"</f>
        <v>66.115</v>
      </c>
      <c r="C2145" t="str">
        <f>"66.355"</f>
        <v>66.355</v>
      </c>
    </row>
    <row r="2146" spans="1:3" x14ac:dyDescent="0.25">
      <c r="A2146" t="str">
        <f>"23/04/2018"</f>
        <v>23/04/2018</v>
      </c>
      <c r="B2146" t="str">
        <f>"66.485"</f>
        <v>66.485</v>
      </c>
      <c r="C2146" t="str">
        <f>"66.73"</f>
        <v>66.73</v>
      </c>
    </row>
    <row r="2147" spans="1:3" x14ac:dyDescent="0.25">
      <c r="A2147" t="str">
        <f>"24/04/2018"</f>
        <v>24/04/2018</v>
      </c>
      <c r="B2147" t="str">
        <f>"66.3925"</f>
        <v>66.3925</v>
      </c>
      <c r="C2147" t="str">
        <f>"66.6525"</f>
        <v>66.6525</v>
      </c>
    </row>
    <row r="2148" spans="1:3" x14ac:dyDescent="0.25">
      <c r="A2148" t="str">
        <f>"25/04/2018"</f>
        <v>25/04/2018</v>
      </c>
      <c r="B2148" t="str">
        <f>"66.895"</f>
        <v>66.895</v>
      </c>
      <c r="C2148" t="str">
        <f>"67.16"</f>
        <v>67.16</v>
      </c>
    </row>
    <row r="2149" spans="1:3" x14ac:dyDescent="0.25">
      <c r="A2149" t="str">
        <f>"26/04/2018"</f>
        <v>26/04/2018</v>
      </c>
      <c r="B2149" t="str">
        <f>"66.76"</f>
        <v>66.76</v>
      </c>
      <c r="C2149" t="str">
        <f>"67.005"</f>
        <v>67.005</v>
      </c>
    </row>
    <row r="2150" spans="1:3" x14ac:dyDescent="0.25">
      <c r="A2150" t="str">
        <f>"27/04/2018"</f>
        <v>27/04/2018</v>
      </c>
      <c r="B2150" t="str">
        <f>"66.6675"</f>
        <v>66.6675</v>
      </c>
      <c r="C2150" t="str">
        <f>"66.9075"</f>
        <v>66.9075</v>
      </c>
    </row>
    <row r="2151" spans="1:3" x14ac:dyDescent="0.25">
      <c r="A2151" t="str">
        <f>"02/05/2018"</f>
        <v>02/05/2018</v>
      </c>
      <c r="B2151" t="str">
        <f>"66.6675"</f>
        <v>66.6675</v>
      </c>
      <c r="C2151" t="str">
        <f>"66.91"</f>
        <v>66.91</v>
      </c>
    </row>
    <row r="2152" spans="1:3" x14ac:dyDescent="0.25">
      <c r="A2152" t="str">
        <f>"03/05/2018"</f>
        <v>03/05/2018</v>
      </c>
      <c r="B2152" t="str">
        <f>"66.6475"</f>
        <v>66.6475</v>
      </c>
      <c r="C2152" t="str">
        <f>"66.8925"</f>
        <v>66.8925</v>
      </c>
    </row>
    <row r="2153" spans="1:3" x14ac:dyDescent="0.25">
      <c r="A2153" t="str">
        <f>"04/05/2018"</f>
        <v>04/05/2018</v>
      </c>
      <c r="B2153" t="str">
        <f>"66.875"</f>
        <v>66.875</v>
      </c>
      <c r="C2153" t="str">
        <f>"67.115"</f>
        <v>67.115</v>
      </c>
    </row>
    <row r="2154" spans="1:3" x14ac:dyDescent="0.25">
      <c r="A2154" t="str">
        <f>"07/05/2018"</f>
        <v>07/05/2018</v>
      </c>
      <c r="B2154" t="str">
        <f>"67.1475"</f>
        <v>67.1475</v>
      </c>
      <c r="C2154" t="str">
        <f>"67.4025"</f>
        <v>67.4025</v>
      </c>
    </row>
    <row r="2155" spans="1:3" x14ac:dyDescent="0.25">
      <c r="A2155" t="str">
        <f>"08/05/2018"</f>
        <v>08/05/2018</v>
      </c>
      <c r="B2155" t="str">
        <f>"67.085"</f>
        <v>67.085</v>
      </c>
      <c r="C2155" t="str">
        <f>"67.33"</f>
        <v>67.33</v>
      </c>
    </row>
    <row r="2156" spans="1:3" x14ac:dyDescent="0.25">
      <c r="A2156" t="str">
        <f>"09/05/2018"</f>
        <v>09/05/2018</v>
      </c>
      <c r="B2156" t="str">
        <f>"67.28"</f>
        <v>67.28</v>
      </c>
      <c r="C2156" t="str">
        <f>"67.5225"</f>
        <v>67.5225</v>
      </c>
    </row>
    <row r="2157" spans="1:3" x14ac:dyDescent="0.25">
      <c r="A2157" t="str">
        <f>"10/05/2018"</f>
        <v>10/05/2018</v>
      </c>
      <c r="B2157" t="str">
        <f>"67.3225"</f>
        <v>67.3225</v>
      </c>
      <c r="C2157" t="str">
        <f>"67.5675"</f>
        <v>67.5675</v>
      </c>
    </row>
    <row r="2158" spans="1:3" x14ac:dyDescent="0.25">
      <c r="A2158" t="str">
        <f>"11/05/2018"</f>
        <v>11/05/2018</v>
      </c>
      <c r="B2158" t="str">
        <f>"67.3375"</f>
        <v>67.3375</v>
      </c>
      <c r="C2158" t="str">
        <f>"67.58"</f>
        <v>67.58</v>
      </c>
    </row>
    <row r="2159" spans="1:3" x14ac:dyDescent="0.25">
      <c r="A2159" t="str">
        <f>"14/05/2018"</f>
        <v>14/05/2018</v>
      </c>
      <c r="B2159" t="str">
        <f>"67.5175"</f>
        <v>67.5175</v>
      </c>
      <c r="C2159" t="str">
        <f>"67.76"</f>
        <v>67.76</v>
      </c>
    </row>
    <row r="2160" spans="1:3" x14ac:dyDescent="0.25">
      <c r="A2160" t="str">
        <f>"15/05/2018"</f>
        <v>15/05/2018</v>
      </c>
      <c r="B2160" t="str">
        <f>"68.12"</f>
        <v>68.12</v>
      </c>
      <c r="C2160" t="str">
        <f>"68.365"</f>
        <v>68.365</v>
      </c>
    </row>
    <row r="2161" spans="1:3" x14ac:dyDescent="0.25">
      <c r="A2161" t="str">
        <f>"16/05/2018"</f>
        <v>16/05/2018</v>
      </c>
      <c r="B2161" t="str">
        <f>"67.80"</f>
        <v>67.80</v>
      </c>
      <c r="C2161" t="str">
        <f>"68.03"</f>
        <v>68.03</v>
      </c>
    </row>
    <row r="2162" spans="1:3" x14ac:dyDescent="0.25">
      <c r="A2162" t="str">
        <f>"17/05/2018"</f>
        <v>17/05/2018</v>
      </c>
      <c r="B2162" t="str">
        <f>"67.7025"</f>
        <v>67.7025</v>
      </c>
      <c r="C2162" t="str">
        <f>"67.94"</f>
        <v>67.94</v>
      </c>
    </row>
    <row r="2163" spans="1:3" x14ac:dyDescent="0.25">
      <c r="A2163" t="str">
        <f>"18/05/2018"</f>
        <v>18/05/2018</v>
      </c>
      <c r="B2163" t="str">
        <f>"68.015"</f>
        <v>68.015</v>
      </c>
      <c r="C2163" t="str">
        <f>"68.25"</f>
        <v>68.25</v>
      </c>
    </row>
    <row r="2164" spans="1:3" x14ac:dyDescent="0.25">
      <c r="A2164" t="str">
        <f>"21/05/2018"</f>
        <v>21/05/2018</v>
      </c>
      <c r="B2164" t="str">
        <f>"68.1275"</f>
        <v>68.1275</v>
      </c>
      <c r="C2164" t="str">
        <f>"68.3825"</f>
        <v>68.3825</v>
      </c>
    </row>
    <row r="2165" spans="1:3" x14ac:dyDescent="0.25">
      <c r="A2165" t="str">
        <f>"22/05/2018"</f>
        <v>22/05/2018</v>
      </c>
      <c r="B2165" t="str">
        <f>"68.05"</f>
        <v>68.05</v>
      </c>
      <c r="C2165" t="str">
        <f>"68.3025"</f>
        <v>68.3025</v>
      </c>
    </row>
    <row r="2166" spans="1:3" x14ac:dyDescent="0.25">
      <c r="A2166" t="str">
        <f>"23/05/2018"</f>
        <v>23/05/2018</v>
      </c>
      <c r="B2166" t="str">
        <f>"68.4275"</f>
        <v>68.4275</v>
      </c>
      <c r="C2166" t="str">
        <f>"68.675"</f>
        <v>68.675</v>
      </c>
    </row>
    <row r="2167" spans="1:3" x14ac:dyDescent="0.25">
      <c r="A2167" t="str">
        <f>"24/05/2018"</f>
        <v>24/05/2018</v>
      </c>
      <c r="B2167" t="str">
        <f>"68.35"</f>
        <v>68.35</v>
      </c>
      <c r="C2167" t="str">
        <f>"68.60"</f>
        <v>68.60</v>
      </c>
    </row>
    <row r="2168" spans="1:3" x14ac:dyDescent="0.25">
      <c r="A2168" t="str">
        <f>"25/05/2018"</f>
        <v>25/05/2018</v>
      </c>
      <c r="B2168" t="str">
        <f>"67.775"</f>
        <v>67.775</v>
      </c>
      <c r="C2168" t="str">
        <f>"68.02"</f>
        <v>68.02</v>
      </c>
    </row>
    <row r="2169" spans="1:3" x14ac:dyDescent="0.25">
      <c r="A2169" t="str">
        <f>"28/05/2018"</f>
        <v>28/05/2018</v>
      </c>
      <c r="B2169" t="str">
        <f>"67.4325"</f>
        <v>67.4325</v>
      </c>
      <c r="C2169" t="str">
        <f>"67.6775"</f>
        <v>67.6775</v>
      </c>
    </row>
    <row r="2170" spans="1:3" x14ac:dyDescent="0.25">
      <c r="A2170" t="str">
        <f>"29/05/2018"</f>
        <v>29/05/2018</v>
      </c>
      <c r="B2170" t="str">
        <f>"67.88"</f>
        <v>67.88</v>
      </c>
      <c r="C2170" t="str">
        <f>"68.125"</f>
        <v>68.125</v>
      </c>
    </row>
    <row r="2171" spans="1:3" x14ac:dyDescent="0.25">
      <c r="A2171" t="str">
        <f>"30/05/2018"</f>
        <v>30/05/2018</v>
      </c>
      <c r="B2171" t="str">
        <f>"67.79"</f>
        <v>67.79</v>
      </c>
      <c r="C2171" t="str">
        <f>"68.035"</f>
        <v>68.035</v>
      </c>
    </row>
    <row r="2172" spans="1:3" x14ac:dyDescent="0.25">
      <c r="A2172" t="str">
        <f>"31/05/2018"</f>
        <v>31/05/2018</v>
      </c>
      <c r="B2172" t="str">
        <f>"67.415"</f>
        <v>67.415</v>
      </c>
      <c r="C2172" t="str">
        <f>"67.655"</f>
        <v>67.655</v>
      </c>
    </row>
    <row r="2173" spans="1:3" x14ac:dyDescent="0.25">
      <c r="A2173" t="str">
        <f>"01/06/2018"</f>
        <v>01/06/2018</v>
      </c>
      <c r="B2173" t="str">
        <f>"67.0625"</f>
        <v>67.0625</v>
      </c>
      <c r="C2173" t="str">
        <f>"67.30"</f>
        <v>67.30</v>
      </c>
    </row>
    <row r="2174" spans="1:3" x14ac:dyDescent="0.25">
      <c r="A2174" t="str">
        <f>"04/06/2018"</f>
        <v>04/06/2018</v>
      </c>
      <c r="B2174" t="str">
        <f>"67.1175"</f>
        <v>67.1175</v>
      </c>
      <c r="C2174" t="str">
        <f>"67.36"</f>
        <v>67.36</v>
      </c>
    </row>
    <row r="2175" spans="1:3" x14ac:dyDescent="0.25">
      <c r="A2175" t="str">
        <f>"05/06/2018"</f>
        <v>05/06/2018</v>
      </c>
      <c r="B2175" t="str">
        <f>"67.155"</f>
        <v>67.155</v>
      </c>
      <c r="C2175" t="str">
        <f>"67.41"</f>
        <v>67.41</v>
      </c>
    </row>
    <row r="2176" spans="1:3" x14ac:dyDescent="0.25">
      <c r="A2176" t="str">
        <f>"06/06/2018"</f>
        <v>06/06/2018</v>
      </c>
      <c r="B2176" t="str">
        <f>"66.9275"</f>
        <v>66.9275</v>
      </c>
      <c r="C2176" t="str">
        <f>"67.1725"</f>
        <v>67.1725</v>
      </c>
    </row>
    <row r="2177" spans="1:3" x14ac:dyDescent="0.25">
      <c r="A2177" t="str">
        <f>"07/06/2018"</f>
        <v>07/06/2018</v>
      </c>
      <c r="B2177" t="str">
        <f>"67.15"</f>
        <v>67.15</v>
      </c>
      <c r="C2177" t="str">
        <f>"67.39"</f>
        <v>67.39</v>
      </c>
    </row>
    <row r="2178" spans="1:3" x14ac:dyDescent="0.25">
      <c r="A2178" t="str">
        <f>"08/06/2018"</f>
        <v>08/06/2018</v>
      </c>
      <c r="B2178" t="str">
        <f>"67.5125"</f>
        <v>67.5125</v>
      </c>
      <c r="C2178" t="str">
        <f>"67.755"</f>
        <v>67.755</v>
      </c>
    </row>
    <row r="2179" spans="1:3" x14ac:dyDescent="0.25">
      <c r="A2179" t="str">
        <f>"11/06/2018"</f>
        <v>11/06/2018</v>
      </c>
      <c r="B2179" t="str">
        <f>"67.43"</f>
        <v>67.43</v>
      </c>
      <c r="C2179" t="str">
        <f>"67.67"</f>
        <v>67.67</v>
      </c>
    </row>
    <row r="2180" spans="1:3" x14ac:dyDescent="0.25">
      <c r="A2180" t="str">
        <f>"12/06/2018"</f>
        <v>12/06/2018</v>
      </c>
      <c r="B2180" t="str">
        <f>"67.495"</f>
        <v>67.495</v>
      </c>
      <c r="C2180" t="str">
        <f>"67.7525"</f>
        <v>67.7525</v>
      </c>
    </row>
    <row r="2181" spans="1:3" x14ac:dyDescent="0.25">
      <c r="A2181" t="str">
        <f>"13/06/2018"</f>
        <v>13/06/2018</v>
      </c>
      <c r="B2181" t="str">
        <f>"67.65"</f>
        <v>67.65</v>
      </c>
      <c r="C2181" t="str">
        <f>"67.90"</f>
        <v>67.90</v>
      </c>
    </row>
    <row r="2182" spans="1:3" x14ac:dyDescent="0.25">
      <c r="A2182" t="str">
        <f>"14/06/2018"</f>
        <v>14/06/2018</v>
      </c>
      <c r="B2182" t="str">
        <f>"67.635"</f>
        <v>67.635</v>
      </c>
      <c r="C2182" t="str">
        <f>"67.875"</f>
        <v>67.875</v>
      </c>
    </row>
    <row r="2183" spans="1:3" x14ac:dyDescent="0.25">
      <c r="A2183" t="str">
        <f>"15/06/2018"</f>
        <v>15/06/2018</v>
      </c>
      <c r="B2183" t="str">
        <f>"68.0225"</f>
        <v>68.0225</v>
      </c>
      <c r="C2183" t="str">
        <f>"68.265"</f>
        <v>68.265</v>
      </c>
    </row>
    <row r="2184" spans="1:3" x14ac:dyDescent="0.25">
      <c r="A2184" t="str">
        <f>"18/06/2018"</f>
        <v>18/06/2018</v>
      </c>
      <c r="B2184" t="str">
        <f>"67.9925"</f>
        <v>67.9925</v>
      </c>
      <c r="C2184" t="str">
        <f>"68.2325"</f>
        <v>68.2325</v>
      </c>
    </row>
    <row r="2185" spans="1:3" x14ac:dyDescent="0.25">
      <c r="A2185" t="str">
        <f>"19/06/2018"</f>
        <v>19/06/2018</v>
      </c>
      <c r="B2185" t="str">
        <f>"68.39"</f>
        <v>68.39</v>
      </c>
      <c r="C2185" t="str">
        <f>"68.65"</f>
        <v>68.65</v>
      </c>
    </row>
    <row r="2186" spans="1:3" x14ac:dyDescent="0.25">
      <c r="A2186" t="str">
        <f>"20/06/2018"</f>
        <v>20/06/2018</v>
      </c>
      <c r="B2186" t="str">
        <f>"68.08"</f>
        <v>68.08</v>
      </c>
      <c r="C2186" t="str">
        <f>"68.3325"</f>
        <v>68.3325</v>
      </c>
    </row>
    <row r="2187" spans="1:3" x14ac:dyDescent="0.25">
      <c r="A2187" t="str">
        <f>"21/06/2018"</f>
        <v>21/06/2018</v>
      </c>
      <c r="B2187" t="str">
        <f>"67.99"</f>
        <v>67.99</v>
      </c>
      <c r="C2187" t="str">
        <f>"68.2325"</f>
        <v>68.2325</v>
      </c>
    </row>
    <row r="2188" spans="1:3" x14ac:dyDescent="0.25">
      <c r="A2188" t="str">
        <f>"22/06/2018"</f>
        <v>22/06/2018</v>
      </c>
      <c r="B2188" t="str">
        <f>"67.84"</f>
        <v>67.84</v>
      </c>
      <c r="C2188" t="str">
        <f>"68.085"</f>
        <v>68.085</v>
      </c>
    </row>
    <row r="2189" spans="1:3" x14ac:dyDescent="0.25">
      <c r="A2189" t="str">
        <f>"25/06/2018"</f>
        <v>25/06/2018</v>
      </c>
      <c r="B2189" t="str">
        <f>"68.13"</f>
        <v>68.13</v>
      </c>
      <c r="C2189" t="str">
        <f>"68.375"</f>
        <v>68.375</v>
      </c>
    </row>
    <row r="2190" spans="1:3" x14ac:dyDescent="0.25">
      <c r="A2190" t="str">
        <f>"26/06/2018"</f>
        <v>26/06/2018</v>
      </c>
      <c r="B2190" t="str">
        <f>"68.255"</f>
        <v>68.255</v>
      </c>
      <c r="C2190" t="str">
        <f>"68.50"</f>
        <v>68.50</v>
      </c>
    </row>
    <row r="2191" spans="1:3" x14ac:dyDescent="0.25">
      <c r="A2191" t="str">
        <f>"27/06/2018"</f>
        <v>27/06/2018</v>
      </c>
      <c r="B2191" t="str">
        <f>"68.64"</f>
        <v>68.64</v>
      </c>
      <c r="C2191" t="str">
        <f>"68.885"</f>
        <v>68.885</v>
      </c>
    </row>
    <row r="2192" spans="1:3" x14ac:dyDescent="0.25">
      <c r="A2192" t="str">
        <f>"28/06/2018"</f>
        <v>28/06/2018</v>
      </c>
      <c r="B2192" t="str">
        <f>"68.7975"</f>
        <v>68.7975</v>
      </c>
      <c r="C2192" t="str">
        <f>"69.0425"</f>
        <v>69.0425</v>
      </c>
    </row>
    <row r="2193" spans="1:3" x14ac:dyDescent="0.25">
      <c r="A2193" t="str">
        <f>"29/06/2018"</f>
        <v>29/06/2018</v>
      </c>
      <c r="B2193" t="str">
        <f>"68.475"</f>
        <v>68.475</v>
      </c>
      <c r="C2193" t="str">
        <f>"68.72"</f>
        <v>68.72</v>
      </c>
    </row>
    <row r="2194" spans="1:3" x14ac:dyDescent="0.25">
      <c r="A2194" t="str">
        <f>"02/07/2018"</f>
        <v>02/07/2018</v>
      </c>
      <c r="B2194" t="str">
        <f>"68.805"</f>
        <v>68.805</v>
      </c>
      <c r="C2194" t="str">
        <f>"69.05"</f>
        <v>69.05</v>
      </c>
    </row>
    <row r="2195" spans="1:3" x14ac:dyDescent="0.25">
      <c r="A2195" t="str">
        <f>"03/07/2018"</f>
        <v>03/07/2018</v>
      </c>
      <c r="B2195" t="str">
        <f>"68.58"</f>
        <v>68.58</v>
      </c>
      <c r="C2195" t="str">
        <f>"68.825"</f>
        <v>68.825</v>
      </c>
    </row>
    <row r="2196" spans="1:3" x14ac:dyDescent="0.25">
      <c r="A2196" t="str">
        <f>"04/07/2018"</f>
        <v>04/07/2018</v>
      </c>
      <c r="B2196" t="str">
        <f>"68.7475"</f>
        <v>68.7475</v>
      </c>
      <c r="C2196" t="str">
        <f>"68.9925"</f>
        <v>68.9925</v>
      </c>
    </row>
    <row r="2197" spans="1:3" x14ac:dyDescent="0.25">
      <c r="A2197" t="str">
        <f>"05/07/2018"</f>
        <v>05/07/2018</v>
      </c>
      <c r="B2197" t="str">
        <f>"68.95"</f>
        <v>68.95</v>
      </c>
      <c r="C2197" t="str">
        <f>"69.21"</f>
        <v>69.21</v>
      </c>
    </row>
    <row r="2198" spans="1:3" x14ac:dyDescent="0.25">
      <c r="A2198" t="str">
        <f>"06/07/2018"</f>
        <v>06/07/2018</v>
      </c>
      <c r="B2198" t="str">
        <f>"68.885"</f>
        <v>68.885</v>
      </c>
      <c r="C2198" t="str">
        <f>"69.145"</f>
        <v>69.145</v>
      </c>
    </row>
    <row r="2199" spans="1:3" x14ac:dyDescent="0.25">
      <c r="A2199" t="str">
        <f>"09/07/2018"</f>
        <v>09/07/2018</v>
      </c>
      <c r="B2199" t="str">
        <f>"68.725"</f>
        <v>68.725</v>
      </c>
      <c r="C2199" t="str">
        <f>"68.995"</f>
        <v>68.995</v>
      </c>
    </row>
    <row r="2200" spans="1:3" x14ac:dyDescent="0.25">
      <c r="A2200" t="str">
        <f>"10/07/2018"</f>
        <v>10/07/2018</v>
      </c>
      <c r="B2200" t="str">
        <f>"68.8275"</f>
        <v>68.8275</v>
      </c>
      <c r="C2200" t="str">
        <f>"69.0925"</f>
        <v>69.0925</v>
      </c>
    </row>
    <row r="2201" spans="1:3" x14ac:dyDescent="0.25">
      <c r="A2201" t="str">
        <f>"11/07/2018"</f>
        <v>11/07/2018</v>
      </c>
      <c r="B2201" t="str">
        <f>"68.775"</f>
        <v>68.775</v>
      </c>
      <c r="C2201" t="str">
        <f>"69.035"</f>
        <v>69.035</v>
      </c>
    </row>
    <row r="2202" spans="1:3" x14ac:dyDescent="0.25">
      <c r="A2202" t="str">
        <f>"12/07/2018"</f>
        <v>12/07/2018</v>
      </c>
      <c r="B2202" t="str">
        <f>"68.575"</f>
        <v>68.575</v>
      </c>
      <c r="C2202" t="str">
        <f>"68.83"</f>
        <v>68.83</v>
      </c>
    </row>
    <row r="2203" spans="1:3" x14ac:dyDescent="0.25">
      <c r="A2203" t="str">
        <f>"13/07/2018"</f>
        <v>13/07/2018</v>
      </c>
      <c r="B2203" t="str">
        <f>"68.5375"</f>
        <v>68.5375</v>
      </c>
      <c r="C2203" t="str">
        <f>"68.815"</f>
        <v>68.815</v>
      </c>
    </row>
    <row r="2204" spans="1:3" x14ac:dyDescent="0.25">
      <c r="A2204" t="str">
        <f>"16/07/2018"</f>
        <v>16/07/2018</v>
      </c>
      <c r="B2204" t="str">
        <f>"68.575"</f>
        <v>68.575</v>
      </c>
      <c r="C2204" t="str">
        <f>"68.85"</f>
        <v>68.85</v>
      </c>
    </row>
    <row r="2205" spans="1:3" x14ac:dyDescent="0.25">
      <c r="A2205" t="str">
        <f>"17/07/2018"</f>
        <v>17/07/2018</v>
      </c>
      <c r="B2205" t="str">
        <f>"68.465"</f>
        <v>68.465</v>
      </c>
      <c r="C2205" t="str">
        <f>"68.725"</f>
        <v>68.725</v>
      </c>
    </row>
    <row r="2206" spans="1:3" x14ac:dyDescent="0.25">
      <c r="A2206" t="str">
        <f>"18/07/2018"</f>
        <v>18/07/2018</v>
      </c>
      <c r="B2206" t="str">
        <f>"68.6275"</f>
        <v>68.6275</v>
      </c>
      <c r="C2206" t="str">
        <f>"68.8775"</f>
        <v>68.8775</v>
      </c>
    </row>
    <row r="2207" spans="1:3" x14ac:dyDescent="0.25">
      <c r="A2207" t="str">
        <f>"19/07/2018"</f>
        <v>19/07/2018</v>
      </c>
      <c r="B2207" t="str">
        <f>"69.0575"</f>
        <v>69.0575</v>
      </c>
      <c r="C2207" t="str">
        <f>"69.3125"</f>
        <v>69.3125</v>
      </c>
    </row>
    <row r="2208" spans="1:3" x14ac:dyDescent="0.25">
      <c r="A2208" t="str">
        <f>"20/07/2018"</f>
        <v>20/07/2018</v>
      </c>
      <c r="B2208" t="str">
        <f>"68.855"</f>
        <v>68.855</v>
      </c>
      <c r="C2208" t="str">
        <f>"69.105"</f>
        <v>69.105</v>
      </c>
    </row>
    <row r="2209" spans="1:3" x14ac:dyDescent="0.25">
      <c r="A2209" t="str">
        <f>"23/07/2018"</f>
        <v>23/07/2018</v>
      </c>
      <c r="B2209" t="str">
        <f>"68.8675"</f>
        <v>68.8675</v>
      </c>
      <c r="C2209" t="str">
        <f>"69.1175"</f>
        <v>69.1175</v>
      </c>
    </row>
    <row r="2210" spans="1:3" x14ac:dyDescent="0.25">
      <c r="A2210" t="str">
        <f>"24/07/2018"</f>
        <v>24/07/2018</v>
      </c>
      <c r="B2210" t="str">
        <f>"68.9525"</f>
        <v>68.9525</v>
      </c>
      <c r="C2210" t="str">
        <f>"69.2175"</f>
        <v>69.2175</v>
      </c>
    </row>
    <row r="2211" spans="1:3" x14ac:dyDescent="0.25">
      <c r="A2211" t="str">
        <f>"25/07/2018"</f>
        <v>25/07/2018</v>
      </c>
      <c r="B2211" t="str">
        <f>"68.79"</f>
        <v>68.79</v>
      </c>
      <c r="C2211" t="str">
        <f>"69.045"</f>
        <v>69.045</v>
      </c>
    </row>
    <row r="2212" spans="1:3" x14ac:dyDescent="0.25">
      <c r="A2212" t="str">
        <f>"26/07/2018"</f>
        <v>26/07/2018</v>
      </c>
      <c r="B2212" t="str">
        <f>"68.67"</f>
        <v>68.67</v>
      </c>
      <c r="C2212" t="str">
        <f>"68.93"</f>
        <v>68.93</v>
      </c>
    </row>
    <row r="2213" spans="1:3" x14ac:dyDescent="0.25">
      <c r="A2213" t="str">
        <f>"27/07/2018"</f>
        <v>27/07/2018</v>
      </c>
      <c r="B2213" t="str">
        <f>"68.67"</f>
        <v>68.67</v>
      </c>
      <c r="C2213" t="str">
        <f>"68.9275"</f>
        <v>68.9275</v>
      </c>
    </row>
    <row r="2214" spans="1:3" x14ac:dyDescent="0.25">
      <c r="A2214" t="str">
        <f>"30/07/2018"</f>
        <v>30/07/2018</v>
      </c>
      <c r="B2214" t="str">
        <f>"68.685"</f>
        <v>68.685</v>
      </c>
      <c r="C2214" t="str">
        <f>"68.9425"</f>
        <v>68.9425</v>
      </c>
    </row>
    <row r="2215" spans="1:3" x14ac:dyDescent="0.25">
      <c r="A2215" t="str">
        <f>"31/07/2018"</f>
        <v>31/07/2018</v>
      </c>
      <c r="B2215" t="str">
        <f>"68.5525"</f>
        <v>68.5525</v>
      </c>
      <c r="C2215" t="str">
        <f>"68.81"</f>
        <v>68.81</v>
      </c>
    </row>
    <row r="2216" spans="1:3" x14ac:dyDescent="0.25">
      <c r="A2216" t="str">
        <f>"01/08/2018"</f>
        <v>01/08/2018</v>
      </c>
      <c r="B2216" t="str">
        <f>"68.435"</f>
        <v>68.435</v>
      </c>
      <c r="C2216" t="str">
        <f>"68.6925"</f>
        <v>68.6925</v>
      </c>
    </row>
    <row r="2217" spans="1:3" x14ac:dyDescent="0.25">
      <c r="A2217" t="str">
        <f>"02/08/2018"</f>
        <v>02/08/2018</v>
      </c>
      <c r="B2217" t="str">
        <f>"68.715"</f>
        <v>68.715</v>
      </c>
      <c r="C2217" t="str">
        <f>"68.9725"</f>
        <v>68.9725</v>
      </c>
    </row>
    <row r="2218" spans="1:3" x14ac:dyDescent="0.25">
      <c r="A2218" t="str">
        <f>"03/08/2018"</f>
        <v>03/08/2018</v>
      </c>
      <c r="B2218" t="str">
        <f>"68.615"</f>
        <v>68.615</v>
      </c>
      <c r="C2218" t="str">
        <f>"68.8725"</f>
        <v>68.8725</v>
      </c>
    </row>
    <row r="2219" spans="1:3" x14ac:dyDescent="0.25">
      <c r="A2219" t="str">
        <f>"06/08/2018"</f>
        <v>06/08/2018</v>
      </c>
      <c r="B2219" t="str">
        <f>"68.895"</f>
        <v>68.895</v>
      </c>
      <c r="C2219" t="str">
        <f>"69.1525"</f>
        <v>69.1525</v>
      </c>
    </row>
    <row r="2220" spans="1:3" x14ac:dyDescent="0.25">
      <c r="A2220" t="str">
        <f>"07/08/2018"</f>
        <v>07/08/2018</v>
      </c>
      <c r="B2220" t="str">
        <f>"68.69"</f>
        <v>68.69</v>
      </c>
      <c r="C2220" t="str">
        <f>"68.96"</f>
        <v>68.96</v>
      </c>
    </row>
    <row r="2221" spans="1:3" x14ac:dyDescent="0.25">
      <c r="A2221" t="str">
        <f>"08/08/2018"</f>
        <v>08/08/2018</v>
      </c>
      <c r="B2221" t="str">
        <f>"68.6325"</f>
        <v>68.6325</v>
      </c>
      <c r="C2221" t="str">
        <f>"68.89"</f>
        <v>68.89</v>
      </c>
    </row>
    <row r="2222" spans="1:3" x14ac:dyDescent="0.25">
      <c r="A2222" t="str">
        <f>"09/08/2018"</f>
        <v>09/08/2018</v>
      </c>
      <c r="B2222" t="str">
        <f>"68.6875"</f>
        <v>68.6875</v>
      </c>
      <c r="C2222" t="str">
        <f>"68.9575"</f>
        <v>68.9575</v>
      </c>
    </row>
    <row r="2223" spans="1:3" x14ac:dyDescent="0.25">
      <c r="A2223" t="str">
        <f>"10/08/2018"</f>
        <v>10/08/2018</v>
      </c>
      <c r="B2223" t="str">
        <f>"68.84"</f>
        <v>68.84</v>
      </c>
      <c r="C2223" t="str">
        <f>"69.1025"</f>
        <v>69.1025</v>
      </c>
    </row>
    <row r="2224" spans="1:3" x14ac:dyDescent="0.25">
      <c r="A2224" t="str">
        <f>"13/08/2018"</f>
        <v>13/08/2018</v>
      </c>
      <c r="B2224" t="str">
        <f>"69.945"</f>
        <v>69.945</v>
      </c>
      <c r="C2224" t="str">
        <f>"70.22"</f>
        <v>70.22</v>
      </c>
    </row>
    <row r="2225" spans="1:3" x14ac:dyDescent="0.25">
      <c r="A2225" t="str">
        <f>"14/08/2018"</f>
        <v>14/08/2018</v>
      </c>
      <c r="B2225" t="str">
        <f>"69.90"</f>
        <v>69.90</v>
      </c>
      <c r="C2225" t="str">
        <f>"70.1725"</f>
        <v>70.1725</v>
      </c>
    </row>
    <row r="2226" spans="1:3" x14ac:dyDescent="0.25">
      <c r="A2226" t="str">
        <f>"16/08/2018"</f>
        <v>16/08/2018</v>
      </c>
      <c r="B2226" t="str">
        <f>"70.1625"</f>
        <v>70.1625</v>
      </c>
      <c r="C2226" t="str">
        <f>"70.4325"</f>
        <v>70.4325</v>
      </c>
    </row>
    <row r="2227" spans="1:3" x14ac:dyDescent="0.25">
      <c r="A2227" t="str">
        <f>"20/08/2018"</f>
        <v>20/08/2018</v>
      </c>
      <c r="B2227" t="str">
        <f>"69.83"</f>
        <v>69.83</v>
      </c>
      <c r="C2227" t="str">
        <f>"70.1125"</f>
        <v>70.1125</v>
      </c>
    </row>
    <row r="2228" spans="1:3" x14ac:dyDescent="0.25">
      <c r="A2228" t="str">
        <f>"21/08/2018"</f>
        <v>21/08/2018</v>
      </c>
      <c r="B2228" t="str">
        <f>"69.83"</f>
        <v>69.83</v>
      </c>
      <c r="C2228" t="str">
        <f>"70.105"</f>
        <v>70.105</v>
      </c>
    </row>
    <row r="2229" spans="1:3" x14ac:dyDescent="0.25">
      <c r="A2229" t="str">
        <f>"23/08/2018"</f>
        <v>23/08/2018</v>
      </c>
      <c r="B2229" t="str">
        <f>"70.1225"</f>
        <v>70.1225</v>
      </c>
      <c r="C2229" t="str">
        <f>"70.4025"</f>
        <v>70.4025</v>
      </c>
    </row>
    <row r="2230" spans="1:3" x14ac:dyDescent="0.25">
      <c r="A2230" t="str">
        <f>"24/08/2018"</f>
        <v>24/08/2018</v>
      </c>
      <c r="B2230" t="str">
        <f>"69.915"</f>
        <v>69.915</v>
      </c>
      <c r="C2230" t="str">
        <f>"70.195"</f>
        <v>70.195</v>
      </c>
    </row>
    <row r="2231" spans="1:3" x14ac:dyDescent="0.25">
      <c r="A2231" t="str">
        <f>"27/08/2018"</f>
        <v>27/08/2018</v>
      </c>
      <c r="B2231" t="str">
        <f>"70.165"</f>
        <v>70.165</v>
      </c>
      <c r="C2231" t="str">
        <f>"70.43"</f>
        <v>70.43</v>
      </c>
    </row>
    <row r="2232" spans="1:3" x14ac:dyDescent="0.25">
      <c r="A2232" t="str">
        <f>"28/08/2018"</f>
        <v>28/08/2018</v>
      </c>
      <c r="B2232" t="str">
        <f>"70.11"</f>
        <v>70.11</v>
      </c>
      <c r="C2232" t="str">
        <f>"70.3725"</f>
        <v>70.3725</v>
      </c>
    </row>
    <row r="2233" spans="1:3" x14ac:dyDescent="0.25">
      <c r="A2233" t="str">
        <f>"29/08/2018"</f>
        <v>29/08/2018</v>
      </c>
      <c r="B2233" t="str">
        <f>"70.5975"</f>
        <v>70.5975</v>
      </c>
      <c r="C2233" t="str">
        <f>"70.85"</f>
        <v>70.85</v>
      </c>
    </row>
    <row r="2234" spans="1:3" x14ac:dyDescent="0.25">
      <c r="A2234" t="str">
        <f>"30/08/2018"</f>
        <v>30/08/2018</v>
      </c>
      <c r="B2234" t="str">
        <f>"70.74"</f>
        <v>70.74</v>
      </c>
      <c r="C2234" t="str">
        <f>"71.0075"</f>
        <v>71.0075</v>
      </c>
    </row>
    <row r="2235" spans="1:3" x14ac:dyDescent="0.25">
      <c r="A2235" t="str">
        <f>"31/08/2018"</f>
        <v>31/08/2018</v>
      </c>
      <c r="B2235" t="str">
        <f>"71.00"</f>
        <v>71.00</v>
      </c>
      <c r="C2235" t="str">
        <f>"71.2775"</f>
        <v>71.2775</v>
      </c>
    </row>
    <row r="2236" spans="1:3" x14ac:dyDescent="0.25">
      <c r="A2236" t="str">
        <f>"03/09/2018"</f>
        <v>03/09/2018</v>
      </c>
      <c r="B2236" t="str">
        <f>"71.23"</f>
        <v>71.23</v>
      </c>
      <c r="C2236" t="str">
        <f>"71.4975"</f>
        <v>71.4975</v>
      </c>
    </row>
    <row r="2237" spans="1:3" x14ac:dyDescent="0.25">
      <c r="A2237" t="str">
        <f>"04/09/2018"</f>
        <v>04/09/2018</v>
      </c>
      <c r="B2237" t="str">
        <f>"71.59"</f>
        <v>71.59</v>
      </c>
      <c r="C2237" t="str">
        <f>"71.88"</f>
        <v>71.88</v>
      </c>
    </row>
    <row r="2238" spans="1:3" x14ac:dyDescent="0.25">
      <c r="A2238" t="str">
        <f>"05/09/2018"</f>
        <v>05/09/2018</v>
      </c>
      <c r="B2238" t="str">
        <f>"71.77"</f>
        <v>71.77</v>
      </c>
      <c r="C2238" t="str">
        <f>"72.06"</f>
        <v>72.06</v>
      </c>
    </row>
    <row r="2239" spans="1:3" x14ac:dyDescent="0.25">
      <c r="A2239" t="str">
        <f>"06/09/2018"</f>
        <v>06/09/2018</v>
      </c>
      <c r="B2239" t="str">
        <f>"71.9925"</f>
        <v>71.9925</v>
      </c>
      <c r="C2239" t="str">
        <f>"72.27"</f>
        <v>72.27</v>
      </c>
    </row>
    <row r="2240" spans="1:3" x14ac:dyDescent="0.25">
      <c r="A2240" t="str">
        <f>"07/09/2018"</f>
        <v>07/09/2018</v>
      </c>
      <c r="B2240" t="str">
        <f>"71.74"</f>
        <v>71.74</v>
      </c>
      <c r="C2240" t="str">
        <f>"72.015"</f>
        <v>72.015</v>
      </c>
    </row>
    <row r="2241" spans="1:3" x14ac:dyDescent="0.25">
      <c r="A2241" t="str">
        <f>"10/09/2018"</f>
        <v>10/09/2018</v>
      </c>
      <c r="B2241" t="str">
        <f>"72.4625"</f>
        <v>72.4625</v>
      </c>
      <c r="C2241" t="str">
        <f>"72.7425"</f>
        <v>72.7425</v>
      </c>
    </row>
    <row r="2242" spans="1:3" x14ac:dyDescent="0.25">
      <c r="A2242" t="str">
        <f>"11/09/2018"</f>
        <v>11/09/2018</v>
      </c>
      <c r="B2242" t="str">
        <f>"72.35"</f>
        <v>72.35</v>
      </c>
      <c r="C2242" t="str">
        <f>"72.645"</f>
        <v>72.645</v>
      </c>
    </row>
    <row r="2243" spans="1:3" x14ac:dyDescent="0.25">
      <c r="A2243" t="str">
        <f>"12/09/2018"</f>
        <v>12/09/2018</v>
      </c>
      <c r="B2243" t="str">
        <f>"72.19"</f>
        <v>72.19</v>
      </c>
      <c r="C2243" t="str">
        <f>"72.48"</f>
        <v>72.48</v>
      </c>
    </row>
    <row r="2244" spans="1:3" x14ac:dyDescent="0.25">
      <c r="A2244" t="str">
        <f>"14/09/2018"</f>
        <v>14/09/2018</v>
      </c>
      <c r="B2244" t="str">
        <f>"71.86"</f>
        <v>71.86</v>
      </c>
      <c r="C2244" t="str">
        <f>"72.155"</f>
        <v>72.155</v>
      </c>
    </row>
    <row r="2245" spans="1:3" x14ac:dyDescent="0.25">
      <c r="A2245" t="str">
        <f>"17/09/2018"</f>
        <v>17/09/2018</v>
      </c>
      <c r="B2245" t="str">
        <f>"72.515"</f>
        <v>72.515</v>
      </c>
      <c r="C2245" t="str">
        <f>"72.81"</f>
        <v>72.81</v>
      </c>
    </row>
    <row r="2246" spans="1:3" x14ac:dyDescent="0.25">
      <c r="A2246" t="str">
        <f>"18/09/2018"</f>
        <v>18/09/2018</v>
      </c>
      <c r="B2246" t="str">
        <f>"72.985"</f>
        <v>72.985</v>
      </c>
      <c r="C2246" t="str">
        <f>"73.29"</f>
        <v>73.29</v>
      </c>
    </row>
    <row r="2247" spans="1:3" x14ac:dyDescent="0.25">
      <c r="A2247" t="str">
        <f>"19/09/2018"</f>
        <v>19/09/2018</v>
      </c>
      <c r="B2247" t="str">
        <f>"72.385"</f>
        <v>72.385</v>
      </c>
      <c r="C2247" t="str">
        <f>"72.675"</f>
        <v>72.675</v>
      </c>
    </row>
    <row r="2248" spans="1:3" x14ac:dyDescent="0.25">
      <c r="A2248" t="str">
        <f>"21/09/2018"</f>
        <v>21/09/2018</v>
      </c>
      <c r="B2248" t="str">
        <f>"72.21"</f>
        <v>72.21</v>
      </c>
      <c r="C2248" t="str">
        <f>"72.495"</f>
        <v>72.495</v>
      </c>
    </row>
    <row r="2249" spans="1:3" x14ac:dyDescent="0.25">
      <c r="A2249" t="str">
        <f>"24/09/2018"</f>
        <v>24/09/2018</v>
      </c>
      <c r="B2249" t="str">
        <f>"72.6425"</f>
        <v>72.6425</v>
      </c>
      <c r="C2249" t="str">
        <f>"72.9275"</f>
        <v>72.9275</v>
      </c>
    </row>
    <row r="2250" spans="1:3" x14ac:dyDescent="0.25">
      <c r="A2250" t="str">
        <f>"25/09/2018"</f>
        <v>25/09/2018</v>
      </c>
      <c r="B2250" t="str">
        <f>"72.70"</f>
        <v>72.70</v>
      </c>
      <c r="C2250" t="str">
        <f>"72.985"</f>
        <v>72.985</v>
      </c>
    </row>
    <row r="2251" spans="1:3" x14ac:dyDescent="0.25">
      <c r="A2251" t="str">
        <f>"26/09/2018"</f>
        <v>26/09/2018</v>
      </c>
      <c r="B2251" t="str">
        <f>"72.625"</f>
        <v>72.625</v>
      </c>
      <c r="C2251" t="str">
        <f>"72.91"</f>
        <v>72.91</v>
      </c>
    </row>
    <row r="2252" spans="1:3" x14ac:dyDescent="0.25">
      <c r="A2252" t="str">
        <f>"27/09/2018"</f>
        <v>27/09/2018</v>
      </c>
      <c r="B2252" t="str">
        <f>"72.6025"</f>
        <v>72.6025</v>
      </c>
      <c r="C2252" t="str">
        <f>"72.8975"</f>
        <v>72.8975</v>
      </c>
    </row>
    <row r="2253" spans="1:3" x14ac:dyDescent="0.25">
      <c r="A2253" t="str">
        <f>"28/09/2018"</f>
        <v>28/09/2018</v>
      </c>
      <c r="B2253" t="str">
        <f>"72.495"</f>
        <v>72.495</v>
      </c>
      <c r="C2253" t="str">
        <f>"72.8075"</f>
        <v>72.8075</v>
      </c>
    </row>
    <row r="2254" spans="1:3" x14ac:dyDescent="0.25">
      <c r="A2254" t="str">
        <f>"01/10/2018"</f>
        <v>01/10/2018</v>
      </c>
      <c r="B2254" t="str">
        <f>"72.9175"</f>
        <v>72.9175</v>
      </c>
      <c r="C2254" t="str">
        <f>"73.23"</f>
        <v>73.23</v>
      </c>
    </row>
    <row r="2255" spans="1:3" x14ac:dyDescent="0.25">
      <c r="A2255" t="str">
        <f>"03/10/2018"</f>
        <v>03/10/2018</v>
      </c>
      <c r="B2255" t="str">
        <f>"73.3475"</f>
        <v>73.3475</v>
      </c>
      <c r="C2255" t="str">
        <f>"73.66"</f>
        <v>73.66</v>
      </c>
    </row>
    <row r="2256" spans="1:3" x14ac:dyDescent="0.25">
      <c r="A2256" t="str">
        <f>"04/10/2018"</f>
        <v>04/10/2018</v>
      </c>
      <c r="B2256" t="str">
        <f>"73.59"</f>
        <v>73.59</v>
      </c>
      <c r="C2256" t="str">
        <f>"73.9025"</f>
        <v>73.9025</v>
      </c>
    </row>
    <row r="2257" spans="1:3" x14ac:dyDescent="0.25">
      <c r="A2257" t="str">
        <f>"05/10/2018"</f>
        <v>05/10/2018</v>
      </c>
      <c r="B2257" t="str">
        <f>"73.7725"</f>
        <v>73.7725</v>
      </c>
      <c r="C2257" t="str">
        <f>"74.085"</f>
        <v>74.085</v>
      </c>
    </row>
    <row r="2258" spans="1:3" x14ac:dyDescent="0.25">
      <c r="A2258" t="str">
        <f>"08/10/2018"</f>
        <v>08/10/2018</v>
      </c>
      <c r="B2258" t="str">
        <f>"74.075"</f>
        <v>74.075</v>
      </c>
      <c r="C2258" t="str">
        <f>"74.3875"</f>
        <v>74.3875</v>
      </c>
    </row>
    <row r="2259" spans="1:3" x14ac:dyDescent="0.25">
      <c r="A2259" t="str">
        <f>"09/10/2018"</f>
        <v>09/10/2018</v>
      </c>
      <c r="B2259" t="str">
        <f>"74.40"</f>
        <v>74.40</v>
      </c>
      <c r="C2259" t="str">
        <f>"74.7125"</f>
        <v>74.7125</v>
      </c>
    </row>
    <row r="2260" spans="1:3" x14ac:dyDescent="0.25">
      <c r="A2260" t="str">
        <f>"10/10/2018"</f>
        <v>10/10/2018</v>
      </c>
      <c r="B2260" t="str">
        <f>"74.2225"</f>
        <v>74.2225</v>
      </c>
      <c r="C2260" t="str">
        <f>"74.535"</f>
        <v>74.535</v>
      </c>
    </row>
    <row r="2261" spans="1:3" x14ac:dyDescent="0.25">
      <c r="A2261" t="str">
        <f>"11/10/2018"</f>
        <v>11/10/2018</v>
      </c>
      <c r="B2261" t="str">
        <f>"74.13"</f>
        <v>74.13</v>
      </c>
      <c r="C2261" t="str">
        <f>"74.4425"</f>
        <v>74.4425</v>
      </c>
    </row>
    <row r="2262" spans="1:3" x14ac:dyDescent="0.25">
      <c r="A2262" t="str">
        <f>"12/10/2018"</f>
        <v>12/10/2018</v>
      </c>
      <c r="B2262" t="str">
        <f>"73.5775"</f>
        <v>73.5775</v>
      </c>
      <c r="C2262" t="str">
        <f>"73.89"</f>
        <v>73.89</v>
      </c>
    </row>
    <row r="2263" spans="1:3" x14ac:dyDescent="0.25">
      <c r="A2263" t="str">
        <f>"15/10/2018"</f>
        <v>15/10/2018</v>
      </c>
      <c r="B2263" t="str">
        <f>"73.835"</f>
        <v>73.835</v>
      </c>
      <c r="C2263" t="str">
        <f>"74.155"</f>
        <v>74.155</v>
      </c>
    </row>
    <row r="2264" spans="1:3" x14ac:dyDescent="0.25">
      <c r="A2264" t="str">
        <f>"16/10/2018"</f>
        <v>16/10/2018</v>
      </c>
      <c r="B2264" t="str">
        <f>"73.4825"</f>
        <v>73.4825</v>
      </c>
      <c r="C2264" t="str">
        <f>"73.785"</f>
        <v>73.785</v>
      </c>
    </row>
    <row r="2265" spans="1:3" x14ac:dyDescent="0.25">
      <c r="A2265" t="str">
        <f>"17/10/2018"</f>
        <v>17/10/2018</v>
      </c>
      <c r="B2265" t="str">
        <f>"73.6175"</f>
        <v>73.6175</v>
      </c>
      <c r="C2265" t="str">
        <f>"73.9575"</f>
        <v>73.9575</v>
      </c>
    </row>
    <row r="2266" spans="1:3" x14ac:dyDescent="0.25">
      <c r="A2266" t="str">
        <f>"19/10/2018"</f>
        <v>19/10/2018</v>
      </c>
      <c r="B2266" t="str">
        <f>"73.33"</f>
        <v>73.33</v>
      </c>
      <c r="C2266" t="str">
        <f>"73.655"</f>
        <v>73.655</v>
      </c>
    </row>
    <row r="2267" spans="1:3" x14ac:dyDescent="0.25">
      <c r="A2267" t="str">
        <f>"22/10/2018"</f>
        <v>22/10/2018</v>
      </c>
      <c r="B2267" t="str">
        <f>"73.5675"</f>
        <v>73.5675</v>
      </c>
      <c r="C2267" t="str">
        <f>"73.8875"</f>
        <v>73.8875</v>
      </c>
    </row>
    <row r="2268" spans="1:3" x14ac:dyDescent="0.25">
      <c r="A2268" t="str">
        <f>"23/10/2018"</f>
        <v>23/10/2018</v>
      </c>
      <c r="B2268" t="str">
        <f>"73.5725"</f>
        <v>73.5725</v>
      </c>
      <c r="C2268" t="str">
        <f>"73.8875"</f>
        <v>73.8875</v>
      </c>
    </row>
    <row r="2269" spans="1:3" x14ac:dyDescent="0.25">
      <c r="A2269" t="str">
        <f>"24/10/2018"</f>
        <v>24/10/2018</v>
      </c>
      <c r="B2269" t="str">
        <f>"73.16"</f>
        <v>73.16</v>
      </c>
      <c r="C2269" t="str">
        <f>"73.46"</f>
        <v>73.46</v>
      </c>
    </row>
    <row r="2270" spans="1:3" x14ac:dyDescent="0.25">
      <c r="A2270" t="str">
        <f>"25/10/2018"</f>
        <v>25/10/2018</v>
      </c>
      <c r="B2270" t="str">
        <f>"73.2775"</f>
        <v>73.2775</v>
      </c>
      <c r="C2270" t="str">
        <f>"73.57"</f>
        <v>73.57</v>
      </c>
    </row>
    <row r="2271" spans="1:3" x14ac:dyDescent="0.25">
      <c r="A2271" t="str">
        <f>"26/10/2018"</f>
        <v>26/10/2018</v>
      </c>
      <c r="B2271" t="str">
        <f>"73.4725"</f>
        <v>73.4725</v>
      </c>
      <c r="C2271" t="str">
        <f>"73.765"</f>
        <v>73.765</v>
      </c>
    </row>
    <row r="2272" spans="1:3" x14ac:dyDescent="0.25">
      <c r="A2272" t="str">
        <f>"29/10/2018"</f>
        <v>29/10/2018</v>
      </c>
      <c r="B2272" t="str">
        <f>"73.34"</f>
        <v>73.34</v>
      </c>
      <c r="C2272" t="str">
        <f>"73.615"</f>
        <v>73.615</v>
      </c>
    </row>
    <row r="2273" spans="1:3" x14ac:dyDescent="0.25">
      <c r="A2273" t="str">
        <f>"30/10/2018"</f>
        <v>30/10/2018</v>
      </c>
      <c r="B2273" t="str">
        <f>"73.605"</f>
        <v>73.605</v>
      </c>
      <c r="C2273" t="str">
        <f>"73.895"</f>
        <v>73.895</v>
      </c>
    </row>
    <row r="2274" spans="1:3" x14ac:dyDescent="0.25">
      <c r="A2274" t="str">
        <f>"31/10/2018"</f>
        <v>31/10/2018</v>
      </c>
      <c r="B2274" t="str">
        <f>"73.96"</f>
        <v>73.96</v>
      </c>
      <c r="C2274" t="str">
        <f>"74.2475"</f>
        <v>74.2475</v>
      </c>
    </row>
    <row r="2275" spans="1:3" x14ac:dyDescent="0.25">
      <c r="A2275" t="str">
        <f>"01/11/2018"</f>
        <v>01/11/2018</v>
      </c>
      <c r="B2275" t="str">
        <f>"73.46"</f>
        <v>73.46</v>
      </c>
      <c r="C2275" t="str">
        <f>"73.735"</f>
        <v>73.735</v>
      </c>
    </row>
    <row r="2276" spans="1:3" x14ac:dyDescent="0.25">
      <c r="A2276" t="str">
        <f>"02/11/2018"</f>
        <v>02/11/2018</v>
      </c>
      <c r="B2276" t="str">
        <f>"72.4425"</f>
        <v>72.4425</v>
      </c>
      <c r="C2276" t="str">
        <f>"72.7075"</f>
        <v>72.7075</v>
      </c>
    </row>
    <row r="2277" spans="1:3" x14ac:dyDescent="0.25">
      <c r="A2277" t="str">
        <f>"05/11/2018"</f>
        <v>05/11/2018</v>
      </c>
      <c r="B2277" t="str">
        <f>"73.1325"</f>
        <v>73.1325</v>
      </c>
      <c r="C2277" t="str">
        <f>"73.4025"</f>
        <v>73.4025</v>
      </c>
    </row>
    <row r="2278" spans="1:3" x14ac:dyDescent="0.25">
      <c r="A2278" t="str">
        <f>"06/11/2018"</f>
        <v>06/11/2018</v>
      </c>
      <c r="B2278" t="str">
        <f>"73.005"</f>
        <v>73.005</v>
      </c>
      <c r="C2278" t="str">
        <f>"73.2675"</f>
        <v>73.2675</v>
      </c>
    </row>
    <row r="2279" spans="1:3" x14ac:dyDescent="0.25">
      <c r="A2279" t="str">
        <f>"09/11/2018"</f>
        <v>09/11/2018</v>
      </c>
      <c r="B2279" t="str">
        <f>"72.805"</f>
        <v>72.805</v>
      </c>
      <c r="C2279" t="str">
        <f>"73.065"</f>
        <v>73.065</v>
      </c>
    </row>
    <row r="2280" spans="1:3" x14ac:dyDescent="0.25">
      <c r="A2280" t="str">
        <f>"12/11/2018"</f>
        <v>12/11/2018</v>
      </c>
      <c r="B2280" t="str">
        <f>"72.8975"</f>
        <v>72.8975</v>
      </c>
      <c r="C2280" t="str">
        <f>"73.1625"</f>
        <v>73.1625</v>
      </c>
    </row>
    <row r="2281" spans="1:3" x14ac:dyDescent="0.25">
      <c r="A2281" t="str">
        <f>"13/11/2018"</f>
        <v>13/11/2018</v>
      </c>
      <c r="B2281" t="str">
        <f>"72.68"</f>
        <v>72.68</v>
      </c>
      <c r="C2281" t="str">
        <f>"72.9525"</f>
        <v>72.9525</v>
      </c>
    </row>
    <row r="2282" spans="1:3" x14ac:dyDescent="0.25">
      <c r="A2282" t="str">
        <f>"14/11/2018"</f>
        <v>14/11/2018</v>
      </c>
      <c r="B2282" t="str">
        <f>"72.3175"</f>
        <v>72.3175</v>
      </c>
      <c r="C2282" t="str">
        <f>"72.585"</f>
        <v>72.585</v>
      </c>
    </row>
    <row r="2283" spans="1:3" x14ac:dyDescent="0.25">
      <c r="A2283" t="str">
        <f>"15/11/2018"</f>
        <v>15/11/2018</v>
      </c>
      <c r="B2283" t="str">
        <f>"71.9875"</f>
        <v>71.9875</v>
      </c>
      <c r="C2283" t="str">
        <f>"72.245"</f>
        <v>72.245</v>
      </c>
    </row>
    <row r="2284" spans="1:3" x14ac:dyDescent="0.25">
      <c r="A2284" t="str">
        <f>"16/11/2018"</f>
        <v>16/11/2018</v>
      </c>
      <c r="B2284" t="str">
        <f>"71.935"</f>
        <v>71.935</v>
      </c>
      <c r="C2284" t="str">
        <f>"72.195"</f>
        <v>72.195</v>
      </c>
    </row>
    <row r="2285" spans="1:3" x14ac:dyDescent="0.25">
      <c r="A2285" t="str">
        <f>"19/11/2018"</f>
        <v>19/11/2018</v>
      </c>
      <c r="B2285" t="str">
        <f>"71.6675"</f>
        <v>71.6675</v>
      </c>
      <c r="C2285" t="str">
        <f>"71.93"</f>
        <v>71.93</v>
      </c>
    </row>
    <row r="2286" spans="1:3" x14ac:dyDescent="0.25">
      <c r="A2286" t="str">
        <f>"20/11/2018"</f>
        <v>20/11/2018</v>
      </c>
      <c r="B2286" t="str">
        <f>"71.4675"</f>
        <v>71.4675</v>
      </c>
      <c r="C2286" t="str">
        <f>"71.7325"</f>
        <v>71.7325</v>
      </c>
    </row>
    <row r="2287" spans="1:3" x14ac:dyDescent="0.25">
      <c r="A2287" t="str">
        <f>"22/11/2018"</f>
        <v>22/11/2018</v>
      </c>
      <c r="B2287" t="str">
        <f>"70.7025"</f>
        <v>70.7025</v>
      </c>
      <c r="C2287" t="str">
        <f>"70.965"</f>
        <v>70.965</v>
      </c>
    </row>
    <row r="2288" spans="1:3" x14ac:dyDescent="0.25">
      <c r="A2288" t="str">
        <f>"26/11/2018"</f>
        <v>26/11/2018</v>
      </c>
      <c r="B2288" t="str">
        <f>"70.8775"</f>
        <v>70.8775</v>
      </c>
      <c r="C2288" t="str">
        <f>"71.135"</f>
        <v>71.135</v>
      </c>
    </row>
    <row r="2289" spans="1:3" x14ac:dyDescent="0.25">
      <c r="A2289" t="str">
        <f>"27/11/2018"</f>
        <v>27/11/2018</v>
      </c>
      <c r="B2289" t="str">
        <f>"70.795"</f>
        <v>70.795</v>
      </c>
      <c r="C2289" t="str">
        <f>"71.0625"</f>
        <v>71.0625</v>
      </c>
    </row>
    <row r="2290" spans="1:3" x14ac:dyDescent="0.25">
      <c r="A2290" t="str">
        <f>"28/11/2018"</f>
        <v>28/11/2018</v>
      </c>
      <c r="B2290" t="str">
        <f>"70.6225"</f>
        <v>70.6225</v>
      </c>
      <c r="C2290" t="str">
        <f>"70.88"</f>
        <v>70.88</v>
      </c>
    </row>
    <row r="2291" spans="1:3" x14ac:dyDescent="0.25">
      <c r="A2291" t="str">
        <f>"29/11/2018"</f>
        <v>29/11/2018</v>
      </c>
      <c r="B2291" t="str">
        <f>"69.85"</f>
        <v>69.85</v>
      </c>
      <c r="C2291" t="str">
        <f>"70.10"</f>
        <v>70.10</v>
      </c>
    </row>
    <row r="2292" spans="1:3" x14ac:dyDescent="0.25">
      <c r="A2292" t="str">
        <f>"30/11/2018"</f>
        <v>30/11/2018</v>
      </c>
      <c r="B2292" t="str">
        <f>"69.59"</f>
        <v>69.59</v>
      </c>
      <c r="C2292" t="str">
        <f>"69.845"</f>
        <v>69.845</v>
      </c>
    </row>
    <row r="2293" spans="1:3" x14ac:dyDescent="0.25">
      <c r="A2293" t="str">
        <f>"03/12/2018"</f>
        <v>03/12/2018</v>
      </c>
      <c r="B2293" t="str">
        <f>"70.465"</f>
        <v>70.465</v>
      </c>
      <c r="C2293" t="str">
        <f>"70.7425"</f>
        <v>70.7425</v>
      </c>
    </row>
    <row r="2294" spans="1:3" x14ac:dyDescent="0.25">
      <c r="A2294" t="str">
        <f>"04/12/2018"</f>
        <v>04/12/2018</v>
      </c>
      <c r="B2294" t="str">
        <f>"70.51"</f>
        <v>70.51</v>
      </c>
      <c r="C2294" t="str">
        <f>"70.7725"</f>
        <v>70.7725</v>
      </c>
    </row>
    <row r="2295" spans="1:3" x14ac:dyDescent="0.25">
      <c r="A2295" t="str">
        <f>"05/12/2018"</f>
        <v>05/12/2018</v>
      </c>
      <c r="B2295" t="str">
        <f>"70.47"</f>
        <v>70.47</v>
      </c>
      <c r="C2295" t="str">
        <f>"70.715"</f>
        <v>70.715</v>
      </c>
    </row>
    <row r="2296" spans="1:3" x14ac:dyDescent="0.25">
      <c r="A2296" t="str">
        <f>"06/12/2018"</f>
        <v>06/12/2018</v>
      </c>
      <c r="B2296" t="str">
        <f>"70.9125"</f>
        <v>70.9125</v>
      </c>
      <c r="C2296" t="str">
        <f>"71.16"</f>
        <v>71.16</v>
      </c>
    </row>
    <row r="2297" spans="1:3" x14ac:dyDescent="0.25">
      <c r="A2297" t="str">
        <f>"07/12/2018"</f>
        <v>07/12/2018</v>
      </c>
      <c r="B2297" t="str">
        <f>"70.8175"</f>
        <v>70.8175</v>
      </c>
      <c r="C2297" t="str">
        <f>"71.0675"</f>
        <v>71.0675</v>
      </c>
    </row>
    <row r="2298" spans="1:3" x14ac:dyDescent="0.25">
      <c r="A2298" t="str">
        <f>"10/12/2018"</f>
        <v>10/12/2018</v>
      </c>
      <c r="B2298" t="str">
        <f>"71.345"</f>
        <v>71.345</v>
      </c>
      <c r="C2298" t="str">
        <f>"71.6125"</f>
        <v>71.6125</v>
      </c>
    </row>
    <row r="2299" spans="1:3" x14ac:dyDescent="0.25">
      <c r="A2299" t="str">
        <f>"11/12/2018"</f>
        <v>11/12/2018</v>
      </c>
      <c r="B2299" t="str">
        <f>"71.87"</f>
        <v>71.87</v>
      </c>
      <c r="C2299" t="str">
        <f>"72.1425"</f>
        <v>72.1425</v>
      </c>
    </row>
    <row r="2300" spans="1:3" x14ac:dyDescent="0.25">
      <c r="A2300" t="str">
        <f>"12/12/2018"</f>
        <v>12/12/2018</v>
      </c>
      <c r="B2300" t="str">
        <f>"72.005"</f>
        <v>72.005</v>
      </c>
      <c r="C2300" t="str">
        <f>"72.27"</f>
        <v>72.27</v>
      </c>
    </row>
    <row r="2301" spans="1:3" x14ac:dyDescent="0.25">
      <c r="A2301" t="str">
        <f>"13/12/2018"</f>
        <v>13/12/2018</v>
      </c>
      <c r="B2301" t="str">
        <f>"71.695"</f>
        <v>71.695</v>
      </c>
      <c r="C2301" t="str">
        <f>"71.96"</f>
        <v>71.96</v>
      </c>
    </row>
    <row r="2302" spans="1:3" x14ac:dyDescent="0.25">
      <c r="A2302" t="str">
        <f>"14/12/2018"</f>
        <v>14/12/2018</v>
      </c>
      <c r="B2302" t="str">
        <f>"71.90"</f>
        <v>71.90</v>
      </c>
      <c r="C2302" t="str">
        <f>"72.16"</f>
        <v>72.16</v>
      </c>
    </row>
    <row r="2303" spans="1:3" x14ac:dyDescent="0.25">
      <c r="A2303" t="str">
        <f>"17/12/2018"</f>
        <v>17/12/2018</v>
      </c>
      <c r="B2303" t="str">
        <f>"71.565"</f>
        <v>71.565</v>
      </c>
      <c r="C2303" t="str">
        <f>"71.8375"</f>
        <v>71.8375</v>
      </c>
    </row>
    <row r="2304" spans="1:3" x14ac:dyDescent="0.25">
      <c r="A2304" t="str">
        <f>"18/12/2018"</f>
        <v>18/12/2018</v>
      </c>
      <c r="B2304" t="str">
        <f>"70.43"</f>
        <v>70.43</v>
      </c>
      <c r="C2304" t="str">
        <f>"70.69"</f>
        <v>70.69</v>
      </c>
    </row>
    <row r="2305" spans="1:3" x14ac:dyDescent="0.25">
      <c r="A2305" t="str">
        <f>"19/12/2018"</f>
        <v>19/12/2018</v>
      </c>
      <c r="B2305" t="str">
        <f>"70.405"</f>
        <v>70.405</v>
      </c>
      <c r="C2305" t="str">
        <f>"70.655"</f>
        <v>70.655</v>
      </c>
    </row>
    <row r="2306" spans="1:3" x14ac:dyDescent="0.25">
      <c r="A2306" t="str">
        <f>"20/12/2018"</f>
        <v>20/12/2018</v>
      </c>
      <c r="B2306" t="str">
        <f>"69.715"</f>
        <v>69.715</v>
      </c>
      <c r="C2306" t="str">
        <f>"69.9625"</f>
        <v>69.9625</v>
      </c>
    </row>
    <row r="2307" spans="1:3" x14ac:dyDescent="0.25">
      <c r="A2307" t="str">
        <f>"21/12/2018"</f>
        <v>21/12/2018</v>
      </c>
      <c r="B2307" t="str">
        <f>"70.1825"</f>
        <v>70.1825</v>
      </c>
      <c r="C2307" t="str">
        <f>"70.4475"</f>
        <v>70.4475</v>
      </c>
    </row>
    <row r="2308" spans="1:3" x14ac:dyDescent="0.25">
      <c r="A2308" t="str">
        <f>"24/12/2018"</f>
        <v>24/12/2018</v>
      </c>
      <c r="B2308" t="str">
        <f>"70.15"</f>
        <v>70.15</v>
      </c>
      <c r="C2308" t="str">
        <f>"70.41"</f>
        <v>70.41</v>
      </c>
    </row>
    <row r="2309" spans="1:3" x14ac:dyDescent="0.25">
      <c r="A2309" t="str">
        <f>"26/12/2018"</f>
        <v>26/12/2018</v>
      </c>
      <c r="B2309" t="str">
        <f>"70.08"</f>
        <v>70.08</v>
      </c>
      <c r="C2309" t="str">
        <f>"70.335"</f>
        <v>70.335</v>
      </c>
    </row>
    <row r="2310" spans="1:3" x14ac:dyDescent="0.25">
      <c r="A2310" t="str">
        <f>"27/12/2018"</f>
        <v>27/12/2018</v>
      </c>
      <c r="B2310" t="str">
        <f>"70.3575"</f>
        <v>70.3575</v>
      </c>
      <c r="C2310" t="str">
        <f>"70.6125"</f>
        <v>70.6125</v>
      </c>
    </row>
    <row r="2311" spans="1:3" x14ac:dyDescent="0.25">
      <c r="A2311" t="str">
        <f>"28/12/2018"</f>
        <v>28/12/2018</v>
      </c>
      <c r="B2311" t="str">
        <f>"69.99"</f>
        <v>69.99</v>
      </c>
      <c r="C2311" t="str">
        <f>"70.2575"</f>
        <v>70.2575</v>
      </c>
    </row>
    <row r="2312" spans="1:3" x14ac:dyDescent="0.25">
      <c r="A2312" t="str">
        <f>"31/12/2018"</f>
        <v>31/12/2018</v>
      </c>
      <c r="B2312" t="str">
        <f>"69.7775"</f>
        <v>69.7775</v>
      </c>
      <c r="C2312" t="str">
        <f>"70.035"</f>
        <v>70.035</v>
      </c>
    </row>
    <row r="2313" spans="1:3" x14ac:dyDescent="0.25">
      <c r="A2313" t="str">
        <f>"01/01/2019"</f>
        <v>01/01/2019</v>
      </c>
      <c r="B2313" t="str">
        <f>"69.72"</f>
        <v>69.72</v>
      </c>
      <c r="C2313" t="str">
        <f>"69.97"</f>
        <v>69.97</v>
      </c>
    </row>
    <row r="2314" spans="1:3" x14ac:dyDescent="0.25">
      <c r="A2314" t="str">
        <f>"02/01/2019"</f>
        <v>02/01/2019</v>
      </c>
      <c r="B2314" t="str">
        <f>"70.18"</f>
        <v>70.18</v>
      </c>
      <c r="C2314" t="str">
        <f>"70.4275"</f>
        <v>70.4275</v>
      </c>
    </row>
    <row r="2315" spans="1:3" x14ac:dyDescent="0.25">
      <c r="A2315" t="str">
        <f>"03/01/2019"</f>
        <v>03/01/2019</v>
      </c>
      <c r="B2315" t="str">
        <f>"70.1975"</f>
        <v>70.1975</v>
      </c>
      <c r="C2315" t="str">
        <f>"70.4425"</f>
        <v>70.4425</v>
      </c>
    </row>
    <row r="2316" spans="1:3" x14ac:dyDescent="0.25">
      <c r="A2316" t="str">
        <f>"04/01/2019"</f>
        <v>04/01/2019</v>
      </c>
      <c r="B2316" t="str">
        <f>"69.7375"</f>
        <v>69.7375</v>
      </c>
      <c r="C2316" t="str">
        <f>"69.985"</f>
        <v>69.985</v>
      </c>
    </row>
    <row r="2317" spans="1:3" x14ac:dyDescent="0.25">
      <c r="A2317" t="str">
        <f>"07/01/2019"</f>
        <v>07/01/2019</v>
      </c>
      <c r="B2317" t="str">
        <f>"69.69"</f>
        <v>69.69</v>
      </c>
      <c r="C2317" t="str">
        <f>"69.95"</f>
        <v>69.95</v>
      </c>
    </row>
    <row r="2318" spans="1:3" x14ac:dyDescent="0.25">
      <c r="A2318" t="str">
        <f>"08/01/2019"</f>
        <v>08/01/2019</v>
      </c>
      <c r="B2318" t="str">
        <f>"70.2075"</f>
        <v>70.2075</v>
      </c>
      <c r="C2318" t="str">
        <f>"70.46"</f>
        <v>70.46</v>
      </c>
    </row>
    <row r="2319" spans="1:3" x14ac:dyDescent="0.25">
      <c r="A2319" t="str">
        <f>"09/01/2019"</f>
        <v>09/01/2019</v>
      </c>
      <c r="B2319" t="str">
        <f>"70.47"</f>
        <v>70.47</v>
      </c>
      <c r="C2319" t="str">
        <f>"70.72"</f>
        <v>70.72</v>
      </c>
    </row>
    <row r="2320" spans="1:3" x14ac:dyDescent="0.25">
      <c r="A2320" t="str">
        <f>"10/01/2019"</f>
        <v>10/01/2019</v>
      </c>
      <c r="B2320" t="str">
        <f>"70.415"</f>
        <v>70.415</v>
      </c>
      <c r="C2320" t="str">
        <f>"70.665"</f>
        <v>70.665</v>
      </c>
    </row>
    <row r="2321" spans="1:3" x14ac:dyDescent="0.25">
      <c r="A2321" t="str">
        <f>"11/01/2019"</f>
        <v>11/01/2019</v>
      </c>
      <c r="B2321" t="str">
        <f>"70.50"</f>
        <v>70.50</v>
      </c>
      <c r="C2321" t="str">
        <f>"70.7525"</f>
        <v>70.7525</v>
      </c>
    </row>
    <row r="2322" spans="1:3" x14ac:dyDescent="0.25">
      <c r="A2322" t="str">
        <f>"14/01/2019"</f>
        <v>14/01/2019</v>
      </c>
      <c r="B2322" t="str">
        <f>"70.935"</f>
        <v>70.935</v>
      </c>
      <c r="C2322" t="str">
        <f>"71.2175"</f>
        <v>71.2175</v>
      </c>
    </row>
    <row r="2323" spans="1:3" x14ac:dyDescent="0.25">
      <c r="A2323" t="str">
        <f>"15/01/2019"</f>
        <v>15/01/2019</v>
      </c>
      <c r="B2323" t="str">
        <f>"71.045"</f>
        <v>71.045</v>
      </c>
      <c r="C2323" t="str">
        <f>"71.32"</f>
        <v>71.32</v>
      </c>
    </row>
    <row r="2324" spans="1:3" x14ac:dyDescent="0.25">
      <c r="A2324" t="str">
        <f>"16/01/2019"</f>
        <v>16/01/2019</v>
      </c>
      <c r="B2324" t="str">
        <f>"71.2425"</f>
        <v>71.2425</v>
      </c>
      <c r="C2324" t="str">
        <f>"71.5125"</f>
        <v>71.5125</v>
      </c>
    </row>
    <row r="2325" spans="1:3" x14ac:dyDescent="0.25">
      <c r="A2325" t="str">
        <f>"17/01/2019"</f>
        <v>17/01/2019</v>
      </c>
      <c r="B2325" t="str">
        <f>"71.045"</f>
        <v>71.045</v>
      </c>
      <c r="C2325" t="str">
        <f>"71.30"</f>
        <v>71.30</v>
      </c>
    </row>
    <row r="2326" spans="1:3" x14ac:dyDescent="0.25">
      <c r="A2326" t="str">
        <f>"18/01/2019"</f>
        <v>18/01/2019</v>
      </c>
      <c r="B2326" t="str">
        <f>"71.1925"</f>
        <v>71.1925</v>
      </c>
      <c r="C2326" t="str">
        <f>"71.4625"</f>
        <v>71.4625</v>
      </c>
    </row>
    <row r="2327" spans="1:3" x14ac:dyDescent="0.25">
      <c r="A2327" t="str">
        <f>"21/01/2019"</f>
        <v>21/01/2019</v>
      </c>
      <c r="B2327" t="str">
        <f>"71.2875"</f>
        <v>71.2875</v>
      </c>
      <c r="C2327" t="str">
        <f>"71.5625"</f>
        <v>71.5625</v>
      </c>
    </row>
    <row r="2328" spans="1:3" x14ac:dyDescent="0.25">
      <c r="A2328" t="str">
        <f>"22/01/2019"</f>
        <v>22/01/2019</v>
      </c>
      <c r="B2328" t="str">
        <f>"71.4475"</f>
        <v>71.4475</v>
      </c>
      <c r="C2328" t="str">
        <f>"71.7125"</f>
        <v>71.7125</v>
      </c>
    </row>
    <row r="2329" spans="1:3" x14ac:dyDescent="0.25">
      <c r="A2329" t="str">
        <f>"23/01/2019"</f>
        <v>23/01/2019</v>
      </c>
      <c r="B2329" t="str">
        <f>"71.3375"</f>
        <v>71.3375</v>
      </c>
      <c r="C2329" t="str">
        <f>"71.5925"</f>
        <v>71.5925</v>
      </c>
    </row>
    <row r="2330" spans="1:3" x14ac:dyDescent="0.25">
      <c r="A2330" t="str">
        <f>"24/01/2019"</f>
        <v>24/01/2019</v>
      </c>
      <c r="B2330" t="str">
        <f>"71.08"</f>
        <v>71.08</v>
      </c>
      <c r="C2330" t="str">
        <f>"71.335"</f>
        <v>71.335</v>
      </c>
    </row>
    <row r="2331" spans="1:3" x14ac:dyDescent="0.25">
      <c r="A2331" t="str">
        <f>"25/01/2019"</f>
        <v>25/01/2019</v>
      </c>
      <c r="B2331" t="str">
        <f>"71.18"</f>
        <v>71.18</v>
      </c>
      <c r="C2331" t="str">
        <f>"71.4275"</f>
        <v>71.4275</v>
      </c>
    </row>
    <row r="2332" spans="1:3" x14ac:dyDescent="0.25">
      <c r="A2332" t="str">
        <f>"28/01/2019"</f>
        <v>28/01/2019</v>
      </c>
      <c r="B2332" t="str">
        <f>"71.115"</f>
        <v>71.115</v>
      </c>
      <c r="C2332" t="str">
        <f>"71.3525"</f>
        <v>71.3525</v>
      </c>
    </row>
    <row r="2333" spans="1:3" x14ac:dyDescent="0.25">
      <c r="A2333" t="str">
        <f>"29/01/2019"</f>
        <v>29/01/2019</v>
      </c>
      <c r="B2333" t="str">
        <f>"71.115"</f>
        <v>71.115</v>
      </c>
      <c r="C2333" t="str">
        <f>"71.345"</f>
        <v>71.345</v>
      </c>
    </row>
    <row r="2334" spans="1:3" x14ac:dyDescent="0.25">
      <c r="A2334" t="str">
        <f>"30/01/2019"</f>
        <v>30/01/2019</v>
      </c>
      <c r="B2334" t="str">
        <f>"71.1275"</f>
        <v>71.1275</v>
      </c>
      <c r="C2334" t="str">
        <f>"71.36"</f>
        <v>71.36</v>
      </c>
    </row>
    <row r="2335" spans="1:3" x14ac:dyDescent="0.25">
      <c r="A2335" t="str">
        <f>"31/01/2019"</f>
        <v>31/01/2019</v>
      </c>
      <c r="B2335" t="str">
        <f>"71.09"</f>
        <v>71.09</v>
      </c>
      <c r="C2335" t="str">
        <f>"71.3325"</f>
        <v>71.3325</v>
      </c>
    </row>
    <row r="2336" spans="1:3" x14ac:dyDescent="0.25">
      <c r="A2336" t="str">
        <f>"01/02/2019"</f>
        <v>01/02/2019</v>
      </c>
      <c r="B2336" t="str">
        <f>"71.26"</f>
        <v>71.26</v>
      </c>
      <c r="C2336" t="str">
        <f>"71.4975"</f>
        <v>71.4975</v>
      </c>
    </row>
    <row r="2337" spans="1:3" x14ac:dyDescent="0.25">
      <c r="A2337" t="str">
        <f>"04/02/2019"</f>
        <v>04/02/2019</v>
      </c>
      <c r="B2337" t="str">
        <f>"71.81"</f>
        <v>71.81</v>
      </c>
      <c r="C2337" t="str">
        <f>"72.055"</f>
        <v>72.055</v>
      </c>
    </row>
    <row r="2338" spans="1:3" x14ac:dyDescent="0.25">
      <c r="A2338" t="str">
        <f>"05/02/2019"</f>
        <v>05/02/2019</v>
      </c>
      <c r="B2338" t="str">
        <f>"71.5725"</f>
        <v>71.5725</v>
      </c>
      <c r="C2338" t="str">
        <f>"71.81"</f>
        <v>71.81</v>
      </c>
    </row>
    <row r="2339" spans="1:3" x14ac:dyDescent="0.25">
      <c r="A2339" t="str">
        <f>"06/02/2019"</f>
        <v>06/02/2019</v>
      </c>
      <c r="B2339" t="str">
        <f>"71.5325"</f>
        <v>71.5325</v>
      </c>
      <c r="C2339" t="str">
        <f>"71.77"</f>
        <v>71.77</v>
      </c>
    </row>
    <row r="2340" spans="1:3" x14ac:dyDescent="0.25">
      <c r="A2340" t="str">
        <f>"07/02/2019"</f>
        <v>07/02/2019</v>
      </c>
      <c r="B2340" t="str">
        <f>"71.4675"</f>
        <v>71.4675</v>
      </c>
      <c r="C2340" t="str">
        <f>"71.70"</f>
        <v>71.70</v>
      </c>
    </row>
    <row r="2341" spans="1:3" x14ac:dyDescent="0.25">
      <c r="A2341" t="str">
        <f>"08/02/2019"</f>
        <v>08/02/2019</v>
      </c>
      <c r="B2341" t="str">
        <f>"71.3125"</f>
        <v>71.3125</v>
      </c>
      <c r="C2341" t="str">
        <f>"71.5475"</f>
        <v>71.5475</v>
      </c>
    </row>
    <row r="2342" spans="1:3" x14ac:dyDescent="0.25">
      <c r="A2342" t="str">
        <f>"11/02/2019"</f>
        <v>11/02/2019</v>
      </c>
      <c r="B2342" t="str">
        <f>"71.185"</f>
        <v>71.185</v>
      </c>
      <c r="C2342" t="str">
        <f>"71.425"</f>
        <v>71.425</v>
      </c>
    </row>
    <row r="2343" spans="1:3" x14ac:dyDescent="0.25">
      <c r="A2343" t="str">
        <f>"12/02/2019"</f>
        <v>12/02/2019</v>
      </c>
      <c r="B2343" t="str">
        <f>"71.06"</f>
        <v>71.06</v>
      </c>
      <c r="C2343" t="str">
        <f>"71.3025"</f>
        <v>71.3025</v>
      </c>
    </row>
    <row r="2344" spans="1:3" x14ac:dyDescent="0.25">
      <c r="A2344" t="str">
        <f>"13/02/2019"</f>
        <v>13/02/2019</v>
      </c>
      <c r="B2344" t="str">
        <f>"70.8075"</f>
        <v>70.8075</v>
      </c>
      <c r="C2344" t="str">
        <f>"71.0475"</f>
        <v>71.0475</v>
      </c>
    </row>
    <row r="2345" spans="1:3" x14ac:dyDescent="0.25">
      <c r="A2345" t="str">
        <f>"14/02/2019"</f>
        <v>14/02/2019</v>
      </c>
      <c r="B2345" t="str">
        <f>"71.1775"</f>
        <v>71.1775</v>
      </c>
      <c r="C2345" t="str">
        <f>"71.425"</f>
        <v>71.425</v>
      </c>
    </row>
    <row r="2346" spans="1:3" x14ac:dyDescent="0.25">
      <c r="A2346" t="str">
        <f>"15/02/2019"</f>
        <v>15/02/2019</v>
      </c>
      <c r="B2346" t="str">
        <f>"71.235"</f>
        <v>71.235</v>
      </c>
      <c r="C2346" t="str">
        <f>"71.505"</f>
        <v>71.505</v>
      </c>
    </row>
    <row r="2347" spans="1:3" x14ac:dyDescent="0.25">
      <c r="A2347" t="str">
        <f>"18/02/2019"</f>
        <v>18/02/2019</v>
      </c>
      <c r="B2347" t="str">
        <f>"71.4125"</f>
        <v>71.4125</v>
      </c>
      <c r="C2347" t="str">
        <f>"71.68"</f>
        <v>71.68</v>
      </c>
    </row>
    <row r="2348" spans="1:3" x14ac:dyDescent="0.25">
      <c r="A2348" t="str">
        <f>"20/02/2019"</f>
        <v>20/02/2019</v>
      </c>
      <c r="B2348" t="str">
        <f>"71.1125"</f>
        <v>71.1125</v>
      </c>
      <c r="C2348" t="str">
        <f>"71.3775"</f>
        <v>71.3775</v>
      </c>
    </row>
    <row r="2349" spans="1:3" x14ac:dyDescent="0.25">
      <c r="A2349" t="str">
        <f>"21/02/2019"</f>
        <v>21/02/2019</v>
      </c>
      <c r="B2349" t="str">
        <f>"70.98"</f>
        <v>70.98</v>
      </c>
      <c r="C2349" t="str">
        <f>"71.24"</f>
        <v>71.24</v>
      </c>
    </row>
    <row r="2350" spans="1:3" x14ac:dyDescent="0.25">
      <c r="A2350" t="str">
        <f>"22/02/2019"</f>
        <v>22/02/2019</v>
      </c>
      <c r="B2350" t="str">
        <f>"71.145"</f>
        <v>71.145</v>
      </c>
      <c r="C2350" t="str">
        <f>"71.40"</f>
        <v>71.40</v>
      </c>
    </row>
    <row r="2351" spans="1:3" x14ac:dyDescent="0.25">
      <c r="A2351" t="str">
        <f>"25/02/2019"</f>
        <v>25/02/2019</v>
      </c>
      <c r="B2351" t="str">
        <f>"70.985"</f>
        <v>70.985</v>
      </c>
      <c r="C2351" t="str">
        <f>"71.235"</f>
        <v>71.235</v>
      </c>
    </row>
    <row r="2352" spans="1:3" x14ac:dyDescent="0.25">
      <c r="A2352" t="str">
        <f>"26/02/2019"</f>
        <v>26/02/2019</v>
      </c>
      <c r="B2352" t="str">
        <f>"71.0725"</f>
        <v>71.0725</v>
      </c>
      <c r="C2352" t="str">
        <f>"71.3375"</f>
        <v>71.3375</v>
      </c>
    </row>
    <row r="2353" spans="1:3" x14ac:dyDescent="0.25">
      <c r="A2353" t="str">
        <f>"27/02/2019"</f>
        <v>27/02/2019</v>
      </c>
      <c r="B2353" t="str">
        <f>"71.255"</f>
        <v>71.255</v>
      </c>
      <c r="C2353" t="str">
        <f>"71.5675"</f>
        <v>71.5675</v>
      </c>
    </row>
    <row r="2354" spans="1:3" x14ac:dyDescent="0.25">
      <c r="A2354" t="str">
        <f>"28/02/2019"</f>
        <v>28/02/2019</v>
      </c>
      <c r="B2354" t="str">
        <f>"70.75"</f>
        <v>70.75</v>
      </c>
      <c r="C2354" t="str">
        <f>"71.05"</f>
        <v>71.05</v>
      </c>
    </row>
    <row r="2355" spans="1:3" x14ac:dyDescent="0.25">
      <c r="A2355" t="str">
        <f>"01/03/2019"</f>
        <v>01/03/2019</v>
      </c>
      <c r="B2355" t="str">
        <f>"70.9175"</f>
        <v>70.9175</v>
      </c>
      <c r="C2355" t="str">
        <f>"71.23"</f>
        <v>71.23</v>
      </c>
    </row>
    <row r="2356" spans="1:3" x14ac:dyDescent="0.25">
      <c r="A2356" t="str">
        <f>"05/03/2019"</f>
        <v>05/03/2019</v>
      </c>
      <c r="B2356" t="str">
        <f>"70.4975"</f>
        <v>70.4975</v>
      </c>
      <c r="C2356" t="str">
        <f>"70.7975"</f>
        <v>70.7975</v>
      </c>
    </row>
    <row r="2357" spans="1:3" x14ac:dyDescent="0.25">
      <c r="A2357" t="str">
        <f>"06/03/2019"</f>
        <v>06/03/2019</v>
      </c>
      <c r="B2357" t="str">
        <f>"70.5225"</f>
        <v>70.5225</v>
      </c>
      <c r="C2357" t="str">
        <f>"70.8125"</f>
        <v>70.8125</v>
      </c>
    </row>
    <row r="2358" spans="1:3" x14ac:dyDescent="0.25">
      <c r="A2358" t="str">
        <f>"07/03/2019"</f>
        <v>07/03/2019</v>
      </c>
      <c r="B2358" t="str">
        <f>"70.01"</f>
        <v>70.01</v>
      </c>
      <c r="C2358" t="str">
        <f>"70.305"</f>
        <v>70.305</v>
      </c>
    </row>
    <row r="2359" spans="1:3" x14ac:dyDescent="0.25">
      <c r="A2359" t="str">
        <f>"08/03/2019"</f>
        <v>08/03/2019</v>
      </c>
      <c r="B2359" t="str">
        <f>"70.155"</f>
        <v>70.155</v>
      </c>
      <c r="C2359" t="str">
        <f>"70.4475"</f>
        <v>70.4475</v>
      </c>
    </row>
    <row r="2360" spans="1:3" x14ac:dyDescent="0.25">
      <c r="A2360" t="str">
        <f>"11/03/2019"</f>
        <v>11/03/2019</v>
      </c>
      <c r="B2360" t="str">
        <f>"69.8925"</f>
        <v>69.8925</v>
      </c>
      <c r="C2360" t="str">
        <f>"70.1975"</f>
        <v>70.1975</v>
      </c>
    </row>
    <row r="2361" spans="1:3" x14ac:dyDescent="0.25">
      <c r="A2361" t="str">
        <f>"12/03/2019"</f>
        <v>12/03/2019</v>
      </c>
      <c r="B2361" t="str">
        <f>"69.715"</f>
        <v>69.715</v>
      </c>
      <c r="C2361" t="str">
        <f>"70.005"</f>
        <v>70.005</v>
      </c>
    </row>
    <row r="2362" spans="1:3" x14ac:dyDescent="0.25">
      <c r="A2362" t="str">
        <f>"13/03/2019"</f>
        <v>13/03/2019</v>
      </c>
      <c r="B2362" t="str">
        <f>"69.69"</f>
        <v>69.69</v>
      </c>
      <c r="C2362" t="str">
        <f>"69.9775"</f>
        <v>69.9775</v>
      </c>
    </row>
    <row r="2363" spans="1:3" x14ac:dyDescent="0.25">
      <c r="A2363" t="str">
        <f>"14/03/2019"</f>
        <v>14/03/2019</v>
      </c>
      <c r="B2363" t="str">
        <f>"69.3575"</f>
        <v>69.3575</v>
      </c>
      <c r="C2363" t="str">
        <f>"69.6225"</f>
        <v>69.6225</v>
      </c>
    </row>
    <row r="2364" spans="1:3" x14ac:dyDescent="0.25">
      <c r="A2364" t="str">
        <f>"18/03/2019"</f>
        <v>18/03/2019</v>
      </c>
      <c r="B2364" t="str">
        <f>"68.54"</f>
        <v>68.54</v>
      </c>
      <c r="C2364" t="str">
        <f>"68.8375"</f>
        <v>68.8375</v>
      </c>
    </row>
    <row r="2365" spans="1:3" x14ac:dyDescent="0.25">
      <c r="A2365" t="str">
        <f>"19/03/2019"</f>
        <v>19/03/2019</v>
      </c>
      <c r="B2365" t="str">
        <f>"68.9725"</f>
        <v>68.9725</v>
      </c>
      <c r="C2365" t="str">
        <f>"69.25"</f>
        <v>69.25</v>
      </c>
    </row>
    <row r="2366" spans="1:3" x14ac:dyDescent="0.25">
      <c r="A2366" t="str">
        <f>"20/03/2019"</f>
        <v>20/03/2019</v>
      </c>
      <c r="B2366" t="str">
        <f>"68.8375"</f>
        <v>68.8375</v>
      </c>
      <c r="C2366" t="str">
        <f>"69.1175"</f>
        <v>69.1175</v>
      </c>
    </row>
    <row r="2367" spans="1:3" x14ac:dyDescent="0.25">
      <c r="A2367" t="str">
        <f>"22/03/2019"</f>
        <v>22/03/2019</v>
      </c>
      <c r="B2367" t="str">
        <f>"68.9875"</f>
        <v>68.9875</v>
      </c>
      <c r="C2367" t="str">
        <f>"69.2875"</f>
        <v>69.2875</v>
      </c>
    </row>
    <row r="2368" spans="1:3" x14ac:dyDescent="0.25">
      <c r="A2368" t="str">
        <f>"25/03/2019"</f>
        <v>25/03/2019</v>
      </c>
      <c r="B2368" t="str">
        <f>"68.945"</f>
        <v>68.945</v>
      </c>
      <c r="C2368" t="str">
        <f>"69.295"</f>
        <v>69.295</v>
      </c>
    </row>
    <row r="2369" spans="1:3" x14ac:dyDescent="0.25">
      <c r="A2369" t="str">
        <f>"26/03/2019"</f>
        <v>26/03/2019</v>
      </c>
      <c r="B2369" t="str">
        <f>"68.865"</f>
        <v>68.865</v>
      </c>
      <c r="C2369" t="str">
        <f>"69.1975"</f>
        <v>69.1975</v>
      </c>
    </row>
    <row r="2370" spans="1:3" x14ac:dyDescent="0.25">
      <c r="A2370" t="str">
        <f>"27/03/2019"</f>
        <v>27/03/2019</v>
      </c>
      <c r="B2370" t="str">
        <f>"68.88"</f>
        <v>68.88</v>
      </c>
      <c r="C2370" t="str">
        <f>"69.26"</f>
        <v>69.26</v>
      </c>
    </row>
    <row r="2371" spans="1:3" x14ac:dyDescent="0.25">
      <c r="A2371" t="str">
        <f>"28/03/2019"</f>
        <v>28/03/2019</v>
      </c>
      <c r="B2371" t="str">
        <f>"69.345"</f>
        <v>69.345</v>
      </c>
      <c r="C2371" t="str">
        <f>"69.63"</f>
        <v>69.63</v>
      </c>
    </row>
    <row r="2372" spans="1:3" x14ac:dyDescent="0.25">
      <c r="A2372" t="str">
        <f>"29/03/2019"</f>
        <v>29/03/2019</v>
      </c>
      <c r="B2372" t="str">
        <f>"69.1575"</f>
        <v>69.1575</v>
      </c>
      <c r="C2372" t="str">
        <f>"69.515"</f>
        <v>69.515</v>
      </c>
    </row>
    <row r="2373" spans="1:3" x14ac:dyDescent="0.25">
      <c r="A2373" t="str">
        <f>"02/04/2019"</f>
        <v>02/04/2019</v>
      </c>
      <c r="B2373" t="str">
        <f>"68.7475"</f>
        <v>68.7475</v>
      </c>
      <c r="C2373" t="str">
        <f>"69.22"</f>
        <v>69.22</v>
      </c>
    </row>
    <row r="2374" spans="1:3" x14ac:dyDescent="0.25">
      <c r="A2374" t="str">
        <f>"03/04/2019"</f>
        <v>03/04/2019</v>
      </c>
      <c r="B2374" t="str">
        <f>"68.425"</f>
        <v>68.425</v>
      </c>
      <c r="C2374" t="str">
        <f>"68.885"</f>
        <v>68.885</v>
      </c>
    </row>
    <row r="2375" spans="1:3" x14ac:dyDescent="0.25">
      <c r="A2375" t="str">
        <f>"04/04/2019"</f>
        <v>04/04/2019</v>
      </c>
      <c r="B2375" t="str">
        <f>"69.165"</f>
        <v>69.165</v>
      </c>
      <c r="C2375" t="str">
        <f>"69.5025"</f>
        <v>69.5025</v>
      </c>
    </row>
    <row r="2376" spans="1:3" x14ac:dyDescent="0.25">
      <c r="A2376" t="str">
        <f>"05/04/2019"</f>
        <v>05/04/2019</v>
      </c>
      <c r="B2376" t="str">
        <f>"69.24"</f>
        <v>69.24</v>
      </c>
      <c r="C2376" t="str">
        <f>"69.5325"</f>
        <v>69.5325</v>
      </c>
    </row>
    <row r="2377" spans="1:3" x14ac:dyDescent="0.25">
      <c r="A2377" t="str">
        <f>"08/04/2019"</f>
        <v>08/04/2019</v>
      </c>
      <c r="B2377" t="str">
        <f>"69.6825"</f>
        <v>69.6825</v>
      </c>
      <c r="C2377" t="str">
        <f>"69.9625"</f>
        <v>69.9625</v>
      </c>
    </row>
    <row r="2378" spans="1:3" x14ac:dyDescent="0.25">
      <c r="A2378" t="str">
        <f>"09/04/2019"</f>
        <v>09/04/2019</v>
      </c>
      <c r="B2378" t="str">
        <f>"69.31"</f>
        <v>69.31</v>
      </c>
      <c r="C2378" t="str">
        <f>"69.6125"</f>
        <v>69.6125</v>
      </c>
    </row>
    <row r="2379" spans="1:3" x14ac:dyDescent="0.25">
      <c r="A2379" t="str">
        <f>"10/04/2019"</f>
        <v>10/04/2019</v>
      </c>
      <c r="B2379" t="str">
        <f>"69.12"</f>
        <v>69.12</v>
      </c>
      <c r="C2379" t="str">
        <f>"69.47"</f>
        <v>69.47</v>
      </c>
    </row>
    <row r="2380" spans="1:3" x14ac:dyDescent="0.25">
      <c r="A2380" t="str">
        <f>"11/04/2019"</f>
        <v>11/04/2019</v>
      </c>
      <c r="B2380" t="str">
        <f>"68.9525"</f>
        <v>68.9525</v>
      </c>
      <c r="C2380" t="str">
        <f>"69.29"</f>
        <v>69.29</v>
      </c>
    </row>
    <row r="2381" spans="1:3" x14ac:dyDescent="0.25">
      <c r="A2381" t="str">
        <f>"12/04/2019"</f>
        <v>12/04/2019</v>
      </c>
      <c r="B2381" t="str">
        <f>"69.165"</f>
        <v>69.165</v>
      </c>
      <c r="C2381" t="str">
        <f>"69.4875"</f>
        <v>69.4875</v>
      </c>
    </row>
    <row r="2382" spans="1:3" x14ac:dyDescent="0.25">
      <c r="A2382" t="str">
        <f>"15/04/2019"</f>
        <v>15/04/2019</v>
      </c>
      <c r="B2382" t="str">
        <f>"69.4325"</f>
        <v>69.4325</v>
      </c>
      <c r="C2382" t="str">
        <f>"69.7625"</f>
        <v>69.7625</v>
      </c>
    </row>
    <row r="2383" spans="1:3" x14ac:dyDescent="0.25">
      <c r="A2383" t="str">
        <f>"16/04/2019"</f>
        <v>16/04/2019</v>
      </c>
      <c r="B2383" t="str">
        <f>"69.61"</f>
        <v>69.61</v>
      </c>
      <c r="C2383" t="str">
        <f>"69.9075"</f>
        <v>69.9075</v>
      </c>
    </row>
    <row r="2384" spans="1:3" x14ac:dyDescent="0.25">
      <c r="A2384" t="str">
        <f>"18/04/2019"</f>
        <v>18/04/2019</v>
      </c>
      <c r="B2384" t="str">
        <f>"69.3575"</f>
        <v>69.3575</v>
      </c>
      <c r="C2384" t="str">
        <f>"69.6575"</f>
        <v>69.6575</v>
      </c>
    </row>
    <row r="2385" spans="1:3" x14ac:dyDescent="0.25">
      <c r="A2385" t="str">
        <f>"22/04/2019"</f>
        <v>22/04/2019</v>
      </c>
      <c r="B2385" t="str">
        <f>"69.675"</f>
        <v>69.675</v>
      </c>
      <c r="C2385" t="str">
        <f>"70.01"</f>
        <v>70.01</v>
      </c>
    </row>
    <row r="2386" spans="1:3" x14ac:dyDescent="0.25">
      <c r="A2386" t="str">
        <f>"23/04/2019"</f>
        <v>23/04/2019</v>
      </c>
      <c r="B2386" t="str">
        <f>"69.635"</f>
        <v>69.635</v>
      </c>
      <c r="C2386" t="str">
        <f>"70.01"</f>
        <v>70.01</v>
      </c>
    </row>
    <row r="2387" spans="1:3" x14ac:dyDescent="0.25">
      <c r="A2387" t="str">
        <f>"24/04/2019"</f>
        <v>24/04/2019</v>
      </c>
      <c r="B2387" t="str">
        <f>"69.8725"</f>
        <v>69.8725</v>
      </c>
      <c r="C2387" t="str">
        <f>"70.20"</f>
        <v>70.20</v>
      </c>
    </row>
    <row r="2388" spans="1:3" x14ac:dyDescent="0.25">
      <c r="A2388" t="str">
        <f>"25/04/2019"</f>
        <v>25/04/2019</v>
      </c>
      <c r="B2388" t="str">
        <f>"70.27"</f>
        <v>70.27</v>
      </c>
      <c r="C2388" t="str">
        <f>"70.5875"</f>
        <v>70.5875</v>
      </c>
    </row>
    <row r="2389" spans="1:3" x14ac:dyDescent="0.25">
      <c r="A2389" t="str">
        <f>"26/04/2019"</f>
        <v>26/04/2019</v>
      </c>
      <c r="B2389" t="str">
        <f>"70.0275"</f>
        <v>70.0275</v>
      </c>
      <c r="C2389" t="str">
        <f>"70.335"</f>
        <v>70.335</v>
      </c>
    </row>
    <row r="2390" spans="1:3" x14ac:dyDescent="0.25">
      <c r="A2390" t="str">
        <f>"30/04/2019"</f>
        <v>30/04/2019</v>
      </c>
      <c r="B2390" t="str">
        <f>"69.5625"</f>
        <v>69.5625</v>
      </c>
      <c r="C2390" t="str">
        <f>"69.85"</f>
        <v>69.85</v>
      </c>
    </row>
    <row r="2391" spans="1:3" x14ac:dyDescent="0.25">
      <c r="A2391" t="str">
        <f>"02/05/2019"</f>
        <v>02/05/2019</v>
      </c>
      <c r="B2391" t="str">
        <f>"69.3725"</f>
        <v>69.3725</v>
      </c>
      <c r="C2391" t="str">
        <f>"69.6675"</f>
        <v>69.6675</v>
      </c>
    </row>
    <row r="2392" spans="1:3" x14ac:dyDescent="0.25">
      <c r="A2392" t="str">
        <f>"03/05/2019"</f>
        <v>03/05/2019</v>
      </c>
      <c r="B2392" t="str">
        <f>"69.2275"</f>
        <v>69.2275</v>
      </c>
      <c r="C2392" t="str">
        <f>"69.5175"</f>
        <v>69.5175</v>
      </c>
    </row>
    <row r="2393" spans="1:3" x14ac:dyDescent="0.25">
      <c r="A2393" t="str">
        <f>"06/05/2019"</f>
        <v>06/05/2019</v>
      </c>
      <c r="B2393" t="str">
        <f>"69.41"</f>
        <v>69.41</v>
      </c>
      <c r="C2393" t="str">
        <f>"69.7175"</f>
        <v>69.7175</v>
      </c>
    </row>
    <row r="2394" spans="1:3" x14ac:dyDescent="0.25">
      <c r="A2394" t="str">
        <f>"07/05/2019"</f>
        <v>07/05/2019</v>
      </c>
      <c r="B2394" t="str">
        <f>"69.435"</f>
        <v>69.435</v>
      </c>
      <c r="C2394" t="str">
        <f>"69.72"</f>
        <v>69.72</v>
      </c>
    </row>
    <row r="2395" spans="1:3" x14ac:dyDescent="0.25">
      <c r="A2395" t="str">
        <f>"08/05/2019"</f>
        <v>08/05/2019</v>
      </c>
      <c r="B2395" t="str">
        <f>"69.7175"</f>
        <v>69.7175</v>
      </c>
      <c r="C2395" t="str">
        <f>"69.9775"</f>
        <v>69.9775</v>
      </c>
    </row>
    <row r="2396" spans="1:3" x14ac:dyDescent="0.25">
      <c r="A2396" t="str">
        <f>"09/05/2019"</f>
        <v>09/05/2019</v>
      </c>
      <c r="B2396" t="str">
        <f>"69.95"</f>
        <v>69.95</v>
      </c>
      <c r="C2396" t="str">
        <f>"70.215"</f>
        <v>70.215</v>
      </c>
    </row>
    <row r="2397" spans="1:3" x14ac:dyDescent="0.25">
      <c r="A2397" t="str">
        <f>"10/05/2019"</f>
        <v>10/05/2019</v>
      </c>
      <c r="B2397" t="str">
        <f>"69.91"</f>
        <v>69.91</v>
      </c>
      <c r="C2397" t="str">
        <f>"70.19"</f>
        <v>70.19</v>
      </c>
    </row>
    <row r="2398" spans="1:3" x14ac:dyDescent="0.25">
      <c r="A2398" t="str">
        <f>"13/05/2019"</f>
        <v>13/05/2019</v>
      </c>
      <c r="B2398" t="str">
        <f>"70.1275"</f>
        <v>70.1275</v>
      </c>
      <c r="C2398" t="str">
        <f>"70.4225"</f>
        <v>70.4225</v>
      </c>
    </row>
    <row r="2399" spans="1:3" x14ac:dyDescent="0.25">
      <c r="A2399" t="str">
        <f>"14/05/2019"</f>
        <v>14/05/2019</v>
      </c>
      <c r="B2399" t="str">
        <f>"70.4625"</f>
        <v>70.4625</v>
      </c>
      <c r="C2399" t="str">
        <f>"70.75"</f>
        <v>70.75</v>
      </c>
    </row>
    <row r="2400" spans="1:3" x14ac:dyDescent="0.25">
      <c r="A2400" t="str">
        <f>"15/05/2019"</f>
        <v>15/05/2019</v>
      </c>
      <c r="B2400" t="str">
        <f>"70.345"</f>
        <v>70.345</v>
      </c>
      <c r="C2400" t="str">
        <f>"70.62"</f>
        <v>70.62</v>
      </c>
    </row>
    <row r="2401" spans="1:3" x14ac:dyDescent="0.25">
      <c r="A2401" t="str">
        <f>"16/05/2019"</f>
        <v>16/05/2019</v>
      </c>
      <c r="B2401" t="str">
        <f>"70.0375"</f>
        <v>70.0375</v>
      </c>
      <c r="C2401" t="str">
        <f>"70.3125"</f>
        <v>70.3125</v>
      </c>
    </row>
    <row r="2402" spans="1:3" x14ac:dyDescent="0.25">
      <c r="A2402" t="str">
        <f>"17/05/2019"</f>
        <v>17/05/2019</v>
      </c>
      <c r="B2402" t="str">
        <f>"70.2925"</f>
        <v>70.2925</v>
      </c>
      <c r="C2402" t="str">
        <f>"70.565"</f>
        <v>70.565</v>
      </c>
    </row>
    <row r="2403" spans="1:3" x14ac:dyDescent="0.25">
      <c r="A2403" t="str">
        <f>"20/05/2019"</f>
        <v>20/05/2019</v>
      </c>
      <c r="B2403" t="str">
        <f>"69.7475"</f>
        <v>69.7475</v>
      </c>
      <c r="C2403" t="str">
        <f>"70.0275"</f>
        <v>70.0275</v>
      </c>
    </row>
    <row r="2404" spans="1:3" x14ac:dyDescent="0.25">
      <c r="A2404" t="str">
        <f>"21/05/2019"</f>
        <v>21/05/2019</v>
      </c>
      <c r="B2404" t="str">
        <f>"69.7275"</f>
        <v>69.7275</v>
      </c>
      <c r="C2404" t="str">
        <f>"69.9975"</f>
        <v>69.9975</v>
      </c>
    </row>
    <row r="2405" spans="1:3" x14ac:dyDescent="0.25">
      <c r="A2405" t="str">
        <f>"22/05/2019"</f>
        <v>22/05/2019</v>
      </c>
      <c r="B2405" t="str">
        <f>"69.675"</f>
        <v>69.675</v>
      </c>
      <c r="C2405" t="str">
        <f>"69.9375"</f>
        <v>69.9375</v>
      </c>
    </row>
    <row r="2406" spans="1:3" x14ac:dyDescent="0.25">
      <c r="A2406" t="str">
        <f>"23/05/2019"</f>
        <v>23/05/2019</v>
      </c>
      <c r="B2406" t="str">
        <f>"70.025"</f>
        <v>70.025</v>
      </c>
      <c r="C2406" t="str">
        <f>"70.2825"</f>
        <v>70.2825</v>
      </c>
    </row>
    <row r="2407" spans="1:3" x14ac:dyDescent="0.25">
      <c r="A2407" t="str">
        <f>"24/05/2019"</f>
        <v>24/05/2019</v>
      </c>
      <c r="B2407" t="str">
        <f>"69.5325"</f>
        <v>69.5325</v>
      </c>
      <c r="C2407" t="str">
        <f>"69.785"</f>
        <v>69.785</v>
      </c>
    </row>
    <row r="2408" spans="1:3" x14ac:dyDescent="0.25">
      <c r="A2408" t="str">
        <f>"27/05/2019"</f>
        <v>27/05/2019</v>
      </c>
      <c r="B2408" t="str">
        <f>"69.51"</f>
        <v>69.51</v>
      </c>
      <c r="C2408" t="str">
        <f>"69.7525"</f>
        <v>69.7525</v>
      </c>
    </row>
    <row r="2409" spans="1:3" x14ac:dyDescent="0.25">
      <c r="A2409" t="str">
        <f>"28/05/2019"</f>
        <v>28/05/2019</v>
      </c>
      <c r="B2409" t="str">
        <f>"69.665"</f>
        <v>69.665</v>
      </c>
      <c r="C2409" t="str">
        <f>"69.9025"</f>
        <v>69.9025</v>
      </c>
    </row>
    <row r="2410" spans="1:3" x14ac:dyDescent="0.25">
      <c r="A2410" t="str">
        <f>"29/05/2019"</f>
        <v>29/05/2019</v>
      </c>
      <c r="B2410" t="str">
        <f>"69.8375"</f>
        <v>69.8375</v>
      </c>
      <c r="C2410" t="str">
        <f>"70.06"</f>
        <v>70.06</v>
      </c>
    </row>
    <row r="2411" spans="1:3" x14ac:dyDescent="0.25">
      <c r="A2411" t="str">
        <f>"30/05/2019"</f>
        <v>30/05/2019</v>
      </c>
      <c r="B2411" t="str">
        <f>"69.88"</f>
        <v>69.88</v>
      </c>
      <c r="C2411" t="str">
        <f>"70.115"</f>
        <v>70.115</v>
      </c>
    </row>
    <row r="2412" spans="1:3" x14ac:dyDescent="0.25">
      <c r="A2412" t="str">
        <f>"31/05/2019"</f>
        <v>31/05/2019</v>
      </c>
      <c r="B2412" t="str">
        <f>"69.7625"</f>
        <v>69.7625</v>
      </c>
      <c r="C2412" t="str">
        <f>"69.9975"</f>
        <v>69.9975</v>
      </c>
    </row>
    <row r="2413" spans="1:3" x14ac:dyDescent="0.25">
      <c r="A2413" t="str">
        <f>"03/06/2019"</f>
        <v>03/06/2019</v>
      </c>
      <c r="B2413" t="str">
        <f>"69.27"</f>
        <v>69.27</v>
      </c>
      <c r="C2413" t="str">
        <f>"69.52"</f>
        <v>69.52</v>
      </c>
    </row>
    <row r="2414" spans="1:3" x14ac:dyDescent="0.25">
      <c r="A2414" t="str">
        <f>"04/06/2019"</f>
        <v>04/06/2019</v>
      </c>
      <c r="B2414" t="str">
        <f>"69.16"</f>
        <v>69.16</v>
      </c>
      <c r="C2414" t="str">
        <f>"69.4025"</f>
        <v>69.4025</v>
      </c>
    </row>
    <row r="2415" spans="1:3" x14ac:dyDescent="0.25">
      <c r="A2415" t="str">
        <f>"06/06/2019"</f>
        <v>06/06/2019</v>
      </c>
      <c r="B2415" t="str">
        <f>"69.29"</f>
        <v>69.29</v>
      </c>
      <c r="C2415" t="str">
        <f>"69.5275"</f>
        <v>69.5275</v>
      </c>
    </row>
    <row r="2416" spans="1:3" x14ac:dyDescent="0.25">
      <c r="A2416" t="str">
        <f>"07/06/2019"</f>
        <v>07/06/2019</v>
      </c>
      <c r="B2416" t="str">
        <f>"69.475"</f>
        <v>69.475</v>
      </c>
      <c r="C2416" t="str">
        <f>"69.715"</f>
        <v>69.715</v>
      </c>
    </row>
    <row r="2417" spans="1:3" x14ac:dyDescent="0.25">
      <c r="A2417" t="str">
        <f>"10/06/2019"</f>
        <v>10/06/2019</v>
      </c>
      <c r="B2417" t="str">
        <f>"69.66"</f>
        <v>69.66</v>
      </c>
      <c r="C2417" t="str">
        <f>"69.9025"</f>
        <v>69.9025</v>
      </c>
    </row>
    <row r="2418" spans="1:3" x14ac:dyDescent="0.25">
      <c r="A2418" t="str">
        <f>"11/06/2019"</f>
        <v>11/06/2019</v>
      </c>
      <c r="B2418" t="str">
        <f>"69.4625"</f>
        <v>69.4625</v>
      </c>
      <c r="C2418" t="str">
        <f>"69.725"</f>
        <v>69.725</v>
      </c>
    </row>
    <row r="2419" spans="1:3" x14ac:dyDescent="0.25">
      <c r="A2419" t="str">
        <f>"12/06/2019"</f>
        <v>12/06/2019</v>
      </c>
      <c r="B2419" t="str">
        <f>"69.355"</f>
        <v>69.355</v>
      </c>
      <c r="C2419" t="str">
        <f>"69.6075"</f>
        <v>69.6075</v>
      </c>
    </row>
    <row r="2420" spans="1:3" x14ac:dyDescent="0.25">
      <c r="A2420" t="str">
        <f>"13/06/2019"</f>
        <v>13/06/2019</v>
      </c>
      <c r="B2420" t="str">
        <f>"69.3675"</f>
        <v>69.3675</v>
      </c>
      <c r="C2420" t="str">
        <f>"69.6125"</f>
        <v>69.6125</v>
      </c>
    </row>
    <row r="2421" spans="1:3" x14ac:dyDescent="0.25">
      <c r="A2421" t="str">
        <f>"14/06/2019"</f>
        <v>14/06/2019</v>
      </c>
      <c r="B2421" t="str">
        <f>"69.8075"</f>
        <v>69.8075</v>
      </c>
      <c r="C2421" t="str">
        <f>"70.07"</f>
        <v>70.07</v>
      </c>
    </row>
    <row r="2422" spans="1:3" x14ac:dyDescent="0.25">
      <c r="A2422" t="str">
        <f>"17/06/2019"</f>
        <v>17/06/2019</v>
      </c>
      <c r="B2422" t="str">
        <f>"69.9125"</f>
        <v>69.9125</v>
      </c>
      <c r="C2422" t="str">
        <f>"70.2025"</f>
        <v>70.2025</v>
      </c>
    </row>
    <row r="2423" spans="1:3" x14ac:dyDescent="0.25">
      <c r="A2423" t="str">
        <f>"18/06/2019"</f>
        <v>18/06/2019</v>
      </c>
      <c r="B2423" t="str">
        <f>"69.6925"</f>
        <v>69.6925</v>
      </c>
      <c r="C2423" t="str">
        <f>"70.005"</f>
        <v>70.005</v>
      </c>
    </row>
    <row r="2424" spans="1:3" x14ac:dyDescent="0.25">
      <c r="A2424" t="str">
        <f>"19/06/2019"</f>
        <v>19/06/2019</v>
      </c>
      <c r="B2424" t="str">
        <f>"69.69"</f>
        <v>69.69</v>
      </c>
      <c r="C2424" t="str">
        <f>"70.005"</f>
        <v>70.005</v>
      </c>
    </row>
    <row r="2425" spans="1:3" x14ac:dyDescent="0.25">
      <c r="A2425" t="str">
        <f>"20/06/2019"</f>
        <v>20/06/2019</v>
      </c>
      <c r="B2425" t="str">
        <f>"69.4425"</f>
        <v>69.4425</v>
      </c>
      <c r="C2425" t="str">
        <f>"69.7325"</f>
        <v>69.7325</v>
      </c>
    </row>
    <row r="2426" spans="1:3" x14ac:dyDescent="0.25">
      <c r="A2426" t="str">
        <f>"21/06/2019"</f>
        <v>21/06/2019</v>
      </c>
      <c r="B2426" t="str">
        <f>"69.595"</f>
        <v>69.595</v>
      </c>
      <c r="C2426" t="str">
        <f>"69.89"</f>
        <v>69.89</v>
      </c>
    </row>
    <row r="2427" spans="1:3" x14ac:dyDescent="0.25">
      <c r="A2427" t="str">
        <f>"24/06/2019"</f>
        <v>24/06/2019</v>
      </c>
      <c r="B2427" t="str">
        <f>"69.355"</f>
        <v>69.355</v>
      </c>
      <c r="C2427" t="str">
        <f>"69.6725"</f>
        <v>69.6725</v>
      </c>
    </row>
    <row r="2428" spans="1:3" x14ac:dyDescent="0.25">
      <c r="A2428" t="str">
        <f>"25/06/2019"</f>
        <v>25/06/2019</v>
      </c>
      <c r="B2428" t="str">
        <f>"69.3525"</f>
        <v>69.3525</v>
      </c>
      <c r="C2428" t="str">
        <f>"69.705"</f>
        <v>69.705</v>
      </c>
    </row>
    <row r="2429" spans="1:3" x14ac:dyDescent="0.25">
      <c r="A2429" t="str">
        <f>"26/06/2019"</f>
        <v>26/06/2019</v>
      </c>
      <c r="B2429" t="str">
        <f>"69.16"</f>
        <v>69.16</v>
      </c>
      <c r="C2429" t="str">
        <f>"69.5475"</f>
        <v>69.5475</v>
      </c>
    </row>
    <row r="2430" spans="1:3" x14ac:dyDescent="0.25">
      <c r="A2430" t="str">
        <f>"27/06/2019"</f>
        <v>27/06/2019</v>
      </c>
      <c r="B2430" t="str">
        <f>"69.075"</f>
        <v>69.075</v>
      </c>
      <c r="C2430" t="str">
        <f>"69.355"</f>
        <v>69.355</v>
      </c>
    </row>
    <row r="2431" spans="1:3" x14ac:dyDescent="0.25">
      <c r="A2431" t="str">
        <f>"28/06/2019"</f>
        <v>28/06/2019</v>
      </c>
      <c r="B2431" t="str">
        <f>"69.035"</f>
        <v>69.035</v>
      </c>
      <c r="C2431" t="str">
        <f>"69.31"</f>
        <v>69.31</v>
      </c>
    </row>
    <row r="2432" spans="1:3" x14ac:dyDescent="0.25">
      <c r="A2432" t="str">
        <f>"01/07/2019"</f>
        <v>01/07/2019</v>
      </c>
      <c r="B2432" t="str">
        <f>"68.955"</f>
        <v>68.955</v>
      </c>
      <c r="C2432" t="str">
        <f>"69.2325"</f>
        <v>69.2325</v>
      </c>
    </row>
    <row r="2433" spans="1:3" x14ac:dyDescent="0.25">
      <c r="A2433" t="str">
        <f>"02/07/2019"</f>
        <v>02/07/2019</v>
      </c>
      <c r="B2433" t="str">
        <f>"68.9475"</f>
        <v>68.9475</v>
      </c>
      <c r="C2433" t="str">
        <f>"69.2075"</f>
        <v>69.2075</v>
      </c>
    </row>
    <row r="2434" spans="1:3" x14ac:dyDescent="0.25">
      <c r="A2434" t="str">
        <f>"03/07/2019"</f>
        <v>03/07/2019</v>
      </c>
      <c r="B2434" t="str">
        <f>"68.90"</f>
        <v>68.90</v>
      </c>
      <c r="C2434" t="str">
        <f>"69.16"</f>
        <v>69.16</v>
      </c>
    </row>
    <row r="2435" spans="1:3" x14ac:dyDescent="0.25">
      <c r="A2435" t="str">
        <f>"04/07/2019"</f>
        <v>04/07/2019</v>
      </c>
      <c r="B2435" t="str">
        <f>"68.8675"</f>
        <v>68.8675</v>
      </c>
      <c r="C2435" t="str">
        <f>"69.12"</f>
        <v>69.12</v>
      </c>
    </row>
    <row r="2436" spans="1:3" x14ac:dyDescent="0.25">
      <c r="A2436" t="str">
        <f>"05/07/2019"</f>
        <v>05/07/2019</v>
      </c>
      <c r="B2436" t="str">
        <f>"68.4225"</f>
        <v>68.4225</v>
      </c>
      <c r="C2436" t="str">
        <f>"68.6775"</f>
        <v>68.6775</v>
      </c>
    </row>
    <row r="2437" spans="1:3" x14ac:dyDescent="0.25">
      <c r="A2437" t="str">
        <f>"08/07/2019"</f>
        <v>08/07/2019</v>
      </c>
      <c r="B2437" t="str">
        <f>"68.5875"</f>
        <v>68.5875</v>
      </c>
      <c r="C2437" t="str">
        <f>"68.86"</f>
        <v>68.86</v>
      </c>
    </row>
    <row r="2438" spans="1:3" x14ac:dyDescent="0.25">
      <c r="A2438" t="str">
        <f>"09/07/2019"</f>
        <v>09/07/2019</v>
      </c>
      <c r="B2438" t="str">
        <f>"68.815"</f>
        <v>68.815</v>
      </c>
      <c r="C2438" t="str">
        <f>"69.0725"</f>
        <v>69.0725</v>
      </c>
    </row>
    <row r="2439" spans="1:3" x14ac:dyDescent="0.25">
      <c r="A2439" t="str">
        <f>"10/07/2019"</f>
        <v>10/07/2019</v>
      </c>
      <c r="B2439" t="str">
        <f>"68.62"</f>
        <v>68.62</v>
      </c>
      <c r="C2439" t="str">
        <f>"68.8625"</f>
        <v>68.8625</v>
      </c>
    </row>
    <row r="2440" spans="1:3" x14ac:dyDescent="0.25">
      <c r="A2440" t="str">
        <f>"11/07/2019"</f>
        <v>11/07/2019</v>
      </c>
      <c r="B2440" t="str">
        <f>"68.46"</f>
        <v>68.46</v>
      </c>
      <c r="C2440" t="str">
        <f>"68.705"</f>
        <v>68.705</v>
      </c>
    </row>
    <row r="2441" spans="1:3" x14ac:dyDescent="0.25">
      <c r="A2441" t="str">
        <f>"12/07/2019"</f>
        <v>12/07/2019</v>
      </c>
      <c r="B2441" t="str">
        <f>"68.5275"</f>
        <v>68.5275</v>
      </c>
      <c r="C2441" t="str">
        <f>"68.765"</f>
        <v>68.765</v>
      </c>
    </row>
    <row r="2442" spans="1:3" x14ac:dyDescent="0.25">
      <c r="A2442" t="str">
        <f>"15/07/2019"</f>
        <v>15/07/2019</v>
      </c>
      <c r="B2442" t="str">
        <f>"68.555"</f>
        <v>68.555</v>
      </c>
      <c r="C2442" t="str">
        <f>"68.8025"</f>
        <v>68.8025</v>
      </c>
    </row>
    <row r="2443" spans="1:3" x14ac:dyDescent="0.25">
      <c r="A2443" t="str">
        <f>"16/07/2019"</f>
        <v>16/07/2019</v>
      </c>
      <c r="B2443" t="str">
        <f>"68.715"</f>
        <v>68.715</v>
      </c>
      <c r="C2443" t="str">
        <f>"68.95"</f>
        <v>68.95</v>
      </c>
    </row>
    <row r="2444" spans="1:3" x14ac:dyDescent="0.25">
      <c r="A2444" t="str">
        <f>"17/07/2019"</f>
        <v>17/07/2019</v>
      </c>
      <c r="B2444" t="str">
        <f>"68.8225"</f>
        <v>68.8225</v>
      </c>
      <c r="C2444" t="str">
        <f>"69.0525"</f>
        <v>69.0525</v>
      </c>
    </row>
    <row r="2445" spans="1:3" x14ac:dyDescent="0.25">
      <c r="A2445" t="str">
        <f>"18/07/2019"</f>
        <v>18/07/2019</v>
      </c>
      <c r="B2445" t="str">
        <f>"68.9675"</f>
        <v>68.9675</v>
      </c>
      <c r="C2445" t="str">
        <f>"69.205"</f>
        <v>69.205</v>
      </c>
    </row>
    <row r="2446" spans="1:3" x14ac:dyDescent="0.25">
      <c r="A2446" t="str">
        <f>"19/07/2019"</f>
        <v>19/07/2019</v>
      </c>
      <c r="B2446" t="str">
        <f>"68.79"</f>
        <v>68.79</v>
      </c>
      <c r="C2446" t="str">
        <f>"69.0225"</f>
        <v>69.0225</v>
      </c>
    </row>
    <row r="2447" spans="1:3" x14ac:dyDescent="0.25">
      <c r="A2447" t="str">
        <f>"22/07/2019"</f>
        <v>22/07/2019</v>
      </c>
      <c r="B2447" t="str">
        <f>"68.995"</f>
        <v>68.995</v>
      </c>
      <c r="C2447" t="str">
        <f>"69.25"</f>
        <v>69.25</v>
      </c>
    </row>
    <row r="2448" spans="1:3" x14ac:dyDescent="0.25">
      <c r="A2448" t="str">
        <f>"23/07/2019"</f>
        <v>23/07/2019</v>
      </c>
      <c r="B2448" t="str">
        <f>"68.95"</f>
        <v>68.95</v>
      </c>
      <c r="C2448" t="str">
        <f>"69.195"</f>
        <v>69.195</v>
      </c>
    </row>
    <row r="2449" spans="1:3" x14ac:dyDescent="0.25">
      <c r="A2449" t="str">
        <f>"24/07/2019"</f>
        <v>24/07/2019</v>
      </c>
      <c r="B2449" t="str">
        <f>"68.9875"</f>
        <v>68.9875</v>
      </c>
      <c r="C2449" t="str">
        <f>"69.225"</f>
        <v>69.225</v>
      </c>
    </row>
    <row r="2450" spans="1:3" x14ac:dyDescent="0.25">
      <c r="A2450" t="str">
        <f>"25/07/2019"</f>
        <v>25/07/2019</v>
      </c>
      <c r="B2450" t="str">
        <f>"69.0475"</f>
        <v>69.0475</v>
      </c>
      <c r="C2450" t="str">
        <f>"69.285"</f>
        <v>69.285</v>
      </c>
    </row>
    <row r="2451" spans="1:3" x14ac:dyDescent="0.25">
      <c r="A2451" t="str">
        <f>"26/07/2019"</f>
        <v>26/07/2019</v>
      </c>
      <c r="B2451" t="str">
        <f>"68.91"</f>
        <v>68.91</v>
      </c>
      <c r="C2451" t="str">
        <f>"69.145"</f>
        <v>69.145</v>
      </c>
    </row>
    <row r="2452" spans="1:3" x14ac:dyDescent="0.25">
      <c r="A2452" t="str">
        <f>"29/07/2019"</f>
        <v>29/07/2019</v>
      </c>
      <c r="B2452" t="str">
        <f>"68.7325"</f>
        <v>68.7325</v>
      </c>
      <c r="C2452" t="str">
        <f>"68.9475"</f>
        <v>68.9475</v>
      </c>
    </row>
    <row r="2453" spans="1:3" x14ac:dyDescent="0.25">
      <c r="A2453" t="str">
        <f>"30/07/2019"</f>
        <v>30/07/2019</v>
      </c>
      <c r="B2453" t="str">
        <f>"68.8625"</f>
        <v>68.8625</v>
      </c>
      <c r="C2453" t="str">
        <f>"69.095"</f>
        <v>69.095</v>
      </c>
    </row>
    <row r="2454" spans="1:3" x14ac:dyDescent="0.25">
      <c r="A2454" t="str">
        <f>"31/07/2019"</f>
        <v>31/07/2019</v>
      </c>
      <c r="B2454" t="str">
        <f>"68.8075"</f>
        <v>68.8075</v>
      </c>
      <c r="C2454" t="str">
        <f>"69.0375"</f>
        <v>69.0375</v>
      </c>
    </row>
    <row r="2455" spans="1:3" x14ac:dyDescent="0.25">
      <c r="A2455" t="str">
        <f>"01/08/2019"</f>
        <v>01/08/2019</v>
      </c>
      <c r="B2455" t="str">
        <f>"69.065"</f>
        <v>69.065</v>
      </c>
      <c r="C2455" t="str">
        <f>"69.29"</f>
        <v>69.29</v>
      </c>
    </row>
    <row r="2456" spans="1:3" x14ac:dyDescent="0.25">
      <c r="A2456" t="str">
        <f>"02/08/2019"</f>
        <v>02/08/2019</v>
      </c>
      <c r="B2456" t="str">
        <f>"69.62"</f>
        <v>69.62</v>
      </c>
      <c r="C2456" t="str">
        <f>"69.855"</f>
        <v>69.855</v>
      </c>
    </row>
    <row r="2457" spans="1:3" x14ac:dyDescent="0.25">
      <c r="A2457" t="str">
        <f>"05/08/2019"</f>
        <v>05/08/2019</v>
      </c>
      <c r="B2457" t="str">
        <f>"70.7375"</f>
        <v>70.7375</v>
      </c>
      <c r="C2457" t="str">
        <f>"71.01"</f>
        <v>71.01</v>
      </c>
    </row>
    <row r="2458" spans="1:3" x14ac:dyDescent="0.25">
      <c r="A2458" t="str">
        <f>"06/08/2019"</f>
        <v>06/08/2019</v>
      </c>
      <c r="B2458" t="str">
        <f>"70.83"</f>
        <v>70.83</v>
      </c>
      <c r="C2458" t="str">
        <f>"71.07"</f>
        <v>71.07</v>
      </c>
    </row>
    <row r="2459" spans="1:3" x14ac:dyDescent="0.25">
      <c r="A2459" t="str">
        <f>"07/08/2019"</f>
        <v>07/08/2019</v>
      </c>
      <c r="B2459" t="str">
        <f>"70.9475"</f>
        <v>70.9475</v>
      </c>
      <c r="C2459" t="str">
        <f>"71.185"</f>
        <v>71.185</v>
      </c>
    </row>
    <row r="2460" spans="1:3" x14ac:dyDescent="0.25">
      <c r="A2460" t="str">
        <f>"08/08/2019"</f>
        <v>08/08/2019</v>
      </c>
      <c r="B2460" t="str">
        <f>"70.7075"</f>
        <v>70.7075</v>
      </c>
      <c r="C2460" t="str">
        <f>"70.935"</f>
        <v>70.935</v>
      </c>
    </row>
    <row r="2461" spans="1:3" x14ac:dyDescent="0.25">
      <c r="A2461" t="str">
        <f>"09/08/2019"</f>
        <v>09/08/2019</v>
      </c>
      <c r="B2461" t="str">
        <f>"70.795"</f>
        <v>70.795</v>
      </c>
      <c r="C2461" t="str">
        <f>"71.04"</f>
        <v>71.04</v>
      </c>
    </row>
    <row r="2462" spans="1:3" x14ac:dyDescent="0.25">
      <c r="A2462" t="str">
        <f>"13/08/2019"</f>
        <v>13/08/2019</v>
      </c>
      <c r="B2462" t="str">
        <f>"71.4025"</f>
        <v>71.4025</v>
      </c>
      <c r="C2462" t="str">
        <f>"71.6375"</f>
        <v>71.6375</v>
      </c>
    </row>
    <row r="2463" spans="1:3" x14ac:dyDescent="0.25">
      <c r="A2463" t="str">
        <f>"14/08/2019"</f>
        <v>14/08/2019</v>
      </c>
      <c r="B2463" t="str">
        <f>"71.28"</f>
        <v>71.28</v>
      </c>
      <c r="C2463" t="str">
        <f>"71.515"</f>
        <v>71.515</v>
      </c>
    </row>
    <row r="2464" spans="1:3" x14ac:dyDescent="0.25">
      <c r="A2464" t="str">
        <f>"16/08/2019"</f>
        <v>16/08/2019</v>
      </c>
      <c r="B2464" t="str">
        <f>"71.3225"</f>
        <v>71.3225</v>
      </c>
      <c r="C2464" t="str">
        <f>"71.555"</f>
        <v>71.555</v>
      </c>
    </row>
    <row r="2465" spans="1:3" x14ac:dyDescent="0.25">
      <c r="A2465" t="str">
        <f>"19/08/2019"</f>
        <v>19/08/2019</v>
      </c>
      <c r="B2465" t="str">
        <f>"71.08"</f>
        <v>71.08</v>
      </c>
      <c r="C2465" t="str">
        <f>"71.325"</f>
        <v>71.325</v>
      </c>
    </row>
    <row r="2466" spans="1:3" x14ac:dyDescent="0.25">
      <c r="A2466" t="str">
        <f>"20/08/2019"</f>
        <v>20/08/2019</v>
      </c>
      <c r="B2466" t="str">
        <f>"71.6375"</f>
        <v>71.6375</v>
      </c>
      <c r="C2466" t="str">
        <f>"71.8825"</f>
        <v>71.8825</v>
      </c>
    </row>
    <row r="2467" spans="1:3" x14ac:dyDescent="0.25">
      <c r="A2467" t="str">
        <f>"21/08/2019"</f>
        <v>21/08/2019</v>
      </c>
      <c r="B2467" t="str">
        <f>"71.5725"</f>
        <v>71.5725</v>
      </c>
      <c r="C2467" t="str">
        <f>"71.805"</f>
        <v>71.805</v>
      </c>
    </row>
    <row r="2468" spans="1:3" x14ac:dyDescent="0.25">
      <c r="A2468" t="str">
        <f>"22/08/2019"</f>
        <v>22/08/2019</v>
      </c>
      <c r="B2468" t="str">
        <f>"71.725"</f>
        <v>71.725</v>
      </c>
      <c r="C2468" t="str">
        <f>"71.97"</f>
        <v>71.97</v>
      </c>
    </row>
    <row r="2469" spans="1:3" x14ac:dyDescent="0.25">
      <c r="A2469" t="str">
        <f>"23/08/2019"</f>
        <v>23/08/2019</v>
      </c>
      <c r="B2469" t="str">
        <f>"71.67"</f>
        <v>71.67</v>
      </c>
      <c r="C2469" t="str">
        <f>"71.9175"</f>
        <v>71.9175</v>
      </c>
    </row>
    <row r="2470" spans="1:3" x14ac:dyDescent="0.25">
      <c r="A2470" t="str">
        <f>"26/08/2019"</f>
        <v>26/08/2019</v>
      </c>
      <c r="B2470" t="str">
        <f>"72.115"</f>
        <v>72.115</v>
      </c>
      <c r="C2470" t="str">
        <f>"72.385"</f>
        <v>72.385</v>
      </c>
    </row>
    <row r="2471" spans="1:3" x14ac:dyDescent="0.25">
      <c r="A2471" t="str">
        <f>"27/08/2019"</f>
        <v>27/08/2019</v>
      </c>
      <c r="B2471" t="str">
        <f>"71.865"</f>
        <v>71.865</v>
      </c>
      <c r="C2471" t="str">
        <f>"72.125"</f>
        <v>72.125</v>
      </c>
    </row>
    <row r="2472" spans="1:3" x14ac:dyDescent="0.25">
      <c r="A2472" t="str">
        <f>"28/08/2019"</f>
        <v>28/08/2019</v>
      </c>
      <c r="B2472" t="str">
        <f>"71.78"</f>
        <v>71.78</v>
      </c>
      <c r="C2472" t="str">
        <f>"72.0375"</f>
        <v>72.0375</v>
      </c>
    </row>
    <row r="2473" spans="1:3" x14ac:dyDescent="0.25">
      <c r="A2473" t="str">
        <f>"29/08/2019"</f>
        <v>29/08/2019</v>
      </c>
      <c r="B2473" t="str">
        <f>"71.7975"</f>
        <v>71.7975</v>
      </c>
      <c r="C2473" t="str">
        <f>"72.05"</f>
        <v>72.05</v>
      </c>
    </row>
    <row r="2474" spans="1:3" x14ac:dyDescent="0.25">
      <c r="A2474" t="str">
        <f>"30/08/2019"</f>
        <v>30/08/2019</v>
      </c>
      <c r="B2474" t="str">
        <f>"71.41"</f>
        <v>71.41</v>
      </c>
      <c r="C2474" t="str">
        <f>"71.6525"</f>
        <v>71.6525</v>
      </c>
    </row>
    <row r="2475" spans="1:3" x14ac:dyDescent="0.25">
      <c r="A2475" t="str">
        <f>"03/09/2019"</f>
        <v>03/09/2019</v>
      </c>
      <c r="B2475" t="str">
        <f>"72.40"</f>
        <v>72.40</v>
      </c>
      <c r="C2475" t="str">
        <f>"72.6675"</f>
        <v>72.6675</v>
      </c>
    </row>
    <row r="2476" spans="1:3" x14ac:dyDescent="0.25">
      <c r="A2476" t="str">
        <f>"04/09/2019"</f>
        <v>04/09/2019</v>
      </c>
      <c r="B2476" t="str">
        <f>"72.01"</f>
        <v>72.01</v>
      </c>
      <c r="C2476" t="str">
        <f>"72.2675"</f>
        <v>72.2675</v>
      </c>
    </row>
    <row r="2477" spans="1:3" x14ac:dyDescent="0.25">
      <c r="A2477" t="str">
        <f>"05/09/2019"</f>
        <v>05/09/2019</v>
      </c>
      <c r="B2477" t="str">
        <f>"71.845"</f>
        <v>71.845</v>
      </c>
      <c r="C2477" t="str">
        <f>"72.10"</f>
        <v>72.10</v>
      </c>
    </row>
    <row r="2478" spans="1:3" x14ac:dyDescent="0.25">
      <c r="A2478" t="str">
        <f>"06/09/2019"</f>
        <v>06/09/2019</v>
      </c>
      <c r="B2478" t="str">
        <f>"71.755"</f>
        <v>71.755</v>
      </c>
      <c r="C2478" t="str">
        <f>"72.0125"</f>
        <v>72.0125</v>
      </c>
    </row>
    <row r="2479" spans="1:3" x14ac:dyDescent="0.25">
      <c r="A2479" t="str">
        <f>"09/09/2019"</f>
        <v>09/09/2019</v>
      </c>
      <c r="B2479" t="str">
        <f>"71.7125"</f>
        <v>71.7125</v>
      </c>
      <c r="C2479" t="str">
        <f>"71.9925"</f>
        <v>71.9925</v>
      </c>
    </row>
    <row r="2480" spans="1:3" x14ac:dyDescent="0.25">
      <c r="A2480" t="str">
        <f>"11/09/2019"</f>
        <v>11/09/2019</v>
      </c>
      <c r="B2480" t="str">
        <f>"71.67"</f>
        <v>71.67</v>
      </c>
      <c r="C2480" t="str">
        <f>"71.9475"</f>
        <v>71.9475</v>
      </c>
    </row>
    <row r="2481" spans="1:3" x14ac:dyDescent="0.25">
      <c r="A2481" t="str">
        <f>"12/09/2019"</f>
        <v>12/09/2019</v>
      </c>
      <c r="B2481" t="str">
        <f>"71.145"</f>
        <v>71.145</v>
      </c>
      <c r="C2481" t="str">
        <f>"71.4125"</f>
        <v>71.4125</v>
      </c>
    </row>
    <row r="2482" spans="1:3" x14ac:dyDescent="0.25">
      <c r="A2482" t="str">
        <f>"16/09/2019"</f>
        <v>16/09/2019</v>
      </c>
      <c r="B2482" t="str">
        <f>"71.475"</f>
        <v>71.475</v>
      </c>
      <c r="C2482" t="str">
        <f>"71.7575"</f>
        <v>71.7575</v>
      </c>
    </row>
    <row r="2483" spans="1:3" x14ac:dyDescent="0.25">
      <c r="A2483" t="str">
        <f>"17/09/2019"</f>
        <v>17/09/2019</v>
      </c>
      <c r="B2483" t="str">
        <f>"71.7875"</f>
        <v>71.7875</v>
      </c>
      <c r="C2483" t="str">
        <f>"72.085"</f>
        <v>72.085</v>
      </c>
    </row>
    <row r="2484" spans="1:3" x14ac:dyDescent="0.25">
      <c r="A2484" t="str">
        <f>"18/09/2019"</f>
        <v>18/09/2019</v>
      </c>
      <c r="B2484" t="str">
        <f>"71.4925"</f>
        <v>71.4925</v>
      </c>
      <c r="C2484" t="str">
        <f>"71.7775"</f>
        <v>71.7775</v>
      </c>
    </row>
    <row r="2485" spans="1:3" x14ac:dyDescent="0.25">
      <c r="A2485" t="str">
        <f>"19/09/2019"</f>
        <v>19/09/2019</v>
      </c>
      <c r="B2485" t="str">
        <f>"71.245"</f>
        <v>71.245</v>
      </c>
      <c r="C2485" t="str">
        <f>"71.5225"</f>
        <v>71.5225</v>
      </c>
    </row>
    <row r="2486" spans="1:3" x14ac:dyDescent="0.25">
      <c r="A2486" t="str">
        <f>"20/09/2019"</f>
        <v>20/09/2019</v>
      </c>
      <c r="B2486" t="str">
        <f>"71.025"</f>
        <v>71.025</v>
      </c>
      <c r="C2486" t="str">
        <f>"71.30"</f>
        <v>71.30</v>
      </c>
    </row>
    <row r="2487" spans="1:3" x14ac:dyDescent="0.25">
      <c r="A2487" t="str">
        <f>"23/09/2019"</f>
        <v>23/09/2019</v>
      </c>
      <c r="B2487" t="str">
        <f>"70.9425"</f>
        <v>70.9425</v>
      </c>
      <c r="C2487" t="str">
        <f>"71.2125"</f>
        <v>71.2125</v>
      </c>
    </row>
    <row r="2488" spans="1:3" x14ac:dyDescent="0.25">
      <c r="A2488" t="str">
        <f>"24/09/2019"</f>
        <v>24/09/2019</v>
      </c>
      <c r="B2488" t="str">
        <f>"70.7975"</f>
        <v>70.7975</v>
      </c>
      <c r="C2488" t="str">
        <f>"71.095"</f>
        <v>71.095</v>
      </c>
    </row>
    <row r="2489" spans="1:3" x14ac:dyDescent="0.25">
      <c r="A2489" t="str">
        <f>"25/09/2019"</f>
        <v>25/09/2019</v>
      </c>
      <c r="B2489" t="str">
        <f>"71.045"</f>
        <v>71.045</v>
      </c>
      <c r="C2489" t="str">
        <f>"71.3175"</f>
        <v>71.3175</v>
      </c>
    </row>
    <row r="2490" spans="1:3" x14ac:dyDescent="0.25">
      <c r="A2490" t="str">
        <f>"26/09/2019"</f>
        <v>26/09/2019</v>
      </c>
      <c r="B2490" t="str">
        <f>"70.955"</f>
        <v>70.955</v>
      </c>
      <c r="C2490" t="str">
        <f>"71.215"</f>
        <v>71.215</v>
      </c>
    </row>
    <row r="2491" spans="1:3" x14ac:dyDescent="0.25">
      <c r="A2491" t="str">
        <f>"27/09/2019"</f>
        <v>27/09/2019</v>
      </c>
      <c r="B2491" t="str">
        <f>"70.5675"</f>
        <v>70.5675</v>
      </c>
      <c r="C2491" t="str">
        <f>"70.8125"</f>
        <v>70.8125</v>
      </c>
    </row>
    <row r="2492" spans="1:3" x14ac:dyDescent="0.25">
      <c r="A2492" t="str">
        <f>"30/09/2019"</f>
        <v>30/09/2019</v>
      </c>
      <c r="B2492" t="str">
        <f>"70.8725"</f>
        <v>70.8725</v>
      </c>
      <c r="C2492" t="str">
        <f>"71.125"</f>
        <v>71.125</v>
      </c>
    </row>
    <row r="2493" spans="1:3" x14ac:dyDescent="0.25">
      <c r="A2493" t="str">
        <f>"01/10/2019"</f>
        <v>01/10/2019</v>
      </c>
      <c r="B2493" t="str">
        <f>"71.095"</f>
        <v>71.095</v>
      </c>
      <c r="C2493" t="str">
        <f>"71.3375"</f>
        <v>71.3375</v>
      </c>
    </row>
    <row r="2494" spans="1:3" x14ac:dyDescent="0.25">
      <c r="A2494" t="str">
        <f>"03/10/2019"</f>
        <v>03/10/2019</v>
      </c>
      <c r="B2494" t="str">
        <f>"71.28"</f>
        <v>71.28</v>
      </c>
      <c r="C2494" t="str">
        <f>"71.525"</f>
        <v>71.525</v>
      </c>
    </row>
    <row r="2495" spans="1:3" x14ac:dyDescent="0.25">
      <c r="A2495" t="str">
        <f>"04/10/2019"</f>
        <v>04/10/2019</v>
      </c>
      <c r="B2495" t="str">
        <f>"70.8875"</f>
        <v>70.8875</v>
      </c>
      <c r="C2495" t="str">
        <f>"71.15"</f>
        <v>71.15</v>
      </c>
    </row>
    <row r="2496" spans="1:3" x14ac:dyDescent="0.25">
      <c r="A2496" t="str">
        <f>"07/10/2019"</f>
        <v>07/10/2019</v>
      </c>
      <c r="B2496" t="str">
        <f>"71.0275"</f>
        <v>71.0275</v>
      </c>
      <c r="C2496" t="str">
        <f>"71.275"</f>
        <v>71.275</v>
      </c>
    </row>
    <row r="2497" spans="1:3" x14ac:dyDescent="0.25">
      <c r="A2497" t="str">
        <f>"09/10/2019"</f>
        <v>09/10/2019</v>
      </c>
      <c r="B2497" t="str">
        <f>"71.0775"</f>
        <v>71.0775</v>
      </c>
      <c r="C2497" t="str">
        <f>"71.3175"</f>
        <v>71.3175</v>
      </c>
    </row>
    <row r="2498" spans="1:3" x14ac:dyDescent="0.25">
      <c r="A2498" t="str">
        <f>"10/10/2019"</f>
        <v>10/10/2019</v>
      </c>
      <c r="B2498" t="str">
        <f>"71.075"</f>
        <v>71.075</v>
      </c>
      <c r="C2498" t="str">
        <f>"71.3075"</f>
        <v>71.3075</v>
      </c>
    </row>
    <row r="2499" spans="1:3" x14ac:dyDescent="0.25">
      <c r="A2499" t="str">
        <f>"11/10/2019"</f>
        <v>11/10/2019</v>
      </c>
      <c r="B2499" t="str">
        <f>"71.0225"</f>
        <v>71.0225</v>
      </c>
      <c r="C2499" t="str">
        <f>"71.2575"</f>
        <v>71.2575</v>
      </c>
    </row>
    <row r="2500" spans="1:3" x14ac:dyDescent="0.25">
      <c r="A2500" t="str">
        <f>"14/10/2019"</f>
        <v>14/10/2019</v>
      </c>
      <c r="B2500" t="str">
        <f>"71.2325"</f>
        <v>71.2325</v>
      </c>
      <c r="C2500" t="str">
        <f>"71.47"</f>
        <v>71.47</v>
      </c>
    </row>
    <row r="2501" spans="1:3" x14ac:dyDescent="0.25">
      <c r="A2501" t="str">
        <f>"15/10/2019"</f>
        <v>15/10/2019</v>
      </c>
      <c r="B2501" t="str">
        <f>"71.5475"</f>
        <v>71.5475</v>
      </c>
      <c r="C2501" t="str">
        <f>"71.7775"</f>
        <v>71.7775</v>
      </c>
    </row>
    <row r="2502" spans="1:3" x14ac:dyDescent="0.25">
      <c r="A2502" t="str">
        <f>"16/10/2019"</f>
        <v>16/10/2019</v>
      </c>
      <c r="B2502" t="str">
        <f>"71.4425"</f>
        <v>71.4425</v>
      </c>
      <c r="C2502" t="str">
        <f>"71.66"</f>
        <v>71.66</v>
      </c>
    </row>
    <row r="2503" spans="1:3" x14ac:dyDescent="0.25">
      <c r="A2503" t="str">
        <f>"17/10/2019"</f>
        <v>17/10/2019</v>
      </c>
      <c r="B2503" t="str">
        <f>"71.175"</f>
        <v>71.175</v>
      </c>
      <c r="C2503" t="str">
        <f>"71.3975"</f>
        <v>71.3975</v>
      </c>
    </row>
    <row r="2504" spans="1:3" x14ac:dyDescent="0.25">
      <c r="A2504" t="str">
        <f>"18/10/2019"</f>
        <v>18/10/2019</v>
      </c>
      <c r="B2504" t="str">
        <f>"71.1525"</f>
        <v>71.1525</v>
      </c>
      <c r="C2504" t="str">
        <f>"71.3875"</f>
        <v>71.3875</v>
      </c>
    </row>
    <row r="2505" spans="1:3" x14ac:dyDescent="0.25">
      <c r="A2505" t="str">
        <f>"22/10/2019"</f>
        <v>22/10/2019</v>
      </c>
      <c r="B2505" t="str">
        <f>"70.9475"</f>
        <v>70.9475</v>
      </c>
      <c r="C2505" t="str">
        <f>"71.175"</f>
        <v>71.175</v>
      </c>
    </row>
    <row r="2506" spans="1:3" x14ac:dyDescent="0.25">
      <c r="A2506" t="str">
        <f>"23/10/2019"</f>
        <v>23/10/2019</v>
      </c>
      <c r="B2506" t="str">
        <f>"70.9175"</f>
        <v>70.9175</v>
      </c>
      <c r="C2506" t="str">
        <f>"71.135"</f>
        <v>71.135</v>
      </c>
    </row>
    <row r="2507" spans="1:3" x14ac:dyDescent="0.25">
      <c r="A2507" t="str">
        <f>"24/10/2019"</f>
        <v>24/10/2019</v>
      </c>
      <c r="B2507" t="str">
        <f>"71.0325"</f>
        <v>71.0325</v>
      </c>
      <c r="C2507" t="str">
        <f>"71.25"</f>
        <v>71.25</v>
      </c>
    </row>
    <row r="2508" spans="1:3" x14ac:dyDescent="0.25">
      <c r="A2508" t="str">
        <f>"25/10/2019"</f>
        <v>25/10/2019</v>
      </c>
      <c r="B2508" t="str">
        <f>"70.97"</f>
        <v>70.97</v>
      </c>
      <c r="C2508" t="str">
        <f>"71.1825"</f>
        <v>71.1825</v>
      </c>
    </row>
    <row r="2509" spans="1:3" x14ac:dyDescent="0.25">
      <c r="A2509" t="str">
        <f>"29/10/2019"</f>
        <v>29/10/2019</v>
      </c>
      <c r="B2509" t="str">
        <f>"70.8475"</f>
        <v>70.8475</v>
      </c>
      <c r="C2509" t="str">
        <f>"71.0375"</f>
        <v>71.0375</v>
      </c>
    </row>
    <row r="2510" spans="1:3" x14ac:dyDescent="0.25">
      <c r="A2510" t="str">
        <f>"30/10/2019"</f>
        <v>30/10/2019</v>
      </c>
      <c r="B2510" t="str">
        <f>"71.0075"</f>
        <v>71.0075</v>
      </c>
      <c r="C2510" t="str">
        <f>"71.215"</f>
        <v>71.215</v>
      </c>
    </row>
    <row r="2511" spans="1:3" x14ac:dyDescent="0.25">
      <c r="A2511" t="str">
        <f>"31/10/2019"</f>
        <v>31/10/2019</v>
      </c>
      <c r="B2511" t="str">
        <f>"70.9325"</f>
        <v>70.9325</v>
      </c>
      <c r="C2511" t="str">
        <f>"71.1425"</f>
        <v>71.1425</v>
      </c>
    </row>
    <row r="2512" spans="1:3" x14ac:dyDescent="0.25">
      <c r="A2512" t="str">
        <f>"01/11/2019"</f>
        <v>01/11/2019</v>
      </c>
      <c r="B2512" t="str">
        <f>"70.8125"</f>
        <v>70.8125</v>
      </c>
      <c r="C2512" t="str">
        <f>"71.0225"</f>
        <v>71.0225</v>
      </c>
    </row>
    <row r="2513" spans="1:3" x14ac:dyDescent="0.25">
      <c r="A2513" t="str">
        <f>"04/11/2019"</f>
        <v>04/11/2019</v>
      </c>
      <c r="B2513" t="str">
        <f>"70.67"</f>
        <v>70.67</v>
      </c>
      <c r="C2513" t="str">
        <f>"70.8825"</f>
        <v>70.8825</v>
      </c>
    </row>
    <row r="2514" spans="1:3" x14ac:dyDescent="0.25">
      <c r="A2514" t="str">
        <f>"05/11/2019"</f>
        <v>05/11/2019</v>
      </c>
      <c r="B2514" t="str">
        <f>"70.7375"</f>
        <v>70.7375</v>
      </c>
      <c r="C2514" t="str">
        <f>"70.96"</f>
        <v>70.96</v>
      </c>
    </row>
    <row r="2515" spans="1:3" x14ac:dyDescent="0.25">
      <c r="A2515" t="str">
        <f>"06/11/2019"</f>
        <v>06/11/2019</v>
      </c>
      <c r="B2515" t="str">
        <f>"71.0075"</f>
        <v>71.0075</v>
      </c>
      <c r="C2515" t="str">
        <f>"71.215"</f>
        <v>71.215</v>
      </c>
    </row>
    <row r="2516" spans="1:3" x14ac:dyDescent="0.25">
      <c r="A2516" t="str">
        <f>"07/11/2019"</f>
        <v>07/11/2019</v>
      </c>
      <c r="B2516" t="str">
        <f>"70.97"</f>
        <v>70.97</v>
      </c>
      <c r="C2516" t="str">
        <f>"71.1675"</f>
        <v>71.1675</v>
      </c>
    </row>
    <row r="2517" spans="1:3" x14ac:dyDescent="0.25">
      <c r="A2517" t="str">
        <f>"08/11/2019"</f>
        <v>08/11/2019</v>
      </c>
      <c r="B2517" t="str">
        <f>"71.29"</f>
        <v>71.29</v>
      </c>
      <c r="C2517" t="str">
        <f>"71.50"</f>
        <v>71.50</v>
      </c>
    </row>
    <row r="2518" spans="1:3" x14ac:dyDescent="0.25">
      <c r="A2518" t="str">
        <f>"11/11/2019"</f>
        <v>11/11/2019</v>
      </c>
      <c r="B2518" t="str">
        <f>"71.4725"</f>
        <v>71.4725</v>
      </c>
      <c r="C2518" t="str">
        <f>"71.68"</f>
        <v>71.68</v>
      </c>
    </row>
    <row r="2519" spans="1:3" x14ac:dyDescent="0.25">
      <c r="A2519" t="str">
        <f>"13/11/2019"</f>
        <v>13/11/2019</v>
      </c>
      <c r="B2519" t="str">
        <f>"72.09"</f>
        <v>72.09</v>
      </c>
      <c r="C2519" t="str">
        <f>"72.3025"</f>
        <v>72.3025</v>
      </c>
    </row>
    <row r="2520" spans="1:3" x14ac:dyDescent="0.25">
      <c r="A2520" t="str">
        <f>"14/11/2019"</f>
        <v>14/11/2019</v>
      </c>
      <c r="B2520" t="str">
        <f>"71.9725"</f>
        <v>71.9725</v>
      </c>
      <c r="C2520" t="str">
        <f>"72.1775"</f>
        <v>72.1775</v>
      </c>
    </row>
    <row r="2521" spans="1:3" x14ac:dyDescent="0.25">
      <c r="A2521" t="str">
        <f>"15/11/2019"</f>
        <v>15/11/2019</v>
      </c>
      <c r="B2521" t="str">
        <f>"71.7925"</f>
        <v>71.7925</v>
      </c>
      <c r="C2521" t="str">
        <f>"71.9975"</f>
        <v>71.9975</v>
      </c>
    </row>
    <row r="2522" spans="1:3" x14ac:dyDescent="0.25">
      <c r="A2522" t="str">
        <f>"18/11/2019"</f>
        <v>18/11/2019</v>
      </c>
      <c r="B2522" t="str">
        <f>"71.85"</f>
        <v>71.85</v>
      </c>
      <c r="C2522" t="str">
        <f>"72.055"</f>
        <v>72.055</v>
      </c>
    </row>
    <row r="2523" spans="1:3" x14ac:dyDescent="0.25">
      <c r="A2523" t="str">
        <f>"19/11/2019"</f>
        <v>19/11/2019</v>
      </c>
      <c r="B2523" t="str">
        <f>"71.72"</f>
        <v>71.72</v>
      </c>
      <c r="C2523" t="str">
        <f>"71.935"</f>
        <v>71.935</v>
      </c>
    </row>
    <row r="2524" spans="1:3" x14ac:dyDescent="0.25">
      <c r="A2524" t="str">
        <f>"20/11/2019"</f>
        <v>20/11/2019</v>
      </c>
      <c r="B2524" t="str">
        <f>"71.82"</f>
        <v>71.82</v>
      </c>
      <c r="C2524" t="str">
        <f>"72.0275"</f>
        <v>72.0275</v>
      </c>
    </row>
    <row r="2525" spans="1:3" x14ac:dyDescent="0.25">
      <c r="A2525" t="str">
        <f>"21/11/2019"</f>
        <v>21/11/2019</v>
      </c>
      <c r="B2525" t="str">
        <f>"71.83"</f>
        <v>71.83</v>
      </c>
      <c r="C2525" t="str">
        <f>"72.045"</f>
        <v>72.045</v>
      </c>
    </row>
    <row r="2526" spans="1:3" x14ac:dyDescent="0.25">
      <c r="A2526" t="str">
        <f>"22/11/2019"</f>
        <v>22/11/2019</v>
      </c>
      <c r="B2526" t="str">
        <f>"71.7575"</f>
        <v>71.7575</v>
      </c>
      <c r="C2526" t="str">
        <f>"71.9575"</f>
        <v>71.9575</v>
      </c>
    </row>
    <row r="2527" spans="1:3" x14ac:dyDescent="0.25">
      <c r="A2527" t="str">
        <f>"25/11/2019"</f>
        <v>25/11/2019</v>
      </c>
      <c r="B2527" t="str">
        <f>"71.7375"</f>
        <v>71.7375</v>
      </c>
      <c r="C2527" t="str">
        <f>"71.9375"</f>
        <v>71.9375</v>
      </c>
    </row>
    <row r="2528" spans="1:3" x14ac:dyDescent="0.25">
      <c r="A2528" t="str">
        <f>"26/11/2019"</f>
        <v>26/11/2019</v>
      </c>
      <c r="B2528" t="str">
        <f>"71.4975"</f>
        <v>71.4975</v>
      </c>
      <c r="C2528" t="str">
        <f>"71.71"</f>
        <v>71.71</v>
      </c>
    </row>
    <row r="2529" spans="1:3" x14ac:dyDescent="0.25">
      <c r="A2529" t="str">
        <f>"27/11/2019"</f>
        <v>27/11/2019</v>
      </c>
      <c r="B2529" t="str">
        <f>"71.355"</f>
        <v>71.355</v>
      </c>
      <c r="C2529" t="str">
        <f>"71.58"</f>
        <v>71.58</v>
      </c>
    </row>
    <row r="2530" spans="1:3" x14ac:dyDescent="0.25">
      <c r="A2530" t="str">
        <f>"28/11/2019"</f>
        <v>28/11/2019</v>
      </c>
      <c r="B2530" t="str">
        <f>"71.625"</f>
        <v>71.625</v>
      </c>
      <c r="C2530" t="str">
        <f>"71.83"</f>
        <v>71.83</v>
      </c>
    </row>
    <row r="2531" spans="1:3" x14ac:dyDescent="0.25">
      <c r="A2531" t="str">
        <f>"29/11/2019"</f>
        <v>29/11/2019</v>
      </c>
      <c r="B2531" t="str">
        <f>"71.725"</f>
        <v>71.725</v>
      </c>
      <c r="C2531" t="str">
        <f>"71.9325"</f>
        <v>71.9325</v>
      </c>
    </row>
    <row r="2532" spans="1:3" x14ac:dyDescent="0.25">
      <c r="A2532" t="str">
        <f>"02/12/2019"</f>
        <v>02/12/2019</v>
      </c>
      <c r="B2532" t="str">
        <f>"71.6675"</f>
        <v>71.6675</v>
      </c>
      <c r="C2532" t="str">
        <f>"71.8875"</f>
        <v>71.8875</v>
      </c>
    </row>
    <row r="2533" spans="1:3" x14ac:dyDescent="0.25">
      <c r="A2533" t="str">
        <f>"03/12/2019"</f>
        <v>03/12/2019</v>
      </c>
      <c r="B2533" t="str">
        <f>"71.6775"</f>
        <v>71.6775</v>
      </c>
      <c r="C2533" t="str">
        <f>"71.8875"</f>
        <v>71.8875</v>
      </c>
    </row>
    <row r="2534" spans="1:3" x14ac:dyDescent="0.25">
      <c r="A2534" t="str">
        <f>"04/12/2019"</f>
        <v>04/12/2019</v>
      </c>
      <c r="B2534" t="str">
        <f>"71.5325"</f>
        <v>71.5325</v>
      </c>
      <c r="C2534" t="str">
        <f>"71.735"</f>
        <v>71.735</v>
      </c>
    </row>
    <row r="2535" spans="1:3" x14ac:dyDescent="0.25">
      <c r="A2535" t="str">
        <f>"05/12/2019"</f>
        <v>05/12/2019</v>
      </c>
      <c r="B2535" t="str">
        <f>"71.295"</f>
        <v>71.295</v>
      </c>
      <c r="C2535" t="str">
        <f>"71.5075"</f>
        <v>71.5075</v>
      </c>
    </row>
    <row r="2536" spans="1:3" x14ac:dyDescent="0.25">
      <c r="A2536" t="str">
        <f>"06/12/2019"</f>
        <v>06/12/2019</v>
      </c>
      <c r="B2536" t="str">
        <f>"71.205"</f>
        <v>71.205</v>
      </c>
      <c r="C2536" t="str">
        <f>"71.42"</f>
        <v>71.42</v>
      </c>
    </row>
    <row r="2537" spans="1:3" x14ac:dyDescent="0.25">
      <c r="A2537" t="str">
        <f>"09/12/2019"</f>
        <v>09/12/2019</v>
      </c>
      <c r="B2537" t="str">
        <f>"71.05"</f>
        <v>71.05</v>
      </c>
      <c r="C2537" t="str">
        <f>"71.2725"</f>
        <v>71.2725</v>
      </c>
    </row>
    <row r="2538" spans="1:3" x14ac:dyDescent="0.25">
      <c r="A2538" t="str">
        <f>"10/12/2019"</f>
        <v>10/12/2019</v>
      </c>
      <c r="B2538" t="str">
        <f>"70.93"</f>
        <v>70.93</v>
      </c>
      <c r="C2538" t="str">
        <f>"71.155"</f>
        <v>71.155</v>
      </c>
    </row>
    <row r="2539" spans="1:3" x14ac:dyDescent="0.25">
      <c r="A2539" t="str">
        <f>"11/12/2019"</f>
        <v>11/12/2019</v>
      </c>
      <c r="B2539" t="str">
        <f>"70.845"</f>
        <v>70.845</v>
      </c>
      <c r="C2539" t="str">
        <f>"71.0625"</f>
        <v>71.0625</v>
      </c>
    </row>
    <row r="2540" spans="1:3" x14ac:dyDescent="0.25">
      <c r="A2540" t="str">
        <f>"12/12/2019"</f>
        <v>12/12/2019</v>
      </c>
      <c r="B2540" t="str">
        <f>"70.84"</f>
        <v>70.84</v>
      </c>
      <c r="C2540" t="str">
        <f>"71.06"</f>
        <v>71.06</v>
      </c>
    </row>
    <row r="2541" spans="1:3" x14ac:dyDescent="0.25">
      <c r="A2541" t="str">
        <f>"13/12/2019"</f>
        <v>13/12/2019</v>
      </c>
      <c r="B2541" t="str">
        <f>"70.62"</f>
        <v>70.62</v>
      </c>
      <c r="C2541" t="str">
        <f>"70.8425"</f>
        <v>70.8425</v>
      </c>
    </row>
    <row r="2542" spans="1:3" x14ac:dyDescent="0.25">
      <c r="A2542" t="str">
        <f>"16/12/2019"</f>
        <v>16/12/2019</v>
      </c>
      <c r="B2542" t="str">
        <f>"71.01"</f>
        <v>71.01</v>
      </c>
      <c r="C2542" t="str">
        <f>"71.25"</f>
        <v>71.25</v>
      </c>
    </row>
    <row r="2543" spans="1:3" x14ac:dyDescent="0.25">
      <c r="A2543" t="str">
        <f>"17/12/2019"</f>
        <v>17/12/2019</v>
      </c>
      <c r="B2543" t="str">
        <f>"70.9725"</f>
        <v>70.9725</v>
      </c>
      <c r="C2543" t="str">
        <f>"71.205"</f>
        <v>71.205</v>
      </c>
    </row>
    <row r="2544" spans="1:3" x14ac:dyDescent="0.25">
      <c r="A2544" t="str">
        <f>"18/12/2019"</f>
        <v>18/12/2019</v>
      </c>
      <c r="B2544" t="str">
        <f>"70.975"</f>
        <v>70.975</v>
      </c>
      <c r="C2544" t="str">
        <f>"71.215"</f>
        <v>71.215</v>
      </c>
    </row>
    <row r="2545" spans="1:3" x14ac:dyDescent="0.25">
      <c r="A2545" t="str">
        <f>"19/12/2019"</f>
        <v>19/12/2019</v>
      </c>
      <c r="B2545" t="str">
        <f>"71.04"</f>
        <v>71.04</v>
      </c>
      <c r="C2545" t="str">
        <f>"71.285"</f>
        <v>71.285</v>
      </c>
    </row>
    <row r="2546" spans="1:3" x14ac:dyDescent="0.25">
      <c r="A2546" t="str">
        <f>"20/12/2019"</f>
        <v>20/12/2019</v>
      </c>
      <c r="B2546" t="str">
        <f>"71.06"</f>
        <v>71.06</v>
      </c>
      <c r="C2546" t="str">
        <f>"71.2975"</f>
        <v>71.2975</v>
      </c>
    </row>
    <row r="2547" spans="1:3" x14ac:dyDescent="0.25">
      <c r="A2547" t="str">
        <f>"23/12/2019"</f>
        <v>23/12/2019</v>
      </c>
      <c r="B2547" t="str">
        <f>"71.19"</f>
        <v>71.19</v>
      </c>
      <c r="C2547" t="str">
        <f>"71.44"</f>
        <v>71.44</v>
      </c>
    </row>
    <row r="2548" spans="1:3" x14ac:dyDescent="0.25">
      <c r="A2548" t="str">
        <f>"24/12/2019"</f>
        <v>24/12/2019</v>
      </c>
      <c r="B2548" t="str">
        <f>"71.275"</f>
        <v>71.275</v>
      </c>
      <c r="C2548" t="str">
        <f>"71.5325"</f>
        <v>71.5325</v>
      </c>
    </row>
    <row r="2549" spans="1:3" x14ac:dyDescent="0.25">
      <c r="A2549" t="str">
        <f>"26/12/2019"</f>
        <v>26/12/2019</v>
      </c>
      <c r="B2549" t="str">
        <f>"71.3175"</f>
        <v>71.3175</v>
      </c>
      <c r="C2549" t="str">
        <f>"71.57"</f>
        <v>71.57</v>
      </c>
    </row>
    <row r="2550" spans="1:3" x14ac:dyDescent="0.25">
      <c r="A2550" t="str">
        <f>"27/12/2019"</f>
        <v>27/12/2019</v>
      </c>
      <c r="B2550" t="str">
        <f>"71.3575"</f>
        <v>71.3575</v>
      </c>
      <c r="C2550" t="str">
        <f>"71.5975"</f>
        <v>71.5975</v>
      </c>
    </row>
    <row r="2551" spans="1:3" x14ac:dyDescent="0.25">
      <c r="A2551" t="str">
        <f>"30/12/2019"</f>
        <v>30/12/2019</v>
      </c>
      <c r="B2551" t="str">
        <f>"71.32"</f>
        <v>71.32</v>
      </c>
      <c r="C2551" t="str">
        <f>"71.56"</f>
        <v>71.56</v>
      </c>
    </row>
    <row r="2552" spans="1:3" x14ac:dyDescent="0.25">
      <c r="A2552" t="str">
        <f>"31/12/2019"</f>
        <v>31/12/2019</v>
      </c>
      <c r="B2552" t="str">
        <f>"71.385"</f>
        <v>71.385</v>
      </c>
      <c r="C2552" t="str">
        <f>"71.6175"</f>
        <v>71.6175</v>
      </c>
    </row>
    <row r="2553" spans="1:3" x14ac:dyDescent="0.25">
      <c r="A2553" t="str">
        <f>"02/01/2020"</f>
        <v>02/01/2020</v>
      </c>
      <c r="B2553" t="str">
        <f>"71.3825"</f>
        <v>71.3825</v>
      </c>
      <c r="C2553" t="str">
        <f>"71.6125"</f>
        <v>71.6125</v>
      </c>
    </row>
    <row r="2554" spans="1:3" x14ac:dyDescent="0.25">
      <c r="A2554" t="str">
        <f>"03/01/2020"</f>
        <v>03/01/2020</v>
      </c>
      <c r="B2554" t="str">
        <f>"71.805"</f>
        <v>71.805</v>
      </c>
      <c r="C2554" t="str">
        <f>"72.035"</f>
        <v>72.035</v>
      </c>
    </row>
    <row r="2555" spans="1:3" x14ac:dyDescent="0.25">
      <c r="A2555" t="str">
        <f>"06/01/2020"</f>
        <v>06/01/2020</v>
      </c>
      <c r="B2555" t="str">
        <f>"72.0375"</f>
        <v>72.0375</v>
      </c>
      <c r="C2555" t="str">
        <f>"72.285"</f>
        <v>72.285</v>
      </c>
    </row>
    <row r="2556" spans="1:3" x14ac:dyDescent="0.25">
      <c r="A2556" t="str">
        <f>"07/01/2020"</f>
        <v>07/01/2020</v>
      </c>
      <c r="B2556" t="str">
        <f>"71.835"</f>
        <v>71.835</v>
      </c>
      <c r="C2556" t="str">
        <f>"72.07"</f>
        <v>72.07</v>
      </c>
    </row>
    <row r="2557" spans="1:3" x14ac:dyDescent="0.25">
      <c r="A2557" t="str">
        <f>"08/01/2020"</f>
        <v>08/01/2020</v>
      </c>
      <c r="B2557" t="str">
        <f>"71.7125"</f>
        <v>71.7125</v>
      </c>
      <c r="C2557" t="str">
        <f>"71.94"</f>
        <v>71.94</v>
      </c>
    </row>
    <row r="2558" spans="1:3" x14ac:dyDescent="0.25">
      <c r="A2558" t="str">
        <f>"09/01/2020"</f>
        <v>09/01/2020</v>
      </c>
      <c r="B2558" t="str">
        <f>"71.22"</f>
        <v>71.22</v>
      </c>
      <c r="C2558" t="str">
        <f>"71.445"</f>
        <v>71.445</v>
      </c>
    </row>
    <row r="2559" spans="1:3" x14ac:dyDescent="0.25">
      <c r="A2559" t="str">
        <f>"10/01/2020"</f>
        <v>10/01/2020</v>
      </c>
      <c r="B2559" t="str">
        <f>"70.95"</f>
        <v>70.95</v>
      </c>
      <c r="C2559" t="str">
        <f>"71.1775"</f>
        <v>71.1775</v>
      </c>
    </row>
    <row r="2560" spans="1:3" x14ac:dyDescent="0.25">
      <c r="A2560" t="str">
        <f>"13/01/2020"</f>
        <v>13/01/2020</v>
      </c>
      <c r="B2560" t="str">
        <f>"70.8525"</f>
        <v>70.8525</v>
      </c>
      <c r="C2560" t="str">
        <f>"71.10"</f>
        <v>71.10</v>
      </c>
    </row>
    <row r="2561" spans="1:3" x14ac:dyDescent="0.25">
      <c r="A2561" t="str">
        <f>"14/01/2020"</f>
        <v>14/01/2020</v>
      </c>
      <c r="B2561" t="str">
        <f>"70.865"</f>
        <v>70.865</v>
      </c>
      <c r="C2561" t="str">
        <f>"71.1075"</f>
        <v>71.1075</v>
      </c>
    </row>
    <row r="2562" spans="1:3" x14ac:dyDescent="0.25">
      <c r="A2562" t="str">
        <f>"15/01/2020"</f>
        <v>15/01/2020</v>
      </c>
      <c r="B2562" t="str">
        <f>"70.935"</f>
        <v>70.935</v>
      </c>
      <c r="C2562" t="str">
        <f>"71.17"</f>
        <v>71.17</v>
      </c>
    </row>
    <row r="2563" spans="1:3" x14ac:dyDescent="0.25">
      <c r="A2563" t="str">
        <f>"16/01/2020"</f>
        <v>16/01/2020</v>
      </c>
      <c r="B2563" t="str">
        <f>"70.94"</f>
        <v>70.94</v>
      </c>
      <c r="C2563" t="str">
        <f>"71.19"</f>
        <v>71.19</v>
      </c>
    </row>
    <row r="2564" spans="1:3" x14ac:dyDescent="0.25">
      <c r="A2564" t="str">
        <f>"17/01/2020"</f>
        <v>17/01/2020</v>
      </c>
      <c r="B2564" t="str">
        <f>"71.0875"</f>
        <v>71.0875</v>
      </c>
      <c r="C2564" t="str">
        <f>"71.335"</f>
        <v>71.335</v>
      </c>
    </row>
    <row r="2565" spans="1:3" x14ac:dyDescent="0.25">
      <c r="A2565" t="str">
        <f>"20/01/2020"</f>
        <v>20/01/2020</v>
      </c>
      <c r="B2565" t="str">
        <f>"71.115"</f>
        <v>71.115</v>
      </c>
      <c r="C2565" t="str">
        <f>"71.3525"</f>
        <v>71.3525</v>
      </c>
    </row>
    <row r="2566" spans="1:3" x14ac:dyDescent="0.25">
      <c r="A2566" t="str">
        <f>"21/01/2020"</f>
        <v>21/01/2020</v>
      </c>
      <c r="B2566" t="str">
        <f>"71.2125"</f>
        <v>71.2125</v>
      </c>
      <c r="C2566" t="str">
        <f>"71.4425"</f>
        <v>71.4425</v>
      </c>
    </row>
    <row r="2567" spans="1:3" x14ac:dyDescent="0.25">
      <c r="A2567" t="str">
        <f>"22/01/2020"</f>
        <v>22/01/2020</v>
      </c>
      <c r="B2567" t="str">
        <f>"71.1975"</f>
        <v>71.1975</v>
      </c>
      <c r="C2567" t="str">
        <f>"71.4225"</f>
        <v>71.4225</v>
      </c>
    </row>
    <row r="2568" spans="1:3" x14ac:dyDescent="0.25">
      <c r="A2568" t="str">
        <f>"23/01/2020"</f>
        <v>23/01/2020</v>
      </c>
      <c r="B2568" t="str">
        <f>"71.28"</f>
        <v>71.28</v>
      </c>
      <c r="C2568" t="str">
        <f>"71.5075"</f>
        <v>71.5075</v>
      </c>
    </row>
    <row r="2569" spans="1:3" x14ac:dyDescent="0.25">
      <c r="A2569" t="str">
        <f>"24/01/2020"</f>
        <v>24/01/2020</v>
      </c>
      <c r="B2569" t="str">
        <f>"71.3375"</f>
        <v>71.3375</v>
      </c>
      <c r="C2569" t="str">
        <f>"71.5675"</f>
        <v>71.5675</v>
      </c>
    </row>
    <row r="2570" spans="1:3" x14ac:dyDescent="0.25">
      <c r="A2570" t="str">
        <f>"27/01/2020"</f>
        <v>27/01/2020</v>
      </c>
      <c r="B2570" t="str">
        <f>"71.445"</f>
        <v>71.445</v>
      </c>
      <c r="C2570" t="str">
        <f>"71.6675"</f>
        <v>71.6675</v>
      </c>
    </row>
    <row r="2571" spans="1:3" x14ac:dyDescent="0.25">
      <c r="A2571" t="str">
        <f>"28/01/2020"</f>
        <v>28/01/2020</v>
      </c>
      <c r="B2571" t="str">
        <f>"71.3475"</f>
        <v>71.3475</v>
      </c>
      <c r="C2571" t="str">
        <f>"71.565"</f>
        <v>71.565</v>
      </c>
    </row>
    <row r="2572" spans="1:3" x14ac:dyDescent="0.25">
      <c r="A2572" t="str">
        <f>"29/01/2020"</f>
        <v>29/01/2020</v>
      </c>
      <c r="B2572" t="str">
        <f>"71.2575"</f>
        <v>71.2575</v>
      </c>
      <c r="C2572" t="str">
        <f>"71.4725"</f>
        <v>71.4725</v>
      </c>
    </row>
    <row r="2573" spans="1:3" x14ac:dyDescent="0.25">
      <c r="A2573" t="str">
        <f>"30/01/2020"</f>
        <v>30/01/2020</v>
      </c>
      <c r="B2573" t="str">
        <f>"71.495"</f>
        <v>71.495</v>
      </c>
      <c r="C2573" t="str">
        <f>"71.72"</f>
        <v>71.72</v>
      </c>
    </row>
    <row r="2574" spans="1:3" x14ac:dyDescent="0.25">
      <c r="A2574" t="str">
        <f>"31/01/2020"</f>
        <v>31/01/2020</v>
      </c>
      <c r="B2574" t="str">
        <f>"71.435"</f>
        <v>71.435</v>
      </c>
      <c r="C2574" t="str">
        <f>"71.655"</f>
        <v>71.655</v>
      </c>
    </row>
    <row r="2575" spans="1:3" x14ac:dyDescent="0.25">
      <c r="A2575" t="str">
        <f>"03/02/2020"</f>
        <v>03/02/2020</v>
      </c>
      <c r="B2575" t="str">
        <f>"71.3675"</f>
        <v>71.3675</v>
      </c>
      <c r="C2575" t="str">
        <f>"71.58"</f>
        <v>71.58</v>
      </c>
    </row>
    <row r="2576" spans="1:3" x14ac:dyDescent="0.25">
      <c r="A2576" t="str">
        <f>"04/02/2020"</f>
        <v>04/02/2020</v>
      </c>
      <c r="B2576" t="str">
        <f>"71.28"</f>
        <v>71.28</v>
      </c>
      <c r="C2576" t="str">
        <f>"71.495"</f>
        <v>71.495</v>
      </c>
    </row>
    <row r="2577" spans="1:3" x14ac:dyDescent="0.25">
      <c r="A2577" t="str">
        <f>"05/02/2020"</f>
        <v>05/02/2020</v>
      </c>
      <c r="B2577" t="str">
        <f>"71.22"</f>
        <v>71.22</v>
      </c>
      <c r="C2577" t="str">
        <f>"71.445"</f>
        <v>71.445</v>
      </c>
    </row>
    <row r="2578" spans="1:3" x14ac:dyDescent="0.25">
      <c r="A2578" t="str">
        <f>"06/02/2020"</f>
        <v>06/02/2020</v>
      </c>
      <c r="B2578" t="str">
        <f>"71.20"</f>
        <v>71.20</v>
      </c>
      <c r="C2578" t="str">
        <f>"71.4125"</f>
        <v>71.4125</v>
      </c>
    </row>
    <row r="2579" spans="1:3" x14ac:dyDescent="0.25">
      <c r="A2579" t="str">
        <f>"07/02/2020"</f>
        <v>07/02/2020</v>
      </c>
      <c r="B2579" t="str">
        <f>"71.42"</f>
        <v>71.42</v>
      </c>
      <c r="C2579" t="str">
        <f>"71.62"</f>
        <v>71.62</v>
      </c>
    </row>
    <row r="2580" spans="1:3" x14ac:dyDescent="0.25">
      <c r="A2580" t="str">
        <f>"10/02/2020"</f>
        <v>10/02/2020</v>
      </c>
      <c r="B2580" t="str">
        <f>"71.295"</f>
        <v>71.295</v>
      </c>
      <c r="C2580" t="str">
        <f>"71.4975"</f>
        <v>71.4975</v>
      </c>
    </row>
    <row r="2581" spans="1:3" x14ac:dyDescent="0.25">
      <c r="A2581" t="str">
        <f>"11/02/2020"</f>
        <v>11/02/2020</v>
      </c>
      <c r="B2581" t="str">
        <f>"71.29"</f>
        <v>71.29</v>
      </c>
      <c r="C2581" t="str">
        <f>"71.49"</f>
        <v>71.49</v>
      </c>
    </row>
    <row r="2582" spans="1:3" x14ac:dyDescent="0.25">
      <c r="A2582" t="str">
        <f>"12/02/2020"</f>
        <v>12/02/2020</v>
      </c>
      <c r="B2582" t="str">
        <f>"71.3725"</f>
        <v>71.3725</v>
      </c>
      <c r="C2582" t="str">
        <f>"71.5875"</f>
        <v>71.5875</v>
      </c>
    </row>
    <row r="2583" spans="1:3" x14ac:dyDescent="0.25">
      <c r="A2583" t="str">
        <f>"13/02/2020"</f>
        <v>13/02/2020</v>
      </c>
      <c r="B2583" t="str">
        <f>"71.335"</f>
        <v>71.335</v>
      </c>
      <c r="C2583" t="str">
        <f>"71.5325"</f>
        <v>71.5325</v>
      </c>
    </row>
    <row r="2584" spans="1:3" x14ac:dyDescent="0.25">
      <c r="A2584" t="str">
        <f>"14/02/2020"</f>
        <v>14/02/2020</v>
      </c>
      <c r="B2584" t="str">
        <f>"71.3725"</f>
        <v>71.3725</v>
      </c>
      <c r="C2584" t="str">
        <f>"71.58"</f>
        <v>71.58</v>
      </c>
    </row>
    <row r="2585" spans="1:3" x14ac:dyDescent="0.25">
      <c r="A2585" t="str">
        <f>"17/02/2020"</f>
        <v>17/02/2020</v>
      </c>
      <c r="B2585" t="str">
        <f>"71.2975"</f>
        <v>71.2975</v>
      </c>
      <c r="C2585" t="str">
        <f>"71.4925"</f>
        <v>71.4925</v>
      </c>
    </row>
    <row r="2586" spans="1:3" x14ac:dyDescent="0.25">
      <c r="A2586" t="str">
        <f>"18/02/2020"</f>
        <v>18/02/2020</v>
      </c>
      <c r="B2586" t="str">
        <f>"71.57"</f>
        <v>71.57</v>
      </c>
      <c r="C2586" t="str">
        <f>"71.7675"</f>
        <v>71.7675</v>
      </c>
    </row>
    <row r="2587" spans="1:3" x14ac:dyDescent="0.25">
      <c r="A2587" t="str">
        <f>"20/02/2020"</f>
        <v>20/02/2020</v>
      </c>
      <c r="B2587" t="str">
        <f>"71.65"</f>
        <v>71.65</v>
      </c>
      <c r="C2587" t="str">
        <f>"71.8625"</f>
        <v>71.8625</v>
      </c>
    </row>
    <row r="2588" spans="1:3" x14ac:dyDescent="0.25">
      <c r="A2588" t="str">
        <f>"24/02/2020"</f>
        <v>24/02/2020</v>
      </c>
      <c r="B2588" t="str">
        <f>"72.005"</f>
        <v>72.005</v>
      </c>
      <c r="C2588" t="str">
        <f>"72.2125"</f>
        <v>72.2125</v>
      </c>
    </row>
    <row r="2589" spans="1:3" x14ac:dyDescent="0.25">
      <c r="A2589" t="str">
        <f>"25/02/2020"</f>
        <v>25/02/2020</v>
      </c>
      <c r="B2589" t="str">
        <f>"71.895"</f>
        <v>71.895</v>
      </c>
      <c r="C2589" t="str">
        <f>"72.105"</f>
        <v>72.105</v>
      </c>
    </row>
    <row r="2590" spans="1:3" x14ac:dyDescent="0.25">
      <c r="A2590" t="str">
        <f>"26/02/2020"</f>
        <v>26/02/2020</v>
      </c>
      <c r="B2590" t="str">
        <f>"71.6675"</f>
        <v>71.6675</v>
      </c>
      <c r="C2590" t="str">
        <f>"71.8975"</f>
        <v>71.8975</v>
      </c>
    </row>
    <row r="2591" spans="1:3" x14ac:dyDescent="0.25">
      <c r="A2591" t="str">
        <f>"27/02/2020"</f>
        <v>27/02/2020</v>
      </c>
      <c r="B2591" t="str">
        <f>"71.57"</f>
        <v>71.57</v>
      </c>
      <c r="C2591" t="str">
        <f>"71.805"</f>
        <v>71.805</v>
      </c>
    </row>
    <row r="2592" spans="1:3" x14ac:dyDescent="0.25">
      <c r="A2592" t="str">
        <f>"28/02/2020"</f>
        <v>28/02/2020</v>
      </c>
      <c r="B2592" t="str">
        <f>"72.1825"</f>
        <v>72.1825</v>
      </c>
      <c r="C2592" t="str">
        <f>"72.4225"</f>
        <v>72.4225</v>
      </c>
    </row>
    <row r="2593" spans="1:3" x14ac:dyDescent="0.25">
      <c r="A2593" t="str">
        <f>"02/03/2020"</f>
        <v>02/03/2020</v>
      </c>
      <c r="B2593" t="str">
        <f>"72.745"</f>
        <v>72.745</v>
      </c>
      <c r="C2593" t="str">
        <f>"73.03"</f>
        <v>73.03</v>
      </c>
    </row>
    <row r="2594" spans="1:3" x14ac:dyDescent="0.25">
      <c r="A2594" t="str">
        <f>"03/03/2020"</f>
        <v>03/03/2020</v>
      </c>
      <c r="B2594" t="str">
        <f>"73.325"</f>
        <v>73.325</v>
      </c>
      <c r="C2594" t="str">
        <f>"73.6025"</f>
        <v>73.6025</v>
      </c>
    </row>
    <row r="2595" spans="1:3" x14ac:dyDescent="0.25">
      <c r="A2595" t="str">
        <f>"04/03/2020"</f>
        <v>04/03/2020</v>
      </c>
      <c r="B2595" t="str">
        <f>"73.2325"</f>
        <v>73.2325</v>
      </c>
      <c r="C2595" t="str">
        <f>"73.515"</f>
        <v>73.515</v>
      </c>
    </row>
    <row r="2596" spans="1:3" x14ac:dyDescent="0.25">
      <c r="A2596" t="str">
        <f>"05/03/2020"</f>
        <v>05/03/2020</v>
      </c>
      <c r="B2596" t="str">
        <f>"73.325"</f>
        <v>73.325</v>
      </c>
      <c r="C2596" t="str">
        <f>"73.5925"</f>
        <v>73.5925</v>
      </c>
    </row>
    <row r="2597" spans="1:3" x14ac:dyDescent="0.25">
      <c r="A2597" t="str">
        <f>"06/03/2020"</f>
        <v>06/03/2020</v>
      </c>
      <c r="B2597" t="str">
        <f>"73.80"</f>
        <v>73.80</v>
      </c>
      <c r="C2597" t="str">
        <f>"74.12"</f>
        <v>74.12</v>
      </c>
    </row>
    <row r="2598" spans="1:3" x14ac:dyDescent="0.25">
      <c r="A2598" t="str">
        <f>"09/03/2020"</f>
        <v>09/03/2020</v>
      </c>
      <c r="B2598" t="str">
        <f>"73.9925"</f>
        <v>73.9925</v>
      </c>
      <c r="C2598" t="str">
        <f>"74.3175"</f>
        <v>74.3175</v>
      </c>
    </row>
    <row r="2599" spans="1:3" x14ac:dyDescent="0.25">
      <c r="A2599" t="str">
        <f>"11/03/2020"</f>
        <v>11/03/2020</v>
      </c>
      <c r="B2599" t="str">
        <f>"73.6475"</f>
        <v>73.6475</v>
      </c>
      <c r="C2599" t="str">
        <f>"73.94"</f>
        <v>73.94</v>
      </c>
    </row>
    <row r="2600" spans="1:3" x14ac:dyDescent="0.25">
      <c r="A2600" t="str">
        <f>"12/03/2020"</f>
        <v>12/03/2020</v>
      </c>
      <c r="B2600" t="str">
        <f>"74.2225"</f>
        <v>74.2225</v>
      </c>
      <c r="C2600" t="str">
        <f>"74.515"</f>
        <v>74.515</v>
      </c>
    </row>
    <row r="2601" spans="1:3" x14ac:dyDescent="0.25">
      <c r="A2601" t="str">
        <f>"13/03/2020"</f>
        <v>13/03/2020</v>
      </c>
      <c r="B2601" t="str">
        <f>"73.9175"</f>
        <v>73.9175</v>
      </c>
      <c r="C2601" t="str">
        <f>"74.2225"</f>
        <v>74.2225</v>
      </c>
    </row>
    <row r="2602" spans="1:3" x14ac:dyDescent="0.25">
      <c r="A2602" t="str">
        <f>"16/03/2020"</f>
        <v>16/03/2020</v>
      </c>
      <c r="B2602" t="str">
        <f>"74.2775"</f>
        <v>74.2775</v>
      </c>
      <c r="C2602" t="str">
        <f>"74.645"</f>
        <v>74.645</v>
      </c>
    </row>
    <row r="2603" spans="1:3" x14ac:dyDescent="0.25">
      <c r="A2603" t="str">
        <f>"17/03/2020"</f>
        <v>17/03/2020</v>
      </c>
      <c r="B2603" t="str">
        <f>"74.00"</f>
        <v>74.00</v>
      </c>
      <c r="C2603" t="str">
        <f>"74.3675"</f>
        <v>74.3675</v>
      </c>
    </row>
    <row r="2604" spans="1:3" x14ac:dyDescent="0.25">
      <c r="A2604" t="str">
        <f>"18/03/2020"</f>
        <v>18/03/2020</v>
      </c>
      <c r="B2604" t="str">
        <f>"74.2525"</f>
        <v>74.2525</v>
      </c>
      <c r="C2604" t="str">
        <f>"74.5925"</f>
        <v>74.5925</v>
      </c>
    </row>
    <row r="2605" spans="1:3" x14ac:dyDescent="0.25">
      <c r="A2605" t="str">
        <f>"19/03/2020"</f>
        <v>19/03/2020</v>
      </c>
      <c r="B2605" t="str">
        <f>"75.07"</f>
        <v>75.07</v>
      </c>
      <c r="C2605" t="str">
        <f>"75.43"</f>
        <v>75.43</v>
      </c>
    </row>
    <row r="2606" spans="1:3" x14ac:dyDescent="0.25">
      <c r="A2606" t="str">
        <f>"20/03/2020"</f>
        <v>20/03/2020</v>
      </c>
      <c r="B2606" t="str">
        <f>"75.04"</f>
        <v>75.04</v>
      </c>
      <c r="C2606" t="str">
        <f>"75.40"</f>
        <v>75.40</v>
      </c>
    </row>
    <row r="2607" spans="1:3" x14ac:dyDescent="0.25">
      <c r="A2607" t="str">
        <f>"23/03/2020"</f>
        <v>23/03/2020</v>
      </c>
      <c r="B2607" t="str">
        <f>"76.36"</f>
        <v>76.36</v>
      </c>
      <c r="C2607" t="str">
        <f>"76.955"</f>
        <v>76.955</v>
      </c>
    </row>
    <row r="2608" spans="1:3" x14ac:dyDescent="0.25">
      <c r="A2608" t="str">
        <f>"24/03/2020"</f>
        <v>24/03/2020</v>
      </c>
      <c r="B2608" t="str">
        <f>"76.19"</f>
        <v>76.19</v>
      </c>
      <c r="C2608" t="str">
        <f>"76.7875"</f>
        <v>76.7875</v>
      </c>
    </row>
    <row r="2609" spans="1:3" x14ac:dyDescent="0.25">
      <c r="A2609" t="str">
        <f>"26/03/2020"</f>
        <v>26/03/2020</v>
      </c>
      <c r="B2609" t="str">
        <f>"75.165"</f>
        <v>75.165</v>
      </c>
      <c r="C2609" t="str">
        <f>"75.7975"</f>
        <v>75.7975</v>
      </c>
    </row>
    <row r="2610" spans="1:3" x14ac:dyDescent="0.25">
      <c r="A2610" t="str">
        <f>"27/03/2020"</f>
        <v>27/03/2020</v>
      </c>
      <c r="B2610" t="str">
        <f>"74.935"</f>
        <v>74.935</v>
      </c>
      <c r="C2610" t="str">
        <f>"75.5425"</f>
        <v>75.5425</v>
      </c>
    </row>
    <row r="2611" spans="1:3" x14ac:dyDescent="0.25">
      <c r="A2611" t="str">
        <f>"30/03/2020"</f>
        <v>30/03/2020</v>
      </c>
      <c r="B2611" t="str">
        <f>"75.425"</f>
        <v>75.425</v>
      </c>
      <c r="C2611" t="str">
        <f>"75.7925"</f>
        <v>75.7925</v>
      </c>
    </row>
    <row r="2612" spans="1:3" x14ac:dyDescent="0.25">
      <c r="A2612" t="str">
        <f>"31/03/2020"</f>
        <v>31/03/2020</v>
      </c>
      <c r="B2612" t="str">
        <f>"75.685"</f>
        <v>75.685</v>
      </c>
      <c r="C2612" t="str">
        <f>"75.9677"</f>
        <v>75.9677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182BF-B3A1-4D31-883A-B063B50E8233}">
  <dimension ref="A2:C2612"/>
  <sheetViews>
    <sheetView workbookViewId="0">
      <selection activeCell="C2612" sqref="C2612"/>
    </sheetView>
  </sheetViews>
  <sheetFormatPr defaultRowHeight="15" x14ac:dyDescent="0.25"/>
  <cols>
    <col min="1" max="1" width="10.7109375" bestFit="1" customWidth="1"/>
  </cols>
  <sheetData>
    <row r="2" spans="1:3" x14ac:dyDescent="0.25">
      <c r="A2" t="str">
        <f>"29/05/2009"</f>
        <v>29/05/2009</v>
      </c>
      <c r="B2" t="str">
        <f>"96.38"</f>
        <v>96.38</v>
      </c>
      <c r="C2" t="str">
        <f>"96.3475"</f>
        <v>96.3475</v>
      </c>
    </row>
    <row r="3" spans="1:3" x14ac:dyDescent="0.25">
      <c r="A3" t="str">
        <f>"01/06/2009"</f>
        <v>01/06/2009</v>
      </c>
      <c r="B3" t="str">
        <f>"94.96"</f>
        <v>94.96</v>
      </c>
      <c r="C3" t="str">
        <f>"94.9266"</f>
        <v>94.9266</v>
      </c>
    </row>
    <row r="4" spans="1:3" x14ac:dyDescent="0.25">
      <c r="A4" t="str">
        <f>"02/06/2009"</f>
        <v>02/06/2009</v>
      </c>
      <c r="B4" t="str">
        <f>"96.37"</f>
        <v>96.37</v>
      </c>
      <c r="C4" t="str">
        <f>"96.3308"</f>
        <v>96.3308</v>
      </c>
    </row>
    <row r="5" spans="1:3" x14ac:dyDescent="0.25">
      <c r="A5" t="str">
        <f>"03/06/2009"</f>
        <v>03/06/2009</v>
      </c>
      <c r="B5" t="str">
        <f>"95.68"</f>
        <v>95.68</v>
      </c>
      <c r="C5" t="str">
        <f>"95.6466"</f>
        <v>95.6466</v>
      </c>
    </row>
    <row r="6" spans="1:3" x14ac:dyDescent="0.25">
      <c r="A6" t="str">
        <f>"04/06/2009"</f>
        <v>04/06/2009</v>
      </c>
      <c r="B6" t="str">
        <f>"96.12"</f>
        <v>96.12</v>
      </c>
      <c r="C6" t="str">
        <f>"96.0907"</f>
        <v>96.0907</v>
      </c>
    </row>
    <row r="7" spans="1:3" x14ac:dyDescent="0.25">
      <c r="A7" t="str">
        <f>"05/06/2009"</f>
        <v>05/06/2009</v>
      </c>
      <c r="B7" t="str">
        <f>"96.80"</f>
        <v>96.80</v>
      </c>
      <c r="C7" t="str">
        <f>"96.7677"</f>
        <v>96.7677</v>
      </c>
    </row>
    <row r="8" spans="1:3" x14ac:dyDescent="0.25">
      <c r="A8" t="str">
        <f>"08/06/2009"</f>
        <v>08/06/2009</v>
      </c>
      <c r="B8" t="str">
        <f>"98.38"</f>
        <v>98.38</v>
      </c>
      <c r="C8" t="str">
        <f>"98.3452"</f>
        <v>98.3452</v>
      </c>
    </row>
    <row r="9" spans="1:3" x14ac:dyDescent="0.25">
      <c r="A9" t="str">
        <f>"09/06/2009"</f>
        <v>09/06/2009</v>
      </c>
      <c r="B9" t="str">
        <f>"98.24"</f>
        <v>98.24</v>
      </c>
      <c r="C9" t="str">
        <f>"98.205"</f>
        <v>98.205</v>
      </c>
    </row>
    <row r="10" spans="1:3" x14ac:dyDescent="0.25">
      <c r="A10" t="str">
        <f>"10/06/2009"</f>
        <v>10/06/2009</v>
      </c>
      <c r="B10" t="str">
        <f>"97.64"</f>
        <v>97.64</v>
      </c>
      <c r="C10" t="str">
        <f>"97.6078"</f>
        <v>97.6078</v>
      </c>
    </row>
    <row r="11" spans="1:3" x14ac:dyDescent="0.25">
      <c r="A11" t="str">
        <f>"11/06/2009"</f>
        <v>11/06/2009</v>
      </c>
      <c r="B11" t="str">
        <f>"97.89"</f>
        <v>97.89</v>
      </c>
      <c r="C11" t="str">
        <f>"97.8607"</f>
        <v>97.8607</v>
      </c>
    </row>
    <row r="12" spans="1:3" x14ac:dyDescent="0.25">
      <c r="A12" t="str">
        <f>"12/06/2009"</f>
        <v>12/06/2009</v>
      </c>
      <c r="B12" t="str">
        <f>"97.75"</f>
        <v>97.75</v>
      </c>
      <c r="C12" t="str">
        <f>"97.7215"</f>
        <v>97.7215</v>
      </c>
    </row>
    <row r="13" spans="1:3" x14ac:dyDescent="0.25">
      <c r="A13" t="str">
        <f>"15/06/2009"</f>
        <v>15/06/2009</v>
      </c>
      <c r="B13" t="str">
        <f>"98.30"</f>
        <v>98.30</v>
      </c>
      <c r="C13" t="str">
        <f>"98.2718"</f>
        <v>98.2718</v>
      </c>
    </row>
    <row r="14" spans="1:3" x14ac:dyDescent="0.25">
      <c r="A14" t="str">
        <f>"16/06/2009"</f>
        <v>16/06/2009</v>
      </c>
      <c r="B14" t="str">
        <f>"96.65"</f>
        <v>96.65</v>
      </c>
      <c r="C14" t="str">
        <f>"96.62"</f>
        <v>96.62</v>
      </c>
    </row>
    <row r="15" spans="1:3" x14ac:dyDescent="0.25">
      <c r="A15" t="str">
        <f>"17/06/2009"</f>
        <v>17/06/2009</v>
      </c>
      <c r="B15" t="str">
        <f>"96.44"</f>
        <v>96.44</v>
      </c>
      <c r="C15" t="str">
        <f>"96.41"</f>
        <v>96.41</v>
      </c>
    </row>
    <row r="16" spans="1:3" x14ac:dyDescent="0.25">
      <c r="A16" t="str">
        <f>"18/06/2009"</f>
        <v>18/06/2009</v>
      </c>
      <c r="B16" t="str">
        <f>"95.81"</f>
        <v>95.81</v>
      </c>
      <c r="C16" t="str">
        <f>"95.781"</f>
        <v>95.781</v>
      </c>
    </row>
    <row r="17" spans="1:3" x14ac:dyDescent="0.25">
      <c r="A17" t="str">
        <f>"19/06/2009"</f>
        <v>19/06/2009</v>
      </c>
      <c r="B17" t="str">
        <f>"96.66"</f>
        <v>96.66</v>
      </c>
      <c r="C17" t="str">
        <f>"96.6265"</f>
        <v>96.6265</v>
      </c>
    </row>
    <row r="18" spans="1:3" x14ac:dyDescent="0.25">
      <c r="A18" t="str">
        <f>"22/06/2009"</f>
        <v>22/06/2009</v>
      </c>
      <c r="B18" t="str">
        <f>"95.94"</f>
        <v>95.94</v>
      </c>
      <c r="C18" t="str">
        <f>"95.9053"</f>
        <v>95.9053</v>
      </c>
    </row>
    <row r="19" spans="1:3" x14ac:dyDescent="0.25">
      <c r="A19" t="str">
        <f>"23/06/2009"</f>
        <v>23/06/2009</v>
      </c>
      <c r="B19" t="str">
        <f>"95.2695"</f>
        <v>95.2695</v>
      </c>
      <c r="C19" t="str">
        <f>"95.2317"</f>
        <v>95.2317</v>
      </c>
    </row>
    <row r="20" spans="1:3" x14ac:dyDescent="0.25">
      <c r="A20" t="str">
        <f>"24/06/2009"</f>
        <v>24/06/2009</v>
      </c>
      <c r="B20" t="str">
        <f>"95.54"</f>
        <v>95.54</v>
      </c>
      <c r="C20" t="str">
        <f>"95.5032"</f>
        <v>95.5032</v>
      </c>
    </row>
    <row r="21" spans="1:3" x14ac:dyDescent="0.25">
      <c r="A21" t="str">
        <f>"25/06/2009"</f>
        <v>25/06/2009</v>
      </c>
      <c r="B21" t="str">
        <f>"96.09"</f>
        <v>96.09</v>
      </c>
      <c r="C21" t="str">
        <f>"96.0572"</f>
        <v>96.0572</v>
      </c>
    </row>
    <row r="22" spans="1:3" x14ac:dyDescent="0.25">
      <c r="A22" t="str">
        <f>"26/06/2009"</f>
        <v>26/06/2009</v>
      </c>
      <c r="B22" t="str">
        <f>"95.90"</f>
        <v>95.90</v>
      </c>
      <c r="C22" t="str">
        <f>"95.8664"</f>
        <v>95.8664</v>
      </c>
    </row>
    <row r="23" spans="1:3" x14ac:dyDescent="0.25">
      <c r="A23" t="str">
        <f>"29/06/2009"</f>
        <v>29/06/2009</v>
      </c>
      <c r="B23" t="str">
        <f>"95.523"</f>
        <v>95.523</v>
      </c>
      <c r="C23" t="str">
        <f>"95.4865"</f>
        <v>95.4865</v>
      </c>
    </row>
    <row r="24" spans="1:3" x14ac:dyDescent="0.25">
      <c r="A24" t="str">
        <f>"30/06/2009"</f>
        <v>30/06/2009</v>
      </c>
      <c r="B24" t="str">
        <f>"95.92"</f>
        <v>95.92</v>
      </c>
      <c r="C24" t="str">
        <f>"95.8848"</f>
        <v>95.8848</v>
      </c>
    </row>
    <row r="25" spans="1:3" x14ac:dyDescent="0.25">
      <c r="A25" t="str">
        <f>"01/07/2009"</f>
        <v>01/07/2009</v>
      </c>
      <c r="B25" t="str">
        <f>"96.82"</f>
        <v>96.82</v>
      </c>
      <c r="C25" t="str">
        <f>"96.7875"</f>
        <v>96.7875</v>
      </c>
    </row>
    <row r="26" spans="1:3" x14ac:dyDescent="0.25">
      <c r="A26" t="str">
        <f>"03/07/2009"</f>
        <v>03/07/2009</v>
      </c>
      <c r="B26" t="str">
        <f>"96.001"</f>
        <v>96.001</v>
      </c>
      <c r="C26" t="str">
        <f>"95.9712"</f>
        <v>95.9712</v>
      </c>
    </row>
    <row r="27" spans="1:3" x14ac:dyDescent="0.25">
      <c r="A27" t="str">
        <f>"06/07/2009"</f>
        <v>06/07/2009</v>
      </c>
      <c r="B27" t="str">
        <f>"95.42"</f>
        <v>95.42</v>
      </c>
      <c r="C27" t="str">
        <f>"95.3904"</f>
        <v>95.3904</v>
      </c>
    </row>
    <row r="28" spans="1:3" x14ac:dyDescent="0.25">
      <c r="A28" t="str">
        <f>"07/07/2009"</f>
        <v>07/07/2009</v>
      </c>
      <c r="B28" t="str">
        <f>"95.38"</f>
        <v>95.38</v>
      </c>
      <c r="C28" t="str">
        <f>"95.3497"</f>
        <v>95.3497</v>
      </c>
    </row>
    <row r="29" spans="1:3" x14ac:dyDescent="0.25">
      <c r="A29" t="str">
        <f>"08/07/2009"</f>
        <v>08/07/2009</v>
      </c>
      <c r="B29" t="str">
        <f>"94.557"</f>
        <v>94.557</v>
      </c>
      <c r="C29" t="str">
        <f>"94.5283"</f>
        <v>94.5283</v>
      </c>
    </row>
    <row r="30" spans="1:3" x14ac:dyDescent="0.25">
      <c r="A30" t="str">
        <f>"09/07/2009"</f>
        <v>09/07/2009</v>
      </c>
      <c r="B30" t="str">
        <f>"93.18"</f>
        <v>93.18</v>
      </c>
      <c r="C30" t="str">
        <f>"93.152"</f>
        <v>93.152</v>
      </c>
    </row>
    <row r="31" spans="1:3" x14ac:dyDescent="0.25">
      <c r="A31" t="str">
        <f>"10/07/2009"</f>
        <v>10/07/2009</v>
      </c>
      <c r="B31" t="str">
        <f>"92.86"</f>
        <v>92.86</v>
      </c>
      <c r="C31" t="str">
        <f>"92.831"</f>
        <v>92.831</v>
      </c>
    </row>
    <row r="32" spans="1:3" x14ac:dyDescent="0.25">
      <c r="A32" t="str">
        <f>"13/07/2009"</f>
        <v>13/07/2009</v>
      </c>
      <c r="B32" t="str">
        <f>"92.51"</f>
        <v>92.51</v>
      </c>
      <c r="C32" t="str">
        <f>"92.4806"</f>
        <v>92.4806</v>
      </c>
    </row>
    <row r="33" spans="1:3" x14ac:dyDescent="0.25">
      <c r="A33" t="str">
        <f>"14/07/2009"</f>
        <v>14/07/2009</v>
      </c>
      <c r="B33" t="str">
        <f>"93.0775"</f>
        <v>93.0775</v>
      </c>
      <c r="C33" t="str">
        <f>"93.0471"</f>
        <v>93.0471</v>
      </c>
    </row>
    <row r="34" spans="1:3" x14ac:dyDescent="0.25">
      <c r="A34" t="str">
        <f>"15/07/2009"</f>
        <v>15/07/2009</v>
      </c>
      <c r="B34" t="str">
        <f>"93.581"</f>
        <v>93.581</v>
      </c>
      <c r="C34" t="str">
        <f>"93.55"</f>
        <v>93.55</v>
      </c>
    </row>
    <row r="35" spans="1:3" x14ac:dyDescent="0.25">
      <c r="A35" t="str">
        <f>"16/07/2009"</f>
        <v>16/07/2009</v>
      </c>
      <c r="B35" t="str">
        <f>"94.07"</f>
        <v>94.07</v>
      </c>
      <c r="C35" t="str">
        <f>"94.0405"</f>
        <v>94.0405</v>
      </c>
    </row>
    <row r="36" spans="1:3" x14ac:dyDescent="0.25">
      <c r="A36" t="str">
        <f>"17/07/2009"</f>
        <v>17/07/2009</v>
      </c>
      <c r="B36" t="str">
        <f>"93.67"</f>
        <v>93.67</v>
      </c>
      <c r="C36" t="str">
        <f>"93.6388"</f>
        <v>93.6388</v>
      </c>
    </row>
    <row r="37" spans="1:3" x14ac:dyDescent="0.25">
      <c r="A37" t="str">
        <f>"20/07/2009"</f>
        <v>20/07/2009</v>
      </c>
      <c r="B37" t="str">
        <f>"94.59"</f>
        <v>94.59</v>
      </c>
      <c r="C37" t="str">
        <f>"94.5585"</f>
        <v>94.5585</v>
      </c>
    </row>
    <row r="38" spans="1:3" x14ac:dyDescent="0.25">
      <c r="A38" t="str">
        <f>"21/07/2009"</f>
        <v>21/07/2009</v>
      </c>
      <c r="B38" t="str">
        <f>"93.83"</f>
        <v>93.83</v>
      </c>
      <c r="C38" t="str">
        <f>"93.8016"</f>
        <v>93.8016</v>
      </c>
    </row>
    <row r="39" spans="1:3" x14ac:dyDescent="0.25">
      <c r="A39" t="str">
        <f>"22/07/2009"</f>
        <v>22/07/2009</v>
      </c>
      <c r="B39" t="str">
        <f>"93.56"</f>
        <v>93.56</v>
      </c>
      <c r="C39" t="str">
        <f>"93.5338"</f>
        <v>93.5338</v>
      </c>
    </row>
    <row r="40" spans="1:3" x14ac:dyDescent="0.25">
      <c r="A40" t="str">
        <f>"23/07/2009"</f>
        <v>23/07/2009</v>
      </c>
      <c r="B40" t="str">
        <f>"94.18"</f>
        <v>94.18</v>
      </c>
      <c r="C40" t="str">
        <f>"94.1555"</f>
        <v>94.1555</v>
      </c>
    </row>
    <row r="41" spans="1:3" x14ac:dyDescent="0.25">
      <c r="A41" t="str">
        <f>"24/07/2009"</f>
        <v>24/07/2009</v>
      </c>
      <c r="B41" t="str">
        <f>"94.6075"</f>
        <v>94.6075</v>
      </c>
      <c r="C41" t="str">
        <f>"94.583"</f>
        <v>94.583</v>
      </c>
    </row>
    <row r="42" spans="1:3" x14ac:dyDescent="0.25">
      <c r="A42" t="str">
        <f>"27/07/2009"</f>
        <v>27/07/2009</v>
      </c>
      <c r="B42" t="str">
        <f>"94.834"</f>
        <v>94.834</v>
      </c>
      <c r="C42" t="str">
        <f>"94.8075"</f>
        <v>94.8075</v>
      </c>
    </row>
    <row r="43" spans="1:3" x14ac:dyDescent="0.25">
      <c r="A43" t="str">
        <f>"28/07/2009"</f>
        <v>28/07/2009</v>
      </c>
      <c r="B43" t="str">
        <f>"95.10"</f>
        <v>95.10</v>
      </c>
      <c r="C43" t="str">
        <f>"95.076"</f>
        <v>95.076</v>
      </c>
    </row>
    <row r="44" spans="1:3" x14ac:dyDescent="0.25">
      <c r="A44" t="str">
        <f>"29/07/2009"</f>
        <v>29/07/2009</v>
      </c>
      <c r="B44" t="str">
        <f>"94.302"</f>
        <v>94.302</v>
      </c>
      <c r="C44" t="str">
        <f>"94.2798"</f>
        <v>94.2798</v>
      </c>
    </row>
    <row r="45" spans="1:3" x14ac:dyDescent="0.25">
      <c r="A45" t="str">
        <f>"30/07/2009"</f>
        <v>30/07/2009</v>
      </c>
      <c r="B45" t="str">
        <f>"94.9335"</f>
        <v>94.9335</v>
      </c>
      <c r="C45" t="str">
        <f>"94.9088"</f>
        <v>94.9088</v>
      </c>
    </row>
    <row r="46" spans="1:3" x14ac:dyDescent="0.25">
      <c r="A46" t="str">
        <f>"31/07/2009"</f>
        <v>31/07/2009</v>
      </c>
      <c r="B46" t="str">
        <f>"95.30"</f>
        <v>95.30</v>
      </c>
      <c r="C46" t="str">
        <f>"95.2782"</f>
        <v>95.2782</v>
      </c>
    </row>
    <row r="47" spans="1:3" x14ac:dyDescent="0.25">
      <c r="A47" t="str">
        <f>"03/08/2009"</f>
        <v>03/08/2009</v>
      </c>
      <c r="B47" t="str">
        <f>"94.752"</f>
        <v>94.752</v>
      </c>
      <c r="C47" t="str">
        <f>"94.7267"</f>
        <v>94.7267</v>
      </c>
    </row>
    <row r="48" spans="1:3" x14ac:dyDescent="0.25">
      <c r="A48" t="str">
        <f>"04/08/2009"</f>
        <v>04/08/2009</v>
      </c>
      <c r="B48" t="str">
        <f>"95.32"</f>
        <v>95.32</v>
      </c>
      <c r="C48" t="str">
        <f>"95.2949"</f>
        <v>95.2949</v>
      </c>
    </row>
    <row r="49" spans="1:3" x14ac:dyDescent="0.25">
      <c r="A49" t="str">
        <f>"05/08/2009"</f>
        <v>05/08/2009</v>
      </c>
      <c r="B49" t="str">
        <f>"95.10"</f>
        <v>95.10</v>
      </c>
      <c r="C49" t="str">
        <f>"95.0744"</f>
        <v>95.0744</v>
      </c>
    </row>
    <row r="50" spans="1:3" x14ac:dyDescent="0.25">
      <c r="A50" t="str">
        <f>"06/08/2009"</f>
        <v>06/08/2009</v>
      </c>
      <c r="B50" t="str">
        <f>"95.07"</f>
        <v>95.07</v>
      </c>
      <c r="C50" t="str">
        <f>"95.0453"</f>
        <v>95.0453</v>
      </c>
    </row>
    <row r="51" spans="1:3" x14ac:dyDescent="0.25">
      <c r="A51" t="str">
        <f>"07/08/2009"</f>
        <v>07/08/2009</v>
      </c>
      <c r="B51" t="str">
        <f>"95.301"</f>
        <v>95.301</v>
      </c>
      <c r="C51" t="str">
        <f>"95.2769"</f>
        <v>95.2769</v>
      </c>
    </row>
    <row r="52" spans="1:3" x14ac:dyDescent="0.25">
      <c r="A52" t="str">
        <f>"10/08/2009"</f>
        <v>10/08/2009</v>
      </c>
      <c r="B52" t="str">
        <f>"97.26"</f>
        <v>97.26</v>
      </c>
      <c r="C52" t="str">
        <f>"97.2354"</f>
        <v>97.2354</v>
      </c>
    </row>
    <row r="53" spans="1:3" x14ac:dyDescent="0.25">
      <c r="A53" t="str">
        <f>"11/08/2009"</f>
        <v>11/08/2009</v>
      </c>
      <c r="B53" t="str">
        <f>"96.72"</f>
        <v>96.72</v>
      </c>
      <c r="C53" t="str">
        <f>"96.6945"</f>
        <v>96.6945</v>
      </c>
    </row>
    <row r="54" spans="1:3" x14ac:dyDescent="0.25">
      <c r="A54" t="str">
        <f>"12/08/2009"</f>
        <v>12/08/2009</v>
      </c>
      <c r="B54" t="str">
        <f>"95.58"</f>
        <v>95.58</v>
      </c>
      <c r="C54" t="str">
        <f>"95.5568"</f>
        <v>95.5568</v>
      </c>
    </row>
    <row r="55" spans="1:3" x14ac:dyDescent="0.25">
      <c r="A55" t="str">
        <f>"13/08/2009"</f>
        <v>13/08/2009</v>
      </c>
      <c r="B55" t="str">
        <f>"95.90"</f>
        <v>95.90</v>
      </c>
      <c r="C55" t="str">
        <f>"95.8774"</f>
        <v>95.8774</v>
      </c>
    </row>
    <row r="56" spans="1:3" x14ac:dyDescent="0.25">
      <c r="A56" t="str">
        <f>"14/08/2009"</f>
        <v>14/08/2009</v>
      </c>
      <c r="B56" t="str">
        <f>"95.16"</f>
        <v>95.16</v>
      </c>
      <c r="C56" t="str">
        <f>"95.1391"</f>
        <v>95.1391</v>
      </c>
    </row>
    <row r="57" spans="1:3" x14ac:dyDescent="0.25">
      <c r="A57" t="str">
        <f>"17/08/2009"</f>
        <v>17/08/2009</v>
      </c>
      <c r="B57" t="str">
        <f>"94.58"</f>
        <v>94.58</v>
      </c>
      <c r="C57" t="str">
        <f>"94.5546"</f>
        <v>94.5546</v>
      </c>
    </row>
    <row r="58" spans="1:3" x14ac:dyDescent="0.25">
      <c r="A58" t="str">
        <f>"18/08/2009"</f>
        <v>18/08/2009</v>
      </c>
      <c r="B58" t="str">
        <f>"94.88"</f>
        <v>94.88</v>
      </c>
      <c r="C58" t="str">
        <f>"94.8556"</f>
        <v>94.8556</v>
      </c>
    </row>
    <row r="59" spans="1:3" x14ac:dyDescent="0.25">
      <c r="A59" t="str">
        <f>"20/08/2009"</f>
        <v>20/08/2009</v>
      </c>
      <c r="B59" t="str">
        <f>"94.38"</f>
        <v>94.38</v>
      </c>
      <c r="C59" t="str">
        <f>"94.361"</f>
        <v>94.361</v>
      </c>
    </row>
    <row r="60" spans="1:3" x14ac:dyDescent="0.25">
      <c r="A60" t="str">
        <f>"21/08/2009"</f>
        <v>21/08/2009</v>
      </c>
      <c r="B60" t="str">
        <f>"93.55"</f>
        <v>93.55</v>
      </c>
      <c r="C60" t="str">
        <f>"93.5312"</f>
        <v>93.5312</v>
      </c>
    </row>
    <row r="61" spans="1:3" x14ac:dyDescent="0.25">
      <c r="A61" t="str">
        <f>"24/08/2009"</f>
        <v>24/08/2009</v>
      </c>
      <c r="B61" t="str">
        <f>"94.88"</f>
        <v>94.88</v>
      </c>
      <c r="C61" t="str">
        <f>"94.8598"</f>
        <v>94.8598</v>
      </c>
    </row>
    <row r="62" spans="1:3" x14ac:dyDescent="0.25">
      <c r="A62" t="str">
        <f>"25/08/2009"</f>
        <v>25/08/2009</v>
      </c>
      <c r="B62" t="str">
        <f>"93.98"</f>
        <v>93.98</v>
      </c>
      <c r="C62" t="str">
        <f>"93.9601"</f>
        <v>93.9601</v>
      </c>
    </row>
    <row r="63" spans="1:3" x14ac:dyDescent="0.25">
      <c r="A63" t="str">
        <f>"26/08/2009"</f>
        <v>26/08/2009</v>
      </c>
      <c r="B63" t="str">
        <f>"94.13"</f>
        <v>94.13</v>
      </c>
      <c r="C63" t="str">
        <f>"94.1114"</f>
        <v>94.1114</v>
      </c>
    </row>
    <row r="64" spans="1:3" x14ac:dyDescent="0.25">
      <c r="A64" t="str">
        <f>"27/08/2009"</f>
        <v>27/08/2009</v>
      </c>
      <c r="B64" t="str">
        <f>"93.671"</f>
        <v>93.671</v>
      </c>
      <c r="C64" t="str">
        <f>"93.6541"</f>
        <v>93.6541</v>
      </c>
    </row>
    <row r="65" spans="1:3" x14ac:dyDescent="0.25">
      <c r="A65" t="str">
        <f>"28/08/2009"</f>
        <v>28/08/2009</v>
      </c>
      <c r="B65" t="str">
        <f>"93.70"</f>
        <v>93.70</v>
      </c>
      <c r="C65" t="str">
        <f>"93.6833"</f>
        <v>93.6833</v>
      </c>
    </row>
    <row r="66" spans="1:3" x14ac:dyDescent="0.25">
      <c r="A66" t="str">
        <f>"31/08/2009"</f>
        <v>31/08/2009</v>
      </c>
      <c r="B66" t="str">
        <f>"92.58"</f>
        <v>92.58</v>
      </c>
      <c r="C66" t="str">
        <f>"92.5623"</f>
        <v>92.5623</v>
      </c>
    </row>
    <row r="67" spans="1:3" x14ac:dyDescent="0.25">
      <c r="A67" t="str">
        <f>"01/09/2009"</f>
        <v>01/09/2009</v>
      </c>
      <c r="B67" t="str">
        <f>"93.13"</f>
        <v>93.13</v>
      </c>
      <c r="C67" t="str">
        <f>"93.1105"</f>
        <v>93.1105</v>
      </c>
    </row>
    <row r="68" spans="1:3" x14ac:dyDescent="0.25">
      <c r="A68" t="str">
        <f>"02/09/2009"</f>
        <v>02/09/2009</v>
      </c>
      <c r="B68" t="str">
        <f>"92.86"</f>
        <v>92.86</v>
      </c>
      <c r="C68" t="str">
        <f>"92.84"</f>
        <v>92.84</v>
      </c>
    </row>
    <row r="69" spans="1:3" x14ac:dyDescent="0.25">
      <c r="A69" t="str">
        <f>"03/09/2009"</f>
        <v>03/09/2009</v>
      </c>
      <c r="B69" t="str">
        <f>"92.35"</f>
        <v>92.35</v>
      </c>
      <c r="C69" t="str">
        <f>"92.3285"</f>
        <v>92.3285</v>
      </c>
    </row>
    <row r="70" spans="1:3" x14ac:dyDescent="0.25">
      <c r="A70" t="str">
        <f>"04/09/2009"</f>
        <v>04/09/2009</v>
      </c>
      <c r="B70" t="str">
        <f>"92.58"</f>
        <v>92.58</v>
      </c>
      <c r="C70" t="str">
        <f>"92.5607"</f>
        <v>92.5607</v>
      </c>
    </row>
    <row r="71" spans="1:3" x14ac:dyDescent="0.25">
      <c r="A71" t="str">
        <f>"07/09/2009"</f>
        <v>07/09/2009</v>
      </c>
      <c r="B71" t="str">
        <f>"93.1905"</f>
        <v>93.1905</v>
      </c>
      <c r="C71" t="str">
        <f>"93.1724"</f>
        <v>93.1724</v>
      </c>
    </row>
    <row r="72" spans="1:3" x14ac:dyDescent="0.25">
      <c r="A72" t="str">
        <f>"08/09/2009"</f>
        <v>08/09/2009</v>
      </c>
      <c r="B72" t="str">
        <f>"92.80"</f>
        <v>92.80</v>
      </c>
      <c r="C72" t="str">
        <f>"92.7795"</f>
        <v>92.7795</v>
      </c>
    </row>
    <row r="73" spans="1:3" x14ac:dyDescent="0.25">
      <c r="A73" t="str">
        <f>"09/09/2009"</f>
        <v>09/09/2009</v>
      </c>
      <c r="B73" t="str">
        <f>"92.29"</f>
        <v>92.29</v>
      </c>
      <c r="C73" t="str">
        <f>"92.2762"</f>
        <v>92.2762</v>
      </c>
    </row>
    <row r="74" spans="1:3" x14ac:dyDescent="0.25">
      <c r="A74" t="str">
        <f>"10/09/2009"</f>
        <v>10/09/2009</v>
      </c>
      <c r="B74" t="str">
        <f>"92.09"</f>
        <v>92.09</v>
      </c>
      <c r="C74" t="str">
        <f>"92.0755"</f>
        <v>92.0755</v>
      </c>
    </row>
    <row r="75" spans="1:3" x14ac:dyDescent="0.25">
      <c r="A75" t="str">
        <f>"11/09/2009"</f>
        <v>11/09/2009</v>
      </c>
      <c r="B75" t="str">
        <f>"91.422"</f>
        <v>91.422</v>
      </c>
      <c r="C75" t="str">
        <f>"91.4083"</f>
        <v>91.4083</v>
      </c>
    </row>
    <row r="76" spans="1:3" x14ac:dyDescent="0.25">
      <c r="A76" t="str">
        <f>"14/09/2009"</f>
        <v>14/09/2009</v>
      </c>
      <c r="B76" t="str">
        <f>"90.5005"</f>
        <v>90.5005</v>
      </c>
      <c r="C76" t="str">
        <f>"90.4864"</f>
        <v>90.4864</v>
      </c>
    </row>
    <row r="77" spans="1:3" x14ac:dyDescent="0.25">
      <c r="A77" t="str">
        <f>"15/09/2009"</f>
        <v>15/09/2009</v>
      </c>
      <c r="B77" t="str">
        <f>"91.143"</f>
        <v>91.143</v>
      </c>
      <c r="C77" t="str">
        <f>"91.1257"</f>
        <v>91.1257</v>
      </c>
    </row>
    <row r="78" spans="1:3" x14ac:dyDescent="0.25">
      <c r="A78" t="str">
        <f>"16/09/2009"</f>
        <v>16/09/2009</v>
      </c>
      <c r="B78" t="str">
        <f>"91.011"</f>
        <v>91.011</v>
      </c>
      <c r="C78" t="str">
        <f>"90.9969"</f>
        <v>90.9969</v>
      </c>
    </row>
    <row r="79" spans="1:3" x14ac:dyDescent="0.25">
      <c r="A79" t="str">
        <f>"17/09/2009"</f>
        <v>17/09/2009</v>
      </c>
      <c r="B79" t="str">
        <f>"91.045"</f>
        <v>91.045</v>
      </c>
      <c r="C79" t="str">
        <f>"91.0273"</f>
        <v>91.0273</v>
      </c>
    </row>
    <row r="80" spans="1:3" x14ac:dyDescent="0.25">
      <c r="A80" t="str">
        <f>"18/09/2009"</f>
        <v>18/09/2009</v>
      </c>
      <c r="B80" t="str">
        <f>"91.234"</f>
        <v>91.234</v>
      </c>
      <c r="C80" t="str">
        <f>"91.2165"</f>
        <v>91.2165</v>
      </c>
    </row>
    <row r="81" spans="1:3" x14ac:dyDescent="0.25">
      <c r="A81" t="str">
        <f>"22/09/2009"</f>
        <v>22/09/2009</v>
      </c>
      <c r="B81" t="str">
        <f>"91.6925"</f>
        <v>91.6925</v>
      </c>
      <c r="C81" t="str">
        <f>"91.6735"</f>
        <v>91.6735</v>
      </c>
    </row>
    <row r="82" spans="1:3" x14ac:dyDescent="0.25">
      <c r="A82" t="str">
        <f>"23/09/2009"</f>
        <v>23/09/2009</v>
      </c>
      <c r="B82" t="str">
        <f>"90.72"</f>
        <v>90.72</v>
      </c>
      <c r="C82" t="str">
        <f>"90.7016"</f>
        <v>90.7016</v>
      </c>
    </row>
    <row r="83" spans="1:3" x14ac:dyDescent="0.25">
      <c r="A83" t="str">
        <f>"24/09/2009"</f>
        <v>24/09/2009</v>
      </c>
      <c r="B83" t="str">
        <f>"91.02"</f>
        <v>91.02</v>
      </c>
      <c r="C83" t="str">
        <f>"91.0028"</f>
        <v>91.0028</v>
      </c>
    </row>
    <row r="84" spans="1:3" x14ac:dyDescent="0.25">
      <c r="A84" t="str">
        <f>"25/09/2009"</f>
        <v>25/09/2009</v>
      </c>
      <c r="B84" t="str">
        <f>"90.751"</f>
        <v>90.751</v>
      </c>
      <c r="C84" t="str">
        <f>"90.7336"</f>
        <v>90.7336</v>
      </c>
    </row>
    <row r="85" spans="1:3" x14ac:dyDescent="0.25">
      <c r="A85" t="str">
        <f>"29/09/2009"</f>
        <v>29/09/2009</v>
      </c>
      <c r="B85" t="str">
        <f>"89.9205"</f>
        <v>89.9205</v>
      </c>
      <c r="C85" t="str">
        <f>"89.9026"</f>
        <v>89.9026</v>
      </c>
    </row>
    <row r="86" spans="1:3" x14ac:dyDescent="0.25">
      <c r="A86" t="str">
        <f>"01/10/2009"</f>
        <v>01/10/2009</v>
      </c>
      <c r="B86" t="str">
        <f>"89.93"</f>
        <v>89.93</v>
      </c>
      <c r="C86" t="str">
        <f>"89.9133"</f>
        <v>89.9133</v>
      </c>
    </row>
    <row r="87" spans="1:3" x14ac:dyDescent="0.25">
      <c r="A87" t="str">
        <f>"05/10/2009"</f>
        <v>05/10/2009</v>
      </c>
      <c r="B87" t="str">
        <f>"89.86"</f>
        <v>89.86</v>
      </c>
      <c r="C87" t="str">
        <f>"89.8448"</f>
        <v>89.8448</v>
      </c>
    </row>
    <row r="88" spans="1:3" x14ac:dyDescent="0.25">
      <c r="A88" t="str">
        <f>"06/10/2009"</f>
        <v>06/10/2009</v>
      </c>
      <c r="B88" t="str">
        <f>"89.14"</f>
        <v>89.14</v>
      </c>
      <c r="C88" t="str">
        <f>"89.1234"</f>
        <v>89.1234</v>
      </c>
    </row>
    <row r="89" spans="1:3" x14ac:dyDescent="0.25">
      <c r="A89" t="str">
        <f>"07/10/2009"</f>
        <v>07/10/2009</v>
      </c>
      <c r="B89" t="str">
        <f>"88.921"</f>
        <v>88.921</v>
      </c>
      <c r="C89" t="str">
        <f>"88.9036"</f>
        <v>88.9036</v>
      </c>
    </row>
    <row r="90" spans="1:3" x14ac:dyDescent="0.25">
      <c r="A90" t="str">
        <f>"08/10/2009"</f>
        <v>08/10/2009</v>
      </c>
      <c r="B90" t="str">
        <f>"88.30"</f>
        <v>88.30</v>
      </c>
      <c r="C90" t="str">
        <f>"88.2832"</f>
        <v>88.2832</v>
      </c>
    </row>
    <row r="91" spans="1:3" x14ac:dyDescent="0.25">
      <c r="A91" t="str">
        <f>"09/10/2009"</f>
        <v>09/10/2009</v>
      </c>
      <c r="B91" t="str">
        <f>"89.11"</f>
        <v>89.11</v>
      </c>
      <c r="C91" t="str">
        <f>"89.0906"</f>
        <v>89.0906</v>
      </c>
    </row>
    <row r="92" spans="1:3" x14ac:dyDescent="0.25">
      <c r="A92" t="str">
        <f>"12/10/2009"</f>
        <v>12/10/2009</v>
      </c>
      <c r="B92" t="str">
        <f>"90.13"</f>
        <v>90.13</v>
      </c>
      <c r="C92" t="str">
        <f>"90.1105"</f>
        <v>90.1105</v>
      </c>
    </row>
    <row r="93" spans="1:3" x14ac:dyDescent="0.25">
      <c r="A93" t="str">
        <f>"14/10/2009"</f>
        <v>14/10/2009</v>
      </c>
      <c r="B93" t="str">
        <f>"89.191"</f>
        <v>89.191</v>
      </c>
      <c r="C93" t="str">
        <f>"89.1732"</f>
        <v>89.1732</v>
      </c>
    </row>
    <row r="94" spans="1:3" x14ac:dyDescent="0.25">
      <c r="A94" t="str">
        <f>"15/10/2009"</f>
        <v>15/10/2009</v>
      </c>
      <c r="B94" t="str">
        <f>"89.451"</f>
        <v>89.451</v>
      </c>
      <c r="C94" t="str">
        <f>"89.4341"</f>
        <v>89.4341</v>
      </c>
    </row>
    <row r="95" spans="1:3" x14ac:dyDescent="0.25">
      <c r="A95" t="str">
        <f>"16/10/2009"</f>
        <v>16/10/2009</v>
      </c>
      <c r="B95" t="str">
        <f>"90.732"</f>
        <v>90.732</v>
      </c>
      <c r="C95" t="str">
        <f>"90.7153"</f>
        <v>90.7153</v>
      </c>
    </row>
    <row r="96" spans="1:3" x14ac:dyDescent="0.25">
      <c r="A96" t="str">
        <f>"20/10/2009"</f>
        <v>20/10/2009</v>
      </c>
      <c r="B96" t="str">
        <f>"90.42"</f>
        <v>90.42</v>
      </c>
      <c r="C96" t="str">
        <f>"90.4016"</f>
        <v>90.4016</v>
      </c>
    </row>
    <row r="97" spans="1:3" x14ac:dyDescent="0.25">
      <c r="A97" t="str">
        <f>"21/10/2009"</f>
        <v>21/10/2009</v>
      </c>
      <c r="B97" t="str">
        <f>"90.68"</f>
        <v>90.68</v>
      </c>
      <c r="C97" t="str">
        <f>"90.6634"</f>
        <v>90.6634</v>
      </c>
    </row>
    <row r="98" spans="1:3" x14ac:dyDescent="0.25">
      <c r="A98" t="str">
        <f>"22/10/2009"</f>
        <v>22/10/2009</v>
      </c>
      <c r="B98" t="str">
        <f>"91.09"</f>
        <v>91.09</v>
      </c>
      <c r="C98" t="str">
        <f>"91.0757"</f>
        <v>91.0757</v>
      </c>
    </row>
    <row r="99" spans="1:3" x14ac:dyDescent="0.25">
      <c r="A99" t="str">
        <f>"23/10/2009"</f>
        <v>23/10/2009</v>
      </c>
      <c r="B99" t="str">
        <f>"91.67"</f>
        <v>91.67</v>
      </c>
      <c r="C99" t="str">
        <f>"91.6568"</f>
        <v>91.6568</v>
      </c>
    </row>
    <row r="100" spans="1:3" x14ac:dyDescent="0.25">
      <c r="A100" t="str">
        <f>"26/10/2009"</f>
        <v>26/10/2009</v>
      </c>
      <c r="B100" t="str">
        <f>"91.753"</f>
        <v>91.753</v>
      </c>
      <c r="C100" t="str">
        <f>"91.7377"</f>
        <v>91.7377</v>
      </c>
    </row>
    <row r="101" spans="1:3" x14ac:dyDescent="0.25">
      <c r="A101" t="str">
        <f>"27/10/2009"</f>
        <v>27/10/2009</v>
      </c>
      <c r="B101" t="str">
        <f>"92.10"</f>
        <v>92.10</v>
      </c>
      <c r="C101" t="str">
        <f>"92.086"</f>
        <v>92.086</v>
      </c>
    </row>
    <row r="102" spans="1:3" x14ac:dyDescent="0.25">
      <c r="A102" t="str">
        <f>"28/10/2009"</f>
        <v>28/10/2009</v>
      </c>
      <c r="B102" t="str">
        <f>"91.361"</f>
        <v>91.361</v>
      </c>
      <c r="C102" t="str">
        <f>"91.347"</f>
        <v>91.347</v>
      </c>
    </row>
    <row r="103" spans="1:3" x14ac:dyDescent="0.25">
      <c r="A103" t="str">
        <f>"29/10/2009"</f>
        <v>29/10/2009</v>
      </c>
      <c r="B103" t="str">
        <f>"90.33"</f>
        <v>90.33</v>
      </c>
      <c r="C103" t="str">
        <f>"90.3171"</f>
        <v>90.3171</v>
      </c>
    </row>
    <row r="104" spans="1:3" x14ac:dyDescent="0.25">
      <c r="A104" t="str">
        <f>"30/10/2009"</f>
        <v>30/10/2009</v>
      </c>
      <c r="B104" t="str">
        <f>"91.34"</f>
        <v>91.34</v>
      </c>
      <c r="C104" t="str">
        <f>"91.3271"</f>
        <v>91.3271</v>
      </c>
    </row>
    <row r="105" spans="1:3" x14ac:dyDescent="0.25">
      <c r="A105" t="str">
        <f>"03/11/2009"</f>
        <v>03/11/2009</v>
      </c>
      <c r="B105" t="str">
        <f>"90.32"</f>
        <v>90.32</v>
      </c>
      <c r="C105" t="str">
        <f>"90.3055"</f>
        <v>90.3055</v>
      </c>
    </row>
    <row r="106" spans="1:3" x14ac:dyDescent="0.25">
      <c r="A106" t="str">
        <f>"04/11/2009"</f>
        <v>04/11/2009</v>
      </c>
      <c r="B106" t="str">
        <f>"90.26"</f>
        <v>90.26</v>
      </c>
      <c r="C106" t="str">
        <f>"90.2461"</f>
        <v>90.2461</v>
      </c>
    </row>
    <row r="107" spans="1:3" x14ac:dyDescent="0.25">
      <c r="A107" t="str">
        <f>"05/11/2009"</f>
        <v>05/11/2009</v>
      </c>
      <c r="B107" t="str">
        <f>"90.391"</f>
        <v>90.391</v>
      </c>
      <c r="C107" t="str">
        <f>"90.3775"</f>
        <v>90.3775</v>
      </c>
    </row>
    <row r="108" spans="1:3" x14ac:dyDescent="0.25">
      <c r="A108" t="str">
        <f>"06/11/2009"</f>
        <v>06/11/2009</v>
      </c>
      <c r="B108" t="str">
        <f>"90.65"</f>
        <v>90.65</v>
      </c>
      <c r="C108" t="str">
        <f>"90.6374"</f>
        <v>90.6374</v>
      </c>
    </row>
    <row r="109" spans="1:3" x14ac:dyDescent="0.25">
      <c r="A109" t="str">
        <f>"09/11/2009"</f>
        <v>09/11/2009</v>
      </c>
      <c r="B109" t="str">
        <f>"90.21"</f>
        <v>90.21</v>
      </c>
      <c r="C109" t="str">
        <f>"90.1961"</f>
        <v>90.1961</v>
      </c>
    </row>
    <row r="110" spans="1:3" x14ac:dyDescent="0.25">
      <c r="A110" t="str">
        <f>"10/11/2009"</f>
        <v>10/11/2009</v>
      </c>
      <c r="B110" t="str">
        <f>"89.96"</f>
        <v>89.96</v>
      </c>
      <c r="C110" t="str">
        <f>"89.9469"</f>
        <v>89.9469</v>
      </c>
    </row>
    <row r="111" spans="1:3" x14ac:dyDescent="0.25">
      <c r="A111" t="str">
        <f>"11/11/2009"</f>
        <v>11/11/2009</v>
      </c>
      <c r="B111" t="str">
        <f>"89.3925"</f>
        <v>89.3925</v>
      </c>
      <c r="C111" t="str">
        <f>"89.3787"</f>
        <v>89.3787</v>
      </c>
    </row>
    <row r="112" spans="1:3" x14ac:dyDescent="0.25">
      <c r="A112" t="str">
        <f>"12/11/2009"</f>
        <v>12/11/2009</v>
      </c>
      <c r="B112" t="str">
        <f>"89.77"</f>
        <v>89.77</v>
      </c>
      <c r="C112" t="str">
        <f>"89.7574"</f>
        <v>89.7574</v>
      </c>
    </row>
    <row r="113" spans="1:3" x14ac:dyDescent="0.25">
      <c r="A113" t="str">
        <f>"13/11/2009"</f>
        <v>13/11/2009</v>
      </c>
      <c r="B113" t="str">
        <f>"90.221"</f>
        <v>90.221</v>
      </c>
      <c r="C113" t="str">
        <f>"90.2083"</f>
        <v>90.2083</v>
      </c>
    </row>
    <row r="114" spans="1:3" x14ac:dyDescent="0.25">
      <c r="A114" t="str">
        <f>"16/11/2009"</f>
        <v>16/11/2009</v>
      </c>
      <c r="B114" t="str">
        <f>"89.68"</f>
        <v>89.68</v>
      </c>
      <c r="C114" t="str">
        <f>"89.6676"</f>
        <v>89.6676</v>
      </c>
    </row>
    <row r="115" spans="1:3" x14ac:dyDescent="0.25">
      <c r="A115" t="str">
        <f>"17/11/2009"</f>
        <v>17/11/2009</v>
      </c>
      <c r="B115" t="str">
        <f>"89.10"</f>
        <v>89.10</v>
      </c>
      <c r="C115" t="str">
        <f>"89.086"</f>
        <v>89.086</v>
      </c>
    </row>
    <row r="116" spans="1:3" x14ac:dyDescent="0.25">
      <c r="A116" t="str">
        <f>"18/11/2009"</f>
        <v>18/11/2009</v>
      </c>
      <c r="B116" t="str">
        <f>"89.27"</f>
        <v>89.27</v>
      </c>
      <c r="C116" t="str">
        <f>"89.2571"</f>
        <v>89.2571</v>
      </c>
    </row>
    <row r="117" spans="1:3" x14ac:dyDescent="0.25">
      <c r="A117" t="str">
        <f>"19/11/2009"</f>
        <v>19/11/2009</v>
      </c>
      <c r="B117" t="str">
        <f>"89.16"</f>
        <v>89.16</v>
      </c>
      <c r="C117" t="str">
        <f>"89.148"</f>
        <v>89.148</v>
      </c>
    </row>
    <row r="118" spans="1:3" x14ac:dyDescent="0.25">
      <c r="A118" t="str">
        <f>"20/11/2009"</f>
        <v>20/11/2009</v>
      </c>
      <c r="B118" t="str">
        <f>"88.88"</f>
        <v>88.88</v>
      </c>
      <c r="C118" t="str">
        <f>"88.8672"</f>
        <v>88.8672</v>
      </c>
    </row>
    <row r="119" spans="1:3" x14ac:dyDescent="0.25">
      <c r="A119" t="str">
        <f>"23/11/2009"</f>
        <v>23/11/2009</v>
      </c>
      <c r="B119" t="str">
        <f>"88.96"</f>
        <v>88.96</v>
      </c>
      <c r="C119" t="str">
        <f>"88.9478"</f>
        <v>88.9478</v>
      </c>
    </row>
    <row r="120" spans="1:3" x14ac:dyDescent="0.25">
      <c r="A120" t="str">
        <f>"24/11/2009"</f>
        <v>24/11/2009</v>
      </c>
      <c r="B120" t="str">
        <f>"88.90"</f>
        <v>88.90</v>
      </c>
      <c r="C120" t="str">
        <f>"88.8883"</f>
        <v>88.8883</v>
      </c>
    </row>
    <row r="121" spans="1:3" x14ac:dyDescent="0.25">
      <c r="A121" t="str">
        <f>"25/11/2009"</f>
        <v>25/11/2009</v>
      </c>
      <c r="B121" t="str">
        <f>"88.28"</f>
        <v>88.28</v>
      </c>
      <c r="C121" t="str">
        <f>"88.2709"</f>
        <v>88.2709</v>
      </c>
    </row>
    <row r="122" spans="1:3" x14ac:dyDescent="0.25">
      <c r="A122" t="str">
        <f>"26/11/2009"</f>
        <v>26/11/2009</v>
      </c>
      <c r="B122" t="str">
        <f>"86.57"</f>
        <v>86.57</v>
      </c>
      <c r="C122" t="str">
        <f>"86.562"</f>
        <v>86.562</v>
      </c>
    </row>
    <row r="123" spans="1:3" x14ac:dyDescent="0.25">
      <c r="A123" t="str">
        <f>"27/11/2009"</f>
        <v>27/11/2009</v>
      </c>
      <c r="B123" t="str">
        <f>"86.0255"</f>
        <v>86.0255</v>
      </c>
      <c r="C123" t="str">
        <f>"86.0122"</f>
        <v>86.0122</v>
      </c>
    </row>
    <row r="124" spans="1:3" x14ac:dyDescent="0.25">
      <c r="A124" t="str">
        <f>"30/11/2009"</f>
        <v>30/11/2009</v>
      </c>
      <c r="B124" t="str">
        <f>"86.70"</f>
        <v>86.70</v>
      </c>
      <c r="C124" t="str">
        <f>"86.6871"</f>
        <v>86.6871</v>
      </c>
    </row>
    <row r="125" spans="1:3" x14ac:dyDescent="0.25">
      <c r="A125" t="str">
        <f>"01/12/2009"</f>
        <v>01/12/2009</v>
      </c>
      <c r="B125" t="str">
        <f>"87.31"</f>
        <v>87.31</v>
      </c>
      <c r="C125" t="str">
        <f>"87.2944"</f>
        <v>87.2944</v>
      </c>
    </row>
    <row r="126" spans="1:3" x14ac:dyDescent="0.25">
      <c r="A126" t="str">
        <f>"02/12/2009"</f>
        <v>02/12/2009</v>
      </c>
      <c r="B126" t="str">
        <f>"86.99"</f>
        <v>86.99</v>
      </c>
      <c r="C126" t="str">
        <f>"86.9765"</f>
        <v>86.9765</v>
      </c>
    </row>
    <row r="127" spans="1:3" x14ac:dyDescent="0.25">
      <c r="A127" t="str">
        <f>"03/12/2009"</f>
        <v>03/12/2009</v>
      </c>
      <c r="B127" t="str">
        <f>"87.91"</f>
        <v>87.91</v>
      </c>
      <c r="C127" t="str">
        <f>"87.8941"</f>
        <v>87.8941</v>
      </c>
    </row>
    <row r="128" spans="1:3" x14ac:dyDescent="0.25">
      <c r="A128" t="str">
        <f>"04/12/2009"</f>
        <v>04/12/2009</v>
      </c>
      <c r="B128" t="str">
        <f>"88.221"</f>
        <v>88.221</v>
      </c>
      <c r="C128" t="str">
        <f>"88.2059"</f>
        <v>88.2059</v>
      </c>
    </row>
    <row r="129" spans="1:3" x14ac:dyDescent="0.25">
      <c r="A129" t="str">
        <f>"07/12/2009"</f>
        <v>07/12/2009</v>
      </c>
      <c r="B129" t="str">
        <f>"89.83"</f>
        <v>89.83</v>
      </c>
      <c r="C129" t="str">
        <f>"89.8105"</f>
        <v>89.8105</v>
      </c>
    </row>
    <row r="130" spans="1:3" x14ac:dyDescent="0.25">
      <c r="A130" t="str">
        <f>"08/12/2009"</f>
        <v>08/12/2009</v>
      </c>
      <c r="B130" t="str">
        <f>"89.001"</f>
        <v>89.001</v>
      </c>
      <c r="C130" t="str">
        <f>"88.9814"</f>
        <v>88.9814</v>
      </c>
    </row>
    <row r="131" spans="1:3" x14ac:dyDescent="0.25">
      <c r="A131" t="str">
        <f>"09/12/2009"</f>
        <v>09/12/2009</v>
      </c>
      <c r="B131" t="str">
        <f>"88.40"</f>
        <v>88.40</v>
      </c>
      <c r="C131" t="str">
        <f>"88.3791"</f>
        <v>88.3791</v>
      </c>
    </row>
    <row r="132" spans="1:3" x14ac:dyDescent="0.25">
      <c r="A132" t="str">
        <f>"10/12/2009"</f>
        <v>10/12/2009</v>
      </c>
      <c r="B132" t="str">
        <f>"88.21"</f>
        <v>88.21</v>
      </c>
      <c r="C132" t="str">
        <f>"88.1899"</f>
        <v>88.1899</v>
      </c>
    </row>
    <row r="133" spans="1:3" x14ac:dyDescent="0.25">
      <c r="A133" t="str">
        <f>"11/12/2009"</f>
        <v>11/12/2009</v>
      </c>
      <c r="B133" t="str">
        <f>"88.78"</f>
        <v>88.78</v>
      </c>
      <c r="C133" t="str">
        <f>"88.7611"</f>
        <v>88.7611</v>
      </c>
    </row>
    <row r="134" spans="1:3" x14ac:dyDescent="0.25">
      <c r="A134" t="str">
        <f>"14/12/2009"</f>
        <v>14/12/2009</v>
      </c>
      <c r="B134" t="str">
        <f>"88.5535"</f>
        <v>88.5535</v>
      </c>
      <c r="C134" t="str">
        <f>"88.532"</f>
        <v>88.532</v>
      </c>
    </row>
    <row r="135" spans="1:3" x14ac:dyDescent="0.25">
      <c r="A135" t="str">
        <f>"15/12/2009"</f>
        <v>15/12/2009</v>
      </c>
      <c r="B135" t="str">
        <f>"88.731"</f>
        <v>88.731</v>
      </c>
      <c r="C135" t="str">
        <f>"88.7086"</f>
        <v>88.7086</v>
      </c>
    </row>
    <row r="136" spans="1:3" x14ac:dyDescent="0.25">
      <c r="A136" t="str">
        <f>"16/12/2009"</f>
        <v>16/12/2009</v>
      </c>
      <c r="B136" t="str">
        <f>"89.584"</f>
        <v>89.584</v>
      </c>
      <c r="C136" t="str">
        <f>"89.5591"</f>
        <v>89.5591</v>
      </c>
    </row>
    <row r="137" spans="1:3" x14ac:dyDescent="0.25">
      <c r="A137" t="str">
        <f>"17/12/2009"</f>
        <v>17/12/2009</v>
      </c>
      <c r="B137" t="str">
        <f>"90.144"</f>
        <v>90.144</v>
      </c>
      <c r="C137" t="str">
        <f>"90.1207"</f>
        <v>90.1207</v>
      </c>
    </row>
    <row r="138" spans="1:3" x14ac:dyDescent="0.25">
      <c r="A138" t="str">
        <f>"18/12/2009"</f>
        <v>18/12/2009</v>
      </c>
      <c r="B138" t="str">
        <f>"89.35"</f>
        <v>89.35</v>
      </c>
      <c r="C138" t="str">
        <f>"89.3304"</f>
        <v>89.3304</v>
      </c>
    </row>
    <row r="139" spans="1:3" x14ac:dyDescent="0.25">
      <c r="A139" t="str">
        <f>"21/12/2009"</f>
        <v>21/12/2009</v>
      </c>
      <c r="B139" t="str">
        <f>"90.401"</f>
        <v>90.401</v>
      </c>
      <c r="C139" t="str">
        <f>"90.3809"</f>
        <v>90.3809</v>
      </c>
    </row>
    <row r="140" spans="1:3" x14ac:dyDescent="0.25">
      <c r="A140" t="str">
        <f>"22/12/2009"</f>
        <v>22/12/2009</v>
      </c>
      <c r="B140" t="str">
        <f>"91.395"</f>
        <v>91.395</v>
      </c>
      <c r="C140" t="str">
        <f>"91.3755"</f>
        <v>91.3755</v>
      </c>
    </row>
    <row r="141" spans="1:3" x14ac:dyDescent="0.25">
      <c r="A141" t="str">
        <f>"23/12/2009"</f>
        <v>23/12/2009</v>
      </c>
      <c r="B141" t="str">
        <f>"91.71"</f>
        <v>91.71</v>
      </c>
      <c r="C141" t="str">
        <f>"91.6926"</f>
        <v>91.6926</v>
      </c>
    </row>
    <row r="142" spans="1:3" x14ac:dyDescent="0.25">
      <c r="A142" t="str">
        <f>"24/12/2009"</f>
        <v>24/12/2009</v>
      </c>
      <c r="B142" t="str">
        <f>"91.49"</f>
        <v>91.49</v>
      </c>
      <c r="C142" t="str">
        <f>"91.473"</f>
        <v>91.473</v>
      </c>
    </row>
    <row r="143" spans="1:3" x14ac:dyDescent="0.25">
      <c r="A143" t="str">
        <f>"29/12/2009"</f>
        <v>29/12/2009</v>
      </c>
      <c r="B143" t="str">
        <f>"91.7415"</f>
        <v>91.7415</v>
      </c>
      <c r="C143" t="str">
        <f>"91.7302"</f>
        <v>91.7302</v>
      </c>
    </row>
    <row r="144" spans="1:3" x14ac:dyDescent="0.25">
      <c r="A144" t="str">
        <f>"30/12/2009"</f>
        <v>30/12/2009</v>
      </c>
      <c r="B144" t="str">
        <f>"92.2525"</f>
        <v>92.2525</v>
      </c>
      <c r="C144" t="str">
        <f>"92.2389"</f>
        <v>92.2389</v>
      </c>
    </row>
    <row r="145" spans="1:3" x14ac:dyDescent="0.25">
      <c r="A145" t="str">
        <f>"31/12/2009"</f>
        <v>31/12/2009</v>
      </c>
      <c r="B145" t="str">
        <f>"92.41"</f>
        <v>92.41</v>
      </c>
      <c r="C145" t="str">
        <f>"92.3968"</f>
        <v>92.3968</v>
      </c>
    </row>
    <row r="146" spans="1:3" x14ac:dyDescent="0.25">
      <c r="A146" t="str">
        <f>"01/01/2010"</f>
        <v>01/01/2010</v>
      </c>
      <c r="B146" t="str">
        <f>"93.05"</f>
        <v>93.05</v>
      </c>
      <c r="C146" t="str">
        <f>"93.0369"</f>
        <v>93.0369</v>
      </c>
    </row>
    <row r="147" spans="1:3" x14ac:dyDescent="0.25">
      <c r="A147" t="str">
        <f>"04/01/2010"</f>
        <v>04/01/2010</v>
      </c>
      <c r="B147" t="str">
        <f>"92.882"</f>
        <v>92.882</v>
      </c>
      <c r="C147" t="str">
        <f>"92.8681"</f>
        <v>92.8681</v>
      </c>
    </row>
    <row r="148" spans="1:3" x14ac:dyDescent="0.25">
      <c r="A148" t="str">
        <f>"05/01/2010"</f>
        <v>05/01/2010</v>
      </c>
      <c r="B148" t="str">
        <f>"92.16"</f>
        <v>92.16</v>
      </c>
      <c r="C148" t="str">
        <f>"92.1443"</f>
        <v>92.1443</v>
      </c>
    </row>
    <row r="149" spans="1:3" x14ac:dyDescent="0.25">
      <c r="A149" t="str">
        <f>"06/01/2010"</f>
        <v>06/01/2010</v>
      </c>
      <c r="B149" t="str">
        <f>"91.94"</f>
        <v>91.94</v>
      </c>
      <c r="C149" t="str">
        <f>"91.9273"</f>
        <v>91.9273</v>
      </c>
    </row>
    <row r="150" spans="1:3" x14ac:dyDescent="0.25">
      <c r="A150" t="str">
        <f>"07/01/2010"</f>
        <v>07/01/2010</v>
      </c>
      <c r="B150" t="str">
        <f>"92.30"</f>
        <v>92.30</v>
      </c>
      <c r="C150" t="str">
        <f>"92.2869"</f>
        <v>92.2869</v>
      </c>
    </row>
    <row r="151" spans="1:3" x14ac:dyDescent="0.25">
      <c r="A151" t="str">
        <f>"08/01/2010"</f>
        <v>08/01/2010</v>
      </c>
      <c r="B151" t="str">
        <f>"93.25"</f>
        <v>93.25</v>
      </c>
      <c r="C151" t="str">
        <f>"93.2331"</f>
        <v>93.2331</v>
      </c>
    </row>
    <row r="152" spans="1:3" x14ac:dyDescent="0.25">
      <c r="A152" t="str">
        <f>"11/01/2010"</f>
        <v>11/01/2010</v>
      </c>
      <c r="B152" t="str">
        <f>"92.283"</f>
        <v>92.283</v>
      </c>
      <c r="C152" t="str">
        <f>"92.2665"</f>
        <v>92.2665</v>
      </c>
    </row>
    <row r="153" spans="1:3" x14ac:dyDescent="0.25">
      <c r="A153" t="str">
        <f>"12/01/2010"</f>
        <v>12/01/2010</v>
      </c>
      <c r="B153" t="str">
        <f>"92.231"</f>
        <v>92.231</v>
      </c>
      <c r="C153" t="str">
        <f>"92.2145"</f>
        <v>92.2145</v>
      </c>
    </row>
    <row r="154" spans="1:3" x14ac:dyDescent="0.25">
      <c r="A154" t="str">
        <f>"13/01/2010"</f>
        <v>13/01/2010</v>
      </c>
      <c r="B154" t="str">
        <f>"91.0815"</f>
        <v>91.0815</v>
      </c>
      <c r="C154" t="str">
        <f>"91.0658"</f>
        <v>91.0658</v>
      </c>
    </row>
    <row r="155" spans="1:3" x14ac:dyDescent="0.25">
      <c r="A155" t="str">
        <f>"14/01/2010"</f>
        <v>14/01/2010</v>
      </c>
      <c r="B155" t="str">
        <f>"91.70"</f>
        <v>91.70</v>
      </c>
      <c r="C155" t="str">
        <f>"91.6852"</f>
        <v>91.6852</v>
      </c>
    </row>
    <row r="156" spans="1:3" x14ac:dyDescent="0.25">
      <c r="A156" t="str">
        <f>"15/01/2010"</f>
        <v>15/01/2010</v>
      </c>
      <c r="B156" t="str">
        <f>"91.134"</f>
        <v>91.134</v>
      </c>
      <c r="C156" t="str">
        <f>"91.1213"</f>
        <v>91.1213</v>
      </c>
    </row>
    <row r="157" spans="1:3" x14ac:dyDescent="0.25">
      <c r="A157" t="str">
        <f>"18/01/2010"</f>
        <v>18/01/2010</v>
      </c>
      <c r="B157" t="str">
        <f>"90.85"</f>
        <v>90.85</v>
      </c>
      <c r="C157" t="str">
        <f>"90.8364"</f>
        <v>90.8364</v>
      </c>
    </row>
    <row r="158" spans="1:3" x14ac:dyDescent="0.25">
      <c r="A158" t="str">
        <f>"19/01/2010"</f>
        <v>19/01/2010</v>
      </c>
      <c r="B158" t="str">
        <f>"90.50"</f>
        <v>90.50</v>
      </c>
      <c r="C158" t="str">
        <f>"90.4875"</f>
        <v>90.4875</v>
      </c>
    </row>
    <row r="159" spans="1:3" x14ac:dyDescent="0.25">
      <c r="A159" t="str">
        <f>"20/01/2010"</f>
        <v>20/01/2010</v>
      </c>
      <c r="B159" t="str">
        <f>"91.34"</f>
        <v>91.34</v>
      </c>
      <c r="C159" t="str">
        <f>"91.3283"</f>
        <v>91.3283</v>
      </c>
    </row>
    <row r="160" spans="1:3" x14ac:dyDescent="0.25">
      <c r="A160" t="str">
        <f>"21/01/2010"</f>
        <v>21/01/2010</v>
      </c>
      <c r="B160" t="str">
        <f>"91.56"</f>
        <v>91.56</v>
      </c>
      <c r="C160" t="str">
        <f>"91.5484"</f>
        <v>91.5484</v>
      </c>
    </row>
    <row r="161" spans="1:3" x14ac:dyDescent="0.25">
      <c r="A161" t="str">
        <f>"22/01/2010"</f>
        <v>22/01/2010</v>
      </c>
      <c r="B161" t="str">
        <f>"89.90"</f>
        <v>89.90</v>
      </c>
      <c r="C161" t="str">
        <f>"89.8892"</f>
        <v>89.8892</v>
      </c>
    </row>
    <row r="162" spans="1:3" x14ac:dyDescent="0.25">
      <c r="A162" t="str">
        <f>"25/01/2010"</f>
        <v>25/01/2010</v>
      </c>
      <c r="B162" t="str">
        <f>"90.11"</f>
        <v>90.11</v>
      </c>
      <c r="C162" t="str">
        <f>"90.0989"</f>
        <v>90.0989</v>
      </c>
    </row>
    <row r="163" spans="1:3" x14ac:dyDescent="0.25">
      <c r="A163" t="str">
        <f>"27/01/2010"</f>
        <v>27/01/2010</v>
      </c>
      <c r="B163" t="str">
        <f>"89.42"</f>
        <v>89.42</v>
      </c>
      <c r="C163" t="str">
        <f>"89.4118"</f>
        <v>89.4118</v>
      </c>
    </row>
    <row r="164" spans="1:3" x14ac:dyDescent="0.25">
      <c r="A164" t="str">
        <f>"28/01/2010"</f>
        <v>28/01/2010</v>
      </c>
      <c r="B164" t="str">
        <f>"90.29"</f>
        <v>90.29</v>
      </c>
      <c r="C164" t="str">
        <f>"90.2825"</f>
        <v>90.2825</v>
      </c>
    </row>
    <row r="165" spans="1:3" x14ac:dyDescent="0.25">
      <c r="A165" t="str">
        <f>"29/01/2010"</f>
        <v>29/01/2010</v>
      </c>
      <c r="B165" t="str">
        <f>"90.0005"</f>
        <v>90.0005</v>
      </c>
      <c r="C165" t="str">
        <f>"89.992"</f>
        <v>89.992</v>
      </c>
    </row>
    <row r="166" spans="1:3" x14ac:dyDescent="0.25">
      <c r="A166" t="str">
        <f>"01/02/2010"</f>
        <v>01/02/2010</v>
      </c>
      <c r="B166" t="str">
        <f>"90.12"</f>
        <v>90.12</v>
      </c>
      <c r="C166" t="str">
        <f>"90.1131"</f>
        <v>90.1131</v>
      </c>
    </row>
    <row r="167" spans="1:3" x14ac:dyDescent="0.25">
      <c r="A167" t="str">
        <f>"02/02/2010"</f>
        <v>02/02/2010</v>
      </c>
      <c r="B167" t="str">
        <f>"90.80"</f>
        <v>90.80</v>
      </c>
      <c r="C167" t="str">
        <f>"90.7914"</f>
        <v>90.7914</v>
      </c>
    </row>
    <row r="168" spans="1:3" x14ac:dyDescent="0.25">
      <c r="A168" t="str">
        <f>"03/02/2010"</f>
        <v>03/02/2010</v>
      </c>
      <c r="B168" t="str">
        <f>"90.4405"</f>
        <v>90.4405</v>
      </c>
      <c r="C168" t="str">
        <f>"90.4319"</f>
        <v>90.4319</v>
      </c>
    </row>
    <row r="169" spans="1:3" x14ac:dyDescent="0.25">
      <c r="A169" t="str">
        <f>"04/02/2010"</f>
        <v>04/02/2010</v>
      </c>
      <c r="B169" t="str">
        <f>"90.93"</f>
        <v>90.93</v>
      </c>
      <c r="C169" t="str">
        <f>"90.9206"</f>
        <v>90.9206</v>
      </c>
    </row>
    <row r="170" spans="1:3" x14ac:dyDescent="0.25">
      <c r="A170" t="str">
        <f>"05/02/2010"</f>
        <v>05/02/2010</v>
      </c>
      <c r="B170" t="str">
        <f>"89.64"</f>
        <v>89.64</v>
      </c>
      <c r="C170" t="str">
        <f>"89.6307"</f>
        <v>89.6307</v>
      </c>
    </row>
    <row r="171" spans="1:3" x14ac:dyDescent="0.25">
      <c r="A171" t="str">
        <f>"08/02/2010"</f>
        <v>08/02/2010</v>
      </c>
      <c r="B171" t="str">
        <f>"89.29"</f>
        <v>89.29</v>
      </c>
      <c r="C171" t="str">
        <f>"89.2781"</f>
        <v>89.2781</v>
      </c>
    </row>
    <row r="172" spans="1:3" x14ac:dyDescent="0.25">
      <c r="A172" t="str">
        <f>"09/02/2010"</f>
        <v>09/02/2010</v>
      </c>
      <c r="B172" t="str">
        <f>"89.46"</f>
        <v>89.46</v>
      </c>
      <c r="C172" t="str">
        <f>"89.4538"</f>
        <v>89.4538</v>
      </c>
    </row>
    <row r="173" spans="1:3" x14ac:dyDescent="0.25">
      <c r="A173" t="str">
        <f>"10/02/2010"</f>
        <v>10/02/2010</v>
      </c>
      <c r="B173" t="str">
        <f>"89.74"</f>
        <v>89.74</v>
      </c>
      <c r="C173" t="str">
        <f>"89.7285"</f>
        <v>89.7285</v>
      </c>
    </row>
    <row r="174" spans="1:3" x14ac:dyDescent="0.25">
      <c r="A174" t="str">
        <f>"11/02/2010"</f>
        <v>11/02/2010</v>
      </c>
      <c r="B174" t="str">
        <f>"89.91"</f>
        <v>89.91</v>
      </c>
      <c r="C174" t="str">
        <f>"89.8984"</f>
        <v>89.8984</v>
      </c>
    </row>
    <row r="175" spans="1:3" x14ac:dyDescent="0.25">
      <c r="A175" t="str">
        <f>"15/02/2010"</f>
        <v>15/02/2010</v>
      </c>
      <c r="B175" t="str">
        <f>"90.16"</f>
        <v>90.16</v>
      </c>
      <c r="C175" t="str">
        <f>"90.1476"</f>
        <v>90.1476</v>
      </c>
    </row>
    <row r="176" spans="1:3" x14ac:dyDescent="0.25">
      <c r="A176" t="str">
        <f>"16/02/2010"</f>
        <v>16/02/2010</v>
      </c>
      <c r="B176" t="str">
        <f>"89.99"</f>
        <v>89.99</v>
      </c>
      <c r="C176" t="str">
        <f>"89.979"</f>
        <v>89.979</v>
      </c>
    </row>
    <row r="177" spans="1:3" x14ac:dyDescent="0.25">
      <c r="A177" t="str">
        <f>"17/02/2010"</f>
        <v>17/02/2010</v>
      </c>
      <c r="B177" t="str">
        <f>"90.301"</f>
        <v>90.301</v>
      </c>
      <c r="C177" t="str">
        <f>"90.2903"</f>
        <v>90.2903</v>
      </c>
    </row>
    <row r="178" spans="1:3" x14ac:dyDescent="0.25">
      <c r="A178" t="str">
        <f>"18/02/2010"</f>
        <v>18/02/2010</v>
      </c>
      <c r="B178" t="str">
        <f>"90.94"</f>
        <v>90.94</v>
      </c>
      <c r="C178" t="str">
        <f>"90.9293"</f>
        <v>90.9293</v>
      </c>
    </row>
    <row r="179" spans="1:3" x14ac:dyDescent="0.25">
      <c r="A179" t="str">
        <f>"19/02/2010"</f>
        <v>19/02/2010</v>
      </c>
      <c r="B179" t="str">
        <f>"91.71"</f>
        <v>91.71</v>
      </c>
      <c r="C179" t="str">
        <f>"91.6971"</f>
        <v>91.6971</v>
      </c>
    </row>
    <row r="180" spans="1:3" x14ac:dyDescent="0.25">
      <c r="A180" t="str">
        <f>"22/02/2010"</f>
        <v>22/02/2010</v>
      </c>
      <c r="B180" t="str">
        <f>"91.64"</f>
        <v>91.64</v>
      </c>
      <c r="C180" t="str">
        <f>"91.6282"</f>
        <v>91.6282</v>
      </c>
    </row>
    <row r="181" spans="1:3" x14ac:dyDescent="0.25">
      <c r="A181" t="str">
        <f>"23/02/2010"</f>
        <v>23/02/2010</v>
      </c>
      <c r="B181" t="str">
        <f>"91.02"</f>
        <v>91.02</v>
      </c>
      <c r="C181" t="str">
        <f>"91.0082"</f>
        <v>91.0082</v>
      </c>
    </row>
    <row r="182" spans="1:3" x14ac:dyDescent="0.25">
      <c r="A182" t="str">
        <f>"24/02/2010"</f>
        <v>24/02/2010</v>
      </c>
      <c r="B182" t="str">
        <f>"90.26"</f>
        <v>90.26</v>
      </c>
      <c r="C182" t="str">
        <f>"90.2452"</f>
        <v>90.2452</v>
      </c>
    </row>
    <row r="183" spans="1:3" x14ac:dyDescent="0.25">
      <c r="A183" t="str">
        <f>"25/02/2010"</f>
        <v>25/02/2010</v>
      </c>
      <c r="B183" t="str">
        <f>"89.65"</f>
        <v>89.65</v>
      </c>
      <c r="C183" t="str">
        <f>"89.636"</f>
        <v>89.636</v>
      </c>
    </row>
    <row r="184" spans="1:3" x14ac:dyDescent="0.25">
      <c r="A184" t="str">
        <f>"26/02/2010"</f>
        <v>26/02/2010</v>
      </c>
      <c r="B184" t="str">
        <f>"89.34"</f>
        <v>89.34</v>
      </c>
      <c r="C184" t="str">
        <f>"89.3278"</f>
        <v>89.3278</v>
      </c>
    </row>
    <row r="185" spans="1:3" x14ac:dyDescent="0.25">
      <c r="A185" t="str">
        <f>"02/03/2010"</f>
        <v>02/03/2010</v>
      </c>
      <c r="B185" t="str">
        <f>"89.25"</f>
        <v>89.25</v>
      </c>
      <c r="C185" t="str">
        <f>"89.2384"</f>
        <v>89.2384</v>
      </c>
    </row>
    <row r="186" spans="1:3" x14ac:dyDescent="0.25">
      <c r="A186" t="str">
        <f>"03/03/2010"</f>
        <v>03/03/2010</v>
      </c>
      <c r="B186" t="str">
        <f>"88.74"</f>
        <v>88.74</v>
      </c>
      <c r="C186" t="str">
        <f>"88.7289"</f>
        <v>88.7289</v>
      </c>
    </row>
    <row r="187" spans="1:3" x14ac:dyDescent="0.25">
      <c r="A187" t="str">
        <f>"04/03/2010"</f>
        <v>04/03/2010</v>
      </c>
      <c r="B187" t="str">
        <f>"88.491"</f>
        <v>88.491</v>
      </c>
      <c r="C187" t="str">
        <f>"88.4804"</f>
        <v>88.4804</v>
      </c>
    </row>
    <row r="188" spans="1:3" x14ac:dyDescent="0.25">
      <c r="A188" t="str">
        <f>"05/03/2010"</f>
        <v>05/03/2010</v>
      </c>
      <c r="B188" t="str">
        <f>"89.25"</f>
        <v>89.25</v>
      </c>
      <c r="C188" t="str">
        <f>"89.2381"</f>
        <v>89.2381</v>
      </c>
    </row>
    <row r="189" spans="1:3" x14ac:dyDescent="0.25">
      <c r="A189" t="str">
        <f>"08/03/2010"</f>
        <v>08/03/2010</v>
      </c>
      <c r="B189" t="str">
        <f>"90.42"</f>
        <v>90.42</v>
      </c>
      <c r="C189" t="str">
        <f>"90.4136"</f>
        <v>90.4136</v>
      </c>
    </row>
    <row r="190" spans="1:3" x14ac:dyDescent="0.25">
      <c r="A190" t="str">
        <f>"09/03/2010"</f>
        <v>09/03/2010</v>
      </c>
      <c r="B190" t="str">
        <f>"90.051"</f>
        <v>90.051</v>
      </c>
      <c r="C190" t="str">
        <f>"90.0362"</f>
        <v>90.0362</v>
      </c>
    </row>
    <row r="191" spans="1:3" x14ac:dyDescent="0.25">
      <c r="A191" t="str">
        <f>"10/03/2010"</f>
        <v>10/03/2010</v>
      </c>
      <c r="B191" t="str">
        <f>"90.01"</f>
        <v>90.01</v>
      </c>
      <c r="C191" t="str">
        <f>"90.003"</f>
        <v>90.003</v>
      </c>
    </row>
    <row r="192" spans="1:3" x14ac:dyDescent="0.25">
      <c r="A192" t="str">
        <f>"11/03/2010"</f>
        <v>11/03/2010</v>
      </c>
      <c r="B192" t="str">
        <f>"90.25"</f>
        <v>90.25</v>
      </c>
      <c r="C192" t="str">
        <f>"90.2357"</f>
        <v>90.2357</v>
      </c>
    </row>
    <row r="193" spans="1:3" x14ac:dyDescent="0.25">
      <c r="A193" t="str">
        <f>"12/03/2010"</f>
        <v>12/03/2010</v>
      </c>
      <c r="B193" t="str">
        <f>"90.64"</f>
        <v>90.64</v>
      </c>
      <c r="C193" t="str">
        <f>"90.6255"</f>
        <v>90.6255</v>
      </c>
    </row>
    <row r="194" spans="1:3" x14ac:dyDescent="0.25">
      <c r="A194" t="str">
        <f>"15/03/2010"</f>
        <v>15/03/2010</v>
      </c>
      <c r="B194" t="str">
        <f>"90.62"</f>
        <v>90.62</v>
      </c>
      <c r="C194" t="str">
        <f>"90.603"</f>
        <v>90.603</v>
      </c>
    </row>
    <row r="195" spans="1:3" x14ac:dyDescent="0.25">
      <c r="A195" t="str">
        <f>"17/03/2010"</f>
        <v>17/03/2010</v>
      </c>
      <c r="B195" t="str">
        <f>"90.36"</f>
        <v>90.36</v>
      </c>
      <c r="C195" t="str">
        <f>"90.3418"</f>
        <v>90.3418</v>
      </c>
    </row>
    <row r="196" spans="1:3" x14ac:dyDescent="0.25">
      <c r="A196" t="str">
        <f>"18/03/2010"</f>
        <v>18/03/2010</v>
      </c>
      <c r="B196" t="str">
        <f>"90.23"</f>
        <v>90.23</v>
      </c>
      <c r="C196" t="str">
        <f>"90.2136"</f>
        <v>90.2136</v>
      </c>
    </row>
    <row r="197" spans="1:3" x14ac:dyDescent="0.25">
      <c r="A197" t="str">
        <f>"19/03/2010"</f>
        <v>19/03/2010</v>
      </c>
      <c r="B197" t="str">
        <f>"90.461"</f>
        <v>90.461</v>
      </c>
      <c r="C197" t="str">
        <f>"90.4413"</f>
        <v>90.4413</v>
      </c>
    </row>
    <row r="198" spans="1:3" x14ac:dyDescent="0.25">
      <c r="A198" t="str">
        <f>"22/03/2010"</f>
        <v>22/03/2010</v>
      </c>
      <c r="B198" t="str">
        <f>"90.46"</f>
        <v>90.46</v>
      </c>
      <c r="C198" t="str">
        <f>"90.4393"</f>
        <v>90.4393</v>
      </c>
    </row>
    <row r="199" spans="1:3" x14ac:dyDescent="0.25">
      <c r="A199" t="str">
        <f>"23/03/2010"</f>
        <v>23/03/2010</v>
      </c>
      <c r="B199" t="str">
        <f>"90.30"</f>
        <v>90.30</v>
      </c>
      <c r="C199" t="str">
        <f>"90.2812"</f>
        <v>90.2812</v>
      </c>
    </row>
    <row r="200" spans="1:3" x14ac:dyDescent="0.25">
      <c r="A200" t="str">
        <f>"25/03/2010"</f>
        <v>25/03/2010</v>
      </c>
      <c r="B200" t="str">
        <f>"91.85"</f>
        <v>91.85</v>
      </c>
      <c r="C200" t="str">
        <f>"91.8307"</f>
        <v>91.8307</v>
      </c>
    </row>
    <row r="201" spans="1:3" x14ac:dyDescent="0.25">
      <c r="A201" t="str">
        <f>"26/03/2010"</f>
        <v>26/03/2010</v>
      </c>
      <c r="B201" t="str">
        <f>"92.472"</f>
        <v>92.472</v>
      </c>
      <c r="C201" t="str">
        <f>"92.4555"</f>
        <v>92.4555</v>
      </c>
    </row>
    <row r="202" spans="1:3" x14ac:dyDescent="0.25">
      <c r="A202" t="str">
        <f>"29/03/2010"</f>
        <v>29/03/2010</v>
      </c>
      <c r="B202" t="str">
        <f>"92.66"</f>
        <v>92.66</v>
      </c>
      <c r="C202" t="str">
        <f>"92.6456"</f>
        <v>92.6456</v>
      </c>
    </row>
    <row r="203" spans="1:3" x14ac:dyDescent="0.25">
      <c r="A203" t="str">
        <f>"30/03/2010"</f>
        <v>30/03/2010</v>
      </c>
      <c r="B203" t="str">
        <f>"92.3125"</f>
        <v>92.3125</v>
      </c>
      <c r="C203" t="str">
        <f>"92.2965"</f>
        <v>92.2965</v>
      </c>
    </row>
    <row r="204" spans="1:3" x14ac:dyDescent="0.25">
      <c r="A204" t="str">
        <f>"31/03/2010"</f>
        <v>31/03/2010</v>
      </c>
      <c r="B204" t="str">
        <f>"93.33"</f>
        <v>93.33</v>
      </c>
      <c r="C204" t="str">
        <f>"93.3163"</f>
        <v>93.3163</v>
      </c>
    </row>
    <row r="205" spans="1:3" x14ac:dyDescent="0.25">
      <c r="A205" t="str">
        <f>"05/04/2010"</f>
        <v>05/04/2010</v>
      </c>
      <c r="B205" t="str">
        <f>"94.37"</f>
        <v>94.37</v>
      </c>
      <c r="C205" t="str">
        <f>"94.3553"</f>
        <v>94.3553</v>
      </c>
    </row>
    <row r="206" spans="1:3" x14ac:dyDescent="0.25">
      <c r="A206" t="str">
        <f>"06/04/2010"</f>
        <v>06/04/2010</v>
      </c>
      <c r="B206" t="str">
        <f>"94.105"</f>
        <v>94.105</v>
      </c>
      <c r="C206" t="str">
        <f>"94.0874"</f>
        <v>94.0874</v>
      </c>
    </row>
    <row r="207" spans="1:3" x14ac:dyDescent="0.25">
      <c r="A207" t="str">
        <f>"07/04/2010"</f>
        <v>07/04/2010</v>
      </c>
      <c r="B207" t="str">
        <f>"94.1705"</f>
        <v>94.1705</v>
      </c>
      <c r="C207" t="str">
        <f>"94.1524"</f>
        <v>94.1524</v>
      </c>
    </row>
    <row r="208" spans="1:3" x14ac:dyDescent="0.25">
      <c r="A208" t="str">
        <f>"08/04/2010"</f>
        <v>08/04/2010</v>
      </c>
      <c r="B208" t="str">
        <f>"93.24"</f>
        <v>93.24</v>
      </c>
      <c r="C208" t="str">
        <f>"93.2219"</f>
        <v>93.2219</v>
      </c>
    </row>
    <row r="209" spans="1:3" x14ac:dyDescent="0.25">
      <c r="A209" t="str">
        <f>"09/04/2010"</f>
        <v>09/04/2010</v>
      </c>
      <c r="B209" t="str">
        <f>"93.57"</f>
        <v>93.57</v>
      </c>
      <c r="C209" t="str">
        <f>"93.5507"</f>
        <v>93.5507</v>
      </c>
    </row>
    <row r="210" spans="1:3" x14ac:dyDescent="0.25">
      <c r="A210" t="str">
        <f>"12/04/2010"</f>
        <v>12/04/2010</v>
      </c>
      <c r="B210" t="str">
        <f>"93.14"</f>
        <v>93.14</v>
      </c>
      <c r="C210" t="str">
        <f>"93.1207"</f>
        <v>93.1207</v>
      </c>
    </row>
    <row r="211" spans="1:3" x14ac:dyDescent="0.25">
      <c r="A211" t="str">
        <f>"13/04/2010"</f>
        <v>13/04/2010</v>
      </c>
      <c r="B211" t="str">
        <f>"92.66"</f>
        <v>92.66</v>
      </c>
      <c r="C211" t="str">
        <f>"92.6401"</f>
        <v>92.6401</v>
      </c>
    </row>
    <row r="212" spans="1:3" x14ac:dyDescent="0.25">
      <c r="A212" t="str">
        <f>"15/04/2010"</f>
        <v>15/04/2010</v>
      </c>
      <c r="B212" t="str">
        <f>"93.44"</f>
        <v>93.44</v>
      </c>
      <c r="C212" t="str">
        <f>"93.42"</f>
        <v>93.42</v>
      </c>
    </row>
    <row r="213" spans="1:3" x14ac:dyDescent="0.25">
      <c r="A213" t="str">
        <f>"16/04/2010"</f>
        <v>16/04/2010</v>
      </c>
      <c r="B213" t="str">
        <f>"92.71"</f>
        <v>92.71</v>
      </c>
      <c r="C213" t="str">
        <f>"92.6899"</f>
        <v>92.6899</v>
      </c>
    </row>
    <row r="214" spans="1:3" x14ac:dyDescent="0.25">
      <c r="A214" t="str">
        <f>"19/04/2010"</f>
        <v>19/04/2010</v>
      </c>
      <c r="B214" t="str">
        <f>"91.96"</f>
        <v>91.96</v>
      </c>
      <c r="C214" t="str">
        <f>"91.941"</f>
        <v>91.941</v>
      </c>
    </row>
    <row r="215" spans="1:3" x14ac:dyDescent="0.25">
      <c r="A215" t="str">
        <f>"20/04/2010"</f>
        <v>20/04/2010</v>
      </c>
      <c r="B215" t="str">
        <f>"92.57"</f>
        <v>92.57</v>
      </c>
      <c r="C215" t="str">
        <f>"92.5488"</f>
        <v>92.5488</v>
      </c>
    </row>
    <row r="216" spans="1:3" x14ac:dyDescent="0.25">
      <c r="A216" t="str">
        <f>"21/04/2010"</f>
        <v>21/04/2010</v>
      </c>
      <c r="B216" t="str">
        <f>"93.214"</f>
        <v>93.214</v>
      </c>
      <c r="C216" t="str">
        <f>"93.1932"</f>
        <v>93.1932</v>
      </c>
    </row>
    <row r="217" spans="1:3" x14ac:dyDescent="0.25">
      <c r="A217" t="str">
        <f>"22/04/2010"</f>
        <v>22/04/2010</v>
      </c>
      <c r="B217" t="str">
        <f>"92.80"</f>
        <v>92.80</v>
      </c>
      <c r="C217" t="str">
        <f>"92.7793"</f>
        <v>92.7793</v>
      </c>
    </row>
    <row r="218" spans="1:3" x14ac:dyDescent="0.25">
      <c r="A218" t="str">
        <f>"23/04/2010"</f>
        <v>23/04/2010</v>
      </c>
      <c r="B218" t="str">
        <f>"93.47"</f>
        <v>93.47</v>
      </c>
      <c r="C218" t="str">
        <f>"93.4498"</f>
        <v>93.4498</v>
      </c>
    </row>
    <row r="219" spans="1:3" x14ac:dyDescent="0.25">
      <c r="A219" t="str">
        <f>"26/04/2010"</f>
        <v>26/04/2010</v>
      </c>
      <c r="B219" t="str">
        <f>"94.23"</f>
        <v>94.23</v>
      </c>
      <c r="C219" t="str">
        <f>"94.2098"</f>
        <v>94.2098</v>
      </c>
    </row>
    <row r="220" spans="1:3" x14ac:dyDescent="0.25">
      <c r="A220" t="str">
        <f>"27/04/2010"</f>
        <v>27/04/2010</v>
      </c>
      <c r="B220" t="str">
        <f>"93.85"</f>
        <v>93.85</v>
      </c>
      <c r="C220" t="str">
        <f>"93.8315"</f>
        <v>93.8315</v>
      </c>
    </row>
    <row r="221" spans="1:3" x14ac:dyDescent="0.25">
      <c r="A221" t="str">
        <f>"28/04/2010"</f>
        <v>28/04/2010</v>
      </c>
      <c r="B221" t="str">
        <f>"93.31"</f>
        <v>93.31</v>
      </c>
      <c r="C221" t="str">
        <f>"93.2834"</f>
        <v>93.2834</v>
      </c>
    </row>
    <row r="222" spans="1:3" x14ac:dyDescent="0.25">
      <c r="A222" t="str">
        <f>"29/04/2010"</f>
        <v>29/04/2010</v>
      </c>
      <c r="B222" t="str">
        <f>"93.89"</f>
        <v>93.89</v>
      </c>
      <c r="C222" t="str">
        <f>"93.8593"</f>
        <v>93.8593</v>
      </c>
    </row>
    <row r="223" spans="1:3" x14ac:dyDescent="0.25">
      <c r="A223" t="str">
        <f>"30/04/2010"</f>
        <v>30/04/2010</v>
      </c>
      <c r="B223" t="str">
        <f>"94.00"</f>
        <v>94.00</v>
      </c>
      <c r="C223" t="str">
        <f>"93.975"</f>
        <v>93.975</v>
      </c>
    </row>
    <row r="224" spans="1:3" x14ac:dyDescent="0.25">
      <c r="A224" t="str">
        <f>"03/05/2010"</f>
        <v>03/05/2010</v>
      </c>
      <c r="B224" t="str">
        <f>"93.891"</f>
        <v>93.891</v>
      </c>
      <c r="C224" t="str">
        <f>"93.8668"</f>
        <v>93.8668</v>
      </c>
    </row>
    <row r="225" spans="1:3" x14ac:dyDescent="0.25">
      <c r="A225" t="str">
        <f>"04/05/2010"</f>
        <v>04/05/2010</v>
      </c>
      <c r="B225" t="str">
        <f>"94.8795"</f>
        <v>94.8795</v>
      </c>
      <c r="C225" t="str">
        <f>"94.8549"</f>
        <v>94.8549</v>
      </c>
    </row>
    <row r="226" spans="1:3" x14ac:dyDescent="0.25">
      <c r="A226" t="str">
        <f>"05/05/2010"</f>
        <v>05/05/2010</v>
      </c>
      <c r="B226" t="str">
        <f>"94.73"</f>
        <v>94.73</v>
      </c>
      <c r="C226" t="str">
        <f>"94.7035"</f>
        <v>94.7035</v>
      </c>
    </row>
    <row r="227" spans="1:3" x14ac:dyDescent="0.25">
      <c r="A227" t="str">
        <f>"06/05/2010"</f>
        <v>06/05/2010</v>
      </c>
      <c r="B227" t="str">
        <f>"93.87"</f>
        <v>93.87</v>
      </c>
      <c r="C227" t="str">
        <f>"93.8355"</f>
        <v>93.8355</v>
      </c>
    </row>
    <row r="228" spans="1:3" x14ac:dyDescent="0.25">
      <c r="A228" t="str">
        <f>"07/05/2010"</f>
        <v>07/05/2010</v>
      </c>
      <c r="B228" t="str">
        <f>"92.48"</f>
        <v>92.48</v>
      </c>
      <c r="C228" t="str">
        <f>"92.4371"</f>
        <v>92.4371</v>
      </c>
    </row>
    <row r="229" spans="1:3" x14ac:dyDescent="0.25">
      <c r="A229" t="str">
        <f>"10/05/2010"</f>
        <v>10/05/2010</v>
      </c>
      <c r="B229" t="str">
        <f>"92.67"</f>
        <v>92.67</v>
      </c>
      <c r="C229" t="str">
        <f>"92.637"</f>
        <v>92.637</v>
      </c>
    </row>
    <row r="230" spans="1:3" x14ac:dyDescent="0.25">
      <c r="A230" t="str">
        <f>"11/05/2010"</f>
        <v>11/05/2010</v>
      </c>
      <c r="B230" t="str">
        <f>"92.91"</f>
        <v>92.91</v>
      </c>
      <c r="C230" t="str">
        <f>"92.8868"</f>
        <v>92.8868</v>
      </c>
    </row>
    <row r="231" spans="1:3" x14ac:dyDescent="0.25">
      <c r="A231" t="str">
        <f>"12/05/2010"</f>
        <v>12/05/2010</v>
      </c>
      <c r="B231" t="str">
        <f>"92.76"</f>
        <v>92.76</v>
      </c>
      <c r="C231" t="str">
        <f>"92.7378"</f>
        <v>92.7378</v>
      </c>
    </row>
    <row r="232" spans="1:3" x14ac:dyDescent="0.25">
      <c r="A232" t="str">
        <f>"13/05/2010"</f>
        <v>13/05/2010</v>
      </c>
      <c r="B232" t="str">
        <f>"93.17"</f>
        <v>93.17</v>
      </c>
      <c r="C232" t="str">
        <f>"93.1487"</f>
        <v>93.1487</v>
      </c>
    </row>
    <row r="233" spans="1:3" x14ac:dyDescent="0.25">
      <c r="A233" t="str">
        <f>"14/05/2010"</f>
        <v>14/05/2010</v>
      </c>
      <c r="B233" t="str">
        <f>"92.75"</f>
        <v>92.75</v>
      </c>
      <c r="C233" t="str">
        <f>"92.7313"</f>
        <v>92.7313</v>
      </c>
    </row>
    <row r="234" spans="1:3" x14ac:dyDescent="0.25">
      <c r="A234" t="str">
        <f>"17/05/2010"</f>
        <v>17/05/2010</v>
      </c>
      <c r="B234" t="str">
        <f>"91.968"</f>
        <v>91.968</v>
      </c>
      <c r="C234" t="str">
        <f>"91.9412"</f>
        <v>91.9412</v>
      </c>
    </row>
    <row r="235" spans="1:3" x14ac:dyDescent="0.25">
      <c r="A235" t="str">
        <f>"18/05/2010"</f>
        <v>18/05/2010</v>
      </c>
      <c r="B235" t="str">
        <f>"92.48"</f>
        <v>92.48</v>
      </c>
      <c r="C235" t="str">
        <f>"92.454"</f>
        <v>92.454</v>
      </c>
    </row>
    <row r="236" spans="1:3" x14ac:dyDescent="0.25">
      <c r="A236" t="str">
        <f>"19/05/2010"</f>
        <v>19/05/2010</v>
      </c>
      <c r="B236" t="str">
        <f>"92.03"</f>
        <v>92.03</v>
      </c>
      <c r="C236" t="str">
        <f>"92.0005"</f>
        <v>92.0005</v>
      </c>
    </row>
    <row r="237" spans="1:3" x14ac:dyDescent="0.25">
      <c r="A237" t="str">
        <f>"20/05/2010"</f>
        <v>20/05/2010</v>
      </c>
      <c r="B237" t="str">
        <f>"91.7995"</f>
        <v>91.7995</v>
      </c>
      <c r="C237" t="str">
        <f>"91.7762"</f>
        <v>91.7762</v>
      </c>
    </row>
    <row r="238" spans="1:3" x14ac:dyDescent="0.25">
      <c r="A238" t="str">
        <f>"21/05/2010"</f>
        <v>21/05/2010</v>
      </c>
      <c r="B238" t="str">
        <f>"90.14"</f>
        <v>90.14</v>
      </c>
      <c r="C238" t="str">
        <f>"90.1104"</f>
        <v>90.1104</v>
      </c>
    </row>
    <row r="239" spans="1:3" x14ac:dyDescent="0.25">
      <c r="A239" t="str">
        <f>"24/05/2010"</f>
        <v>24/05/2010</v>
      </c>
      <c r="B239" t="str">
        <f>"90.13"</f>
        <v>90.13</v>
      </c>
      <c r="C239" t="str">
        <f>"90.0885"</f>
        <v>90.0885</v>
      </c>
    </row>
    <row r="240" spans="1:3" x14ac:dyDescent="0.25">
      <c r="A240" t="str">
        <f>"25/05/2010"</f>
        <v>25/05/2010</v>
      </c>
      <c r="B240" t="str">
        <f>"90.089"</f>
        <v>90.089</v>
      </c>
      <c r="C240" t="str">
        <f>"90.0431"</f>
        <v>90.0431</v>
      </c>
    </row>
    <row r="241" spans="1:3" x14ac:dyDescent="0.25">
      <c r="A241" t="str">
        <f>"26/05/2010"</f>
        <v>26/05/2010</v>
      </c>
      <c r="B241" t="str">
        <f>"90.14"</f>
        <v>90.14</v>
      </c>
      <c r="C241" t="str">
        <f>"90.0753"</f>
        <v>90.0753</v>
      </c>
    </row>
    <row r="242" spans="1:3" x14ac:dyDescent="0.25">
      <c r="A242" t="str">
        <f>"28/05/2010"</f>
        <v>28/05/2010</v>
      </c>
      <c r="B242" t="str">
        <f>"91.1095"</f>
        <v>91.1095</v>
      </c>
      <c r="C242" t="str">
        <f>"91.0745"</f>
        <v>91.0745</v>
      </c>
    </row>
    <row r="243" spans="1:3" x14ac:dyDescent="0.25">
      <c r="A243" t="str">
        <f>"31/05/2010"</f>
        <v>31/05/2010</v>
      </c>
      <c r="B243" t="str">
        <f>"91.39"</f>
        <v>91.39</v>
      </c>
      <c r="C243" t="str">
        <f>"91.3522"</f>
        <v>91.3522</v>
      </c>
    </row>
    <row r="244" spans="1:3" x14ac:dyDescent="0.25">
      <c r="A244" t="str">
        <f>"01/06/2010"</f>
        <v>01/06/2010</v>
      </c>
      <c r="B244" t="str">
        <f>"91.02"</f>
        <v>91.02</v>
      </c>
      <c r="C244" t="str">
        <f>"90.9813"</f>
        <v>90.9813</v>
      </c>
    </row>
    <row r="245" spans="1:3" x14ac:dyDescent="0.25">
      <c r="A245" t="str">
        <f>"02/06/2010"</f>
        <v>02/06/2010</v>
      </c>
      <c r="B245" t="str">
        <f>"91.32"</f>
        <v>91.32</v>
      </c>
      <c r="C245" t="str">
        <f>"91.2826"</f>
        <v>91.2826</v>
      </c>
    </row>
    <row r="246" spans="1:3" x14ac:dyDescent="0.25">
      <c r="A246" t="str">
        <f>"03/06/2010"</f>
        <v>03/06/2010</v>
      </c>
      <c r="B246" t="str">
        <f>"92.19"</f>
        <v>92.19</v>
      </c>
      <c r="C246" t="str">
        <f>"92.1561"</f>
        <v>92.1561</v>
      </c>
    </row>
    <row r="247" spans="1:3" x14ac:dyDescent="0.25">
      <c r="A247" t="str">
        <f>"04/06/2010"</f>
        <v>04/06/2010</v>
      </c>
      <c r="B247" t="str">
        <f>"92.659"</f>
        <v>92.659</v>
      </c>
      <c r="C247" t="str">
        <f>"92.6267"</f>
        <v>92.6267</v>
      </c>
    </row>
    <row r="248" spans="1:3" x14ac:dyDescent="0.25">
      <c r="A248" t="str">
        <f>"07/06/2010"</f>
        <v>07/06/2010</v>
      </c>
      <c r="B248" t="str">
        <f>"91.259"</f>
        <v>91.259</v>
      </c>
      <c r="C248" t="str">
        <f>"91.2176"</f>
        <v>91.2176</v>
      </c>
    </row>
    <row r="249" spans="1:3" x14ac:dyDescent="0.25">
      <c r="A249" t="str">
        <f>"08/06/2010"</f>
        <v>08/06/2010</v>
      </c>
      <c r="B249" t="str">
        <f>"91.65"</f>
        <v>91.65</v>
      </c>
      <c r="C249" t="str">
        <f>"91.6092"</f>
        <v>91.6092</v>
      </c>
    </row>
    <row r="250" spans="1:3" x14ac:dyDescent="0.25">
      <c r="A250" t="str">
        <f>"09/06/2010"</f>
        <v>09/06/2010</v>
      </c>
      <c r="B250" t="str">
        <f>"91.4995"</f>
        <v>91.4995</v>
      </c>
      <c r="C250" t="str">
        <f>"91.4602"</f>
        <v>91.4602</v>
      </c>
    </row>
    <row r="251" spans="1:3" x14ac:dyDescent="0.25">
      <c r="A251" t="str">
        <f>"10/06/2010"</f>
        <v>10/06/2010</v>
      </c>
      <c r="B251" t="str">
        <f>"91.2085"</f>
        <v>91.2085</v>
      </c>
      <c r="C251" t="str">
        <f>"91.1759"</f>
        <v>91.1759</v>
      </c>
    </row>
    <row r="252" spans="1:3" x14ac:dyDescent="0.25">
      <c r="A252" t="str">
        <f>"11/06/2010"</f>
        <v>11/06/2010</v>
      </c>
      <c r="B252" t="str">
        <f>"91.572"</f>
        <v>91.572</v>
      </c>
      <c r="C252" t="str">
        <f>"91.5377"</f>
        <v>91.5377</v>
      </c>
    </row>
    <row r="253" spans="1:3" x14ac:dyDescent="0.25">
      <c r="A253" t="str">
        <f>"14/06/2010"</f>
        <v>14/06/2010</v>
      </c>
      <c r="B253" t="str">
        <f>"91.83"</f>
        <v>91.83</v>
      </c>
      <c r="C253" t="str">
        <f>"91.793"</f>
        <v>91.793</v>
      </c>
    </row>
    <row r="254" spans="1:3" x14ac:dyDescent="0.25">
      <c r="A254" t="str">
        <f>"15/06/2010"</f>
        <v>15/06/2010</v>
      </c>
      <c r="B254" t="str">
        <f>"91.549"</f>
        <v>91.549</v>
      </c>
      <c r="C254" t="str">
        <f>"91.5094"</f>
        <v>91.5094</v>
      </c>
    </row>
    <row r="255" spans="1:3" x14ac:dyDescent="0.25">
      <c r="A255" t="str">
        <f>"16/06/2010"</f>
        <v>16/06/2010</v>
      </c>
      <c r="B255" t="str">
        <f>"91.508"</f>
        <v>91.508</v>
      </c>
      <c r="C255" t="str">
        <f>"91.4671"</f>
        <v>91.4671</v>
      </c>
    </row>
    <row r="256" spans="1:3" x14ac:dyDescent="0.25">
      <c r="A256" t="str">
        <f>"17/06/2010"</f>
        <v>17/06/2010</v>
      </c>
      <c r="B256" t="str">
        <f>"91.266"</f>
        <v>91.266</v>
      </c>
      <c r="C256" t="str">
        <f>"91.2301"</f>
        <v>91.2301</v>
      </c>
    </row>
    <row r="257" spans="1:3" x14ac:dyDescent="0.25">
      <c r="A257" t="str">
        <f>"18/06/2010"</f>
        <v>18/06/2010</v>
      </c>
      <c r="B257" t="str">
        <f>"90.78"</f>
        <v>90.78</v>
      </c>
      <c r="C257" t="str">
        <f>"90.7439"</f>
        <v>90.7439</v>
      </c>
    </row>
    <row r="258" spans="1:3" x14ac:dyDescent="0.25">
      <c r="A258" t="str">
        <f>"21/06/2010"</f>
        <v>21/06/2010</v>
      </c>
      <c r="B258" t="str">
        <f>"90.81"</f>
        <v>90.81</v>
      </c>
      <c r="C258" t="str">
        <f>"90.7775"</f>
        <v>90.7775</v>
      </c>
    </row>
    <row r="259" spans="1:3" x14ac:dyDescent="0.25">
      <c r="A259" t="str">
        <f>"22/06/2010"</f>
        <v>22/06/2010</v>
      </c>
      <c r="B259" t="str">
        <f>"90.9395"</f>
        <v>90.9395</v>
      </c>
      <c r="C259" t="str">
        <f>"90.9037"</f>
        <v>90.9037</v>
      </c>
    </row>
    <row r="260" spans="1:3" x14ac:dyDescent="0.25">
      <c r="A260" t="str">
        <f>"23/06/2010"</f>
        <v>23/06/2010</v>
      </c>
      <c r="B260" t="str">
        <f>"90.509"</f>
        <v>90.509</v>
      </c>
      <c r="C260" t="str">
        <f>"90.4739"</f>
        <v>90.4739</v>
      </c>
    </row>
    <row r="261" spans="1:3" x14ac:dyDescent="0.25">
      <c r="A261" t="str">
        <f>"24/06/2010"</f>
        <v>24/06/2010</v>
      </c>
      <c r="B261" t="str">
        <f>"89.889"</f>
        <v>89.889</v>
      </c>
      <c r="C261" t="str">
        <f>"89.8516"</f>
        <v>89.8516</v>
      </c>
    </row>
    <row r="262" spans="1:3" x14ac:dyDescent="0.25">
      <c r="A262" t="str">
        <f>"25/06/2010"</f>
        <v>25/06/2010</v>
      </c>
      <c r="B262" t="str">
        <f>"89.4675"</f>
        <v>89.4675</v>
      </c>
      <c r="C262" t="str">
        <f>"89.4317"</f>
        <v>89.4317</v>
      </c>
    </row>
    <row r="263" spans="1:3" x14ac:dyDescent="0.25">
      <c r="A263" t="str">
        <f>"28/06/2010"</f>
        <v>28/06/2010</v>
      </c>
      <c r="B263" t="str">
        <f>"89.431"</f>
        <v>89.431</v>
      </c>
      <c r="C263" t="str">
        <f>"89.3964"</f>
        <v>89.3964</v>
      </c>
    </row>
    <row r="264" spans="1:3" x14ac:dyDescent="0.25">
      <c r="A264" t="str">
        <f>"29/06/2010"</f>
        <v>29/06/2010</v>
      </c>
      <c r="B264" t="str">
        <f>"88.89"</f>
        <v>88.89</v>
      </c>
      <c r="C264" t="str">
        <f>"88.852"</f>
        <v>88.852</v>
      </c>
    </row>
    <row r="265" spans="1:3" x14ac:dyDescent="0.25">
      <c r="A265" t="str">
        <f>"30/06/2010"</f>
        <v>30/06/2010</v>
      </c>
      <c r="B265" t="str">
        <f>"88.63"</f>
        <v>88.63</v>
      </c>
      <c r="C265" t="str">
        <f>"88.5881"</f>
        <v>88.5881</v>
      </c>
    </row>
    <row r="266" spans="1:3" x14ac:dyDescent="0.25">
      <c r="A266" t="str">
        <f>"01/07/2010"</f>
        <v>01/07/2010</v>
      </c>
      <c r="B266" t="str">
        <f>"88.18"</f>
        <v>88.18</v>
      </c>
      <c r="C266" t="str">
        <f>"88.1411"</f>
        <v>88.1411</v>
      </c>
    </row>
    <row r="267" spans="1:3" x14ac:dyDescent="0.25">
      <c r="A267" t="str">
        <f>"02/07/2010"</f>
        <v>02/07/2010</v>
      </c>
      <c r="B267" t="str">
        <f>"87.979"</f>
        <v>87.979</v>
      </c>
      <c r="C267" t="str">
        <f>"87.9376"</f>
        <v>87.9376</v>
      </c>
    </row>
    <row r="268" spans="1:3" x14ac:dyDescent="0.25">
      <c r="A268" t="str">
        <f>"05/07/2010"</f>
        <v>05/07/2010</v>
      </c>
      <c r="B268" t="str">
        <f>"87.93"</f>
        <v>87.93</v>
      </c>
      <c r="C268" t="str">
        <f>"87.8882"</f>
        <v>87.8882</v>
      </c>
    </row>
    <row r="269" spans="1:3" x14ac:dyDescent="0.25">
      <c r="A269" t="str">
        <f>"06/07/2010"</f>
        <v>06/07/2010</v>
      </c>
      <c r="B269" t="str">
        <f>"87.62"</f>
        <v>87.62</v>
      </c>
      <c r="C269" t="str">
        <f>"87.5816"</f>
        <v>87.5816</v>
      </c>
    </row>
    <row r="270" spans="1:3" x14ac:dyDescent="0.25">
      <c r="A270" t="str">
        <f>"07/07/2010"</f>
        <v>07/07/2010</v>
      </c>
      <c r="B270" t="str">
        <f>"87.5255"</f>
        <v>87.5255</v>
      </c>
      <c r="C270" t="str">
        <f>"87.4946"</f>
        <v>87.4946</v>
      </c>
    </row>
    <row r="271" spans="1:3" x14ac:dyDescent="0.25">
      <c r="A271" t="str">
        <f>"08/07/2010"</f>
        <v>08/07/2010</v>
      </c>
      <c r="B271" t="str">
        <f>"88.3685"</f>
        <v>88.3685</v>
      </c>
      <c r="C271" t="str">
        <f>"88.3408"</f>
        <v>88.3408</v>
      </c>
    </row>
    <row r="272" spans="1:3" x14ac:dyDescent="0.25">
      <c r="A272" t="str">
        <f>"09/07/2010"</f>
        <v>09/07/2010</v>
      </c>
      <c r="B272" t="str">
        <f>"88.64"</f>
        <v>88.64</v>
      </c>
      <c r="C272" t="str">
        <f>"88.6151"</f>
        <v>88.6151</v>
      </c>
    </row>
    <row r="273" spans="1:3" x14ac:dyDescent="0.25">
      <c r="A273" t="str">
        <f>"12/07/2010"</f>
        <v>12/07/2010</v>
      </c>
      <c r="B273" t="str">
        <f>"89.11"</f>
        <v>89.11</v>
      </c>
      <c r="C273" t="str">
        <f>"89.0821"</f>
        <v>89.0821</v>
      </c>
    </row>
    <row r="274" spans="1:3" x14ac:dyDescent="0.25">
      <c r="A274" t="str">
        <f>"13/07/2010"</f>
        <v>13/07/2010</v>
      </c>
      <c r="B274" t="str">
        <f>"88.559"</f>
        <v>88.559</v>
      </c>
      <c r="C274" t="str">
        <f>"88.5222"</f>
        <v>88.5222</v>
      </c>
    </row>
    <row r="275" spans="1:3" x14ac:dyDescent="0.25">
      <c r="A275" t="str">
        <f>"14/07/2010"</f>
        <v>14/07/2010</v>
      </c>
      <c r="B275" t="str">
        <f>"89.0045"</f>
        <v>89.0045</v>
      </c>
      <c r="C275" t="str">
        <f>"88.9721"</f>
        <v>88.9721</v>
      </c>
    </row>
    <row r="276" spans="1:3" x14ac:dyDescent="0.25">
      <c r="A276" t="str">
        <f>"15/07/2010"</f>
        <v>15/07/2010</v>
      </c>
      <c r="B276" t="str">
        <f>"88.20"</f>
        <v>88.20</v>
      </c>
      <c r="C276" t="str">
        <f>"88.1741"</f>
        <v>88.1741</v>
      </c>
    </row>
    <row r="277" spans="1:3" x14ac:dyDescent="0.25">
      <c r="A277" t="str">
        <f>"16/07/2010"</f>
        <v>16/07/2010</v>
      </c>
      <c r="B277" t="str">
        <f>"87.08"</f>
        <v>87.08</v>
      </c>
      <c r="C277" t="str">
        <f>"87.05"</f>
        <v>87.05</v>
      </c>
    </row>
    <row r="278" spans="1:3" x14ac:dyDescent="0.25">
      <c r="A278" t="str">
        <f>"19/07/2010"</f>
        <v>19/07/2010</v>
      </c>
      <c r="B278" t="str">
        <f>"86.688"</f>
        <v>86.688</v>
      </c>
      <c r="C278" t="str">
        <f>"86.6556"</f>
        <v>86.6556</v>
      </c>
    </row>
    <row r="279" spans="1:3" x14ac:dyDescent="0.25">
      <c r="A279" t="str">
        <f>"20/07/2010"</f>
        <v>20/07/2010</v>
      </c>
      <c r="B279" t="str">
        <f>"87.07"</f>
        <v>87.07</v>
      </c>
      <c r="C279" t="str">
        <f>"87.04"</f>
        <v>87.04</v>
      </c>
    </row>
    <row r="280" spans="1:3" x14ac:dyDescent="0.25">
      <c r="A280" t="str">
        <f>"21/07/2010"</f>
        <v>21/07/2010</v>
      </c>
      <c r="B280" t="str">
        <f>"87.12"</f>
        <v>87.12</v>
      </c>
      <c r="C280" t="str">
        <f>"87.093"</f>
        <v>87.093</v>
      </c>
    </row>
    <row r="281" spans="1:3" x14ac:dyDescent="0.25">
      <c r="A281" t="str">
        <f>"22/07/2010"</f>
        <v>22/07/2010</v>
      </c>
      <c r="B281" t="str">
        <f>"86.54"</f>
        <v>86.54</v>
      </c>
      <c r="C281" t="str">
        <f>"86.5139"</f>
        <v>86.5139</v>
      </c>
    </row>
    <row r="282" spans="1:3" x14ac:dyDescent="0.25">
      <c r="A282" t="str">
        <f>"23/07/2010"</f>
        <v>23/07/2010</v>
      </c>
      <c r="B282" t="str">
        <f>"86.91"</f>
        <v>86.91</v>
      </c>
      <c r="C282" t="str">
        <f>"86.8818"</f>
        <v>86.8818</v>
      </c>
    </row>
    <row r="283" spans="1:3" x14ac:dyDescent="0.25">
      <c r="A283" t="str">
        <f>"26/07/2010"</f>
        <v>26/07/2010</v>
      </c>
      <c r="B283" t="str">
        <f>"87.64"</f>
        <v>87.64</v>
      </c>
      <c r="C283" t="str">
        <f>"87.6095"</f>
        <v>87.6095</v>
      </c>
    </row>
    <row r="284" spans="1:3" x14ac:dyDescent="0.25">
      <c r="A284" t="str">
        <f>"27/07/2010"</f>
        <v>27/07/2010</v>
      </c>
      <c r="B284" t="str">
        <f>"86.94"</f>
        <v>86.94</v>
      </c>
      <c r="C284" t="str">
        <f>"86.915"</f>
        <v>86.915</v>
      </c>
    </row>
    <row r="285" spans="1:3" x14ac:dyDescent="0.25">
      <c r="A285" t="str">
        <f>"28/07/2010"</f>
        <v>28/07/2010</v>
      </c>
      <c r="B285" t="str">
        <f>"87.73"</f>
        <v>87.73</v>
      </c>
      <c r="C285" t="str">
        <f>"87.7052"</f>
        <v>87.7052</v>
      </c>
    </row>
    <row r="286" spans="1:3" x14ac:dyDescent="0.25">
      <c r="A286" t="str">
        <f>"29/07/2010"</f>
        <v>29/07/2010</v>
      </c>
      <c r="B286" t="str">
        <f>"87.24"</f>
        <v>87.24</v>
      </c>
      <c r="C286" t="str">
        <f>"87.22"</f>
        <v>87.22</v>
      </c>
    </row>
    <row r="287" spans="1:3" x14ac:dyDescent="0.25">
      <c r="A287" t="str">
        <f>"30/07/2010"</f>
        <v>30/07/2010</v>
      </c>
      <c r="B287" t="str">
        <f>"86.4285"</f>
        <v>86.4285</v>
      </c>
      <c r="C287" t="str">
        <f>"86.4064"</f>
        <v>86.4064</v>
      </c>
    </row>
    <row r="288" spans="1:3" x14ac:dyDescent="0.25">
      <c r="A288" t="str">
        <f>"02/08/2010"</f>
        <v>02/08/2010</v>
      </c>
      <c r="B288" t="str">
        <f>"86.45"</f>
        <v>86.45</v>
      </c>
      <c r="C288" t="str">
        <f>"86.4276"</f>
        <v>86.4276</v>
      </c>
    </row>
    <row r="289" spans="1:3" x14ac:dyDescent="0.25">
      <c r="A289" t="str">
        <f>"03/08/2010"</f>
        <v>03/08/2010</v>
      </c>
      <c r="B289" t="str">
        <f>"86.39"</f>
        <v>86.39</v>
      </c>
      <c r="C289" t="str">
        <f>"86.3681"</f>
        <v>86.3681</v>
      </c>
    </row>
    <row r="290" spans="1:3" x14ac:dyDescent="0.25">
      <c r="A290" t="str">
        <f>"04/08/2010"</f>
        <v>04/08/2010</v>
      </c>
      <c r="B290" t="str">
        <f>"85.37"</f>
        <v>85.37</v>
      </c>
      <c r="C290" t="str">
        <f>"85.3503"</f>
        <v>85.3503</v>
      </c>
    </row>
    <row r="291" spans="1:3" x14ac:dyDescent="0.25">
      <c r="A291" t="str">
        <f>"05/08/2010"</f>
        <v>05/08/2010</v>
      </c>
      <c r="B291" t="str">
        <f>"86.05"</f>
        <v>86.05</v>
      </c>
      <c r="C291" t="str">
        <f>"86.0322"</f>
        <v>86.0322</v>
      </c>
    </row>
    <row r="292" spans="1:3" x14ac:dyDescent="0.25">
      <c r="A292" t="str">
        <f>"06/08/2010"</f>
        <v>06/08/2010</v>
      </c>
      <c r="B292" t="str">
        <f>"86.08"</f>
        <v>86.08</v>
      </c>
      <c r="C292" t="str">
        <f>"86.0613"</f>
        <v>86.0613</v>
      </c>
    </row>
    <row r="293" spans="1:3" x14ac:dyDescent="0.25">
      <c r="A293" t="str">
        <f>"09/08/2010"</f>
        <v>09/08/2010</v>
      </c>
      <c r="B293" t="str">
        <f>"85.45"</f>
        <v>85.45</v>
      </c>
      <c r="C293" t="str">
        <f>"85.4289"</f>
        <v>85.4289</v>
      </c>
    </row>
    <row r="294" spans="1:3" x14ac:dyDescent="0.25">
      <c r="A294" t="str">
        <f>"10/08/2010"</f>
        <v>10/08/2010</v>
      </c>
      <c r="B294" t="str">
        <f>"85.82"</f>
        <v>85.82</v>
      </c>
      <c r="C294" t="str">
        <f>"85.7991"</f>
        <v>85.7991</v>
      </c>
    </row>
    <row r="295" spans="1:3" x14ac:dyDescent="0.25">
      <c r="A295" t="str">
        <f>"11/08/2010"</f>
        <v>11/08/2010</v>
      </c>
      <c r="B295" t="str">
        <f>"85.28"</f>
        <v>85.28</v>
      </c>
      <c r="C295" t="str">
        <f>"85.259"</f>
        <v>85.259</v>
      </c>
    </row>
    <row r="296" spans="1:3" x14ac:dyDescent="0.25">
      <c r="A296" t="str">
        <f>"12/08/2010"</f>
        <v>12/08/2010</v>
      </c>
      <c r="B296" t="str">
        <f>"85.35"</f>
        <v>85.35</v>
      </c>
      <c r="C296" t="str">
        <f>"85.3295"</f>
        <v>85.3295</v>
      </c>
    </row>
    <row r="297" spans="1:3" x14ac:dyDescent="0.25">
      <c r="A297" t="str">
        <f>"13/08/2010"</f>
        <v>13/08/2010</v>
      </c>
      <c r="B297" t="str">
        <f>"86.061"</f>
        <v>86.061</v>
      </c>
      <c r="C297" t="str">
        <f>"86.0392"</f>
        <v>86.0392</v>
      </c>
    </row>
    <row r="298" spans="1:3" x14ac:dyDescent="0.25">
      <c r="A298" t="str">
        <f>"16/08/2010"</f>
        <v>16/08/2010</v>
      </c>
      <c r="B298" t="str">
        <f>"85.858"</f>
        <v>85.858</v>
      </c>
      <c r="C298" t="str">
        <f>"85.8349"</f>
        <v>85.8349</v>
      </c>
    </row>
    <row r="299" spans="1:3" x14ac:dyDescent="0.25">
      <c r="A299" t="str">
        <f>"17/08/2010"</f>
        <v>17/08/2010</v>
      </c>
      <c r="B299" t="str">
        <f>"85.296"</f>
        <v>85.296</v>
      </c>
      <c r="C299" t="str">
        <f>"85.2735"</f>
        <v>85.2735</v>
      </c>
    </row>
    <row r="300" spans="1:3" x14ac:dyDescent="0.25">
      <c r="A300" t="str">
        <f>"18/08/2010"</f>
        <v>18/08/2010</v>
      </c>
      <c r="B300" t="str">
        <f>"85.4285"</f>
        <v>85.4285</v>
      </c>
      <c r="C300" t="str">
        <f>"85.4074"</f>
        <v>85.4074</v>
      </c>
    </row>
    <row r="301" spans="1:3" x14ac:dyDescent="0.25">
      <c r="A301" t="str">
        <f>"20/08/2010"</f>
        <v>20/08/2010</v>
      </c>
      <c r="B301" t="str">
        <f>"85.318"</f>
        <v>85.318</v>
      </c>
      <c r="C301" t="str">
        <f>"85.2978"</f>
        <v>85.2978</v>
      </c>
    </row>
    <row r="302" spans="1:3" x14ac:dyDescent="0.25">
      <c r="A302" t="str">
        <f>"23/08/2010"</f>
        <v>23/08/2010</v>
      </c>
      <c r="B302" t="str">
        <f>"85.36"</f>
        <v>85.36</v>
      </c>
      <c r="C302" t="str">
        <f>"85.3364"</f>
        <v>85.3364</v>
      </c>
    </row>
    <row r="303" spans="1:3" x14ac:dyDescent="0.25">
      <c r="A303" t="str">
        <f>"24/08/2010"</f>
        <v>24/08/2010</v>
      </c>
      <c r="B303" t="str">
        <f>"84.94"</f>
        <v>84.94</v>
      </c>
      <c r="C303" t="str">
        <f>"84.9156"</f>
        <v>84.9156</v>
      </c>
    </row>
    <row r="304" spans="1:3" x14ac:dyDescent="0.25">
      <c r="A304" t="str">
        <f>"25/08/2010"</f>
        <v>25/08/2010</v>
      </c>
      <c r="B304" t="str">
        <f>"84.27"</f>
        <v>84.27</v>
      </c>
      <c r="C304" t="str">
        <f>"84.245"</f>
        <v>84.245</v>
      </c>
    </row>
    <row r="305" spans="1:3" x14ac:dyDescent="0.25">
      <c r="A305" t="str">
        <f>"26/08/2010"</f>
        <v>26/08/2010</v>
      </c>
      <c r="B305" t="str">
        <f>"84.75"</f>
        <v>84.75</v>
      </c>
      <c r="C305" t="str">
        <f>"84.727"</f>
        <v>84.727</v>
      </c>
    </row>
    <row r="306" spans="1:3" x14ac:dyDescent="0.25">
      <c r="A306" t="str">
        <f>"27/08/2010"</f>
        <v>27/08/2010</v>
      </c>
      <c r="B306" t="str">
        <f>"84.73"</f>
        <v>84.73</v>
      </c>
      <c r="C306" t="str">
        <f>"84.7064"</f>
        <v>84.7064</v>
      </c>
    </row>
    <row r="307" spans="1:3" x14ac:dyDescent="0.25">
      <c r="A307" t="str">
        <f>"30/08/2010"</f>
        <v>30/08/2010</v>
      </c>
      <c r="B307" t="str">
        <f>"85.41"</f>
        <v>85.41</v>
      </c>
      <c r="C307" t="str">
        <f>"85.3868"</f>
        <v>85.3868</v>
      </c>
    </row>
    <row r="308" spans="1:3" x14ac:dyDescent="0.25">
      <c r="A308" t="str">
        <f>"31/08/2010"</f>
        <v>31/08/2010</v>
      </c>
      <c r="B308" t="str">
        <f>"84.24"</f>
        <v>84.24</v>
      </c>
      <c r="C308" t="str">
        <f>"84.2116"</f>
        <v>84.2116</v>
      </c>
    </row>
    <row r="309" spans="1:3" x14ac:dyDescent="0.25">
      <c r="A309" t="str">
        <f>"01/09/2010"</f>
        <v>01/09/2010</v>
      </c>
      <c r="B309" t="str">
        <f>"84.52"</f>
        <v>84.52</v>
      </c>
      <c r="C309" t="str">
        <f>"84.4948"</f>
        <v>84.4948</v>
      </c>
    </row>
    <row r="310" spans="1:3" x14ac:dyDescent="0.25">
      <c r="A310" t="str">
        <f>"02/09/2010"</f>
        <v>02/09/2010</v>
      </c>
      <c r="B310" t="str">
        <f>"84.158"</f>
        <v>84.158</v>
      </c>
      <c r="C310" t="str">
        <f>"84.1353"</f>
        <v>84.1353</v>
      </c>
    </row>
    <row r="311" spans="1:3" x14ac:dyDescent="0.25">
      <c r="A311" t="str">
        <f>"03/09/2010"</f>
        <v>03/09/2010</v>
      </c>
      <c r="B311" t="str">
        <f>"84.269"</f>
        <v>84.269</v>
      </c>
      <c r="C311" t="str">
        <f>"84.2468"</f>
        <v>84.2468</v>
      </c>
    </row>
    <row r="312" spans="1:3" x14ac:dyDescent="0.25">
      <c r="A312" t="str">
        <f>"06/09/2010"</f>
        <v>06/09/2010</v>
      </c>
      <c r="B312" t="str">
        <f>"84.366"</f>
        <v>84.366</v>
      </c>
      <c r="C312" t="str">
        <f>"84.3428"</f>
        <v>84.3428</v>
      </c>
    </row>
    <row r="313" spans="1:3" x14ac:dyDescent="0.25">
      <c r="A313" t="str">
        <f>"07/09/2010"</f>
        <v>07/09/2010</v>
      </c>
      <c r="B313" t="str">
        <f>"84.162"</f>
        <v>84.162</v>
      </c>
      <c r="C313" t="str">
        <f>"84.1382"</f>
        <v>84.1382</v>
      </c>
    </row>
    <row r="314" spans="1:3" x14ac:dyDescent="0.25">
      <c r="A314" t="str">
        <f>"08/09/2010"</f>
        <v>08/09/2010</v>
      </c>
      <c r="B314" t="str">
        <f>"83.509"</f>
        <v>83.509</v>
      </c>
      <c r="C314" t="str">
        <f>"83.4833"</f>
        <v>83.4833</v>
      </c>
    </row>
    <row r="315" spans="1:3" x14ac:dyDescent="0.25">
      <c r="A315" t="str">
        <f>"09/09/2010"</f>
        <v>09/09/2010</v>
      </c>
      <c r="B315" t="str">
        <f>"83.7695"</f>
        <v>83.7695</v>
      </c>
      <c r="C315" t="str">
        <f>"83.7466"</f>
        <v>83.7466</v>
      </c>
    </row>
    <row r="316" spans="1:3" x14ac:dyDescent="0.25">
      <c r="A316" t="str">
        <f>"13/09/2010"</f>
        <v>13/09/2010</v>
      </c>
      <c r="B316" t="str">
        <f>"84.157"</f>
        <v>84.157</v>
      </c>
      <c r="C316" t="str">
        <f>"84.1347"</f>
        <v>84.1347</v>
      </c>
    </row>
    <row r="317" spans="1:3" x14ac:dyDescent="0.25">
      <c r="A317" t="str">
        <f>"14/09/2010"</f>
        <v>14/09/2010</v>
      </c>
      <c r="B317" t="str">
        <f>"83.41"</f>
        <v>83.41</v>
      </c>
      <c r="C317" t="str">
        <f>"83.3881"</f>
        <v>83.3881</v>
      </c>
    </row>
    <row r="318" spans="1:3" x14ac:dyDescent="0.25">
      <c r="A318" t="str">
        <f>"15/09/2010"</f>
        <v>15/09/2010</v>
      </c>
      <c r="B318" t="str">
        <f>"84.98"</f>
        <v>84.98</v>
      </c>
      <c r="C318" t="str">
        <f>"84.9599"</f>
        <v>84.9599</v>
      </c>
    </row>
    <row r="319" spans="1:3" x14ac:dyDescent="0.25">
      <c r="A319" t="str">
        <f>"16/09/2010"</f>
        <v>16/09/2010</v>
      </c>
      <c r="B319" t="str">
        <f>"85.29"</f>
        <v>85.29</v>
      </c>
      <c r="C319" t="str">
        <f>"85.2616"</f>
        <v>85.2616</v>
      </c>
    </row>
    <row r="320" spans="1:3" x14ac:dyDescent="0.25">
      <c r="A320" t="str">
        <f>"17/09/2010"</f>
        <v>17/09/2010</v>
      </c>
      <c r="B320" t="str">
        <f>"85.80"</f>
        <v>85.80</v>
      </c>
      <c r="C320" t="str">
        <f>"85.7724"</f>
        <v>85.7724</v>
      </c>
    </row>
    <row r="321" spans="1:3" x14ac:dyDescent="0.25">
      <c r="A321" t="str">
        <f>"20/09/2010"</f>
        <v>20/09/2010</v>
      </c>
      <c r="B321" t="str">
        <f>"85.698"</f>
        <v>85.698</v>
      </c>
      <c r="C321" t="str">
        <f>"85.6627"</f>
        <v>85.6627</v>
      </c>
    </row>
    <row r="322" spans="1:3" x14ac:dyDescent="0.25">
      <c r="A322" t="str">
        <f>"21/09/2010"</f>
        <v>21/09/2010</v>
      </c>
      <c r="B322" t="str">
        <f>"85.56"</f>
        <v>85.56</v>
      </c>
      <c r="C322" t="str">
        <f>"85.5276"</f>
        <v>85.5276</v>
      </c>
    </row>
    <row r="323" spans="1:3" x14ac:dyDescent="0.25">
      <c r="A323" t="str">
        <f>"22/09/2010"</f>
        <v>22/09/2010</v>
      </c>
      <c r="B323" t="str">
        <f>"84.905"</f>
        <v>84.905</v>
      </c>
      <c r="C323" t="str">
        <f>"84.8849"</f>
        <v>84.8849</v>
      </c>
    </row>
    <row r="324" spans="1:3" x14ac:dyDescent="0.25">
      <c r="A324" t="str">
        <f>"23/09/2010"</f>
        <v>23/09/2010</v>
      </c>
      <c r="B324" t="str">
        <f>"84.626"</f>
        <v>84.626</v>
      </c>
      <c r="C324" t="str">
        <f>"84.605"</f>
        <v>84.605</v>
      </c>
    </row>
    <row r="325" spans="1:3" x14ac:dyDescent="0.25">
      <c r="A325" t="str">
        <f>"24/09/2010"</f>
        <v>24/09/2010</v>
      </c>
      <c r="B325" t="str">
        <f>"85.105"</f>
        <v>85.105</v>
      </c>
      <c r="C325" t="str">
        <f>"85.083"</f>
        <v>85.083</v>
      </c>
    </row>
    <row r="326" spans="1:3" x14ac:dyDescent="0.25">
      <c r="A326" t="str">
        <f>"27/09/2010"</f>
        <v>27/09/2010</v>
      </c>
      <c r="B326" t="str">
        <f>"84.245"</f>
        <v>84.245</v>
      </c>
      <c r="C326" t="str">
        <f>"84.2214"</f>
        <v>84.2214</v>
      </c>
    </row>
    <row r="327" spans="1:3" x14ac:dyDescent="0.25">
      <c r="A327" t="str">
        <f>"28/09/2010"</f>
        <v>28/09/2010</v>
      </c>
      <c r="B327" t="str">
        <f>"84.225"</f>
        <v>84.225</v>
      </c>
      <c r="C327" t="str">
        <f>"84.203"</f>
        <v>84.203</v>
      </c>
    </row>
    <row r="328" spans="1:3" x14ac:dyDescent="0.25">
      <c r="A328" t="str">
        <f>"29/09/2010"</f>
        <v>29/09/2010</v>
      </c>
      <c r="B328" t="str">
        <f>"83.788"</f>
        <v>83.788</v>
      </c>
      <c r="C328" t="str">
        <f>"83.7669"</f>
        <v>83.7669</v>
      </c>
    </row>
    <row r="329" spans="1:3" x14ac:dyDescent="0.25">
      <c r="A329" t="str">
        <f>"01/10/2010"</f>
        <v>01/10/2010</v>
      </c>
      <c r="B329" t="str">
        <f>"83.449"</f>
        <v>83.449</v>
      </c>
      <c r="C329" t="str">
        <f>"83.4277"</f>
        <v>83.4277</v>
      </c>
    </row>
    <row r="330" spans="1:3" x14ac:dyDescent="0.25">
      <c r="A330" t="str">
        <f>"04/10/2010"</f>
        <v>04/10/2010</v>
      </c>
      <c r="B330" t="str">
        <f>"83.56"</f>
        <v>83.56</v>
      </c>
      <c r="C330" t="str">
        <f>"83.5364"</f>
        <v>83.5364</v>
      </c>
    </row>
    <row r="331" spans="1:3" x14ac:dyDescent="0.25">
      <c r="A331" t="str">
        <f>"05/10/2010"</f>
        <v>05/10/2010</v>
      </c>
      <c r="B331" t="str">
        <f>"83.557"</f>
        <v>83.557</v>
      </c>
      <c r="C331" t="str">
        <f>"83.5346"</f>
        <v>83.5346</v>
      </c>
    </row>
    <row r="332" spans="1:3" x14ac:dyDescent="0.25">
      <c r="A332" t="str">
        <f>"06/10/2010"</f>
        <v>06/10/2010</v>
      </c>
      <c r="B332" t="str">
        <f>"83.184"</f>
        <v>83.184</v>
      </c>
      <c r="C332" t="str">
        <f>"83.1618"</f>
        <v>83.1618</v>
      </c>
    </row>
    <row r="333" spans="1:3" x14ac:dyDescent="0.25">
      <c r="A333" t="str">
        <f>"07/10/2010"</f>
        <v>07/10/2010</v>
      </c>
      <c r="B333" t="str">
        <f>"82.92"</f>
        <v>82.92</v>
      </c>
      <c r="C333" t="str">
        <f>"82.898"</f>
        <v>82.898</v>
      </c>
    </row>
    <row r="334" spans="1:3" x14ac:dyDescent="0.25">
      <c r="A334" t="str">
        <f>"08/10/2010"</f>
        <v>08/10/2010</v>
      </c>
      <c r="B334" t="str">
        <f>"82.34"</f>
        <v>82.34</v>
      </c>
      <c r="C334" t="str">
        <f>"82.3171"</f>
        <v>82.3171</v>
      </c>
    </row>
    <row r="335" spans="1:3" x14ac:dyDescent="0.25">
      <c r="A335" t="str">
        <f>"11/10/2010"</f>
        <v>11/10/2010</v>
      </c>
      <c r="B335" t="str">
        <f>"82.038"</f>
        <v>82.038</v>
      </c>
      <c r="C335" t="str">
        <f>"82.0164"</f>
        <v>82.0164</v>
      </c>
    </row>
    <row r="336" spans="1:3" x14ac:dyDescent="0.25">
      <c r="A336" t="str">
        <f>"12/10/2010"</f>
        <v>12/10/2010</v>
      </c>
      <c r="B336" t="str">
        <f>"81.9435"</f>
        <v>81.9435</v>
      </c>
      <c r="C336" t="str">
        <f>"81.9218"</f>
        <v>81.9218</v>
      </c>
    </row>
    <row r="337" spans="1:3" x14ac:dyDescent="0.25">
      <c r="A337" t="str">
        <f>"13/10/2010"</f>
        <v>13/10/2010</v>
      </c>
      <c r="B337" t="str">
        <f>"81.819"</f>
        <v>81.819</v>
      </c>
      <c r="C337" t="str">
        <f>"81.7993"</f>
        <v>81.7993</v>
      </c>
    </row>
    <row r="338" spans="1:3" x14ac:dyDescent="0.25">
      <c r="A338" t="str">
        <f>"14/10/2010"</f>
        <v>14/10/2010</v>
      </c>
      <c r="B338" t="str">
        <f>"81.3375"</f>
        <v>81.3375</v>
      </c>
      <c r="C338" t="str">
        <f>"81.3177"</f>
        <v>81.3177</v>
      </c>
    </row>
    <row r="339" spans="1:3" x14ac:dyDescent="0.25">
      <c r="A339" t="str">
        <f>"15/10/2010"</f>
        <v>15/10/2010</v>
      </c>
      <c r="B339" t="str">
        <f>"81.309"</f>
        <v>81.309</v>
      </c>
      <c r="C339" t="str">
        <f>"81.2879"</f>
        <v>81.2879</v>
      </c>
    </row>
    <row r="340" spans="1:3" x14ac:dyDescent="0.25">
      <c r="A340" t="str">
        <f>"18/10/2010"</f>
        <v>18/10/2010</v>
      </c>
      <c r="B340" t="str">
        <f>"81.283"</f>
        <v>81.283</v>
      </c>
      <c r="C340" t="str">
        <f>"81.2604"</f>
        <v>81.2604</v>
      </c>
    </row>
    <row r="341" spans="1:3" x14ac:dyDescent="0.25">
      <c r="A341" t="str">
        <f>"19/10/2010"</f>
        <v>19/10/2010</v>
      </c>
      <c r="B341" t="str">
        <f>"81.401"</f>
        <v>81.401</v>
      </c>
      <c r="C341" t="str">
        <f>"81.3794"</f>
        <v>81.3794</v>
      </c>
    </row>
    <row r="342" spans="1:3" x14ac:dyDescent="0.25">
      <c r="A342" t="str">
        <f>"20/10/2010"</f>
        <v>20/10/2010</v>
      </c>
      <c r="B342" t="str">
        <f>"81.38"</f>
        <v>81.38</v>
      </c>
      <c r="C342" t="str">
        <f>"81.3605"</f>
        <v>81.3605</v>
      </c>
    </row>
    <row r="343" spans="1:3" x14ac:dyDescent="0.25">
      <c r="A343" t="str">
        <f>"21/10/2010"</f>
        <v>21/10/2010</v>
      </c>
      <c r="B343" t="str">
        <f>"81.159"</f>
        <v>81.159</v>
      </c>
      <c r="C343" t="str">
        <f>"81.1399"</f>
        <v>81.1399</v>
      </c>
    </row>
    <row r="344" spans="1:3" x14ac:dyDescent="0.25">
      <c r="A344" t="str">
        <f>"22/10/2010"</f>
        <v>22/10/2010</v>
      </c>
      <c r="B344" t="str">
        <f>"81.19"</f>
        <v>81.19</v>
      </c>
      <c r="C344" t="str">
        <f>"81.1734"</f>
        <v>81.1734</v>
      </c>
    </row>
    <row r="345" spans="1:3" x14ac:dyDescent="0.25">
      <c r="A345" t="str">
        <f>"25/10/2010"</f>
        <v>25/10/2010</v>
      </c>
      <c r="B345" t="str">
        <f>"81.042"</f>
        <v>81.042</v>
      </c>
      <c r="C345" t="str">
        <f>"81.024"</f>
        <v>81.024</v>
      </c>
    </row>
    <row r="346" spans="1:3" x14ac:dyDescent="0.25">
      <c r="A346" t="str">
        <f>"26/10/2010"</f>
        <v>26/10/2010</v>
      </c>
      <c r="B346" t="str">
        <f>"80.796"</f>
        <v>80.796</v>
      </c>
      <c r="C346" t="str">
        <f>"80.7784"</f>
        <v>80.7784</v>
      </c>
    </row>
    <row r="347" spans="1:3" x14ac:dyDescent="0.25">
      <c r="A347" t="str">
        <f>"27/10/2010"</f>
        <v>27/10/2010</v>
      </c>
      <c r="B347" t="str">
        <f>"81.703"</f>
        <v>81.703</v>
      </c>
      <c r="C347" t="str">
        <f>"81.6842"</f>
        <v>81.6842</v>
      </c>
    </row>
    <row r="348" spans="1:3" x14ac:dyDescent="0.25">
      <c r="A348" t="str">
        <f>"28/10/2010"</f>
        <v>28/10/2010</v>
      </c>
      <c r="B348" t="str">
        <f>"81.62"</f>
        <v>81.62</v>
      </c>
      <c r="C348" t="str">
        <f>"81.6013"</f>
        <v>81.6013</v>
      </c>
    </row>
    <row r="349" spans="1:3" x14ac:dyDescent="0.25">
      <c r="A349" t="str">
        <f>"29/10/2010"</f>
        <v>29/10/2010</v>
      </c>
      <c r="B349" t="str">
        <f>"80.5705"</f>
        <v>80.5705</v>
      </c>
      <c r="C349" t="str">
        <f>"80.5535"</f>
        <v>80.5535</v>
      </c>
    </row>
    <row r="350" spans="1:3" x14ac:dyDescent="0.25">
      <c r="A350" t="str">
        <f>"01/11/2010"</f>
        <v>01/11/2010</v>
      </c>
      <c r="B350" t="str">
        <f>"80.65"</f>
        <v>80.65</v>
      </c>
      <c r="C350" t="str">
        <f>"80.6304"</f>
        <v>80.6304</v>
      </c>
    </row>
    <row r="351" spans="1:3" x14ac:dyDescent="0.25">
      <c r="A351" t="str">
        <f>"02/11/2010"</f>
        <v>02/11/2010</v>
      </c>
      <c r="B351" t="str">
        <f>"80.531"</f>
        <v>80.531</v>
      </c>
      <c r="C351" t="str">
        <f>"80.5131"</f>
        <v>80.5131</v>
      </c>
    </row>
    <row r="352" spans="1:3" x14ac:dyDescent="0.25">
      <c r="A352" t="str">
        <f>"03/11/2010"</f>
        <v>03/11/2010</v>
      </c>
      <c r="B352" t="str">
        <f>"80.666"</f>
        <v>80.666</v>
      </c>
      <c r="C352" t="str">
        <f>"80.6488"</f>
        <v>80.6488</v>
      </c>
    </row>
    <row r="353" spans="1:3" x14ac:dyDescent="0.25">
      <c r="A353" t="str">
        <f>"04/11/2010"</f>
        <v>04/11/2010</v>
      </c>
      <c r="B353" t="str">
        <f>"80.825"</f>
        <v>80.825</v>
      </c>
      <c r="C353" t="str">
        <f>"80.8091"</f>
        <v>80.8091</v>
      </c>
    </row>
    <row r="354" spans="1:3" x14ac:dyDescent="0.25">
      <c r="A354" t="str">
        <f>"08/11/2010"</f>
        <v>08/11/2010</v>
      </c>
      <c r="B354" t="str">
        <f>"81.234"</f>
        <v>81.234</v>
      </c>
      <c r="C354" t="str">
        <f>"81.218"</f>
        <v>81.218</v>
      </c>
    </row>
    <row r="355" spans="1:3" x14ac:dyDescent="0.25">
      <c r="A355" t="str">
        <f>"09/11/2010"</f>
        <v>09/11/2010</v>
      </c>
      <c r="B355" t="str">
        <f>"80.997"</f>
        <v>80.997</v>
      </c>
      <c r="C355" t="str">
        <f>"80.9796"</f>
        <v>80.9796</v>
      </c>
    </row>
    <row r="356" spans="1:3" x14ac:dyDescent="0.25">
      <c r="A356" t="str">
        <f>"10/11/2010"</f>
        <v>10/11/2010</v>
      </c>
      <c r="B356" t="str">
        <f>"81.749"</f>
        <v>81.749</v>
      </c>
      <c r="C356" t="str">
        <f>"81.7319"</f>
        <v>81.7319</v>
      </c>
    </row>
    <row r="357" spans="1:3" x14ac:dyDescent="0.25">
      <c r="A357" t="str">
        <f>"11/11/2010"</f>
        <v>11/11/2010</v>
      </c>
      <c r="B357" t="str">
        <f>"82.17"</f>
        <v>82.17</v>
      </c>
      <c r="C357" t="str">
        <f>"82.1547"</f>
        <v>82.1547</v>
      </c>
    </row>
    <row r="358" spans="1:3" x14ac:dyDescent="0.25">
      <c r="A358" t="str">
        <f>"12/11/2010"</f>
        <v>12/11/2010</v>
      </c>
      <c r="B358" t="str">
        <f>"82.366"</f>
        <v>82.366</v>
      </c>
      <c r="C358" t="str">
        <f>"82.3497"</f>
        <v>82.3497</v>
      </c>
    </row>
    <row r="359" spans="1:3" x14ac:dyDescent="0.25">
      <c r="A359" t="str">
        <f>"15/11/2010"</f>
        <v>15/11/2010</v>
      </c>
      <c r="B359" t="str">
        <f>"82.73"</f>
        <v>82.73</v>
      </c>
      <c r="C359" t="str">
        <f>"82.7128"</f>
        <v>82.7128</v>
      </c>
    </row>
    <row r="360" spans="1:3" x14ac:dyDescent="0.25">
      <c r="A360" t="str">
        <f>"16/11/2010"</f>
        <v>16/11/2010</v>
      </c>
      <c r="B360" t="str">
        <f>"83.046"</f>
        <v>83.046</v>
      </c>
      <c r="C360" t="str">
        <f>"83.0276"</f>
        <v>83.0276</v>
      </c>
    </row>
    <row r="361" spans="1:3" x14ac:dyDescent="0.25">
      <c r="A361" t="str">
        <f>"18/11/2010"</f>
        <v>18/11/2010</v>
      </c>
      <c r="B361" t="str">
        <f>"83.2815"</f>
        <v>83.2815</v>
      </c>
      <c r="C361" t="str">
        <f>"83.2645"</f>
        <v>83.2645</v>
      </c>
    </row>
    <row r="362" spans="1:3" x14ac:dyDescent="0.25">
      <c r="A362" t="str">
        <f>"22/11/2010"</f>
        <v>22/11/2010</v>
      </c>
      <c r="B362" t="str">
        <f>"83.3675"</f>
        <v>83.3675</v>
      </c>
      <c r="C362" t="str">
        <f>"83.3476"</f>
        <v>83.3476</v>
      </c>
    </row>
    <row r="363" spans="1:3" x14ac:dyDescent="0.25">
      <c r="A363" t="str">
        <f>"23/11/2010"</f>
        <v>23/11/2010</v>
      </c>
      <c r="B363" t="str">
        <f>"83.355"</f>
        <v>83.355</v>
      </c>
      <c r="C363" t="str">
        <f>"83.3349"</f>
        <v>83.3349</v>
      </c>
    </row>
    <row r="364" spans="1:3" x14ac:dyDescent="0.25">
      <c r="A364" t="str">
        <f>"24/11/2010"</f>
        <v>24/11/2010</v>
      </c>
      <c r="B364" t="str">
        <f>"83.246"</f>
        <v>83.246</v>
      </c>
      <c r="C364" t="str">
        <f>"83.2227"</f>
        <v>83.2227</v>
      </c>
    </row>
    <row r="365" spans="1:3" x14ac:dyDescent="0.25">
      <c r="A365" t="str">
        <f>"25/11/2010"</f>
        <v>25/11/2010</v>
      </c>
      <c r="B365" t="str">
        <f>"83.515"</f>
        <v>83.515</v>
      </c>
      <c r="C365" t="str">
        <f>"83.4874"</f>
        <v>83.4874</v>
      </c>
    </row>
    <row r="366" spans="1:3" x14ac:dyDescent="0.25">
      <c r="A366" t="str">
        <f>"26/11/2010"</f>
        <v>26/11/2010</v>
      </c>
      <c r="B366" t="str">
        <f>"83.744"</f>
        <v>83.744</v>
      </c>
      <c r="C366" t="str">
        <f>"83.717"</f>
        <v>83.717</v>
      </c>
    </row>
    <row r="367" spans="1:3" x14ac:dyDescent="0.25">
      <c r="A367" t="str">
        <f>"29/11/2010"</f>
        <v>29/11/2010</v>
      </c>
      <c r="B367" t="str">
        <f>"84.1095"</f>
        <v>84.1095</v>
      </c>
      <c r="C367" t="str">
        <f>"84.0766"</f>
        <v>84.0766</v>
      </c>
    </row>
    <row r="368" spans="1:3" x14ac:dyDescent="0.25">
      <c r="A368" t="str">
        <f>"30/11/2010"</f>
        <v>30/11/2010</v>
      </c>
      <c r="B368" t="str">
        <f>"84.13"</f>
        <v>84.13</v>
      </c>
      <c r="C368" t="str">
        <f>"84.092"</f>
        <v>84.092</v>
      </c>
    </row>
    <row r="369" spans="1:3" x14ac:dyDescent="0.25">
      <c r="A369" t="str">
        <f>"01/12/2010"</f>
        <v>01/12/2010</v>
      </c>
      <c r="B369" t="str">
        <f>"83.525"</f>
        <v>83.525</v>
      </c>
      <c r="C369" t="str">
        <f>"83.4822"</f>
        <v>83.4822</v>
      </c>
    </row>
    <row r="370" spans="1:3" x14ac:dyDescent="0.25">
      <c r="A370" t="str">
        <f>"02/12/2010"</f>
        <v>02/12/2010</v>
      </c>
      <c r="B370" t="str">
        <f>"84.093"</f>
        <v>84.093</v>
      </c>
      <c r="C370" t="str">
        <f>"84.0596"</f>
        <v>84.0596</v>
      </c>
    </row>
    <row r="371" spans="1:3" x14ac:dyDescent="0.25">
      <c r="A371" t="str">
        <f>"03/12/2010"</f>
        <v>03/12/2010</v>
      </c>
      <c r="B371" t="str">
        <f>"83.72"</f>
        <v>83.72</v>
      </c>
      <c r="C371" t="str">
        <f>"83.6937"</f>
        <v>83.6937</v>
      </c>
    </row>
    <row r="372" spans="1:3" x14ac:dyDescent="0.25">
      <c r="A372" t="str">
        <f>"06/12/2010"</f>
        <v>06/12/2010</v>
      </c>
      <c r="B372" t="str">
        <f>"82.91"</f>
        <v>82.91</v>
      </c>
      <c r="C372" t="str">
        <f>"82.8792"</f>
        <v>82.8792</v>
      </c>
    </row>
    <row r="373" spans="1:3" x14ac:dyDescent="0.25">
      <c r="A373" t="str">
        <f>"07/12/2010"</f>
        <v>07/12/2010</v>
      </c>
      <c r="B373" t="str">
        <f>"82.496"</f>
        <v>82.496</v>
      </c>
      <c r="C373" t="str">
        <f>"82.4671"</f>
        <v>82.4671</v>
      </c>
    </row>
    <row r="374" spans="1:3" x14ac:dyDescent="0.25">
      <c r="A374" t="str">
        <f>"08/12/2010"</f>
        <v>08/12/2010</v>
      </c>
      <c r="B374" t="str">
        <f>"83.798"</f>
        <v>83.798</v>
      </c>
      <c r="C374" t="str">
        <f>"83.77"</f>
        <v>83.77</v>
      </c>
    </row>
    <row r="375" spans="1:3" x14ac:dyDescent="0.25">
      <c r="A375" t="str">
        <f>"09/12/2010"</f>
        <v>09/12/2010</v>
      </c>
      <c r="B375" t="str">
        <f>"83.739"</f>
        <v>83.739</v>
      </c>
      <c r="C375" t="str">
        <f>"83.7132"</f>
        <v>83.7132</v>
      </c>
    </row>
    <row r="376" spans="1:3" x14ac:dyDescent="0.25">
      <c r="A376" t="str">
        <f>"10/12/2010"</f>
        <v>10/12/2010</v>
      </c>
      <c r="B376" t="str">
        <f>"83.736"</f>
        <v>83.736</v>
      </c>
      <c r="C376" t="str">
        <f>"83.71"</f>
        <v>83.71</v>
      </c>
    </row>
    <row r="377" spans="1:3" x14ac:dyDescent="0.25">
      <c r="A377" t="str">
        <f>"13/12/2010"</f>
        <v>13/12/2010</v>
      </c>
      <c r="B377" t="str">
        <f>"84.089"</f>
        <v>84.089</v>
      </c>
      <c r="C377" t="str">
        <f>"84.0577"</f>
        <v>84.0577</v>
      </c>
    </row>
    <row r="378" spans="1:3" x14ac:dyDescent="0.25">
      <c r="A378" t="str">
        <f>"14/12/2010"</f>
        <v>14/12/2010</v>
      </c>
      <c r="B378" t="str">
        <f>"83.47"</f>
        <v>83.47</v>
      </c>
      <c r="C378" t="str">
        <f>"83.4397"</f>
        <v>83.4397</v>
      </c>
    </row>
    <row r="379" spans="1:3" x14ac:dyDescent="0.25">
      <c r="A379" t="str">
        <f>"15/12/2010"</f>
        <v>15/12/2010</v>
      </c>
      <c r="B379" t="str">
        <f>"83.80"</f>
        <v>83.80</v>
      </c>
      <c r="C379" t="str">
        <f>"83.771"</f>
        <v>83.771</v>
      </c>
    </row>
    <row r="380" spans="1:3" x14ac:dyDescent="0.25">
      <c r="A380" t="str">
        <f>"16/12/2010"</f>
        <v>16/12/2010</v>
      </c>
      <c r="B380" t="str">
        <f>"84.249"</f>
        <v>84.249</v>
      </c>
      <c r="C380" t="str">
        <f>"84.217"</f>
        <v>84.217</v>
      </c>
    </row>
    <row r="381" spans="1:3" x14ac:dyDescent="0.25">
      <c r="A381" t="str">
        <f>"20/12/2010"</f>
        <v>20/12/2010</v>
      </c>
      <c r="B381" t="str">
        <f>"83.89"</f>
        <v>83.89</v>
      </c>
      <c r="C381" t="str">
        <f>"83.8539"</f>
        <v>83.8539</v>
      </c>
    </row>
    <row r="382" spans="1:3" x14ac:dyDescent="0.25">
      <c r="A382" t="str">
        <f>"21/12/2010"</f>
        <v>21/12/2010</v>
      </c>
      <c r="B382" t="str">
        <f>"83.65"</f>
        <v>83.65</v>
      </c>
      <c r="C382" t="str">
        <f>"83.6161"</f>
        <v>83.6161</v>
      </c>
    </row>
    <row r="383" spans="1:3" x14ac:dyDescent="0.25">
      <c r="A383" t="str">
        <f>"22/12/2010"</f>
        <v>22/12/2010</v>
      </c>
      <c r="B383" t="str">
        <f>"83.78"</f>
        <v>83.78</v>
      </c>
      <c r="C383" t="str">
        <f>"83.7408"</f>
        <v>83.7408</v>
      </c>
    </row>
    <row r="384" spans="1:3" x14ac:dyDescent="0.25">
      <c r="A384" t="str">
        <f>"23/12/2010"</f>
        <v>23/12/2010</v>
      </c>
      <c r="B384" t="str">
        <f>"83.158"</f>
        <v>83.158</v>
      </c>
      <c r="C384" t="str">
        <f>"83.121"</f>
        <v>83.121</v>
      </c>
    </row>
    <row r="385" spans="1:3" x14ac:dyDescent="0.25">
      <c r="A385" t="str">
        <f>"24/12/2010"</f>
        <v>24/12/2010</v>
      </c>
      <c r="B385" t="str">
        <f>"83.00"</f>
        <v>83.00</v>
      </c>
      <c r="C385" t="str">
        <f>"82.9625"</f>
        <v>82.9625</v>
      </c>
    </row>
    <row r="386" spans="1:3" x14ac:dyDescent="0.25">
      <c r="A386" t="str">
        <f>"27/12/2010"</f>
        <v>27/12/2010</v>
      </c>
      <c r="B386" t="str">
        <f>"82.889"</f>
        <v>82.889</v>
      </c>
      <c r="C386" t="str">
        <f>"82.8497"</f>
        <v>82.8497</v>
      </c>
    </row>
    <row r="387" spans="1:3" x14ac:dyDescent="0.25">
      <c r="A387" t="str">
        <f>"28/12/2010"</f>
        <v>28/12/2010</v>
      </c>
      <c r="B387" t="str">
        <f>"82.52"</f>
        <v>82.52</v>
      </c>
      <c r="C387" t="str">
        <f>"82.4862"</f>
        <v>82.4862</v>
      </c>
    </row>
    <row r="388" spans="1:3" x14ac:dyDescent="0.25">
      <c r="A388" t="str">
        <f>"29/12/2010"</f>
        <v>29/12/2010</v>
      </c>
      <c r="B388" t="str">
        <f>"82.309"</f>
        <v>82.309</v>
      </c>
      <c r="C388" t="str">
        <f>"82.2879"</f>
        <v>82.2879</v>
      </c>
    </row>
    <row r="389" spans="1:3" x14ac:dyDescent="0.25">
      <c r="A389" t="str">
        <f>"30/12/2010"</f>
        <v>30/12/2010</v>
      </c>
      <c r="B389" t="str">
        <f>"81.457"</f>
        <v>81.457</v>
      </c>
      <c r="C389" t="str">
        <f>"81.4316"</f>
        <v>81.4316</v>
      </c>
    </row>
    <row r="390" spans="1:3" x14ac:dyDescent="0.25">
      <c r="A390" t="str">
        <f>"31/12/2010"</f>
        <v>31/12/2010</v>
      </c>
      <c r="B390" t="str">
        <f>"81.51"</f>
        <v>81.51</v>
      </c>
      <c r="C390" t="str">
        <f>"81.4844"</f>
        <v>81.4844</v>
      </c>
    </row>
    <row r="391" spans="1:3" x14ac:dyDescent="0.25">
      <c r="A391" t="str">
        <f>"03/01/2011"</f>
        <v>03/01/2011</v>
      </c>
      <c r="B391" t="str">
        <f>"81.2585"</f>
        <v>81.2585</v>
      </c>
      <c r="C391" t="str">
        <f>"81.232"</f>
        <v>81.232</v>
      </c>
    </row>
    <row r="392" spans="1:3" x14ac:dyDescent="0.25">
      <c r="A392" t="str">
        <f>"04/01/2011"</f>
        <v>04/01/2011</v>
      </c>
      <c r="B392" t="str">
        <f>"82.07"</f>
        <v>82.07</v>
      </c>
      <c r="C392" t="str">
        <f>"82.0435"</f>
        <v>82.0435</v>
      </c>
    </row>
    <row r="393" spans="1:3" x14ac:dyDescent="0.25">
      <c r="A393" t="str">
        <f>"05/01/2011"</f>
        <v>05/01/2011</v>
      </c>
      <c r="B393" t="str">
        <f>"82.087"</f>
        <v>82.087</v>
      </c>
      <c r="C393" t="str">
        <f>"82.0638"</f>
        <v>82.0638</v>
      </c>
    </row>
    <row r="394" spans="1:3" x14ac:dyDescent="0.25">
      <c r="A394" t="str">
        <f>"06/01/2011"</f>
        <v>06/01/2011</v>
      </c>
      <c r="B394" t="str">
        <f>"83.24"</f>
        <v>83.24</v>
      </c>
      <c r="C394" t="str">
        <f>"83.2149"</f>
        <v>83.2149</v>
      </c>
    </row>
    <row r="395" spans="1:3" x14ac:dyDescent="0.25">
      <c r="A395" t="str">
        <f>"07/01/2011"</f>
        <v>07/01/2011</v>
      </c>
      <c r="B395" t="str">
        <f>"83.37"</f>
        <v>83.37</v>
      </c>
      <c r="C395" t="str">
        <f>"83.3443"</f>
        <v>83.3443</v>
      </c>
    </row>
    <row r="396" spans="1:3" x14ac:dyDescent="0.25">
      <c r="A396" t="str">
        <f>"10/01/2011"</f>
        <v>10/01/2011</v>
      </c>
      <c r="B396" t="str">
        <f>"83.097"</f>
        <v>83.097</v>
      </c>
      <c r="C396" t="str">
        <f>"83.072"</f>
        <v>83.072</v>
      </c>
    </row>
    <row r="397" spans="1:3" x14ac:dyDescent="0.25">
      <c r="A397" t="str">
        <f>"11/01/2011"</f>
        <v>11/01/2011</v>
      </c>
      <c r="B397" t="str">
        <f>"83.06"</f>
        <v>83.06</v>
      </c>
      <c r="C397" t="str">
        <f>"83.0356"</f>
        <v>83.0356</v>
      </c>
    </row>
    <row r="398" spans="1:3" x14ac:dyDescent="0.25">
      <c r="A398" t="str">
        <f>"12/01/2011"</f>
        <v>12/01/2011</v>
      </c>
      <c r="B398" t="str">
        <f>"83.12"</f>
        <v>83.12</v>
      </c>
      <c r="C398" t="str">
        <f>"83.0986"</f>
        <v>83.0986</v>
      </c>
    </row>
    <row r="399" spans="1:3" x14ac:dyDescent="0.25">
      <c r="A399" t="str">
        <f>"13/01/2011"</f>
        <v>13/01/2011</v>
      </c>
      <c r="B399" t="str">
        <f>"83.037"</f>
        <v>83.037</v>
      </c>
      <c r="C399" t="str">
        <f>"83.0163"</f>
        <v>83.0163</v>
      </c>
    </row>
    <row r="400" spans="1:3" x14ac:dyDescent="0.25">
      <c r="A400" t="str">
        <f>"14/01/2011"</f>
        <v>14/01/2011</v>
      </c>
      <c r="B400" t="str">
        <f>"82.62"</f>
        <v>82.62</v>
      </c>
      <c r="C400" t="str">
        <f>"82.5997"</f>
        <v>82.5997</v>
      </c>
    </row>
    <row r="401" spans="1:3" x14ac:dyDescent="0.25">
      <c r="A401" t="str">
        <f>"17/01/2011"</f>
        <v>17/01/2011</v>
      </c>
      <c r="B401" t="str">
        <f>"82.898"</f>
        <v>82.898</v>
      </c>
      <c r="C401" t="str">
        <f>"82.8758"</f>
        <v>82.8758</v>
      </c>
    </row>
    <row r="402" spans="1:3" x14ac:dyDescent="0.25">
      <c r="A402" t="str">
        <f>"18/01/2011"</f>
        <v>18/01/2011</v>
      </c>
      <c r="B402" t="str">
        <f>"82.54"</f>
        <v>82.54</v>
      </c>
      <c r="C402" t="str">
        <f>"82.5192"</f>
        <v>82.5192</v>
      </c>
    </row>
    <row r="403" spans="1:3" x14ac:dyDescent="0.25">
      <c r="A403" t="str">
        <f>"19/01/2011"</f>
        <v>19/01/2011</v>
      </c>
      <c r="B403" t="str">
        <f>"82.284"</f>
        <v>82.284</v>
      </c>
      <c r="C403" t="str">
        <f>"82.2657"</f>
        <v>82.2657</v>
      </c>
    </row>
    <row r="404" spans="1:3" x14ac:dyDescent="0.25">
      <c r="A404" t="str">
        <f>"20/01/2011"</f>
        <v>20/01/2011</v>
      </c>
      <c r="B404" t="str">
        <f>"82.119"</f>
        <v>82.119</v>
      </c>
      <c r="C404" t="str">
        <f>"82.1003"</f>
        <v>82.1003</v>
      </c>
    </row>
    <row r="405" spans="1:3" x14ac:dyDescent="0.25">
      <c r="A405" t="str">
        <f>"21/01/2011"</f>
        <v>21/01/2011</v>
      </c>
      <c r="B405" t="str">
        <f>"82.948"</f>
        <v>82.948</v>
      </c>
      <c r="C405" t="str">
        <f>"82.9292"</f>
        <v>82.9292</v>
      </c>
    </row>
    <row r="406" spans="1:3" x14ac:dyDescent="0.25">
      <c r="A406" t="str">
        <f>"24/01/2011"</f>
        <v>24/01/2011</v>
      </c>
      <c r="B406" t="str">
        <f>"82.777"</f>
        <v>82.777</v>
      </c>
      <c r="C406" t="str">
        <f>"82.7586"</f>
        <v>82.7586</v>
      </c>
    </row>
    <row r="407" spans="1:3" x14ac:dyDescent="0.25">
      <c r="A407" t="str">
        <f>"25/01/2011"</f>
        <v>25/01/2011</v>
      </c>
      <c r="B407" t="str">
        <f>"82.48"</f>
        <v>82.48</v>
      </c>
      <c r="C407" t="str">
        <f>"82.4633"</f>
        <v>82.4633</v>
      </c>
    </row>
    <row r="408" spans="1:3" x14ac:dyDescent="0.25">
      <c r="A408" t="str">
        <f>"27/01/2011"</f>
        <v>27/01/2011</v>
      </c>
      <c r="B408" t="str">
        <f>"82.1565"</f>
        <v>82.1565</v>
      </c>
      <c r="C408" t="str">
        <f>"82.1412"</f>
        <v>82.1412</v>
      </c>
    </row>
    <row r="409" spans="1:3" x14ac:dyDescent="0.25">
      <c r="A409" t="str">
        <f>"28/01/2011"</f>
        <v>28/01/2011</v>
      </c>
      <c r="B409" t="str">
        <f>"82.72"</f>
        <v>82.72</v>
      </c>
      <c r="C409" t="str">
        <f>"82.7067"</f>
        <v>82.7067</v>
      </c>
    </row>
    <row r="410" spans="1:3" x14ac:dyDescent="0.25">
      <c r="A410" t="str">
        <f>"31/01/2011"</f>
        <v>31/01/2011</v>
      </c>
      <c r="B410" t="str">
        <f>"82.049"</f>
        <v>82.049</v>
      </c>
      <c r="C410" t="str">
        <f>"82.0346"</f>
        <v>82.0346</v>
      </c>
    </row>
    <row r="411" spans="1:3" x14ac:dyDescent="0.25">
      <c r="A411" t="str">
        <f>"01/02/2011"</f>
        <v>01/02/2011</v>
      </c>
      <c r="B411" t="str">
        <f>"81.939"</f>
        <v>81.939</v>
      </c>
      <c r="C411" t="str">
        <f>"81.9262"</f>
        <v>81.9262</v>
      </c>
    </row>
    <row r="412" spans="1:3" x14ac:dyDescent="0.25">
      <c r="A412" t="str">
        <f>"02/02/2011"</f>
        <v>02/02/2011</v>
      </c>
      <c r="B412" t="str">
        <f>"81.4355"</f>
        <v>81.4355</v>
      </c>
      <c r="C412" t="str">
        <f>"81.4221"</f>
        <v>81.4221</v>
      </c>
    </row>
    <row r="413" spans="1:3" x14ac:dyDescent="0.25">
      <c r="A413" t="str">
        <f>"03/02/2011"</f>
        <v>03/02/2011</v>
      </c>
      <c r="B413" t="str">
        <f>"81.6495"</f>
        <v>81.6495</v>
      </c>
      <c r="C413" t="str">
        <f>"81.6355"</f>
        <v>81.6355</v>
      </c>
    </row>
    <row r="414" spans="1:3" x14ac:dyDescent="0.25">
      <c r="A414" t="str">
        <f>"04/02/2011"</f>
        <v>04/02/2011</v>
      </c>
      <c r="B414" t="str">
        <f>"81.54"</f>
        <v>81.54</v>
      </c>
      <c r="C414" t="str">
        <f>"81.5277"</f>
        <v>81.5277</v>
      </c>
    </row>
    <row r="415" spans="1:3" x14ac:dyDescent="0.25">
      <c r="A415" t="str">
        <f>"07/02/2011"</f>
        <v>07/02/2011</v>
      </c>
      <c r="B415" t="str">
        <f>"82.2275"</f>
        <v>82.2275</v>
      </c>
      <c r="C415" t="str">
        <f>"82.213"</f>
        <v>82.213</v>
      </c>
    </row>
    <row r="416" spans="1:3" x14ac:dyDescent="0.25">
      <c r="A416" t="str">
        <f>"08/02/2011"</f>
        <v>08/02/2011</v>
      </c>
      <c r="B416" t="str">
        <f>"82.29"</f>
        <v>82.29</v>
      </c>
      <c r="C416" t="str">
        <f>"82.2754"</f>
        <v>82.2754</v>
      </c>
    </row>
    <row r="417" spans="1:3" x14ac:dyDescent="0.25">
      <c r="A417" t="str">
        <f>"09/02/2011"</f>
        <v>09/02/2011</v>
      </c>
      <c r="B417" t="str">
        <f>"82.398"</f>
        <v>82.398</v>
      </c>
      <c r="C417" t="str">
        <f>"82.3844"</f>
        <v>82.3844</v>
      </c>
    </row>
    <row r="418" spans="1:3" x14ac:dyDescent="0.25">
      <c r="A418" t="str">
        <f>"10/02/2011"</f>
        <v>10/02/2011</v>
      </c>
      <c r="B418" t="str">
        <f>"82.542"</f>
        <v>82.542</v>
      </c>
      <c r="C418" t="str">
        <f>"82.5265"</f>
        <v>82.5265</v>
      </c>
    </row>
    <row r="419" spans="1:3" x14ac:dyDescent="0.25">
      <c r="A419" t="str">
        <f>"11/02/2011"</f>
        <v>11/02/2011</v>
      </c>
      <c r="B419" t="str">
        <f>"83.42"</f>
        <v>83.42</v>
      </c>
      <c r="C419" t="str">
        <f>"83.405"</f>
        <v>83.405</v>
      </c>
    </row>
    <row r="420" spans="1:3" x14ac:dyDescent="0.25">
      <c r="A420" t="str">
        <f>"14/02/2011"</f>
        <v>14/02/2011</v>
      </c>
      <c r="B420" t="str">
        <f>"83.225"</f>
        <v>83.225</v>
      </c>
      <c r="C420" t="str">
        <f>"83.2087"</f>
        <v>83.2087</v>
      </c>
    </row>
    <row r="421" spans="1:3" x14ac:dyDescent="0.25">
      <c r="A421" t="str">
        <f>"15/02/2011"</f>
        <v>15/02/2011</v>
      </c>
      <c r="B421" t="str">
        <f>"83.31"</f>
        <v>83.31</v>
      </c>
      <c r="C421" t="str">
        <f>"83.294"</f>
        <v>83.294</v>
      </c>
    </row>
    <row r="422" spans="1:3" x14ac:dyDescent="0.25">
      <c r="A422" t="str">
        <f>"17/02/2011"</f>
        <v>17/02/2011</v>
      </c>
      <c r="B422" t="str">
        <f>"83.5805"</f>
        <v>83.5805</v>
      </c>
      <c r="C422" t="str">
        <f>"83.5662"</f>
        <v>83.5662</v>
      </c>
    </row>
    <row r="423" spans="1:3" x14ac:dyDescent="0.25">
      <c r="A423" t="str">
        <f>"18/02/2011"</f>
        <v>18/02/2011</v>
      </c>
      <c r="B423" t="str">
        <f>"83.306"</f>
        <v>83.306</v>
      </c>
      <c r="C423" t="str">
        <f>"83.2911"</f>
        <v>83.2911</v>
      </c>
    </row>
    <row r="424" spans="1:3" x14ac:dyDescent="0.25">
      <c r="A424" t="str">
        <f>"21/02/2011"</f>
        <v>21/02/2011</v>
      </c>
      <c r="B424" t="str">
        <f>"83.136"</f>
        <v>83.136</v>
      </c>
      <c r="C424" t="str">
        <f>"83.1223"</f>
        <v>83.1223</v>
      </c>
    </row>
    <row r="425" spans="1:3" x14ac:dyDescent="0.25">
      <c r="A425" t="str">
        <f>"22/02/2011"</f>
        <v>22/02/2011</v>
      </c>
      <c r="B425" t="str">
        <f>"83.275"</f>
        <v>83.275</v>
      </c>
      <c r="C425" t="str">
        <f>"83.2614"</f>
        <v>83.2614</v>
      </c>
    </row>
    <row r="426" spans="1:3" x14ac:dyDescent="0.25">
      <c r="A426" t="str">
        <f>"23/02/2011"</f>
        <v>23/02/2011</v>
      </c>
      <c r="B426" t="str">
        <f>"82.565"</f>
        <v>82.565</v>
      </c>
      <c r="C426" t="str">
        <f>"82.5526"</f>
        <v>82.5526</v>
      </c>
    </row>
    <row r="427" spans="1:3" x14ac:dyDescent="0.25">
      <c r="A427" t="str">
        <f>"24/02/2011"</f>
        <v>24/02/2011</v>
      </c>
      <c r="B427" t="str">
        <f>"82.147"</f>
        <v>82.147</v>
      </c>
      <c r="C427" t="str">
        <f>"82.1329"</f>
        <v>82.1329</v>
      </c>
    </row>
    <row r="428" spans="1:3" x14ac:dyDescent="0.25">
      <c r="A428" t="str">
        <f>"25/02/2011"</f>
        <v>25/02/2011</v>
      </c>
      <c r="B428" t="str">
        <f>"81.888"</f>
        <v>81.888</v>
      </c>
      <c r="C428" t="str">
        <f>"81.8724"</f>
        <v>81.8724</v>
      </c>
    </row>
    <row r="429" spans="1:3" x14ac:dyDescent="0.25">
      <c r="A429" t="str">
        <f>"28/02/2011"</f>
        <v>28/02/2011</v>
      </c>
      <c r="B429" t="str">
        <f>"81.678"</f>
        <v>81.678</v>
      </c>
      <c r="C429" t="str">
        <f>"81.6628"</f>
        <v>81.6628</v>
      </c>
    </row>
    <row r="430" spans="1:3" x14ac:dyDescent="0.25">
      <c r="A430" t="str">
        <f>"01/03/2011"</f>
        <v>01/03/2011</v>
      </c>
      <c r="B430" t="str">
        <f>"82.095"</f>
        <v>82.095</v>
      </c>
      <c r="C430" t="str">
        <f>"82.0813"</f>
        <v>82.0813</v>
      </c>
    </row>
    <row r="431" spans="1:3" x14ac:dyDescent="0.25">
      <c r="A431" t="str">
        <f>"03/03/2011"</f>
        <v>03/03/2011</v>
      </c>
      <c r="B431" t="str">
        <f>"81.838"</f>
        <v>81.838</v>
      </c>
      <c r="C431" t="str">
        <f>"81.8239"</f>
        <v>81.8239</v>
      </c>
    </row>
    <row r="432" spans="1:3" x14ac:dyDescent="0.25">
      <c r="A432" t="str">
        <f>"04/03/2011"</f>
        <v>04/03/2011</v>
      </c>
      <c r="B432" t="str">
        <f>"82.338"</f>
        <v>82.338</v>
      </c>
      <c r="C432" t="str">
        <f>"82.3237"</f>
        <v>82.3237</v>
      </c>
    </row>
    <row r="433" spans="1:3" x14ac:dyDescent="0.25">
      <c r="A433" t="str">
        <f>"07/03/2011"</f>
        <v>07/03/2011</v>
      </c>
      <c r="B433" t="str">
        <f>"82.248"</f>
        <v>82.248</v>
      </c>
      <c r="C433" t="str">
        <f>"82.2323"</f>
        <v>82.2323</v>
      </c>
    </row>
    <row r="434" spans="1:3" x14ac:dyDescent="0.25">
      <c r="A434" t="str">
        <f>"08/03/2011"</f>
        <v>08/03/2011</v>
      </c>
      <c r="B434" t="str">
        <f>"82.247"</f>
        <v>82.247</v>
      </c>
      <c r="C434" t="str">
        <f>"82.2329"</f>
        <v>82.2329</v>
      </c>
    </row>
    <row r="435" spans="1:3" x14ac:dyDescent="0.25">
      <c r="A435" t="str">
        <f>"09/03/2011"</f>
        <v>09/03/2011</v>
      </c>
      <c r="B435" t="str">
        <f>"82.845"</f>
        <v>82.845</v>
      </c>
      <c r="C435" t="str">
        <f>"82.8312"</f>
        <v>82.8312</v>
      </c>
    </row>
    <row r="436" spans="1:3" x14ac:dyDescent="0.25">
      <c r="A436" t="str">
        <f>"10/03/2011"</f>
        <v>10/03/2011</v>
      </c>
      <c r="B436" t="str">
        <f>"82.82"</f>
        <v>82.82</v>
      </c>
      <c r="C436" t="str">
        <f>"82.8063"</f>
        <v>82.8063</v>
      </c>
    </row>
    <row r="437" spans="1:3" x14ac:dyDescent="0.25">
      <c r="A437" t="str">
        <f>"11/03/2011"</f>
        <v>11/03/2011</v>
      </c>
      <c r="B437" t="str">
        <f>"82.819"</f>
        <v>82.819</v>
      </c>
      <c r="C437" t="str">
        <f>"82.8047"</f>
        <v>82.8047</v>
      </c>
    </row>
    <row r="438" spans="1:3" x14ac:dyDescent="0.25">
      <c r="A438" t="str">
        <f>"14/03/2011"</f>
        <v>14/03/2011</v>
      </c>
      <c r="B438" t="str">
        <f>"82.093"</f>
        <v>82.093</v>
      </c>
      <c r="C438" t="str">
        <f>"82.073"</f>
        <v>82.073</v>
      </c>
    </row>
    <row r="439" spans="1:3" x14ac:dyDescent="0.25">
      <c r="A439" t="str">
        <f>"15/03/2011"</f>
        <v>15/03/2011</v>
      </c>
      <c r="B439" t="str">
        <f>"81.563"</f>
        <v>81.563</v>
      </c>
      <c r="C439" t="str">
        <f>"81.554"</f>
        <v>81.554</v>
      </c>
    </row>
    <row r="440" spans="1:3" x14ac:dyDescent="0.25">
      <c r="A440" t="str">
        <f>"16/03/2011"</f>
        <v>16/03/2011</v>
      </c>
      <c r="B440" t="str">
        <f>"80.869"</f>
        <v>80.869</v>
      </c>
      <c r="C440" t="str">
        <f>"80.862"</f>
        <v>80.862</v>
      </c>
    </row>
    <row r="441" spans="1:3" x14ac:dyDescent="0.25">
      <c r="A441" t="str">
        <f>"17/03/2011"</f>
        <v>17/03/2011</v>
      </c>
      <c r="B441" t="str">
        <f>"79.085"</f>
        <v>79.085</v>
      </c>
      <c r="C441" t="str">
        <f>"79.073"</f>
        <v>79.073</v>
      </c>
    </row>
    <row r="442" spans="1:3" x14ac:dyDescent="0.25">
      <c r="A442" t="str">
        <f>"18/03/2011"</f>
        <v>18/03/2011</v>
      </c>
      <c r="B442" t="str">
        <f>"81.69"</f>
        <v>81.69</v>
      </c>
      <c r="C442" t="str">
        <f>"81.678"</f>
        <v>81.678</v>
      </c>
    </row>
    <row r="443" spans="1:3" x14ac:dyDescent="0.25">
      <c r="A443" t="str">
        <f>"21/03/2011"</f>
        <v>21/03/2011</v>
      </c>
      <c r="B443" t="str">
        <f>"80.96"</f>
        <v>80.96</v>
      </c>
      <c r="C443" t="str">
        <f>"80.948"</f>
        <v>80.948</v>
      </c>
    </row>
    <row r="444" spans="1:3" x14ac:dyDescent="0.25">
      <c r="A444" t="str">
        <f>"22/03/2011"</f>
        <v>22/03/2011</v>
      </c>
      <c r="B444" t="str">
        <f>"80.969"</f>
        <v>80.969</v>
      </c>
      <c r="C444" t="str">
        <f>"80.9535"</f>
        <v>80.9535</v>
      </c>
    </row>
    <row r="445" spans="1:3" x14ac:dyDescent="0.25">
      <c r="A445" t="str">
        <f>"23/03/2011"</f>
        <v>23/03/2011</v>
      </c>
      <c r="B445" t="str">
        <f>"80.893"</f>
        <v>80.893</v>
      </c>
      <c r="C445" t="str">
        <f>"80.8768"</f>
        <v>80.8768</v>
      </c>
    </row>
    <row r="446" spans="1:3" x14ac:dyDescent="0.25">
      <c r="A446" t="str">
        <f>"24/03/2011"</f>
        <v>24/03/2011</v>
      </c>
      <c r="B446" t="str">
        <f>"81.026"</f>
        <v>81.026</v>
      </c>
      <c r="C446" t="str">
        <f>"81.0129"</f>
        <v>81.0129</v>
      </c>
    </row>
    <row r="447" spans="1:3" x14ac:dyDescent="0.25">
      <c r="A447" t="str">
        <f>"25/03/2011"</f>
        <v>25/03/2011</v>
      </c>
      <c r="B447" t="str">
        <f>"81.001"</f>
        <v>81.001</v>
      </c>
      <c r="C447" t="str">
        <f>"80.9883"</f>
        <v>80.9883</v>
      </c>
    </row>
    <row r="448" spans="1:3" x14ac:dyDescent="0.25">
      <c r="A448" t="str">
        <f>"28/03/2011"</f>
        <v>28/03/2011</v>
      </c>
      <c r="B448" t="str">
        <f>"81.73"</f>
        <v>81.73</v>
      </c>
      <c r="C448" t="str">
        <f>"81.7175"</f>
        <v>81.7175</v>
      </c>
    </row>
    <row r="449" spans="1:3" x14ac:dyDescent="0.25">
      <c r="A449" t="str">
        <f>"29/03/2011"</f>
        <v>29/03/2011</v>
      </c>
      <c r="B449" t="str">
        <f>"81.694"</f>
        <v>81.694</v>
      </c>
      <c r="C449" t="str">
        <f>"81.6812"</f>
        <v>81.6812</v>
      </c>
    </row>
    <row r="450" spans="1:3" x14ac:dyDescent="0.25">
      <c r="A450" t="str">
        <f>"30/03/2011"</f>
        <v>30/03/2011</v>
      </c>
      <c r="B450" t="str">
        <f>"82.922"</f>
        <v>82.922</v>
      </c>
      <c r="C450" t="str">
        <f>"82.9085"</f>
        <v>82.9085</v>
      </c>
    </row>
    <row r="451" spans="1:3" x14ac:dyDescent="0.25">
      <c r="A451" t="str">
        <f>"31/03/2011"</f>
        <v>31/03/2011</v>
      </c>
      <c r="B451" t="str">
        <f>"82.651"</f>
        <v>82.651</v>
      </c>
      <c r="C451" t="str">
        <f>"82.6385"</f>
        <v>82.6385</v>
      </c>
    </row>
    <row r="452" spans="1:3" x14ac:dyDescent="0.25">
      <c r="A452" t="str">
        <f>"01/04/2011"</f>
        <v>01/04/2011</v>
      </c>
      <c r="B452" t="str">
        <f>"83.623"</f>
        <v>83.623</v>
      </c>
      <c r="C452" t="str">
        <f>"83.6096"</f>
        <v>83.6096</v>
      </c>
    </row>
    <row r="453" spans="1:3" x14ac:dyDescent="0.25">
      <c r="A453" t="str">
        <f>"05/04/2011"</f>
        <v>05/04/2011</v>
      </c>
      <c r="B453" t="str">
        <f>"84.375"</f>
        <v>84.375</v>
      </c>
      <c r="C453" t="str">
        <f>"84.362"</f>
        <v>84.362</v>
      </c>
    </row>
    <row r="454" spans="1:3" x14ac:dyDescent="0.25">
      <c r="A454" t="str">
        <f>"06/04/2011"</f>
        <v>06/04/2011</v>
      </c>
      <c r="B454" t="str">
        <f>"85.344"</f>
        <v>85.344</v>
      </c>
      <c r="C454" t="str">
        <f>"85.3316"</f>
        <v>85.3316</v>
      </c>
    </row>
    <row r="455" spans="1:3" x14ac:dyDescent="0.25">
      <c r="A455" t="str">
        <f>"07/04/2011"</f>
        <v>07/04/2011</v>
      </c>
      <c r="B455" t="str">
        <f>"85.245"</f>
        <v>85.245</v>
      </c>
      <c r="C455" t="str">
        <f>"85.2326"</f>
        <v>85.2326</v>
      </c>
    </row>
    <row r="456" spans="1:3" x14ac:dyDescent="0.25">
      <c r="A456" t="str">
        <f>"08/04/2011"</f>
        <v>08/04/2011</v>
      </c>
      <c r="B456" t="str">
        <f>"85.103"</f>
        <v>85.103</v>
      </c>
      <c r="C456" t="str">
        <f>"85.091"</f>
        <v>85.091</v>
      </c>
    </row>
    <row r="457" spans="1:3" x14ac:dyDescent="0.25">
      <c r="A457" t="str">
        <f>"11/04/2011"</f>
        <v>11/04/2011</v>
      </c>
      <c r="B457" t="str">
        <f>"84.692"</f>
        <v>84.692</v>
      </c>
      <c r="C457" t="str">
        <f>"84.6805"</f>
        <v>84.6805</v>
      </c>
    </row>
    <row r="458" spans="1:3" x14ac:dyDescent="0.25">
      <c r="A458" t="str">
        <f>"13/04/2011"</f>
        <v>13/04/2011</v>
      </c>
      <c r="B458" t="str">
        <f>"84.0445"</f>
        <v>84.0445</v>
      </c>
      <c r="C458" t="str">
        <f>"84.0336"</f>
        <v>84.0336</v>
      </c>
    </row>
    <row r="459" spans="1:3" x14ac:dyDescent="0.25">
      <c r="A459" t="str">
        <f>"15/04/2011"</f>
        <v>15/04/2011</v>
      </c>
      <c r="B459" t="str">
        <f>"83.418"</f>
        <v>83.418</v>
      </c>
      <c r="C459" t="str">
        <f>"83.4052"</f>
        <v>83.4052</v>
      </c>
    </row>
    <row r="460" spans="1:3" x14ac:dyDescent="0.25">
      <c r="A460" t="str">
        <f>"18/04/2011"</f>
        <v>18/04/2011</v>
      </c>
      <c r="B460" t="str">
        <f>"82.933"</f>
        <v>82.933</v>
      </c>
      <c r="C460" t="str">
        <f>"82.9254"</f>
        <v>82.9254</v>
      </c>
    </row>
    <row r="461" spans="1:3" x14ac:dyDescent="0.25">
      <c r="A461" t="str">
        <f>"19/04/2011"</f>
        <v>19/04/2011</v>
      </c>
      <c r="B461" t="str">
        <f>"82.435"</f>
        <v>82.435</v>
      </c>
      <c r="C461" t="str">
        <f>"82.4264"</f>
        <v>82.4264</v>
      </c>
    </row>
    <row r="462" spans="1:3" x14ac:dyDescent="0.25">
      <c r="A462" t="str">
        <f>"20/04/2011"</f>
        <v>20/04/2011</v>
      </c>
      <c r="B462" t="str">
        <f>"82.97"</f>
        <v>82.97</v>
      </c>
      <c r="C462" t="str">
        <f>"82.9627"</f>
        <v>82.9627</v>
      </c>
    </row>
    <row r="463" spans="1:3" x14ac:dyDescent="0.25">
      <c r="A463" t="str">
        <f>"21/04/2011"</f>
        <v>21/04/2011</v>
      </c>
      <c r="B463" t="str">
        <f>"82.243"</f>
        <v>82.243</v>
      </c>
      <c r="C463" t="str">
        <f>"82.2357"</f>
        <v>82.2357</v>
      </c>
    </row>
    <row r="464" spans="1:3" x14ac:dyDescent="0.25">
      <c r="A464" t="str">
        <f>"25/04/2011"</f>
        <v>25/04/2011</v>
      </c>
      <c r="B464" t="str">
        <f>"82.134"</f>
        <v>82.134</v>
      </c>
      <c r="C464" t="str">
        <f>"82.1262"</f>
        <v>82.1262</v>
      </c>
    </row>
    <row r="465" spans="1:3" x14ac:dyDescent="0.25">
      <c r="A465" t="str">
        <f>"26/04/2011"</f>
        <v>26/04/2011</v>
      </c>
      <c r="B465" t="str">
        <f>"81.67"</f>
        <v>81.67</v>
      </c>
      <c r="C465" t="str">
        <f>"81.6611"</f>
        <v>81.6611</v>
      </c>
    </row>
    <row r="466" spans="1:3" x14ac:dyDescent="0.25">
      <c r="A466" t="str">
        <f>"27/04/2011"</f>
        <v>27/04/2011</v>
      </c>
      <c r="B466" t="str">
        <f>"81.545"</f>
        <v>81.545</v>
      </c>
      <c r="C466" t="str">
        <f>"81.5375"</f>
        <v>81.5375</v>
      </c>
    </row>
    <row r="467" spans="1:3" x14ac:dyDescent="0.25">
      <c r="A467" t="str">
        <f>"28/04/2011"</f>
        <v>28/04/2011</v>
      </c>
      <c r="B467" t="str">
        <f>"81.8095"</f>
        <v>81.8095</v>
      </c>
      <c r="C467" t="str">
        <f>"81.8003"</f>
        <v>81.8003</v>
      </c>
    </row>
    <row r="468" spans="1:3" x14ac:dyDescent="0.25">
      <c r="A468" t="str">
        <f>"29/04/2011"</f>
        <v>29/04/2011</v>
      </c>
      <c r="B468" t="str">
        <f>"81.564"</f>
        <v>81.564</v>
      </c>
      <c r="C468" t="str">
        <f>"81.5545"</f>
        <v>81.5545</v>
      </c>
    </row>
    <row r="469" spans="1:3" x14ac:dyDescent="0.25">
      <c r="A469" t="str">
        <f>"02/05/2011"</f>
        <v>02/05/2011</v>
      </c>
      <c r="B469" t="str">
        <f>"81.47"</f>
        <v>81.47</v>
      </c>
      <c r="C469" t="str">
        <f>"81.46"</f>
        <v>81.46</v>
      </c>
    </row>
    <row r="470" spans="1:3" x14ac:dyDescent="0.25">
      <c r="A470" t="str">
        <f>"03/05/2011"</f>
        <v>03/05/2011</v>
      </c>
      <c r="B470" t="str">
        <f>"81.039"</f>
        <v>81.039</v>
      </c>
      <c r="C470" t="str">
        <f>"81.0296"</f>
        <v>81.0296</v>
      </c>
    </row>
    <row r="471" spans="1:3" x14ac:dyDescent="0.25">
      <c r="A471" t="str">
        <f>"04/05/2011"</f>
        <v>04/05/2011</v>
      </c>
      <c r="B471" t="str">
        <f>"80.932"</f>
        <v>80.932</v>
      </c>
      <c r="C471" t="str">
        <f>"80.9225"</f>
        <v>80.9225</v>
      </c>
    </row>
    <row r="472" spans="1:3" x14ac:dyDescent="0.25">
      <c r="A472" t="str">
        <f>"05/05/2011"</f>
        <v>05/05/2011</v>
      </c>
      <c r="B472" t="str">
        <f>"80.499"</f>
        <v>80.499</v>
      </c>
      <c r="C472" t="str">
        <f>"80.4906"</f>
        <v>80.4906</v>
      </c>
    </row>
    <row r="473" spans="1:3" x14ac:dyDescent="0.25">
      <c r="A473" t="str">
        <f>"06/05/2011"</f>
        <v>06/05/2011</v>
      </c>
      <c r="B473" t="str">
        <f>"80.497"</f>
        <v>80.497</v>
      </c>
      <c r="C473" t="str">
        <f>"80.4874"</f>
        <v>80.4874</v>
      </c>
    </row>
    <row r="474" spans="1:3" x14ac:dyDescent="0.25">
      <c r="A474" t="str">
        <f>"09/05/2011"</f>
        <v>09/05/2011</v>
      </c>
      <c r="B474" t="str">
        <f>"80.566"</f>
        <v>80.566</v>
      </c>
      <c r="C474" t="str">
        <f>"80.5552"</f>
        <v>80.5552</v>
      </c>
    </row>
    <row r="475" spans="1:3" x14ac:dyDescent="0.25">
      <c r="A475" t="str">
        <f>"10/05/2011"</f>
        <v>10/05/2011</v>
      </c>
      <c r="B475" t="str">
        <f>"80.378"</f>
        <v>80.378</v>
      </c>
      <c r="C475" t="str">
        <f>"80.3655"</f>
        <v>80.3655</v>
      </c>
    </row>
    <row r="476" spans="1:3" x14ac:dyDescent="0.25">
      <c r="A476" t="str">
        <f>"11/05/2011"</f>
        <v>11/05/2011</v>
      </c>
      <c r="B476" t="str">
        <f>"80.893"</f>
        <v>80.893</v>
      </c>
      <c r="C476" t="str">
        <f>"80.8828"</f>
        <v>80.8828</v>
      </c>
    </row>
    <row r="477" spans="1:3" x14ac:dyDescent="0.25">
      <c r="A477" t="str">
        <f>"12/05/2011"</f>
        <v>12/05/2011</v>
      </c>
      <c r="B477" t="str">
        <f>"81.139"</f>
        <v>81.139</v>
      </c>
      <c r="C477" t="str">
        <f>"81.1288"</f>
        <v>81.1288</v>
      </c>
    </row>
    <row r="478" spans="1:3" x14ac:dyDescent="0.25">
      <c r="A478" t="str">
        <f>"13/05/2011"</f>
        <v>13/05/2011</v>
      </c>
      <c r="B478" t="str">
        <f>"80.878"</f>
        <v>80.878</v>
      </c>
      <c r="C478" t="str">
        <f>"80.8672"</f>
        <v>80.8672</v>
      </c>
    </row>
    <row r="479" spans="1:3" x14ac:dyDescent="0.25">
      <c r="A479" t="str">
        <f>"16/05/2011"</f>
        <v>16/05/2011</v>
      </c>
      <c r="B479" t="str">
        <f>"80.99"</f>
        <v>80.99</v>
      </c>
      <c r="C479" t="str">
        <f>"80.977"</f>
        <v>80.977</v>
      </c>
    </row>
    <row r="480" spans="1:3" x14ac:dyDescent="0.25">
      <c r="A480" t="str">
        <f>"18/05/2011"</f>
        <v>18/05/2011</v>
      </c>
      <c r="B480" t="str">
        <f>"81.127"</f>
        <v>81.127</v>
      </c>
      <c r="C480" t="str">
        <f>"81.1165"</f>
        <v>81.1165</v>
      </c>
    </row>
    <row r="481" spans="1:3" x14ac:dyDescent="0.25">
      <c r="A481" t="str">
        <f>"19/05/2011"</f>
        <v>19/05/2011</v>
      </c>
      <c r="B481" t="str">
        <f>"81.605"</f>
        <v>81.605</v>
      </c>
      <c r="C481" t="str">
        <f>"81.5957"</f>
        <v>81.5957</v>
      </c>
    </row>
    <row r="482" spans="1:3" x14ac:dyDescent="0.25">
      <c r="A482" t="str">
        <f>"20/05/2011"</f>
        <v>20/05/2011</v>
      </c>
      <c r="B482" t="str">
        <f>"81.685"</f>
        <v>81.685</v>
      </c>
      <c r="C482" t="str">
        <f>"81.6767"</f>
        <v>81.6767</v>
      </c>
    </row>
    <row r="483" spans="1:3" x14ac:dyDescent="0.25">
      <c r="A483" t="str">
        <f>"23/05/2011"</f>
        <v>23/05/2011</v>
      </c>
      <c r="B483" t="str">
        <f>"81.9895"</f>
        <v>81.9895</v>
      </c>
      <c r="C483" t="str">
        <f>"81.9804"</f>
        <v>81.9804</v>
      </c>
    </row>
    <row r="484" spans="1:3" x14ac:dyDescent="0.25">
      <c r="A484" t="str">
        <f>"24/05/2011"</f>
        <v>24/05/2011</v>
      </c>
      <c r="B484" t="str">
        <f>"81.822"</f>
        <v>81.822</v>
      </c>
      <c r="C484" t="str">
        <f>"81.8135"</f>
        <v>81.8135</v>
      </c>
    </row>
    <row r="485" spans="1:3" x14ac:dyDescent="0.25">
      <c r="A485" t="str">
        <f>"25/05/2011"</f>
        <v>25/05/2011</v>
      </c>
      <c r="B485" t="str">
        <f>"81.946"</f>
        <v>81.946</v>
      </c>
      <c r="C485" t="str">
        <f>"81.9398"</f>
        <v>81.9398</v>
      </c>
    </row>
    <row r="486" spans="1:3" x14ac:dyDescent="0.25">
      <c r="A486" t="str">
        <f>"26/05/2011"</f>
        <v>26/05/2011</v>
      </c>
      <c r="B486" t="str">
        <f>"81.884"</f>
        <v>81.884</v>
      </c>
      <c r="C486" t="str">
        <f>"81.8764"</f>
        <v>81.8764</v>
      </c>
    </row>
    <row r="487" spans="1:3" x14ac:dyDescent="0.25">
      <c r="A487" t="str">
        <f>"27/05/2011"</f>
        <v>27/05/2011</v>
      </c>
      <c r="B487" t="str">
        <f>"81.106"</f>
        <v>81.106</v>
      </c>
      <c r="C487" t="str">
        <f>"81.0984"</f>
        <v>81.0984</v>
      </c>
    </row>
    <row r="488" spans="1:3" x14ac:dyDescent="0.25">
      <c r="A488" t="str">
        <f>"30/05/2011"</f>
        <v>30/05/2011</v>
      </c>
      <c r="B488" t="str">
        <f>"80.81"</f>
        <v>80.81</v>
      </c>
      <c r="C488" t="str">
        <f>"80.8018"</f>
        <v>80.8018</v>
      </c>
    </row>
    <row r="489" spans="1:3" x14ac:dyDescent="0.25">
      <c r="A489" t="str">
        <f>"31/05/2011"</f>
        <v>31/05/2011</v>
      </c>
      <c r="B489" t="str">
        <f>"81.17"</f>
        <v>81.17</v>
      </c>
      <c r="C489" t="str">
        <f>"81.1625"</f>
        <v>81.1625</v>
      </c>
    </row>
    <row r="490" spans="1:3" x14ac:dyDescent="0.25">
      <c r="A490" t="str">
        <f>"01/06/2011"</f>
        <v>01/06/2011</v>
      </c>
      <c r="B490" t="str">
        <f>"81.227"</f>
        <v>81.227</v>
      </c>
      <c r="C490" t="str">
        <f>"81.2194"</f>
        <v>81.2194</v>
      </c>
    </row>
    <row r="491" spans="1:3" x14ac:dyDescent="0.25">
      <c r="A491" t="str">
        <f>"02/06/2011"</f>
        <v>02/06/2011</v>
      </c>
      <c r="B491" t="str">
        <f>"81.015"</f>
        <v>81.015</v>
      </c>
      <c r="C491" t="str">
        <f>"81.0074"</f>
        <v>81.0074</v>
      </c>
    </row>
    <row r="492" spans="1:3" x14ac:dyDescent="0.25">
      <c r="A492" t="str">
        <f>"03/06/2011"</f>
        <v>03/06/2011</v>
      </c>
      <c r="B492" t="str">
        <f>"80.736"</f>
        <v>80.736</v>
      </c>
      <c r="C492" t="str">
        <f>"80.7285"</f>
        <v>80.7285</v>
      </c>
    </row>
    <row r="493" spans="1:3" x14ac:dyDescent="0.25">
      <c r="A493" t="str">
        <f>"06/06/2011"</f>
        <v>06/06/2011</v>
      </c>
      <c r="B493" t="str">
        <f>"80.291"</f>
        <v>80.291</v>
      </c>
      <c r="C493" t="str">
        <f>"80.2824"</f>
        <v>80.2824</v>
      </c>
    </row>
    <row r="494" spans="1:3" x14ac:dyDescent="0.25">
      <c r="A494" t="str">
        <f>"07/06/2011"</f>
        <v>07/06/2011</v>
      </c>
      <c r="B494" t="str">
        <f>"80.205"</f>
        <v>80.205</v>
      </c>
      <c r="C494" t="str">
        <f>"80.1972"</f>
        <v>80.1972</v>
      </c>
    </row>
    <row r="495" spans="1:3" x14ac:dyDescent="0.25">
      <c r="A495" t="str">
        <f>"08/06/2011"</f>
        <v>08/06/2011</v>
      </c>
      <c r="B495" t="str">
        <f>"79.951"</f>
        <v>79.951</v>
      </c>
      <c r="C495" t="str">
        <f>"79.9433"</f>
        <v>79.9433</v>
      </c>
    </row>
    <row r="496" spans="1:3" x14ac:dyDescent="0.25">
      <c r="A496" t="str">
        <f>"09/06/2011"</f>
        <v>09/06/2011</v>
      </c>
      <c r="B496" t="str">
        <f>"80.059"</f>
        <v>80.059</v>
      </c>
      <c r="C496" t="str">
        <f>"80.0521"</f>
        <v>80.0521</v>
      </c>
    </row>
    <row r="497" spans="1:3" x14ac:dyDescent="0.25">
      <c r="A497" t="str">
        <f>"13/06/2011"</f>
        <v>13/06/2011</v>
      </c>
      <c r="B497" t="str">
        <f>"80.5695"</f>
        <v>80.5695</v>
      </c>
      <c r="C497" t="str">
        <f>"80.5613"</f>
        <v>80.5613</v>
      </c>
    </row>
    <row r="498" spans="1:3" x14ac:dyDescent="0.25">
      <c r="A498" t="str">
        <f>"14/06/2011"</f>
        <v>14/06/2011</v>
      </c>
      <c r="B498" t="str">
        <f>"80.251"</f>
        <v>80.251</v>
      </c>
      <c r="C498" t="str">
        <f>"80.2404"</f>
        <v>80.2404</v>
      </c>
    </row>
    <row r="499" spans="1:3" x14ac:dyDescent="0.25">
      <c r="A499" t="str">
        <f>"15/06/2011"</f>
        <v>15/06/2011</v>
      </c>
      <c r="B499" t="str">
        <f>"80.51"</f>
        <v>80.51</v>
      </c>
      <c r="C499" t="str">
        <f>"80.4996"</f>
        <v>80.4996</v>
      </c>
    </row>
    <row r="500" spans="1:3" x14ac:dyDescent="0.25">
      <c r="A500" t="str">
        <f>"16/06/2011"</f>
        <v>16/06/2011</v>
      </c>
      <c r="B500" t="str">
        <f>"81.007"</f>
        <v>81.007</v>
      </c>
      <c r="C500" t="str">
        <f>"80.9929"</f>
        <v>80.9929</v>
      </c>
    </row>
    <row r="501" spans="1:3" x14ac:dyDescent="0.25">
      <c r="A501" t="str">
        <f>"17/06/2011"</f>
        <v>17/06/2011</v>
      </c>
      <c r="B501" t="str">
        <f>"80.614"</f>
        <v>80.614</v>
      </c>
      <c r="C501" t="str">
        <f>"80.6026"</f>
        <v>80.6026</v>
      </c>
    </row>
    <row r="502" spans="1:3" x14ac:dyDescent="0.25">
      <c r="A502" t="str">
        <f>"20/06/2011"</f>
        <v>20/06/2011</v>
      </c>
      <c r="B502" t="str">
        <f>"80.217"</f>
        <v>80.217</v>
      </c>
      <c r="C502" t="str">
        <f>"80.2068"</f>
        <v>80.2068</v>
      </c>
    </row>
    <row r="503" spans="1:3" x14ac:dyDescent="0.25">
      <c r="A503" t="str">
        <f>"21/06/2011"</f>
        <v>21/06/2011</v>
      </c>
      <c r="B503" t="str">
        <f>"80.144"</f>
        <v>80.144</v>
      </c>
      <c r="C503" t="str">
        <f>"80.1328"</f>
        <v>80.1328</v>
      </c>
    </row>
    <row r="504" spans="1:3" x14ac:dyDescent="0.25">
      <c r="A504" t="str">
        <f>"22/06/2011"</f>
        <v>22/06/2011</v>
      </c>
      <c r="B504" t="str">
        <f>"80.265"</f>
        <v>80.265</v>
      </c>
      <c r="C504" t="str">
        <f>"80.2553"</f>
        <v>80.2553</v>
      </c>
    </row>
    <row r="505" spans="1:3" x14ac:dyDescent="0.25">
      <c r="A505" t="str">
        <f>"23/06/2011"</f>
        <v>23/06/2011</v>
      </c>
      <c r="B505" t="str">
        <f>"80.447"</f>
        <v>80.447</v>
      </c>
      <c r="C505" t="str">
        <f>"80.4368"</f>
        <v>80.4368</v>
      </c>
    </row>
    <row r="506" spans="1:3" x14ac:dyDescent="0.25">
      <c r="A506" t="str">
        <f>"24/06/2011"</f>
        <v>24/06/2011</v>
      </c>
      <c r="B506" t="str">
        <f>"80.508"</f>
        <v>80.508</v>
      </c>
      <c r="C506" t="str">
        <f>"80.4975"</f>
        <v>80.4975</v>
      </c>
    </row>
    <row r="507" spans="1:3" x14ac:dyDescent="0.25">
      <c r="A507" t="str">
        <f>"27/06/2011"</f>
        <v>27/06/2011</v>
      </c>
      <c r="B507" t="str">
        <f>"80.736"</f>
        <v>80.736</v>
      </c>
      <c r="C507" t="str">
        <f>"80.723"</f>
        <v>80.723</v>
      </c>
    </row>
    <row r="508" spans="1:3" x14ac:dyDescent="0.25">
      <c r="A508" t="str">
        <f>"28/06/2011"</f>
        <v>28/06/2011</v>
      </c>
      <c r="B508" t="str">
        <f>"80.824"</f>
        <v>80.824</v>
      </c>
      <c r="C508" t="str">
        <f>"80.8124"</f>
        <v>80.8124</v>
      </c>
    </row>
    <row r="509" spans="1:3" x14ac:dyDescent="0.25">
      <c r="A509" t="str">
        <f>"29/06/2011"</f>
        <v>29/06/2011</v>
      </c>
      <c r="B509" t="str">
        <f>"81.059"</f>
        <v>81.059</v>
      </c>
      <c r="C509" t="str">
        <f>"81.0486"</f>
        <v>81.0486</v>
      </c>
    </row>
    <row r="510" spans="1:3" x14ac:dyDescent="0.25">
      <c r="A510" t="str">
        <f>"30/06/2011"</f>
        <v>30/06/2011</v>
      </c>
      <c r="B510" t="str">
        <f>"80.415"</f>
        <v>80.415</v>
      </c>
      <c r="C510" t="str">
        <f>"80.4047"</f>
        <v>80.4047</v>
      </c>
    </row>
    <row r="511" spans="1:3" x14ac:dyDescent="0.25">
      <c r="A511" t="str">
        <f>"01/07/2011"</f>
        <v>01/07/2011</v>
      </c>
      <c r="B511" t="str">
        <f>"80.778"</f>
        <v>80.778</v>
      </c>
      <c r="C511" t="str">
        <f>"80.7671"</f>
        <v>80.7671</v>
      </c>
    </row>
    <row r="512" spans="1:3" x14ac:dyDescent="0.25">
      <c r="A512" t="str">
        <f>"04/07/2011"</f>
        <v>04/07/2011</v>
      </c>
      <c r="B512" t="str">
        <f>"80.756"</f>
        <v>80.756</v>
      </c>
      <c r="C512" t="str">
        <f>"80.7444"</f>
        <v>80.7444</v>
      </c>
    </row>
    <row r="513" spans="1:3" x14ac:dyDescent="0.25">
      <c r="A513" t="str">
        <f>"05/07/2011"</f>
        <v>05/07/2011</v>
      </c>
      <c r="B513" t="str">
        <f>"81.012"</f>
        <v>81.012</v>
      </c>
      <c r="C513" t="str">
        <f>"81.0005"</f>
        <v>81.0005</v>
      </c>
    </row>
    <row r="514" spans="1:3" x14ac:dyDescent="0.25">
      <c r="A514" t="str">
        <f>"06/07/2011"</f>
        <v>06/07/2011</v>
      </c>
      <c r="B514" t="str">
        <f>"80.864"</f>
        <v>80.864</v>
      </c>
      <c r="C514" t="str">
        <f>"80.8517"</f>
        <v>80.8517</v>
      </c>
    </row>
    <row r="515" spans="1:3" x14ac:dyDescent="0.25">
      <c r="A515" t="str">
        <f>"07/07/2011"</f>
        <v>07/07/2011</v>
      </c>
      <c r="B515" t="str">
        <f>"80.941"</f>
        <v>80.941</v>
      </c>
      <c r="C515" t="str">
        <f>"80.9284"</f>
        <v>80.9284</v>
      </c>
    </row>
    <row r="516" spans="1:3" x14ac:dyDescent="0.25">
      <c r="A516" t="str">
        <f>"08/07/2011"</f>
        <v>08/07/2011</v>
      </c>
      <c r="B516" t="str">
        <f>"81.274"</f>
        <v>81.274</v>
      </c>
      <c r="C516" t="str">
        <f>"81.2621"</f>
        <v>81.2621</v>
      </c>
    </row>
    <row r="517" spans="1:3" x14ac:dyDescent="0.25">
      <c r="A517" t="str">
        <f>"11/07/2011"</f>
        <v>11/07/2011</v>
      </c>
      <c r="B517" t="str">
        <f>"80.765"</f>
        <v>80.765</v>
      </c>
      <c r="C517" t="str">
        <f>"80.7512"</f>
        <v>80.7512</v>
      </c>
    </row>
    <row r="518" spans="1:3" x14ac:dyDescent="0.25">
      <c r="A518" t="str">
        <f>"12/07/2011"</f>
        <v>12/07/2011</v>
      </c>
      <c r="B518" t="str">
        <f>"80.082"</f>
        <v>80.082</v>
      </c>
      <c r="C518" t="str">
        <f>"80.0612"</f>
        <v>80.0612</v>
      </c>
    </row>
    <row r="519" spans="1:3" x14ac:dyDescent="0.25">
      <c r="A519" t="str">
        <f>"13/07/2011"</f>
        <v>13/07/2011</v>
      </c>
      <c r="B519" t="str">
        <f>"79.45"</f>
        <v>79.45</v>
      </c>
      <c r="C519" t="str">
        <f>"79.4361"</f>
        <v>79.4361</v>
      </c>
    </row>
    <row r="520" spans="1:3" x14ac:dyDescent="0.25">
      <c r="A520" t="str">
        <f>"14/07/2011"</f>
        <v>14/07/2011</v>
      </c>
      <c r="B520" t="str">
        <f>"78.66"</f>
        <v>78.66</v>
      </c>
      <c r="C520" t="str">
        <f>"78.6489"</f>
        <v>78.6489</v>
      </c>
    </row>
    <row r="521" spans="1:3" x14ac:dyDescent="0.25">
      <c r="A521" t="str">
        <f>"15/07/2011"</f>
        <v>15/07/2011</v>
      </c>
      <c r="B521" t="str">
        <f>"79.207"</f>
        <v>79.207</v>
      </c>
      <c r="C521" t="str">
        <f>"79.1941"</f>
        <v>79.1941</v>
      </c>
    </row>
    <row r="522" spans="1:3" x14ac:dyDescent="0.25">
      <c r="A522" t="str">
        <f>"18/07/2011"</f>
        <v>18/07/2011</v>
      </c>
      <c r="B522" t="str">
        <f>"79.039"</f>
        <v>79.039</v>
      </c>
      <c r="C522" t="str">
        <f>"79.0243"</f>
        <v>79.0243</v>
      </c>
    </row>
    <row r="523" spans="1:3" x14ac:dyDescent="0.25">
      <c r="A523" t="str">
        <f>"19/07/2011"</f>
        <v>19/07/2011</v>
      </c>
      <c r="B523" t="str">
        <f>"79.079"</f>
        <v>79.079</v>
      </c>
      <c r="C523" t="str">
        <f>"79.0662"</f>
        <v>79.0662</v>
      </c>
    </row>
    <row r="524" spans="1:3" x14ac:dyDescent="0.25">
      <c r="A524" t="str">
        <f>"20/07/2011"</f>
        <v>20/07/2011</v>
      </c>
      <c r="B524" t="str">
        <f>"79.181"</f>
        <v>79.181</v>
      </c>
      <c r="C524" t="str">
        <f>"79.169"</f>
        <v>79.169</v>
      </c>
    </row>
    <row r="525" spans="1:3" x14ac:dyDescent="0.25">
      <c r="A525" t="str">
        <f>"21/07/2011"</f>
        <v>21/07/2011</v>
      </c>
      <c r="B525" t="str">
        <f>"78.7015"</f>
        <v>78.7015</v>
      </c>
      <c r="C525" t="str">
        <f>"78.6897"</f>
        <v>78.6897</v>
      </c>
    </row>
    <row r="526" spans="1:3" x14ac:dyDescent="0.25">
      <c r="A526" t="str">
        <f>"22/07/2011"</f>
        <v>22/07/2011</v>
      </c>
      <c r="B526" t="str">
        <f>"78.627"</f>
        <v>78.627</v>
      </c>
      <c r="C526" t="str">
        <f>"78.6156"</f>
        <v>78.6156</v>
      </c>
    </row>
    <row r="527" spans="1:3" x14ac:dyDescent="0.25">
      <c r="A527" t="str">
        <f>"25/07/2011"</f>
        <v>25/07/2011</v>
      </c>
      <c r="B527" t="str">
        <f>"78.388"</f>
        <v>78.388</v>
      </c>
      <c r="C527" t="str">
        <f>"78.3747"</f>
        <v>78.3747</v>
      </c>
    </row>
    <row r="528" spans="1:3" x14ac:dyDescent="0.25">
      <c r="A528" t="str">
        <f>"26/07/2011"</f>
        <v>26/07/2011</v>
      </c>
      <c r="B528" t="str">
        <f>"78.06"</f>
        <v>78.06</v>
      </c>
      <c r="C528" t="str">
        <f>"78.0464"</f>
        <v>78.0464</v>
      </c>
    </row>
    <row r="529" spans="1:3" x14ac:dyDescent="0.25">
      <c r="A529" t="str">
        <f>"27/07/2011"</f>
        <v>27/07/2011</v>
      </c>
      <c r="B529" t="str">
        <f>"77.831"</f>
        <v>77.831</v>
      </c>
      <c r="C529" t="str">
        <f>"77.8166"</f>
        <v>77.8166</v>
      </c>
    </row>
    <row r="530" spans="1:3" x14ac:dyDescent="0.25">
      <c r="A530" t="str">
        <f>"28/07/2011"</f>
        <v>28/07/2011</v>
      </c>
      <c r="B530" t="str">
        <f>"77.86"</f>
        <v>77.86</v>
      </c>
      <c r="C530" t="str">
        <f>"77.8451"</f>
        <v>77.8451</v>
      </c>
    </row>
    <row r="531" spans="1:3" x14ac:dyDescent="0.25">
      <c r="A531" t="str">
        <f>"29/07/2011"</f>
        <v>29/07/2011</v>
      </c>
      <c r="B531" t="str">
        <f>"77.537"</f>
        <v>77.537</v>
      </c>
      <c r="C531" t="str">
        <f>"77.5206"</f>
        <v>77.5206</v>
      </c>
    </row>
    <row r="532" spans="1:3" x14ac:dyDescent="0.25">
      <c r="A532" t="str">
        <f>"01/08/2011"</f>
        <v>01/08/2011</v>
      </c>
      <c r="B532" t="str">
        <f>"77.462"</f>
        <v>77.462</v>
      </c>
      <c r="C532" t="str">
        <f>"77.4444"</f>
        <v>77.4444</v>
      </c>
    </row>
    <row r="533" spans="1:3" x14ac:dyDescent="0.25">
      <c r="A533" t="str">
        <f>"02/08/2011"</f>
        <v>02/08/2011</v>
      </c>
      <c r="B533" t="str">
        <f>"77.422"</f>
        <v>77.422</v>
      </c>
      <c r="C533" t="str">
        <f>"77.3991"</f>
        <v>77.3991</v>
      </c>
    </row>
    <row r="534" spans="1:3" x14ac:dyDescent="0.25">
      <c r="A534" t="str">
        <f>"03/08/2011"</f>
        <v>03/08/2011</v>
      </c>
      <c r="B534" t="str">
        <f>"77.28"</f>
        <v>77.28</v>
      </c>
      <c r="C534" t="str">
        <f>"77.2524"</f>
        <v>77.2524</v>
      </c>
    </row>
    <row r="535" spans="1:3" x14ac:dyDescent="0.25">
      <c r="A535" t="str">
        <f>"04/08/2011"</f>
        <v>04/08/2011</v>
      </c>
      <c r="B535" t="str">
        <f>"79.084"</f>
        <v>79.084</v>
      </c>
      <c r="C535" t="str">
        <f>"79.0586"</f>
        <v>79.0586</v>
      </c>
    </row>
    <row r="536" spans="1:3" x14ac:dyDescent="0.25">
      <c r="A536" t="str">
        <f>"09/08/2011"</f>
        <v>09/08/2011</v>
      </c>
      <c r="B536" t="str">
        <f>"77.205"</f>
        <v>77.205</v>
      </c>
      <c r="C536" t="str">
        <f>"77.1324"</f>
        <v>77.1324</v>
      </c>
    </row>
    <row r="537" spans="1:3" x14ac:dyDescent="0.25">
      <c r="A537" t="str">
        <f>"10/08/2011"</f>
        <v>10/08/2011</v>
      </c>
      <c r="B537" t="str">
        <f>"76.921"</f>
        <v>76.921</v>
      </c>
      <c r="C537" t="str">
        <f>"76.8791"</f>
        <v>76.8791</v>
      </c>
    </row>
    <row r="538" spans="1:3" x14ac:dyDescent="0.25">
      <c r="A538" t="str">
        <f>"11/08/2011"</f>
        <v>11/08/2011</v>
      </c>
      <c r="B538" t="str">
        <f>"76.61"</f>
        <v>76.61</v>
      </c>
      <c r="C538" t="str">
        <f>"76.5673"</f>
        <v>76.5673</v>
      </c>
    </row>
    <row r="539" spans="1:3" x14ac:dyDescent="0.25">
      <c r="A539" t="str">
        <f>"12/08/2011"</f>
        <v>12/08/2011</v>
      </c>
      <c r="B539" t="str">
        <f>"76.828"</f>
        <v>76.828</v>
      </c>
      <c r="C539" t="str">
        <f>"76.7928"</f>
        <v>76.7928</v>
      </c>
    </row>
    <row r="540" spans="1:3" x14ac:dyDescent="0.25">
      <c r="A540" t="str">
        <f>"16/08/2011"</f>
        <v>16/08/2011</v>
      </c>
      <c r="B540" t="str">
        <f>"76.843"</f>
        <v>76.843</v>
      </c>
      <c r="C540" t="str">
        <f>"76.8206"</f>
        <v>76.8206</v>
      </c>
    </row>
    <row r="541" spans="1:3" x14ac:dyDescent="0.25">
      <c r="A541" t="str">
        <f>"17/08/2011"</f>
        <v>17/08/2011</v>
      </c>
      <c r="B541" t="str">
        <f>"76.698"</f>
        <v>76.698</v>
      </c>
      <c r="C541" t="str">
        <f>"76.6764"</f>
        <v>76.6764</v>
      </c>
    </row>
    <row r="542" spans="1:3" x14ac:dyDescent="0.25">
      <c r="A542" t="str">
        <f>"18/08/2011"</f>
        <v>18/08/2011</v>
      </c>
      <c r="B542" t="str">
        <f>"76.643"</f>
        <v>76.643</v>
      </c>
      <c r="C542" t="str">
        <f>"76.6151"</f>
        <v>76.6151</v>
      </c>
    </row>
    <row r="543" spans="1:3" x14ac:dyDescent="0.25">
      <c r="A543" t="str">
        <f>"19/08/2011"</f>
        <v>19/08/2011</v>
      </c>
      <c r="B543" t="str">
        <f>"76.514"</f>
        <v>76.514</v>
      </c>
      <c r="C543" t="str">
        <f>"76.4792"</f>
        <v>76.4792</v>
      </c>
    </row>
    <row r="544" spans="1:3" x14ac:dyDescent="0.25">
      <c r="A544" t="str">
        <f>"22/08/2011"</f>
        <v>22/08/2011</v>
      </c>
      <c r="B544" t="str">
        <f>"76.754"</f>
        <v>76.754</v>
      </c>
      <c r="C544" t="str">
        <f>"76.7211"</f>
        <v>76.7211</v>
      </c>
    </row>
    <row r="545" spans="1:3" x14ac:dyDescent="0.25">
      <c r="A545" t="str">
        <f>"23/08/2011"</f>
        <v>23/08/2011</v>
      </c>
      <c r="B545" t="str">
        <f>"76.811"</f>
        <v>76.811</v>
      </c>
      <c r="C545" t="str">
        <f>"76.7907"</f>
        <v>76.7907</v>
      </c>
    </row>
    <row r="546" spans="1:3" x14ac:dyDescent="0.25">
      <c r="A546" t="str">
        <f>"24/08/2011"</f>
        <v>24/08/2011</v>
      </c>
      <c r="B546" t="str">
        <f>"76.683"</f>
        <v>76.683</v>
      </c>
      <c r="C546" t="str">
        <f>"76.6623"</f>
        <v>76.6623</v>
      </c>
    </row>
    <row r="547" spans="1:3" x14ac:dyDescent="0.25">
      <c r="A547" t="str">
        <f>"25/08/2011"</f>
        <v>25/08/2011</v>
      </c>
      <c r="B547" t="str">
        <f>"76.965"</f>
        <v>76.965</v>
      </c>
      <c r="C547" t="str">
        <f>"76.949"</f>
        <v>76.949</v>
      </c>
    </row>
    <row r="548" spans="1:3" x14ac:dyDescent="0.25">
      <c r="A548" t="str">
        <f>"26/08/2011"</f>
        <v>26/08/2011</v>
      </c>
      <c r="B548" t="str">
        <f>"77.32"</f>
        <v>77.32</v>
      </c>
      <c r="C548" t="str">
        <f>"77.302"</f>
        <v>77.302</v>
      </c>
    </row>
    <row r="549" spans="1:3" x14ac:dyDescent="0.25">
      <c r="A549" t="str">
        <f>"29/08/2011"</f>
        <v>29/08/2011</v>
      </c>
      <c r="B549" t="str">
        <f>"76.718"</f>
        <v>76.718</v>
      </c>
      <c r="C549" t="str">
        <f>"76.6991"</f>
        <v>76.6991</v>
      </c>
    </row>
    <row r="550" spans="1:3" x14ac:dyDescent="0.25">
      <c r="A550" t="str">
        <f>"30/08/2011"</f>
        <v>30/08/2011</v>
      </c>
      <c r="B550" t="str">
        <f>"76.811"</f>
        <v>76.811</v>
      </c>
      <c r="C550" t="str">
        <f>"76.795"</f>
        <v>76.795</v>
      </c>
    </row>
    <row r="551" spans="1:3" x14ac:dyDescent="0.25">
      <c r="A551" t="str">
        <f>"02/09/2011"</f>
        <v>02/09/2011</v>
      </c>
      <c r="B551" t="str">
        <f>"76.876"</f>
        <v>76.876</v>
      </c>
      <c r="C551" t="str">
        <f>"76.8605"</f>
        <v>76.8605</v>
      </c>
    </row>
    <row r="552" spans="1:3" x14ac:dyDescent="0.25">
      <c r="A552" t="str">
        <f>"05/09/2011"</f>
        <v>05/09/2011</v>
      </c>
      <c r="B552" t="str">
        <f>"76.778"</f>
        <v>76.778</v>
      </c>
      <c r="C552" t="str">
        <f>"76.7531"</f>
        <v>76.7531</v>
      </c>
    </row>
    <row r="553" spans="1:3" x14ac:dyDescent="0.25">
      <c r="A553" t="str">
        <f>"06/09/2011"</f>
        <v>06/09/2011</v>
      </c>
      <c r="B553" t="str">
        <f>"76.819"</f>
        <v>76.819</v>
      </c>
      <c r="C553" t="str">
        <f>"76.7893"</f>
        <v>76.7893</v>
      </c>
    </row>
    <row r="554" spans="1:3" x14ac:dyDescent="0.25">
      <c r="A554" t="str">
        <f>"07/09/2011"</f>
        <v>07/09/2011</v>
      </c>
      <c r="B554" t="str">
        <f>"77.24"</f>
        <v>77.24</v>
      </c>
      <c r="C554" t="str">
        <f>"77.2177"</f>
        <v>77.2177</v>
      </c>
    </row>
    <row r="555" spans="1:3" x14ac:dyDescent="0.25">
      <c r="A555" t="str">
        <f>"08/09/2011"</f>
        <v>08/09/2011</v>
      </c>
      <c r="B555" t="str">
        <f>"77.375"</f>
        <v>77.375</v>
      </c>
      <c r="C555" t="str">
        <f>"77.3574"</f>
        <v>77.3574</v>
      </c>
    </row>
    <row r="556" spans="1:3" x14ac:dyDescent="0.25">
      <c r="A556" t="str">
        <f>"09/09/2011"</f>
        <v>09/09/2011</v>
      </c>
      <c r="B556" t="str">
        <f>"77.498"</f>
        <v>77.498</v>
      </c>
      <c r="C556" t="str">
        <f>"77.4775"</f>
        <v>77.4775</v>
      </c>
    </row>
    <row r="557" spans="1:3" x14ac:dyDescent="0.25">
      <c r="A557" t="str">
        <f>"12/09/2011"</f>
        <v>12/09/2011</v>
      </c>
      <c r="B557" t="str">
        <f>"77.494"</f>
        <v>77.494</v>
      </c>
      <c r="C557" t="str">
        <f>"77.4569"</f>
        <v>77.4569</v>
      </c>
    </row>
    <row r="558" spans="1:3" x14ac:dyDescent="0.25">
      <c r="A558" t="str">
        <f>"13/09/2011"</f>
        <v>13/09/2011</v>
      </c>
      <c r="B558" t="str">
        <f>"77.0175"</f>
        <v>77.0175</v>
      </c>
      <c r="C558" t="str">
        <f>"76.9886"</f>
        <v>76.9886</v>
      </c>
    </row>
    <row r="559" spans="1:3" x14ac:dyDescent="0.25">
      <c r="A559" t="str">
        <f>"14/09/2011"</f>
        <v>14/09/2011</v>
      </c>
      <c r="B559" t="str">
        <f>"76.9275"</f>
        <v>76.9275</v>
      </c>
      <c r="C559" t="str">
        <f>"76.8957"</f>
        <v>76.8957</v>
      </c>
    </row>
    <row r="560" spans="1:3" x14ac:dyDescent="0.25">
      <c r="A560" t="str">
        <f>"15/09/2011"</f>
        <v>15/09/2011</v>
      </c>
      <c r="B560" t="str">
        <f>"76.69"</f>
        <v>76.69</v>
      </c>
      <c r="C560" t="str">
        <f>"76.6599"</f>
        <v>76.6599</v>
      </c>
    </row>
    <row r="561" spans="1:3" x14ac:dyDescent="0.25">
      <c r="A561" t="str">
        <f>"16/09/2011"</f>
        <v>16/09/2011</v>
      </c>
      <c r="B561" t="str">
        <f>"76.806"</f>
        <v>76.806</v>
      </c>
      <c r="C561" t="str">
        <f>"76.7787"</f>
        <v>76.7787</v>
      </c>
    </row>
    <row r="562" spans="1:3" x14ac:dyDescent="0.25">
      <c r="A562" t="str">
        <f>"19/09/2011"</f>
        <v>19/09/2011</v>
      </c>
      <c r="B562" t="str">
        <f>"76.925"</f>
        <v>76.925</v>
      </c>
      <c r="C562" t="str">
        <f>"76.8966"</f>
        <v>76.8966</v>
      </c>
    </row>
    <row r="563" spans="1:3" x14ac:dyDescent="0.25">
      <c r="A563" t="str">
        <f>"20/09/2011"</f>
        <v>20/09/2011</v>
      </c>
      <c r="B563" t="str">
        <f>"76.586"</f>
        <v>76.586</v>
      </c>
      <c r="C563" t="str">
        <f>"76.5521"</f>
        <v>76.5521</v>
      </c>
    </row>
    <row r="564" spans="1:3" x14ac:dyDescent="0.25">
      <c r="A564" t="str">
        <f>"21/09/2011"</f>
        <v>21/09/2011</v>
      </c>
      <c r="B564" t="str">
        <f>"76.348"</f>
        <v>76.348</v>
      </c>
      <c r="C564" t="str">
        <f>"76.3176"</f>
        <v>76.3176</v>
      </c>
    </row>
    <row r="565" spans="1:3" x14ac:dyDescent="0.25">
      <c r="A565" t="str">
        <f>"22/09/2011"</f>
        <v>22/09/2011</v>
      </c>
      <c r="B565" t="str">
        <f>"76.784"</f>
        <v>76.784</v>
      </c>
      <c r="C565" t="str">
        <f>"76.7527"</f>
        <v>76.7527</v>
      </c>
    </row>
    <row r="566" spans="1:3" x14ac:dyDescent="0.25">
      <c r="A566" t="str">
        <f>"23/09/2011"</f>
        <v>23/09/2011</v>
      </c>
      <c r="B566" t="str">
        <f>"76.3375"</f>
        <v>76.3375</v>
      </c>
      <c r="C566" t="str">
        <f>"76.3081"</f>
        <v>76.3081</v>
      </c>
    </row>
    <row r="567" spans="1:3" x14ac:dyDescent="0.25">
      <c r="A567" t="str">
        <f>"26/09/2011"</f>
        <v>26/09/2011</v>
      </c>
      <c r="B567" t="str">
        <f>"76.406"</f>
        <v>76.406</v>
      </c>
      <c r="C567" t="str">
        <f>"76.3781"</f>
        <v>76.3781</v>
      </c>
    </row>
    <row r="568" spans="1:3" x14ac:dyDescent="0.25">
      <c r="A568" t="str">
        <f>"27/09/2011"</f>
        <v>27/09/2011</v>
      </c>
      <c r="B568" t="str">
        <f>"76.354"</f>
        <v>76.354</v>
      </c>
      <c r="C568" t="str">
        <f>"76.3286"</f>
        <v>76.3286</v>
      </c>
    </row>
    <row r="569" spans="1:3" x14ac:dyDescent="0.25">
      <c r="A569" t="str">
        <f>"28/09/2011"</f>
        <v>28/09/2011</v>
      </c>
      <c r="B569" t="str">
        <f>"76.543"</f>
        <v>76.543</v>
      </c>
      <c r="C569" t="str">
        <f>"76.5152"</f>
        <v>76.5152</v>
      </c>
    </row>
    <row r="570" spans="1:3" x14ac:dyDescent="0.25">
      <c r="A570" t="str">
        <f>"29/09/2011"</f>
        <v>29/09/2011</v>
      </c>
      <c r="B570" t="str">
        <f>"76.5515"</f>
        <v>76.5515</v>
      </c>
      <c r="C570" t="str">
        <f>"76.5221"</f>
        <v>76.5221</v>
      </c>
    </row>
    <row r="571" spans="1:3" x14ac:dyDescent="0.25">
      <c r="A571" t="str">
        <f>"30/09/2011"</f>
        <v>30/09/2011</v>
      </c>
      <c r="B571" t="str">
        <f>"76.56"</f>
        <v>76.56</v>
      </c>
      <c r="C571" t="str">
        <f>"76.5334"</f>
        <v>76.5334</v>
      </c>
    </row>
    <row r="572" spans="1:3" x14ac:dyDescent="0.25">
      <c r="A572" t="str">
        <f>"03/10/2011"</f>
        <v>03/10/2011</v>
      </c>
      <c r="B572" t="str">
        <f>"76.99"</f>
        <v>76.99</v>
      </c>
      <c r="C572" t="str">
        <f>"76.9553"</f>
        <v>76.9553</v>
      </c>
    </row>
    <row r="573" spans="1:3" x14ac:dyDescent="0.25">
      <c r="A573" t="str">
        <f>"04/10/2011"</f>
        <v>04/10/2011</v>
      </c>
      <c r="B573" t="str">
        <f>"76.709"</f>
        <v>76.709</v>
      </c>
      <c r="C573" t="str">
        <f>"76.6742"</f>
        <v>76.6742</v>
      </c>
    </row>
    <row r="574" spans="1:3" x14ac:dyDescent="0.25">
      <c r="A574" t="str">
        <f>"05/10/2011"</f>
        <v>05/10/2011</v>
      </c>
      <c r="B574" t="str">
        <f>"76.64"</f>
        <v>76.64</v>
      </c>
      <c r="C574" t="str">
        <f>"76.6114"</f>
        <v>76.6114</v>
      </c>
    </row>
    <row r="575" spans="1:3" x14ac:dyDescent="0.25">
      <c r="A575" t="str">
        <f>"07/10/2011"</f>
        <v>07/10/2011</v>
      </c>
      <c r="B575" t="str">
        <f>"76.64"</f>
        <v>76.64</v>
      </c>
      <c r="C575" t="str">
        <f>"76.6121"</f>
        <v>76.6121</v>
      </c>
    </row>
    <row r="576" spans="1:3" x14ac:dyDescent="0.25">
      <c r="A576" t="str">
        <f>"10/10/2011"</f>
        <v>10/10/2011</v>
      </c>
      <c r="B576" t="str">
        <f>"76.732"</f>
        <v>76.732</v>
      </c>
      <c r="C576" t="str">
        <f>"76.702"</f>
        <v>76.702</v>
      </c>
    </row>
    <row r="577" spans="1:3" x14ac:dyDescent="0.25">
      <c r="A577" t="str">
        <f>"11/10/2011"</f>
        <v>11/10/2011</v>
      </c>
      <c r="B577" t="str">
        <f>"76.666"</f>
        <v>76.666</v>
      </c>
      <c r="C577" t="str">
        <f>"76.6401"</f>
        <v>76.6401</v>
      </c>
    </row>
    <row r="578" spans="1:3" x14ac:dyDescent="0.25">
      <c r="A578" t="str">
        <f>"12/10/2011"</f>
        <v>12/10/2011</v>
      </c>
      <c r="B578" t="str">
        <f>"76.713"</f>
        <v>76.713</v>
      </c>
      <c r="C578" t="str">
        <f>"76.6866"</f>
        <v>76.6866</v>
      </c>
    </row>
    <row r="579" spans="1:3" x14ac:dyDescent="0.25">
      <c r="A579" t="str">
        <f>"13/10/2011"</f>
        <v>13/10/2011</v>
      </c>
      <c r="B579" t="str">
        <f>"77.072"</f>
        <v>77.072</v>
      </c>
      <c r="C579" t="str">
        <f>"77.0481"</f>
        <v>77.0481</v>
      </c>
    </row>
    <row r="580" spans="1:3" x14ac:dyDescent="0.25">
      <c r="A580" t="str">
        <f>"14/10/2011"</f>
        <v>14/10/2011</v>
      </c>
      <c r="B580" t="str">
        <f>"76.898"</f>
        <v>76.898</v>
      </c>
      <c r="C580" t="str">
        <f>"76.8708"</f>
        <v>76.8708</v>
      </c>
    </row>
    <row r="581" spans="1:3" x14ac:dyDescent="0.25">
      <c r="A581" t="str">
        <f>"17/10/2011"</f>
        <v>17/10/2011</v>
      </c>
      <c r="B581" t="str">
        <f>"77.199"</f>
        <v>77.199</v>
      </c>
      <c r="C581" t="str">
        <f>"77.1686"</f>
        <v>77.1686</v>
      </c>
    </row>
    <row r="582" spans="1:3" x14ac:dyDescent="0.25">
      <c r="A582" t="str">
        <f>"18/10/2011"</f>
        <v>18/10/2011</v>
      </c>
      <c r="B582" t="str">
        <f>"76.836"</f>
        <v>76.836</v>
      </c>
      <c r="C582" t="str">
        <f>"76.8057"</f>
        <v>76.8057</v>
      </c>
    </row>
    <row r="583" spans="1:3" x14ac:dyDescent="0.25">
      <c r="A583" t="str">
        <f>"19/10/2011"</f>
        <v>19/10/2011</v>
      </c>
      <c r="B583" t="str">
        <f>"76.716"</f>
        <v>76.716</v>
      </c>
      <c r="C583" t="str">
        <f>"76.6879"</f>
        <v>76.6879</v>
      </c>
    </row>
    <row r="584" spans="1:3" x14ac:dyDescent="0.25">
      <c r="A584" t="str">
        <f>"20/10/2011"</f>
        <v>20/10/2011</v>
      </c>
      <c r="B584" t="str">
        <f>"76.731"</f>
        <v>76.731</v>
      </c>
      <c r="C584" t="str">
        <f>"76.7037"</f>
        <v>76.7037</v>
      </c>
    </row>
    <row r="585" spans="1:3" x14ac:dyDescent="0.25">
      <c r="A585" t="str">
        <f>"21/10/2011"</f>
        <v>21/10/2011</v>
      </c>
      <c r="B585" t="str">
        <f>"76.79"</f>
        <v>76.79</v>
      </c>
      <c r="C585" t="str">
        <f>"76.7623"</f>
        <v>76.7623</v>
      </c>
    </row>
    <row r="586" spans="1:3" x14ac:dyDescent="0.25">
      <c r="A586" t="str">
        <f>"24/10/2011"</f>
        <v>24/10/2011</v>
      </c>
      <c r="B586" t="str">
        <f>"76.23"</f>
        <v>76.23</v>
      </c>
      <c r="C586" t="str">
        <f>"76.2014"</f>
        <v>76.2014</v>
      </c>
    </row>
    <row r="587" spans="1:3" x14ac:dyDescent="0.25">
      <c r="A587" t="str">
        <f>"25/10/2011"</f>
        <v>25/10/2011</v>
      </c>
      <c r="B587" t="str">
        <f>"76.1325"</f>
        <v>76.1325</v>
      </c>
      <c r="C587" t="str">
        <f>"76.1086"</f>
        <v>76.1086</v>
      </c>
    </row>
    <row r="588" spans="1:3" x14ac:dyDescent="0.25">
      <c r="A588" t="str">
        <f>"28/10/2011"</f>
        <v>28/10/2011</v>
      </c>
      <c r="B588" t="str">
        <f>"75.881"</f>
        <v>75.881</v>
      </c>
      <c r="C588" t="str">
        <f>"75.8584"</f>
        <v>75.8584</v>
      </c>
    </row>
    <row r="589" spans="1:3" x14ac:dyDescent="0.25">
      <c r="A589" t="str">
        <f>"31/10/2011"</f>
        <v>31/10/2011</v>
      </c>
      <c r="B589" t="str">
        <f>"79.2045"</f>
        <v>79.2045</v>
      </c>
      <c r="C589" t="str">
        <f>"79.1743"</f>
        <v>79.1743</v>
      </c>
    </row>
    <row r="590" spans="1:3" x14ac:dyDescent="0.25">
      <c r="A590" t="str">
        <f>"01/11/2011"</f>
        <v>01/11/2011</v>
      </c>
      <c r="B590" t="str">
        <f>"78.246"</f>
        <v>78.246</v>
      </c>
      <c r="C590" t="str">
        <f>"78.1995"</f>
        <v>78.1995</v>
      </c>
    </row>
    <row r="591" spans="1:3" x14ac:dyDescent="0.25">
      <c r="A591" t="str">
        <f>"02/11/2011"</f>
        <v>02/11/2011</v>
      </c>
      <c r="B591" t="str">
        <f>"78.147"</f>
        <v>78.147</v>
      </c>
      <c r="C591" t="str">
        <f>"78.0933"</f>
        <v>78.0933</v>
      </c>
    </row>
    <row r="592" spans="1:3" x14ac:dyDescent="0.25">
      <c r="A592" t="str">
        <f>"03/11/2011"</f>
        <v>03/11/2011</v>
      </c>
      <c r="B592" t="str">
        <f>"78.051"</f>
        <v>78.051</v>
      </c>
      <c r="C592" t="str">
        <f>"78.003"</f>
        <v>78.003</v>
      </c>
    </row>
    <row r="593" spans="1:3" x14ac:dyDescent="0.25">
      <c r="A593" t="str">
        <f>"04/11/2011"</f>
        <v>04/11/2011</v>
      </c>
      <c r="B593" t="str">
        <f>"78.003"</f>
        <v>78.003</v>
      </c>
      <c r="C593" t="str">
        <f>"77.9645"</f>
        <v>77.9645</v>
      </c>
    </row>
    <row r="594" spans="1:3" x14ac:dyDescent="0.25">
      <c r="A594" t="str">
        <f>"08/11/2011"</f>
        <v>08/11/2011</v>
      </c>
      <c r="B594" t="str">
        <f>"78.051"</f>
        <v>78.051</v>
      </c>
      <c r="C594" t="str">
        <f>"78.0148"</f>
        <v>78.0148</v>
      </c>
    </row>
    <row r="595" spans="1:3" x14ac:dyDescent="0.25">
      <c r="A595" t="str">
        <f>"09/11/2011"</f>
        <v>09/11/2011</v>
      </c>
      <c r="B595" t="str">
        <f>"77.605"</f>
        <v>77.605</v>
      </c>
      <c r="C595" t="str">
        <f>"77.5742"</f>
        <v>77.5742</v>
      </c>
    </row>
    <row r="596" spans="1:3" x14ac:dyDescent="0.25">
      <c r="A596" t="str">
        <f>"11/11/2011"</f>
        <v>11/11/2011</v>
      </c>
      <c r="B596" t="str">
        <f>"77.577"</f>
        <v>77.577</v>
      </c>
      <c r="C596" t="str">
        <f>"77.5396"</f>
        <v>77.5396</v>
      </c>
    </row>
    <row r="597" spans="1:3" x14ac:dyDescent="0.25">
      <c r="A597" t="str">
        <f>"14/11/2011"</f>
        <v>14/11/2011</v>
      </c>
      <c r="B597" t="str">
        <f>"77.129"</f>
        <v>77.129</v>
      </c>
      <c r="C597" t="str">
        <f>"77.0955"</f>
        <v>77.0955</v>
      </c>
    </row>
    <row r="598" spans="1:3" x14ac:dyDescent="0.25">
      <c r="A598" t="str">
        <f>"15/11/2011"</f>
        <v>15/11/2011</v>
      </c>
      <c r="B598" t="str">
        <f>"77.1545"</f>
        <v>77.1545</v>
      </c>
      <c r="C598" t="str">
        <f>"77.1171"</f>
        <v>77.1171</v>
      </c>
    </row>
    <row r="599" spans="1:3" x14ac:dyDescent="0.25">
      <c r="A599" t="str">
        <f>"16/11/2011"</f>
        <v>16/11/2011</v>
      </c>
      <c r="B599" t="str">
        <f>"77.06"</f>
        <v>77.06</v>
      </c>
      <c r="C599" t="str">
        <f>"77.0149"</f>
        <v>77.0149</v>
      </c>
    </row>
    <row r="600" spans="1:3" x14ac:dyDescent="0.25">
      <c r="A600" t="str">
        <f>"17/11/2011"</f>
        <v>17/11/2011</v>
      </c>
      <c r="B600" t="str">
        <f>"77.027"</f>
        <v>77.027</v>
      </c>
      <c r="C600" t="str">
        <f>"76.9847"</f>
        <v>76.9847</v>
      </c>
    </row>
    <row r="601" spans="1:3" x14ac:dyDescent="0.25">
      <c r="A601" t="str">
        <f>"18/11/2011"</f>
        <v>18/11/2011</v>
      </c>
      <c r="B601" t="str">
        <f>"76.874"</f>
        <v>76.874</v>
      </c>
      <c r="C601" t="str">
        <f>"76.8288"</f>
        <v>76.8288</v>
      </c>
    </row>
    <row r="602" spans="1:3" x14ac:dyDescent="0.25">
      <c r="A602" t="str">
        <f>"21/11/2011"</f>
        <v>21/11/2011</v>
      </c>
      <c r="B602" t="str">
        <f>"76.816"</f>
        <v>76.816</v>
      </c>
      <c r="C602" t="str">
        <f>"76.7694"</f>
        <v>76.7694</v>
      </c>
    </row>
    <row r="603" spans="1:3" x14ac:dyDescent="0.25">
      <c r="A603" t="str">
        <f>"22/11/2011"</f>
        <v>22/11/2011</v>
      </c>
      <c r="B603" t="str">
        <f>"77.072"</f>
        <v>77.072</v>
      </c>
      <c r="C603" t="str">
        <f>"77.0262"</f>
        <v>77.0262</v>
      </c>
    </row>
    <row r="604" spans="1:3" x14ac:dyDescent="0.25">
      <c r="A604" t="str">
        <f>"23/11/2011"</f>
        <v>23/11/2011</v>
      </c>
      <c r="B604" t="str">
        <f>"77.021"</f>
        <v>77.021</v>
      </c>
      <c r="C604" t="str">
        <f>"76.985"</f>
        <v>76.985</v>
      </c>
    </row>
    <row r="605" spans="1:3" x14ac:dyDescent="0.25">
      <c r="A605" t="str">
        <f>"24/11/2011"</f>
        <v>24/11/2011</v>
      </c>
      <c r="B605" t="str">
        <f>"77.041"</f>
        <v>77.041</v>
      </c>
      <c r="C605" t="str">
        <f>"77.0053"</f>
        <v>77.0053</v>
      </c>
    </row>
    <row r="606" spans="1:3" x14ac:dyDescent="0.25">
      <c r="A606" t="str">
        <f>"25/11/2011"</f>
        <v>25/11/2011</v>
      </c>
      <c r="B606" t="str">
        <f>"77.486"</f>
        <v>77.486</v>
      </c>
      <c r="C606" t="str">
        <f>"77.4493"</f>
        <v>77.4493</v>
      </c>
    </row>
    <row r="607" spans="1:3" x14ac:dyDescent="0.25">
      <c r="A607" t="str">
        <f>"28/11/2011"</f>
        <v>28/11/2011</v>
      </c>
      <c r="B607" t="str">
        <f>"77.661"</f>
        <v>77.661</v>
      </c>
      <c r="C607" t="str">
        <f>"77.6208"</f>
        <v>77.6208</v>
      </c>
    </row>
    <row r="608" spans="1:3" x14ac:dyDescent="0.25">
      <c r="A608" t="str">
        <f>"29/11/2011"</f>
        <v>29/11/2011</v>
      </c>
      <c r="B608" t="str">
        <f>"77.761"</f>
        <v>77.761</v>
      </c>
      <c r="C608" t="str">
        <f>"77.6893"</f>
        <v>77.6893</v>
      </c>
    </row>
    <row r="609" spans="1:3" x14ac:dyDescent="0.25">
      <c r="A609" t="str">
        <f>"30/11/2011"</f>
        <v>30/11/2011</v>
      </c>
      <c r="B609" t="str">
        <f>"78.13"</f>
        <v>78.13</v>
      </c>
      <c r="C609" t="str">
        <f>"78.0562"</f>
        <v>78.0562</v>
      </c>
    </row>
    <row r="610" spans="1:3" x14ac:dyDescent="0.25">
      <c r="A610" t="str">
        <f>"01/12/2011"</f>
        <v>01/12/2011</v>
      </c>
      <c r="B610" t="str">
        <f>"77.686"</f>
        <v>77.686</v>
      </c>
      <c r="C610" t="str">
        <f>"77.622"</f>
        <v>77.622</v>
      </c>
    </row>
    <row r="611" spans="1:3" x14ac:dyDescent="0.25">
      <c r="A611" t="str">
        <f>"02/12/2011"</f>
        <v>02/12/2011</v>
      </c>
      <c r="B611" t="str">
        <f>"77.88"</f>
        <v>77.88</v>
      </c>
      <c r="C611" t="str">
        <f>"77.7987"</f>
        <v>77.7987</v>
      </c>
    </row>
    <row r="612" spans="1:3" x14ac:dyDescent="0.25">
      <c r="A612" t="str">
        <f>"05/12/2011"</f>
        <v>05/12/2011</v>
      </c>
      <c r="B612" t="str">
        <f>"77.96"</f>
        <v>77.96</v>
      </c>
      <c r="C612" t="str">
        <f>"77.8672"</f>
        <v>77.8672</v>
      </c>
    </row>
    <row r="613" spans="1:3" x14ac:dyDescent="0.25">
      <c r="A613" t="str">
        <f>"07/12/2011"</f>
        <v>07/12/2011</v>
      </c>
      <c r="B613" t="str">
        <f>"77.684"</f>
        <v>77.684</v>
      </c>
      <c r="C613" t="str">
        <f>"77.621"</f>
        <v>77.621</v>
      </c>
    </row>
    <row r="614" spans="1:3" x14ac:dyDescent="0.25">
      <c r="A614" t="str">
        <f>"08/12/2011"</f>
        <v>08/12/2011</v>
      </c>
      <c r="B614" t="str">
        <f>"77.402"</f>
        <v>77.402</v>
      </c>
      <c r="C614" t="str">
        <f>"77.3438"</f>
        <v>77.3438</v>
      </c>
    </row>
    <row r="615" spans="1:3" x14ac:dyDescent="0.25">
      <c r="A615" t="str">
        <f>"09/12/2011"</f>
        <v>09/12/2011</v>
      </c>
      <c r="B615" t="str">
        <f>"77.669"</f>
        <v>77.669</v>
      </c>
      <c r="C615" t="str">
        <f>"77.6045"</f>
        <v>77.6045</v>
      </c>
    </row>
    <row r="616" spans="1:3" x14ac:dyDescent="0.25">
      <c r="A616" t="str">
        <f>"12/12/2011"</f>
        <v>12/12/2011</v>
      </c>
      <c r="B616" t="str">
        <f>"77.85"</f>
        <v>77.85</v>
      </c>
      <c r="C616" t="str">
        <f>"77.7815"</f>
        <v>77.7815</v>
      </c>
    </row>
    <row r="617" spans="1:3" x14ac:dyDescent="0.25">
      <c r="A617" t="str">
        <f>"13/12/2011"</f>
        <v>13/12/2011</v>
      </c>
      <c r="B617" t="str">
        <f>"77.895"</f>
        <v>77.895</v>
      </c>
      <c r="C617" t="str">
        <f>"77.8282"</f>
        <v>77.8282</v>
      </c>
    </row>
    <row r="618" spans="1:3" x14ac:dyDescent="0.25">
      <c r="A618" t="str">
        <f>"14/12/2011"</f>
        <v>14/12/2011</v>
      </c>
      <c r="B618" t="str">
        <f>"77.9805"</f>
        <v>77.9805</v>
      </c>
      <c r="C618" t="str">
        <f>"77.9094"</f>
        <v>77.9094</v>
      </c>
    </row>
    <row r="619" spans="1:3" x14ac:dyDescent="0.25">
      <c r="A619" t="str">
        <f>"15/12/2011"</f>
        <v>15/12/2011</v>
      </c>
      <c r="B619" t="str">
        <f>"77.932"</f>
        <v>77.932</v>
      </c>
      <c r="C619" t="str">
        <f>"77.8557"</f>
        <v>77.8557</v>
      </c>
    </row>
    <row r="620" spans="1:3" x14ac:dyDescent="0.25">
      <c r="A620" t="str">
        <f>"16/12/2011"</f>
        <v>16/12/2011</v>
      </c>
      <c r="B620" t="str">
        <f>"77.881"</f>
        <v>77.881</v>
      </c>
      <c r="C620" t="str">
        <f>"77.8146"</f>
        <v>77.8146</v>
      </c>
    </row>
    <row r="621" spans="1:3" x14ac:dyDescent="0.25">
      <c r="A621" t="str">
        <f>"19/12/2011"</f>
        <v>19/12/2011</v>
      </c>
      <c r="B621" t="str">
        <f>"77.908"</f>
        <v>77.908</v>
      </c>
      <c r="C621" t="str">
        <f>"77.8443"</f>
        <v>77.8443</v>
      </c>
    </row>
    <row r="622" spans="1:3" x14ac:dyDescent="0.25">
      <c r="A622" t="str">
        <f>"20/12/2011"</f>
        <v>20/12/2011</v>
      </c>
      <c r="B622" t="str">
        <f>"77.923"</f>
        <v>77.923</v>
      </c>
      <c r="C622" t="str">
        <f>"77.8653"</f>
        <v>77.8653</v>
      </c>
    </row>
    <row r="623" spans="1:3" x14ac:dyDescent="0.25">
      <c r="A623" t="str">
        <f>"21/12/2011"</f>
        <v>21/12/2011</v>
      </c>
      <c r="B623" t="str">
        <f>"77.789"</f>
        <v>77.789</v>
      </c>
      <c r="C623" t="str">
        <f>"77.7358"</f>
        <v>77.7358</v>
      </c>
    </row>
    <row r="624" spans="1:3" x14ac:dyDescent="0.25">
      <c r="A624" t="str">
        <f>"22/12/2011"</f>
        <v>22/12/2011</v>
      </c>
      <c r="B624" t="str">
        <f>"78.0405"</f>
        <v>78.0405</v>
      </c>
      <c r="C624" t="str">
        <f>"77.9868"</f>
        <v>77.9868</v>
      </c>
    </row>
    <row r="625" spans="1:3" x14ac:dyDescent="0.25">
      <c r="A625" t="str">
        <f>"23/12/2011"</f>
        <v>23/12/2011</v>
      </c>
      <c r="B625" t="str">
        <f>"78.039"</f>
        <v>78.039</v>
      </c>
      <c r="C625" t="str">
        <f>"77.9864"</f>
        <v>77.9864</v>
      </c>
    </row>
    <row r="626" spans="1:3" x14ac:dyDescent="0.25">
      <c r="A626" t="str">
        <f>"26/12/2011"</f>
        <v>26/12/2011</v>
      </c>
      <c r="B626" t="str">
        <f>"77.93"</f>
        <v>77.93</v>
      </c>
      <c r="C626" t="str">
        <f>"77.876"</f>
        <v>77.876</v>
      </c>
    </row>
    <row r="627" spans="1:3" x14ac:dyDescent="0.25">
      <c r="A627" t="str">
        <f>"27/12/2011"</f>
        <v>27/12/2011</v>
      </c>
      <c r="B627" t="str">
        <f>"77.9475"</f>
        <v>77.9475</v>
      </c>
      <c r="C627" t="str">
        <f>"77.8935"</f>
        <v>77.8935</v>
      </c>
    </row>
    <row r="628" spans="1:3" x14ac:dyDescent="0.25">
      <c r="A628" t="str">
        <f>"28/12/2011"</f>
        <v>28/12/2011</v>
      </c>
      <c r="B628" t="str">
        <f>"77.796"</f>
        <v>77.796</v>
      </c>
      <c r="C628" t="str">
        <f>"77.7535"</f>
        <v>77.7535</v>
      </c>
    </row>
    <row r="629" spans="1:3" x14ac:dyDescent="0.25">
      <c r="A629" t="str">
        <f>"29/12/2011"</f>
        <v>29/12/2011</v>
      </c>
      <c r="B629" t="str">
        <f>"77.784"</f>
        <v>77.784</v>
      </c>
      <c r="C629" t="str">
        <f>"77.7524"</f>
        <v>77.7524</v>
      </c>
    </row>
    <row r="630" spans="1:3" x14ac:dyDescent="0.25">
      <c r="A630" t="str">
        <f>"30/12/2011"</f>
        <v>30/12/2011</v>
      </c>
      <c r="B630" t="str">
        <f>"77.541"</f>
        <v>77.541</v>
      </c>
      <c r="C630" t="str">
        <f>"77.5079"</f>
        <v>77.5079</v>
      </c>
    </row>
    <row r="631" spans="1:3" x14ac:dyDescent="0.25">
      <c r="A631" t="str">
        <f>"02/01/2012"</f>
        <v>02/01/2012</v>
      </c>
      <c r="B631" t="str">
        <f>"76.974"</f>
        <v>76.974</v>
      </c>
      <c r="C631" t="str">
        <f>"76.9426"</f>
        <v>76.9426</v>
      </c>
    </row>
    <row r="632" spans="1:3" x14ac:dyDescent="0.25">
      <c r="A632" t="str">
        <f>"03/01/2012"</f>
        <v>03/01/2012</v>
      </c>
      <c r="B632" t="str">
        <f>"76.848"</f>
        <v>76.848</v>
      </c>
      <c r="C632" t="str">
        <f>"76.8163"</f>
        <v>76.8163</v>
      </c>
    </row>
    <row r="633" spans="1:3" x14ac:dyDescent="0.25">
      <c r="A633" t="str">
        <f>"04/01/2012"</f>
        <v>04/01/2012</v>
      </c>
      <c r="B633" t="str">
        <f>"76.688"</f>
        <v>76.688</v>
      </c>
      <c r="C633" t="str">
        <f>"76.661"</f>
        <v>76.661</v>
      </c>
    </row>
    <row r="634" spans="1:3" x14ac:dyDescent="0.25">
      <c r="A634" t="str">
        <f>"05/01/2012"</f>
        <v>05/01/2012</v>
      </c>
      <c r="B634" t="str">
        <f>"76.725"</f>
        <v>76.725</v>
      </c>
      <c r="C634" t="str">
        <f>"76.699"</f>
        <v>76.699</v>
      </c>
    </row>
    <row r="635" spans="1:3" x14ac:dyDescent="0.25">
      <c r="A635" t="str">
        <f>"06/01/2012"</f>
        <v>06/01/2012</v>
      </c>
      <c r="B635" t="str">
        <f>"77.19"</f>
        <v>77.19</v>
      </c>
      <c r="C635" t="str">
        <f>"77.1587"</f>
        <v>77.1587</v>
      </c>
    </row>
    <row r="636" spans="1:3" x14ac:dyDescent="0.25">
      <c r="A636" t="str">
        <f>"09/01/2012"</f>
        <v>09/01/2012</v>
      </c>
      <c r="B636" t="str">
        <f>"76.918"</f>
        <v>76.918</v>
      </c>
      <c r="C636" t="str">
        <f>"76.892"</f>
        <v>76.892</v>
      </c>
    </row>
    <row r="637" spans="1:3" x14ac:dyDescent="0.25">
      <c r="A637" t="str">
        <f>"10/01/2012"</f>
        <v>10/01/2012</v>
      </c>
      <c r="B637" t="str">
        <f>"76.8395"</f>
        <v>76.8395</v>
      </c>
      <c r="C637" t="str">
        <f>"76.8132"</f>
        <v>76.8132</v>
      </c>
    </row>
    <row r="638" spans="1:3" x14ac:dyDescent="0.25">
      <c r="A638" t="str">
        <f>"11/01/2012"</f>
        <v>11/01/2012</v>
      </c>
      <c r="B638" t="str">
        <f>"76.934"</f>
        <v>76.934</v>
      </c>
      <c r="C638" t="str">
        <f>"76.9135"</f>
        <v>76.9135</v>
      </c>
    </row>
    <row r="639" spans="1:3" x14ac:dyDescent="0.25">
      <c r="A639" t="str">
        <f>"12/01/2012"</f>
        <v>12/01/2012</v>
      </c>
      <c r="B639" t="str">
        <f>"76.865"</f>
        <v>76.865</v>
      </c>
      <c r="C639" t="str">
        <f>"76.8418"</f>
        <v>76.8418</v>
      </c>
    </row>
    <row r="640" spans="1:3" x14ac:dyDescent="0.25">
      <c r="A640" t="str">
        <f>"13/01/2012"</f>
        <v>13/01/2012</v>
      </c>
      <c r="B640" t="str">
        <f>"76.773"</f>
        <v>76.773</v>
      </c>
      <c r="C640" t="str">
        <f>"76.7543"</f>
        <v>76.7543</v>
      </c>
    </row>
    <row r="641" spans="1:3" x14ac:dyDescent="0.25">
      <c r="A641" t="str">
        <f>"16/01/2012"</f>
        <v>16/01/2012</v>
      </c>
      <c r="B641" t="str">
        <f>"76.805"</f>
        <v>76.805</v>
      </c>
      <c r="C641" t="str">
        <f>"76.7824"</f>
        <v>76.7824</v>
      </c>
    </row>
    <row r="642" spans="1:3" x14ac:dyDescent="0.25">
      <c r="A642" t="str">
        <f>"17/01/2012"</f>
        <v>17/01/2012</v>
      </c>
      <c r="B642" t="str">
        <f>"76.725"</f>
        <v>76.725</v>
      </c>
      <c r="C642" t="str">
        <f>"76.7018"</f>
        <v>76.7018</v>
      </c>
    </row>
    <row r="643" spans="1:3" x14ac:dyDescent="0.25">
      <c r="A643" t="str">
        <f>"18/01/2012"</f>
        <v>18/01/2012</v>
      </c>
      <c r="B643" t="str">
        <f>"76.698"</f>
        <v>76.698</v>
      </c>
      <c r="C643" t="str">
        <f>"76.6792"</f>
        <v>76.6792</v>
      </c>
    </row>
    <row r="644" spans="1:3" x14ac:dyDescent="0.25">
      <c r="A644" t="str">
        <f>"19/01/2012"</f>
        <v>19/01/2012</v>
      </c>
      <c r="B644" t="str">
        <f>"76.782"</f>
        <v>76.782</v>
      </c>
      <c r="C644" t="str">
        <f>"76.761"</f>
        <v>76.761</v>
      </c>
    </row>
    <row r="645" spans="1:3" x14ac:dyDescent="0.25">
      <c r="A645" t="str">
        <f>"20/01/2012"</f>
        <v>20/01/2012</v>
      </c>
      <c r="B645" t="str">
        <f>"77.09"</f>
        <v>77.09</v>
      </c>
      <c r="C645" t="str">
        <f>"77.0712"</f>
        <v>77.0712</v>
      </c>
    </row>
    <row r="646" spans="1:3" x14ac:dyDescent="0.25">
      <c r="A646" t="str">
        <f>"23/01/2012"</f>
        <v>23/01/2012</v>
      </c>
      <c r="B646" t="str">
        <f>"76.98"</f>
        <v>76.98</v>
      </c>
      <c r="C646" t="str">
        <f>"76.9632"</f>
        <v>76.9632</v>
      </c>
    </row>
    <row r="647" spans="1:3" x14ac:dyDescent="0.25">
      <c r="A647" t="str">
        <f>"24/01/2012"</f>
        <v>24/01/2012</v>
      </c>
      <c r="B647" t="str">
        <f>"77.317"</f>
        <v>77.317</v>
      </c>
      <c r="C647" t="str">
        <f>"77.3012"</f>
        <v>77.3012</v>
      </c>
    </row>
    <row r="648" spans="1:3" x14ac:dyDescent="0.25">
      <c r="A648" t="str">
        <f>"25/01/2012"</f>
        <v>25/01/2012</v>
      </c>
      <c r="B648" t="str">
        <f>"78.116"</f>
        <v>78.116</v>
      </c>
      <c r="C648" t="str">
        <f>"78.099"</f>
        <v>78.099</v>
      </c>
    </row>
    <row r="649" spans="1:3" x14ac:dyDescent="0.25">
      <c r="A649" t="str">
        <f>"27/01/2012"</f>
        <v>27/01/2012</v>
      </c>
      <c r="B649" t="str">
        <f>"76.985"</f>
        <v>76.985</v>
      </c>
      <c r="C649" t="str">
        <f>"76.9701"</f>
        <v>76.9701</v>
      </c>
    </row>
    <row r="650" spans="1:3" x14ac:dyDescent="0.25">
      <c r="A650" t="str">
        <f>"30/01/2012"</f>
        <v>30/01/2012</v>
      </c>
      <c r="B650" t="str">
        <f>"76.715"</f>
        <v>76.715</v>
      </c>
      <c r="C650" t="str">
        <f>"76.6983"</f>
        <v>76.6983</v>
      </c>
    </row>
    <row r="651" spans="1:3" x14ac:dyDescent="0.25">
      <c r="A651" t="str">
        <f>"31/01/2012"</f>
        <v>31/01/2012</v>
      </c>
      <c r="B651" t="str">
        <f>"76.227"</f>
        <v>76.227</v>
      </c>
      <c r="C651" t="str">
        <f>"76.2069"</f>
        <v>76.2069</v>
      </c>
    </row>
    <row r="652" spans="1:3" x14ac:dyDescent="0.25">
      <c r="A652" t="str">
        <f>"01/02/2012"</f>
        <v>01/02/2012</v>
      </c>
      <c r="B652" t="str">
        <f>"76.1925"</f>
        <v>76.1925</v>
      </c>
      <c r="C652" t="str">
        <f>"76.173"</f>
        <v>76.173</v>
      </c>
    </row>
    <row r="653" spans="1:3" x14ac:dyDescent="0.25">
      <c r="A653" t="str">
        <f>"02/02/2012"</f>
        <v>02/02/2012</v>
      </c>
      <c r="B653" t="str">
        <f>"76.1495"</f>
        <v>76.1495</v>
      </c>
      <c r="C653" t="str">
        <f>"76.1334"</f>
        <v>76.1334</v>
      </c>
    </row>
    <row r="654" spans="1:3" x14ac:dyDescent="0.25">
      <c r="A654" t="str">
        <f>"03/02/2012"</f>
        <v>03/02/2012</v>
      </c>
      <c r="B654" t="str">
        <f>"76.1885"</f>
        <v>76.1885</v>
      </c>
      <c r="C654" t="str">
        <f>"76.1748"</f>
        <v>76.1748</v>
      </c>
    </row>
    <row r="655" spans="1:3" x14ac:dyDescent="0.25">
      <c r="A655" t="str">
        <f>"06/02/2012"</f>
        <v>06/02/2012</v>
      </c>
      <c r="B655" t="str">
        <f>"76.745"</f>
        <v>76.745</v>
      </c>
      <c r="C655" t="str">
        <f>"76.7313"</f>
        <v>76.7313</v>
      </c>
    </row>
    <row r="656" spans="1:3" x14ac:dyDescent="0.25">
      <c r="A656" t="str">
        <f>"07/02/2012"</f>
        <v>07/02/2012</v>
      </c>
      <c r="B656" t="str">
        <f>"76.701"</f>
        <v>76.701</v>
      </c>
      <c r="C656" t="str">
        <f>"76.686"</f>
        <v>76.686</v>
      </c>
    </row>
    <row r="657" spans="1:3" x14ac:dyDescent="0.25">
      <c r="A657" t="str">
        <f>"08/02/2012"</f>
        <v>08/02/2012</v>
      </c>
      <c r="B657" t="str">
        <f>"77.036"</f>
        <v>77.036</v>
      </c>
      <c r="C657" t="str">
        <f>"77.0225"</f>
        <v>77.0225</v>
      </c>
    </row>
    <row r="658" spans="1:3" x14ac:dyDescent="0.25">
      <c r="A658" t="str">
        <f>"09/02/2012"</f>
        <v>09/02/2012</v>
      </c>
      <c r="B658" t="str">
        <f>"77.186"</f>
        <v>77.186</v>
      </c>
      <c r="C658" t="str">
        <f>"77.1741"</f>
        <v>77.1741</v>
      </c>
    </row>
    <row r="659" spans="1:3" x14ac:dyDescent="0.25">
      <c r="A659" t="str">
        <f>"10/02/2012"</f>
        <v>10/02/2012</v>
      </c>
      <c r="B659" t="str">
        <f>"77.626"</f>
        <v>77.626</v>
      </c>
      <c r="C659" t="str">
        <f>"77.6116"</f>
        <v>77.6116</v>
      </c>
    </row>
    <row r="660" spans="1:3" x14ac:dyDescent="0.25">
      <c r="A660" t="str">
        <f>"13/02/2012"</f>
        <v>13/02/2012</v>
      </c>
      <c r="B660" t="str">
        <f>"77.722"</f>
        <v>77.722</v>
      </c>
      <c r="C660" t="str">
        <f>"77.7063"</f>
        <v>77.7063</v>
      </c>
    </row>
    <row r="661" spans="1:3" x14ac:dyDescent="0.25">
      <c r="A661" t="str">
        <f>"14/02/2012"</f>
        <v>14/02/2012</v>
      </c>
      <c r="B661" t="str">
        <f>"77.8865"</f>
        <v>77.8865</v>
      </c>
      <c r="C661" t="str">
        <f>"77.871"</f>
        <v>77.871</v>
      </c>
    </row>
    <row r="662" spans="1:3" x14ac:dyDescent="0.25">
      <c r="A662" t="str">
        <f>"15/02/2012"</f>
        <v>15/02/2012</v>
      </c>
      <c r="B662" t="str">
        <f>"78.527"</f>
        <v>78.527</v>
      </c>
      <c r="C662" t="str">
        <f>"78.5111"</f>
        <v>78.5111</v>
      </c>
    </row>
    <row r="663" spans="1:3" x14ac:dyDescent="0.25">
      <c r="A663" t="str">
        <f>"16/02/2012"</f>
        <v>16/02/2012</v>
      </c>
      <c r="B663" t="str">
        <f>"78.3955"</f>
        <v>78.3955</v>
      </c>
      <c r="C663" t="str">
        <f>"78.38"</f>
        <v>78.38</v>
      </c>
    </row>
    <row r="664" spans="1:3" x14ac:dyDescent="0.25">
      <c r="A664" t="str">
        <f>"17/02/2012"</f>
        <v>17/02/2012</v>
      </c>
      <c r="B664" t="str">
        <f>"79.07"</f>
        <v>79.07</v>
      </c>
      <c r="C664" t="str">
        <f>"79.0551"</f>
        <v>79.0551</v>
      </c>
    </row>
    <row r="665" spans="1:3" x14ac:dyDescent="0.25">
      <c r="A665" t="str">
        <f>"21/02/2012"</f>
        <v>21/02/2012</v>
      </c>
      <c r="B665" t="str">
        <f>"79.807"</f>
        <v>79.807</v>
      </c>
      <c r="C665" t="str">
        <f>"79.791"</f>
        <v>79.791</v>
      </c>
    </row>
    <row r="666" spans="1:3" x14ac:dyDescent="0.25">
      <c r="A666" t="str">
        <f>"22/02/2012"</f>
        <v>22/02/2012</v>
      </c>
      <c r="B666" t="str">
        <f>"80.042"</f>
        <v>80.042</v>
      </c>
      <c r="C666" t="str">
        <f>"80.0255"</f>
        <v>80.0255</v>
      </c>
    </row>
    <row r="667" spans="1:3" x14ac:dyDescent="0.25">
      <c r="A667" t="str">
        <f>"23/02/2012"</f>
        <v>23/02/2012</v>
      </c>
      <c r="B667" t="str">
        <f>"80.065"</f>
        <v>80.065</v>
      </c>
      <c r="C667" t="str">
        <f>"80.0475"</f>
        <v>80.0475</v>
      </c>
    </row>
    <row r="668" spans="1:3" x14ac:dyDescent="0.25">
      <c r="A668" t="str">
        <f>"24/02/2012"</f>
        <v>24/02/2012</v>
      </c>
      <c r="B668" t="str">
        <f>"80.581"</f>
        <v>80.581</v>
      </c>
      <c r="C668" t="str">
        <f>"80.5637"</f>
        <v>80.5637</v>
      </c>
    </row>
    <row r="669" spans="1:3" x14ac:dyDescent="0.25">
      <c r="A669" t="str">
        <f>"27/02/2012"</f>
        <v>27/02/2012</v>
      </c>
      <c r="B669" t="str">
        <f>"80.716"</f>
        <v>80.716</v>
      </c>
      <c r="C669" t="str">
        <f>"80.6969"</f>
        <v>80.6969</v>
      </c>
    </row>
    <row r="670" spans="1:3" x14ac:dyDescent="0.25">
      <c r="A670" t="str">
        <f>"28/02/2012"</f>
        <v>28/02/2012</v>
      </c>
      <c r="B670" t="str">
        <f>"80.2025"</f>
        <v>80.2025</v>
      </c>
      <c r="C670" t="str">
        <f>"80.183"</f>
        <v>80.183</v>
      </c>
    </row>
    <row r="671" spans="1:3" x14ac:dyDescent="0.25">
      <c r="A671" t="str">
        <f t="shared" ref="A671" si="0">"29/02/2012"</f>
        <v>29/02/2012</v>
      </c>
      <c r="B671" t="str">
        <f>"80.521"</f>
        <v>80.521</v>
      </c>
      <c r="C671" t="str">
        <f>"80.5024"</f>
        <v>80.5024</v>
      </c>
    </row>
    <row r="672" spans="1:3" x14ac:dyDescent="0.25">
      <c r="A672" t="str">
        <f>"01/03/2012"</f>
        <v>01/03/2012</v>
      </c>
      <c r="B672" t="str">
        <f>"81.045"</f>
        <v>81.045</v>
      </c>
      <c r="C672" t="str">
        <f>"81.0258"</f>
        <v>81.0258</v>
      </c>
    </row>
    <row r="673" spans="1:3" x14ac:dyDescent="0.25">
      <c r="A673" t="str">
        <f>"02/03/2012"</f>
        <v>02/03/2012</v>
      </c>
      <c r="B673" t="str">
        <f>"81.483"</f>
        <v>81.483</v>
      </c>
      <c r="C673" t="str">
        <f>"81.463"</f>
        <v>81.463</v>
      </c>
    </row>
    <row r="674" spans="1:3" x14ac:dyDescent="0.25">
      <c r="A674" t="str">
        <f>"05/03/2012"</f>
        <v>05/03/2012</v>
      </c>
      <c r="B674" t="str">
        <f>"81.197"</f>
        <v>81.197</v>
      </c>
      <c r="C674" t="str">
        <f>"81.1746"</f>
        <v>81.1746</v>
      </c>
    </row>
    <row r="675" spans="1:3" x14ac:dyDescent="0.25">
      <c r="A675" t="str">
        <f>"06/03/2012"</f>
        <v>06/03/2012</v>
      </c>
      <c r="B675" t="str">
        <f>"81.418"</f>
        <v>81.418</v>
      </c>
      <c r="C675" t="str">
        <f>"81.396"</f>
        <v>81.396</v>
      </c>
    </row>
    <row r="676" spans="1:3" x14ac:dyDescent="0.25">
      <c r="A676" t="str">
        <f>"07/03/2012"</f>
        <v>07/03/2012</v>
      </c>
      <c r="B676" t="str">
        <f>"80.789"</f>
        <v>80.789</v>
      </c>
      <c r="C676" t="str">
        <f>"80.7655"</f>
        <v>80.7655</v>
      </c>
    </row>
    <row r="677" spans="1:3" x14ac:dyDescent="0.25">
      <c r="A677" t="str">
        <f>"09/03/2012"</f>
        <v>09/03/2012</v>
      </c>
      <c r="B677" t="str">
        <f>"81.795"</f>
        <v>81.795</v>
      </c>
      <c r="C677" t="str">
        <f>"81.773"</f>
        <v>81.773</v>
      </c>
    </row>
    <row r="678" spans="1:3" x14ac:dyDescent="0.25">
      <c r="A678" t="str">
        <f>"12/03/2012"</f>
        <v>12/03/2012</v>
      </c>
      <c r="B678" t="str">
        <f>"82.2895"</f>
        <v>82.2895</v>
      </c>
      <c r="C678" t="str">
        <f>"82.2683"</f>
        <v>82.2683</v>
      </c>
    </row>
    <row r="679" spans="1:3" x14ac:dyDescent="0.25">
      <c r="A679" t="str">
        <f>"13/03/2012"</f>
        <v>13/03/2012</v>
      </c>
      <c r="B679" t="str">
        <f>"82.3575"</f>
        <v>82.3575</v>
      </c>
      <c r="C679" t="str">
        <f>"82.3363"</f>
        <v>82.3363</v>
      </c>
    </row>
    <row r="680" spans="1:3" x14ac:dyDescent="0.25">
      <c r="A680" t="str">
        <f>"14/03/2012"</f>
        <v>14/03/2012</v>
      </c>
      <c r="B680" t="str">
        <f>"83.235"</f>
        <v>83.235</v>
      </c>
      <c r="C680" t="str">
        <f>"83.218"</f>
        <v>83.218</v>
      </c>
    </row>
    <row r="681" spans="1:3" x14ac:dyDescent="0.25">
      <c r="A681" t="str">
        <f>"15/03/2012"</f>
        <v>15/03/2012</v>
      </c>
      <c r="B681" t="str">
        <f>"83.695"</f>
        <v>83.695</v>
      </c>
      <c r="C681" t="str">
        <f>"83.673"</f>
        <v>83.673</v>
      </c>
    </row>
    <row r="682" spans="1:3" x14ac:dyDescent="0.25">
      <c r="A682" t="str">
        <f>"16/03/2012"</f>
        <v>16/03/2012</v>
      </c>
      <c r="B682" t="str">
        <f>"83.40"</f>
        <v>83.40</v>
      </c>
      <c r="C682" t="str">
        <f>"83.378"</f>
        <v>83.378</v>
      </c>
    </row>
    <row r="683" spans="1:3" x14ac:dyDescent="0.25">
      <c r="A683" t="str">
        <f>"19/03/2012"</f>
        <v>19/03/2012</v>
      </c>
      <c r="B683" t="str">
        <f>"83.387"</f>
        <v>83.387</v>
      </c>
      <c r="C683" t="str">
        <f>"83.366"</f>
        <v>83.366</v>
      </c>
    </row>
    <row r="684" spans="1:3" x14ac:dyDescent="0.25">
      <c r="A684" t="str">
        <f>"20/03/2012"</f>
        <v>20/03/2012</v>
      </c>
      <c r="B684" t="str">
        <f>"83.448"</f>
        <v>83.448</v>
      </c>
      <c r="C684" t="str">
        <f>"83.432"</f>
        <v>83.432</v>
      </c>
    </row>
    <row r="685" spans="1:3" x14ac:dyDescent="0.25">
      <c r="A685" t="str">
        <f>"21/03/2012"</f>
        <v>21/03/2012</v>
      </c>
      <c r="B685" t="str">
        <f>"83.868"</f>
        <v>83.868</v>
      </c>
      <c r="C685" t="str">
        <f>"83.845"</f>
        <v>83.845</v>
      </c>
    </row>
    <row r="686" spans="1:3" x14ac:dyDescent="0.25">
      <c r="A686" t="str">
        <f>"22/03/2012"</f>
        <v>22/03/2012</v>
      </c>
      <c r="B686" t="str">
        <f>"82.971"</f>
        <v>82.971</v>
      </c>
      <c r="C686" t="str">
        <f>"82.948"</f>
        <v>82.948</v>
      </c>
    </row>
    <row r="687" spans="1:3" x14ac:dyDescent="0.25">
      <c r="A687" t="str">
        <f>"26/03/2012"</f>
        <v>26/03/2012</v>
      </c>
      <c r="B687" t="str">
        <f>"82.81"</f>
        <v>82.81</v>
      </c>
      <c r="C687" t="str">
        <f>"82.789"</f>
        <v>82.789</v>
      </c>
    </row>
    <row r="688" spans="1:3" x14ac:dyDescent="0.25">
      <c r="A688" t="str">
        <f>"27/03/2012"</f>
        <v>27/03/2012</v>
      </c>
      <c r="B688" t="str">
        <f>"82.864"</f>
        <v>82.864</v>
      </c>
      <c r="C688" t="str">
        <f>"82.844"</f>
        <v>82.844</v>
      </c>
    </row>
    <row r="689" spans="1:3" x14ac:dyDescent="0.25">
      <c r="A689" t="str">
        <f>"28/03/2012"</f>
        <v>28/03/2012</v>
      </c>
      <c r="B689" t="str">
        <f>"82.859"</f>
        <v>82.859</v>
      </c>
      <c r="C689" t="str">
        <f>"82.8415"</f>
        <v>82.8415</v>
      </c>
    </row>
    <row r="690" spans="1:3" x14ac:dyDescent="0.25">
      <c r="A690" t="str">
        <f>"29/03/2012"</f>
        <v>29/03/2012</v>
      </c>
      <c r="B690" t="str">
        <f>"82.309"</f>
        <v>82.309</v>
      </c>
      <c r="C690" t="str">
        <f>"82.29"</f>
        <v>82.29</v>
      </c>
    </row>
    <row r="691" spans="1:3" x14ac:dyDescent="0.25">
      <c r="A691" t="str">
        <f>"30/03/2012"</f>
        <v>30/03/2012</v>
      </c>
      <c r="B691" t="str">
        <f>"81.996"</f>
        <v>81.996</v>
      </c>
      <c r="C691" t="str">
        <f>"81.973"</f>
        <v>81.973</v>
      </c>
    </row>
    <row r="692" spans="1:3" x14ac:dyDescent="0.25">
      <c r="A692" t="str">
        <f>"03/04/2012"</f>
        <v>03/04/2012</v>
      </c>
      <c r="B692" t="str">
        <f>"82.045"</f>
        <v>82.045</v>
      </c>
      <c r="C692" t="str">
        <f>"82.027"</f>
        <v>82.027</v>
      </c>
    </row>
    <row r="693" spans="1:3" x14ac:dyDescent="0.25">
      <c r="A693" t="str">
        <f>"04/04/2012"</f>
        <v>04/04/2012</v>
      </c>
      <c r="B693" t="str">
        <f>"82.197"</f>
        <v>82.197</v>
      </c>
      <c r="C693" t="str">
        <f>"82.179"</f>
        <v>82.179</v>
      </c>
    </row>
    <row r="694" spans="1:3" x14ac:dyDescent="0.25">
      <c r="A694" t="str">
        <f>"10/04/2012"</f>
        <v>10/04/2012</v>
      </c>
      <c r="B694" t="str">
        <f>"81.5355"</f>
        <v>81.5355</v>
      </c>
      <c r="C694" t="str">
        <f>"81.5155"</f>
        <v>81.5155</v>
      </c>
    </row>
    <row r="695" spans="1:3" x14ac:dyDescent="0.25">
      <c r="A695" t="str">
        <f>"11/04/2012"</f>
        <v>11/04/2012</v>
      </c>
      <c r="B695" t="str">
        <f>"80.8575"</f>
        <v>80.8575</v>
      </c>
      <c r="C695" t="str">
        <f>"80.8375"</f>
        <v>80.8375</v>
      </c>
    </row>
    <row r="696" spans="1:3" x14ac:dyDescent="0.25">
      <c r="A696" t="str">
        <f>"12/04/2012"</f>
        <v>12/04/2012</v>
      </c>
      <c r="B696" t="str">
        <f>"80.873"</f>
        <v>80.873</v>
      </c>
      <c r="C696" t="str">
        <f>"80.853"</f>
        <v>80.853</v>
      </c>
    </row>
    <row r="697" spans="1:3" x14ac:dyDescent="0.25">
      <c r="A697" t="str">
        <f>"13/04/2012"</f>
        <v>13/04/2012</v>
      </c>
      <c r="B697" t="str">
        <f>"81.059"</f>
        <v>81.059</v>
      </c>
      <c r="C697" t="str">
        <f>"81.04"</f>
        <v>81.04</v>
      </c>
    </row>
    <row r="698" spans="1:3" x14ac:dyDescent="0.25">
      <c r="A698" t="str">
        <f>"16/04/2012"</f>
        <v>16/04/2012</v>
      </c>
      <c r="B698" t="str">
        <f>"80.8518"</f>
        <v>80.8518</v>
      </c>
      <c r="C698" t="str">
        <f>"80.8368"</f>
        <v>80.8368</v>
      </c>
    </row>
    <row r="699" spans="1:3" x14ac:dyDescent="0.25">
      <c r="A699" t="str">
        <f>"17/04/2012"</f>
        <v>17/04/2012</v>
      </c>
      <c r="B699" t="str">
        <f>"80.43"</f>
        <v>80.43</v>
      </c>
      <c r="C699" t="str">
        <f>"80.416"</f>
        <v>80.416</v>
      </c>
    </row>
    <row r="700" spans="1:3" x14ac:dyDescent="0.25">
      <c r="A700" t="str">
        <f>"18/04/2012"</f>
        <v>18/04/2012</v>
      </c>
      <c r="B700" t="str">
        <f>"81.475"</f>
        <v>81.475</v>
      </c>
      <c r="C700" t="str">
        <f>"81.457"</f>
        <v>81.457</v>
      </c>
    </row>
    <row r="701" spans="1:3" x14ac:dyDescent="0.25">
      <c r="A701" t="str">
        <f>"19/04/2012"</f>
        <v>19/04/2012</v>
      </c>
      <c r="B701" t="str">
        <f>"81.676"</f>
        <v>81.676</v>
      </c>
      <c r="C701" t="str">
        <f>"81.659"</f>
        <v>81.659</v>
      </c>
    </row>
    <row r="702" spans="1:3" x14ac:dyDescent="0.25">
      <c r="A702" t="str">
        <f>"20/04/2012"</f>
        <v>20/04/2012</v>
      </c>
      <c r="B702" t="str">
        <f>"81.5505"</f>
        <v>81.5505</v>
      </c>
      <c r="C702" t="str">
        <f>"81.5365"</f>
        <v>81.5365</v>
      </c>
    </row>
    <row r="703" spans="1:3" x14ac:dyDescent="0.25">
      <c r="A703" t="str">
        <f>"23/04/2012"</f>
        <v>23/04/2012</v>
      </c>
      <c r="B703" t="str">
        <f>"81.2725"</f>
        <v>81.2725</v>
      </c>
      <c r="C703" t="str">
        <f>"81.2545"</f>
        <v>81.2545</v>
      </c>
    </row>
    <row r="704" spans="1:3" x14ac:dyDescent="0.25">
      <c r="A704" t="str">
        <f>"24/04/2012"</f>
        <v>24/04/2012</v>
      </c>
      <c r="B704" t="str">
        <f>"80.9475"</f>
        <v>80.9475</v>
      </c>
      <c r="C704" t="str">
        <f>"80.9265"</f>
        <v>80.9265</v>
      </c>
    </row>
    <row r="705" spans="1:3" x14ac:dyDescent="0.25">
      <c r="A705" t="str">
        <f>"25/04/2012"</f>
        <v>25/04/2012</v>
      </c>
      <c r="B705" t="str">
        <f>"81.1693"</f>
        <v>81.1693</v>
      </c>
      <c r="C705" t="str">
        <f>"81.1493"</f>
        <v>81.1493</v>
      </c>
    </row>
    <row r="706" spans="1:3" x14ac:dyDescent="0.25">
      <c r="A706" t="str">
        <f>"26/04/2012"</f>
        <v>26/04/2012</v>
      </c>
      <c r="B706" t="str">
        <f>"81.1515"</f>
        <v>81.1515</v>
      </c>
      <c r="C706" t="str">
        <f>"81.1325"</f>
        <v>81.1325</v>
      </c>
    </row>
    <row r="707" spans="1:3" x14ac:dyDescent="0.25">
      <c r="A707" t="str">
        <f>"27/04/2012"</f>
        <v>27/04/2012</v>
      </c>
      <c r="B707" t="str">
        <f>"81.3672"</f>
        <v>81.3672</v>
      </c>
      <c r="C707" t="str">
        <f>"81.3448"</f>
        <v>81.3448</v>
      </c>
    </row>
    <row r="708" spans="1:3" x14ac:dyDescent="0.25">
      <c r="A708" t="str">
        <f>"30/04/2012"</f>
        <v>30/04/2012</v>
      </c>
      <c r="B708" t="str">
        <f>"80.137"</f>
        <v>80.137</v>
      </c>
      <c r="C708" t="str">
        <f>"80.116"</f>
        <v>80.116</v>
      </c>
    </row>
    <row r="709" spans="1:3" x14ac:dyDescent="0.25">
      <c r="A709" t="str">
        <f>"02/05/2012"</f>
        <v>02/05/2012</v>
      </c>
      <c r="B709" t="str">
        <f>"80.359"</f>
        <v>80.359</v>
      </c>
      <c r="C709" t="str">
        <f>"80.34"</f>
        <v>80.34</v>
      </c>
    </row>
    <row r="710" spans="1:3" x14ac:dyDescent="0.25">
      <c r="A710" t="str">
        <f>"03/05/2012"</f>
        <v>03/05/2012</v>
      </c>
      <c r="B710" t="str">
        <f>"80.3555"</f>
        <v>80.3555</v>
      </c>
      <c r="C710" t="str">
        <f>"80.3355"</f>
        <v>80.3355</v>
      </c>
    </row>
    <row r="711" spans="1:3" x14ac:dyDescent="0.25">
      <c r="A711" t="str">
        <f>"04/05/2012"</f>
        <v>04/05/2012</v>
      </c>
      <c r="B711" t="str">
        <f>"80.1845"</f>
        <v>80.1845</v>
      </c>
      <c r="C711" t="str">
        <f>"80.165"</f>
        <v>80.165</v>
      </c>
    </row>
    <row r="712" spans="1:3" x14ac:dyDescent="0.25">
      <c r="A712" t="str">
        <f>"07/05/2012"</f>
        <v>07/05/2012</v>
      </c>
      <c r="B712" t="str">
        <f>"79.82"</f>
        <v>79.82</v>
      </c>
      <c r="C712" t="str">
        <f>"79.799"</f>
        <v>79.799</v>
      </c>
    </row>
    <row r="713" spans="1:3" x14ac:dyDescent="0.25">
      <c r="A713" t="str">
        <f>"08/05/2012"</f>
        <v>08/05/2012</v>
      </c>
      <c r="B713" t="str">
        <f>"79.947"</f>
        <v>79.947</v>
      </c>
      <c r="C713" t="str">
        <f>"79.9277"</f>
        <v>79.9277</v>
      </c>
    </row>
    <row r="714" spans="1:3" x14ac:dyDescent="0.25">
      <c r="A714" t="str">
        <f>"09/05/2012"</f>
        <v>09/05/2012</v>
      </c>
      <c r="B714" t="str">
        <f>"79.7825"</f>
        <v>79.7825</v>
      </c>
      <c r="C714" t="str">
        <f>"79.7645"</f>
        <v>79.7645</v>
      </c>
    </row>
    <row r="715" spans="1:3" x14ac:dyDescent="0.25">
      <c r="A715" t="str">
        <f>"10/05/2012"</f>
        <v>10/05/2012</v>
      </c>
      <c r="B715" t="str">
        <f>"79.66"</f>
        <v>79.66</v>
      </c>
      <c r="C715" t="str">
        <f>"79.641"</f>
        <v>79.641</v>
      </c>
    </row>
    <row r="716" spans="1:3" x14ac:dyDescent="0.25">
      <c r="A716" t="str">
        <f>"11/05/2012"</f>
        <v>11/05/2012</v>
      </c>
      <c r="B716" t="str">
        <f>"79.864"</f>
        <v>79.864</v>
      </c>
      <c r="C716" t="str">
        <f>"79.849"</f>
        <v>79.849</v>
      </c>
    </row>
    <row r="717" spans="1:3" x14ac:dyDescent="0.25">
      <c r="A717" t="str">
        <f>"14/05/2012"</f>
        <v>14/05/2012</v>
      </c>
      <c r="B717" t="str">
        <f>"80.038"</f>
        <v>80.038</v>
      </c>
      <c r="C717" t="str">
        <f>"80.018"</f>
        <v>80.018</v>
      </c>
    </row>
    <row r="718" spans="1:3" x14ac:dyDescent="0.25">
      <c r="A718" t="str">
        <f>"15/05/2012"</f>
        <v>15/05/2012</v>
      </c>
      <c r="B718" t="str">
        <f>"79.874"</f>
        <v>79.874</v>
      </c>
      <c r="C718" t="str">
        <f>"79.854"</f>
        <v>79.854</v>
      </c>
    </row>
    <row r="719" spans="1:3" x14ac:dyDescent="0.25">
      <c r="A719" t="str">
        <f>"16/05/2012"</f>
        <v>16/05/2012</v>
      </c>
      <c r="B719" t="str">
        <f>"80.416"</f>
        <v>80.416</v>
      </c>
      <c r="C719" t="str">
        <f>"80.398"</f>
        <v>80.398</v>
      </c>
    </row>
    <row r="720" spans="1:3" x14ac:dyDescent="0.25">
      <c r="A720" t="str">
        <f>"17/05/2012"</f>
        <v>17/05/2012</v>
      </c>
      <c r="B720" t="str">
        <f>"80.329"</f>
        <v>80.329</v>
      </c>
      <c r="C720" t="str">
        <f>"80.312"</f>
        <v>80.312</v>
      </c>
    </row>
    <row r="721" spans="1:3" x14ac:dyDescent="0.25">
      <c r="A721" t="str">
        <f>"18/05/2012"</f>
        <v>18/05/2012</v>
      </c>
      <c r="B721" t="str">
        <f>"79.4585"</f>
        <v>79.4585</v>
      </c>
      <c r="C721" t="str">
        <f>"79.4415"</f>
        <v>79.4415</v>
      </c>
    </row>
    <row r="722" spans="1:3" x14ac:dyDescent="0.25">
      <c r="A722" t="str">
        <f>"21/05/2012"</f>
        <v>21/05/2012</v>
      </c>
      <c r="B722" t="str">
        <f>"79.2965"</f>
        <v>79.2965</v>
      </c>
      <c r="C722" t="str">
        <f>"79.2795"</f>
        <v>79.2795</v>
      </c>
    </row>
    <row r="723" spans="1:3" x14ac:dyDescent="0.25">
      <c r="A723" t="str">
        <f>"22/05/2012"</f>
        <v>22/05/2012</v>
      </c>
      <c r="B723" t="str">
        <f>"79.727"</f>
        <v>79.727</v>
      </c>
      <c r="C723" t="str">
        <f>"79.71"</f>
        <v>79.71</v>
      </c>
    </row>
    <row r="724" spans="1:3" x14ac:dyDescent="0.25">
      <c r="A724" t="str">
        <f>"23/05/2012"</f>
        <v>23/05/2012</v>
      </c>
      <c r="B724" t="str">
        <f>"79.5715"</f>
        <v>79.5715</v>
      </c>
      <c r="C724" t="str">
        <f>"79.5575"</f>
        <v>79.5575</v>
      </c>
    </row>
    <row r="725" spans="1:3" x14ac:dyDescent="0.25">
      <c r="A725" t="str">
        <f>"24/05/2012"</f>
        <v>24/05/2012</v>
      </c>
      <c r="B725" t="str">
        <f>"79.5195"</f>
        <v>79.5195</v>
      </c>
      <c r="C725" t="str">
        <f>"79.5015"</f>
        <v>79.5015</v>
      </c>
    </row>
    <row r="726" spans="1:3" x14ac:dyDescent="0.25">
      <c r="A726" t="str">
        <f>"25/05/2012"</f>
        <v>25/05/2012</v>
      </c>
      <c r="B726" t="str">
        <f>"79.795"</f>
        <v>79.795</v>
      </c>
      <c r="C726" t="str">
        <f>"79.778"</f>
        <v>79.778</v>
      </c>
    </row>
    <row r="727" spans="1:3" x14ac:dyDescent="0.25">
      <c r="A727" t="str">
        <f>"28/05/2012"</f>
        <v>28/05/2012</v>
      </c>
      <c r="B727" t="str">
        <f>"79.3735"</f>
        <v>79.3735</v>
      </c>
      <c r="C727" t="str">
        <f>"79.3555"</f>
        <v>79.3555</v>
      </c>
    </row>
    <row r="728" spans="1:3" x14ac:dyDescent="0.25">
      <c r="A728" t="str">
        <f>"29/05/2012"</f>
        <v>29/05/2012</v>
      </c>
      <c r="B728" t="str">
        <f>"79.50"</f>
        <v>79.50</v>
      </c>
      <c r="C728" t="str">
        <f>"79.484"</f>
        <v>79.484</v>
      </c>
    </row>
    <row r="729" spans="1:3" x14ac:dyDescent="0.25">
      <c r="A729" t="str">
        <f>"30/05/2012"</f>
        <v>30/05/2012</v>
      </c>
      <c r="B729" t="str">
        <f>"79.4605"</f>
        <v>79.4605</v>
      </c>
      <c r="C729" t="str">
        <f>"79.4399"</f>
        <v>79.4399</v>
      </c>
    </row>
    <row r="730" spans="1:3" x14ac:dyDescent="0.25">
      <c r="A730" t="str">
        <f>"31/05/2012"</f>
        <v>31/05/2012</v>
      </c>
      <c r="B730" t="str">
        <f>"78.744"</f>
        <v>78.744</v>
      </c>
      <c r="C730" t="str">
        <f>"78.724"</f>
        <v>78.724</v>
      </c>
    </row>
    <row r="731" spans="1:3" x14ac:dyDescent="0.25">
      <c r="A731" t="str">
        <f>"01/06/2012"</f>
        <v>01/06/2012</v>
      </c>
      <c r="B731" t="str">
        <f>"78.128"</f>
        <v>78.128</v>
      </c>
      <c r="C731" t="str">
        <f>"78.102"</f>
        <v>78.102</v>
      </c>
    </row>
    <row r="732" spans="1:3" x14ac:dyDescent="0.25">
      <c r="A732" t="str">
        <f>"04/06/2012"</f>
        <v>04/06/2012</v>
      </c>
      <c r="B732" t="str">
        <f>"78.102"</f>
        <v>78.102</v>
      </c>
      <c r="C732" t="str">
        <f>"78.073"</f>
        <v>78.073</v>
      </c>
    </row>
    <row r="733" spans="1:3" x14ac:dyDescent="0.25">
      <c r="A733" t="str">
        <f>"05/06/2012"</f>
        <v>05/06/2012</v>
      </c>
      <c r="B733" t="str">
        <f>"78.2595"</f>
        <v>78.2595</v>
      </c>
      <c r="C733" t="str">
        <f>"78.2365"</f>
        <v>78.2365</v>
      </c>
    </row>
    <row r="734" spans="1:3" x14ac:dyDescent="0.25">
      <c r="A734" t="str">
        <f>"06/06/2012"</f>
        <v>06/06/2012</v>
      </c>
      <c r="B734" t="str">
        <f>"79.158"</f>
        <v>79.158</v>
      </c>
      <c r="C734" t="str">
        <f>"79.136"</f>
        <v>79.136</v>
      </c>
    </row>
    <row r="735" spans="1:3" x14ac:dyDescent="0.25">
      <c r="A735" t="str">
        <f>"07/06/2012"</f>
        <v>07/06/2012</v>
      </c>
      <c r="B735" t="str">
        <f>"79.4103"</f>
        <v>79.4103</v>
      </c>
      <c r="C735" t="str">
        <f>"79.3881"</f>
        <v>79.3881</v>
      </c>
    </row>
    <row r="736" spans="1:3" x14ac:dyDescent="0.25">
      <c r="A736" t="str">
        <f>"08/06/2012"</f>
        <v>08/06/2012</v>
      </c>
      <c r="B736" t="str">
        <f>"79.27"</f>
        <v>79.27</v>
      </c>
      <c r="C736" t="str">
        <f>"79.247"</f>
        <v>79.247</v>
      </c>
    </row>
    <row r="737" spans="1:3" x14ac:dyDescent="0.25">
      <c r="A737" t="str">
        <f>"11/06/2012"</f>
        <v>11/06/2012</v>
      </c>
      <c r="B737" t="str">
        <f>"79.5925"</f>
        <v>79.5925</v>
      </c>
      <c r="C737" t="str">
        <f>"79.5693"</f>
        <v>79.5693</v>
      </c>
    </row>
    <row r="738" spans="1:3" x14ac:dyDescent="0.25">
      <c r="A738" t="str">
        <f>"12/06/2012"</f>
        <v>12/06/2012</v>
      </c>
      <c r="B738" t="str">
        <f>"79.6015"</f>
        <v>79.6015</v>
      </c>
      <c r="C738" t="str">
        <f>"79.5753"</f>
        <v>79.5753</v>
      </c>
    </row>
    <row r="739" spans="1:3" x14ac:dyDescent="0.25">
      <c r="A739" t="str">
        <f>"13/06/2012"</f>
        <v>13/06/2012</v>
      </c>
      <c r="B739" t="str">
        <f>"79.6525"</f>
        <v>79.6525</v>
      </c>
      <c r="C739" t="str">
        <f>"79.6249"</f>
        <v>79.6249</v>
      </c>
    </row>
    <row r="740" spans="1:3" x14ac:dyDescent="0.25">
      <c r="A740" t="str">
        <f>"14/06/2012"</f>
        <v>14/06/2012</v>
      </c>
      <c r="B740" t="str">
        <f>"79.3275"</f>
        <v>79.3275</v>
      </c>
      <c r="C740" t="str">
        <f>"79.2976"</f>
        <v>79.2976</v>
      </c>
    </row>
    <row r="741" spans="1:3" x14ac:dyDescent="0.25">
      <c r="A741" t="str">
        <f>"15/06/2012"</f>
        <v>15/06/2012</v>
      </c>
      <c r="B741" t="str">
        <f>"78.643"</f>
        <v>78.643</v>
      </c>
      <c r="C741" t="str">
        <f>"78.6149"</f>
        <v>78.6149</v>
      </c>
    </row>
    <row r="742" spans="1:3" x14ac:dyDescent="0.25">
      <c r="A742" t="str">
        <f>"18/06/2012"</f>
        <v>18/06/2012</v>
      </c>
      <c r="B742" t="str">
        <f>"79.199"</f>
        <v>79.199</v>
      </c>
      <c r="C742" t="str">
        <f>"79.1715"</f>
        <v>79.1715</v>
      </c>
    </row>
    <row r="743" spans="1:3" x14ac:dyDescent="0.25">
      <c r="A743" t="str">
        <f>"19/06/2012"</f>
        <v>19/06/2012</v>
      </c>
      <c r="B743" t="str">
        <f>"79.0218"</f>
        <v>79.0218</v>
      </c>
      <c r="C743" t="str">
        <f>"78.9918"</f>
        <v>78.9918</v>
      </c>
    </row>
    <row r="744" spans="1:3" x14ac:dyDescent="0.25">
      <c r="A744" t="str">
        <f>"20/06/2012"</f>
        <v>20/06/2012</v>
      </c>
      <c r="B744" t="str">
        <f>"78.971"</f>
        <v>78.971</v>
      </c>
      <c r="C744" t="str">
        <f>"78.9432"</f>
        <v>78.9432</v>
      </c>
    </row>
    <row r="745" spans="1:3" x14ac:dyDescent="0.25">
      <c r="A745" t="str">
        <f>"21/06/2012"</f>
        <v>21/06/2012</v>
      </c>
      <c r="B745" t="str">
        <f>"79.9065"</f>
        <v>79.9065</v>
      </c>
      <c r="C745" t="str">
        <f>"79.8803"</f>
        <v>79.8803</v>
      </c>
    </row>
    <row r="746" spans="1:3" x14ac:dyDescent="0.25">
      <c r="A746" t="str">
        <f>"22/06/2012"</f>
        <v>22/06/2012</v>
      </c>
      <c r="B746" t="str">
        <f>"80.2705"</f>
        <v>80.2705</v>
      </c>
      <c r="C746" t="str">
        <f>"80.2427"</f>
        <v>80.2427</v>
      </c>
    </row>
    <row r="747" spans="1:3" x14ac:dyDescent="0.25">
      <c r="A747" t="str">
        <f>"25/06/2012"</f>
        <v>25/06/2012</v>
      </c>
      <c r="B747" t="str">
        <f>"79.895"</f>
        <v>79.895</v>
      </c>
      <c r="C747" t="str">
        <f>"79.8658"</f>
        <v>79.8658</v>
      </c>
    </row>
    <row r="748" spans="1:3" x14ac:dyDescent="0.25">
      <c r="A748" t="str">
        <f>"26/06/2012"</f>
        <v>26/06/2012</v>
      </c>
      <c r="B748" t="str">
        <f>"79.48"</f>
        <v>79.48</v>
      </c>
      <c r="C748" t="str">
        <f>"79.448"</f>
        <v>79.448</v>
      </c>
    </row>
    <row r="749" spans="1:3" x14ac:dyDescent="0.25">
      <c r="A749" t="str">
        <f>"27/06/2012"</f>
        <v>27/06/2012</v>
      </c>
      <c r="B749" t="str">
        <f>"79.5175"</f>
        <v>79.5175</v>
      </c>
      <c r="C749" t="str">
        <f>"79.482"</f>
        <v>79.482</v>
      </c>
    </row>
    <row r="750" spans="1:3" x14ac:dyDescent="0.25">
      <c r="A750" t="str">
        <f>"28/06/2012"</f>
        <v>28/06/2012</v>
      </c>
      <c r="B750" t="str">
        <f>"79.431"</f>
        <v>79.431</v>
      </c>
      <c r="C750" t="str">
        <f>"79.3999"</f>
        <v>79.3999</v>
      </c>
    </row>
    <row r="751" spans="1:3" x14ac:dyDescent="0.25">
      <c r="A751" t="str">
        <f>"29/06/2012"</f>
        <v>29/06/2012</v>
      </c>
      <c r="B751" t="str">
        <f>"79.523"</f>
        <v>79.523</v>
      </c>
      <c r="C751" t="str">
        <f>"79.4878"</f>
        <v>79.4878</v>
      </c>
    </row>
    <row r="752" spans="1:3" x14ac:dyDescent="0.25">
      <c r="A752" t="str">
        <f>"02/07/2012"</f>
        <v>02/07/2012</v>
      </c>
      <c r="B752" t="str">
        <f>"79.619"</f>
        <v>79.619</v>
      </c>
      <c r="C752" t="str">
        <f>"79.5825"</f>
        <v>79.5825</v>
      </c>
    </row>
    <row r="753" spans="1:3" x14ac:dyDescent="0.25">
      <c r="A753" t="str">
        <f>"03/07/2012"</f>
        <v>03/07/2012</v>
      </c>
      <c r="B753" t="str">
        <f>"79.837"</f>
        <v>79.837</v>
      </c>
      <c r="C753" t="str">
        <f>"79.7994"</f>
        <v>79.7994</v>
      </c>
    </row>
    <row r="754" spans="1:3" x14ac:dyDescent="0.25">
      <c r="A754" t="str">
        <f>"04/07/2012"</f>
        <v>04/07/2012</v>
      </c>
      <c r="B754" t="str">
        <f>"79.864"</f>
        <v>79.864</v>
      </c>
      <c r="C754" t="str">
        <f>"79.8339"</f>
        <v>79.8339</v>
      </c>
    </row>
    <row r="755" spans="1:3" x14ac:dyDescent="0.25">
      <c r="A755" t="str">
        <f>"05/07/2012"</f>
        <v>05/07/2012</v>
      </c>
      <c r="B755" t="str">
        <f>"79.7168"</f>
        <v>79.7168</v>
      </c>
      <c r="C755" t="str">
        <f>"79.6879"</f>
        <v>79.6879</v>
      </c>
    </row>
    <row r="756" spans="1:3" x14ac:dyDescent="0.25">
      <c r="A756" t="str">
        <f>"06/07/2012"</f>
        <v>06/07/2012</v>
      </c>
      <c r="B756" t="str">
        <f>"79.836"</f>
        <v>79.836</v>
      </c>
      <c r="C756" t="str">
        <f>"79.808"</f>
        <v>79.808</v>
      </c>
    </row>
    <row r="757" spans="1:3" x14ac:dyDescent="0.25">
      <c r="A757" t="str">
        <f>"09/07/2012"</f>
        <v>09/07/2012</v>
      </c>
      <c r="B757" t="str">
        <f>"79.679"</f>
        <v>79.679</v>
      </c>
      <c r="C757" t="str">
        <f>"79.6483"</f>
        <v>79.6483</v>
      </c>
    </row>
    <row r="758" spans="1:3" x14ac:dyDescent="0.25">
      <c r="A758" t="str">
        <f>"10/07/2012"</f>
        <v>10/07/2012</v>
      </c>
      <c r="B758" t="str">
        <f>"79.4445"</f>
        <v>79.4445</v>
      </c>
      <c r="C758" t="str">
        <f>"79.4163"</f>
        <v>79.4163</v>
      </c>
    </row>
    <row r="759" spans="1:3" x14ac:dyDescent="0.25">
      <c r="A759" t="str">
        <f>"11/07/2012"</f>
        <v>11/07/2012</v>
      </c>
      <c r="B759" t="str">
        <f>"79.25"</f>
        <v>79.25</v>
      </c>
      <c r="C759" t="str">
        <f>"79.2235"</f>
        <v>79.2235</v>
      </c>
    </row>
    <row r="760" spans="1:3" x14ac:dyDescent="0.25">
      <c r="A760" t="str">
        <f>"12/07/2012"</f>
        <v>12/07/2012</v>
      </c>
      <c r="B760" t="str">
        <f>"79.5225"</f>
        <v>79.5225</v>
      </c>
      <c r="C760" t="str">
        <f>"79.4936"</f>
        <v>79.4936</v>
      </c>
    </row>
    <row r="761" spans="1:3" x14ac:dyDescent="0.25">
      <c r="A761" t="str">
        <f>"13/07/2012"</f>
        <v>13/07/2012</v>
      </c>
      <c r="B761" t="str">
        <f>"79.25"</f>
        <v>79.25</v>
      </c>
      <c r="C761" t="str">
        <f>"79.2208"</f>
        <v>79.2208</v>
      </c>
    </row>
    <row r="762" spans="1:3" x14ac:dyDescent="0.25">
      <c r="A762" t="str">
        <f>"16/07/2012"</f>
        <v>16/07/2012</v>
      </c>
      <c r="B762" t="str">
        <f>"79.008"</f>
        <v>79.008</v>
      </c>
      <c r="C762" t="str">
        <f>"78.9803"</f>
        <v>78.9803</v>
      </c>
    </row>
    <row r="763" spans="1:3" x14ac:dyDescent="0.25">
      <c r="A763" t="str">
        <f>"17/07/2012"</f>
        <v>17/07/2012</v>
      </c>
      <c r="B763" t="str">
        <f>"78.956"</f>
        <v>78.956</v>
      </c>
      <c r="C763" t="str">
        <f>"78.9293"</f>
        <v>78.9293</v>
      </c>
    </row>
    <row r="764" spans="1:3" x14ac:dyDescent="0.25">
      <c r="A764" t="str">
        <f>"18/07/2012"</f>
        <v>18/07/2012</v>
      </c>
      <c r="B764" t="str">
        <f>"79.0003"</f>
        <v>79.0003</v>
      </c>
      <c r="C764" t="str">
        <f>"78.9754"</f>
        <v>78.9754</v>
      </c>
    </row>
    <row r="765" spans="1:3" x14ac:dyDescent="0.25">
      <c r="A765" t="str">
        <f>"19/07/2012"</f>
        <v>19/07/2012</v>
      </c>
      <c r="B765" t="str">
        <f>"78.5998"</f>
        <v>78.5998</v>
      </c>
      <c r="C765" t="str">
        <f>"78.5748"</f>
        <v>78.5748</v>
      </c>
    </row>
    <row r="766" spans="1:3" x14ac:dyDescent="0.25">
      <c r="A766" t="str">
        <f>"20/07/2012"</f>
        <v>20/07/2012</v>
      </c>
      <c r="B766" t="str">
        <f>"78.5395"</f>
        <v>78.5395</v>
      </c>
      <c r="C766" t="str">
        <f>"78.5138"</f>
        <v>78.5138</v>
      </c>
    </row>
    <row r="767" spans="1:3" x14ac:dyDescent="0.25">
      <c r="A767" t="str">
        <f>"23/07/2012"</f>
        <v>23/07/2012</v>
      </c>
      <c r="B767" t="str">
        <f>"78.1423"</f>
        <v>78.1423</v>
      </c>
      <c r="C767" t="str">
        <f>"78.1103"</f>
        <v>78.1103</v>
      </c>
    </row>
    <row r="768" spans="1:3" x14ac:dyDescent="0.25">
      <c r="A768" t="str">
        <f>"24/07/2012"</f>
        <v>24/07/2012</v>
      </c>
      <c r="B768" t="str">
        <f>"78.276"</f>
        <v>78.276</v>
      </c>
      <c r="C768" t="str">
        <f>"78.2489"</f>
        <v>78.2489</v>
      </c>
    </row>
    <row r="769" spans="1:3" x14ac:dyDescent="0.25">
      <c r="A769" t="str">
        <f>"25/07/2012"</f>
        <v>25/07/2012</v>
      </c>
      <c r="B769" t="str">
        <f>"78.245"</f>
        <v>78.245</v>
      </c>
      <c r="C769" t="str">
        <f>"78.2168"</f>
        <v>78.2168</v>
      </c>
    </row>
    <row r="770" spans="1:3" x14ac:dyDescent="0.25">
      <c r="A770" t="str">
        <f>"26/07/2012"</f>
        <v>26/07/2012</v>
      </c>
      <c r="B770" t="str">
        <f>"78.132"</f>
        <v>78.132</v>
      </c>
      <c r="C770" t="str">
        <f>"78.1061"</f>
        <v>78.1061</v>
      </c>
    </row>
    <row r="771" spans="1:3" x14ac:dyDescent="0.25">
      <c r="A771" t="str">
        <f>"27/07/2012"</f>
        <v>27/07/2012</v>
      </c>
      <c r="B771" t="str">
        <f>"78.2555"</f>
        <v>78.2555</v>
      </c>
      <c r="C771" t="str">
        <f>"78.23"</f>
        <v>78.23</v>
      </c>
    </row>
    <row r="772" spans="1:3" x14ac:dyDescent="0.25">
      <c r="A772" t="str">
        <f>"30/07/2012"</f>
        <v>30/07/2012</v>
      </c>
      <c r="B772" t="str">
        <f>"78.23"</f>
        <v>78.23</v>
      </c>
      <c r="C772" t="str">
        <f>"78.204"</f>
        <v>78.204</v>
      </c>
    </row>
    <row r="773" spans="1:3" x14ac:dyDescent="0.25">
      <c r="A773" t="str">
        <f>"31/07/2012"</f>
        <v>31/07/2012</v>
      </c>
      <c r="B773" t="str">
        <f>"78.2495"</f>
        <v>78.2495</v>
      </c>
      <c r="C773" t="str">
        <f>"78.2255"</f>
        <v>78.2255</v>
      </c>
    </row>
    <row r="774" spans="1:3" x14ac:dyDescent="0.25">
      <c r="A774" t="str">
        <f>"01/08/2012"</f>
        <v>01/08/2012</v>
      </c>
      <c r="B774" t="str">
        <f>"78.1465"</f>
        <v>78.1465</v>
      </c>
      <c r="C774" t="str">
        <f>"78.1212"</f>
        <v>78.1212</v>
      </c>
    </row>
    <row r="775" spans="1:3" x14ac:dyDescent="0.25">
      <c r="A775" t="str">
        <f>"02/08/2012"</f>
        <v>02/08/2012</v>
      </c>
      <c r="B775" t="str">
        <f>"78.1965"</f>
        <v>78.1965</v>
      </c>
      <c r="C775" t="str">
        <f>"78.1715"</f>
        <v>78.1715</v>
      </c>
    </row>
    <row r="776" spans="1:3" x14ac:dyDescent="0.25">
      <c r="A776" t="str">
        <f>"03/08/2012"</f>
        <v>03/08/2012</v>
      </c>
      <c r="B776" t="str">
        <f>"78.2655"</f>
        <v>78.2655</v>
      </c>
      <c r="C776" t="str">
        <f>"78.2398"</f>
        <v>78.2398</v>
      </c>
    </row>
    <row r="777" spans="1:3" x14ac:dyDescent="0.25">
      <c r="A777" t="str">
        <f>"06/08/2012"</f>
        <v>06/08/2012</v>
      </c>
      <c r="B777" t="str">
        <f>"78.3195"</f>
        <v>78.3195</v>
      </c>
      <c r="C777" t="str">
        <f>"78.2953"</f>
        <v>78.2953</v>
      </c>
    </row>
    <row r="778" spans="1:3" x14ac:dyDescent="0.25">
      <c r="A778" t="str">
        <f>"07/08/2012"</f>
        <v>07/08/2012</v>
      </c>
      <c r="B778" t="str">
        <f>"78.309"</f>
        <v>78.309</v>
      </c>
      <c r="C778" t="str">
        <f>"78.2868"</f>
        <v>78.2868</v>
      </c>
    </row>
    <row r="779" spans="1:3" x14ac:dyDescent="0.25">
      <c r="A779" t="str">
        <f>"08/08/2012"</f>
        <v>08/08/2012</v>
      </c>
      <c r="B779" t="str">
        <f>"78.269"</f>
        <v>78.269</v>
      </c>
      <c r="C779" t="str">
        <f>"78.2468"</f>
        <v>78.2468</v>
      </c>
    </row>
    <row r="780" spans="1:3" x14ac:dyDescent="0.25">
      <c r="A780" t="str">
        <f>"09/08/2012"</f>
        <v>09/08/2012</v>
      </c>
      <c r="B780" t="str">
        <f>"78.495"</f>
        <v>78.495</v>
      </c>
      <c r="C780" t="str">
        <f>"78.4762"</f>
        <v>78.4762</v>
      </c>
    </row>
    <row r="781" spans="1:3" x14ac:dyDescent="0.25">
      <c r="A781" t="str">
        <f>"10/08/2012"</f>
        <v>10/08/2012</v>
      </c>
      <c r="B781" t="str">
        <f>"78.4608"</f>
        <v>78.4608</v>
      </c>
      <c r="C781" t="str">
        <f>"78.4401"</f>
        <v>78.4401</v>
      </c>
    </row>
    <row r="782" spans="1:3" x14ac:dyDescent="0.25">
      <c r="A782" t="str">
        <f>"13/08/2012"</f>
        <v>13/08/2012</v>
      </c>
      <c r="B782" t="str">
        <f>"78.301"</f>
        <v>78.301</v>
      </c>
      <c r="C782" t="str">
        <f>"78.2773"</f>
        <v>78.2773</v>
      </c>
    </row>
    <row r="783" spans="1:3" x14ac:dyDescent="0.25">
      <c r="A783" t="str">
        <f>"14/08/2012"</f>
        <v>14/08/2012</v>
      </c>
      <c r="B783" t="str">
        <f>"78.5415"</f>
        <v>78.5415</v>
      </c>
      <c r="C783" t="str">
        <f>"78.5211"</f>
        <v>78.5211</v>
      </c>
    </row>
    <row r="784" spans="1:3" x14ac:dyDescent="0.25">
      <c r="A784" t="str">
        <f>"16/08/2012"</f>
        <v>16/08/2012</v>
      </c>
      <c r="B784" t="str">
        <f>"79.2325"</f>
        <v>79.2325</v>
      </c>
      <c r="C784" t="str">
        <f>"79.2139"</f>
        <v>79.2139</v>
      </c>
    </row>
    <row r="785" spans="1:3" x14ac:dyDescent="0.25">
      <c r="A785" t="str">
        <f>"17/08/2012"</f>
        <v>17/08/2012</v>
      </c>
      <c r="B785" t="str">
        <f>"79.455"</f>
        <v>79.455</v>
      </c>
      <c r="C785" t="str">
        <f>"79.4379"</f>
        <v>79.4379</v>
      </c>
    </row>
    <row r="786" spans="1:3" x14ac:dyDescent="0.25">
      <c r="A786" t="str">
        <f>"21/08/2012"</f>
        <v>21/08/2012</v>
      </c>
      <c r="B786" t="str">
        <f>"79.357"</f>
        <v>79.357</v>
      </c>
      <c r="C786" t="str">
        <f>"79.3387"</f>
        <v>79.3387</v>
      </c>
    </row>
    <row r="787" spans="1:3" x14ac:dyDescent="0.25">
      <c r="A787" t="str">
        <f>"22/08/2012"</f>
        <v>22/08/2012</v>
      </c>
      <c r="B787" t="str">
        <f>"79.2435"</f>
        <v>79.2435</v>
      </c>
      <c r="C787" t="str">
        <f>"79.2275"</f>
        <v>79.2275</v>
      </c>
    </row>
    <row r="788" spans="1:3" x14ac:dyDescent="0.25">
      <c r="A788" t="str">
        <f>"23/08/2012"</f>
        <v>23/08/2012</v>
      </c>
      <c r="B788" t="str">
        <f>"78.622"</f>
        <v>78.622</v>
      </c>
      <c r="C788" t="str">
        <f>"78.6074"</f>
        <v>78.6074</v>
      </c>
    </row>
    <row r="789" spans="1:3" x14ac:dyDescent="0.25">
      <c r="A789" t="str">
        <f>"24/08/2012"</f>
        <v>24/08/2012</v>
      </c>
      <c r="B789" t="str">
        <f>"78.4755"</f>
        <v>78.4755</v>
      </c>
      <c r="C789" t="str">
        <f>"78.4604"</f>
        <v>78.4604</v>
      </c>
    </row>
    <row r="790" spans="1:3" x14ac:dyDescent="0.25">
      <c r="A790" t="str">
        <f>"27/08/2012"</f>
        <v>27/08/2012</v>
      </c>
      <c r="B790" t="str">
        <f>"78.775"</f>
        <v>78.775</v>
      </c>
      <c r="C790" t="str">
        <f>"78.7592"</f>
        <v>78.7592</v>
      </c>
    </row>
    <row r="791" spans="1:3" x14ac:dyDescent="0.25">
      <c r="A791" t="str">
        <f>"28/08/2012"</f>
        <v>28/08/2012</v>
      </c>
      <c r="B791" t="str">
        <f>"78.5475"</f>
        <v>78.5475</v>
      </c>
      <c r="C791" t="str">
        <f>"78.5345"</f>
        <v>78.5345</v>
      </c>
    </row>
    <row r="792" spans="1:3" x14ac:dyDescent="0.25">
      <c r="A792" t="str">
        <f>"29/08/2012"</f>
        <v>29/08/2012</v>
      </c>
      <c r="B792" t="str">
        <f>"78.6025"</f>
        <v>78.6025</v>
      </c>
      <c r="C792" t="str">
        <f>"78.5925"</f>
        <v>78.5925</v>
      </c>
    </row>
    <row r="793" spans="1:3" x14ac:dyDescent="0.25">
      <c r="A793" t="str">
        <f>"30/08/2012"</f>
        <v>30/08/2012</v>
      </c>
      <c r="B793" t="str">
        <f>"78.6465"</f>
        <v>78.6465</v>
      </c>
      <c r="C793" t="str">
        <f>"78.6295"</f>
        <v>78.6295</v>
      </c>
    </row>
    <row r="794" spans="1:3" x14ac:dyDescent="0.25">
      <c r="A794" t="str">
        <f>"31/08/2012"</f>
        <v>31/08/2012</v>
      </c>
      <c r="B794" t="str">
        <f>"78.575"</f>
        <v>78.575</v>
      </c>
      <c r="C794" t="str">
        <f>"78.558"</f>
        <v>78.558</v>
      </c>
    </row>
    <row r="795" spans="1:3" x14ac:dyDescent="0.25">
      <c r="A795" t="str">
        <f>"03/09/2012"</f>
        <v>03/09/2012</v>
      </c>
      <c r="B795" t="str">
        <f>"78.341"</f>
        <v>78.341</v>
      </c>
      <c r="C795" t="str">
        <f>"78.324"</f>
        <v>78.324</v>
      </c>
    </row>
    <row r="796" spans="1:3" x14ac:dyDescent="0.25">
      <c r="A796" t="str">
        <f>"04/09/2012"</f>
        <v>04/09/2012</v>
      </c>
      <c r="B796" t="str">
        <f>"78.3745"</f>
        <v>78.3745</v>
      </c>
      <c r="C796" t="str">
        <f>"78.3565"</f>
        <v>78.3565</v>
      </c>
    </row>
    <row r="797" spans="1:3" x14ac:dyDescent="0.25">
      <c r="A797" t="str">
        <f>"05/09/2012"</f>
        <v>05/09/2012</v>
      </c>
      <c r="B797" t="str">
        <f>"78.3915"</f>
        <v>78.3915</v>
      </c>
      <c r="C797" t="str">
        <f>"78.3755"</f>
        <v>78.3755</v>
      </c>
    </row>
    <row r="798" spans="1:3" x14ac:dyDescent="0.25">
      <c r="A798" t="str">
        <f>"06/09/2012"</f>
        <v>06/09/2012</v>
      </c>
      <c r="B798" t="str">
        <f>"78.4665"</f>
        <v>78.4665</v>
      </c>
      <c r="C798" t="str">
        <f>"78.4505"</f>
        <v>78.4505</v>
      </c>
    </row>
    <row r="799" spans="1:3" x14ac:dyDescent="0.25">
      <c r="A799" t="str">
        <f>"07/09/2012"</f>
        <v>07/09/2012</v>
      </c>
      <c r="B799" t="str">
        <f>"78.943"</f>
        <v>78.943</v>
      </c>
      <c r="C799" t="str">
        <f>"78.925"</f>
        <v>78.925</v>
      </c>
    </row>
    <row r="800" spans="1:3" x14ac:dyDescent="0.25">
      <c r="A800" t="str">
        <f>"10/09/2012"</f>
        <v>10/09/2012</v>
      </c>
      <c r="B800" t="str">
        <f>"78.301"</f>
        <v>78.301</v>
      </c>
      <c r="C800" t="str">
        <f>"78.283"</f>
        <v>78.283</v>
      </c>
    </row>
    <row r="801" spans="1:3" x14ac:dyDescent="0.25">
      <c r="A801" t="str">
        <f>"11/09/2012"</f>
        <v>11/09/2012</v>
      </c>
      <c r="B801" t="str">
        <f>"78.2075"</f>
        <v>78.2075</v>
      </c>
      <c r="C801" t="str">
        <f>"78.1905"</f>
        <v>78.1905</v>
      </c>
    </row>
    <row r="802" spans="1:3" x14ac:dyDescent="0.25">
      <c r="A802" t="str">
        <f>"12/09/2012"</f>
        <v>12/09/2012</v>
      </c>
      <c r="B802" t="str">
        <f>"77.906"</f>
        <v>77.906</v>
      </c>
      <c r="C802" t="str">
        <f>"77.888"</f>
        <v>77.888</v>
      </c>
    </row>
    <row r="803" spans="1:3" x14ac:dyDescent="0.25">
      <c r="A803" t="str">
        <f>"13/09/2012"</f>
        <v>13/09/2012</v>
      </c>
      <c r="B803" t="str">
        <f>"77.72"</f>
        <v>77.72</v>
      </c>
      <c r="C803" t="str">
        <f>"77.703"</f>
        <v>77.703</v>
      </c>
    </row>
    <row r="804" spans="1:3" x14ac:dyDescent="0.25">
      <c r="A804" t="str">
        <f>"14/09/2012"</f>
        <v>14/09/2012</v>
      </c>
      <c r="B804" t="str">
        <f>"77.561"</f>
        <v>77.561</v>
      </c>
      <c r="C804" t="str">
        <f>"77.5417"</f>
        <v>77.5417</v>
      </c>
    </row>
    <row r="805" spans="1:3" x14ac:dyDescent="0.25">
      <c r="A805" t="str">
        <f>"17/09/2012"</f>
        <v>17/09/2012</v>
      </c>
      <c r="B805" t="str">
        <f>"78.266"</f>
        <v>78.266</v>
      </c>
      <c r="C805" t="str">
        <f>"78.2479"</f>
        <v>78.2479</v>
      </c>
    </row>
    <row r="806" spans="1:3" x14ac:dyDescent="0.25">
      <c r="A806" t="str">
        <f>"18/09/2012"</f>
        <v>18/09/2012</v>
      </c>
      <c r="B806" t="str">
        <f>"78.6585"</f>
        <v>78.6585</v>
      </c>
      <c r="C806" t="str">
        <f>"78.6383"</f>
        <v>78.6383</v>
      </c>
    </row>
    <row r="807" spans="1:3" x14ac:dyDescent="0.25">
      <c r="A807" t="str">
        <f>"20/09/2012"</f>
        <v>20/09/2012</v>
      </c>
      <c r="B807" t="str">
        <f>"78.168"</f>
        <v>78.168</v>
      </c>
      <c r="C807" t="str">
        <f>"78.1496"</f>
        <v>78.1496</v>
      </c>
    </row>
    <row r="808" spans="1:3" x14ac:dyDescent="0.25">
      <c r="A808" t="str">
        <f>"21/09/2012"</f>
        <v>21/09/2012</v>
      </c>
      <c r="B808" t="str">
        <f>"78.192"</f>
        <v>78.192</v>
      </c>
      <c r="C808" t="str">
        <f>"78.176"</f>
        <v>78.176</v>
      </c>
    </row>
    <row r="809" spans="1:3" x14ac:dyDescent="0.25">
      <c r="A809" t="str">
        <f>"24/09/2012"</f>
        <v>24/09/2012</v>
      </c>
      <c r="B809" t="str">
        <f>"78.05"</f>
        <v>78.05</v>
      </c>
      <c r="C809" t="str">
        <f>"78.033"</f>
        <v>78.033</v>
      </c>
    </row>
    <row r="810" spans="1:3" x14ac:dyDescent="0.25">
      <c r="A810" t="str">
        <f>"25/09/2012"</f>
        <v>25/09/2012</v>
      </c>
      <c r="B810" t="str">
        <f>"77.79"</f>
        <v>77.79</v>
      </c>
      <c r="C810" t="str">
        <f>"77.7688"</f>
        <v>77.7688</v>
      </c>
    </row>
    <row r="811" spans="1:3" x14ac:dyDescent="0.25">
      <c r="A811" t="str">
        <f>"26/09/2012"</f>
        <v>26/09/2012</v>
      </c>
      <c r="B811" t="str">
        <f>"77.7385"</f>
        <v>77.7385</v>
      </c>
      <c r="C811" t="str">
        <f>"77.7163"</f>
        <v>77.7163</v>
      </c>
    </row>
    <row r="812" spans="1:3" x14ac:dyDescent="0.25">
      <c r="A812" t="str">
        <f>"27/09/2012"</f>
        <v>27/09/2012</v>
      </c>
      <c r="B812" t="str">
        <f>"77.66"</f>
        <v>77.66</v>
      </c>
      <c r="C812" t="str">
        <f>"77.642"</f>
        <v>77.642</v>
      </c>
    </row>
    <row r="813" spans="1:3" x14ac:dyDescent="0.25">
      <c r="A813" t="str">
        <f>"28/09/2012"</f>
        <v>28/09/2012</v>
      </c>
      <c r="B813" t="str">
        <f>"77.4685"</f>
        <v>77.4685</v>
      </c>
      <c r="C813" t="str">
        <f>"77.4495"</f>
        <v>77.4495</v>
      </c>
    </row>
    <row r="814" spans="1:3" x14ac:dyDescent="0.25">
      <c r="A814" t="str">
        <f>"01/10/2012"</f>
        <v>01/10/2012</v>
      </c>
      <c r="B814" t="str">
        <f>"77.981"</f>
        <v>77.981</v>
      </c>
      <c r="C814" t="str">
        <f>"77.961"</f>
        <v>77.961</v>
      </c>
    </row>
    <row r="815" spans="1:3" x14ac:dyDescent="0.25">
      <c r="A815" t="str">
        <f>"03/10/2012"</f>
        <v>03/10/2012</v>
      </c>
      <c r="B815" t="str">
        <f>"78.2355"</f>
        <v>78.2355</v>
      </c>
      <c r="C815" t="str">
        <f>"78.2165"</f>
        <v>78.2165</v>
      </c>
    </row>
    <row r="816" spans="1:3" x14ac:dyDescent="0.25">
      <c r="A816" t="str">
        <f>"04/10/2012"</f>
        <v>04/10/2012</v>
      </c>
      <c r="B816" t="str">
        <f>"78.5725"</f>
        <v>78.5725</v>
      </c>
      <c r="C816" t="str">
        <f>"78.5535"</f>
        <v>78.5535</v>
      </c>
    </row>
    <row r="817" spans="1:3" x14ac:dyDescent="0.25">
      <c r="A817" t="str">
        <f>"05/10/2012"</f>
        <v>05/10/2012</v>
      </c>
      <c r="B817" t="str">
        <f>"78.458"</f>
        <v>78.458</v>
      </c>
      <c r="C817" t="str">
        <f>"78.438"</f>
        <v>78.438</v>
      </c>
    </row>
    <row r="818" spans="1:3" x14ac:dyDescent="0.25">
      <c r="A818" t="str">
        <f>"08/10/2012"</f>
        <v>08/10/2012</v>
      </c>
      <c r="B818" t="str">
        <f>"78.5405"</f>
        <v>78.5405</v>
      </c>
      <c r="C818" t="str">
        <f>"78.5215"</f>
        <v>78.5215</v>
      </c>
    </row>
    <row r="819" spans="1:3" x14ac:dyDescent="0.25">
      <c r="A819" t="str">
        <f>"09/10/2012"</f>
        <v>09/10/2012</v>
      </c>
      <c r="B819" t="str">
        <f>"78.293"</f>
        <v>78.293</v>
      </c>
      <c r="C819" t="str">
        <f>"78.273"</f>
        <v>78.273</v>
      </c>
    </row>
    <row r="820" spans="1:3" x14ac:dyDescent="0.25">
      <c r="A820" t="str">
        <f>"10/10/2012"</f>
        <v>10/10/2012</v>
      </c>
      <c r="B820" t="str">
        <f>"78.2303"</f>
        <v>78.2303</v>
      </c>
      <c r="C820" t="str">
        <f>"78.2103"</f>
        <v>78.2103</v>
      </c>
    </row>
    <row r="821" spans="1:3" x14ac:dyDescent="0.25">
      <c r="A821" t="str">
        <f>"11/10/2012"</f>
        <v>11/10/2012</v>
      </c>
      <c r="B821" t="str">
        <f>"78.4025"</f>
        <v>78.4025</v>
      </c>
      <c r="C821" t="str">
        <f>"78.3825"</f>
        <v>78.3825</v>
      </c>
    </row>
    <row r="822" spans="1:3" x14ac:dyDescent="0.25">
      <c r="A822" t="str">
        <f>"12/10/2012"</f>
        <v>12/10/2012</v>
      </c>
      <c r="B822" t="str">
        <f>"78.388"</f>
        <v>78.388</v>
      </c>
      <c r="C822" t="str">
        <f>"78.37"</f>
        <v>78.37</v>
      </c>
    </row>
    <row r="823" spans="1:3" x14ac:dyDescent="0.25">
      <c r="A823" t="str">
        <f>"15/10/2012"</f>
        <v>15/10/2012</v>
      </c>
      <c r="B823" t="str">
        <f>"78.703"</f>
        <v>78.703</v>
      </c>
      <c r="C823" t="str">
        <f>"78.683"</f>
        <v>78.683</v>
      </c>
    </row>
    <row r="824" spans="1:3" x14ac:dyDescent="0.25">
      <c r="A824" t="str">
        <f>"16/10/2012"</f>
        <v>16/10/2012</v>
      </c>
      <c r="B824" t="str">
        <f>"78.902"</f>
        <v>78.902</v>
      </c>
      <c r="C824" t="str">
        <f>"78.8832"</f>
        <v>78.8832</v>
      </c>
    </row>
    <row r="825" spans="1:3" x14ac:dyDescent="0.25">
      <c r="A825" t="str">
        <f>"17/10/2012"</f>
        <v>17/10/2012</v>
      </c>
      <c r="B825" t="str">
        <f>"78.672"</f>
        <v>78.672</v>
      </c>
      <c r="C825" t="str">
        <f>"78.653"</f>
        <v>78.653</v>
      </c>
    </row>
    <row r="826" spans="1:3" x14ac:dyDescent="0.25">
      <c r="A826" t="str">
        <f>"18/10/2012"</f>
        <v>18/10/2012</v>
      </c>
      <c r="B826" t="str">
        <f>"79.1183"</f>
        <v>79.1183</v>
      </c>
      <c r="C826" t="str">
        <f>"79.0983"</f>
        <v>79.0983</v>
      </c>
    </row>
    <row r="827" spans="1:3" x14ac:dyDescent="0.25">
      <c r="A827" t="str">
        <f>"19/10/2012"</f>
        <v>19/10/2012</v>
      </c>
      <c r="B827" t="str">
        <f>"79.353"</f>
        <v>79.353</v>
      </c>
      <c r="C827" t="str">
        <f>"79.334"</f>
        <v>79.334</v>
      </c>
    </row>
    <row r="828" spans="1:3" x14ac:dyDescent="0.25">
      <c r="A828" t="str">
        <f>"22/10/2012"</f>
        <v>22/10/2012</v>
      </c>
      <c r="B828" t="str">
        <f>"79.866"</f>
        <v>79.866</v>
      </c>
      <c r="C828" t="str">
        <f>"79.85"</f>
        <v>79.85</v>
      </c>
    </row>
    <row r="829" spans="1:3" x14ac:dyDescent="0.25">
      <c r="A829" t="str">
        <f>"23/10/2012"</f>
        <v>23/10/2012</v>
      </c>
      <c r="B829" t="str">
        <f>"79.8475"</f>
        <v>79.8475</v>
      </c>
      <c r="C829" t="str">
        <f>"79.8315"</f>
        <v>79.8315</v>
      </c>
    </row>
    <row r="830" spans="1:3" x14ac:dyDescent="0.25">
      <c r="A830" t="str">
        <f>"25/10/2012"</f>
        <v>25/10/2012</v>
      </c>
      <c r="B830" t="str">
        <f>"80.14"</f>
        <v>80.14</v>
      </c>
      <c r="C830" t="str">
        <f>"80.126"</f>
        <v>80.126</v>
      </c>
    </row>
    <row r="831" spans="1:3" x14ac:dyDescent="0.25">
      <c r="A831" t="str">
        <f>"26/10/2012"</f>
        <v>26/10/2012</v>
      </c>
      <c r="B831" t="str">
        <f>"79.9013"</f>
        <v>79.9013</v>
      </c>
      <c r="C831" t="str">
        <f>"79.8848"</f>
        <v>79.8848</v>
      </c>
    </row>
    <row r="832" spans="1:3" x14ac:dyDescent="0.25">
      <c r="A832" t="str">
        <f>"29/10/2012"</f>
        <v>29/10/2012</v>
      </c>
      <c r="B832" t="str">
        <f>"79.7295"</f>
        <v>79.7295</v>
      </c>
      <c r="C832" t="str">
        <f>"79.7125"</f>
        <v>79.7125</v>
      </c>
    </row>
    <row r="833" spans="1:3" x14ac:dyDescent="0.25">
      <c r="A833" t="str">
        <f>"30/10/2012"</f>
        <v>30/10/2012</v>
      </c>
      <c r="B833" t="str">
        <f>"79.4505"</f>
        <v>79.4505</v>
      </c>
      <c r="C833" t="str">
        <f>"79.4315"</f>
        <v>79.4315</v>
      </c>
    </row>
    <row r="834" spans="1:3" x14ac:dyDescent="0.25">
      <c r="A834" t="str">
        <f>"31/10/2012"</f>
        <v>31/10/2012</v>
      </c>
      <c r="B834" t="str">
        <f>"79.835"</f>
        <v>79.835</v>
      </c>
      <c r="C834" t="str">
        <f>"79.816"</f>
        <v>79.816</v>
      </c>
    </row>
    <row r="835" spans="1:3" x14ac:dyDescent="0.25">
      <c r="A835" t="str">
        <f>"01/11/2012"</f>
        <v>01/11/2012</v>
      </c>
      <c r="B835" t="str">
        <f>"80.0085"</f>
        <v>80.0085</v>
      </c>
      <c r="C835" t="str">
        <f>"79.9905"</f>
        <v>79.9905</v>
      </c>
    </row>
    <row r="836" spans="1:3" x14ac:dyDescent="0.25">
      <c r="A836" t="str">
        <f>"02/11/2012"</f>
        <v>02/11/2012</v>
      </c>
      <c r="B836" t="str">
        <f>"80.33"</f>
        <v>80.33</v>
      </c>
      <c r="C836" t="str">
        <f>"80.3116"</f>
        <v>80.3116</v>
      </c>
    </row>
    <row r="837" spans="1:3" x14ac:dyDescent="0.25">
      <c r="A837" t="str">
        <f>"05/11/2012"</f>
        <v>05/11/2012</v>
      </c>
      <c r="B837" t="str">
        <f>"80.4065"</f>
        <v>80.4065</v>
      </c>
      <c r="C837" t="str">
        <f>"80.3867"</f>
        <v>80.3867</v>
      </c>
    </row>
    <row r="838" spans="1:3" x14ac:dyDescent="0.25">
      <c r="A838" t="str">
        <f>"06/11/2012"</f>
        <v>06/11/2012</v>
      </c>
      <c r="B838" t="str">
        <f>"80.0735"</f>
        <v>80.0735</v>
      </c>
      <c r="C838" t="str">
        <f>"80.0532"</f>
        <v>80.0532</v>
      </c>
    </row>
    <row r="839" spans="1:3" x14ac:dyDescent="0.25">
      <c r="A839" t="str">
        <f>"07/11/2012"</f>
        <v>07/11/2012</v>
      </c>
      <c r="B839" t="str">
        <f>"80.105"</f>
        <v>80.105</v>
      </c>
      <c r="C839" t="str">
        <f>"80.087"</f>
        <v>80.087</v>
      </c>
    </row>
    <row r="840" spans="1:3" x14ac:dyDescent="0.25">
      <c r="A840" t="str">
        <f>"08/11/2012"</f>
        <v>08/11/2012</v>
      </c>
      <c r="B840" t="str">
        <f>"79.91"</f>
        <v>79.91</v>
      </c>
      <c r="C840" t="str">
        <f>"79.893"</f>
        <v>79.893</v>
      </c>
    </row>
    <row r="841" spans="1:3" x14ac:dyDescent="0.25">
      <c r="A841" t="str">
        <f>"09/11/2012"</f>
        <v>09/11/2012</v>
      </c>
      <c r="B841" t="str">
        <f>"79.5055"</f>
        <v>79.5055</v>
      </c>
      <c r="C841" t="str">
        <f>"79.4915"</f>
        <v>79.4915</v>
      </c>
    </row>
    <row r="842" spans="1:3" x14ac:dyDescent="0.25">
      <c r="A842" t="str">
        <f>"12/11/2012"</f>
        <v>12/11/2012</v>
      </c>
      <c r="B842" t="str">
        <f>"79.484"</f>
        <v>79.484</v>
      </c>
      <c r="C842" t="str">
        <f>"79.466"</f>
        <v>79.466</v>
      </c>
    </row>
    <row r="843" spans="1:3" x14ac:dyDescent="0.25">
      <c r="A843" t="str">
        <f>"15/11/2012"</f>
        <v>15/11/2012</v>
      </c>
      <c r="B843" t="str">
        <f>"80.8315"</f>
        <v>80.8315</v>
      </c>
      <c r="C843" t="str">
        <f>"80.8155"</f>
        <v>80.8155</v>
      </c>
    </row>
    <row r="844" spans="1:3" x14ac:dyDescent="0.25">
      <c r="A844" t="str">
        <f>"16/11/2012"</f>
        <v>16/11/2012</v>
      </c>
      <c r="B844" t="str">
        <f>"81.13"</f>
        <v>81.13</v>
      </c>
      <c r="C844" t="str">
        <f>"81.1101"</f>
        <v>81.1101</v>
      </c>
    </row>
    <row r="845" spans="1:3" x14ac:dyDescent="0.25">
      <c r="A845" t="str">
        <f>"19/11/2012"</f>
        <v>19/11/2012</v>
      </c>
      <c r="B845" t="str">
        <f>"81.1908"</f>
        <v>81.1908</v>
      </c>
      <c r="C845" t="str">
        <f>"81.1728"</f>
        <v>81.1728</v>
      </c>
    </row>
    <row r="846" spans="1:3" x14ac:dyDescent="0.25">
      <c r="A846" t="str">
        <f>"20/11/2012"</f>
        <v>20/11/2012</v>
      </c>
      <c r="B846" t="str">
        <f>"81.2648"</f>
        <v>81.2648</v>
      </c>
      <c r="C846" t="str">
        <f>"81.2488"</f>
        <v>81.2488</v>
      </c>
    </row>
    <row r="847" spans="1:3" x14ac:dyDescent="0.25">
      <c r="A847" t="str">
        <f>"21/11/2012"</f>
        <v>21/11/2012</v>
      </c>
      <c r="B847" t="str">
        <f>"81.876"</f>
        <v>81.876</v>
      </c>
      <c r="C847" t="str">
        <f>"81.86"</f>
        <v>81.86</v>
      </c>
    </row>
    <row r="848" spans="1:3" x14ac:dyDescent="0.25">
      <c r="A848" t="str">
        <f>"22/11/2012"</f>
        <v>22/11/2012</v>
      </c>
      <c r="B848" t="str">
        <f>"82.72"</f>
        <v>82.72</v>
      </c>
      <c r="C848" t="str">
        <f>"82.703"</f>
        <v>82.703</v>
      </c>
    </row>
    <row r="849" spans="1:3" x14ac:dyDescent="0.25">
      <c r="A849" t="str">
        <f>"23/11/2012"</f>
        <v>23/11/2012</v>
      </c>
      <c r="B849" t="str">
        <f>"82.1545"</f>
        <v>82.1545</v>
      </c>
      <c r="C849" t="str">
        <f>"82.1362"</f>
        <v>82.1362</v>
      </c>
    </row>
    <row r="850" spans="1:3" x14ac:dyDescent="0.25">
      <c r="A850" t="str">
        <f>"26/11/2012"</f>
        <v>26/11/2012</v>
      </c>
      <c r="B850" t="str">
        <f>"82.29"</f>
        <v>82.29</v>
      </c>
      <c r="C850" t="str">
        <f>"82.2718"</f>
        <v>82.2718</v>
      </c>
    </row>
    <row r="851" spans="1:3" x14ac:dyDescent="0.25">
      <c r="A851" t="str">
        <f>"27/11/2012"</f>
        <v>27/11/2012</v>
      </c>
      <c r="B851" t="str">
        <f>"82.008"</f>
        <v>82.008</v>
      </c>
      <c r="C851" t="str">
        <f>"81.994"</f>
        <v>81.994</v>
      </c>
    </row>
    <row r="852" spans="1:3" x14ac:dyDescent="0.25">
      <c r="A852" t="str">
        <f>"29/11/2012"</f>
        <v>29/11/2012</v>
      </c>
      <c r="B852" t="str">
        <f>"82.118"</f>
        <v>82.118</v>
      </c>
      <c r="C852" t="str">
        <f>"82.1024"</f>
        <v>82.1024</v>
      </c>
    </row>
    <row r="853" spans="1:3" x14ac:dyDescent="0.25">
      <c r="A853" t="str">
        <f>"30/11/2012"</f>
        <v>30/11/2012</v>
      </c>
      <c r="B853" t="str">
        <f>"82.486"</f>
        <v>82.486</v>
      </c>
      <c r="C853" t="str">
        <f>"82.459"</f>
        <v>82.459</v>
      </c>
    </row>
    <row r="854" spans="1:3" x14ac:dyDescent="0.25">
      <c r="A854" t="str">
        <f>"03/12/2012"</f>
        <v>03/12/2012</v>
      </c>
      <c r="B854" t="str">
        <f>"82.4475"</f>
        <v>82.4475</v>
      </c>
      <c r="C854" t="str">
        <f>"82.4185"</f>
        <v>82.4185</v>
      </c>
    </row>
    <row r="855" spans="1:3" x14ac:dyDescent="0.25">
      <c r="A855" t="str">
        <f>"04/12/2012"</f>
        <v>04/12/2012</v>
      </c>
      <c r="B855" t="str">
        <f>"82.12"</f>
        <v>82.12</v>
      </c>
      <c r="C855" t="str">
        <f>"82.093"</f>
        <v>82.093</v>
      </c>
    </row>
    <row r="856" spans="1:3" x14ac:dyDescent="0.25">
      <c r="A856" t="str">
        <f>"05/12/2012"</f>
        <v>05/12/2012</v>
      </c>
      <c r="B856" t="str">
        <f>"82.236"</f>
        <v>82.236</v>
      </c>
      <c r="C856" t="str">
        <f>"82.208"</f>
        <v>82.208</v>
      </c>
    </row>
    <row r="857" spans="1:3" x14ac:dyDescent="0.25">
      <c r="A857" t="str">
        <f>"06/12/2012"</f>
        <v>06/12/2012</v>
      </c>
      <c r="B857" t="str">
        <f>"82.497"</f>
        <v>82.497</v>
      </c>
      <c r="C857" t="str">
        <f>"82.468"</f>
        <v>82.468</v>
      </c>
    </row>
    <row r="858" spans="1:3" x14ac:dyDescent="0.25">
      <c r="A858" t="str">
        <f>"07/12/2012"</f>
        <v>07/12/2012</v>
      </c>
      <c r="B858" t="str">
        <f>"82.487"</f>
        <v>82.487</v>
      </c>
      <c r="C858" t="str">
        <f>"82.461"</f>
        <v>82.461</v>
      </c>
    </row>
    <row r="859" spans="1:3" x14ac:dyDescent="0.25">
      <c r="A859" t="str">
        <f>"10/12/2012"</f>
        <v>10/12/2012</v>
      </c>
      <c r="B859" t="str">
        <f>"82.468"</f>
        <v>82.468</v>
      </c>
      <c r="C859" t="str">
        <f>"82.4355"</f>
        <v>82.4355</v>
      </c>
    </row>
    <row r="860" spans="1:3" x14ac:dyDescent="0.25">
      <c r="A860" t="str">
        <f>"11/12/2012"</f>
        <v>11/12/2012</v>
      </c>
      <c r="B860" t="str">
        <f>"82.363"</f>
        <v>82.363</v>
      </c>
      <c r="C860" t="str">
        <f>"82.333"</f>
        <v>82.333</v>
      </c>
    </row>
    <row r="861" spans="1:3" x14ac:dyDescent="0.25">
      <c r="A861" t="str">
        <f>"12/12/2012"</f>
        <v>12/12/2012</v>
      </c>
      <c r="B861" t="str">
        <f>"82.6203"</f>
        <v>82.6203</v>
      </c>
      <c r="C861" t="str">
        <f>"82.5953"</f>
        <v>82.5953</v>
      </c>
    </row>
    <row r="862" spans="1:3" x14ac:dyDescent="0.25">
      <c r="A862" t="str">
        <f>"13/12/2012"</f>
        <v>13/12/2012</v>
      </c>
      <c r="B862" t="str">
        <f>"83.47"</f>
        <v>83.47</v>
      </c>
      <c r="C862" t="str">
        <f>"83.442"</f>
        <v>83.442</v>
      </c>
    </row>
    <row r="863" spans="1:3" x14ac:dyDescent="0.25">
      <c r="A863" t="str">
        <f>"14/12/2012"</f>
        <v>14/12/2012</v>
      </c>
      <c r="B863" t="str">
        <f>"83.756"</f>
        <v>83.756</v>
      </c>
      <c r="C863" t="str">
        <f>"83.735"</f>
        <v>83.735</v>
      </c>
    </row>
    <row r="864" spans="1:3" x14ac:dyDescent="0.25">
      <c r="A864" t="str">
        <f>"17/12/2012"</f>
        <v>17/12/2012</v>
      </c>
      <c r="B864" t="str">
        <f>"84.08"</f>
        <v>84.08</v>
      </c>
      <c r="C864" t="str">
        <f>"84.06"</f>
        <v>84.06</v>
      </c>
    </row>
    <row r="865" spans="1:3" x14ac:dyDescent="0.25">
      <c r="A865" t="str">
        <f>"18/12/2012"</f>
        <v>18/12/2012</v>
      </c>
      <c r="B865" t="str">
        <f>"84.0205"</f>
        <v>84.0205</v>
      </c>
      <c r="C865" t="str">
        <f>"83.9985"</f>
        <v>83.9985</v>
      </c>
    </row>
    <row r="866" spans="1:3" x14ac:dyDescent="0.25">
      <c r="A866" t="str">
        <f>"19/12/2012"</f>
        <v>19/12/2012</v>
      </c>
      <c r="B866" t="str">
        <f>"84.277"</f>
        <v>84.277</v>
      </c>
      <c r="C866" t="str">
        <f>"84.252"</f>
        <v>84.252</v>
      </c>
    </row>
    <row r="867" spans="1:3" x14ac:dyDescent="0.25">
      <c r="A867" t="str">
        <f>"20/12/2012"</f>
        <v>20/12/2012</v>
      </c>
      <c r="B867" t="str">
        <f>"84.1447"</f>
        <v>84.1447</v>
      </c>
      <c r="C867" t="str">
        <f>"84.1197"</f>
        <v>84.1197</v>
      </c>
    </row>
    <row r="868" spans="1:3" x14ac:dyDescent="0.25">
      <c r="A868" t="str">
        <f>"21/12/2012"</f>
        <v>21/12/2012</v>
      </c>
      <c r="B868" t="str">
        <f>"84.0348"</f>
        <v>84.0348</v>
      </c>
      <c r="C868" t="str">
        <f>"84.0048"</f>
        <v>84.0048</v>
      </c>
    </row>
    <row r="869" spans="1:3" x14ac:dyDescent="0.25">
      <c r="A869" t="str">
        <f>"24/12/2012"</f>
        <v>24/12/2012</v>
      </c>
      <c r="B869" t="str">
        <f>"84.4355"</f>
        <v>84.4355</v>
      </c>
      <c r="C869" t="str">
        <f>"84.4055"</f>
        <v>84.4055</v>
      </c>
    </row>
    <row r="870" spans="1:3" x14ac:dyDescent="0.25">
      <c r="A870" t="str">
        <f>"26/12/2012"</f>
        <v>26/12/2012</v>
      </c>
      <c r="B870" t="str">
        <f>"85.243"</f>
        <v>85.243</v>
      </c>
      <c r="C870" t="str">
        <f>"85.211"</f>
        <v>85.211</v>
      </c>
    </row>
    <row r="871" spans="1:3" x14ac:dyDescent="0.25">
      <c r="A871" t="str">
        <f>"27/12/2012"</f>
        <v>27/12/2012</v>
      </c>
      <c r="B871" t="str">
        <f>"85.8195"</f>
        <v>85.8195</v>
      </c>
      <c r="C871" t="str">
        <f>"85.7965"</f>
        <v>85.7965</v>
      </c>
    </row>
    <row r="872" spans="1:3" x14ac:dyDescent="0.25">
      <c r="A872" t="str">
        <f>"28/12/2012"</f>
        <v>28/12/2012</v>
      </c>
      <c r="B872" t="str">
        <f>"86.392"</f>
        <v>86.392</v>
      </c>
      <c r="C872" t="str">
        <f>"86.373"</f>
        <v>86.373</v>
      </c>
    </row>
    <row r="873" spans="1:3" x14ac:dyDescent="0.25">
      <c r="A873" t="str">
        <f>"31/12/2012"</f>
        <v>31/12/2012</v>
      </c>
      <c r="B873" t="str">
        <f>"86.008"</f>
        <v>86.008</v>
      </c>
      <c r="C873" t="str">
        <f>"85.9873"</f>
        <v>85.9873</v>
      </c>
    </row>
    <row r="874" spans="1:3" x14ac:dyDescent="0.25">
      <c r="A874" t="str">
        <f>"01/01/2013"</f>
        <v>01/01/2013</v>
      </c>
      <c r="B874" t="str">
        <f>"86.745"</f>
        <v>86.745</v>
      </c>
      <c r="C874" t="str">
        <f>"86.7257"</f>
        <v>86.7257</v>
      </c>
    </row>
    <row r="875" spans="1:3" x14ac:dyDescent="0.25">
      <c r="A875" t="str">
        <f>"02/01/2013"</f>
        <v>02/01/2013</v>
      </c>
      <c r="B875" t="str">
        <f>"87.232"</f>
        <v>87.232</v>
      </c>
      <c r="C875" t="str">
        <f>"87.2122"</f>
        <v>87.2122</v>
      </c>
    </row>
    <row r="876" spans="1:3" x14ac:dyDescent="0.25">
      <c r="A876" t="str">
        <f>"03/01/2013"</f>
        <v>03/01/2013</v>
      </c>
      <c r="B876" t="str">
        <f>"87.215"</f>
        <v>87.215</v>
      </c>
      <c r="C876" t="str">
        <f>"87.198"</f>
        <v>87.198</v>
      </c>
    </row>
    <row r="877" spans="1:3" x14ac:dyDescent="0.25">
      <c r="A877" t="str">
        <f>"04/01/2013"</f>
        <v>04/01/2013</v>
      </c>
      <c r="B877" t="str">
        <f>"87.777"</f>
        <v>87.777</v>
      </c>
      <c r="C877" t="str">
        <f>"87.759"</f>
        <v>87.759</v>
      </c>
    </row>
    <row r="878" spans="1:3" x14ac:dyDescent="0.25">
      <c r="A878" t="str">
        <f>"07/01/2013"</f>
        <v>07/01/2013</v>
      </c>
      <c r="B878" t="str">
        <f>"87.727"</f>
        <v>87.727</v>
      </c>
      <c r="C878" t="str">
        <f>"87.707"</f>
        <v>87.707</v>
      </c>
    </row>
    <row r="879" spans="1:3" x14ac:dyDescent="0.25">
      <c r="A879" t="str">
        <f>"08/01/2013"</f>
        <v>08/01/2013</v>
      </c>
      <c r="B879" t="str">
        <f>"87.565"</f>
        <v>87.565</v>
      </c>
      <c r="C879" t="str">
        <f>"87.549"</f>
        <v>87.549</v>
      </c>
    </row>
    <row r="880" spans="1:3" x14ac:dyDescent="0.25">
      <c r="A880" t="str">
        <f>"09/01/2013"</f>
        <v>09/01/2013</v>
      </c>
      <c r="B880" t="str">
        <f>"87.408"</f>
        <v>87.408</v>
      </c>
      <c r="C880" t="str">
        <f>"87.391"</f>
        <v>87.391</v>
      </c>
    </row>
    <row r="881" spans="1:3" x14ac:dyDescent="0.25">
      <c r="A881" t="str">
        <f>"10/01/2013"</f>
        <v>10/01/2013</v>
      </c>
      <c r="B881" t="str">
        <f>"88.113"</f>
        <v>88.113</v>
      </c>
      <c r="C881" t="str">
        <f>"88.096"</f>
        <v>88.096</v>
      </c>
    </row>
    <row r="882" spans="1:3" x14ac:dyDescent="0.25">
      <c r="A882" t="str">
        <f>"11/01/2013"</f>
        <v>11/01/2013</v>
      </c>
      <c r="B882" t="str">
        <f>"89.069"</f>
        <v>89.069</v>
      </c>
      <c r="C882" t="str">
        <f>"89.0479"</f>
        <v>89.0479</v>
      </c>
    </row>
    <row r="883" spans="1:3" x14ac:dyDescent="0.25">
      <c r="A883" t="str">
        <f>"14/01/2013"</f>
        <v>14/01/2013</v>
      </c>
      <c r="B883" t="str">
        <f>"89.6225"</f>
        <v>89.6225</v>
      </c>
      <c r="C883" t="str">
        <f>"89.5985"</f>
        <v>89.5985</v>
      </c>
    </row>
    <row r="884" spans="1:3" x14ac:dyDescent="0.25">
      <c r="A884" t="str">
        <f>"15/01/2013"</f>
        <v>15/01/2013</v>
      </c>
      <c r="B884" t="str">
        <f>"88.9865"</f>
        <v>88.9865</v>
      </c>
      <c r="C884" t="str">
        <f>"88.968"</f>
        <v>88.968</v>
      </c>
    </row>
    <row r="885" spans="1:3" x14ac:dyDescent="0.25">
      <c r="A885" t="str">
        <f>"16/01/2013"</f>
        <v>16/01/2013</v>
      </c>
      <c r="B885" t="str">
        <f>"88.1258"</f>
        <v>88.1258</v>
      </c>
      <c r="C885" t="str">
        <f>"88.108"</f>
        <v>88.108</v>
      </c>
    </row>
    <row r="886" spans="1:3" x14ac:dyDescent="0.25">
      <c r="A886" t="str">
        <f>"17/01/2013"</f>
        <v>17/01/2013</v>
      </c>
      <c r="B886" t="str">
        <f>"88.2025"</f>
        <v>88.2025</v>
      </c>
      <c r="C886" t="str">
        <f>"88.1833"</f>
        <v>88.1833</v>
      </c>
    </row>
    <row r="887" spans="1:3" x14ac:dyDescent="0.25">
      <c r="A887" t="str">
        <f>"18/01/2013"</f>
        <v>18/01/2013</v>
      </c>
      <c r="B887" t="str">
        <f>"90.00"</f>
        <v>90.00</v>
      </c>
      <c r="C887" t="str">
        <f>"89.98"</f>
        <v>89.98</v>
      </c>
    </row>
    <row r="888" spans="1:3" x14ac:dyDescent="0.25">
      <c r="A888" t="str">
        <f>"21/01/2013"</f>
        <v>21/01/2013</v>
      </c>
      <c r="B888" t="str">
        <f>"89.70"</f>
        <v>89.70</v>
      </c>
      <c r="C888" t="str">
        <f>"89.6788"</f>
        <v>89.6788</v>
      </c>
    </row>
    <row r="889" spans="1:3" x14ac:dyDescent="0.25">
      <c r="A889" t="str">
        <f>"22/01/2013"</f>
        <v>22/01/2013</v>
      </c>
      <c r="B889" t="str">
        <f>"89.051"</f>
        <v>89.051</v>
      </c>
      <c r="C889" t="str">
        <f>"89.0325"</f>
        <v>89.0325</v>
      </c>
    </row>
    <row r="890" spans="1:3" x14ac:dyDescent="0.25">
      <c r="A890" t="str">
        <f>"23/01/2013"</f>
        <v>23/01/2013</v>
      </c>
      <c r="B890" t="str">
        <f>"88.2433"</f>
        <v>88.2433</v>
      </c>
      <c r="C890" t="str">
        <f>"88.2266"</f>
        <v>88.2266</v>
      </c>
    </row>
    <row r="891" spans="1:3" x14ac:dyDescent="0.25">
      <c r="A891" t="str">
        <f>"24/01/2013"</f>
        <v>24/01/2013</v>
      </c>
      <c r="B891" t="str">
        <f>"89.1225"</f>
        <v>89.1225</v>
      </c>
      <c r="C891" t="str">
        <f>"89.1068"</f>
        <v>89.1068</v>
      </c>
    </row>
    <row r="892" spans="1:3" x14ac:dyDescent="0.25">
      <c r="A892" t="str">
        <f>"28/01/2013"</f>
        <v>28/01/2013</v>
      </c>
      <c r="B892" t="str">
        <f>"91.0275"</f>
        <v>91.0275</v>
      </c>
      <c r="C892" t="str">
        <f>"91.0157"</f>
        <v>91.0157</v>
      </c>
    </row>
    <row r="893" spans="1:3" x14ac:dyDescent="0.25">
      <c r="A893" t="str">
        <f>"29/01/2013"</f>
        <v>29/01/2013</v>
      </c>
      <c r="B893" t="str">
        <f>"90.9342"</f>
        <v>90.9342</v>
      </c>
      <c r="C893" t="str">
        <f>"90.9198"</f>
        <v>90.9198</v>
      </c>
    </row>
    <row r="894" spans="1:3" x14ac:dyDescent="0.25">
      <c r="A894" t="str">
        <f>"30/01/2013"</f>
        <v>30/01/2013</v>
      </c>
      <c r="B894" t="str">
        <f>"90.945"</f>
        <v>90.945</v>
      </c>
      <c r="C894" t="str">
        <f>"90.9344"</f>
        <v>90.9344</v>
      </c>
    </row>
    <row r="895" spans="1:3" x14ac:dyDescent="0.25">
      <c r="A895" t="str">
        <f>"31/01/2013"</f>
        <v>31/01/2013</v>
      </c>
      <c r="B895" t="str">
        <f>"90.77"</f>
        <v>90.77</v>
      </c>
      <c r="C895" t="str">
        <f>"90.7582"</f>
        <v>90.7582</v>
      </c>
    </row>
    <row r="896" spans="1:3" x14ac:dyDescent="0.25">
      <c r="A896" t="str">
        <f>"01/02/2013"</f>
        <v>01/02/2013</v>
      </c>
      <c r="B896" t="str">
        <f>"92.0708"</f>
        <v>92.0708</v>
      </c>
      <c r="C896" t="str">
        <f>"92.0563"</f>
        <v>92.0563</v>
      </c>
    </row>
    <row r="897" spans="1:3" x14ac:dyDescent="0.25">
      <c r="A897" t="str">
        <f>"04/02/2013"</f>
        <v>04/02/2013</v>
      </c>
      <c r="B897" t="str">
        <f>"92.691"</f>
        <v>92.691</v>
      </c>
      <c r="C897" t="str">
        <f>"92.6762"</f>
        <v>92.6762</v>
      </c>
    </row>
    <row r="898" spans="1:3" x14ac:dyDescent="0.25">
      <c r="A898" t="str">
        <f>"05/02/2013"</f>
        <v>05/02/2013</v>
      </c>
      <c r="B898" t="str">
        <f>"92.3725"</f>
        <v>92.3725</v>
      </c>
      <c r="C898" t="str">
        <f>"92.3582"</f>
        <v>92.3582</v>
      </c>
    </row>
    <row r="899" spans="1:3" x14ac:dyDescent="0.25">
      <c r="A899" t="str">
        <f>"06/02/2013"</f>
        <v>06/02/2013</v>
      </c>
      <c r="B899" t="str">
        <f>"93.785"</f>
        <v>93.785</v>
      </c>
      <c r="C899" t="str">
        <f>"93.7723"</f>
        <v>93.7723</v>
      </c>
    </row>
    <row r="900" spans="1:3" x14ac:dyDescent="0.25">
      <c r="A900" t="str">
        <f>"07/02/2013"</f>
        <v>07/02/2013</v>
      </c>
      <c r="B900" t="str">
        <f>"93.43"</f>
        <v>93.43</v>
      </c>
      <c r="C900" t="str">
        <f>"93.4165"</f>
        <v>93.4165</v>
      </c>
    </row>
    <row r="901" spans="1:3" x14ac:dyDescent="0.25">
      <c r="A901" t="str">
        <f>"08/02/2013"</f>
        <v>08/02/2013</v>
      </c>
      <c r="B901" t="str">
        <f>"93.2665"</f>
        <v>93.2665</v>
      </c>
      <c r="C901" t="str">
        <f>"93.2498"</f>
        <v>93.2498</v>
      </c>
    </row>
    <row r="902" spans="1:3" x14ac:dyDescent="0.25">
      <c r="A902" t="str">
        <f>"11/02/2013"</f>
        <v>11/02/2013</v>
      </c>
      <c r="B902" t="str">
        <f>"92.5275"</f>
        <v>92.5275</v>
      </c>
      <c r="C902" t="str">
        <f>"92.511"</f>
        <v>92.511</v>
      </c>
    </row>
    <row r="903" spans="1:3" x14ac:dyDescent="0.25">
      <c r="A903" t="str">
        <f>"12/02/2013"</f>
        <v>12/02/2013</v>
      </c>
      <c r="B903" t="str">
        <f>"94.216"</f>
        <v>94.216</v>
      </c>
      <c r="C903" t="str">
        <f>"94.2021"</f>
        <v>94.2021</v>
      </c>
    </row>
    <row r="904" spans="1:3" x14ac:dyDescent="0.25">
      <c r="A904" t="str">
        <f>"13/02/2013"</f>
        <v>13/02/2013</v>
      </c>
      <c r="B904" t="str">
        <f>"92.896"</f>
        <v>92.896</v>
      </c>
      <c r="C904" t="str">
        <f>"92.8813"</f>
        <v>92.8813</v>
      </c>
    </row>
    <row r="905" spans="1:3" x14ac:dyDescent="0.25">
      <c r="A905" t="str">
        <f>"14/02/2013"</f>
        <v>14/02/2013</v>
      </c>
      <c r="B905" t="str">
        <f>"93.5335"</f>
        <v>93.5335</v>
      </c>
      <c r="C905" t="str">
        <f>"93.5164"</f>
        <v>93.5164</v>
      </c>
    </row>
    <row r="906" spans="1:3" x14ac:dyDescent="0.25">
      <c r="A906" t="str">
        <f>"15/02/2013"</f>
        <v>15/02/2013</v>
      </c>
      <c r="B906" t="str">
        <f>"92.4025"</f>
        <v>92.4025</v>
      </c>
      <c r="C906" t="str">
        <f>"92.3884"</f>
        <v>92.3884</v>
      </c>
    </row>
    <row r="907" spans="1:3" x14ac:dyDescent="0.25">
      <c r="A907" t="str">
        <f>"18/02/2013"</f>
        <v>18/02/2013</v>
      </c>
      <c r="B907" t="str">
        <f>"94.137"</f>
        <v>94.137</v>
      </c>
      <c r="C907" t="str">
        <f>"94.1217"</f>
        <v>94.1217</v>
      </c>
    </row>
    <row r="908" spans="1:3" x14ac:dyDescent="0.25">
      <c r="A908" t="str">
        <f>"20/02/2013"</f>
        <v>20/02/2013</v>
      </c>
      <c r="B908" t="str">
        <f>"93.428"</f>
        <v>93.428</v>
      </c>
      <c r="C908" t="str">
        <f>"93.4157"</f>
        <v>93.4157</v>
      </c>
    </row>
    <row r="909" spans="1:3" x14ac:dyDescent="0.25">
      <c r="A909" t="str">
        <f>"21/02/2013"</f>
        <v>21/02/2013</v>
      </c>
      <c r="B909" t="str">
        <f>"93.4235"</f>
        <v>93.4235</v>
      </c>
      <c r="C909" t="str">
        <f>"93.4091"</f>
        <v>93.4091</v>
      </c>
    </row>
    <row r="910" spans="1:3" x14ac:dyDescent="0.25">
      <c r="A910" t="str">
        <f>"22/02/2013"</f>
        <v>22/02/2013</v>
      </c>
      <c r="B910" t="str">
        <f>"93.262"</f>
        <v>93.262</v>
      </c>
      <c r="C910" t="str">
        <f>"93.2465"</f>
        <v>93.2465</v>
      </c>
    </row>
    <row r="911" spans="1:3" x14ac:dyDescent="0.25">
      <c r="A911" t="str">
        <f>"25/02/2013"</f>
        <v>25/02/2013</v>
      </c>
      <c r="B911" t="str">
        <f>"94.0795"</f>
        <v>94.0795</v>
      </c>
      <c r="C911" t="str">
        <f>"94.0652"</f>
        <v>94.0652</v>
      </c>
    </row>
    <row r="912" spans="1:3" x14ac:dyDescent="0.25">
      <c r="A912" t="str">
        <f>"26/02/2013"</f>
        <v>26/02/2013</v>
      </c>
      <c r="B912" t="str">
        <f>"92.0275"</f>
        <v>92.0275</v>
      </c>
      <c r="C912" t="str">
        <f>"92.0108"</f>
        <v>92.0108</v>
      </c>
    </row>
    <row r="913" spans="1:3" x14ac:dyDescent="0.25">
      <c r="A913" t="str">
        <f>"27/02/2013"</f>
        <v>27/02/2013</v>
      </c>
      <c r="B913" t="str">
        <f>"91.955"</f>
        <v>91.955</v>
      </c>
      <c r="C913" t="str">
        <f>"91.9377"</f>
        <v>91.9377</v>
      </c>
    </row>
    <row r="914" spans="1:3" x14ac:dyDescent="0.25">
      <c r="A914" t="str">
        <f>"28/02/2013"</f>
        <v>28/02/2013</v>
      </c>
      <c r="B914" t="str">
        <f>"92.27"</f>
        <v>92.27</v>
      </c>
      <c r="C914" t="str">
        <f>"92.2561"</f>
        <v>92.2561</v>
      </c>
    </row>
    <row r="915" spans="1:3" x14ac:dyDescent="0.25">
      <c r="A915" t="str">
        <f>"01/03/2013"</f>
        <v>01/03/2013</v>
      </c>
      <c r="B915" t="str">
        <f>"92.6715"</f>
        <v>92.6715</v>
      </c>
      <c r="C915" t="str">
        <f>"92.6576"</f>
        <v>92.6576</v>
      </c>
    </row>
    <row r="916" spans="1:3" x14ac:dyDescent="0.25">
      <c r="A916" t="str">
        <f>"04/03/2013"</f>
        <v>04/03/2013</v>
      </c>
      <c r="B916" t="str">
        <f>"93.3903"</f>
        <v>93.3903</v>
      </c>
      <c r="C916" t="str">
        <f>"93.3716"</f>
        <v>93.3716</v>
      </c>
    </row>
    <row r="917" spans="1:3" x14ac:dyDescent="0.25">
      <c r="A917" t="str">
        <f>"05/03/2013"</f>
        <v>05/03/2013</v>
      </c>
      <c r="B917" t="str">
        <f>"93.217"</f>
        <v>93.217</v>
      </c>
      <c r="C917" t="str">
        <f>"93.2012"</f>
        <v>93.2012</v>
      </c>
    </row>
    <row r="918" spans="1:3" x14ac:dyDescent="0.25">
      <c r="A918" t="str">
        <f>"06/03/2013"</f>
        <v>06/03/2013</v>
      </c>
      <c r="B918" t="str">
        <f>"93.22"</f>
        <v>93.22</v>
      </c>
      <c r="C918" t="str">
        <f>"93.2059"</f>
        <v>93.2059</v>
      </c>
    </row>
    <row r="919" spans="1:3" x14ac:dyDescent="0.25">
      <c r="A919" t="str">
        <f>"07/03/2013"</f>
        <v>07/03/2013</v>
      </c>
      <c r="B919" t="str">
        <f>"93.8805"</f>
        <v>93.8805</v>
      </c>
      <c r="C919" t="str">
        <f>"93.8662"</f>
        <v>93.8662</v>
      </c>
    </row>
    <row r="920" spans="1:3" x14ac:dyDescent="0.25">
      <c r="A920" t="str">
        <f>"08/03/2013"</f>
        <v>08/03/2013</v>
      </c>
      <c r="B920" t="str">
        <f>"95.335"</f>
        <v>95.335</v>
      </c>
      <c r="C920" t="str">
        <f>"95.3202"</f>
        <v>95.3202</v>
      </c>
    </row>
    <row r="921" spans="1:3" x14ac:dyDescent="0.25">
      <c r="A921" t="str">
        <f>"11/03/2013"</f>
        <v>11/03/2013</v>
      </c>
      <c r="B921" t="str">
        <f>"96.146"</f>
        <v>96.146</v>
      </c>
      <c r="C921" t="str">
        <f>"96.1329"</f>
        <v>96.1329</v>
      </c>
    </row>
    <row r="922" spans="1:3" x14ac:dyDescent="0.25">
      <c r="A922" t="str">
        <f>"12/03/2013"</f>
        <v>12/03/2013</v>
      </c>
      <c r="B922" t="str">
        <f>"96.54"</f>
        <v>96.54</v>
      </c>
      <c r="C922" t="str">
        <f>"96.5236"</f>
        <v>96.5236</v>
      </c>
    </row>
    <row r="923" spans="1:3" x14ac:dyDescent="0.25">
      <c r="A923" t="str">
        <f>"13/03/2013"</f>
        <v>13/03/2013</v>
      </c>
      <c r="B923" t="str">
        <f>"95.752"</f>
        <v>95.752</v>
      </c>
      <c r="C923" t="str">
        <f>"95.7347"</f>
        <v>95.7347</v>
      </c>
    </row>
    <row r="924" spans="1:3" x14ac:dyDescent="0.25">
      <c r="A924" t="str">
        <f>"14/03/2013"</f>
        <v>14/03/2013</v>
      </c>
      <c r="B924" t="str">
        <f>"95.9633"</f>
        <v>95.9633</v>
      </c>
      <c r="C924" t="str">
        <f>"95.9463"</f>
        <v>95.9463</v>
      </c>
    </row>
    <row r="925" spans="1:3" x14ac:dyDescent="0.25">
      <c r="A925" t="str">
        <f>"15/03/2013"</f>
        <v>15/03/2013</v>
      </c>
      <c r="B925" t="str">
        <f>"96.183"</f>
        <v>96.183</v>
      </c>
      <c r="C925" t="str">
        <f>"96.1665"</f>
        <v>96.1665</v>
      </c>
    </row>
    <row r="926" spans="1:3" x14ac:dyDescent="0.25">
      <c r="A926" t="str">
        <f>"18/03/2013"</f>
        <v>18/03/2013</v>
      </c>
      <c r="B926" t="str">
        <f>"94.7425"</f>
        <v>94.7425</v>
      </c>
      <c r="C926" t="str">
        <f>"94.7239"</f>
        <v>94.7239</v>
      </c>
    </row>
    <row r="927" spans="1:3" x14ac:dyDescent="0.25">
      <c r="A927" t="str">
        <f>"19/03/2013"</f>
        <v>19/03/2013</v>
      </c>
      <c r="B927" t="str">
        <f>"95.6263"</f>
        <v>95.6263</v>
      </c>
      <c r="C927" t="str">
        <f>"95.6087"</f>
        <v>95.6087</v>
      </c>
    </row>
    <row r="928" spans="1:3" x14ac:dyDescent="0.25">
      <c r="A928" t="str">
        <f>"20/03/2013"</f>
        <v>20/03/2013</v>
      </c>
      <c r="B928" t="str">
        <f>"95.0755"</f>
        <v>95.0755</v>
      </c>
      <c r="C928" t="str">
        <f>"95.0585"</f>
        <v>95.0585</v>
      </c>
    </row>
    <row r="929" spans="1:3" x14ac:dyDescent="0.25">
      <c r="A929" t="str">
        <f>"21/03/2013"</f>
        <v>21/03/2013</v>
      </c>
      <c r="B929" t="str">
        <f>"95.912"</f>
        <v>95.912</v>
      </c>
      <c r="C929" t="str">
        <f>"95.8955"</f>
        <v>95.8955</v>
      </c>
    </row>
    <row r="930" spans="1:3" x14ac:dyDescent="0.25">
      <c r="A930" t="str">
        <f>"22/03/2013"</f>
        <v>22/03/2013</v>
      </c>
      <c r="B930" t="str">
        <f>"94.9393"</f>
        <v>94.9393</v>
      </c>
      <c r="C930" t="str">
        <f>"94.9223"</f>
        <v>94.9223</v>
      </c>
    </row>
    <row r="931" spans="1:3" x14ac:dyDescent="0.25">
      <c r="A931" t="str">
        <f>"25/03/2013"</f>
        <v>25/03/2013</v>
      </c>
      <c r="B931" t="str">
        <f>"94.8598"</f>
        <v>94.8598</v>
      </c>
      <c r="C931" t="str">
        <f>"94.8429"</f>
        <v>94.8429</v>
      </c>
    </row>
    <row r="932" spans="1:3" x14ac:dyDescent="0.25">
      <c r="A932" t="str">
        <f>"26/03/2013"</f>
        <v>26/03/2013</v>
      </c>
      <c r="B932" t="str">
        <f>"94.30"</f>
        <v>94.30</v>
      </c>
      <c r="C932" t="str">
        <f>"94.2813"</f>
        <v>94.2813</v>
      </c>
    </row>
    <row r="933" spans="1:3" x14ac:dyDescent="0.25">
      <c r="A933" t="str">
        <f>"28/03/2013"</f>
        <v>28/03/2013</v>
      </c>
      <c r="B933" t="str">
        <f>"94.0835"</f>
        <v>94.0835</v>
      </c>
      <c r="C933" t="str">
        <f>"94.067"</f>
        <v>94.067</v>
      </c>
    </row>
    <row r="934" spans="1:3" x14ac:dyDescent="0.25">
      <c r="A934" t="str">
        <f>"02/04/2013"</f>
        <v>02/04/2013</v>
      </c>
      <c r="B934" t="str">
        <f>"92.7965"</f>
        <v>92.7965</v>
      </c>
      <c r="C934" t="str">
        <f>"92.7797"</f>
        <v>92.7797</v>
      </c>
    </row>
    <row r="935" spans="1:3" x14ac:dyDescent="0.25">
      <c r="A935" t="str">
        <f>"03/04/2013"</f>
        <v>03/04/2013</v>
      </c>
      <c r="B935" t="str">
        <f>"93.48"</f>
        <v>93.48</v>
      </c>
      <c r="C935" t="str">
        <f>"93.4617"</f>
        <v>93.4617</v>
      </c>
    </row>
    <row r="936" spans="1:3" x14ac:dyDescent="0.25">
      <c r="A936" t="str">
        <f>"04/04/2013"</f>
        <v>04/04/2013</v>
      </c>
      <c r="B936" t="str">
        <f>"92.904"</f>
        <v>92.904</v>
      </c>
      <c r="C936" t="str">
        <f>"92.8894"</f>
        <v>92.8894</v>
      </c>
    </row>
    <row r="937" spans="1:3" x14ac:dyDescent="0.25">
      <c r="A937" t="str">
        <f>"05/04/2013"</f>
        <v>05/04/2013</v>
      </c>
      <c r="B937" t="str">
        <f>"96.33"</f>
        <v>96.33</v>
      </c>
      <c r="C937" t="str">
        <f>"96.3142"</f>
        <v>96.3142</v>
      </c>
    </row>
    <row r="938" spans="1:3" x14ac:dyDescent="0.25">
      <c r="A938" t="str">
        <f>"08/04/2013"</f>
        <v>08/04/2013</v>
      </c>
      <c r="B938" t="str">
        <f>"98.5335"</f>
        <v>98.5335</v>
      </c>
      <c r="C938" t="str">
        <f>"98.5196"</f>
        <v>98.5196</v>
      </c>
    </row>
    <row r="939" spans="1:3" x14ac:dyDescent="0.25">
      <c r="A939" t="str">
        <f>"09/04/2013"</f>
        <v>09/04/2013</v>
      </c>
      <c r="B939" t="str">
        <f>"99.25"</f>
        <v>99.25</v>
      </c>
      <c r="C939" t="str">
        <f>"99.2324"</f>
        <v>99.2324</v>
      </c>
    </row>
    <row r="940" spans="1:3" x14ac:dyDescent="0.25">
      <c r="A940" t="str">
        <f>"10/04/2013"</f>
        <v>10/04/2013</v>
      </c>
      <c r="B940" t="str">
        <f>"99.025"</f>
        <v>99.025</v>
      </c>
      <c r="C940" t="str">
        <f>"99.01"</f>
        <v>99.01</v>
      </c>
    </row>
    <row r="941" spans="1:3" x14ac:dyDescent="0.25">
      <c r="A941" t="str">
        <f>"12/04/2013"</f>
        <v>12/04/2013</v>
      </c>
      <c r="B941" t="str">
        <f>"99.43"</f>
        <v>99.43</v>
      </c>
      <c r="C941" t="str">
        <f>"99.4155"</f>
        <v>99.4155</v>
      </c>
    </row>
    <row r="942" spans="1:3" x14ac:dyDescent="0.25">
      <c r="A942" t="str">
        <f>"15/04/2013"</f>
        <v>15/04/2013</v>
      </c>
      <c r="B942" t="str">
        <f>"97.782"</f>
        <v>97.782</v>
      </c>
      <c r="C942" t="str">
        <f>"97.7675"</f>
        <v>97.7675</v>
      </c>
    </row>
    <row r="943" spans="1:3" x14ac:dyDescent="0.25">
      <c r="A943" t="str">
        <f>"16/04/2013"</f>
        <v>16/04/2013</v>
      </c>
      <c r="B943" t="str">
        <f>"97.623"</f>
        <v>97.623</v>
      </c>
      <c r="C943" t="str">
        <f>"97.6088"</f>
        <v>97.6088</v>
      </c>
    </row>
    <row r="944" spans="1:3" x14ac:dyDescent="0.25">
      <c r="A944" t="str">
        <f>"17/04/2013"</f>
        <v>17/04/2013</v>
      </c>
      <c r="B944" t="str">
        <f>"98.1558"</f>
        <v>98.1558</v>
      </c>
      <c r="C944" t="str">
        <f>"98.1433"</f>
        <v>98.1433</v>
      </c>
    </row>
    <row r="945" spans="1:3" x14ac:dyDescent="0.25">
      <c r="A945" t="str">
        <f>"18/04/2013"</f>
        <v>18/04/2013</v>
      </c>
      <c r="B945" t="str">
        <f>"98.23"</f>
        <v>98.23</v>
      </c>
      <c r="C945" t="str">
        <f>"98.217"</f>
        <v>98.217</v>
      </c>
    </row>
    <row r="946" spans="1:3" x14ac:dyDescent="0.25">
      <c r="A946" t="str">
        <f>"22/04/2013"</f>
        <v>22/04/2013</v>
      </c>
      <c r="B946" t="str">
        <f>"99.841"</f>
        <v>99.841</v>
      </c>
      <c r="C946" t="str">
        <f>"99.8292"</f>
        <v>99.8292</v>
      </c>
    </row>
    <row r="947" spans="1:3" x14ac:dyDescent="0.25">
      <c r="A947" t="str">
        <f>"23/04/2013"</f>
        <v>23/04/2013</v>
      </c>
      <c r="B947" t="str">
        <f>"98.7855"</f>
        <v>98.7855</v>
      </c>
      <c r="C947" t="str">
        <f>"98.7731"</f>
        <v>98.7731</v>
      </c>
    </row>
    <row r="948" spans="1:3" x14ac:dyDescent="0.25">
      <c r="A948" t="str">
        <f>"25/04/2013"</f>
        <v>25/04/2013</v>
      </c>
      <c r="B948" t="str">
        <f>"99.3745"</f>
        <v>99.3745</v>
      </c>
      <c r="C948" t="str">
        <f>"99.3594"</f>
        <v>99.3594</v>
      </c>
    </row>
    <row r="949" spans="1:3" x14ac:dyDescent="0.25">
      <c r="A949" t="str">
        <f>"26/04/2013"</f>
        <v>26/04/2013</v>
      </c>
      <c r="B949" t="str">
        <f>"99.086"</f>
        <v>99.086</v>
      </c>
      <c r="C949" t="str">
        <f>"99.0696"</f>
        <v>99.0696</v>
      </c>
    </row>
    <row r="950" spans="1:3" x14ac:dyDescent="0.25">
      <c r="A950" t="str">
        <f>"29/04/2013"</f>
        <v>29/04/2013</v>
      </c>
      <c r="B950" t="str">
        <f>"97.588"</f>
        <v>97.588</v>
      </c>
      <c r="C950" t="str">
        <f>"97.5758"</f>
        <v>97.5758</v>
      </c>
    </row>
    <row r="951" spans="1:3" x14ac:dyDescent="0.25">
      <c r="A951" t="str">
        <f>"30/04/2013"</f>
        <v>30/04/2013</v>
      </c>
      <c r="B951" t="str">
        <f>"97.953"</f>
        <v>97.953</v>
      </c>
      <c r="C951" t="str">
        <f>"97.9397"</f>
        <v>97.9397</v>
      </c>
    </row>
    <row r="952" spans="1:3" x14ac:dyDescent="0.25">
      <c r="A952" t="str">
        <f>"02/05/2013"</f>
        <v>02/05/2013</v>
      </c>
      <c r="B952" t="str">
        <f>"97.2835"</f>
        <v>97.2835</v>
      </c>
      <c r="C952" t="str">
        <f>"97.2695"</f>
        <v>97.2695</v>
      </c>
    </row>
    <row r="953" spans="1:3" x14ac:dyDescent="0.25">
      <c r="A953" t="str">
        <f>"03/05/2013"</f>
        <v>03/05/2013</v>
      </c>
      <c r="B953" t="str">
        <f>"98.005"</f>
        <v>98.005</v>
      </c>
      <c r="C953" t="str">
        <f>"97.991"</f>
        <v>97.991</v>
      </c>
    </row>
    <row r="954" spans="1:3" x14ac:dyDescent="0.25">
      <c r="A954" t="str">
        <f>"06/05/2013"</f>
        <v>06/05/2013</v>
      </c>
      <c r="B954" t="str">
        <f>"99.093"</f>
        <v>99.093</v>
      </c>
      <c r="C954" t="str">
        <f>"99.0778"</f>
        <v>99.0778</v>
      </c>
    </row>
    <row r="955" spans="1:3" x14ac:dyDescent="0.25">
      <c r="A955" t="str">
        <f>"07/05/2013"</f>
        <v>07/05/2013</v>
      </c>
      <c r="B955" t="str">
        <f>"99.1125"</f>
        <v>99.1125</v>
      </c>
      <c r="C955" t="str">
        <f>"99.0985"</f>
        <v>99.0985</v>
      </c>
    </row>
    <row r="956" spans="1:3" x14ac:dyDescent="0.25">
      <c r="A956" t="str">
        <f>"08/05/2013"</f>
        <v>08/05/2013</v>
      </c>
      <c r="B956" t="str">
        <f>"98.97"</f>
        <v>98.97</v>
      </c>
      <c r="C956" t="str">
        <f>"98.957"</f>
        <v>98.957</v>
      </c>
    </row>
    <row r="957" spans="1:3" x14ac:dyDescent="0.25">
      <c r="A957" t="str">
        <f>"09/05/2013"</f>
        <v>09/05/2013</v>
      </c>
      <c r="B957" t="str">
        <f>"98.7575"</f>
        <v>98.7575</v>
      </c>
      <c r="C957" t="str">
        <f>"98.746"</f>
        <v>98.746</v>
      </c>
    </row>
    <row r="958" spans="1:3" x14ac:dyDescent="0.25">
      <c r="A958" t="str">
        <f>"10/05/2013"</f>
        <v>10/05/2013</v>
      </c>
      <c r="B958" t="str">
        <f>"101.023"</f>
        <v>101.023</v>
      </c>
      <c r="C958" t="str">
        <f>"101.014"</f>
        <v>101.014</v>
      </c>
    </row>
    <row r="959" spans="1:3" x14ac:dyDescent="0.25">
      <c r="A959" t="str">
        <f>"13/05/2013"</f>
        <v>13/05/2013</v>
      </c>
      <c r="B959" t="str">
        <f>"101.695"</f>
        <v>101.695</v>
      </c>
      <c r="C959" t="str">
        <f>"101.6806"</f>
        <v>101.6806</v>
      </c>
    </row>
    <row r="960" spans="1:3" x14ac:dyDescent="0.25">
      <c r="A960" t="str">
        <f>"14/05/2013"</f>
        <v>14/05/2013</v>
      </c>
      <c r="B960" t="str">
        <f>"101.462"</f>
        <v>101.462</v>
      </c>
      <c r="C960" t="str">
        <f>"101.4489"</f>
        <v>101.4489</v>
      </c>
    </row>
    <row r="961" spans="1:3" x14ac:dyDescent="0.25">
      <c r="A961" t="str">
        <f>"15/05/2013"</f>
        <v>15/05/2013</v>
      </c>
      <c r="B961" t="str">
        <f>"102.107"</f>
        <v>102.107</v>
      </c>
      <c r="C961" t="str">
        <f>"102.097"</f>
        <v>102.097</v>
      </c>
    </row>
    <row r="962" spans="1:3" x14ac:dyDescent="0.25">
      <c r="A962" t="str">
        <f>"16/05/2013"</f>
        <v>16/05/2013</v>
      </c>
      <c r="B962" t="str">
        <f>"102.399"</f>
        <v>102.399</v>
      </c>
      <c r="C962" t="str">
        <f>"102.3876"</f>
        <v>102.3876</v>
      </c>
    </row>
    <row r="963" spans="1:3" x14ac:dyDescent="0.25">
      <c r="A963" t="str">
        <f>"17/05/2013"</f>
        <v>17/05/2013</v>
      </c>
      <c r="B963" t="str">
        <f>"102.263"</f>
        <v>102.263</v>
      </c>
      <c r="C963" t="str">
        <f>"102.254"</f>
        <v>102.254</v>
      </c>
    </row>
    <row r="964" spans="1:3" x14ac:dyDescent="0.25">
      <c r="A964" t="str">
        <f>"20/05/2013"</f>
        <v>20/05/2013</v>
      </c>
      <c r="B964" t="str">
        <f>"102.69"</f>
        <v>102.69</v>
      </c>
      <c r="C964" t="str">
        <f>"102.6764"</f>
        <v>102.6764</v>
      </c>
    </row>
    <row r="965" spans="1:3" x14ac:dyDescent="0.25">
      <c r="A965" t="str">
        <f>"21/05/2013"</f>
        <v>21/05/2013</v>
      </c>
      <c r="B965" t="str">
        <f>"102.503"</f>
        <v>102.503</v>
      </c>
      <c r="C965" t="str">
        <f>"102.4905"</f>
        <v>102.4905</v>
      </c>
    </row>
    <row r="966" spans="1:3" x14ac:dyDescent="0.25">
      <c r="A966" t="str">
        <f>"22/05/2013"</f>
        <v>22/05/2013</v>
      </c>
      <c r="B966" t="str">
        <f>"102.535"</f>
        <v>102.535</v>
      </c>
      <c r="C966" t="str">
        <f>"102.524"</f>
        <v>102.524</v>
      </c>
    </row>
    <row r="967" spans="1:3" x14ac:dyDescent="0.25">
      <c r="A967" t="str">
        <f>"23/05/2013"</f>
        <v>23/05/2013</v>
      </c>
      <c r="B967" t="str">
        <f>"102.637"</f>
        <v>102.637</v>
      </c>
      <c r="C967" t="str">
        <f>"102.6251"</f>
        <v>102.6251</v>
      </c>
    </row>
    <row r="968" spans="1:3" x14ac:dyDescent="0.25">
      <c r="A968" t="str">
        <f>"24/05/2013"</f>
        <v>24/05/2013</v>
      </c>
      <c r="B968" t="str">
        <f>"101.628"</f>
        <v>101.628</v>
      </c>
      <c r="C968" t="str">
        <f>"101.6148"</f>
        <v>101.6148</v>
      </c>
    </row>
    <row r="969" spans="1:3" x14ac:dyDescent="0.25">
      <c r="A969" t="str">
        <f>"27/05/2013"</f>
        <v>27/05/2013</v>
      </c>
      <c r="B969" t="str">
        <f>"101.061"</f>
        <v>101.061</v>
      </c>
      <c r="C969" t="str">
        <f>"101.0494"</f>
        <v>101.0494</v>
      </c>
    </row>
    <row r="970" spans="1:3" x14ac:dyDescent="0.25">
      <c r="A970" t="str">
        <f>"28/05/2013"</f>
        <v>28/05/2013</v>
      </c>
      <c r="B970" t="str">
        <f>"101.957"</f>
        <v>101.957</v>
      </c>
      <c r="C970" t="str">
        <f>"101.9456"</f>
        <v>101.9456</v>
      </c>
    </row>
    <row r="971" spans="1:3" x14ac:dyDescent="0.25">
      <c r="A971" t="str">
        <f>"29/05/2013"</f>
        <v>29/05/2013</v>
      </c>
      <c r="B971" t="str">
        <f>"102.291"</f>
        <v>102.291</v>
      </c>
      <c r="C971" t="str">
        <f>"102.2814"</f>
        <v>102.2814</v>
      </c>
    </row>
    <row r="972" spans="1:3" x14ac:dyDescent="0.25">
      <c r="A972" t="str">
        <f>"30/05/2013"</f>
        <v>30/05/2013</v>
      </c>
      <c r="B972" t="str">
        <f>"101.067"</f>
        <v>101.067</v>
      </c>
      <c r="C972" t="str">
        <f>"101.0562"</f>
        <v>101.0562</v>
      </c>
    </row>
    <row r="973" spans="1:3" x14ac:dyDescent="0.25">
      <c r="A973" t="str">
        <f>"31/05/2013"</f>
        <v>31/05/2013</v>
      </c>
      <c r="B973" t="str">
        <f>"100.973"</f>
        <v>100.973</v>
      </c>
      <c r="C973" t="str">
        <f>"100.9604"</f>
        <v>100.9604</v>
      </c>
    </row>
    <row r="974" spans="1:3" x14ac:dyDescent="0.25">
      <c r="A974" t="str">
        <f>"03/06/2013"</f>
        <v>03/06/2013</v>
      </c>
      <c r="B974" t="str">
        <f>"100.587"</f>
        <v>100.587</v>
      </c>
      <c r="C974" t="str">
        <f>"100.5782"</f>
        <v>100.5782</v>
      </c>
    </row>
    <row r="975" spans="1:3" x14ac:dyDescent="0.25">
      <c r="A975" t="str">
        <f>"04/06/2013"</f>
        <v>04/06/2013</v>
      </c>
      <c r="B975" t="str">
        <f>"99.736"</f>
        <v>99.736</v>
      </c>
      <c r="C975" t="str">
        <f>"99.7249"</f>
        <v>99.7249</v>
      </c>
    </row>
    <row r="976" spans="1:3" x14ac:dyDescent="0.25">
      <c r="A976" t="str">
        <f>"05/06/2013"</f>
        <v>05/06/2013</v>
      </c>
      <c r="B976" t="str">
        <f>"99.779"</f>
        <v>99.779</v>
      </c>
      <c r="C976" t="str">
        <f>"99.7686"</f>
        <v>99.7686</v>
      </c>
    </row>
    <row r="977" spans="1:3" x14ac:dyDescent="0.25">
      <c r="A977" t="str">
        <f>"06/06/2013"</f>
        <v>06/06/2013</v>
      </c>
      <c r="B977" t="str">
        <f>"99.10"</f>
        <v>99.10</v>
      </c>
      <c r="C977" t="str">
        <f>"99.0886"</f>
        <v>99.0886</v>
      </c>
    </row>
    <row r="978" spans="1:3" x14ac:dyDescent="0.25">
      <c r="A978" t="str">
        <f>"07/06/2013"</f>
        <v>07/06/2013</v>
      </c>
      <c r="B978" t="str">
        <f>"96.36"</f>
        <v>96.36</v>
      </c>
      <c r="C978" t="str">
        <f>"96.3483"</f>
        <v>96.3483</v>
      </c>
    </row>
    <row r="979" spans="1:3" x14ac:dyDescent="0.25">
      <c r="A979" t="str">
        <f>"10/06/2013"</f>
        <v>10/06/2013</v>
      </c>
      <c r="B979" t="str">
        <f>"98.2695"</f>
        <v>98.2695</v>
      </c>
      <c r="C979" t="str">
        <f>"98.258"</f>
        <v>98.258</v>
      </c>
    </row>
    <row r="980" spans="1:3" x14ac:dyDescent="0.25">
      <c r="A980" t="str">
        <f>"11/06/2013"</f>
        <v>11/06/2013</v>
      </c>
      <c r="B980" t="str">
        <f>"98.26"</f>
        <v>98.26</v>
      </c>
      <c r="C980" t="str">
        <f>"98.2464"</f>
        <v>98.2464</v>
      </c>
    </row>
    <row r="981" spans="1:3" x14ac:dyDescent="0.25">
      <c r="A981" t="str">
        <f>"12/06/2013"</f>
        <v>12/06/2013</v>
      </c>
      <c r="B981" t="str">
        <f>"96.466"</f>
        <v>96.466</v>
      </c>
      <c r="C981" t="str">
        <f>"96.4524"</f>
        <v>96.4524</v>
      </c>
    </row>
    <row r="982" spans="1:3" x14ac:dyDescent="0.25">
      <c r="A982" t="str">
        <f>"13/06/2013"</f>
        <v>13/06/2013</v>
      </c>
      <c r="B982" t="str">
        <f>"94.842"</f>
        <v>94.842</v>
      </c>
      <c r="C982" t="str">
        <f>"94.8258"</f>
        <v>94.8258</v>
      </c>
    </row>
    <row r="983" spans="1:3" x14ac:dyDescent="0.25">
      <c r="A983" t="str">
        <f>"14/06/2013"</f>
        <v>14/06/2013</v>
      </c>
      <c r="B983" t="str">
        <f>"95.195"</f>
        <v>95.195</v>
      </c>
      <c r="C983" t="str">
        <f>"95.1813"</f>
        <v>95.1813</v>
      </c>
    </row>
    <row r="984" spans="1:3" x14ac:dyDescent="0.25">
      <c r="A984" t="str">
        <f>"17/06/2013"</f>
        <v>17/06/2013</v>
      </c>
      <c r="B984" t="str">
        <f>"94.7895"</f>
        <v>94.7895</v>
      </c>
      <c r="C984" t="str">
        <f>"94.7762"</f>
        <v>94.7762</v>
      </c>
    </row>
    <row r="985" spans="1:3" x14ac:dyDescent="0.25">
      <c r="A985" t="str">
        <f>"18/06/2013"</f>
        <v>18/06/2013</v>
      </c>
      <c r="B985" t="str">
        <f>"94.875"</f>
        <v>94.875</v>
      </c>
      <c r="C985" t="str">
        <f>"94.8625"</f>
        <v>94.8625</v>
      </c>
    </row>
    <row r="986" spans="1:3" x14ac:dyDescent="0.25">
      <c r="A986" t="str">
        <f>"19/06/2013"</f>
        <v>19/06/2013</v>
      </c>
      <c r="B986" t="str">
        <f>"95.246"</f>
        <v>95.246</v>
      </c>
      <c r="C986" t="str">
        <f>"95.2341"</f>
        <v>95.2341</v>
      </c>
    </row>
    <row r="987" spans="1:3" x14ac:dyDescent="0.25">
      <c r="A987" t="str">
        <f>"20/06/2013"</f>
        <v>20/06/2013</v>
      </c>
      <c r="B987" t="str">
        <f>"97.0025"</f>
        <v>97.0025</v>
      </c>
      <c r="C987" t="str">
        <f>"96.9888"</f>
        <v>96.9888</v>
      </c>
    </row>
    <row r="988" spans="1:3" x14ac:dyDescent="0.25">
      <c r="A988" t="str">
        <f>"21/06/2013"</f>
        <v>21/06/2013</v>
      </c>
      <c r="B988" t="str">
        <f>"97.2725"</f>
        <v>97.2725</v>
      </c>
      <c r="C988" t="str">
        <f>"97.2585"</f>
        <v>97.2585</v>
      </c>
    </row>
    <row r="989" spans="1:3" x14ac:dyDescent="0.25">
      <c r="A989" t="str">
        <f>"24/06/2013"</f>
        <v>24/06/2013</v>
      </c>
      <c r="B989" t="str">
        <f>"98.44"</f>
        <v>98.44</v>
      </c>
      <c r="C989" t="str">
        <f>"98.4225"</f>
        <v>98.4225</v>
      </c>
    </row>
    <row r="990" spans="1:3" x14ac:dyDescent="0.25">
      <c r="A990" t="str">
        <f>"25/06/2013"</f>
        <v>25/06/2013</v>
      </c>
      <c r="B990" t="str">
        <f>"97.46"</f>
        <v>97.46</v>
      </c>
      <c r="C990" t="str">
        <f>"97.4432"</f>
        <v>97.4432</v>
      </c>
    </row>
    <row r="991" spans="1:3" x14ac:dyDescent="0.25">
      <c r="A991" t="str">
        <f>"26/06/2013"</f>
        <v>26/06/2013</v>
      </c>
      <c r="B991" t="str">
        <f>"97.873"</f>
        <v>97.873</v>
      </c>
      <c r="C991" t="str">
        <f>"97.8593"</f>
        <v>97.8593</v>
      </c>
    </row>
    <row r="992" spans="1:3" x14ac:dyDescent="0.25">
      <c r="A992" t="str">
        <f>"27/06/2013"</f>
        <v>27/06/2013</v>
      </c>
      <c r="B992" t="str">
        <f>"97.751"</f>
        <v>97.751</v>
      </c>
      <c r="C992" t="str">
        <f>"97.7393"</f>
        <v>97.7393</v>
      </c>
    </row>
    <row r="993" spans="1:3" x14ac:dyDescent="0.25">
      <c r="A993" t="str">
        <f>"28/06/2013"</f>
        <v>28/06/2013</v>
      </c>
      <c r="B993" t="str">
        <f>"98.967"</f>
        <v>98.967</v>
      </c>
      <c r="C993" t="str">
        <f>"98.9568"</f>
        <v>98.9568</v>
      </c>
    </row>
    <row r="994" spans="1:3" x14ac:dyDescent="0.25">
      <c r="A994" t="str">
        <f>"01/07/2013"</f>
        <v>01/07/2013</v>
      </c>
      <c r="B994" t="str">
        <f>"99.3775"</f>
        <v>99.3775</v>
      </c>
      <c r="C994" t="str">
        <f>"99.3661"</f>
        <v>99.3661</v>
      </c>
    </row>
    <row r="995" spans="1:3" x14ac:dyDescent="0.25">
      <c r="A995" t="str">
        <f>"02/07/2013"</f>
        <v>02/07/2013</v>
      </c>
      <c r="B995" t="str">
        <f>"99.6375"</f>
        <v>99.6375</v>
      </c>
      <c r="C995" t="str">
        <f>"99.6268"</f>
        <v>99.6268</v>
      </c>
    </row>
    <row r="996" spans="1:3" x14ac:dyDescent="0.25">
      <c r="A996" t="str">
        <f>"03/07/2013"</f>
        <v>03/07/2013</v>
      </c>
      <c r="B996" t="str">
        <f>"99.811"</f>
        <v>99.811</v>
      </c>
      <c r="C996" t="str">
        <f>"99.7995"</f>
        <v>99.7995</v>
      </c>
    </row>
    <row r="997" spans="1:3" x14ac:dyDescent="0.25">
      <c r="A997" t="str">
        <f>"04/07/2013"</f>
        <v>04/07/2013</v>
      </c>
      <c r="B997" t="str">
        <f>"99.815"</f>
        <v>99.815</v>
      </c>
      <c r="C997" t="str">
        <f>"99.803"</f>
        <v>99.803</v>
      </c>
    </row>
    <row r="998" spans="1:3" x14ac:dyDescent="0.25">
      <c r="A998" t="str">
        <f>"05/07/2013"</f>
        <v>05/07/2013</v>
      </c>
      <c r="B998" t="str">
        <f>"100.312"</f>
        <v>100.312</v>
      </c>
      <c r="C998" t="str">
        <f>"100.2999"</f>
        <v>100.2999</v>
      </c>
    </row>
    <row r="999" spans="1:3" x14ac:dyDescent="0.25">
      <c r="A999" t="str">
        <f>"08/07/2013"</f>
        <v>08/07/2013</v>
      </c>
      <c r="B999" t="str">
        <f>"101.193"</f>
        <v>101.193</v>
      </c>
      <c r="C999" t="str">
        <f>"101.178"</f>
        <v>101.178</v>
      </c>
    </row>
    <row r="1000" spans="1:3" x14ac:dyDescent="0.25">
      <c r="A1000" t="str">
        <f>"09/07/2013"</f>
        <v>09/07/2013</v>
      </c>
      <c r="B1000" t="str">
        <f>"101.125"</f>
        <v>101.125</v>
      </c>
      <c r="C1000" t="str">
        <f>"101.1098"</f>
        <v>101.1098</v>
      </c>
    </row>
    <row r="1001" spans="1:3" x14ac:dyDescent="0.25">
      <c r="A1001" t="str">
        <f>"10/07/2013"</f>
        <v>10/07/2013</v>
      </c>
      <c r="B1001" t="str">
        <f>"100.992"</f>
        <v>100.992</v>
      </c>
      <c r="C1001" t="str">
        <f>"100.9765"</f>
        <v>100.9765</v>
      </c>
    </row>
    <row r="1002" spans="1:3" x14ac:dyDescent="0.25">
      <c r="A1002" t="str">
        <f>"11/07/2013"</f>
        <v>11/07/2013</v>
      </c>
      <c r="B1002" t="str">
        <f>"98.6315"</f>
        <v>98.6315</v>
      </c>
      <c r="C1002" t="str">
        <f>"98.6154"</f>
        <v>98.6154</v>
      </c>
    </row>
    <row r="1003" spans="1:3" x14ac:dyDescent="0.25">
      <c r="A1003" t="str">
        <f>"12/07/2013"</f>
        <v>12/07/2013</v>
      </c>
      <c r="B1003" t="str">
        <f>"99.028"</f>
        <v>99.028</v>
      </c>
      <c r="C1003" t="str">
        <f>"99.0145"</f>
        <v>99.0145</v>
      </c>
    </row>
    <row r="1004" spans="1:3" x14ac:dyDescent="0.25">
      <c r="A1004" t="str">
        <f>"15/07/2013"</f>
        <v>15/07/2013</v>
      </c>
      <c r="B1004" t="str">
        <f>"99.2795"</f>
        <v>99.2795</v>
      </c>
      <c r="C1004" t="str">
        <f>"99.2638"</f>
        <v>99.2638</v>
      </c>
    </row>
    <row r="1005" spans="1:3" x14ac:dyDescent="0.25">
      <c r="A1005" t="str">
        <f>"16/07/2013"</f>
        <v>16/07/2013</v>
      </c>
      <c r="B1005" t="str">
        <f>"99.7815"</f>
        <v>99.7815</v>
      </c>
      <c r="C1005" t="str">
        <f>"99.7658"</f>
        <v>99.7658</v>
      </c>
    </row>
    <row r="1006" spans="1:3" x14ac:dyDescent="0.25">
      <c r="A1006" t="str">
        <f>"17/07/2013"</f>
        <v>17/07/2013</v>
      </c>
      <c r="B1006" t="str">
        <f>"99.388"</f>
        <v>99.388</v>
      </c>
      <c r="C1006" t="str">
        <f>"99.3721"</f>
        <v>99.3721</v>
      </c>
    </row>
    <row r="1007" spans="1:3" x14ac:dyDescent="0.25">
      <c r="A1007" t="str">
        <f>"18/07/2013"</f>
        <v>18/07/2013</v>
      </c>
      <c r="B1007" t="str">
        <f>"100.107"</f>
        <v>100.107</v>
      </c>
      <c r="C1007" t="str">
        <f>"100.0942"</f>
        <v>100.0942</v>
      </c>
    </row>
    <row r="1008" spans="1:3" x14ac:dyDescent="0.25">
      <c r="A1008" t="str">
        <f>"19/07/2013"</f>
        <v>19/07/2013</v>
      </c>
      <c r="B1008" t="str">
        <f>"100.099"</f>
        <v>100.099</v>
      </c>
      <c r="C1008" t="str">
        <f>"100.0841"</f>
        <v>100.0841</v>
      </c>
    </row>
    <row r="1009" spans="1:3" x14ac:dyDescent="0.25">
      <c r="A1009" t="str">
        <f>"22/07/2013"</f>
        <v>22/07/2013</v>
      </c>
      <c r="B1009" t="str">
        <f>"99.8775"</f>
        <v>99.8775</v>
      </c>
      <c r="C1009" t="str">
        <f>"99.8616"</f>
        <v>99.8616</v>
      </c>
    </row>
    <row r="1010" spans="1:3" x14ac:dyDescent="0.25">
      <c r="A1010" t="str">
        <f>"23/07/2013"</f>
        <v>23/07/2013</v>
      </c>
      <c r="B1010" t="str">
        <f>"99.473"</f>
        <v>99.473</v>
      </c>
      <c r="C1010" t="str">
        <f>"99.4591"</f>
        <v>99.4591</v>
      </c>
    </row>
    <row r="1011" spans="1:3" x14ac:dyDescent="0.25">
      <c r="A1011" t="str">
        <f>"24/07/2013"</f>
        <v>24/07/2013</v>
      </c>
      <c r="B1011" t="str">
        <f>"99.665"</f>
        <v>99.665</v>
      </c>
      <c r="C1011" t="str">
        <f>"99.6504"</f>
        <v>99.6504</v>
      </c>
    </row>
    <row r="1012" spans="1:3" x14ac:dyDescent="0.25">
      <c r="A1012" t="str">
        <f>"25/07/2013"</f>
        <v>25/07/2013</v>
      </c>
      <c r="B1012" t="str">
        <f>"100.036"</f>
        <v>100.036</v>
      </c>
      <c r="C1012" t="str">
        <f>"100.021"</f>
        <v>100.021</v>
      </c>
    </row>
    <row r="1013" spans="1:3" x14ac:dyDescent="0.25">
      <c r="A1013" t="str">
        <f>"26/07/2013"</f>
        <v>26/07/2013</v>
      </c>
      <c r="B1013" t="str">
        <f>"98.8615"</f>
        <v>98.8615</v>
      </c>
      <c r="C1013" t="str">
        <f>"98.8467"</f>
        <v>98.8467</v>
      </c>
    </row>
    <row r="1014" spans="1:3" x14ac:dyDescent="0.25">
      <c r="A1014" t="str">
        <f>"29/07/2013"</f>
        <v>29/07/2013</v>
      </c>
      <c r="B1014" t="str">
        <f>"97.91"</f>
        <v>97.91</v>
      </c>
      <c r="C1014" t="str">
        <f>"97.8963"</f>
        <v>97.8963</v>
      </c>
    </row>
    <row r="1015" spans="1:3" x14ac:dyDescent="0.25">
      <c r="A1015" t="str">
        <f>"30/07/2013"</f>
        <v>30/07/2013</v>
      </c>
      <c r="B1015" t="str">
        <f>"98.372"</f>
        <v>98.372</v>
      </c>
      <c r="C1015" t="str">
        <f>"98.3571"</f>
        <v>98.3571</v>
      </c>
    </row>
    <row r="1016" spans="1:3" x14ac:dyDescent="0.25">
      <c r="A1016" t="str">
        <f>"31/07/2013"</f>
        <v>31/07/2013</v>
      </c>
      <c r="B1016" t="str">
        <f>"98.035"</f>
        <v>98.035</v>
      </c>
      <c r="C1016" t="str">
        <f>"98.0194"</f>
        <v>98.0194</v>
      </c>
    </row>
    <row r="1017" spans="1:3" x14ac:dyDescent="0.25">
      <c r="A1017" t="str">
        <f>"01/08/2013"</f>
        <v>01/08/2013</v>
      </c>
      <c r="B1017" t="str">
        <f>"98.30"</f>
        <v>98.30</v>
      </c>
      <c r="C1017" t="str">
        <f>"98.2857"</f>
        <v>98.2857</v>
      </c>
    </row>
    <row r="1018" spans="1:3" x14ac:dyDescent="0.25">
      <c r="A1018" t="str">
        <f>"02/08/2013"</f>
        <v>02/08/2013</v>
      </c>
      <c r="B1018" t="str">
        <f>"99.4555"</f>
        <v>99.4555</v>
      </c>
      <c r="C1018" t="str">
        <f>"99.4415"</f>
        <v>99.4415</v>
      </c>
    </row>
    <row r="1019" spans="1:3" x14ac:dyDescent="0.25">
      <c r="A1019" t="str">
        <f>"05/08/2013"</f>
        <v>05/08/2013</v>
      </c>
      <c r="B1019" t="str">
        <f>"98.831"</f>
        <v>98.831</v>
      </c>
      <c r="C1019" t="str">
        <f>"98.8165"</f>
        <v>98.8165</v>
      </c>
    </row>
    <row r="1020" spans="1:3" x14ac:dyDescent="0.25">
      <c r="A1020" t="str">
        <f>"06/08/2013"</f>
        <v>06/08/2013</v>
      </c>
      <c r="B1020" t="str">
        <f>"98.2915"</f>
        <v>98.2915</v>
      </c>
      <c r="C1020" t="str">
        <f>"98.2779"</f>
        <v>98.2779</v>
      </c>
    </row>
    <row r="1021" spans="1:3" x14ac:dyDescent="0.25">
      <c r="A1021" t="str">
        <f>"07/08/2013"</f>
        <v>07/08/2013</v>
      </c>
      <c r="B1021" t="str">
        <f>"97.286"</f>
        <v>97.286</v>
      </c>
      <c r="C1021" t="str">
        <f>"97.2737"</f>
        <v>97.2737</v>
      </c>
    </row>
    <row r="1022" spans="1:3" x14ac:dyDescent="0.25">
      <c r="A1022" t="str">
        <f>"08/08/2013"</f>
        <v>08/08/2013</v>
      </c>
      <c r="B1022" t="str">
        <f>"96.8505"</f>
        <v>96.8505</v>
      </c>
      <c r="C1022" t="str">
        <f>"96.8383"</f>
        <v>96.8383</v>
      </c>
    </row>
    <row r="1023" spans="1:3" x14ac:dyDescent="0.25">
      <c r="A1023" t="str">
        <f>"12/08/2013"</f>
        <v>12/08/2013</v>
      </c>
      <c r="B1023" t="str">
        <f>"96.4443"</f>
        <v>96.4443</v>
      </c>
      <c r="C1023" t="str">
        <f>"96.4285"</f>
        <v>96.4285</v>
      </c>
    </row>
    <row r="1024" spans="1:3" x14ac:dyDescent="0.25">
      <c r="A1024" t="str">
        <f>"13/08/2013"</f>
        <v>13/08/2013</v>
      </c>
      <c r="B1024" t="str">
        <f>"97.2575"</f>
        <v>97.2575</v>
      </c>
      <c r="C1024" t="str">
        <f>"97.2426"</f>
        <v>97.2426</v>
      </c>
    </row>
    <row r="1025" spans="1:3" x14ac:dyDescent="0.25">
      <c r="A1025" t="str">
        <f>"14/08/2013"</f>
        <v>14/08/2013</v>
      </c>
      <c r="B1025" t="str">
        <f>"97.973"</f>
        <v>97.973</v>
      </c>
      <c r="C1025" t="str">
        <f>"97.9593"</f>
        <v>97.9593</v>
      </c>
    </row>
    <row r="1026" spans="1:3" x14ac:dyDescent="0.25">
      <c r="A1026" t="str">
        <f>"16/08/2013"</f>
        <v>16/08/2013</v>
      </c>
      <c r="B1026" t="str">
        <f>"97.604"</f>
        <v>97.604</v>
      </c>
      <c r="C1026" t="str">
        <f>"97.5896"</f>
        <v>97.5896</v>
      </c>
    </row>
    <row r="1027" spans="1:3" x14ac:dyDescent="0.25">
      <c r="A1027" t="str">
        <f>"19/08/2013"</f>
        <v>19/08/2013</v>
      </c>
      <c r="B1027" t="str">
        <f>"97.6135"</f>
        <v>97.6135</v>
      </c>
      <c r="C1027" t="str">
        <f>"97.5977"</f>
        <v>97.5977</v>
      </c>
    </row>
    <row r="1028" spans="1:3" x14ac:dyDescent="0.25">
      <c r="A1028" t="str">
        <f>"20/08/2013"</f>
        <v>20/08/2013</v>
      </c>
      <c r="B1028" t="str">
        <f>"97.5905"</f>
        <v>97.5905</v>
      </c>
      <c r="C1028" t="str">
        <f>"97.575"</f>
        <v>97.575</v>
      </c>
    </row>
    <row r="1029" spans="1:3" x14ac:dyDescent="0.25">
      <c r="A1029" t="str">
        <f>"21/08/2013"</f>
        <v>21/08/2013</v>
      </c>
      <c r="B1029" t="str">
        <f>"97.3105"</f>
        <v>97.3105</v>
      </c>
      <c r="C1029" t="str">
        <f>"97.2966"</f>
        <v>97.2966</v>
      </c>
    </row>
    <row r="1030" spans="1:3" x14ac:dyDescent="0.25">
      <c r="A1030" t="str">
        <f>"22/08/2013"</f>
        <v>22/08/2013</v>
      </c>
      <c r="B1030" t="str">
        <f>"98.172"</f>
        <v>98.172</v>
      </c>
      <c r="C1030" t="str">
        <f>"98.1585"</f>
        <v>98.1585</v>
      </c>
    </row>
    <row r="1031" spans="1:3" x14ac:dyDescent="0.25">
      <c r="A1031" t="str">
        <f>"23/08/2013"</f>
        <v>23/08/2013</v>
      </c>
      <c r="B1031" t="str">
        <f>"99.054"</f>
        <v>99.054</v>
      </c>
      <c r="C1031" t="str">
        <f>"99.04"</f>
        <v>99.04</v>
      </c>
    </row>
    <row r="1032" spans="1:3" x14ac:dyDescent="0.25">
      <c r="A1032" t="str">
        <f>"26/08/2013"</f>
        <v>26/08/2013</v>
      </c>
      <c r="B1032" t="str">
        <f>"98.7023"</f>
        <v>98.7023</v>
      </c>
      <c r="C1032" t="str">
        <f>"98.6871"</f>
        <v>98.6871</v>
      </c>
    </row>
    <row r="1033" spans="1:3" x14ac:dyDescent="0.25">
      <c r="A1033" t="str">
        <f>"27/08/2013"</f>
        <v>27/08/2013</v>
      </c>
      <c r="B1033" t="str">
        <f>"98.333"</f>
        <v>98.333</v>
      </c>
      <c r="C1033" t="str">
        <f>"98.3185"</f>
        <v>98.3185</v>
      </c>
    </row>
    <row r="1034" spans="1:3" x14ac:dyDescent="0.25">
      <c r="A1034" t="str">
        <f>"28/08/2013"</f>
        <v>28/08/2013</v>
      </c>
      <c r="B1034" t="str">
        <f>"97.17"</f>
        <v>97.17</v>
      </c>
      <c r="C1034" t="str">
        <f>"97.1553"</f>
        <v>97.1553</v>
      </c>
    </row>
    <row r="1035" spans="1:3" x14ac:dyDescent="0.25">
      <c r="A1035" t="str">
        <f>"29/08/2013"</f>
        <v>29/08/2013</v>
      </c>
      <c r="B1035" t="str">
        <f>"97.6595"</f>
        <v>97.6595</v>
      </c>
      <c r="C1035" t="str">
        <f>"97.6463"</f>
        <v>97.6463</v>
      </c>
    </row>
    <row r="1036" spans="1:3" x14ac:dyDescent="0.25">
      <c r="A1036" t="str">
        <f>"30/08/2013"</f>
        <v>30/08/2013</v>
      </c>
      <c r="B1036" t="str">
        <f>"98.2885"</f>
        <v>98.2885</v>
      </c>
      <c r="C1036" t="str">
        <f>"98.2761"</f>
        <v>98.2761</v>
      </c>
    </row>
    <row r="1037" spans="1:3" x14ac:dyDescent="0.25">
      <c r="A1037" t="str">
        <f>"02/09/2013"</f>
        <v>02/09/2013</v>
      </c>
      <c r="B1037" t="str">
        <f>"98.609"</f>
        <v>98.609</v>
      </c>
      <c r="C1037" t="str">
        <f>"98.5961"</f>
        <v>98.5961</v>
      </c>
    </row>
    <row r="1038" spans="1:3" x14ac:dyDescent="0.25">
      <c r="A1038" t="str">
        <f>"03/09/2013"</f>
        <v>03/09/2013</v>
      </c>
      <c r="B1038" t="str">
        <f>"99.503"</f>
        <v>99.503</v>
      </c>
      <c r="C1038" t="str">
        <f>"99.4898"</f>
        <v>99.4898</v>
      </c>
    </row>
    <row r="1039" spans="1:3" x14ac:dyDescent="0.25">
      <c r="A1039" t="str">
        <f>"04/09/2013"</f>
        <v>04/09/2013</v>
      </c>
      <c r="B1039" t="str">
        <f>"99.6495"</f>
        <v>99.6495</v>
      </c>
      <c r="C1039" t="str">
        <f>"99.6365"</f>
        <v>99.6365</v>
      </c>
    </row>
    <row r="1040" spans="1:3" x14ac:dyDescent="0.25">
      <c r="A1040" t="str">
        <f>"05/09/2013"</f>
        <v>05/09/2013</v>
      </c>
      <c r="B1040" t="str">
        <f>"99.723"</f>
        <v>99.723</v>
      </c>
      <c r="C1040" t="str">
        <f>"99.7101"</f>
        <v>99.7101</v>
      </c>
    </row>
    <row r="1041" spans="1:3" x14ac:dyDescent="0.25">
      <c r="A1041" t="str">
        <f>"06/09/2013"</f>
        <v>06/09/2013</v>
      </c>
      <c r="B1041" t="str">
        <f>"99.9145"</f>
        <v>99.9145</v>
      </c>
      <c r="C1041" t="str">
        <f>"99.9014"</f>
        <v>99.9014</v>
      </c>
    </row>
    <row r="1042" spans="1:3" x14ac:dyDescent="0.25">
      <c r="A1042" t="str">
        <f>"10/09/2013"</f>
        <v>10/09/2013</v>
      </c>
      <c r="B1042" t="str">
        <f>"99.6205"</f>
        <v>99.6205</v>
      </c>
      <c r="C1042" t="str">
        <f>"99.6058"</f>
        <v>99.6058</v>
      </c>
    </row>
    <row r="1043" spans="1:3" x14ac:dyDescent="0.25">
      <c r="A1043" t="str">
        <f>"11/09/2013"</f>
        <v>11/09/2013</v>
      </c>
      <c r="B1043" t="str">
        <f>"100.527"</f>
        <v>100.527</v>
      </c>
      <c r="C1043" t="str">
        <f>"100.512"</f>
        <v>100.512</v>
      </c>
    </row>
    <row r="1044" spans="1:3" x14ac:dyDescent="0.25">
      <c r="A1044" t="str">
        <f>"12/09/2013"</f>
        <v>12/09/2013</v>
      </c>
      <c r="B1044" t="str">
        <f>"99.54"</f>
        <v>99.54</v>
      </c>
      <c r="C1044" t="str">
        <f>"99.5262"</f>
        <v>99.5262</v>
      </c>
    </row>
    <row r="1045" spans="1:3" x14ac:dyDescent="0.25">
      <c r="A1045" t="str">
        <f>"13/09/2013"</f>
        <v>13/09/2013</v>
      </c>
      <c r="B1045" t="str">
        <f>"99.7065"</f>
        <v>99.7065</v>
      </c>
      <c r="C1045" t="str">
        <f>"99.6927"</f>
        <v>99.6927</v>
      </c>
    </row>
    <row r="1046" spans="1:3" x14ac:dyDescent="0.25">
      <c r="A1046" t="str">
        <f>"16/09/2013"</f>
        <v>16/09/2013</v>
      </c>
      <c r="B1046" t="str">
        <f>"98.907"</f>
        <v>98.907</v>
      </c>
      <c r="C1046" t="str">
        <f>"98.8937"</f>
        <v>98.8937</v>
      </c>
    </row>
    <row r="1047" spans="1:3" x14ac:dyDescent="0.25">
      <c r="A1047" t="str">
        <f>"17/09/2013"</f>
        <v>17/09/2013</v>
      </c>
      <c r="B1047" t="str">
        <f>"99.2605"</f>
        <v>99.2605</v>
      </c>
      <c r="C1047" t="str">
        <f>"99.2463"</f>
        <v>99.2463</v>
      </c>
    </row>
    <row r="1048" spans="1:3" x14ac:dyDescent="0.25">
      <c r="A1048" t="str">
        <f>"18/09/2013"</f>
        <v>18/09/2013</v>
      </c>
      <c r="B1048" t="str">
        <f>"99.22"</f>
        <v>99.22</v>
      </c>
      <c r="C1048" t="str">
        <f>"99.2053"</f>
        <v>99.2053</v>
      </c>
    </row>
    <row r="1049" spans="1:3" x14ac:dyDescent="0.25">
      <c r="A1049" t="str">
        <f>"19/09/2013"</f>
        <v>19/09/2013</v>
      </c>
      <c r="B1049" t="str">
        <f>"98.47"</f>
        <v>98.47</v>
      </c>
      <c r="C1049" t="str">
        <f>"98.4559"</f>
        <v>98.4559</v>
      </c>
    </row>
    <row r="1050" spans="1:3" x14ac:dyDescent="0.25">
      <c r="A1050" t="str">
        <f>"20/09/2013"</f>
        <v>20/09/2013</v>
      </c>
      <c r="B1050" t="str">
        <f>"99.1915"</f>
        <v>99.1915</v>
      </c>
      <c r="C1050" t="str">
        <f>"99.1767"</f>
        <v>99.1767</v>
      </c>
    </row>
    <row r="1051" spans="1:3" x14ac:dyDescent="0.25">
      <c r="A1051" t="str">
        <f>"23/09/2013"</f>
        <v>23/09/2013</v>
      </c>
      <c r="B1051" t="str">
        <f>"99.1345"</f>
        <v>99.1345</v>
      </c>
      <c r="C1051" t="str">
        <f>"99.1188"</f>
        <v>99.1188</v>
      </c>
    </row>
    <row r="1052" spans="1:3" x14ac:dyDescent="0.25">
      <c r="A1052" t="str">
        <f>"24/09/2013"</f>
        <v>24/09/2013</v>
      </c>
      <c r="B1052" t="str">
        <f>"98.822"</f>
        <v>98.822</v>
      </c>
      <c r="C1052" t="str">
        <f>"98.8054"</f>
        <v>98.8054</v>
      </c>
    </row>
    <row r="1053" spans="1:3" x14ac:dyDescent="0.25">
      <c r="A1053" t="str">
        <f>"25/09/2013"</f>
        <v>25/09/2013</v>
      </c>
      <c r="B1053" t="str">
        <f>"98.7185"</f>
        <v>98.7185</v>
      </c>
      <c r="C1053" t="str">
        <f>"98.7038"</f>
        <v>98.7038</v>
      </c>
    </row>
    <row r="1054" spans="1:3" x14ac:dyDescent="0.25">
      <c r="A1054" t="str">
        <f>"26/09/2013"</f>
        <v>26/09/2013</v>
      </c>
      <c r="B1054" t="str">
        <f>"98.7855"</f>
        <v>98.7855</v>
      </c>
      <c r="C1054" t="str">
        <f>"98.7708"</f>
        <v>98.7708</v>
      </c>
    </row>
    <row r="1055" spans="1:3" x14ac:dyDescent="0.25">
      <c r="A1055" t="str">
        <f>"27/09/2013"</f>
        <v>27/09/2013</v>
      </c>
      <c r="B1055" t="str">
        <f>"98.709"</f>
        <v>98.709</v>
      </c>
      <c r="C1055" t="str">
        <f>"98.6943"</f>
        <v>98.6943</v>
      </c>
    </row>
    <row r="1056" spans="1:3" x14ac:dyDescent="0.25">
      <c r="A1056" t="str">
        <f>"30/09/2013"</f>
        <v>30/09/2013</v>
      </c>
      <c r="B1056" t="str">
        <f>"98.0005"</f>
        <v>98.0005</v>
      </c>
      <c r="C1056" t="str">
        <f>"97.9833"</f>
        <v>97.9833</v>
      </c>
    </row>
    <row r="1057" spans="1:3" x14ac:dyDescent="0.25">
      <c r="A1057" t="str">
        <f>"01/10/2013"</f>
        <v>01/10/2013</v>
      </c>
      <c r="B1057" t="str">
        <f>"98.3355"</f>
        <v>98.3355</v>
      </c>
      <c r="C1057" t="str">
        <f>"98.318"</f>
        <v>98.318</v>
      </c>
    </row>
    <row r="1058" spans="1:3" x14ac:dyDescent="0.25">
      <c r="A1058" t="str">
        <f>"03/10/2013"</f>
        <v>03/10/2013</v>
      </c>
      <c r="B1058" t="str">
        <f>"97.657"</f>
        <v>97.657</v>
      </c>
      <c r="C1058" t="str">
        <f>"97.6426"</f>
        <v>97.6426</v>
      </c>
    </row>
    <row r="1059" spans="1:3" x14ac:dyDescent="0.25">
      <c r="A1059" t="str">
        <f>"04/10/2013"</f>
        <v>04/10/2013</v>
      </c>
      <c r="B1059" t="str">
        <f>"97.20"</f>
        <v>97.20</v>
      </c>
      <c r="C1059" t="str">
        <f>"97.1861"</f>
        <v>97.1861</v>
      </c>
    </row>
    <row r="1060" spans="1:3" x14ac:dyDescent="0.25">
      <c r="A1060" t="str">
        <f>"07/10/2013"</f>
        <v>07/10/2013</v>
      </c>
      <c r="B1060" t="str">
        <f>"97.1425"</f>
        <v>97.1425</v>
      </c>
      <c r="C1060" t="str">
        <f>"97.1263"</f>
        <v>97.1263</v>
      </c>
    </row>
    <row r="1061" spans="1:3" x14ac:dyDescent="0.25">
      <c r="A1061" t="str">
        <f>"08/10/2013"</f>
        <v>08/10/2013</v>
      </c>
      <c r="B1061" t="str">
        <f>"96.9468"</f>
        <v>96.9468</v>
      </c>
      <c r="C1061" t="str">
        <f>"96.9293"</f>
        <v>96.9293</v>
      </c>
    </row>
    <row r="1062" spans="1:3" x14ac:dyDescent="0.25">
      <c r="A1062" t="str">
        <f>"09/10/2013"</f>
        <v>09/10/2013</v>
      </c>
      <c r="B1062" t="str">
        <f>"97.338"</f>
        <v>97.338</v>
      </c>
      <c r="C1062" t="str">
        <f>"97.3207"</f>
        <v>97.3207</v>
      </c>
    </row>
    <row r="1063" spans="1:3" x14ac:dyDescent="0.25">
      <c r="A1063" t="str">
        <f>"10/10/2013"</f>
        <v>10/10/2013</v>
      </c>
      <c r="B1063" t="str">
        <f>"97.7435"</f>
        <v>97.7435</v>
      </c>
      <c r="C1063" t="str">
        <f>"97.727"</f>
        <v>97.727</v>
      </c>
    </row>
    <row r="1064" spans="1:3" x14ac:dyDescent="0.25">
      <c r="A1064" t="str">
        <f>"11/10/2013"</f>
        <v>11/10/2013</v>
      </c>
      <c r="B1064" t="str">
        <f>"98.451"</f>
        <v>98.451</v>
      </c>
      <c r="C1064" t="str">
        <f>"98.4344"</f>
        <v>98.4344</v>
      </c>
    </row>
    <row r="1065" spans="1:3" x14ac:dyDescent="0.25">
      <c r="A1065" t="str">
        <f>"14/10/2013"</f>
        <v>14/10/2013</v>
      </c>
      <c r="B1065" t="str">
        <f>"98.2865"</f>
        <v>98.2865</v>
      </c>
      <c r="C1065" t="str">
        <f>"98.2694"</f>
        <v>98.2694</v>
      </c>
    </row>
    <row r="1066" spans="1:3" x14ac:dyDescent="0.25">
      <c r="A1066" t="str">
        <f>"15/10/2013"</f>
        <v>15/10/2013</v>
      </c>
      <c r="B1066" t="str">
        <f>"98.4905"</f>
        <v>98.4905</v>
      </c>
      <c r="C1066" t="str">
        <f>"98.4644"</f>
        <v>98.4644</v>
      </c>
    </row>
    <row r="1067" spans="1:3" x14ac:dyDescent="0.25">
      <c r="A1067" t="str">
        <f>"17/10/2013"</f>
        <v>17/10/2013</v>
      </c>
      <c r="B1067" t="str">
        <f>"98.6095"</f>
        <v>98.6095</v>
      </c>
      <c r="C1067" t="str">
        <f>"98.5934"</f>
        <v>98.5934</v>
      </c>
    </row>
    <row r="1068" spans="1:3" x14ac:dyDescent="0.25">
      <c r="A1068" t="str">
        <f>"18/10/2013"</f>
        <v>18/10/2013</v>
      </c>
      <c r="B1068" t="str">
        <f>"98.007"</f>
        <v>98.007</v>
      </c>
      <c r="C1068" t="str">
        <f>"97.9916"</f>
        <v>97.9916</v>
      </c>
    </row>
    <row r="1069" spans="1:3" x14ac:dyDescent="0.25">
      <c r="A1069" t="str">
        <f>"21/10/2013"</f>
        <v>21/10/2013</v>
      </c>
      <c r="B1069" t="str">
        <f>"97.979"</f>
        <v>97.979</v>
      </c>
      <c r="C1069" t="str">
        <f>"97.9624"</f>
        <v>97.9624</v>
      </c>
    </row>
    <row r="1070" spans="1:3" x14ac:dyDescent="0.25">
      <c r="A1070" t="str">
        <f>"22/10/2013"</f>
        <v>22/10/2013</v>
      </c>
      <c r="B1070" t="str">
        <f>"98.331"</f>
        <v>98.331</v>
      </c>
      <c r="C1070" t="str">
        <f>"98.315"</f>
        <v>98.315</v>
      </c>
    </row>
    <row r="1071" spans="1:3" x14ac:dyDescent="0.25">
      <c r="A1071" t="str">
        <f>"23/10/2013"</f>
        <v>23/10/2013</v>
      </c>
      <c r="B1071" t="str">
        <f>"97.326"</f>
        <v>97.326</v>
      </c>
      <c r="C1071" t="str">
        <f>"97.3109"</f>
        <v>97.3109</v>
      </c>
    </row>
    <row r="1072" spans="1:3" x14ac:dyDescent="0.25">
      <c r="A1072" t="str">
        <f>"24/10/2013"</f>
        <v>24/10/2013</v>
      </c>
      <c r="B1072" t="str">
        <f>"97.353"</f>
        <v>97.353</v>
      </c>
      <c r="C1072" t="str">
        <f>"97.3378"</f>
        <v>97.3378</v>
      </c>
    </row>
    <row r="1073" spans="1:3" x14ac:dyDescent="0.25">
      <c r="A1073" t="str">
        <f>"25/10/2013"</f>
        <v>25/10/2013</v>
      </c>
      <c r="B1073" t="str">
        <f>"96.96"</f>
        <v>96.96</v>
      </c>
      <c r="C1073" t="str">
        <f>"96.9459"</f>
        <v>96.9459</v>
      </c>
    </row>
    <row r="1074" spans="1:3" x14ac:dyDescent="0.25">
      <c r="A1074" t="str">
        <f>"28/10/2013"</f>
        <v>28/10/2013</v>
      </c>
      <c r="B1074" t="str">
        <f>"97.583"</f>
        <v>97.583</v>
      </c>
      <c r="C1074" t="str">
        <f>"97.5699"</f>
        <v>97.5699</v>
      </c>
    </row>
    <row r="1075" spans="1:3" x14ac:dyDescent="0.25">
      <c r="A1075" t="str">
        <f>"29/10/2013"</f>
        <v>29/10/2013</v>
      </c>
      <c r="B1075" t="str">
        <f>"97.5555"</f>
        <v>97.5555</v>
      </c>
      <c r="C1075" t="str">
        <f>"97.5425"</f>
        <v>97.5425</v>
      </c>
    </row>
    <row r="1076" spans="1:3" x14ac:dyDescent="0.25">
      <c r="A1076" t="str">
        <f>"30/10/2013"</f>
        <v>30/10/2013</v>
      </c>
      <c r="B1076" t="str">
        <f>"98.14"</f>
        <v>98.14</v>
      </c>
      <c r="C1076" t="str">
        <f>"98.1259"</f>
        <v>98.1259</v>
      </c>
    </row>
    <row r="1077" spans="1:3" x14ac:dyDescent="0.25">
      <c r="A1077" t="str">
        <f>"31/10/2013"</f>
        <v>31/10/2013</v>
      </c>
      <c r="B1077" t="str">
        <f>"98.46"</f>
        <v>98.46</v>
      </c>
      <c r="C1077" t="str">
        <f>"98.4461"</f>
        <v>98.4461</v>
      </c>
    </row>
    <row r="1078" spans="1:3" x14ac:dyDescent="0.25">
      <c r="A1078" t="str">
        <f>"01/11/2013"</f>
        <v>01/11/2013</v>
      </c>
      <c r="B1078" t="str">
        <f>"97.986"</f>
        <v>97.986</v>
      </c>
      <c r="C1078" t="str">
        <f>"97.9716"</f>
        <v>97.9716</v>
      </c>
    </row>
    <row r="1079" spans="1:3" x14ac:dyDescent="0.25">
      <c r="A1079" t="str">
        <f>"05/11/2013"</f>
        <v>05/11/2013</v>
      </c>
      <c r="B1079" t="str">
        <f>"98.4825"</f>
        <v>98.4825</v>
      </c>
      <c r="C1079" t="str">
        <f>"98.468"</f>
        <v>98.468</v>
      </c>
    </row>
    <row r="1080" spans="1:3" x14ac:dyDescent="0.25">
      <c r="A1080" t="str">
        <f>"06/11/2013"</f>
        <v>06/11/2013</v>
      </c>
      <c r="B1080" t="str">
        <f>"98.7145"</f>
        <v>98.7145</v>
      </c>
      <c r="C1080" t="str">
        <f>"98.7014"</f>
        <v>98.7014</v>
      </c>
    </row>
    <row r="1081" spans="1:3" x14ac:dyDescent="0.25">
      <c r="A1081" t="str">
        <f>"07/11/2013"</f>
        <v>07/11/2013</v>
      </c>
      <c r="B1081" t="str">
        <f>"98.6265"</f>
        <v>98.6265</v>
      </c>
      <c r="C1081" t="str">
        <f>"98.6139"</f>
        <v>98.6139</v>
      </c>
    </row>
    <row r="1082" spans="1:3" x14ac:dyDescent="0.25">
      <c r="A1082" t="str">
        <f>"08/11/2013"</f>
        <v>08/11/2013</v>
      </c>
      <c r="B1082" t="str">
        <f>"98.105"</f>
        <v>98.105</v>
      </c>
      <c r="C1082" t="str">
        <f>"98.0925"</f>
        <v>98.0925</v>
      </c>
    </row>
    <row r="1083" spans="1:3" x14ac:dyDescent="0.25">
      <c r="A1083" t="str">
        <f>"11/11/2013"</f>
        <v>11/11/2013</v>
      </c>
      <c r="B1083" t="str">
        <f>"99.0075"</f>
        <v>99.0075</v>
      </c>
      <c r="C1083" t="str">
        <f>"98.9953"</f>
        <v>98.9953</v>
      </c>
    </row>
    <row r="1084" spans="1:3" x14ac:dyDescent="0.25">
      <c r="A1084" t="str">
        <f>"12/11/2013"</f>
        <v>12/11/2013</v>
      </c>
      <c r="B1084" t="str">
        <f>"99.469"</f>
        <v>99.469</v>
      </c>
      <c r="C1084" t="str">
        <f>"99.4558"</f>
        <v>99.4558</v>
      </c>
    </row>
    <row r="1085" spans="1:3" x14ac:dyDescent="0.25">
      <c r="A1085" t="str">
        <f>"13/11/2013"</f>
        <v>13/11/2013</v>
      </c>
      <c r="B1085" t="str">
        <f>"99.4703"</f>
        <v>99.4703</v>
      </c>
      <c r="C1085" t="str">
        <f>"99.4571"</f>
        <v>99.4571</v>
      </c>
    </row>
    <row r="1086" spans="1:3" x14ac:dyDescent="0.25">
      <c r="A1086" t="str">
        <f>"14/11/2013"</f>
        <v>14/11/2013</v>
      </c>
      <c r="B1086" t="str">
        <f>"99.6535"</f>
        <v>99.6535</v>
      </c>
      <c r="C1086" t="str">
        <f>"99.6405"</f>
        <v>99.6405</v>
      </c>
    </row>
    <row r="1087" spans="1:3" x14ac:dyDescent="0.25">
      <c r="A1087" t="str">
        <f>"18/11/2013"</f>
        <v>18/11/2013</v>
      </c>
      <c r="B1087" t="str">
        <f>"100.17"</f>
        <v>100.17</v>
      </c>
      <c r="C1087" t="str">
        <f>"100.157"</f>
        <v>100.157</v>
      </c>
    </row>
    <row r="1088" spans="1:3" x14ac:dyDescent="0.25">
      <c r="A1088" t="str">
        <f>"19/11/2013"</f>
        <v>19/11/2013</v>
      </c>
      <c r="B1088" t="str">
        <f>"99.8605"</f>
        <v>99.8605</v>
      </c>
      <c r="C1088" t="str">
        <f>"99.8464"</f>
        <v>99.8464</v>
      </c>
    </row>
    <row r="1089" spans="1:3" x14ac:dyDescent="0.25">
      <c r="A1089" t="str">
        <f>"20/11/2013"</f>
        <v>20/11/2013</v>
      </c>
      <c r="B1089" t="str">
        <f>"100.031"</f>
        <v>100.031</v>
      </c>
      <c r="C1089" t="str">
        <f>"100.018"</f>
        <v>100.018</v>
      </c>
    </row>
    <row r="1090" spans="1:3" x14ac:dyDescent="0.25">
      <c r="A1090" t="str">
        <f>"21/11/2013"</f>
        <v>21/11/2013</v>
      </c>
      <c r="B1090" t="str">
        <f>"100.398"</f>
        <v>100.398</v>
      </c>
      <c r="C1090" t="str">
        <f>"100.3853"</f>
        <v>100.3853</v>
      </c>
    </row>
    <row r="1091" spans="1:3" x14ac:dyDescent="0.25">
      <c r="A1091" t="str">
        <f>"22/11/2013"</f>
        <v>22/11/2013</v>
      </c>
      <c r="B1091" t="str">
        <f>"101.142"</f>
        <v>101.142</v>
      </c>
      <c r="C1091" t="str">
        <f>"101.1295"</f>
        <v>101.1295</v>
      </c>
    </row>
    <row r="1092" spans="1:3" x14ac:dyDescent="0.25">
      <c r="A1092" t="str">
        <f>"25/11/2013"</f>
        <v>25/11/2013</v>
      </c>
      <c r="B1092" t="str">
        <f>"101.702"</f>
        <v>101.702</v>
      </c>
      <c r="C1092" t="str">
        <f>"101.6896"</f>
        <v>101.6896</v>
      </c>
    </row>
    <row r="1093" spans="1:3" x14ac:dyDescent="0.25">
      <c r="A1093" t="str">
        <f>"26/11/2013"</f>
        <v>26/11/2013</v>
      </c>
      <c r="B1093" t="str">
        <f>"101.499"</f>
        <v>101.499</v>
      </c>
      <c r="C1093" t="str">
        <f>"101.4851"</f>
        <v>101.4851</v>
      </c>
    </row>
    <row r="1094" spans="1:3" x14ac:dyDescent="0.25">
      <c r="A1094" t="str">
        <f>"27/11/2013"</f>
        <v>27/11/2013</v>
      </c>
      <c r="B1094" t="str">
        <f>"101.497"</f>
        <v>101.497</v>
      </c>
      <c r="C1094" t="str">
        <f>"101.483"</f>
        <v>101.483</v>
      </c>
    </row>
    <row r="1095" spans="1:3" x14ac:dyDescent="0.25">
      <c r="A1095" t="str">
        <f>"28/11/2013"</f>
        <v>28/11/2013</v>
      </c>
      <c r="B1095" t="str">
        <f>"102.065"</f>
        <v>102.065</v>
      </c>
      <c r="C1095" t="str">
        <f>"102.0364"</f>
        <v>102.0364</v>
      </c>
    </row>
    <row r="1096" spans="1:3" x14ac:dyDescent="0.25">
      <c r="A1096" t="str">
        <f>"29/11/2013"</f>
        <v>29/11/2013</v>
      </c>
      <c r="B1096" t="str">
        <f>"102.324"</f>
        <v>102.324</v>
      </c>
      <c r="C1096" t="str">
        <f>"102.2941"</f>
        <v>102.2941</v>
      </c>
    </row>
    <row r="1097" spans="1:3" x14ac:dyDescent="0.25">
      <c r="A1097" t="str">
        <f>"02/12/2013"</f>
        <v>02/12/2013</v>
      </c>
      <c r="B1097" t="str">
        <f>"102.333"</f>
        <v>102.333</v>
      </c>
      <c r="C1097" t="str">
        <f>"102.3032"</f>
        <v>102.3032</v>
      </c>
    </row>
    <row r="1098" spans="1:3" x14ac:dyDescent="0.25">
      <c r="A1098" t="str">
        <f>"03/12/2013"</f>
        <v>03/12/2013</v>
      </c>
      <c r="B1098" t="str">
        <f>"103.36"</f>
        <v>103.36</v>
      </c>
      <c r="C1098" t="str">
        <f>"103.3287"</f>
        <v>103.3287</v>
      </c>
    </row>
    <row r="1099" spans="1:3" x14ac:dyDescent="0.25">
      <c r="A1099" t="str">
        <f>"04/12/2013"</f>
        <v>04/12/2013</v>
      </c>
      <c r="B1099" t="str">
        <f>"102.61"</f>
        <v>102.61</v>
      </c>
      <c r="C1099" t="str">
        <f>"102.5773"</f>
        <v>102.5773</v>
      </c>
    </row>
    <row r="1100" spans="1:3" x14ac:dyDescent="0.25">
      <c r="A1100" t="str">
        <f>"05/12/2013"</f>
        <v>05/12/2013</v>
      </c>
      <c r="B1100" t="str">
        <f>"102.314"</f>
        <v>102.314</v>
      </c>
      <c r="C1100" t="str">
        <f>"102.281"</f>
        <v>102.281</v>
      </c>
    </row>
    <row r="1101" spans="1:3" x14ac:dyDescent="0.25">
      <c r="A1101" t="str">
        <f>"06/12/2013"</f>
        <v>06/12/2013</v>
      </c>
      <c r="B1101" t="str">
        <f>"101.927"</f>
        <v>101.927</v>
      </c>
      <c r="C1101" t="str">
        <f>"101.8941"</f>
        <v>101.8941</v>
      </c>
    </row>
    <row r="1102" spans="1:3" x14ac:dyDescent="0.25">
      <c r="A1102" t="str">
        <f>"09/12/2013"</f>
        <v>09/12/2013</v>
      </c>
      <c r="B1102" t="str">
        <f>"102.96"</f>
        <v>102.96</v>
      </c>
      <c r="C1102" t="str">
        <f>"102.9245"</f>
        <v>102.9245</v>
      </c>
    </row>
    <row r="1103" spans="1:3" x14ac:dyDescent="0.25">
      <c r="A1103" t="str">
        <f>"10/12/2013"</f>
        <v>10/12/2013</v>
      </c>
      <c r="B1103" t="str">
        <f>"103.279"</f>
        <v>103.279</v>
      </c>
      <c r="C1103" t="str">
        <f>"103.2419"</f>
        <v>103.2419</v>
      </c>
    </row>
    <row r="1104" spans="1:3" x14ac:dyDescent="0.25">
      <c r="A1104" t="str">
        <f>"11/12/2013"</f>
        <v>11/12/2013</v>
      </c>
      <c r="B1104" t="str">
        <f>"102.698"</f>
        <v>102.698</v>
      </c>
      <c r="C1104" t="str">
        <f>"102.6636"</f>
        <v>102.6636</v>
      </c>
    </row>
    <row r="1105" spans="1:3" x14ac:dyDescent="0.25">
      <c r="A1105" t="str">
        <f>"12/12/2013"</f>
        <v>12/12/2013</v>
      </c>
      <c r="B1105" t="str">
        <f>"102.565"</f>
        <v>102.565</v>
      </c>
      <c r="C1105" t="str">
        <f>"102.5347"</f>
        <v>102.5347</v>
      </c>
    </row>
    <row r="1106" spans="1:3" x14ac:dyDescent="0.25">
      <c r="A1106" t="str">
        <f>"13/12/2013"</f>
        <v>13/12/2013</v>
      </c>
      <c r="B1106" t="str">
        <f>"103.848"</f>
        <v>103.848</v>
      </c>
      <c r="C1106" t="str">
        <f>"103.8162"</f>
        <v>103.8162</v>
      </c>
    </row>
    <row r="1107" spans="1:3" x14ac:dyDescent="0.25">
      <c r="A1107" t="str">
        <f>"16/12/2013"</f>
        <v>16/12/2013</v>
      </c>
      <c r="B1107" t="str">
        <f>"102.81"</f>
        <v>102.81</v>
      </c>
      <c r="C1107" t="str">
        <f>"102.7765"</f>
        <v>102.7765</v>
      </c>
    </row>
    <row r="1108" spans="1:3" x14ac:dyDescent="0.25">
      <c r="A1108" t="str">
        <f>"17/12/2013"</f>
        <v>17/12/2013</v>
      </c>
      <c r="B1108" t="str">
        <f>"102.973"</f>
        <v>102.973</v>
      </c>
      <c r="C1108" t="str">
        <f>"102.9408"</f>
        <v>102.9408</v>
      </c>
    </row>
    <row r="1109" spans="1:3" x14ac:dyDescent="0.25">
      <c r="A1109" t="str">
        <f>"18/12/2013"</f>
        <v>18/12/2013</v>
      </c>
      <c r="B1109" t="str">
        <f>"102.967"</f>
        <v>102.967</v>
      </c>
      <c r="C1109" t="str">
        <f>"102.9386"</f>
        <v>102.9386</v>
      </c>
    </row>
    <row r="1110" spans="1:3" x14ac:dyDescent="0.25">
      <c r="A1110" t="str">
        <f>"19/12/2013"</f>
        <v>19/12/2013</v>
      </c>
      <c r="B1110" t="str">
        <f>"104.003"</f>
        <v>104.003</v>
      </c>
      <c r="C1110" t="str">
        <f>"103.9774"</f>
        <v>103.9774</v>
      </c>
    </row>
    <row r="1111" spans="1:3" x14ac:dyDescent="0.25">
      <c r="A1111" t="str">
        <f>"20/12/2013"</f>
        <v>20/12/2013</v>
      </c>
      <c r="B1111" t="str">
        <f>"104.445"</f>
        <v>104.445</v>
      </c>
      <c r="C1111" t="str">
        <f>"104.4217"</f>
        <v>104.4217</v>
      </c>
    </row>
    <row r="1112" spans="1:3" x14ac:dyDescent="0.25">
      <c r="A1112" t="str">
        <f>"23/12/2013"</f>
        <v>23/12/2013</v>
      </c>
      <c r="B1112" t="str">
        <f>"104.06"</f>
        <v>104.06</v>
      </c>
      <c r="C1112" t="str">
        <f>"104.0422"</f>
        <v>104.0422</v>
      </c>
    </row>
    <row r="1113" spans="1:3" x14ac:dyDescent="0.25">
      <c r="A1113" t="str">
        <f>"24/12/2013"</f>
        <v>24/12/2013</v>
      </c>
      <c r="B1113" t="str">
        <f>"104.348"</f>
        <v>104.348</v>
      </c>
      <c r="C1113" t="str">
        <f>"104.3331"</f>
        <v>104.3331</v>
      </c>
    </row>
    <row r="1114" spans="1:3" x14ac:dyDescent="0.25">
      <c r="A1114" t="str">
        <f>"26/12/2013"</f>
        <v>26/12/2013</v>
      </c>
      <c r="B1114" t="str">
        <f>"104.724"</f>
        <v>104.724</v>
      </c>
      <c r="C1114" t="str">
        <f>"104.712"</f>
        <v>104.712</v>
      </c>
    </row>
    <row r="1115" spans="1:3" x14ac:dyDescent="0.25">
      <c r="A1115" t="str">
        <f>"27/12/2013"</f>
        <v>27/12/2013</v>
      </c>
      <c r="B1115" t="str">
        <f>"104.762"</f>
        <v>104.762</v>
      </c>
      <c r="C1115" t="str">
        <f>"104.7489"</f>
        <v>104.7489</v>
      </c>
    </row>
    <row r="1116" spans="1:3" x14ac:dyDescent="0.25">
      <c r="A1116" t="str">
        <f>"30/12/2013"</f>
        <v>30/12/2013</v>
      </c>
      <c r="B1116" t="str">
        <f>"105.307"</f>
        <v>105.307</v>
      </c>
      <c r="C1116" t="str">
        <f>"105.2921"</f>
        <v>105.2921</v>
      </c>
    </row>
    <row r="1117" spans="1:3" x14ac:dyDescent="0.25">
      <c r="A1117" t="str">
        <f>"31/12/2013"</f>
        <v>31/12/2013</v>
      </c>
      <c r="B1117" t="str">
        <f>"104.977"</f>
        <v>104.977</v>
      </c>
      <c r="C1117" t="str">
        <f>"104.9615"</f>
        <v>104.9615</v>
      </c>
    </row>
    <row r="1118" spans="1:3" x14ac:dyDescent="0.25">
      <c r="A1118" t="str">
        <f>"01/01/2014"</f>
        <v>01/01/2014</v>
      </c>
      <c r="B1118" t="str">
        <f>"105.103"</f>
        <v>105.103</v>
      </c>
      <c r="C1118" t="str">
        <f>"105.0874"</f>
        <v>105.0874</v>
      </c>
    </row>
    <row r="1119" spans="1:3" x14ac:dyDescent="0.25">
      <c r="A1119" t="str">
        <f>"02/01/2014"</f>
        <v>02/01/2014</v>
      </c>
      <c r="B1119" t="str">
        <f>"105.298"</f>
        <v>105.298</v>
      </c>
      <c r="C1119" t="str">
        <f>"105.2823"</f>
        <v>105.2823</v>
      </c>
    </row>
    <row r="1120" spans="1:3" x14ac:dyDescent="0.25">
      <c r="A1120" t="str">
        <f>"03/01/2014"</f>
        <v>03/01/2014</v>
      </c>
      <c r="B1120" t="str">
        <f>"104.27"</f>
        <v>104.27</v>
      </c>
      <c r="C1120" t="str">
        <f>"104.2562"</f>
        <v>104.2562</v>
      </c>
    </row>
    <row r="1121" spans="1:3" x14ac:dyDescent="0.25">
      <c r="A1121" t="str">
        <f>"06/01/2014"</f>
        <v>06/01/2014</v>
      </c>
      <c r="B1121" t="str">
        <f>"104.387"</f>
        <v>104.387</v>
      </c>
      <c r="C1121" t="str">
        <f>"104.3724"</f>
        <v>104.3724</v>
      </c>
    </row>
    <row r="1122" spans="1:3" x14ac:dyDescent="0.25">
      <c r="A1122" t="str">
        <f>"07/01/2014"</f>
        <v>07/01/2014</v>
      </c>
      <c r="B1122" t="str">
        <f>"104.455"</f>
        <v>104.455</v>
      </c>
      <c r="C1122" t="str">
        <f>"104.4411"</f>
        <v>104.4411</v>
      </c>
    </row>
    <row r="1123" spans="1:3" x14ac:dyDescent="0.25">
      <c r="A1123" t="str">
        <f>"08/01/2014"</f>
        <v>08/01/2014</v>
      </c>
      <c r="B1123" t="str">
        <f>"104.893"</f>
        <v>104.893</v>
      </c>
      <c r="C1123" t="str">
        <f>"104.8801"</f>
        <v>104.8801</v>
      </c>
    </row>
    <row r="1124" spans="1:3" x14ac:dyDescent="0.25">
      <c r="A1124" t="str">
        <f>"09/01/2014"</f>
        <v>09/01/2014</v>
      </c>
      <c r="B1124" t="str">
        <f>"104.872"</f>
        <v>104.872</v>
      </c>
      <c r="C1124" t="str">
        <f>"104.8585"</f>
        <v>104.8585</v>
      </c>
    </row>
    <row r="1125" spans="1:3" x14ac:dyDescent="0.25">
      <c r="A1125" t="str">
        <f>"10/01/2014"</f>
        <v>10/01/2014</v>
      </c>
      <c r="B1125" t="str">
        <f>"104.903"</f>
        <v>104.903</v>
      </c>
      <c r="C1125" t="str">
        <f>"104.8876"</f>
        <v>104.8876</v>
      </c>
    </row>
    <row r="1126" spans="1:3" x14ac:dyDescent="0.25">
      <c r="A1126" t="str">
        <f>"16/01/2014"</f>
        <v>16/01/2014</v>
      </c>
      <c r="B1126" t="str">
        <f>"104.73"</f>
        <v>104.73</v>
      </c>
      <c r="C1126" t="str">
        <f>"104.7154"</f>
        <v>104.7154</v>
      </c>
    </row>
    <row r="1127" spans="1:3" x14ac:dyDescent="0.25">
      <c r="A1127" t="str">
        <f>"17/01/2014"</f>
        <v>17/01/2014</v>
      </c>
      <c r="B1127" t="str">
        <f>"104.37"</f>
        <v>104.37</v>
      </c>
      <c r="C1127" t="str">
        <f>"104.3555"</f>
        <v>104.3555</v>
      </c>
    </row>
    <row r="1128" spans="1:3" x14ac:dyDescent="0.25">
      <c r="A1128" t="str">
        <f>"20/01/2014"</f>
        <v>20/01/2014</v>
      </c>
      <c r="B1128" t="str">
        <f>"104.049"</f>
        <v>104.049</v>
      </c>
      <c r="C1128" t="str">
        <f>"104.0335"</f>
        <v>104.0335</v>
      </c>
    </row>
    <row r="1129" spans="1:3" x14ac:dyDescent="0.25">
      <c r="A1129" t="str">
        <f>"21/01/2014"</f>
        <v>21/01/2014</v>
      </c>
      <c r="B1129" t="str">
        <f>"104.679"</f>
        <v>104.679</v>
      </c>
      <c r="C1129" t="str">
        <f>"104.6637"</f>
        <v>104.6637</v>
      </c>
    </row>
    <row r="1130" spans="1:3" x14ac:dyDescent="0.25">
      <c r="A1130" t="str">
        <f>"22/01/2014"</f>
        <v>22/01/2014</v>
      </c>
      <c r="B1130" t="str">
        <f>"104.16"</f>
        <v>104.16</v>
      </c>
      <c r="C1130" t="str">
        <f>"104.1459"</f>
        <v>104.1459</v>
      </c>
    </row>
    <row r="1131" spans="1:3" x14ac:dyDescent="0.25">
      <c r="A1131" t="str">
        <f>"23/01/2014"</f>
        <v>23/01/2014</v>
      </c>
      <c r="B1131" t="str">
        <f>"104.295"</f>
        <v>104.295</v>
      </c>
      <c r="C1131" t="str">
        <f>"104.2809"</f>
        <v>104.2809</v>
      </c>
    </row>
    <row r="1132" spans="1:3" x14ac:dyDescent="0.25">
      <c r="A1132" t="str">
        <f>"24/01/2014"</f>
        <v>24/01/2014</v>
      </c>
      <c r="B1132" t="str">
        <f>"103.44"</f>
        <v>103.44</v>
      </c>
      <c r="C1132" t="str">
        <f>"103.4249"</f>
        <v>103.4249</v>
      </c>
    </row>
    <row r="1133" spans="1:3" x14ac:dyDescent="0.25">
      <c r="A1133" t="str">
        <f>"27/01/2014"</f>
        <v>27/01/2014</v>
      </c>
      <c r="B1133" t="str">
        <f>"102.501"</f>
        <v>102.501</v>
      </c>
      <c r="C1133" t="str">
        <f>"102.4858"</f>
        <v>102.4858</v>
      </c>
    </row>
    <row r="1134" spans="1:3" x14ac:dyDescent="0.25">
      <c r="A1134" t="str">
        <f>"28/01/2014"</f>
        <v>28/01/2014</v>
      </c>
      <c r="B1134" t="str">
        <f>"102.698"</f>
        <v>102.698</v>
      </c>
      <c r="C1134" t="str">
        <f>"102.685"</f>
        <v>102.685</v>
      </c>
    </row>
    <row r="1135" spans="1:3" x14ac:dyDescent="0.25">
      <c r="A1135" t="str">
        <f>"29/01/2014"</f>
        <v>29/01/2014</v>
      </c>
      <c r="B1135" t="str">
        <f>"103.26"</f>
        <v>103.26</v>
      </c>
      <c r="C1135" t="str">
        <f>"103.2482"</f>
        <v>103.2482</v>
      </c>
    </row>
    <row r="1136" spans="1:3" x14ac:dyDescent="0.25">
      <c r="A1136" t="str">
        <f>"30/01/2014"</f>
        <v>30/01/2014</v>
      </c>
      <c r="B1136" t="str">
        <f>"102.463"</f>
        <v>102.463</v>
      </c>
      <c r="C1136" t="str">
        <f>"102.4499"</f>
        <v>102.4499</v>
      </c>
    </row>
    <row r="1137" spans="1:3" x14ac:dyDescent="0.25">
      <c r="A1137" t="str">
        <f>"31/01/2014"</f>
        <v>31/01/2014</v>
      </c>
      <c r="B1137" t="str">
        <f>"102.426"</f>
        <v>102.426</v>
      </c>
      <c r="C1137" t="str">
        <f>"102.414"</f>
        <v>102.414</v>
      </c>
    </row>
    <row r="1138" spans="1:3" x14ac:dyDescent="0.25">
      <c r="A1138" t="str">
        <f>"03/02/2014"</f>
        <v>03/02/2014</v>
      </c>
      <c r="B1138" t="str">
        <f>"102.392"</f>
        <v>102.392</v>
      </c>
      <c r="C1138" t="str">
        <f>"102.3789"</f>
        <v>102.3789</v>
      </c>
    </row>
    <row r="1139" spans="1:3" x14ac:dyDescent="0.25">
      <c r="A1139" t="str">
        <f>"04/02/2014"</f>
        <v>04/02/2014</v>
      </c>
      <c r="B1139" t="str">
        <f>"101.281"</f>
        <v>101.281</v>
      </c>
      <c r="C1139" t="str">
        <f>"101.267"</f>
        <v>101.267</v>
      </c>
    </row>
    <row r="1140" spans="1:3" x14ac:dyDescent="0.25">
      <c r="A1140" t="str">
        <f>"05/02/2014"</f>
        <v>05/02/2014</v>
      </c>
      <c r="B1140" t="str">
        <f>"101.425"</f>
        <v>101.425</v>
      </c>
      <c r="C1140" t="str">
        <f>"101.4121"</f>
        <v>101.4121</v>
      </c>
    </row>
    <row r="1141" spans="1:3" x14ac:dyDescent="0.25">
      <c r="A1141" t="str">
        <f>"06/02/2014"</f>
        <v>06/02/2014</v>
      </c>
      <c r="B1141" t="str">
        <f>"101.631"</f>
        <v>101.631</v>
      </c>
      <c r="C1141" t="str">
        <f>"101.6184"</f>
        <v>101.6184</v>
      </c>
    </row>
    <row r="1142" spans="1:3" x14ac:dyDescent="0.25">
      <c r="A1142" t="str">
        <f>"07/02/2014"</f>
        <v>07/02/2014</v>
      </c>
      <c r="B1142" t="str">
        <f>"101.99"</f>
        <v>101.99</v>
      </c>
      <c r="C1142" t="str">
        <f>"101.9773"</f>
        <v>101.9773</v>
      </c>
    </row>
    <row r="1143" spans="1:3" x14ac:dyDescent="0.25">
      <c r="A1143" t="str">
        <f>"10/02/2014"</f>
        <v>10/02/2014</v>
      </c>
      <c r="B1143" t="str">
        <f>"102.408"</f>
        <v>102.408</v>
      </c>
      <c r="C1143" t="str">
        <f>"102.3945"</f>
        <v>102.3945</v>
      </c>
    </row>
    <row r="1144" spans="1:3" x14ac:dyDescent="0.25">
      <c r="A1144" t="str">
        <f>"11/02/2014"</f>
        <v>11/02/2014</v>
      </c>
      <c r="B1144" t="str">
        <f>"102.163"</f>
        <v>102.163</v>
      </c>
      <c r="C1144" t="str">
        <f>"102.1492"</f>
        <v>102.1492</v>
      </c>
    </row>
    <row r="1145" spans="1:3" x14ac:dyDescent="0.25">
      <c r="A1145" t="str">
        <f>"12/02/2014"</f>
        <v>12/02/2014</v>
      </c>
      <c r="B1145" t="str">
        <f>"102.575"</f>
        <v>102.575</v>
      </c>
      <c r="C1145" t="str">
        <f>"102.5614"</f>
        <v>102.5614</v>
      </c>
    </row>
    <row r="1146" spans="1:3" x14ac:dyDescent="0.25">
      <c r="A1146" t="str">
        <f>"13/02/2014"</f>
        <v>13/02/2014</v>
      </c>
      <c r="B1146" t="str">
        <f>"102.173"</f>
        <v>102.173</v>
      </c>
      <c r="C1146" t="str">
        <f>"102.16"</f>
        <v>102.16</v>
      </c>
    </row>
    <row r="1147" spans="1:3" x14ac:dyDescent="0.25">
      <c r="A1147" t="str">
        <f>"14/02/2014"</f>
        <v>14/02/2014</v>
      </c>
      <c r="B1147" t="str">
        <f>"101.777"</f>
        <v>101.777</v>
      </c>
      <c r="C1147" t="str">
        <f>"101.7633"</f>
        <v>101.7633</v>
      </c>
    </row>
    <row r="1148" spans="1:3" x14ac:dyDescent="0.25">
      <c r="A1148" t="str">
        <f>"17/02/2014"</f>
        <v>17/02/2014</v>
      </c>
      <c r="B1148" t="str">
        <f>"101.59"</f>
        <v>101.59</v>
      </c>
      <c r="C1148" t="str">
        <f>"101.5762"</f>
        <v>101.5762</v>
      </c>
    </row>
    <row r="1149" spans="1:3" x14ac:dyDescent="0.25">
      <c r="A1149" t="str">
        <f>"18/02/2014"</f>
        <v>18/02/2014</v>
      </c>
      <c r="B1149" t="str">
        <f>"102.548"</f>
        <v>102.548</v>
      </c>
      <c r="C1149" t="str">
        <f>"102.5338"</f>
        <v>102.5338</v>
      </c>
    </row>
    <row r="1150" spans="1:3" x14ac:dyDescent="0.25">
      <c r="A1150" t="str">
        <f>"19/02/2014"</f>
        <v>19/02/2014</v>
      </c>
      <c r="B1150" t="str">
        <f>"102.238"</f>
        <v>102.238</v>
      </c>
      <c r="C1150" t="str">
        <f>"102.2226"</f>
        <v>102.2226</v>
      </c>
    </row>
    <row r="1151" spans="1:3" x14ac:dyDescent="0.25">
      <c r="A1151" t="str">
        <f>"20/02/2014"</f>
        <v>20/02/2014</v>
      </c>
      <c r="B1151" t="str">
        <f>"101.93"</f>
        <v>101.93</v>
      </c>
      <c r="C1151" t="str">
        <f>"101.9167"</f>
        <v>101.9167</v>
      </c>
    </row>
    <row r="1152" spans="1:3" x14ac:dyDescent="0.25">
      <c r="A1152" t="str">
        <f>"21/02/2014"</f>
        <v>21/02/2014</v>
      </c>
      <c r="B1152" t="str">
        <f>"102.49"</f>
        <v>102.49</v>
      </c>
      <c r="C1152" t="str">
        <f>"102.4761"</f>
        <v>102.4761</v>
      </c>
    </row>
    <row r="1153" spans="1:3" x14ac:dyDescent="0.25">
      <c r="A1153" t="str">
        <f>"24/02/2014"</f>
        <v>24/02/2014</v>
      </c>
      <c r="B1153" t="str">
        <f>"102.211"</f>
        <v>102.211</v>
      </c>
      <c r="C1153" t="str">
        <f>"102.1975"</f>
        <v>102.1975</v>
      </c>
    </row>
    <row r="1154" spans="1:3" x14ac:dyDescent="0.25">
      <c r="A1154" t="str">
        <f>"25/02/2014"</f>
        <v>25/02/2014</v>
      </c>
      <c r="B1154" t="str">
        <f>"102.577"</f>
        <v>102.577</v>
      </c>
      <c r="C1154" t="str">
        <f>"102.5632"</f>
        <v>102.5632</v>
      </c>
    </row>
    <row r="1155" spans="1:3" x14ac:dyDescent="0.25">
      <c r="A1155" t="str">
        <f>"26/02/2014"</f>
        <v>26/02/2014</v>
      </c>
      <c r="B1155" t="str">
        <f>"102.331"</f>
        <v>102.331</v>
      </c>
      <c r="C1155" t="str">
        <f>"102.3159"</f>
        <v>102.3159</v>
      </c>
    </row>
    <row r="1156" spans="1:3" x14ac:dyDescent="0.25">
      <c r="A1156" t="str">
        <f>"28/02/2014"</f>
        <v>28/02/2014</v>
      </c>
      <c r="B1156" t="str">
        <f>"101.792"</f>
        <v>101.792</v>
      </c>
      <c r="C1156" t="str">
        <f>"101.7768"</f>
        <v>101.7768</v>
      </c>
    </row>
    <row r="1157" spans="1:3" x14ac:dyDescent="0.25">
      <c r="A1157" t="str">
        <f>"03/03/2014"</f>
        <v>03/03/2014</v>
      </c>
      <c r="B1157" t="str">
        <f>"101.388"</f>
        <v>101.388</v>
      </c>
      <c r="C1157" t="str">
        <f>"101.3713"</f>
        <v>101.3713</v>
      </c>
    </row>
    <row r="1158" spans="1:3" x14ac:dyDescent="0.25">
      <c r="A1158" t="str">
        <f>"04/03/2014"</f>
        <v>04/03/2014</v>
      </c>
      <c r="B1158" t="str">
        <f>"101.694"</f>
        <v>101.694</v>
      </c>
      <c r="C1158" t="str">
        <f>"101.678"</f>
        <v>101.678</v>
      </c>
    </row>
    <row r="1159" spans="1:3" x14ac:dyDescent="0.25">
      <c r="A1159" t="str">
        <f>"05/03/2014"</f>
        <v>05/03/2014</v>
      </c>
      <c r="B1159" t="str">
        <f>"102.237"</f>
        <v>102.237</v>
      </c>
      <c r="C1159" t="str">
        <f>"102.2219"</f>
        <v>102.2219</v>
      </c>
    </row>
    <row r="1160" spans="1:3" x14ac:dyDescent="0.25">
      <c r="A1160" t="str">
        <f>"06/03/2014"</f>
        <v>06/03/2014</v>
      </c>
      <c r="B1160" t="str">
        <f>"102.659"</f>
        <v>102.659</v>
      </c>
      <c r="C1160" t="str">
        <f>"102.6442"</f>
        <v>102.6442</v>
      </c>
    </row>
    <row r="1161" spans="1:3" x14ac:dyDescent="0.25">
      <c r="A1161" t="str">
        <f>"07/03/2014"</f>
        <v>07/03/2014</v>
      </c>
      <c r="B1161" t="str">
        <f>"102.949"</f>
        <v>102.949</v>
      </c>
      <c r="C1161" t="str">
        <f>"102.9344"</f>
        <v>102.9344</v>
      </c>
    </row>
    <row r="1162" spans="1:3" x14ac:dyDescent="0.25">
      <c r="A1162" t="str">
        <f>"10/03/2014"</f>
        <v>10/03/2014</v>
      </c>
      <c r="B1162" t="str">
        <f>"103.073"</f>
        <v>103.073</v>
      </c>
      <c r="C1162" t="str">
        <f>"103.0562"</f>
        <v>103.0562</v>
      </c>
    </row>
    <row r="1163" spans="1:3" x14ac:dyDescent="0.25">
      <c r="A1163" t="str">
        <f>"11/03/2014"</f>
        <v>11/03/2014</v>
      </c>
      <c r="B1163" t="str">
        <f>"103.236"</f>
        <v>103.236</v>
      </c>
      <c r="C1163" t="str">
        <f>"103.22"</f>
        <v>103.22</v>
      </c>
    </row>
    <row r="1164" spans="1:3" x14ac:dyDescent="0.25">
      <c r="A1164" t="str">
        <f>"12/03/2014"</f>
        <v>12/03/2014</v>
      </c>
      <c r="B1164" t="str">
        <f>"103.023"</f>
        <v>103.023</v>
      </c>
      <c r="C1164" t="str">
        <f>"103.0075"</f>
        <v>103.0075</v>
      </c>
    </row>
    <row r="1165" spans="1:3" x14ac:dyDescent="0.25">
      <c r="A1165" t="str">
        <f>"13/03/2014"</f>
        <v>13/03/2014</v>
      </c>
      <c r="B1165" t="str">
        <f>"102.758"</f>
        <v>102.758</v>
      </c>
      <c r="C1165" t="str">
        <f>"102.743"</f>
        <v>102.743</v>
      </c>
    </row>
    <row r="1166" spans="1:3" x14ac:dyDescent="0.25">
      <c r="A1166" t="str">
        <f>"14/03/2014"</f>
        <v>14/03/2014</v>
      </c>
      <c r="B1166" t="str">
        <f>"101.708"</f>
        <v>101.708</v>
      </c>
      <c r="C1166" t="str">
        <f>"101.6926"</f>
        <v>101.6926</v>
      </c>
    </row>
    <row r="1167" spans="1:3" x14ac:dyDescent="0.25">
      <c r="A1167" t="str">
        <f>"18/03/2014"</f>
        <v>18/03/2014</v>
      </c>
      <c r="B1167" t="str">
        <f>"101.803"</f>
        <v>101.803</v>
      </c>
      <c r="C1167" t="str">
        <f>"101.7864"</f>
        <v>101.7864</v>
      </c>
    </row>
    <row r="1168" spans="1:3" x14ac:dyDescent="0.25">
      <c r="A1168" t="str">
        <f>"19/03/2014"</f>
        <v>19/03/2014</v>
      </c>
      <c r="B1168" t="str">
        <f>"101.506"</f>
        <v>101.506</v>
      </c>
      <c r="C1168" t="str">
        <f>"101.49"</f>
        <v>101.49</v>
      </c>
    </row>
    <row r="1169" spans="1:3" x14ac:dyDescent="0.25">
      <c r="A1169" t="str">
        <f>"20/03/2014"</f>
        <v>20/03/2014</v>
      </c>
      <c r="B1169" t="str">
        <f>"102.273"</f>
        <v>102.273</v>
      </c>
      <c r="C1169" t="str">
        <f>"102.256"</f>
        <v>102.256</v>
      </c>
    </row>
    <row r="1170" spans="1:3" x14ac:dyDescent="0.25">
      <c r="A1170" t="str">
        <f>"21/03/2014"</f>
        <v>21/03/2014</v>
      </c>
      <c r="B1170" t="str">
        <f>"102.356"</f>
        <v>102.356</v>
      </c>
      <c r="C1170" t="str">
        <f>"102.3395"</f>
        <v>102.3395</v>
      </c>
    </row>
    <row r="1171" spans="1:3" x14ac:dyDescent="0.25">
      <c r="A1171" t="str">
        <f>"24/03/2014"</f>
        <v>24/03/2014</v>
      </c>
      <c r="B1171" t="str">
        <f>"0.00"</f>
        <v>0.00</v>
      </c>
      <c r="C1171" t="str">
        <f>"0.00"</f>
        <v>0.00</v>
      </c>
    </row>
    <row r="1172" spans="1:3" x14ac:dyDescent="0.25">
      <c r="A1172" t="str">
        <f>"25/03/2014"</f>
        <v>25/03/2014</v>
      </c>
      <c r="B1172" t="str">
        <f>"102.336"</f>
        <v>102.336</v>
      </c>
      <c r="C1172" t="str">
        <f>"102.3181"</f>
        <v>102.3181</v>
      </c>
    </row>
    <row r="1173" spans="1:3" x14ac:dyDescent="0.25">
      <c r="A1173" t="str">
        <f>"26/03/2014"</f>
        <v>26/03/2014</v>
      </c>
      <c r="B1173" t="str">
        <f>"102.271"</f>
        <v>102.271</v>
      </c>
      <c r="C1173" t="str">
        <f>"102.2525"</f>
        <v>102.2525</v>
      </c>
    </row>
    <row r="1174" spans="1:3" x14ac:dyDescent="0.25">
      <c r="A1174" t="str">
        <f>"27/03/2014"</f>
        <v>27/03/2014</v>
      </c>
      <c r="B1174" t="str">
        <f>"102.162"</f>
        <v>102.162</v>
      </c>
      <c r="C1174" t="str">
        <f>"102.1438"</f>
        <v>102.1438</v>
      </c>
    </row>
    <row r="1175" spans="1:3" x14ac:dyDescent="0.25">
      <c r="A1175" t="str">
        <f>"28/03/2014"</f>
        <v>28/03/2014</v>
      </c>
      <c r="B1175" t="str">
        <f>"102.165"</f>
        <v>102.165</v>
      </c>
      <c r="C1175" t="str">
        <f>"102.1494"</f>
        <v>102.1494</v>
      </c>
    </row>
    <row r="1176" spans="1:3" x14ac:dyDescent="0.25">
      <c r="A1176" t="str">
        <f>"02/04/2014"</f>
        <v>02/04/2014</v>
      </c>
      <c r="B1176" t="str">
        <f>"103.865"</f>
        <v>103.865</v>
      </c>
      <c r="C1176" t="str">
        <f>"103.8496"</f>
        <v>103.8496</v>
      </c>
    </row>
    <row r="1177" spans="1:3" x14ac:dyDescent="0.25">
      <c r="A1177" t="str">
        <f>"03/04/2014"</f>
        <v>03/04/2014</v>
      </c>
      <c r="B1177" t="str">
        <f>"103.967"</f>
        <v>103.967</v>
      </c>
      <c r="C1177" t="str">
        <f>"103.9527"</f>
        <v>103.9527</v>
      </c>
    </row>
    <row r="1178" spans="1:3" x14ac:dyDescent="0.25">
      <c r="A1178" t="str">
        <f>"04/04/2014"</f>
        <v>04/04/2014</v>
      </c>
      <c r="B1178" t="str">
        <f>"103.921"</f>
        <v>103.921</v>
      </c>
      <c r="C1178" t="str">
        <f>"103.9061"</f>
        <v>103.9061</v>
      </c>
    </row>
    <row r="1179" spans="1:3" x14ac:dyDescent="0.25">
      <c r="A1179" t="str">
        <f>"07/04/2014"</f>
        <v>07/04/2014</v>
      </c>
      <c r="B1179" t="str">
        <f>"103.253"</f>
        <v>103.253</v>
      </c>
      <c r="C1179" t="str">
        <f>"103.2373"</f>
        <v>103.2373</v>
      </c>
    </row>
    <row r="1180" spans="1:3" x14ac:dyDescent="0.25">
      <c r="A1180" t="str">
        <f>"09/04/2014"</f>
        <v>09/04/2014</v>
      </c>
      <c r="B1180" t="str">
        <f>"101.98"</f>
        <v>101.98</v>
      </c>
      <c r="C1180" t="str">
        <f>"101.9635"</f>
        <v>101.9635</v>
      </c>
    </row>
    <row r="1181" spans="1:3" x14ac:dyDescent="0.25">
      <c r="A1181" t="str">
        <f>"10/04/2014"</f>
        <v>10/04/2014</v>
      </c>
      <c r="B1181" t="str">
        <f>"101.683"</f>
        <v>101.683</v>
      </c>
      <c r="C1181" t="str">
        <f>"101.6676"</f>
        <v>101.6676</v>
      </c>
    </row>
    <row r="1182" spans="1:3" x14ac:dyDescent="0.25">
      <c r="A1182" t="str">
        <f>"11/04/2014"</f>
        <v>11/04/2014</v>
      </c>
      <c r="B1182" t="str">
        <f>"101.633"</f>
        <v>101.633</v>
      </c>
      <c r="C1182" t="str">
        <f>"101.6174"</f>
        <v>101.6174</v>
      </c>
    </row>
    <row r="1183" spans="1:3" x14ac:dyDescent="0.25">
      <c r="A1183" t="str">
        <f>"15/04/2014"</f>
        <v>15/04/2014</v>
      </c>
      <c r="B1183" t="str">
        <f>"101.906"</f>
        <v>101.906</v>
      </c>
      <c r="C1183" t="str">
        <f>"101.8868"</f>
        <v>101.8868</v>
      </c>
    </row>
    <row r="1184" spans="1:3" x14ac:dyDescent="0.25">
      <c r="A1184" t="str">
        <f>"16/04/2014"</f>
        <v>16/04/2014</v>
      </c>
      <c r="B1184" t="str">
        <f>"102.183"</f>
        <v>102.183</v>
      </c>
      <c r="C1184" t="str">
        <f>"102.1659"</f>
        <v>102.1659</v>
      </c>
    </row>
    <row r="1185" spans="1:3" x14ac:dyDescent="0.25">
      <c r="A1185" t="str">
        <f>"17/04/2014"</f>
        <v>17/04/2014</v>
      </c>
      <c r="B1185" t="str">
        <f>"102.007"</f>
        <v>102.007</v>
      </c>
      <c r="C1185" t="str">
        <f>"101.9919"</f>
        <v>101.9919</v>
      </c>
    </row>
    <row r="1186" spans="1:3" x14ac:dyDescent="0.25">
      <c r="A1186" t="str">
        <f>"21/04/2014"</f>
        <v>21/04/2014</v>
      </c>
      <c r="B1186" t="str">
        <f>"102.564"</f>
        <v>102.564</v>
      </c>
      <c r="C1186" t="str">
        <f>"102.5484"</f>
        <v>102.5484</v>
      </c>
    </row>
    <row r="1187" spans="1:3" x14ac:dyDescent="0.25">
      <c r="A1187" t="str">
        <f>"22/04/2014"</f>
        <v>22/04/2014</v>
      </c>
      <c r="B1187" t="str">
        <f>"102.642"</f>
        <v>102.642</v>
      </c>
      <c r="C1187" t="str">
        <f>"102.6242"</f>
        <v>102.6242</v>
      </c>
    </row>
    <row r="1188" spans="1:3" x14ac:dyDescent="0.25">
      <c r="A1188" t="str">
        <f>"23/04/2014"</f>
        <v>23/04/2014</v>
      </c>
      <c r="B1188" t="str">
        <f>"102.555"</f>
        <v>102.555</v>
      </c>
      <c r="C1188" t="str">
        <f>"102.5382"</f>
        <v>102.5382</v>
      </c>
    </row>
    <row r="1189" spans="1:3" x14ac:dyDescent="0.25">
      <c r="A1189" t="str">
        <f>"25/04/2014"</f>
        <v>25/04/2014</v>
      </c>
      <c r="B1189" t="str">
        <f>"102.329"</f>
        <v>102.329</v>
      </c>
      <c r="C1189" t="str">
        <f>"102.3124"</f>
        <v>102.3124</v>
      </c>
    </row>
    <row r="1190" spans="1:3" x14ac:dyDescent="0.25">
      <c r="A1190" t="str">
        <f>"28/04/2014"</f>
        <v>28/04/2014</v>
      </c>
      <c r="B1190" t="str">
        <f>"102.242"</f>
        <v>102.242</v>
      </c>
      <c r="C1190" t="str">
        <f>"102.2228"</f>
        <v>102.2228</v>
      </c>
    </row>
    <row r="1191" spans="1:3" x14ac:dyDescent="0.25">
      <c r="A1191" t="str">
        <f>"29/04/2014"</f>
        <v>29/04/2014</v>
      </c>
      <c r="B1191" t="str">
        <f>"102.488"</f>
        <v>102.488</v>
      </c>
      <c r="C1191" t="str">
        <f>"102.4692"</f>
        <v>102.4692</v>
      </c>
    </row>
    <row r="1192" spans="1:3" x14ac:dyDescent="0.25">
      <c r="A1192" t="str">
        <f>"30/04/2014"</f>
        <v>30/04/2014</v>
      </c>
      <c r="B1192" t="str">
        <f>"102.385"</f>
        <v>102.385</v>
      </c>
      <c r="C1192" t="str">
        <f>"102.3657"</f>
        <v>102.3657</v>
      </c>
    </row>
    <row r="1193" spans="1:3" x14ac:dyDescent="0.25">
      <c r="A1193" t="str">
        <f>"02/05/2014"</f>
        <v>02/05/2014</v>
      </c>
      <c r="B1193" t="str">
        <f>"102.36"</f>
        <v>102.36</v>
      </c>
      <c r="C1193" t="str">
        <f>"102.3413"</f>
        <v>102.3413</v>
      </c>
    </row>
    <row r="1194" spans="1:3" x14ac:dyDescent="0.25">
      <c r="A1194" t="str">
        <f>"05/05/2014"</f>
        <v>05/05/2014</v>
      </c>
      <c r="B1194" t="str">
        <f>"101.942"</f>
        <v>101.942</v>
      </c>
      <c r="C1194" t="str">
        <f>"101.923"</f>
        <v>101.923</v>
      </c>
    </row>
    <row r="1195" spans="1:3" x14ac:dyDescent="0.25">
      <c r="A1195" t="str">
        <f>"06/05/2014"</f>
        <v>06/05/2014</v>
      </c>
      <c r="B1195" t="str">
        <f>"102.043"</f>
        <v>102.043</v>
      </c>
      <c r="C1195" t="str">
        <f>"102.0244"</f>
        <v>102.0244</v>
      </c>
    </row>
    <row r="1196" spans="1:3" x14ac:dyDescent="0.25">
      <c r="A1196" t="str">
        <f>"07/05/2014"</f>
        <v>07/05/2014</v>
      </c>
      <c r="B1196" t="str">
        <f>"101.61"</f>
        <v>101.61</v>
      </c>
      <c r="C1196" t="str">
        <f>"101.5909"</f>
        <v>101.5909</v>
      </c>
    </row>
    <row r="1197" spans="1:3" x14ac:dyDescent="0.25">
      <c r="A1197" t="str">
        <f>"08/05/2014"</f>
        <v>08/05/2014</v>
      </c>
      <c r="B1197" t="str">
        <f>"101.838"</f>
        <v>101.838</v>
      </c>
      <c r="C1197" t="str">
        <f>"101.8198"</f>
        <v>101.8198</v>
      </c>
    </row>
    <row r="1198" spans="1:3" x14ac:dyDescent="0.25">
      <c r="A1198" t="str">
        <f>"09/05/2014"</f>
        <v>09/05/2014</v>
      </c>
      <c r="B1198" t="str">
        <f>"101.687"</f>
        <v>101.687</v>
      </c>
      <c r="C1198" t="str">
        <f>"101.6689"</f>
        <v>101.6689</v>
      </c>
    </row>
    <row r="1199" spans="1:3" x14ac:dyDescent="0.25">
      <c r="A1199" t="str">
        <f>"12/05/2014"</f>
        <v>12/05/2014</v>
      </c>
      <c r="B1199" t="str">
        <f>"101.966"</f>
        <v>101.966</v>
      </c>
      <c r="C1199" t="str">
        <f>"101.9462"</f>
        <v>101.9462</v>
      </c>
    </row>
    <row r="1200" spans="1:3" x14ac:dyDescent="0.25">
      <c r="A1200" t="str">
        <f>"13/05/2014"</f>
        <v>13/05/2014</v>
      </c>
      <c r="B1200" t="str">
        <f>"102.321"</f>
        <v>102.321</v>
      </c>
      <c r="C1200" t="str">
        <f>"102.3018"</f>
        <v>102.3018</v>
      </c>
    </row>
    <row r="1201" spans="1:3" x14ac:dyDescent="0.25">
      <c r="A1201" t="str">
        <f>"15/05/2014"</f>
        <v>15/05/2014</v>
      </c>
      <c r="B1201" t="str">
        <f>"101.836"</f>
        <v>101.836</v>
      </c>
      <c r="C1201" t="str">
        <f>"101.8165"</f>
        <v>101.8165</v>
      </c>
    </row>
    <row r="1202" spans="1:3" x14ac:dyDescent="0.25">
      <c r="A1202" t="str">
        <f>"16/05/2014"</f>
        <v>16/05/2014</v>
      </c>
      <c r="B1202" t="str">
        <f>"101.453"</f>
        <v>101.453</v>
      </c>
      <c r="C1202" t="str">
        <f>"101.4336"</f>
        <v>101.4336</v>
      </c>
    </row>
    <row r="1203" spans="1:3" x14ac:dyDescent="0.25">
      <c r="A1203" t="str">
        <f>"19/05/2014"</f>
        <v>19/05/2014</v>
      </c>
      <c r="B1203" t="str">
        <f>"101.473"</f>
        <v>101.473</v>
      </c>
      <c r="C1203" t="str">
        <f>"101.4512"</f>
        <v>101.4512</v>
      </c>
    </row>
    <row r="1204" spans="1:3" x14ac:dyDescent="0.25">
      <c r="A1204" t="str">
        <f>"20/05/2014"</f>
        <v>20/05/2014</v>
      </c>
      <c r="B1204" t="str">
        <f>"101.376"</f>
        <v>101.376</v>
      </c>
      <c r="C1204" t="str">
        <f>"101.3569"</f>
        <v>101.3569</v>
      </c>
    </row>
    <row r="1205" spans="1:3" x14ac:dyDescent="0.25">
      <c r="A1205" t="str">
        <f>"21/05/2014"</f>
        <v>21/05/2014</v>
      </c>
      <c r="B1205" t="str">
        <f>"101.178"</f>
        <v>101.178</v>
      </c>
      <c r="C1205" t="str">
        <f>"101.16"</f>
        <v>101.16</v>
      </c>
    </row>
    <row r="1206" spans="1:3" x14ac:dyDescent="0.25">
      <c r="A1206" t="str">
        <f>"22/05/2014"</f>
        <v>22/05/2014</v>
      </c>
      <c r="B1206" t="str">
        <f>"101.697"</f>
        <v>101.697</v>
      </c>
      <c r="C1206" t="str">
        <f>"101.6795"</f>
        <v>101.6795</v>
      </c>
    </row>
    <row r="1207" spans="1:3" x14ac:dyDescent="0.25">
      <c r="A1207" t="str">
        <f>"23/05/2014"</f>
        <v>23/05/2014</v>
      </c>
      <c r="B1207" t="str">
        <f>"101.752"</f>
        <v>101.752</v>
      </c>
      <c r="C1207" t="str">
        <f>"101.7328"</f>
        <v>101.7328</v>
      </c>
    </row>
    <row r="1208" spans="1:3" x14ac:dyDescent="0.25">
      <c r="A1208" t="str">
        <f>"26/05/2014"</f>
        <v>26/05/2014</v>
      </c>
      <c r="B1208" t="str">
        <f>"101.93"</f>
        <v>101.93</v>
      </c>
      <c r="C1208" t="str">
        <f>"101.908"</f>
        <v>101.908</v>
      </c>
    </row>
    <row r="1209" spans="1:3" x14ac:dyDescent="0.25">
      <c r="A1209" t="str">
        <f>"27/05/2014"</f>
        <v>27/05/2014</v>
      </c>
      <c r="B1209" t="str">
        <f>"101.964"</f>
        <v>101.964</v>
      </c>
      <c r="C1209" t="str">
        <f>"101.9446"</f>
        <v>101.9446</v>
      </c>
    </row>
    <row r="1210" spans="1:3" x14ac:dyDescent="0.25">
      <c r="A1210" t="str">
        <f>"28/05/2014"</f>
        <v>28/05/2014</v>
      </c>
      <c r="B1210" t="str">
        <f>"101.95"</f>
        <v>101.95</v>
      </c>
      <c r="C1210" t="str">
        <f>"101.9318"</f>
        <v>101.9318</v>
      </c>
    </row>
    <row r="1211" spans="1:3" x14ac:dyDescent="0.25">
      <c r="A1211" t="str">
        <f>"29/05/2014"</f>
        <v>29/05/2014</v>
      </c>
      <c r="B1211" t="str">
        <f>"101.739"</f>
        <v>101.739</v>
      </c>
      <c r="C1211" t="str">
        <f>"101.7207"</f>
        <v>101.7207</v>
      </c>
    </row>
    <row r="1212" spans="1:3" x14ac:dyDescent="0.25">
      <c r="A1212" t="str">
        <f>"30/05/2014"</f>
        <v>30/05/2014</v>
      </c>
      <c r="B1212" t="str">
        <f>"101.63"</f>
        <v>101.63</v>
      </c>
      <c r="C1212" t="str">
        <f>"101.6123"</f>
        <v>101.6123</v>
      </c>
    </row>
    <row r="1213" spans="1:3" x14ac:dyDescent="0.25">
      <c r="A1213" t="str">
        <f>"02/06/2014"</f>
        <v>02/06/2014</v>
      </c>
      <c r="B1213" t="str">
        <f>"102.043"</f>
        <v>102.043</v>
      </c>
      <c r="C1213" t="str">
        <f>"102.0227"</f>
        <v>102.0227</v>
      </c>
    </row>
    <row r="1214" spans="1:3" x14ac:dyDescent="0.25">
      <c r="A1214" t="str">
        <f>"03/06/2014"</f>
        <v>03/06/2014</v>
      </c>
      <c r="B1214" t="str">
        <f>"102.387"</f>
        <v>102.387</v>
      </c>
      <c r="C1214" t="str">
        <f>"102.3676"</f>
        <v>102.3676</v>
      </c>
    </row>
    <row r="1215" spans="1:3" x14ac:dyDescent="0.25">
      <c r="A1215" t="str">
        <f>"04/06/2014"</f>
        <v>04/06/2014</v>
      </c>
      <c r="B1215" t="str">
        <f>"102.695"</f>
        <v>102.695</v>
      </c>
      <c r="C1215" t="str">
        <f>"102.6757"</f>
        <v>102.6757</v>
      </c>
    </row>
    <row r="1216" spans="1:3" x14ac:dyDescent="0.25">
      <c r="A1216" t="str">
        <f>"05/06/2014"</f>
        <v>05/06/2014</v>
      </c>
      <c r="B1216" t="str">
        <f>"102.484"</f>
        <v>102.484</v>
      </c>
      <c r="C1216" t="str">
        <f>"102.4653"</f>
        <v>102.4653</v>
      </c>
    </row>
    <row r="1217" spans="1:3" x14ac:dyDescent="0.25">
      <c r="A1217" t="str">
        <f>"06/06/2014"</f>
        <v>06/06/2014</v>
      </c>
      <c r="B1217" t="str">
        <f>"102.349"</f>
        <v>102.349</v>
      </c>
      <c r="C1217" t="str">
        <f>"102.331"</f>
        <v>102.331</v>
      </c>
    </row>
    <row r="1218" spans="1:3" x14ac:dyDescent="0.25">
      <c r="A1218" t="str">
        <f>"09/06/2014"</f>
        <v>09/06/2014</v>
      </c>
      <c r="B1218" t="str">
        <f>"102.519"</f>
        <v>102.519</v>
      </c>
      <c r="C1218" t="str">
        <f>"102.5001"</f>
        <v>102.5001</v>
      </c>
    </row>
    <row r="1219" spans="1:3" x14ac:dyDescent="0.25">
      <c r="A1219" t="str">
        <f>"10/06/2014"</f>
        <v>10/06/2014</v>
      </c>
      <c r="B1219" t="str">
        <f>"102.352"</f>
        <v>102.352</v>
      </c>
      <c r="C1219" t="str">
        <f>"102.3321"</f>
        <v>102.3321</v>
      </c>
    </row>
    <row r="1220" spans="1:3" x14ac:dyDescent="0.25">
      <c r="A1220" t="str">
        <f>"11/06/2014"</f>
        <v>11/06/2014</v>
      </c>
      <c r="B1220" t="str">
        <f>"102.274"</f>
        <v>102.274</v>
      </c>
      <c r="C1220" t="str">
        <f>"102.2555"</f>
        <v>102.2555</v>
      </c>
    </row>
    <row r="1221" spans="1:3" x14ac:dyDescent="0.25">
      <c r="A1221" t="str">
        <f>"12/06/2014"</f>
        <v>12/06/2014</v>
      </c>
      <c r="B1221" t="str">
        <f>"102.086"</f>
        <v>102.086</v>
      </c>
      <c r="C1221" t="str">
        <f>"102.0685"</f>
        <v>102.0685</v>
      </c>
    </row>
    <row r="1222" spans="1:3" x14ac:dyDescent="0.25">
      <c r="A1222" t="str">
        <f>"13/06/2014"</f>
        <v>13/06/2014</v>
      </c>
      <c r="B1222" t="str">
        <f>"101.922"</f>
        <v>101.922</v>
      </c>
      <c r="C1222" t="str">
        <f>"101.9047"</f>
        <v>101.9047</v>
      </c>
    </row>
    <row r="1223" spans="1:3" x14ac:dyDescent="0.25">
      <c r="A1223" t="str">
        <f>"16/06/2014"</f>
        <v>16/06/2014</v>
      </c>
      <c r="B1223" t="str">
        <f>"101.789"</f>
        <v>101.789</v>
      </c>
      <c r="C1223" t="str">
        <f>"101.771"</f>
        <v>101.771</v>
      </c>
    </row>
    <row r="1224" spans="1:3" x14ac:dyDescent="0.25">
      <c r="A1224" t="str">
        <f>"17/06/2014"</f>
        <v>17/06/2014</v>
      </c>
      <c r="B1224" t="str">
        <f>"101.971"</f>
        <v>101.971</v>
      </c>
      <c r="C1224" t="str">
        <f>"101.9515"</f>
        <v>101.9515</v>
      </c>
    </row>
    <row r="1225" spans="1:3" x14ac:dyDescent="0.25">
      <c r="A1225" t="str">
        <f>"18/06/2014"</f>
        <v>18/06/2014</v>
      </c>
      <c r="B1225" t="str">
        <f>"102.254"</f>
        <v>102.254</v>
      </c>
      <c r="C1225" t="str">
        <f>"102.2352"</f>
        <v>102.2352</v>
      </c>
    </row>
    <row r="1226" spans="1:3" x14ac:dyDescent="0.25">
      <c r="A1226" t="str">
        <f>"19/06/2014"</f>
        <v>19/06/2014</v>
      </c>
      <c r="B1226" t="str">
        <f>"101.887"</f>
        <v>101.887</v>
      </c>
      <c r="C1226" t="str">
        <f>"101.8688"</f>
        <v>101.8688</v>
      </c>
    </row>
    <row r="1227" spans="1:3" x14ac:dyDescent="0.25">
      <c r="A1227" t="str">
        <f>"20/06/2014"</f>
        <v>20/06/2014</v>
      </c>
      <c r="B1227" t="str">
        <f>"101.868"</f>
        <v>101.868</v>
      </c>
      <c r="C1227" t="str">
        <f>"101.8507"</f>
        <v>101.8507</v>
      </c>
    </row>
    <row r="1228" spans="1:3" x14ac:dyDescent="0.25">
      <c r="A1228" t="str">
        <f>"23/06/2014"</f>
        <v>23/06/2014</v>
      </c>
      <c r="B1228" t="str">
        <f>"101.928"</f>
        <v>101.928</v>
      </c>
      <c r="C1228" t="str">
        <f>"101.9093"</f>
        <v>101.9093</v>
      </c>
    </row>
    <row r="1229" spans="1:3" x14ac:dyDescent="0.25">
      <c r="A1229" t="str">
        <f>"24/06/2014"</f>
        <v>24/06/2014</v>
      </c>
      <c r="B1229" t="str">
        <f>"101.906"</f>
        <v>101.906</v>
      </c>
      <c r="C1229" t="str">
        <f>"101.8857"</f>
        <v>101.8857</v>
      </c>
    </row>
    <row r="1230" spans="1:3" x14ac:dyDescent="0.25">
      <c r="A1230" t="str">
        <f>"25/06/2014"</f>
        <v>25/06/2014</v>
      </c>
      <c r="B1230" t="str">
        <f>"101.924"</f>
        <v>101.924</v>
      </c>
      <c r="C1230" t="str">
        <f>"101.9048"</f>
        <v>101.9048</v>
      </c>
    </row>
    <row r="1231" spans="1:3" x14ac:dyDescent="0.25">
      <c r="A1231" t="str">
        <f>"26/06/2014"</f>
        <v>26/06/2014</v>
      </c>
      <c r="B1231" t="str">
        <f>"101.755"</f>
        <v>101.755</v>
      </c>
      <c r="C1231" t="str">
        <f>"101.7353"</f>
        <v>101.7353</v>
      </c>
    </row>
    <row r="1232" spans="1:3" x14ac:dyDescent="0.25">
      <c r="A1232" t="str">
        <f>"27/06/2014"</f>
        <v>27/06/2014</v>
      </c>
      <c r="B1232" t="str">
        <f>"101.42"</f>
        <v>101.42</v>
      </c>
      <c r="C1232" t="str">
        <f>"101.4011"</f>
        <v>101.4011</v>
      </c>
    </row>
    <row r="1233" spans="1:3" x14ac:dyDescent="0.25">
      <c r="A1233" t="str">
        <f>"30/06/2014"</f>
        <v>30/06/2014</v>
      </c>
      <c r="B1233" t="str">
        <f>"101.324"</f>
        <v>101.324</v>
      </c>
      <c r="C1233" t="str">
        <f>"101.3031"</f>
        <v>101.3031</v>
      </c>
    </row>
    <row r="1234" spans="1:3" x14ac:dyDescent="0.25">
      <c r="A1234" t="str">
        <f>"01/07/2014"</f>
        <v>01/07/2014</v>
      </c>
      <c r="B1234" t="str">
        <f>"101.424"</f>
        <v>101.424</v>
      </c>
      <c r="C1234" t="str">
        <f>"101.3992"</f>
        <v>101.3992</v>
      </c>
    </row>
    <row r="1235" spans="1:3" x14ac:dyDescent="0.25">
      <c r="A1235" t="str">
        <f>"02/07/2014"</f>
        <v>02/07/2014</v>
      </c>
      <c r="B1235" t="str">
        <f>"101.60"</f>
        <v>101.60</v>
      </c>
      <c r="C1235" t="str">
        <f>"101.5772"</f>
        <v>101.5772</v>
      </c>
    </row>
    <row r="1236" spans="1:3" x14ac:dyDescent="0.25">
      <c r="A1236" t="str">
        <f>"03/07/2014"</f>
        <v>03/07/2014</v>
      </c>
      <c r="B1236" t="str">
        <f>"101.87"</f>
        <v>101.87</v>
      </c>
      <c r="C1236" t="str">
        <f>"101.8512"</f>
        <v>101.8512</v>
      </c>
    </row>
    <row r="1237" spans="1:3" x14ac:dyDescent="0.25">
      <c r="A1237" t="str">
        <f>"04/07/2014"</f>
        <v>04/07/2014</v>
      </c>
      <c r="B1237" t="str">
        <f>"102.09"</f>
        <v>102.09</v>
      </c>
      <c r="C1237" t="str">
        <f>"102.0702"</f>
        <v>102.0702</v>
      </c>
    </row>
    <row r="1238" spans="1:3" x14ac:dyDescent="0.25">
      <c r="A1238" t="str">
        <f>"07/07/2014"</f>
        <v>07/07/2014</v>
      </c>
      <c r="B1238" t="str">
        <f>"102.136"</f>
        <v>102.136</v>
      </c>
      <c r="C1238" t="str">
        <f>"102.1151"</f>
        <v>102.1151</v>
      </c>
    </row>
    <row r="1239" spans="1:3" x14ac:dyDescent="0.25">
      <c r="A1239" t="str">
        <f>"08/07/2014"</f>
        <v>08/07/2014</v>
      </c>
      <c r="B1239" t="str">
        <f>"101.773"</f>
        <v>101.773</v>
      </c>
      <c r="C1239" t="str">
        <f>"101.7551"</f>
        <v>101.7551</v>
      </c>
    </row>
    <row r="1240" spans="1:3" x14ac:dyDescent="0.25">
      <c r="A1240" t="str">
        <f>"09/07/2014"</f>
        <v>09/07/2014</v>
      </c>
      <c r="B1240" t="str">
        <f>"101.62"</f>
        <v>101.62</v>
      </c>
      <c r="C1240" t="str">
        <f>"101.6022"</f>
        <v>101.6022</v>
      </c>
    </row>
    <row r="1241" spans="1:3" x14ac:dyDescent="0.25">
      <c r="A1241" t="str">
        <f>"10/07/2014"</f>
        <v>10/07/2014</v>
      </c>
      <c r="B1241" t="str">
        <f>"101.536"</f>
        <v>101.536</v>
      </c>
      <c r="C1241" t="str">
        <f>"101.5179"</f>
        <v>101.5179</v>
      </c>
    </row>
    <row r="1242" spans="1:3" x14ac:dyDescent="0.25">
      <c r="A1242" t="str">
        <f>"11/07/2014"</f>
        <v>11/07/2014</v>
      </c>
      <c r="B1242" t="str">
        <f>"101.278"</f>
        <v>101.278</v>
      </c>
      <c r="C1242" t="str">
        <f>"101.2588"</f>
        <v>101.2588</v>
      </c>
    </row>
    <row r="1243" spans="1:3" x14ac:dyDescent="0.25">
      <c r="A1243" t="str">
        <f>"14/07/2014"</f>
        <v>14/07/2014</v>
      </c>
      <c r="B1243" t="str">
        <f>"101.398"</f>
        <v>101.398</v>
      </c>
      <c r="C1243" t="str">
        <f>"101.3777"</f>
        <v>101.3777</v>
      </c>
    </row>
    <row r="1244" spans="1:3" x14ac:dyDescent="0.25">
      <c r="A1244" t="str">
        <f>"15/07/2014"</f>
        <v>15/07/2014</v>
      </c>
      <c r="B1244" t="str">
        <f>"101.594"</f>
        <v>101.594</v>
      </c>
      <c r="C1244" t="str">
        <f>"101.5746"</f>
        <v>101.5746</v>
      </c>
    </row>
    <row r="1245" spans="1:3" x14ac:dyDescent="0.25">
      <c r="A1245" t="str">
        <f>"16/07/2014"</f>
        <v>16/07/2014</v>
      </c>
      <c r="B1245" t="str">
        <f>"101.745"</f>
        <v>101.745</v>
      </c>
      <c r="C1245" t="str">
        <f>"101.7259"</f>
        <v>101.7259</v>
      </c>
    </row>
    <row r="1246" spans="1:3" x14ac:dyDescent="0.25">
      <c r="A1246" t="str">
        <f>"17/07/2014"</f>
        <v>17/07/2014</v>
      </c>
      <c r="B1246" t="str">
        <f>"101.498"</f>
        <v>101.498</v>
      </c>
      <c r="C1246" t="str">
        <f>"101.4786"</f>
        <v>101.4786</v>
      </c>
    </row>
    <row r="1247" spans="1:3" x14ac:dyDescent="0.25">
      <c r="A1247" t="str">
        <f>"18/07/2014"</f>
        <v>18/07/2014</v>
      </c>
      <c r="B1247" t="str">
        <f>"101.35"</f>
        <v>101.35</v>
      </c>
      <c r="C1247" t="str">
        <f>"101.3286"</f>
        <v>101.3286</v>
      </c>
    </row>
    <row r="1248" spans="1:3" x14ac:dyDescent="0.25">
      <c r="A1248" t="str">
        <f>"21/07/2014"</f>
        <v>21/07/2014</v>
      </c>
      <c r="B1248" t="str">
        <f>"101.223"</f>
        <v>101.223</v>
      </c>
      <c r="C1248" t="str">
        <f>"101.2018"</f>
        <v>101.2018</v>
      </c>
    </row>
    <row r="1249" spans="1:3" x14ac:dyDescent="0.25">
      <c r="A1249" t="str">
        <f>"22/07/2014"</f>
        <v>22/07/2014</v>
      </c>
      <c r="B1249" t="str">
        <f>"101.494"</f>
        <v>101.494</v>
      </c>
      <c r="C1249" t="str">
        <f>"101.4738"</f>
        <v>101.4738</v>
      </c>
    </row>
    <row r="1250" spans="1:3" x14ac:dyDescent="0.25">
      <c r="A1250" t="str">
        <f>"23/07/2014"</f>
        <v>23/07/2014</v>
      </c>
      <c r="B1250" t="str">
        <f>"101.425"</f>
        <v>101.425</v>
      </c>
      <c r="C1250" t="str">
        <f>"101.4058"</f>
        <v>101.4058</v>
      </c>
    </row>
    <row r="1251" spans="1:3" x14ac:dyDescent="0.25">
      <c r="A1251" t="str">
        <f>"24/07/2014"</f>
        <v>24/07/2014</v>
      </c>
      <c r="B1251" t="str">
        <f>"101.488"</f>
        <v>101.488</v>
      </c>
      <c r="C1251" t="str">
        <f>"101.469"</f>
        <v>101.469</v>
      </c>
    </row>
    <row r="1252" spans="1:3" x14ac:dyDescent="0.25">
      <c r="A1252" t="str">
        <f>"25/07/2014"</f>
        <v>25/07/2014</v>
      </c>
      <c r="B1252" t="str">
        <f>"101.773"</f>
        <v>101.773</v>
      </c>
      <c r="C1252" t="str">
        <f>"101.7539"</f>
        <v>101.7539</v>
      </c>
    </row>
    <row r="1253" spans="1:3" x14ac:dyDescent="0.25">
      <c r="A1253" t="str">
        <f>"28/07/2014"</f>
        <v>28/07/2014</v>
      </c>
      <c r="B1253" t="str">
        <f>"101.827"</f>
        <v>101.827</v>
      </c>
      <c r="C1253" t="str">
        <f>"101.8082"</f>
        <v>101.8082</v>
      </c>
    </row>
    <row r="1254" spans="1:3" x14ac:dyDescent="0.25">
      <c r="A1254" t="str">
        <f>"30/07/2014"</f>
        <v>30/07/2014</v>
      </c>
      <c r="B1254" t="str">
        <f>"102.11"</f>
        <v>102.11</v>
      </c>
      <c r="C1254" t="str">
        <f>"102.0918"</f>
        <v>102.0918</v>
      </c>
    </row>
    <row r="1255" spans="1:3" x14ac:dyDescent="0.25">
      <c r="A1255" t="str">
        <f>"31/07/2014"</f>
        <v>31/07/2014</v>
      </c>
      <c r="B1255" t="str">
        <f>"102.784"</f>
        <v>102.784</v>
      </c>
      <c r="C1255" t="str">
        <f>"102.7665"</f>
        <v>102.7665</v>
      </c>
    </row>
    <row r="1256" spans="1:3" x14ac:dyDescent="0.25">
      <c r="A1256" t="str">
        <f>"01/08/2014"</f>
        <v>01/08/2014</v>
      </c>
      <c r="B1256" t="str">
        <f>"102.955"</f>
        <v>102.955</v>
      </c>
      <c r="C1256" t="str">
        <f>"102.9368"</f>
        <v>102.9368</v>
      </c>
    </row>
    <row r="1257" spans="1:3" x14ac:dyDescent="0.25">
      <c r="A1257" t="str">
        <f>"04/08/2014"</f>
        <v>04/08/2014</v>
      </c>
      <c r="B1257" t="str">
        <f>"102.669"</f>
        <v>102.669</v>
      </c>
      <c r="C1257" t="str">
        <f>"102.6488"</f>
        <v>102.6488</v>
      </c>
    </row>
    <row r="1258" spans="1:3" x14ac:dyDescent="0.25">
      <c r="A1258" t="str">
        <f>"05/08/2014"</f>
        <v>05/08/2014</v>
      </c>
      <c r="B1258" t="str">
        <f>"102.548"</f>
        <v>102.548</v>
      </c>
      <c r="C1258" t="str">
        <f>"102.5288"</f>
        <v>102.5288</v>
      </c>
    </row>
    <row r="1259" spans="1:3" x14ac:dyDescent="0.25">
      <c r="A1259" t="str">
        <f>"06/08/2014"</f>
        <v>06/08/2014</v>
      </c>
      <c r="B1259" t="str">
        <f>"102.568"</f>
        <v>102.568</v>
      </c>
      <c r="C1259" t="str">
        <f>"102.5499"</f>
        <v>102.5499</v>
      </c>
    </row>
    <row r="1260" spans="1:3" x14ac:dyDescent="0.25">
      <c r="A1260" t="str">
        <f>"07/08/2014"</f>
        <v>07/08/2014</v>
      </c>
      <c r="B1260" t="str">
        <f>"102.176"</f>
        <v>102.176</v>
      </c>
      <c r="C1260" t="str">
        <f>"102.158"</f>
        <v>102.158</v>
      </c>
    </row>
    <row r="1261" spans="1:3" x14ac:dyDescent="0.25">
      <c r="A1261" t="str">
        <f>"08/08/2014"</f>
        <v>08/08/2014</v>
      </c>
      <c r="B1261" t="str">
        <f>"101.743"</f>
        <v>101.743</v>
      </c>
      <c r="C1261" t="str">
        <f>"101.7247"</f>
        <v>101.7247</v>
      </c>
    </row>
    <row r="1262" spans="1:3" x14ac:dyDescent="0.25">
      <c r="A1262" t="str">
        <f>"11/08/2014"</f>
        <v>11/08/2014</v>
      </c>
      <c r="B1262" t="str">
        <f>"102.144"</f>
        <v>102.144</v>
      </c>
      <c r="C1262" t="str">
        <f>"102.1244"</f>
        <v>102.1244</v>
      </c>
    </row>
    <row r="1263" spans="1:3" x14ac:dyDescent="0.25">
      <c r="A1263" t="str">
        <f>"12/08/2014"</f>
        <v>12/08/2014</v>
      </c>
      <c r="B1263" t="str">
        <f>"102.28"</f>
        <v>102.28</v>
      </c>
      <c r="C1263" t="str">
        <f>"102.261"</f>
        <v>102.261</v>
      </c>
    </row>
    <row r="1264" spans="1:3" x14ac:dyDescent="0.25">
      <c r="A1264" t="str">
        <f>"13/08/2014"</f>
        <v>13/08/2014</v>
      </c>
      <c r="B1264" t="str">
        <f>"102.298"</f>
        <v>102.298</v>
      </c>
      <c r="C1264" t="str">
        <f>"102.2788"</f>
        <v>102.2788</v>
      </c>
    </row>
    <row r="1265" spans="1:3" x14ac:dyDescent="0.25">
      <c r="A1265" t="str">
        <f>"14/08/2014"</f>
        <v>14/08/2014</v>
      </c>
      <c r="B1265" t="str">
        <f>"102.583"</f>
        <v>102.583</v>
      </c>
      <c r="C1265" t="str">
        <f>"102.5639"</f>
        <v>102.5639</v>
      </c>
    </row>
    <row r="1266" spans="1:3" x14ac:dyDescent="0.25">
      <c r="A1266" t="str">
        <f>"19/08/2014"</f>
        <v>19/08/2014</v>
      </c>
      <c r="B1266" t="str">
        <f>"102.594"</f>
        <v>102.594</v>
      </c>
      <c r="C1266" t="str">
        <f>"102.5739"</f>
        <v>102.5739</v>
      </c>
    </row>
    <row r="1267" spans="1:3" x14ac:dyDescent="0.25">
      <c r="A1267" t="str">
        <f>"20/08/2014"</f>
        <v>20/08/2014</v>
      </c>
      <c r="B1267" t="str">
        <f>"103.149"</f>
        <v>103.149</v>
      </c>
      <c r="C1267" t="str">
        <f>"103.1279"</f>
        <v>103.1279</v>
      </c>
    </row>
    <row r="1268" spans="1:3" x14ac:dyDescent="0.25">
      <c r="A1268" t="str">
        <f>"21/08/2014"</f>
        <v>21/08/2014</v>
      </c>
      <c r="B1268" t="str">
        <f>"103.868"</f>
        <v>103.868</v>
      </c>
      <c r="C1268" t="str">
        <f>"103.847"</f>
        <v>103.847</v>
      </c>
    </row>
    <row r="1269" spans="1:3" x14ac:dyDescent="0.25">
      <c r="A1269" t="str">
        <f>"22/08/2014"</f>
        <v>22/08/2014</v>
      </c>
      <c r="B1269" t="str">
        <f>"103.804"</f>
        <v>103.804</v>
      </c>
      <c r="C1269" t="str">
        <f>"103.7829"</f>
        <v>103.7829</v>
      </c>
    </row>
    <row r="1270" spans="1:3" x14ac:dyDescent="0.25">
      <c r="A1270" t="str">
        <f>"25/08/2014"</f>
        <v>25/08/2014</v>
      </c>
      <c r="B1270" t="str">
        <f>"104.232"</f>
        <v>104.232</v>
      </c>
      <c r="C1270" t="str">
        <f>"104.2105"</f>
        <v>104.2105</v>
      </c>
    </row>
    <row r="1271" spans="1:3" x14ac:dyDescent="0.25">
      <c r="A1271" t="str">
        <f>"26/08/2014"</f>
        <v>26/08/2014</v>
      </c>
      <c r="B1271" t="str">
        <f>"103.848"</f>
        <v>103.848</v>
      </c>
      <c r="C1271" t="str">
        <f>"103.8284"</f>
        <v>103.8284</v>
      </c>
    </row>
    <row r="1272" spans="1:3" x14ac:dyDescent="0.25">
      <c r="A1272" t="str">
        <f>"27/08/2014"</f>
        <v>27/08/2014</v>
      </c>
      <c r="B1272" t="str">
        <f>"104.017"</f>
        <v>104.017</v>
      </c>
      <c r="C1272" t="str">
        <f>"103.9974"</f>
        <v>103.9974</v>
      </c>
    </row>
    <row r="1273" spans="1:3" x14ac:dyDescent="0.25">
      <c r="A1273" t="str">
        <f>"28/08/2014"</f>
        <v>28/08/2014</v>
      </c>
      <c r="B1273" t="str">
        <f>"103.752"</f>
        <v>103.752</v>
      </c>
      <c r="C1273" t="str">
        <f>"103.7289"</f>
        <v>103.7289</v>
      </c>
    </row>
    <row r="1274" spans="1:3" x14ac:dyDescent="0.25">
      <c r="A1274" t="str">
        <f>"01/09/2014"</f>
        <v>01/09/2014</v>
      </c>
      <c r="B1274" t="str">
        <f>"104.193"</f>
        <v>104.193</v>
      </c>
      <c r="C1274" t="str">
        <f>"104.17"</f>
        <v>104.17</v>
      </c>
    </row>
    <row r="1275" spans="1:3" x14ac:dyDescent="0.25">
      <c r="A1275" t="str">
        <f>"02/09/2014"</f>
        <v>02/09/2014</v>
      </c>
      <c r="B1275" t="str">
        <f>"104.82"</f>
        <v>104.82</v>
      </c>
      <c r="C1275" t="str">
        <f>"104.7962"</f>
        <v>104.7962</v>
      </c>
    </row>
    <row r="1276" spans="1:3" x14ac:dyDescent="0.25">
      <c r="A1276" t="str">
        <f>"03/09/2014"</f>
        <v>03/09/2014</v>
      </c>
      <c r="B1276" t="str">
        <f>"105.217"</f>
        <v>105.217</v>
      </c>
      <c r="C1276" t="str">
        <f>"105.194"</f>
        <v>105.194</v>
      </c>
    </row>
    <row r="1277" spans="1:3" x14ac:dyDescent="0.25">
      <c r="A1277" t="str">
        <f>"04/09/2014"</f>
        <v>04/09/2014</v>
      </c>
      <c r="B1277" t="str">
        <f>"104.831"</f>
        <v>104.831</v>
      </c>
      <c r="C1277" t="str">
        <f>"104.8068"</f>
        <v>104.8068</v>
      </c>
    </row>
    <row r="1278" spans="1:3" x14ac:dyDescent="0.25">
      <c r="A1278" t="str">
        <f>"05/09/2014"</f>
        <v>05/09/2014</v>
      </c>
      <c r="B1278" t="str">
        <f>"105.303"</f>
        <v>105.303</v>
      </c>
      <c r="C1278" t="str">
        <f>"105.2773"</f>
        <v>105.2773</v>
      </c>
    </row>
    <row r="1279" spans="1:3" x14ac:dyDescent="0.25">
      <c r="A1279" t="str">
        <f>"08/09/2014"</f>
        <v>08/09/2014</v>
      </c>
      <c r="B1279" t="str">
        <f>"105.079"</f>
        <v>105.079</v>
      </c>
      <c r="C1279" t="str">
        <f>"105.0516"</f>
        <v>105.0516</v>
      </c>
    </row>
    <row r="1280" spans="1:3" x14ac:dyDescent="0.25">
      <c r="A1280" t="str">
        <f>"09/09/2014"</f>
        <v>09/09/2014</v>
      </c>
      <c r="B1280" t="str">
        <f>"106.232"</f>
        <v>106.232</v>
      </c>
      <c r="C1280" t="str">
        <f>"106.1906"</f>
        <v>106.1906</v>
      </c>
    </row>
    <row r="1281" spans="1:3" x14ac:dyDescent="0.25">
      <c r="A1281" t="str">
        <f>"10/09/2014"</f>
        <v>10/09/2014</v>
      </c>
      <c r="B1281" t="str">
        <f>"106.409"</f>
        <v>106.409</v>
      </c>
      <c r="C1281" t="str">
        <f>"106.3615"</f>
        <v>106.3615</v>
      </c>
    </row>
    <row r="1282" spans="1:3" x14ac:dyDescent="0.25">
      <c r="A1282" t="str">
        <f>"11/09/2014"</f>
        <v>11/09/2014</v>
      </c>
      <c r="B1282" t="str">
        <f>"106.793"</f>
        <v>106.793</v>
      </c>
      <c r="C1282" t="str">
        <f>"106.7536"</f>
        <v>106.7536</v>
      </c>
    </row>
    <row r="1283" spans="1:3" x14ac:dyDescent="0.25">
      <c r="A1283" t="str">
        <f>"12/09/2014"</f>
        <v>12/09/2014</v>
      </c>
      <c r="B1283" t="str">
        <f>"107.378"</f>
        <v>107.378</v>
      </c>
      <c r="C1283" t="str">
        <f>"107.3422"</f>
        <v>107.3422</v>
      </c>
    </row>
    <row r="1284" spans="1:3" x14ac:dyDescent="0.25">
      <c r="A1284" t="str">
        <f>"15/09/2014"</f>
        <v>15/09/2014</v>
      </c>
      <c r="B1284" t="str">
        <f>"107.246"</f>
        <v>107.246</v>
      </c>
      <c r="C1284" t="str">
        <f>"107.2176"</f>
        <v>107.2176</v>
      </c>
    </row>
    <row r="1285" spans="1:3" x14ac:dyDescent="0.25">
      <c r="A1285" t="str">
        <f>"16/09/2014"</f>
        <v>16/09/2014</v>
      </c>
      <c r="B1285" t="str">
        <f>"107.172"</f>
        <v>107.172</v>
      </c>
      <c r="C1285" t="str">
        <f>"107.1399"</f>
        <v>107.1399</v>
      </c>
    </row>
    <row r="1286" spans="1:3" x14ac:dyDescent="0.25">
      <c r="A1286" t="str">
        <f>"17/09/2014"</f>
        <v>17/09/2014</v>
      </c>
      <c r="B1286" t="str">
        <f>"107.234"</f>
        <v>107.234</v>
      </c>
      <c r="C1286" t="str">
        <f>"107.1935"</f>
        <v>107.1935</v>
      </c>
    </row>
    <row r="1287" spans="1:3" x14ac:dyDescent="0.25">
      <c r="A1287" t="str">
        <f>"18/09/2014"</f>
        <v>18/09/2014</v>
      </c>
      <c r="B1287" t="str">
        <f>"108.67"</f>
        <v>108.67</v>
      </c>
      <c r="C1287" t="str">
        <f>"108.6345"</f>
        <v>108.6345</v>
      </c>
    </row>
    <row r="1288" spans="1:3" x14ac:dyDescent="0.25">
      <c r="A1288" t="str">
        <f>"19/09/2014"</f>
        <v>19/09/2014</v>
      </c>
      <c r="B1288" t="str">
        <f>"109.243"</f>
        <v>109.243</v>
      </c>
      <c r="C1288" t="str">
        <f>"109.2019"</f>
        <v>109.2019</v>
      </c>
    </row>
    <row r="1289" spans="1:3" x14ac:dyDescent="0.25">
      <c r="A1289" t="str">
        <f>"22/09/2014"</f>
        <v>22/09/2014</v>
      </c>
      <c r="B1289" t="str">
        <f>"108.748"</f>
        <v>108.748</v>
      </c>
      <c r="C1289" t="str">
        <f>"108.6942"</f>
        <v>108.6942</v>
      </c>
    </row>
    <row r="1290" spans="1:3" x14ac:dyDescent="0.25">
      <c r="A1290" t="str">
        <f>"23/09/2014"</f>
        <v>23/09/2014</v>
      </c>
      <c r="B1290" t="str">
        <f>"108.744"</f>
        <v>108.744</v>
      </c>
      <c r="C1290" t="str">
        <f>"108.704"</f>
        <v>108.704</v>
      </c>
    </row>
    <row r="1291" spans="1:3" x14ac:dyDescent="0.25">
      <c r="A1291" t="str">
        <f>"24/09/2014"</f>
        <v>24/09/2014</v>
      </c>
      <c r="B1291" t="str">
        <f>"108.58"</f>
        <v>108.58</v>
      </c>
      <c r="C1291" t="str">
        <f>"108.5456"</f>
        <v>108.5456</v>
      </c>
    </row>
    <row r="1292" spans="1:3" x14ac:dyDescent="0.25">
      <c r="A1292" t="str">
        <f>"25/09/2014"</f>
        <v>25/09/2014</v>
      </c>
      <c r="B1292" t="str">
        <f>"109.143"</f>
        <v>109.143</v>
      </c>
      <c r="C1292" t="str">
        <f>"109.1123"</f>
        <v>109.1123</v>
      </c>
    </row>
    <row r="1293" spans="1:3" x14ac:dyDescent="0.25">
      <c r="A1293" t="str">
        <f>"26/09/2014"</f>
        <v>26/09/2014</v>
      </c>
      <c r="B1293" t="str">
        <f>"108.954"</f>
        <v>108.954</v>
      </c>
      <c r="C1293" t="str">
        <f>"108.9205"</f>
        <v>108.9205</v>
      </c>
    </row>
    <row r="1294" spans="1:3" x14ac:dyDescent="0.25">
      <c r="A1294" t="str">
        <f>"29/09/2014"</f>
        <v>29/09/2014</v>
      </c>
      <c r="B1294" t="str">
        <f>"109.416"</f>
        <v>109.416</v>
      </c>
      <c r="C1294" t="str">
        <f>"109.3904"</f>
        <v>109.3904</v>
      </c>
    </row>
    <row r="1295" spans="1:3" x14ac:dyDescent="0.25">
      <c r="A1295" t="str">
        <f>"30/09/2014"</f>
        <v>30/09/2014</v>
      </c>
      <c r="B1295" t="str">
        <f>"109.299"</f>
        <v>109.299</v>
      </c>
      <c r="C1295" t="str">
        <f>"109.2754"</f>
        <v>109.2754</v>
      </c>
    </row>
    <row r="1296" spans="1:3" x14ac:dyDescent="0.25">
      <c r="A1296" t="str">
        <f>"01/10/2014"</f>
        <v>01/10/2014</v>
      </c>
      <c r="B1296" t="str">
        <f>"109.923"</f>
        <v>109.923</v>
      </c>
      <c r="C1296" t="str">
        <f>"109.9007"</f>
        <v>109.9007</v>
      </c>
    </row>
    <row r="1297" spans="1:3" x14ac:dyDescent="0.25">
      <c r="A1297" t="str">
        <f>"07/10/2014"</f>
        <v>07/10/2014</v>
      </c>
      <c r="B1297" t="str">
        <f>"109.125"</f>
        <v>109.125</v>
      </c>
      <c r="C1297" t="str">
        <f>"109.0989"</f>
        <v>109.0989</v>
      </c>
    </row>
    <row r="1298" spans="1:3" x14ac:dyDescent="0.25">
      <c r="A1298" t="str">
        <f>"08/10/2014"</f>
        <v>08/10/2014</v>
      </c>
      <c r="B1298" t="str">
        <f>"108.34"</f>
        <v>108.34</v>
      </c>
      <c r="C1298" t="str">
        <f>"108.3144"</f>
        <v>108.3144</v>
      </c>
    </row>
    <row r="1299" spans="1:3" x14ac:dyDescent="0.25">
      <c r="A1299" t="str">
        <f>"09/10/2014"</f>
        <v>09/10/2014</v>
      </c>
      <c r="B1299" t="str">
        <f>"107.916"</f>
        <v>107.916</v>
      </c>
      <c r="C1299" t="str">
        <f>"107.8921"</f>
        <v>107.8921</v>
      </c>
    </row>
    <row r="1300" spans="1:3" x14ac:dyDescent="0.25">
      <c r="A1300" t="str">
        <f>"10/10/2014"</f>
        <v>10/10/2014</v>
      </c>
      <c r="B1300" t="str">
        <f>"107.783"</f>
        <v>107.783</v>
      </c>
      <c r="C1300" t="str">
        <f>"107.7605"</f>
        <v>107.7605</v>
      </c>
    </row>
    <row r="1301" spans="1:3" x14ac:dyDescent="0.25">
      <c r="A1301" t="str">
        <f>"13/10/2014"</f>
        <v>13/10/2014</v>
      </c>
      <c r="B1301" t="str">
        <f>"107.186"</f>
        <v>107.186</v>
      </c>
      <c r="C1301" t="str">
        <f>"107.1636"</f>
        <v>107.1636</v>
      </c>
    </row>
    <row r="1302" spans="1:3" x14ac:dyDescent="0.25">
      <c r="A1302" t="str">
        <f>"14/10/2014"</f>
        <v>14/10/2014</v>
      </c>
      <c r="B1302" t="str">
        <f>"107.191"</f>
        <v>107.191</v>
      </c>
      <c r="C1302" t="str">
        <f>"107.1685"</f>
        <v>107.1685</v>
      </c>
    </row>
    <row r="1303" spans="1:3" x14ac:dyDescent="0.25">
      <c r="A1303" t="str">
        <f>"16/10/2014"</f>
        <v>16/10/2014</v>
      </c>
      <c r="B1303" t="str">
        <f>"106.21"</f>
        <v>106.21</v>
      </c>
      <c r="C1303" t="str">
        <f>"106.1868"</f>
        <v>106.1868</v>
      </c>
    </row>
    <row r="1304" spans="1:3" x14ac:dyDescent="0.25">
      <c r="A1304" t="str">
        <f>"17/10/2014"</f>
        <v>17/10/2014</v>
      </c>
      <c r="B1304" t="str">
        <f>"106.262"</f>
        <v>106.262</v>
      </c>
      <c r="C1304" t="str">
        <f>"106.239"</f>
        <v>106.239</v>
      </c>
    </row>
    <row r="1305" spans="1:3" x14ac:dyDescent="0.25">
      <c r="A1305" t="str">
        <f>"20/10/2014"</f>
        <v>20/10/2014</v>
      </c>
      <c r="B1305" t="str">
        <f>"107.354"</f>
        <v>107.354</v>
      </c>
      <c r="C1305" t="str">
        <f>"107.3273"</f>
        <v>107.3273</v>
      </c>
    </row>
    <row r="1306" spans="1:3" x14ac:dyDescent="0.25">
      <c r="A1306" t="str">
        <f>"21/10/2014"</f>
        <v>21/10/2014</v>
      </c>
      <c r="B1306" t="str">
        <f>"106.382"</f>
        <v>106.382</v>
      </c>
      <c r="C1306" t="str">
        <f>"106.3552"</f>
        <v>106.3552</v>
      </c>
    </row>
    <row r="1307" spans="1:3" x14ac:dyDescent="0.25">
      <c r="A1307" t="str">
        <f>"22/10/2014"</f>
        <v>22/10/2014</v>
      </c>
      <c r="B1307" t="str">
        <f>"106.934"</f>
        <v>106.934</v>
      </c>
      <c r="C1307" t="str">
        <f>"106.9061"</f>
        <v>106.9061</v>
      </c>
    </row>
    <row r="1308" spans="1:3" x14ac:dyDescent="0.25">
      <c r="A1308" t="str">
        <f>"27/10/2014"</f>
        <v>27/10/2014</v>
      </c>
      <c r="B1308" t="str">
        <f>"107.99"</f>
        <v>107.99</v>
      </c>
      <c r="C1308" t="str">
        <f>"107.9659"</f>
        <v>107.9659</v>
      </c>
    </row>
    <row r="1309" spans="1:3" x14ac:dyDescent="0.25">
      <c r="A1309" t="str">
        <f>"28/10/2014"</f>
        <v>28/10/2014</v>
      </c>
      <c r="B1309" t="str">
        <f>"107.868"</f>
        <v>107.868</v>
      </c>
      <c r="C1309" t="str">
        <f>"107.8477"</f>
        <v>107.8477</v>
      </c>
    </row>
    <row r="1310" spans="1:3" x14ac:dyDescent="0.25">
      <c r="A1310" t="str">
        <f>"29/10/2014"</f>
        <v>29/10/2014</v>
      </c>
      <c r="B1310" t="str">
        <f>"108.145"</f>
        <v>108.145</v>
      </c>
      <c r="C1310" t="str">
        <f>"108.1241"</f>
        <v>108.1241</v>
      </c>
    </row>
    <row r="1311" spans="1:3" x14ac:dyDescent="0.25">
      <c r="A1311" t="str">
        <f>"30/10/2014"</f>
        <v>30/10/2014</v>
      </c>
      <c r="B1311" t="str">
        <f>"109.027"</f>
        <v>109.027</v>
      </c>
      <c r="C1311" t="str">
        <f>"109.0066"</f>
        <v>109.0066</v>
      </c>
    </row>
    <row r="1312" spans="1:3" x14ac:dyDescent="0.25">
      <c r="A1312" t="str">
        <f>"31/10/2014"</f>
        <v>31/10/2014</v>
      </c>
      <c r="B1312" t="str">
        <f>"109.38"</f>
        <v>109.38</v>
      </c>
      <c r="C1312" t="str">
        <f>"109.3585"</f>
        <v>109.3585</v>
      </c>
    </row>
    <row r="1313" spans="1:3" x14ac:dyDescent="0.25">
      <c r="A1313" t="str">
        <f>"03/11/2014"</f>
        <v>03/11/2014</v>
      </c>
      <c r="B1313" t="str">
        <f>"112.701"</f>
        <v>112.701</v>
      </c>
      <c r="C1313" t="str">
        <f>"112.6769"</f>
        <v>112.6769</v>
      </c>
    </row>
    <row r="1314" spans="1:3" x14ac:dyDescent="0.25">
      <c r="A1314" t="str">
        <f>"05/11/2014"</f>
        <v>05/11/2014</v>
      </c>
      <c r="B1314" t="str">
        <f>"113.901"</f>
        <v>113.901</v>
      </c>
      <c r="C1314" t="str">
        <f>"113.8785"</f>
        <v>113.8785</v>
      </c>
    </row>
    <row r="1315" spans="1:3" x14ac:dyDescent="0.25">
      <c r="A1315" t="str">
        <f>"07/11/2014"</f>
        <v>07/11/2014</v>
      </c>
      <c r="B1315" t="str">
        <f>"115.358"</f>
        <v>115.358</v>
      </c>
      <c r="C1315" t="str">
        <f>"115.3381"</f>
        <v>115.3381</v>
      </c>
    </row>
    <row r="1316" spans="1:3" x14ac:dyDescent="0.25">
      <c r="A1316" t="str">
        <f>"10/11/2014"</f>
        <v>10/11/2014</v>
      </c>
      <c r="B1316" t="str">
        <f>"114.156"</f>
        <v>114.156</v>
      </c>
      <c r="C1316" t="str">
        <f>"114.137"</f>
        <v>114.137</v>
      </c>
    </row>
    <row r="1317" spans="1:3" x14ac:dyDescent="0.25">
      <c r="A1317" t="str">
        <f>"11/11/2014"</f>
        <v>11/11/2014</v>
      </c>
      <c r="B1317" t="str">
        <f>"115.073"</f>
        <v>115.073</v>
      </c>
      <c r="C1317" t="str">
        <f>"115.0522"</f>
        <v>115.0522</v>
      </c>
    </row>
    <row r="1318" spans="1:3" x14ac:dyDescent="0.25">
      <c r="A1318" t="str">
        <f>"12/11/2014"</f>
        <v>12/11/2014</v>
      </c>
      <c r="B1318" t="str">
        <f>"115.602"</f>
        <v>115.602</v>
      </c>
      <c r="C1318" t="str">
        <f>"115.5809"</f>
        <v>115.5809</v>
      </c>
    </row>
    <row r="1319" spans="1:3" x14ac:dyDescent="0.25">
      <c r="A1319" t="str">
        <f>"13/11/2014"</f>
        <v>13/11/2014</v>
      </c>
      <c r="B1319" t="str">
        <f>"115.73"</f>
        <v>115.73</v>
      </c>
      <c r="C1319" t="str">
        <f>"115.7098"</f>
        <v>115.7098</v>
      </c>
    </row>
    <row r="1320" spans="1:3" x14ac:dyDescent="0.25">
      <c r="A1320" t="str">
        <f>"14/11/2014"</f>
        <v>14/11/2014</v>
      </c>
      <c r="B1320" t="str">
        <f>"116.003"</f>
        <v>116.003</v>
      </c>
      <c r="C1320" t="str">
        <f>"115.9824"</f>
        <v>115.9824</v>
      </c>
    </row>
    <row r="1321" spans="1:3" x14ac:dyDescent="0.25">
      <c r="A1321" t="str">
        <f>"17/11/2014"</f>
        <v>17/11/2014</v>
      </c>
      <c r="B1321" t="str">
        <f>"115.747"</f>
        <v>115.747</v>
      </c>
      <c r="C1321" t="str">
        <f>"115.7256"</f>
        <v>115.7256</v>
      </c>
    </row>
    <row r="1322" spans="1:3" x14ac:dyDescent="0.25">
      <c r="A1322" t="str">
        <f>"18/11/2014"</f>
        <v>18/11/2014</v>
      </c>
      <c r="B1322" t="str">
        <f>"116.633"</f>
        <v>116.633</v>
      </c>
      <c r="C1322" t="str">
        <f>"116.6102"</f>
        <v>116.6102</v>
      </c>
    </row>
    <row r="1323" spans="1:3" x14ac:dyDescent="0.25">
      <c r="A1323" t="str">
        <f>"19/11/2014"</f>
        <v>19/11/2014</v>
      </c>
      <c r="B1323" t="str">
        <f>"117.357"</f>
        <v>117.357</v>
      </c>
      <c r="C1323" t="str">
        <f>"117.3341"</f>
        <v>117.3341</v>
      </c>
    </row>
    <row r="1324" spans="1:3" x14ac:dyDescent="0.25">
      <c r="A1324" t="str">
        <f>"20/11/2014"</f>
        <v>20/11/2014</v>
      </c>
      <c r="B1324" t="str">
        <f>"118.53"</f>
        <v>118.53</v>
      </c>
      <c r="C1324" t="str">
        <f>"118.5095"</f>
        <v>118.5095</v>
      </c>
    </row>
    <row r="1325" spans="1:3" x14ac:dyDescent="0.25">
      <c r="A1325" t="str">
        <f>"21/11/2014"</f>
        <v>21/11/2014</v>
      </c>
      <c r="B1325" t="str">
        <f>"117.702"</f>
        <v>117.702</v>
      </c>
      <c r="C1325" t="str">
        <f>"117.6806"</f>
        <v>117.6806</v>
      </c>
    </row>
    <row r="1326" spans="1:3" x14ac:dyDescent="0.25">
      <c r="A1326" t="str">
        <f>"24/11/2014"</f>
        <v>24/11/2014</v>
      </c>
      <c r="B1326" t="str">
        <f>"117.908"</f>
        <v>117.908</v>
      </c>
      <c r="C1326" t="str">
        <f>"117.8854"</f>
        <v>117.8854</v>
      </c>
    </row>
    <row r="1327" spans="1:3" x14ac:dyDescent="0.25">
      <c r="A1327" t="str">
        <f>"25/11/2014"</f>
        <v>25/11/2014</v>
      </c>
      <c r="B1327" t="str">
        <f>"117.98"</f>
        <v>117.98</v>
      </c>
      <c r="C1327" t="str">
        <f>"117.9569"</f>
        <v>117.9569</v>
      </c>
    </row>
    <row r="1328" spans="1:3" x14ac:dyDescent="0.25">
      <c r="A1328" t="str">
        <f>"26/11/2014"</f>
        <v>26/11/2014</v>
      </c>
      <c r="B1328" t="str">
        <f>"117.852"</f>
        <v>117.852</v>
      </c>
      <c r="C1328" t="str">
        <f>"117.8292"</f>
        <v>117.8292</v>
      </c>
    </row>
    <row r="1329" spans="1:3" x14ac:dyDescent="0.25">
      <c r="A1329" t="str">
        <f>"27/11/2014"</f>
        <v>27/11/2014</v>
      </c>
      <c r="B1329" t="str">
        <f>"117.443"</f>
        <v>117.443</v>
      </c>
      <c r="C1329" t="str">
        <f>"117.3769"</f>
        <v>117.3769</v>
      </c>
    </row>
    <row r="1330" spans="1:3" x14ac:dyDescent="0.25">
      <c r="A1330" t="str">
        <f>"28/11/2014"</f>
        <v>28/11/2014</v>
      </c>
      <c r="B1330" t="str">
        <f>"118.301"</f>
        <v>118.301</v>
      </c>
      <c r="C1330" t="str">
        <f>"118.2308"</f>
        <v>118.2308</v>
      </c>
    </row>
    <row r="1331" spans="1:3" x14ac:dyDescent="0.25">
      <c r="A1331" t="str">
        <f>"01/12/2014"</f>
        <v>01/12/2014</v>
      </c>
      <c r="B1331" t="str">
        <f>"118.869"</f>
        <v>118.869</v>
      </c>
      <c r="C1331" t="str">
        <f>"118.798"</f>
        <v>118.798</v>
      </c>
    </row>
    <row r="1332" spans="1:3" x14ac:dyDescent="0.25">
      <c r="A1332" t="str">
        <f>"02/12/2014"</f>
        <v>02/12/2014</v>
      </c>
      <c r="B1332" t="str">
        <f>"118.435"</f>
        <v>118.435</v>
      </c>
      <c r="C1332" t="str">
        <f>"118.3585"</f>
        <v>118.3585</v>
      </c>
    </row>
    <row r="1333" spans="1:3" x14ac:dyDescent="0.25">
      <c r="A1333" t="str">
        <f>"04/12/2014"</f>
        <v>04/12/2014</v>
      </c>
      <c r="B1333" t="str">
        <f>"119.948"</f>
        <v>119.948</v>
      </c>
      <c r="C1333" t="str">
        <f>"119.8708"</f>
        <v>119.8708</v>
      </c>
    </row>
    <row r="1334" spans="1:3" x14ac:dyDescent="0.25">
      <c r="A1334" t="str">
        <f>"05/12/2014"</f>
        <v>05/12/2014</v>
      </c>
      <c r="B1334" t="str">
        <f>"120.082"</f>
        <v>120.082</v>
      </c>
      <c r="C1334" t="str">
        <f>"120.0029"</f>
        <v>120.0029</v>
      </c>
    </row>
    <row r="1335" spans="1:3" x14ac:dyDescent="0.25">
      <c r="A1335" t="str">
        <f>"08/12/2014"</f>
        <v>08/12/2014</v>
      </c>
      <c r="B1335" t="str">
        <f>"121.509"</f>
        <v>121.509</v>
      </c>
      <c r="C1335" t="str">
        <f>"121.4234"</f>
        <v>121.4234</v>
      </c>
    </row>
    <row r="1336" spans="1:3" x14ac:dyDescent="0.25">
      <c r="A1336" t="str">
        <f>"09/12/2014"</f>
        <v>09/12/2014</v>
      </c>
      <c r="B1336" t="str">
        <f>"120.298"</f>
        <v>120.298</v>
      </c>
      <c r="C1336" t="str">
        <f>"120.2112"</f>
        <v>120.2112</v>
      </c>
    </row>
    <row r="1337" spans="1:3" x14ac:dyDescent="0.25">
      <c r="A1337" t="str">
        <f>"10/12/2014"</f>
        <v>10/12/2014</v>
      </c>
      <c r="B1337" t="str">
        <f>"118.922"</f>
        <v>118.922</v>
      </c>
      <c r="C1337" t="str">
        <f>"118.8379"</f>
        <v>118.8379</v>
      </c>
    </row>
    <row r="1338" spans="1:3" x14ac:dyDescent="0.25">
      <c r="A1338" t="str">
        <f>"11/12/2014"</f>
        <v>11/12/2014</v>
      </c>
      <c r="B1338" t="str">
        <f>"118.041"</f>
        <v>118.041</v>
      </c>
      <c r="C1338" t="str">
        <f>"117.9668"</f>
        <v>117.9668</v>
      </c>
    </row>
    <row r="1339" spans="1:3" x14ac:dyDescent="0.25">
      <c r="A1339" t="str">
        <f>"12/12/2014"</f>
        <v>12/12/2014</v>
      </c>
      <c r="B1339" t="str">
        <f>"118.64"</f>
        <v>118.64</v>
      </c>
      <c r="C1339" t="str">
        <f>"118.5677"</f>
        <v>118.5677</v>
      </c>
    </row>
    <row r="1340" spans="1:3" x14ac:dyDescent="0.25">
      <c r="A1340" t="str">
        <f>"15/12/2014"</f>
        <v>15/12/2014</v>
      </c>
      <c r="B1340" t="str">
        <f>"118.709"</f>
        <v>118.709</v>
      </c>
      <c r="C1340" t="str">
        <f>"118.6378"</f>
        <v>118.6378</v>
      </c>
    </row>
    <row r="1341" spans="1:3" x14ac:dyDescent="0.25">
      <c r="A1341" t="str">
        <f>"16/12/2014"</f>
        <v>16/12/2014</v>
      </c>
      <c r="B1341" t="str">
        <f>"117.357"</f>
        <v>117.357</v>
      </c>
      <c r="C1341" t="str">
        <f>"117.2877"</f>
        <v>117.2877</v>
      </c>
    </row>
    <row r="1342" spans="1:3" x14ac:dyDescent="0.25">
      <c r="A1342" t="str">
        <f>"17/12/2014"</f>
        <v>17/12/2014</v>
      </c>
      <c r="B1342" t="str">
        <f>"117.039"</f>
        <v>117.039</v>
      </c>
      <c r="C1342" t="str">
        <f>"116.9716"</f>
        <v>116.9716</v>
      </c>
    </row>
    <row r="1343" spans="1:3" x14ac:dyDescent="0.25">
      <c r="A1343" t="str">
        <f>"18/12/2014"</f>
        <v>18/12/2014</v>
      </c>
      <c r="B1343" t="str">
        <f>"118.557"</f>
        <v>118.557</v>
      </c>
      <c r="C1343" t="str">
        <f>"118.4996"</f>
        <v>118.4996</v>
      </c>
    </row>
    <row r="1344" spans="1:3" x14ac:dyDescent="0.25">
      <c r="A1344" t="str">
        <f>"19/12/2014"</f>
        <v>19/12/2014</v>
      </c>
      <c r="B1344" t="str">
        <f>"119.284"</f>
        <v>119.284</v>
      </c>
      <c r="C1344" t="str">
        <f>"119.2427"</f>
        <v>119.2427</v>
      </c>
    </row>
    <row r="1345" spans="1:3" x14ac:dyDescent="0.25">
      <c r="A1345" t="str">
        <f>"22/12/2014"</f>
        <v>22/12/2014</v>
      </c>
      <c r="B1345" t="str">
        <f>"119.539"</f>
        <v>119.539</v>
      </c>
      <c r="C1345" t="str">
        <f>"119.4962"</f>
        <v>119.4962</v>
      </c>
    </row>
    <row r="1346" spans="1:3" x14ac:dyDescent="0.25">
      <c r="A1346" t="str">
        <f>"23/12/2014"</f>
        <v>23/12/2014</v>
      </c>
      <c r="B1346" t="str">
        <f>"120.145"</f>
        <v>120.145</v>
      </c>
      <c r="C1346" t="str">
        <f>"120.0945"</f>
        <v>120.0945</v>
      </c>
    </row>
    <row r="1347" spans="1:3" x14ac:dyDescent="0.25">
      <c r="A1347" t="str">
        <f>"24/12/2014"</f>
        <v>24/12/2014</v>
      </c>
      <c r="B1347" t="str">
        <f>"120.375"</f>
        <v>120.375</v>
      </c>
      <c r="C1347" t="str">
        <f>"120.3326"</f>
        <v>120.3326</v>
      </c>
    </row>
    <row r="1348" spans="1:3" x14ac:dyDescent="0.25">
      <c r="A1348" t="str">
        <f>"26/12/2014"</f>
        <v>26/12/2014</v>
      </c>
      <c r="B1348" t="str">
        <f>"120.196"</f>
        <v>120.196</v>
      </c>
      <c r="C1348" t="str">
        <f>"120.1633"</f>
        <v>120.1633</v>
      </c>
    </row>
    <row r="1349" spans="1:3" x14ac:dyDescent="0.25">
      <c r="A1349" t="str">
        <f>"29/12/2014"</f>
        <v>29/12/2014</v>
      </c>
      <c r="B1349" t="str">
        <f>"120.342"</f>
        <v>120.342</v>
      </c>
      <c r="C1349" t="str">
        <f>"120.316"</f>
        <v>120.316</v>
      </c>
    </row>
    <row r="1350" spans="1:3" x14ac:dyDescent="0.25">
      <c r="A1350" t="str">
        <f>"30/12/2014"</f>
        <v>30/12/2014</v>
      </c>
      <c r="B1350" t="str">
        <f>"120.418"</f>
        <v>120.418</v>
      </c>
      <c r="C1350" t="str">
        <f>"120.3897"</f>
        <v>120.3897</v>
      </c>
    </row>
    <row r="1351" spans="1:3" x14ac:dyDescent="0.25">
      <c r="A1351" t="str">
        <f>"31/12/2014"</f>
        <v>31/12/2014</v>
      </c>
      <c r="B1351" t="str">
        <f>"119.402"</f>
        <v>119.402</v>
      </c>
      <c r="C1351" t="str">
        <f>"119.3724"</f>
        <v>119.3724</v>
      </c>
    </row>
    <row r="1352" spans="1:3" x14ac:dyDescent="0.25">
      <c r="A1352" t="str">
        <f>"01/01/2015"</f>
        <v>01/01/2015</v>
      </c>
      <c r="B1352" t="str">
        <f>"119.788"</f>
        <v>119.788</v>
      </c>
      <c r="C1352" t="str">
        <f>"119.7647"</f>
        <v>119.7647</v>
      </c>
    </row>
    <row r="1353" spans="1:3" x14ac:dyDescent="0.25">
      <c r="A1353" t="str">
        <f>"02/01/2015"</f>
        <v>02/01/2015</v>
      </c>
      <c r="B1353" t="str">
        <f>"120.404"</f>
        <v>120.404</v>
      </c>
      <c r="C1353" t="str">
        <f>"120.3752"</f>
        <v>120.3752</v>
      </c>
    </row>
    <row r="1354" spans="1:3" x14ac:dyDescent="0.25">
      <c r="A1354" t="str">
        <f>"05/01/2015"</f>
        <v>05/01/2015</v>
      </c>
      <c r="B1354" t="str">
        <f>"120.578"</f>
        <v>120.578</v>
      </c>
      <c r="C1354" t="str">
        <f>"120.5486"</f>
        <v>120.5486</v>
      </c>
    </row>
    <row r="1355" spans="1:3" x14ac:dyDescent="0.25">
      <c r="A1355" t="str">
        <f>"06/01/2015"</f>
        <v>06/01/2015</v>
      </c>
      <c r="B1355" t="str">
        <f>"119.174"</f>
        <v>119.174</v>
      </c>
      <c r="C1355" t="str">
        <f>"119.1444"</f>
        <v>119.1444</v>
      </c>
    </row>
    <row r="1356" spans="1:3" x14ac:dyDescent="0.25">
      <c r="A1356" t="str">
        <f>"07/01/2015"</f>
        <v>07/01/2015</v>
      </c>
      <c r="B1356" t="str">
        <f>"119.025"</f>
        <v>119.025</v>
      </c>
      <c r="C1356" t="str">
        <f>"118.9988"</f>
        <v>118.9988</v>
      </c>
    </row>
    <row r="1357" spans="1:3" x14ac:dyDescent="0.25">
      <c r="A1357" t="str">
        <f>"08/01/2015"</f>
        <v>08/01/2015</v>
      </c>
      <c r="B1357" t="str">
        <f>"119.769"</f>
        <v>119.769</v>
      </c>
      <c r="C1357" t="str">
        <f>"119.7376"</f>
        <v>119.7376</v>
      </c>
    </row>
    <row r="1358" spans="1:3" x14ac:dyDescent="0.25">
      <c r="A1358" t="str">
        <f>"09/01/2015"</f>
        <v>09/01/2015</v>
      </c>
      <c r="B1358" t="str">
        <f>"119.306"</f>
        <v>119.306</v>
      </c>
      <c r="C1358" t="str">
        <f>"119.2747"</f>
        <v>119.2747</v>
      </c>
    </row>
    <row r="1359" spans="1:3" x14ac:dyDescent="0.25">
      <c r="A1359" t="str">
        <f>"12/01/2015"</f>
        <v>12/01/2015</v>
      </c>
      <c r="B1359" t="str">
        <f>"118.29"</f>
        <v>118.29</v>
      </c>
      <c r="C1359" t="str">
        <f>"118.2597"</f>
        <v>118.2597</v>
      </c>
    </row>
    <row r="1360" spans="1:3" x14ac:dyDescent="0.25">
      <c r="A1360" t="str">
        <f>"13/01/2015"</f>
        <v>13/01/2015</v>
      </c>
      <c r="B1360" t="str">
        <f>"118.25"</f>
        <v>118.25</v>
      </c>
      <c r="C1360" t="str">
        <f>"118.2204"</f>
        <v>118.2204</v>
      </c>
    </row>
    <row r="1361" spans="1:3" x14ac:dyDescent="0.25">
      <c r="A1361" t="str">
        <f>"14/01/2015"</f>
        <v>14/01/2015</v>
      </c>
      <c r="B1361" t="str">
        <f>"117.351"</f>
        <v>117.351</v>
      </c>
      <c r="C1361" t="str">
        <f>"117.3207"</f>
        <v>117.3207</v>
      </c>
    </row>
    <row r="1362" spans="1:3" x14ac:dyDescent="0.25">
      <c r="A1362" t="str">
        <f>"15/01/2015"</f>
        <v>15/01/2015</v>
      </c>
      <c r="B1362" t="str">
        <f>"117.638"</f>
        <v>117.638</v>
      </c>
      <c r="C1362" t="str">
        <f>"117.6082"</f>
        <v>117.6082</v>
      </c>
    </row>
    <row r="1363" spans="1:3" x14ac:dyDescent="0.25">
      <c r="A1363" t="str">
        <f>"16/01/2015"</f>
        <v>16/01/2015</v>
      </c>
      <c r="B1363" t="str">
        <f>"116.405"</f>
        <v>116.405</v>
      </c>
      <c r="C1363" t="str">
        <f>"116.3679"</f>
        <v>116.3679</v>
      </c>
    </row>
    <row r="1364" spans="1:3" x14ac:dyDescent="0.25">
      <c r="A1364" t="str">
        <f>"19/01/2015"</f>
        <v>19/01/2015</v>
      </c>
      <c r="B1364" t="str">
        <f>"117.042"</f>
        <v>117.042</v>
      </c>
      <c r="C1364" t="str">
        <f>"117.0029"</f>
        <v>117.0029</v>
      </c>
    </row>
    <row r="1365" spans="1:3" x14ac:dyDescent="0.25">
      <c r="A1365" t="str">
        <f>"20/01/2015"</f>
        <v>20/01/2015</v>
      </c>
      <c r="B1365" t="str">
        <f>"118.179"</f>
        <v>118.179</v>
      </c>
      <c r="C1365" t="str">
        <f>"118.1388"</f>
        <v>118.1388</v>
      </c>
    </row>
    <row r="1366" spans="1:3" x14ac:dyDescent="0.25">
      <c r="A1366" t="str">
        <f>"21/01/2015"</f>
        <v>21/01/2015</v>
      </c>
      <c r="B1366" t="str">
        <f>"117.941"</f>
        <v>117.941</v>
      </c>
      <c r="C1366" t="str">
        <f>"117.9038"</f>
        <v>117.9038</v>
      </c>
    </row>
    <row r="1367" spans="1:3" x14ac:dyDescent="0.25">
      <c r="A1367" t="str">
        <f>"22/01/2015"</f>
        <v>22/01/2015</v>
      </c>
      <c r="B1367" t="str">
        <f>"118.267"</f>
        <v>118.267</v>
      </c>
      <c r="C1367" t="str">
        <f>"118.2321"</f>
        <v>118.2321</v>
      </c>
    </row>
    <row r="1368" spans="1:3" x14ac:dyDescent="0.25">
      <c r="A1368" t="str">
        <f>"23/01/2015"</f>
        <v>23/01/2015</v>
      </c>
      <c r="B1368" t="str">
        <f>"118.432"</f>
        <v>118.432</v>
      </c>
      <c r="C1368" t="str">
        <f>"118.3986"</f>
        <v>118.3986</v>
      </c>
    </row>
    <row r="1369" spans="1:3" x14ac:dyDescent="0.25">
      <c r="A1369" t="str">
        <f>"27/01/2015"</f>
        <v>27/01/2015</v>
      </c>
      <c r="B1369" t="str">
        <f>"118.272"</f>
        <v>118.272</v>
      </c>
      <c r="C1369" t="str">
        <f>"118.2389"</f>
        <v>118.2389</v>
      </c>
    </row>
    <row r="1370" spans="1:3" x14ac:dyDescent="0.25">
      <c r="A1370" t="str">
        <f>"28/01/2015"</f>
        <v>28/01/2015</v>
      </c>
      <c r="B1370" t="str">
        <f>"118.151"</f>
        <v>118.151</v>
      </c>
      <c r="C1370" t="str">
        <f>"118.1161"</f>
        <v>118.1161</v>
      </c>
    </row>
    <row r="1371" spans="1:3" x14ac:dyDescent="0.25">
      <c r="A1371" t="str">
        <f>"29/01/2015"</f>
        <v>29/01/2015</v>
      </c>
      <c r="B1371" t="str">
        <f>"117.925"</f>
        <v>117.925</v>
      </c>
      <c r="C1371" t="str">
        <f>"117.8912"</f>
        <v>117.8912</v>
      </c>
    </row>
    <row r="1372" spans="1:3" x14ac:dyDescent="0.25">
      <c r="A1372" t="str">
        <f>"30/01/2015"</f>
        <v>30/01/2015</v>
      </c>
      <c r="B1372" t="str">
        <f>"118.004"</f>
        <v>118.004</v>
      </c>
      <c r="C1372" t="str">
        <f>"117.9729"</f>
        <v>117.9729</v>
      </c>
    </row>
    <row r="1373" spans="1:3" x14ac:dyDescent="0.25">
      <c r="A1373" t="str">
        <f>"02/02/2015"</f>
        <v>02/02/2015</v>
      </c>
      <c r="B1373" t="str">
        <f>"117.79"</f>
        <v>117.79</v>
      </c>
      <c r="C1373" t="str">
        <f>"117.758"</f>
        <v>117.758</v>
      </c>
    </row>
    <row r="1374" spans="1:3" x14ac:dyDescent="0.25">
      <c r="A1374" t="str">
        <f>"03/02/2015"</f>
        <v>03/02/2015</v>
      </c>
      <c r="B1374" t="str">
        <f>"117.051"</f>
        <v>117.051</v>
      </c>
      <c r="C1374" t="str">
        <f>"117.0197"</f>
        <v>117.0197</v>
      </c>
    </row>
    <row r="1375" spans="1:3" x14ac:dyDescent="0.25">
      <c r="A1375" t="str">
        <f>"04/02/2015"</f>
        <v>04/02/2015</v>
      </c>
      <c r="B1375" t="str">
        <f>"117.82"</f>
        <v>117.82</v>
      </c>
      <c r="C1375" t="str">
        <f>"117.7898"</f>
        <v>117.7898</v>
      </c>
    </row>
    <row r="1376" spans="1:3" x14ac:dyDescent="0.25">
      <c r="A1376" t="str">
        <f>"05/02/2015"</f>
        <v>05/02/2015</v>
      </c>
      <c r="B1376" t="str">
        <f>"117.32"</f>
        <v>117.32</v>
      </c>
      <c r="C1376" t="str">
        <f>"117.2897"</f>
        <v>117.2897</v>
      </c>
    </row>
    <row r="1377" spans="1:3" x14ac:dyDescent="0.25">
      <c r="A1377" t="str">
        <f>"06/02/2015"</f>
        <v>06/02/2015</v>
      </c>
      <c r="B1377" t="str">
        <f>"117.315"</f>
        <v>117.315</v>
      </c>
      <c r="C1377" t="str">
        <f>"117.284"</f>
        <v>117.284</v>
      </c>
    </row>
    <row r="1378" spans="1:3" x14ac:dyDescent="0.25">
      <c r="A1378" t="str">
        <f>"09/02/2015"</f>
        <v>09/02/2015</v>
      </c>
      <c r="B1378" t="str">
        <f>"118.87"</f>
        <v>118.87</v>
      </c>
      <c r="C1378" t="str">
        <f>"118.8383"</f>
        <v>118.8383</v>
      </c>
    </row>
    <row r="1379" spans="1:3" x14ac:dyDescent="0.25">
      <c r="A1379" t="str">
        <f>"10/02/2015"</f>
        <v>10/02/2015</v>
      </c>
      <c r="B1379" t="str">
        <f>"118.471"</f>
        <v>118.471</v>
      </c>
      <c r="C1379" t="str">
        <f>"118.439"</f>
        <v>118.439</v>
      </c>
    </row>
    <row r="1380" spans="1:3" x14ac:dyDescent="0.25">
      <c r="A1380" t="str">
        <f>"11/02/2015"</f>
        <v>11/02/2015</v>
      </c>
      <c r="B1380" t="str">
        <f>"119.649"</f>
        <v>119.649</v>
      </c>
      <c r="C1380" t="str">
        <f>"119.6172"</f>
        <v>119.6172</v>
      </c>
    </row>
    <row r="1381" spans="1:3" x14ac:dyDescent="0.25">
      <c r="A1381" t="str">
        <f>"12/02/2015"</f>
        <v>12/02/2015</v>
      </c>
      <c r="B1381" t="str">
        <f>"120.244"</f>
        <v>120.244</v>
      </c>
      <c r="C1381" t="str">
        <f>"120.2147"</f>
        <v>120.2147</v>
      </c>
    </row>
    <row r="1382" spans="1:3" x14ac:dyDescent="0.25">
      <c r="A1382" t="str">
        <f>"13/02/2015"</f>
        <v>13/02/2015</v>
      </c>
      <c r="B1382" t="str">
        <f>"118.562"</f>
        <v>118.562</v>
      </c>
      <c r="C1382" t="str">
        <f>"118.5345"</f>
        <v>118.5345</v>
      </c>
    </row>
    <row r="1383" spans="1:3" x14ac:dyDescent="0.25">
      <c r="A1383" t="str">
        <f>"16/02/2015"</f>
        <v>16/02/2015</v>
      </c>
      <c r="B1383" t="str">
        <f>"118.46"</f>
        <v>118.46</v>
      </c>
      <c r="C1383" t="str">
        <f>"118.4324"</f>
        <v>118.4324</v>
      </c>
    </row>
    <row r="1384" spans="1:3" x14ac:dyDescent="0.25">
      <c r="A1384" t="str">
        <f>"18/02/2015"</f>
        <v>18/02/2015</v>
      </c>
      <c r="B1384" t="str">
        <f>"118.79"</f>
        <v>118.79</v>
      </c>
      <c r="C1384" t="str">
        <f>"118.7617"</f>
        <v>118.7617</v>
      </c>
    </row>
    <row r="1385" spans="1:3" x14ac:dyDescent="0.25">
      <c r="A1385" t="str">
        <f>"20/02/2015"</f>
        <v>20/02/2015</v>
      </c>
      <c r="B1385" t="str">
        <f>"119.04"</f>
        <v>119.04</v>
      </c>
      <c r="C1385" t="str">
        <f>"119.0103"</f>
        <v>119.0103</v>
      </c>
    </row>
    <row r="1386" spans="1:3" x14ac:dyDescent="0.25">
      <c r="A1386" t="str">
        <f>"23/02/2015"</f>
        <v>23/02/2015</v>
      </c>
      <c r="B1386" t="str">
        <f>"118.82"</f>
        <v>118.82</v>
      </c>
      <c r="C1386" t="str">
        <f>"118.7836"</f>
        <v>118.7836</v>
      </c>
    </row>
    <row r="1387" spans="1:3" x14ac:dyDescent="0.25">
      <c r="A1387" t="str">
        <f>"24/02/2015"</f>
        <v>24/02/2015</v>
      </c>
      <c r="B1387" t="str">
        <f>"118.98"</f>
        <v>118.98</v>
      </c>
      <c r="C1387" t="str">
        <f>"118.9437"</f>
        <v>118.9437</v>
      </c>
    </row>
    <row r="1388" spans="1:3" x14ac:dyDescent="0.25">
      <c r="A1388" t="str">
        <f>"25/02/2015"</f>
        <v>25/02/2015</v>
      </c>
      <c r="B1388" t="str">
        <f>"118.87"</f>
        <v>118.87</v>
      </c>
      <c r="C1388" t="str">
        <f>"118.8315"</f>
        <v>118.8315</v>
      </c>
    </row>
    <row r="1389" spans="1:3" x14ac:dyDescent="0.25">
      <c r="A1389" t="str">
        <f>"26/02/2015"</f>
        <v>26/02/2015</v>
      </c>
      <c r="B1389" t="str">
        <f>"119.42"</f>
        <v>119.42</v>
      </c>
      <c r="C1389" t="str">
        <f>"119.3737"</f>
        <v>119.3737</v>
      </c>
    </row>
    <row r="1390" spans="1:3" x14ac:dyDescent="0.25">
      <c r="A1390" t="str">
        <f>"27/02/2015"</f>
        <v>27/02/2015</v>
      </c>
      <c r="B1390" t="str">
        <f>"119.63"</f>
        <v>119.63</v>
      </c>
      <c r="C1390" t="str">
        <f>"119.5796"</f>
        <v>119.5796</v>
      </c>
    </row>
    <row r="1391" spans="1:3" x14ac:dyDescent="0.25">
      <c r="A1391" t="str">
        <f>"02/03/2015"</f>
        <v>02/03/2015</v>
      </c>
      <c r="B1391" t="str">
        <f>"120.14"</f>
        <v>120.14</v>
      </c>
      <c r="C1391" t="str">
        <f>"120.0848"</f>
        <v>120.0848</v>
      </c>
    </row>
    <row r="1392" spans="1:3" x14ac:dyDescent="0.25">
      <c r="A1392" t="str">
        <f>"03/03/2015"</f>
        <v>03/03/2015</v>
      </c>
      <c r="B1392" t="str">
        <f>"119.74"</f>
        <v>119.74</v>
      </c>
      <c r="C1392" t="str">
        <f>"119.686"</f>
        <v>119.686</v>
      </c>
    </row>
    <row r="1393" spans="1:3" x14ac:dyDescent="0.25">
      <c r="A1393" t="str">
        <f>"04/03/2015"</f>
        <v>04/03/2015</v>
      </c>
      <c r="B1393" t="str">
        <f>"119.68"</f>
        <v>119.68</v>
      </c>
      <c r="C1393" t="str">
        <f>"119.6246"</f>
        <v>119.6246</v>
      </c>
    </row>
    <row r="1394" spans="1:3" x14ac:dyDescent="0.25">
      <c r="A1394" t="str">
        <f>"05/03/2015"</f>
        <v>05/03/2015</v>
      </c>
      <c r="B1394" t="str">
        <f>"120.14"</f>
        <v>120.14</v>
      </c>
      <c r="C1394" t="str">
        <f>"120.0871"</f>
        <v>120.0871</v>
      </c>
    </row>
    <row r="1395" spans="1:3" x14ac:dyDescent="0.25">
      <c r="A1395" t="str">
        <f>"09/03/2015"</f>
        <v>09/03/2015</v>
      </c>
      <c r="B1395" t="str">
        <f>"121.16"</f>
        <v>121.16</v>
      </c>
      <c r="C1395" t="str">
        <f>"121.1097"</f>
        <v>121.1097</v>
      </c>
    </row>
    <row r="1396" spans="1:3" x14ac:dyDescent="0.25">
      <c r="A1396" t="str">
        <f>"10/03/2015"</f>
        <v>10/03/2015</v>
      </c>
      <c r="B1396" t="str">
        <f>"121.14"</f>
        <v>121.14</v>
      </c>
      <c r="C1396" t="str">
        <f>"121.0894"</f>
        <v>121.0894</v>
      </c>
    </row>
    <row r="1397" spans="1:3" x14ac:dyDescent="0.25">
      <c r="A1397" t="str">
        <f>"11/03/2015"</f>
        <v>11/03/2015</v>
      </c>
      <c r="B1397" t="str">
        <f>"121.46"</f>
        <v>121.46</v>
      </c>
      <c r="C1397" t="str">
        <f>"121.4088"</f>
        <v>121.4088</v>
      </c>
    </row>
    <row r="1398" spans="1:3" x14ac:dyDescent="0.25">
      <c r="A1398" t="str">
        <f>"12/03/2015"</f>
        <v>12/03/2015</v>
      </c>
      <c r="B1398" t="str">
        <f>"121.29"</f>
        <v>121.29</v>
      </c>
      <c r="C1398" t="str">
        <f>"121.2409"</f>
        <v>121.2409</v>
      </c>
    </row>
    <row r="1399" spans="1:3" x14ac:dyDescent="0.25">
      <c r="A1399" t="str">
        <f>"13/03/2015"</f>
        <v>13/03/2015</v>
      </c>
      <c r="B1399" t="str">
        <f>"121.40"</f>
        <v>121.40</v>
      </c>
      <c r="C1399" t="str">
        <f>"121.3507"</f>
        <v>121.3507</v>
      </c>
    </row>
    <row r="1400" spans="1:3" x14ac:dyDescent="0.25">
      <c r="A1400" t="str">
        <f>"16/03/2015"</f>
        <v>16/03/2015</v>
      </c>
      <c r="B1400" t="str">
        <f>"121.34"</f>
        <v>121.34</v>
      </c>
      <c r="C1400" t="str">
        <f>"121.2805"</f>
        <v>121.2805</v>
      </c>
    </row>
    <row r="1401" spans="1:3" x14ac:dyDescent="0.25">
      <c r="A1401" t="str">
        <f>"17/03/2015"</f>
        <v>17/03/2015</v>
      </c>
      <c r="B1401" t="str">
        <f>"121.37"</f>
        <v>121.37</v>
      </c>
      <c r="C1401" t="str">
        <f>"121.3125"</f>
        <v>121.3125</v>
      </c>
    </row>
    <row r="1402" spans="1:3" x14ac:dyDescent="0.25">
      <c r="A1402" t="str">
        <f>"18/03/2015"</f>
        <v>18/03/2015</v>
      </c>
      <c r="B1402" t="str">
        <f>"120.12"</f>
        <v>120.12</v>
      </c>
      <c r="C1402" t="str">
        <f>"120.0643"</f>
        <v>120.0643</v>
      </c>
    </row>
    <row r="1403" spans="1:3" x14ac:dyDescent="0.25">
      <c r="A1403" t="str">
        <f>"19/03/2015"</f>
        <v>19/03/2015</v>
      </c>
      <c r="B1403" t="str">
        <f>"120.78"</f>
        <v>120.78</v>
      </c>
      <c r="C1403" t="str">
        <f>"120.7322"</f>
        <v>120.7322</v>
      </c>
    </row>
    <row r="1404" spans="1:3" x14ac:dyDescent="0.25">
      <c r="A1404" t="str">
        <f>"20/03/2015"</f>
        <v>20/03/2015</v>
      </c>
      <c r="B1404" t="str">
        <f>"120.04"</f>
        <v>120.04</v>
      </c>
      <c r="C1404" t="str">
        <f>"119.9906"</f>
        <v>119.9906</v>
      </c>
    </row>
    <row r="1405" spans="1:3" x14ac:dyDescent="0.25">
      <c r="A1405" t="str">
        <f>"23/03/2015"</f>
        <v>23/03/2015</v>
      </c>
      <c r="B1405" t="str">
        <f>"119.73"</f>
        <v>119.73</v>
      </c>
      <c r="C1405" t="str">
        <f>"119.6754"</f>
        <v>119.6754</v>
      </c>
    </row>
    <row r="1406" spans="1:3" x14ac:dyDescent="0.25">
      <c r="A1406" t="str">
        <f>"24/03/2015"</f>
        <v>24/03/2015</v>
      </c>
      <c r="B1406" t="str">
        <f>"119.76"</f>
        <v>119.76</v>
      </c>
      <c r="C1406" t="str">
        <f>"119.7113"</f>
        <v>119.7113</v>
      </c>
    </row>
    <row r="1407" spans="1:3" x14ac:dyDescent="0.25">
      <c r="A1407" t="str">
        <f>"25/03/2015"</f>
        <v>25/03/2015</v>
      </c>
      <c r="B1407" t="str">
        <f>"119.50"</f>
        <v>119.50</v>
      </c>
      <c r="C1407" t="str">
        <f>"119.4537"</f>
        <v>119.4537</v>
      </c>
    </row>
    <row r="1408" spans="1:3" x14ac:dyDescent="0.25">
      <c r="A1408" t="str">
        <f>"26/03/2015"</f>
        <v>26/03/2015</v>
      </c>
      <c r="B1408" t="str">
        <f>"119.19"</f>
        <v>119.19</v>
      </c>
      <c r="C1408" t="str">
        <f>"119.1409"</f>
        <v>119.1409</v>
      </c>
    </row>
    <row r="1409" spans="1:3" x14ac:dyDescent="0.25">
      <c r="A1409" t="str">
        <f>"27/03/2015"</f>
        <v>27/03/2015</v>
      </c>
      <c r="B1409" t="str">
        <f>"119.14"</f>
        <v>119.14</v>
      </c>
      <c r="C1409" t="str">
        <f>"119.0833"</f>
        <v>119.0833</v>
      </c>
    </row>
    <row r="1410" spans="1:3" x14ac:dyDescent="0.25">
      <c r="A1410" t="str">
        <f>"30/03/2015"</f>
        <v>30/03/2015</v>
      </c>
      <c r="B1410" t="str">
        <f>"120.08"</f>
        <v>120.08</v>
      </c>
      <c r="C1410" t="str">
        <f>"120.0367"</f>
        <v>120.0367</v>
      </c>
    </row>
    <row r="1411" spans="1:3" x14ac:dyDescent="0.25">
      <c r="A1411" t="str">
        <f>"31/03/2015"</f>
        <v>31/03/2015</v>
      </c>
      <c r="B1411" t="str">
        <f>"120.13"</f>
        <v>120.13</v>
      </c>
      <c r="C1411" t="str">
        <f>"120.0761"</f>
        <v>120.0761</v>
      </c>
    </row>
    <row r="1412" spans="1:3" x14ac:dyDescent="0.25">
      <c r="A1412" t="str">
        <f>"06/04/2015"</f>
        <v>06/04/2015</v>
      </c>
      <c r="B1412" t="str">
        <f>"119.54"</f>
        <v>119.54</v>
      </c>
      <c r="C1412" t="str">
        <f>"119.5004"</f>
        <v>119.5004</v>
      </c>
    </row>
    <row r="1413" spans="1:3" x14ac:dyDescent="0.25">
      <c r="A1413" t="str">
        <f>"07/04/2015"</f>
        <v>07/04/2015</v>
      </c>
      <c r="B1413" t="str">
        <f>"120.28"</f>
        <v>120.28</v>
      </c>
      <c r="C1413" t="str">
        <f>"120.2372"</f>
        <v>120.2372</v>
      </c>
    </row>
    <row r="1414" spans="1:3" x14ac:dyDescent="0.25">
      <c r="A1414" t="str">
        <f>"08/04/2015"</f>
        <v>08/04/2015</v>
      </c>
      <c r="B1414" t="str">
        <f>"120.14"</f>
        <v>120.14</v>
      </c>
      <c r="C1414" t="str">
        <f>"120.0975"</f>
        <v>120.0975</v>
      </c>
    </row>
    <row r="1415" spans="1:3" x14ac:dyDescent="0.25">
      <c r="A1415" t="str">
        <f>"09/04/2015"</f>
        <v>09/04/2015</v>
      </c>
      <c r="B1415" t="str">
        <f>"120.58"</f>
        <v>120.58</v>
      </c>
      <c r="C1415" t="str">
        <f>"120.5428"</f>
        <v>120.5428</v>
      </c>
    </row>
    <row r="1416" spans="1:3" x14ac:dyDescent="0.25">
      <c r="A1416" t="str">
        <f>"10/04/2015"</f>
        <v>10/04/2015</v>
      </c>
      <c r="B1416" t="str">
        <f>"120.23"</f>
        <v>120.23</v>
      </c>
      <c r="C1416" t="str">
        <f>"120.1911"</f>
        <v>120.1911</v>
      </c>
    </row>
    <row r="1417" spans="1:3" x14ac:dyDescent="0.25">
      <c r="A1417" t="str">
        <f>"13/04/2015"</f>
        <v>13/04/2015</v>
      </c>
      <c r="B1417" t="str">
        <f>"120.14"</f>
        <v>120.14</v>
      </c>
      <c r="C1417" t="str">
        <f>"120.1033"</f>
        <v>120.1033</v>
      </c>
    </row>
    <row r="1418" spans="1:3" x14ac:dyDescent="0.25">
      <c r="A1418" t="str">
        <f>"15/04/2015"</f>
        <v>15/04/2015</v>
      </c>
      <c r="B1418" t="str">
        <f>"119.14"</f>
        <v>119.14</v>
      </c>
      <c r="C1418" t="str">
        <f>"119.1008"</f>
        <v>119.1008</v>
      </c>
    </row>
    <row r="1419" spans="1:3" x14ac:dyDescent="0.25">
      <c r="A1419" t="str">
        <f>"16/04/2015"</f>
        <v>16/04/2015</v>
      </c>
      <c r="B1419" t="str">
        <f>"119.02"</f>
        <v>119.02</v>
      </c>
      <c r="C1419" t="str">
        <f>"118.9825"</f>
        <v>118.9825</v>
      </c>
    </row>
    <row r="1420" spans="1:3" x14ac:dyDescent="0.25">
      <c r="A1420" t="str">
        <f>"17/04/2015"</f>
        <v>17/04/2015</v>
      </c>
      <c r="B1420" t="str">
        <f>"118.91"</f>
        <v>118.91</v>
      </c>
      <c r="C1420" t="str">
        <f>"118.8742"</f>
        <v>118.8742</v>
      </c>
    </row>
    <row r="1421" spans="1:3" x14ac:dyDescent="0.25">
      <c r="A1421" t="str">
        <f>"20/04/2015"</f>
        <v>20/04/2015</v>
      </c>
      <c r="B1421" t="str">
        <f>"119.18"</f>
        <v>119.18</v>
      </c>
      <c r="C1421" t="str">
        <f>"119.1457"</f>
        <v>119.1457</v>
      </c>
    </row>
    <row r="1422" spans="1:3" x14ac:dyDescent="0.25">
      <c r="A1422" t="str">
        <f>"21/04/2015"</f>
        <v>21/04/2015</v>
      </c>
      <c r="B1422" t="str">
        <f>"119.68"</f>
        <v>119.68</v>
      </c>
      <c r="C1422" t="str">
        <f>"119.6454"</f>
        <v>119.6454</v>
      </c>
    </row>
    <row r="1423" spans="1:3" x14ac:dyDescent="0.25">
      <c r="A1423" t="str">
        <f>"22/04/2015"</f>
        <v>22/04/2015</v>
      </c>
      <c r="B1423" t="str">
        <f>"119.92"</f>
        <v>119.92</v>
      </c>
      <c r="C1423" t="str">
        <f>"119.8872"</f>
        <v>119.8872</v>
      </c>
    </row>
    <row r="1424" spans="1:3" x14ac:dyDescent="0.25">
      <c r="A1424" t="str">
        <f>"23/04/2015"</f>
        <v>23/04/2015</v>
      </c>
      <c r="B1424" t="str">
        <f>"119.59"</f>
        <v>119.59</v>
      </c>
      <c r="C1424" t="str">
        <f>"119.5602"</f>
        <v>119.5602</v>
      </c>
    </row>
    <row r="1425" spans="1:3" x14ac:dyDescent="0.25">
      <c r="A1425" t="str">
        <f>"24/04/2015"</f>
        <v>24/04/2015</v>
      </c>
      <c r="B1425" t="str">
        <f>"118.99"</f>
        <v>118.99</v>
      </c>
      <c r="C1425" t="str">
        <f>"118.9607"</f>
        <v>118.9607</v>
      </c>
    </row>
    <row r="1426" spans="1:3" x14ac:dyDescent="0.25">
      <c r="A1426" t="str">
        <f>"27/04/2015"</f>
        <v>27/04/2015</v>
      </c>
      <c r="B1426" t="str">
        <f>"119.04"</f>
        <v>119.04</v>
      </c>
      <c r="C1426" t="str">
        <f>"119.008"</f>
        <v>119.008</v>
      </c>
    </row>
    <row r="1427" spans="1:3" x14ac:dyDescent="0.25">
      <c r="A1427" t="str">
        <f>"28/04/2015"</f>
        <v>28/04/2015</v>
      </c>
      <c r="B1427" t="str">
        <f>"118.86"</f>
        <v>118.86</v>
      </c>
      <c r="C1427" t="str">
        <f>"118.8274"</f>
        <v>118.8274</v>
      </c>
    </row>
    <row r="1428" spans="1:3" x14ac:dyDescent="0.25">
      <c r="A1428" t="str">
        <f>"29/04/2015"</f>
        <v>29/04/2015</v>
      </c>
      <c r="B1428" t="str">
        <f>"119.02"</f>
        <v>119.02</v>
      </c>
      <c r="C1428" t="str">
        <f>"118.9886"</f>
        <v>118.9886</v>
      </c>
    </row>
    <row r="1429" spans="1:3" x14ac:dyDescent="0.25">
      <c r="A1429" t="str">
        <f>"30/04/2015"</f>
        <v>30/04/2015</v>
      </c>
      <c r="B1429" t="str">
        <f>"119.38"</f>
        <v>119.38</v>
      </c>
      <c r="C1429" t="str">
        <f>"119.348"</f>
        <v>119.348</v>
      </c>
    </row>
    <row r="1430" spans="1:3" x14ac:dyDescent="0.25">
      <c r="A1430" t="str">
        <f>"05/05/2015"</f>
        <v>05/05/2015</v>
      </c>
      <c r="B1430" t="str">
        <f>"119.86"</f>
        <v>119.86</v>
      </c>
      <c r="C1430" t="str">
        <f>"119.8257"</f>
        <v>119.8257</v>
      </c>
    </row>
    <row r="1431" spans="1:3" x14ac:dyDescent="0.25">
      <c r="A1431" t="str">
        <f>"06/05/2015"</f>
        <v>06/05/2015</v>
      </c>
      <c r="B1431" t="str">
        <f>"119.937"</f>
        <v>119.937</v>
      </c>
      <c r="C1431" t="str">
        <f>"119.9057"</f>
        <v>119.9057</v>
      </c>
    </row>
    <row r="1432" spans="1:3" x14ac:dyDescent="0.25">
      <c r="A1432" t="str">
        <f>"07/05/2015"</f>
        <v>07/05/2015</v>
      </c>
      <c r="B1432" t="str">
        <f>"119.74"</f>
        <v>119.74</v>
      </c>
      <c r="C1432" t="str">
        <f>"119.7069"</f>
        <v>119.7069</v>
      </c>
    </row>
    <row r="1433" spans="1:3" x14ac:dyDescent="0.25">
      <c r="A1433" t="str">
        <f>"08/05/2015"</f>
        <v>08/05/2015</v>
      </c>
      <c r="B1433" t="str">
        <f>"119.77"</f>
        <v>119.77</v>
      </c>
      <c r="C1433" t="str">
        <f>"119.741"</f>
        <v>119.741</v>
      </c>
    </row>
    <row r="1434" spans="1:3" x14ac:dyDescent="0.25">
      <c r="A1434" t="str">
        <f>"11/05/2015"</f>
        <v>11/05/2015</v>
      </c>
      <c r="B1434" t="str">
        <f>"120.09"</f>
        <v>120.09</v>
      </c>
      <c r="C1434" t="str">
        <f>"120.0564"</f>
        <v>120.0564</v>
      </c>
    </row>
    <row r="1435" spans="1:3" x14ac:dyDescent="0.25">
      <c r="A1435" t="str">
        <f>"12/05/2015"</f>
        <v>12/05/2015</v>
      </c>
      <c r="B1435" t="str">
        <f>"119.88"</f>
        <v>119.88</v>
      </c>
      <c r="C1435" t="str">
        <f>"119.8414"</f>
        <v>119.8414</v>
      </c>
    </row>
    <row r="1436" spans="1:3" x14ac:dyDescent="0.25">
      <c r="A1436" t="str">
        <f>"13/05/2015"</f>
        <v>13/05/2015</v>
      </c>
      <c r="B1436" t="str">
        <f>"119.16"</f>
        <v>119.16</v>
      </c>
      <c r="C1436" t="str">
        <f>"119.1292"</f>
        <v>119.1292</v>
      </c>
    </row>
    <row r="1437" spans="1:3" x14ac:dyDescent="0.25">
      <c r="A1437" t="str">
        <f>"14/05/2015"</f>
        <v>14/05/2015</v>
      </c>
      <c r="B1437" t="str">
        <f>"119.18"</f>
        <v>119.18</v>
      </c>
      <c r="C1437" t="str">
        <f>"119.1476"</f>
        <v>119.1476</v>
      </c>
    </row>
    <row r="1438" spans="1:3" x14ac:dyDescent="0.25">
      <c r="A1438" t="str">
        <f>"15/05/2015"</f>
        <v>15/05/2015</v>
      </c>
      <c r="B1438" t="str">
        <f>"119.25"</f>
        <v>119.25</v>
      </c>
      <c r="C1438" t="str">
        <f>"119.2177"</f>
        <v>119.2177</v>
      </c>
    </row>
    <row r="1439" spans="1:3" x14ac:dyDescent="0.25">
      <c r="A1439" t="str">
        <f>"18/05/2015"</f>
        <v>18/05/2015</v>
      </c>
      <c r="B1439" t="str">
        <f>"119.99"</f>
        <v>119.99</v>
      </c>
      <c r="C1439" t="str">
        <f>"119.954"</f>
        <v>119.954</v>
      </c>
    </row>
    <row r="1440" spans="1:3" x14ac:dyDescent="0.25">
      <c r="A1440" t="str">
        <f>"19/05/2015"</f>
        <v>19/05/2015</v>
      </c>
      <c r="B1440" t="str">
        <f>"120.70"</f>
        <v>120.70</v>
      </c>
      <c r="C1440" t="str">
        <f>"120.6656"</f>
        <v>120.6656</v>
      </c>
    </row>
    <row r="1441" spans="1:3" x14ac:dyDescent="0.25">
      <c r="A1441" t="str">
        <f>"20/05/2015"</f>
        <v>20/05/2015</v>
      </c>
      <c r="B1441" t="str">
        <f>"121.35"</f>
        <v>121.35</v>
      </c>
      <c r="C1441" t="str">
        <f>"121.3168"</f>
        <v>121.3168</v>
      </c>
    </row>
    <row r="1442" spans="1:3" x14ac:dyDescent="0.25">
      <c r="A1442" t="str">
        <f>"21/05/2015"</f>
        <v>21/05/2015</v>
      </c>
      <c r="B1442" t="str">
        <f>"121.04"</f>
        <v>121.04</v>
      </c>
      <c r="C1442" t="str">
        <f>"121.0091"</f>
        <v>121.0091</v>
      </c>
    </row>
    <row r="1443" spans="1:3" x14ac:dyDescent="0.25">
      <c r="A1443" t="str">
        <f>"22/05/2015"</f>
        <v>22/05/2015</v>
      </c>
      <c r="B1443" t="str">
        <f>"121.55"</f>
        <v>121.55</v>
      </c>
      <c r="C1443" t="str">
        <f>"121.5219"</f>
        <v>121.5219</v>
      </c>
    </row>
    <row r="1444" spans="1:3" x14ac:dyDescent="0.25">
      <c r="A1444" t="str">
        <f>"25/05/2015"</f>
        <v>25/05/2015</v>
      </c>
      <c r="B1444" t="str">
        <f>"121.56"</f>
        <v>121.56</v>
      </c>
      <c r="C1444" t="str">
        <f>"121.5304"</f>
        <v>121.5304</v>
      </c>
    </row>
    <row r="1445" spans="1:3" x14ac:dyDescent="0.25">
      <c r="A1445" t="str">
        <f>"26/05/2015"</f>
        <v>26/05/2015</v>
      </c>
      <c r="B1445" t="str">
        <f>"123.10"</f>
        <v>123.10</v>
      </c>
      <c r="C1445" t="str">
        <f>"123.0701"</f>
        <v>123.0701</v>
      </c>
    </row>
    <row r="1446" spans="1:3" x14ac:dyDescent="0.25">
      <c r="A1446" t="str">
        <f>"27/05/2015"</f>
        <v>27/05/2015</v>
      </c>
      <c r="B1446" t="str">
        <f>"123.66"</f>
        <v>123.66</v>
      </c>
      <c r="C1446" t="str">
        <f>"123.6266"</f>
        <v>123.6266</v>
      </c>
    </row>
    <row r="1447" spans="1:3" x14ac:dyDescent="0.25">
      <c r="A1447" t="str">
        <f>"28/05/2015"</f>
        <v>28/05/2015</v>
      </c>
      <c r="B1447" t="str">
        <f>"123.96"</f>
        <v>123.96</v>
      </c>
      <c r="C1447" t="str">
        <f>"123.9083"</f>
        <v>123.9083</v>
      </c>
    </row>
    <row r="1448" spans="1:3" x14ac:dyDescent="0.25">
      <c r="A1448" t="str">
        <f>"29/05/2015"</f>
        <v>29/05/2015</v>
      </c>
      <c r="B1448" t="str">
        <f>"124.15"</f>
        <v>124.15</v>
      </c>
      <c r="C1448" t="str">
        <f>"124.0975"</f>
        <v>124.0975</v>
      </c>
    </row>
    <row r="1449" spans="1:3" x14ac:dyDescent="0.25">
      <c r="A1449" t="str">
        <f>"01/06/2015"</f>
        <v>01/06/2015</v>
      </c>
      <c r="B1449" t="str">
        <f>"124.78"</f>
        <v>124.78</v>
      </c>
      <c r="C1449" t="str">
        <f>"124.7304"</f>
        <v>124.7304</v>
      </c>
    </row>
    <row r="1450" spans="1:3" x14ac:dyDescent="0.25">
      <c r="A1450" t="str">
        <f>"02/06/2015"</f>
        <v>02/06/2015</v>
      </c>
      <c r="B1450" t="str">
        <f>"124.12"</f>
        <v>124.12</v>
      </c>
      <c r="C1450" t="str">
        <f>"124.0678"</f>
        <v>124.0678</v>
      </c>
    </row>
    <row r="1451" spans="1:3" x14ac:dyDescent="0.25">
      <c r="A1451" t="str">
        <f>"03/06/2015"</f>
        <v>03/06/2015</v>
      </c>
      <c r="B1451" t="str">
        <f>"124.25"</f>
        <v>124.25</v>
      </c>
      <c r="C1451" t="str">
        <f>"124.1933"</f>
        <v>124.1933</v>
      </c>
    </row>
    <row r="1452" spans="1:3" x14ac:dyDescent="0.25">
      <c r="A1452" t="str">
        <f>"04/06/2015"</f>
        <v>04/06/2015</v>
      </c>
      <c r="B1452" t="str">
        <f>"124.37"</f>
        <v>124.37</v>
      </c>
      <c r="C1452" t="str">
        <f>"124.3133"</f>
        <v>124.3133</v>
      </c>
    </row>
    <row r="1453" spans="1:3" x14ac:dyDescent="0.25">
      <c r="A1453" t="str">
        <f>"05/06/2015"</f>
        <v>05/06/2015</v>
      </c>
      <c r="B1453" t="str">
        <f>"125.63"</f>
        <v>125.63</v>
      </c>
      <c r="C1453" t="str">
        <f>"125.573"</f>
        <v>125.573</v>
      </c>
    </row>
    <row r="1454" spans="1:3" x14ac:dyDescent="0.25">
      <c r="A1454" t="str">
        <f>"08/06/2015"</f>
        <v>08/06/2015</v>
      </c>
      <c r="B1454" t="str">
        <f>"124.49"</f>
        <v>124.49</v>
      </c>
      <c r="C1454" t="str">
        <f>"124.4301"</f>
        <v>124.4301</v>
      </c>
    </row>
    <row r="1455" spans="1:3" x14ac:dyDescent="0.25">
      <c r="A1455" t="str">
        <f>"09/06/2015"</f>
        <v>09/06/2015</v>
      </c>
      <c r="B1455" t="str">
        <f>"124.35"</f>
        <v>124.35</v>
      </c>
      <c r="C1455" t="str">
        <f>"124.2879"</f>
        <v>124.2879</v>
      </c>
    </row>
    <row r="1456" spans="1:3" x14ac:dyDescent="0.25">
      <c r="A1456" t="str">
        <f>"10/06/2015"</f>
        <v>10/06/2015</v>
      </c>
      <c r="B1456" t="str">
        <f>"122.68"</f>
        <v>122.68</v>
      </c>
      <c r="C1456" t="str">
        <f>"122.626"</f>
        <v>122.626</v>
      </c>
    </row>
    <row r="1457" spans="1:3" x14ac:dyDescent="0.25">
      <c r="A1457" t="str">
        <f>"11/06/2015"</f>
        <v>11/06/2015</v>
      </c>
      <c r="B1457" t="str">
        <f>"123.43"</f>
        <v>123.43</v>
      </c>
      <c r="C1457" t="str">
        <f>"123.3773"</f>
        <v>123.3773</v>
      </c>
    </row>
    <row r="1458" spans="1:3" x14ac:dyDescent="0.25">
      <c r="A1458" t="str">
        <f>"12/06/2015"</f>
        <v>12/06/2015</v>
      </c>
      <c r="B1458" t="str">
        <f>"123.40"</f>
        <v>123.40</v>
      </c>
      <c r="C1458" t="str">
        <f>"123.3466"</f>
        <v>123.3466</v>
      </c>
    </row>
    <row r="1459" spans="1:3" x14ac:dyDescent="0.25">
      <c r="A1459" t="str">
        <f>"15/06/2015"</f>
        <v>15/06/2015</v>
      </c>
      <c r="B1459" t="str">
        <f>"123.42"</f>
        <v>123.42</v>
      </c>
      <c r="C1459" t="str">
        <f>"123.3603"</f>
        <v>123.3603</v>
      </c>
    </row>
    <row r="1460" spans="1:3" x14ac:dyDescent="0.25">
      <c r="A1460" t="str">
        <f>"16/06/2015"</f>
        <v>16/06/2015</v>
      </c>
      <c r="B1460" t="str">
        <f>"123.36"</f>
        <v>123.36</v>
      </c>
      <c r="C1460" t="str">
        <f>"123.2983"</f>
        <v>123.2983</v>
      </c>
    </row>
    <row r="1461" spans="1:3" x14ac:dyDescent="0.25">
      <c r="A1461" t="str">
        <f>"17/06/2015"</f>
        <v>17/06/2015</v>
      </c>
      <c r="B1461" t="str">
        <f>"123.478"</f>
        <v>123.478</v>
      </c>
      <c r="C1461" t="str">
        <f>"123.4169"</f>
        <v>123.4169</v>
      </c>
    </row>
    <row r="1462" spans="1:3" x14ac:dyDescent="0.25">
      <c r="A1462" t="str">
        <f>"18/06/2015"</f>
        <v>18/06/2015</v>
      </c>
      <c r="B1462" t="str">
        <f>"122.97"</f>
        <v>122.97</v>
      </c>
      <c r="C1462" t="str">
        <f>"122.9163"</f>
        <v>122.9163</v>
      </c>
    </row>
    <row r="1463" spans="1:3" x14ac:dyDescent="0.25">
      <c r="A1463" t="str">
        <f>"19/06/2015"</f>
        <v>19/06/2015</v>
      </c>
      <c r="B1463" t="str">
        <f>"122.71"</f>
        <v>122.71</v>
      </c>
      <c r="C1463" t="str">
        <f>"122.6538"</f>
        <v>122.6538</v>
      </c>
    </row>
    <row r="1464" spans="1:3" x14ac:dyDescent="0.25">
      <c r="A1464" t="str">
        <f>"22/06/2015"</f>
        <v>22/06/2015</v>
      </c>
      <c r="B1464" t="str">
        <f>"123.38"</f>
        <v>123.38</v>
      </c>
      <c r="C1464" t="str">
        <f>"123.3191"</f>
        <v>123.3191</v>
      </c>
    </row>
    <row r="1465" spans="1:3" x14ac:dyDescent="0.25">
      <c r="A1465" t="str">
        <f>"23/06/2015"</f>
        <v>23/06/2015</v>
      </c>
      <c r="B1465" t="str">
        <f>"123.95"</f>
        <v>123.95</v>
      </c>
      <c r="C1465" t="str">
        <f>"123.8889"</f>
        <v>123.8889</v>
      </c>
    </row>
    <row r="1466" spans="1:3" x14ac:dyDescent="0.25">
      <c r="A1466" t="str">
        <f>"24/06/2015"</f>
        <v>24/06/2015</v>
      </c>
      <c r="B1466" t="str">
        <f>"123.86"</f>
        <v>123.86</v>
      </c>
      <c r="C1466" t="str">
        <f>"123.8025"</f>
        <v>123.8025</v>
      </c>
    </row>
    <row r="1467" spans="1:3" x14ac:dyDescent="0.25">
      <c r="A1467" t="str">
        <f>"25/06/2015"</f>
        <v>25/06/2015</v>
      </c>
      <c r="B1467" t="str">
        <f>"123.63"</f>
        <v>123.63</v>
      </c>
      <c r="C1467" t="str">
        <f>"123.5774"</f>
        <v>123.5774</v>
      </c>
    </row>
    <row r="1468" spans="1:3" x14ac:dyDescent="0.25">
      <c r="A1468" t="str">
        <f>"26/06/2015"</f>
        <v>26/06/2015</v>
      </c>
      <c r="B1468" t="str">
        <f>"123.86"</f>
        <v>123.86</v>
      </c>
      <c r="C1468" t="str">
        <f>"123.7988"</f>
        <v>123.7988</v>
      </c>
    </row>
    <row r="1469" spans="1:3" x14ac:dyDescent="0.25">
      <c r="A1469" t="str">
        <f>"29/06/2015"</f>
        <v>29/06/2015</v>
      </c>
      <c r="B1469" t="str">
        <f>"122.55"</f>
        <v>122.55</v>
      </c>
      <c r="C1469" t="str">
        <f>"122.5048"</f>
        <v>122.5048</v>
      </c>
    </row>
    <row r="1470" spans="1:3" x14ac:dyDescent="0.25">
      <c r="A1470" t="str">
        <f>"30/06/2015"</f>
        <v>30/06/2015</v>
      </c>
      <c r="B1470" t="str">
        <f>"122.50"</f>
        <v>122.50</v>
      </c>
      <c r="C1470" t="str">
        <f>"122.4581"</f>
        <v>122.4581</v>
      </c>
    </row>
    <row r="1471" spans="1:3" x14ac:dyDescent="0.25">
      <c r="A1471" t="str">
        <f>"01/07/2015"</f>
        <v>01/07/2015</v>
      </c>
      <c r="B1471" t="str">
        <f>"123.18"</f>
        <v>123.18</v>
      </c>
      <c r="C1471" t="str">
        <f>"123.1327"</f>
        <v>123.1327</v>
      </c>
    </row>
    <row r="1472" spans="1:3" x14ac:dyDescent="0.25">
      <c r="A1472" t="str">
        <f>"02/07/2015"</f>
        <v>02/07/2015</v>
      </c>
      <c r="B1472" t="str">
        <f>"123.07"</f>
        <v>123.07</v>
      </c>
      <c r="C1472" t="str">
        <f>"123.0272"</f>
        <v>123.0272</v>
      </c>
    </row>
    <row r="1473" spans="1:3" x14ac:dyDescent="0.25">
      <c r="A1473" t="str">
        <f>"03/07/2015"</f>
        <v>03/07/2015</v>
      </c>
      <c r="B1473" t="str">
        <f>"122.79"</f>
        <v>122.79</v>
      </c>
      <c r="C1473" t="str">
        <f>"122.7479"</f>
        <v>122.7479</v>
      </c>
    </row>
    <row r="1474" spans="1:3" x14ac:dyDescent="0.25">
      <c r="A1474" t="str">
        <f>"06/07/2015"</f>
        <v>06/07/2015</v>
      </c>
      <c r="B1474" t="str">
        <f>"122.58"</f>
        <v>122.58</v>
      </c>
      <c r="C1474" t="str">
        <f>"122.5301"</f>
        <v>122.5301</v>
      </c>
    </row>
    <row r="1475" spans="1:3" x14ac:dyDescent="0.25">
      <c r="A1475" t="str">
        <f>"07/07/2015"</f>
        <v>07/07/2015</v>
      </c>
      <c r="B1475" t="str">
        <f>"122.54"</f>
        <v>122.54</v>
      </c>
      <c r="C1475" t="str">
        <f>"122.4943"</f>
        <v>122.4943</v>
      </c>
    </row>
    <row r="1476" spans="1:3" x14ac:dyDescent="0.25">
      <c r="A1476" t="str">
        <f>"08/07/2015"</f>
        <v>08/07/2015</v>
      </c>
      <c r="B1476" t="str">
        <f>"120.71"</f>
        <v>120.71</v>
      </c>
      <c r="C1476" t="str">
        <f>"120.665"</f>
        <v>120.665</v>
      </c>
    </row>
    <row r="1477" spans="1:3" x14ac:dyDescent="0.25">
      <c r="A1477" t="str">
        <f>"09/07/2015"</f>
        <v>09/07/2015</v>
      </c>
      <c r="B1477" t="str">
        <f>"121.35"</f>
        <v>121.35</v>
      </c>
      <c r="C1477" t="str">
        <f>"121.3071"</f>
        <v>121.3071</v>
      </c>
    </row>
    <row r="1478" spans="1:3" x14ac:dyDescent="0.25">
      <c r="A1478" t="str">
        <f>"10/07/2015"</f>
        <v>10/07/2015</v>
      </c>
      <c r="B1478" t="str">
        <f>"122.78"</f>
        <v>122.78</v>
      </c>
      <c r="C1478" t="str">
        <f>"122.7395"</f>
        <v>122.7395</v>
      </c>
    </row>
    <row r="1479" spans="1:3" x14ac:dyDescent="0.25">
      <c r="A1479" t="str">
        <f>"13/07/2015"</f>
        <v>13/07/2015</v>
      </c>
      <c r="B1479" t="str">
        <f>"123.43"</f>
        <v>123.43</v>
      </c>
      <c r="C1479" t="str">
        <f>"123.3848"</f>
        <v>123.3848</v>
      </c>
    </row>
    <row r="1480" spans="1:3" x14ac:dyDescent="0.25">
      <c r="A1480" t="str">
        <f>"14/07/2015"</f>
        <v>14/07/2015</v>
      </c>
      <c r="B1480" t="str">
        <f>"123.40"</f>
        <v>123.40</v>
      </c>
      <c r="C1480" t="str">
        <f>"123.3566"</f>
        <v>123.3566</v>
      </c>
    </row>
    <row r="1481" spans="1:3" x14ac:dyDescent="0.25">
      <c r="A1481" t="str">
        <f>"15/07/2015"</f>
        <v>15/07/2015</v>
      </c>
      <c r="B1481" t="str">
        <f>"123.77"</f>
        <v>123.77</v>
      </c>
      <c r="C1481" t="str">
        <f>"123.7306"</f>
        <v>123.7306</v>
      </c>
    </row>
    <row r="1482" spans="1:3" x14ac:dyDescent="0.25">
      <c r="A1482" t="str">
        <f>"16/07/2015"</f>
        <v>16/07/2015</v>
      </c>
      <c r="B1482" t="str">
        <f>"124.15"</f>
        <v>124.15</v>
      </c>
      <c r="C1482" t="str">
        <f>"124.112"</f>
        <v>124.112</v>
      </c>
    </row>
    <row r="1483" spans="1:3" x14ac:dyDescent="0.25">
      <c r="A1483" t="str">
        <f>"17/07/2015"</f>
        <v>17/07/2015</v>
      </c>
      <c r="B1483" t="str">
        <f>"124.09"</f>
        <v>124.09</v>
      </c>
      <c r="C1483" t="str">
        <f>"124.0497"</f>
        <v>124.0497</v>
      </c>
    </row>
    <row r="1484" spans="1:3" x14ac:dyDescent="0.25">
      <c r="A1484" t="str">
        <f>"20/07/2015"</f>
        <v>20/07/2015</v>
      </c>
      <c r="B1484" t="str">
        <f>"124.27"</f>
        <v>124.27</v>
      </c>
      <c r="C1484" t="str">
        <f>"124.231"</f>
        <v>124.231</v>
      </c>
    </row>
    <row r="1485" spans="1:3" x14ac:dyDescent="0.25">
      <c r="A1485" t="str">
        <f>"21/07/2015"</f>
        <v>21/07/2015</v>
      </c>
      <c r="B1485" t="str">
        <f>"123.89"</f>
        <v>123.89</v>
      </c>
      <c r="C1485" t="str">
        <f>"123.8533"</f>
        <v>123.8533</v>
      </c>
    </row>
    <row r="1486" spans="1:3" x14ac:dyDescent="0.25">
      <c r="A1486" t="str">
        <f>"22/07/2015"</f>
        <v>22/07/2015</v>
      </c>
      <c r="B1486" t="str">
        <f>"123.97"</f>
        <v>123.97</v>
      </c>
      <c r="C1486" t="str">
        <f>"123.9364"</f>
        <v>123.9364</v>
      </c>
    </row>
    <row r="1487" spans="1:3" x14ac:dyDescent="0.25">
      <c r="A1487" t="str">
        <f>"23/07/2015"</f>
        <v>23/07/2015</v>
      </c>
      <c r="B1487" t="str">
        <f>"124.03"</f>
        <v>124.03</v>
      </c>
      <c r="C1487" t="str">
        <f>"123.9978"</f>
        <v>123.9978</v>
      </c>
    </row>
    <row r="1488" spans="1:3" x14ac:dyDescent="0.25">
      <c r="A1488" t="str">
        <f>"24/07/2015"</f>
        <v>24/07/2015</v>
      </c>
      <c r="B1488" t="str">
        <f>"123.932"</f>
        <v>123.932</v>
      </c>
      <c r="C1488" t="str">
        <f>"123.8993"</f>
        <v>123.8993</v>
      </c>
    </row>
    <row r="1489" spans="1:3" x14ac:dyDescent="0.25">
      <c r="A1489" t="str">
        <f>"27/07/2015"</f>
        <v>27/07/2015</v>
      </c>
      <c r="B1489" t="str">
        <f>"123.25"</f>
        <v>123.25</v>
      </c>
      <c r="C1489" t="str">
        <f>"123.2107"</f>
        <v>123.2107</v>
      </c>
    </row>
    <row r="1490" spans="1:3" x14ac:dyDescent="0.25">
      <c r="A1490" t="str">
        <f>"28/07/2015"</f>
        <v>28/07/2015</v>
      </c>
      <c r="B1490" t="str">
        <f>"123.57"</f>
        <v>123.57</v>
      </c>
      <c r="C1490" t="str">
        <f>"123.5294"</f>
        <v>123.5294</v>
      </c>
    </row>
    <row r="1491" spans="1:3" x14ac:dyDescent="0.25">
      <c r="A1491" t="str">
        <f>"29/07/2015"</f>
        <v>29/07/2015</v>
      </c>
      <c r="B1491" t="str">
        <f>"123.48"</f>
        <v>123.48</v>
      </c>
      <c r="C1491" t="str">
        <f>"123.4425"</f>
        <v>123.4425</v>
      </c>
    </row>
    <row r="1492" spans="1:3" x14ac:dyDescent="0.25">
      <c r="A1492" t="str">
        <f>"30/07/2015"</f>
        <v>30/07/2015</v>
      </c>
      <c r="B1492" t="str">
        <f>"124.15"</f>
        <v>124.15</v>
      </c>
      <c r="C1492" t="str">
        <f>"124.1152"</f>
        <v>124.1152</v>
      </c>
    </row>
    <row r="1493" spans="1:3" x14ac:dyDescent="0.25">
      <c r="A1493" t="str">
        <f>"31/07/2015"</f>
        <v>31/07/2015</v>
      </c>
      <c r="B1493" t="str">
        <f>"123.90"</f>
        <v>123.90</v>
      </c>
      <c r="C1493" t="str">
        <f>"123.8652"</f>
        <v>123.8652</v>
      </c>
    </row>
    <row r="1494" spans="1:3" x14ac:dyDescent="0.25">
      <c r="A1494" t="str">
        <f>"03/08/2015"</f>
        <v>03/08/2015</v>
      </c>
      <c r="B1494" t="str">
        <f>"124.04"</f>
        <v>124.04</v>
      </c>
      <c r="C1494" t="str">
        <f>"124.001"</f>
        <v>124.001</v>
      </c>
    </row>
    <row r="1495" spans="1:3" x14ac:dyDescent="0.25">
      <c r="A1495" t="str">
        <f>"04/08/2015"</f>
        <v>04/08/2015</v>
      </c>
      <c r="B1495" t="str">
        <f>"124.044"</f>
        <v>124.044</v>
      </c>
      <c r="C1495" t="str">
        <f>"124.0055"</f>
        <v>124.0055</v>
      </c>
    </row>
    <row r="1496" spans="1:3" x14ac:dyDescent="0.25">
      <c r="A1496" t="str">
        <f>"05/08/2015"</f>
        <v>05/08/2015</v>
      </c>
      <c r="B1496" t="str">
        <f>"124.87"</f>
        <v>124.87</v>
      </c>
      <c r="C1496" t="str">
        <f>"124.8342"</f>
        <v>124.8342</v>
      </c>
    </row>
    <row r="1497" spans="1:3" x14ac:dyDescent="0.25">
      <c r="A1497" t="str">
        <f>"06/08/2015"</f>
        <v>06/08/2015</v>
      </c>
      <c r="B1497" t="str">
        <f>"124.74"</f>
        <v>124.74</v>
      </c>
      <c r="C1497" t="str">
        <f>"124.7068"</f>
        <v>124.7068</v>
      </c>
    </row>
    <row r="1498" spans="1:3" x14ac:dyDescent="0.25">
      <c r="A1498" t="str">
        <f>"07/08/2015"</f>
        <v>07/08/2015</v>
      </c>
      <c r="B1498" t="str">
        <f>"124.25"</f>
        <v>124.25</v>
      </c>
      <c r="C1498" t="str">
        <f>"124.218"</f>
        <v>124.218</v>
      </c>
    </row>
    <row r="1499" spans="1:3" x14ac:dyDescent="0.25">
      <c r="A1499" t="str">
        <f>"10/08/2015"</f>
        <v>10/08/2015</v>
      </c>
      <c r="B1499" t="str">
        <f>"124.63"</f>
        <v>124.63</v>
      </c>
      <c r="C1499" t="str">
        <f>"124.589"</f>
        <v>124.589</v>
      </c>
    </row>
    <row r="1500" spans="1:3" x14ac:dyDescent="0.25">
      <c r="A1500" t="str">
        <f>"11/08/2015"</f>
        <v>11/08/2015</v>
      </c>
      <c r="B1500" t="str">
        <f>"125.13"</f>
        <v>125.13</v>
      </c>
      <c r="C1500" t="str">
        <f>"125.0918"</f>
        <v>125.0918</v>
      </c>
    </row>
    <row r="1501" spans="1:3" x14ac:dyDescent="0.25">
      <c r="A1501" t="str">
        <f>"12/08/2015"</f>
        <v>12/08/2015</v>
      </c>
      <c r="B1501" t="str">
        <f>"124.22"</f>
        <v>124.22</v>
      </c>
      <c r="C1501" t="str">
        <f>"124.1861"</f>
        <v>124.1861</v>
      </c>
    </row>
    <row r="1502" spans="1:3" x14ac:dyDescent="0.25">
      <c r="A1502" t="str">
        <f>"13/08/2015"</f>
        <v>13/08/2015</v>
      </c>
      <c r="B1502" t="str">
        <f>"124.44"</f>
        <v>124.44</v>
      </c>
      <c r="C1502" t="str">
        <f>"124.4055"</f>
        <v>124.4055</v>
      </c>
    </row>
    <row r="1503" spans="1:3" x14ac:dyDescent="0.25">
      <c r="A1503" t="str">
        <f>"14/08/2015"</f>
        <v>14/08/2015</v>
      </c>
      <c r="B1503" t="str">
        <f>"124.32"</f>
        <v>124.32</v>
      </c>
      <c r="C1503" t="str">
        <f>"124.2849"</f>
        <v>124.2849</v>
      </c>
    </row>
    <row r="1504" spans="1:3" x14ac:dyDescent="0.25">
      <c r="A1504" t="str">
        <f>"17/08/2015"</f>
        <v>17/08/2015</v>
      </c>
      <c r="B1504" t="str">
        <f>"124.39"</f>
        <v>124.39</v>
      </c>
      <c r="C1504" t="str">
        <f>"124.3447"</f>
        <v>124.3447</v>
      </c>
    </row>
    <row r="1505" spans="1:3" x14ac:dyDescent="0.25">
      <c r="A1505" t="str">
        <f>"19/08/2015"</f>
        <v>19/08/2015</v>
      </c>
      <c r="B1505" t="str">
        <f>"123.80"</f>
        <v>123.80</v>
      </c>
      <c r="C1505" t="str">
        <f>"123.7605"</f>
        <v>123.7605</v>
      </c>
    </row>
    <row r="1506" spans="1:3" x14ac:dyDescent="0.25">
      <c r="A1506" t="str">
        <f>"20/08/2015"</f>
        <v>20/08/2015</v>
      </c>
      <c r="B1506" t="str">
        <f>"123.41"</f>
        <v>123.41</v>
      </c>
      <c r="C1506" t="str">
        <f>"123.3783"</f>
        <v>123.3783</v>
      </c>
    </row>
    <row r="1507" spans="1:3" x14ac:dyDescent="0.25">
      <c r="A1507" t="str">
        <f>"21/08/2015"</f>
        <v>21/08/2015</v>
      </c>
      <c r="B1507" t="str">
        <f>"123.034"</f>
        <v>123.034</v>
      </c>
      <c r="C1507" t="str">
        <f>"123.0022"</f>
        <v>123.0022</v>
      </c>
    </row>
    <row r="1508" spans="1:3" x14ac:dyDescent="0.25">
      <c r="A1508" t="str">
        <f>"25/08/2015"</f>
        <v>25/08/2015</v>
      </c>
      <c r="B1508" t="str">
        <f>"118.84"</f>
        <v>118.84</v>
      </c>
      <c r="C1508" t="str">
        <f>"118.8004"</f>
        <v>118.8004</v>
      </c>
    </row>
    <row r="1509" spans="1:3" x14ac:dyDescent="0.25">
      <c r="A1509" t="str">
        <f>"26/08/2015"</f>
        <v>26/08/2015</v>
      </c>
      <c r="B1509" t="str">
        <f>"119.93"</f>
        <v>119.93</v>
      </c>
      <c r="C1509" t="str">
        <f>"119.8952"</f>
        <v>119.8952</v>
      </c>
    </row>
    <row r="1510" spans="1:3" x14ac:dyDescent="0.25">
      <c r="A1510" t="str">
        <f>"27/08/2015"</f>
        <v>27/08/2015</v>
      </c>
      <c r="B1510" t="str">
        <f>"121.03"</f>
        <v>121.03</v>
      </c>
      <c r="C1510" t="str">
        <f>"120.9972"</f>
        <v>120.9972</v>
      </c>
    </row>
    <row r="1511" spans="1:3" x14ac:dyDescent="0.25">
      <c r="A1511" t="str">
        <f>"28/08/2015"</f>
        <v>28/08/2015</v>
      </c>
      <c r="B1511" t="str">
        <f>"121.72"</f>
        <v>121.72</v>
      </c>
      <c r="C1511" t="str">
        <f>"121.6565"</f>
        <v>121.6565</v>
      </c>
    </row>
    <row r="1512" spans="1:3" x14ac:dyDescent="0.25">
      <c r="A1512" t="str">
        <f>"31/08/2015"</f>
        <v>31/08/2015</v>
      </c>
      <c r="B1512" t="str">
        <f>"121.23"</f>
        <v>121.23</v>
      </c>
      <c r="C1512" t="str">
        <f>"121.1636"</f>
        <v>121.1636</v>
      </c>
    </row>
    <row r="1513" spans="1:3" x14ac:dyDescent="0.25">
      <c r="A1513" t="str">
        <f>"01/09/2015"</f>
        <v>01/09/2015</v>
      </c>
      <c r="B1513" t="str">
        <f>"119.38"</f>
        <v>119.38</v>
      </c>
      <c r="C1513" t="str">
        <f>"119.3139"</f>
        <v>119.3139</v>
      </c>
    </row>
    <row r="1514" spans="1:3" x14ac:dyDescent="0.25">
      <c r="A1514" t="str">
        <f>"02/09/2015"</f>
        <v>02/09/2015</v>
      </c>
      <c r="B1514" t="str">
        <f>"120.34"</f>
        <v>120.34</v>
      </c>
      <c r="C1514" t="str">
        <f>"120.2748"</f>
        <v>120.2748</v>
      </c>
    </row>
    <row r="1515" spans="1:3" x14ac:dyDescent="0.25">
      <c r="A1515" t="str">
        <f>"03/09/2015"</f>
        <v>03/09/2015</v>
      </c>
      <c r="B1515" t="str">
        <f>"120.08"</f>
        <v>120.08</v>
      </c>
      <c r="C1515" t="str">
        <f>"120.0132"</f>
        <v>120.0132</v>
      </c>
    </row>
    <row r="1516" spans="1:3" x14ac:dyDescent="0.25">
      <c r="A1516" t="str">
        <f>"04/09/2015"</f>
        <v>04/09/2015</v>
      </c>
      <c r="B1516" t="str">
        <f>"118.99"</f>
        <v>118.99</v>
      </c>
      <c r="C1516" t="str">
        <f>"118.9228"</f>
        <v>118.9228</v>
      </c>
    </row>
    <row r="1517" spans="1:3" x14ac:dyDescent="0.25">
      <c r="A1517" t="str">
        <f>"07/09/2015"</f>
        <v>07/09/2015</v>
      </c>
      <c r="B1517" t="str">
        <f>"119.28"</f>
        <v>119.28</v>
      </c>
      <c r="C1517" t="str">
        <f>"119.211"</f>
        <v>119.211</v>
      </c>
    </row>
    <row r="1518" spans="1:3" x14ac:dyDescent="0.25">
      <c r="A1518" t="str">
        <f>"08/09/2015"</f>
        <v>08/09/2015</v>
      </c>
      <c r="B1518" t="str">
        <f>"119.82"</f>
        <v>119.82</v>
      </c>
      <c r="C1518" t="str">
        <f>"119.7413"</f>
        <v>119.7413</v>
      </c>
    </row>
    <row r="1519" spans="1:3" x14ac:dyDescent="0.25">
      <c r="A1519" t="str">
        <f>"09/09/2015"</f>
        <v>09/09/2015</v>
      </c>
      <c r="B1519" t="str">
        <f>"120.51"</f>
        <v>120.51</v>
      </c>
      <c r="C1519" t="str">
        <f>"120.4323"</f>
        <v>120.4323</v>
      </c>
    </row>
    <row r="1520" spans="1:3" x14ac:dyDescent="0.25">
      <c r="A1520" t="str">
        <f>"10/09/2015"</f>
        <v>10/09/2015</v>
      </c>
      <c r="B1520" t="str">
        <f>"120.63"</f>
        <v>120.63</v>
      </c>
      <c r="C1520" t="str">
        <f>"120.5571"</f>
        <v>120.5571</v>
      </c>
    </row>
    <row r="1521" spans="1:3" x14ac:dyDescent="0.25">
      <c r="A1521" t="str">
        <f>"11/09/2015"</f>
        <v>11/09/2015</v>
      </c>
      <c r="B1521" t="str">
        <f>"120.59"</f>
        <v>120.59</v>
      </c>
      <c r="C1521" t="str">
        <f>"120.5154"</f>
        <v>120.5154</v>
      </c>
    </row>
    <row r="1522" spans="1:3" x14ac:dyDescent="0.25">
      <c r="A1522" t="str">
        <f>"14/09/2015"</f>
        <v>14/09/2015</v>
      </c>
      <c r="B1522" t="str">
        <f>"120.24"</f>
        <v>120.24</v>
      </c>
      <c r="C1522" t="str">
        <f>"120.1571"</f>
        <v>120.1571</v>
      </c>
    </row>
    <row r="1523" spans="1:3" x14ac:dyDescent="0.25">
      <c r="A1523" t="str">
        <f>"15/09/2015"</f>
        <v>15/09/2015</v>
      </c>
      <c r="B1523" t="str">
        <f>"120.43"</f>
        <v>120.43</v>
      </c>
      <c r="C1523" t="str">
        <f>"120.3477"</f>
        <v>120.3477</v>
      </c>
    </row>
    <row r="1524" spans="1:3" x14ac:dyDescent="0.25">
      <c r="A1524" t="str">
        <f>"16/09/2015"</f>
        <v>16/09/2015</v>
      </c>
      <c r="B1524" t="str">
        <f>"120.57"</f>
        <v>120.57</v>
      </c>
      <c r="C1524" t="str">
        <f>"120.4806"</f>
        <v>120.4806</v>
      </c>
    </row>
    <row r="1525" spans="1:3" x14ac:dyDescent="0.25">
      <c r="A1525" t="str">
        <f>"18/09/2015"</f>
        <v>18/09/2015</v>
      </c>
      <c r="B1525" t="str">
        <f>"119.98"</f>
        <v>119.98</v>
      </c>
      <c r="C1525" t="str">
        <f>"119.8833"</f>
        <v>119.8833</v>
      </c>
    </row>
    <row r="1526" spans="1:3" x14ac:dyDescent="0.25">
      <c r="A1526" t="str">
        <f>"21/09/2015"</f>
        <v>21/09/2015</v>
      </c>
      <c r="B1526" t="str">
        <f>"120.56"</f>
        <v>120.56</v>
      </c>
      <c r="C1526" t="str">
        <f>"120.4378"</f>
        <v>120.4378</v>
      </c>
    </row>
    <row r="1527" spans="1:3" x14ac:dyDescent="0.25">
      <c r="A1527" t="str">
        <f>"22/09/2015"</f>
        <v>22/09/2015</v>
      </c>
      <c r="B1527" t="str">
        <f>"120.16"</f>
        <v>120.16</v>
      </c>
      <c r="C1527" t="str">
        <f>"120.0352"</f>
        <v>120.0352</v>
      </c>
    </row>
    <row r="1528" spans="1:3" x14ac:dyDescent="0.25">
      <c r="A1528" t="str">
        <f>"23/09/2015"</f>
        <v>23/09/2015</v>
      </c>
      <c r="B1528" t="str">
        <f>"120.28"</f>
        <v>120.28</v>
      </c>
      <c r="C1528" t="str">
        <f>"120.1666"</f>
        <v>120.1666</v>
      </c>
    </row>
    <row r="1529" spans="1:3" x14ac:dyDescent="0.25">
      <c r="A1529" t="str">
        <f>"24/09/2015"</f>
        <v>24/09/2015</v>
      </c>
      <c r="B1529" t="str">
        <f>"120.07"</f>
        <v>120.07</v>
      </c>
      <c r="C1529" t="str">
        <f>"119.9641"</f>
        <v>119.9641</v>
      </c>
    </row>
    <row r="1530" spans="1:3" x14ac:dyDescent="0.25">
      <c r="A1530" t="str">
        <f>"28/09/2015"</f>
        <v>28/09/2015</v>
      </c>
      <c r="B1530" t="str">
        <f>"119.93"</f>
        <v>119.93</v>
      </c>
      <c r="C1530" t="str">
        <f>"119.867"</f>
        <v>119.867</v>
      </c>
    </row>
    <row r="1531" spans="1:3" x14ac:dyDescent="0.25">
      <c r="A1531" t="str">
        <f>"29/09/2015"</f>
        <v>29/09/2015</v>
      </c>
      <c r="B1531" t="str">
        <f>"119.74"</f>
        <v>119.74</v>
      </c>
      <c r="C1531" t="str">
        <f>"119.6966"</f>
        <v>119.6966</v>
      </c>
    </row>
    <row r="1532" spans="1:3" x14ac:dyDescent="0.25">
      <c r="A1532" t="str">
        <f>"30/09/2015"</f>
        <v>30/09/2015</v>
      </c>
      <c r="B1532" t="str">
        <f>"119.88"</f>
        <v>119.88</v>
      </c>
      <c r="C1532" t="str">
        <f>"119.8377"</f>
        <v>119.8377</v>
      </c>
    </row>
    <row r="1533" spans="1:3" x14ac:dyDescent="0.25">
      <c r="A1533" t="str">
        <f>"01/10/2015"</f>
        <v>01/10/2015</v>
      </c>
      <c r="B1533" t="str">
        <f>"119.93"</f>
        <v>119.93</v>
      </c>
      <c r="C1533" t="str">
        <f>"119.8861"</f>
        <v>119.8861</v>
      </c>
    </row>
    <row r="1534" spans="1:3" x14ac:dyDescent="0.25">
      <c r="A1534" t="str">
        <f>"05/10/2015"</f>
        <v>05/10/2015</v>
      </c>
      <c r="B1534" t="str">
        <f>"120.47"</f>
        <v>120.47</v>
      </c>
      <c r="C1534" t="str">
        <f>"120.421"</f>
        <v>120.421</v>
      </c>
    </row>
    <row r="1535" spans="1:3" x14ac:dyDescent="0.25">
      <c r="A1535" t="str">
        <f>"06/10/2015"</f>
        <v>06/10/2015</v>
      </c>
      <c r="B1535" t="str">
        <f>"120.23"</f>
        <v>120.23</v>
      </c>
      <c r="C1535" t="str">
        <f>"120.1811"</f>
        <v>120.1811</v>
      </c>
    </row>
    <row r="1536" spans="1:3" x14ac:dyDescent="0.25">
      <c r="A1536" t="str">
        <f>"07/10/2015"</f>
        <v>07/10/2015</v>
      </c>
      <c r="B1536" t="str">
        <f>"120.02"</f>
        <v>120.02</v>
      </c>
      <c r="C1536" t="str">
        <f>"119.9747"</f>
        <v>119.9747</v>
      </c>
    </row>
    <row r="1537" spans="1:3" x14ac:dyDescent="0.25">
      <c r="A1537" t="str">
        <f>"08/10/2015"</f>
        <v>08/10/2015</v>
      </c>
      <c r="B1537" t="str">
        <f>"119.94"</f>
        <v>119.94</v>
      </c>
      <c r="C1537" t="str">
        <f>"119.9001"</f>
        <v>119.9001</v>
      </c>
    </row>
    <row r="1538" spans="1:3" x14ac:dyDescent="0.25">
      <c r="A1538" t="str">
        <f>"09/10/2015"</f>
        <v>09/10/2015</v>
      </c>
      <c r="B1538" t="str">
        <f>"120.27"</f>
        <v>120.27</v>
      </c>
      <c r="C1538" t="str">
        <f>"120.2308"</f>
        <v>120.2308</v>
      </c>
    </row>
    <row r="1539" spans="1:3" x14ac:dyDescent="0.25">
      <c r="A1539" t="str">
        <f>"12/10/2015"</f>
        <v>12/10/2015</v>
      </c>
      <c r="B1539" t="str">
        <f>"120.04"</f>
        <v>120.04</v>
      </c>
      <c r="C1539" t="str">
        <f>"120.00"</f>
        <v>120.00</v>
      </c>
    </row>
    <row r="1540" spans="1:3" x14ac:dyDescent="0.25">
      <c r="A1540" t="str">
        <f>"13/10/2015"</f>
        <v>13/10/2015</v>
      </c>
      <c r="B1540" t="str">
        <f>"119.75"</f>
        <v>119.75</v>
      </c>
      <c r="C1540" t="str">
        <f>"119.713"</f>
        <v>119.713</v>
      </c>
    </row>
    <row r="1541" spans="1:3" x14ac:dyDescent="0.25">
      <c r="A1541" t="str">
        <f>"14/10/2015"</f>
        <v>14/10/2015</v>
      </c>
      <c r="B1541" t="str">
        <f>"118.84"</f>
        <v>118.84</v>
      </c>
      <c r="C1541" t="str">
        <f>"118.8068"</f>
        <v>118.8068</v>
      </c>
    </row>
    <row r="1542" spans="1:3" x14ac:dyDescent="0.25">
      <c r="A1542" t="str">
        <f>"15/10/2015"</f>
        <v>15/10/2015</v>
      </c>
      <c r="B1542" t="str">
        <f>"118.90"</f>
        <v>118.90</v>
      </c>
      <c r="C1542" t="str">
        <f>"118.864"</f>
        <v>118.864</v>
      </c>
    </row>
    <row r="1543" spans="1:3" x14ac:dyDescent="0.25">
      <c r="A1543" t="str">
        <f>"16/10/2015"</f>
        <v>16/10/2015</v>
      </c>
      <c r="B1543" t="str">
        <f>"119.45"</f>
        <v>119.45</v>
      </c>
      <c r="C1543" t="str">
        <f>"119.4127"</f>
        <v>119.4127</v>
      </c>
    </row>
    <row r="1544" spans="1:3" x14ac:dyDescent="0.25">
      <c r="A1544" t="str">
        <f>"19/10/2015"</f>
        <v>19/10/2015</v>
      </c>
      <c r="B1544" t="str">
        <f>"119.51"</f>
        <v>119.51</v>
      </c>
      <c r="C1544" t="str">
        <f>"119.4669"</f>
        <v>119.4669</v>
      </c>
    </row>
    <row r="1545" spans="1:3" x14ac:dyDescent="0.25">
      <c r="A1545" t="str">
        <f>"20/10/2015"</f>
        <v>20/10/2015</v>
      </c>
      <c r="B1545" t="str">
        <f>"119.84"</f>
        <v>119.84</v>
      </c>
      <c r="C1545" t="str">
        <f>"119.798"</f>
        <v>119.798</v>
      </c>
    </row>
    <row r="1546" spans="1:3" x14ac:dyDescent="0.25">
      <c r="A1546" t="str">
        <f>"21/10/2015"</f>
        <v>21/10/2015</v>
      </c>
      <c r="B1546" t="str">
        <f>"119.97"</f>
        <v>119.97</v>
      </c>
      <c r="C1546" t="str">
        <f>"119.9303"</f>
        <v>119.9303</v>
      </c>
    </row>
    <row r="1547" spans="1:3" x14ac:dyDescent="0.25">
      <c r="A1547" t="str">
        <f>"23/10/2015"</f>
        <v>23/10/2015</v>
      </c>
      <c r="B1547" t="str">
        <f>"121.47"</f>
        <v>121.47</v>
      </c>
      <c r="C1547" t="str">
        <f>"121.4321"</f>
        <v>121.4321</v>
      </c>
    </row>
    <row r="1548" spans="1:3" x14ac:dyDescent="0.25">
      <c r="A1548" t="str">
        <f>"26/10/2015"</f>
        <v>26/10/2015</v>
      </c>
      <c r="B1548" t="str">
        <f>"121.10"</f>
        <v>121.10</v>
      </c>
      <c r="C1548" t="str">
        <f>"121.057"</f>
        <v>121.057</v>
      </c>
    </row>
    <row r="1549" spans="1:3" x14ac:dyDescent="0.25">
      <c r="A1549" t="str">
        <f>"27/10/2015"</f>
        <v>27/10/2015</v>
      </c>
      <c r="B1549" t="str">
        <f>"120.46"</f>
        <v>120.46</v>
      </c>
      <c r="C1549" t="str">
        <f>"120.4204"</f>
        <v>120.4204</v>
      </c>
    </row>
    <row r="1550" spans="1:3" x14ac:dyDescent="0.25">
      <c r="A1550" t="str">
        <f>"29/10/2015"</f>
        <v>29/10/2015</v>
      </c>
      <c r="B1550" t="str">
        <f>"121.13"</f>
        <v>121.13</v>
      </c>
      <c r="C1550" t="str">
        <f>"121.096"</f>
        <v>121.096</v>
      </c>
    </row>
    <row r="1551" spans="1:3" x14ac:dyDescent="0.25">
      <c r="A1551" t="str">
        <f>"30/10/2015"</f>
        <v>30/10/2015</v>
      </c>
      <c r="B1551" t="str">
        <f>"120.62"</f>
        <v>120.62</v>
      </c>
      <c r="C1551" t="str">
        <f>"120.5898"</f>
        <v>120.5898</v>
      </c>
    </row>
    <row r="1552" spans="1:3" x14ac:dyDescent="0.25">
      <c r="A1552" t="str">
        <f>"02/11/2015"</f>
        <v>02/11/2015</v>
      </c>
      <c r="B1552" t="str">
        <f>"120.76"</f>
        <v>120.76</v>
      </c>
      <c r="C1552" t="str">
        <f>"120.7271"</f>
        <v>120.7271</v>
      </c>
    </row>
    <row r="1553" spans="1:3" x14ac:dyDescent="0.25">
      <c r="A1553" t="str">
        <f>"03/11/2015"</f>
        <v>03/11/2015</v>
      </c>
      <c r="B1553" t="str">
        <f>"121.07"</f>
        <v>121.07</v>
      </c>
      <c r="C1553" t="str">
        <f>"121.0379"</f>
        <v>121.0379</v>
      </c>
    </row>
    <row r="1554" spans="1:3" x14ac:dyDescent="0.25">
      <c r="A1554" t="str">
        <f>"04/11/2015"</f>
        <v>04/11/2015</v>
      </c>
      <c r="B1554" t="str">
        <f>"121.58"</f>
        <v>121.58</v>
      </c>
      <c r="C1554" t="str">
        <f>"121.5486"</f>
        <v>121.5486</v>
      </c>
    </row>
    <row r="1555" spans="1:3" x14ac:dyDescent="0.25">
      <c r="A1555" t="str">
        <f>"05/11/2015"</f>
        <v>05/11/2015</v>
      </c>
      <c r="B1555" t="str">
        <f>"121.76"</f>
        <v>121.76</v>
      </c>
      <c r="C1555" t="str">
        <f>"121.7297"</f>
        <v>121.7297</v>
      </c>
    </row>
    <row r="1556" spans="1:3" x14ac:dyDescent="0.25">
      <c r="A1556" t="str">
        <f>"06/11/2015"</f>
        <v>06/11/2015</v>
      </c>
      <c r="B1556" t="str">
        <f>"123.14"</f>
        <v>123.14</v>
      </c>
      <c r="C1556" t="str">
        <f>"123.1123"</f>
        <v>123.1123</v>
      </c>
    </row>
    <row r="1557" spans="1:3" x14ac:dyDescent="0.25">
      <c r="A1557" t="str">
        <f>"09/11/2015"</f>
        <v>09/11/2015</v>
      </c>
      <c r="B1557" t="str">
        <f>"123.18"</f>
        <v>123.18</v>
      </c>
      <c r="C1557" t="str">
        <f>"123.1461"</f>
        <v>123.1461</v>
      </c>
    </row>
    <row r="1558" spans="1:3" x14ac:dyDescent="0.25">
      <c r="A1558" t="str">
        <f>"10/11/2015"</f>
        <v>10/11/2015</v>
      </c>
      <c r="B1558" t="str">
        <f>"123.16"</f>
        <v>123.16</v>
      </c>
      <c r="C1558" t="str">
        <f>"123.1302"</f>
        <v>123.1302</v>
      </c>
    </row>
    <row r="1559" spans="1:3" x14ac:dyDescent="0.25">
      <c r="A1559" t="str">
        <f>"13/11/2015"</f>
        <v>13/11/2015</v>
      </c>
      <c r="B1559" t="str">
        <f>"122.62"</f>
        <v>122.62</v>
      </c>
      <c r="C1559" t="str">
        <f>"122.5901"</f>
        <v>122.5901</v>
      </c>
    </row>
    <row r="1560" spans="1:3" x14ac:dyDescent="0.25">
      <c r="A1560" t="str">
        <f>"16/11/2015"</f>
        <v>16/11/2015</v>
      </c>
      <c r="B1560" t="str">
        <f>"123.18"</f>
        <v>123.18</v>
      </c>
      <c r="C1560" t="str">
        <f>"123.1482"</f>
        <v>123.1482</v>
      </c>
    </row>
    <row r="1561" spans="1:3" x14ac:dyDescent="0.25">
      <c r="A1561" t="str">
        <f>"17/11/2015"</f>
        <v>17/11/2015</v>
      </c>
      <c r="B1561" t="str">
        <f>"123.45"</f>
        <v>123.45</v>
      </c>
      <c r="C1561" t="str">
        <f>"123.4129"</f>
        <v>123.4129</v>
      </c>
    </row>
    <row r="1562" spans="1:3" x14ac:dyDescent="0.25">
      <c r="A1562" t="str">
        <f>"18/11/2015"</f>
        <v>18/11/2015</v>
      </c>
      <c r="B1562" t="str">
        <f>"123.64"</f>
        <v>123.64</v>
      </c>
      <c r="C1562" t="str">
        <f>"123.6033"</f>
        <v>123.6033</v>
      </c>
    </row>
    <row r="1563" spans="1:3" x14ac:dyDescent="0.25">
      <c r="A1563" t="str">
        <f>"19/11/2015"</f>
        <v>19/11/2015</v>
      </c>
      <c r="B1563" t="str">
        <f>"122.87"</f>
        <v>122.87</v>
      </c>
      <c r="C1563" t="str">
        <f>"122.8329"</f>
        <v>122.8329</v>
      </c>
    </row>
    <row r="1564" spans="1:3" x14ac:dyDescent="0.25">
      <c r="A1564" t="str">
        <f>"20/11/2015"</f>
        <v>20/11/2015</v>
      </c>
      <c r="B1564" t="str">
        <f>"122.82"</f>
        <v>122.82</v>
      </c>
      <c r="C1564" t="str">
        <f>"122.7742"</f>
        <v>122.7742</v>
      </c>
    </row>
    <row r="1565" spans="1:3" x14ac:dyDescent="0.25">
      <c r="A1565" t="str">
        <f>"23/11/2015"</f>
        <v>23/11/2015</v>
      </c>
      <c r="B1565" t="str">
        <f>"122.84"</f>
        <v>122.84</v>
      </c>
      <c r="C1565" t="str">
        <f>"122.7952"</f>
        <v>122.7952</v>
      </c>
    </row>
    <row r="1566" spans="1:3" x14ac:dyDescent="0.25">
      <c r="A1566" t="str">
        <f>"24/11/2015"</f>
        <v>24/11/2015</v>
      </c>
      <c r="B1566" t="str">
        <f>"122.54"</f>
        <v>122.54</v>
      </c>
      <c r="C1566" t="str">
        <f>"122.4959"</f>
        <v>122.4959</v>
      </c>
    </row>
    <row r="1567" spans="1:3" x14ac:dyDescent="0.25">
      <c r="A1567" t="str">
        <f>"26/11/2015"</f>
        <v>26/11/2015</v>
      </c>
      <c r="B1567" t="str">
        <f>"122.58"</f>
        <v>122.58</v>
      </c>
      <c r="C1567" t="str">
        <f>"122.529"</f>
        <v>122.529</v>
      </c>
    </row>
    <row r="1568" spans="1:3" x14ac:dyDescent="0.25">
      <c r="A1568" t="str">
        <f>"27/11/2015"</f>
        <v>27/11/2015</v>
      </c>
      <c r="B1568" t="str">
        <f>"122.80"</f>
        <v>122.80</v>
      </c>
      <c r="C1568" t="str">
        <f>"122.6541"</f>
        <v>122.6541</v>
      </c>
    </row>
    <row r="1569" spans="1:3" x14ac:dyDescent="0.25">
      <c r="A1569" t="str">
        <f>"30/11/2015"</f>
        <v>30/11/2015</v>
      </c>
      <c r="B1569" t="str">
        <f>"123.11"</f>
        <v>123.11</v>
      </c>
      <c r="C1569" t="str">
        <f>"122.9639"</f>
        <v>122.9639</v>
      </c>
    </row>
    <row r="1570" spans="1:3" x14ac:dyDescent="0.25">
      <c r="A1570" t="str">
        <f>"01/12/2015"</f>
        <v>01/12/2015</v>
      </c>
      <c r="B1570" t="str">
        <f>"122.88"</f>
        <v>122.88</v>
      </c>
      <c r="C1570" t="str">
        <f>"122.7182"</f>
        <v>122.7182</v>
      </c>
    </row>
    <row r="1571" spans="1:3" x14ac:dyDescent="0.25">
      <c r="A1571" t="str">
        <f>"02/12/2015"</f>
        <v>02/12/2015</v>
      </c>
      <c r="B1571" t="str">
        <f>"123.25"</f>
        <v>123.25</v>
      </c>
      <c r="C1571" t="str">
        <f>"123.0879"</f>
        <v>123.0879</v>
      </c>
    </row>
    <row r="1572" spans="1:3" x14ac:dyDescent="0.25">
      <c r="A1572" t="str">
        <f>"03/12/2015"</f>
        <v>03/12/2015</v>
      </c>
      <c r="B1572" t="str">
        <f>"122.61"</f>
        <v>122.61</v>
      </c>
      <c r="C1572" t="str">
        <f>"122.4659"</f>
        <v>122.4659</v>
      </c>
    </row>
    <row r="1573" spans="1:3" x14ac:dyDescent="0.25">
      <c r="A1573" t="str">
        <f>"04/12/2015"</f>
        <v>04/12/2015</v>
      </c>
      <c r="B1573" t="str">
        <f>"123.12"</f>
        <v>123.12</v>
      </c>
      <c r="C1573" t="str">
        <f>"123.001"</f>
        <v>123.001</v>
      </c>
    </row>
    <row r="1574" spans="1:3" x14ac:dyDescent="0.25">
      <c r="A1574" t="str">
        <f>"07/12/2015"</f>
        <v>07/12/2015</v>
      </c>
      <c r="B1574" t="str">
        <f>"123.38"</f>
        <v>123.38</v>
      </c>
      <c r="C1574" t="str">
        <f>"123.251"</f>
        <v>123.251</v>
      </c>
    </row>
    <row r="1575" spans="1:3" x14ac:dyDescent="0.25">
      <c r="A1575" t="str">
        <f>"08/12/2015"</f>
        <v>08/12/2015</v>
      </c>
      <c r="B1575" t="str">
        <f>"122.94"</f>
        <v>122.94</v>
      </c>
      <c r="C1575" t="str">
        <f>"122.81"</f>
        <v>122.81</v>
      </c>
    </row>
    <row r="1576" spans="1:3" x14ac:dyDescent="0.25">
      <c r="A1576" t="str">
        <f>"09/12/2015"</f>
        <v>09/12/2015</v>
      </c>
      <c r="B1576" t="str">
        <f>"121.45"</f>
        <v>121.45</v>
      </c>
      <c r="C1576" t="str">
        <f>"121.324"</f>
        <v>121.324</v>
      </c>
    </row>
    <row r="1577" spans="1:3" x14ac:dyDescent="0.25">
      <c r="A1577" t="str">
        <f>"10/12/2015"</f>
        <v>10/12/2015</v>
      </c>
      <c r="B1577" t="str">
        <f>"121.56"</f>
        <v>121.56</v>
      </c>
      <c r="C1577" t="str">
        <f>"121.4279"</f>
        <v>121.4279</v>
      </c>
    </row>
    <row r="1578" spans="1:3" x14ac:dyDescent="0.25">
      <c r="A1578" t="str">
        <f>"11/12/2015"</f>
        <v>11/12/2015</v>
      </c>
      <c r="B1578" t="str">
        <f>"121.01"</f>
        <v>121.01</v>
      </c>
      <c r="C1578" t="str">
        <f>"120.8768"</f>
        <v>120.8768</v>
      </c>
    </row>
    <row r="1579" spans="1:3" x14ac:dyDescent="0.25">
      <c r="A1579" t="str">
        <f>"14/12/2015"</f>
        <v>14/12/2015</v>
      </c>
      <c r="B1579" t="str">
        <f>"121.04"</f>
        <v>121.04</v>
      </c>
      <c r="C1579" t="str">
        <f>"120.878"</f>
        <v>120.878</v>
      </c>
    </row>
    <row r="1580" spans="1:3" x14ac:dyDescent="0.25">
      <c r="A1580" t="str">
        <f>"15/12/2015"</f>
        <v>15/12/2015</v>
      </c>
      <c r="B1580" t="str">
        <f>"121.68"</f>
        <v>121.68</v>
      </c>
      <c r="C1580" t="str">
        <f>"121.517"</f>
        <v>121.517</v>
      </c>
    </row>
    <row r="1581" spans="1:3" x14ac:dyDescent="0.25">
      <c r="A1581" t="str">
        <f>"16/12/2015"</f>
        <v>16/12/2015</v>
      </c>
      <c r="B1581" t="str">
        <f>"122.22"</f>
        <v>122.22</v>
      </c>
      <c r="C1581" t="str">
        <f>"122.0634"</f>
        <v>122.0634</v>
      </c>
    </row>
    <row r="1582" spans="1:3" x14ac:dyDescent="0.25">
      <c r="A1582" t="str">
        <f>"17/12/2015"</f>
        <v>17/12/2015</v>
      </c>
      <c r="B1582" t="str">
        <f>"122.56"</f>
        <v>122.56</v>
      </c>
      <c r="C1582" t="str">
        <f>"122.4951"</f>
        <v>122.4951</v>
      </c>
    </row>
    <row r="1583" spans="1:3" x14ac:dyDescent="0.25">
      <c r="A1583" t="str">
        <f>"18/12/2015"</f>
        <v>18/12/2015</v>
      </c>
      <c r="B1583" t="str">
        <f>"121.16"</f>
        <v>121.16</v>
      </c>
      <c r="C1583" t="str">
        <f>"121.0373"</f>
        <v>121.0373</v>
      </c>
    </row>
    <row r="1584" spans="1:3" x14ac:dyDescent="0.25">
      <c r="A1584" t="str">
        <f>"21/12/2015"</f>
        <v>21/12/2015</v>
      </c>
      <c r="B1584" t="str">
        <f>"121.41"</f>
        <v>121.41</v>
      </c>
      <c r="C1584" t="str">
        <f>"121.2852"</f>
        <v>121.2852</v>
      </c>
    </row>
    <row r="1585" spans="1:3" x14ac:dyDescent="0.25">
      <c r="A1585" t="str">
        <f>"22/12/2015"</f>
        <v>22/12/2015</v>
      </c>
      <c r="B1585" t="str">
        <f>"120.96"</f>
        <v>120.96</v>
      </c>
      <c r="C1585" t="str">
        <f>"120.8541"</f>
        <v>120.8541</v>
      </c>
    </row>
    <row r="1586" spans="1:3" x14ac:dyDescent="0.25">
      <c r="A1586" t="str">
        <f>"23/12/2015"</f>
        <v>23/12/2015</v>
      </c>
      <c r="B1586" t="str">
        <f>"120.90"</f>
        <v>120.90</v>
      </c>
      <c r="C1586" t="str">
        <f>"120.7987"</f>
        <v>120.7987</v>
      </c>
    </row>
    <row r="1587" spans="1:3" x14ac:dyDescent="0.25">
      <c r="A1587" t="str">
        <f>"28/12/2015"</f>
        <v>28/12/2015</v>
      </c>
      <c r="B1587" t="str">
        <f>"120.47"</f>
        <v>120.47</v>
      </c>
      <c r="C1587" t="str">
        <f>"120.3761"</f>
        <v>120.3761</v>
      </c>
    </row>
    <row r="1588" spans="1:3" x14ac:dyDescent="0.25">
      <c r="A1588" t="str">
        <f>"29/12/2015"</f>
        <v>29/12/2015</v>
      </c>
      <c r="B1588" t="str">
        <f>"120.44"</f>
        <v>120.44</v>
      </c>
      <c r="C1588" t="str">
        <f>"120.3684"</f>
        <v>120.3684</v>
      </c>
    </row>
    <row r="1589" spans="1:3" x14ac:dyDescent="0.25">
      <c r="A1589" t="str">
        <f>"30/12/2015"</f>
        <v>30/12/2015</v>
      </c>
      <c r="B1589" t="str">
        <f>"120.49"</f>
        <v>120.49</v>
      </c>
      <c r="C1589" t="str">
        <f>"120.4133"</f>
        <v>120.4133</v>
      </c>
    </row>
    <row r="1590" spans="1:3" x14ac:dyDescent="0.25">
      <c r="A1590" t="str">
        <f>"31/12/2015"</f>
        <v>31/12/2015</v>
      </c>
      <c r="B1590" t="str">
        <f>"120.36"</f>
        <v>120.36</v>
      </c>
      <c r="C1590" t="str">
        <f>"120.2856"</f>
        <v>120.2856</v>
      </c>
    </row>
    <row r="1591" spans="1:3" x14ac:dyDescent="0.25">
      <c r="A1591" t="str">
        <f>"01/01/2016"</f>
        <v>01/01/2016</v>
      </c>
      <c r="B1591" t="str">
        <f>"120.55"</f>
        <v>120.55</v>
      </c>
      <c r="C1591" t="str">
        <f>"120.4796"</f>
        <v>120.4796</v>
      </c>
    </row>
    <row r="1592" spans="1:3" x14ac:dyDescent="0.25">
      <c r="A1592" t="str">
        <f>"04/01/2016"</f>
        <v>04/01/2016</v>
      </c>
      <c r="B1592" t="str">
        <f>"118.87"</f>
        <v>118.87</v>
      </c>
      <c r="C1592" t="str">
        <f>"118.7945"</f>
        <v>118.7945</v>
      </c>
    </row>
    <row r="1593" spans="1:3" x14ac:dyDescent="0.25">
      <c r="A1593" t="str">
        <f>"05/01/2016"</f>
        <v>05/01/2016</v>
      </c>
      <c r="B1593" t="str">
        <f>"118.98"</f>
        <v>118.98</v>
      </c>
      <c r="C1593" t="str">
        <f>"118.9149"</f>
        <v>118.9149</v>
      </c>
    </row>
    <row r="1594" spans="1:3" x14ac:dyDescent="0.25">
      <c r="A1594" t="str">
        <f>"06/01/2016"</f>
        <v>06/01/2016</v>
      </c>
      <c r="B1594" t="str">
        <f>"118.41"</f>
        <v>118.41</v>
      </c>
      <c r="C1594" t="str">
        <f>"118.3496"</f>
        <v>118.3496</v>
      </c>
    </row>
    <row r="1595" spans="1:3" x14ac:dyDescent="0.25">
      <c r="A1595" t="str">
        <f>"07/01/2016"</f>
        <v>07/01/2016</v>
      </c>
      <c r="B1595" t="str">
        <f>"117.50"</f>
        <v>117.50</v>
      </c>
      <c r="C1595" t="str">
        <f>"117.4382"</f>
        <v>117.4382</v>
      </c>
    </row>
    <row r="1596" spans="1:3" x14ac:dyDescent="0.25">
      <c r="A1596" t="str">
        <f>"08/01/2016"</f>
        <v>08/01/2016</v>
      </c>
      <c r="B1596" t="str">
        <f>"118.30"</f>
        <v>118.30</v>
      </c>
      <c r="C1596" t="str">
        <f>"118.2301"</f>
        <v>118.2301</v>
      </c>
    </row>
    <row r="1597" spans="1:3" x14ac:dyDescent="0.25">
      <c r="A1597" t="str">
        <f>"11/01/2016"</f>
        <v>11/01/2016</v>
      </c>
      <c r="B1597" t="str">
        <f>"117.42"</f>
        <v>117.42</v>
      </c>
      <c r="C1597" t="str">
        <f>"117.3492"</f>
        <v>117.3492</v>
      </c>
    </row>
    <row r="1598" spans="1:3" x14ac:dyDescent="0.25">
      <c r="A1598" t="str">
        <f>"12/01/2016"</f>
        <v>12/01/2016</v>
      </c>
      <c r="B1598" t="str">
        <f>"117.76"</f>
        <v>117.76</v>
      </c>
      <c r="C1598" t="str">
        <f>"117.6884"</f>
        <v>117.6884</v>
      </c>
    </row>
    <row r="1599" spans="1:3" x14ac:dyDescent="0.25">
      <c r="A1599" t="str">
        <f>"13/01/2016"</f>
        <v>13/01/2016</v>
      </c>
      <c r="B1599" t="str">
        <f>"118.24"</f>
        <v>118.24</v>
      </c>
      <c r="C1599" t="str">
        <f>"118.1751"</f>
        <v>118.1751</v>
      </c>
    </row>
    <row r="1600" spans="1:3" x14ac:dyDescent="0.25">
      <c r="A1600" t="str">
        <f>"14/01/2016"</f>
        <v>14/01/2016</v>
      </c>
      <c r="B1600" t="str">
        <f>"117.61"</f>
        <v>117.61</v>
      </c>
      <c r="C1600" t="str">
        <f>"117.5489"</f>
        <v>117.5489</v>
      </c>
    </row>
    <row r="1601" spans="1:3" x14ac:dyDescent="0.25">
      <c r="A1601" t="str">
        <f>"15/01/2016"</f>
        <v>15/01/2016</v>
      </c>
      <c r="B1601" t="str">
        <f>"117.38"</f>
        <v>117.38</v>
      </c>
      <c r="C1601" t="str">
        <f>"117.319"</f>
        <v>117.319</v>
      </c>
    </row>
    <row r="1602" spans="1:3" x14ac:dyDescent="0.25">
      <c r="A1602" t="str">
        <f>"18/01/2016"</f>
        <v>18/01/2016</v>
      </c>
      <c r="B1602" t="str">
        <f>"117.38"</f>
        <v>117.38</v>
      </c>
      <c r="C1602" t="str">
        <f>"117.3188"</f>
        <v>117.3188</v>
      </c>
    </row>
    <row r="1603" spans="1:3" x14ac:dyDescent="0.25">
      <c r="A1603" t="str">
        <f>"19/01/2016"</f>
        <v>19/01/2016</v>
      </c>
      <c r="B1603" t="str">
        <f>"118.08"</f>
        <v>118.08</v>
      </c>
      <c r="C1603" t="str">
        <f>"118.0189"</f>
        <v>118.0189</v>
      </c>
    </row>
    <row r="1604" spans="1:3" x14ac:dyDescent="0.25">
      <c r="A1604" t="str">
        <f>"20/01/2016"</f>
        <v>20/01/2016</v>
      </c>
      <c r="B1604" t="str">
        <f>"116.59"</f>
        <v>116.59</v>
      </c>
      <c r="C1604" t="str">
        <f>"116.5301"</f>
        <v>116.5301</v>
      </c>
    </row>
    <row r="1605" spans="1:3" x14ac:dyDescent="0.25">
      <c r="A1605" t="str">
        <f>"21/01/2016"</f>
        <v>21/01/2016</v>
      </c>
      <c r="B1605" t="str">
        <f>"116.91"</f>
        <v>116.91</v>
      </c>
      <c r="C1605" t="str">
        <f>"116.852"</f>
        <v>116.852</v>
      </c>
    </row>
    <row r="1606" spans="1:3" x14ac:dyDescent="0.25">
      <c r="A1606" t="str">
        <f>"22/01/2016"</f>
        <v>22/01/2016</v>
      </c>
      <c r="B1606" t="str">
        <f>"118.29"</f>
        <v>118.29</v>
      </c>
      <c r="C1606" t="str">
        <f>"118.2307"</f>
        <v>118.2307</v>
      </c>
    </row>
    <row r="1607" spans="1:3" x14ac:dyDescent="0.25">
      <c r="A1607" t="str">
        <f>"25/01/2016"</f>
        <v>25/01/2016</v>
      </c>
      <c r="B1607" t="str">
        <f>"118.46"</f>
        <v>118.46</v>
      </c>
      <c r="C1607" t="str">
        <f>"118.3979"</f>
        <v>118.3979</v>
      </c>
    </row>
    <row r="1608" spans="1:3" x14ac:dyDescent="0.25">
      <c r="A1608" t="str">
        <f>"27/01/2016"</f>
        <v>27/01/2016</v>
      </c>
      <c r="B1608" t="str">
        <f>"118.30"</f>
        <v>118.30</v>
      </c>
      <c r="C1608" t="str">
        <f>"118.2453"</f>
        <v>118.2453</v>
      </c>
    </row>
    <row r="1609" spans="1:3" x14ac:dyDescent="0.25">
      <c r="A1609" t="str">
        <f>"28/01/2016"</f>
        <v>28/01/2016</v>
      </c>
      <c r="B1609" t="str">
        <f>"118.86"</f>
        <v>118.86</v>
      </c>
      <c r="C1609" t="str">
        <f>"118.8073"</f>
        <v>118.8073</v>
      </c>
    </row>
    <row r="1610" spans="1:3" x14ac:dyDescent="0.25">
      <c r="A1610" t="str">
        <f>"29/01/2016"</f>
        <v>29/01/2016</v>
      </c>
      <c r="B1610" t="str">
        <f>"120.97"</f>
        <v>120.97</v>
      </c>
      <c r="C1610" t="str">
        <f>"120.9039"</f>
        <v>120.9039</v>
      </c>
    </row>
    <row r="1611" spans="1:3" x14ac:dyDescent="0.25">
      <c r="A1611" t="str">
        <f>"01/02/2016"</f>
        <v>01/02/2016</v>
      </c>
      <c r="B1611" t="str">
        <f>"121.31"</f>
        <v>121.31</v>
      </c>
      <c r="C1611" t="str">
        <f>"121.2469"</f>
        <v>121.2469</v>
      </c>
    </row>
    <row r="1612" spans="1:3" x14ac:dyDescent="0.25">
      <c r="A1612" t="str">
        <f>"02/02/2016"</f>
        <v>02/02/2016</v>
      </c>
      <c r="B1612" t="str">
        <f>"120.85"</f>
        <v>120.85</v>
      </c>
      <c r="C1612" t="str">
        <f>"120.7904"</f>
        <v>120.7904</v>
      </c>
    </row>
    <row r="1613" spans="1:3" x14ac:dyDescent="0.25">
      <c r="A1613" t="str">
        <f>"03/02/2016"</f>
        <v>03/02/2016</v>
      </c>
      <c r="B1613" t="str">
        <f>"119.42"</f>
        <v>119.42</v>
      </c>
      <c r="C1613" t="str">
        <f>"119.3539"</f>
        <v>119.3539</v>
      </c>
    </row>
    <row r="1614" spans="1:3" x14ac:dyDescent="0.25">
      <c r="A1614" t="str">
        <f>"04/02/2016"</f>
        <v>04/02/2016</v>
      </c>
      <c r="B1614" t="str">
        <f>"117.64"</f>
        <v>117.64</v>
      </c>
      <c r="C1614" t="str">
        <f>"117.5724"</f>
        <v>117.5724</v>
      </c>
    </row>
    <row r="1615" spans="1:3" x14ac:dyDescent="0.25">
      <c r="A1615" t="str">
        <f>"05/02/2016"</f>
        <v>05/02/2016</v>
      </c>
      <c r="B1615" t="str">
        <f>"116.67"</f>
        <v>116.67</v>
      </c>
      <c r="C1615" t="str">
        <f>"116.5979"</f>
        <v>116.5979</v>
      </c>
    </row>
    <row r="1616" spans="1:3" x14ac:dyDescent="0.25">
      <c r="A1616" t="str">
        <f>"08/02/2016"</f>
        <v>08/02/2016</v>
      </c>
      <c r="B1616" t="str">
        <f>"116.75"</f>
        <v>116.75</v>
      </c>
      <c r="C1616" t="str">
        <f>"116.6663"</f>
        <v>116.6663</v>
      </c>
    </row>
    <row r="1617" spans="1:3" x14ac:dyDescent="0.25">
      <c r="A1617" t="str">
        <f>"09/02/2016"</f>
        <v>09/02/2016</v>
      </c>
      <c r="B1617" t="str">
        <f>"115.21"</f>
        <v>115.21</v>
      </c>
      <c r="C1617" t="str">
        <f>"115.1268"</f>
        <v>115.1268</v>
      </c>
    </row>
    <row r="1618" spans="1:3" x14ac:dyDescent="0.25">
      <c r="A1618" t="str">
        <f>"10/02/2016"</f>
        <v>10/02/2016</v>
      </c>
      <c r="B1618" t="str">
        <f>"114.90"</f>
        <v>114.90</v>
      </c>
      <c r="C1618" t="str">
        <f>"114.8263"</f>
        <v>114.8263</v>
      </c>
    </row>
    <row r="1619" spans="1:3" x14ac:dyDescent="0.25">
      <c r="A1619" t="str">
        <f>"11/02/2016"</f>
        <v>11/02/2016</v>
      </c>
      <c r="B1619" t="str">
        <f>"111.26"</f>
        <v>111.26</v>
      </c>
      <c r="C1619" t="str">
        <f>"111.1807"</f>
        <v>111.1807</v>
      </c>
    </row>
    <row r="1620" spans="1:3" x14ac:dyDescent="0.25">
      <c r="A1620" t="str">
        <f>"12/02/2016"</f>
        <v>12/02/2016</v>
      </c>
      <c r="B1620" t="str">
        <f>"112.49"</f>
        <v>112.49</v>
      </c>
      <c r="C1620" t="str">
        <f>"112.411"</f>
        <v>112.411</v>
      </c>
    </row>
    <row r="1621" spans="1:3" x14ac:dyDescent="0.25">
      <c r="A1621" t="str">
        <f>"15/02/2016"</f>
        <v>15/02/2016</v>
      </c>
      <c r="B1621" t="str">
        <f>"113.91"</f>
        <v>113.91</v>
      </c>
      <c r="C1621" t="str">
        <f>"113.8369"</f>
        <v>113.8369</v>
      </c>
    </row>
    <row r="1622" spans="1:3" x14ac:dyDescent="0.25">
      <c r="A1622" t="str">
        <f>"16/02/2016"</f>
        <v>16/02/2016</v>
      </c>
      <c r="B1622" t="str">
        <f>"113.91"</f>
        <v>113.91</v>
      </c>
      <c r="C1622" t="str">
        <f>"113.8316"</f>
        <v>113.8316</v>
      </c>
    </row>
    <row r="1623" spans="1:3" x14ac:dyDescent="0.25">
      <c r="A1623" t="str">
        <f>"17/02/2016"</f>
        <v>17/02/2016</v>
      </c>
      <c r="B1623" t="str">
        <f>"114.09"</f>
        <v>114.09</v>
      </c>
      <c r="C1623" t="str">
        <f>"114.0109"</f>
        <v>114.0109</v>
      </c>
    </row>
    <row r="1624" spans="1:3" x14ac:dyDescent="0.25">
      <c r="A1624" t="str">
        <f>"18/02/2016"</f>
        <v>18/02/2016</v>
      </c>
      <c r="B1624" t="str">
        <f>"113.86"</f>
        <v>113.86</v>
      </c>
      <c r="C1624" t="str">
        <f>"113.7897"</f>
        <v>113.7897</v>
      </c>
    </row>
    <row r="1625" spans="1:3" x14ac:dyDescent="0.25">
      <c r="A1625" t="str">
        <f>"22/02/2016"</f>
        <v>22/02/2016</v>
      </c>
      <c r="B1625" t="str">
        <f>"113.35"</f>
        <v>113.35</v>
      </c>
      <c r="C1625" t="str">
        <f>"113.2747"</f>
        <v>113.2747</v>
      </c>
    </row>
    <row r="1626" spans="1:3" x14ac:dyDescent="0.25">
      <c r="A1626" t="str">
        <f>"23/02/2016"</f>
        <v>23/02/2016</v>
      </c>
      <c r="B1626" t="str">
        <f>"112.33"</f>
        <v>112.33</v>
      </c>
      <c r="C1626" t="str">
        <f>"112.2531"</f>
        <v>112.2531</v>
      </c>
    </row>
    <row r="1627" spans="1:3" x14ac:dyDescent="0.25">
      <c r="A1627" t="str">
        <f>"24/02/2016"</f>
        <v>24/02/2016</v>
      </c>
      <c r="B1627" t="str">
        <f>"111.67"</f>
        <v>111.67</v>
      </c>
      <c r="C1627" t="str">
        <f>"111.597"</f>
        <v>111.597</v>
      </c>
    </row>
    <row r="1628" spans="1:3" x14ac:dyDescent="0.25">
      <c r="A1628" t="str">
        <f>"25/02/2016"</f>
        <v>25/02/2016</v>
      </c>
      <c r="B1628" t="str">
        <f>"112.45"</f>
        <v>112.45</v>
      </c>
      <c r="C1628" t="str">
        <f>"112.372"</f>
        <v>112.372</v>
      </c>
    </row>
    <row r="1629" spans="1:3" x14ac:dyDescent="0.25">
      <c r="A1629" t="str">
        <f>"26/02/2016"</f>
        <v>26/02/2016</v>
      </c>
      <c r="B1629" t="str">
        <f>"112.85"</f>
        <v>112.85</v>
      </c>
      <c r="C1629" t="str">
        <f>"112.732"</f>
        <v>112.732</v>
      </c>
    </row>
    <row r="1630" spans="1:3" x14ac:dyDescent="0.25">
      <c r="A1630" t="str">
        <f>"29/02/2016"</f>
        <v>29/02/2016</v>
      </c>
      <c r="B1630" t="str">
        <f>"112.92"</f>
        <v>112.92</v>
      </c>
      <c r="C1630" t="str">
        <f>"112.7949"</f>
        <v>112.7949</v>
      </c>
    </row>
    <row r="1631" spans="1:3" x14ac:dyDescent="0.25">
      <c r="A1631" t="str">
        <f>"01/03/2016"</f>
        <v>01/03/2016</v>
      </c>
      <c r="B1631" t="str">
        <f>"113.16"</f>
        <v>113.16</v>
      </c>
      <c r="C1631" t="str">
        <f>"113.0381"</f>
        <v>113.0381</v>
      </c>
    </row>
    <row r="1632" spans="1:3" x14ac:dyDescent="0.25">
      <c r="A1632" t="str">
        <f>"02/03/2016"</f>
        <v>02/03/2016</v>
      </c>
      <c r="B1632" t="str">
        <f>"114.41"</f>
        <v>114.41</v>
      </c>
      <c r="C1632" t="str">
        <f>"114.289"</f>
        <v>114.289</v>
      </c>
    </row>
    <row r="1633" spans="1:3" x14ac:dyDescent="0.25">
      <c r="A1633" t="str">
        <f>"03/03/2016"</f>
        <v>03/03/2016</v>
      </c>
      <c r="B1633" t="str">
        <f>"113.95"</f>
        <v>113.95</v>
      </c>
      <c r="C1633" t="str">
        <f>"113.8281"</f>
        <v>113.8281</v>
      </c>
    </row>
    <row r="1634" spans="1:3" x14ac:dyDescent="0.25">
      <c r="A1634" t="str">
        <f>"04/03/2016"</f>
        <v>04/03/2016</v>
      </c>
      <c r="B1634" t="str">
        <f>"113.79"</f>
        <v>113.79</v>
      </c>
      <c r="C1634" t="str">
        <f>"113.6668"</f>
        <v>113.6668</v>
      </c>
    </row>
    <row r="1635" spans="1:3" x14ac:dyDescent="0.25">
      <c r="A1635" t="str">
        <f>"08/03/2016"</f>
        <v>08/03/2016</v>
      </c>
      <c r="B1635" t="str">
        <f>"113.18"</f>
        <v>113.18</v>
      </c>
      <c r="C1635" t="str">
        <f>"113.0569"</f>
        <v>113.0569</v>
      </c>
    </row>
    <row r="1636" spans="1:3" x14ac:dyDescent="0.25">
      <c r="A1636" t="str">
        <f>"09/03/2016"</f>
        <v>09/03/2016</v>
      </c>
      <c r="B1636" t="str">
        <f>"112.49"</f>
        <v>112.49</v>
      </c>
      <c r="C1636" t="str">
        <f>"112.3782"</f>
        <v>112.3782</v>
      </c>
    </row>
    <row r="1637" spans="1:3" x14ac:dyDescent="0.25">
      <c r="A1637" t="str">
        <f>"10/03/2016"</f>
        <v>10/03/2016</v>
      </c>
      <c r="B1637" t="str">
        <f>"113.60"</f>
        <v>113.60</v>
      </c>
      <c r="C1637" t="str">
        <f>"113.4922"</f>
        <v>113.4922</v>
      </c>
    </row>
    <row r="1638" spans="1:3" x14ac:dyDescent="0.25">
      <c r="A1638" t="str">
        <f>"11/03/2016"</f>
        <v>11/03/2016</v>
      </c>
      <c r="B1638" t="str">
        <f>"113.82"</f>
        <v>113.82</v>
      </c>
      <c r="C1638" t="str">
        <f>"113.7081"</f>
        <v>113.7081</v>
      </c>
    </row>
    <row r="1639" spans="1:3" x14ac:dyDescent="0.25">
      <c r="A1639" t="str">
        <f>"14/03/2016"</f>
        <v>14/03/2016</v>
      </c>
      <c r="B1639" t="str">
        <f>"113.68"</f>
        <v>113.68</v>
      </c>
      <c r="C1639" t="str">
        <f>"113.5563"</f>
        <v>113.5563</v>
      </c>
    </row>
    <row r="1640" spans="1:3" x14ac:dyDescent="0.25">
      <c r="A1640" t="str">
        <f>"15/03/2016"</f>
        <v>15/03/2016</v>
      </c>
      <c r="B1640" t="str">
        <f>"112.95"</f>
        <v>112.95</v>
      </c>
      <c r="C1640" t="str">
        <f>"112.8301"</f>
        <v>112.8301</v>
      </c>
    </row>
    <row r="1641" spans="1:3" x14ac:dyDescent="0.25">
      <c r="A1641" t="str">
        <f>"16/03/2016"</f>
        <v>16/03/2016</v>
      </c>
      <c r="B1641" t="str">
        <f>"113.50"</f>
        <v>113.50</v>
      </c>
      <c r="C1641" t="str">
        <f>"113.3832"</f>
        <v>113.3832</v>
      </c>
    </row>
    <row r="1642" spans="1:3" x14ac:dyDescent="0.25">
      <c r="A1642" t="str">
        <f>"17/03/2016"</f>
        <v>17/03/2016</v>
      </c>
      <c r="B1642" t="str">
        <f>"110.88"</f>
        <v>110.88</v>
      </c>
      <c r="C1642" t="str">
        <f>"110.776"</f>
        <v>110.776</v>
      </c>
    </row>
    <row r="1643" spans="1:3" x14ac:dyDescent="0.25">
      <c r="A1643" t="str">
        <f>"18/03/2016"</f>
        <v>18/03/2016</v>
      </c>
      <c r="B1643" t="str">
        <f>"111.43"</f>
        <v>111.43</v>
      </c>
      <c r="C1643" t="str">
        <f>"111.309"</f>
        <v>111.309</v>
      </c>
    </row>
    <row r="1644" spans="1:3" x14ac:dyDescent="0.25">
      <c r="A1644" t="str">
        <f>"21/03/2016"</f>
        <v>21/03/2016</v>
      </c>
      <c r="B1644" t="str">
        <f>"111.52"</f>
        <v>111.52</v>
      </c>
      <c r="C1644" t="str">
        <f>"111.3938"</f>
        <v>111.3938</v>
      </c>
    </row>
    <row r="1645" spans="1:3" x14ac:dyDescent="0.25">
      <c r="A1645" t="str">
        <f>"22/03/2016"</f>
        <v>22/03/2016</v>
      </c>
      <c r="B1645" t="str">
        <f>"111.70"</f>
        <v>111.70</v>
      </c>
      <c r="C1645" t="str">
        <f>"111.5766"</f>
        <v>111.5766</v>
      </c>
    </row>
    <row r="1646" spans="1:3" x14ac:dyDescent="0.25">
      <c r="A1646" t="str">
        <f>"23/03/2016"</f>
        <v>23/03/2016</v>
      </c>
      <c r="B1646" t="str">
        <f>"112.65"</f>
        <v>112.65</v>
      </c>
      <c r="C1646" t="str">
        <f>"112.5399"</f>
        <v>112.5399</v>
      </c>
    </row>
    <row r="1647" spans="1:3" x14ac:dyDescent="0.25">
      <c r="A1647" t="str">
        <f>"28/03/2016"</f>
        <v>28/03/2016</v>
      </c>
      <c r="B1647" t="str">
        <f>"113.54"</f>
        <v>113.54</v>
      </c>
      <c r="C1647" t="str">
        <f>"113.4293"</f>
        <v>113.4293</v>
      </c>
    </row>
    <row r="1648" spans="1:3" x14ac:dyDescent="0.25">
      <c r="A1648" t="str">
        <f>"29/03/2016"</f>
        <v>29/03/2016</v>
      </c>
      <c r="B1648" t="str">
        <f>"113.56"</f>
        <v>113.56</v>
      </c>
      <c r="C1648" t="str">
        <f>"113.4508"</f>
        <v>113.4508</v>
      </c>
    </row>
    <row r="1649" spans="1:3" x14ac:dyDescent="0.25">
      <c r="A1649" t="str">
        <f>"30/03/2016"</f>
        <v>30/03/2016</v>
      </c>
      <c r="B1649" t="str">
        <f>"112.33"</f>
        <v>112.33</v>
      </c>
      <c r="C1649" t="str">
        <f>"112.2392"</f>
        <v>112.2392</v>
      </c>
    </row>
    <row r="1650" spans="1:3" x14ac:dyDescent="0.25">
      <c r="A1650" t="str">
        <f>"31/03/2016"</f>
        <v>31/03/2016</v>
      </c>
      <c r="B1650" t="str">
        <f>"112.30"</f>
        <v>112.30</v>
      </c>
      <c r="C1650" t="str">
        <f>"112.2057"</f>
        <v>112.2057</v>
      </c>
    </row>
    <row r="1651" spans="1:3" x14ac:dyDescent="0.25">
      <c r="A1651" t="str">
        <f>"04/04/2016"</f>
        <v>04/04/2016</v>
      </c>
      <c r="B1651" t="str">
        <f>"111.63"</f>
        <v>111.63</v>
      </c>
      <c r="C1651" t="str">
        <f>"111.5407"</f>
        <v>111.5407</v>
      </c>
    </row>
    <row r="1652" spans="1:3" x14ac:dyDescent="0.25">
      <c r="A1652" t="str">
        <f>"05/04/2016"</f>
        <v>05/04/2016</v>
      </c>
      <c r="B1652" t="str">
        <f>"110.55"</f>
        <v>110.55</v>
      </c>
      <c r="C1652" t="str">
        <f>"110.4619"</f>
        <v>110.4619</v>
      </c>
    </row>
    <row r="1653" spans="1:3" x14ac:dyDescent="0.25">
      <c r="A1653" t="str">
        <f>"06/04/2016"</f>
        <v>06/04/2016</v>
      </c>
      <c r="B1653" t="str">
        <f>"110.41"</f>
        <v>110.41</v>
      </c>
      <c r="C1653" t="str">
        <f>"110.3162"</f>
        <v>110.3162</v>
      </c>
    </row>
    <row r="1654" spans="1:3" x14ac:dyDescent="0.25">
      <c r="A1654" t="str">
        <f>"07/04/2016"</f>
        <v>07/04/2016</v>
      </c>
      <c r="B1654" t="str">
        <f>"108.87"</f>
        <v>108.87</v>
      </c>
      <c r="C1654" t="str">
        <f>"108.7773"</f>
        <v>108.7773</v>
      </c>
    </row>
    <row r="1655" spans="1:3" x14ac:dyDescent="0.25">
      <c r="A1655" t="str">
        <f>"11/04/2016"</f>
        <v>11/04/2016</v>
      </c>
      <c r="B1655" t="str">
        <f>"108.13"</f>
        <v>108.13</v>
      </c>
      <c r="C1655" t="str">
        <f>"108.0421"</f>
        <v>108.0421</v>
      </c>
    </row>
    <row r="1656" spans="1:3" x14ac:dyDescent="0.25">
      <c r="A1656" t="str">
        <f>"12/04/2016"</f>
        <v>12/04/2016</v>
      </c>
      <c r="B1656" t="str">
        <f>"108.24"</f>
        <v>108.24</v>
      </c>
      <c r="C1656" t="str">
        <f>"108.151"</f>
        <v>108.151</v>
      </c>
    </row>
    <row r="1657" spans="1:3" x14ac:dyDescent="0.25">
      <c r="A1657" t="str">
        <f>"13/04/2016"</f>
        <v>13/04/2016</v>
      </c>
      <c r="B1657" t="str">
        <f>"108.93"</f>
        <v>108.93</v>
      </c>
      <c r="C1657" t="str">
        <f>"108.8412"</f>
        <v>108.8412</v>
      </c>
    </row>
    <row r="1658" spans="1:3" x14ac:dyDescent="0.25">
      <c r="A1658" t="str">
        <f>"18/04/2016"</f>
        <v>18/04/2016</v>
      </c>
      <c r="B1658" t="str">
        <f>"108.19"</f>
        <v>108.19</v>
      </c>
      <c r="C1658" t="str">
        <f>"108.1131"</f>
        <v>108.1131</v>
      </c>
    </row>
    <row r="1659" spans="1:3" x14ac:dyDescent="0.25">
      <c r="A1659" t="str">
        <f>"20/04/2016"</f>
        <v>20/04/2016</v>
      </c>
      <c r="B1659" t="str">
        <f>"109.21"</f>
        <v>109.21</v>
      </c>
      <c r="C1659" t="str">
        <f>"109.1288"</f>
        <v>109.1288</v>
      </c>
    </row>
    <row r="1660" spans="1:3" x14ac:dyDescent="0.25">
      <c r="A1660" t="str">
        <f>"21/04/2016"</f>
        <v>21/04/2016</v>
      </c>
      <c r="B1660" t="str">
        <f>"109.65"</f>
        <v>109.65</v>
      </c>
      <c r="C1660" t="str">
        <f>"109.5736"</f>
        <v>109.5736</v>
      </c>
    </row>
    <row r="1661" spans="1:3" x14ac:dyDescent="0.25">
      <c r="A1661" t="str">
        <f>"22/04/2016"</f>
        <v>22/04/2016</v>
      </c>
      <c r="B1661" t="str">
        <f>"110.67"</f>
        <v>110.67</v>
      </c>
      <c r="C1661" t="str">
        <f>"110.5917"</f>
        <v>110.5917</v>
      </c>
    </row>
    <row r="1662" spans="1:3" x14ac:dyDescent="0.25">
      <c r="A1662" t="str">
        <f>"25/04/2016"</f>
        <v>25/04/2016</v>
      </c>
      <c r="B1662" t="str">
        <f>"111.15"</f>
        <v>111.15</v>
      </c>
      <c r="C1662" t="str">
        <f>"111.0679"</f>
        <v>111.0679</v>
      </c>
    </row>
    <row r="1663" spans="1:3" x14ac:dyDescent="0.25">
      <c r="A1663" t="str">
        <f>"26/04/2016"</f>
        <v>26/04/2016</v>
      </c>
      <c r="B1663" t="str">
        <f>"110.96"</f>
        <v>110.96</v>
      </c>
      <c r="C1663" t="str">
        <f>"110.8684"</f>
        <v>110.8684</v>
      </c>
    </row>
    <row r="1664" spans="1:3" x14ac:dyDescent="0.25">
      <c r="A1664" t="str">
        <f>"27/04/2016"</f>
        <v>27/04/2016</v>
      </c>
      <c r="B1664" t="str">
        <f>"111.32"</f>
        <v>111.32</v>
      </c>
      <c r="C1664" t="str">
        <f>"111.2392"</f>
        <v>111.2392</v>
      </c>
    </row>
    <row r="1665" spans="1:3" x14ac:dyDescent="0.25">
      <c r="A1665" t="str">
        <f>"28/04/2016"</f>
        <v>28/04/2016</v>
      </c>
      <c r="B1665" t="str">
        <f>"108.14"</f>
        <v>108.14</v>
      </c>
      <c r="C1665" t="str">
        <f>"108.0667"</f>
        <v>108.0667</v>
      </c>
    </row>
    <row r="1666" spans="1:3" x14ac:dyDescent="0.25">
      <c r="A1666" t="str">
        <f>"29/04/2016"</f>
        <v>29/04/2016</v>
      </c>
      <c r="B1666" t="str">
        <f>"106.50"</f>
        <v>106.50</v>
      </c>
      <c r="C1666" t="str">
        <f>"106.428"</f>
        <v>106.428</v>
      </c>
    </row>
    <row r="1667" spans="1:3" x14ac:dyDescent="0.25">
      <c r="A1667" t="str">
        <f>"02/05/2016"</f>
        <v>02/05/2016</v>
      </c>
      <c r="B1667" t="str">
        <f>"106.61"</f>
        <v>106.61</v>
      </c>
      <c r="C1667" t="str">
        <f>"106.5332"</f>
        <v>106.5332</v>
      </c>
    </row>
    <row r="1668" spans="1:3" x14ac:dyDescent="0.25">
      <c r="A1668" t="str">
        <f>"03/05/2016"</f>
        <v>03/05/2016</v>
      </c>
      <c r="B1668" t="str">
        <f>"105.96"</f>
        <v>105.96</v>
      </c>
      <c r="C1668" t="str">
        <f>"105.8838"</f>
        <v>105.8838</v>
      </c>
    </row>
    <row r="1669" spans="1:3" x14ac:dyDescent="0.25">
      <c r="A1669" t="str">
        <f>"04/05/2016"</f>
        <v>04/05/2016</v>
      </c>
      <c r="B1669" t="str">
        <f>"106.71"</f>
        <v>106.71</v>
      </c>
      <c r="C1669" t="str">
        <f>"106.6339"</f>
        <v>106.6339</v>
      </c>
    </row>
    <row r="1670" spans="1:3" x14ac:dyDescent="0.25">
      <c r="A1670" t="str">
        <f>"05/05/2016"</f>
        <v>05/05/2016</v>
      </c>
      <c r="B1670" t="str">
        <f>"107.19"</f>
        <v>107.19</v>
      </c>
      <c r="C1670" t="str">
        <f>"107.1142"</f>
        <v>107.1142</v>
      </c>
    </row>
    <row r="1671" spans="1:3" x14ac:dyDescent="0.25">
      <c r="A1671" t="str">
        <f>"06/05/2016"</f>
        <v>06/05/2016</v>
      </c>
      <c r="B1671" t="str">
        <f>"106.94"</f>
        <v>106.94</v>
      </c>
      <c r="C1671" t="str">
        <f>"106.8667"</f>
        <v>106.8667</v>
      </c>
    </row>
    <row r="1672" spans="1:3" x14ac:dyDescent="0.25">
      <c r="A1672" t="str">
        <f>"09/05/2016"</f>
        <v>09/05/2016</v>
      </c>
      <c r="B1672" t="str">
        <f>"108.30"</f>
        <v>108.30</v>
      </c>
      <c r="C1672" t="str">
        <f>"108.2252"</f>
        <v>108.2252</v>
      </c>
    </row>
    <row r="1673" spans="1:3" x14ac:dyDescent="0.25">
      <c r="A1673" t="str">
        <f>"10/05/2016"</f>
        <v>10/05/2016</v>
      </c>
      <c r="B1673" t="str">
        <f>"109.26"</f>
        <v>109.26</v>
      </c>
      <c r="C1673" t="str">
        <f>"109.1858"</f>
        <v>109.1858</v>
      </c>
    </row>
    <row r="1674" spans="1:3" x14ac:dyDescent="0.25">
      <c r="A1674" t="str">
        <f>"11/05/2016"</f>
        <v>11/05/2016</v>
      </c>
      <c r="B1674" t="str">
        <f>"108.75"</f>
        <v>108.75</v>
      </c>
      <c r="C1674" t="str">
        <f>"108.6782"</f>
        <v>108.6782</v>
      </c>
    </row>
    <row r="1675" spans="1:3" x14ac:dyDescent="0.25">
      <c r="A1675" t="str">
        <f>"12/05/2016"</f>
        <v>12/05/2016</v>
      </c>
      <c r="B1675" t="str">
        <f>"109.28"</f>
        <v>109.28</v>
      </c>
      <c r="C1675" t="str">
        <f>"109.202"</f>
        <v>109.202</v>
      </c>
    </row>
    <row r="1676" spans="1:3" x14ac:dyDescent="0.25">
      <c r="A1676" t="str">
        <f>"13/05/2016"</f>
        <v>13/05/2016</v>
      </c>
      <c r="B1676" t="str">
        <f>"109.28"</f>
        <v>109.28</v>
      </c>
      <c r="C1676" t="str">
        <f>"109.202"</f>
        <v>109.202</v>
      </c>
    </row>
    <row r="1677" spans="1:3" x14ac:dyDescent="0.25">
      <c r="A1677" t="str">
        <f>"16/05/2016"</f>
        <v>16/05/2016</v>
      </c>
      <c r="B1677" t="str">
        <f>"108.96"</f>
        <v>108.96</v>
      </c>
      <c r="C1677" t="str">
        <f>"108.8762"</f>
        <v>108.8762</v>
      </c>
    </row>
    <row r="1678" spans="1:3" x14ac:dyDescent="0.25">
      <c r="A1678" t="str">
        <f>"17/05/2016"</f>
        <v>17/05/2016</v>
      </c>
      <c r="B1678" t="str">
        <f>"109.46"</f>
        <v>109.46</v>
      </c>
      <c r="C1678" t="str">
        <f>"109.381"</f>
        <v>109.381</v>
      </c>
    </row>
    <row r="1679" spans="1:3" x14ac:dyDescent="0.25">
      <c r="A1679" t="str">
        <f>"18/05/2016"</f>
        <v>18/05/2016</v>
      </c>
      <c r="B1679" t="str">
        <f>"109.33"</f>
        <v>109.33</v>
      </c>
      <c r="C1679" t="str">
        <f>"109.2555"</f>
        <v>109.2555</v>
      </c>
    </row>
    <row r="1680" spans="1:3" x14ac:dyDescent="0.25">
      <c r="A1680" t="str">
        <f>"19/05/2016"</f>
        <v>19/05/2016</v>
      </c>
      <c r="B1680" t="str">
        <f>"109.96"</f>
        <v>109.96</v>
      </c>
      <c r="C1680" t="str">
        <f>"109.889"</f>
        <v>109.889</v>
      </c>
    </row>
    <row r="1681" spans="1:3" x14ac:dyDescent="0.25">
      <c r="A1681" t="str">
        <f>"20/05/2016"</f>
        <v>20/05/2016</v>
      </c>
      <c r="B1681" t="str">
        <f>"110.40"</f>
        <v>110.40</v>
      </c>
      <c r="C1681" t="str">
        <f>"110.3254"</f>
        <v>110.3254</v>
      </c>
    </row>
    <row r="1682" spans="1:3" x14ac:dyDescent="0.25">
      <c r="A1682" t="str">
        <f>"23/05/2016"</f>
        <v>23/05/2016</v>
      </c>
      <c r="B1682" t="str">
        <f>"109.46"</f>
        <v>109.46</v>
      </c>
      <c r="C1682" t="str">
        <f>"109.3799"</f>
        <v>109.3799</v>
      </c>
    </row>
    <row r="1683" spans="1:3" x14ac:dyDescent="0.25">
      <c r="A1683" t="str">
        <f>"24/05/2016"</f>
        <v>24/05/2016</v>
      </c>
      <c r="B1683" t="str">
        <f>"109.30"</f>
        <v>109.30</v>
      </c>
      <c r="C1683" t="str">
        <f>"109.2221"</f>
        <v>109.2221</v>
      </c>
    </row>
    <row r="1684" spans="1:3" x14ac:dyDescent="0.25">
      <c r="A1684" t="str">
        <f>"25/05/2016"</f>
        <v>25/05/2016</v>
      </c>
      <c r="B1684" t="str">
        <f>"110.14"</f>
        <v>110.14</v>
      </c>
      <c r="C1684" t="str">
        <f>"110.0645"</f>
        <v>110.0645</v>
      </c>
    </row>
    <row r="1685" spans="1:3" x14ac:dyDescent="0.25">
      <c r="A1685" t="str">
        <f>"26/05/2016"</f>
        <v>26/05/2016</v>
      </c>
      <c r="B1685" t="str">
        <f>"110.10"</f>
        <v>110.10</v>
      </c>
      <c r="C1685" t="str">
        <f>"110.0264"</f>
        <v>110.0264</v>
      </c>
    </row>
    <row r="1686" spans="1:3" x14ac:dyDescent="0.25">
      <c r="A1686" t="str">
        <f>"27/05/2016"</f>
        <v>27/05/2016</v>
      </c>
      <c r="B1686" t="str">
        <f>"109.68"</f>
        <v>109.68</v>
      </c>
      <c r="C1686" t="str">
        <f>"109.6013"</f>
        <v>109.6013</v>
      </c>
    </row>
    <row r="1687" spans="1:3" x14ac:dyDescent="0.25">
      <c r="A1687" t="str">
        <f>"30/05/2016"</f>
        <v>30/05/2016</v>
      </c>
      <c r="B1687" t="str">
        <f>"111.10"</f>
        <v>111.10</v>
      </c>
      <c r="C1687" t="str">
        <f>"110.9901"</f>
        <v>110.9901</v>
      </c>
    </row>
    <row r="1688" spans="1:3" x14ac:dyDescent="0.25">
      <c r="A1688" t="str">
        <f>"31/05/2016"</f>
        <v>31/05/2016</v>
      </c>
      <c r="B1688" t="str">
        <f>"111.02"</f>
        <v>111.02</v>
      </c>
      <c r="C1688" t="str">
        <f>"110.893"</f>
        <v>110.893</v>
      </c>
    </row>
    <row r="1689" spans="1:3" x14ac:dyDescent="0.25">
      <c r="A1689" t="str">
        <f>"01/06/2016"</f>
        <v>01/06/2016</v>
      </c>
      <c r="B1689" t="str">
        <f>"109.15"</f>
        <v>109.15</v>
      </c>
      <c r="C1689" t="str">
        <f>"109.0199"</f>
        <v>109.0199</v>
      </c>
    </row>
    <row r="1690" spans="1:3" x14ac:dyDescent="0.25">
      <c r="A1690" t="str">
        <f>"02/06/2016"</f>
        <v>02/06/2016</v>
      </c>
      <c r="B1690" t="str">
        <f>"108.97"</f>
        <v>108.97</v>
      </c>
      <c r="C1690" t="str">
        <f>"108.8432"</f>
        <v>108.8432</v>
      </c>
    </row>
    <row r="1691" spans="1:3" x14ac:dyDescent="0.25">
      <c r="A1691" t="str">
        <f>"03/06/2016"</f>
        <v>03/06/2016</v>
      </c>
      <c r="B1691" t="str">
        <f>"108.91"</f>
        <v>108.91</v>
      </c>
      <c r="C1691" t="str">
        <f>"108.7838"</f>
        <v>108.7838</v>
      </c>
    </row>
    <row r="1692" spans="1:3" x14ac:dyDescent="0.25">
      <c r="A1692" t="str">
        <f>"06/06/2016"</f>
        <v>06/06/2016</v>
      </c>
      <c r="B1692" t="str">
        <f>"107.07"</f>
        <v>107.07</v>
      </c>
      <c r="C1692" t="str">
        <f>"106.9512"</f>
        <v>106.9512</v>
      </c>
    </row>
    <row r="1693" spans="1:3" x14ac:dyDescent="0.25">
      <c r="A1693" t="str">
        <f>"07/06/2016"</f>
        <v>07/06/2016</v>
      </c>
      <c r="B1693" t="str">
        <f>"107.76"</f>
        <v>107.76</v>
      </c>
      <c r="C1693" t="str">
        <f>"107.6362"</f>
        <v>107.6362</v>
      </c>
    </row>
    <row r="1694" spans="1:3" x14ac:dyDescent="0.25">
      <c r="A1694" t="str">
        <f>"08/06/2016"</f>
        <v>08/06/2016</v>
      </c>
      <c r="B1694" t="str">
        <f>"107.06"</f>
        <v>107.06</v>
      </c>
      <c r="C1694" t="str">
        <f>"106.9357"</f>
        <v>106.9357</v>
      </c>
    </row>
    <row r="1695" spans="1:3" x14ac:dyDescent="0.25">
      <c r="A1695" t="str">
        <f>"09/06/2016"</f>
        <v>09/06/2016</v>
      </c>
      <c r="B1695" t="str">
        <f>"106.49"</f>
        <v>106.49</v>
      </c>
      <c r="C1695" t="str">
        <f>"106.3622"</f>
        <v>106.3622</v>
      </c>
    </row>
    <row r="1696" spans="1:3" x14ac:dyDescent="0.25">
      <c r="A1696" t="str">
        <f>"10/06/2016"</f>
        <v>10/06/2016</v>
      </c>
      <c r="B1696" t="str">
        <f>"106.86"</f>
        <v>106.86</v>
      </c>
      <c r="C1696" t="str">
        <f>"106.7235"</f>
        <v>106.7235</v>
      </c>
    </row>
    <row r="1697" spans="1:3" x14ac:dyDescent="0.25">
      <c r="A1697" t="str">
        <f>"13/06/2016"</f>
        <v>13/06/2016</v>
      </c>
      <c r="B1697" t="str">
        <f>"106.06"</f>
        <v>106.06</v>
      </c>
      <c r="C1697" t="str">
        <f>"105.9207"</f>
        <v>105.9207</v>
      </c>
    </row>
    <row r="1698" spans="1:3" x14ac:dyDescent="0.25">
      <c r="A1698" t="str">
        <f>"14/06/2016"</f>
        <v>14/06/2016</v>
      </c>
      <c r="B1698" t="str">
        <f>"105.95"</f>
        <v>105.95</v>
      </c>
      <c r="C1698" t="str">
        <f>"105.794"</f>
        <v>105.794</v>
      </c>
    </row>
    <row r="1699" spans="1:3" x14ac:dyDescent="0.25">
      <c r="A1699" t="str">
        <f>"15/06/2016"</f>
        <v>15/06/2016</v>
      </c>
      <c r="B1699" t="str">
        <f>"106.19"</f>
        <v>106.19</v>
      </c>
      <c r="C1699" t="str">
        <f>"106.0295"</f>
        <v>106.0295</v>
      </c>
    </row>
    <row r="1700" spans="1:3" x14ac:dyDescent="0.25">
      <c r="A1700" t="str">
        <f>"16/06/2016"</f>
        <v>16/06/2016</v>
      </c>
      <c r="B1700" t="str">
        <f>"104.29"</f>
        <v>104.29</v>
      </c>
      <c r="C1700" t="str">
        <f>"104.1383"</f>
        <v>104.1383</v>
      </c>
    </row>
    <row r="1701" spans="1:3" x14ac:dyDescent="0.25">
      <c r="A1701" t="str">
        <f>"17/06/2016"</f>
        <v>17/06/2016</v>
      </c>
      <c r="B1701" t="str">
        <f>"104.24"</f>
        <v>104.24</v>
      </c>
      <c r="C1701" t="str">
        <f>"104.097"</f>
        <v>104.097</v>
      </c>
    </row>
    <row r="1702" spans="1:3" x14ac:dyDescent="0.25">
      <c r="A1702" t="str">
        <f>"20/06/2016"</f>
        <v>20/06/2016</v>
      </c>
      <c r="B1702" t="str">
        <f>"104.55"</f>
        <v>104.55</v>
      </c>
      <c r="C1702" t="str">
        <f>"104.4141"</f>
        <v>104.4141</v>
      </c>
    </row>
    <row r="1703" spans="1:3" x14ac:dyDescent="0.25">
      <c r="A1703" t="str">
        <f>"21/06/2016"</f>
        <v>21/06/2016</v>
      </c>
      <c r="B1703" t="str">
        <f>"104.72"</f>
        <v>104.72</v>
      </c>
      <c r="C1703" t="str">
        <f>"104.5681"</f>
        <v>104.5681</v>
      </c>
    </row>
    <row r="1704" spans="1:3" x14ac:dyDescent="0.25">
      <c r="A1704" t="str">
        <f>"22/06/2016"</f>
        <v>22/06/2016</v>
      </c>
      <c r="B1704" t="str">
        <f>"104.57"</f>
        <v>104.57</v>
      </c>
      <c r="C1704" t="str">
        <f>"104.4291"</f>
        <v>104.4291</v>
      </c>
    </row>
    <row r="1705" spans="1:3" x14ac:dyDescent="0.25">
      <c r="A1705" t="str">
        <f>"23/06/2016"</f>
        <v>23/06/2016</v>
      </c>
      <c r="B1705" t="str">
        <f>"105.49"</f>
        <v>105.49</v>
      </c>
      <c r="C1705" t="str">
        <f>"105.3554"</f>
        <v>105.3554</v>
      </c>
    </row>
    <row r="1706" spans="1:3" x14ac:dyDescent="0.25">
      <c r="A1706" t="str">
        <f>"24/06/2016"</f>
        <v>24/06/2016</v>
      </c>
      <c r="B1706" t="str">
        <f>"102.57"</f>
        <v>102.57</v>
      </c>
      <c r="C1706" t="str">
        <f>"102.4288"</f>
        <v>102.4288</v>
      </c>
    </row>
    <row r="1707" spans="1:3" x14ac:dyDescent="0.25">
      <c r="A1707" t="str">
        <f>"27/06/2016"</f>
        <v>27/06/2016</v>
      </c>
      <c r="B1707" t="str">
        <f>"101.54"</f>
        <v>101.54</v>
      </c>
      <c r="C1707" t="str">
        <f>"101.4135"</f>
        <v>101.4135</v>
      </c>
    </row>
    <row r="1708" spans="1:3" x14ac:dyDescent="0.25">
      <c r="A1708" t="str">
        <f>"28/06/2016"</f>
        <v>28/06/2016</v>
      </c>
      <c r="B1708" t="str">
        <f>"102.34"</f>
        <v>102.34</v>
      </c>
      <c r="C1708" t="str">
        <f>"102.2165"</f>
        <v>102.2165</v>
      </c>
    </row>
    <row r="1709" spans="1:3" x14ac:dyDescent="0.25">
      <c r="A1709" t="str">
        <f>"29/06/2016"</f>
        <v>29/06/2016</v>
      </c>
      <c r="B1709" t="str">
        <f>"102.62"</f>
        <v>102.62</v>
      </c>
      <c r="C1709" t="str">
        <f>"102.5138"</f>
        <v>102.5138</v>
      </c>
    </row>
    <row r="1710" spans="1:3" x14ac:dyDescent="0.25">
      <c r="A1710" t="str">
        <f>"30/06/2016"</f>
        <v>30/06/2016</v>
      </c>
      <c r="B1710" t="str">
        <f>"102.75"</f>
        <v>102.75</v>
      </c>
      <c r="C1710" t="str">
        <f>"102.6519"</f>
        <v>102.6519</v>
      </c>
    </row>
    <row r="1711" spans="1:3" x14ac:dyDescent="0.25">
      <c r="A1711" t="str">
        <f>"01/07/2016"</f>
        <v>01/07/2016</v>
      </c>
      <c r="B1711" t="str">
        <f>"102.56"</f>
        <v>102.56</v>
      </c>
      <c r="C1711" t="str">
        <f>"102.4673"</f>
        <v>102.4673</v>
      </c>
    </row>
    <row r="1712" spans="1:3" x14ac:dyDescent="0.25">
      <c r="A1712" t="str">
        <f>"04/07/2016"</f>
        <v>04/07/2016</v>
      </c>
      <c r="B1712" t="str">
        <f>"102.74"</f>
        <v>102.74</v>
      </c>
      <c r="C1712" t="str">
        <f>"102.644"</f>
        <v>102.644</v>
      </c>
    </row>
    <row r="1713" spans="1:3" x14ac:dyDescent="0.25">
      <c r="A1713" t="str">
        <f>"05/07/2016"</f>
        <v>05/07/2016</v>
      </c>
      <c r="B1713" t="str">
        <f>"101.78"</f>
        <v>101.78</v>
      </c>
      <c r="C1713" t="str">
        <f>"101.6873"</f>
        <v>101.6873</v>
      </c>
    </row>
    <row r="1714" spans="1:3" x14ac:dyDescent="0.25">
      <c r="A1714" t="str">
        <f>"07/07/2016"</f>
        <v>07/07/2016</v>
      </c>
      <c r="B1714" t="str">
        <f>"100.96"</f>
        <v>100.96</v>
      </c>
      <c r="C1714" t="str">
        <f>"100.8534"</f>
        <v>100.8534</v>
      </c>
    </row>
    <row r="1715" spans="1:3" x14ac:dyDescent="0.25">
      <c r="A1715" t="str">
        <f>"08/07/2016"</f>
        <v>08/07/2016</v>
      </c>
      <c r="B1715" t="str">
        <f>"100.42"</f>
        <v>100.42</v>
      </c>
      <c r="C1715" t="str">
        <f>"100.3059"</f>
        <v>100.3059</v>
      </c>
    </row>
    <row r="1716" spans="1:3" x14ac:dyDescent="0.25">
      <c r="A1716" t="str">
        <f>"11/07/2016"</f>
        <v>11/07/2016</v>
      </c>
      <c r="B1716" t="str">
        <f>"101.95"</f>
        <v>101.95</v>
      </c>
      <c r="C1716" t="str">
        <f>"101.8322"</f>
        <v>101.8322</v>
      </c>
    </row>
    <row r="1717" spans="1:3" x14ac:dyDescent="0.25">
      <c r="A1717" t="str">
        <f>"12/07/2016"</f>
        <v>12/07/2016</v>
      </c>
      <c r="B1717" t="str">
        <f>"103.90"</f>
        <v>103.90</v>
      </c>
      <c r="C1717" t="str">
        <f>"103.7927"</f>
        <v>103.7927</v>
      </c>
    </row>
    <row r="1718" spans="1:3" x14ac:dyDescent="0.25">
      <c r="A1718" t="str">
        <f>"13/07/2016"</f>
        <v>13/07/2016</v>
      </c>
      <c r="B1718" t="str">
        <f>"104.68"</f>
        <v>104.68</v>
      </c>
      <c r="C1718" t="str">
        <f>"104.5743"</f>
        <v>104.5743</v>
      </c>
    </row>
    <row r="1719" spans="1:3" x14ac:dyDescent="0.25">
      <c r="A1719" t="str">
        <f>"14/07/2016"</f>
        <v>14/07/2016</v>
      </c>
      <c r="B1719" t="str">
        <f>"105.67"</f>
        <v>105.67</v>
      </c>
      <c r="C1719" t="str">
        <f>"105.5599"</f>
        <v>105.5599</v>
      </c>
    </row>
    <row r="1720" spans="1:3" x14ac:dyDescent="0.25">
      <c r="A1720" t="str">
        <f>"15/07/2016"</f>
        <v>15/07/2016</v>
      </c>
      <c r="B1720" t="str">
        <f>"105.83"</f>
        <v>105.83</v>
      </c>
      <c r="C1720" t="str">
        <f>"105.694"</f>
        <v>105.694</v>
      </c>
    </row>
    <row r="1721" spans="1:3" x14ac:dyDescent="0.25">
      <c r="A1721" t="str">
        <f>"18/07/2016"</f>
        <v>18/07/2016</v>
      </c>
      <c r="B1721" t="str">
        <f>"105.69"</f>
        <v>105.69</v>
      </c>
      <c r="C1721" t="str">
        <f>"105.5568"</f>
        <v>105.5568</v>
      </c>
    </row>
    <row r="1722" spans="1:3" x14ac:dyDescent="0.25">
      <c r="A1722" t="str">
        <f>"19/07/2016"</f>
        <v>19/07/2016</v>
      </c>
      <c r="B1722" t="str">
        <f>"105.79"</f>
        <v>105.79</v>
      </c>
      <c r="C1722" t="str">
        <f>"105.662"</f>
        <v>105.662</v>
      </c>
    </row>
    <row r="1723" spans="1:3" x14ac:dyDescent="0.25">
      <c r="A1723" t="str">
        <f>"20/07/2016"</f>
        <v>20/07/2016</v>
      </c>
      <c r="B1723" t="str">
        <f>"106.56"</f>
        <v>106.56</v>
      </c>
      <c r="C1723" t="str">
        <f>"106.4413"</f>
        <v>106.4413</v>
      </c>
    </row>
    <row r="1724" spans="1:3" x14ac:dyDescent="0.25">
      <c r="A1724" t="str">
        <f>"21/07/2016"</f>
        <v>21/07/2016</v>
      </c>
      <c r="B1724" t="str">
        <f>"106.30"</f>
        <v>106.30</v>
      </c>
      <c r="C1724" t="str">
        <f>"106.1762"</f>
        <v>106.1762</v>
      </c>
    </row>
    <row r="1725" spans="1:3" x14ac:dyDescent="0.25">
      <c r="A1725" t="str">
        <f>"22/07/2016"</f>
        <v>22/07/2016</v>
      </c>
      <c r="B1725" t="str">
        <f>"106.21"</f>
        <v>106.21</v>
      </c>
      <c r="C1725" t="str">
        <f>"106.0949"</f>
        <v>106.0949</v>
      </c>
    </row>
    <row r="1726" spans="1:3" x14ac:dyDescent="0.25">
      <c r="A1726" t="str">
        <f>"25/07/2016"</f>
        <v>25/07/2016</v>
      </c>
      <c r="B1726" t="str">
        <f>"106.27"</f>
        <v>106.27</v>
      </c>
      <c r="C1726" t="str">
        <f>"106.147"</f>
        <v>106.147</v>
      </c>
    </row>
    <row r="1727" spans="1:3" x14ac:dyDescent="0.25">
      <c r="A1727" t="str">
        <f>"26/07/2016"</f>
        <v>26/07/2016</v>
      </c>
      <c r="B1727" t="str">
        <f>"104.27"</f>
        <v>104.27</v>
      </c>
      <c r="C1727" t="str">
        <f>"104.147"</f>
        <v>104.147</v>
      </c>
    </row>
    <row r="1728" spans="1:3" x14ac:dyDescent="0.25">
      <c r="A1728" t="str">
        <f>"27/07/2016"</f>
        <v>27/07/2016</v>
      </c>
      <c r="B1728" t="str">
        <f>"105.69"</f>
        <v>105.69</v>
      </c>
      <c r="C1728" t="str">
        <f>"105.56"</f>
        <v>105.56</v>
      </c>
    </row>
    <row r="1729" spans="1:3" x14ac:dyDescent="0.25">
      <c r="A1729" t="str">
        <f>"28/07/2016"</f>
        <v>28/07/2016</v>
      </c>
      <c r="B1729" t="str">
        <f>"104.80"</f>
        <v>104.80</v>
      </c>
      <c r="C1729" t="str">
        <f>"104.6829"</f>
        <v>104.6829</v>
      </c>
    </row>
    <row r="1730" spans="1:3" x14ac:dyDescent="0.25">
      <c r="A1730" t="str">
        <f>"29/07/2016"</f>
        <v>29/07/2016</v>
      </c>
      <c r="B1730" t="str">
        <f>"103.34"</f>
        <v>103.34</v>
      </c>
      <c r="C1730" t="str">
        <f>"103.2364"</f>
        <v>103.2364</v>
      </c>
    </row>
    <row r="1731" spans="1:3" x14ac:dyDescent="0.25">
      <c r="A1731" t="str">
        <f>"01/08/2016"</f>
        <v>01/08/2016</v>
      </c>
      <c r="B1731" t="str">
        <f>"102.34"</f>
        <v>102.34</v>
      </c>
      <c r="C1731" t="str">
        <f>"102.225"</f>
        <v>102.225</v>
      </c>
    </row>
    <row r="1732" spans="1:3" x14ac:dyDescent="0.25">
      <c r="A1732" t="str">
        <f>"02/08/2016"</f>
        <v>02/08/2016</v>
      </c>
      <c r="B1732" t="str">
        <f>"101.81"</f>
        <v>101.81</v>
      </c>
      <c r="C1732" t="str">
        <f>"101.7007"</f>
        <v>101.7007</v>
      </c>
    </row>
    <row r="1733" spans="1:3" x14ac:dyDescent="0.25">
      <c r="A1733" t="str">
        <f>"03/08/2016"</f>
        <v>03/08/2016</v>
      </c>
      <c r="B1733" t="str">
        <f>"101.14"</f>
        <v>101.14</v>
      </c>
      <c r="C1733" t="str">
        <f>"101.0328"</f>
        <v>101.0328</v>
      </c>
    </row>
    <row r="1734" spans="1:3" x14ac:dyDescent="0.25">
      <c r="A1734" t="str">
        <f>"04/08/2016"</f>
        <v>04/08/2016</v>
      </c>
      <c r="B1734" t="str">
        <f>"101.19"</f>
        <v>101.19</v>
      </c>
      <c r="C1734" t="str">
        <f>"101.0882"</f>
        <v>101.0882</v>
      </c>
    </row>
    <row r="1735" spans="1:3" x14ac:dyDescent="0.25">
      <c r="A1735" t="str">
        <f>"05/08/2016"</f>
        <v>05/08/2016</v>
      </c>
      <c r="B1735" t="str">
        <f>"101.17"</f>
        <v>101.17</v>
      </c>
      <c r="C1735" t="str">
        <f>"101.0649"</f>
        <v>101.0649</v>
      </c>
    </row>
    <row r="1736" spans="1:3" x14ac:dyDescent="0.25">
      <c r="A1736" t="str">
        <f>"08/08/2016"</f>
        <v>08/08/2016</v>
      </c>
      <c r="B1736" t="str">
        <f>"102.38"</f>
        <v>102.38</v>
      </c>
      <c r="C1736" t="str">
        <f>"102.2629"</f>
        <v>102.2629</v>
      </c>
    </row>
    <row r="1737" spans="1:3" x14ac:dyDescent="0.25">
      <c r="A1737" t="str">
        <f>"09/08/2016"</f>
        <v>09/08/2016</v>
      </c>
      <c r="B1737" t="str">
        <f>"102.26"</f>
        <v>102.26</v>
      </c>
      <c r="C1737" t="str">
        <f>"102.1534"</f>
        <v>102.1534</v>
      </c>
    </row>
    <row r="1738" spans="1:3" x14ac:dyDescent="0.25">
      <c r="A1738" t="str">
        <f>"10/08/2016"</f>
        <v>10/08/2016</v>
      </c>
      <c r="B1738" t="str">
        <f>"101.23"</f>
        <v>101.23</v>
      </c>
      <c r="C1738" t="str">
        <f>"101.1216"</f>
        <v>101.1216</v>
      </c>
    </row>
    <row r="1739" spans="1:3" x14ac:dyDescent="0.25">
      <c r="A1739" t="str">
        <f>"11/08/2016"</f>
        <v>11/08/2016</v>
      </c>
      <c r="B1739" t="str">
        <f>"101.33"</f>
        <v>101.33</v>
      </c>
      <c r="C1739" t="str">
        <f>"101.223"</f>
        <v>101.223</v>
      </c>
    </row>
    <row r="1740" spans="1:3" x14ac:dyDescent="0.25">
      <c r="A1740" t="str">
        <f>"12/08/2016"</f>
        <v>12/08/2016</v>
      </c>
      <c r="B1740" t="str">
        <f>"102.13"</f>
        <v>102.13</v>
      </c>
      <c r="C1740" t="str">
        <f>"102.0239"</f>
        <v>102.0239</v>
      </c>
    </row>
    <row r="1741" spans="1:3" x14ac:dyDescent="0.25">
      <c r="A1741" t="str">
        <f>"16/08/2016"</f>
        <v>16/08/2016</v>
      </c>
      <c r="B1741" t="str">
        <f>"99.73"</f>
        <v>99.73</v>
      </c>
      <c r="C1741" t="str">
        <f>"99.6236"</f>
        <v>99.6236</v>
      </c>
    </row>
    <row r="1742" spans="1:3" x14ac:dyDescent="0.25">
      <c r="A1742" t="str">
        <f>"18/08/2016"</f>
        <v>18/08/2016</v>
      </c>
      <c r="B1742" t="str">
        <f>"100.30"</f>
        <v>100.30</v>
      </c>
      <c r="C1742" t="str">
        <f>"100.1962"</f>
        <v>100.1962</v>
      </c>
    </row>
    <row r="1743" spans="1:3" x14ac:dyDescent="0.25">
      <c r="A1743" t="str">
        <f>"19/08/2016"</f>
        <v>19/08/2016</v>
      </c>
      <c r="B1743" t="str">
        <f>"100.18"</f>
        <v>100.18</v>
      </c>
      <c r="C1743" t="str">
        <f>"100.0813"</f>
        <v>100.0813</v>
      </c>
    </row>
    <row r="1744" spans="1:3" x14ac:dyDescent="0.25">
      <c r="A1744" t="str">
        <f>"22/08/2016"</f>
        <v>22/08/2016</v>
      </c>
      <c r="B1744" t="str">
        <f>"100.78"</f>
        <v>100.78</v>
      </c>
      <c r="C1744" t="str">
        <f>"100.6734"</f>
        <v>100.6734</v>
      </c>
    </row>
    <row r="1745" spans="1:3" x14ac:dyDescent="0.25">
      <c r="A1745" t="str">
        <f>"23/08/2016"</f>
        <v>23/08/2016</v>
      </c>
      <c r="B1745" t="str">
        <f>"100.14"</f>
        <v>100.14</v>
      </c>
      <c r="C1745" t="str">
        <f>"100.0394"</f>
        <v>100.0394</v>
      </c>
    </row>
    <row r="1746" spans="1:3" x14ac:dyDescent="0.25">
      <c r="A1746" t="str">
        <f>"24/08/2016"</f>
        <v>24/08/2016</v>
      </c>
      <c r="B1746" t="str">
        <f>"100.36"</f>
        <v>100.36</v>
      </c>
      <c r="C1746" t="str">
        <f>"100.2667"</f>
        <v>100.2667</v>
      </c>
    </row>
    <row r="1747" spans="1:3" x14ac:dyDescent="0.25">
      <c r="A1747" t="str">
        <f>"25/08/2016"</f>
        <v>25/08/2016</v>
      </c>
      <c r="B1747" t="str">
        <f>"100.47"</f>
        <v>100.47</v>
      </c>
      <c r="C1747" t="str">
        <f>"100.3751"</f>
        <v>100.3751</v>
      </c>
    </row>
    <row r="1748" spans="1:3" x14ac:dyDescent="0.25">
      <c r="A1748" t="str">
        <f>"26/08/2016"</f>
        <v>26/08/2016</v>
      </c>
      <c r="B1748" t="str">
        <f>"100.44"</f>
        <v>100.44</v>
      </c>
      <c r="C1748" t="str">
        <f>"100.3451"</f>
        <v>100.3451</v>
      </c>
    </row>
    <row r="1749" spans="1:3" x14ac:dyDescent="0.25">
      <c r="A1749" t="str">
        <f>"29/08/2016"</f>
        <v>29/08/2016</v>
      </c>
      <c r="B1749" t="str">
        <f>"102.19"</f>
        <v>102.19</v>
      </c>
      <c r="C1749" t="str">
        <f>"102.0942"</f>
        <v>102.0942</v>
      </c>
    </row>
    <row r="1750" spans="1:3" x14ac:dyDescent="0.25">
      <c r="A1750" t="str">
        <f>"30/08/2016"</f>
        <v>30/08/2016</v>
      </c>
      <c r="B1750" t="str">
        <f>"102.27"</f>
        <v>102.27</v>
      </c>
      <c r="C1750" t="str">
        <f>"102.1233"</f>
        <v>102.1233</v>
      </c>
    </row>
    <row r="1751" spans="1:3" x14ac:dyDescent="0.25">
      <c r="A1751" t="str">
        <f>"31/08/2016"</f>
        <v>31/08/2016</v>
      </c>
      <c r="B1751" t="str">
        <f>"103.29"</f>
        <v>103.29</v>
      </c>
      <c r="C1751" t="str">
        <f>"103.1445"</f>
        <v>103.1445</v>
      </c>
    </row>
    <row r="1752" spans="1:3" x14ac:dyDescent="0.25">
      <c r="A1752" t="str">
        <f>"01/09/2016"</f>
        <v>01/09/2016</v>
      </c>
      <c r="B1752" t="str">
        <f>"103.63"</f>
        <v>103.63</v>
      </c>
      <c r="C1752" t="str">
        <f>"103.484"</f>
        <v>103.484</v>
      </c>
    </row>
    <row r="1753" spans="1:3" x14ac:dyDescent="0.25">
      <c r="A1753" t="str">
        <f>"02/09/2016"</f>
        <v>02/09/2016</v>
      </c>
      <c r="B1753" t="str">
        <f>"103.50"</f>
        <v>103.50</v>
      </c>
      <c r="C1753" t="str">
        <f>"103.3501"</f>
        <v>103.3501</v>
      </c>
    </row>
    <row r="1754" spans="1:3" x14ac:dyDescent="0.25">
      <c r="A1754" t="str">
        <f>"06/09/2016"</f>
        <v>06/09/2016</v>
      </c>
      <c r="B1754" t="str">
        <f>"103.31"</f>
        <v>103.31</v>
      </c>
      <c r="C1754" t="str">
        <f>"103.1573"</f>
        <v>103.1573</v>
      </c>
    </row>
    <row r="1755" spans="1:3" x14ac:dyDescent="0.25">
      <c r="A1755" t="str">
        <f>"07/09/2016"</f>
        <v>07/09/2016</v>
      </c>
      <c r="B1755" t="str">
        <f>"101.66"</f>
        <v>101.66</v>
      </c>
      <c r="C1755" t="str">
        <f>"101.5083"</f>
        <v>101.5083</v>
      </c>
    </row>
    <row r="1756" spans="1:3" x14ac:dyDescent="0.25">
      <c r="A1756" t="str">
        <f>"08/09/2016"</f>
        <v>08/09/2016</v>
      </c>
      <c r="B1756" t="str">
        <f>"101.48"</f>
        <v>101.48</v>
      </c>
      <c r="C1756" t="str">
        <f>"101.3312"</f>
        <v>101.3312</v>
      </c>
    </row>
    <row r="1757" spans="1:3" x14ac:dyDescent="0.25">
      <c r="A1757" t="str">
        <f>"09/09/2016"</f>
        <v>09/09/2016</v>
      </c>
      <c r="B1757" t="str">
        <f>"102.08"</f>
        <v>102.08</v>
      </c>
      <c r="C1757" t="str">
        <f>"101.9292"</f>
        <v>101.9292</v>
      </c>
    </row>
    <row r="1758" spans="1:3" x14ac:dyDescent="0.25">
      <c r="A1758" t="str">
        <f>"12/09/2016"</f>
        <v>12/09/2016</v>
      </c>
      <c r="B1758" t="str">
        <f>"102.55"</f>
        <v>102.55</v>
      </c>
      <c r="C1758" t="str">
        <f>"102.3971"</f>
        <v>102.3971</v>
      </c>
    </row>
    <row r="1759" spans="1:3" x14ac:dyDescent="0.25">
      <c r="A1759" t="str">
        <f>"14/09/2016"</f>
        <v>14/09/2016</v>
      </c>
      <c r="B1759" t="str">
        <f>"102.95"</f>
        <v>102.95</v>
      </c>
      <c r="C1759" t="str">
        <f>"102.7885"</f>
        <v>102.7885</v>
      </c>
    </row>
    <row r="1760" spans="1:3" x14ac:dyDescent="0.25">
      <c r="A1760" t="str">
        <f>"15/09/2016"</f>
        <v>15/09/2016</v>
      </c>
      <c r="B1760" t="str">
        <f>"102.28"</f>
        <v>102.28</v>
      </c>
      <c r="C1760" t="str">
        <f>"102.1173"</f>
        <v>102.1173</v>
      </c>
    </row>
    <row r="1761" spans="1:3" x14ac:dyDescent="0.25">
      <c r="A1761" t="str">
        <f>"16/09/2016"</f>
        <v>16/09/2016</v>
      </c>
      <c r="B1761" t="str">
        <f>"101.90"</f>
        <v>101.90</v>
      </c>
      <c r="C1761" t="str">
        <f>"101.7342"</f>
        <v>101.7342</v>
      </c>
    </row>
    <row r="1762" spans="1:3" x14ac:dyDescent="0.25">
      <c r="A1762" t="str">
        <f>"19/09/2016"</f>
        <v>19/09/2016</v>
      </c>
      <c r="B1762" t="str">
        <f>"101.84"</f>
        <v>101.84</v>
      </c>
      <c r="C1762" t="str">
        <f>"101.6744"</f>
        <v>101.6744</v>
      </c>
    </row>
    <row r="1763" spans="1:3" x14ac:dyDescent="0.25">
      <c r="A1763" t="str">
        <f>"20/09/2016"</f>
        <v>20/09/2016</v>
      </c>
      <c r="B1763" t="str">
        <f>"101.92"</f>
        <v>101.92</v>
      </c>
      <c r="C1763" t="str">
        <f>"101.75"</f>
        <v>101.75</v>
      </c>
    </row>
    <row r="1764" spans="1:3" x14ac:dyDescent="0.25">
      <c r="A1764" t="str">
        <f>"21/09/2016"</f>
        <v>21/09/2016</v>
      </c>
      <c r="B1764" t="str">
        <f>"101.36"</f>
        <v>101.36</v>
      </c>
      <c r="C1764" t="str">
        <f>"101.2012"</f>
        <v>101.2012</v>
      </c>
    </row>
    <row r="1765" spans="1:3" x14ac:dyDescent="0.25">
      <c r="A1765" t="str">
        <f>"22/09/2016"</f>
        <v>22/09/2016</v>
      </c>
      <c r="B1765" t="str">
        <f>"100.68"</f>
        <v>100.68</v>
      </c>
      <c r="C1765" t="str">
        <f>"100.5254"</f>
        <v>100.5254</v>
      </c>
    </row>
    <row r="1766" spans="1:3" x14ac:dyDescent="0.25">
      <c r="A1766" t="str">
        <f>"23/09/2016"</f>
        <v>23/09/2016</v>
      </c>
      <c r="B1766" t="str">
        <f>"100.83"</f>
        <v>100.83</v>
      </c>
      <c r="C1766" t="str">
        <f>"100.6854"</f>
        <v>100.6854</v>
      </c>
    </row>
    <row r="1767" spans="1:3" x14ac:dyDescent="0.25">
      <c r="A1767" t="str">
        <f>"26/09/2016"</f>
        <v>26/09/2016</v>
      </c>
      <c r="B1767" t="str">
        <f>"100.44"</f>
        <v>100.44</v>
      </c>
      <c r="C1767" t="str">
        <f>"100.2907"</f>
        <v>100.2907</v>
      </c>
    </row>
    <row r="1768" spans="1:3" x14ac:dyDescent="0.25">
      <c r="A1768" t="str">
        <f>"27/09/2016"</f>
        <v>27/09/2016</v>
      </c>
      <c r="B1768" t="str">
        <f>"100.29"</f>
        <v>100.29</v>
      </c>
      <c r="C1768" t="str">
        <f>"100.129"</f>
        <v>100.129</v>
      </c>
    </row>
    <row r="1769" spans="1:3" x14ac:dyDescent="0.25">
      <c r="A1769" t="str">
        <f>"28/09/2016"</f>
        <v>28/09/2016</v>
      </c>
      <c r="B1769" t="str">
        <f>"100.71"</f>
        <v>100.71</v>
      </c>
      <c r="C1769" t="str">
        <f>"100.5492"</f>
        <v>100.5492</v>
      </c>
    </row>
    <row r="1770" spans="1:3" x14ac:dyDescent="0.25">
      <c r="A1770" t="str">
        <f>"29/09/2016"</f>
        <v>29/09/2016</v>
      </c>
      <c r="B1770" t="str">
        <f>"101.41"</f>
        <v>101.41</v>
      </c>
      <c r="C1770" t="str">
        <f>"101.2806"</f>
        <v>101.2806</v>
      </c>
    </row>
    <row r="1771" spans="1:3" x14ac:dyDescent="0.25">
      <c r="A1771" t="str">
        <f>"30/09/2016"</f>
        <v>30/09/2016</v>
      </c>
      <c r="B1771" t="str">
        <f>"101.23"</f>
        <v>101.23</v>
      </c>
      <c r="C1771" t="str">
        <f>"101.1012"</f>
        <v>101.1012</v>
      </c>
    </row>
    <row r="1772" spans="1:3" x14ac:dyDescent="0.25">
      <c r="A1772" t="str">
        <f>"03/10/2016"</f>
        <v>03/10/2016</v>
      </c>
      <c r="B1772" t="str">
        <f>"101.36"</f>
        <v>101.36</v>
      </c>
      <c r="C1772" t="str">
        <f>"101.2299"</f>
        <v>101.2299</v>
      </c>
    </row>
    <row r="1773" spans="1:3" x14ac:dyDescent="0.25">
      <c r="A1773" t="str">
        <f>"04/10/2016"</f>
        <v>04/10/2016</v>
      </c>
      <c r="B1773" t="str">
        <f>"102.47"</f>
        <v>102.47</v>
      </c>
      <c r="C1773" t="str">
        <f>"102.3499"</f>
        <v>102.3499</v>
      </c>
    </row>
    <row r="1774" spans="1:3" x14ac:dyDescent="0.25">
      <c r="A1774" t="str">
        <f>"05/10/2016"</f>
        <v>05/10/2016</v>
      </c>
      <c r="B1774" t="str">
        <f>"103.11"</f>
        <v>103.11</v>
      </c>
      <c r="C1774" t="str">
        <f>"103.0062"</f>
        <v>103.0062</v>
      </c>
    </row>
    <row r="1775" spans="1:3" x14ac:dyDescent="0.25">
      <c r="A1775" t="str">
        <f>"06/10/2016"</f>
        <v>06/10/2016</v>
      </c>
      <c r="B1775" t="str">
        <f>"103.73"</f>
        <v>103.73</v>
      </c>
      <c r="C1775" t="str">
        <f>"103.6107"</f>
        <v>103.6107</v>
      </c>
    </row>
    <row r="1776" spans="1:3" x14ac:dyDescent="0.25">
      <c r="A1776" t="str">
        <f>"07/10/2016"</f>
        <v>07/10/2016</v>
      </c>
      <c r="B1776" t="str">
        <f>"103.69"</f>
        <v>103.69</v>
      </c>
      <c r="C1776" t="str">
        <f>"103.5685"</f>
        <v>103.5685</v>
      </c>
    </row>
    <row r="1777" spans="1:3" x14ac:dyDescent="0.25">
      <c r="A1777" t="str">
        <f>"10/10/2016"</f>
        <v>10/10/2016</v>
      </c>
      <c r="B1777" t="str">
        <f>"103.39"</f>
        <v>103.39</v>
      </c>
      <c r="C1777" t="str">
        <f>"103.271"</f>
        <v>103.271</v>
      </c>
    </row>
    <row r="1778" spans="1:3" x14ac:dyDescent="0.25">
      <c r="A1778" t="str">
        <f>"13/10/2016"</f>
        <v>13/10/2016</v>
      </c>
      <c r="B1778" t="str">
        <f>"103.77"</f>
        <v>103.77</v>
      </c>
      <c r="C1778" t="str">
        <f>"103.6671"</f>
        <v>103.6671</v>
      </c>
    </row>
    <row r="1779" spans="1:3" x14ac:dyDescent="0.25">
      <c r="A1779" t="str">
        <f>"14/10/2016"</f>
        <v>14/10/2016</v>
      </c>
      <c r="B1779" t="str">
        <f>"104.27"</f>
        <v>104.27</v>
      </c>
      <c r="C1779" t="str">
        <f>"104.1623"</f>
        <v>104.1623</v>
      </c>
    </row>
    <row r="1780" spans="1:3" x14ac:dyDescent="0.25">
      <c r="A1780" t="str">
        <f>"17/10/2016"</f>
        <v>17/10/2016</v>
      </c>
      <c r="B1780" t="str">
        <f>"104.12"</f>
        <v>104.12</v>
      </c>
      <c r="C1780" t="str">
        <f>"104.0077"</f>
        <v>104.0077</v>
      </c>
    </row>
    <row r="1781" spans="1:3" x14ac:dyDescent="0.25">
      <c r="A1781" t="str">
        <f>"18/10/2016"</f>
        <v>18/10/2016</v>
      </c>
      <c r="B1781" t="str">
        <f>"103.95"</f>
        <v>103.95</v>
      </c>
      <c r="C1781" t="str">
        <f>"103.844"</f>
        <v>103.844</v>
      </c>
    </row>
    <row r="1782" spans="1:3" x14ac:dyDescent="0.25">
      <c r="A1782" t="str">
        <f>"19/10/2016"</f>
        <v>19/10/2016</v>
      </c>
      <c r="B1782" t="str">
        <f>"103.36"</f>
        <v>103.36</v>
      </c>
      <c r="C1782" t="str">
        <f>"103.262"</f>
        <v>103.262</v>
      </c>
    </row>
    <row r="1783" spans="1:3" x14ac:dyDescent="0.25">
      <c r="A1783" t="str">
        <f>"20/10/2016"</f>
        <v>20/10/2016</v>
      </c>
      <c r="B1783" t="str">
        <f>"103.70"</f>
        <v>103.70</v>
      </c>
      <c r="C1783" t="str">
        <f>"103.598"</f>
        <v>103.598</v>
      </c>
    </row>
    <row r="1784" spans="1:3" x14ac:dyDescent="0.25">
      <c r="A1784" t="str">
        <f>"21/10/2016"</f>
        <v>21/10/2016</v>
      </c>
      <c r="B1784" t="str">
        <f>"103.75"</f>
        <v>103.75</v>
      </c>
      <c r="C1784" t="str">
        <f>"103.6506"</f>
        <v>103.6506</v>
      </c>
    </row>
    <row r="1785" spans="1:3" x14ac:dyDescent="0.25">
      <c r="A1785" t="str">
        <f>"24/10/2016"</f>
        <v>24/10/2016</v>
      </c>
      <c r="B1785" t="str">
        <f>"104.03"</f>
        <v>104.03</v>
      </c>
      <c r="C1785" t="str">
        <f>"103.9266"</f>
        <v>103.9266</v>
      </c>
    </row>
    <row r="1786" spans="1:3" x14ac:dyDescent="0.25">
      <c r="A1786" t="str">
        <f>"25/10/2016"</f>
        <v>25/10/2016</v>
      </c>
      <c r="B1786" t="str">
        <f>"104.52"</f>
        <v>104.52</v>
      </c>
      <c r="C1786" t="str">
        <f>"104.4179"</f>
        <v>104.4179</v>
      </c>
    </row>
    <row r="1787" spans="1:3" x14ac:dyDescent="0.25">
      <c r="A1787" t="str">
        <f>"26/10/2016"</f>
        <v>26/10/2016</v>
      </c>
      <c r="B1787" t="str">
        <f>"104.28"</f>
        <v>104.28</v>
      </c>
      <c r="C1787" t="str">
        <f>"104.1856"</f>
        <v>104.1856</v>
      </c>
    </row>
    <row r="1788" spans="1:3" x14ac:dyDescent="0.25">
      <c r="A1788" t="str">
        <f>"27/10/2016"</f>
        <v>27/10/2016</v>
      </c>
      <c r="B1788" t="str">
        <f>"104.50"</f>
        <v>104.50</v>
      </c>
      <c r="C1788" t="str">
        <f>"104.4077"</f>
        <v>104.4077</v>
      </c>
    </row>
    <row r="1789" spans="1:3" x14ac:dyDescent="0.25">
      <c r="A1789" t="str">
        <f>"28/10/2016"</f>
        <v>28/10/2016</v>
      </c>
      <c r="B1789" t="str">
        <f>"105.33"</f>
        <v>105.33</v>
      </c>
      <c r="C1789" t="str">
        <f>"105.2314"</f>
        <v>105.2314</v>
      </c>
    </row>
    <row r="1790" spans="1:3" x14ac:dyDescent="0.25">
      <c r="A1790" t="str">
        <f>"01/11/2016"</f>
        <v>01/11/2016</v>
      </c>
      <c r="B1790" t="str">
        <f>"104.87"</f>
        <v>104.87</v>
      </c>
      <c r="C1790" t="str">
        <f>"104.7718"</f>
        <v>104.7718</v>
      </c>
    </row>
    <row r="1791" spans="1:3" x14ac:dyDescent="0.25">
      <c r="A1791" t="str">
        <f>"02/11/2016"</f>
        <v>02/11/2016</v>
      </c>
      <c r="B1791" t="str">
        <f>"103.77"</f>
        <v>103.77</v>
      </c>
      <c r="C1791" t="str">
        <f>"103.6757"</f>
        <v>103.6757</v>
      </c>
    </row>
    <row r="1792" spans="1:3" x14ac:dyDescent="0.25">
      <c r="A1792" t="str">
        <f>"03/11/2016"</f>
        <v>03/11/2016</v>
      </c>
      <c r="B1792" t="str">
        <f>"102.72"</f>
        <v>102.72</v>
      </c>
      <c r="C1792" t="str">
        <f>"102.6273"</f>
        <v>102.6273</v>
      </c>
    </row>
    <row r="1793" spans="1:3" x14ac:dyDescent="0.25">
      <c r="A1793" t="str">
        <f>"04/11/2016"</f>
        <v>04/11/2016</v>
      </c>
      <c r="B1793" t="str">
        <f>"102.97"</f>
        <v>102.97</v>
      </c>
      <c r="C1793" t="str">
        <f>"102.8762"</f>
        <v>102.8762</v>
      </c>
    </row>
    <row r="1794" spans="1:3" x14ac:dyDescent="0.25">
      <c r="A1794" t="str">
        <f>"07/11/2016"</f>
        <v>07/11/2016</v>
      </c>
      <c r="B1794" t="str">
        <f>"104.40"</f>
        <v>104.40</v>
      </c>
      <c r="C1794" t="str">
        <f>"104.303"</f>
        <v>104.303</v>
      </c>
    </row>
    <row r="1795" spans="1:3" x14ac:dyDescent="0.25">
      <c r="A1795" t="str">
        <f>"08/11/2016"</f>
        <v>08/11/2016</v>
      </c>
      <c r="B1795" t="str">
        <f>"104.43"</f>
        <v>104.43</v>
      </c>
      <c r="C1795" t="str">
        <f>"104.3232"</f>
        <v>104.3232</v>
      </c>
    </row>
    <row r="1796" spans="1:3" x14ac:dyDescent="0.25">
      <c r="A1796" t="str">
        <f>"09/11/2016"</f>
        <v>09/11/2016</v>
      </c>
      <c r="B1796" t="str">
        <f>"101.67"</f>
        <v>101.67</v>
      </c>
      <c r="C1796" t="str">
        <f>"101.5662"</f>
        <v>101.5662</v>
      </c>
    </row>
    <row r="1797" spans="1:3" x14ac:dyDescent="0.25">
      <c r="A1797" t="str">
        <f>"10/11/2016"</f>
        <v>10/11/2016</v>
      </c>
      <c r="B1797" t="str">
        <f>"106.56"</f>
        <v>106.56</v>
      </c>
      <c r="C1797" t="str">
        <f>"106.4636"</f>
        <v>106.4636</v>
      </c>
    </row>
    <row r="1798" spans="1:3" x14ac:dyDescent="0.25">
      <c r="A1798" t="str">
        <f>"11/11/2016"</f>
        <v>11/11/2016</v>
      </c>
      <c r="B1798" t="str">
        <f>"106.46"</f>
        <v>106.46</v>
      </c>
      <c r="C1798" t="str">
        <f>"106.3674"</f>
        <v>106.3674</v>
      </c>
    </row>
    <row r="1799" spans="1:3" x14ac:dyDescent="0.25">
      <c r="A1799" t="str">
        <f>"15/11/2016"</f>
        <v>15/11/2016</v>
      </c>
      <c r="B1799" t="str">
        <f>"107.94"</f>
        <v>107.94</v>
      </c>
      <c r="C1799" t="str">
        <f>"107.8364"</f>
        <v>107.8364</v>
      </c>
    </row>
    <row r="1800" spans="1:3" x14ac:dyDescent="0.25">
      <c r="A1800" t="str">
        <f>"16/11/2016"</f>
        <v>16/11/2016</v>
      </c>
      <c r="B1800" t="str">
        <f>"109.67"</f>
        <v>109.67</v>
      </c>
      <c r="C1800" t="str">
        <f>"109.5702"</f>
        <v>109.5702</v>
      </c>
    </row>
    <row r="1801" spans="1:3" x14ac:dyDescent="0.25">
      <c r="A1801" t="str">
        <f>"17/11/2016"</f>
        <v>17/11/2016</v>
      </c>
      <c r="B1801" t="str">
        <f>"108.92"</f>
        <v>108.92</v>
      </c>
      <c r="C1801" t="str">
        <f>"108.8267"</f>
        <v>108.8267</v>
      </c>
    </row>
    <row r="1802" spans="1:3" x14ac:dyDescent="0.25">
      <c r="A1802" t="str">
        <f>"18/11/2016"</f>
        <v>18/11/2016</v>
      </c>
      <c r="B1802" t="str">
        <f>"110.11"</f>
        <v>110.11</v>
      </c>
      <c r="C1802" t="str">
        <f>"110.0121"</f>
        <v>110.0121</v>
      </c>
    </row>
    <row r="1803" spans="1:3" x14ac:dyDescent="0.25">
      <c r="A1803" t="str">
        <f>"21/11/2016"</f>
        <v>21/11/2016</v>
      </c>
      <c r="B1803" t="str">
        <f>"111.09"</f>
        <v>111.09</v>
      </c>
      <c r="C1803" t="str">
        <f>"110.9695"</f>
        <v>110.9695</v>
      </c>
    </row>
    <row r="1804" spans="1:3" x14ac:dyDescent="0.25">
      <c r="A1804" t="str">
        <f>"22/11/2016"</f>
        <v>22/11/2016</v>
      </c>
      <c r="B1804" t="str">
        <f>"110.91"</f>
        <v>110.91</v>
      </c>
      <c r="C1804" t="str">
        <f>"110.7885"</f>
        <v>110.7885</v>
      </c>
    </row>
    <row r="1805" spans="1:3" x14ac:dyDescent="0.25">
      <c r="A1805" t="str">
        <f>"23/11/2016"</f>
        <v>23/11/2016</v>
      </c>
      <c r="B1805" t="str">
        <f>"111.06"</f>
        <v>111.06</v>
      </c>
      <c r="C1805" t="str">
        <f>"110.9408"</f>
        <v>110.9408</v>
      </c>
    </row>
    <row r="1806" spans="1:3" x14ac:dyDescent="0.25">
      <c r="A1806" t="str">
        <f>"24/11/2016"</f>
        <v>24/11/2016</v>
      </c>
      <c r="B1806" t="str">
        <f>"113.08"</f>
        <v>113.08</v>
      </c>
      <c r="C1806" t="str">
        <f>"112.9577"</f>
        <v>112.9577</v>
      </c>
    </row>
    <row r="1807" spans="1:3" x14ac:dyDescent="0.25">
      <c r="A1807" t="str">
        <f>"25/11/2016"</f>
        <v>25/11/2016</v>
      </c>
      <c r="B1807" t="str">
        <f>"113.02"</f>
        <v>113.02</v>
      </c>
      <c r="C1807" t="str">
        <f>"112.8976"</f>
        <v>112.8976</v>
      </c>
    </row>
    <row r="1808" spans="1:3" x14ac:dyDescent="0.25">
      <c r="A1808" t="str">
        <f>"28/11/2016"</f>
        <v>28/11/2016</v>
      </c>
      <c r="B1808" t="str">
        <f>"112.48"</f>
        <v>112.48</v>
      </c>
      <c r="C1808" t="str">
        <f>"112.3498"</f>
        <v>112.3498</v>
      </c>
    </row>
    <row r="1809" spans="1:3" x14ac:dyDescent="0.25">
      <c r="A1809" t="str">
        <f>"29/11/2016"</f>
        <v>29/11/2016</v>
      </c>
      <c r="B1809" t="str">
        <f>"111.99"</f>
        <v>111.99</v>
      </c>
      <c r="C1809" t="str">
        <f>"111.7486"</f>
        <v>111.7486</v>
      </c>
    </row>
    <row r="1810" spans="1:3" x14ac:dyDescent="0.25">
      <c r="A1810" t="str">
        <f>"30/11/2016"</f>
        <v>30/11/2016</v>
      </c>
      <c r="B1810" t="str">
        <f>"113.27"</f>
        <v>113.27</v>
      </c>
      <c r="C1810" t="str">
        <f>"113.0337"</f>
        <v>113.0337</v>
      </c>
    </row>
    <row r="1811" spans="1:3" x14ac:dyDescent="0.25">
      <c r="A1811" t="str">
        <f>"01/12/2016"</f>
        <v>01/12/2016</v>
      </c>
      <c r="B1811" t="str">
        <f>"114.20"</f>
        <v>114.20</v>
      </c>
      <c r="C1811" t="str">
        <f>"113.9801"</f>
        <v>113.9801</v>
      </c>
    </row>
    <row r="1812" spans="1:3" x14ac:dyDescent="0.25">
      <c r="A1812" t="str">
        <f>"02/12/2016"</f>
        <v>02/12/2016</v>
      </c>
      <c r="B1812" t="str">
        <f>"113.86"</f>
        <v>113.86</v>
      </c>
      <c r="C1812" t="str">
        <f>"113.6327"</f>
        <v>113.6327</v>
      </c>
    </row>
    <row r="1813" spans="1:3" x14ac:dyDescent="0.25">
      <c r="A1813" t="str">
        <f>"05/12/2016"</f>
        <v>05/12/2016</v>
      </c>
      <c r="B1813" t="str">
        <f>"114.27"</f>
        <v>114.27</v>
      </c>
      <c r="C1813" t="str">
        <f>"114.0259"</f>
        <v>114.0259</v>
      </c>
    </row>
    <row r="1814" spans="1:3" x14ac:dyDescent="0.25">
      <c r="A1814" t="str">
        <f>"06/12/2016"</f>
        <v>06/12/2016</v>
      </c>
      <c r="B1814" t="str">
        <f>"114.08"</f>
        <v>114.08</v>
      </c>
      <c r="C1814" t="str">
        <f>"113.8486"</f>
        <v>113.8486</v>
      </c>
    </row>
    <row r="1815" spans="1:3" x14ac:dyDescent="0.25">
      <c r="A1815" t="str">
        <f>"07/12/2016"</f>
        <v>07/12/2016</v>
      </c>
      <c r="B1815" t="str">
        <f>"114.13"</f>
        <v>114.13</v>
      </c>
      <c r="C1815" t="str">
        <f>"113.9016"</f>
        <v>113.9016</v>
      </c>
    </row>
    <row r="1816" spans="1:3" x14ac:dyDescent="0.25">
      <c r="A1816" t="str">
        <f>"08/12/2016"</f>
        <v>08/12/2016</v>
      </c>
      <c r="B1816" t="str">
        <f>"113.33"</f>
        <v>113.33</v>
      </c>
      <c r="C1816" t="str">
        <f>"113.1202"</f>
        <v>113.1202</v>
      </c>
    </row>
    <row r="1817" spans="1:3" x14ac:dyDescent="0.25">
      <c r="A1817" t="str">
        <f>"09/12/2016"</f>
        <v>09/12/2016</v>
      </c>
      <c r="B1817" t="str">
        <f>"114.62"</f>
        <v>114.62</v>
      </c>
      <c r="C1817" t="str">
        <f>"114.4024"</f>
        <v>114.4024</v>
      </c>
    </row>
    <row r="1818" spans="1:3" x14ac:dyDescent="0.25">
      <c r="A1818" t="str">
        <f>"13/12/2016"</f>
        <v>13/12/2016</v>
      </c>
      <c r="B1818" t="str">
        <f>"115.40"</f>
        <v>115.40</v>
      </c>
      <c r="C1818" t="str">
        <f>"115.1624"</f>
        <v>115.1624</v>
      </c>
    </row>
    <row r="1819" spans="1:3" x14ac:dyDescent="0.25">
      <c r="A1819" t="str">
        <f>"14/12/2016"</f>
        <v>14/12/2016</v>
      </c>
      <c r="B1819" t="str">
        <f>"115.24"</f>
        <v>115.24</v>
      </c>
      <c r="C1819" t="str">
        <f>"115.0109"</f>
        <v>115.0109</v>
      </c>
    </row>
    <row r="1820" spans="1:3" x14ac:dyDescent="0.25">
      <c r="A1820" t="str">
        <f>"15/12/2016"</f>
        <v>15/12/2016</v>
      </c>
      <c r="B1820" t="str">
        <f>"117.49"</f>
        <v>117.49</v>
      </c>
      <c r="C1820" t="str">
        <f>"117.2604"</f>
        <v>117.2604</v>
      </c>
    </row>
    <row r="1821" spans="1:3" x14ac:dyDescent="0.25">
      <c r="A1821" t="str">
        <f>"16/12/2016"</f>
        <v>16/12/2016</v>
      </c>
      <c r="B1821" t="str">
        <f>"118.17"</f>
        <v>118.17</v>
      </c>
      <c r="C1821" t="str">
        <f>"117.955"</f>
        <v>117.955</v>
      </c>
    </row>
    <row r="1822" spans="1:3" x14ac:dyDescent="0.25">
      <c r="A1822" t="str">
        <f>"19/12/2016"</f>
        <v>19/12/2016</v>
      </c>
      <c r="B1822" t="str">
        <f>"117.30"</f>
        <v>117.30</v>
      </c>
      <c r="C1822" t="str">
        <f>"117.0888"</f>
        <v>117.0888</v>
      </c>
    </row>
    <row r="1823" spans="1:3" x14ac:dyDescent="0.25">
      <c r="A1823" t="str">
        <f>"20/12/2016"</f>
        <v>20/12/2016</v>
      </c>
      <c r="B1823" t="str">
        <f>"117.87"</f>
        <v>117.87</v>
      </c>
      <c r="C1823" t="str">
        <f>"117.6587"</f>
        <v>117.6587</v>
      </c>
    </row>
    <row r="1824" spans="1:3" x14ac:dyDescent="0.25">
      <c r="A1824" t="str">
        <f>"21/12/2016"</f>
        <v>21/12/2016</v>
      </c>
      <c r="B1824" t="str">
        <f>"117.63"</f>
        <v>117.63</v>
      </c>
      <c r="C1824" t="str">
        <f>"117.4298"</f>
        <v>117.4298</v>
      </c>
    </row>
    <row r="1825" spans="1:3" x14ac:dyDescent="0.25">
      <c r="A1825" t="str">
        <f>"22/12/2016"</f>
        <v>22/12/2016</v>
      </c>
      <c r="B1825" t="str">
        <f>"117.65"</f>
        <v>117.65</v>
      </c>
      <c r="C1825" t="str">
        <f>"117.4562"</f>
        <v>117.4562</v>
      </c>
    </row>
    <row r="1826" spans="1:3" x14ac:dyDescent="0.25">
      <c r="A1826" t="str">
        <f>"23/12/2016"</f>
        <v>23/12/2016</v>
      </c>
      <c r="B1826" t="str">
        <f>"117.48"</f>
        <v>117.48</v>
      </c>
      <c r="C1826" t="str">
        <f>"117.2764"</f>
        <v>117.2764</v>
      </c>
    </row>
    <row r="1827" spans="1:3" x14ac:dyDescent="0.25">
      <c r="A1827" t="str">
        <f>"26/12/2016"</f>
        <v>26/12/2016</v>
      </c>
      <c r="B1827" t="str">
        <f>"117.16"</f>
        <v>117.16</v>
      </c>
      <c r="C1827" t="str">
        <f>"116.9625"</f>
        <v>116.9625</v>
      </c>
    </row>
    <row r="1828" spans="1:3" x14ac:dyDescent="0.25">
      <c r="A1828" t="str">
        <f>"27/12/2016"</f>
        <v>27/12/2016</v>
      </c>
      <c r="B1828" t="str">
        <f>"117.32"</f>
        <v>117.32</v>
      </c>
      <c r="C1828" t="str">
        <f>"117.1138"</f>
        <v>117.1138</v>
      </c>
    </row>
    <row r="1829" spans="1:3" x14ac:dyDescent="0.25">
      <c r="A1829" t="str">
        <f>"28/12/2016"</f>
        <v>28/12/2016</v>
      </c>
      <c r="B1829" t="str">
        <f>"117.80"</f>
        <v>117.80</v>
      </c>
      <c r="C1829" t="str">
        <f>"117.5629"</f>
        <v>117.5629</v>
      </c>
    </row>
    <row r="1830" spans="1:3" x14ac:dyDescent="0.25">
      <c r="A1830" t="str">
        <f>"29/12/2016"</f>
        <v>29/12/2016</v>
      </c>
      <c r="B1830" t="str">
        <f>"116.50"</f>
        <v>116.50</v>
      </c>
      <c r="C1830" t="str">
        <f>"116.3203"</f>
        <v>116.3203</v>
      </c>
    </row>
    <row r="1831" spans="1:3" x14ac:dyDescent="0.25">
      <c r="A1831" t="str">
        <f>"30/12/2016"</f>
        <v>30/12/2016</v>
      </c>
      <c r="B1831" t="str">
        <f>"116.95"</f>
        <v>116.95</v>
      </c>
      <c r="C1831" t="str">
        <f>"116.7389"</f>
        <v>116.7389</v>
      </c>
    </row>
    <row r="1832" spans="1:3" x14ac:dyDescent="0.25">
      <c r="A1832" t="str">
        <f>"02/01/2017"</f>
        <v>02/01/2017</v>
      </c>
      <c r="B1832" t="str">
        <f>"117.39"</f>
        <v>117.39</v>
      </c>
      <c r="C1832" t="str">
        <f>"117.2007"</f>
        <v>117.2007</v>
      </c>
    </row>
    <row r="1833" spans="1:3" x14ac:dyDescent="0.25">
      <c r="A1833" t="str">
        <f>"03/01/2017"</f>
        <v>03/01/2017</v>
      </c>
      <c r="B1833" t="str">
        <f>"118.35"</f>
        <v>118.35</v>
      </c>
      <c r="C1833" t="str">
        <f>"118.1908"</f>
        <v>118.1908</v>
      </c>
    </row>
    <row r="1834" spans="1:3" x14ac:dyDescent="0.25">
      <c r="A1834" t="str">
        <f>"04/01/2017"</f>
        <v>04/01/2017</v>
      </c>
      <c r="B1834" t="str">
        <f>"117.52"</f>
        <v>117.52</v>
      </c>
      <c r="C1834" t="str">
        <f>"117.3861"</f>
        <v>117.3861</v>
      </c>
    </row>
    <row r="1835" spans="1:3" x14ac:dyDescent="0.25">
      <c r="A1835" t="str">
        <f>"05/01/2017"</f>
        <v>05/01/2017</v>
      </c>
      <c r="B1835" t="str">
        <f>"116.63"</f>
        <v>116.63</v>
      </c>
      <c r="C1835" t="str">
        <f>"116.4949"</f>
        <v>116.4949</v>
      </c>
    </row>
    <row r="1836" spans="1:3" x14ac:dyDescent="0.25">
      <c r="A1836" t="str">
        <f>"06/01/2017"</f>
        <v>06/01/2017</v>
      </c>
      <c r="B1836" t="str">
        <f>"115.96"</f>
        <v>115.96</v>
      </c>
      <c r="C1836" t="str">
        <f>"115.8163"</f>
        <v>115.8163</v>
      </c>
    </row>
    <row r="1837" spans="1:3" x14ac:dyDescent="0.25">
      <c r="A1837" t="str">
        <f>"09/01/2017"</f>
        <v>09/01/2017</v>
      </c>
      <c r="B1837" t="str">
        <f>"116.81"</f>
        <v>116.81</v>
      </c>
      <c r="C1837" t="str">
        <f>"116.6669"</f>
        <v>116.6669</v>
      </c>
    </row>
    <row r="1838" spans="1:3" x14ac:dyDescent="0.25">
      <c r="A1838" t="str">
        <f>"10/01/2017"</f>
        <v>10/01/2017</v>
      </c>
      <c r="B1838" t="str">
        <f>"115.91"</f>
        <v>115.91</v>
      </c>
      <c r="C1838" t="str">
        <f>"115.7847"</f>
        <v>115.7847</v>
      </c>
    </row>
    <row r="1839" spans="1:3" x14ac:dyDescent="0.25">
      <c r="A1839" t="str">
        <f>"11/01/2017"</f>
        <v>11/01/2017</v>
      </c>
      <c r="B1839" t="str">
        <f>"116.38"</f>
        <v>116.38</v>
      </c>
      <c r="C1839" t="str">
        <f>"116.2655"</f>
        <v>116.2655</v>
      </c>
    </row>
    <row r="1840" spans="1:3" x14ac:dyDescent="0.25">
      <c r="A1840" t="str">
        <f>"12/01/2017"</f>
        <v>12/01/2017</v>
      </c>
      <c r="B1840" t="str">
        <f>"114.28"</f>
        <v>114.28</v>
      </c>
      <c r="C1840" t="str">
        <f>"114.1671"</f>
        <v>114.1671</v>
      </c>
    </row>
    <row r="1841" spans="1:3" x14ac:dyDescent="0.25">
      <c r="A1841" t="str">
        <f>"13/01/2017"</f>
        <v>13/01/2017</v>
      </c>
      <c r="B1841" t="str">
        <f>"114.60"</f>
        <v>114.60</v>
      </c>
      <c r="C1841" t="str">
        <f>"114.4885"</f>
        <v>114.4885</v>
      </c>
    </row>
    <row r="1842" spans="1:3" x14ac:dyDescent="0.25">
      <c r="A1842" t="str">
        <f>"16/01/2017"</f>
        <v>16/01/2017</v>
      </c>
      <c r="B1842" t="str">
        <f>"114.21"</f>
        <v>114.21</v>
      </c>
      <c r="C1842" t="str">
        <f>"114.0864"</f>
        <v>114.0864</v>
      </c>
    </row>
    <row r="1843" spans="1:3" x14ac:dyDescent="0.25">
      <c r="A1843" t="str">
        <f>"17/01/2017"</f>
        <v>17/01/2017</v>
      </c>
      <c r="B1843" t="str">
        <f>"112.81"</f>
        <v>112.81</v>
      </c>
      <c r="C1843" t="str">
        <f>"112.6983"</f>
        <v>112.6983</v>
      </c>
    </row>
    <row r="1844" spans="1:3" x14ac:dyDescent="0.25">
      <c r="A1844" t="str">
        <f>"18/01/2017"</f>
        <v>18/01/2017</v>
      </c>
      <c r="B1844" t="str">
        <f>"113.57"</f>
        <v>113.57</v>
      </c>
      <c r="C1844" t="str">
        <f>"113.4597"</f>
        <v>113.4597</v>
      </c>
    </row>
    <row r="1845" spans="1:3" x14ac:dyDescent="0.25">
      <c r="A1845" t="str">
        <f>"19/01/2017"</f>
        <v>19/01/2017</v>
      </c>
      <c r="B1845" t="str">
        <f>"114.50"</f>
        <v>114.50</v>
      </c>
      <c r="C1845" t="str">
        <f>"114.3895"</f>
        <v>114.3895</v>
      </c>
    </row>
    <row r="1846" spans="1:3" x14ac:dyDescent="0.25">
      <c r="A1846" t="str">
        <f>"20/01/2017"</f>
        <v>20/01/2017</v>
      </c>
      <c r="B1846" t="str">
        <f>"115.36"</f>
        <v>115.36</v>
      </c>
      <c r="C1846" t="str">
        <f>"115.2529"</f>
        <v>115.2529</v>
      </c>
    </row>
    <row r="1847" spans="1:3" x14ac:dyDescent="0.25">
      <c r="A1847" t="str">
        <f>"23/01/2017"</f>
        <v>23/01/2017</v>
      </c>
      <c r="B1847" t="str">
        <f>"113.71"</f>
        <v>113.71</v>
      </c>
      <c r="C1847" t="str">
        <f>"113.5969"</f>
        <v>113.5969</v>
      </c>
    </row>
    <row r="1848" spans="1:3" x14ac:dyDescent="0.25">
      <c r="A1848" t="str">
        <f>"24/01/2017"</f>
        <v>24/01/2017</v>
      </c>
      <c r="B1848" t="str">
        <f>"112.88"</f>
        <v>112.88</v>
      </c>
      <c r="C1848" t="str">
        <f>"112.7735"</f>
        <v>112.7735</v>
      </c>
    </row>
    <row r="1849" spans="1:3" x14ac:dyDescent="0.25">
      <c r="A1849" t="str">
        <f>"25/01/2017"</f>
        <v>25/01/2017</v>
      </c>
      <c r="B1849" t="str">
        <f>"113.62"</f>
        <v>113.62</v>
      </c>
      <c r="C1849" t="str">
        <f>"113.5224"</f>
        <v>113.5224</v>
      </c>
    </row>
    <row r="1850" spans="1:3" x14ac:dyDescent="0.25">
      <c r="A1850" t="str">
        <f>"27/01/2017"</f>
        <v>27/01/2017</v>
      </c>
      <c r="B1850" t="str">
        <f>"115.00"</f>
        <v>115.00</v>
      </c>
      <c r="C1850" t="str">
        <f>"114.9045"</f>
        <v>114.9045</v>
      </c>
    </row>
    <row r="1851" spans="1:3" x14ac:dyDescent="0.25">
      <c r="A1851" t="str">
        <f>"30/01/2017"</f>
        <v>30/01/2017</v>
      </c>
      <c r="B1851" t="str">
        <f>"114.49"</f>
        <v>114.49</v>
      </c>
      <c r="C1851" t="str">
        <f>"114.3985"</f>
        <v>114.3985</v>
      </c>
    </row>
    <row r="1852" spans="1:3" x14ac:dyDescent="0.25">
      <c r="A1852" t="str">
        <f>"31/01/2017"</f>
        <v>31/01/2017</v>
      </c>
      <c r="B1852" t="str">
        <f>"113.89"</f>
        <v>113.89</v>
      </c>
      <c r="C1852" t="str">
        <f>"113.8026"</f>
        <v>113.8026</v>
      </c>
    </row>
    <row r="1853" spans="1:3" x14ac:dyDescent="0.25">
      <c r="A1853" t="str">
        <f>"01/02/2017"</f>
        <v>01/02/2017</v>
      </c>
      <c r="B1853" t="str">
        <f>"113.13"</f>
        <v>113.13</v>
      </c>
      <c r="C1853" t="str">
        <f>"113.0444"</f>
        <v>113.0444</v>
      </c>
    </row>
    <row r="1854" spans="1:3" x14ac:dyDescent="0.25">
      <c r="A1854" t="str">
        <f>"02/02/2017"</f>
        <v>02/02/2017</v>
      </c>
      <c r="B1854" t="str">
        <f>"112.45"</f>
        <v>112.45</v>
      </c>
      <c r="C1854" t="str">
        <f>"112.3703"</f>
        <v>112.3703</v>
      </c>
    </row>
    <row r="1855" spans="1:3" x14ac:dyDescent="0.25">
      <c r="A1855" t="str">
        <f>"03/02/2017"</f>
        <v>03/02/2017</v>
      </c>
      <c r="B1855" t="str">
        <f>"113.15"</f>
        <v>113.15</v>
      </c>
      <c r="C1855" t="str">
        <f>"113.064"</f>
        <v>113.064</v>
      </c>
    </row>
    <row r="1856" spans="1:3" x14ac:dyDescent="0.25">
      <c r="A1856" t="str">
        <f>"06/02/2017"</f>
        <v>06/02/2017</v>
      </c>
      <c r="B1856" t="str">
        <f>"112.45"</f>
        <v>112.45</v>
      </c>
      <c r="C1856" t="str">
        <f>"112.3606"</f>
        <v>112.3606</v>
      </c>
    </row>
    <row r="1857" spans="1:3" x14ac:dyDescent="0.25">
      <c r="A1857" t="str">
        <f>"07/02/2017"</f>
        <v>07/02/2017</v>
      </c>
      <c r="B1857" t="str">
        <f>"112.47"</f>
        <v>112.47</v>
      </c>
      <c r="C1857" t="str">
        <f>"112.3823"</f>
        <v>112.3823</v>
      </c>
    </row>
    <row r="1858" spans="1:3" x14ac:dyDescent="0.25">
      <c r="A1858" t="str">
        <f>"08/02/2017"</f>
        <v>08/02/2017</v>
      </c>
      <c r="B1858" t="str">
        <f>"112.22"</f>
        <v>112.22</v>
      </c>
      <c r="C1858" t="str">
        <f>"112.1337"</f>
        <v>112.1337</v>
      </c>
    </row>
    <row r="1859" spans="1:3" x14ac:dyDescent="0.25">
      <c r="A1859" t="str">
        <f>"09/02/2017"</f>
        <v>09/02/2017</v>
      </c>
      <c r="B1859" t="str">
        <f>"112.43"</f>
        <v>112.43</v>
      </c>
      <c r="C1859" t="str">
        <f>"112.3476"</f>
        <v>112.3476</v>
      </c>
    </row>
    <row r="1860" spans="1:3" x14ac:dyDescent="0.25">
      <c r="A1860" t="str">
        <f>"10/02/2017"</f>
        <v>10/02/2017</v>
      </c>
      <c r="B1860" t="str">
        <f>"113.50"</f>
        <v>113.50</v>
      </c>
      <c r="C1860" t="str">
        <f>"113.4163"</f>
        <v>113.4163</v>
      </c>
    </row>
    <row r="1861" spans="1:3" x14ac:dyDescent="0.25">
      <c r="A1861" t="str">
        <f>"13/02/2017"</f>
        <v>13/02/2017</v>
      </c>
      <c r="B1861" t="str">
        <f>"113.75"</f>
        <v>113.75</v>
      </c>
      <c r="C1861" t="str">
        <f>"113.6609"</f>
        <v>113.6609</v>
      </c>
    </row>
    <row r="1862" spans="1:3" x14ac:dyDescent="0.25">
      <c r="A1862" t="str">
        <f>"14/02/2017"</f>
        <v>14/02/2017</v>
      </c>
      <c r="B1862" t="str">
        <f>"113.35"</f>
        <v>113.35</v>
      </c>
      <c r="C1862" t="str">
        <f>"113.2659"</f>
        <v>113.2659</v>
      </c>
    </row>
    <row r="1863" spans="1:3" x14ac:dyDescent="0.25">
      <c r="A1863" t="str">
        <f>"15/02/2017"</f>
        <v>15/02/2017</v>
      </c>
      <c r="B1863" t="str">
        <f>"114.59"</f>
        <v>114.59</v>
      </c>
      <c r="C1863" t="str">
        <f>"114.5024"</f>
        <v>114.5024</v>
      </c>
    </row>
    <row r="1864" spans="1:3" x14ac:dyDescent="0.25">
      <c r="A1864" t="str">
        <f>"16/02/2017"</f>
        <v>16/02/2017</v>
      </c>
      <c r="B1864" t="str">
        <f>"113.60"</f>
        <v>113.60</v>
      </c>
      <c r="C1864" t="str">
        <f>"113.5147"</f>
        <v>113.5147</v>
      </c>
    </row>
    <row r="1865" spans="1:3" x14ac:dyDescent="0.25">
      <c r="A1865" t="str">
        <f>"17/02/2017"</f>
        <v>17/02/2017</v>
      </c>
      <c r="B1865" t="str">
        <f>"112.93"</f>
        <v>112.93</v>
      </c>
      <c r="C1865" t="str">
        <f>"112.8428"</f>
        <v>112.8428</v>
      </c>
    </row>
    <row r="1866" spans="1:3" x14ac:dyDescent="0.25">
      <c r="A1866" t="str">
        <f>"20/02/2017"</f>
        <v>20/02/2017</v>
      </c>
      <c r="B1866" t="str">
        <f>"113.12"</f>
        <v>113.12</v>
      </c>
      <c r="C1866" t="str">
        <f>"113.0333"</f>
        <v>113.0333</v>
      </c>
    </row>
    <row r="1867" spans="1:3" x14ac:dyDescent="0.25">
      <c r="A1867" t="str">
        <f>"22/02/2017"</f>
        <v>22/02/2017</v>
      </c>
      <c r="B1867" t="str">
        <f>"113.09"</f>
        <v>113.09</v>
      </c>
      <c r="C1867" t="str">
        <f>"113.0001"</f>
        <v>113.0001</v>
      </c>
    </row>
    <row r="1868" spans="1:3" x14ac:dyDescent="0.25">
      <c r="A1868" t="str">
        <f>"23/02/2017"</f>
        <v>23/02/2017</v>
      </c>
      <c r="B1868" t="str">
        <f>"113.27"</f>
        <v>113.27</v>
      </c>
      <c r="C1868" t="str">
        <f>"113.1796"</f>
        <v>113.1796</v>
      </c>
    </row>
    <row r="1869" spans="1:3" x14ac:dyDescent="0.25">
      <c r="A1869" t="str">
        <f>"27/02/2017"</f>
        <v>27/02/2017</v>
      </c>
      <c r="B1869" t="str">
        <f>"112.30"</f>
        <v>112.30</v>
      </c>
      <c r="C1869" t="str">
        <f>"112.1382"</f>
        <v>112.1382</v>
      </c>
    </row>
    <row r="1870" spans="1:3" x14ac:dyDescent="0.25">
      <c r="A1870" t="str">
        <f>"28/02/2017"</f>
        <v>28/02/2017</v>
      </c>
      <c r="B1870" t="str">
        <f>"112.23"</f>
        <v>112.23</v>
      </c>
      <c r="C1870" t="str">
        <f>"112.0715"</f>
        <v>112.0715</v>
      </c>
    </row>
    <row r="1871" spans="1:3" x14ac:dyDescent="0.25">
      <c r="A1871" t="str">
        <f>"01/03/2017"</f>
        <v>01/03/2017</v>
      </c>
      <c r="B1871" t="str">
        <f>"113.80"</f>
        <v>113.80</v>
      </c>
      <c r="C1871" t="str">
        <f>"113.6432"</f>
        <v>113.6432</v>
      </c>
    </row>
    <row r="1872" spans="1:3" x14ac:dyDescent="0.25">
      <c r="A1872" t="str">
        <f>"02/03/2017"</f>
        <v>02/03/2017</v>
      </c>
      <c r="B1872" t="str">
        <f>"114.27"</f>
        <v>114.27</v>
      </c>
      <c r="C1872" t="str">
        <f>"114.1102"</f>
        <v>114.1102</v>
      </c>
    </row>
    <row r="1873" spans="1:3" x14ac:dyDescent="0.25">
      <c r="A1873" t="str">
        <f>"03/03/2017"</f>
        <v>03/03/2017</v>
      </c>
      <c r="B1873" t="str">
        <f>"114.08"</f>
        <v>114.08</v>
      </c>
      <c r="C1873" t="str">
        <f>"113.9199"</f>
        <v>113.9199</v>
      </c>
    </row>
    <row r="1874" spans="1:3" x14ac:dyDescent="0.25">
      <c r="A1874" t="str">
        <f>"06/03/2017"</f>
        <v>06/03/2017</v>
      </c>
      <c r="B1874" t="str">
        <f>"113.84"</f>
        <v>113.84</v>
      </c>
      <c r="C1874" t="str">
        <f>"113.6714"</f>
        <v>113.6714</v>
      </c>
    </row>
    <row r="1875" spans="1:3" x14ac:dyDescent="0.25">
      <c r="A1875" t="str">
        <f>"07/03/2017"</f>
        <v>07/03/2017</v>
      </c>
      <c r="B1875" t="str">
        <f>"113.95"</f>
        <v>113.95</v>
      </c>
      <c r="C1875" t="str">
        <f>"113.7789"</f>
        <v>113.7789</v>
      </c>
    </row>
    <row r="1876" spans="1:3" x14ac:dyDescent="0.25">
      <c r="A1876" t="str">
        <f>"08/03/2017"</f>
        <v>08/03/2017</v>
      </c>
      <c r="B1876" t="str">
        <f>"114.01"</f>
        <v>114.01</v>
      </c>
      <c r="C1876" t="str">
        <f>"113.8443"</f>
        <v>113.8443</v>
      </c>
    </row>
    <row r="1877" spans="1:3" x14ac:dyDescent="0.25">
      <c r="A1877" t="str">
        <f>"09/03/2017"</f>
        <v>09/03/2017</v>
      </c>
      <c r="B1877" t="str">
        <f>"114.67"</f>
        <v>114.67</v>
      </c>
      <c r="C1877" t="str">
        <f>"114.5008"</f>
        <v>114.5008</v>
      </c>
    </row>
    <row r="1878" spans="1:3" x14ac:dyDescent="0.25">
      <c r="A1878" t="str">
        <f>"10/03/2017"</f>
        <v>10/03/2017</v>
      </c>
      <c r="B1878" t="str">
        <f>"115.44"</f>
        <v>115.44</v>
      </c>
      <c r="C1878" t="str">
        <f>"115.2677"</f>
        <v>115.2677</v>
      </c>
    </row>
    <row r="1879" spans="1:3" x14ac:dyDescent="0.25">
      <c r="A1879" t="str">
        <f>"14/03/2017"</f>
        <v>14/03/2017</v>
      </c>
      <c r="B1879" t="str">
        <f>"115.01"</f>
        <v>115.01</v>
      </c>
      <c r="C1879" t="str">
        <f>"114.8267"</f>
        <v>114.8267</v>
      </c>
    </row>
    <row r="1880" spans="1:3" x14ac:dyDescent="0.25">
      <c r="A1880" t="str">
        <f>"15/03/2017"</f>
        <v>15/03/2017</v>
      </c>
      <c r="B1880" t="str">
        <f>"114.79"</f>
        <v>114.79</v>
      </c>
      <c r="C1880" t="str">
        <f>"114.6087"</f>
        <v>114.6087</v>
      </c>
    </row>
    <row r="1881" spans="1:3" x14ac:dyDescent="0.25">
      <c r="A1881" t="str">
        <f>"16/03/2017"</f>
        <v>16/03/2017</v>
      </c>
      <c r="B1881" t="str">
        <f>"113.39"</f>
        <v>113.39</v>
      </c>
      <c r="C1881" t="str">
        <f>"113.2087"</f>
        <v>113.2087</v>
      </c>
    </row>
    <row r="1882" spans="1:3" x14ac:dyDescent="0.25">
      <c r="A1882" t="str">
        <f>"17/03/2017"</f>
        <v>17/03/2017</v>
      </c>
      <c r="B1882" t="str">
        <f>"113.15"</f>
        <v>113.15</v>
      </c>
      <c r="C1882" t="str">
        <f>"112.9612"</f>
        <v>112.9612</v>
      </c>
    </row>
    <row r="1883" spans="1:3" x14ac:dyDescent="0.25">
      <c r="A1883" t="str">
        <f>"20/03/2017"</f>
        <v>20/03/2017</v>
      </c>
      <c r="B1883" t="str">
        <f>"112.88"</f>
        <v>112.88</v>
      </c>
      <c r="C1883" t="str">
        <f>"112.6928"</f>
        <v>112.6928</v>
      </c>
    </row>
    <row r="1884" spans="1:3" x14ac:dyDescent="0.25">
      <c r="A1884" t="str">
        <f>"21/03/2017"</f>
        <v>21/03/2017</v>
      </c>
      <c r="B1884" t="str">
        <f>"112.60"</f>
        <v>112.60</v>
      </c>
      <c r="C1884" t="str">
        <f>"112.4288"</f>
        <v>112.4288</v>
      </c>
    </row>
    <row r="1885" spans="1:3" x14ac:dyDescent="0.25">
      <c r="A1885" t="str">
        <f>"22/03/2017"</f>
        <v>22/03/2017</v>
      </c>
      <c r="B1885" t="str">
        <f>"111.28"</f>
        <v>111.28</v>
      </c>
      <c r="C1885" t="str">
        <f>"111.1194"</f>
        <v>111.1194</v>
      </c>
    </row>
    <row r="1886" spans="1:3" x14ac:dyDescent="0.25">
      <c r="A1886" t="str">
        <f>"23/03/2017"</f>
        <v>23/03/2017</v>
      </c>
      <c r="B1886" t="str">
        <f>"111.33"</f>
        <v>111.33</v>
      </c>
      <c r="C1886" t="str">
        <f>"111.1747"</f>
        <v>111.1747</v>
      </c>
    </row>
    <row r="1887" spans="1:3" x14ac:dyDescent="0.25">
      <c r="A1887" t="str">
        <f>"24/03/2017"</f>
        <v>24/03/2017</v>
      </c>
      <c r="B1887" t="str">
        <f>"111.04"</f>
        <v>111.04</v>
      </c>
      <c r="C1887" t="str">
        <f>"110.8977"</f>
        <v>110.8977</v>
      </c>
    </row>
    <row r="1888" spans="1:3" x14ac:dyDescent="0.25">
      <c r="A1888" t="str">
        <f>"27/03/2017"</f>
        <v>27/03/2017</v>
      </c>
      <c r="B1888" t="str">
        <f>"110.25"</f>
        <v>110.25</v>
      </c>
      <c r="C1888" t="str">
        <f>"110.1082"</f>
        <v>110.1082</v>
      </c>
    </row>
    <row r="1889" spans="1:3" x14ac:dyDescent="0.25">
      <c r="A1889" t="str">
        <f>"29/03/2017"</f>
        <v>29/03/2017</v>
      </c>
      <c r="B1889" t="str">
        <f>"111.01"</f>
        <v>111.01</v>
      </c>
      <c r="C1889" t="str">
        <f>"110.883"</f>
        <v>110.883</v>
      </c>
    </row>
    <row r="1890" spans="1:3" x14ac:dyDescent="0.25">
      <c r="A1890" t="str">
        <f>"30/03/2017"</f>
        <v>30/03/2017</v>
      </c>
      <c r="B1890" t="str">
        <f>"111.12"</f>
        <v>111.12</v>
      </c>
      <c r="C1890" t="str">
        <f>"110.9822"</f>
        <v>110.9822</v>
      </c>
    </row>
    <row r="1891" spans="1:3" x14ac:dyDescent="0.25">
      <c r="A1891" t="str">
        <f>"31/03/2017"</f>
        <v>31/03/2017</v>
      </c>
      <c r="B1891" t="str">
        <f>"111.80"</f>
        <v>111.80</v>
      </c>
      <c r="C1891" t="str">
        <f>"111.6659"</f>
        <v>111.6659</v>
      </c>
    </row>
    <row r="1892" spans="1:3" x14ac:dyDescent="0.25">
      <c r="A1892" t="str">
        <f>"03/04/2017"</f>
        <v>03/04/2017</v>
      </c>
      <c r="B1892" t="str">
        <f>"111.31"</f>
        <v>111.31</v>
      </c>
      <c r="C1892" t="str">
        <f>"111.1814"</f>
        <v>111.1814</v>
      </c>
    </row>
    <row r="1893" spans="1:3" x14ac:dyDescent="0.25">
      <c r="A1893" t="str">
        <f>"05/04/2017"</f>
        <v>05/04/2017</v>
      </c>
      <c r="B1893" t="str">
        <f>"110.84"</f>
        <v>110.84</v>
      </c>
      <c r="C1893" t="str">
        <f>"110.7278"</f>
        <v>110.7278</v>
      </c>
    </row>
    <row r="1894" spans="1:3" x14ac:dyDescent="0.25">
      <c r="A1894" t="str">
        <f>"06/04/2017"</f>
        <v>06/04/2017</v>
      </c>
      <c r="B1894" t="str">
        <f>"110.93"</f>
        <v>110.93</v>
      </c>
      <c r="C1894" t="str">
        <f>"110.8158"</f>
        <v>110.8158</v>
      </c>
    </row>
    <row r="1895" spans="1:3" x14ac:dyDescent="0.25">
      <c r="A1895" t="str">
        <f>"07/04/2017"</f>
        <v>07/04/2017</v>
      </c>
      <c r="B1895" t="str">
        <f>"110.71"</f>
        <v>110.71</v>
      </c>
      <c r="C1895" t="str">
        <f>"110.5919"</f>
        <v>110.5919</v>
      </c>
    </row>
    <row r="1896" spans="1:3" x14ac:dyDescent="0.25">
      <c r="A1896" t="str">
        <f>"10/04/2017"</f>
        <v>10/04/2017</v>
      </c>
      <c r="B1896" t="str">
        <f>"111.44"</f>
        <v>111.44</v>
      </c>
      <c r="C1896" t="str">
        <f>"111.3223"</f>
        <v>111.3223</v>
      </c>
    </row>
    <row r="1897" spans="1:3" x14ac:dyDescent="0.25">
      <c r="A1897" t="str">
        <f>"11/04/2017"</f>
        <v>11/04/2017</v>
      </c>
      <c r="B1897" t="str">
        <f>"110.62"</f>
        <v>110.62</v>
      </c>
      <c r="C1897" t="str">
        <f>"110.4893"</f>
        <v>110.4893</v>
      </c>
    </row>
    <row r="1898" spans="1:3" x14ac:dyDescent="0.25">
      <c r="A1898" t="str">
        <f>"12/04/2017"</f>
        <v>12/04/2017</v>
      </c>
      <c r="B1898" t="str">
        <f>"109.47"</f>
        <v>109.47</v>
      </c>
      <c r="C1898" t="str">
        <f>"109.3486"</f>
        <v>109.3486</v>
      </c>
    </row>
    <row r="1899" spans="1:3" x14ac:dyDescent="0.25">
      <c r="A1899" t="str">
        <f>"13/04/2017"</f>
        <v>13/04/2017</v>
      </c>
      <c r="B1899" t="str">
        <f>"109.11"</f>
        <v>109.11</v>
      </c>
      <c r="C1899" t="str">
        <f>"108.9849"</f>
        <v>108.9849</v>
      </c>
    </row>
    <row r="1900" spans="1:3" x14ac:dyDescent="0.25">
      <c r="A1900" t="str">
        <f>"17/04/2017"</f>
        <v>17/04/2017</v>
      </c>
      <c r="B1900" t="str">
        <f>"108.36"</f>
        <v>108.36</v>
      </c>
      <c r="C1900" t="str">
        <f>"108.2346"</f>
        <v>108.2346</v>
      </c>
    </row>
    <row r="1901" spans="1:3" x14ac:dyDescent="0.25">
      <c r="A1901" t="str">
        <f>"18/04/2017"</f>
        <v>18/04/2017</v>
      </c>
      <c r="B1901" t="str">
        <f>"108.88"</f>
        <v>108.88</v>
      </c>
      <c r="C1901" t="str">
        <f>"108.7497"</f>
        <v>108.7497</v>
      </c>
    </row>
    <row r="1902" spans="1:3" x14ac:dyDescent="0.25">
      <c r="A1902" t="str">
        <f>"19/04/2017"</f>
        <v>19/04/2017</v>
      </c>
      <c r="B1902" t="str">
        <f>"108.58"</f>
        <v>108.58</v>
      </c>
      <c r="C1902" t="str">
        <f>"108.4551"</f>
        <v>108.4551</v>
      </c>
    </row>
    <row r="1903" spans="1:3" x14ac:dyDescent="0.25">
      <c r="A1903" t="str">
        <f>"20/04/2017"</f>
        <v>20/04/2017</v>
      </c>
      <c r="B1903" t="str">
        <f>"109.07"</f>
        <v>109.07</v>
      </c>
      <c r="C1903" t="str">
        <f>"108.9503"</f>
        <v>108.9503</v>
      </c>
    </row>
    <row r="1904" spans="1:3" x14ac:dyDescent="0.25">
      <c r="A1904" t="str">
        <f>"21/04/2017"</f>
        <v>21/04/2017</v>
      </c>
      <c r="B1904" t="str">
        <f>"109.11"</f>
        <v>109.11</v>
      </c>
      <c r="C1904" t="str">
        <f>"108.987"</f>
        <v>108.987</v>
      </c>
    </row>
    <row r="1905" spans="1:3" x14ac:dyDescent="0.25">
      <c r="A1905" t="str">
        <f>"24/04/2017"</f>
        <v>24/04/2017</v>
      </c>
      <c r="B1905" t="str">
        <f>"110.21"</f>
        <v>110.21</v>
      </c>
      <c r="C1905" t="str">
        <f>"110.0873"</f>
        <v>110.0873</v>
      </c>
    </row>
    <row r="1906" spans="1:3" x14ac:dyDescent="0.25">
      <c r="A1906" t="str">
        <f>"25/04/2017"</f>
        <v>25/04/2017</v>
      </c>
      <c r="B1906" t="str">
        <f>"110.50"</f>
        <v>110.50</v>
      </c>
      <c r="C1906" t="str">
        <f>"110.3685"</f>
        <v>110.3685</v>
      </c>
    </row>
    <row r="1907" spans="1:3" x14ac:dyDescent="0.25">
      <c r="A1907" t="str">
        <f>"26/04/2017"</f>
        <v>26/04/2017</v>
      </c>
      <c r="B1907" t="str">
        <f>"111.20"</f>
        <v>111.20</v>
      </c>
      <c r="C1907" t="str">
        <f>"111.0739"</f>
        <v>111.0739</v>
      </c>
    </row>
    <row r="1908" spans="1:3" x14ac:dyDescent="0.25">
      <c r="A1908" t="str">
        <f>"27/04/2017"</f>
        <v>27/04/2017</v>
      </c>
      <c r="B1908" t="str">
        <f>"111.37"</f>
        <v>111.37</v>
      </c>
      <c r="C1908" t="str">
        <f>"111.2495"</f>
        <v>111.2495</v>
      </c>
    </row>
    <row r="1909" spans="1:3" x14ac:dyDescent="0.25">
      <c r="A1909" t="str">
        <f>"28/04/2017"</f>
        <v>28/04/2017</v>
      </c>
      <c r="B1909" t="str">
        <f>"111.37"</f>
        <v>111.37</v>
      </c>
      <c r="C1909" t="str">
        <f>"111.2418"</f>
        <v>111.2418</v>
      </c>
    </row>
    <row r="1910" spans="1:3" x14ac:dyDescent="0.25">
      <c r="A1910" t="str">
        <f>"02/05/2017"</f>
        <v>02/05/2017</v>
      </c>
      <c r="B1910" t="str">
        <f>"112.19"</f>
        <v>112.19</v>
      </c>
      <c r="C1910" t="str">
        <f>"112.0629"</f>
        <v>112.0629</v>
      </c>
    </row>
    <row r="1911" spans="1:3" x14ac:dyDescent="0.25">
      <c r="A1911" t="str">
        <f>"03/05/2017"</f>
        <v>03/05/2017</v>
      </c>
      <c r="B1911" t="str">
        <f>"112.21"</f>
        <v>112.21</v>
      </c>
      <c r="C1911" t="str">
        <f>"112.0822"</f>
        <v>112.0822</v>
      </c>
    </row>
    <row r="1912" spans="1:3" x14ac:dyDescent="0.25">
      <c r="A1912" t="str">
        <f>"04/05/2017"</f>
        <v>04/05/2017</v>
      </c>
      <c r="B1912" t="str">
        <f>"112.76"</f>
        <v>112.76</v>
      </c>
      <c r="C1912" t="str">
        <f>"112.6338"</f>
        <v>112.6338</v>
      </c>
    </row>
    <row r="1913" spans="1:3" x14ac:dyDescent="0.25">
      <c r="A1913" t="str">
        <f>"05/05/2017"</f>
        <v>05/05/2017</v>
      </c>
      <c r="B1913" t="str">
        <f>"112.45"</f>
        <v>112.45</v>
      </c>
      <c r="C1913" t="str">
        <f>"112.3286"</f>
        <v>112.3286</v>
      </c>
    </row>
    <row r="1914" spans="1:3" x14ac:dyDescent="0.25">
      <c r="A1914" t="str">
        <f>"08/05/2017"</f>
        <v>08/05/2017</v>
      </c>
      <c r="B1914" t="str">
        <f>"112.60"</f>
        <v>112.60</v>
      </c>
      <c r="C1914" t="str">
        <f>"112.4764"</f>
        <v>112.4764</v>
      </c>
    </row>
    <row r="1915" spans="1:3" x14ac:dyDescent="0.25">
      <c r="A1915" t="str">
        <f>"09/05/2017"</f>
        <v>09/05/2017</v>
      </c>
      <c r="B1915" t="str">
        <f>"113.28"</f>
        <v>113.28</v>
      </c>
      <c r="C1915" t="str">
        <f>"113.1661"</f>
        <v>113.1661</v>
      </c>
    </row>
    <row r="1916" spans="1:3" x14ac:dyDescent="0.25">
      <c r="A1916" t="str">
        <f>"11/05/2017"</f>
        <v>11/05/2017</v>
      </c>
      <c r="B1916" t="str">
        <f>"114.07"</f>
        <v>114.07</v>
      </c>
      <c r="C1916" t="str">
        <f>"113.9511"</f>
        <v>113.9511</v>
      </c>
    </row>
    <row r="1917" spans="1:3" x14ac:dyDescent="0.25">
      <c r="A1917" t="str">
        <f>"12/05/2017"</f>
        <v>12/05/2017</v>
      </c>
      <c r="B1917" t="str">
        <f>"113.88"</f>
        <v>113.88</v>
      </c>
      <c r="C1917" t="str">
        <f>"113.756"</f>
        <v>113.756</v>
      </c>
    </row>
    <row r="1918" spans="1:3" x14ac:dyDescent="0.25">
      <c r="A1918" t="str">
        <f>"15/05/2017"</f>
        <v>15/05/2017</v>
      </c>
      <c r="B1918" t="str">
        <f>"113.49"</f>
        <v>113.49</v>
      </c>
      <c r="C1918" t="str">
        <f>"113.3564"</f>
        <v>113.3564</v>
      </c>
    </row>
    <row r="1919" spans="1:3" x14ac:dyDescent="0.25">
      <c r="A1919" t="str">
        <f>"16/05/2017"</f>
        <v>16/05/2017</v>
      </c>
      <c r="B1919" t="str">
        <f>"113.66"</f>
        <v>113.66</v>
      </c>
      <c r="C1919" t="str">
        <f>"113.5356"</f>
        <v>113.5356</v>
      </c>
    </row>
    <row r="1920" spans="1:3" x14ac:dyDescent="0.25">
      <c r="A1920" t="str">
        <f>"17/05/2017"</f>
        <v>17/05/2017</v>
      </c>
      <c r="B1920" t="str">
        <f>"112.44"</f>
        <v>112.44</v>
      </c>
      <c r="C1920" t="str">
        <f>"112.3174"</f>
        <v>112.3174</v>
      </c>
    </row>
    <row r="1921" spans="1:3" x14ac:dyDescent="0.25">
      <c r="A1921" t="str">
        <f>"18/05/2017"</f>
        <v>18/05/2017</v>
      </c>
      <c r="B1921" t="str">
        <f>"110.80"</f>
        <v>110.80</v>
      </c>
      <c r="C1921" t="str">
        <f>"110.6757"</f>
        <v>110.6757</v>
      </c>
    </row>
    <row r="1922" spans="1:3" x14ac:dyDescent="0.25">
      <c r="A1922" t="str">
        <f>"19/05/2017"</f>
        <v>19/05/2017</v>
      </c>
      <c r="B1922" t="str">
        <f>"111.42"</f>
        <v>111.42</v>
      </c>
      <c r="C1922" t="str">
        <f>"111.2965"</f>
        <v>111.2965</v>
      </c>
    </row>
    <row r="1923" spans="1:3" x14ac:dyDescent="0.25">
      <c r="A1923" t="str">
        <f>"22/05/2017"</f>
        <v>22/05/2017</v>
      </c>
      <c r="B1923" t="str">
        <f>"111.40"</f>
        <v>111.40</v>
      </c>
      <c r="C1923" t="str">
        <f>"111.2693"</f>
        <v>111.2693</v>
      </c>
    </row>
    <row r="1924" spans="1:3" x14ac:dyDescent="0.25">
      <c r="A1924" t="str">
        <f>"23/05/2017"</f>
        <v>23/05/2017</v>
      </c>
      <c r="B1924" t="str">
        <f>"111.25"</f>
        <v>111.25</v>
      </c>
      <c r="C1924" t="str">
        <f>"111.1267"</f>
        <v>111.1267</v>
      </c>
    </row>
    <row r="1925" spans="1:3" x14ac:dyDescent="0.25">
      <c r="A1925" t="str">
        <f>"24/05/2017"</f>
        <v>24/05/2017</v>
      </c>
      <c r="B1925" t="str">
        <f>"111.79"</f>
        <v>111.79</v>
      </c>
      <c r="C1925" t="str">
        <f>"111.6673"</f>
        <v>111.6673</v>
      </c>
    </row>
    <row r="1926" spans="1:3" x14ac:dyDescent="0.25">
      <c r="A1926" t="str">
        <f>"25/05/2017"</f>
        <v>25/05/2017</v>
      </c>
      <c r="B1926" t="str">
        <f>"111.82"</f>
        <v>111.82</v>
      </c>
      <c r="C1926" t="str">
        <f>"111.6956"</f>
        <v>111.6956</v>
      </c>
    </row>
    <row r="1927" spans="1:3" x14ac:dyDescent="0.25">
      <c r="A1927" t="str">
        <f>"26/05/2017"</f>
        <v>26/05/2017</v>
      </c>
      <c r="B1927" t="str">
        <f>"110.98"</f>
        <v>110.98</v>
      </c>
      <c r="C1927" t="str">
        <f>"110.8555"</f>
        <v>110.8555</v>
      </c>
    </row>
    <row r="1928" spans="1:3" x14ac:dyDescent="0.25">
      <c r="A1928" t="str">
        <f>"29/05/2017"</f>
        <v>29/05/2017</v>
      </c>
      <c r="B1928" t="str">
        <f>"111.32"</f>
        <v>111.32</v>
      </c>
      <c r="C1928" t="str">
        <f>"111.198"</f>
        <v>111.198</v>
      </c>
    </row>
    <row r="1929" spans="1:3" x14ac:dyDescent="0.25">
      <c r="A1929" t="str">
        <f>"30/05/2017"</f>
        <v>30/05/2017</v>
      </c>
      <c r="B1929" t="str">
        <f>"110.99"</f>
        <v>110.99</v>
      </c>
      <c r="C1929" t="str">
        <f>"110.8297"</f>
        <v>110.8297</v>
      </c>
    </row>
    <row r="1930" spans="1:3" x14ac:dyDescent="0.25">
      <c r="A1930" t="str">
        <f>"31/05/2017"</f>
        <v>31/05/2017</v>
      </c>
      <c r="B1930" t="str">
        <f>"110.84"</f>
        <v>110.84</v>
      </c>
      <c r="C1930" t="str">
        <f>"110.6845"</f>
        <v>110.6845</v>
      </c>
    </row>
    <row r="1931" spans="1:3" x14ac:dyDescent="0.25">
      <c r="A1931" t="str">
        <f>"01/06/2017"</f>
        <v>01/06/2017</v>
      </c>
      <c r="B1931" t="str">
        <f>"111.14"</f>
        <v>111.14</v>
      </c>
      <c r="C1931" t="str">
        <f>"110.9915"</f>
        <v>110.9915</v>
      </c>
    </row>
    <row r="1932" spans="1:3" x14ac:dyDescent="0.25">
      <c r="A1932" t="str">
        <f>"02/06/2017"</f>
        <v>02/06/2017</v>
      </c>
      <c r="B1932" t="str">
        <f>"111.52"</f>
        <v>111.52</v>
      </c>
      <c r="C1932" t="str">
        <f>"111.3746"</f>
        <v>111.3746</v>
      </c>
    </row>
    <row r="1933" spans="1:3" x14ac:dyDescent="0.25">
      <c r="A1933" t="str">
        <f>"05/06/2017"</f>
        <v>05/06/2017</v>
      </c>
      <c r="B1933" t="str">
        <f>"110.58"</f>
        <v>110.58</v>
      </c>
      <c r="C1933" t="str">
        <f>"110.4363"</f>
        <v>110.4363</v>
      </c>
    </row>
    <row r="1934" spans="1:3" x14ac:dyDescent="0.25">
      <c r="A1934" t="str">
        <f>"06/06/2017"</f>
        <v>06/06/2017</v>
      </c>
      <c r="B1934" t="str">
        <f>"109.35"</f>
        <v>109.35</v>
      </c>
      <c r="C1934" t="str">
        <f>"109.1969"</f>
        <v>109.1969</v>
      </c>
    </row>
    <row r="1935" spans="1:3" x14ac:dyDescent="0.25">
      <c r="A1935" t="str">
        <f>"07/06/2017"</f>
        <v>07/06/2017</v>
      </c>
      <c r="B1935" t="str">
        <f>"109.43"</f>
        <v>109.43</v>
      </c>
      <c r="C1935" t="str">
        <f>"109.2821"</f>
        <v>109.2821</v>
      </c>
    </row>
    <row r="1936" spans="1:3" x14ac:dyDescent="0.25">
      <c r="A1936" t="str">
        <f>"08/06/2017"</f>
        <v>08/06/2017</v>
      </c>
      <c r="B1936" t="str">
        <f>"109.91"</f>
        <v>109.91</v>
      </c>
      <c r="C1936" t="str">
        <f>"109.7627"</f>
        <v>109.7627</v>
      </c>
    </row>
    <row r="1937" spans="1:3" x14ac:dyDescent="0.25">
      <c r="A1937" t="str">
        <f>"09/06/2017"</f>
        <v>09/06/2017</v>
      </c>
      <c r="B1937" t="str">
        <f>"110.39"</f>
        <v>110.39</v>
      </c>
      <c r="C1937" t="str">
        <f>"110.2325"</f>
        <v>110.2325</v>
      </c>
    </row>
    <row r="1938" spans="1:3" x14ac:dyDescent="0.25">
      <c r="A1938" t="str">
        <f>"12/06/2017"</f>
        <v>12/06/2017</v>
      </c>
      <c r="B1938" t="str">
        <f>"109.87"</f>
        <v>109.87</v>
      </c>
      <c r="C1938" t="str">
        <f>"109.711"</f>
        <v>109.711</v>
      </c>
    </row>
    <row r="1939" spans="1:3" x14ac:dyDescent="0.25">
      <c r="A1939" t="str">
        <f>"13/06/2017"</f>
        <v>13/06/2017</v>
      </c>
      <c r="B1939" t="str">
        <f>"110.07"</f>
        <v>110.07</v>
      </c>
      <c r="C1939" t="str">
        <f>"109.8974"</f>
        <v>109.8974</v>
      </c>
    </row>
    <row r="1940" spans="1:3" x14ac:dyDescent="0.25">
      <c r="A1940" t="str">
        <f>"14/06/2017"</f>
        <v>14/06/2017</v>
      </c>
      <c r="B1940" t="str">
        <f>"110.32"</f>
        <v>110.32</v>
      </c>
      <c r="C1940" t="str">
        <f>"110.1463"</f>
        <v>110.1463</v>
      </c>
    </row>
    <row r="1941" spans="1:3" x14ac:dyDescent="0.25">
      <c r="A1941" t="str">
        <f>"15/06/2017"</f>
        <v>15/06/2017</v>
      </c>
      <c r="B1941" t="str">
        <f>"110.08"</f>
        <v>110.08</v>
      </c>
      <c r="C1941" t="str">
        <f>"109.919"</f>
        <v>109.919</v>
      </c>
    </row>
    <row r="1942" spans="1:3" x14ac:dyDescent="0.25">
      <c r="A1942" t="str">
        <f>"16/06/2017"</f>
        <v>16/06/2017</v>
      </c>
      <c r="B1942" t="str">
        <f>"111.37"</f>
        <v>111.37</v>
      </c>
      <c r="C1942" t="str">
        <f>"111.207"</f>
        <v>111.207</v>
      </c>
    </row>
    <row r="1943" spans="1:3" x14ac:dyDescent="0.25">
      <c r="A1943" t="str">
        <f>"19/06/2017"</f>
        <v>19/06/2017</v>
      </c>
      <c r="B1943" t="str">
        <f>"111.02"</f>
        <v>111.02</v>
      </c>
      <c r="C1943" t="str">
        <f>"110.8563"</f>
        <v>110.8563</v>
      </c>
    </row>
    <row r="1944" spans="1:3" x14ac:dyDescent="0.25">
      <c r="A1944" t="str">
        <f>"20/06/2017"</f>
        <v>20/06/2017</v>
      </c>
      <c r="B1944" t="str">
        <f>"111.54"</f>
        <v>111.54</v>
      </c>
      <c r="C1944" t="str">
        <f>"111.37"</f>
        <v>111.37</v>
      </c>
    </row>
    <row r="1945" spans="1:3" x14ac:dyDescent="0.25">
      <c r="A1945" t="str">
        <f>"21/06/2017"</f>
        <v>21/06/2017</v>
      </c>
      <c r="B1945" t="str">
        <f>"111.36"</f>
        <v>111.36</v>
      </c>
      <c r="C1945" t="str">
        <f>"111.2003"</f>
        <v>111.2003</v>
      </c>
    </row>
    <row r="1946" spans="1:3" x14ac:dyDescent="0.25">
      <c r="A1946" t="str">
        <f>"22/06/2017"</f>
        <v>22/06/2017</v>
      </c>
      <c r="B1946" t="str">
        <f>"111.35"</f>
        <v>111.35</v>
      </c>
      <c r="C1946" t="str">
        <f>"111.1949"</f>
        <v>111.1949</v>
      </c>
    </row>
    <row r="1947" spans="1:3" x14ac:dyDescent="0.25">
      <c r="A1947" t="str">
        <f>"23/06/2017"</f>
        <v>23/06/2017</v>
      </c>
      <c r="B1947" t="str">
        <f>"111.23"</f>
        <v>111.23</v>
      </c>
      <c r="C1947" t="str">
        <f>"111.0703"</f>
        <v>111.0703</v>
      </c>
    </row>
    <row r="1948" spans="1:3" x14ac:dyDescent="0.25">
      <c r="A1948" t="str">
        <f>"27/06/2017"</f>
        <v>27/06/2017</v>
      </c>
      <c r="B1948" t="str">
        <f>"111.88"</f>
        <v>111.88</v>
      </c>
      <c r="C1948" t="str">
        <f>"111.709"</f>
        <v>111.709</v>
      </c>
    </row>
    <row r="1949" spans="1:3" x14ac:dyDescent="0.25">
      <c r="A1949" t="str">
        <f>"28/06/2017"</f>
        <v>28/06/2017</v>
      </c>
      <c r="B1949" t="str">
        <f>"112.08"</f>
        <v>112.08</v>
      </c>
      <c r="C1949" t="str">
        <f>"111.9289"</f>
        <v>111.9289</v>
      </c>
    </row>
    <row r="1950" spans="1:3" x14ac:dyDescent="0.25">
      <c r="A1950" t="str">
        <f>"29/06/2017"</f>
        <v>29/06/2017</v>
      </c>
      <c r="B1950" t="str">
        <f>"112.71"</f>
        <v>112.71</v>
      </c>
      <c r="C1950" t="str">
        <f>"112.5665"</f>
        <v>112.5665</v>
      </c>
    </row>
    <row r="1951" spans="1:3" x14ac:dyDescent="0.25">
      <c r="A1951" t="str">
        <f>"30/06/2017"</f>
        <v>30/06/2017</v>
      </c>
      <c r="B1951" t="str">
        <f>"111.95"</f>
        <v>111.95</v>
      </c>
      <c r="C1951" t="str">
        <f>"111.7963"</f>
        <v>111.7963</v>
      </c>
    </row>
    <row r="1952" spans="1:3" x14ac:dyDescent="0.25">
      <c r="A1952" t="str">
        <f>"03/07/2017"</f>
        <v>03/07/2017</v>
      </c>
      <c r="B1952" t="str">
        <f>"113.06"</f>
        <v>113.06</v>
      </c>
      <c r="C1952" t="str">
        <f>"112.9079"</f>
        <v>112.9079</v>
      </c>
    </row>
    <row r="1953" spans="1:3" x14ac:dyDescent="0.25">
      <c r="A1953" t="str">
        <f>"04/07/2017"</f>
        <v>04/07/2017</v>
      </c>
      <c r="B1953" t="str">
        <f>"113.17"</f>
        <v>113.17</v>
      </c>
      <c r="C1953" t="str">
        <f>"113.0252"</f>
        <v>113.0252</v>
      </c>
    </row>
    <row r="1954" spans="1:3" x14ac:dyDescent="0.25">
      <c r="A1954" t="str">
        <f>"05/07/2017"</f>
        <v>05/07/2017</v>
      </c>
      <c r="B1954" t="str">
        <f>"113.13"</f>
        <v>113.13</v>
      </c>
      <c r="C1954" t="str">
        <f>"112.99"</f>
        <v>112.99</v>
      </c>
    </row>
    <row r="1955" spans="1:3" x14ac:dyDescent="0.25">
      <c r="A1955" t="str">
        <f>"06/07/2017"</f>
        <v>06/07/2017</v>
      </c>
      <c r="B1955" t="str">
        <f>"113.37"</f>
        <v>113.37</v>
      </c>
      <c r="C1955" t="str">
        <f>"113.2187"</f>
        <v>113.2187</v>
      </c>
    </row>
    <row r="1956" spans="1:3" x14ac:dyDescent="0.25">
      <c r="A1956" t="str">
        <f>"07/07/2017"</f>
        <v>07/07/2017</v>
      </c>
      <c r="B1956" t="str">
        <f>"113.70"</f>
        <v>113.70</v>
      </c>
      <c r="C1956" t="str">
        <f>"113.5403"</f>
        <v>113.5403</v>
      </c>
    </row>
    <row r="1957" spans="1:3" x14ac:dyDescent="0.25">
      <c r="A1957" t="str">
        <f>"10/07/2017"</f>
        <v>10/07/2017</v>
      </c>
      <c r="B1957" t="str">
        <f>"114.17"</f>
        <v>114.17</v>
      </c>
      <c r="C1957" t="str">
        <f>"114.0057"</f>
        <v>114.0057</v>
      </c>
    </row>
    <row r="1958" spans="1:3" x14ac:dyDescent="0.25">
      <c r="A1958" t="str">
        <f>"11/07/2017"</f>
        <v>11/07/2017</v>
      </c>
      <c r="B1958" t="str">
        <f>"114.33"</f>
        <v>114.33</v>
      </c>
      <c r="C1958" t="str">
        <f>"114.169"</f>
        <v>114.169</v>
      </c>
    </row>
    <row r="1959" spans="1:3" x14ac:dyDescent="0.25">
      <c r="A1959" t="str">
        <f>"12/07/2017"</f>
        <v>12/07/2017</v>
      </c>
      <c r="B1959" t="str">
        <f>"113.50"</f>
        <v>113.50</v>
      </c>
      <c r="C1959" t="str">
        <f>"113.3501"</f>
        <v>113.3501</v>
      </c>
    </row>
    <row r="1960" spans="1:3" x14ac:dyDescent="0.25">
      <c r="A1960" t="str">
        <f>"13/07/2017"</f>
        <v>13/07/2017</v>
      </c>
      <c r="B1960" t="str">
        <f>"113.10"</f>
        <v>113.10</v>
      </c>
      <c r="C1960" t="str">
        <f>"112.9531"</f>
        <v>112.9531</v>
      </c>
    </row>
    <row r="1961" spans="1:3" x14ac:dyDescent="0.25">
      <c r="A1961" t="str">
        <f>"14/07/2017"</f>
        <v>14/07/2017</v>
      </c>
      <c r="B1961" t="str">
        <f>"113.15"</f>
        <v>113.15</v>
      </c>
      <c r="C1961" t="str">
        <f>"112.9896"</f>
        <v>112.9896</v>
      </c>
    </row>
    <row r="1962" spans="1:3" x14ac:dyDescent="0.25">
      <c r="A1962" t="str">
        <f>"17/07/2017"</f>
        <v>17/07/2017</v>
      </c>
      <c r="B1962" t="str">
        <f>"112.46"</f>
        <v>112.46</v>
      </c>
      <c r="C1962" t="str">
        <f>"112.2982"</f>
        <v>112.2982</v>
      </c>
    </row>
    <row r="1963" spans="1:3" x14ac:dyDescent="0.25">
      <c r="A1963" t="str">
        <f>"18/07/2017"</f>
        <v>18/07/2017</v>
      </c>
      <c r="B1963" t="str">
        <f>"112.08"</f>
        <v>112.08</v>
      </c>
      <c r="C1963" t="str">
        <f>"111.9174"</f>
        <v>111.9174</v>
      </c>
    </row>
    <row r="1964" spans="1:3" x14ac:dyDescent="0.25">
      <c r="A1964" t="str">
        <f>"19/07/2017"</f>
        <v>19/07/2017</v>
      </c>
      <c r="B1964" t="str">
        <f>"112.06"</f>
        <v>112.06</v>
      </c>
      <c r="C1964" t="str">
        <f>"111.9098"</f>
        <v>111.9098</v>
      </c>
    </row>
    <row r="1965" spans="1:3" x14ac:dyDescent="0.25">
      <c r="A1965" t="str">
        <f>"20/07/2017"</f>
        <v>20/07/2017</v>
      </c>
      <c r="B1965" t="str">
        <f>"112.23"</f>
        <v>112.23</v>
      </c>
      <c r="C1965" t="str">
        <f>"112.0819"</f>
        <v>112.0819</v>
      </c>
    </row>
    <row r="1966" spans="1:3" x14ac:dyDescent="0.25">
      <c r="A1966" t="str">
        <f>"21/07/2017"</f>
        <v>21/07/2017</v>
      </c>
      <c r="B1966" t="str">
        <f>"111.56"</f>
        <v>111.56</v>
      </c>
      <c r="C1966" t="str">
        <f>"111.4148"</f>
        <v>111.4148</v>
      </c>
    </row>
    <row r="1967" spans="1:3" x14ac:dyDescent="0.25">
      <c r="A1967" t="str">
        <f>"24/07/2017"</f>
        <v>24/07/2017</v>
      </c>
      <c r="B1967" t="str">
        <f>"110.80"</f>
        <v>110.80</v>
      </c>
      <c r="C1967" t="str">
        <f>"110.6469"</f>
        <v>110.6469</v>
      </c>
    </row>
    <row r="1968" spans="1:3" x14ac:dyDescent="0.25">
      <c r="A1968" t="str">
        <f>"25/07/2017"</f>
        <v>25/07/2017</v>
      </c>
      <c r="B1968" t="str">
        <f>"111.46"</f>
        <v>111.46</v>
      </c>
      <c r="C1968" t="str">
        <f>"111.3106"</f>
        <v>111.3106</v>
      </c>
    </row>
    <row r="1969" spans="1:3" x14ac:dyDescent="0.25">
      <c r="A1969" t="str">
        <f>"26/07/2017"</f>
        <v>26/07/2017</v>
      </c>
      <c r="B1969" t="str">
        <f>"111.75"</f>
        <v>111.75</v>
      </c>
      <c r="C1969" t="str">
        <f>"111.6035"</f>
        <v>111.6035</v>
      </c>
    </row>
    <row r="1970" spans="1:3" x14ac:dyDescent="0.25">
      <c r="A1970" t="str">
        <f>"27/07/2017"</f>
        <v>27/07/2017</v>
      </c>
      <c r="B1970" t="str">
        <f>"111.36"</f>
        <v>111.36</v>
      </c>
      <c r="C1970" t="str">
        <f>"111.2137"</f>
        <v>111.2137</v>
      </c>
    </row>
    <row r="1971" spans="1:3" x14ac:dyDescent="0.25">
      <c r="A1971" t="str">
        <f>"28/07/2017"</f>
        <v>28/07/2017</v>
      </c>
      <c r="B1971" t="str">
        <f>"111.26"</f>
        <v>111.26</v>
      </c>
      <c r="C1971" t="str">
        <f>"111.1163"</f>
        <v>111.1163</v>
      </c>
    </row>
    <row r="1972" spans="1:3" x14ac:dyDescent="0.25">
      <c r="A1972" t="str">
        <f>"31/07/2017"</f>
        <v>31/07/2017</v>
      </c>
      <c r="B1972" t="str">
        <f>"110.53"</f>
        <v>110.53</v>
      </c>
      <c r="C1972" t="str">
        <f>"110.3692"</f>
        <v>110.3692</v>
      </c>
    </row>
    <row r="1973" spans="1:3" x14ac:dyDescent="0.25">
      <c r="A1973" t="str">
        <f>"01/08/2017"</f>
        <v>01/08/2017</v>
      </c>
      <c r="B1973" t="str">
        <f>"110.43"</f>
        <v>110.43</v>
      </c>
      <c r="C1973" t="str">
        <f>"110.2776"</f>
        <v>110.2776</v>
      </c>
    </row>
    <row r="1974" spans="1:3" x14ac:dyDescent="0.25">
      <c r="A1974" t="str">
        <f>"02/08/2017"</f>
        <v>02/08/2017</v>
      </c>
      <c r="B1974" t="str">
        <f>"110.79"</f>
        <v>110.79</v>
      </c>
      <c r="C1974" t="str">
        <f>"110.6408"</f>
        <v>110.6408</v>
      </c>
    </row>
    <row r="1975" spans="1:3" x14ac:dyDescent="0.25">
      <c r="A1975" t="str">
        <f>"03/08/2017"</f>
        <v>03/08/2017</v>
      </c>
      <c r="B1975" t="str">
        <f>"110.44"</f>
        <v>110.44</v>
      </c>
      <c r="C1975" t="str">
        <f>"110.2993"</f>
        <v>110.2993</v>
      </c>
    </row>
    <row r="1976" spans="1:3" x14ac:dyDescent="0.25">
      <c r="A1976" t="str">
        <f>"04/08/2017"</f>
        <v>04/08/2017</v>
      </c>
      <c r="B1976" t="str">
        <f>"110.04"</f>
        <v>110.04</v>
      </c>
      <c r="C1976" t="str">
        <f>"109.8981"</f>
        <v>109.8981</v>
      </c>
    </row>
    <row r="1977" spans="1:3" x14ac:dyDescent="0.25">
      <c r="A1977" t="str">
        <f>"07/08/2017"</f>
        <v>07/08/2017</v>
      </c>
      <c r="B1977" t="str">
        <f>"110.79"</f>
        <v>110.79</v>
      </c>
      <c r="C1977" t="str">
        <f>"110.6359"</f>
        <v>110.6359</v>
      </c>
    </row>
    <row r="1978" spans="1:3" x14ac:dyDescent="0.25">
      <c r="A1978" t="str">
        <f>"08/08/2017"</f>
        <v>08/08/2017</v>
      </c>
      <c r="B1978" t="str">
        <f>"110.57"</f>
        <v>110.57</v>
      </c>
      <c r="C1978" t="str">
        <f>"110.4226"</f>
        <v>110.4226</v>
      </c>
    </row>
    <row r="1979" spans="1:3" x14ac:dyDescent="0.25">
      <c r="A1979" t="str">
        <f>"09/08/2017"</f>
        <v>09/08/2017</v>
      </c>
      <c r="B1979" t="str">
        <f>"109.77"</f>
        <v>109.77</v>
      </c>
      <c r="C1979" t="str">
        <f>"109.6282"</f>
        <v>109.6282</v>
      </c>
    </row>
    <row r="1980" spans="1:3" x14ac:dyDescent="0.25">
      <c r="A1980" t="str">
        <f>"10/08/2017"</f>
        <v>10/08/2017</v>
      </c>
      <c r="B1980" t="str">
        <f>"109.84"</f>
        <v>109.84</v>
      </c>
      <c r="C1980" t="str">
        <f>"109.6972"</f>
        <v>109.6972</v>
      </c>
    </row>
    <row r="1981" spans="1:3" x14ac:dyDescent="0.25">
      <c r="A1981" t="str">
        <f>"11/08/2017"</f>
        <v>11/08/2017</v>
      </c>
      <c r="B1981" t="str">
        <f>"109.12"</f>
        <v>109.12</v>
      </c>
      <c r="C1981" t="str">
        <f>"108.9759"</f>
        <v>108.9759</v>
      </c>
    </row>
    <row r="1982" spans="1:3" x14ac:dyDescent="0.25">
      <c r="A1982" t="str">
        <f>"14/08/2017"</f>
        <v>14/08/2017</v>
      </c>
      <c r="B1982" t="str">
        <f>"109.69"</f>
        <v>109.69</v>
      </c>
      <c r="C1982" t="str">
        <f>"109.5268"</f>
        <v>109.5268</v>
      </c>
    </row>
    <row r="1983" spans="1:3" x14ac:dyDescent="0.25">
      <c r="A1983" t="str">
        <f>"16/08/2017"</f>
        <v>16/08/2017</v>
      </c>
      <c r="B1983" t="str">
        <f>"110.70"</f>
        <v>110.70</v>
      </c>
      <c r="C1983" t="str">
        <f>"110.544"</f>
        <v>110.544</v>
      </c>
    </row>
    <row r="1984" spans="1:3" x14ac:dyDescent="0.25">
      <c r="A1984" t="str">
        <f>"18/08/2017"</f>
        <v>18/08/2017</v>
      </c>
      <c r="B1984" t="str">
        <f>"109.11"</f>
        <v>109.11</v>
      </c>
      <c r="C1984" t="str">
        <f>"108.9635"</f>
        <v>108.9635</v>
      </c>
    </row>
    <row r="1985" spans="1:3" x14ac:dyDescent="0.25">
      <c r="A1985" t="str">
        <f>"21/08/2017"</f>
        <v>21/08/2017</v>
      </c>
      <c r="B1985" t="str">
        <f>"109.00"</f>
        <v>109.00</v>
      </c>
      <c r="C1985" t="str">
        <f>"108.8465"</f>
        <v>108.8465</v>
      </c>
    </row>
    <row r="1986" spans="1:3" x14ac:dyDescent="0.25">
      <c r="A1986" t="str">
        <f>"22/08/2017"</f>
        <v>22/08/2017</v>
      </c>
      <c r="B1986" t="str">
        <f>"109.46"</f>
        <v>109.46</v>
      </c>
      <c r="C1986" t="str">
        <f>"109.3159"</f>
        <v>109.3159</v>
      </c>
    </row>
    <row r="1987" spans="1:3" x14ac:dyDescent="0.25">
      <c r="A1987" t="str">
        <f>"23/08/2017"</f>
        <v>23/08/2017</v>
      </c>
      <c r="B1987" t="str">
        <f>"109.25"</f>
        <v>109.25</v>
      </c>
      <c r="C1987" t="str">
        <f>"109.1068"</f>
        <v>109.1068</v>
      </c>
    </row>
    <row r="1988" spans="1:3" x14ac:dyDescent="0.25">
      <c r="A1988" t="str">
        <f>"24/08/2017"</f>
        <v>24/08/2017</v>
      </c>
      <c r="B1988" t="str">
        <f>"109.43"</f>
        <v>109.43</v>
      </c>
      <c r="C1988" t="str">
        <f>"109.2853"</f>
        <v>109.2853</v>
      </c>
    </row>
    <row r="1989" spans="1:3" x14ac:dyDescent="0.25">
      <c r="A1989" t="str">
        <f>"28/08/2017"</f>
        <v>28/08/2017</v>
      </c>
      <c r="B1989" t="str">
        <f>"109.26"</f>
        <v>109.26</v>
      </c>
      <c r="C1989" t="str">
        <f>"109.1204"</f>
        <v>109.1204</v>
      </c>
    </row>
    <row r="1990" spans="1:3" x14ac:dyDescent="0.25">
      <c r="A1990" t="str">
        <f>"29/08/2017"</f>
        <v>29/08/2017</v>
      </c>
      <c r="B1990" t="str">
        <f>"108.56"</f>
        <v>108.56</v>
      </c>
      <c r="C1990" t="str">
        <f>"108.4248"</f>
        <v>108.4248</v>
      </c>
    </row>
    <row r="1991" spans="1:3" x14ac:dyDescent="0.25">
      <c r="A1991" t="str">
        <f>"30/08/2017"</f>
        <v>30/08/2017</v>
      </c>
      <c r="B1991" t="str">
        <f>"109.76"</f>
        <v>109.76</v>
      </c>
      <c r="C1991" t="str">
        <f>"109.5957"</f>
        <v>109.5957</v>
      </c>
    </row>
    <row r="1992" spans="1:3" x14ac:dyDescent="0.25">
      <c r="A1992" t="str">
        <f>"31/08/2017"</f>
        <v>31/08/2017</v>
      </c>
      <c r="B1992" t="str">
        <f>"110.59"</f>
        <v>110.59</v>
      </c>
      <c r="C1992" t="str">
        <f>"110.4315"</f>
        <v>110.4315</v>
      </c>
    </row>
    <row r="1993" spans="1:3" x14ac:dyDescent="0.25">
      <c r="A1993" t="str">
        <f>"01/09/2017"</f>
        <v>01/09/2017</v>
      </c>
      <c r="B1993" t="str">
        <f>"110.15"</f>
        <v>110.15</v>
      </c>
      <c r="C1993" t="str">
        <f>"109.9947"</f>
        <v>109.9947</v>
      </c>
    </row>
    <row r="1994" spans="1:3" x14ac:dyDescent="0.25">
      <c r="A1994" t="str">
        <f>"04/09/2017"</f>
        <v>04/09/2017</v>
      </c>
      <c r="B1994" t="str">
        <f>"109.81"</f>
        <v>109.81</v>
      </c>
      <c r="C1994" t="str">
        <f>"109.6551"</f>
        <v>109.6551</v>
      </c>
    </row>
    <row r="1995" spans="1:3" x14ac:dyDescent="0.25">
      <c r="A1995" t="str">
        <f>"05/09/2017"</f>
        <v>05/09/2017</v>
      </c>
      <c r="B1995" t="str">
        <f>"109.38"</f>
        <v>109.38</v>
      </c>
      <c r="C1995" t="str">
        <f>"109.2149"</f>
        <v>109.2149</v>
      </c>
    </row>
    <row r="1996" spans="1:3" x14ac:dyDescent="0.25">
      <c r="A1996" t="str">
        <f>"06/09/2017"</f>
        <v>06/09/2017</v>
      </c>
      <c r="B1996" t="str">
        <f>"108.91"</f>
        <v>108.91</v>
      </c>
      <c r="C1996" t="str">
        <f>"108.7498"</f>
        <v>108.7498</v>
      </c>
    </row>
    <row r="1997" spans="1:3" x14ac:dyDescent="0.25">
      <c r="A1997" t="str">
        <f>"07/09/2017"</f>
        <v>07/09/2017</v>
      </c>
      <c r="B1997" t="str">
        <f>"108.86"</f>
        <v>108.86</v>
      </c>
      <c r="C1997" t="str">
        <f>"108.7093"</f>
        <v>108.7093</v>
      </c>
    </row>
    <row r="1998" spans="1:3" x14ac:dyDescent="0.25">
      <c r="A1998" t="str">
        <f>"08/09/2017"</f>
        <v>08/09/2017</v>
      </c>
      <c r="B1998" t="str">
        <f>"107.41"</f>
        <v>107.41</v>
      </c>
      <c r="C1998" t="str">
        <f>"107.2615"</f>
        <v>107.2615</v>
      </c>
    </row>
    <row r="1999" spans="1:3" x14ac:dyDescent="0.25">
      <c r="A1999" t="str">
        <f>"11/09/2017"</f>
        <v>11/09/2017</v>
      </c>
      <c r="B1999" t="str">
        <f>"108.62"</f>
        <v>108.62</v>
      </c>
      <c r="C1999" t="str">
        <f>"108.4716"</f>
        <v>108.4716</v>
      </c>
    </row>
    <row r="2000" spans="1:3" x14ac:dyDescent="0.25">
      <c r="A2000" t="str">
        <f>"12/09/2017"</f>
        <v>12/09/2017</v>
      </c>
      <c r="B2000" t="str">
        <f>"109.87"</f>
        <v>109.87</v>
      </c>
      <c r="C2000" t="str">
        <f>"109.7095"</f>
        <v>109.7095</v>
      </c>
    </row>
    <row r="2001" spans="1:3" x14ac:dyDescent="0.25">
      <c r="A2001" t="str">
        <f>"13/09/2017"</f>
        <v>13/09/2017</v>
      </c>
      <c r="B2001" t="str">
        <f>"110.09"</f>
        <v>110.09</v>
      </c>
      <c r="C2001" t="str">
        <f>"109.9338"</f>
        <v>109.9338</v>
      </c>
    </row>
    <row r="2002" spans="1:3" x14ac:dyDescent="0.25">
      <c r="A2002" t="str">
        <f>"14/09/2017"</f>
        <v>14/09/2017</v>
      </c>
      <c r="B2002" t="str">
        <f>"110.65"</f>
        <v>110.65</v>
      </c>
      <c r="C2002" t="str">
        <f>"110.4973"</f>
        <v>110.4973</v>
      </c>
    </row>
    <row r="2003" spans="1:3" x14ac:dyDescent="0.25">
      <c r="A2003" t="str">
        <f>"15/09/2017"</f>
        <v>15/09/2017</v>
      </c>
      <c r="B2003" t="str">
        <f>"110.39"</f>
        <v>110.39</v>
      </c>
      <c r="C2003" t="str">
        <f>"110.2353"</f>
        <v>110.2353</v>
      </c>
    </row>
    <row r="2004" spans="1:3" x14ac:dyDescent="0.25">
      <c r="A2004" t="str">
        <f>"18/09/2017"</f>
        <v>18/09/2017</v>
      </c>
      <c r="B2004" t="str">
        <f>"111.23"</f>
        <v>111.23</v>
      </c>
      <c r="C2004" t="str">
        <f>"111.0769"</f>
        <v>111.0769</v>
      </c>
    </row>
    <row r="2005" spans="1:3" x14ac:dyDescent="0.25">
      <c r="A2005" t="str">
        <f>"19/09/2017"</f>
        <v>19/09/2017</v>
      </c>
      <c r="B2005" t="str">
        <f>"111.49"</f>
        <v>111.49</v>
      </c>
      <c r="C2005" t="str">
        <f>"111.3213"</f>
        <v>111.3213</v>
      </c>
    </row>
    <row r="2006" spans="1:3" x14ac:dyDescent="0.25">
      <c r="A2006" t="str">
        <f>"20/09/2017"</f>
        <v>20/09/2017</v>
      </c>
      <c r="B2006" t="str">
        <f>"111.49"</f>
        <v>111.49</v>
      </c>
      <c r="C2006" t="str">
        <f>"111.3282"</f>
        <v>111.3282</v>
      </c>
    </row>
    <row r="2007" spans="1:3" x14ac:dyDescent="0.25">
      <c r="A2007" t="str">
        <f>"21/09/2017"</f>
        <v>21/09/2017</v>
      </c>
      <c r="B2007" t="str">
        <f>"112.53"</f>
        <v>112.53</v>
      </c>
      <c r="C2007" t="str">
        <f>"112.3762"</f>
        <v>112.3762</v>
      </c>
    </row>
    <row r="2008" spans="1:3" x14ac:dyDescent="0.25">
      <c r="A2008" t="str">
        <f>"22/09/2017"</f>
        <v>22/09/2017</v>
      </c>
      <c r="B2008" t="str">
        <f>"112.00"</f>
        <v>112.00</v>
      </c>
      <c r="C2008" t="str">
        <f>"111.8425"</f>
        <v>111.8425</v>
      </c>
    </row>
    <row r="2009" spans="1:3" x14ac:dyDescent="0.25">
      <c r="A2009" t="str">
        <f>"25/09/2017"</f>
        <v>25/09/2017</v>
      </c>
      <c r="B2009" t="str">
        <f>"112.17"</f>
        <v>112.17</v>
      </c>
      <c r="C2009" t="str">
        <f>"112.0044"</f>
        <v>112.0044</v>
      </c>
    </row>
    <row r="2010" spans="1:3" x14ac:dyDescent="0.25">
      <c r="A2010" t="str">
        <f>"26/09/2017"</f>
        <v>26/09/2017</v>
      </c>
      <c r="B2010" t="str">
        <f>"111.94"</f>
        <v>111.94</v>
      </c>
      <c r="C2010" t="str">
        <f>"111.7649"</f>
        <v>111.7649</v>
      </c>
    </row>
    <row r="2011" spans="1:3" x14ac:dyDescent="0.25">
      <c r="A2011" t="str">
        <f>"27/09/2017"</f>
        <v>27/09/2017</v>
      </c>
      <c r="B2011" t="str">
        <f>"112.92"</f>
        <v>112.92</v>
      </c>
      <c r="C2011" t="str">
        <f>"112.7425"</f>
        <v>112.7425</v>
      </c>
    </row>
    <row r="2012" spans="1:3" x14ac:dyDescent="0.25">
      <c r="A2012" t="str">
        <f>"28/09/2017"</f>
        <v>28/09/2017</v>
      </c>
      <c r="B2012" t="str">
        <f>"113.03"</f>
        <v>113.03</v>
      </c>
      <c r="C2012" t="str">
        <f>"112.8745"</f>
        <v>112.8745</v>
      </c>
    </row>
    <row r="2013" spans="1:3" x14ac:dyDescent="0.25">
      <c r="A2013" t="str">
        <f>"29/09/2017"</f>
        <v>29/09/2017</v>
      </c>
      <c r="B2013" t="str">
        <f>"112.49"</f>
        <v>112.49</v>
      </c>
      <c r="C2013" t="str">
        <f>"112.3205"</f>
        <v>112.3205</v>
      </c>
    </row>
    <row r="2014" spans="1:3" x14ac:dyDescent="0.25">
      <c r="A2014" t="str">
        <f>"03/10/2017"</f>
        <v>03/10/2017</v>
      </c>
      <c r="B2014" t="str">
        <f>"113.01"</f>
        <v>113.01</v>
      </c>
      <c r="C2014" t="str">
        <f>"112.8535"</f>
        <v>112.8535</v>
      </c>
    </row>
    <row r="2015" spans="1:3" x14ac:dyDescent="0.25">
      <c r="A2015" t="str">
        <f>"04/10/2017"</f>
        <v>04/10/2017</v>
      </c>
      <c r="B2015" t="str">
        <f>"112.44"</f>
        <v>112.44</v>
      </c>
      <c r="C2015" t="str">
        <f>"112.2911"</f>
        <v>112.2911</v>
      </c>
    </row>
    <row r="2016" spans="1:3" x14ac:dyDescent="0.25">
      <c r="A2016" t="str">
        <f>"05/10/2017"</f>
        <v>05/10/2017</v>
      </c>
      <c r="B2016" t="str">
        <f>"112.49"</f>
        <v>112.49</v>
      </c>
      <c r="C2016" t="str">
        <f>"112.3405"</f>
        <v>112.3405</v>
      </c>
    </row>
    <row r="2017" spans="1:3" x14ac:dyDescent="0.25">
      <c r="A2017" t="str">
        <f>"06/10/2017"</f>
        <v>06/10/2017</v>
      </c>
      <c r="B2017" t="str">
        <f>"112.98"</f>
        <v>112.98</v>
      </c>
      <c r="C2017" t="str">
        <f>"112.8205"</f>
        <v>112.8205</v>
      </c>
    </row>
    <row r="2018" spans="1:3" x14ac:dyDescent="0.25">
      <c r="A2018" t="str">
        <f>"09/10/2017"</f>
        <v>09/10/2017</v>
      </c>
      <c r="B2018" t="str">
        <f>"112.68"</f>
        <v>112.68</v>
      </c>
      <c r="C2018" t="str">
        <f>"112.5193"</f>
        <v>112.5193</v>
      </c>
    </row>
    <row r="2019" spans="1:3" x14ac:dyDescent="0.25">
      <c r="A2019" t="str">
        <f>"10/10/2017"</f>
        <v>10/10/2017</v>
      </c>
      <c r="B2019" t="str">
        <f>"112.46"</f>
        <v>112.46</v>
      </c>
      <c r="C2019" t="str">
        <f>"112.3063"</f>
        <v>112.3063</v>
      </c>
    </row>
    <row r="2020" spans="1:3" x14ac:dyDescent="0.25">
      <c r="A2020" t="str">
        <f>"11/10/2017"</f>
        <v>11/10/2017</v>
      </c>
      <c r="B2020" t="str">
        <f>"112.32"</f>
        <v>112.32</v>
      </c>
      <c r="C2020" t="str">
        <f>"112.1679"</f>
        <v>112.1679</v>
      </c>
    </row>
    <row r="2021" spans="1:3" x14ac:dyDescent="0.25">
      <c r="A2021" t="str">
        <f>"12/10/2017"</f>
        <v>12/10/2017</v>
      </c>
      <c r="B2021" t="str">
        <f>"112.23"</f>
        <v>112.23</v>
      </c>
      <c r="C2021" t="str">
        <f>"112.0791"</f>
        <v>112.0791</v>
      </c>
    </row>
    <row r="2022" spans="1:3" x14ac:dyDescent="0.25">
      <c r="A2022" t="str">
        <f>"13/10/2017"</f>
        <v>13/10/2017</v>
      </c>
      <c r="B2022" t="str">
        <f>"112.18"</f>
        <v>112.18</v>
      </c>
      <c r="C2022" t="str">
        <f>"112.0331"</f>
        <v>112.0331</v>
      </c>
    </row>
    <row r="2023" spans="1:3" x14ac:dyDescent="0.25">
      <c r="A2023" t="str">
        <f>"16/10/2017"</f>
        <v>16/10/2017</v>
      </c>
      <c r="B2023" t="str">
        <f>"111.74"</f>
        <v>111.74</v>
      </c>
      <c r="C2023" t="str">
        <f>"111.588"</f>
        <v>111.588</v>
      </c>
    </row>
    <row r="2024" spans="1:3" x14ac:dyDescent="0.25">
      <c r="A2024" t="str">
        <f>"17/10/2017"</f>
        <v>17/10/2017</v>
      </c>
      <c r="B2024" t="str">
        <f>"112.25"</f>
        <v>112.25</v>
      </c>
      <c r="C2024" t="str">
        <f>"112.1056"</f>
        <v>112.1056</v>
      </c>
    </row>
    <row r="2025" spans="1:3" x14ac:dyDescent="0.25">
      <c r="A2025" t="str">
        <f>"18/10/2017"</f>
        <v>18/10/2017</v>
      </c>
      <c r="B2025" t="str">
        <f>"112.76"</f>
        <v>112.76</v>
      </c>
      <c r="C2025" t="str">
        <f>"112.6191"</f>
        <v>112.6191</v>
      </c>
    </row>
    <row r="2026" spans="1:3" x14ac:dyDescent="0.25">
      <c r="A2026" t="str">
        <f>"23/10/2017"</f>
        <v>23/10/2017</v>
      </c>
      <c r="B2026" t="str">
        <f>"113.92"</f>
        <v>113.92</v>
      </c>
      <c r="C2026" t="str">
        <f>"113.7625"</f>
        <v>113.7625</v>
      </c>
    </row>
    <row r="2027" spans="1:3" x14ac:dyDescent="0.25">
      <c r="A2027" t="str">
        <f>"24/10/2017"</f>
        <v>24/10/2017</v>
      </c>
      <c r="B2027" t="str">
        <f>"113.71"</f>
        <v>113.71</v>
      </c>
      <c r="C2027" t="str">
        <f>"113.5593"</f>
        <v>113.5593</v>
      </c>
    </row>
    <row r="2028" spans="1:3" x14ac:dyDescent="0.25">
      <c r="A2028" t="str">
        <f>"25/10/2017"</f>
        <v>25/10/2017</v>
      </c>
      <c r="B2028" t="str">
        <f>"114.14"</f>
        <v>114.14</v>
      </c>
      <c r="C2028" t="str">
        <f>"113.9935"</f>
        <v>113.9935</v>
      </c>
    </row>
    <row r="2029" spans="1:3" x14ac:dyDescent="0.25">
      <c r="A2029" t="str">
        <f>"26/10/2017"</f>
        <v>26/10/2017</v>
      </c>
      <c r="B2029" t="str">
        <f>"113.63"</f>
        <v>113.63</v>
      </c>
      <c r="C2029" t="str">
        <f>"113.483"</f>
        <v>113.483</v>
      </c>
    </row>
    <row r="2030" spans="1:3" x14ac:dyDescent="0.25">
      <c r="A2030" t="str">
        <f>"27/10/2017"</f>
        <v>27/10/2017</v>
      </c>
      <c r="B2030" t="str">
        <f>"114.14"</f>
        <v>114.14</v>
      </c>
      <c r="C2030" t="str">
        <f>"113.9962"</f>
        <v>113.9962</v>
      </c>
    </row>
    <row r="2031" spans="1:3" x14ac:dyDescent="0.25">
      <c r="A2031" t="str">
        <f>"30/10/2017"</f>
        <v>30/10/2017</v>
      </c>
      <c r="B2031" t="str">
        <f>"113.59"</f>
        <v>113.59</v>
      </c>
      <c r="C2031" t="str">
        <f>"113.4469"</f>
        <v>113.4469</v>
      </c>
    </row>
    <row r="2032" spans="1:3" x14ac:dyDescent="0.25">
      <c r="A2032" t="str">
        <f>"31/10/2017"</f>
        <v>31/10/2017</v>
      </c>
      <c r="B2032" t="str">
        <f>"113.35"</f>
        <v>113.35</v>
      </c>
      <c r="C2032" t="str">
        <f>"113.2011"</f>
        <v>113.2011</v>
      </c>
    </row>
    <row r="2033" spans="1:3" x14ac:dyDescent="0.25">
      <c r="A2033" t="str">
        <f>"01/11/2017"</f>
        <v>01/11/2017</v>
      </c>
      <c r="B2033" t="str">
        <f>"114.04"</f>
        <v>114.04</v>
      </c>
      <c r="C2033" t="str">
        <f>"113.8999"</f>
        <v>113.8999</v>
      </c>
    </row>
    <row r="2034" spans="1:3" x14ac:dyDescent="0.25">
      <c r="A2034" t="str">
        <f>"02/11/2017"</f>
        <v>02/11/2017</v>
      </c>
      <c r="B2034" t="str">
        <f>"114.10"</f>
        <v>114.10</v>
      </c>
      <c r="C2034" t="str">
        <f>"113.9619"</f>
        <v>113.9619</v>
      </c>
    </row>
    <row r="2035" spans="1:3" x14ac:dyDescent="0.25">
      <c r="A2035" t="str">
        <f>"03/11/2017"</f>
        <v>03/11/2017</v>
      </c>
      <c r="B2035" t="str">
        <f>"114.09"</f>
        <v>114.09</v>
      </c>
      <c r="C2035" t="str">
        <f>"113.952"</f>
        <v>113.952</v>
      </c>
    </row>
    <row r="2036" spans="1:3" x14ac:dyDescent="0.25">
      <c r="A2036" t="str">
        <f>"06/11/2017"</f>
        <v>06/11/2017</v>
      </c>
      <c r="B2036" t="str">
        <f>"114.07"</f>
        <v>114.07</v>
      </c>
      <c r="C2036" t="str">
        <f>"113.9341"</f>
        <v>113.9341</v>
      </c>
    </row>
    <row r="2037" spans="1:3" x14ac:dyDescent="0.25">
      <c r="A2037" t="str">
        <f>"07/11/2017"</f>
        <v>07/11/2017</v>
      </c>
      <c r="B2037" t="str">
        <f>"114.10"</f>
        <v>114.10</v>
      </c>
      <c r="C2037" t="str">
        <f>"113.9587"</f>
        <v>113.9587</v>
      </c>
    </row>
    <row r="2038" spans="1:3" x14ac:dyDescent="0.25">
      <c r="A2038" t="str">
        <f>"08/11/2017"</f>
        <v>08/11/2017</v>
      </c>
      <c r="B2038" t="str">
        <f>"113.54"</f>
        <v>113.54</v>
      </c>
      <c r="C2038" t="str">
        <f>"113.4017"</f>
        <v>113.4017</v>
      </c>
    </row>
    <row r="2039" spans="1:3" x14ac:dyDescent="0.25">
      <c r="A2039" t="str">
        <f>"09/11/2017"</f>
        <v>09/11/2017</v>
      </c>
      <c r="B2039" t="str">
        <f>"113.30"</f>
        <v>113.30</v>
      </c>
      <c r="C2039" t="str">
        <f>"113.1675"</f>
        <v>113.1675</v>
      </c>
    </row>
    <row r="2040" spans="1:3" x14ac:dyDescent="0.25">
      <c r="A2040" t="str">
        <f>"10/11/2017"</f>
        <v>10/11/2017</v>
      </c>
      <c r="B2040" t="str">
        <f>"113.48"</f>
        <v>113.48</v>
      </c>
      <c r="C2040" t="str">
        <f>"113.3492"</f>
        <v>113.3492</v>
      </c>
    </row>
    <row r="2041" spans="1:3" x14ac:dyDescent="0.25">
      <c r="A2041" t="str">
        <f>"13/11/2017"</f>
        <v>13/11/2017</v>
      </c>
      <c r="B2041" t="str">
        <f>"113.31"</f>
        <v>113.31</v>
      </c>
      <c r="C2041" t="str">
        <f>"113.1771"</f>
        <v>113.1771</v>
      </c>
    </row>
    <row r="2042" spans="1:3" x14ac:dyDescent="0.25">
      <c r="A2042" t="str">
        <f>"14/11/2017"</f>
        <v>14/11/2017</v>
      </c>
      <c r="B2042" t="str">
        <f>"113.64"</f>
        <v>113.64</v>
      </c>
      <c r="C2042" t="str">
        <f>"113.4981"</f>
        <v>113.4981</v>
      </c>
    </row>
    <row r="2043" spans="1:3" x14ac:dyDescent="0.25">
      <c r="A2043" t="str">
        <f>"15/11/2017"</f>
        <v>15/11/2017</v>
      </c>
      <c r="B2043" t="str">
        <f>"112.75"</f>
        <v>112.75</v>
      </c>
      <c r="C2043" t="str">
        <f>"112.612"</f>
        <v>112.612</v>
      </c>
    </row>
    <row r="2044" spans="1:3" x14ac:dyDescent="0.25">
      <c r="A2044" t="str">
        <f>"16/11/2017"</f>
        <v>16/11/2017</v>
      </c>
      <c r="B2044" t="str">
        <f>"113.19"</f>
        <v>113.19</v>
      </c>
      <c r="C2044" t="str">
        <f>"113.0538"</f>
        <v>113.0538</v>
      </c>
    </row>
    <row r="2045" spans="1:3" x14ac:dyDescent="0.25">
      <c r="A2045" t="str">
        <f>"17/11/2017"</f>
        <v>17/11/2017</v>
      </c>
      <c r="B2045" t="str">
        <f>"112.55"</f>
        <v>112.55</v>
      </c>
      <c r="C2045" t="str">
        <f>"112.4145"</f>
        <v>112.4145</v>
      </c>
    </row>
    <row r="2046" spans="1:3" x14ac:dyDescent="0.25">
      <c r="A2046" t="str">
        <f>"20/11/2017"</f>
        <v>20/11/2017</v>
      </c>
      <c r="B2046" t="str">
        <f>"112.15"</f>
        <v>112.15</v>
      </c>
      <c r="C2046" t="str">
        <f>"112.0151"</f>
        <v>112.0151</v>
      </c>
    </row>
    <row r="2047" spans="1:3" x14ac:dyDescent="0.25">
      <c r="A2047" t="str">
        <f>"21/11/2017"</f>
        <v>21/11/2017</v>
      </c>
      <c r="B2047" t="str">
        <f>"112.57"</f>
        <v>112.57</v>
      </c>
      <c r="C2047" t="str">
        <f>"112.416"</f>
        <v>112.416</v>
      </c>
    </row>
    <row r="2048" spans="1:3" x14ac:dyDescent="0.25">
      <c r="A2048" t="str">
        <f>"22/11/2017"</f>
        <v>22/11/2017</v>
      </c>
      <c r="B2048" t="str">
        <f>"112.08"</f>
        <v>112.08</v>
      </c>
      <c r="C2048" t="str">
        <f>"111.9353"</f>
        <v>111.9353</v>
      </c>
    </row>
    <row r="2049" spans="1:3" x14ac:dyDescent="0.25">
      <c r="A2049" t="str">
        <f>"23/11/2017"</f>
        <v>23/11/2017</v>
      </c>
      <c r="B2049" t="str">
        <f>"111.20"</f>
        <v>111.20</v>
      </c>
      <c r="C2049" t="str">
        <f>"111.0596"</f>
        <v>111.0596</v>
      </c>
    </row>
    <row r="2050" spans="1:3" x14ac:dyDescent="0.25">
      <c r="A2050" t="str">
        <f>"24/11/2017"</f>
        <v>24/11/2017</v>
      </c>
      <c r="B2050" t="str">
        <f>"111.50"</f>
        <v>111.50</v>
      </c>
      <c r="C2050" t="str">
        <f>"111.3599"</f>
        <v>111.3599</v>
      </c>
    </row>
    <row r="2051" spans="1:3" x14ac:dyDescent="0.25">
      <c r="A2051" t="str">
        <f>"27/11/2017"</f>
        <v>27/11/2017</v>
      </c>
      <c r="B2051" t="str">
        <f>"111.16"</f>
        <v>111.16</v>
      </c>
      <c r="C2051" t="str">
        <f>"111.019"</f>
        <v>111.019</v>
      </c>
    </row>
    <row r="2052" spans="1:3" x14ac:dyDescent="0.25">
      <c r="A2052" t="str">
        <f>"28/11/2017"</f>
        <v>28/11/2017</v>
      </c>
      <c r="B2052" t="str">
        <f>"111.37"</f>
        <v>111.37</v>
      </c>
      <c r="C2052" t="str">
        <f>"111.2278"</f>
        <v>111.2278</v>
      </c>
    </row>
    <row r="2053" spans="1:3" x14ac:dyDescent="0.25">
      <c r="A2053" t="str">
        <f>"29/11/2017"</f>
        <v>29/11/2017</v>
      </c>
      <c r="B2053" t="str">
        <f>"111.58"</f>
        <v>111.58</v>
      </c>
      <c r="C2053" t="str">
        <f>"111.3534"</f>
        <v>111.3534</v>
      </c>
    </row>
    <row r="2054" spans="1:3" x14ac:dyDescent="0.25">
      <c r="A2054" t="str">
        <f>"30/11/2017"</f>
        <v>30/11/2017</v>
      </c>
      <c r="B2054" t="str">
        <f>"112.34"</f>
        <v>112.34</v>
      </c>
      <c r="C2054" t="str">
        <f>"112.1265"</f>
        <v>112.1265</v>
      </c>
    </row>
    <row r="2055" spans="1:3" x14ac:dyDescent="0.25">
      <c r="A2055" t="str">
        <f>"04/12/2017"</f>
        <v>04/12/2017</v>
      </c>
      <c r="B2055" t="str">
        <f>"112.79"</f>
        <v>112.79</v>
      </c>
      <c r="C2055" t="str">
        <f>"112.5389"</f>
        <v>112.5389</v>
      </c>
    </row>
    <row r="2056" spans="1:3" x14ac:dyDescent="0.25">
      <c r="A2056" t="str">
        <f>"05/12/2017"</f>
        <v>05/12/2017</v>
      </c>
      <c r="B2056" t="str">
        <f>"112.44"</f>
        <v>112.44</v>
      </c>
      <c r="C2056" t="str">
        <f>"112.20"</f>
        <v>112.20</v>
      </c>
    </row>
    <row r="2057" spans="1:3" x14ac:dyDescent="0.25">
      <c r="A2057" t="str">
        <f>"06/12/2017"</f>
        <v>06/12/2017</v>
      </c>
      <c r="B2057" t="str">
        <f>"112.19"</f>
        <v>112.19</v>
      </c>
      <c r="C2057" t="str">
        <f>"111.9485"</f>
        <v>111.9485</v>
      </c>
    </row>
    <row r="2058" spans="1:3" x14ac:dyDescent="0.25">
      <c r="A2058" t="str">
        <f>"07/12/2017"</f>
        <v>07/12/2017</v>
      </c>
      <c r="B2058" t="str">
        <f>"112.71"</f>
        <v>112.71</v>
      </c>
      <c r="C2058" t="str">
        <f>"112.4511"</f>
        <v>112.4511</v>
      </c>
    </row>
    <row r="2059" spans="1:3" x14ac:dyDescent="0.25">
      <c r="A2059" t="str">
        <f>"08/12/2017"</f>
        <v>08/12/2017</v>
      </c>
      <c r="B2059" t="str">
        <f>"113.55"</f>
        <v>113.55</v>
      </c>
      <c r="C2059" t="str">
        <f>"113.2628"</f>
        <v>113.2628</v>
      </c>
    </row>
    <row r="2060" spans="1:3" x14ac:dyDescent="0.25">
      <c r="A2060" t="str">
        <f>"11/12/2017"</f>
        <v>11/12/2017</v>
      </c>
      <c r="B2060" t="str">
        <f>"113.38"</f>
        <v>113.38</v>
      </c>
      <c r="C2060" t="str">
        <f>"113.0982"</f>
        <v>113.0982</v>
      </c>
    </row>
    <row r="2061" spans="1:3" x14ac:dyDescent="0.25">
      <c r="A2061" t="str">
        <f>"12/12/2017"</f>
        <v>12/12/2017</v>
      </c>
      <c r="B2061" t="str">
        <f>"113.45"</f>
        <v>113.45</v>
      </c>
      <c r="C2061" t="str">
        <f>"113.17"</f>
        <v>113.17</v>
      </c>
    </row>
    <row r="2062" spans="1:3" x14ac:dyDescent="0.25">
      <c r="A2062" t="str">
        <f>"13/12/2017"</f>
        <v>13/12/2017</v>
      </c>
      <c r="B2062" t="str">
        <f>"113.33"</f>
        <v>113.33</v>
      </c>
      <c r="C2062" t="str">
        <f>"113.0402"</f>
        <v>113.0402</v>
      </c>
    </row>
    <row r="2063" spans="1:3" x14ac:dyDescent="0.25">
      <c r="A2063" t="str">
        <f>"14/12/2017"</f>
        <v>14/12/2017</v>
      </c>
      <c r="B2063" t="str">
        <f>"112.70"</f>
        <v>112.70</v>
      </c>
      <c r="C2063" t="str">
        <f>"112.4144"</f>
        <v>112.4144</v>
      </c>
    </row>
    <row r="2064" spans="1:3" x14ac:dyDescent="0.25">
      <c r="A2064" t="str">
        <f>"15/12/2017"</f>
        <v>15/12/2017</v>
      </c>
      <c r="B2064" t="str">
        <f>"112.16"</f>
        <v>112.16</v>
      </c>
      <c r="C2064" t="str">
        <f>"111.8301"</f>
        <v>111.8301</v>
      </c>
    </row>
    <row r="2065" spans="1:3" x14ac:dyDescent="0.25">
      <c r="A2065" t="str">
        <f>"18/12/2017"</f>
        <v>18/12/2017</v>
      </c>
      <c r="B2065" t="str">
        <f>"112.62"</f>
        <v>112.62</v>
      </c>
      <c r="C2065" t="str">
        <f>"112.2939"</f>
        <v>112.2939</v>
      </c>
    </row>
    <row r="2066" spans="1:3" x14ac:dyDescent="0.25">
      <c r="A2066" t="str">
        <f>"19/12/2017"</f>
        <v>19/12/2017</v>
      </c>
      <c r="B2066" t="str">
        <f>"112.61"</f>
        <v>112.61</v>
      </c>
      <c r="C2066" t="str">
        <f>"112.3091"</f>
        <v>112.3091</v>
      </c>
    </row>
    <row r="2067" spans="1:3" x14ac:dyDescent="0.25">
      <c r="A2067" t="str">
        <f>"20/12/2017"</f>
        <v>20/12/2017</v>
      </c>
      <c r="B2067" t="str">
        <f>"113.12"</f>
        <v>113.12</v>
      </c>
      <c r="C2067" t="str">
        <f>"112.8341"</f>
        <v>112.8341</v>
      </c>
    </row>
    <row r="2068" spans="1:3" x14ac:dyDescent="0.25">
      <c r="A2068" t="str">
        <f>"21/12/2017"</f>
        <v>21/12/2017</v>
      </c>
      <c r="B2068" t="str">
        <f>"113.53"</f>
        <v>113.53</v>
      </c>
      <c r="C2068" t="str">
        <f>"113.2211"</f>
        <v>113.2211</v>
      </c>
    </row>
    <row r="2069" spans="1:3" x14ac:dyDescent="0.25">
      <c r="A2069" t="str">
        <f>"22/12/2017"</f>
        <v>22/12/2017</v>
      </c>
      <c r="B2069" t="str">
        <f>"113.37"</f>
        <v>113.37</v>
      </c>
      <c r="C2069" t="str">
        <f>"113.0152"</f>
        <v>113.0152</v>
      </c>
    </row>
    <row r="2070" spans="1:3" x14ac:dyDescent="0.25">
      <c r="A2070" t="str">
        <f>"26/12/2017"</f>
        <v>26/12/2017</v>
      </c>
      <c r="B2070" t="str">
        <f>"113.30"</f>
        <v>113.30</v>
      </c>
      <c r="C2070" t="str">
        <f>"112.9163"</f>
        <v>112.9163</v>
      </c>
    </row>
    <row r="2071" spans="1:3" x14ac:dyDescent="0.25">
      <c r="A2071" t="str">
        <f>"27/12/2017"</f>
        <v>27/12/2017</v>
      </c>
      <c r="B2071" t="str">
        <f>"113.23"</f>
        <v>113.23</v>
      </c>
      <c r="C2071" t="str">
        <f>"112.8446"</f>
        <v>112.8446</v>
      </c>
    </row>
    <row r="2072" spans="1:3" x14ac:dyDescent="0.25">
      <c r="A2072" t="str">
        <f>"28/12/2017"</f>
        <v>28/12/2017</v>
      </c>
      <c r="B2072" t="str">
        <f>"112.85"</f>
        <v>112.85</v>
      </c>
      <c r="C2072" t="str">
        <f>"112.6763"</f>
        <v>112.6763</v>
      </c>
    </row>
    <row r="2073" spans="1:3" x14ac:dyDescent="0.25">
      <c r="A2073" t="str">
        <f>"29/12/2017"</f>
        <v>29/12/2017</v>
      </c>
      <c r="B2073" t="str">
        <f>"112.51"</f>
        <v>112.51</v>
      </c>
      <c r="C2073" t="str">
        <f>"112.3466"</f>
        <v>112.3466</v>
      </c>
    </row>
    <row r="2074" spans="1:3" x14ac:dyDescent="0.25">
      <c r="A2074" t="str">
        <f>"02/01/2018"</f>
        <v>02/01/2018</v>
      </c>
      <c r="B2074" t="str">
        <f>"112.20"</f>
        <v>112.20</v>
      </c>
      <c r="C2074" t="str">
        <f>"112.0419"</f>
        <v>112.0419</v>
      </c>
    </row>
    <row r="2075" spans="1:3" x14ac:dyDescent="0.25">
      <c r="A2075" t="str">
        <f>"03/01/2018"</f>
        <v>03/01/2018</v>
      </c>
      <c r="B2075" t="str">
        <f>"112.24"</f>
        <v>112.24</v>
      </c>
      <c r="C2075" t="str">
        <f>"112.0781"</f>
        <v>112.0781</v>
      </c>
    </row>
    <row r="2076" spans="1:3" x14ac:dyDescent="0.25">
      <c r="A2076" t="str">
        <f>"04/01/2018"</f>
        <v>04/01/2018</v>
      </c>
      <c r="B2076" t="str">
        <f>"112.61"</f>
        <v>112.61</v>
      </c>
      <c r="C2076" t="str">
        <f>"112.4429"</f>
        <v>112.4429</v>
      </c>
    </row>
    <row r="2077" spans="1:3" x14ac:dyDescent="0.25">
      <c r="A2077" t="str">
        <f>"05/01/2018"</f>
        <v>05/01/2018</v>
      </c>
      <c r="B2077" t="str">
        <f>"113.26"</f>
        <v>113.26</v>
      </c>
      <c r="C2077" t="str">
        <f>"113.0743"</f>
        <v>113.0743</v>
      </c>
    </row>
    <row r="2078" spans="1:3" x14ac:dyDescent="0.25">
      <c r="A2078" t="str">
        <f>"08/01/2018"</f>
        <v>08/01/2018</v>
      </c>
      <c r="B2078" t="str">
        <f>"113.15"</f>
        <v>113.15</v>
      </c>
      <c r="C2078" t="str">
        <f>"112.9674"</f>
        <v>112.9674</v>
      </c>
    </row>
    <row r="2079" spans="1:3" x14ac:dyDescent="0.25">
      <c r="A2079" t="str">
        <f>"09/01/2018"</f>
        <v>09/01/2018</v>
      </c>
      <c r="B2079" t="str">
        <f>"112.74"</f>
        <v>112.74</v>
      </c>
      <c r="C2079" t="str">
        <f>"112.563"</f>
        <v>112.563</v>
      </c>
    </row>
    <row r="2080" spans="1:3" x14ac:dyDescent="0.25">
      <c r="A2080" t="str">
        <f>"10/01/2018"</f>
        <v>10/01/2018</v>
      </c>
      <c r="B2080" t="str">
        <f>"111.42"</f>
        <v>111.42</v>
      </c>
      <c r="C2080" t="str">
        <f>"111.247"</f>
        <v>111.247</v>
      </c>
    </row>
    <row r="2081" spans="1:3" x14ac:dyDescent="0.25">
      <c r="A2081" t="str">
        <f>"11/01/2018"</f>
        <v>11/01/2018</v>
      </c>
      <c r="B2081" t="str">
        <f>"111.65"</f>
        <v>111.65</v>
      </c>
      <c r="C2081" t="str">
        <f>"111.4752"</f>
        <v>111.4752</v>
      </c>
    </row>
    <row r="2082" spans="1:3" x14ac:dyDescent="0.25">
      <c r="A2082" t="str">
        <f>"12/01/2018"</f>
        <v>12/01/2018</v>
      </c>
      <c r="B2082" t="str">
        <f>"111.10"</f>
        <v>111.10</v>
      </c>
      <c r="C2082" t="str">
        <f>"110.928"</f>
        <v>110.928</v>
      </c>
    </row>
    <row r="2083" spans="1:3" x14ac:dyDescent="0.25">
      <c r="A2083" t="str">
        <f>"15/01/2018"</f>
        <v>15/01/2018</v>
      </c>
      <c r="B2083" t="str">
        <f>"110.62"</f>
        <v>110.62</v>
      </c>
      <c r="C2083" t="str">
        <f>"110.4329"</f>
        <v>110.4329</v>
      </c>
    </row>
    <row r="2084" spans="1:3" x14ac:dyDescent="0.25">
      <c r="A2084" t="str">
        <f>"16/01/2018"</f>
        <v>16/01/2018</v>
      </c>
      <c r="B2084" t="str">
        <f>"110.70"</f>
        <v>110.70</v>
      </c>
      <c r="C2084" t="str">
        <f>"110.517"</f>
        <v>110.517</v>
      </c>
    </row>
    <row r="2085" spans="1:3" x14ac:dyDescent="0.25">
      <c r="A2085" t="str">
        <f>"17/01/2018"</f>
        <v>17/01/2018</v>
      </c>
      <c r="B2085" t="str">
        <f>"110.74"</f>
        <v>110.74</v>
      </c>
      <c r="C2085" t="str">
        <f>"110.5583"</f>
        <v>110.5583</v>
      </c>
    </row>
    <row r="2086" spans="1:3" x14ac:dyDescent="0.25">
      <c r="A2086" t="str">
        <f>"18/01/2018"</f>
        <v>18/01/2018</v>
      </c>
      <c r="B2086" t="str">
        <f>"111.28"</f>
        <v>111.28</v>
      </c>
      <c r="C2086" t="str">
        <f>"111.1084"</f>
        <v>111.1084</v>
      </c>
    </row>
    <row r="2087" spans="1:3" x14ac:dyDescent="0.25">
      <c r="A2087" t="str">
        <f>"19/01/2018"</f>
        <v>19/01/2018</v>
      </c>
      <c r="B2087" t="str">
        <f>"110.68"</f>
        <v>110.68</v>
      </c>
      <c r="C2087" t="str">
        <f>"110.5086"</f>
        <v>110.5086</v>
      </c>
    </row>
    <row r="2088" spans="1:3" x14ac:dyDescent="0.25">
      <c r="A2088" t="str">
        <f>"22/01/2018"</f>
        <v>22/01/2018</v>
      </c>
      <c r="B2088" t="str">
        <f>"110.70"</f>
        <v>110.70</v>
      </c>
      <c r="C2088" t="str">
        <f>"110.5117"</f>
        <v>110.5117</v>
      </c>
    </row>
    <row r="2089" spans="1:3" x14ac:dyDescent="0.25">
      <c r="A2089" t="str">
        <f>"23/01/2018"</f>
        <v>23/01/2018</v>
      </c>
      <c r="B2089" t="str">
        <f>"110.43"</f>
        <v>110.43</v>
      </c>
      <c r="C2089" t="str">
        <f>"110.2493"</f>
        <v>110.2493</v>
      </c>
    </row>
    <row r="2090" spans="1:3" x14ac:dyDescent="0.25">
      <c r="A2090" t="str">
        <f>"24/01/2018"</f>
        <v>24/01/2018</v>
      </c>
      <c r="B2090" t="str">
        <f>"109.47"</f>
        <v>109.47</v>
      </c>
      <c r="C2090" t="str">
        <f>"109.2978"</f>
        <v>109.2978</v>
      </c>
    </row>
    <row r="2091" spans="1:3" x14ac:dyDescent="0.25">
      <c r="A2091" t="str">
        <f>"25/01/2018"</f>
        <v>25/01/2018</v>
      </c>
      <c r="B2091" t="str">
        <f>"108.98"</f>
        <v>108.98</v>
      </c>
      <c r="C2091" t="str">
        <f>"108.8174"</f>
        <v>108.8174</v>
      </c>
    </row>
    <row r="2092" spans="1:3" x14ac:dyDescent="0.25">
      <c r="A2092" t="str">
        <f>"29/01/2018"</f>
        <v>29/01/2018</v>
      </c>
      <c r="B2092" t="str">
        <f>"108.72"</f>
        <v>108.72</v>
      </c>
      <c r="C2092" t="str">
        <f>"108.5634"</f>
        <v>108.5634</v>
      </c>
    </row>
    <row r="2093" spans="1:3" x14ac:dyDescent="0.25">
      <c r="A2093" t="str">
        <f>"30/01/2018"</f>
        <v>30/01/2018</v>
      </c>
      <c r="B2093" t="str">
        <f>"108.60"</f>
        <v>108.60</v>
      </c>
      <c r="C2093" t="str">
        <f>"108.4396"</f>
        <v>108.4396</v>
      </c>
    </row>
    <row r="2094" spans="1:3" x14ac:dyDescent="0.25">
      <c r="A2094" t="str">
        <f>"31/01/2018"</f>
        <v>31/01/2018</v>
      </c>
      <c r="B2094" t="str">
        <f>"108.78"</f>
        <v>108.78</v>
      </c>
      <c r="C2094" t="str">
        <f>"108.6204"</f>
        <v>108.6204</v>
      </c>
    </row>
    <row r="2095" spans="1:3" x14ac:dyDescent="0.25">
      <c r="A2095" t="str">
        <f>"01/02/2018"</f>
        <v>01/02/2018</v>
      </c>
      <c r="B2095" t="str">
        <f>"109.75"</f>
        <v>109.75</v>
      </c>
      <c r="C2095" t="str">
        <f>"109.5854"</f>
        <v>109.5854</v>
      </c>
    </row>
    <row r="2096" spans="1:3" x14ac:dyDescent="0.25">
      <c r="A2096" t="str">
        <f>"02/02/2018"</f>
        <v>02/02/2018</v>
      </c>
      <c r="B2096" t="str">
        <f>"109.90"</f>
        <v>109.90</v>
      </c>
      <c r="C2096" t="str">
        <f>"109.7339"</f>
        <v>109.7339</v>
      </c>
    </row>
    <row r="2097" spans="1:3" x14ac:dyDescent="0.25">
      <c r="A2097" t="str">
        <f>"05/02/2018"</f>
        <v>05/02/2018</v>
      </c>
      <c r="B2097" t="str">
        <f>"109.83"</f>
        <v>109.83</v>
      </c>
      <c r="C2097" t="str">
        <f>"109.6628"</f>
        <v>109.6628</v>
      </c>
    </row>
    <row r="2098" spans="1:3" x14ac:dyDescent="0.25">
      <c r="A2098" t="str">
        <f>"06/02/2018"</f>
        <v>06/02/2018</v>
      </c>
      <c r="B2098" t="str">
        <f>"109.04"</f>
        <v>109.04</v>
      </c>
      <c r="C2098" t="str">
        <f>"108.8775"</f>
        <v>108.8775</v>
      </c>
    </row>
    <row r="2099" spans="1:3" x14ac:dyDescent="0.25">
      <c r="A2099" t="str">
        <f>"07/02/2018"</f>
        <v>07/02/2018</v>
      </c>
      <c r="B2099" t="str">
        <f>"109.14"</f>
        <v>109.14</v>
      </c>
      <c r="C2099" t="str">
        <f>"108.9773"</f>
        <v>108.9773</v>
      </c>
    </row>
    <row r="2100" spans="1:3" x14ac:dyDescent="0.25">
      <c r="A2100" t="str">
        <f>"08/02/2018"</f>
        <v>08/02/2018</v>
      </c>
      <c r="B2100" t="str">
        <f>"109.69"</f>
        <v>109.69</v>
      </c>
      <c r="C2100" t="str">
        <f>"109.5293"</f>
        <v>109.5293</v>
      </c>
    </row>
    <row r="2101" spans="1:3" x14ac:dyDescent="0.25">
      <c r="A2101" t="str">
        <f>"09/02/2018"</f>
        <v>09/02/2018</v>
      </c>
      <c r="B2101" t="str">
        <f>"109.04"</f>
        <v>109.04</v>
      </c>
      <c r="C2101" t="str">
        <f>"108.8719"</f>
        <v>108.8719</v>
      </c>
    </row>
    <row r="2102" spans="1:3" x14ac:dyDescent="0.25">
      <c r="A2102" t="str">
        <f>"12/02/2018"</f>
        <v>12/02/2018</v>
      </c>
      <c r="B2102" t="str">
        <f>"108.62"</f>
        <v>108.62</v>
      </c>
      <c r="C2102" t="str">
        <f>"108.4507"</f>
        <v>108.4507</v>
      </c>
    </row>
    <row r="2103" spans="1:3" x14ac:dyDescent="0.25">
      <c r="A2103" t="str">
        <f>"14/02/2018"</f>
        <v>14/02/2018</v>
      </c>
      <c r="B2103" t="str">
        <f>"107.42"</f>
        <v>107.42</v>
      </c>
      <c r="C2103" t="str">
        <f>"107.2596"</f>
        <v>107.2596</v>
      </c>
    </row>
    <row r="2104" spans="1:3" x14ac:dyDescent="0.25">
      <c r="A2104" t="str">
        <f>"15/02/2018"</f>
        <v>15/02/2018</v>
      </c>
      <c r="B2104" t="str">
        <f>"106.61"</f>
        <v>106.61</v>
      </c>
      <c r="C2104" t="str">
        <f>"106.4503"</f>
        <v>106.4503</v>
      </c>
    </row>
    <row r="2105" spans="1:3" x14ac:dyDescent="0.25">
      <c r="A2105" t="str">
        <f>"16/02/2018"</f>
        <v>16/02/2018</v>
      </c>
      <c r="B2105" t="str">
        <f>"106.17"</f>
        <v>106.17</v>
      </c>
      <c r="C2105" t="str">
        <f>"106.0123"</f>
        <v>106.0123</v>
      </c>
    </row>
    <row r="2106" spans="1:3" x14ac:dyDescent="0.25">
      <c r="A2106" t="str">
        <f>"20/02/2018"</f>
        <v>20/02/2018</v>
      </c>
      <c r="B2106" t="str">
        <f>"107.11"</f>
        <v>107.11</v>
      </c>
      <c r="C2106" t="str">
        <f>"106.9535"</f>
        <v>106.9535</v>
      </c>
    </row>
    <row r="2107" spans="1:3" x14ac:dyDescent="0.25">
      <c r="A2107" t="str">
        <f>"21/02/2018"</f>
        <v>21/02/2018</v>
      </c>
      <c r="B2107" t="str">
        <f>"107.46"</f>
        <v>107.46</v>
      </c>
      <c r="C2107" t="str">
        <f>"107.2982"</f>
        <v>107.2982</v>
      </c>
    </row>
    <row r="2108" spans="1:3" x14ac:dyDescent="0.25">
      <c r="A2108" t="str">
        <f>"22/02/2018"</f>
        <v>22/02/2018</v>
      </c>
      <c r="B2108" t="str">
        <f>"107.38"</f>
        <v>107.38</v>
      </c>
      <c r="C2108" t="str">
        <f>"107.2171"</f>
        <v>107.2171</v>
      </c>
    </row>
    <row r="2109" spans="1:3" x14ac:dyDescent="0.25">
      <c r="A2109" t="str">
        <f>"23/02/2018"</f>
        <v>23/02/2018</v>
      </c>
      <c r="B2109" t="str">
        <f>"106.84"</f>
        <v>106.84</v>
      </c>
      <c r="C2109" t="str">
        <f>"106.6755"</f>
        <v>106.6755</v>
      </c>
    </row>
    <row r="2110" spans="1:3" x14ac:dyDescent="0.25">
      <c r="A2110" t="str">
        <f>"26/02/2018"</f>
        <v>26/02/2018</v>
      </c>
      <c r="B2110" t="str">
        <f>"106.66"</f>
        <v>106.66</v>
      </c>
      <c r="C2110" t="str">
        <f>"106.4817"</f>
        <v>106.4817</v>
      </c>
    </row>
    <row r="2111" spans="1:3" x14ac:dyDescent="0.25">
      <c r="A2111" t="str">
        <f>"27/02/2018"</f>
        <v>27/02/2018</v>
      </c>
      <c r="B2111" t="str">
        <f>"106.98"</f>
        <v>106.98</v>
      </c>
      <c r="C2111" t="str">
        <f>"106.7357"</f>
        <v>106.7357</v>
      </c>
    </row>
    <row r="2112" spans="1:3" x14ac:dyDescent="0.25">
      <c r="A2112" t="str">
        <f>"28/02/2018"</f>
        <v>28/02/2018</v>
      </c>
      <c r="B2112" t="str">
        <f>"107.13"</f>
        <v>107.13</v>
      </c>
      <c r="C2112" t="str">
        <f>"106.8868"</f>
        <v>106.8868</v>
      </c>
    </row>
    <row r="2113" spans="1:3" x14ac:dyDescent="0.25">
      <c r="A2113" t="str">
        <f>"01/03/2018"</f>
        <v>01/03/2018</v>
      </c>
      <c r="B2113" t="str">
        <f>"106.75"</f>
        <v>106.75</v>
      </c>
      <c r="C2113" t="str">
        <f>"106.497"</f>
        <v>106.497</v>
      </c>
    </row>
    <row r="2114" spans="1:3" x14ac:dyDescent="0.25">
      <c r="A2114" t="str">
        <f>"05/03/2018"</f>
        <v>05/03/2018</v>
      </c>
      <c r="B2114" t="str">
        <f>"105.57"</f>
        <v>105.57</v>
      </c>
      <c r="C2114" t="str">
        <f>"105.3076"</f>
        <v>105.3076</v>
      </c>
    </row>
    <row r="2115" spans="1:3" x14ac:dyDescent="0.25">
      <c r="A2115" t="str">
        <f>"06/03/2018"</f>
        <v>06/03/2018</v>
      </c>
      <c r="B2115" t="str">
        <f>"106.38"</f>
        <v>106.38</v>
      </c>
      <c r="C2115" t="str">
        <f>"106.1182"</f>
        <v>106.1182</v>
      </c>
    </row>
    <row r="2116" spans="1:3" x14ac:dyDescent="0.25">
      <c r="A2116" t="str">
        <f>"07/03/2018"</f>
        <v>07/03/2018</v>
      </c>
      <c r="B2116" t="str">
        <f>"105.61"</f>
        <v>105.61</v>
      </c>
      <c r="C2116" t="str">
        <f>"105.3569"</f>
        <v>105.3569</v>
      </c>
    </row>
    <row r="2117" spans="1:3" x14ac:dyDescent="0.25">
      <c r="A2117" t="str">
        <f>"08/03/2018"</f>
        <v>08/03/2018</v>
      </c>
      <c r="B2117" t="str">
        <f>"106.15"</f>
        <v>106.15</v>
      </c>
      <c r="C2117" t="str">
        <f>"105.8965"</f>
        <v>105.8965</v>
      </c>
    </row>
    <row r="2118" spans="1:3" x14ac:dyDescent="0.25">
      <c r="A2118" t="str">
        <f>"09/03/2018"</f>
        <v>09/03/2018</v>
      </c>
      <c r="B2118" t="str">
        <f>"106.76"</f>
        <v>106.76</v>
      </c>
      <c r="C2118" t="str">
        <f>"106.5034"</f>
        <v>106.5034</v>
      </c>
    </row>
    <row r="2119" spans="1:3" x14ac:dyDescent="0.25">
      <c r="A2119" t="str">
        <f>"12/03/2018"</f>
        <v>12/03/2018</v>
      </c>
      <c r="B2119" t="str">
        <f>"106.56"</f>
        <v>106.56</v>
      </c>
      <c r="C2119" t="str">
        <f>"106.293"</f>
        <v>106.293</v>
      </c>
    </row>
    <row r="2120" spans="1:3" x14ac:dyDescent="0.25">
      <c r="A2120" t="str">
        <f>"13/03/2018"</f>
        <v>13/03/2018</v>
      </c>
      <c r="B2120" t="str">
        <f>"107.17"</f>
        <v>107.17</v>
      </c>
      <c r="C2120" t="str">
        <f>"106.8982"</f>
        <v>106.8982</v>
      </c>
    </row>
    <row r="2121" spans="1:3" x14ac:dyDescent="0.25">
      <c r="A2121" t="str">
        <f>"14/03/2018"</f>
        <v>14/03/2018</v>
      </c>
      <c r="B2121" t="str">
        <f>"106.43"</f>
        <v>106.43</v>
      </c>
      <c r="C2121" t="str">
        <f>"106.1639"</f>
        <v>106.1639</v>
      </c>
    </row>
    <row r="2122" spans="1:3" x14ac:dyDescent="0.25">
      <c r="A2122" t="str">
        <f>"15/03/2018"</f>
        <v>15/03/2018</v>
      </c>
      <c r="B2122" t="str">
        <f>"105.98"</f>
        <v>105.98</v>
      </c>
      <c r="C2122" t="str">
        <f>"105.7055"</f>
        <v>105.7055</v>
      </c>
    </row>
    <row r="2123" spans="1:3" x14ac:dyDescent="0.25">
      <c r="A2123" t="str">
        <f>"16/03/2018"</f>
        <v>16/03/2018</v>
      </c>
      <c r="B2123" t="str">
        <f>"105.67"</f>
        <v>105.67</v>
      </c>
      <c r="C2123" t="str">
        <f>"105.4117"</f>
        <v>105.4117</v>
      </c>
    </row>
    <row r="2124" spans="1:3" x14ac:dyDescent="0.25">
      <c r="A2124" t="str">
        <f>"19/03/2018"</f>
        <v>19/03/2018</v>
      </c>
      <c r="B2124" t="str">
        <f>"106.11"</f>
        <v>106.11</v>
      </c>
      <c r="C2124" t="str">
        <f>"105.8473"</f>
        <v>105.8473</v>
      </c>
    </row>
    <row r="2125" spans="1:3" x14ac:dyDescent="0.25">
      <c r="A2125" t="str">
        <f>"20/03/2018"</f>
        <v>20/03/2018</v>
      </c>
      <c r="B2125" t="str">
        <f>"106.47"</f>
        <v>106.47</v>
      </c>
      <c r="C2125" t="str">
        <f>"106.2195"</f>
        <v>106.2195</v>
      </c>
    </row>
    <row r="2126" spans="1:3" x14ac:dyDescent="0.25">
      <c r="A2126" t="str">
        <f>"21/03/2018"</f>
        <v>21/03/2018</v>
      </c>
      <c r="B2126" t="str">
        <f>"106.36"</f>
        <v>106.36</v>
      </c>
      <c r="C2126" t="str">
        <f>"106.1219"</f>
        <v>106.1219</v>
      </c>
    </row>
    <row r="2127" spans="1:3" x14ac:dyDescent="0.25">
      <c r="A2127" t="str">
        <f>"22/03/2018"</f>
        <v>22/03/2018</v>
      </c>
      <c r="B2127" t="str">
        <f>"105.65"</f>
        <v>105.65</v>
      </c>
      <c r="C2127" t="str">
        <f>"105.4179"</f>
        <v>105.4179</v>
      </c>
    </row>
    <row r="2128" spans="1:3" x14ac:dyDescent="0.25">
      <c r="A2128" t="str">
        <f>"23/03/2018"</f>
        <v>23/03/2018</v>
      </c>
      <c r="B2128" t="str">
        <f>"105.04"</f>
        <v>105.04</v>
      </c>
      <c r="C2128" t="str">
        <f>"104.805"</f>
        <v>104.805</v>
      </c>
    </row>
    <row r="2129" spans="1:3" x14ac:dyDescent="0.25">
      <c r="A2129" t="str">
        <f>"26/03/2018"</f>
        <v>26/03/2018</v>
      </c>
      <c r="B2129" t="str">
        <f>"105.11"</f>
        <v>105.11</v>
      </c>
      <c r="C2129" t="str">
        <f>"104.8922"</f>
        <v>104.8922</v>
      </c>
    </row>
    <row r="2130" spans="1:3" x14ac:dyDescent="0.25">
      <c r="A2130" t="str">
        <f>"27/03/2018"</f>
        <v>27/03/2018</v>
      </c>
      <c r="B2130" t="str">
        <f>"105.78"</f>
        <v>105.78</v>
      </c>
      <c r="C2130" t="str">
        <f>"105.5777"</f>
        <v>105.5777</v>
      </c>
    </row>
    <row r="2131" spans="1:3" x14ac:dyDescent="0.25">
      <c r="A2131" t="str">
        <f>"28/03/2018"</f>
        <v>28/03/2018</v>
      </c>
      <c r="B2131" t="str">
        <f>"105.95"</f>
        <v>105.95</v>
      </c>
      <c r="C2131" t="str">
        <f>"105.7612"</f>
        <v>105.7612</v>
      </c>
    </row>
    <row r="2132" spans="1:3" x14ac:dyDescent="0.25">
      <c r="A2132" t="str">
        <f>"03/04/2018"</f>
        <v>03/04/2018</v>
      </c>
      <c r="B2132" t="str">
        <f>"106.23"</f>
        <v>106.23</v>
      </c>
      <c r="C2132" t="str">
        <f>"106.0214"</f>
        <v>106.0214</v>
      </c>
    </row>
    <row r="2133" spans="1:3" x14ac:dyDescent="0.25">
      <c r="A2133" t="str">
        <f>"04/04/2018"</f>
        <v>04/04/2018</v>
      </c>
      <c r="B2133" t="str">
        <f>"106.23"</f>
        <v>106.23</v>
      </c>
      <c r="C2133" t="str">
        <f>"106.0182"</f>
        <v>106.0182</v>
      </c>
    </row>
    <row r="2134" spans="1:3" x14ac:dyDescent="0.25">
      <c r="A2134" t="str">
        <f>"05/04/2018"</f>
        <v>05/04/2018</v>
      </c>
      <c r="B2134" t="str">
        <f>"107.06"</f>
        <v>107.06</v>
      </c>
      <c r="C2134" t="str">
        <f>"106.8563"</f>
        <v>106.8563</v>
      </c>
    </row>
    <row r="2135" spans="1:3" x14ac:dyDescent="0.25">
      <c r="A2135" t="str">
        <f>"06/04/2018"</f>
        <v>06/04/2018</v>
      </c>
      <c r="B2135" t="str">
        <f>"107.37"</f>
        <v>107.37</v>
      </c>
      <c r="C2135" t="str">
        <f>"107.1683"</f>
        <v>107.1683</v>
      </c>
    </row>
    <row r="2136" spans="1:3" x14ac:dyDescent="0.25">
      <c r="A2136" t="str">
        <f>"09/04/2018"</f>
        <v>09/04/2018</v>
      </c>
      <c r="B2136" t="str">
        <f>"107.01"</f>
        <v>107.01</v>
      </c>
      <c r="C2136" t="str">
        <f>"106.8094"</f>
        <v>106.8094</v>
      </c>
    </row>
    <row r="2137" spans="1:3" x14ac:dyDescent="0.25">
      <c r="A2137" t="str">
        <f>"10/04/2018"</f>
        <v>10/04/2018</v>
      </c>
      <c r="B2137" t="str">
        <f>"106.98"</f>
        <v>106.98</v>
      </c>
      <c r="C2137" t="str">
        <f>"106.7691"</f>
        <v>106.7691</v>
      </c>
    </row>
    <row r="2138" spans="1:3" x14ac:dyDescent="0.25">
      <c r="A2138" t="str">
        <f>"11/04/2018"</f>
        <v>11/04/2018</v>
      </c>
      <c r="B2138" t="str">
        <f>"106.79"</f>
        <v>106.79</v>
      </c>
      <c r="C2138" t="str">
        <f>"106.59"</f>
        <v>106.59</v>
      </c>
    </row>
    <row r="2139" spans="1:3" x14ac:dyDescent="0.25">
      <c r="A2139" t="str">
        <f>"12/04/2018"</f>
        <v>12/04/2018</v>
      </c>
      <c r="B2139" t="str">
        <f>"107.16"</f>
        <v>107.16</v>
      </c>
      <c r="C2139" t="str">
        <f>"106.9632"</f>
        <v>106.9632</v>
      </c>
    </row>
    <row r="2140" spans="1:3" x14ac:dyDescent="0.25">
      <c r="A2140" t="str">
        <f>"13/04/2018"</f>
        <v>13/04/2018</v>
      </c>
      <c r="B2140" t="str">
        <f>"107.69"</f>
        <v>107.69</v>
      </c>
      <c r="C2140" t="str">
        <f>"107.4905"</f>
        <v>107.4905</v>
      </c>
    </row>
    <row r="2141" spans="1:3" x14ac:dyDescent="0.25">
      <c r="A2141" t="str">
        <f>"16/04/2018"</f>
        <v>16/04/2018</v>
      </c>
      <c r="B2141" t="str">
        <f>"107.26"</f>
        <v>107.26</v>
      </c>
      <c r="C2141" t="str">
        <f>"107.0609"</f>
        <v>107.0609</v>
      </c>
    </row>
    <row r="2142" spans="1:3" x14ac:dyDescent="0.25">
      <c r="A2142" t="str">
        <f>"17/04/2018"</f>
        <v>17/04/2018</v>
      </c>
      <c r="B2142" t="str">
        <f>"107.07"</f>
        <v>107.07</v>
      </c>
      <c r="C2142" t="str">
        <f>"106.8614"</f>
        <v>106.8614</v>
      </c>
    </row>
    <row r="2143" spans="1:3" x14ac:dyDescent="0.25">
      <c r="A2143" t="str">
        <f>"18/04/2018"</f>
        <v>18/04/2018</v>
      </c>
      <c r="B2143" t="str">
        <f>"107.18"</f>
        <v>107.18</v>
      </c>
      <c r="C2143" t="str">
        <f>"106.9798"</f>
        <v>106.9798</v>
      </c>
    </row>
    <row r="2144" spans="1:3" x14ac:dyDescent="0.25">
      <c r="A2144" t="str">
        <f>"19/04/2018"</f>
        <v>19/04/2018</v>
      </c>
      <c r="B2144" t="str">
        <f>"107.42"</f>
        <v>107.42</v>
      </c>
      <c r="C2144" t="str">
        <f>"107.2258"</f>
        <v>107.2258</v>
      </c>
    </row>
    <row r="2145" spans="1:3" x14ac:dyDescent="0.25">
      <c r="A2145" t="str">
        <f>"20/04/2018"</f>
        <v>20/04/2018</v>
      </c>
      <c r="B2145" t="str">
        <f>"107.59"</f>
        <v>107.59</v>
      </c>
      <c r="C2145" t="str">
        <f>"107.3931"</f>
        <v>107.3931</v>
      </c>
    </row>
    <row r="2146" spans="1:3" x14ac:dyDescent="0.25">
      <c r="A2146" t="str">
        <f>"23/04/2018"</f>
        <v>23/04/2018</v>
      </c>
      <c r="B2146" t="str">
        <f>"108.24"</f>
        <v>108.24</v>
      </c>
      <c r="C2146" t="str">
        <f>"108.0365"</f>
        <v>108.0365</v>
      </c>
    </row>
    <row r="2147" spans="1:3" x14ac:dyDescent="0.25">
      <c r="A2147" t="str">
        <f>"24/04/2018"</f>
        <v>24/04/2018</v>
      </c>
      <c r="B2147" t="str">
        <f>"108.82"</f>
        <v>108.82</v>
      </c>
      <c r="C2147" t="str">
        <f>"108.5985"</f>
        <v>108.5985</v>
      </c>
    </row>
    <row r="2148" spans="1:3" x14ac:dyDescent="0.25">
      <c r="A2148" t="str">
        <f>"25/04/2018"</f>
        <v>25/04/2018</v>
      </c>
      <c r="B2148" t="str">
        <f>"109.10"</f>
        <v>109.10</v>
      </c>
      <c r="C2148" t="str">
        <f>"108.8744"</f>
        <v>108.8744</v>
      </c>
    </row>
    <row r="2149" spans="1:3" x14ac:dyDescent="0.25">
      <c r="A2149" t="str">
        <f>"26/04/2018"</f>
        <v>26/04/2018</v>
      </c>
      <c r="B2149" t="str">
        <f>"109.14"</f>
        <v>109.14</v>
      </c>
      <c r="C2149" t="str">
        <f>"108.9296"</f>
        <v>108.9296</v>
      </c>
    </row>
    <row r="2150" spans="1:3" x14ac:dyDescent="0.25">
      <c r="A2150" t="str">
        <f>"27/04/2018"</f>
        <v>27/04/2018</v>
      </c>
      <c r="B2150" t="str">
        <f>"109.32"</f>
        <v>109.32</v>
      </c>
      <c r="C2150" t="str">
        <f>"109.094"</f>
        <v>109.094</v>
      </c>
    </row>
    <row r="2151" spans="1:3" x14ac:dyDescent="0.25">
      <c r="A2151" t="str">
        <f>"02/05/2018"</f>
        <v>02/05/2018</v>
      </c>
      <c r="B2151" t="str">
        <f>"109.83"</f>
        <v>109.83</v>
      </c>
      <c r="C2151" t="str">
        <f>"109.6221"</f>
        <v>109.6221</v>
      </c>
    </row>
    <row r="2152" spans="1:3" x14ac:dyDescent="0.25">
      <c r="A2152" t="str">
        <f>"03/05/2018"</f>
        <v>03/05/2018</v>
      </c>
      <c r="B2152" t="str">
        <f>"109.43"</f>
        <v>109.43</v>
      </c>
      <c r="C2152" t="str">
        <f>"109.2266"</f>
        <v>109.2266</v>
      </c>
    </row>
    <row r="2153" spans="1:3" x14ac:dyDescent="0.25">
      <c r="A2153" t="str">
        <f>"04/05/2018"</f>
        <v>04/05/2018</v>
      </c>
      <c r="B2153" t="str">
        <f>"108.96"</f>
        <v>108.96</v>
      </c>
      <c r="C2153" t="str">
        <f>"108.7584"</f>
        <v>108.7584</v>
      </c>
    </row>
    <row r="2154" spans="1:3" x14ac:dyDescent="0.25">
      <c r="A2154" t="str">
        <f>"07/05/2018"</f>
        <v>07/05/2018</v>
      </c>
      <c r="B2154" t="str">
        <f>"109.31"</f>
        <v>109.31</v>
      </c>
      <c r="C2154" t="str">
        <f>"109.0883"</f>
        <v>109.0883</v>
      </c>
    </row>
    <row r="2155" spans="1:3" x14ac:dyDescent="0.25">
      <c r="A2155" t="str">
        <f>"08/05/2018"</f>
        <v>08/05/2018</v>
      </c>
      <c r="B2155" t="str">
        <f>"108.98"</f>
        <v>108.98</v>
      </c>
      <c r="C2155" t="str">
        <f>"108.7715"</f>
        <v>108.7715</v>
      </c>
    </row>
    <row r="2156" spans="1:3" x14ac:dyDescent="0.25">
      <c r="A2156" t="str">
        <f>"09/05/2018"</f>
        <v>09/05/2018</v>
      </c>
      <c r="B2156" t="str">
        <f>"109.68"</f>
        <v>109.68</v>
      </c>
      <c r="C2156" t="str">
        <f>"109.4776"</f>
        <v>109.4776</v>
      </c>
    </row>
    <row r="2157" spans="1:3" x14ac:dyDescent="0.25">
      <c r="A2157" t="str">
        <f>"10/05/2018"</f>
        <v>10/05/2018</v>
      </c>
      <c r="B2157" t="str">
        <f>"109.65"</f>
        <v>109.65</v>
      </c>
      <c r="C2157" t="str">
        <f>"109.4459"</f>
        <v>109.4459</v>
      </c>
    </row>
    <row r="2158" spans="1:3" x14ac:dyDescent="0.25">
      <c r="A2158" t="str">
        <f>"11/05/2018"</f>
        <v>11/05/2018</v>
      </c>
      <c r="B2158" t="str">
        <f>"109.32"</f>
        <v>109.32</v>
      </c>
      <c r="C2158" t="str">
        <f>"109.1157"</f>
        <v>109.1157</v>
      </c>
    </row>
    <row r="2159" spans="1:3" x14ac:dyDescent="0.25">
      <c r="A2159" t="str">
        <f>"14/05/2018"</f>
        <v>14/05/2018</v>
      </c>
      <c r="B2159" t="str">
        <f>"109.56"</f>
        <v>109.56</v>
      </c>
      <c r="C2159" t="str">
        <f>"109.3414"</f>
        <v>109.3414</v>
      </c>
    </row>
    <row r="2160" spans="1:3" x14ac:dyDescent="0.25">
      <c r="A2160" t="str">
        <f>"15/05/2018"</f>
        <v>15/05/2018</v>
      </c>
      <c r="B2160" t="str">
        <f>"109.93"</f>
        <v>109.93</v>
      </c>
      <c r="C2160" t="str">
        <f>"109.7205"</f>
        <v>109.7205</v>
      </c>
    </row>
    <row r="2161" spans="1:3" x14ac:dyDescent="0.25">
      <c r="A2161" t="str">
        <f>"16/05/2018"</f>
        <v>16/05/2018</v>
      </c>
      <c r="B2161" t="str">
        <f>"110.15"</f>
        <v>110.15</v>
      </c>
      <c r="C2161" t="str">
        <f>"109.9435"</f>
        <v>109.9435</v>
      </c>
    </row>
    <row r="2162" spans="1:3" x14ac:dyDescent="0.25">
      <c r="A2162" t="str">
        <f>"17/05/2018"</f>
        <v>17/05/2018</v>
      </c>
      <c r="B2162" t="str">
        <f>"110.65"</f>
        <v>110.65</v>
      </c>
      <c r="C2162" t="str">
        <f>"110.4409"</f>
        <v>110.4409</v>
      </c>
    </row>
    <row r="2163" spans="1:3" x14ac:dyDescent="0.25">
      <c r="A2163" t="str">
        <f>"18/05/2018"</f>
        <v>18/05/2018</v>
      </c>
      <c r="B2163" t="str">
        <f>"111.01"</f>
        <v>111.01</v>
      </c>
      <c r="C2163" t="str">
        <f>"110.7992"</f>
        <v>110.7992</v>
      </c>
    </row>
    <row r="2164" spans="1:3" x14ac:dyDescent="0.25">
      <c r="A2164" t="str">
        <f>"21/05/2018"</f>
        <v>21/05/2018</v>
      </c>
      <c r="B2164" t="str">
        <f>"111.28"</f>
        <v>111.28</v>
      </c>
      <c r="C2164" t="str">
        <f>"111.0483"</f>
        <v>111.0483</v>
      </c>
    </row>
    <row r="2165" spans="1:3" x14ac:dyDescent="0.25">
      <c r="A2165" t="str">
        <f>"22/05/2018"</f>
        <v>22/05/2018</v>
      </c>
      <c r="B2165" t="str">
        <f>"110.93"</f>
        <v>110.93</v>
      </c>
      <c r="C2165" t="str">
        <f>"110.7059"</f>
        <v>110.7059</v>
      </c>
    </row>
    <row r="2166" spans="1:3" x14ac:dyDescent="0.25">
      <c r="A2166" t="str">
        <f>"23/05/2018"</f>
        <v>23/05/2018</v>
      </c>
      <c r="B2166" t="str">
        <f>"109.75"</f>
        <v>109.75</v>
      </c>
      <c r="C2166" t="str">
        <f>"109.5365"</f>
        <v>109.5365</v>
      </c>
    </row>
    <row r="2167" spans="1:3" x14ac:dyDescent="0.25">
      <c r="A2167" t="str">
        <f>"24/05/2018"</f>
        <v>24/05/2018</v>
      </c>
      <c r="B2167" t="str">
        <f>"109.62"</f>
        <v>109.62</v>
      </c>
      <c r="C2167" t="str">
        <f>"109.4097"</f>
        <v>109.4097</v>
      </c>
    </row>
    <row r="2168" spans="1:3" x14ac:dyDescent="0.25">
      <c r="A2168" t="str">
        <f>"25/05/2018"</f>
        <v>25/05/2018</v>
      </c>
      <c r="B2168" t="str">
        <f>"109.43"</f>
        <v>109.43</v>
      </c>
      <c r="C2168" t="str">
        <f>"109.2162"</f>
        <v>109.2162</v>
      </c>
    </row>
    <row r="2169" spans="1:3" x14ac:dyDescent="0.25">
      <c r="A2169" t="str">
        <f>"28/05/2018"</f>
        <v>28/05/2018</v>
      </c>
      <c r="B2169" t="str">
        <f>"109.35"</f>
        <v>109.35</v>
      </c>
      <c r="C2169" t="str">
        <f>"109.1473"</f>
        <v>109.1473</v>
      </c>
    </row>
    <row r="2170" spans="1:3" x14ac:dyDescent="0.25">
      <c r="A2170" t="str">
        <f>"29/05/2018"</f>
        <v>29/05/2018</v>
      </c>
      <c r="B2170" t="str">
        <f>"108.85"</f>
        <v>108.85</v>
      </c>
      <c r="C2170" t="str">
        <f>"108.6548"</f>
        <v>108.6548</v>
      </c>
    </row>
    <row r="2171" spans="1:3" x14ac:dyDescent="0.25">
      <c r="A2171" t="str">
        <f>"30/05/2018"</f>
        <v>30/05/2018</v>
      </c>
      <c r="B2171" t="str">
        <f>"108.62"</f>
        <v>108.62</v>
      </c>
      <c r="C2171" t="str">
        <f>"108.3769"</f>
        <v>108.3769</v>
      </c>
    </row>
    <row r="2172" spans="1:3" x14ac:dyDescent="0.25">
      <c r="A2172" t="str">
        <f>"31/05/2018"</f>
        <v>31/05/2018</v>
      </c>
      <c r="B2172" t="str">
        <f>"108.90"</f>
        <v>108.90</v>
      </c>
      <c r="C2172" t="str">
        <f>"108.6669"</f>
        <v>108.6669</v>
      </c>
    </row>
    <row r="2173" spans="1:3" x14ac:dyDescent="0.25">
      <c r="A2173" t="str">
        <f>"01/06/2018"</f>
        <v>01/06/2018</v>
      </c>
      <c r="B2173" t="str">
        <f>"109.26"</f>
        <v>109.26</v>
      </c>
      <c r="C2173" t="str">
        <f>"109.0272"</f>
        <v>109.0272</v>
      </c>
    </row>
    <row r="2174" spans="1:3" x14ac:dyDescent="0.25">
      <c r="A2174" t="str">
        <f>"04/06/2018"</f>
        <v>04/06/2018</v>
      </c>
      <c r="B2174" t="str">
        <f>"109.52"</f>
        <v>109.52</v>
      </c>
      <c r="C2174" t="str">
        <f>"109.2876"</f>
        <v>109.2876</v>
      </c>
    </row>
    <row r="2175" spans="1:3" x14ac:dyDescent="0.25">
      <c r="A2175" t="str">
        <f>"05/06/2018"</f>
        <v>05/06/2018</v>
      </c>
      <c r="B2175" t="str">
        <f>"109.79"</f>
        <v>109.79</v>
      </c>
      <c r="C2175" t="str">
        <f>"109.546"</f>
        <v>109.546</v>
      </c>
    </row>
    <row r="2176" spans="1:3" x14ac:dyDescent="0.25">
      <c r="A2176" t="str">
        <f>"06/06/2018"</f>
        <v>06/06/2018</v>
      </c>
      <c r="B2176" t="str">
        <f>"110.19"</f>
        <v>110.19</v>
      </c>
      <c r="C2176" t="str">
        <f>"109.949"</f>
        <v>109.949</v>
      </c>
    </row>
    <row r="2177" spans="1:3" x14ac:dyDescent="0.25">
      <c r="A2177" t="str">
        <f>"07/06/2018"</f>
        <v>07/06/2018</v>
      </c>
      <c r="B2177" t="str">
        <f>"110.04"</f>
        <v>110.04</v>
      </c>
      <c r="C2177" t="str">
        <f>"109.7961"</f>
        <v>109.7961</v>
      </c>
    </row>
    <row r="2178" spans="1:3" x14ac:dyDescent="0.25">
      <c r="A2178" t="str">
        <f>"08/06/2018"</f>
        <v>08/06/2018</v>
      </c>
      <c r="B2178" t="str">
        <f>"109.36"</f>
        <v>109.36</v>
      </c>
      <c r="C2178" t="str">
        <f>"109.1143"</f>
        <v>109.1143</v>
      </c>
    </row>
    <row r="2179" spans="1:3" x14ac:dyDescent="0.25">
      <c r="A2179" t="str">
        <f>"11/06/2018"</f>
        <v>11/06/2018</v>
      </c>
      <c r="B2179" t="str">
        <f>"109.93"</f>
        <v>109.93</v>
      </c>
      <c r="C2179" t="str">
        <f>"109.6809"</f>
        <v>109.6809</v>
      </c>
    </row>
    <row r="2180" spans="1:3" x14ac:dyDescent="0.25">
      <c r="A2180" t="str">
        <f>"12/06/2018"</f>
        <v>12/06/2018</v>
      </c>
      <c r="B2180" t="str">
        <f>"110.27"</f>
        <v>110.27</v>
      </c>
      <c r="C2180" t="str">
        <f>"110.0054"</f>
        <v>110.0054</v>
      </c>
    </row>
    <row r="2181" spans="1:3" x14ac:dyDescent="0.25">
      <c r="A2181" t="str">
        <f>"13/06/2018"</f>
        <v>13/06/2018</v>
      </c>
      <c r="B2181" t="str">
        <f>"110.56"</f>
        <v>110.56</v>
      </c>
      <c r="C2181" t="str">
        <f>"110.3045"</f>
        <v>110.3045</v>
      </c>
    </row>
    <row r="2182" spans="1:3" x14ac:dyDescent="0.25">
      <c r="A2182" t="str">
        <f>"14/06/2018"</f>
        <v>14/06/2018</v>
      </c>
      <c r="B2182" t="str">
        <f>"110.04"</f>
        <v>110.04</v>
      </c>
      <c r="C2182" t="str">
        <f>"109.8036"</f>
        <v>109.8036</v>
      </c>
    </row>
    <row r="2183" spans="1:3" x14ac:dyDescent="0.25">
      <c r="A2183" t="str">
        <f>"15/06/2018"</f>
        <v>15/06/2018</v>
      </c>
      <c r="B2183" t="str">
        <f>"110.70"</f>
        <v>110.70</v>
      </c>
      <c r="C2183" t="str">
        <f>"110.462"</f>
        <v>110.462</v>
      </c>
    </row>
    <row r="2184" spans="1:3" x14ac:dyDescent="0.25">
      <c r="A2184" t="str">
        <f>"18/06/2018"</f>
        <v>18/06/2018</v>
      </c>
      <c r="B2184" t="str">
        <f>"110.48"</f>
        <v>110.48</v>
      </c>
      <c r="C2184" t="str">
        <f>"110.2387"</f>
        <v>110.2387</v>
      </c>
    </row>
    <row r="2185" spans="1:3" x14ac:dyDescent="0.25">
      <c r="A2185" t="str">
        <f>"19/06/2018"</f>
        <v>19/06/2018</v>
      </c>
      <c r="B2185" t="str">
        <f>"109.82"</f>
        <v>109.82</v>
      </c>
      <c r="C2185" t="str">
        <f>"109.5622"</f>
        <v>109.5622</v>
      </c>
    </row>
    <row r="2186" spans="1:3" x14ac:dyDescent="0.25">
      <c r="A2186" t="str">
        <f>"20/06/2018"</f>
        <v>20/06/2018</v>
      </c>
      <c r="B2186" t="str">
        <f>"110.07"</f>
        <v>110.07</v>
      </c>
      <c r="C2186" t="str">
        <f>"109.8259"</f>
        <v>109.8259</v>
      </c>
    </row>
    <row r="2187" spans="1:3" x14ac:dyDescent="0.25">
      <c r="A2187" t="str">
        <f>"21/06/2018"</f>
        <v>21/06/2018</v>
      </c>
      <c r="B2187" t="str">
        <f>"110.55"</f>
        <v>110.55</v>
      </c>
      <c r="C2187" t="str">
        <f>"110.3172"</f>
        <v>110.3172</v>
      </c>
    </row>
    <row r="2188" spans="1:3" x14ac:dyDescent="0.25">
      <c r="A2188" t="str">
        <f>"22/06/2018"</f>
        <v>22/06/2018</v>
      </c>
      <c r="B2188" t="str">
        <f>"110.16"</f>
        <v>110.16</v>
      </c>
      <c r="C2188" t="str">
        <f>"109.9184"</f>
        <v>109.9184</v>
      </c>
    </row>
    <row r="2189" spans="1:3" x14ac:dyDescent="0.25">
      <c r="A2189" t="str">
        <f>"25/06/2018"</f>
        <v>25/06/2018</v>
      </c>
      <c r="B2189" t="str">
        <f>"109.60"</f>
        <v>109.60</v>
      </c>
      <c r="C2189" t="str">
        <f>"109.3622"</f>
        <v>109.3622</v>
      </c>
    </row>
    <row r="2190" spans="1:3" x14ac:dyDescent="0.25">
      <c r="A2190" t="str">
        <f>"26/06/2018"</f>
        <v>26/06/2018</v>
      </c>
      <c r="B2190" t="str">
        <f>"109.64"</f>
        <v>109.64</v>
      </c>
      <c r="C2190" t="str">
        <f>"109.396"</f>
        <v>109.396</v>
      </c>
    </row>
    <row r="2191" spans="1:3" x14ac:dyDescent="0.25">
      <c r="A2191" t="str">
        <f>"27/06/2018"</f>
        <v>27/06/2018</v>
      </c>
      <c r="B2191" t="str">
        <f>"109.95"</f>
        <v>109.95</v>
      </c>
      <c r="C2191" t="str">
        <f>"109.7031"</f>
        <v>109.7031</v>
      </c>
    </row>
    <row r="2192" spans="1:3" x14ac:dyDescent="0.25">
      <c r="A2192" t="str">
        <f>"28/06/2018"</f>
        <v>28/06/2018</v>
      </c>
      <c r="B2192" t="str">
        <f>"110.23"</f>
        <v>110.23</v>
      </c>
      <c r="C2192" t="str">
        <f>"110.0013"</f>
        <v>110.0013</v>
      </c>
    </row>
    <row r="2193" spans="1:3" x14ac:dyDescent="0.25">
      <c r="A2193" t="str">
        <f>"29/06/2018"</f>
        <v>29/06/2018</v>
      </c>
      <c r="B2193" t="str">
        <f>"110.64"</f>
        <v>110.64</v>
      </c>
      <c r="C2193" t="str">
        <f>"110.4131"</f>
        <v>110.4131</v>
      </c>
    </row>
    <row r="2194" spans="1:3" x14ac:dyDescent="0.25">
      <c r="A2194" t="str">
        <f>"02/07/2018"</f>
        <v>02/07/2018</v>
      </c>
      <c r="B2194" t="str">
        <f>"110.78"</f>
        <v>110.78</v>
      </c>
      <c r="C2194" t="str">
        <f>"110.548"</f>
        <v>110.548</v>
      </c>
    </row>
    <row r="2195" spans="1:3" x14ac:dyDescent="0.25">
      <c r="A2195" t="str">
        <f>"03/07/2018"</f>
        <v>03/07/2018</v>
      </c>
      <c r="B2195" t="str">
        <f>"110.86"</f>
        <v>110.86</v>
      </c>
      <c r="C2195" t="str">
        <f>"110.6295"</f>
        <v>110.6295</v>
      </c>
    </row>
    <row r="2196" spans="1:3" x14ac:dyDescent="0.25">
      <c r="A2196" t="str">
        <f>"04/07/2018"</f>
        <v>04/07/2018</v>
      </c>
      <c r="B2196" t="str">
        <f>"110.51"</f>
        <v>110.51</v>
      </c>
      <c r="C2196" t="str">
        <f>"110.2899"</f>
        <v>110.2899</v>
      </c>
    </row>
    <row r="2197" spans="1:3" x14ac:dyDescent="0.25">
      <c r="A2197" t="str">
        <f>"05/07/2018"</f>
        <v>05/07/2018</v>
      </c>
      <c r="B2197" t="str">
        <f>"110.63"</f>
        <v>110.63</v>
      </c>
      <c r="C2197" t="str">
        <f>"110.4098"</f>
        <v>110.4098</v>
      </c>
    </row>
    <row r="2198" spans="1:3" x14ac:dyDescent="0.25">
      <c r="A2198" t="str">
        <f>"06/07/2018"</f>
        <v>06/07/2018</v>
      </c>
      <c r="B2198" t="str">
        <f>"110.61"</f>
        <v>110.61</v>
      </c>
      <c r="C2198" t="str">
        <f>"110.3859"</f>
        <v>110.3859</v>
      </c>
    </row>
    <row r="2199" spans="1:3" x14ac:dyDescent="0.25">
      <c r="A2199" t="str">
        <f>"09/07/2018"</f>
        <v>09/07/2018</v>
      </c>
      <c r="B2199" t="str">
        <f>"110.43"</f>
        <v>110.43</v>
      </c>
      <c r="C2199" t="str">
        <f>"110.193"</f>
        <v>110.193</v>
      </c>
    </row>
    <row r="2200" spans="1:3" x14ac:dyDescent="0.25">
      <c r="A2200" t="str">
        <f>"10/07/2018"</f>
        <v>10/07/2018</v>
      </c>
      <c r="B2200" t="str">
        <f>"111.30"</f>
        <v>111.30</v>
      </c>
      <c r="C2200" t="str">
        <f>"111.0703"</f>
        <v>111.0703</v>
      </c>
    </row>
    <row r="2201" spans="1:3" x14ac:dyDescent="0.25">
      <c r="A2201" t="str">
        <f>"11/07/2018"</f>
        <v>11/07/2018</v>
      </c>
      <c r="B2201" t="str">
        <f>"111.21"</f>
        <v>111.21</v>
      </c>
      <c r="C2201" t="str">
        <f>"110.9922"</f>
        <v>110.9922</v>
      </c>
    </row>
    <row r="2202" spans="1:3" x14ac:dyDescent="0.25">
      <c r="A2202" t="str">
        <f>"12/07/2018"</f>
        <v>12/07/2018</v>
      </c>
      <c r="B2202" t="str">
        <f>"112.57"</f>
        <v>112.57</v>
      </c>
      <c r="C2202" t="str">
        <f>"112.35"</f>
        <v>112.35</v>
      </c>
    </row>
    <row r="2203" spans="1:3" x14ac:dyDescent="0.25">
      <c r="A2203" t="str">
        <f>"13/07/2018"</f>
        <v>13/07/2018</v>
      </c>
      <c r="B2203" t="str">
        <f>"112.64"</f>
        <v>112.64</v>
      </c>
      <c r="C2203" t="str">
        <f>"112.4013"</f>
        <v>112.4013</v>
      </c>
    </row>
    <row r="2204" spans="1:3" x14ac:dyDescent="0.25">
      <c r="A2204" t="str">
        <f>"16/07/2018"</f>
        <v>16/07/2018</v>
      </c>
      <c r="B2204" t="str">
        <f>"112.35"</f>
        <v>112.35</v>
      </c>
      <c r="C2204" t="str">
        <f>"112.1154"</f>
        <v>112.1154</v>
      </c>
    </row>
    <row r="2205" spans="1:3" x14ac:dyDescent="0.25">
      <c r="A2205" t="str">
        <f>"17/07/2018"</f>
        <v>17/07/2018</v>
      </c>
      <c r="B2205" t="str">
        <f>"112.51"</f>
        <v>112.51</v>
      </c>
      <c r="C2205" t="str">
        <f>"112.2818"</f>
        <v>112.2818</v>
      </c>
    </row>
    <row r="2206" spans="1:3" x14ac:dyDescent="0.25">
      <c r="A2206" t="str">
        <f>"18/07/2018"</f>
        <v>18/07/2018</v>
      </c>
      <c r="B2206" t="str">
        <f>"112.99"</f>
        <v>112.99</v>
      </c>
      <c r="C2206" t="str">
        <f>"112.766"</f>
        <v>112.766</v>
      </c>
    </row>
    <row r="2207" spans="1:3" x14ac:dyDescent="0.25">
      <c r="A2207" t="str">
        <f>"19/07/2018"</f>
        <v>19/07/2018</v>
      </c>
      <c r="B2207" t="str">
        <f>"112.99"</f>
        <v>112.99</v>
      </c>
      <c r="C2207" t="str">
        <f>"112.7684"</f>
        <v>112.7684</v>
      </c>
    </row>
    <row r="2208" spans="1:3" x14ac:dyDescent="0.25">
      <c r="A2208" t="str">
        <f>"20/07/2018"</f>
        <v>20/07/2018</v>
      </c>
      <c r="B2208" t="str">
        <f>"112.37"</f>
        <v>112.37</v>
      </c>
      <c r="C2208" t="str">
        <f>"112.1501"</f>
        <v>112.1501</v>
      </c>
    </row>
    <row r="2209" spans="1:3" x14ac:dyDescent="0.25">
      <c r="A2209" t="str">
        <f>"23/07/2018"</f>
        <v>23/07/2018</v>
      </c>
      <c r="B2209" t="str">
        <f>"111.08"</f>
        <v>111.08</v>
      </c>
      <c r="C2209" t="str">
        <f>"110.8476"</f>
        <v>110.8476</v>
      </c>
    </row>
    <row r="2210" spans="1:3" x14ac:dyDescent="0.25">
      <c r="A2210" t="str">
        <f>"24/07/2018"</f>
        <v>24/07/2018</v>
      </c>
      <c r="B2210" t="str">
        <f>"111.09"</f>
        <v>111.09</v>
      </c>
      <c r="C2210" t="str">
        <f>"110.8647"</f>
        <v>110.8647</v>
      </c>
    </row>
    <row r="2211" spans="1:3" x14ac:dyDescent="0.25">
      <c r="A2211" t="str">
        <f>"25/07/2018"</f>
        <v>25/07/2018</v>
      </c>
      <c r="B2211" t="str">
        <f>"111.08"</f>
        <v>111.08</v>
      </c>
      <c r="C2211" t="str">
        <f>"110.8631"</f>
        <v>110.8631</v>
      </c>
    </row>
    <row r="2212" spans="1:3" x14ac:dyDescent="0.25">
      <c r="A2212" t="str">
        <f>"26/07/2018"</f>
        <v>26/07/2018</v>
      </c>
      <c r="B2212" t="str">
        <f>"110.85"</f>
        <v>110.85</v>
      </c>
      <c r="C2212" t="str">
        <f>"110.632"</f>
        <v>110.632</v>
      </c>
    </row>
    <row r="2213" spans="1:3" x14ac:dyDescent="0.25">
      <c r="A2213" t="str">
        <f>"27/07/2018"</f>
        <v>27/07/2018</v>
      </c>
      <c r="B2213" t="str">
        <f>"111.18"</f>
        <v>111.18</v>
      </c>
      <c r="C2213" t="str">
        <f>"110.9623"</f>
        <v>110.9623</v>
      </c>
    </row>
    <row r="2214" spans="1:3" x14ac:dyDescent="0.25">
      <c r="A2214" t="str">
        <f>"30/07/2018"</f>
        <v>30/07/2018</v>
      </c>
      <c r="B2214" t="str">
        <f>"111.07"</f>
        <v>111.07</v>
      </c>
      <c r="C2214" t="str">
        <f>"110.8276"</f>
        <v>110.8276</v>
      </c>
    </row>
    <row r="2215" spans="1:3" x14ac:dyDescent="0.25">
      <c r="A2215" t="str">
        <f>"31/07/2018"</f>
        <v>31/07/2018</v>
      </c>
      <c r="B2215" t="str">
        <f>"111.45"</f>
        <v>111.45</v>
      </c>
      <c r="C2215" t="str">
        <f>"111.2125"</f>
        <v>111.2125</v>
      </c>
    </row>
    <row r="2216" spans="1:3" x14ac:dyDescent="0.25">
      <c r="A2216" t="str">
        <f>"01/08/2018"</f>
        <v>01/08/2018</v>
      </c>
      <c r="B2216" t="str">
        <f>"111.85"</f>
        <v>111.85</v>
      </c>
      <c r="C2216" t="str">
        <f>"111.621"</f>
        <v>111.621</v>
      </c>
    </row>
    <row r="2217" spans="1:3" x14ac:dyDescent="0.25">
      <c r="A2217" t="str">
        <f>"02/08/2018"</f>
        <v>02/08/2018</v>
      </c>
      <c r="B2217" t="str">
        <f>"111.51"</f>
        <v>111.51</v>
      </c>
      <c r="C2217" t="str">
        <f>"111.2907"</f>
        <v>111.2907</v>
      </c>
    </row>
    <row r="2218" spans="1:3" x14ac:dyDescent="0.25">
      <c r="A2218" t="str">
        <f>"03/08/2018"</f>
        <v>03/08/2018</v>
      </c>
      <c r="B2218" t="str">
        <f>"111.59"</f>
        <v>111.59</v>
      </c>
      <c r="C2218" t="str">
        <f>"111.37"</f>
        <v>111.37</v>
      </c>
    </row>
    <row r="2219" spans="1:3" x14ac:dyDescent="0.25">
      <c r="A2219" t="str">
        <f>"06/08/2018"</f>
        <v>06/08/2018</v>
      </c>
      <c r="B2219" t="str">
        <f>"111.48"</f>
        <v>111.48</v>
      </c>
      <c r="C2219" t="str">
        <f>"111.245"</f>
        <v>111.245</v>
      </c>
    </row>
    <row r="2220" spans="1:3" x14ac:dyDescent="0.25">
      <c r="A2220" t="str">
        <f>"07/08/2018"</f>
        <v>07/08/2018</v>
      </c>
      <c r="B2220" t="str">
        <f>"111.16"</f>
        <v>111.16</v>
      </c>
      <c r="C2220" t="str">
        <f>"110.9322"</f>
        <v>110.9322</v>
      </c>
    </row>
    <row r="2221" spans="1:3" x14ac:dyDescent="0.25">
      <c r="A2221" t="str">
        <f>"08/08/2018"</f>
        <v>08/08/2018</v>
      </c>
      <c r="B2221" t="str">
        <f>"111.07"</f>
        <v>111.07</v>
      </c>
      <c r="C2221" t="str">
        <f>"110.8504"</f>
        <v>110.8504</v>
      </c>
    </row>
    <row r="2222" spans="1:3" x14ac:dyDescent="0.25">
      <c r="A2222" t="str">
        <f>"09/08/2018"</f>
        <v>09/08/2018</v>
      </c>
      <c r="B2222" t="str">
        <f>"111.12"</f>
        <v>111.12</v>
      </c>
      <c r="C2222" t="str">
        <f>"110.9019"</f>
        <v>110.9019</v>
      </c>
    </row>
    <row r="2223" spans="1:3" x14ac:dyDescent="0.25">
      <c r="A2223" t="str">
        <f>"10/08/2018"</f>
        <v>10/08/2018</v>
      </c>
      <c r="B2223" t="str">
        <f>"110.98"</f>
        <v>110.98</v>
      </c>
      <c r="C2223" t="str">
        <f>"110.7612"</f>
        <v>110.7612</v>
      </c>
    </row>
    <row r="2224" spans="1:3" x14ac:dyDescent="0.25">
      <c r="A2224" t="str">
        <f>"13/08/2018"</f>
        <v>13/08/2018</v>
      </c>
      <c r="B2224" t="str">
        <f>"110.36"</f>
        <v>110.36</v>
      </c>
      <c r="C2224" t="str">
        <f>"110.1163"</f>
        <v>110.1163</v>
      </c>
    </row>
    <row r="2225" spans="1:3" x14ac:dyDescent="0.25">
      <c r="A2225" t="str">
        <f>"14/08/2018"</f>
        <v>14/08/2018</v>
      </c>
      <c r="B2225" t="str">
        <f>"110.88"</f>
        <v>110.88</v>
      </c>
      <c r="C2225" t="str">
        <f>"110.6484"</f>
        <v>110.6484</v>
      </c>
    </row>
    <row r="2226" spans="1:3" x14ac:dyDescent="0.25">
      <c r="A2226" t="str">
        <f>"16/08/2018"</f>
        <v>16/08/2018</v>
      </c>
      <c r="B2226" t="str">
        <f>"110.87"</f>
        <v>110.87</v>
      </c>
      <c r="C2226" t="str">
        <f>"110.6518"</f>
        <v>110.6518</v>
      </c>
    </row>
    <row r="2227" spans="1:3" x14ac:dyDescent="0.25">
      <c r="A2227" t="str">
        <f>"20/08/2018"</f>
        <v>20/08/2018</v>
      </c>
      <c r="B2227" t="str">
        <f>"110.58"</f>
        <v>110.58</v>
      </c>
      <c r="C2227" t="str">
        <f>"110.3361"</f>
        <v>110.3361</v>
      </c>
    </row>
    <row r="2228" spans="1:3" x14ac:dyDescent="0.25">
      <c r="A2228" t="str">
        <f>"21/08/2018"</f>
        <v>21/08/2018</v>
      </c>
      <c r="B2228" t="str">
        <f>"110.22"</f>
        <v>110.22</v>
      </c>
      <c r="C2228" t="str">
        <f>"109.9885"</f>
        <v>109.9885</v>
      </c>
    </row>
    <row r="2229" spans="1:3" x14ac:dyDescent="0.25">
      <c r="A2229" t="str">
        <f>"23/08/2018"</f>
        <v>23/08/2018</v>
      </c>
      <c r="B2229" t="str">
        <f>"110.77"</f>
        <v>110.77</v>
      </c>
      <c r="C2229" t="str">
        <f>"110.5554"</f>
        <v>110.5554</v>
      </c>
    </row>
    <row r="2230" spans="1:3" x14ac:dyDescent="0.25">
      <c r="A2230" t="str">
        <f>"24/08/2018"</f>
        <v>24/08/2018</v>
      </c>
      <c r="B2230" t="str">
        <f>"111.36"</f>
        <v>111.36</v>
      </c>
      <c r="C2230" t="str">
        <f>"111.1441"</f>
        <v>111.1441</v>
      </c>
    </row>
    <row r="2231" spans="1:3" x14ac:dyDescent="0.25">
      <c r="A2231" t="str">
        <f>"27/08/2018"</f>
        <v>27/08/2018</v>
      </c>
      <c r="B2231" t="str">
        <f>"111.09"</f>
        <v>111.09</v>
      </c>
      <c r="C2231" t="str">
        <f>"110.8814"</f>
        <v>110.8814</v>
      </c>
    </row>
    <row r="2232" spans="1:3" x14ac:dyDescent="0.25">
      <c r="A2232" t="str">
        <f>"28/08/2018"</f>
        <v>28/08/2018</v>
      </c>
      <c r="B2232" t="str">
        <f>"111.11"</f>
        <v>111.11</v>
      </c>
      <c r="C2232" t="str">
        <f>"110.9084"</f>
        <v>110.9084</v>
      </c>
    </row>
    <row r="2233" spans="1:3" x14ac:dyDescent="0.25">
      <c r="A2233" t="str">
        <f>"29/08/2018"</f>
        <v>29/08/2018</v>
      </c>
      <c r="B2233" t="str">
        <f>"111.23"</f>
        <v>111.23</v>
      </c>
      <c r="C2233" t="str">
        <f>"111.036"</f>
        <v>111.036</v>
      </c>
    </row>
    <row r="2234" spans="1:3" x14ac:dyDescent="0.25">
      <c r="A2234" t="str">
        <f>"30/08/2018"</f>
        <v>30/08/2018</v>
      </c>
      <c r="B2234" t="str">
        <f>"111.51"</f>
        <v>111.51</v>
      </c>
      <c r="C2234" t="str">
        <f>"111.2776"</f>
        <v>111.2776</v>
      </c>
    </row>
    <row r="2235" spans="1:3" x14ac:dyDescent="0.25">
      <c r="A2235" t="str">
        <f>"31/08/2018"</f>
        <v>31/08/2018</v>
      </c>
      <c r="B2235" t="str">
        <f>"110.82"</f>
        <v>110.82</v>
      </c>
      <c r="C2235" t="str">
        <f>"110.5882"</f>
        <v>110.5882</v>
      </c>
    </row>
    <row r="2236" spans="1:3" x14ac:dyDescent="0.25">
      <c r="A2236" t="str">
        <f>"03/09/2018"</f>
        <v>03/09/2018</v>
      </c>
      <c r="B2236" t="str">
        <f>"111.12"</f>
        <v>111.12</v>
      </c>
      <c r="C2236" t="str">
        <f>"110.8857"</f>
        <v>110.8857</v>
      </c>
    </row>
    <row r="2237" spans="1:3" x14ac:dyDescent="0.25">
      <c r="A2237" t="str">
        <f>"04/09/2018"</f>
        <v>04/09/2018</v>
      </c>
      <c r="B2237" t="str">
        <f>"111.27"</f>
        <v>111.27</v>
      </c>
      <c r="C2237" t="str">
        <f>"111.0102"</f>
        <v>111.0102</v>
      </c>
    </row>
    <row r="2238" spans="1:3" x14ac:dyDescent="0.25">
      <c r="A2238" t="str">
        <f>"05/09/2018"</f>
        <v>05/09/2018</v>
      </c>
      <c r="B2238" t="str">
        <f>"111.61"</f>
        <v>111.61</v>
      </c>
      <c r="C2238" t="str">
        <f>"111.3534"</f>
        <v>111.3534</v>
      </c>
    </row>
    <row r="2239" spans="1:3" x14ac:dyDescent="0.25">
      <c r="A2239" t="str">
        <f>"06/09/2018"</f>
        <v>06/09/2018</v>
      </c>
      <c r="B2239" t="str">
        <f>"111.30"</f>
        <v>111.30</v>
      </c>
      <c r="C2239" t="str">
        <f>"111.0584"</f>
        <v>111.0584</v>
      </c>
    </row>
    <row r="2240" spans="1:3" x14ac:dyDescent="0.25">
      <c r="A2240" t="str">
        <f>"07/09/2018"</f>
        <v>07/09/2018</v>
      </c>
      <c r="B2240" t="str">
        <f>"110.86"</f>
        <v>110.86</v>
      </c>
      <c r="C2240" t="str">
        <f>"110.6181"</f>
        <v>110.6181</v>
      </c>
    </row>
    <row r="2241" spans="1:3" x14ac:dyDescent="0.25">
      <c r="A2241" t="str">
        <f>"10/09/2018"</f>
        <v>10/09/2018</v>
      </c>
      <c r="B2241" t="str">
        <f>"111.11"</f>
        <v>111.11</v>
      </c>
      <c r="C2241" t="str">
        <f>"110.8695"</f>
        <v>110.8695</v>
      </c>
    </row>
    <row r="2242" spans="1:3" x14ac:dyDescent="0.25">
      <c r="A2242" t="str">
        <f>"11/09/2018"</f>
        <v>11/09/2018</v>
      </c>
      <c r="B2242" t="str">
        <f>"111.40"</f>
        <v>111.40</v>
      </c>
      <c r="C2242" t="str">
        <f>"111.1439"</f>
        <v>111.1439</v>
      </c>
    </row>
    <row r="2243" spans="1:3" x14ac:dyDescent="0.25">
      <c r="A2243" t="str">
        <f>"12/09/2018"</f>
        <v>12/09/2018</v>
      </c>
      <c r="B2243" t="str">
        <f>"111.48"</f>
        <v>111.48</v>
      </c>
      <c r="C2243" t="str">
        <f>"111.2284"</f>
        <v>111.2284</v>
      </c>
    </row>
    <row r="2244" spans="1:3" x14ac:dyDescent="0.25">
      <c r="A2244" t="str">
        <f>"14/09/2018"</f>
        <v>14/09/2018</v>
      </c>
      <c r="B2244" t="str">
        <f>"111.88"</f>
        <v>111.88</v>
      </c>
      <c r="C2244" t="str">
        <f>"111.6315"</f>
        <v>111.6315</v>
      </c>
    </row>
    <row r="2245" spans="1:3" x14ac:dyDescent="0.25">
      <c r="A2245" t="str">
        <f>"17/09/2018"</f>
        <v>17/09/2018</v>
      </c>
      <c r="B2245" t="str">
        <f>"112.05"</f>
        <v>112.05</v>
      </c>
      <c r="C2245" t="str">
        <f>"111.8045"</f>
        <v>111.8045</v>
      </c>
    </row>
    <row r="2246" spans="1:3" x14ac:dyDescent="0.25">
      <c r="A2246" t="str">
        <f>"18/09/2018"</f>
        <v>18/09/2018</v>
      </c>
      <c r="B2246" t="str">
        <f>"112.07"</f>
        <v>112.07</v>
      </c>
      <c r="C2246" t="str">
        <f>"111.808"</f>
        <v>111.808</v>
      </c>
    </row>
    <row r="2247" spans="1:3" x14ac:dyDescent="0.25">
      <c r="A2247" t="str">
        <f>"19/09/2018"</f>
        <v>19/09/2018</v>
      </c>
      <c r="B2247" t="str">
        <f>"112.34"</f>
        <v>112.34</v>
      </c>
      <c r="C2247" t="str">
        <f>"112.0834"</f>
        <v>112.0834</v>
      </c>
    </row>
    <row r="2248" spans="1:3" x14ac:dyDescent="0.25">
      <c r="A2248" t="str">
        <f>"21/09/2018"</f>
        <v>21/09/2018</v>
      </c>
      <c r="B2248" t="str">
        <f>"112.70"</f>
        <v>112.70</v>
      </c>
      <c r="C2248" t="str">
        <f>"112.4515"</f>
        <v>112.4515</v>
      </c>
    </row>
    <row r="2249" spans="1:3" x14ac:dyDescent="0.25">
      <c r="A2249" t="str">
        <f>"24/09/2018"</f>
        <v>24/09/2018</v>
      </c>
      <c r="B2249" t="str">
        <f>"112.61"</f>
        <v>112.61</v>
      </c>
      <c r="C2249" t="str">
        <f>"112.361"</f>
        <v>112.361</v>
      </c>
    </row>
    <row r="2250" spans="1:3" x14ac:dyDescent="0.25">
      <c r="A2250" t="str">
        <f>"25/09/2018"</f>
        <v>25/09/2018</v>
      </c>
      <c r="B2250" t="str">
        <f>"112.79"</f>
        <v>112.79</v>
      </c>
      <c r="C2250" t="str">
        <f>"112.5207"</f>
        <v>112.5207</v>
      </c>
    </row>
    <row r="2251" spans="1:3" x14ac:dyDescent="0.25">
      <c r="A2251" t="str">
        <f>"26/09/2018"</f>
        <v>26/09/2018</v>
      </c>
      <c r="B2251" t="str">
        <f>"112.95"</f>
        <v>112.95</v>
      </c>
      <c r="C2251" t="str">
        <f>"112.671"</f>
        <v>112.671</v>
      </c>
    </row>
    <row r="2252" spans="1:3" x14ac:dyDescent="0.25">
      <c r="A2252" t="str">
        <f>"27/09/2018"</f>
        <v>27/09/2018</v>
      </c>
      <c r="B2252" t="str">
        <f>"112.81"</f>
        <v>112.81</v>
      </c>
      <c r="C2252" t="str">
        <f>"112.558"</f>
        <v>112.558</v>
      </c>
    </row>
    <row r="2253" spans="1:3" x14ac:dyDescent="0.25">
      <c r="A2253" t="str">
        <f>"28/09/2018"</f>
        <v>28/09/2018</v>
      </c>
      <c r="B2253" t="str">
        <f>"113.43"</f>
        <v>113.43</v>
      </c>
      <c r="C2253" t="str">
        <f>"113.1767"</f>
        <v>113.1767</v>
      </c>
    </row>
    <row r="2254" spans="1:3" x14ac:dyDescent="0.25">
      <c r="A2254" t="str">
        <f>"01/10/2018"</f>
        <v>01/10/2018</v>
      </c>
      <c r="B2254" t="str">
        <f>"113.99"</f>
        <v>113.99</v>
      </c>
      <c r="C2254" t="str">
        <f>"113.7245"</f>
        <v>113.7245</v>
      </c>
    </row>
    <row r="2255" spans="1:3" x14ac:dyDescent="0.25">
      <c r="A2255" t="str">
        <f>"03/10/2018"</f>
        <v>03/10/2018</v>
      </c>
      <c r="B2255" t="str">
        <f>"113.84"</f>
        <v>113.84</v>
      </c>
      <c r="C2255" t="str">
        <f>"113.5949"</f>
        <v>113.5949</v>
      </c>
    </row>
    <row r="2256" spans="1:3" x14ac:dyDescent="0.25">
      <c r="A2256" t="str">
        <f>"04/10/2018"</f>
        <v>04/10/2018</v>
      </c>
      <c r="B2256" t="str">
        <f>"114.29"</f>
        <v>114.29</v>
      </c>
      <c r="C2256" t="str">
        <f>"114.0426"</f>
        <v>114.0426</v>
      </c>
    </row>
    <row r="2257" spans="1:3" x14ac:dyDescent="0.25">
      <c r="A2257" t="str">
        <f>"05/10/2018"</f>
        <v>05/10/2018</v>
      </c>
      <c r="B2257" t="str">
        <f>"113.89"</f>
        <v>113.89</v>
      </c>
      <c r="C2257" t="str">
        <f>"113.6171"</f>
        <v>113.6171</v>
      </c>
    </row>
    <row r="2258" spans="1:3" x14ac:dyDescent="0.25">
      <c r="A2258" t="str">
        <f>"08/10/2018"</f>
        <v>08/10/2018</v>
      </c>
      <c r="B2258" t="str">
        <f>"113.35"</f>
        <v>113.35</v>
      </c>
      <c r="C2258" t="str">
        <f>"113.0768"</f>
        <v>113.0768</v>
      </c>
    </row>
    <row r="2259" spans="1:3" x14ac:dyDescent="0.25">
      <c r="A2259" t="str">
        <f>"09/10/2018"</f>
        <v>09/10/2018</v>
      </c>
      <c r="B2259" t="str">
        <f>"113.22"</f>
        <v>113.22</v>
      </c>
      <c r="C2259" t="str">
        <f>"112.9543"</f>
        <v>112.9543</v>
      </c>
    </row>
    <row r="2260" spans="1:3" x14ac:dyDescent="0.25">
      <c r="A2260" t="str">
        <f>"10/10/2018"</f>
        <v>10/10/2018</v>
      </c>
      <c r="B2260" t="str">
        <f>"113.24"</f>
        <v>113.24</v>
      </c>
      <c r="C2260" t="str">
        <f>"112.9811"</f>
        <v>112.9811</v>
      </c>
    </row>
    <row r="2261" spans="1:3" x14ac:dyDescent="0.25">
      <c r="A2261" t="str">
        <f>"11/10/2018"</f>
        <v>11/10/2018</v>
      </c>
      <c r="B2261" t="str">
        <f>"112.24"</f>
        <v>112.24</v>
      </c>
      <c r="C2261" t="str">
        <f>"111.9909"</f>
        <v>111.9909</v>
      </c>
    </row>
    <row r="2262" spans="1:3" x14ac:dyDescent="0.25">
      <c r="A2262" t="str">
        <f>"12/10/2018"</f>
        <v>12/10/2018</v>
      </c>
      <c r="B2262" t="str">
        <f>"112.29"</f>
        <v>112.29</v>
      </c>
      <c r="C2262" t="str">
        <f>"112.0368"</f>
        <v>112.0368</v>
      </c>
    </row>
    <row r="2263" spans="1:3" x14ac:dyDescent="0.25">
      <c r="A2263" t="str">
        <f>"15/10/2018"</f>
        <v>15/10/2018</v>
      </c>
      <c r="B2263" t="str">
        <f>"111.83"</f>
        <v>111.83</v>
      </c>
      <c r="C2263" t="str">
        <f>"111.5601"</f>
        <v>111.5601</v>
      </c>
    </row>
    <row r="2264" spans="1:3" x14ac:dyDescent="0.25">
      <c r="A2264" t="str">
        <f>"16/10/2018"</f>
        <v>16/10/2018</v>
      </c>
      <c r="B2264" t="str">
        <f>"112.03"</f>
        <v>112.03</v>
      </c>
      <c r="C2264" t="str">
        <f>"111.7736"</f>
        <v>111.7736</v>
      </c>
    </row>
    <row r="2265" spans="1:3" x14ac:dyDescent="0.25">
      <c r="A2265" t="str">
        <f>"17/10/2018"</f>
        <v>17/10/2018</v>
      </c>
      <c r="B2265" t="str">
        <f>"112.26"</f>
        <v>112.26</v>
      </c>
      <c r="C2265" t="str">
        <f>"112.0133"</f>
        <v>112.0133</v>
      </c>
    </row>
    <row r="2266" spans="1:3" x14ac:dyDescent="0.25">
      <c r="A2266" t="str">
        <f>"19/10/2018"</f>
        <v>19/10/2018</v>
      </c>
      <c r="B2266" t="str">
        <f>"112.52"</f>
        <v>112.52</v>
      </c>
      <c r="C2266" t="str">
        <f>"112.2455"</f>
        <v>112.2455</v>
      </c>
    </row>
    <row r="2267" spans="1:3" x14ac:dyDescent="0.25">
      <c r="A2267" t="str">
        <f>"22/10/2018"</f>
        <v>22/10/2018</v>
      </c>
      <c r="B2267" t="str">
        <f>"112.84"</f>
        <v>112.84</v>
      </c>
      <c r="C2267" t="str">
        <f>"112.5723"</f>
        <v>112.5723</v>
      </c>
    </row>
    <row r="2268" spans="1:3" x14ac:dyDescent="0.25">
      <c r="A2268" t="str">
        <f>"23/10/2018"</f>
        <v>23/10/2018</v>
      </c>
      <c r="B2268" t="str">
        <f>"112.25"</f>
        <v>112.25</v>
      </c>
      <c r="C2268" t="str">
        <f>"111.9933"</f>
        <v>111.9933</v>
      </c>
    </row>
    <row r="2269" spans="1:3" x14ac:dyDescent="0.25">
      <c r="A2269" t="str">
        <f>"24/10/2018"</f>
        <v>24/10/2018</v>
      </c>
      <c r="B2269" t="str">
        <f>"112.68"</f>
        <v>112.68</v>
      </c>
      <c r="C2269" t="str">
        <f>"112.4306"</f>
        <v>112.4306</v>
      </c>
    </row>
    <row r="2270" spans="1:3" x14ac:dyDescent="0.25">
      <c r="A2270" t="str">
        <f>"25/10/2018"</f>
        <v>25/10/2018</v>
      </c>
      <c r="B2270" t="str">
        <f>"112.37"</f>
        <v>112.37</v>
      </c>
      <c r="C2270" t="str">
        <f>"112.121"</f>
        <v>112.121</v>
      </c>
    </row>
    <row r="2271" spans="1:3" x14ac:dyDescent="0.25">
      <c r="A2271" t="str">
        <f>"26/10/2018"</f>
        <v>26/10/2018</v>
      </c>
      <c r="B2271" t="str">
        <f>"112.05"</f>
        <v>112.05</v>
      </c>
      <c r="C2271" t="str">
        <f>"111.8015"</f>
        <v>111.8015</v>
      </c>
    </row>
    <row r="2272" spans="1:3" x14ac:dyDescent="0.25">
      <c r="A2272" t="str">
        <f>"29/10/2018"</f>
        <v>29/10/2018</v>
      </c>
      <c r="B2272" t="str">
        <f>"111.94"</f>
        <v>111.94</v>
      </c>
      <c r="C2272" t="str">
        <f>"111.6998"</f>
        <v>111.6998</v>
      </c>
    </row>
    <row r="2273" spans="1:3" x14ac:dyDescent="0.25">
      <c r="A2273" t="str">
        <f>"30/10/2018"</f>
        <v>30/10/2018</v>
      </c>
      <c r="B2273" t="str">
        <f>"112.73"</f>
        <v>112.73</v>
      </c>
      <c r="C2273" t="str">
        <f>"112.472"</f>
        <v>112.472</v>
      </c>
    </row>
    <row r="2274" spans="1:3" x14ac:dyDescent="0.25">
      <c r="A2274" t="str">
        <f>"31/10/2018"</f>
        <v>31/10/2018</v>
      </c>
      <c r="B2274" t="str">
        <f>"113.08"</f>
        <v>113.08</v>
      </c>
      <c r="C2274" t="str">
        <f>"112.8338"</f>
        <v>112.8338</v>
      </c>
    </row>
    <row r="2275" spans="1:3" x14ac:dyDescent="0.25">
      <c r="A2275" t="str">
        <f>"01/11/2018"</f>
        <v>01/11/2018</v>
      </c>
      <c r="B2275" t="str">
        <f>"112.95"</f>
        <v>112.95</v>
      </c>
      <c r="C2275" t="str">
        <f>"112.713"</f>
        <v>112.713</v>
      </c>
    </row>
    <row r="2276" spans="1:3" x14ac:dyDescent="0.25">
      <c r="A2276" t="str">
        <f>"02/11/2018"</f>
        <v>02/11/2018</v>
      </c>
      <c r="B2276" t="str">
        <f>"112.90"</f>
        <v>112.90</v>
      </c>
      <c r="C2276" t="str">
        <f>"112.6655"</f>
        <v>112.6655</v>
      </c>
    </row>
    <row r="2277" spans="1:3" x14ac:dyDescent="0.25">
      <c r="A2277" t="str">
        <f>"05/11/2018"</f>
        <v>05/11/2018</v>
      </c>
      <c r="B2277" t="str">
        <f>"113.26"</f>
        <v>113.26</v>
      </c>
      <c r="C2277" t="str">
        <f>"113.0249"</f>
        <v>113.0249</v>
      </c>
    </row>
    <row r="2278" spans="1:3" x14ac:dyDescent="0.25">
      <c r="A2278" t="str">
        <f>"06/11/2018"</f>
        <v>06/11/2018</v>
      </c>
      <c r="B2278" t="str">
        <f>"113.14"</f>
        <v>113.14</v>
      </c>
      <c r="C2278" t="str">
        <f>"112.8888"</f>
        <v>112.8888</v>
      </c>
    </row>
    <row r="2279" spans="1:3" x14ac:dyDescent="0.25">
      <c r="A2279" t="str">
        <f>"09/11/2018"</f>
        <v>09/11/2018</v>
      </c>
      <c r="B2279" t="str">
        <f>"113.94"</f>
        <v>113.94</v>
      </c>
      <c r="C2279" t="str">
        <f>"113.6973"</f>
        <v>113.6973</v>
      </c>
    </row>
    <row r="2280" spans="1:3" x14ac:dyDescent="0.25">
      <c r="A2280" t="str">
        <f>"12/11/2018"</f>
        <v>12/11/2018</v>
      </c>
      <c r="B2280" t="str">
        <f>"113.92"</f>
        <v>113.92</v>
      </c>
      <c r="C2280" t="str">
        <f>"113.6795"</f>
        <v>113.6795</v>
      </c>
    </row>
    <row r="2281" spans="1:3" x14ac:dyDescent="0.25">
      <c r="A2281" t="str">
        <f>"13/11/2018"</f>
        <v>13/11/2018</v>
      </c>
      <c r="B2281" t="str">
        <f>"114.06"</f>
        <v>114.06</v>
      </c>
      <c r="C2281" t="str">
        <f>"113.8035"</f>
        <v>113.8035</v>
      </c>
    </row>
    <row r="2282" spans="1:3" x14ac:dyDescent="0.25">
      <c r="A2282" t="str">
        <f>"14/11/2018"</f>
        <v>14/11/2018</v>
      </c>
      <c r="B2282" t="str">
        <f>"113.92"</f>
        <v>113.92</v>
      </c>
      <c r="C2282" t="str">
        <f>"113.6702"</f>
        <v>113.6702</v>
      </c>
    </row>
    <row r="2283" spans="1:3" x14ac:dyDescent="0.25">
      <c r="A2283" t="str">
        <f>"15/11/2018"</f>
        <v>15/11/2018</v>
      </c>
      <c r="B2283" t="str">
        <f>"113.49"</f>
        <v>113.49</v>
      </c>
      <c r="C2283" t="str">
        <f>"113.2472"</f>
        <v>113.2472</v>
      </c>
    </row>
    <row r="2284" spans="1:3" x14ac:dyDescent="0.25">
      <c r="A2284" t="str">
        <f>"16/11/2018"</f>
        <v>16/11/2018</v>
      </c>
      <c r="B2284" t="str">
        <f>"113.30"</f>
        <v>113.30</v>
      </c>
      <c r="C2284" t="str">
        <f>"113.058"</f>
        <v>113.058</v>
      </c>
    </row>
    <row r="2285" spans="1:3" x14ac:dyDescent="0.25">
      <c r="A2285" t="str">
        <f>"19/11/2018"</f>
        <v>19/11/2018</v>
      </c>
      <c r="B2285" t="str">
        <f>"112.77"</f>
        <v>112.77</v>
      </c>
      <c r="C2285" t="str">
        <f>"112.531"</f>
        <v>112.531</v>
      </c>
    </row>
    <row r="2286" spans="1:3" x14ac:dyDescent="0.25">
      <c r="A2286" t="str">
        <f>"20/11/2018"</f>
        <v>20/11/2018</v>
      </c>
      <c r="B2286" t="str">
        <f>"112.45"</f>
        <v>112.45</v>
      </c>
      <c r="C2286" t="str">
        <f>"112.2079"</f>
        <v>112.2079</v>
      </c>
    </row>
    <row r="2287" spans="1:3" x14ac:dyDescent="0.25">
      <c r="A2287" t="str">
        <f>"22/11/2018"</f>
        <v>22/11/2018</v>
      </c>
      <c r="B2287" t="str">
        <f>"112.97"</f>
        <v>112.97</v>
      </c>
      <c r="C2287" t="str">
        <f>"112.7277"</f>
        <v>112.7277</v>
      </c>
    </row>
    <row r="2288" spans="1:3" x14ac:dyDescent="0.25">
      <c r="A2288" t="str">
        <f>"26/11/2018"</f>
        <v>26/11/2018</v>
      </c>
      <c r="B2288" t="str">
        <f>"113.18"</f>
        <v>113.18</v>
      </c>
      <c r="C2288" t="str">
        <f>"112.9354"</f>
        <v>112.9354</v>
      </c>
    </row>
    <row r="2289" spans="1:3" x14ac:dyDescent="0.25">
      <c r="A2289" t="str">
        <f>"27/11/2018"</f>
        <v>27/11/2018</v>
      </c>
      <c r="B2289" t="str">
        <f>"113.59"</f>
        <v>113.59</v>
      </c>
      <c r="C2289" t="str">
        <f>"113.3549"</f>
        <v>113.3549</v>
      </c>
    </row>
    <row r="2290" spans="1:3" x14ac:dyDescent="0.25">
      <c r="A2290" t="str">
        <f>"28/11/2018"</f>
        <v>28/11/2018</v>
      </c>
      <c r="B2290" t="str">
        <f>"113.73"</f>
        <v>113.73</v>
      </c>
      <c r="C2290" t="str">
        <f>"113.5031"</f>
        <v>113.5031</v>
      </c>
    </row>
    <row r="2291" spans="1:3" x14ac:dyDescent="0.25">
      <c r="A2291" t="str">
        <f>"29/11/2018"</f>
        <v>29/11/2018</v>
      </c>
      <c r="B2291" t="str">
        <f>"113.39"</f>
        <v>113.39</v>
      </c>
      <c r="C2291" t="str">
        <f>"113.0208"</f>
        <v>113.0208</v>
      </c>
    </row>
    <row r="2292" spans="1:3" x14ac:dyDescent="0.25">
      <c r="A2292" t="str">
        <f>"30/11/2018"</f>
        <v>30/11/2018</v>
      </c>
      <c r="B2292" t="str">
        <f>"113.51"</f>
        <v>113.51</v>
      </c>
      <c r="C2292" t="str">
        <f>"113.1472"</f>
        <v>113.1472</v>
      </c>
    </row>
    <row r="2293" spans="1:3" x14ac:dyDescent="0.25">
      <c r="A2293" t="str">
        <f>"03/12/2018"</f>
        <v>03/12/2018</v>
      </c>
      <c r="B2293" t="str">
        <f>"113.56"</f>
        <v>113.56</v>
      </c>
      <c r="C2293" t="str">
        <f>"113.1567"</f>
        <v>113.1567</v>
      </c>
    </row>
    <row r="2294" spans="1:3" x14ac:dyDescent="0.25">
      <c r="A2294" t="str">
        <f>"04/12/2018"</f>
        <v>04/12/2018</v>
      </c>
      <c r="B2294" t="str">
        <f>"112.79"</f>
        <v>112.79</v>
      </c>
      <c r="C2294" t="str">
        <f>"112.3863"</f>
        <v>112.3863</v>
      </c>
    </row>
    <row r="2295" spans="1:3" x14ac:dyDescent="0.25">
      <c r="A2295" t="str">
        <f>"05/12/2018"</f>
        <v>05/12/2018</v>
      </c>
      <c r="B2295" t="str">
        <f>"112.96"</f>
        <v>112.96</v>
      </c>
      <c r="C2295" t="str">
        <f>"112.5646"</f>
        <v>112.5646</v>
      </c>
    </row>
    <row r="2296" spans="1:3" x14ac:dyDescent="0.25">
      <c r="A2296" t="str">
        <f>"06/12/2018"</f>
        <v>06/12/2018</v>
      </c>
      <c r="B2296" t="str">
        <f>"112.79"</f>
        <v>112.79</v>
      </c>
      <c r="C2296" t="str">
        <f>"112.3862"</f>
        <v>112.3862</v>
      </c>
    </row>
    <row r="2297" spans="1:3" x14ac:dyDescent="0.25">
      <c r="A2297" t="str">
        <f>"07/12/2018"</f>
        <v>07/12/2018</v>
      </c>
      <c r="B2297" t="str">
        <f>"112.79"</f>
        <v>112.79</v>
      </c>
      <c r="C2297" t="str">
        <f>"112.3903"</f>
        <v>112.3903</v>
      </c>
    </row>
    <row r="2298" spans="1:3" x14ac:dyDescent="0.25">
      <c r="A2298" t="str">
        <f>"10/12/2018"</f>
        <v>10/12/2018</v>
      </c>
      <c r="B2298" t="str">
        <f>"112.65"</f>
        <v>112.65</v>
      </c>
      <c r="C2298" t="str">
        <f>"112.2327"</f>
        <v>112.2327</v>
      </c>
    </row>
    <row r="2299" spans="1:3" x14ac:dyDescent="0.25">
      <c r="A2299" t="str">
        <f>"11/12/2018"</f>
        <v>11/12/2018</v>
      </c>
      <c r="B2299" t="str">
        <f>"113.11"</f>
        <v>113.11</v>
      </c>
      <c r="C2299" t="str">
        <f>"112.6938"</f>
        <v>112.6938</v>
      </c>
    </row>
    <row r="2300" spans="1:3" x14ac:dyDescent="0.25">
      <c r="A2300" t="str">
        <f>"12/12/2018"</f>
        <v>12/12/2018</v>
      </c>
      <c r="B2300" t="str">
        <f>"113.48"</f>
        <v>113.48</v>
      </c>
      <c r="C2300" t="str">
        <f>"113.072"</f>
        <v>113.072</v>
      </c>
    </row>
    <row r="2301" spans="1:3" x14ac:dyDescent="0.25">
      <c r="A2301" t="str">
        <f>"13/12/2018"</f>
        <v>13/12/2018</v>
      </c>
      <c r="B2301" t="str">
        <f>"113.45"</f>
        <v>113.45</v>
      </c>
      <c r="C2301" t="str">
        <f>"113.0723"</f>
        <v>113.0723</v>
      </c>
    </row>
    <row r="2302" spans="1:3" x14ac:dyDescent="0.25">
      <c r="A2302" t="str">
        <f>"14/12/2018"</f>
        <v>14/12/2018</v>
      </c>
      <c r="B2302" t="str">
        <f>"113.57"</f>
        <v>113.57</v>
      </c>
      <c r="C2302" t="str">
        <f>"113.1987"</f>
        <v>113.1987</v>
      </c>
    </row>
    <row r="2303" spans="1:3" x14ac:dyDescent="0.25">
      <c r="A2303" t="str">
        <f>"17/12/2018"</f>
        <v>17/12/2018</v>
      </c>
      <c r="B2303" t="str">
        <f>"113.29"</f>
        <v>113.29</v>
      </c>
      <c r="C2303" t="str">
        <f>"112.8879"</f>
        <v>112.8879</v>
      </c>
    </row>
    <row r="2304" spans="1:3" x14ac:dyDescent="0.25">
      <c r="A2304" t="str">
        <f>"18/12/2018"</f>
        <v>18/12/2018</v>
      </c>
      <c r="B2304" t="str">
        <f>"112.29"</f>
        <v>112.29</v>
      </c>
      <c r="C2304" t="str">
        <f>"111.9035"</f>
        <v>111.9035</v>
      </c>
    </row>
    <row r="2305" spans="1:3" x14ac:dyDescent="0.25">
      <c r="A2305" t="str">
        <f>"19/12/2018"</f>
        <v>19/12/2018</v>
      </c>
      <c r="B2305" t="str">
        <f>"112.37"</f>
        <v>112.37</v>
      </c>
      <c r="C2305" t="str">
        <f>"111.9892"</f>
        <v>111.9892</v>
      </c>
    </row>
    <row r="2306" spans="1:3" x14ac:dyDescent="0.25">
      <c r="A2306" t="str">
        <f>"20/12/2018"</f>
        <v>20/12/2018</v>
      </c>
      <c r="B2306" t="str">
        <f>"111.72"</f>
        <v>111.72</v>
      </c>
      <c r="C2306" t="str">
        <f>"111.3534"</f>
        <v>111.3534</v>
      </c>
    </row>
    <row r="2307" spans="1:3" x14ac:dyDescent="0.25">
      <c r="A2307" t="str">
        <f>"21/12/2018"</f>
        <v>21/12/2018</v>
      </c>
      <c r="B2307" t="str">
        <f>"111.20"</f>
        <v>111.20</v>
      </c>
      <c r="C2307" t="str">
        <f>"110.8592"</f>
        <v>110.8592</v>
      </c>
    </row>
    <row r="2308" spans="1:3" x14ac:dyDescent="0.25">
      <c r="A2308" t="str">
        <f>"24/12/2018"</f>
        <v>24/12/2018</v>
      </c>
      <c r="B2308" t="str">
        <f>"111.09"</f>
        <v>111.09</v>
      </c>
      <c r="C2308" t="str">
        <f>"110.7629"</f>
        <v>110.7629</v>
      </c>
    </row>
    <row r="2309" spans="1:3" x14ac:dyDescent="0.25">
      <c r="A2309" t="str">
        <f>"26/12/2018"</f>
        <v>26/12/2018</v>
      </c>
      <c r="B2309" t="str">
        <f>"110.60"</f>
        <v>110.60</v>
      </c>
      <c r="C2309" t="str">
        <f>"110.2893"</f>
        <v>110.2893</v>
      </c>
    </row>
    <row r="2310" spans="1:3" x14ac:dyDescent="0.25">
      <c r="A2310" t="str">
        <f>"27/12/2018"</f>
        <v>27/12/2018</v>
      </c>
      <c r="B2310" t="str">
        <f>"110.77"</f>
        <v>110.77</v>
      </c>
      <c r="C2310" t="str">
        <f>"110.50"</f>
        <v>110.50</v>
      </c>
    </row>
    <row r="2311" spans="1:3" x14ac:dyDescent="0.25">
      <c r="A2311" t="str">
        <f>"28/12/2018"</f>
        <v>28/12/2018</v>
      </c>
      <c r="B2311" t="str">
        <f>"110.64"</f>
        <v>110.64</v>
      </c>
      <c r="C2311" t="str">
        <f>"110.3662"</f>
        <v>110.3662</v>
      </c>
    </row>
    <row r="2312" spans="1:3" x14ac:dyDescent="0.25">
      <c r="A2312" t="str">
        <f>"31/12/2018"</f>
        <v>31/12/2018</v>
      </c>
      <c r="B2312" t="str">
        <f>"110.01"</f>
        <v>110.01</v>
      </c>
      <c r="C2312" t="str">
        <f>"109.7408"</f>
        <v>109.7408</v>
      </c>
    </row>
    <row r="2313" spans="1:3" x14ac:dyDescent="0.25">
      <c r="A2313" t="str">
        <f>"01/01/2019"</f>
        <v>01/01/2019</v>
      </c>
      <c r="B2313" t="str">
        <f>"110.32"</f>
        <v>110.32</v>
      </c>
      <c r="C2313" t="str">
        <f>"110.0531"</f>
        <v>110.0531</v>
      </c>
    </row>
    <row r="2314" spans="1:3" x14ac:dyDescent="0.25">
      <c r="A2314" t="str">
        <f>"02/01/2019"</f>
        <v>02/01/2019</v>
      </c>
      <c r="B2314" t="str">
        <f>"109.11"</f>
        <v>109.11</v>
      </c>
      <c r="C2314" t="str">
        <f>"108.8469"</f>
        <v>108.8469</v>
      </c>
    </row>
    <row r="2315" spans="1:3" x14ac:dyDescent="0.25">
      <c r="A2315" t="str">
        <f>"03/01/2019"</f>
        <v>03/01/2019</v>
      </c>
      <c r="B2315" t="str">
        <f>"107.61"</f>
        <v>107.61</v>
      </c>
      <c r="C2315" t="str">
        <f>"107.3456"</f>
        <v>107.3456</v>
      </c>
    </row>
    <row r="2316" spans="1:3" x14ac:dyDescent="0.25">
      <c r="A2316" t="str">
        <f>"04/01/2019"</f>
        <v>04/01/2019</v>
      </c>
      <c r="B2316" t="str">
        <f>"108.00"</f>
        <v>108.00</v>
      </c>
      <c r="C2316" t="str">
        <f>"107.7362"</f>
        <v>107.7362</v>
      </c>
    </row>
    <row r="2317" spans="1:3" x14ac:dyDescent="0.25">
      <c r="A2317" t="str">
        <f>"07/01/2019"</f>
        <v>07/01/2019</v>
      </c>
      <c r="B2317" t="str">
        <f>"108.35"</f>
        <v>108.35</v>
      </c>
      <c r="C2317" t="str">
        <f>"108.062"</f>
        <v>108.062</v>
      </c>
    </row>
    <row r="2318" spans="1:3" x14ac:dyDescent="0.25">
      <c r="A2318" t="str">
        <f>"08/01/2019"</f>
        <v>08/01/2019</v>
      </c>
      <c r="B2318" t="str">
        <f>"108.76"</f>
        <v>108.76</v>
      </c>
      <c r="C2318" t="str">
        <f>"108.4833"</f>
        <v>108.4833</v>
      </c>
    </row>
    <row r="2319" spans="1:3" x14ac:dyDescent="0.25">
      <c r="A2319" t="str">
        <f>"09/01/2019"</f>
        <v>09/01/2019</v>
      </c>
      <c r="B2319" t="str">
        <f>"108.89"</f>
        <v>108.89</v>
      </c>
      <c r="C2319" t="str">
        <f>"108.6226"</f>
        <v>108.6226</v>
      </c>
    </row>
    <row r="2320" spans="1:3" x14ac:dyDescent="0.25">
      <c r="A2320" t="str">
        <f>"10/01/2019"</f>
        <v>10/01/2019</v>
      </c>
      <c r="B2320" t="str">
        <f>"108.01"</f>
        <v>108.01</v>
      </c>
      <c r="C2320" t="str">
        <f>"107.7513"</f>
        <v>107.7513</v>
      </c>
    </row>
    <row r="2321" spans="1:3" x14ac:dyDescent="0.25">
      <c r="A2321" t="str">
        <f>"11/01/2019"</f>
        <v>11/01/2019</v>
      </c>
      <c r="B2321" t="str">
        <f>"108.32"</f>
        <v>108.32</v>
      </c>
      <c r="C2321" t="str">
        <f>"108.0323"</f>
        <v>108.0323</v>
      </c>
    </row>
    <row r="2322" spans="1:3" x14ac:dyDescent="0.25">
      <c r="A2322" t="str">
        <f>"14/01/2019"</f>
        <v>14/01/2019</v>
      </c>
      <c r="B2322" t="str">
        <f>"108.05"</f>
        <v>108.05</v>
      </c>
      <c r="C2322" t="str">
        <f>"107.761"</f>
        <v>107.761</v>
      </c>
    </row>
    <row r="2323" spans="1:3" x14ac:dyDescent="0.25">
      <c r="A2323" t="str">
        <f>"15/01/2019"</f>
        <v>15/01/2019</v>
      </c>
      <c r="B2323" t="str">
        <f>"108.49"</f>
        <v>108.49</v>
      </c>
      <c r="C2323" t="str">
        <f>"108.2073"</f>
        <v>108.2073</v>
      </c>
    </row>
    <row r="2324" spans="1:3" x14ac:dyDescent="0.25">
      <c r="A2324" t="str">
        <f>"16/01/2019"</f>
        <v>16/01/2019</v>
      </c>
      <c r="B2324" t="str">
        <f>"108.83"</f>
        <v>108.83</v>
      </c>
      <c r="C2324" t="str">
        <f>"108.5565"</f>
        <v>108.5565</v>
      </c>
    </row>
    <row r="2325" spans="1:3" x14ac:dyDescent="0.25">
      <c r="A2325" t="str">
        <f>"17/01/2019"</f>
        <v>17/01/2019</v>
      </c>
      <c r="B2325" t="str">
        <f>"108.81"</f>
        <v>108.81</v>
      </c>
      <c r="C2325" t="str">
        <f>"108.5418"</f>
        <v>108.5418</v>
      </c>
    </row>
    <row r="2326" spans="1:3" x14ac:dyDescent="0.25">
      <c r="A2326" t="str">
        <f>"18/01/2019"</f>
        <v>18/01/2019</v>
      </c>
      <c r="B2326" t="str">
        <f>"109.46"</f>
        <v>109.46</v>
      </c>
      <c r="C2326" t="str">
        <f>"109.1939"</f>
        <v>109.1939</v>
      </c>
    </row>
    <row r="2327" spans="1:3" x14ac:dyDescent="0.25">
      <c r="A2327" t="str">
        <f>"21/01/2019"</f>
        <v>21/01/2019</v>
      </c>
      <c r="B2327" t="str">
        <f>"109.58"</f>
        <v>109.58</v>
      </c>
      <c r="C2327" t="str">
        <f>"109.3003"</f>
        <v>109.3003</v>
      </c>
    </row>
    <row r="2328" spans="1:3" x14ac:dyDescent="0.25">
      <c r="A2328" t="str">
        <f>"22/01/2019"</f>
        <v>22/01/2019</v>
      </c>
      <c r="B2328" t="str">
        <f>"109.40"</f>
        <v>109.40</v>
      </c>
      <c r="C2328" t="str">
        <f>"109.1278"</f>
        <v>109.1278</v>
      </c>
    </row>
    <row r="2329" spans="1:3" x14ac:dyDescent="0.25">
      <c r="A2329" t="str">
        <f>"23/01/2019"</f>
        <v>23/01/2019</v>
      </c>
      <c r="B2329" t="str">
        <f>"109.65"</f>
        <v>109.65</v>
      </c>
      <c r="C2329" t="str">
        <f>"109.383"</f>
        <v>109.383</v>
      </c>
    </row>
    <row r="2330" spans="1:3" x14ac:dyDescent="0.25">
      <c r="A2330" t="str">
        <f>"24/01/2019"</f>
        <v>24/01/2019</v>
      </c>
      <c r="B2330" t="str">
        <f>"109.76"</f>
        <v>109.76</v>
      </c>
      <c r="C2330" t="str">
        <f>"109.495"</f>
        <v>109.495</v>
      </c>
    </row>
    <row r="2331" spans="1:3" x14ac:dyDescent="0.25">
      <c r="A2331" t="str">
        <f>"25/01/2019"</f>
        <v>25/01/2019</v>
      </c>
      <c r="B2331" t="str">
        <f>"109.77"</f>
        <v>109.77</v>
      </c>
      <c r="C2331" t="str">
        <f>"109.5142"</f>
        <v>109.5142</v>
      </c>
    </row>
    <row r="2332" spans="1:3" x14ac:dyDescent="0.25">
      <c r="A2332" t="str">
        <f>"28/01/2019"</f>
        <v>28/01/2019</v>
      </c>
      <c r="B2332" t="str">
        <f>"109.43"</f>
        <v>109.43</v>
      </c>
      <c r="C2332" t="str">
        <f>"109.1829"</f>
        <v>109.1829</v>
      </c>
    </row>
    <row r="2333" spans="1:3" x14ac:dyDescent="0.25">
      <c r="A2333" t="str">
        <f>"29/01/2019"</f>
        <v>29/01/2019</v>
      </c>
      <c r="B2333" t="str">
        <f>"109.45"</f>
        <v>109.45</v>
      </c>
      <c r="C2333" t="str">
        <f>"109.2126"</f>
        <v>109.2126</v>
      </c>
    </row>
    <row r="2334" spans="1:3" x14ac:dyDescent="0.25">
      <c r="A2334" t="str">
        <f>"30/01/2019"</f>
        <v>30/01/2019</v>
      </c>
      <c r="B2334" t="str">
        <f>"109.40"</f>
        <v>109.40</v>
      </c>
      <c r="C2334" t="str">
        <f>"109.161"</f>
        <v>109.161</v>
      </c>
    </row>
    <row r="2335" spans="1:3" x14ac:dyDescent="0.25">
      <c r="A2335" t="str">
        <f>"31/01/2019"</f>
        <v>31/01/2019</v>
      </c>
      <c r="B2335" t="str">
        <f>"108.64"</f>
        <v>108.64</v>
      </c>
      <c r="C2335" t="str">
        <f>"108.4047"</f>
        <v>108.4047</v>
      </c>
    </row>
    <row r="2336" spans="1:3" x14ac:dyDescent="0.25">
      <c r="A2336" t="str">
        <f>"01/02/2019"</f>
        <v>01/02/2019</v>
      </c>
      <c r="B2336" t="str">
        <f>"108.88"</f>
        <v>108.88</v>
      </c>
      <c r="C2336" t="str">
        <f>"108.6445"</f>
        <v>108.6445</v>
      </c>
    </row>
    <row r="2337" spans="1:3" x14ac:dyDescent="0.25">
      <c r="A2337" t="str">
        <f>"04/02/2019"</f>
        <v>04/02/2019</v>
      </c>
      <c r="B2337" t="str">
        <f>"109.88"</f>
        <v>109.88</v>
      </c>
      <c r="C2337" t="str">
        <f>"109.6419"</f>
        <v>109.6419</v>
      </c>
    </row>
    <row r="2338" spans="1:3" x14ac:dyDescent="0.25">
      <c r="A2338" t="str">
        <f>"05/02/2019"</f>
        <v>05/02/2019</v>
      </c>
      <c r="B2338" t="str">
        <f>"109.97"</f>
        <v>109.97</v>
      </c>
      <c r="C2338" t="str">
        <f>"109.7344"</f>
        <v>109.7344</v>
      </c>
    </row>
    <row r="2339" spans="1:3" x14ac:dyDescent="0.25">
      <c r="A2339" t="str">
        <f>"06/02/2019"</f>
        <v>06/02/2019</v>
      </c>
      <c r="B2339" t="str">
        <f>"109.80"</f>
        <v>109.80</v>
      </c>
      <c r="C2339" t="str">
        <f>"109.5657"</f>
        <v>109.5657</v>
      </c>
    </row>
    <row r="2340" spans="1:3" x14ac:dyDescent="0.25">
      <c r="A2340" t="str">
        <f>"07/02/2019"</f>
        <v>07/02/2019</v>
      </c>
      <c r="B2340" t="str">
        <f>"109.84"</f>
        <v>109.84</v>
      </c>
      <c r="C2340" t="str">
        <f>"109.6038"</f>
        <v>109.6038</v>
      </c>
    </row>
    <row r="2341" spans="1:3" x14ac:dyDescent="0.25">
      <c r="A2341" t="str">
        <f>"08/02/2019"</f>
        <v>08/02/2019</v>
      </c>
      <c r="B2341" t="str">
        <f>"109.85"</f>
        <v>109.85</v>
      </c>
      <c r="C2341" t="str">
        <f>"109.6131"</f>
        <v>109.6131</v>
      </c>
    </row>
    <row r="2342" spans="1:3" x14ac:dyDescent="0.25">
      <c r="A2342" t="str">
        <f>"11/02/2019"</f>
        <v>11/02/2019</v>
      </c>
      <c r="B2342" t="str">
        <f>"110.16"</f>
        <v>110.16</v>
      </c>
      <c r="C2342" t="str">
        <f>"109.9233"</f>
        <v>109.9233</v>
      </c>
    </row>
    <row r="2343" spans="1:3" x14ac:dyDescent="0.25">
      <c r="A2343" t="str">
        <f>"12/02/2019"</f>
        <v>12/02/2019</v>
      </c>
      <c r="B2343" t="str">
        <f>"110.59"</f>
        <v>110.59</v>
      </c>
      <c r="C2343" t="str">
        <f>"110.352"</f>
        <v>110.352</v>
      </c>
    </row>
    <row r="2344" spans="1:3" x14ac:dyDescent="0.25">
      <c r="A2344" t="str">
        <f>"13/02/2019"</f>
        <v>13/02/2019</v>
      </c>
      <c r="B2344" t="str">
        <f>"110.68"</f>
        <v>110.68</v>
      </c>
      <c r="C2344" t="str">
        <f>"110.4458"</f>
        <v>110.4458</v>
      </c>
    </row>
    <row r="2345" spans="1:3" x14ac:dyDescent="0.25">
      <c r="A2345" t="str">
        <f>"14/02/2019"</f>
        <v>14/02/2019</v>
      </c>
      <c r="B2345" t="str">
        <f>"111.08"</f>
        <v>111.08</v>
      </c>
      <c r="C2345" t="str">
        <f>"110.8459"</f>
        <v>110.8459</v>
      </c>
    </row>
    <row r="2346" spans="1:3" x14ac:dyDescent="0.25">
      <c r="A2346" t="str">
        <f>"15/02/2019"</f>
        <v>15/02/2019</v>
      </c>
      <c r="B2346" t="str">
        <f>"110.43"</f>
        <v>110.43</v>
      </c>
      <c r="C2346" t="str">
        <f>"110.196"</f>
        <v>110.196</v>
      </c>
    </row>
    <row r="2347" spans="1:3" x14ac:dyDescent="0.25">
      <c r="A2347" t="str">
        <f>"18/02/2019"</f>
        <v>18/02/2019</v>
      </c>
      <c r="B2347" t="str">
        <f>"110.53"</f>
        <v>110.53</v>
      </c>
      <c r="C2347" t="str">
        <f>"110.2963"</f>
        <v>110.2963</v>
      </c>
    </row>
    <row r="2348" spans="1:3" x14ac:dyDescent="0.25">
      <c r="A2348" t="str">
        <f>"20/02/2019"</f>
        <v>20/02/2019</v>
      </c>
      <c r="B2348" t="str">
        <f>"110.84"</f>
        <v>110.84</v>
      </c>
      <c r="C2348" t="str">
        <f>"110.6086"</f>
        <v>110.6086</v>
      </c>
    </row>
    <row r="2349" spans="1:3" x14ac:dyDescent="0.25">
      <c r="A2349" t="str">
        <f>"21/02/2019"</f>
        <v>21/02/2019</v>
      </c>
      <c r="B2349" t="str">
        <f>"110.78"</f>
        <v>110.78</v>
      </c>
      <c r="C2349" t="str">
        <f>"110.5482"</f>
        <v>110.5482</v>
      </c>
    </row>
    <row r="2350" spans="1:3" x14ac:dyDescent="0.25">
      <c r="A2350" t="str">
        <f>"22/02/2019"</f>
        <v>22/02/2019</v>
      </c>
      <c r="B2350" t="str">
        <f>"110.87"</f>
        <v>110.87</v>
      </c>
      <c r="C2350" t="str">
        <f>"110.6396"</f>
        <v>110.6396</v>
      </c>
    </row>
    <row r="2351" spans="1:3" x14ac:dyDescent="0.25">
      <c r="A2351" t="str">
        <f>"25/02/2019"</f>
        <v>25/02/2019</v>
      </c>
      <c r="B2351" t="str">
        <f>"110.75"</f>
        <v>110.75</v>
      </c>
      <c r="C2351" t="str">
        <f>"110.5178"</f>
        <v>110.5178</v>
      </c>
    </row>
    <row r="2352" spans="1:3" x14ac:dyDescent="0.25">
      <c r="A2352" t="str">
        <f>"26/02/2019"</f>
        <v>26/02/2019</v>
      </c>
      <c r="B2352" t="str">
        <f>"110.88"</f>
        <v>110.88</v>
      </c>
      <c r="C2352" t="str">
        <f>"110.6393"</f>
        <v>110.6393</v>
      </c>
    </row>
    <row r="2353" spans="1:3" x14ac:dyDescent="0.25">
      <c r="A2353" t="str">
        <f>"27/02/2019"</f>
        <v>27/02/2019</v>
      </c>
      <c r="B2353" t="str">
        <f>"110.48"</f>
        <v>110.48</v>
      </c>
      <c r="C2353" t="str">
        <f>"110.2032"</f>
        <v>110.2032</v>
      </c>
    </row>
    <row r="2354" spans="1:3" x14ac:dyDescent="0.25">
      <c r="A2354" t="str">
        <f>"28/02/2019"</f>
        <v>28/02/2019</v>
      </c>
      <c r="B2354" t="str">
        <f>"110.78"</f>
        <v>110.78</v>
      </c>
      <c r="C2354" t="str">
        <f>"110.5047"</f>
        <v>110.5047</v>
      </c>
    </row>
    <row r="2355" spans="1:3" x14ac:dyDescent="0.25">
      <c r="A2355" t="str">
        <f>"01/03/2019"</f>
        <v>01/03/2019</v>
      </c>
      <c r="B2355" t="str">
        <f>"111.86"</f>
        <v>111.86</v>
      </c>
      <c r="C2355" t="str">
        <f>"111.5836"</f>
        <v>111.5836</v>
      </c>
    </row>
    <row r="2356" spans="1:3" x14ac:dyDescent="0.25">
      <c r="A2356" t="str">
        <f>"05/03/2019"</f>
        <v>05/03/2019</v>
      </c>
      <c r="B2356" t="str">
        <f>"111.95"</f>
        <v>111.95</v>
      </c>
      <c r="C2356" t="str">
        <f>"111.6689"</f>
        <v>111.6689</v>
      </c>
    </row>
    <row r="2357" spans="1:3" x14ac:dyDescent="0.25">
      <c r="A2357" t="str">
        <f>"06/03/2019"</f>
        <v>06/03/2019</v>
      </c>
      <c r="B2357" t="str">
        <f>"111.76"</f>
        <v>111.76</v>
      </c>
      <c r="C2357" t="str">
        <f>"111.4872"</f>
        <v>111.4872</v>
      </c>
    </row>
    <row r="2358" spans="1:3" x14ac:dyDescent="0.25">
      <c r="A2358" t="str">
        <f>"07/03/2019"</f>
        <v>07/03/2019</v>
      </c>
      <c r="B2358" t="str">
        <f>"111.71"</f>
        <v>111.71</v>
      </c>
      <c r="C2358" t="str">
        <f>"111.4373"</f>
        <v>111.4373</v>
      </c>
    </row>
    <row r="2359" spans="1:3" x14ac:dyDescent="0.25">
      <c r="A2359" t="str">
        <f>"08/03/2019"</f>
        <v>08/03/2019</v>
      </c>
      <c r="B2359" t="str">
        <f>"111.19"</f>
        <v>111.19</v>
      </c>
      <c r="C2359" t="str">
        <f>"110.9167"</f>
        <v>110.9167</v>
      </c>
    </row>
    <row r="2360" spans="1:3" x14ac:dyDescent="0.25">
      <c r="A2360" t="str">
        <f>"11/03/2019"</f>
        <v>11/03/2019</v>
      </c>
      <c r="B2360" t="str">
        <f>"111.12"</f>
        <v>111.12</v>
      </c>
      <c r="C2360" t="str">
        <f>"110.8299"</f>
        <v>110.8299</v>
      </c>
    </row>
    <row r="2361" spans="1:3" x14ac:dyDescent="0.25">
      <c r="A2361" t="str">
        <f>"12/03/2019"</f>
        <v>12/03/2019</v>
      </c>
      <c r="B2361" t="str">
        <f>"111.25"</f>
        <v>111.25</v>
      </c>
      <c r="C2361" t="str">
        <f>"110.9669"</f>
        <v>110.9669</v>
      </c>
    </row>
    <row r="2362" spans="1:3" x14ac:dyDescent="0.25">
      <c r="A2362" t="str">
        <f>"13/03/2019"</f>
        <v>13/03/2019</v>
      </c>
      <c r="B2362" t="str">
        <f>"111.31"</f>
        <v>111.31</v>
      </c>
      <c r="C2362" t="str">
        <f>"111.036"</f>
        <v>111.036</v>
      </c>
    </row>
    <row r="2363" spans="1:3" x14ac:dyDescent="0.25">
      <c r="A2363" t="str">
        <f>"14/03/2019"</f>
        <v>14/03/2019</v>
      </c>
      <c r="B2363" t="str">
        <f>"111.62"</f>
        <v>111.62</v>
      </c>
      <c r="C2363" t="str">
        <f>"111.3419"</f>
        <v>111.3419</v>
      </c>
    </row>
    <row r="2364" spans="1:3" x14ac:dyDescent="0.25">
      <c r="A2364" t="str">
        <f>"18/03/2019"</f>
        <v>18/03/2019</v>
      </c>
      <c r="B2364" t="str">
        <f>"111.48"</f>
        <v>111.48</v>
      </c>
      <c r="C2364" t="str">
        <f>"111.1791"</f>
        <v>111.1791</v>
      </c>
    </row>
    <row r="2365" spans="1:3" x14ac:dyDescent="0.25">
      <c r="A2365" t="str">
        <f>"19/03/2019"</f>
        <v>19/03/2019</v>
      </c>
      <c r="B2365" t="str">
        <f>"111.29"</f>
        <v>111.29</v>
      </c>
      <c r="C2365" t="str">
        <f>"111.0042"</f>
        <v>111.0042</v>
      </c>
    </row>
    <row r="2366" spans="1:3" x14ac:dyDescent="0.25">
      <c r="A2366" t="str">
        <f>"20/03/2019"</f>
        <v>20/03/2019</v>
      </c>
      <c r="B2366" t="str">
        <f>"111.53"</f>
        <v>111.53</v>
      </c>
      <c r="C2366" t="str">
        <f>"111.2511"</f>
        <v>111.2511</v>
      </c>
    </row>
    <row r="2367" spans="1:3" x14ac:dyDescent="0.25">
      <c r="A2367" t="str">
        <f>"22/03/2019"</f>
        <v>22/03/2019</v>
      </c>
      <c r="B2367" t="str">
        <f>"110.40"</f>
        <v>110.40</v>
      </c>
      <c r="C2367" t="str">
        <f>"110.1231"</f>
        <v>110.1231</v>
      </c>
    </row>
    <row r="2368" spans="1:3" x14ac:dyDescent="0.25">
      <c r="A2368" t="str">
        <f>"25/03/2019"</f>
        <v>25/03/2019</v>
      </c>
      <c r="B2368" t="str">
        <f>"110.14"</f>
        <v>110.14</v>
      </c>
      <c r="C2368" t="str">
        <f>"109.8749"</f>
        <v>109.8749</v>
      </c>
    </row>
    <row r="2369" spans="1:3" x14ac:dyDescent="0.25">
      <c r="A2369" t="str">
        <f>"26/03/2019"</f>
        <v>26/03/2019</v>
      </c>
      <c r="B2369" t="str">
        <f>"110.40"</f>
        <v>110.40</v>
      </c>
      <c r="C2369" t="str">
        <f>"110.1361"</f>
        <v>110.1361</v>
      </c>
    </row>
    <row r="2370" spans="1:3" x14ac:dyDescent="0.25">
      <c r="A2370" t="str">
        <f>"27/03/2019"</f>
        <v>27/03/2019</v>
      </c>
      <c r="B2370" t="str">
        <f>"110.32"</f>
        <v>110.32</v>
      </c>
      <c r="C2370" t="str">
        <f>"110.069"</f>
        <v>110.069</v>
      </c>
    </row>
    <row r="2371" spans="1:3" x14ac:dyDescent="0.25">
      <c r="A2371" t="str">
        <f>"28/03/2019"</f>
        <v>28/03/2019</v>
      </c>
      <c r="B2371" t="str">
        <f>"110.29"</f>
        <v>110.29</v>
      </c>
      <c r="C2371" t="str">
        <f>"109.9831"</f>
        <v>109.9831</v>
      </c>
    </row>
    <row r="2372" spans="1:3" x14ac:dyDescent="0.25">
      <c r="A2372" t="str">
        <f>"29/03/2019"</f>
        <v>29/03/2019</v>
      </c>
      <c r="B2372" t="str">
        <f>"110.80"</f>
        <v>110.80</v>
      </c>
      <c r="C2372" t="str">
        <f>"110.4982"</f>
        <v>110.4982</v>
      </c>
    </row>
    <row r="2373" spans="1:3" x14ac:dyDescent="0.25">
      <c r="A2373" t="str">
        <f>"02/04/2019"</f>
        <v>02/04/2019</v>
      </c>
      <c r="B2373" t="str">
        <f>"111.33"</f>
        <v>111.33</v>
      </c>
      <c r="C2373" t="str">
        <f>"111.0473"</f>
        <v>111.0473</v>
      </c>
    </row>
    <row r="2374" spans="1:3" x14ac:dyDescent="0.25">
      <c r="A2374" t="str">
        <f>"03/04/2019"</f>
        <v>03/04/2019</v>
      </c>
      <c r="B2374" t="str">
        <f>"111.51"</f>
        <v>111.51</v>
      </c>
      <c r="C2374" t="str">
        <f>"111.2368"</f>
        <v>111.2368</v>
      </c>
    </row>
    <row r="2375" spans="1:3" x14ac:dyDescent="0.25">
      <c r="A2375" t="str">
        <f>"04/04/2019"</f>
        <v>04/04/2019</v>
      </c>
      <c r="B2375" t="str">
        <f>"111.42"</f>
        <v>111.42</v>
      </c>
      <c r="C2375" t="str">
        <f>"111.1643"</f>
        <v>111.1643</v>
      </c>
    </row>
    <row r="2376" spans="1:3" x14ac:dyDescent="0.25">
      <c r="A2376" t="str">
        <f>"05/04/2019"</f>
        <v>05/04/2019</v>
      </c>
      <c r="B2376" t="str">
        <f>"111.71"</f>
        <v>111.71</v>
      </c>
      <c r="C2376" t="str">
        <f>"111.452"</f>
        <v>111.452</v>
      </c>
    </row>
    <row r="2377" spans="1:3" x14ac:dyDescent="0.25">
      <c r="A2377" t="str">
        <f>"08/04/2019"</f>
        <v>08/04/2019</v>
      </c>
      <c r="B2377" t="str">
        <f>"111.44"</f>
        <v>111.44</v>
      </c>
      <c r="C2377" t="str">
        <f>"111.1782"</f>
        <v>111.1782</v>
      </c>
    </row>
    <row r="2378" spans="1:3" x14ac:dyDescent="0.25">
      <c r="A2378" t="str">
        <f>"09/04/2019"</f>
        <v>09/04/2019</v>
      </c>
      <c r="B2378" t="str">
        <f>"111.36"</f>
        <v>111.36</v>
      </c>
      <c r="C2378" t="str">
        <f>"111.0778"</f>
        <v>111.0778</v>
      </c>
    </row>
    <row r="2379" spans="1:3" x14ac:dyDescent="0.25">
      <c r="A2379" t="str">
        <f>"10/04/2019"</f>
        <v>10/04/2019</v>
      </c>
      <c r="B2379" t="str">
        <f>"111.18"</f>
        <v>111.18</v>
      </c>
      <c r="C2379" t="str">
        <f>"110.9116"</f>
        <v>110.9116</v>
      </c>
    </row>
    <row r="2380" spans="1:3" x14ac:dyDescent="0.25">
      <c r="A2380" t="str">
        <f>"11/04/2019"</f>
        <v>11/04/2019</v>
      </c>
      <c r="B2380" t="str">
        <f>"111.17"</f>
        <v>111.17</v>
      </c>
      <c r="C2380" t="str">
        <f>"110.9105"</f>
        <v>110.9105</v>
      </c>
    </row>
    <row r="2381" spans="1:3" x14ac:dyDescent="0.25">
      <c r="A2381" t="str">
        <f>"12/04/2019"</f>
        <v>12/04/2019</v>
      </c>
      <c r="B2381" t="str">
        <f>"111.97"</f>
        <v>111.97</v>
      </c>
      <c r="C2381" t="str">
        <f>"111.7063"</f>
        <v>111.7063</v>
      </c>
    </row>
    <row r="2382" spans="1:3" x14ac:dyDescent="0.25">
      <c r="A2382" t="str">
        <f>"15/04/2019"</f>
        <v>15/04/2019</v>
      </c>
      <c r="B2382" t="str">
        <f>"111.96"</f>
        <v>111.96</v>
      </c>
      <c r="C2382" t="str">
        <f>"111.6941"</f>
        <v>111.6941</v>
      </c>
    </row>
    <row r="2383" spans="1:3" x14ac:dyDescent="0.25">
      <c r="A2383" t="str">
        <f>"16/04/2019"</f>
        <v>16/04/2019</v>
      </c>
      <c r="B2383" t="str">
        <f>"111.92"</f>
        <v>111.92</v>
      </c>
      <c r="C2383" t="str">
        <f>"111.6414"</f>
        <v>111.6414</v>
      </c>
    </row>
    <row r="2384" spans="1:3" x14ac:dyDescent="0.25">
      <c r="A2384" t="str">
        <f>"18/04/2019"</f>
        <v>18/04/2019</v>
      </c>
      <c r="B2384" t="str">
        <f>"111.94"</f>
        <v>111.94</v>
      </c>
      <c r="C2384" t="str">
        <f>"111.6763"</f>
        <v>111.6763</v>
      </c>
    </row>
    <row r="2385" spans="1:3" x14ac:dyDescent="0.25">
      <c r="A2385" t="str">
        <f>"22/04/2019"</f>
        <v>22/04/2019</v>
      </c>
      <c r="B2385" t="str">
        <f>"111.93"</f>
        <v>111.93</v>
      </c>
      <c r="C2385" t="str">
        <f>"111.6638"</f>
        <v>111.6638</v>
      </c>
    </row>
    <row r="2386" spans="1:3" x14ac:dyDescent="0.25">
      <c r="A2386" t="str">
        <f>"23/04/2019"</f>
        <v>23/04/2019</v>
      </c>
      <c r="B2386" t="str">
        <f>"111.90"</f>
        <v>111.90</v>
      </c>
      <c r="C2386" t="str">
        <f>"111.608"</f>
        <v>111.608</v>
      </c>
    </row>
    <row r="2387" spans="1:3" x14ac:dyDescent="0.25">
      <c r="A2387" t="str">
        <f>"24/04/2019"</f>
        <v>24/04/2019</v>
      </c>
      <c r="B2387" t="str">
        <f>"111.84"</f>
        <v>111.84</v>
      </c>
      <c r="C2387" t="str">
        <f>"111.5286"</f>
        <v>111.5286</v>
      </c>
    </row>
    <row r="2388" spans="1:3" x14ac:dyDescent="0.25">
      <c r="A2388" t="str">
        <f>"25/04/2019"</f>
        <v>25/04/2019</v>
      </c>
      <c r="B2388" t="str">
        <f>"111.86"</f>
        <v>111.86</v>
      </c>
      <c r="C2388" t="str">
        <f>"111.5894"</f>
        <v>111.5894</v>
      </c>
    </row>
    <row r="2389" spans="1:3" x14ac:dyDescent="0.25">
      <c r="A2389" t="str">
        <f>"26/04/2019"</f>
        <v>26/04/2019</v>
      </c>
      <c r="B2389" t="str">
        <f>"111.75"</f>
        <v>111.75</v>
      </c>
      <c r="C2389" t="str">
        <f>"111.4571"</f>
        <v>111.4571</v>
      </c>
    </row>
    <row r="2390" spans="1:3" x14ac:dyDescent="0.25">
      <c r="A2390" t="str">
        <f>"30/04/2019"</f>
        <v>30/04/2019</v>
      </c>
      <c r="B2390" t="str">
        <f>"111.26"</f>
        <v>111.26</v>
      </c>
      <c r="C2390" t="str">
        <f>"110.9688"</f>
        <v>110.9688</v>
      </c>
    </row>
    <row r="2391" spans="1:3" x14ac:dyDescent="0.25">
      <c r="A2391" t="str">
        <f>"02/05/2019"</f>
        <v>02/05/2019</v>
      </c>
      <c r="B2391" t="str">
        <f>"111.48"</f>
        <v>111.48</v>
      </c>
      <c r="C2391" t="str">
        <f>"111.192"</f>
        <v>111.192</v>
      </c>
    </row>
    <row r="2392" spans="1:3" x14ac:dyDescent="0.25">
      <c r="A2392" t="str">
        <f>"03/05/2019"</f>
        <v>03/05/2019</v>
      </c>
      <c r="B2392" t="str">
        <f>"111.53"</f>
        <v>111.53</v>
      </c>
      <c r="C2392" t="str">
        <f>"111.2421"</f>
        <v>111.2421</v>
      </c>
    </row>
    <row r="2393" spans="1:3" x14ac:dyDescent="0.25">
      <c r="A2393" t="str">
        <f>"06/05/2019"</f>
        <v>06/05/2019</v>
      </c>
      <c r="B2393" t="str">
        <f>"110.80"</f>
        <v>110.80</v>
      </c>
      <c r="C2393" t="str">
        <f>"110.5129"</f>
        <v>110.5129</v>
      </c>
    </row>
    <row r="2394" spans="1:3" x14ac:dyDescent="0.25">
      <c r="A2394" t="str">
        <f>"07/05/2019"</f>
        <v>07/05/2019</v>
      </c>
      <c r="B2394" t="str">
        <f>"110.63"</f>
        <v>110.63</v>
      </c>
      <c r="C2394" t="str">
        <f>"110.3592"</f>
        <v>110.3592</v>
      </c>
    </row>
    <row r="2395" spans="1:3" x14ac:dyDescent="0.25">
      <c r="A2395" t="str">
        <f>"08/05/2019"</f>
        <v>08/05/2019</v>
      </c>
      <c r="B2395" t="str">
        <f>"110.10"</f>
        <v>110.10</v>
      </c>
      <c r="C2395" t="str">
        <f>"109.8415"</f>
        <v>109.8415</v>
      </c>
    </row>
    <row r="2396" spans="1:3" x14ac:dyDescent="0.25">
      <c r="A2396" t="str">
        <f>"09/05/2019"</f>
        <v>09/05/2019</v>
      </c>
      <c r="B2396" t="str">
        <f>"109.84"</f>
        <v>109.84</v>
      </c>
      <c r="C2396" t="str">
        <f>"109.5817"</f>
        <v>109.5817</v>
      </c>
    </row>
    <row r="2397" spans="1:3" x14ac:dyDescent="0.25">
      <c r="A2397" t="str">
        <f>"10/05/2019"</f>
        <v>10/05/2019</v>
      </c>
      <c r="B2397" t="str">
        <f>"109.76"</f>
        <v>109.76</v>
      </c>
      <c r="C2397" t="str">
        <f>"109.5011"</f>
        <v>109.5011</v>
      </c>
    </row>
    <row r="2398" spans="1:3" x14ac:dyDescent="0.25">
      <c r="A2398" t="str">
        <f>"13/05/2019"</f>
        <v>13/05/2019</v>
      </c>
      <c r="B2398" t="str">
        <f>"109.77"</f>
        <v>109.77</v>
      </c>
      <c r="C2398" t="str">
        <f>"109.4959"</f>
        <v>109.4959</v>
      </c>
    </row>
    <row r="2399" spans="1:3" x14ac:dyDescent="0.25">
      <c r="A2399" t="str">
        <f>"14/05/2019"</f>
        <v>14/05/2019</v>
      </c>
      <c r="B2399" t="str">
        <f>"109.68"</f>
        <v>109.68</v>
      </c>
      <c r="C2399" t="str">
        <f>"109.4126"</f>
        <v>109.4126</v>
      </c>
    </row>
    <row r="2400" spans="1:3" x14ac:dyDescent="0.25">
      <c r="A2400" t="str">
        <f>"15/05/2019"</f>
        <v>15/05/2019</v>
      </c>
      <c r="B2400" t="str">
        <f>"109.39"</f>
        <v>109.39</v>
      </c>
      <c r="C2400" t="str">
        <f>"109.1342"</f>
        <v>109.1342</v>
      </c>
    </row>
    <row r="2401" spans="1:3" x14ac:dyDescent="0.25">
      <c r="A2401" t="str">
        <f>"16/05/2019"</f>
        <v>16/05/2019</v>
      </c>
      <c r="B2401" t="str">
        <f>"109.66"</f>
        <v>109.66</v>
      </c>
      <c r="C2401" t="str">
        <f>"109.4033"</f>
        <v>109.4033</v>
      </c>
    </row>
    <row r="2402" spans="1:3" x14ac:dyDescent="0.25">
      <c r="A2402" t="str">
        <f>"17/05/2019"</f>
        <v>17/05/2019</v>
      </c>
      <c r="B2402" t="str">
        <f>"109.60"</f>
        <v>109.60</v>
      </c>
      <c r="C2402" t="str">
        <f>"109.3413"</f>
        <v>109.3413</v>
      </c>
    </row>
    <row r="2403" spans="1:3" x14ac:dyDescent="0.25">
      <c r="A2403" t="str">
        <f>"20/05/2019"</f>
        <v>20/05/2019</v>
      </c>
      <c r="B2403" t="str">
        <f>"109.93"</f>
        <v>109.93</v>
      </c>
      <c r="C2403" t="str">
        <f>"109.6545"</f>
        <v>109.6545</v>
      </c>
    </row>
    <row r="2404" spans="1:3" x14ac:dyDescent="0.25">
      <c r="A2404" t="str">
        <f>"21/05/2019"</f>
        <v>21/05/2019</v>
      </c>
      <c r="B2404" t="str">
        <f>"110.37"</f>
        <v>110.37</v>
      </c>
      <c r="C2404" t="str">
        <f>"110.1039"</f>
        <v>110.1039</v>
      </c>
    </row>
    <row r="2405" spans="1:3" x14ac:dyDescent="0.25">
      <c r="A2405" t="str">
        <f>"22/05/2019"</f>
        <v>22/05/2019</v>
      </c>
      <c r="B2405" t="str">
        <f>"110.43"</f>
        <v>110.43</v>
      </c>
      <c r="C2405" t="str">
        <f>"110.1708"</f>
        <v>110.1708</v>
      </c>
    </row>
    <row r="2406" spans="1:3" x14ac:dyDescent="0.25">
      <c r="A2406" t="str">
        <f>"23/05/2019"</f>
        <v>23/05/2019</v>
      </c>
      <c r="B2406" t="str">
        <f>"110.14"</f>
        <v>110.14</v>
      </c>
      <c r="C2406" t="str">
        <f>"109.8788"</f>
        <v>109.8788</v>
      </c>
    </row>
    <row r="2407" spans="1:3" x14ac:dyDescent="0.25">
      <c r="A2407" t="str">
        <f>"24/05/2019"</f>
        <v>24/05/2019</v>
      </c>
      <c r="B2407" t="str">
        <f>"109.71"</f>
        <v>109.71</v>
      </c>
      <c r="C2407" t="str">
        <f>"109.4492"</f>
        <v>109.4492</v>
      </c>
    </row>
    <row r="2408" spans="1:3" x14ac:dyDescent="0.25">
      <c r="A2408" t="str">
        <f>"27/05/2019"</f>
        <v>27/05/2019</v>
      </c>
      <c r="B2408" t="str">
        <f>"109.50"</f>
        <v>109.50</v>
      </c>
      <c r="C2408" t="str">
        <f>"109.2492"</f>
        <v>109.2492</v>
      </c>
    </row>
    <row r="2409" spans="1:3" x14ac:dyDescent="0.25">
      <c r="A2409" t="str">
        <f>"28/05/2019"</f>
        <v>28/05/2019</v>
      </c>
      <c r="B2409" t="str">
        <f>"109.49"</f>
        <v>109.49</v>
      </c>
      <c r="C2409" t="str">
        <f>"109.2469"</f>
        <v>109.2469</v>
      </c>
    </row>
    <row r="2410" spans="1:3" x14ac:dyDescent="0.25">
      <c r="A2410" t="str">
        <f>"29/05/2019"</f>
        <v>29/05/2019</v>
      </c>
      <c r="B2410" t="str">
        <f>"109.33"</f>
        <v>109.33</v>
      </c>
      <c r="C2410" t="str">
        <f>"109.0991"</f>
        <v>109.0991</v>
      </c>
    </row>
    <row r="2411" spans="1:3" x14ac:dyDescent="0.25">
      <c r="A2411" t="str">
        <f>"30/05/2019"</f>
        <v>30/05/2019</v>
      </c>
      <c r="B2411" t="str">
        <f>"109.71"</f>
        <v>109.71</v>
      </c>
      <c r="C2411" t="str">
        <f>"109.4409"</f>
        <v>109.4409</v>
      </c>
    </row>
    <row r="2412" spans="1:3" x14ac:dyDescent="0.25">
      <c r="A2412" t="str">
        <f>"31/05/2019"</f>
        <v>31/05/2019</v>
      </c>
      <c r="B2412" t="str">
        <f>"109.11"</f>
        <v>109.11</v>
      </c>
      <c r="C2412" t="str">
        <f>"108.8331"</f>
        <v>108.8331</v>
      </c>
    </row>
    <row r="2413" spans="1:3" x14ac:dyDescent="0.25">
      <c r="A2413" t="str">
        <f>"03/06/2019"</f>
        <v>03/06/2019</v>
      </c>
      <c r="B2413" t="str">
        <f>"108.38"</f>
        <v>108.38</v>
      </c>
      <c r="C2413" t="str">
        <f>"108.117"</f>
        <v>108.117</v>
      </c>
    </row>
    <row r="2414" spans="1:3" x14ac:dyDescent="0.25">
      <c r="A2414" t="str">
        <f>"04/06/2019"</f>
        <v>04/06/2019</v>
      </c>
      <c r="B2414" t="str">
        <f>"107.96"</f>
        <v>107.96</v>
      </c>
      <c r="C2414" t="str">
        <f>"107.68"</f>
        <v>107.68</v>
      </c>
    </row>
    <row r="2415" spans="1:3" x14ac:dyDescent="0.25">
      <c r="A2415" t="str">
        <f>"06/06/2019"</f>
        <v>06/06/2019</v>
      </c>
      <c r="B2415" t="str">
        <f>"108.24"</f>
        <v>108.24</v>
      </c>
      <c r="C2415" t="str">
        <f>"107.9803"</f>
        <v>107.9803</v>
      </c>
    </row>
    <row r="2416" spans="1:3" x14ac:dyDescent="0.25">
      <c r="A2416" t="str">
        <f>"07/06/2019"</f>
        <v>07/06/2019</v>
      </c>
      <c r="B2416" t="str">
        <f>"108.48"</f>
        <v>108.48</v>
      </c>
      <c r="C2416" t="str">
        <f>"108.2174"</f>
        <v>108.2174</v>
      </c>
    </row>
    <row r="2417" spans="1:3" x14ac:dyDescent="0.25">
      <c r="A2417" t="str">
        <f>"10/06/2019"</f>
        <v>10/06/2019</v>
      </c>
      <c r="B2417" t="str">
        <f>"108.65"</f>
        <v>108.65</v>
      </c>
      <c r="C2417" t="str">
        <f>"108.3862"</f>
        <v>108.3862</v>
      </c>
    </row>
    <row r="2418" spans="1:3" x14ac:dyDescent="0.25">
      <c r="A2418" t="str">
        <f>"11/06/2019"</f>
        <v>11/06/2019</v>
      </c>
      <c r="B2418" t="str">
        <f>"108.72"</f>
        <v>108.72</v>
      </c>
      <c r="C2418" t="str">
        <f>"108.431"</f>
        <v>108.431</v>
      </c>
    </row>
    <row r="2419" spans="1:3" x14ac:dyDescent="0.25">
      <c r="A2419" t="str">
        <f>"12/06/2019"</f>
        <v>12/06/2019</v>
      </c>
      <c r="B2419" t="str">
        <f>"108.37"</f>
        <v>108.37</v>
      </c>
      <c r="C2419" t="str">
        <f>"108.0913"</f>
        <v>108.0913</v>
      </c>
    </row>
    <row r="2420" spans="1:3" x14ac:dyDescent="0.25">
      <c r="A2420" t="str">
        <f>"13/06/2019"</f>
        <v>13/06/2019</v>
      </c>
      <c r="B2420" t="str">
        <f>"108.33"</f>
        <v>108.33</v>
      </c>
      <c r="C2420" t="str">
        <f>"108.068"</f>
        <v>108.068</v>
      </c>
    </row>
    <row r="2421" spans="1:3" x14ac:dyDescent="0.25">
      <c r="A2421" t="str">
        <f>"14/06/2019"</f>
        <v>14/06/2019</v>
      </c>
      <c r="B2421" t="str">
        <f>"108.23"</f>
        <v>108.23</v>
      </c>
      <c r="C2421" t="str">
        <f>"107.9637"</f>
        <v>107.9637</v>
      </c>
    </row>
    <row r="2422" spans="1:3" x14ac:dyDescent="0.25">
      <c r="A2422" t="str">
        <f>"17/06/2019"</f>
        <v>17/06/2019</v>
      </c>
      <c r="B2422" t="str">
        <f>"108.70"</f>
        <v>108.70</v>
      </c>
      <c r="C2422" t="str">
        <f>"108.4324"</f>
        <v>108.4324</v>
      </c>
    </row>
    <row r="2423" spans="1:3" x14ac:dyDescent="0.25">
      <c r="A2423" t="str">
        <f>"18/06/2019"</f>
        <v>18/06/2019</v>
      </c>
      <c r="B2423" t="str">
        <f>"108.28"</f>
        <v>108.28</v>
      </c>
      <c r="C2423" t="str">
        <f>"107.9992"</f>
        <v>107.9992</v>
      </c>
    </row>
    <row r="2424" spans="1:3" x14ac:dyDescent="0.25">
      <c r="A2424" t="str">
        <f>"19/06/2019"</f>
        <v>19/06/2019</v>
      </c>
      <c r="B2424" t="str">
        <f>"108.41"</f>
        <v>108.41</v>
      </c>
      <c r="C2424" t="str">
        <f>"108.1364"</f>
        <v>108.1364</v>
      </c>
    </row>
    <row r="2425" spans="1:3" x14ac:dyDescent="0.25">
      <c r="A2425" t="str">
        <f>"20/06/2019"</f>
        <v>20/06/2019</v>
      </c>
      <c r="B2425" t="str">
        <f>"107.74"</f>
        <v>107.74</v>
      </c>
      <c r="C2425" t="str">
        <f>"107.4742"</f>
        <v>107.4742</v>
      </c>
    </row>
    <row r="2426" spans="1:3" x14ac:dyDescent="0.25">
      <c r="A2426" t="str">
        <f>"21/06/2019"</f>
        <v>21/06/2019</v>
      </c>
      <c r="B2426" t="str">
        <f>"107.50"</f>
        <v>107.50</v>
      </c>
      <c r="C2426" t="str">
        <f>"107.2389"</f>
        <v>107.2389</v>
      </c>
    </row>
    <row r="2427" spans="1:3" x14ac:dyDescent="0.25">
      <c r="A2427" t="str">
        <f>"24/06/2019"</f>
        <v>24/06/2019</v>
      </c>
      <c r="B2427" t="str">
        <f>"107.29"</f>
        <v>107.29</v>
      </c>
      <c r="C2427" t="str">
        <f>"107.0321"</f>
        <v>107.0321</v>
      </c>
    </row>
    <row r="2428" spans="1:3" x14ac:dyDescent="0.25">
      <c r="A2428" t="str">
        <f>"25/06/2019"</f>
        <v>25/06/2019</v>
      </c>
      <c r="B2428" t="str">
        <f>"107.02"</f>
        <v>107.02</v>
      </c>
      <c r="C2428" t="str">
        <f>"106.7499"</f>
        <v>106.7499</v>
      </c>
    </row>
    <row r="2429" spans="1:3" x14ac:dyDescent="0.25">
      <c r="A2429" t="str">
        <f>"26/06/2019"</f>
        <v>26/06/2019</v>
      </c>
      <c r="B2429" t="str">
        <f>"107.72"</f>
        <v>107.72</v>
      </c>
      <c r="C2429" t="str">
        <f>"107.4355"</f>
        <v>107.4355</v>
      </c>
    </row>
    <row r="2430" spans="1:3" x14ac:dyDescent="0.25">
      <c r="A2430" t="str">
        <f>"27/06/2019"</f>
        <v>27/06/2019</v>
      </c>
      <c r="B2430" t="str">
        <f>"107.83"</f>
        <v>107.83</v>
      </c>
      <c r="C2430" t="str">
        <f>"107.5722"</f>
        <v>107.5722</v>
      </c>
    </row>
    <row r="2431" spans="1:3" x14ac:dyDescent="0.25">
      <c r="A2431" t="str">
        <f>"28/06/2019"</f>
        <v>28/06/2019</v>
      </c>
      <c r="B2431" t="str">
        <f>"107.71"</f>
        <v>107.71</v>
      </c>
      <c r="C2431" t="str">
        <f>"107.4523"</f>
        <v>107.4523</v>
      </c>
    </row>
    <row r="2432" spans="1:3" x14ac:dyDescent="0.25">
      <c r="A2432" t="str">
        <f>"01/07/2019"</f>
        <v>01/07/2019</v>
      </c>
      <c r="B2432" t="str">
        <f>"108.27"</f>
        <v>108.27</v>
      </c>
      <c r="C2432" t="str">
        <f>"108.0009"</f>
        <v>108.0009</v>
      </c>
    </row>
    <row r="2433" spans="1:3" x14ac:dyDescent="0.25">
      <c r="A2433" t="str">
        <f>"02/07/2019"</f>
        <v>02/07/2019</v>
      </c>
      <c r="B2433" t="str">
        <f>"108.37"</f>
        <v>108.37</v>
      </c>
      <c r="C2433" t="str">
        <f>"108.1157"</f>
        <v>108.1157</v>
      </c>
    </row>
    <row r="2434" spans="1:3" x14ac:dyDescent="0.25">
      <c r="A2434" t="str">
        <f>"03/07/2019"</f>
        <v>03/07/2019</v>
      </c>
      <c r="B2434" t="str">
        <f>"107.67"</f>
        <v>107.67</v>
      </c>
      <c r="C2434" t="str">
        <f>"107.4178"</f>
        <v>107.4178</v>
      </c>
    </row>
    <row r="2435" spans="1:3" x14ac:dyDescent="0.25">
      <c r="A2435" t="str">
        <f>"04/07/2019"</f>
        <v>04/07/2019</v>
      </c>
      <c r="B2435" t="str">
        <f>"107.79"</f>
        <v>107.79</v>
      </c>
      <c r="C2435" t="str">
        <f>"107.5389"</f>
        <v>107.5389</v>
      </c>
    </row>
    <row r="2436" spans="1:3" x14ac:dyDescent="0.25">
      <c r="A2436" t="str">
        <f>"05/07/2019"</f>
        <v>05/07/2019</v>
      </c>
      <c r="B2436" t="str">
        <f>"108.10"</f>
        <v>108.10</v>
      </c>
      <c r="C2436" t="str">
        <f>"107.8455"</f>
        <v>107.8455</v>
      </c>
    </row>
    <row r="2437" spans="1:3" x14ac:dyDescent="0.25">
      <c r="A2437" t="str">
        <f>"08/07/2019"</f>
        <v>08/07/2019</v>
      </c>
      <c r="B2437" t="str">
        <f>"108.33"</f>
        <v>108.33</v>
      </c>
      <c r="C2437" t="str">
        <f>"108.0508"</f>
        <v>108.0508</v>
      </c>
    </row>
    <row r="2438" spans="1:3" x14ac:dyDescent="0.25">
      <c r="A2438" t="str">
        <f>"09/07/2019"</f>
        <v>09/07/2019</v>
      </c>
      <c r="B2438" t="str">
        <f>"108.74"</f>
        <v>108.74</v>
      </c>
      <c r="C2438" t="str">
        <f>"108.466"</f>
        <v>108.466</v>
      </c>
    </row>
    <row r="2439" spans="1:3" x14ac:dyDescent="0.25">
      <c r="A2439" t="str">
        <f>"10/07/2019"</f>
        <v>10/07/2019</v>
      </c>
      <c r="B2439" t="str">
        <f>"108.88"</f>
        <v>108.88</v>
      </c>
      <c r="C2439" t="str">
        <f>"108.615"</f>
        <v>108.615</v>
      </c>
    </row>
    <row r="2440" spans="1:3" x14ac:dyDescent="0.25">
      <c r="A2440" t="str">
        <f>"11/07/2019"</f>
        <v>11/07/2019</v>
      </c>
      <c r="B2440" t="str">
        <f>"108.07"</f>
        <v>108.07</v>
      </c>
      <c r="C2440" t="str">
        <f>"107.8172"</f>
        <v>107.8172</v>
      </c>
    </row>
    <row r="2441" spans="1:3" x14ac:dyDescent="0.25">
      <c r="A2441" t="str">
        <f>"12/07/2019"</f>
        <v>12/07/2019</v>
      </c>
      <c r="B2441" t="str">
        <f>"108.39"</f>
        <v>108.39</v>
      </c>
      <c r="C2441" t="str">
        <f>"108.1201"</f>
        <v>108.1201</v>
      </c>
    </row>
    <row r="2442" spans="1:3" x14ac:dyDescent="0.25">
      <c r="A2442" t="str">
        <f>"15/07/2019"</f>
        <v>15/07/2019</v>
      </c>
      <c r="B2442" t="str">
        <f>"107.91"</f>
        <v>107.91</v>
      </c>
      <c r="C2442" t="str">
        <f>"107.64"</f>
        <v>107.64</v>
      </c>
    </row>
    <row r="2443" spans="1:3" x14ac:dyDescent="0.25">
      <c r="A2443" t="str">
        <f>"16/07/2019"</f>
        <v>16/07/2019</v>
      </c>
      <c r="B2443" t="str">
        <f>"107.93"</f>
        <v>107.93</v>
      </c>
      <c r="C2443" t="str">
        <f>"107.6713"</f>
        <v>107.6713</v>
      </c>
    </row>
    <row r="2444" spans="1:3" x14ac:dyDescent="0.25">
      <c r="A2444" t="str">
        <f>"17/07/2019"</f>
        <v>17/07/2019</v>
      </c>
      <c r="B2444" t="str">
        <f>"108.26"</f>
        <v>108.26</v>
      </c>
      <c r="C2444" t="str">
        <f>"108.0117"</f>
        <v>108.0117</v>
      </c>
    </row>
    <row r="2445" spans="1:3" x14ac:dyDescent="0.25">
      <c r="A2445" t="str">
        <f>"18/07/2019"</f>
        <v>18/07/2019</v>
      </c>
      <c r="B2445" t="str">
        <f>"107.87"</f>
        <v>107.87</v>
      </c>
      <c r="C2445" t="str">
        <f>"107.6225"</f>
        <v>107.6225</v>
      </c>
    </row>
    <row r="2446" spans="1:3" x14ac:dyDescent="0.25">
      <c r="A2446" t="str">
        <f>"19/07/2019"</f>
        <v>19/07/2019</v>
      </c>
      <c r="B2446" t="str">
        <f>"107.57"</f>
        <v>107.57</v>
      </c>
      <c r="C2446" t="str">
        <f>"107.325"</f>
        <v>107.325</v>
      </c>
    </row>
    <row r="2447" spans="1:3" x14ac:dyDescent="0.25">
      <c r="A2447" t="str">
        <f>"22/07/2019"</f>
        <v>22/07/2019</v>
      </c>
      <c r="B2447" t="str">
        <f>"107.97"</f>
        <v>107.97</v>
      </c>
      <c r="C2447" t="str">
        <f>"107.7118"</f>
        <v>107.7118</v>
      </c>
    </row>
    <row r="2448" spans="1:3" x14ac:dyDescent="0.25">
      <c r="A2448" t="str">
        <f>"23/07/2019"</f>
        <v>23/07/2019</v>
      </c>
      <c r="B2448" t="str">
        <f>"108.12"</f>
        <v>108.12</v>
      </c>
      <c r="C2448" t="str">
        <f>"107.8707"</f>
        <v>107.8707</v>
      </c>
    </row>
    <row r="2449" spans="1:3" x14ac:dyDescent="0.25">
      <c r="A2449" t="str">
        <f>"24/07/2019"</f>
        <v>24/07/2019</v>
      </c>
      <c r="B2449" t="str">
        <f>"108.16"</f>
        <v>108.16</v>
      </c>
      <c r="C2449" t="str">
        <f>"107.92"</f>
        <v>107.92</v>
      </c>
    </row>
    <row r="2450" spans="1:3" x14ac:dyDescent="0.25">
      <c r="A2450" t="str">
        <f>"25/07/2019"</f>
        <v>25/07/2019</v>
      </c>
      <c r="B2450" t="str">
        <f>"108.09"</f>
        <v>108.09</v>
      </c>
      <c r="C2450" t="str">
        <f>"107.8511"</f>
        <v>107.8511</v>
      </c>
    </row>
    <row r="2451" spans="1:3" x14ac:dyDescent="0.25">
      <c r="A2451" t="str">
        <f>"26/07/2019"</f>
        <v>26/07/2019</v>
      </c>
      <c r="B2451" t="str">
        <f>"108.67"</f>
        <v>108.67</v>
      </c>
      <c r="C2451" t="str">
        <f>"108.431"</f>
        <v>108.431</v>
      </c>
    </row>
    <row r="2452" spans="1:3" x14ac:dyDescent="0.25">
      <c r="A2452" t="str">
        <f>"29/07/2019"</f>
        <v>29/07/2019</v>
      </c>
      <c r="B2452" t="str">
        <f>"108.65"</f>
        <v>108.65</v>
      </c>
      <c r="C2452" t="str">
        <f>"108.4189"</f>
        <v>108.4189</v>
      </c>
    </row>
    <row r="2453" spans="1:3" x14ac:dyDescent="0.25">
      <c r="A2453" t="str">
        <f>"30/07/2019"</f>
        <v>30/07/2019</v>
      </c>
      <c r="B2453" t="str">
        <f>"108.50"</f>
        <v>108.50</v>
      </c>
      <c r="C2453" t="str">
        <f>"108.239"</f>
        <v>108.239</v>
      </c>
    </row>
    <row r="2454" spans="1:3" x14ac:dyDescent="0.25">
      <c r="A2454" t="str">
        <f>"31/07/2019"</f>
        <v>31/07/2019</v>
      </c>
      <c r="B2454" t="str">
        <f>"108.58"</f>
        <v>108.58</v>
      </c>
      <c r="C2454" t="str">
        <f>"108.3306"</f>
        <v>108.3306</v>
      </c>
    </row>
    <row r="2455" spans="1:3" x14ac:dyDescent="0.25">
      <c r="A2455" t="str">
        <f>"01/08/2019"</f>
        <v>01/08/2019</v>
      </c>
      <c r="B2455" t="str">
        <f>"108.90"</f>
        <v>108.90</v>
      </c>
      <c r="C2455" t="str">
        <f>"108.6582"</f>
        <v>108.6582</v>
      </c>
    </row>
    <row r="2456" spans="1:3" x14ac:dyDescent="0.25">
      <c r="A2456" t="str">
        <f>"02/08/2019"</f>
        <v>02/08/2019</v>
      </c>
      <c r="B2456" t="str">
        <f>"106.85"</f>
        <v>106.85</v>
      </c>
      <c r="C2456" t="str">
        <f>"106.6122"</f>
        <v>106.6122</v>
      </c>
    </row>
    <row r="2457" spans="1:3" x14ac:dyDescent="0.25">
      <c r="A2457" t="str">
        <f>"05/08/2019"</f>
        <v>05/08/2019</v>
      </c>
      <c r="B2457" t="str">
        <f>"106.10"</f>
        <v>106.10</v>
      </c>
      <c r="C2457" t="str">
        <f>"105.8492"</f>
        <v>105.8492</v>
      </c>
    </row>
    <row r="2458" spans="1:3" x14ac:dyDescent="0.25">
      <c r="A2458" t="str">
        <f>"06/08/2019"</f>
        <v>06/08/2019</v>
      </c>
      <c r="B2458" t="str">
        <f>"106.59"</f>
        <v>106.59</v>
      </c>
      <c r="C2458" t="str">
        <f>"106.3491"</f>
        <v>106.3491</v>
      </c>
    </row>
    <row r="2459" spans="1:3" x14ac:dyDescent="0.25">
      <c r="A2459" t="str">
        <f>"07/08/2019"</f>
        <v>07/08/2019</v>
      </c>
      <c r="B2459" t="str">
        <f>"106.09"</f>
        <v>106.09</v>
      </c>
      <c r="C2459" t="str">
        <f>"105.8592"</f>
        <v>105.8592</v>
      </c>
    </row>
    <row r="2460" spans="1:3" x14ac:dyDescent="0.25">
      <c r="A2460" t="str">
        <f>"08/08/2019"</f>
        <v>08/08/2019</v>
      </c>
      <c r="B2460" t="str">
        <f>"105.96"</f>
        <v>105.96</v>
      </c>
      <c r="C2460" t="str">
        <f>"105.7268"</f>
        <v>105.7268</v>
      </c>
    </row>
    <row r="2461" spans="1:3" x14ac:dyDescent="0.25">
      <c r="A2461" t="str">
        <f>"09/08/2019"</f>
        <v>09/08/2019</v>
      </c>
      <c r="B2461" t="str">
        <f>"105.78"</f>
        <v>105.78</v>
      </c>
      <c r="C2461" t="str">
        <f>"105.5218"</f>
        <v>105.5218</v>
      </c>
    </row>
    <row r="2462" spans="1:3" x14ac:dyDescent="0.25">
      <c r="A2462" t="str">
        <f>"13/08/2019"</f>
        <v>13/08/2019</v>
      </c>
      <c r="B2462" t="str">
        <f>"105.17"</f>
        <v>105.17</v>
      </c>
      <c r="C2462" t="str">
        <f>"104.9191"</f>
        <v>104.9191</v>
      </c>
    </row>
    <row r="2463" spans="1:3" x14ac:dyDescent="0.25">
      <c r="A2463" t="str">
        <f>"14/08/2019"</f>
        <v>14/08/2019</v>
      </c>
      <c r="B2463" t="str">
        <f>"105.92"</f>
        <v>105.92</v>
      </c>
      <c r="C2463" t="str">
        <f>"105.6749"</f>
        <v>105.6749</v>
      </c>
    </row>
    <row r="2464" spans="1:3" x14ac:dyDescent="0.25">
      <c r="A2464" t="str">
        <f>"16/08/2019"</f>
        <v>16/08/2019</v>
      </c>
      <c r="B2464" t="str">
        <f>"106.16"</f>
        <v>106.16</v>
      </c>
      <c r="C2464" t="str">
        <f>"105.9232"</f>
        <v>105.9232</v>
      </c>
    </row>
    <row r="2465" spans="1:3" x14ac:dyDescent="0.25">
      <c r="A2465" t="str">
        <f>"19/08/2019"</f>
        <v>19/08/2019</v>
      </c>
      <c r="B2465" t="str">
        <f>"106.37"</f>
        <v>106.37</v>
      </c>
      <c r="C2465" t="str">
        <f>"106.1178"</f>
        <v>106.1178</v>
      </c>
    </row>
    <row r="2466" spans="1:3" x14ac:dyDescent="0.25">
      <c r="A2466" t="str">
        <f>"20/08/2019"</f>
        <v>20/08/2019</v>
      </c>
      <c r="B2466" t="str">
        <f>"106.57"</f>
        <v>106.57</v>
      </c>
      <c r="C2466" t="str">
        <f>"106.3283"</f>
        <v>106.3283</v>
      </c>
    </row>
    <row r="2467" spans="1:3" x14ac:dyDescent="0.25">
      <c r="A2467" t="str">
        <f>"21/08/2019"</f>
        <v>21/08/2019</v>
      </c>
      <c r="B2467" t="str">
        <f>"106.47"</f>
        <v>106.47</v>
      </c>
      <c r="C2467" t="str">
        <f>"106.2373"</f>
        <v>106.2373</v>
      </c>
    </row>
    <row r="2468" spans="1:3" x14ac:dyDescent="0.25">
      <c r="A2468" t="str">
        <f>"22/08/2019"</f>
        <v>22/08/2019</v>
      </c>
      <c r="B2468" t="str">
        <f>"106.44"</f>
        <v>106.44</v>
      </c>
      <c r="C2468" t="str">
        <f>"106.2155"</f>
        <v>106.2155</v>
      </c>
    </row>
    <row r="2469" spans="1:3" x14ac:dyDescent="0.25">
      <c r="A2469" t="str">
        <f>"23/08/2019"</f>
        <v>23/08/2019</v>
      </c>
      <c r="B2469" t="str">
        <f>"106.53"</f>
        <v>106.53</v>
      </c>
      <c r="C2469" t="str">
        <f>"106.3053"</f>
        <v>106.3053</v>
      </c>
    </row>
    <row r="2470" spans="1:3" x14ac:dyDescent="0.25">
      <c r="A2470" t="str">
        <f>"26/08/2019"</f>
        <v>26/08/2019</v>
      </c>
      <c r="B2470" t="str">
        <f>"105.35"</f>
        <v>105.35</v>
      </c>
      <c r="C2470" t="str">
        <f>"105.1144"</f>
        <v>105.1144</v>
      </c>
    </row>
    <row r="2471" spans="1:3" x14ac:dyDescent="0.25">
      <c r="A2471" t="str">
        <f>"27/08/2019"</f>
        <v>27/08/2019</v>
      </c>
      <c r="B2471" t="str">
        <f>"105.71"</f>
        <v>105.71</v>
      </c>
      <c r="C2471" t="str">
        <f>"105.4824"</f>
        <v>105.4824</v>
      </c>
    </row>
    <row r="2472" spans="1:3" x14ac:dyDescent="0.25">
      <c r="A2472" t="str">
        <f>"28/08/2019"</f>
        <v>28/08/2019</v>
      </c>
      <c r="B2472" t="str">
        <f>"105.73"</f>
        <v>105.73</v>
      </c>
      <c r="C2472" t="str">
        <f>"105.5081"</f>
        <v>105.5081</v>
      </c>
    </row>
    <row r="2473" spans="1:3" x14ac:dyDescent="0.25">
      <c r="A2473" t="str">
        <f>"29/08/2019"</f>
        <v>29/08/2019</v>
      </c>
      <c r="B2473" t="str">
        <f>"106.26"</f>
        <v>106.26</v>
      </c>
      <c r="C2473" t="str">
        <f>"106.0228"</f>
        <v>106.0228</v>
      </c>
    </row>
    <row r="2474" spans="1:3" x14ac:dyDescent="0.25">
      <c r="A2474" t="str">
        <f>"30/08/2019"</f>
        <v>30/08/2019</v>
      </c>
      <c r="B2474" t="str">
        <f>"106.35"</f>
        <v>106.35</v>
      </c>
      <c r="C2474" t="str">
        <f>"106.1118"</f>
        <v>106.1118</v>
      </c>
    </row>
    <row r="2475" spans="1:3" x14ac:dyDescent="0.25">
      <c r="A2475" t="str">
        <f>"03/09/2019"</f>
        <v>03/09/2019</v>
      </c>
      <c r="B2475" t="str">
        <f>"106.12"</f>
        <v>106.12</v>
      </c>
      <c r="C2475" t="str">
        <f>"105.866"</f>
        <v>105.866</v>
      </c>
    </row>
    <row r="2476" spans="1:3" x14ac:dyDescent="0.25">
      <c r="A2476" t="str">
        <f>"04/09/2019"</f>
        <v>04/09/2019</v>
      </c>
      <c r="B2476" t="str">
        <f>"106.23"</f>
        <v>106.23</v>
      </c>
      <c r="C2476" t="str">
        <f>"105.9776"</f>
        <v>105.9776</v>
      </c>
    </row>
    <row r="2477" spans="1:3" x14ac:dyDescent="0.25">
      <c r="A2477" t="str">
        <f>"05/09/2019"</f>
        <v>05/09/2019</v>
      </c>
      <c r="B2477" t="str">
        <f>"106.65"</f>
        <v>106.65</v>
      </c>
      <c r="C2477" t="str">
        <f>"106.4079"</f>
        <v>106.4079</v>
      </c>
    </row>
    <row r="2478" spans="1:3" x14ac:dyDescent="0.25">
      <c r="A2478" t="str">
        <f>"06/09/2019"</f>
        <v>06/09/2019</v>
      </c>
      <c r="B2478" t="str">
        <f>"106.98"</f>
        <v>106.98</v>
      </c>
      <c r="C2478" t="str">
        <f>"106.7383"</f>
        <v>106.7383</v>
      </c>
    </row>
    <row r="2479" spans="1:3" x14ac:dyDescent="0.25">
      <c r="A2479" t="str">
        <f>"09/09/2019"</f>
        <v>09/09/2019</v>
      </c>
      <c r="B2479" t="str">
        <f>"106.96"</f>
        <v>106.96</v>
      </c>
      <c r="C2479" t="str">
        <f>"106.7163"</f>
        <v>106.7163</v>
      </c>
    </row>
    <row r="2480" spans="1:3" x14ac:dyDescent="0.25">
      <c r="A2480" t="str">
        <f>"11/09/2019"</f>
        <v>11/09/2019</v>
      </c>
      <c r="B2480" t="str">
        <f>"107.69"</f>
        <v>107.69</v>
      </c>
      <c r="C2480" t="str">
        <f>"107.4324"</f>
        <v>107.4324</v>
      </c>
    </row>
    <row r="2481" spans="1:3" x14ac:dyDescent="0.25">
      <c r="A2481" t="str">
        <f>"12/09/2019"</f>
        <v>12/09/2019</v>
      </c>
      <c r="B2481" t="str">
        <f>"107.88"</f>
        <v>107.88</v>
      </c>
      <c r="C2481" t="str">
        <f>"107.6387"</f>
        <v>107.6387</v>
      </c>
    </row>
    <row r="2482" spans="1:3" x14ac:dyDescent="0.25">
      <c r="A2482" t="str">
        <f>"16/09/2019"</f>
        <v>16/09/2019</v>
      </c>
      <c r="B2482" t="str">
        <f>"107.82"</f>
        <v>107.82</v>
      </c>
      <c r="C2482" t="str">
        <f>"107.584"</f>
        <v>107.584</v>
      </c>
    </row>
    <row r="2483" spans="1:3" x14ac:dyDescent="0.25">
      <c r="A2483" t="str">
        <f>"17/09/2019"</f>
        <v>17/09/2019</v>
      </c>
      <c r="B2483" t="str">
        <f>"108.16"</f>
        <v>108.16</v>
      </c>
      <c r="C2483" t="str">
        <f>"107.8865"</f>
        <v>107.8865</v>
      </c>
    </row>
    <row r="2484" spans="1:3" x14ac:dyDescent="0.25">
      <c r="A2484" t="str">
        <f>"18/09/2019"</f>
        <v>18/09/2019</v>
      </c>
      <c r="B2484" t="str">
        <f>"108.20"</f>
        <v>108.20</v>
      </c>
      <c r="C2484" t="str">
        <f>"107.945"</f>
        <v>107.945</v>
      </c>
    </row>
    <row r="2485" spans="1:3" x14ac:dyDescent="0.25">
      <c r="A2485" t="str">
        <f>"19/09/2019"</f>
        <v>19/09/2019</v>
      </c>
      <c r="B2485" t="str">
        <f>"107.88"</f>
        <v>107.88</v>
      </c>
      <c r="C2485" t="str">
        <f>"107.6221"</f>
        <v>107.6221</v>
      </c>
    </row>
    <row r="2486" spans="1:3" x14ac:dyDescent="0.25">
      <c r="A2486" t="str">
        <f>"20/09/2019"</f>
        <v>20/09/2019</v>
      </c>
      <c r="B2486" t="str">
        <f>"107.85"</f>
        <v>107.85</v>
      </c>
      <c r="C2486" t="str">
        <f>"107.5829"</f>
        <v>107.5829</v>
      </c>
    </row>
    <row r="2487" spans="1:3" x14ac:dyDescent="0.25">
      <c r="A2487" t="str">
        <f>"23/09/2019"</f>
        <v>23/09/2019</v>
      </c>
      <c r="B2487" t="str">
        <f>"107.46"</f>
        <v>107.46</v>
      </c>
      <c r="C2487" t="str">
        <f>"107.2283"</f>
        <v>107.2283</v>
      </c>
    </row>
    <row r="2488" spans="1:3" x14ac:dyDescent="0.25">
      <c r="A2488" t="str">
        <f>"24/09/2019"</f>
        <v>24/09/2019</v>
      </c>
      <c r="B2488" t="str">
        <f>"107.54"</f>
        <v>107.54</v>
      </c>
      <c r="C2488" t="str">
        <f>"107.2962"</f>
        <v>107.2962</v>
      </c>
    </row>
    <row r="2489" spans="1:3" x14ac:dyDescent="0.25">
      <c r="A2489" t="str">
        <f>"25/09/2019"</f>
        <v>25/09/2019</v>
      </c>
      <c r="B2489" t="str">
        <f>"107.36"</f>
        <v>107.36</v>
      </c>
      <c r="C2489" t="str">
        <f>"107.0984"</f>
        <v>107.0984</v>
      </c>
    </row>
    <row r="2490" spans="1:3" x14ac:dyDescent="0.25">
      <c r="A2490" t="str">
        <f>"26/09/2019"</f>
        <v>26/09/2019</v>
      </c>
      <c r="B2490" t="str">
        <f>"107.67"</f>
        <v>107.67</v>
      </c>
      <c r="C2490" t="str">
        <f>"107.433"</f>
        <v>107.433</v>
      </c>
    </row>
    <row r="2491" spans="1:3" x14ac:dyDescent="0.25">
      <c r="A2491" t="str">
        <f>"27/09/2019"</f>
        <v>27/09/2019</v>
      </c>
      <c r="B2491" t="str">
        <f>"108.09"</f>
        <v>108.09</v>
      </c>
      <c r="C2491" t="str">
        <f>"107.8701"</f>
        <v>107.8701</v>
      </c>
    </row>
    <row r="2492" spans="1:3" x14ac:dyDescent="0.25">
      <c r="A2492" t="str">
        <f>"30/09/2019"</f>
        <v>30/09/2019</v>
      </c>
      <c r="B2492" t="str">
        <f>"107.96"</f>
        <v>107.96</v>
      </c>
      <c r="C2492" t="str">
        <f>"107.7237"</f>
        <v>107.7237</v>
      </c>
    </row>
    <row r="2493" spans="1:3" x14ac:dyDescent="0.25">
      <c r="A2493" t="str">
        <f>"01/10/2019"</f>
        <v>01/10/2019</v>
      </c>
      <c r="B2493" t="str">
        <f>"108.31"</f>
        <v>108.31</v>
      </c>
      <c r="C2493" t="str">
        <f>"108.0737"</f>
        <v>108.0737</v>
      </c>
    </row>
    <row r="2494" spans="1:3" x14ac:dyDescent="0.25">
      <c r="A2494" t="str">
        <f>"03/10/2019"</f>
        <v>03/10/2019</v>
      </c>
      <c r="B2494" t="str">
        <f>"107.17"</f>
        <v>107.17</v>
      </c>
      <c r="C2494" t="str">
        <f>"106.9561"</f>
        <v>106.9561</v>
      </c>
    </row>
    <row r="2495" spans="1:3" x14ac:dyDescent="0.25">
      <c r="A2495" t="str">
        <f>"04/10/2019"</f>
        <v>04/10/2019</v>
      </c>
      <c r="B2495" t="str">
        <f>"106.71"</f>
        <v>106.71</v>
      </c>
      <c r="C2495" t="str">
        <f>"106.4916"</f>
        <v>106.4916</v>
      </c>
    </row>
    <row r="2496" spans="1:3" x14ac:dyDescent="0.25">
      <c r="A2496" t="str">
        <f>"07/10/2019"</f>
        <v>07/10/2019</v>
      </c>
      <c r="B2496" t="str">
        <f>"106.86"</f>
        <v>106.86</v>
      </c>
      <c r="C2496" t="str">
        <f>"106.6317"</f>
        <v>106.6317</v>
      </c>
    </row>
    <row r="2497" spans="1:3" x14ac:dyDescent="0.25">
      <c r="A2497" t="str">
        <f>"09/10/2019"</f>
        <v>09/10/2019</v>
      </c>
      <c r="B2497" t="str">
        <f>"107.38"</f>
        <v>107.38</v>
      </c>
      <c r="C2497" t="str">
        <f>"107.1603"</f>
        <v>107.1603</v>
      </c>
    </row>
    <row r="2498" spans="1:3" x14ac:dyDescent="0.25">
      <c r="A2498" t="str">
        <f>"10/10/2019"</f>
        <v>10/10/2019</v>
      </c>
      <c r="B2498" t="str">
        <f>"107.43"</f>
        <v>107.43</v>
      </c>
      <c r="C2498" t="str">
        <f>"107.2148"</f>
        <v>107.2148</v>
      </c>
    </row>
    <row r="2499" spans="1:3" x14ac:dyDescent="0.25">
      <c r="A2499" t="str">
        <f>"11/10/2019"</f>
        <v>11/10/2019</v>
      </c>
      <c r="B2499" t="str">
        <f>"108.41"</f>
        <v>108.41</v>
      </c>
      <c r="C2499" t="str">
        <f>"108.1789"</f>
        <v>108.1789</v>
      </c>
    </row>
    <row r="2500" spans="1:3" x14ac:dyDescent="0.25">
      <c r="A2500" t="str">
        <f>"14/10/2019"</f>
        <v>14/10/2019</v>
      </c>
      <c r="B2500" t="str">
        <f>"108.21"</f>
        <v>108.21</v>
      </c>
      <c r="C2500" t="str">
        <f>"107.9865"</f>
        <v>107.9865</v>
      </c>
    </row>
    <row r="2501" spans="1:3" x14ac:dyDescent="0.25">
      <c r="A2501" t="str">
        <f>"15/10/2019"</f>
        <v>15/10/2019</v>
      </c>
      <c r="B2501" t="str">
        <f>"108.33"</f>
        <v>108.33</v>
      </c>
      <c r="C2501" t="str">
        <f>"108.1189"</f>
        <v>108.1189</v>
      </c>
    </row>
    <row r="2502" spans="1:3" x14ac:dyDescent="0.25">
      <c r="A2502" t="str">
        <f>"16/10/2019"</f>
        <v>16/10/2019</v>
      </c>
      <c r="B2502" t="str">
        <f>"108.77"</f>
        <v>108.77</v>
      </c>
      <c r="C2502" t="str">
        <f>"108.5627"</f>
        <v>108.5627</v>
      </c>
    </row>
    <row r="2503" spans="1:3" x14ac:dyDescent="0.25">
      <c r="A2503" t="str">
        <f>"17/10/2019"</f>
        <v>17/10/2019</v>
      </c>
      <c r="B2503" t="str">
        <f>"108.78"</f>
        <v>108.78</v>
      </c>
      <c r="C2503" t="str">
        <f>"108.5724"</f>
        <v>108.5724</v>
      </c>
    </row>
    <row r="2504" spans="1:3" x14ac:dyDescent="0.25">
      <c r="A2504" t="str">
        <f>"18/10/2019"</f>
        <v>18/10/2019</v>
      </c>
      <c r="B2504" t="str">
        <f>"108.60"</f>
        <v>108.60</v>
      </c>
      <c r="C2504" t="str">
        <f>"108.3798"</f>
        <v>108.3798</v>
      </c>
    </row>
    <row r="2505" spans="1:3" x14ac:dyDescent="0.25">
      <c r="A2505" t="str">
        <f>"22/10/2019"</f>
        <v>22/10/2019</v>
      </c>
      <c r="B2505" t="str">
        <f>"108.62"</f>
        <v>108.62</v>
      </c>
      <c r="C2505" t="str">
        <f>"108.4071"</f>
        <v>108.4071</v>
      </c>
    </row>
    <row r="2506" spans="1:3" x14ac:dyDescent="0.25">
      <c r="A2506" t="str">
        <f>"23/10/2019"</f>
        <v>23/10/2019</v>
      </c>
      <c r="B2506" t="str">
        <f>"108.45"</f>
        <v>108.45</v>
      </c>
      <c r="C2506" t="str">
        <f>"108.2503"</f>
        <v>108.2503</v>
      </c>
    </row>
    <row r="2507" spans="1:3" x14ac:dyDescent="0.25">
      <c r="A2507" t="str">
        <f>"24/10/2019"</f>
        <v>24/10/2019</v>
      </c>
      <c r="B2507" t="str">
        <f>"108.64"</f>
        <v>108.64</v>
      </c>
      <c r="C2507" t="str">
        <f>"108.4392"</f>
        <v>108.4392</v>
      </c>
    </row>
    <row r="2508" spans="1:3" x14ac:dyDescent="0.25">
      <c r="A2508" t="str">
        <f>"25/10/2019"</f>
        <v>25/10/2019</v>
      </c>
      <c r="B2508" t="str">
        <f>"108.65"</f>
        <v>108.65</v>
      </c>
      <c r="C2508" t="str">
        <f>"108.4547"</f>
        <v>108.4547</v>
      </c>
    </row>
    <row r="2509" spans="1:3" x14ac:dyDescent="0.25">
      <c r="A2509" t="str">
        <f>"29/10/2019"</f>
        <v>29/10/2019</v>
      </c>
      <c r="B2509" t="str">
        <f>"108.91"</f>
        <v>108.91</v>
      </c>
      <c r="C2509" t="str">
        <f>"108.7243"</f>
        <v>108.7243</v>
      </c>
    </row>
    <row r="2510" spans="1:3" x14ac:dyDescent="0.25">
      <c r="A2510" t="str">
        <f>"30/10/2019"</f>
        <v>30/10/2019</v>
      </c>
      <c r="B2510" t="str">
        <f>"108.84"</f>
        <v>108.84</v>
      </c>
      <c r="C2510" t="str">
        <f>"108.6449"</f>
        <v>108.6449</v>
      </c>
    </row>
    <row r="2511" spans="1:3" x14ac:dyDescent="0.25">
      <c r="A2511" t="str">
        <f>"31/10/2019"</f>
        <v>31/10/2019</v>
      </c>
      <c r="B2511" t="str">
        <f>"108.20"</f>
        <v>108.20</v>
      </c>
      <c r="C2511" t="str">
        <f>"108.0149"</f>
        <v>108.0149</v>
      </c>
    </row>
    <row r="2512" spans="1:3" x14ac:dyDescent="0.25">
      <c r="A2512" t="str">
        <f>"01/11/2019"</f>
        <v>01/11/2019</v>
      </c>
      <c r="B2512" t="str">
        <f>"108.00"</f>
        <v>108.00</v>
      </c>
      <c r="C2512" t="str">
        <f>"107.819"</f>
        <v>107.819</v>
      </c>
    </row>
    <row r="2513" spans="1:3" x14ac:dyDescent="0.25">
      <c r="A2513" t="str">
        <f>"04/11/2019"</f>
        <v>04/11/2019</v>
      </c>
      <c r="B2513" t="str">
        <f>"108.23"</f>
        <v>108.23</v>
      </c>
      <c r="C2513" t="str">
        <f>"108.0504"</f>
        <v>108.0504</v>
      </c>
    </row>
    <row r="2514" spans="1:3" x14ac:dyDescent="0.25">
      <c r="A2514" t="str">
        <f>"05/11/2019"</f>
        <v>05/11/2019</v>
      </c>
      <c r="B2514" t="str">
        <f>"108.81"</f>
        <v>108.81</v>
      </c>
      <c r="C2514" t="str">
        <f>"108.6192"</f>
        <v>108.6192</v>
      </c>
    </row>
    <row r="2515" spans="1:3" x14ac:dyDescent="0.25">
      <c r="A2515" t="str">
        <f>"06/11/2019"</f>
        <v>06/11/2019</v>
      </c>
      <c r="B2515" t="str">
        <f>"109.03"</f>
        <v>109.03</v>
      </c>
      <c r="C2515" t="str">
        <f>"108.8471"</f>
        <v>108.8471</v>
      </c>
    </row>
    <row r="2516" spans="1:3" x14ac:dyDescent="0.25">
      <c r="A2516" t="str">
        <f>"07/11/2019"</f>
        <v>07/11/2019</v>
      </c>
      <c r="B2516" t="str">
        <f>"109.11"</f>
        <v>109.11</v>
      </c>
      <c r="C2516" t="str">
        <f>"108.9321"</f>
        <v>108.9321</v>
      </c>
    </row>
    <row r="2517" spans="1:3" x14ac:dyDescent="0.25">
      <c r="A2517" t="str">
        <f>"08/11/2019"</f>
        <v>08/11/2019</v>
      </c>
      <c r="B2517" t="str">
        <f>"109.39"</f>
        <v>109.39</v>
      </c>
      <c r="C2517" t="str">
        <f>"109.2119"</f>
        <v>109.2119</v>
      </c>
    </row>
    <row r="2518" spans="1:3" x14ac:dyDescent="0.25">
      <c r="A2518" t="str">
        <f>"11/11/2019"</f>
        <v>11/11/2019</v>
      </c>
      <c r="B2518" t="str">
        <f>"108.94"</f>
        <v>108.94</v>
      </c>
      <c r="C2518" t="str">
        <f>"108.7645"</f>
        <v>108.7645</v>
      </c>
    </row>
    <row r="2519" spans="1:3" x14ac:dyDescent="0.25">
      <c r="A2519" t="str">
        <f>"13/11/2019"</f>
        <v>13/11/2019</v>
      </c>
      <c r="B2519" t="str">
        <f>"108.92"</f>
        <v>108.92</v>
      </c>
      <c r="C2519" t="str">
        <f>"108.7403"</f>
        <v>108.7403</v>
      </c>
    </row>
    <row r="2520" spans="1:3" x14ac:dyDescent="0.25">
      <c r="A2520" t="str">
        <f>"14/11/2019"</f>
        <v>14/11/2019</v>
      </c>
      <c r="B2520" t="str">
        <f>"108.62"</f>
        <v>108.62</v>
      </c>
      <c r="C2520" t="str">
        <f>"108.4476"</f>
        <v>108.4476</v>
      </c>
    </row>
    <row r="2521" spans="1:3" x14ac:dyDescent="0.25">
      <c r="A2521" t="str">
        <f>"15/11/2019"</f>
        <v>15/11/2019</v>
      </c>
      <c r="B2521" t="str">
        <f>"108.66"</f>
        <v>108.66</v>
      </c>
      <c r="C2521" t="str">
        <f>"108.487"</f>
        <v>108.487</v>
      </c>
    </row>
    <row r="2522" spans="1:3" x14ac:dyDescent="0.25">
      <c r="A2522" t="str">
        <f>"18/11/2019"</f>
        <v>18/11/2019</v>
      </c>
      <c r="B2522" t="str">
        <f>"109.03"</f>
        <v>109.03</v>
      </c>
      <c r="C2522" t="str">
        <f>"108.8575"</f>
        <v>108.8575</v>
      </c>
    </row>
    <row r="2523" spans="1:3" x14ac:dyDescent="0.25">
      <c r="A2523" t="str">
        <f>"19/11/2019"</f>
        <v>19/11/2019</v>
      </c>
      <c r="B2523" t="str">
        <f>"108.72"</f>
        <v>108.72</v>
      </c>
      <c r="C2523" t="str">
        <f>"108.5372"</f>
        <v>108.5372</v>
      </c>
    </row>
    <row r="2524" spans="1:3" x14ac:dyDescent="0.25">
      <c r="A2524" t="str">
        <f>"20/11/2019"</f>
        <v>20/11/2019</v>
      </c>
      <c r="B2524" t="str">
        <f>"108.45"</f>
        <v>108.45</v>
      </c>
      <c r="C2524" t="str">
        <f>"108.2746"</f>
        <v>108.2746</v>
      </c>
    </row>
    <row r="2525" spans="1:3" x14ac:dyDescent="0.25">
      <c r="A2525" t="str">
        <f>"21/11/2019"</f>
        <v>21/11/2019</v>
      </c>
      <c r="B2525" t="str">
        <f>"108.52"</f>
        <v>108.52</v>
      </c>
      <c r="C2525" t="str">
        <f>"108.3446"</f>
        <v>108.3446</v>
      </c>
    </row>
    <row r="2526" spans="1:3" x14ac:dyDescent="0.25">
      <c r="A2526" t="str">
        <f>"22/11/2019"</f>
        <v>22/11/2019</v>
      </c>
      <c r="B2526" t="str">
        <f>"108.63"</f>
        <v>108.63</v>
      </c>
      <c r="C2526" t="str">
        <f>"108.4617"</f>
        <v>108.4617</v>
      </c>
    </row>
    <row r="2527" spans="1:3" x14ac:dyDescent="0.25">
      <c r="A2527" t="str">
        <f>"25/11/2019"</f>
        <v>25/11/2019</v>
      </c>
      <c r="B2527" t="str">
        <f>"108.88"</f>
        <v>108.88</v>
      </c>
      <c r="C2527" t="str">
        <f>"108.71"</f>
        <v>108.71</v>
      </c>
    </row>
    <row r="2528" spans="1:3" x14ac:dyDescent="0.25">
      <c r="A2528" t="str">
        <f>"26/11/2019"</f>
        <v>26/11/2019</v>
      </c>
      <c r="B2528" t="str">
        <f>"108.95"</f>
        <v>108.95</v>
      </c>
      <c r="C2528" t="str">
        <f>"108.775"</f>
        <v>108.775</v>
      </c>
    </row>
    <row r="2529" spans="1:3" x14ac:dyDescent="0.25">
      <c r="A2529" t="str">
        <f>"27/11/2019"</f>
        <v>27/11/2019</v>
      </c>
      <c r="B2529" t="str">
        <f>"109.13"</f>
        <v>109.13</v>
      </c>
      <c r="C2529" t="str">
        <f>"108.9563"</f>
        <v>108.9563</v>
      </c>
    </row>
    <row r="2530" spans="1:3" x14ac:dyDescent="0.25">
      <c r="A2530" t="str">
        <f>"28/11/2019"</f>
        <v>28/11/2019</v>
      </c>
      <c r="B2530" t="str">
        <f>"109.48"</f>
        <v>109.48</v>
      </c>
      <c r="C2530" t="str">
        <f>"109.1682"</f>
        <v>109.1682</v>
      </c>
    </row>
    <row r="2531" spans="1:3" x14ac:dyDescent="0.25">
      <c r="A2531" t="str">
        <f>"29/11/2019"</f>
        <v>29/11/2019</v>
      </c>
      <c r="B2531" t="str">
        <f>"109.47"</f>
        <v>109.47</v>
      </c>
      <c r="C2531" t="str">
        <f>"109.1602"</f>
        <v>109.1602</v>
      </c>
    </row>
    <row r="2532" spans="1:3" x14ac:dyDescent="0.25">
      <c r="A2532" t="str">
        <f>"02/12/2019"</f>
        <v>02/12/2019</v>
      </c>
      <c r="B2532" t="str">
        <f>"109.56"</f>
        <v>109.56</v>
      </c>
      <c r="C2532" t="str">
        <f>"109.2586"</f>
        <v>109.2586</v>
      </c>
    </row>
    <row r="2533" spans="1:3" x14ac:dyDescent="0.25">
      <c r="A2533" t="str">
        <f>"03/12/2019"</f>
        <v>03/12/2019</v>
      </c>
      <c r="B2533" t="str">
        <f>"108.89"</f>
        <v>108.89</v>
      </c>
      <c r="C2533" t="str">
        <f>"108.5944"</f>
        <v>108.5944</v>
      </c>
    </row>
    <row r="2534" spans="1:3" x14ac:dyDescent="0.25">
      <c r="A2534" t="str">
        <f>"04/12/2019"</f>
        <v>04/12/2019</v>
      </c>
      <c r="B2534" t="str">
        <f>"108.66"</f>
        <v>108.66</v>
      </c>
      <c r="C2534" t="str">
        <f>"108.3901"</f>
        <v>108.3901</v>
      </c>
    </row>
    <row r="2535" spans="1:3" x14ac:dyDescent="0.25">
      <c r="A2535" t="str">
        <f>"05/12/2019"</f>
        <v>05/12/2019</v>
      </c>
      <c r="B2535" t="str">
        <f>"108.91"</f>
        <v>108.91</v>
      </c>
      <c r="C2535" t="str">
        <f>"108.64"</f>
        <v>108.64</v>
      </c>
    </row>
    <row r="2536" spans="1:3" x14ac:dyDescent="0.25">
      <c r="A2536" t="str">
        <f>"06/12/2019"</f>
        <v>06/12/2019</v>
      </c>
      <c r="B2536" t="str">
        <f>"108.59"</f>
        <v>108.59</v>
      </c>
      <c r="C2536" t="str">
        <f>"108.3152"</f>
        <v>108.3152</v>
      </c>
    </row>
    <row r="2537" spans="1:3" x14ac:dyDescent="0.25">
      <c r="A2537" t="str">
        <f>"09/12/2019"</f>
        <v>09/12/2019</v>
      </c>
      <c r="B2537" t="str">
        <f>"108.49"</f>
        <v>108.49</v>
      </c>
      <c r="C2537" t="str">
        <f>"108.1855"</f>
        <v>108.1855</v>
      </c>
    </row>
    <row r="2538" spans="1:3" x14ac:dyDescent="0.25">
      <c r="A2538" t="str">
        <f>"10/12/2019"</f>
        <v>10/12/2019</v>
      </c>
      <c r="B2538" t="str">
        <f>"108.58"</f>
        <v>108.58</v>
      </c>
      <c r="C2538" t="str">
        <f>"108.2811"</f>
        <v>108.2811</v>
      </c>
    </row>
    <row r="2539" spans="1:3" x14ac:dyDescent="0.25">
      <c r="A2539" t="str">
        <f>"11/12/2019"</f>
        <v>11/12/2019</v>
      </c>
      <c r="B2539" t="str">
        <f>"108.69"</f>
        <v>108.69</v>
      </c>
      <c r="C2539" t="str">
        <f>"108.3856"</f>
        <v>108.3856</v>
      </c>
    </row>
    <row r="2540" spans="1:3" x14ac:dyDescent="0.25">
      <c r="A2540" t="str">
        <f>"12/12/2019"</f>
        <v>12/12/2019</v>
      </c>
      <c r="B2540" t="str">
        <f>"108.64"</f>
        <v>108.64</v>
      </c>
      <c r="C2540" t="str">
        <f>"108.3455"</f>
        <v>108.3455</v>
      </c>
    </row>
    <row r="2541" spans="1:3" x14ac:dyDescent="0.25">
      <c r="A2541" t="str">
        <f>"13/12/2019"</f>
        <v>13/12/2019</v>
      </c>
      <c r="B2541" t="str">
        <f>"109.60"</f>
        <v>109.60</v>
      </c>
      <c r="C2541" t="str">
        <f>"109.316"</f>
        <v>109.316</v>
      </c>
    </row>
    <row r="2542" spans="1:3" x14ac:dyDescent="0.25">
      <c r="A2542" t="str">
        <f>"16/12/2019"</f>
        <v>16/12/2019</v>
      </c>
      <c r="B2542" t="str">
        <f>"109.45"</f>
        <v>109.45</v>
      </c>
      <c r="C2542" t="str">
        <f>"109.151"</f>
        <v>109.151</v>
      </c>
    </row>
    <row r="2543" spans="1:3" x14ac:dyDescent="0.25">
      <c r="A2543" t="str">
        <f>"17/12/2019"</f>
        <v>17/12/2019</v>
      </c>
      <c r="B2543" t="str">
        <f>"109.54"</f>
        <v>109.54</v>
      </c>
      <c r="C2543" t="str">
        <f>"109.2456"</f>
        <v>109.2456</v>
      </c>
    </row>
    <row r="2544" spans="1:3" x14ac:dyDescent="0.25">
      <c r="A2544" t="str">
        <f>"18/12/2019"</f>
        <v>18/12/2019</v>
      </c>
      <c r="B2544" t="str">
        <f>"109.51"</f>
        <v>109.51</v>
      </c>
      <c r="C2544" t="str">
        <f>"109.2271"</f>
        <v>109.2271</v>
      </c>
    </row>
    <row r="2545" spans="1:3" x14ac:dyDescent="0.25">
      <c r="A2545" t="str">
        <f>"19/12/2019"</f>
        <v>19/12/2019</v>
      </c>
      <c r="B2545" t="str">
        <f>"109.52"</f>
        <v>109.52</v>
      </c>
      <c r="C2545" t="str">
        <f>"109.2561"</f>
        <v>109.2561</v>
      </c>
    </row>
    <row r="2546" spans="1:3" x14ac:dyDescent="0.25">
      <c r="A2546" t="str">
        <f>"20/12/2019"</f>
        <v>20/12/2019</v>
      </c>
      <c r="B2546" t="str">
        <f>"109.32"</f>
        <v>109.32</v>
      </c>
      <c r="C2546" t="str">
        <f>"109.089"</f>
        <v>109.089</v>
      </c>
    </row>
    <row r="2547" spans="1:3" x14ac:dyDescent="0.25">
      <c r="A2547" t="str">
        <f>"23/12/2019"</f>
        <v>23/12/2019</v>
      </c>
      <c r="B2547" t="str">
        <f>"109.40"</f>
        <v>109.40</v>
      </c>
      <c r="C2547" t="str">
        <f>"109.1485"</f>
        <v>109.1485</v>
      </c>
    </row>
    <row r="2548" spans="1:3" x14ac:dyDescent="0.25">
      <c r="A2548" t="str">
        <f>"24/12/2019"</f>
        <v>24/12/2019</v>
      </c>
      <c r="B2548" t="str">
        <f>"109.40"</f>
        <v>109.40</v>
      </c>
      <c r="C2548" t="str">
        <f>"109.1326"</f>
        <v>109.1326</v>
      </c>
    </row>
    <row r="2549" spans="1:3" x14ac:dyDescent="0.25">
      <c r="A2549" t="str">
        <f>"26/12/2019"</f>
        <v>26/12/2019</v>
      </c>
      <c r="B2549" t="str">
        <f>"109.59"</f>
        <v>109.59</v>
      </c>
      <c r="C2549" t="str">
        <f>"109.3311"</f>
        <v>109.3311</v>
      </c>
    </row>
    <row r="2550" spans="1:3" x14ac:dyDescent="0.25">
      <c r="A2550" t="str">
        <f>"27/12/2019"</f>
        <v>27/12/2019</v>
      </c>
      <c r="B2550" t="str">
        <f>"109.50"</f>
        <v>109.50</v>
      </c>
      <c r="C2550" t="str">
        <f>"109.311"</f>
        <v>109.311</v>
      </c>
    </row>
    <row r="2551" spans="1:3" x14ac:dyDescent="0.25">
      <c r="A2551" t="str">
        <f>"30/12/2019"</f>
        <v>30/12/2019</v>
      </c>
      <c r="B2551" t="str">
        <f>"109.14"</f>
        <v>109.14</v>
      </c>
      <c r="C2551" t="str">
        <f>"108.955"</f>
        <v>108.955</v>
      </c>
    </row>
    <row r="2552" spans="1:3" x14ac:dyDescent="0.25">
      <c r="A2552" t="str">
        <f>"31/12/2019"</f>
        <v>31/12/2019</v>
      </c>
      <c r="B2552" t="str">
        <f>"108.53"</f>
        <v>108.53</v>
      </c>
      <c r="C2552" t="str">
        <f>"108.346"</f>
        <v>108.346</v>
      </c>
    </row>
    <row r="2553" spans="1:3" x14ac:dyDescent="0.25">
      <c r="A2553" t="str">
        <f>"02/01/2020"</f>
        <v>02/01/2020</v>
      </c>
      <c r="B2553" t="str">
        <f>"108.78"</f>
        <v>108.78</v>
      </c>
      <c r="C2553" t="str">
        <f>"108.60"</f>
        <v>108.60</v>
      </c>
    </row>
    <row r="2554" spans="1:3" x14ac:dyDescent="0.25">
      <c r="A2554" t="str">
        <f>"03/01/2020"</f>
        <v>03/01/2020</v>
      </c>
      <c r="B2554" t="str">
        <f>"108.01"</f>
        <v>108.01</v>
      </c>
      <c r="C2554" t="str">
        <f>"107.8325"</f>
        <v>107.8325</v>
      </c>
    </row>
    <row r="2555" spans="1:3" x14ac:dyDescent="0.25">
      <c r="A2555" t="str">
        <f>"06/01/2020"</f>
        <v>06/01/2020</v>
      </c>
      <c r="B2555" t="str">
        <f>"108.07"</f>
        <v>108.07</v>
      </c>
      <c r="C2555" t="str">
        <f>"107.8795"</f>
        <v>107.8795</v>
      </c>
    </row>
    <row r="2556" spans="1:3" x14ac:dyDescent="0.25">
      <c r="A2556" t="str">
        <f>"07/01/2020"</f>
        <v>07/01/2020</v>
      </c>
      <c r="B2556" t="str">
        <f>"108.40"</f>
        <v>108.40</v>
      </c>
      <c r="C2556" t="str">
        <f>"108.2156"</f>
        <v>108.2156</v>
      </c>
    </row>
    <row r="2557" spans="1:3" x14ac:dyDescent="0.25">
      <c r="A2557" t="str">
        <f>"08/01/2020"</f>
        <v>08/01/2020</v>
      </c>
      <c r="B2557" t="str">
        <f>"108.71"</f>
        <v>108.71</v>
      </c>
      <c r="C2557" t="str">
        <f>"108.5331"</f>
        <v>108.5331</v>
      </c>
    </row>
    <row r="2558" spans="1:3" x14ac:dyDescent="0.25">
      <c r="A2558" t="str">
        <f>"09/01/2020"</f>
        <v>09/01/2020</v>
      </c>
      <c r="B2558" t="str">
        <f>"109.46"</f>
        <v>109.46</v>
      </c>
      <c r="C2558" t="str">
        <f>"109.2801"</f>
        <v>109.2801</v>
      </c>
    </row>
    <row r="2559" spans="1:3" x14ac:dyDescent="0.25">
      <c r="A2559" t="str">
        <f>"10/01/2020"</f>
        <v>10/01/2020</v>
      </c>
      <c r="B2559" t="str">
        <f>"109.63"</f>
        <v>109.63</v>
      </c>
      <c r="C2559" t="str">
        <f>"109.4305"</f>
        <v>109.4305</v>
      </c>
    </row>
    <row r="2560" spans="1:3" x14ac:dyDescent="0.25">
      <c r="A2560" t="str">
        <f>"13/01/2020"</f>
        <v>13/01/2020</v>
      </c>
      <c r="B2560" t="str">
        <f>"109.63"</f>
        <v>109.63</v>
      </c>
      <c r="C2560" t="str">
        <f>"109.4335"</f>
        <v>109.4335</v>
      </c>
    </row>
    <row r="2561" spans="1:3" x14ac:dyDescent="0.25">
      <c r="A2561" t="str">
        <f>"14/01/2020"</f>
        <v>14/01/2020</v>
      </c>
      <c r="B2561" t="str">
        <f>"110.06"</f>
        <v>110.06</v>
      </c>
      <c r="C2561" t="str">
        <f>"109.8673"</f>
        <v>109.8673</v>
      </c>
    </row>
    <row r="2562" spans="1:3" x14ac:dyDescent="0.25">
      <c r="A2562" t="str">
        <f>"15/01/2020"</f>
        <v>15/01/2020</v>
      </c>
      <c r="B2562" t="str">
        <f>"109.89"</f>
        <v>109.89</v>
      </c>
      <c r="C2562" t="str">
        <f>"109.705"</f>
        <v>109.705</v>
      </c>
    </row>
    <row r="2563" spans="1:3" x14ac:dyDescent="0.25">
      <c r="A2563" t="str">
        <f>"16/01/2020"</f>
        <v>16/01/2020</v>
      </c>
      <c r="B2563" t="str">
        <f>"109.96"</f>
        <v>109.96</v>
      </c>
      <c r="C2563" t="str">
        <f>"109.7819"</f>
        <v>109.7819</v>
      </c>
    </row>
    <row r="2564" spans="1:3" x14ac:dyDescent="0.25">
      <c r="A2564" t="str">
        <f>"17/01/2020"</f>
        <v>17/01/2020</v>
      </c>
      <c r="B2564" t="str">
        <f>"110.15"</f>
        <v>110.15</v>
      </c>
      <c r="C2564" t="str">
        <f>"109.9711"</f>
        <v>109.9711</v>
      </c>
    </row>
    <row r="2565" spans="1:3" x14ac:dyDescent="0.25">
      <c r="A2565" t="str">
        <f>"20/01/2020"</f>
        <v>20/01/2020</v>
      </c>
      <c r="B2565" t="str">
        <f>"110.20"</f>
        <v>110.20</v>
      </c>
      <c r="C2565" t="str">
        <f>"110.0044"</f>
        <v>110.0044</v>
      </c>
    </row>
    <row r="2566" spans="1:3" x14ac:dyDescent="0.25">
      <c r="A2566" t="str">
        <f>"21/01/2020"</f>
        <v>21/01/2020</v>
      </c>
      <c r="B2566" t="str">
        <f>"110.06"</f>
        <v>110.06</v>
      </c>
      <c r="C2566" t="str">
        <f>"109.8738"</f>
        <v>109.8738</v>
      </c>
    </row>
    <row r="2567" spans="1:3" x14ac:dyDescent="0.25">
      <c r="A2567" t="str">
        <f>"22/01/2020"</f>
        <v>22/01/2020</v>
      </c>
      <c r="B2567" t="str">
        <f>"109.97"</f>
        <v>109.97</v>
      </c>
      <c r="C2567" t="str">
        <f>"109.7884"</f>
        <v>109.7884</v>
      </c>
    </row>
    <row r="2568" spans="1:3" x14ac:dyDescent="0.25">
      <c r="A2568" t="str">
        <f>"23/01/2020"</f>
        <v>23/01/2020</v>
      </c>
      <c r="B2568" t="str">
        <f>"109.64"</f>
        <v>109.64</v>
      </c>
      <c r="C2568" t="str">
        <f>"109.4639"</f>
        <v>109.4639</v>
      </c>
    </row>
    <row r="2569" spans="1:3" x14ac:dyDescent="0.25">
      <c r="A2569" t="str">
        <f>"24/01/2020"</f>
        <v>24/01/2020</v>
      </c>
      <c r="B2569" t="str">
        <f>"109.60"</f>
        <v>109.60</v>
      </c>
      <c r="C2569" t="str">
        <f>"109.4263"</f>
        <v>109.4263</v>
      </c>
    </row>
    <row r="2570" spans="1:3" x14ac:dyDescent="0.25">
      <c r="A2570" t="str">
        <f>"27/01/2020"</f>
        <v>27/01/2020</v>
      </c>
      <c r="B2570" t="str">
        <f>"108.93"</f>
        <v>108.93</v>
      </c>
      <c r="C2570" t="str">
        <f>"108.76"</f>
        <v>108.76</v>
      </c>
    </row>
    <row r="2571" spans="1:3" x14ac:dyDescent="0.25">
      <c r="A2571" t="str">
        <f>"28/01/2020"</f>
        <v>28/01/2020</v>
      </c>
      <c r="B2571" t="str">
        <f>"108.87"</f>
        <v>108.87</v>
      </c>
      <c r="C2571" t="str">
        <f>"108.7039"</f>
        <v>108.7039</v>
      </c>
    </row>
    <row r="2572" spans="1:3" x14ac:dyDescent="0.25">
      <c r="A2572" t="str">
        <f>"29/01/2020"</f>
        <v>29/01/2020</v>
      </c>
      <c r="B2572" t="str">
        <f>"109.07"</f>
        <v>109.07</v>
      </c>
      <c r="C2572" t="str">
        <f>"108.9111"</f>
        <v>108.9111</v>
      </c>
    </row>
    <row r="2573" spans="1:3" x14ac:dyDescent="0.25">
      <c r="A2573" t="str">
        <f>"30/01/2020"</f>
        <v>30/01/2020</v>
      </c>
      <c r="B2573" t="str">
        <f>"108.86"</f>
        <v>108.86</v>
      </c>
      <c r="C2573" t="str">
        <f>"108.696"</f>
        <v>108.696</v>
      </c>
    </row>
    <row r="2574" spans="1:3" x14ac:dyDescent="0.25">
      <c r="A2574" t="str">
        <f>"31/01/2020"</f>
        <v>31/01/2020</v>
      </c>
      <c r="B2574" t="str">
        <f>"109.08"</f>
        <v>109.08</v>
      </c>
      <c r="C2574" t="str">
        <f>"108.9155"</f>
        <v>108.9155</v>
      </c>
    </row>
    <row r="2575" spans="1:3" x14ac:dyDescent="0.25">
      <c r="A2575" t="str">
        <f>"03/02/2020"</f>
        <v>03/02/2020</v>
      </c>
      <c r="B2575" t="str">
        <f>"108.48"</f>
        <v>108.48</v>
      </c>
      <c r="C2575" t="str">
        <f>"108.3139"</f>
        <v>108.3139</v>
      </c>
    </row>
    <row r="2576" spans="1:3" x14ac:dyDescent="0.25">
      <c r="A2576" t="str">
        <f>"04/02/2020"</f>
        <v>04/02/2020</v>
      </c>
      <c r="B2576" t="str">
        <f>"109.05"</f>
        <v>109.05</v>
      </c>
      <c r="C2576" t="str">
        <f>"108.8846"</f>
        <v>108.8846</v>
      </c>
    </row>
    <row r="2577" spans="1:3" x14ac:dyDescent="0.25">
      <c r="A2577" t="str">
        <f>"05/02/2020"</f>
        <v>05/02/2020</v>
      </c>
      <c r="B2577" t="str">
        <f>"109.59"</f>
        <v>109.59</v>
      </c>
      <c r="C2577" t="str">
        <f>"109.4151"</f>
        <v>109.4151</v>
      </c>
    </row>
    <row r="2578" spans="1:3" x14ac:dyDescent="0.25">
      <c r="A2578" t="str">
        <f>"06/02/2020"</f>
        <v>06/02/2020</v>
      </c>
      <c r="B2578" t="str">
        <f>"109.93"</f>
        <v>109.93</v>
      </c>
      <c r="C2578" t="str">
        <f>"109.7655"</f>
        <v>109.7655</v>
      </c>
    </row>
    <row r="2579" spans="1:3" x14ac:dyDescent="0.25">
      <c r="A2579" t="str">
        <f>"07/02/2020"</f>
        <v>07/02/2020</v>
      </c>
      <c r="B2579" t="str">
        <f>"109.84"</f>
        <v>109.84</v>
      </c>
      <c r="C2579" t="str">
        <f>"109.6749"</f>
        <v>109.6749</v>
      </c>
    </row>
    <row r="2580" spans="1:3" x14ac:dyDescent="0.25">
      <c r="A2580" t="str">
        <f>"10/02/2020"</f>
        <v>10/02/2020</v>
      </c>
      <c r="B2580" t="str">
        <f>"109.78"</f>
        <v>109.78</v>
      </c>
      <c r="C2580" t="str">
        <f>"109.6139"</f>
        <v>109.6139</v>
      </c>
    </row>
    <row r="2581" spans="1:3" x14ac:dyDescent="0.25">
      <c r="A2581" t="str">
        <f>"11/02/2020"</f>
        <v>11/02/2020</v>
      </c>
      <c r="B2581" t="str">
        <f>"109.85"</f>
        <v>109.85</v>
      </c>
      <c r="C2581" t="str">
        <f>"109.6838"</f>
        <v>109.6838</v>
      </c>
    </row>
    <row r="2582" spans="1:3" x14ac:dyDescent="0.25">
      <c r="A2582" t="str">
        <f>"12/02/2020"</f>
        <v>12/02/2020</v>
      </c>
      <c r="B2582" t="str">
        <f>"109.96"</f>
        <v>109.96</v>
      </c>
      <c r="C2582" t="str">
        <f>"109.7842"</f>
        <v>109.7842</v>
      </c>
    </row>
    <row r="2583" spans="1:3" x14ac:dyDescent="0.25">
      <c r="A2583" t="str">
        <f>"13/02/2020"</f>
        <v>13/02/2020</v>
      </c>
      <c r="B2583" t="str">
        <f>"109.73"</f>
        <v>109.73</v>
      </c>
      <c r="C2583" t="str">
        <f>"109.5644"</f>
        <v>109.5644</v>
      </c>
    </row>
    <row r="2584" spans="1:3" x14ac:dyDescent="0.25">
      <c r="A2584" t="str">
        <f>"14/02/2020"</f>
        <v>14/02/2020</v>
      </c>
      <c r="B2584" t="str">
        <f>"109.83"</f>
        <v>109.83</v>
      </c>
      <c r="C2584" t="str">
        <f>"109.6649"</f>
        <v>109.6649</v>
      </c>
    </row>
    <row r="2585" spans="1:3" x14ac:dyDescent="0.25">
      <c r="A2585" t="str">
        <f>"17/02/2020"</f>
        <v>17/02/2020</v>
      </c>
      <c r="B2585" t="str">
        <f>"109.88"</f>
        <v>109.88</v>
      </c>
      <c r="C2585" t="str">
        <f>"109.7145"</f>
        <v>109.7145</v>
      </c>
    </row>
    <row r="2586" spans="1:3" x14ac:dyDescent="0.25">
      <c r="A2586" t="str">
        <f>"18/02/2020"</f>
        <v>18/02/2020</v>
      </c>
      <c r="B2586" t="str">
        <f>"109.73"</f>
        <v>109.73</v>
      </c>
      <c r="C2586" t="str">
        <f>"109.5485"</f>
        <v>109.5485</v>
      </c>
    </row>
    <row r="2587" spans="1:3" x14ac:dyDescent="0.25">
      <c r="A2587" t="str">
        <f>"20/02/2020"</f>
        <v>20/02/2020</v>
      </c>
      <c r="B2587" t="str">
        <f>"112.15"</f>
        <v>112.15</v>
      </c>
      <c r="C2587" t="str">
        <f>"111.98"</f>
        <v>111.98</v>
      </c>
    </row>
    <row r="2588" spans="1:3" x14ac:dyDescent="0.25">
      <c r="A2588" t="str">
        <f>"24/02/2020"</f>
        <v>24/02/2020</v>
      </c>
      <c r="B2588" t="str">
        <f>"111.30"</f>
        <v>111.30</v>
      </c>
      <c r="C2588" t="str">
        <f>"111.132"</f>
        <v>111.132</v>
      </c>
    </row>
    <row r="2589" spans="1:3" x14ac:dyDescent="0.25">
      <c r="A2589" t="str">
        <f>"25/02/2020"</f>
        <v>25/02/2020</v>
      </c>
      <c r="B2589" t="str">
        <f>"110.59"</f>
        <v>110.59</v>
      </c>
      <c r="C2589" t="str">
        <f>"110.4227"</f>
        <v>110.4227</v>
      </c>
    </row>
    <row r="2590" spans="1:3" x14ac:dyDescent="0.25">
      <c r="A2590" t="str">
        <f>"26/02/2020"</f>
        <v>26/02/2020</v>
      </c>
      <c r="B2590" t="str">
        <f>"110.50"</f>
        <v>110.50</v>
      </c>
      <c r="C2590" t="str">
        <f>"110.3182"</f>
        <v>110.3182</v>
      </c>
    </row>
    <row r="2591" spans="1:3" x14ac:dyDescent="0.25">
      <c r="A2591" t="str">
        <f>"27/02/2020"</f>
        <v>27/02/2020</v>
      </c>
      <c r="B2591" t="str">
        <f>"110.08"</f>
        <v>110.08</v>
      </c>
      <c r="C2591" t="str">
        <f>"109.8962"</f>
        <v>109.8962</v>
      </c>
    </row>
    <row r="2592" spans="1:3" x14ac:dyDescent="0.25">
      <c r="A2592" t="str">
        <f>"28/02/2020"</f>
        <v>28/02/2020</v>
      </c>
      <c r="B2592" t="str">
        <f>"108.71"</f>
        <v>108.71</v>
      </c>
      <c r="C2592" t="str">
        <f>"108.5281"</f>
        <v>108.5281</v>
      </c>
    </row>
    <row r="2593" spans="1:3" x14ac:dyDescent="0.25">
      <c r="A2593" t="str">
        <f>"02/03/2020"</f>
        <v>02/03/2020</v>
      </c>
      <c r="B2593" t="str">
        <f>"107.64"</f>
        <v>107.64</v>
      </c>
      <c r="C2593" t="str">
        <f>"107.4508"</f>
        <v>107.4508</v>
      </c>
    </row>
    <row r="2594" spans="1:3" x14ac:dyDescent="0.25">
      <c r="A2594" t="str">
        <f>"03/03/2020"</f>
        <v>03/03/2020</v>
      </c>
      <c r="B2594" t="str">
        <f>"107.94"</f>
        <v>107.94</v>
      </c>
      <c r="C2594" t="str">
        <f>"107.7633"</f>
        <v>107.7633</v>
      </c>
    </row>
    <row r="2595" spans="1:3" x14ac:dyDescent="0.25">
      <c r="A2595" t="str">
        <f>"04/03/2020"</f>
        <v>04/03/2020</v>
      </c>
      <c r="B2595" t="str">
        <f>"107.55"</f>
        <v>107.55</v>
      </c>
      <c r="C2595" t="str">
        <f>"107.4023"</f>
        <v>107.4023</v>
      </c>
    </row>
    <row r="2596" spans="1:3" x14ac:dyDescent="0.25">
      <c r="A2596" t="str">
        <f>"05/03/2020"</f>
        <v>05/03/2020</v>
      </c>
      <c r="B2596" t="str">
        <f>"106.89"</f>
        <v>106.89</v>
      </c>
      <c r="C2596" t="str">
        <f>"106.7363"</f>
        <v>106.7363</v>
      </c>
    </row>
    <row r="2597" spans="1:3" x14ac:dyDescent="0.25">
      <c r="A2597" t="str">
        <f>"06/03/2020"</f>
        <v>06/03/2020</v>
      </c>
      <c r="B2597" t="str">
        <f>"105.26"</f>
        <v>105.26</v>
      </c>
      <c r="C2597" t="str">
        <f>"105.0975"</f>
        <v>105.0975</v>
      </c>
    </row>
    <row r="2598" spans="1:3" x14ac:dyDescent="0.25">
      <c r="A2598" t="str">
        <f>"09/03/2020"</f>
        <v>09/03/2020</v>
      </c>
      <c r="B2598" t="str">
        <f>"102.75"</f>
        <v>102.75</v>
      </c>
      <c r="C2598" t="str">
        <f>"102.5961"</f>
        <v>102.5961</v>
      </c>
    </row>
    <row r="2599" spans="1:3" x14ac:dyDescent="0.25">
      <c r="A2599" t="str">
        <f>"11/03/2020"</f>
        <v>11/03/2020</v>
      </c>
      <c r="B2599" t="str">
        <f>"104.74"</f>
        <v>104.74</v>
      </c>
      <c r="C2599" t="str">
        <f>"104.603"</f>
        <v>104.603</v>
      </c>
    </row>
    <row r="2600" spans="1:3" x14ac:dyDescent="0.25">
      <c r="A2600" t="str">
        <f>"12/03/2020"</f>
        <v>12/03/2020</v>
      </c>
      <c r="B2600" t="str">
        <f>"103.81"</f>
        <v>103.81</v>
      </c>
      <c r="C2600" t="str">
        <f>"103.6229"</f>
        <v>103.6229</v>
      </c>
    </row>
    <row r="2601" spans="1:3" x14ac:dyDescent="0.25">
      <c r="A2601" t="str">
        <f>"13/03/2020"</f>
        <v>13/03/2020</v>
      </c>
      <c r="B2601" t="str">
        <f>"106.55"</f>
        <v>106.55</v>
      </c>
      <c r="C2601" t="str">
        <f>"106.322"</f>
        <v>106.322</v>
      </c>
    </row>
    <row r="2602" spans="1:3" x14ac:dyDescent="0.25">
      <c r="A2602" t="str">
        <f>"16/03/2020"</f>
        <v>16/03/2020</v>
      </c>
      <c r="B2602" t="str">
        <f>"105.97"</f>
        <v>105.97</v>
      </c>
      <c r="C2602" t="str">
        <f>"105.7308"</f>
        <v>105.7308</v>
      </c>
    </row>
    <row r="2603" spans="1:3" x14ac:dyDescent="0.25">
      <c r="A2603" t="str">
        <f>"17/03/2020"</f>
        <v>17/03/2020</v>
      </c>
      <c r="B2603" t="str">
        <f>"106.49"</f>
        <v>106.49</v>
      </c>
      <c r="C2603" t="str">
        <f>"106.233"</f>
        <v>106.233</v>
      </c>
    </row>
    <row r="2604" spans="1:3" x14ac:dyDescent="0.25">
      <c r="A2604" t="str">
        <f>"18/03/2020"</f>
        <v>18/03/2020</v>
      </c>
      <c r="B2604" t="str">
        <f>"107.45"</f>
        <v>107.45</v>
      </c>
      <c r="C2604" t="str">
        <f>"107.2098"</f>
        <v>107.2098</v>
      </c>
    </row>
    <row r="2605" spans="1:3" x14ac:dyDescent="0.25">
      <c r="A2605" t="str">
        <f>"19/03/2020"</f>
        <v>19/03/2020</v>
      </c>
      <c r="B2605" t="str">
        <f>"109.75"</f>
        <v>109.75</v>
      </c>
      <c r="C2605" t="str">
        <f>"109.2448"</f>
        <v>109.2448</v>
      </c>
    </row>
    <row r="2606" spans="1:3" x14ac:dyDescent="0.25">
      <c r="A2606" t="str">
        <f>"20/03/2020"</f>
        <v>20/03/2020</v>
      </c>
      <c r="B2606" t="str">
        <f>"109.84"</f>
        <v>109.84</v>
      </c>
      <c r="C2606" t="str">
        <f>"109.4863"</f>
        <v>109.4863</v>
      </c>
    </row>
    <row r="2607" spans="1:3" x14ac:dyDescent="0.25">
      <c r="A2607" t="str">
        <f>"23/03/2020"</f>
        <v>23/03/2020</v>
      </c>
      <c r="B2607" t="str">
        <f>"110.74"</f>
        <v>110.74</v>
      </c>
      <c r="C2607" t="str">
        <f>"110.421"</f>
        <v>110.421</v>
      </c>
    </row>
    <row r="2608" spans="1:3" x14ac:dyDescent="0.25">
      <c r="A2608" t="str">
        <f>"24/03/2020"</f>
        <v>24/03/2020</v>
      </c>
      <c r="B2608" t="str">
        <f>"110.18"</f>
        <v>110.18</v>
      </c>
      <c r="C2608" t="str">
        <f>"109.8869"</f>
        <v>109.8869</v>
      </c>
    </row>
    <row r="2609" spans="1:3" x14ac:dyDescent="0.25">
      <c r="A2609" t="str">
        <f>"26/03/2020"</f>
        <v>26/03/2020</v>
      </c>
      <c r="B2609" t="str">
        <f>"109.71"</f>
        <v>109.71</v>
      </c>
      <c r="C2609" t="str">
        <f>"109.52"</f>
        <v>109.52</v>
      </c>
    </row>
    <row r="2610" spans="1:3" x14ac:dyDescent="0.25">
      <c r="A2610" t="str">
        <f>"27/03/2020"</f>
        <v>27/03/2020</v>
      </c>
      <c r="B2610" t="str">
        <f>"108.71"</f>
        <v>108.71</v>
      </c>
      <c r="C2610" t="str">
        <f>"108.5003"</f>
        <v>108.5003</v>
      </c>
    </row>
    <row r="2611" spans="1:3" x14ac:dyDescent="0.25">
      <c r="A2611" t="str">
        <f>"30/03/2020"</f>
        <v>30/03/2020</v>
      </c>
      <c r="B2611" t="str">
        <f>"108.00"</f>
        <v>108.00</v>
      </c>
      <c r="C2611" t="str">
        <f>"107.8108"</f>
        <v>107.8108</v>
      </c>
    </row>
    <row r="2612" spans="1:3" x14ac:dyDescent="0.25">
      <c r="A2612" t="str">
        <f>"31/03/2020"</f>
        <v>31/03/2020</v>
      </c>
      <c r="B2612" t="str">
        <f>"107.79"</f>
        <v>107.79</v>
      </c>
      <c r="C2612" t="str">
        <f>"107.5841"</f>
        <v>107.5841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40B9C-C520-46E6-A94A-C3C8C92277F3}">
  <dimension ref="A2:C2612"/>
  <sheetViews>
    <sheetView workbookViewId="0">
      <selection activeCell="C2612" sqref="C2612"/>
    </sheetView>
  </sheetViews>
  <sheetFormatPr defaultRowHeight="15" x14ac:dyDescent="0.25"/>
  <cols>
    <col min="1" max="1" width="10.7109375" bestFit="1" customWidth="1"/>
    <col min="2" max="2" width="8.5703125" bestFit="1" customWidth="1"/>
    <col min="3" max="3" width="9.5703125" bestFit="1" customWidth="1"/>
  </cols>
  <sheetData>
    <row r="2" spans="1:3" x14ac:dyDescent="0.25">
      <c r="A2" t="str">
        <f>"29/05/2009"</f>
        <v>29/05/2009</v>
      </c>
      <c r="B2" t="str">
        <f>"1261.10"</f>
        <v>1261.10</v>
      </c>
      <c r="C2" t="str">
        <f>"1261.1395"</f>
        <v>1261.1395</v>
      </c>
    </row>
    <row r="3" spans="1:3" x14ac:dyDescent="0.25">
      <c r="A3" t="str">
        <f>"01/06/2009"</f>
        <v>01/06/2009</v>
      </c>
      <c r="B3" t="str">
        <f>"1249.60"</f>
        <v>1249.60</v>
      </c>
      <c r="C3" t="str">
        <f>"1249.6405"</f>
        <v>1249.6405</v>
      </c>
    </row>
    <row r="4" spans="1:3" x14ac:dyDescent="0.25">
      <c r="A4" t="str">
        <f>"02/06/2009"</f>
        <v>02/06/2009</v>
      </c>
      <c r="B4" t="str">
        <f>"1239.10"</f>
        <v>1239.10</v>
      </c>
      <c r="C4" t="str">
        <f>"1239.1362"</f>
        <v>1239.1362</v>
      </c>
    </row>
    <row r="5" spans="1:3" x14ac:dyDescent="0.25">
      <c r="A5" t="str">
        <f>"03/06/2009"</f>
        <v>03/06/2009</v>
      </c>
      <c r="B5" t="str">
        <f>"1240.10"</f>
        <v>1240.10</v>
      </c>
      <c r="C5" t="str">
        <f>"1240.1446"</f>
        <v>1240.1446</v>
      </c>
    </row>
    <row r="6" spans="1:3" x14ac:dyDescent="0.25">
      <c r="A6" t="str">
        <f>"04/06/2009"</f>
        <v>04/06/2009</v>
      </c>
      <c r="B6" t="str">
        <f>"1250.90"</f>
        <v>1250.90</v>
      </c>
      <c r="C6" t="str">
        <f>"1250.9385"</f>
        <v>1250.9385</v>
      </c>
    </row>
    <row r="7" spans="1:3" x14ac:dyDescent="0.25">
      <c r="A7" t="str">
        <f>"05/06/2009"</f>
        <v>05/06/2009</v>
      </c>
      <c r="B7" t="str">
        <f>"1244.10"</f>
        <v>1244.10</v>
      </c>
      <c r="C7" t="str">
        <f>"1244.1414"</f>
        <v>1244.1414</v>
      </c>
    </row>
    <row r="8" spans="1:3" x14ac:dyDescent="0.25">
      <c r="A8" t="str">
        <f>"08/06/2009"</f>
        <v>08/06/2009</v>
      </c>
      <c r="B8" t="str">
        <f>"1251.60"</f>
        <v>1251.60</v>
      </c>
      <c r="C8" t="str">
        <f>"1251.6246"</f>
        <v>1251.6246</v>
      </c>
    </row>
    <row r="9" spans="1:3" x14ac:dyDescent="0.25">
      <c r="A9" t="str">
        <f>"09/06/2009"</f>
        <v>09/06/2009</v>
      </c>
      <c r="B9" t="str">
        <f>"1259.00"</f>
        <v>1259.00</v>
      </c>
      <c r="C9" t="str">
        <f>"1259.0409"</f>
        <v>1259.0409</v>
      </c>
    </row>
    <row r="10" spans="1:3" x14ac:dyDescent="0.25">
      <c r="A10" t="str">
        <f>"10/06/2009"</f>
        <v>10/06/2009</v>
      </c>
      <c r="B10" t="str">
        <f>"1253.20"</f>
        <v>1253.20</v>
      </c>
      <c r="C10" t="str">
        <f>"1253.2385"</f>
        <v>1253.2385</v>
      </c>
    </row>
    <row r="11" spans="1:3" x14ac:dyDescent="0.25">
      <c r="A11" t="str">
        <f>"11/06/2009"</f>
        <v>11/06/2009</v>
      </c>
      <c r="B11" t="str">
        <f>"1250.00"</f>
        <v>1250.00</v>
      </c>
      <c r="C11" t="str">
        <f>"1250.0378"</f>
        <v>1250.0378</v>
      </c>
    </row>
    <row r="12" spans="1:3" x14ac:dyDescent="0.25">
      <c r="A12" t="str">
        <f>"12/06/2009"</f>
        <v>12/06/2009</v>
      </c>
      <c r="B12" t="str">
        <f>"1253.50"</f>
        <v>1253.50</v>
      </c>
      <c r="C12" t="str">
        <f>"1253.53"</f>
        <v>1253.53</v>
      </c>
    </row>
    <row r="13" spans="1:3" x14ac:dyDescent="0.25">
      <c r="A13" t="str">
        <f>"15/06/2009"</f>
        <v>15/06/2009</v>
      </c>
      <c r="B13" t="str">
        <f>"1260.40"</f>
        <v>1260.40</v>
      </c>
      <c r="C13" t="str">
        <f>"1260.4299"</f>
        <v>1260.4299</v>
      </c>
    </row>
    <row r="14" spans="1:3" x14ac:dyDescent="0.25">
      <c r="A14" t="str">
        <f>"16/06/2009"</f>
        <v>16/06/2009</v>
      </c>
      <c r="B14" t="str">
        <f>"1265.50"</f>
        <v>1265.50</v>
      </c>
      <c r="C14" t="str">
        <f>"1265.5186"</f>
        <v>1265.5186</v>
      </c>
    </row>
    <row r="15" spans="1:3" x14ac:dyDescent="0.25">
      <c r="A15" t="str">
        <f>"17/06/2009"</f>
        <v>17/06/2009</v>
      </c>
      <c r="B15" t="str">
        <f>"1260.20"</f>
        <v>1260.20</v>
      </c>
      <c r="C15" t="str">
        <f>"1260.2129"</f>
        <v>1260.2129</v>
      </c>
    </row>
    <row r="16" spans="1:3" x14ac:dyDescent="0.25">
      <c r="A16" t="str">
        <f>"18/06/2009"</f>
        <v>18/06/2009</v>
      </c>
      <c r="B16" t="str">
        <f>"1263.70"</f>
        <v>1263.70</v>
      </c>
      <c r="C16" t="str">
        <f>"1263.7252"</f>
        <v>1263.7252</v>
      </c>
    </row>
    <row r="17" spans="1:3" x14ac:dyDescent="0.25">
      <c r="A17" t="str">
        <f>"19/06/2009"</f>
        <v>19/06/2009</v>
      </c>
      <c r="B17" t="str">
        <f>"1267.30"</f>
        <v>1267.30</v>
      </c>
      <c r="C17" t="str">
        <f>"1267.3311"</f>
        <v>1267.3311</v>
      </c>
    </row>
    <row r="18" spans="1:3" x14ac:dyDescent="0.25">
      <c r="A18" t="str">
        <f>"22/06/2009"</f>
        <v>22/06/2009</v>
      </c>
      <c r="B18" t="str">
        <f>"1273.10"</f>
        <v>1273.10</v>
      </c>
      <c r="C18" t="str">
        <f>"1273.1246"</f>
        <v>1273.1246</v>
      </c>
    </row>
    <row r="19" spans="1:3" x14ac:dyDescent="0.25">
      <c r="A19" t="str">
        <f>"23/06/2009"</f>
        <v>23/06/2009</v>
      </c>
      <c r="B19" t="str">
        <f>"1289.10"</f>
        <v>1289.10</v>
      </c>
      <c r="C19" t="str">
        <f>"1289.1505"</f>
        <v>1289.1505</v>
      </c>
    </row>
    <row r="20" spans="1:3" x14ac:dyDescent="0.25">
      <c r="A20" t="str">
        <f>"24/06/2009"</f>
        <v>24/06/2009</v>
      </c>
      <c r="B20" t="str">
        <f>"1278.95"</f>
        <v>1278.95</v>
      </c>
      <c r="C20" t="str">
        <f>"1279.0038"</f>
        <v>1279.0038</v>
      </c>
    </row>
    <row r="21" spans="1:3" x14ac:dyDescent="0.25">
      <c r="A21" t="str">
        <f>"25/06/2009"</f>
        <v>25/06/2009</v>
      </c>
      <c r="B21" t="str">
        <f>"1286.80"</f>
        <v>1286.80</v>
      </c>
      <c r="C21" t="str">
        <f>"1286.852"</f>
        <v>1286.852</v>
      </c>
    </row>
    <row r="22" spans="1:3" x14ac:dyDescent="0.25">
      <c r="A22" t="str">
        <f>"26/06/2009"</f>
        <v>26/06/2009</v>
      </c>
      <c r="B22" t="str">
        <f>"1291.30"</f>
        <v>1291.30</v>
      </c>
      <c r="C22" t="str">
        <f>"1291.3492"</f>
        <v>1291.3492</v>
      </c>
    </row>
    <row r="23" spans="1:3" x14ac:dyDescent="0.25">
      <c r="A23" t="str">
        <f>"29/06/2009"</f>
        <v>29/06/2009</v>
      </c>
      <c r="B23" t="str">
        <f>"1288.60"</f>
        <v>1288.60</v>
      </c>
      <c r="C23" t="str">
        <f>"1288.6539"</f>
        <v>1288.6539</v>
      </c>
    </row>
    <row r="24" spans="1:3" x14ac:dyDescent="0.25">
      <c r="A24" t="str">
        <f>"30/06/2009"</f>
        <v>30/06/2009</v>
      </c>
      <c r="B24" t="str">
        <f>"1278.30"</f>
        <v>1278.30</v>
      </c>
      <c r="C24" t="str">
        <f>"1278.3581"</f>
        <v>1278.3581</v>
      </c>
    </row>
    <row r="25" spans="1:3" x14ac:dyDescent="0.25">
      <c r="A25" t="str">
        <f>"01/07/2009"</f>
        <v>01/07/2009</v>
      </c>
      <c r="B25" t="str">
        <f>"1267.10"</f>
        <v>1267.10</v>
      </c>
      <c r="C25" t="str">
        <f>"1267.1554"</f>
        <v>1267.1554</v>
      </c>
    </row>
    <row r="26" spans="1:3" x14ac:dyDescent="0.25">
      <c r="A26" t="str">
        <f>"03/07/2009"</f>
        <v>03/07/2009</v>
      </c>
      <c r="B26" t="str">
        <f>"1272.20"</f>
        <v>1272.20</v>
      </c>
      <c r="C26" t="str">
        <f>"1272.2649"</f>
        <v>1272.2649</v>
      </c>
    </row>
    <row r="27" spans="1:3" x14ac:dyDescent="0.25">
      <c r="A27" t="str">
        <f>"06/07/2009"</f>
        <v>06/07/2009</v>
      </c>
      <c r="B27" t="str">
        <f>"1269.00"</f>
        <v>1269.00</v>
      </c>
      <c r="C27" t="str">
        <f>"1269.0415"</f>
        <v>1269.0415</v>
      </c>
    </row>
    <row r="28" spans="1:3" x14ac:dyDescent="0.25">
      <c r="A28" t="str">
        <f>"07/07/2009"</f>
        <v>07/07/2009</v>
      </c>
      <c r="B28" t="str">
        <f>"1269.30"</f>
        <v>1269.30</v>
      </c>
      <c r="C28" t="str">
        <f>"1269.3432"</f>
        <v>1269.3432</v>
      </c>
    </row>
    <row r="29" spans="1:3" x14ac:dyDescent="0.25">
      <c r="A29" t="str">
        <f>"08/07/2009"</f>
        <v>08/07/2009</v>
      </c>
      <c r="B29" t="str">
        <f>"1279.00"</f>
        <v>1279.00</v>
      </c>
      <c r="C29" t="str">
        <f>"1279.0406"</f>
        <v>1279.0406</v>
      </c>
    </row>
    <row r="30" spans="1:3" x14ac:dyDescent="0.25">
      <c r="A30" t="str">
        <f>"09/07/2009"</f>
        <v>09/07/2009</v>
      </c>
      <c r="B30" t="str">
        <f>"1278.00"</f>
        <v>1278.00</v>
      </c>
      <c r="C30" t="str">
        <f>"1278.0328"</f>
        <v>1278.0328</v>
      </c>
    </row>
    <row r="31" spans="1:3" x14ac:dyDescent="0.25">
      <c r="A31" t="str">
        <f>"10/07/2009"</f>
        <v>10/07/2009</v>
      </c>
      <c r="B31" t="str">
        <f>"1277.95"</f>
        <v>1277.95</v>
      </c>
      <c r="C31" t="str">
        <f>"1277.983"</f>
        <v>1277.983</v>
      </c>
    </row>
    <row r="32" spans="1:3" x14ac:dyDescent="0.25">
      <c r="A32" t="str">
        <f>"13/07/2009"</f>
        <v>13/07/2009</v>
      </c>
      <c r="B32" t="str">
        <f>"1290.90"</f>
        <v>1290.90</v>
      </c>
      <c r="C32" t="str">
        <f>"1290.9303"</f>
        <v>1290.9303</v>
      </c>
    </row>
    <row r="33" spans="1:3" x14ac:dyDescent="0.25">
      <c r="A33" t="str">
        <f>"14/07/2009"</f>
        <v>14/07/2009</v>
      </c>
      <c r="B33" t="str">
        <f>"1293.00"</f>
        <v>1293.00</v>
      </c>
      <c r="C33" t="str">
        <f>"1293.0289"</f>
        <v>1293.0289</v>
      </c>
    </row>
    <row r="34" spans="1:3" x14ac:dyDescent="0.25">
      <c r="A34" t="str">
        <f>"15/07/2009"</f>
        <v>15/07/2009</v>
      </c>
      <c r="B34" t="str">
        <f>"1282.50"</f>
        <v>1282.50</v>
      </c>
      <c r="C34" t="str">
        <f>"1282.5305"</f>
        <v>1282.5305</v>
      </c>
    </row>
    <row r="35" spans="1:3" x14ac:dyDescent="0.25">
      <c r="A35" t="str">
        <f>"16/07/2009"</f>
        <v>16/07/2009</v>
      </c>
      <c r="B35" t="str">
        <f>"1269.00"</f>
        <v>1269.00</v>
      </c>
      <c r="C35" t="str">
        <f>"1269.03"</f>
        <v>1269.03</v>
      </c>
    </row>
    <row r="36" spans="1:3" x14ac:dyDescent="0.25">
      <c r="A36" t="str">
        <f>"17/07/2009"</f>
        <v>17/07/2009</v>
      </c>
      <c r="B36" t="str">
        <f>"1262.50"</f>
        <v>1262.50</v>
      </c>
      <c r="C36" t="str">
        <f>"1262.5308"</f>
        <v>1262.5308</v>
      </c>
    </row>
    <row r="37" spans="1:3" x14ac:dyDescent="0.25">
      <c r="A37" t="str">
        <f>"20/07/2009"</f>
        <v>20/07/2009</v>
      </c>
      <c r="B37" t="str">
        <f>"1252.90"</f>
        <v>1252.90</v>
      </c>
      <c r="C37" t="str">
        <f>"1252.9366"</f>
        <v>1252.9366</v>
      </c>
    </row>
    <row r="38" spans="1:3" x14ac:dyDescent="0.25">
      <c r="A38" t="str">
        <f>"21/07/2009"</f>
        <v>21/07/2009</v>
      </c>
      <c r="B38" t="str">
        <f>"1253.45"</f>
        <v>1253.45</v>
      </c>
      <c r="C38" t="str">
        <f>"1253.4794"</f>
        <v>1253.4794</v>
      </c>
    </row>
    <row r="39" spans="1:3" x14ac:dyDescent="0.25">
      <c r="A39" t="str">
        <f>"22/07/2009"</f>
        <v>22/07/2009</v>
      </c>
      <c r="B39" t="str">
        <f>"1251.90"</f>
        <v>1251.90</v>
      </c>
      <c r="C39" t="str">
        <f>"1251.9296"</f>
        <v>1251.9296</v>
      </c>
    </row>
    <row r="40" spans="1:3" x14ac:dyDescent="0.25">
      <c r="A40" t="str">
        <f>"23/07/2009"</f>
        <v>23/07/2009</v>
      </c>
      <c r="B40" t="str">
        <f>"1248.75"</f>
        <v>1248.75</v>
      </c>
      <c r="C40" t="str">
        <f>"1248.783"</f>
        <v>1248.783</v>
      </c>
    </row>
    <row r="41" spans="1:3" x14ac:dyDescent="0.25">
      <c r="A41" t="str">
        <f>"24/07/2009"</f>
        <v>24/07/2009</v>
      </c>
      <c r="B41" t="str">
        <f>"1246.80"</f>
        <v>1246.80</v>
      </c>
      <c r="C41" t="str">
        <f>"1246.8324"</f>
        <v>1246.8324</v>
      </c>
    </row>
    <row r="42" spans="1:3" x14ac:dyDescent="0.25">
      <c r="A42" t="str">
        <f>"27/07/2009"</f>
        <v>27/07/2009</v>
      </c>
      <c r="B42" t="str">
        <f>"1246.50"</f>
        <v>1246.50</v>
      </c>
      <c r="C42" t="str">
        <f>"1246.5301"</f>
        <v>1246.5301</v>
      </c>
    </row>
    <row r="43" spans="1:3" x14ac:dyDescent="0.25">
      <c r="A43" t="str">
        <f>"28/07/2009"</f>
        <v>28/07/2009</v>
      </c>
      <c r="B43" t="str">
        <f>"1243.00"</f>
        <v>1243.00</v>
      </c>
      <c r="C43" t="str">
        <f>"1243.0326"</f>
        <v>1243.0326</v>
      </c>
    </row>
    <row r="44" spans="1:3" x14ac:dyDescent="0.25">
      <c r="A44" t="str">
        <f>"29/07/2009"</f>
        <v>29/07/2009</v>
      </c>
      <c r="B44" t="str">
        <f>"1239.30"</f>
        <v>1239.30</v>
      </c>
      <c r="C44" t="str">
        <f>"1239.3379"</f>
        <v>1239.3379</v>
      </c>
    </row>
    <row r="45" spans="1:3" x14ac:dyDescent="0.25">
      <c r="A45" t="str">
        <f>"30/07/2009"</f>
        <v>30/07/2009</v>
      </c>
      <c r="B45" t="str">
        <f>"1241.00"</f>
        <v>1241.00</v>
      </c>
      <c r="C45" t="str">
        <f>"1241.0304"</f>
        <v>1241.0304</v>
      </c>
    </row>
    <row r="46" spans="1:3" x14ac:dyDescent="0.25">
      <c r="A46" t="str">
        <f>"31/07/2009"</f>
        <v>31/07/2009</v>
      </c>
      <c r="B46" t="str">
        <f>"1231.70"</f>
        <v>1231.70</v>
      </c>
      <c r="C46" t="str">
        <f>"1231.7351"</f>
        <v>1231.7351</v>
      </c>
    </row>
    <row r="47" spans="1:3" x14ac:dyDescent="0.25">
      <c r="A47" t="str">
        <f>"03/08/2009"</f>
        <v>03/08/2009</v>
      </c>
      <c r="B47" t="str">
        <f>"1223.70"</f>
        <v>1223.70</v>
      </c>
      <c r="C47" t="str">
        <f>"1223.7314"</f>
        <v>1223.7314</v>
      </c>
    </row>
    <row r="48" spans="1:3" x14ac:dyDescent="0.25">
      <c r="A48" t="str">
        <f>"04/08/2009"</f>
        <v>04/08/2009</v>
      </c>
      <c r="B48" t="str">
        <f>"1218.60"</f>
        <v>1218.60</v>
      </c>
      <c r="C48" t="str">
        <f>"1218.6371"</f>
        <v>1218.6371</v>
      </c>
    </row>
    <row r="49" spans="1:3" x14ac:dyDescent="0.25">
      <c r="A49" t="str">
        <f>"05/08/2009"</f>
        <v>05/08/2009</v>
      </c>
      <c r="B49" t="str">
        <f>"1220.10"</f>
        <v>1220.10</v>
      </c>
      <c r="C49" t="str">
        <f>"1220.135"</f>
        <v>1220.135</v>
      </c>
    </row>
    <row r="50" spans="1:3" x14ac:dyDescent="0.25">
      <c r="A50" t="str">
        <f>"06/08/2009"</f>
        <v>06/08/2009</v>
      </c>
      <c r="B50" t="str">
        <f>"1223.80"</f>
        <v>1223.80</v>
      </c>
      <c r="C50" t="str">
        <f>"1223.8311"</f>
        <v>1223.8311</v>
      </c>
    </row>
    <row r="51" spans="1:3" x14ac:dyDescent="0.25">
      <c r="A51" t="str">
        <f>"07/08/2009"</f>
        <v>07/08/2009</v>
      </c>
      <c r="B51" t="str">
        <f>"1228.10"</f>
        <v>1228.10</v>
      </c>
      <c r="C51" t="str">
        <f>"1228.1294"</f>
        <v>1228.1294</v>
      </c>
    </row>
    <row r="52" spans="1:3" x14ac:dyDescent="0.25">
      <c r="A52" t="str">
        <f>"10/08/2009"</f>
        <v>10/08/2009</v>
      </c>
      <c r="B52" t="str">
        <f>"1223.80"</f>
        <v>1223.80</v>
      </c>
      <c r="C52" t="str">
        <f>"1223.8399"</f>
        <v>1223.8399</v>
      </c>
    </row>
    <row r="53" spans="1:3" x14ac:dyDescent="0.25">
      <c r="A53" t="str">
        <f>"11/08/2009"</f>
        <v>11/08/2009</v>
      </c>
      <c r="B53" t="str">
        <f>"1242.75"</f>
        <v>1242.75</v>
      </c>
      <c r="C53" t="str">
        <f>"1242.7812"</f>
        <v>1242.7812</v>
      </c>
    </row>
    <row r="54" spans="1:3" x14ac:dyDescent="0.25">
      <c r="A54" t="str">
        <f>"12/08/2009"</f>
        <v>12/08/2009</v>
      </c>
      <c r="B54" t="str">
        <f>"1251.95"</f>
        <v>1251.95</v>
      </c>
      <c r="C54" t="str">
        <f>"1251.983"</f>
        <v>1251.983</v>
      </c>
    </row>
    <row r="55" spans="1:3" x14ac:dyDescent="0.25">
      <c r="A55" t="str">
        <f>"13/08/2009"</f>
        <v>13/08/2009</v>
      </c>
      <c r="B55" t="str">
        <f>"1238.60"</f>
        <v>1238.60</v>
      </c>
      <c r="C55" t="str">
        <f>"1238.6371"</f>
        <v>1238.6371</v>
      </c>
    </row>
    <row r="56" spans="1:3" x14ac:dyDescent="0.25">
      <c r="A56" t="str">
        <f>"14/08/2009"</f>
        <v>14/08/2009</v>
      </c>
      <c r="B56" t="str">
        <f>"1237.50"</f>
        <v>1237.50</v>
      </c>
      <c r="C56" t="str">
        <f>"1237.5393"</f>
        <v>1237.5393</v>
      </c>
    </row>
    <row r="57" spans="1:3" x14ac:dyDescent="0.25">
      <c r="A57" t="str">
        <f>"17/08/2009"</f>
        <v>17/08/2009</v>
      </c>
      <c r="B57" t="str">
        <f>"1251.80"</f>
        <v>1251.80</v>
      </c>
      <c r="C57" t="str">
        <f>"1251.8319"</f>
        <v>1251.8319</v>
      </c>
    </row>
    <row r="58" spans="1:3" x14ac:dyDescent="0.25">
      <c r="A58" t="str">
        <f>"18/08/2009"</f>
        <v>18/08/2009</v>
      </c>
      <c r="B58" t="str">
        <f>"1256.10"</f>
        <v>1256.10</v>
      </c>
      <c r="C58" t="str">
        <f>"1256.1508"</f>
        <v>1256.1508</v>
      </c>
    </row>
    <row r="59" spans="1:3" x14ac:dyDescent="0.25">
      <c r="A59" t="str">
        <f>"20/08/2009"</f>
        <v>20/08/2009</v>
      </c>
      <c r="B59" t="str">
        <f>"1250.10"</f>
        <v>1250.10</v>
      </c>
      <c r="C59" t="str">
        <f>"1250.14"</f>
        <v>1250.14</v>
      </c>
    </row>
    <row r="60" spans="1:3" x14ac:dyDescent="0.25">
      <c r="A60" t="str">
        <f>"21/08/2009"</f>
        <v>21/08/2009</v>
      </c>
      <c r="B60" t="str">
        <f>"1249.70"</f>
        <v>1249.70</v>
      </c>
      <c r="C60" t="str">
        <f>"1249.7372"</f>
        <v>1249.7372</v>
      </c>
    </row>
    <row r="61" spans="1:3" x14ac:dyDescent="0.25">
      <c r="A61" t="str">
        <f>"24/08/2009"</f>
        <v>24/08/2009</v>
      </c>
      <c r="B61" t="str">
        <f>"1243.30"</f>
        <v>1243.30</v>
      </c>
      <c r="C61" t="str">
        <f>"1243.3459"</f>
        <v>1243.3459</v>
      </c>
    </row>
    <row r="62" spans="1:3" x14ac:dyDescent="0.25">
      <c r="A62" t="str">
        <f>"25/08/2009"</f>
        <v>25/08/2009</v>
      </c>
      <c r="B62" t="str">
        <f>"1247.70"</f>
        <v>1247.70</v>
      </c>
      <c r="C62" t="str">
        <f>"1247.7293"</f>
        <v>1247.7293</v>
      </c>
    </row>
    <row r="63" spans="1:3" x14ac:dyDescent="0.25">
      <c r="A63" t="str">
        <f>"26/08/2009"</f>
        <v>26/08/2009</v>
      </c>
      <c r="B63" t="str">
        <f>"1247.35"</f>
        <v>1247.35</v>
      </c>
      <c r="C63" t="str">
        <f>"1247.3815"</f>
        <v>1247.3815</v>
      </c>
    </row>
    <row r="64" spans="1:3" x14ac:dyDescent="0.25">
      <c r="A64" t="str">
        <f>"27/08/2009"</f>
        <v>27/08/2009</v>
      </c>
      <c r="B64" t="str">
        <f>"1249.50"</f>
        <v>1249.50</v>
      </c>
      <c r="C64" t="str">
        <f>"1249.5337"</f>
        <v>1249.5337</v>
      </c>
    </row>
    <row r="65" spans="1:3" x14ac:dyDescent="0.25">
      <c r="A65" t="str">
        <f>"28/08/2009"</f>
        <v>28/08/2009</v>
      </c>
      <c r="B65" t="str">
        <f>"1245.10"</f>
        <v>1245.10</v>
      </c>
      <c r="C65" t="str">
        <f>"1245.1309"</f>
        <v>1245.1309</v>
      </c>
    </row>
    <row r="66" spans="1:3" x14ac:dyDescent="0.25">
      <c r="A66" t="str">
        <f>"31/08/2009"</f>
        <v>31/08/2009</v>
      </c>
      <c r="B66" t="str">
        <f>"1248.30"</f>
        <v>1248.30</v>
      </c>
      <c r="C66" t="str">
        <f>"1248.3381"</f>
        <v>1248.3381</v>
      </c>
    </row>
    <row r="67" spans="1:3" x14ac:dyDescent="0.25">
      <c r="A67" t="str">
        <f>"01/09/2009"</f>
        <v>01/09/2009</v>
      </c>
      <c r="B67" t="str">
        <f>"1247.00"</f>
        <v>1247.00</v>
      </c>
      <c r="C67" t="str">
        <f>"1247.0353"</f>
        <v>1247.0353</v>
      </c>
    </row>
    <row r="68" spans="1:3" x14ac:dyDescent="0.25">
      <c r="A68" t="str">
        <f>"02/09/2009"</f>
        <v>02/09/2009</v>
      </c>
      <c r="B68" t="str">
        <f>"1247.90"</f>
        <v>1247.90</v>
      </c>
      <c r="C68" t="str">
        <f>"1247.934"</f>
        <v>1247.934</v>
      </c>
    </row>
    <row r="69" spans="1:3" x14ac:dyDescent="0.25">
      <c r="A69" t="str">
        <f>"03/09/2009"</f>
        <v>03/09/2009</v>
      </c>
      <c r="B69" t="str">
        <f>"1246.30"</f>
        <v>1246.30</v>
      </c>
      <c r="C69" t="str">
        <f>"1246.3306"</f>
        <v>1246.3306</v>
      </c>
    </row>
    <row r="70" spans="1:3" x14ac:dyDescent="0.25">
      <c r="A70" t="str">
        <f>"04/09/2009"</f>
        <v>04/09/2009</v>
      </c>
      <c r="B70" t="str">
        <f>"1242.80"</f>
        <v>1242.80</v>
      </c>
      <c r="C70" t="str">
        <f>"1242.8345"</f>
        <v>1242.8345</v>
      </c>
    </row>
    <row r="71" spans="1:3" x14ac:dyDescent="0.25">
      <c r="A71" t="str">
        <f>"07/09/2009"</f>
        <v>07/09/2009</v>
      </c>
      <c r="B71" t="str">
        <f>"1234.00"</f>
        <v>1234.00</v>
      </c>
      <c r="C71" t="str">
        <f>"1234.0351"</f>
        <v>1234.0351</v>
      </c>
    </row>
    <row r="72" spans="1:3" x14ac:dyDescent="0.25">
      <c r="A72" t="str">
        <f>"08/09/2009"</f>
        <v>08/09/2009</v>
      </c>
      <c r="B72" t="str">
        <f>"1232.50"</f>
        <v>1232.50</v>
      </c>
      <c r="C72" t="str">
        <f>"1232.5268"</f>
        <v>1232.5268</v>
      </c>
    </row>
    <row r="73" spans="1:3" x14ac:dyDescent="0.25">
      <c r="A73" t="str">
        <f>"09/09/2009"</f>
        <v>09/09/2009</v>
      </c>
      <c r="B73" t="str">
        <f>"1226.10"</f>
        <v>1226.10</v>
      </c>
      <c r="C73" t="str">
        <f>"1226.1308"</f>
        <v>1226.1308</v>
      </c>
    </row>
    <row r="74" spans="1:3" x14ac:dyDescent="0.25">
      <c r="A74" t="str">
        <f>"10/09/2009"</f>
        <v>10/09/2009</v>
      </c>
      <c r="B74" t="str">
        <f>"1227.10"</f>
        <v>1227.10</v>
      </c>
      <c r="C74" t="str">
        <f>"1227.1346"</f>
        <v>1227.1346</v>
      </c>
    </row>
    <row r="75" spans="1:3" x14ac:dyDescent="0.25">
      <c r="A75" t="str">
        <f>"11/09/2009"</f>
        <v>11/09/2009</v>
      </c>
      <c r="B75" t="str">
        <f>"1221.50"</f>
        <v>1221.50</v>
      </c>
      <c r="C75" t="str">
        <f>"1221.5338"</f>
        <v>1221.5338</v>
      </c>
    </row>
    <row r="76" spans="1:3" x14ac:dyDescent="0.25">
      <c r="A76" t="str">
        <f>"14/09/2009"</f>
        <v>14/09/2009</v>
      </c>
      <c r="B76" t="str">
        <f>"1223.80"</f>
        <v>1223.80</v>
      </c>
      <c r="C76" t="str">
        <f>"1223.8337"</f>
        <v>1223.8337</v>
      </c>
    </row>
    <row r="77" spans="1:3" x14ac:dyDescent="0.25">
      <c r="A77" t="str">
        <f>"15/09/2009"</f>
        <v>15/09/2009</v>
      </c>
      <c r="B77" t="str">
        <f>"1221.50"</f>
        <v>1221.50</v>
      </c>
      <c r="C77" t="str">
        <f>"1221.547"</f>
        <v>1221.547</v>
      </c>
    </row>
    <row r="78" spans="1:3" x14ac:dyDescent="0.25">
      <c r="A78" t="str">
        <f>"16/09/2009"</f>
        <v>16/09/2009</v>
      </c>
      <c r="B78" t="str">
        <f>"1212.00"</f>
        <v>1212.00</v>
      </c>
      <c r="C78" t="str">
        <f>"1212.0348"</f>
        <v>1212.0348</v>
      </c>
    </row>
    <row r="79" spans="1:3" x14ac:dyDescent="0.25">
      <c r="A79" t="str">
        <f>"17/09/2009"</f>
        <v>17/09/2009</v>
      </c>
      <c r="B79" t="str">
        <f>"1206.40"</f>
        <v>1206.40</v>
      </c>
      <c r="C79" t="str">
        <f>"1206.4371"</f>
        <v>1206.4371</v>
      </c>
    </row>
    <row r="80" spans="1:3" x14ac:dyDescent="0.25">
      <c r="A80" t="str">
        <f>"18/09/2009"</f>
        <v>18/09/2009</v>
      </c>
      <c r="B80" t="str">
        <f>"1207.20"</f>
        <v>1207.20</v>
      </c>
      <c r="C80" t="str">
        <f>"1207.2308"</f>
        <v>1207.2308</v>
      </c>
    </row>
    <row r="81" spans="1:3" x14ac:dyDescent="0.25">
      <c r="A81" t="str">
        <f>"22/09/2009"</f>
        <v>22/09/2009</v>
      </c>
      <c r="B81" t="str">
        <f>"1203.70"</f>
        <v>1203.70</v>
      </c>
      <c r="C81" t="str">
        <f>"1203.7303"</f>
        <v>1203.7303</v>
      </c>
    </row>
    <row r="82" spans="1:3" x14ac:dyDescent="0.25">
      <c r="A82" t="str">
        <f>"23/09/2009"</f>
        <v>23/09/2009</v>
      </c>
      <c r="B82" t="str">
        <f>"1195.50"</f>
        <v>1195.50</v>
      </c>
      <c r="C82" t="str">
        <f>"1195.5381"</f>
        <v>1195.5381</v>
      </c>
    </row>
    <row r="83" spans="1:3" x14ac:dyDescent="0.25">
      <c r="A83" t="str">
        <f>"24/09/2009"</f>
        <v>24/09/2009</v>
      </c>
      <c r="B83" t="str">
        <f>"1197.70"</f>
        <v>1197.70</v>
      </c>
      <c r="C83" t="str">
        <f>"1197.7368"</f>
        <v>1197.7368</v>
      </c>
    </row>
    <row r="84" spans="1:3" x14ac:dyDescent="0.25">
      <c r="A84" t="str">
        <f>"25/09/2009"</f>
        <v>25/09/2009</v>
      </c>
      <c r="B84" t="str">
        <f>"1195.80"</f>
        <v>1195.80</v>
      </c>
      <c r="C84" t="str">
        <f>"1195.8293"</f>
        <v>1195.8293</v>
      </c>
    </row>
    <row r="85" spans="1:3" x14ac:dyDescent="0.25">
      <c r="A85" t="str">
        <f>"29/09/2009"</f>
        <v>29/09/2009</v>
      </c>
      <c r="B85" t="str">
        <f>"1187.20"</f>
        <v>1187.20</v>
      </c>
      <c r="C85" t="str">
        <f>"1187.2397"</f>
        <v>1187.2397</v>
      </c>
    </row>
    <row r="86" spans="1:3" x14ac:dyDescent="0.25">
      <c r="A86" t="str">
        <f>"01/10/2009"</f>
        <v>01/10/2009</v>
      </c>
      <c r="B86" t="str">
        <f>"1179.00"</f>
        <v>1179.00</v>
      </c>
      <c r="C86" t="str">
        <f>"1179.0355"</f>
        <v>1179.0355</v>
      </c>
    </row>
    <row r="87" spans="1:3" x14ac:dyDescent="0.25">
      <c r="A87" t="str">
        <f>"05/10/2009"</f>
        <v>05/10/2009</v>
      </c>
      <c r="B87" t="str">
        <f>"1172.70"</f>
        <v>1172.70</v>
      </c>
      <c r="C87" t="str">
        <f>"1172.7392"</f>
        <v>1172.7392</v>
      </c>
    </row>
    <row r="88" spans="1:3" x14ac:dyDescent="0.25">
      <c r="A88" t="str">
        <f>"06/10/2009"</f>
        <v>06/10/2009</v>
      </c>
      <c r="B88" t="str">
        <f>"1169.90"</f>
        <v>1169.90</v>
      </c>
      <c r="C88" t="str">
        <f>"1169.9362"</f>
        <v>1169.9362</v>
      </c>
    </row>
    <row r="89" spans="1:3" x14ac:dyDescent="0.25">
      <c r="A89" t="str">
        <f>"07/10/2009"</f>
        <v>07/10/2009</v>
      </c>
      <c r="B89" t="str">
        <f>"1172.60"</f>
        <v>1172.60</v>
      </c>
      <c r="C89" t="str">
        <f>"1172.6359"</f>
        <v>1172.6359</v>
      </c>
    </row>
    <row r="90" spans="1:3" x14ac:dyDescent="0.25">
      <c r="A90" t="str">
        <f>"08/10/2009"</f>
        <v>08/10/2009</v>
      </c>
      <c r="B90" t="str">
        <f>"1168.60"</f>
        <v>1168.60</v>
      </c>
      <c r="C90" t="str">
        <f>"1168.6314"</f>
        <v>1168.6314</v>
      </c>
    </row>
    <row r="91" spans="1:3" x14ac:dyDescent="0.25">
      <c r="A91" t="str">
        <f>"09/10/2009"</f>
        <v>09/10/2009</v>
      </c>
      <c r="B91" t="str">
        <f>"1168.00"</f>
        <v>1168.00</v>
      </c>
      <c r="C91" t="str">
        <f>"1168.0336"</f>
        <v>1168.0336</v>
      </c>
    </row>
    <row r="92" spans="1:3" x14ac:dyDescent="0.25">
      <c r="A92" t="str">
        <f>"12/10/2009"</f>
        <v>12/10/2009</v>
      </c>
      <c r="B92" t="str">
        <f>"1169.25"</f>
        <v>1169.25</v>
      </c>
      <c r="C92" t="str">
        <f>"1169.283"</f>
        <v>1169.283</v>
      </c>
    </row>
    <row r="93" spans="1:3" x14ac:dyDescent="0.25">
      <c r="A93" t="str">
        <f>"14/10/2009"</f>
        <v>14/10/2009</v>
      </c>
      <c r="B93" t="str">
        <f>"1165.90"</f>
        <v>1165.90</v>
      </c>
      <c r="C93" t="str">
        <f>"1165.9288"</f>
        <v>1165.9288</v>
      </c>
    </row>
    <row r="94" spans="1:3" x14ac:dyDescent="0.25">
      <c r="A94" t="str">
        <f>"15/10/2009"</f>
        <v>15/10/2009</v>
      </c>
      <c r="B94" t="str">
        <f>"1158.50"</f>
        <v>1158.50</v>
      </c>
      <c r="C94" t="str">
        <f>"1158.5342"</f>
        <v>1158.5342</v>
      </c>
    </row>
    <row r="95" spans="1:3" x14ac:dyDescent="0.25">
      <c r="A95" t="str">
        <f>"16/10/2009"</f>
        <v>16/10/2009</v>
      </c>
      <c r="B95" t="str">
        <f>"1157.80"</f>
        <v>1157.80</v>
      </c>
      <c r="C95" t="str">
        <f>"1157.835"</f>
        <v>1157.835</v>
      </c>
    </row>
    <row r="96" spans="1:3" x14ac:dyDescent="0.25">
      <c r="A96" t="str">
        <f>"20/10/2009"</f>
        <v>20/10/2009</v>
      </c>
      <c r="B96" t="str">
        <f>"1167.30"</f>
        <v>1167.30</v>
      </c>
      <c r="C96" t="str">
        <f>"1167.3373"</f>
        <v>1167.3373</v>
      </c>
    </row>
    <row r="97" spans="1:3" x14ac:dyDescent="0.25">
      <c r="A97" t="str">
        <f>"21/10/2009"</f>
        <v>21/10/2009</v>
      </c>
      <c r="B97" t="str">
        <f>"1180.00"</f>
        <v>1180.00</v>
      </c>
      <c r="C97" t="str">
        <f>"1180.0515"</f>
        <v>1180.0515</v>
      </c>
    </row>
    <row r="98" spans="1:3" x14ac:dyDescent="0.25">
      <c r="A98" t="str">
        <f>"22/10/2009"</f>
        <v>22/10/2009</v>
      </c>
      <c r="B98" t="str">
        <f>"1186.10"</f>
        <v>1186.10</v>
      </c>
      <c r="C98" t="str">
        <f>"1186.1529"</f>
        <v>1186.1529</v>
      </c>
    </row>
    <row r="99" spans="1:3" x14ac:dyDescent="0.25">
      <c r="A99" t="str">
        <f>"23/10/2009"</f>
        <v>23/10/2009</v>
      </c>
      <c r="B99" t="str">
        <f>"1183.90"</f>
        <v>1183.90</v>
      </c>
      <c r="C99" t="str">
        <f>"1183.9437"</f>
        <v>1183.9437</v>
      </c>
    </row>
    <row r="100" spans="1:3" x14ac:dyDescent="0.25">
      <c r="A100" t="str">
        <f>"26/10/2009"</f>
        <v>26/10/2009</v>
      </c>
      <c r="B100" t="str">
        <f>"1178.40"</f>
        <v>1178.40</v>
      </c>
      <c r="C100" t="str">
        <f>"1178.4523"</f>
        <v>1178.4523</v>
      </c>
    </row>
    <row r="101" spans="1:3" x14ac:dyDescent="0.25">
      <c r="A101" t="str">
        <f>"27/10/2009"</f>
        <v>27/10/2009</v>
      </c>
      <c r="B101" t="str">
        <f>"1187.10"</f>
        <v>1187.10</v>
      </c>
      <c r="C101" t="str">
        <f>"1187.1565"</f>
        <v>1187.1565</v>
      </c>
    </row>
    <row r="102" spans="1:3" x14ac:dyDescent="0.25">
      <c r="A102" t="str">
        <f>"28/10/2009"</f>
        <v>28/10/2009</v>
      </c>
      <c r="B102" t="str">
        <f>"1193.40"</f>
        <v>1193.40</v>
      </c>
      <c r="C102" t="str">
        <f>"1193.4504"</f>
        <v>1193.4504</v>
      </c>
    </row>
    <row r="103" spans="1:3" x14ac:dyDescent="0.25">
      <c r="A103" t="str">
        <f>"29/10/2009"</f>
        <v>29/10/2009</v>
      </c>
      <c r="B103" t="str">
        <f>"1201.85"</f>
        <v>1201.85</v>
      </c>
      <c r="C103" t="str">
        <f>"1201.9102"</f>
        <v>1201.9102</v>
      </c>
    </row>
    <row r="104" spans="1:3" x14ac:dyDescent="0.25">
      <c r="A104" t="str">
        <f>"30/10/2009"</f>
        <v>30/10/2009</v>
      </c>
      <c r="B104" t="str">
        <f>"1183.00"</f>
        <v>1183.00</v>
      </c>
      <c r="C104" t="str">
        <f>"1183.0587"</f>
        <v>1183.0587</v>
      </c>
    </row>
    <row r="105" spans="1:3" x14ac:dyDescent="0.25">
      <c r="A105" t="str">
        <f>"03/11/2009"</f>
        <v>03/11/2009</v>
      </c>
      <c r="B105" t="str">
        <f>"1178.00"</f>
        <v>1178.00</v>
      </c>
      <c r="C105" t="str">
        <f>"1178.0081"</f>
        <v>1178.0081</v>
      </c>
    </row>
    <row r="106" spans="1:3" x14ac:dyDescent="0.25">
      <c r="A106" t="str">
        <f>"04/11/2009"</f>
        <v>04/11/2009</v>
      </c>
      <c r="B106" t="str">
        <f>"1181.30"</f>
        <v>1181.30</v>
      </c>
      <c r="C106" t="str">
        <f>"1181.3387"</f>
        <v>1181.3387</v>
      </c>
    </row>
    <row r="107" spans="1:3" x14ac:dyDescent="0.25">
      <c r="A107" t="str">
        <f>"05/11/2009"</f>
        <v>05/11/2009</v>
      </c>
      <c r="B107" t="str">
        <f>"1179.50"</f>
        <v>1179.50</v>
      </c>
      <c r="C107" t="str">
        <f>"1179.5205"</f>
        <v>1179.5205</v>
      </c>
    </row>
    <row r="108" spans="1:3" x14ac:dyDescent="0.25">
      <c r="A108" t="str">
        <f>"06/11/2009"</f>
        <v>06/11/2009</v>
      </c>
      <c r="B108" t="str">
        <f>"1171.50"</f>
        <v>1171.50</v>
      </c>
      <c r="C108" t="str">
        <f>"1171.5392"</f>
        <v>1171.5392</v>
      </c>
    </row>
    <row r="109" spans="1:3" x14ac:dyDescent="0.25">
      <c r="A109" t="str">
        <f>"09/11/2009"</f>
        <v>09/11/2009</v>
      </c>
      <c r="B109" t="str">
        <f>"1161.10"</f>
        <v>1161.10</v>
      </c>
      <c r="C109" t="str">
        <f>"1161.114"</f>
        <v>1161.114</v>
      </c>
    </row>
    <row r="110" spans="1:3" x14ac:dyDescent="0.25">
      <c r="A110" t="str">
        <f>"10/11/2009"</f>
        <v>10/11/2009</v>
      </c>
      <c r="B110" t="str">
        <f>"1159.40"</f>
        <v>1159.40</v>
      </c>
      <c r="C110" t="str">
        <f>"1159.43"</f>
        <v>1159.43</v>
      </c>
    </row>
    <row r="111" spans="1:3" x14ac:dyDescent="0.25">
      <c r="A111" t="str">
        <f>"11/11/2009"</f>
        <v>11/11/2009</v>
      </c>
      <c r="B111" t="str">
        <f>"1158.90"</f>
        <v>1158.90</v>
      </c>
      <c r="C111" t="str">
        <f>"1158.9097"</f>
        <v>1158.9097</v>
      </c>
    </row>
    <row r="112" spans="1:3" x14ac:dyDescent="0.25">
      <c r="A112" t="str">
        <f>"12/11/2009"</f>
        <v>12/11/2009</v>
      </c>
      <c r="B112" t="str">
        <f>"1157.80"</f>
        <v>1157.80</v>
      </c>
      <c r="C112" t="str">
        <f>"1157.8095"</f>
        <v>1157.8095</v>
      </c>
    </row>
    <row r="113" spans="1:3" x14ac:dyDescent="0.25">
      <c r="A113" t="str">
        <f>"13/11/2009"</f>
        <v>13/11/2009</v>
      </c>
      <c r="B113" t="str">
        <f>"1161.35"</f>
        <v>1161.35</v>
      </c>
      <c r="C113" t="str">
        <f>"1161.3965"</f>
        <v>1161.3965</v>
      </c>
    </row>
    <row r="114" spans="1:3" x14ac:dyDescent="0.25">
      <c r="A114" t="str">
        <f>"16/11/2009"</f>
        <v>16/11/2009</v>
      </c>
      <c r="B114" t="str">
        <f>"1154.10"</f>
        <v>1154.10</v>
      </c>
      <c r="C114" t="str">
        <f>"1154.1035"</f>
        <v>1154.1035</v>
      </c>
    </row>
    <row r="115" spans="1:3" x14ac:dyDescent="0.25">
      <c r="A115" t="str">
        <f>"17/11/2009"</f>
        <v>17/11/2009</v>
      </c>
      <c r="B115" t="str">
        <f>"1154.20"</f>
        <v>1154.20</v>
      </c>
      <c r="C115" t="str">
        <f>"1154.2092"</f>
        <v>1154.2092</v>
      </c>
    </row>
    <row r="116" spans="1:3" x14ac:dyDescent="0.25">
      <c r="A116" t="str">
        <f>"18/11/2009"</f>
        <v>18/11/2009</v>
      </c>
      <c r="B116" t="str">
        <f>"1153.60"</f>
        <v>1153.60</v>
      </c>
      <c r="C116" t="str">
        <f>"1153.609"</f>
        <v>1153.609</v>
      </c>
    </row>
    <row r="117" spans="1:3" x14ac:dyDescent="0.25">
      <c r="A117" t="str">
        <f>"19/11/2009"</f>
        <v>19/11/2009</v>
      </c>
      <c r="B117" t="str">
        <f>"1157.50"</f>
        <v>1157.50</v>
      </c>
      <c r="C117" t="str">
        <f>"1157.528"</f>
        <v>1157.528</v>
      </c>
    </row>
    <row r="118" spans="1:3" x14ac:dyDescent="0.25">
      <c r="A118" t="str">
        <f>"20/11/2009"</f>
        <v>20/11/2009</v>
      </c>
      <c r="B118" t="str">
        <f>"1164.10"</f>
        <v>1164.10</v>
      </c>
      <c r="C118" t="str">
        <f>"1164.1279"</f>
        <v>1164.1279</v>
      </c>
    </row>
    <row r="119" spans="1:3" x14ac:dyDescent="0.25">
      <c r="A119" t="str">
        <f>"23/11/2009"</f>
        <v>23/11/2009</v>
      </c>
      <c r="B119" t="str">
        <f>"1155.40"</f>
        <v>1155.40</v>
      </c>
      <c r="C119" t="str">
        <f>"1155.44"</f>
        <v>1155.44</v>
      </c>
    </row>
    <row r="120" spans="1:3" x14ac:dyDescent="0.25">
      <c r="A120" t="str">
        <f>"24/11/2009"</f>
        <v>24/11/2009</v>
      </c>
      <c r="B120" t="str">
        <f>"1157.00"</f>
        <v>1157.00</v>
      </c>
      <c r="C120" t="str">
        <f>"1157.009"</f>
        <v>1157.009</v>
      </c>
    </row>
    <row r="121" spans="1:3" x14ac:dyDescent="0.25">
      <c r="A121" t="str">
        <f>"25/11/2009"</f>
        <v>25/11/2009</v>
      </c>
      <c r="B121" t="str">
        <f>"1155.90"</f>
        <v>1155.90</v>
      </c>
      <c r="C121" t="str">
        <f>"1155.9393"</f>
        <v>1155.9393</v>
      </c>
    </row>
    <row r="122" spans="1:3" x14ac:dyDescent="0.25">
      <c r="A122" t="str">
        <f>"26/11/2009"</f>
        <v>26/11/2009</v>
      </c>
      <c r="B122" t="str">
        <f>"1154.00"</f>
        <v>1154.00</v>
      </c>
      <c r="C122" t="str">
        <f>"1154.009"</f>
        <v>1154.009</v>
      </c>
    </row>
    <row r="123" spans="1:3" x14ac:dyDescent="0.25">
      <c r="A123" t="str">
        <f>"27/11/2009"</f>
        <v>27/11/2009</v>
      </c>
      <c r="B123" t="str">
        <f>"1169.10"</f>
        <v>1169.10</v>
      </c>
      <c r="C123" t="str">
        <f>"1169.109"</f>
        <v>1169.109</v>
      </c>
    </row>
    <row r="124" spans="1:3" x14ac:dyDescent="0.25">
      <c r="A124" t="str">
        <f>"30/11/2009"</f>
        <v>30/11/2009</v>
      </c>
      <c r="B124" t="str">
        <f>"1160.70"</f>
        <v>1160.70</v>
      </c>
      <c r="C124" t="str">
        <f>"1160.709"</f>
        <v>1160.709</v>
      </c>
    </row>
    <row r="125" spans="1:3" x14ac:dyDescent="0.25">
      <c r="A125" t="str">
        <f>"01/12/2009"</f>
        <v>01/12/2009</v>
      </c>
      <c r="B125" t="str">
        <f>"1163.50"</f>
        <v>1163.50</v>
      </c>
      <c r="C125" t="str">
        <f>"1163.538"</f>
        <v>1163.538</v>
      </c>
    </row>
    <row r="126" spans="1:3" x14ac:dyDescent="0.25">
      <c r="A126" t="str">
        <f>"02/12/2009"</f>
        <v>02/12/2009</v>
      </c>
      <c r="B126" t="str">
        <f>"1154.50"</f>
        <v>1154.50</v>
      </c>
      <c r="C126" t="str">
        <f>"1154.5035"</f>
        <v>1154.5035</v>
      </c>
    </row>
    <row r="127" spans="1:3" x14ac:dyDescent="0.25">
      <c r="A127" t="str">
        <f>"03/12/2009"</f>
        <v>03/12/2009</v>
      </c>
      <c r="B127" t="str">
        <f>"1156.30"</f>
        <v>1156.30</v>
      </c>
      <c r="C127" t="str">
        <f>"1156.3108"</f>
        <v>1156.3108</v>
      </c>
    </row>
    <row r="128" spans="1:3" x14ac:dyDescent="0.25">
      <c r="A128" t="str">
        <f>"04/12/2009"</f>
        <v>04/12/2009</v>
      </c>
      <c r="B128" t="str">
        <f>"1152.90"</f>
        <v>1152.90</v>
      </c>
      <c r="C128" t="str">
        <f>"1152.9047"</f>
        <v>1152.9047</v>
      </c>
    </row>
    <row r="129" spans="1:3" x14ac:dyDescent="0.25">
      <c r="A129" t="str">
        <f>"07/12/2009"</f>
        <v>07/12/2009</v>
      </c>
      <c r="B129" t="str">
        <f>"1156.60"</f>
        <v>1156.60</v>
      </c>
      <c r="C129" t="str">
        <f>"1156.6043"</f>
        <v>1156.6043</v>
      </c>
    </row>
    <row r="130" spans="1:3" x14ac:dyDescent="0.25">
      <c r="A130" t="str">
        <f>"08/12/2009"</f>
        <v>08/12/2009</v>
      </c>
      <c r="B130" t="str">
        <f>"1154.90"</f>
        <v>1154.90</v>
      </c>
      <c r="C130" t="str">
        <f>"1154.9447"</f>
        <v>1154.9447</v>
      </c>
    </row>
    <row r="131" spans="1:3" x14ac:dyDescent="0.25">
      <c r="A131" t="str">
        <f>"09/12/2009"</f>
        <v>09/12/2009</v>
      </c>
      <c r="B131" t="str">
        <f>"1164.80"</f>
        <v>1164.80</v>
      </c>
      <c r="C131" t="str">
        <f>"1164.8097"</f>
        <v>1164.8097</v>
      </c>
    </row>
    <row r="132" spans="1:3" x14ac:dyDescent="0.25">
      <c r="A132" t="str">
        <f>"10/12/2009"</f>
        <v>10/12/2009</v>
      </c>
      <c r="B132" t="str">
        <f>"1162.40"</f>
        <v>1162.40</v>
      </c>
      <c r="C132" t="str">
        <f>"1162.403"</f>
        <v>1162.403</v>
      </c>
    </row>
    <row r="133" spans="1:3" x14ac:dyDescent="0.25">
      <c r="A133" t="str">
        <f>"11/12/2009"</f>
        <v>11/12/2009</v>
      </c>
      <c r="B133" t="str">
        <f>"1165.80"</f>
        <v>1165.80</v>
      </c>
      <c r="C133" t="str">
        <f>"1165.8061"</f>
        <v>1165.8061</v>
      </c>
    </row>
    <row r="134" spans="1:3" x14ac:dyDescent="0.25">
      <c r="A134" t="str">
        <f>"14/12/2009"</f>
        <v>14/12/2009</v>
      </c>
      <c r="B134" t="str">
        <f>"1166.55"</f>
        <v>1166.55</v>
      </c>
      <c r="C134" t="str">
        <f>"1166.5625"</f>
        <v>1166.5625</v>
      </c>
    </row>
    <row r="135" spans="1:3" x14ac:dyDescent="0.25">
      <c r="A135" t="str">
        <f>"15/12/2009"</f>
        <v>15/12/2009</v>
      </c>
      <c r="B135" t="str">
        <f>"1162.80"</f>
        <v>1162.80</v>
      </c>
      <c r="C135" t="str">
        <f>"1162.8095"</f>
        <v>1162.8095</v>
      </c>
    </row>
    <row r="136" spans="1:3" x14ac:dyDescent="0.25">
      <c r="A136" t="str">
        <f>"16/12/2009"</f>
        <v>16/12/2009</v>
      </c>
      <c r="B136" t="str">
        <f>"1167.30"</f>
        <v>1167.30</v>
      </c>
      <c r="C136" t="str">
        <f>"1167.3125"</f>
        <v>1167.3125</v>
      </c>
    </row>
    <row r="137" spans="1:3" x14ac:dyDescent="0.25">
      <c r="A137" t="str">
        <f>"17/12/2009"</f>
        <v>17/12/2009</v>
      </c>
      <c r="B137" t="str">
        <f>"1176.60"</f>
        <v>1176.60</v>
      </c>
      <c r="C137" t="str">
        <f>"1176.6125"</f>
        <v>1176.6125</v>
      </c>
    </row>
    <row r="138" spans="1:3" x14ac:dyDescent="0.25">
      <c r="A138" t="str">
        <f>"18/12/2009"</f>
        <v>18/12/2009</v>
      </c>
      <c r="B138" t="str">
        <f>"1173.10"</f>
        <v>1173.10</v>
      </c>
      <c r="C138" t="str">
        <f>"1173.1135"</f>
        <v>1173.1135</v>
      </c>
    </row>
    <row r="139" spans="1:3" x14ac:dyDescent="0.25">
      <c r="A139" t="str">
        <f>"21/12/2009"</f>
        <v>21/12/2009</v>
      </c>
      <c r="B139" t="str">
        <f>"1178.45"</f>
        <v>1178.45</v>
      </c>
      <c r="C139" t="str">
        <f>"1178.4776"</f>
        <v>1178.4776</v>
      </c>
    </row>
    <row r="140" spans="1:3" x14ac:dyDescent="0.25">
      <c r="A140" t="str">
        <f>"22/12/2009"</f>
        <v>22/12/2009</v>
      </c>
      <c r="B140" t="str">
        <f>"1184.80"</f>
        <v>1184.80</v>
      </c>
      <c r="C140" t="str">
        <f>"1184.8158"</f>
        <v>1184.8158</v>
      </c>
    </row>
    <row r="141" spans="1:3" x14ac:dyDescent="0.25">
      <c r="A141" t="str">
        <f>"23/12/2009"</f>
        <v>23/12/2009</v>
      </c>
      <c r="B141" t="str">
        <f>"1183.80"</f>
        <v>1183.80</v>
      </c>
      <c r="C141" t="str">
        <f>"1183.8137"</f>
        <v>1183.8137</v>
      </c>
    </row>
    <row r="142" spans="1:3" x14ac:dyDescent="0.25">
      <c r="A142" t="str">
        <f>"24/12/2009"</f>
        <v>24/12/2009</v>
      </c>
      <c r="B142" t="str">
        <f>"1176.10"</f>
        <v>1176.10</v>
      </c>
      <c r="C142" t="str">
        <f>"1176.1403"</f>
        <v>1176.1403</v>
      </c>
    </row>
    <row r="143" spans="1:3" x14ac:dyDescent="0.25">
      <c r="A143" t="str">
        <f>"29/12/2009"</f>
        <v>29/12/2009</v>
      </c>
      <c r="B143" t="str">
        <f>"1171.55"</f>
        <v>1171.55</v>
      </c>
      <c r="C143" t="str">
        <f>"1171.5899"</f>
        <v>1171.5899</v>
      </c>
    </row>
    <row r="144" spans="1:3" x14ac:dyDescent="0.25">
      <c r="A144" t="str">
        <f>"30/12/2009"</f>
        <v>30/12/2009</v>
      </c>
      <c r="B144" t="str">
        <f>"1169.80"</f>
        <v>1169.80</v>
      </c>
      <c r="C144" t="str">
        <f>"1169.859"</f>
        <v>1169.859</v>
      </c>
    </row>
    <row r="145" spans="1:3" x14ac:dyDescent="0.25">
      <c r="A145" t="str">
        <f>"31/12/2009"</f>
        <v>31/12/2009</v>
      </c>
      <c r="B145" t="str">
        <f>"1165.00"</f>
        <v>1165.00</v>
      </c>
      <c r="C145" t="str">
        <f>"1165.073"</f>
        <v>1165.073</v>
      </c>
    </row>
    <row r="146" spans="1:3" x14ac:dyDescent="0.25">
      <c r="A146" t="str">
        <f>"01/01/2010"</f>
        <v>01/01/2010</v>
      </c>
      <c r="B146" t="str">
        <f>"1158.00"</f>
        <v>1158.00</v>
      </c>
      <c r="C146" t="str">
        <f>"1158.0483"</f>
        <v>1158.0483</v>
      </c>
    </row>
    <row r="147" spans="1:3" x14ac:dyDescent="0.25">
      <c r="A147" t="str">
        <f>"04/01/2010"</f>
        <v>04/01/2010</v>
      </c>
      <c r="B147" t="str">
        <f>"1155.20"</f>
        <v>1155.20</v>
      </c>
      <c r="C147" t="str">
        <f>"1155.2495"</f>
        <v>1155.2495</v>
      </c>
    </row>
    <row r="148" spans="1:3" x14ac:dyDescent="0.25">
      <c r="A148" t="str">
        <f>"05/01/2010"</f>
        <v>05/01/2010</v>
      </c>
      <c r="B148" t="str">
        <f>"1146.30"</f>
        <v>1146.30</v>
      </c>
      <c r="C148" t="str">
        <f>"1146.3291"</f>
        <v>1146.3291</v>
      </c>
    </row>
    <row r="149" spans="1:3" x14ac:dyDescent="0.25">
      <c r="A149" t="str">
        <f>"06/01/2010"</f>
        <v>06/01/2010</v>
      </c>
      <c r="B149" t="str">
        <f>"1136.10"</f>
        <v>1136.10</v>
      </c>
      <c r="C149" t="str">
        <f>"1136.116"</f>
        <v>1136.116</v>
      </c>
    </row>
    <row r="150" spans="1:3" x14ac:dyDescent="0.25">
      <c r="A150" t="str">
        <f>"07/01/2010"</f>
        <v>07/01/2010</v>
      </c>
      <c r="B150" t="str">
        <f>"1134.05"</f>
        <v>1134.05</v>
      </c>
      <c r="C150" t="str">
        <f>"1134.0665"</f>
        <v>1134.0665</v>
      </c>
    </row>
    <row r="151" spans="1:3" x14ac:dyDescent="0.25">
      <c r="A151" t="str">
        <f>"08/01/2010"</f>
        <v>08/01/2010</v>
      </c>
      <c r="B151" t="str">
        <f>"1132.80"</f>
        <v>1132.80</v>
      </c>
      <c r="C151" t="str">
        <f>"1132.849"</f>
        <v>1132.849</v>
      </c>
    </row>
    <row r="152" spans="1:3" x14ac:dyDescent="0.25">
      <c r="A152" t="str">
        <f>"11/01/2010"</f>
        <v>11/01/2010</v>
      </c>
      <c r="B152" t="str">
        <f>"1118.70"</f>
        <v>1118.70</v>
      </c>
      <c r="C152" t="str">
        <f>"1118.7489"</f>
        <v>1118.7489</v>
      </c>
    </row>
    <row r="153" spans="1:3" x14ac:dyDescent="0.25">
      <c r="A153" t="str">
        <f>"12/01/2010"</f>
        <v>12/01/2010</v>
      </c>
      <c r="B153" t="str">
        <f>"1125.10"</f>
        <v>1125.10</v>
      </c>
      <c r="C153" t="str">
        <f>"1125.1125"</f>
        <v>1125.1125</v>
      </c>
    </row>
    <row r="154" spans="1:3" x14ac:dyDescent="0.25">
      <c r="A154" t="str">
        <f>"13/01/2010"</f>
        <v>13/01/2010</v>
      </c>
      <c r="B154" t="str">
        <f>"1125.80"</f>
        <v>1125.80</v>
      </c>
      <c r="C154" t="str">
        <f>"1125.812"</f>
        <v>1125.812</v>
      </c>
    </row>
    <row r="155" spans="1:3" x14ac:dyDescent="0.25">
      <c r="A155" t="str">
        <f>"14/01/2010"</f>
        <v>14/01/2010</v>
      </c>
      <c r="B155" t="str">
        <f>"1122.35"</f>
        <v>1122.35</v>
      </c>
      <c r="C155" t="str">
        <f>"1122.363"</f>
        <v>1122.363</v>
      </c>
    </row>
    <row r="156" spans="1:3" x14ac:dyDescent="0.25">
      <c r="A156" t="str">
        <f>"15/01/2010"</f>
        <v>15/01/2010</v>
      </c>
      <c r="B156" t="str">
        <f>"1124.40"</f>
        <v>1124.40</v>
      </c>
      <c r="C156" t="str">
        <f>"1124.412"</f>
        <v>1124.412</v>
      </c>
    </row>
    <row r="157" spans="1:3" x14ac:dyDescent="0.25">
      <c r="A157" t="str">
        <f>"18/01/2010"</f>
        <v>18/01/2010</v>
      </c>
      <c r="B157" t="str">
        <f>"1127.10"</f>
        <v>1127.10</v>
      </c>
      <c r="C157" t="str">
        <f>"1127.1278"</f>
        <v>1127.1278</v>
      </c>
    </row>
    <row r="158" spans="1:3" x14ac:dyDescent="0.25">
      <c r="A158" t="str">
        <f>"19/01/2010"</f>
        <v>19/01/2010</v>
      </c>
      <c r="B158" t="str">
        <f>"1124.20"</f>
        <v>1124.20</v>
      </c>
      <c r="C158" t="str">
        <f>"1124.2135"</f>
        <v>1124.2135</v>
      </c>
    </row>
    <row r="159" spans="1:3" x14ac:dyDescent="0.25">
      <c r="A159" t="str">
        <f>"20/01/2010"</f>
        <v>20/01/2010</v>
      </c>
      <c r="B159" t="str">
        <f>"1132.50"</f>
        <v>1132.50</v>
      </c>
      <c r="C159" t="str">
        <f>"1132.5135"</f>
        <v>1132.5135</v>
      </c>
    </row>
    <row r="160" spans="1:3" x14ac:dyDescent="0.25">
      <c r="A160" t="str">
        <f>"21/01/2010"</f>
        <v>21/01/2010</v>
      </c>
      <c r="B160" t="str">
        <f>"1137.60"</f>
        <v>1137.60</v>
      </c>
      <c r="C160" t="str">
        <f>"1137.6131"</f>
        <v>1137.6131</v>
      </c>
    </row>
    <row r="161" spans="1:3" x14ac:dyDescent="0.25">
      <c r="A161" t="str">
        <f>"22/01/2010"</f>
        <v>22/01/2010</v>
      </c>
      <c r="B161" t="str">
        <f>"1151.90"</f>
        <v>1151.90</v>
      </c>
      <c r="C161" t="str">
        <f>"1151.9116"</f>
        <v>1151.9116</v>
      </c>
    </row>
    <row r="162" spans="1:3" x14ac:dyDescent="0.25">
      <c r="A162" t="str">
        <f>"25/01/2010"</f>
        <v>25/01/2010</v>
      </c>
      <c r="B162" t="str">
        <f>"1147.50"</f>
        <v>1147.50</v>
      </c>
      <c r="C162" t="str">
        <f>"1147.5146"</f>
        <v>1147.5146</v>
      </c>
    </row>
    <row r="163" spans="1:3" x14ac:dyDescent="0.25">
      <c r="A163" t="str">
        <f>"27/01/2010"</f>
        <v>27/01/2010</v>
      </c>
      <c r="B163" t="str">
        <f>"1157.60"</f>
        <v>1157.60</v>
      </c>
      <c r="C163" t="str">
        <f>"1157.6125"</f>
        <v>1157.6125</v>
      </c>
    </row>
    <row r="164" spans="1:3" x14ac:dyDescent="0.25">
      <c r="A164" t="str">
        <f>"28/01/2010"</f>
        <v>28/01/2010</v>
      </c>
      <c r="B164" t="str">
        <f>"1154.50"</f>
        <v>1154.50</v>
      </c>
      <c r="C164" t="str">
        <f>"1154.5135"</f>
        <v>1154.5135</v>
      </c>
    </row>
    <row r="165" spans="1:3" x14ac:dyDescent="0.25">
      <c r="A165" t="str">
        <f>"29/01/2010"</f>
        <v>29/01/2010</v>
      </c>
      <c r="B165" t="str">
        <f>"1155.10"</f>
        <v>1155.10</v>
      </c>
      <c r="C165" t="str">
        <f>"1155.1251"</f>
        <v>1155.1251</v>
      </c>
    </row>
    <row r="166" spans="1:3" x14ac:dyDescent="0.25">
      <c r="A166" t="str">
        <f>"01/02/2010"</f>
        <v>01/02/2010</v>
      </c>
      <c r="B166" t="str">
        <f>"1173.40"</f>
        <v>1173.40</v>
      </c>
      <c r="C166" t="str">
        <f>"1173.426"</f>
        <v>1173.426</v>
      </c>
    </row>
    <row r="167" spans="1:3" x14ac:dyDescent="0.25">
      <c r="A167" t="str">
        <f>"02/02/2010"</f>
        <v>02/02/2010</v>
      </c>
      <c r="B167" t="str">
        <f>"1160.25"</f>
        <v>1160.25</v>
      </c>
      <c r="C167" t="str">
        <f>"1160.2655"</f>
        <v>1160.2655</v>
      </c>
    </row>
    <row r="168" spans="1:3" x14ac:dyDescent="0.25">
      <c r="A168" t="str">
        <f>"03/02/2010"</f>
        <v>03/02/2010</v>
      </c>
      <c r="B168" t="str">
        <f>"1152.30"</f>
        <v>1152.30</v>
      </c>
      <c r="C168" t="str">
        <f>"1152.316"</f>
        <v>1152.316</v>
      </c>
    </row>
    <row r="169" spans="1:3" x14ac:dyDescent="0.25">
      <c r="A169" t="str">
        <f>"04/02/2010"</f>
        <v>04/02/2010</v>
      </c>
      <c r="B169" t="str">
        <f>"1153.30"</f>
        <v>1153.30</v>
      </c>
      <c r="C169" t="str">
        <f>"1153.3155"</f>
        <v>1153.3155</v>
      </c>
    </row>
    <row r="170" spans="1:3" x14ac:dyDescent="0.25">
      <c r="A170" t="str">
        <f>"05/02/2010"</f>
        <v>05/02/2010</v>
      </c>
      <c r="B170" t="str">
        <f>"1171.10"</f>
        <v>1171.10</v>
      </c>
      <c r="C170" t="str">
        <f>"1171.1162"</f>
        <v>1171.1162</v>
      </c>
    </row>
    <row r="171" spans="1:3" x14ac:dyDescent="0.25">
      <c r="A171" t="str">
        <f>"08/02/2010"</f>
        <v>08/02/2010</v>
      </c>
      <c r="B171" t="str">
        <f>"1171.90"</f>
        <v>1171.90</v>
      </c>
      <c r="C171" t="str">
        <f>"1171.915"</f>
        <v>1171.915</v>
      </c>
    </row>
    <row r="172" spans="1:3" x14ac:dyDescent="0.25">
      <c r="A172" t="str">
        <f>"09/02/2010"</f>
        <v>09/02/2010</v>
      </c>
      <c r="B172" t="str">
        <f>"1167.80"</f>
        <v>1167.80</v>
      </c>
      <c r="C172" t="str">
        <f>"1167.8174"</f>
        <v>1167.8174</v>
      </c>
    </row>
    <row r="173" spans="1:3" x14ac:dyDescent="0.25">
      <c r="A173" t="str">
        <f>"10/02/2010"</f>
        <v>10/02/2010</v>
      </c>
      <c r="B173" t="str">
        <f>"1160.00"</f>
        <v>1160.00</v>
      </c>
      <c r="C173" t="str">
        <f>"1160.0155"</f>
        <v>1160.0155</v>
      </c>
    </row>
    <row r="174" spans="1:3" x14ac:dyDescent="0.25">
      <c r="A174" t="str">
        <f>"11/02/2010"</f>
        <v>11/02/2010</v>
      </c>
      <c r="B174" t="str">
        <f>"1157.40"</f>
        <v>1157.40</v>
      </c>
      <c r="C174" t="str">
        <f>"1157.4155"</f>
        <v>1157.4155</v>
      </c>
    </row>
    <row r="175" spans="1:3" x14ac:dyDescent="0.25">
      <c r="A175" t="str">
        <f>"15/02/2010"</f>
        <v>15/02/2010</v>
      </c>
      <c r="B175" t="str">
        <f>"1156.10"</f>
        <v>1156.10</v>
      </c>
      <c r="C175" t="str">
        <f>"1156.128"</f>
        <v>1156.128</v>
      </c>
    </row>
    <row r="176" spans="1:3" x14ac:dyDescent="0.25">
      <c r="A176" t="str">
        <f>"16/02/2010"</f>
        <v>16/02/2010</v>
      </c>
      <c r="B176" t="str">
        <f>"1152.90"</f>
        <v>1152.90</v>
      </c>
      <c r="C176" t="str">
        <f>"1152.9165"</f>
        <v>1152.9165</v>
      </c>
    </row>
    <row r="177" spans="1:3" x14ac:dyDescent="0.25">
      <c r="A177" t="str">
        <f>"17/02/2010"</f>
        <v>17/02/2010</v>
      </c>
      <c r="B177" t="str">
        <f>"1142.40"</f>
        <v>1142.40</v>
      </c>
      <c r="C177" t="str">
        <f>"1142.4165"</f>
        <v>1142.4165</v>
      </c>
    </row>
    <row r="178" spans="1:3" x14ac:dyDescent="0.25">
      <c r="A178" t="str">
        <f>"18/02/2010"</f>
        <v>18/02/2010</v>
      </c>
      <c r="B178" t="str">
        <f>"1149.45"</f>
        <v>1149.45</v>
      </c>
      <c r="C178" t="str">
        <f>"1149.4719"</f>
        <v>1149.4719</v>
      </c>
    </row>
    <row r="179" spans="1:3" x14ac:dyDescent="0.25">
      <c r="A179" t="str">
        <f>"19/02/2010"</f>
        <v>19/02/2010</v>
      </c>
      <c r="B179" t="str">
        <f>"1156.20"</f>
        <v>1156.20</v>
      </c>
      <c r="C179" t="str">
        <f>"1156.2145"</f>
        <v>1156.2145</v>
      </c>
    </row>
    <row r="180" spans="1:3" x14ac:dyDescent="0.25">
      <c r="A180" t="str">
        <f>"22/02/2010"</f>
        <v>22/02/2010</v>
      </c>
      <c r="B180" t="str">
        <f>"1148.10"</f>
        <v>1148.10</v>
      </c>
      <c r="C180" t="str">
        <f>"1148.127"</f>
        <v>1148.127</v>
      </c>
    </row>
    <row r="181" spans="1:3" x14ac:dyDescent="0.25">
      <c r="A181" t="str">
        <f>"23/02/2010"</f>
        <v>23/02/2010</v>
      </c>
      <c r="B181" t="str">
        <f>"1152.00"</f>
        <v>1152.00</v>
      </c>
      <c r="C181" t="str">
        <f>"1152.0512"</f>
        <v>1152.0512</v>
      </c>
    </row>
    <row r="182" spans="1:3" x14ac:dyDescent="0.25">
      <c r="A182" t="str">
        <f>"24/02/2010"</f>
        <v>24/02/2010</v>
      </c>
      <c r="B182" t="str">
        <f>"1154.25"</f>
        <v>1154.25</v>
      </c>
      <c r="C182" t="str">
        <f>"1154.267"</f>
        <v>1154.267</v>
      </c>
    </row>
    <row r="183" spans="1:3" x14ac:dyDescent="0.25">
      <c r="A183" t="str">
        <f>"25/02/2010"</f>
        <v>25/02/2010</v>
      </c>
      <c r="B183" t="str">
        <f>"1158.10"</f>
        <v>1158.10</v>
      </c>
      <c r="C183" t="str">
        <f>"1158.1165"</f>
        <v>1158.1165</v>
      </c>
    </row>
    <row r="184" spans="1:3" x14ac:dyDescent="0.25">
      <c r="A184" t="str">
        <f>"26/02/2010"</f>
        <v>26/02/2010</v>
      </c>
      <c r="B184" t="str">
        <f>"1161.30"</f>
        <v>1161.30</v>
      </c>
      <c r="C184" t="str">
        <f>"1161.3155"</f>
        <v>1161.3155</v>
      </c>
    </row>
    <row r="185" spans="1:3" x14ac:dyDescent="0.25">
      <c r="A185" t="str">
        <f>"02/03/2010"</f>
        <v>02/03/2010</v>
      </c>
      <c r="B185" t="str">
        <f>"1154.10"</f>
        <v>1154.10</v>
      </c>
      <c r="C185" t="str">
        <f>"1154.1155"</f>
        <v>1154.1155</v>
      </c>
    </row>
    <row r="186" spans="1:3" x14ac:dyDescent="0.25">
      <c r="A186" t="str">
        <f>"03/03/2010"</f>
        <v>03/03/2010</v>
      </c>
      <c r="B186" t="str">
        <f>"1147.00"</f>
        <v>1147.00</v>
      </c>
      <c r="C186" t="str">
        <f>"1147.0155"</f>
        <v>1147.0155</v>
      </c>
    </row>
    <row r="187" spans="1:3" x14ac:dyDescent="0.25">
      <c r="A187" t="str">
        <f>"04/03/2010"</f>
        <v>04/03/2010</v>
      </c>
      <c r="B187" t="str">
        <f>"1144.00"</f>
        <v>1144.00</v>
      </c>
      <c r="C187" t="str">
        <f>"1144.0155"</f>
        <v>1144.0155</v>
      </c>
    </row>
    <row r="188" spans="1:3" x14ac:dyDescent="0.25">
      <c r="A188" t="str">
        <f>"05/03/2010"</f>
        <v>05/03/2010</v>
      </c>
      <c r="B188" t="str">
        <f>"1141.20"</f>
        <v>1141.20</v>
      </c>
      <c r="C188" t="str">
        <f>"1141.216"</f>
        <v>1141.216</v>
      </c>
    </row>
    <row r="189" spans="1:3" x14ac:dyDescent="0.25">
      <c r="A189" t="str">
        <f>"08/03/2010"</f>
        <v>08/03/2010</v>
      </c>
      <c r="B189" t="str">
        <f>"1134.00"</f>
        <v>1134.00</v>
      </c>
      <c r="C189" t="str">
        <f>"1134.0165"</f>
        <v>1134.0165</v>
      </c>
    </row>
    <row r="190" spans="1:3" x14ac:dyDescent="0.25">
      <c r="A190" t="str">
        <f>"09/03/2010"</f>
        <v>09/03/2010</v>
      </c>
      <c r="B190" t="str">
        <f>"1134.40"</f>
        <v>1134.40</v>
      </c>
      <c r="C190" t="str">
        <f>"1134.4222"</f>
        <v>1134.4222</v>
      </c>
    </row>
    <row r="191" spans="1:3" x14ac:dyDescent="0.25">
      <c r="A191" t="str">
        <f>"10/03/2010"</f>
        <v>10/03/2010</v>
      </c>
      <c r="B191" t="str">
        <f>"1132.90"</f>
        <v>1132.90</v>
      </c>
      <c r="C191" t="str">
        <f>"1132.917"</f>
        <v>1132.917</v>
      </c>
    </row>
    <row r="192" spans="1:3" x14ac:dyDescent="0.25">
      <c r="A192" t="str">
        <f>"11/03/2010"</f>
        <v>11/03/2010</v>
      </c>
      <c r="B192" t="str">
        <f>"1134.20"</f>
        <v>1134.20</v>
      </c>
      <c r="C192" t="str">
        <f>"1134.23"</f>
        <v>1134.23</v>
      </c>
    </row>
    <row r="193" spans="1:3" x14ac:dyDescent="0.25">
      <c r="A193" t="str">
        <f>"12/03/2010"</f>
        <v>12/03/2010</v>
      </c>
      <c r="B193" t="str">
        <f>"1131.60"</f>
        <v>1131.60</v>
      </c>
      <c r="C193" t="str">
        <f>"1131.618"</f>
        <v>1131.618</v>
      </c>
    </row>
    <row r="194" spans="1:3" x14ac:dyDescent="0.25">
      <c r="A194" t="str">
        <f>"15/03/2010"</f>
        <v>15/03/2010</v>
      </c>
      <c r="B194" t="str">
        <f>"1134.55"</f>
        <v>1134.55</v>
      </c>
      <c r="C194" t="str">
        <f>"1134.568"</f>
        <v>1134.568</v>
      </c>
    </row>
    <row r="195" spans="1:3" x14ac:dyDescent="0.25">
      <c r="A195" t="str">
        <f>"17/03/2010"</f>
        <v>17/03/2010</v>
      </c>
      <c r="B195" t="str">
        <f>"1129.60"</f>
        <v>1129.60</v>
      </c>
      <c r="C195" t="str">
        <f>"1129.6165"</f>
        <v>1129.6165</v>
      </c>
    </row>
    <row r="196" spans="1:3" x14ac:dyDescent="0.25">
      <c r="A196" t="str">
        <f>"18/03/2010"</f>
        <v>18/03/2010</v>
      </c>
      <c r="B196" t="str">
        <f>"1131.40"</f>
        <v>1131.40</v>
      </c>
      <c r="C196" t="str">
        <f>"1131.417"</f>
        <v>1131.417</v>
      </c>
    </row>
    <row r="197" spans="1:3" x14ac:dyDescent="0.25">
      <c r="A197" t="str">
        <f>"19/03/2010"</f>
        <v>19/03/2010</v>
      </c>
      <c r="B197" t="str">
        <f>"1131.20"</f>
        <v>1131.20</v>
      </c>
      <c r="C197" t="str">
        <f>"1131.2165"</f>
        <v>1131.2165</v>
      </c>
    </row>
    <row r="198" spans="1:3" x14ac:dyDescent="0.25">
      <c r="A198" t="str">
        <f>"22/03/2010"</f>
        <v>22/03/2010</v>
      </c>
      <c r="B198" t="str">
        <f>"1137.00"</f>
        <v>1137.00</v>
      </c>
      <c r="C198" t="str">
        <f>"1137.018"</f>
        <v>1137.018</v>
      </c>
    </row>
    <row r="199" spans="1:3" x14ac:dyDescent="0.25">
      <c r="A199" t="str">
        <f>"23/03/2010"</f>
        <v>23/03/2010</v>
      </c>
      <c r="B199" t="str">
        <f>"1134.30"</f>
        <v>1134.30</v>
      </c>
      <c r="C199" t="str">
        <f>"1134.3155"</f>
        <v>1134.3155</v>
      </c>
    </row>
    <row r="200" spans="1:3" x14ac:dyDescent="0.25">
      <c r="A200" t="str">
        <f>"25/03/2010"</f>
        <v>25/03/2010</v>
      </c>
      <c r="B200" t="str">
        <f>"1139.90"</f>
        <v>1139.90</v>
      </c>
      <c r="C200" t="str">
        <f>"1139.9155"</f>
        <v>1139.9155</v>
      </c>
    </row>
    <row r="201" spans="1:3" x14ac:dyDescent="0.25">
      <c r="A201" t="str">
        <f>"26/03/2010"</f>
        <v>26/03/2010</v>
      </c>
      <c r="B201" t="str">
        <f>"1141.70"</f>
        <v>1141.70</v>
      </c>
      <c r="C201" t="str">
        <f>"1141.7155"</f>
        <v>1141.7155</v>
      </c>
    </row>
    <row r="202" spans="1:3" x14ac:dyDescent="0.25">
      <c r="A202" t="str">
        <f>"29/03/2010"</f>
        <v>29/03/2010</v>
      </c>
      <c r="B202" t="str">
        <f>"1137.30"</f>
        <v>1137.30</v>
      </c>
      <c r="C202" t="str">
        <f>"1137.3155"</f>
        <v>1137.3155</v>
      </c>
    </row>
    <row r="203" spans="1:3" x14ac:dyDescent="0.25">
      <c r="A203" t="str">
        <f>"30/03/2010"</f>
        <v>30/03/2010</v>
      </c>
      <c r="B203" t="str">
        <f>"1131.20"</f>
        <v>1131.20</v>
      </c>
      <c r="C203" t="str">
        <f>"1131.216"</f>
        <v>1131.216</v>
      </c>
    </row>
    <row r="204" spans="1:3" x14ac:dyDescent="0.25">
      <c r="A204" t="str">
        <f>"31/03/2010"</f>
        <v>31/03/2010</v>
      </c>
      <c r="B204" t="str">
        <f>"1133.00"</f>
        <v>1133.00</v>
      </c>
      <c r="C204" t="str">
        <f>"1133.017"</f>
        <v>1133.017</v>
      </c>
    </row>
    <row r="205" spans="1:3" x14ac:dyDescent="0.25">
      <c r="A205" t="str">
        <f>"05/04/2010"</f>
        <v>05/04/2010</v>
      </c>
      <c r="B205" t="str">
        <f>"1127.10"</f>
        <v>1127.10</v>
      </c>
      <c r="C205" t="str">
        <f>"1127.115"</f>
        <v>1127.115</v>
      </c>
    </row>
    <row r="206" spans="1:3" x14ac:dyDescent="0.25">
      <c r="A206" t="str">
        <f>"06/04/2010"</f>
        <v>06/04/2010</v>
      </c>
      <c r="B206" t="str">
        <f>"1123.85"</f>
        <v>1123.85</v>
      </c>
      <c r="C206" t="str">
        <f>"1123.8645"</f>
        <v>1123.8645</v>
      </c>
    </row>
    <row r="207" spans="1:3" x14ac:dyDescent="0.25">
      <c r="A207" t="str">
        <f>"07/04/2010"</f>
        <v>07/04/2010</v>
      </c>
      <c r="B207" t="str">
        <f>"1121.00"</f>
        <v>1121.00</v>
      </c>
      <c r="C207" t="str">
        <f>"1121.0141"</f>
        <v>1121.0141</v>
      </c>
    </row>
    <row r="208" spans="1:3" x14ac:dyDescent="0.25">
      <c r="A208" t="str">
        <f>"08/04/2010"</f>
        <v>08/04/2010</v>
      </c>
      <c r="B208" t="str">
        <f>"1122.70"</f>
        <v>1122.70</v>
      </c>
      <c r="C208" t="str">
        <f>"1122.713"</f>
        <v>1122.713</v>
      </c>
    </row>
    <row r="209" spans="1:3" x14ac:dyDescent="0.25">
      <c r="A209" t="str">
        <f>"09/04/2010"</f>
        <v>09/04/2010</v>
      </c>
      <c r="B209" t="str">
        <f>"1118.10"</f>
        <v>1118.10</v>
      </c>
      <c r="C209" t="str">
        <f>"1118.1135"</f>
        <v>1118.1135</v>
      </c>
    </row>
    <row r="210" spans="1:3" x14ac:dyDescent="0.25">
      <c r="A210" t="str">
        <f>"12/04/2010"</f>
        <v>12/04/2010</v>
      </c>
      <c r="B210" t="str">
        <f>"1114.20"</f>
        <v>1114.20</v>
      </c>
      <c r="C210" t="str">
        <f>"1114.2125"</f>
        <v>1114.2125</v>
      </c>
    </row>
    <row r="211" spans="1:3" x14ac:dyDescent="0.25">
      <c r="A211" t="str">
        <f>"13/04/2010"</f>
        <v>13/04/2010</v>
      </c>
      <c r="B211" t="str">
        <f>"1120.10"</f>
        <v>1120.10</v>
      </c>
      <c r="C211" t="str">
        <f>"1120.1247"</f>
        <v>1120.1247</v>
      </c>
    </row>
    <row r="212" spans="1:3" x14ac:dyDescent="0.25">
      <c r="A212" t="str">
        <f>"15/04/2010"</f>
        <v>15/04/2010</v>
      </c>
      <c r="B212" t="str">
        <f>"1108.90"</f>
        <v>1108.90</v>
      </c>
      <c r="C212" t="str">
        <f>"1108.9205"</f>
        <v>1108.9205</v>
      </c>
    </row>
    <row r="213" spans="1:3" x14ac:dyDescent="0.25">
      <c r="A213" t="str">
        <f>"16/04/2010"</f>
        <v>16/04/2010</v>
      </c>
      <c r="B213" t="str">
        <f>"1114.60"</f>
        <v>1114.60</v>
      </c>
      <c r="C213" t="str">
        <f>"1114.6205"</f>
        <v>1114.6205</v>
      </c>
    </row>
    <row r="214" spans="1:3" x14ac:dyDescent="0.25">
      <c r="A214" t="str">
        <f>"19/04/2010"</f>
        <v>19/04/2010</v>
      </c>
      <c r="B214" t="str">
        <f>"1117.80"</f>
        <v>1117.80</v>
      </c>
      <c r="C214" t="str">
        <f>"1117.8112"</f>
        <v>1117.8112</v>
      </c>
    </row>
    <row r="215" spans="1:3" x14ac:dyDescent="0.25">
      <c r="A215" t="str">
        <f>"20/04/2010"</f>
        <v>20/04/2010</v>
      </c>
      <c r="B215" t="str">
        <f>"1115.80"</f>
        <v>1115.80</v>
      </c>
      <c r="C215" t="str">
        <f>"1115.8104"</f>
        <v>1115.8104</v>
      </c>
    </row>
    <row r="216" spans="1:3" x14ac:dyDescent="0.25">
      <c r="A216" t="str">
        <f>"21/04/2010"</f>
        <v>21/04/2010</v>
      </c>
      <c r="B216" t="str">
        <f>"1109.60"</f>
        <v>1109.60</v>
      </c>
      <c r="C216" t="str">
        <f>"1109.6198"</f>
        <v>1109.6198</v>
      </c>
    </row>
    <row r="217" spans="1:3" x14ac:dyDescent="0.25">
      <c r="A217" t="str">
        <f>"22/04/2010"</f>
        <v>22/04/2010</v>
      </c>
      <c r="B217" t="str">
        <f>"1111.70"</f>
        <v>1111.70</v>
      </c>
      <c r="C217" t="str">
        <f>"1111.711"</f>
        <v>1111.711</v>
      </c>
    </row>
    <row r="218" spans="1:3" x14ac:dyDescent="0.25">
      <c r="A218" t="str">
        <f>"23/04/2010"</f>
        <v>23/04/2010</v>
      </c>
      <c r="B218" t="str">
        <f>"1111.10"</f>
        <v>1111.10</v>
      </c>
      <c r="C218" t="str">
        <f>"1111.1124"</f>
        <v>1111.1124</v>
      </c>
    </row>
    <row r="219" spans="1:3" x14ac:dyDescent="0.25">
      <c r="A219" t="str">
        <f>"26/04/2010"</f>
        <v>26/04/2010</v>
      </c>
      <c r="B219" t="str">
        <f>"1104.10"</f>
        <v>1104.10</v>
      </c>
      <c r="C219" t="str">
        <f>"1104.1127"</f>
        <v>1104.1127</v>
      </c>
    </row>
    <row r="220" spans="1:3" x14ac:dyDescent="0.25">
      <c r="A220" t="str">
        <f>"27/04/2010"</f>
        <v>27/04/2010</v>
      </c>
      <c r="B220" t="str">
        <f>"1105.70"</f>
        <v>1105.70</v>
      </c>
      <c r="C220" t="str">
        <f>"1105.707"</f>
        <v>1105.707</v>
      </c>
    </row>
    <row r="221" spans="1:3" x14ac:dyDescent="0.25">
      <c r="A221" t="str">
        <f>"28/04/2010"</f>
        <v>28/04/2010</v>
      </c>
      <c r="B221" t="str">
        <f>"1116.90"</f>
        <v>1116.90</v>
      </c>
      <c r="C221" t="str">
        <f>"1116.9096"</f>
        <v>1116.9096</v>
      </c>
    </row>
    <row r="222" spans="1:3" x14ac:dyDescent="0.25">
      <c r="A222" t="str">
        <f>"29/04/2010"</f>
        <v>29/04/2010</v>
      </c>
      <c r="B222" t="str">
        <f>"1115.50"</f>
        <v>1115.50</v>
      </c>
      <c r="C222" t="str">
        <f>"1115.521"</f>
        <v>1115.521</v>
      </c>
    </row>
    <row r="223" spans="1:3" x14ac:dyDescent="0.25">
      <c r="A223" t="str">
        <f>"30/04/2010"</f>
        <v>30/04/2010</v>
      </c>
      <c r="B223" t="str">
        <f>"1108.40"</f>
        <v>1108.40</v>
      </c>
      <c r="C223" t="str">
        <f>"1108.4162"</f>
        <v>1108.4162</v>
      </c>
    </row>
    <row r="224" spans="1:3" x14ac:dyDescent="0.25">
      <c r="A224" t="str">
        <f>"03/05/2010"</f>
        <v>03/05/2010</v>
      </c>
      <c r="B224" t="str">
        <f>"1115.80"</f>
        <v>1115.80</v>
      </c>
      <c r="C224" t="str">
        <f>"1115.825"</f>
        <v>1115.825</v>
      </c>
    </row>
    <row r="225" spans="1:3" x14ac:dyDescent="0.25">
      <c r="A225" t="str">
        <f>"04/05/2010"</f>
        <v>04/05/2010</v>
      </c>
      <c r="B225" t="str">
        <f>"1114.80"</f>
        <v>1114.80</v>
      </c>
      <c r="C225" t="str">
        <f>"1114.8233"</f>
        <v>1114.8233</v>
      </c>
    </row>
    <row r="226" spans="1:3" x14ac:dyDescent="0.25">
      <c r="A226" t="str">
        <f>"05/05/2010"</f>
        <v>05/05/2010</v>
      </c>
      <c r="B226" t="str">
        <f>"1134.00"</f>
        <v>1134.00</v>
      </c>
      <c r="C226" t="str">
        <f>"1134.0239"</f>
        <v>1134.0239</v>
      </c>
    </row>
    <row r="227" spans="1:3" x14ac:dyDescent="0.25">
      <c r="A227" t="str">
        <f>"06/05/2010"</f>
        <v>06/05/2010</v>
      </c>
      <c r="B227" t="str">
        <f>"1135.85"</f>
        <v>1135.85</v>
      </c>
      <c r="C227" t="str">
        <f>"1135.8737"</f>
        <v>1135.8737</v>
      </c>
    </row>
    <row r="228" spans="1:3" x14ac:dyDescent="0.25">
      <c r="A228" t="str">
        <f>"07/05/2010"</f>
        <v>07/05/2010</v>
      </c>
      <c r="B228" t="str">
        <f>"1155.20"</f>
        <v>1155.20</v>
      </c>
      <c r="C228" t="str">
        <f>"1155.222"</f>
        <v>1155.222</v>
      </c>
    </row>
    <row r="229" spans="1:3" x14ac:dyDescent="0.25">
      <c r="A229" t="str">
        <f>"10/05/2010"</f>
        <v>10/05/2010</v>
      </c>
      <c r="B229" t="str">
        <f>"1130.50"</f>
        <v>1130.50</v>
      </c>
      <c r="C229" t="str">
        <f>"1130.5251"</f>
        <v>1130.5251</v>
      </c>
    </row>
    <row r="230" spans="1:3" x14ac:dyDescent="0.25">
      <c r="A230" t="str">
        <f>"11/05/2010"</f>
        <v>11/05/2010</v>
      </c>
      <c r="B230" t="str">
        <f>"1128.00"</f>
        <v>1128.00</v>
      </c>
      <c r="C230" t="str">
        <f>"1128.0204"</f>
        <v>1128.0204</v>
      </c>
    </row>
    <row r="231" spans="1:3" x14ac:dyDescent="0.25">
      <c r="A231" t="str">
        <f>"12/05/2010"</f>
        <v>12/05/2010</v>
      </c>
      <c r="B231" t="str">
        <f>"1137.70"</f>
        <v>1137.70</v>
      </c>
      <c r="C231" t="str">
        <f>"1137.7218"</f>
        <v>1137.7218</v>
      </c>
    </row>
    <row r="232" spans="1:3" x14ac:dyDescent="0.25">
      <c r="A232" t="str">
        <f>"13/05/2010"</f>
        <v>13/05/2010</v>
      </c>
      <c r="B232" t="str">
        <f>"1131.90"</f>
        <v>1131.90</v>
      </c>
      <c r="C232" t="str">
        <f>"1131.9259"</f>
        <v>1131.9259</v>
      </c>
    </row>
    <row r="233" spans="1:3" x14ac:dyDescent="0.25">
      <c r="A233" t="str">
        <f>"14/05/2010"</f>
        <v>14/05/2010</v>
      </c>
      <c r="B233" t="str">
        <f>"1132.40"</f>
        <v>1132.40</v>
      </c>
      <c r="C233" t="str">
        <f>"1132.421"</f>
        <v>1132.421</v>
      </c>
    </row>
    <row r="234" spans="1:3" x14ac:dyDescent="0.25">
      <c r="A234" t="str">
        <f>"17/05/2010"</f>
        <v>17/05/2010</v>
      </c>
      <c r="B234" t="str">
        <f>"1152.40"</f>
        <v>1152.40</v>
      </c>
      <c r="C234" t="str">
        <f>"1152.4205"</f>
        <v>1152.4205</v>
      </c>
    </row>
    <row r="235" spans="1:3" x14ac:dyDescent="0.25">
      <c r="A235" t="str">
        <f>"18/05/2010"</f>
        <v>18/05/2010</v>
      </c>
      <c r="B235" t="str">
        <f>"1151.10"</f>
        <v>1151.10</v>
      </c>
      <c r="C235" t="str">
        <f>"1151.1185"</f>
        <v>1151.1185</v>
      </c>
    </row>
    <row r="236" spans="1:3" x14ac:dyDescent="0.25">
      <c r="A236" t="str">
        <f>"19/05/2010"</f>
        <v>19/05/2010</v>
      </c>
      <c r="B236" t="str">
        <f>"1163.80"</f>
        <v>1163.80</v>
      </c>
      <c r="C236" t="str">
        <f>"1163.8174"</f>
        <v>1163.8174</v>
      </c>
    </row>
    <row r="237" spans="1:3" x14ac:dyDescent="0.25">
      <c r="A237" t="str">
        <f>"20/05/2010"</f>
        <v>20/05/2010</v>
      </c>
      <c r="B237" t="str">
        <f>"1176.50"</f>
        <v>1176.50</v>
      </c>
      <c r="C237" t="str">
        <f>"1176.5233"</f>
        <v>1176.5233</v>
      </c>
    </row>
    <row r="238" spans="1:3" x14ac:dyDescent="0.25">
      <c r="A238" t="str">
        <f>"21/05/2010"</f>
        <v>21/05/2010</v>
      </c>
      <c r="B238" t="str">
        <f>"1224.00"</f>
        <v>1224.00</v>
      </c>
      <c r="C238" t="str">
        <f>"1224.0132"</f>
        <v>1224.0132</v>
      </c>
    </row>
    <row r="239" spans="1:3" x14ac:dyDescent="0.25">
      <c r="A239" t="str">
        <f>"24/05/2010"</f>
        <v>24/05/2010</v>
      </c>
      <c r="B239" t="str">
        <f>"1216.10"</f>
        <v>1216.10</v>
      </c>
      <c r="C239" t="str">
        <f>"1216.1173"</f>
        <v>1216.1173</v>
      </c>
    </row>
    <row r="240" spans="1:3" x14ac:dyDescent="0.25">
      <c r="A240" t="str">
        <f>"25/05/2010"</f>
        <v>25/05/2010</v>
      </c>
      <c r="B240" t="str">
        <f>"1265.20"</f>
        <v>1265.20</v>
      </c>
      <c r="C240" t="str">
        <f>"1265.2214"</f>
        <v>1265.2214</v>
      </c>
    </row>
    <row r="241" spans="1:3" x14ac:dyDescent="0.25">
      <c r="A241" t="str">
        <f>"26/05/2010"</f>
        <v>26/05/2010</v>
      </c>
      <c r="B241" t="str">
        <f>"1254.80"</f>
        <v>1254.80</v>
      </c>
      <c r="C241" t="str">
        <f>"1254.8189"</f>
        <v>1254.8189</v>
      </c>
    </row>
    <row r="242" spans="1:3" x14ac:dyDescent="0.25">
      <c r="A242" t="str">
        <f>"28/05/2010"</f>
        <v>28/05/2010</v>
      </c>
      <c r="B242" t="str">
        <f>"1198.50"</f>
        <v>1198.50</v>
      </c>
      <c r="C242" t="str">
        <f>"1198.5315"</f>
        <v>1198.5315</v>
      </c>
    </row>
    <row r="243" spans="1:3" x14ac:dyDescent="0.25">
      <c r="A243" t="str">
        <f>"31/05/2010"</f>
        <v>31/05/2010</v>
      </c>
      <c r="B243" t="str">
        <f>"1198.70"</f>
        <v>1198.70</v>
      </c>
      <c r="C243" t="str">
        <f>"1198.7213"</f>
        <v>1198.7213</v>
      </c>
    </row>
    <row r="244" spans="1:3" x14ac:dyDescent="0.25">
      <c r="A244" t="str">
        <f>"01/06/2010"</f>
        <v>01/06/2010</v>
      </c>
      <c r="B244" t="str">
        <f>"1209.10"</f>
        <v>1209.10</v>
      </c>
      <c r="C244" t="str">
        <f>"1209.1417"</f>
        <v>1209.1417</v>
      </c>
    </row>
    <row r="245" spans="1:3" x14ac:dyDescent="0.25">
      <c r="A245" t="str">
        <f>"02/06/2010"</f>
        <v>02/06/2010</v>
      </c>
      <c r="B245" t="str">
        <f>"1236.00"</f>
        <v>1236.00</v>
      </c>
      <c r="C245" t="str">
        <f>"1236.0215"</f>
        <v>1236.0215</v>
      </c>
    </row>
    <row r="246" spans="1:3" x14ac:dyDescent="0.25">
      <c r="A246" t="str">
        <f>"03/06/2010"</f>
        <v>03/06/2010</v>
      </c>
      <c r="B246" t="str">
        <f>"1206.10"</f>
        <v>1206.10</v>
      </c>
      <c r="C246" t="str">
        <f>"1206.1332"</f>
        <v>1206.1332</v>
      </c>
    </row>
    <row r="247" spans="1:3" x14ac:dyDescent="0.25">
      <c r="A247" t="str">
        <f>"04/06/2010"</f>
        <v>04/06/2010</v>
      </c>
      <c r="B247" t="str">
        <f>"1198.50"</f>
        <v>1198.50</v>
      </c>
      <c r="C247" t="str">
        <f>"1198.534"</f>
        <v>1198.534</v>
      </c>
    </row>
    <row r="248" spans="1:3" x14ac:dyDescent="0.25">
      <c r="A248" t="str">
        <f>"07/06/2010"</f>
        <v>07/06/2010</v>
      </c>
      <c r="B248" t="str">
        <f>"1235.50"</f>
        <v>1235.50</v>
      </c>
      <c r="C248" t="str">
        <f>"1235.5344"</f>
        <v>1235.5344</v>
      </c>
    </row>
    <row r="249" spans="1:3" x14ac:dyDescent="0.25">
      <c r="A249" t="str">
        <f>"08/06/2010"</f>
        <v>08/06/2010</v>
      </c>
      <c r="B249" t="str">
        <f>"1234.50"</f>
        <v>1234.50</v>
      </c>
      <c r="C249" t="str">
        <f>"1234.5231"</f>
        <v>1234.5231</v>
      </c>
    </row>
    <row r="250" spans="1:3" x14ac:dyDescent="0.25">
      <c r="A250" t="str">
        <f>"09/06/2010"</f>
        <v>09/06/2010</v>
      </c>
      <c r="B250" t="str">
        <f>"1243.70"</f>
        <v>1243.70</v>
      </c>
      <c r="C250" t="str">
        <f>"1243.7258"</f>
        <v>1243.7258</v>
      </c>
    </row>
    <row r="251" spans="1:3" x14ac:dyDescent="0.25">
      <c r="A251" t="str">
        <f>"10/06/2010"</f>
        <v>10/06/2010</v>
      </c>
      <c r="B251" t="str">
        <f>"1258.70"</f>
        <v>1258.70</v>
      </c>
      <c r="C251" t="str">
        <f>"1258.7253"</f>
        <v>1258.7253</v>
      </c>
    </row>
    <row r="252" spans="1:3" x14ac:dyDescent="0.25">
      <c r="A252" t="str">
        <f>"11/06/2010"</f>
        <v>11/06/2010</v>
      </c>
      <c r="B252" t="str">
        <f>"1242.50"</f>
        <v>1242.50</v>
      </c>
      <c r="C252" t="str">
        <f>"1242.5293"</f>
        <v>1242.5293</v>
      </c>
    </row>
    <row r="253" spans="1:3" x14ac:dyDescent="0.25">
      <c r="A253" t="str">
        <f>"14/06/2010"</f>
        <v>14/06/2010</v>
      </c>
      <c r="B253" t="str">
        <f>"1224.90"</f>
        <v>1224.90</v>
      </c>
      <c r="C253" t="str">
        <f>"1224.9295"</f>
        <v>1224.9295</v>
      </c>
    </row>
    <row r="254" spans="1:3" x14ac:dyDescent="0.25">
      <c r="A254" t="str">
        <f>"15/06/2010"</f>
        <v>15/06/2010</v>
      </c>
      <c r="B254" t="str">
        <f>"1222.60"</f>
        <v>1222.60</v>
      </c>
      <c r="C254" t="str">
        <f>"1222.6307"</f>
        <v>1222.6307</v>
      </c>
    </row>
    <row r="255" spans="1:3" x14ac:dyDescent="0.25">
      <c r="A255" t="str">
        <f>"16/06/2010"</f>
        <v>16/06/2010</v>
      </c>
      <c r="B255" t="str">
        <f>"1212.00"</f>
        <v>1212.00</v>
      </c>
      <c r="C255" t="str">
        <f>"1212.0291"</f>
        <v>1212.0291</v>
      </c>
    </row>
    <row r="256" spans="1:3" x14ac:dyDescent="0.25">
      <c r="A256" t="str">
        <f>"17/06/2010"</f>
        <v>17/06/2010</v>
      </c>
      <c r="B256" t="str">
        <f>"1217.00"</f>
        <v>1217.00</v>
      </c>
      <c r="C256" t="str">
        <f>"1217.0305"</f>
        <v>1217.0305</v>
      </c>
    </row>
    <row r="257" spans="1:3" x14ac:dyDescent="0.25">
      <c r="A257" t="str">
        <f>"18/06/2010"</f>
        <v>18/06/2010</v>
      </c>
      <c r="B257" t="str">
        <f>"1204.50"</f>
        <v>1204.50</v>
      </c>
      <c r="C257" t="str">
        <f>"1204.5258"</f>
        <v>1204.5258</v>
      </c>
    </row>
    <row r="258" spans="1:3" x14ac:dyDescent="0.25">
      <c r="A258" t="str">
        <f>"21/06/2010"</f>
        <v>21/06/2010</v>
      </c>
      <c r="B258" t="str">
        <f>"1172.65"</f>
        <v>1172.65</v>
      </c>
      <c r="C258" t="str">
        <f>"1172.6796"</f>
        <v>1172.6796</v>
      </c>
    </row>
    <row r="259" spans="1:3" x14ac:dyDescent="0.25">
      <c r="A259" t="str">
        <f>"22/06/2010"</f>
        <v>22/06/2010</v>
      </c>
      <c r="B259" t="str">
        <f>"1183.90"</f>
        <v>1183.90</v>
      </c>
      <c r="C259" t="str">
        <f>"1183.9304"</f>
        <v>1183.9304</v>
      </c>
    </row>
    <row r="260" spans="1:3" x14ac:dyDescent="0.25">
      <c r="A260" t="str">
        <f>"23/06/2010"</f>
        <v>23/06/2010</v>
      </c>
      <c r="B260" t="str">
        <f>"1184.80"</f>
        <v>1184.80</v>
      </c>
      <c r="C260" t="str">
        <f>"1184.8281"</f>
        <v>1184.8281</v>
      </c>
    </row>
    <row r="261" spans="1:3" x14ac:dyDescent="0.25">
      <c r="A261" t="str">
        <f>"24/06/2010"</f>
        <v>24/06/2010</v>
      </c>
      <c r="B261" t="str">
        <f>"1184.40"</f>
        <v>1184.40</v>
      </c>
      <c r="C261" t="str">
        <f>"1184.432"</f>
        <v>1184.432</v>
      </c>
    </row>
    <row r="262" spans="1:3" x14ac:dyDescent="0.25">
      <c r="A262" t="str">
        <f>"25/06/2010"</f>
        <v>25/06/2010</v>
      </c>
      <c r="B262" t="str">
        <f>"1208.30"</f>
        <v>1208.30</v>
      </c>
      <c r="C262" t="str">
        <f>"1208.3305"</f>
        <v>1208.3305</v>
      </c>
    </row>
    <row r="263" spans="1:3" x14ac:dyDescent="0.25">
      <c r="A263" t="str">
        <f>"28/06/2010"</f>
        <v>28/06/2010</v>
      </c>
      <c r="B263" t="str">
        <f>"1200.275"</f>
        <v>1200.275</v>
      </c>
      <c r="C263" t="str">
        <f>"1200.3075"</f>
        <v>1200.3075</v>
      </c>
    </row>
    <row r="264" spans="1:3" x14ac:dyDescent="0.25">
      <c r="A264" t="str">
        <f>"29/06/2010"</f>
        <v>29/06/2010</v>
      </c>
      <c r="B264" t="str">
        <f>"1212.75"</f>
        <v>1212.75</v>
      </c>
      <c r="C264" t="str">
        <f>"1212.7817"</f>
        <v>1212.7817</v>
      </c>
    </row>
    <row r="265" spans="1:3" x14ac:dyDescent="0.25">
      <c r="A265" t="str">
        <f>"30/06/2010"</f>
        <v>30/06/2010</v>
      </c>
      <c r="B265" t="str">
        <f>"1223.30"</f>
        <v>1223.30</v>
      </c>
      <c r="C265" t="str">
        <f>"1223.3362"</f>
        <v>1223.3362</v>
      </c>
    </row>
    <row r="266" spans="1:3" x14ac:dyDescent="0.25">
      <c r="A266" t="str">
        <f>"01/07/2010"</f>
        <v>01/07/2010</v>
      </c>
      <c r="B266" t="str">
        <f>"1235.425"</f>
        <v>1235.425</v>
      </c>
      <c r="C266" t="str">
        <f>"1235.4608"</f>
        <v>1235.4608</v>
      </c>
    </row>
    <row r="267" spans="1:3" x14ac:dyDescent="0.25">
      <c r="A267" t="str">
        <f>"02/07/2010"</f>
        <v>02/07/2010</v>
      </c>
      <c r="B267" t="str">
        <f>"1222.10"</f>
        <v>1222.10</v>
      </c>
      <c r="C267" t="str">
        <f>"1222.1306"</f>
        <v>1222.1306</v>
      </c>
    </row>
    <row r="268" spans="1:3" x14ac:dyDescent="0.25">
      <c r="A268" t="str">
        <f>"05/07/2010"</f>
        <v>05/07/2010</v>
      </c>
      <c r="B268" t="str">
        <f>"1220.975"</f>
        <v>1220.975</v>
      </c>
      <c r="C268" t="str">
        <f>"1221.0075"</f>
        <v>1221.0075</v>
      </c>
    </row>
    <row r="269" spans="1:3" x14ac:dyDescent="0.25">
      <c r="A269" t="str">
        <f>"06/07/2010"</f>
        <v>06/07/2010</v>
      </c>
      <c r="B269" t="str">
        <f>"1226.40"</f>
        <v>1226.40</v>
      </c>
      <c r="C269" t="str">
        <f>"1226.4398"</f>
        <v>1226.4398</v>
      </c>
    </row>
    <row r="270" spans="1:3" x14ac:dyDescent="0.25">
      <c r="A270" t="str">
        <f>"07/07/2010"</f>
        <v>07/07/2010</v>
      </c>
      <c r="B270" t="str">
        <f>"1224.60"</f>
        <v>1224.60</v>
      </c>
      <c r="C270" t="str">
        <f>"1224.6364"</f>
        <v>1224.6364</v>
      </c>
    </row>
    <row r="271" spans="1:3" x14ac:dyDescent="0.25">
      <c r="A271" t="str">
        <f>"08/07/2010"</f>
        <v>08/07/2010</v>
      </c>
      <c r="B271" t="str">
        <f>"1211.10"</f>
        <v>1211.10</v>
      </c>
      <c r="C271" t="str">
        <f>"1211.1385"</f>
        <v>1211.1385</v>
      </c>
    </row>
    <row r="272" spans="1:3" x14ac:dyDescent="0.25">
      <c r="A272" t="str">
        <f>"09/07/2010"</f>
        <v>09/07/2010</v>
      </c>
      <c r="B272" t="str">
        <f>"1196.60"</f>
        <v>1196.60</v>
      </c>
      <c r="C272" t="str">
        <f>"1196.639"</f>
        <v>1196.639</v>
      </c>
    </row>
    <row r="273" spans="1:3" x14ac:dyDescent="0.25">
      <c r="A273" t="str">
        <f>"12/07/2010"</f>
        <v>12/07/2010</v>
      </c>
      <c r="B273" t="str">
        <f>"1198.30"</f>
        <v>1198.30</v>
      </c>
      <c r="C273" t="str">
        <f>"1198.3306"</f>
        <v>1198.3306</v>
      </c>
    </row>
    <row r="274" spans="1:3" x14ac:dyDescent="0.25">
      <c r="A274" t="str">
        <f>"13/07/2010"</f>
        <v>13/07/2010</v>
      </c>
      <c r="B274" t="str">
        <f>"1212.20"</f>
        <v>1212.20</v>
      </c>
      <c r="C274" t="str">
        <f>"1212.2344"</f>
        <v>1212.2344</v>
      </c>
    </row>
    <row r="275" spans="1:3" x14ac:dyDescent="0.25">
      <c r="A275" t="str">
        <f>"14/07/2010"</f>
        <v>14/07/2010</v>
      </c>
      <c r="B275" t="str">
        <f>"1198.70"</f>
        <v>1198.70</v>
      </c>
      <c r="C275" t="str">
        <f>"1198.7353"</f>
        <v>1198.7353</v>
      </c>
    </row>
    <row r="276" spans="1:3" x14ac:dyDescent="0.25">
      <c r="A276" t="str">
        <f>"15/07/2010"</f>
        <v>15/07/2010</v>
      </c>
      <c r="B276" t="str">
        <f>"1203.70"</f>
        <v>1203.70</v>
      </c>
      <c r="C276" t="str">
        <f>"1203.7308"</f>
        <v>1203.7308</v>
      </c>
    </row>
    <row r="277" spans="1:3" x14ac:dyDescent="0.25">
      <c r="A277" t="str">
        <f>"16/07/2010"</f>
        <v>16/07/2010</v>
      </c>
      <c r="B277" t="str">
        <f>"1201.05"</f>
        <v>1201.05</v>
      </c>
      <c r="C277" t="str">
        <f>"1201.0808"</f>
        <v>1201.0808</v>
      </c>
    </row>
    <row r="278" spans="1:3" x14ac:dyDescent="0.25">
      <c r="A278" t="str">
        <f>"19/07/2010"</f>
        <v>19/07/2010</v>
      </c>
      <c r="B278" t="str">
        <f>"1217.875"</f>
        <v>1217.875</v>
      </c>
      <c r="C278" t="str">
        <f>"1217.9075"</f>
        <v>1217.9075</v>
      </c>
    </row>
    <row r="279" spans="1:3" x14ac:dyDescent="0.25">
      <c r="A279" t="str">
        <f>"20/07/2010"</f>
        <v>20/07/2010</v>
      </c>
      <c r="B279" t="str">
        <f>"1208.70"</f>
        <v>1208.70</v>
      </c>
      <c r="C279" t="str">
        <f>"1208.7267"</f>
        <v>1208.7267</v>
      </c>
    </row>
    <row r="280" spans="1:3" x14ac:dyDescent="0.25">
      <c r="A280" t="str">
        <f>"21/07/2010"</f>
        <v>21/07/2010</v>
      </c>
      <c r="B280" t="str">
        <f>"1203.50"</f>
        <v>1203.50</v>
      </c>
      <c r="C280" t="str">
        <f>"1203.5355"</f>
        <v>1203.5355</v>
      </c>
    </row>
    <row r="281" spans="1:3" x14ac:dyDescent="0.25">
      <c r="A281" t="str">
        <f>"22/07/2010"</f>
        <v>22/07/2010</v>
      </c>
      <c r="B281" t="str">
        <f>"1207.70"</f>
        <v>1207.70</v>
      </c>
      <c r="C281" t="str">
        <f>"1207.7333"</f>
        <v>1207.7333</v>
      </c>
    </row>
    <row r="282" spans="1:3" x14ac:dyDescent="0.25">
      <c r="A282" t="str">
        <f>"23/07/2010"</f>
        <v>23/07/2010</v>
      </c>
      <c r="B282" t="str">
        <f>"1197.00"</f>
        <v>1197.00</v>
      </c>
      <c r="C282" t="str">
        <f>"1197.0349"</f>
        <v>1197.0349</v>
      </c>
    </row>
    <row r="283" spans="1:3" x14ac:dyDescent="0.25">
      <c r="A283" t="str">
        <f>"26/07/2010"</f>
        <v>26/07/2010</v>
      </c>
      <c r="B283" t="str">
        <f>"1193.90"</f>
        <v>1193.90</v>
      </c>
      <c r="C283" t="str">
        <f>"1193.936"</f>
        <v>1193.936</v>
      </c>
    </row>
    <row r="284" spans="1:3" x14ac:dyDescent="0.25">
      <c r="A284" t="str">
        <f>"27/07/2010"</f>
        <v>27/07/2010</v>
      </c>
      <c r="B284" t="str">
        <f>"1182.80"</f>
        <v>1182.80</v>
      </c>
      <c r="C284" t="str">
        <f>"1182.8372"</f>
        <v>1182.8372</v>
      </c>
    </row>
    <row r="285" spans="1:3" x14ac:dyDescent="0.25">
      <c r="A285" t="str">
        <f>"28/07/2010"</f>
        <v>28/07/2010</v>
      </c>
      <c r="B285" t="str">
        <f>"1187.40"</f>
        <v>1187.40</v>
      </c>
      <c r="C285" t="str">
        <f>"1187.4362"</f>
        <v>1187.4362</v>
      </c>
    </row>
    <row r="286" spans="1:3" x14ac:dyDescent="0.25">
      <c r="A286" t="str">
        <f>"29/07/2010"</f>
        <v>29/07/2010</v>
      </c>
      <c r="B286" t="str">
        <f>"1186.25"</f>
        <v>1186.25</v>
      </c>
      <c r="C286" t="str">
        <f>"1186.2904"</f>
        <v>1186.2904</v>
      </c>
    </row>
    <row r="287" spans="1:3" x14ac:dyDescent="0.25">
      <c r="A287" t="str">
        <f>"30/07/2010"</f>
        <v>30/07/2010</v>
      </c>
      <c r="B287" t="str">
        <f>"1183.50"</f>
        <v>1183.50</v>
      </c>
      <c r="C287" t="str">
        <f>"1183.5379"</f>
        <v>1183.5379</v>
      </c>
    </row>
    <row r="288" spans="1:3" x14ac:dyDescent="0.25">
      <c r="A288" t="str">
        <f>"02/08/2010"</f>
        <v>02/08/2010</v>
      </c>
      <c r="B288" t="str">
        <f>"1173.00"</f>
        <v>1173.00</v>
      </c>
      <c r="C288" t="str">
        <f>"1173.0427"</f>
        <v>1173.0427</v>
      </c>
    </row>
    <row r="289" spans="1:3" x14ac:dyDescent="0.25">
      <c r="A289" t="str">
        <f>"03/08/2010"</f>
        <v>03/08/2010</v>
      </c>
      <c r="B289" t="str">
        <f>"1168.65"</f>
        <v>1168.65</v>
      </c>
      <c r="C289" t="str">
        <f>"1168.6897"</f>
        <v>1168.6897</v>
      </c>
    </row>
    <row r="290" spans="1:3" x14ac:dyDescent="0.25">
      <c r="A290" t="str">
        <f>"04/08/2010"</f>
        <v>04/08/2010</v>
      </c>
      <c r="B290" t="str">
        <f>"1171.10"</f>
        <v>1171.10</v>
      </c>
      <c r="C290" t="str">
        <f>"1171.1414"</f>
        <v>1171.1414</v>
      </c>
    </row>
    <row r="291" spans="1:3" x14ac:dyDescent="0.25">
      <c r="A291" t="str">
        <f>"05/08/2010"</f>
        <v>05/08/2010</v>
      </c>
      <c r="B291" t="str">
        <f>"1170.40"</f>
        <v>1170.40</v>
      </c>
      <c r="C291" t="str">
        <f>"1170.4435"</f>
        <v>1170.4435</v>
      </c>
    </row>
    <row r="292" spans="1:3" x14ac:dyDescent="0.25">
      <c r="A292" t="str">
        <f>"06/08/2010"</f>
        <v>06/08/2010</v>
      </c>
      <c r="B292" t="str">
        <f>"1164.60"</f>
        <v>1164.60</v>
      </c>
      <c r="C292" t="str">
        <f>"1164.6424"</f>
        <v>1164.6424</v>
      </c>
    </row>
    <row r="293" spans="1:3" x14ac:dyDescent="0.25">
      <c r="A293" t="str">
        <f>"09/08/2010"</f>
        <v>09/08/2010</v>
      </c>
      <c r="B293" t="str">
        <f>"1158.70"</f>
        <v>1158.70</v>
      </c>
      <c r="C293" t="str">
        <f>"1158.7423"</f>
        <v>1158.7423</v>
      </c>
    </row>
    <row r="294" spans="1:3" x14ac:dyDescent="0.25">
      <c r="A294" t="str">
        <f>"10/08/2010"</f>
        <v>10/08/2010</v>
      </c>
      <c r="B294" t="str">
        <f>"1169.60"</f>
        <v>1169.60</v>
      </c>
      <c r="C294" t="str">
        <f>"1169.642"</f>
        <v>1169.642</v>
      </c>
    </row>
    <row r="295" spans="1:3" x14ac:dyDescent="0.25">
      <c r="A295" t="str">
        <f>"11/08/2010"</f>
        <v>11/08/2010</v>
      </c>
      <c r="B295" t="str">
        <f>"1176.90"</f>
        <v>1176.90</v>
      </c>
      <c r="C295" t="str">
        <f>"1176.9339"</f>
        <v>1176.9339</v>
      </c>
    </row>
    <row r="296" spans="1:3" x14ac:dyDescent="0.25">
      <c r="A296" t="str">
        <f>"12/08/2010"</f>
        <v>12/08/2010</v>
      </c>
      <c r="B296" t="str">
        <f>"1189.325"</f>
        <v>1189.325</v>
      </c>
      <c r="C296" t="str">
        <f>"1189.36"</f>
        <v>1189.36</v>
      </c>
    </row>
    <row r="297" spans="1:3" x14ac:dyDescent="0.25">
      <c r="A297" t="str">
        <f>"13/08/2010"</f>
        <v>13/08/2010</v>
      </c>
      <c r="B297" t="str">
        <f>"1184.00"</f>
        <v>1184.00</v>
      </c>
      <c r="C297" t="str">
        <f>"1184.0421"</f>
        <v>1184.0421</v>
      </c>
    </row>
    <row r="298" spans="1:3" x14ac:dyDescent="0.25">
      <c r="A298" t="str">
        <f>"16/08/2010"</f>
        <v>16/08/2010</v>
      </c>
      <c r="B298" t="str">
        <f>"1191.40"</f>
        <v>1191.40</v>
      </c>
      <c r="C298" t="str">
        <f>"1191.443"</f>
        <v>1191.443</v>
      </c>
    </row>
    <row r="299" spans="1:3" x14ac:dyDescent="0.25">
      <c r="A299" t="str">
        <f>"17/08/2010"</f>
        <v>17/08/2010</v>
      </c>
      <c r="B299" t="str">
        <f>"1176.10"</f>
        <v>1176.10</v>
      </c>
      <c r="C299" t="str">
        <f>"1176.1439"</f>
        <v>1176.1439</v>
      </c>
    </row>
    <row r="300" spans="1:3" x14ac:dyDescent="0.25">
      <c r="A300" t="str">
        <f>"18/08/2010"</f>
        <v>18/08/2010</v>
      </c>
      <c r="B300" t="str">
        <f>"1176.35"</f>
        <v>1176.35</v>
      </c>
      <c r="C300" t="str">
        <f>"1176.3855"</f>
        <v>1176.3855</v>
      </c>
    </row>
    <row r="301" spans="1:3" x14ac:dyDescent="0.25">
      <c r="A301" t="str">
        <f>"20/08/2010"</f>
        <v>20/08/2010</v>
      </c>
      <c r="B301" t="str">
        <f>"1182.10"</f>
        <v>1182.10</v>
      </c>
      <c r="C301" t="str">
        <f>"1182.122"</f>
        <v>1182.122</v>
      </c>
    </row>
    <row r="302" spans="1:3" x14ac:dyDescent="0.25">
      <c r="A302" t="str">
        <f>"23/08/2010"</f>
        <v>23/08/2010</v>
      </c>
      <c r="B302" t="str">
        <f>"1183.30"</f>
        <v>1183.30</v>
      </c>
      <c r="C302" t="str">
        <f>"1183.3344"</f>
        <v>1183.3344</v>
      </c>
    </row>
    <row r="303" spans="1:3" x14ac:dyDescent="0.25">
      <c r="A303" t="str">
        <f>"24/08/2010"</f>
        <v>24/08/2010</v>
      </c>
      <c r="B303" t="str">
        <f>"1191.30"</f>
        <v>1191.30</v>
      </c>
      <c r="C303" t="str">
        <f>"1191.3393"</f>
        <v>1191.3393</v>
      </c>
    </row>
    <row r="304" spans="1:3" x14ac:dyDescent="0.25">
      <c r="A304" t="str">
        <f>"25/08/2010"</f>
        <v>25/08/2010</v>
      </c>
      <c r="B304" t="str">
        <f>"1196.50"</f>
        <v>1196.50</v>
      </c>
      <c r="C304" t="str">
        <f>"1196.538"</f>
        <v>1196.538</v>
      </c>
    </row>
    <row r="305" spans="1:3" x14ac:dyDescent="0.25">
      <c r="A305" t="str">
        <f>"26/08/2010"</f>
        <v>26/08/2010</v>
      </c>
      <c r="B305" t="str">
        <f>"1192.40"</f>
        <v>1192.40</v>
      </c>
      <c r="C305" t="str">
        <f>"1192.4443"</f>
        <v>1192.4443</v>
      </c>
    </row>
    <row r="306" spans="1:3" x14ac:dyDescent="0.25">
      <c r="A306" t="str">
        <f>"27/08/2010"</f>
        <v>27/08/2010</v>
      </c>
      <c r="B306" t="str">
        <f>"1194.40"</f>
        <v>1194.40</v>
      </c>
      <c r="C306" t="str">
        <f>"1194.4431"</f>
        <v>1194.4431</v>
      </c>
    </row>
    <row r="307" spans="1:3" x14ac:dyDescent="0.25">
      <c r="A307" t="str">
        <f>"30/08/2010"</f>
        <v>30/08/2010</v>
      </c>
      <c r="B307" t="str">
        <f>"1190.50"</f>
        <v>1190.50</v>
      </c>
      <c r="C307" t="str">
        <f>"1190.5444"</f>
        <v>1190.5444</v>
      </c>
    </row>
    <row r="308" spans="1:3" x14ac:dyDescent="0.25">
      <c r="A308" t="str">
        <f>"31/08/2010"</f>
        <v>31/08/2010</v>
      </c>
      <c r="B308" t="str">
        <f>"1197.60"</f>
        <v>1197.60</v>
      </c>
      <c r="C308" t="str">
        <f>"1197.6462"</f>
        <v>1197.6462</v>
      </c>
    </row>
    <row r="309" spans="1:3" x14ac:dyDescent="0.25">
      <c r="A309" t="str">
        <f>"01/09/2010"</f>
        <v>01/09/2010</v>
      </c>
      <c r="B309" t="str">
        <f>"1188.60"</f>
        <v>1188.60</v>
      </c>
      <c r="C309" t="str">
        <f>"1188.6459"</f>
        <v>1188.6459</v>
      </c>
    </row>
    <row r="310" spans="1:3" x14ac:dyDescent="0.25">
      <c r="A310" t="str">
        <f>"02/09/2010"</f>
        <v>02/09/2010</v>
      </c>
      <c r="B310" t="str">
        <f>"1183.10"</f>
        <v>1183.10</v>
      </c>
      <c r="C310" t="str">
        <f>"1183.1403"</f>
        <v>1183.1403</v>
      </c>
    </row>
    <row r="311" spans="1:3" x14ac:dyDescent="0.25">
      <c r="A311" t="str">
        <f>"03/09/2010"</f>
        <v>03/09/2010</v>
      </c>
      <c r="B311" t="str">
        <f>"1177.40"</f>
        <v>1177.40</v>
      </c>
      <c r="C311" t="str">
        <f>"1177.4412"</f>
        <v>1177.4412</v>
      </c>
    </row>
    <row r="312" spans="1:3" x14ac:dyDescent="0.25">
      <c r="A312" t="str">
        <f>"06/09/2010"</f>
        <v>06/09/2010</v>
      </c>
      <c r="B312" t="str">
        <f>"1171.00"</f>
        <v>1171.00</v>
      </c>
      <c r="C312" t="str">
        <f>"1171.0365"</f>
        <v>1171.0365</v>
      </c>
    </row>
    <row r="313" spans="1:3" x14ac:dyDescent="0.25">
      <c r="A313" t="str">
        <f>"07/09/2010"</f>
        <v>07/09/2010</v>
      </c>
      <c r="B313" t="str">
        <f>"1175.10"</f>
        <v>1175.10</v>
      </c>
      <c r="C313" t="str">
        <f>"1175.146"</f>
        <v>1175.146</v>
      </c>
    </row>
    <row r="314" spans="1:3" x14ac:dyDescent="0.25">
      <c r="A314" t="str">
        <f>"08/09/2010"</f>
        <v>08/09/2010</v>
      </c>
      <c r="B314" t="str">
        <f>"1174.95"</f>
        <v>1174.95</v>
      </c>
      <c r="C314" t="str">
        <f>"1174.9864"</f>
        <v>1174.9864</v>
      </c>
    </row>
    <row r="315" spans="1:3" x14ac:dyDescent="0.25">
      <c r="A315" t="str">
        <f>"09/09/2010"</f>
        <v>09/09/2010</v>
      </c>
      <c r="B315" t="str">
        <f>"1169.20"</f>
        <v>1169.20</v>
      </c>
      <c r="C315" t="str">
        <f>"1169.2434"</f>
        <v>1169.2434</v>
      </c>
    </row>
    <row r="316" spans="1:3" x14ac:dyDescent="0.25">
      <c r="A316" t="str">
        <f>"13/09/2010"</f>
        <v>13/09/2010</v>
      </c>
      <c r="B316" t="str">
        <f>"1161.00"</f>
        <v>1161.00</v>
      </c>
      <c r="C316" t="str">
        <f>"1161.0346"</f>
        <v>1161.0346</v>
      </c>
    </row>
    <row r="317" spans="1:3" x14ac:dyDescent="0.25">
      <c r="A317" t="str">
        <f>"14/09/2010"</f>
        <v>14/09/2010</v>
      </c>
      <c r="B317" t="str">
        <f>"1161.10"</f>
        <v>1161.10</v>
      </c>
      <c r="C317" t="str">
        <f>"1161.1427"</f>
        <v>1161.1427</v>
      </c>
    </row>
    <row r="318" spans="1:3" x14ac:dyDescent="0.25">
      <c r="A318" t="str">
        <f>"15/09/2010"</f>
        <v>15/09/2010</v>
      </c>
      <c r="B318" t="str">
        <f>"1165.90"</f>
        <v>1165.90</v>
      </c>
      <c r="C318" t="str">
        <f>"1165.9415"</f>
        <v>1165.9415</v>
      </c>
    </row>
    <row r="319" spans="1:3" x14ac:dyDescent="0.25">
      <c r="A319" t="str">
        <f>"16/09/2010"</f>
        <v>16/09/2010</v>
      </c>
      <c r="B319" t="str">
        <f>"1163.50"</f>
        <v>1163.50</v>
      </c>
      <c r="C319" t="str">
        <f>"1163.5425"</f>
        <v>1163.5425</v>
      </c>
    </row>
    <row r="320" spans="1:3" x14ac:dyDescent="0.25">
      <c r="A320" t="str">
        <f>"17/09/2010"</f>
        <v>17/09/2010</v>
      </c>
      <c r="B320" t="str">
        <f>"1161.85"</f>
        <v>1161.85</v>
      </c>
      <c r="C320" t="str">
        <f>"1161.8915"</f>
        <v>1161.8915</v>
      </c>
    </row>
    <row r="321" spans="1:3" x14ac:dyDescent="0.25">
      <c r="A321" t="str">
        <f>"20/09/2010"</f>
        <v>20/09/2010</v>
      </c>
      <c r="B321" t="str">
        <f>"1162.10"</f>
        <v>1162.10</v>
      </c>
      <c r="C321" t="str">
        <f>"1162.1454"</f>
        <v>1162.1454</v>
      </c>
    </row>
    <row r="322" spans="1:3" x14ac:dyDescent="0.25">
      <c r="A322" t="str">
        <f>"21/09/2010"</f>
        <v>21/09/2010</v>
      </c>
      <c r="B322" t="str">
        <f>"1157.60"</f>
        <v>1157.60</v>
      </c>
      <c r="C322" t="str">
        <f>"1157.6406"</f>
        <v>1157.6406</v>
      </c>
    </row>
    <row r="323" spans="1:3" x14ac:dyDescent="0.25">
      <c r="A323" t="str">
        <f>"22/09/2010"</f>
        <v>22/09/2010</v>
      </c>
      <c r="B323" t="str">
        <f>"1152.70"</f>
        <v>1152.70</v>
      </c>
      <c r="C323" t="str">
        <f>"1152.7406"</f>
        <v>1152.7406</v>
      </c>
    </row>
    <row r="324" spans="1:3" x14ac:dyDescent="0.25">
      <c r="A324" t="str">
        <f>"23/09/2010"</f>
        <v>23/09/2010</v>
      </c>
      <c r="B324" t="str">
        <f>"1151.30"</f>
        <v>1151.30</v>
      </c>
      <c r="C324" t="str">
        <f>"1151.3406"</f>
        <v>1151.3406</v>
      </c>
    </row>
    <row r="325" spans="1:3" x14ac:dyDescent="0.25">
      <c r="A325" t="str">
        <f>"24/09/2010"</f>
        <v>24/09/2010</v>
      </c>
      <c r="B325" t="str">
        <f>"1157.70"</f>
        <v>1157.70</v>
      </c>
      <c r="C325" t="str">
        <f>"1157.7376"</f>
        <v>1157.7376</v>
      </c>
    </row>
    <row r="326" spans="1:3" x14ac:dyDescent="0.25">
      <c r="A326" t="str">
        <f>"27/09/2010"</f>
        <v>27/09/2010</v>
      </c>
      <c r="B326" t="str">
        <f>"1150.00"</f>
        <v>1150.00</v>
      </c>
      <c r="C326" t="str">
        <f>"1150.039"</f>
        <v>1150.039</v>
      </c>
    </row>
    <row r="327" spans="1:3" x14ac:dyDescent="0.25">
      <c r="A327" t="str">
        <f>"28/09/2010"</f>
        <v>28/09/2010</v>
      </c>
      <c r="B327" t="str">
        <f>"1148.60"</f>
        <v>1148.60</v>
      </c>
      <c r="C327" t="str">
        <f>"1148.6323"</f>
        <v>1148.6323</v>
      </c>
    </row>
    <row r="328" spans="1:3" x14ac:dyDescent="0.25">
      <c r="A328" t="str">
        <f>"29/09/2010"</f>
        <v>29/09/2010</v>
      </c>
      <c r="B328" t="str">
        <f>"1140.30"</f>
        <v>1140.30</v>
      </c>
      <c r="C328" t="str">
        <f>"1140.3394"</f>
        <v>1140.3394</v>
      </c>
    </row>
    <row r="329" spans="1:3" x14ac:dyDescent="0.25">
      <c r="A329" t="str">
        <f>"01/10/2010"</f>
        <v>01/10/2010</v>
      </c>
      <c r="B329" t="str">
        <f>"1131.70"</f>
        <v>1131.70</v>
      </c>
      <c r="C329" t="str">
        <f>"1131.7394"</f>
        <v>1131.7394</v>
      </c>
    </row>
    <row r="330" spans="1:3" x14ac:dyDescent="0.25">
      <c r="A330" t="str">
        <f>"04/10/2010"</f>
        <v>04/10/2010</v>
      </c>
      <c r="B330" t="str">
        <f>"1123.80"</f>
        <v>1123.80</v>
      </c>
      <c r="C330" t="str">
        <f>"1123.8328"</f>
        <v>1123.8328</v>
      </c>
    </row>
    <row r="331" spans="1:3" x14ac:dyDescent="0.25">
      <c r="A331" t="str">
        <f>"05/10/2010"</f>
        <v>05/10/2010</v>
      </c>
      <c r="B331" t="str">
        <f>"1134.50"</f>
        <v>1134.50</v>
      </c>
      <c r="C331" t="str">
        <f>"1134.5375"</f>
        <v>1134.5375</v>
      </c>
    </row>
    <row r="332" spans="1:3" x14ac:dyDescent="0.25">
      <c r="A332" t="str">
        <f>"06/10/2010"</f>
        <v>06/10/2010</v>
      </c>
      <c r="B332" t="str">
        <f>"1119.10"</f>
        <v>1119.10</v>
      </c>
      <c r="C332" t="str">
        <f>"1119.1336"</f>
        <v>1119.1336</v>
      </c>
    </row>
    <row r="333" spans="1:3" x14ac:dyDescent="0.25">
      <c r="A333" t="str">
        <f>"07/10/2010"</f>
        <v>07/10/2010</v>
      </c>
      <c r="B333" t="str">
        <f>"1117.90"</f>
        <v>1117.90</v>
      </c>
      <c r="C333" t="str">
        <f>"1117.9365"</f>
        <v>1117.9365</v>
      </c>
    </row>
    <row r="334" spans="1:3" x14ac:dyDescent="0.25">
      <c r="A334" t="str">
        <f>"08/10/2010"</f>
        <v>08/10/2010</v>
      </c>
      <c r="B334" t="str">
        <f>"1117.70"</f>
        <v>1117.70</v>
      </c>
      <c r="C334" t="str">
        <f>"1117.7413"</f>
        <v>1117.7413</v>
      </c>
    </row>
    <row r="335" spans="1:3" x14ac:dyDescent="0.25">
      <c r="A335" t="str">
        <f>"11/10/2010"</f>
        <v>11/10/2010</v>
      </c>
      <c r="B335" t="str">
        <f>"1117.80"</f>
        <v>1117.80</v>
      </c>
      <c r="C335" t="str">
        <f>"1117.8397"</f>
        <v>1117.8397</v>
      </c>
    </row>
    <row r="336" spans="1:3" x14ac:dyDescent="0.25">
      <c r="A336" t="str">
        <f>"12/10/2010"</f>
        <v>12/10/2010</v>
      </c>
      <c r="B336" t="str">
        <f>"1127.60"</f>
        <v>1127.60</v>
      </c>
      <c r="C336" t="str">
        <f>"1127.6396"</f>
        <v>1127.6396</v>
      </c>
    </row>
    <row r="337" spans="1:3" x14ac:dyDescent="0.25">
      <c r="A337" t="str">
        <f>"13/10/2010"</f>
        <v>13/10/2010</v>
      </c>
      <c r="B337" t="str">
        <f>"1118.80"</f>
        <v>1118.80</v>
      </c>
      <c r="C337" t="str">
        <f>"1118.8386"</f>
        <v>1118.8386</v>
      </c>
    </row>
    <row r="338" spans="1:3" x14ac:dyDescent="0.25">
      <c r="A338" t="str">
        <f>"14/10/2010"</f>
        <v>14/10/2010</v>
      </c>
      <c r="B338" t="str">
        <f>"1113.70"</f>
        <v>1113.70</v>
      </c>
      <c r="C338" t="str">
        <f>"1113.739"</f>
        <v>1113.739</v>
      </c>
    </row>
    <row r="339" spans="1:3" x14ac:dyDescent="0.25">
      <c r="A339" t="str">
        <f>"15/10/2010"</f>
        <v>15/10/2010</v>
      </c>
      <c r="B339" t="str">
        <f>"1114.60"</f>
        <v>1114.60</v>
      </c>
      <c r="C339" t="str">
        <f>"1114.6358"</f>
        <v>1114.6358</v>
      </c>
    </row>
    <row r="340" spans="1:3" x14ac:dyDescent="0.25">
      <c r="A340" t="str">
        <f>"18/10/2010"</f>
        <v>18/10/2010</v>
      </c>
      <c r="B340" t="str">
        <f>"1118.10"</f>
        <v>1118.10</v>
      </c>
      <c r="C340" t="str">
        <f>"1118.1367"</f>
        <v>1118.1367</v>
      </c>
    </row>
    <row r="341" spans="1:3" x14ac:dyDescent="0.25">
      <c r="A341" t="str">
        <f>"19/10/2010"</f>
        <v>19/10/2010</v>
      </c>
      <c r="B341" t="str">
        <f>"1129.175"</f>
        <v>1129.175</v>
      </c>
      <c r="C341" t="str">
        <f>"1129.2126"</f>
        <v>1129.2126</v>
      </c>
    </row>
    <row r="342" spans="1:3" x14ac:dyDescent="0.25">
      <c r="A342" t="str">
        <f>"20/10/2010"</f>
        <v>20/10/2010</v>
      </c>
      <c r="B342" t="str">
        <f>"1127.20"</f>
        <v>1127.20</v>
      </c>
      <c r="C342" t="str">
        <f>"1127.239"</f>
        <v>1127.239</v>
      </c>
    </row>
    <row r="343" spans="1:3" x14ac:dyDescent="0.25">
      <c r="A343" t="str">
        <f>"21/10/2010"</f>
        <v>21/10/2010</v>
      </c>
      <c r="B343" t="str">
        <f>"1127.675"</f>
        <v>1127.675</v>
      </c>
      <c r="C343" t="str">
        <f>"1127.685"</f>
        <v>1127.685</v>
      </c>
    </row>
    <row r="344" spans="1:3" x14ac:dyDescent="0.25">
      <c r="A344" t="str">
        <f>"22/10/2010"</f>
        <v>22/10/2010</v>
      </c>
      <c r="B344" t="str">
        <f>"1132.30"</f>
        <v>1132.30</v>
      </c>
      <c r="C344" t="str">
        <f>"1132.3342"</f>
        <v>1132.3342</v>
      </c>
    </row>
    <row r="345" spans="1:3" x14ac:dyDescent="0.25">
      <c r="A345" t="str">
        <f>"25/10/2010"</f>
        <v>25/10/2010</v>
      </c>
      <c r="B345" t="str">
        <f>"1117.05"</f>
        <v>1117.05</v>
      </c>
      <c r="C345" t="str">
        <f>"1117.0904"</f>
        <v>1117.0904</v>
      </c>
    </row>
    <row r="346" spans="1:3" x14ac:dyDescent="0.25">
      <c r="A346" t="str">
        <f>"26/10/2010"</f>
        <v>26/10/2010</v>
      </c>
      <c r="B346" t="str">
        <f>"1118.25"</f>
        <v>1118.25</v>
      </c>
      <c r="C346" t="str">
        <f>"1118.2876"</f>
        <v>1118.2876</v>
      </c>
    </row>
    <row r="347" spans="1:3" x14ac:dyDescent="0.25">
      <c r="A347" t="str">
        <f>"27/10/2010"</f>
        <v>27/10/2010</v>
      </c>
      <c r="B347" t="str">
        <f>"1128.825"</f>
        <v>1128.825</v>
      </c>
      <c r="C347" t="str">
        <f>"1128.8607"</f>
        <v>1128.8607</v>
      </c>
    </row>
    <row r="348" spans="1:3" x14ac:dyDescent="0.25">
      <c r="A348" t="str">
        <f>"28/10/2010"</f>
        <v>28/10/2010</v>
      </c>
      <c r="B348" t="str">
        <f>"1124.30"</f>
        <v>1124.30</v>
      </c>
      <c r="C348" t="str">
        <f>"1124.3399"</f>
        <v>1124.3399</v>
      </c>
    </row>
    <row r="349" spans="1:3" x14ac:dyDescent="0.25">
      <c r="A349" t="str">
        <f>"29/10/2010"</f>
        <v>29/10/2010</v>
      </c>
      <c r="B349" t="str">
        <f>"1124.50"</f>
        <v>1124.50</v>
      </c>
      <c r="C349" t="str">
        <f>"1124.5342"</f>
        <v>1124.5342</v>
      </c>
    </row>
    <row r="350" spans="1:3" x14ac:dyDescent="0.25">
      <c r="A350" t="str">
        <f>"01/11/2010"</f>
        <v>01/11/2010</v>
      </c>
      <c r="B350" t="str">
        <f>"1116.675"</f>
        <v>1116.675</v>
      </c>
      <c r="C350" t="str">
        <f>"1116.7144"</f>
        <v>1116.7144</v>
      </c>
    </row>
    <row r="351" spans="1:3" x14ac:dyDescent="0.25">
      <c r="A351" t="str">
        <f>"02/11/2010"</f>
        <v>02/11/2010</v>
      </c>
      <c r="B351" t="str">
        <f>"1113.25"</f>
        <v>1113.25</v>
      </c>
      <c r="C351" t="str">
        <f>"1113.2854"</f>
        <v>1113.2854</v>
      </c>
    </row>
    <row r="352" spans="1:3" x14ac:dyDescent="0.25">
      <c r="A352" t="str">
        <f>"03/11/2010"</f>
        <v>03/11/2010</v>
      </c>
      <c r="B352" t="str">
        <f>"1110.60"</f>
        <v>1110.60</v>
      </c>
      <c r="C352" t="str">
        <f>"1110.6411"</f>
        <v>1110.6411</v>
      </c>
    </row>
    <row r="353" spans="1:3" x14ac:dyDescent="0.25">
      <c r="A353" t="str">
        <f>"04/11/2010"</f>
        <v>04/11/2010</v>
      </c>
      <c r="B353" t="str">
        <f>"1105.70"</f>
        <v>1105.70</v>
      </c>
      <c r="C353" t="str">
        <f>"1105.7408"</f>
        <v>1105.7408</v>
      </c>
    </row>
    <row r="354" spans="1:3" x14ac:dyDescent="0.25">
      <c r="A354" t="str">
        <f>"08/11/2010"</f>
        <v>08/11/2010</v>
      </c>
      <c r="B354" t="str">
        <f>"1113.80"</f>
        <v>1113.80</v>
      </c>
      <c r="C354" t="str">
        <f>"1113.838"</f>
        <v>1113.838</v>
      </c>
    </row>
    <row r="355" spans="1:3" x14ac:dyDescent="0.25">
      <c r="A355" t="str">
        <f>"09/11/2010"</f>
        <v>09/11/2010</v>
      </c>
      <c r="B355" t="str">
        <f>"1114.35"</f>
        <v>1114.35</v>
      </c>
      <c r="C355" t="str">
        <f>"1114.3851"</f>
        <v>1114.3851</v>
      </c>
    </row>
    <row r="356" spans="1:3" x14ac:dyDescent="0.25">
      <c r="A356" t="str">
        <f>"10/11/2010"</f>
        <v>10/11/2010</v>
      </c>
      <c r="B356" t="str">
        <f>"1114.00"</f>
        <v>1114.00</v>
      </c>
      <c r="C356" t="str">
        <f>"1114.0361"</f>
        <v>1114.0361</v>
      </c>
    </row>
    <row r="357" spans="1:3" x14ac:dyDescent="0.25">
      <c r="A357" t="str">
        <f>"11/11/2010"</f>
        <v>11/11/2010</v>
      </c>
      <c r="B357" t="str">
        <f>"1106.45"</f>
        <v>1106.45</v>
      </c>
      <c r="C357" t="str">
        <f>"1106.4888"</f>
        <v>1106.4888</v>
      </c>
    </row>
    <row r="358" spans="1:3" x14ac:dyDescent="0.25">
      <c r="A358" t="str">
        <f>"12/11/2010"</f>
        <v>12/11/2010</v>
      </c>
      <c r="B358" t="str">
        <f>"1125.30"</f>
        <v>1125.30</v>
      </c>
      <c r="C358" t="str">
        <f>"1125.339"</f>
        <v>1125.339</v>
      </c>
    </row>
    <row r="359" spans="1:3" x14ac:dyDescent="0.25">
      <c r="A359" t="str">
        <f>"15/11/2010"</f>
        <v>15/11/2010</v>
      </c>
      <c r="B359" t="str">
        <f>"1131.50"</f>
        <v>1131.50</v>
      </c>
      <c r="C359" t="str">
        <f>"1131.5405"</f>
        <v>1131.5405</v>
      </c>
    </row>
    <row r="360" spans="1:3" x14ac:dyDescent="0.25">
      <c r="A360" t="str">
        <f>"16/11/2010"</f>
        <v>16/11/2010</v>
      </c>
      <c r="B360" t="str">
        <f>"1127.50"</f>
        <v>1127.50</v>
      </c>
      <c r="C360" t="str">
        <f>"1127.5415"</f>
        <v>1127.5415</v>
      </c>
    </row>
    <row r="361" spans="1:3" x14ac:dyDescent="0.25">
      <c r="A361" t="str">
        <f>"18/11/2010"</f>
        <v>18/11/2010</v>
      </c>
      <c r="B361" t="str">
        <f>"1138.10"</f>
        <v>1138.10</v>
      </c>
      <c r="C361" t="str">
        <f>"1138.1436"</f>
        <v>1138.1436</v>
      </c>
    </row>
    <row r="362" spans="1:3" x14ac:dyDescent="0.25">
      <c r="A362" t="str">
        <f>"22/11/2010"</f>
        <v>22/11/2010</v>
      </c>
      <c r="B362" t="str">
        <f>"1125.20"</f>
        <v>1125.20</v>
      </c>
      <c r="C362" t="str">
        <f>"1125.2319"</f>
        <v>1125.2319</v>
      </c>
    </row>
    <row r="363" spans="1:3" x14ac:dyDescent="0.25">
      <c r="A363" t="str">
        <f>"23/11/2010"</f>
        <v>23/11/2010</v>
      </c>
      <c r="B363" t="str">
        <f>"1134.95"</f>
        <v>1134.95</v>
      </c>
      <c r="C363" t="str">
        <f>"1134.9961"</f>
        <v>1134.9961</v>
      </c>
    </row>
    <row r="364" spans="1:3" x14ac:dyDescent="0.25">
      <c r="A364" t="str">
        <f>"24/11/2010"</f>
        <v>24/11/2010</v>
      </c>
      <c r="B364" t="str">
        <f>"1149.60"</f>
        <v>1149.60</v>
      </c>
      <c r="C364" t="str">
        <f>"1149.6401"</f>
        <v>1149.6401</v>
      </c>
    </row>
    <row r="365" spans="1:3" x14ac:dyDescent="0.25">
      <c r="A365" t="str">
        <f>"25/11/2010"</f>
        <v>25/11/2010</v>
      </c>
      <c r="B365" t="str">
        <f>"1141.40"</f>
        <v>1141.40</v>
      </c>
      <c r="C365" t="str">
        <f>"1141.4375"</f>
        <v>1141.4375</v>
      </c>
    </row>
    <row r="366" spans="1:3" x14ac:dyDescent="0.25">
      <c r="A366" t="str">
        <f>"26/11/2010"</f>
        <v>26/11/2010</v>
      </c>
      <c r="B366" t="str">
        <f>"1148.125"</f>
        <v>1148.125</v>
      </c>
      <c r="C366" t="str">
        <f>"1148.1592"</f>
        <v>1148.1592</v>
      </c>
    </row>
    <row r="367" spans="1:3" x14ac:dyDescent="0.25">
      <c r="A367" t="str">
        <f>"29/11/2010"</f>
        <v>29/11/2010</v>
      </c>
      <c r="B367" t="str">
        <f>"1154.05"</f>
        <v>1154.05</v>
      </c>
      <c r="C367" t="str">
        <f>"1154.0896"</f>
        <v>1154.0896</v>
      </c>
    </row>
    <row r="368" spans="1:3" x14ac:dyDescent="0.25">
      <c r="A368" t="str">
        <f>"30/11/2010"</f>
        <v>30/11/2010</v>
      </c>
      <c r="B368" t="str">
        <f>"1156.65"</f>
        <v>1156.65</v>
      </c>
      <c r="C368" t="str">
        <f>"1156.6961"</f>
        <v>1156.6961</v>
      </c>
    </row>
    <row r="369" spans="1:3" x14ac:dyDescent="0.25">
      <c r="A369" t="str">
        <f>"01/12/2010"</f>
        <v>01/12/2010</v>
      </c>
      <c r="B369" t="str">
        <f>"1154.80"</f>
        <v>1154.80</v>
      </c>
      <c r="C369" t="str">
        <f>"1154.8445"</f>
        <v>1154.8445</v>
      </c>
    </row>
    <row r="370" spans="1:3" x14ac:dyDescent="0.25">
      <c r="A370" t="str">
        <f>"02/12/2010"</f>
        <v>02/12/2010</v>
      </c>
      <c r="B370" t="str">
        <f>"1152.60"</f>
        <v>1152.60</v>
      </c>
      <c r="C370" t="str">
        <f>"1152.6453"</f>
        <v>1152.6453</v>
      </c>
    </row>
    <row r="371" spans="1:3" x14ac:dyDescent="0.25">
      <c r="A371" t="str">
        <f>"03/12/2010"</f>
        <v>03/12/2010</v>
      </c>
      <c r="B371" t="str">
        <f>"1145.00"</f>
        <v>1145.00</v>
      </c>
      <c r="C371" t="str">
        <f>"1145.0454"</f>
        <v>1145.0454</v>
      </c>
    </row>
    <row r="372" spans="1:3" x14ac:dyDescent="0.25">
      <c r="A372" t="str">
        <f>"06/12/2010"</f>
        <v>06/12/2010</v>
      </c>
      <c r="B372" t="str">
        <f>"1134.00"</f>
        <v>1134.00</v>
      </c>
      <c r="C372" t="str">
        <f>"1134.0461"</f>
        <v>1134.0461</v>
      </c>
    </row>
    <row r="373" spans="1:3" x14ac:dyDescent="0.25">
      <c r="A373" t="str">
        <f>"07/12/2010"</f>
        <v>07/12/2010</v>
      </c>
      <c r="B373" t="str">
        <f>"1133.50"</f>
        <v>1133.50</v>
      </c>
      <c r="C373" t="str">
        <f>"1133.5367"</f>
        <v>1133.5367</v>
      </c>
    </row>
    <row r="374" spans="1:3" x14ac:dyDescent="0.25">
      <c r="A374" t="str">
        <f>"08/12/2010"</f>
        <v>08/12/2010</v>
      </c>
      <c r="B374" t="str">
        <f>"1144.70"</f>
        <v>1144.70</v>
      </c>
      <c r="C374" t="str">
        <f>"1144.7459"</f>
        <v>1144.7459</v>
      </c>
    </row>
    <row r="375" spans="1:3" x14ac:dyDescent="0.25">
      <c r="A375" t="str">
        <f>"09/12/2010"</f>
        <v>09/12/2010</v>
      </c>
      <c r="B375" t="str">
        <f>"1138.20"</f>
        <v>1138.20</v>
      </c>
      <c r="C375" t="str">
        <f>"1138.2421"</f>
        <v>1138.2421</v>
      </c>
    </row>
    <row r="376" spans="1:3" x14ac:dyDescent="0.25">
      <c r="A376" t="str">
        <f>"10/12/2010"</f>
        <v>10/12/2010</v>
      </c>
      <c r="B376" t="str">
        <f>"1141.50"</f>
        <v>1141.50</v>
      </c>
      <c r="C376" t="str">
        <f>"1141.5428"</f>
        <v>1141.5428</v>
      </c>
    </row>
    <row r="377" spans="1:3" x14ac:dyDescent="0.25">
      <c r="A377" t="str">
        <f>"13/12/2010"</f>
        <v>13/12/2010</v>
      </c>
      <c r="B377" t="str">
        <f>"1145.20"</f>
        <v>1145.20</v>
      </c>
      <c r="C377" t="str">
        <f>"1145.2443"</f>
        <v>1145.2443</v>
      </c>
    </row>
    <row r="378" spans="1:3" x14ac:dyDescent="0.25">
      <c r="A378" t="str">
        <f>"14/12/2010"</f>
        <v>14/12/2010</v>
      </c>
      <c r="B378" t="str">
        <f>"1141.60"</f>
        <v>1141.60</v>
      </c>
      <c r="C378" t="str">
        <f>"1141.6453"</f>
        <v>1141.6453</v>
      </c>
    </row>
    <row r="379" spans="1:3" x14ac:dyDescent="0.25">
      <c r="A379" t="str">
        <f>"15/12/2010"</f>
        <v>15/12/2010</v>
      </c>
      <c r="B379" t="str">
        <f>"1153.35"</f>
        <v>1153.35</v>
      </c>
      <c r="C379" t="str">
        <f>"1153.39"</f>
        <v>1153.39</v>
      </c>
    </row>
    <row r="380" spans="1:3" x14ac:dyDescent="0.25">
      <c r="A380" t="str">
        <f>"16/12/2010"</f>
        <v>16/12/2010</v>
      </c>
      <c r="B380" t="str">
        <f>"1158.20"</f>
        <v>1158.20</v>
      </c>
      <c r="C380" t="str">
        <f>"1158.2403"</f>
        <v>1158.2403</v>
      </c>
    </row>
    <row r="381" spans="1:3" x14ac:dyDescent="0.25">
      <c r="A381" t="str">
        <f>"20/12/2010"</f>
        <v>20/12/2010</v>
      </c>
      <c r="B381" t="str">
        <f>"1167.80"</f>
        <v>1167.80</v>
      </c>
      <c r="C381" t="str">
        <f>"1167.8437"</f>
        <v>1167.8437</v>
      </c>
    </row>
    <row r="382" spans="1:3" x14ac:dyDescent="0.25">
      <c r="A382" t="str">
        <f>"21/12/2010"</f>
        <v>21/12/2010</v>
      </c>
      <c r="B382" t="str">
        <f>"1152.00"</f>
        <v>1152.00</v>
      </c>
      <c r="C382" t="str">
        <f>"1152.0411"</f>
        <v>1152.0411</v>
      </c>
    </row>
    <row r="383" spans="1:3" x14ac:dyDescent="0.25">
      <c r="A383" t="str">
        <f>"22/12/2010"</f>
        <v>22/12/2010</v>
      </c>
      <c r="B383" t="str">
        <f>"1157.20"</f>
        <v>1157.20</v>
      </c>
      <c r="C383" t="str">
        <f>"1157.2417"</f>
        <v>1157.2417</v>
      </c>
    </row>
    <row r="384" spans="1:3" x14ac:dyDescent="0.25">
      <c r="A384" t="str">
        <f>"23/12/2010"</f>
        <v>23/12/2010</v>
      </c>
      <c r="B384" t="str">
        <f>"1152.20"</f>
        <v>1152.20</v>
      </c>
      <c r="C384" t="str">
        <f>"1152.2429"</f>
        <v>1152.2429</v>
      </c>
    </row>
    <row r="385" spans="1:3" x14ac:dyDescent="0.25">
      <c r="A385" t="str">
        <f>"24/12/2010"</f>
        <v>24/12/2010</v>
      </c>
      <c r="B385" t="str">
        <f>"1150.00"</f>
        <v>1150.00</v>
      </c>
      <c r="C385" t="str">
        <f>"1150.0205"</f>
        <v>1150.0205</v>
      </c>
    </row>
    <row r="386" spans="1:3" x14ac:dyDescent="0.25">
      <c r="A386" t="str">
        <f>"27/12/2010"</f>
        <v>27/12/2010</v>
      </c>
      <c r="B386" t="str">
        <f>"1150.40"</f>
        <v>1150.40</v>
      </c>
      <c r="C386" t="str">
        <f>"1150.443"</f>
        <v>1150.443</v>
      </c>
    </row>
    <row r="387" spans="1:3" x14ac:dyDescent="0.25">
      <c r="A387" t="str">
        <f>"28/12/2010"</f>
        <v>28/12/2010</v>
      </c>
      <c r="B387" t="str">
        <f>"1147.60"</f>
        <v>1147.60</v>
      </c>
      <c r="C387" t="str">
        <f>"1147.641"</f>
        <v>1147.641</v>
      </c>
    </row>
    <row r="388" spans="1:3" x14ac:dyDescent="0.25">
      <c r="A388" t="str">
        <f>"29/12/2010"</f>
        <v>29/12/2010</v>
      </c>
      <c r="B388" t="str">
        <f>"1145.20"</f>
        <v>1145.20</v>
      </c>
      <c r="C388" t="str">
        <f>"1145.2405"</f>
        <v>1145.2405</v>
      </c>
    </row>
    <row r="389" spans="1:3" x14ac:dyDescent="0.25">
      <c r="A389" t="str">
        <f>"30/12/2010"</f>
        <v>30/12/2010</v>
      </c>
      <c r="B389" t="str">
        <f>"1138.90"</f>
        <v>1138.90</v>
      </c>
      <c r="C389" t="str">
        <f>"1138.923"</f>
        <v>1138.923</v>
      </c>
    </row>
    <row r="390" spans="1:3" x14ac:dyDescent="0.25">
      <c r="A390" t="str">
        <f>"31/12/2010"</f>
        <v>31/12/2010</v>
      </c>
      <c r="B390" t="str">
        <f>"1125.95"</f>
        <v>1125.95</v>
      </c>
      <c r="C390" t="str">
        <f>"1125.9955"</f>
        <v>1125.9955</v>
      </c>
    </row>
    <row r="391" spans="1:3" x14ac:dyDescent="0.25">
      <c r="A391" t="str">
        <f>"03/01/2011"</f>
        <v>03/01/2011</v>
      </c>
      <c r="B391" t="str">
        <f>"1125.50"</f>
        <v>1125.50</v>
      </c>
      <c r="C391" t="str">
        <f>"1125.521"</f>
        <v>1125.521</v>
      </c>
    </row>
    <row r="392" spans="1:3" x14ac:dyDescent="0.25">
      <c r="A392" t="str">
        <f>"04/01/2011"</f>
        <v>04/01/2011</v>
      </c>
      <c r="B392" t="str">
        <f>"1121.85"</f>
        <v>1121.85</v>
      </c>
      <c r="C392" t="str">
        <f>"1121.893"</f>
        <v>1121.893</v>
      </c>
    </row>
    <row r="393" spans="1:3" x14ac:dyDescent="0.25">
      <c r="A393" t="str">
        <f>"05/01/2011"</f>
        <v>05/01/2011</v>
      </c>
      <c r="B393" t="str">
        <f>"1123.60"</f>
        <v>1123.60</v>
      </c>
      <c r="C393" t="str">
        <f>"1123.644"</f>
        <v>1123.644</v>
      </c>
    </row>
    <row r="394" spans="1:3" x14ac:dyDescent="0.25">
      <c r="A394" t="str">
        <f>"06/01/2011"</f>
        <v>06/01/2011</v>
      </c>
      <c r="B394" t="str">
        <f>"1123.50"</f>
        <v>1123.50</v>
      </c>
      <c r="C394" t="str">
        <f>"1123.543"</f>
        <v>1123.543</v>
      </c>
    </row>
    <row r="395" spans="1:3" x14ac:dyDescent="0.25">
      <c r="A395" t="str">
        <f>"07/01/2011"</f>
        <v>07/01/2011</v>
      </c>
      <c r="B395" t="str">
        <f>"1120.30"</f>
        <v>1120.30</v>
      </c>
      <c r="C395" t="str">
        <f>"1120.32"</f>
        <v>1120.32</v>
      </c>
    </row>
    <row r="396" spans="1:3" x14ac:dyDescent="0.25">
      <c r="A396" t="str">
        <f>"10/01/2011"</f>
        <v>10/01/2011</v>
      </c>
      <c r="B396" t="str">
        <f>"1121.05"</f>
        <v>1121.05</v>
      </c>
      <c r="C396" t="str">
        <f>"1121.0945"</f>
        <v>1121.0945</v>
      </c>
    </row>
    <row r="397" spans="1:3" x14ac:dyDescent="0.25">
      <c r="A397" t="str">
        <f>"11/01/2011"</f>
        <v>11/01/2011</v>
      </c>
      <c r="B397" t="str">
        <f>"1125.20"</f>
        <v>1125.20</v>
      </c>
      <c r="C397" t="str">
        <f>"1125.2435"</f>
        <v>1125.2435</v>
      </c>
    </row>
    <row r="398" spans="1:3" x14ac:dyDescent="0.25">
      <c r="A398" t="str">
        <f>"12/01/2011"</f>
        <v>12/01/2011</v>
      </c>
      <c r="B398" t="str">
        <f>"1119.80"</f>
        <v>1119.80</v>
      </c>
      <c r="C398" t="str">
        <f>"1119.8435"</f>
        <v>1119.8435</v>
      </c>
    </row>
    <row r="399" spans="1:3" x14ac:dyDescent="0.25">
      <c r="A399" t="str">
        <f>"13/01/2011"</f>
        <v>13/01/2011</v>
      </c>
      <c r="B399" t="str">
        <f>"1113.35"</f>
        <v>1113.35</v>
      </c>
      <c r="C399" t="str">
        <f>"1113.3945"</f>
        <v>1113.3945</v>
      </c>
    </row>
    <row r="400" spans="1:3" x14ac:dyDescent="0.25">
      <c r="A400" t="str">
        <f>"14/01/2011"</f>
        <v>14/01/2011</v>
      </c>
      <c r="B400" t="str">
        <f>"1114.50"</f>
        <v>1114.50</v>
      </c>
      <c r="C400" t="str">
        <f>"1114.522"</f>
        <v>1114.522</v>
      </c>
    </row>
    <row r="401" spans="1:3" x14ac:dyDescent="0.25">
      <c r="A401" t="str">
        <f>"17/01/2011"</f>
        <v>17/01/2011</v>
      </c>
      <c r="B401" t="str">
        <f>"1114.70"</f>
        <v>1114.70</v>
      </c>
      <c r="C401" t="str">
        <f>"1114.724"</f>
        <v>1114.724</v>
      </c>
    </row>
    <row r="402" spans="1:3" x14ac:dyDescent="0.25">
      <c r="A402" t="str">
        <f>"18/01/2011"</f>
        <v>18/01/2011</v>
      </c>
      <c r="B402" t="str">
        <f>"1116.50"</f>
        <v>1116.50</v>
      </c>
      <c r="C402" t="str">
        <f>"1116.5455"</f>
        <v>1116.5455</v>
      </c>
    </row>
    <row r="403" spans="1:3" x14ac:dyDescent="0.25">
      <c r="A403" t="str">
        <f>"19/01/2011"</f>
        <v>19/01/2011</v>
      </c>
      <c r="B403" t="str">
        <f>"1112.40"</f>
        <v>1112.40</v>
      </c>
      <c r="C403" t="str">
        <f>"1112.4445"</f>
        <v>1112.4445</v>
      </c>
    </row>
    <row r="404" spans="1:3" x14ac:dyDescent="0.25">
      <c r="A404" t="str">
        <f>"20/01/2011"</f>
        <v>20/01/2011</v>
      </c>
      <c r="B404" t="str">
        <f>"1119.90"</f>
        <v>1119.90</v>
      </c>
      <c r="C404" t="str">
        <f>"1119.921"</f>
        <v>1119.921</v>
      </c>
    </row>
    <row r="405" spans="1:3" x14ac:dyDescent="0.25">
      <c r="A405" t="str">
        <f>"21/01/2011"</f>
        <v>21/01/2011</v>
      </c>
      <c r="B405" t="str">
        <f>"1120.00"</f>
        <v>1120.00</v>
      </c>
      <c r="C405" t="str">
        <f>"1120.021"</f>
        <v>1120.021</v>
      </c>
    </row>
    <row r="406" spans="1:3" x14ac:dyDescent="0.25">
      <c r="A406" t="str">
        <f>"24/01/2011"</f>
        <v>24/01/2011</v>
      </c>
      <c r="B406" t="str">
        <f>"1120.50"</f>
        <v>1120.50</v>
      </c>
      <c r="C406" t="str">
        <f>"1120.5455"</f>
        <v>1120.5455</v>
      </c>
    </row>
    <row r="407" spans="1:3" x14ac:dyDescent="0.25">
      <c r="A407" t="str">
        <f>"25/01/2011"</f>
        <v>25/01/2011</v>
      </c>
      <c r="B407" t="str">
        <f>"1117.65"</f>
        <v>1117.65</v>
      </c>
      <c r="C407" t="str">
        <f>"1117.672"</f>
        <v>1117.672</v>
      </c>
    </row>
    <row r="408" spans="1:3" x14ac:dyDescent="0.25">
      <c r="A408" t="str">
        <f>"27/01/2011"</f>
        <v>27/01/2011</v>
      </c>
      <c r="B408" t="str">
        <f>"1114.20"</f>
        <v>1114.20</v>
      </c>
      <c r="C408" t="str">
        <f>"1114.2445"</f>
        <v>1114.2445</v>
      </c>
    </row>
    <row r="409" spans="1:3" x14ac:dyDescent="0.25">
      <c r="A409" t="str">
        <f>"28/01/2011"</f>
        <v>28/01/2011</v>
      </c>
      <c r="B409" t="str">
        <f>"1114.90"</f>
        <v>1114.90</v>
      </c>
      <c r="C409" t="str">
        <f>"1114.9455"</f>
        <v>1114.9455</v>
      </c>
    </row>
    <row r="410" spans="1:3" x14ac:dyDescent="0.25">
      <c r="A410" t="str">
        <f>"31/01/2011"</f>
        <v>31/01/2011</v>
      </c>
      <c r="B410" t="str">
        <f>"1122.20"</f>
        <v>1122.20</v>
      </c>
      <c r="C410" t="str">
        <f>"1122.223"</f>
        <v>1122.223</v>
      </c>
    </row>
    <row r="411" spans="1:3" x14ac:dyDescent="0.25">
      <c r="A411" t="str">
        <f>"01/02/2011"</f>
        <v>01/02/2011</v>
      </c>
      <c r="B411" t="str">
        <f>"1116.30"</f>
        <v>1116.30</v>
      </c>
      <c r="C411" t="str">
        <f>"1116.346"</f>
        <v>1116.346</v>
      </c>
    </row>
    <row r="412" spans="1:3" x14ac:dyDescent="0.25">
      <c r="A412" t="str">
        <f>"02/02/2011"</f>
        <v>02/02/2011</v>
      </c>
      <c r="B412" t="str">
        <f>"1103.50"</f>
        <v>1103.50</v>
      </c>
      <c r="C412" t="str">
        <f>"1103.5455"</f>
        <v>1103.5455</v>
      </c>
    </row>
    <row r="413" spans="1:3" x14ac:dyDescent="0.25">
      <c r="A413" t="str">
        <f>"03/02/2011"</f>
        <v>03/02/2011</v>
      </c>
      <c r="B413" t="str">
        <f>"1104.175"</f>
        <v>1104.175</v>
      </c>
      <c r="C413" t="str">
        <f>"1104.2205"</f>
        <v>1104.2205</v>
      </c>
    </row>
    <row r="414" spans="1:3" x14ac:dyDescent="0.25">
      <c r="A414" t="str">
        <f>"04/02/2011"</f>
        <v>04/02/2011</v>
      </c>
      <c r="B414" t="str">
        <f>"1104.00"</f>
        <v>1104.00</v>
      </c>
      <c r="C414" t="str">
        <f>"1104.0455"</f>
        <v>1104.0455</v>
      </c>
    </row>
    <row r="415" spans="1:3" x14ac:dyDescent="0.25">
      <c r="A415" t="str">
        <f>"07/02/2011"</f>
        <v>07/02/2011</v>
      </c>
      <c r="B415" t="str">
        <f>"1108.00"</f>
        <v>1108.00</v>
      </c>
      <c r="C415" t="str">
        <f>"1108.045"</f>
        <v>1108.045</v>
      </c>
    </row>
    <row r="416" spans="1:3" x14ac:dyDescent="0.25">
      <c r="A416" t="str">
        <f>"08/02/2011"</f>
        <v>08/02/2011</v>
      </c>
      <c r="B416" t="str">
        <f>"1104.50"</f>
        <v>1104.50</v>
      </c>
      <c r="C416" t="str">
        <f>"1104.543"</f>
        <v>1104.543</v>
      </c>
    </row>
    <row r="417" spans="1:3" x14ac:dyDescent="0.25">
      <c r="A417" t="str">
        <f>"09/02/2011"</f>
        <v>09/02/2011</v>
      </c>
      <c r="B417" t="str">
        <f>"1105.20"</f>
        <v>1105.20</v>
      </c>
      <c r="C417" t="str">
        <f>"1105.22"</f>
        <v>1105.22</v>
      </c>
    </row>
    <row r="418" spans="1:3" x14ac:dyDescent="0.25">
      <c r="A418" t="str">
        <f>"10/02/2011"</f>
        <v>10/02/2011</v>
      </c>
      <c r="B418" t="str">
        <f>"1113.20"</f>
        <v>1113.20</v>
      </c>
      <c r="C418" t="str">
        <f>"1113.22"</f>
        <v>1113.22</v>
      </c>
    </row>
    <row r="419" spans="1:3" x14ac:dyDescent="0.25">
      <c r="A419" t="str">
        <f>"11/02/2011"</f>
        <v>11/02/2011</v>
      </c>
      <c r="B419" t="str">
        <f>"1122.40"</f>
        <v>1122.40</v>
      </c>
      <c r="C419" t="str">
        <f>"1122.42"</f>
        <v>1122.42</v>
      </c>
    </row>
    <row r="420" spans="1:3" x14ac:dyDescent="0.25">
      <c r="A420" t="str">
        <f>"14/02/2011"</f>
        <v>14/02/2011</v>
      </c>
      <c r="B420" t="str">
        <f>"1124.00"</f>
        <v>1124.00</v>
      </c>
      <c r="C420" t="str">
        <f>"1124.043"</f>
        <v>1124.043</v>
      </c>
    </row>
    <row r="421" spans="1:3" x14ac:dyDescent="0.25">
      <c r="A421" t="str">
        <f>"15/02/2011"</f>
        <v>15/02/2011</v>
      </c>
      <c r="B421" t="str">
        <f>"1121.80"</f>
        <v>1121.80</v>
      </c>
      <c r="C421" t="str">
        <f>"1121.8425"</f>
        <v>1121.8425</v>
      </c>
    </row>
    <row r="422" spans="1:3" x14ac:dyDescent="0.25">
      <c r="A422" t="str">
        <f>"17/02/2011"</f>
        <v>17/02/2011</v>
      </c>
      <c r="B422" t="str">
        <f>"1116.30"</f>
        <v>1116.30</v>
      </c>
      <c r="C422" t="str">
        <f>"1116.3185"</f>
        <v>1116.3185</v>
      </c>
    </row>
    <row r="423" spans="1:3" x14ac:dyDescent="0.25">
      <c r="A423" t="str">
        <f>"18/02/2011"</f>
        <v>18/02/2011</v>
      </c>
      <c r="B423" t="str">
        <f>"1111.75"</f>
        <v>1111.75</v>
      </c>
      <c r="C423" t="str">
        <f>"1111.7915"</f>
        <v>1111.7915</v>
      </c>
    </row>
    <row r="424" spans="1:3" x14ac:dyDescent="0.25">
      <c r="A424" t="str">
        <f>"21/02/2011"</f>
        <v>21/02/2011</v>
      </c>
      <c r="B424" t="str">
        <f>"1119.30"</f>
        <v>1119.30</v>
      </c>
      <c r="C424" t="str">
        <f>"1119.3185"</f>
        <v>1119.3185</v>
      </c>
    </row>
    <row r="425" spans="1:3" x14ac:dyDescent="0.25">
      <c r="A425" t="str">
        <f>"22/02/2011"</f>
        <v>22/02/2011</v>
      </c>
      <c r="B425" t="str">
        <f>"1126.40"</f>
        <v>1126.40</v>
      </c>
      <c r="C425" t="str">
        <f>"1126.4185"</f>
        <v>1126.4185</v>
      </c>
    </row>
    <row r="426" spans="1:3" x14ac:dyDescent="0.25">
      <c r="A426" t="str">
        <f>"23/02/2011"</f>
        <v>23/02/2011</v>
      </c>
      <c r="B426" t="str">
        <f>"1125.85"</f>
        <v>1125.85</v>
      </c>
      <c r="C426" t="str">
        <f>"1125.8685"</f>
        <v>1125.8685</v>
      </c>
    </row>
    <row r="427" spans="1:3" x14ac:dyDescent="0.25">
      <c r="A427" t="str">
        <f>"24/02/2011"</f>
        <v>24/02/2011</v>
      </c>
      <c r="B427" t="str">
        <f>"1126.55"</f>
        <v>1126.55</v>
      </c>
      <c r="C427" t="str">
        <f>"1126.5715"</f>
        <v>1126.5715</v>
      </c>
    </row>
    <row r="428" spans="1:3" x14ac:dyDescent="0.25">
      <c r="A428" t="str">
        <f>"25/02/2011"</f>
        <v>25/02/2011</v>
      </c>
      <c r="B428" t="str">
        <f>"1127.20"</f>
        <v>1127.20</v>
      </c>
      <c r="C428" t="str">
        <f>"1127.2225"</f>
        <v>1127.2225</v>
      </c>
    </row>
    <row r="429" spans="1:3" x14ac:dyDescent="0.25">
      <c r="A429" t="str">
        <f>"28/02/2011"</f>
        <v>28/02/2011</v>
      </c>
      <c r="B429" t="str">
        <f>"1126.85"</f>
        <v>1126.85</v>
      </c>
      <c r="C429" t="str">
        <f>"1126.8965"</f>
        <v>1126.8965</v>
      </c>
    </row>
    <row r="430" spans="1:3" x14ac:dyDescent="0.25">
      <c r="A430" t="str">
        <f>"01/03/2011"</f>
        <v>01/03/2011</v>
      </c>
      <c r="B430" t="str">
        <f>"1125.20"</f>
        <v>1125.20</v>
      </c>
      <c r="C430" t="str">
        <f>"1125.246"</f>
        <v>1125.246</v>
      </c>
    </row>
    <row r="431" spans="1:3" x14ac:dyDescent="0.25">
      <c r="A431" t="str">
        <f>"03/03/2011"</f>
        <v>03/03/2011</v>
      </c>
      <c r="B431" t="str">
        <f>"1122.60"</f>
        <v>1122.60</v>
      </c>
      <c r="C431" t="str">
        <f>"1122.647"</f>
        <v>1122.647</v>
      </c>
    </row>
    <row r="432" spans="1:3" x14ac:dyDescent="0.25">
      <c r="A432" t="str">
        <f>"04/03/2011"</f>
        <v>04/03/2011</v>
      </c>
      <c r="B432" t="str">
        <f>"1115.90"</f>
        <v>1115.90</v>
      </c>
      <c r="C432" t="str">
        <f>"1115.9235"</f>
        <v>1115.9235</v>
      </c>
    </row>
    <row r="433" spans="1:3" x14ac:dyDescent="0.25">
      <c r="A433" t="str">
        <f>"07/03/2011"</f>
        <v>07/03/2011</v>
      </c>
      <c r="B433" t="str">
        <f>"1118.70"</f>
        <v>1118.70</v>
      </c>
      <c r="C433" t="str">
        <f>"1118.748"</f>
        <v>1118.748</v>
      </c>
    </row>
    <row r="434" spans="1:3" x14ac:dyDescent="0.25">
      <c r="A434" t="str">
        <f>"08/03/2011"</f>
        <v>08/03/2011</v>
      </c>
      <c r="B434" t="str">
        <f>"1116.60"</f>
        <v>1116.60</v>
      </c>
      <c r="C434" t="str">
        <f>"1116.624"</f>
        <v>1116.624</v>
      </c>
    </row>
    <row r="435" spans="1:3" x14ac:dyDescent="0.25">
      <c r="A435" t="str">
        <f>"09/03/2011"</f>
        <v>09/03/2011</v>
      </c>
      <c r="B435" t="str">
        <f>"1116.60"</f>
        <v>1116.60</v>
      </c>
      <c r="C435" t="str">
        <f>"1116.6225"</f>
        <v>1116.6225</v>
      </c>
    </row>
    <row r="436" spans="1:3" x14ac:dyDescent="0.25">
      <c r="A436" t="str">
        <f>"10/03/2011"</f>
        <v>10/03/2011</v>
      </c>
      <c r="B436" t="str">
        <f>"1121.10"</f>
        <v>1121.10</v>
      </c>
      <c r="C436" t="str">
        <f>"1121.146"</f>
        <v>1121.146</v>
      </c>
    </row>
    <row r="437" spans="1:3" x14ac:dyDescent="0.25">
      <c r="A437" t="str">
        <f>"11/03/2011"</f>
        <v>11/03/2011</v>
      </c>
      <c r="B437" t="str">
        <f>"1125.00"</f>
        <v>1125.00</v>
      </c>
      <c r="C437" t="str">
        <f>"1125.0215"</f>
        <v>1125.0215</v>
      </c>
    </row>
    <row r="438" spans="1:3" x14ac:dyDescent="0.25">
      <c r="A438" t="str">
        <f>"14/03/2011"</f>
        <v>14/03/2011</v>
      </c>
      <c r="B438" t="str">
        <f>"1134.20"</f>
        <v>1134.20</v>
      </c>
      <c r="C438" t="str">
        <f>"1134.2225"</f>
        <v>1134.2225</v>
      </c>
    </row>
    <row r="439" spans="1:3" x14ac:dyDescent="0.25">
      <c r="A439" t="str">
        <f>"15/03/2011"</f>
        <v>15/03/2011</v>
      </c>
      <c r="B439" t="str">
        <f>"1136.70"</f>
        <v>1136.70</v>
      </c>
      <c r="C439" t="str">
        <f>"1136.7445"</f>
        <v>1136.7445</v>
      </c>
    </row>
    <row r="440" spans="1:3" x14ac:dyDescent="0.25">
      <c r="A440" t="str">
        <f>"16/03/2011"</f>
        <v>16/03/2011</v>
      </c>
      <c r="B440" t="str">
        <f>"1133.50"</f>
        <v>1133.50</v>
      </c>
      <c r="C440" t="str">
        <f>"1133.5215"</f>
        <v>1133.5215</v>
      </c>
    </row>
    <row r="441" spans="1:3" x14ac:dyDescent="0.25">
      <c r="A441" t="str">
        <f>"17/03/2011"</f>
        <v>17/03/2011</v>
      </c>
      <c r="B441" t="str">
        <f>"1138.10"</f>
        <v>1138.10</v>
      </c>
      <c r="C441" t="str">
        <f>"1138.1455"</f>
        <v>1138.1455</v>
      </c>
    </row>
    <row r="442" spans="1:3" x14ac:dyDescent="0.25">
      <c r="A442" t="str">
        <f>"18/03/2011"</f>
        <v>18/03/2011</v>
      </c>
      <c r="B442" t="str">
        <f>"1128.00"</f>
        <v>1128.00</v>
      </c>
      <c r="C442" t="str">
        <f>"1128.046"</f>
        <v>1128.046</v>
      </c>
    </row>
    <row r="443" spans="1:3" x14ac:dyDescent="0.25">
      <c r="A443" t="str">
        <f>"21/03/2011"</f>
        <v>21/03/2011</v>
      </c>
      <c r="B443" t="str">
        <f>"1125.50"</f>
        <v>1125.50</v>
      </c>
      <c r="C443" t="str">
        <f>"1125.547"</f>
        <v>1125.547</v>
      </c>
    </row>
    <row r="444" spans="1:3" x14ac:dyDescent="0.25">
      <c r="A444" t="str">
        <f>"22/03/2011"</f>
        <v>22/03/2011</v>
      </c>
      <c r="B444" t="str">
        <f>"1122.20"</f>
        <v>1122.20</v>
      </c>
      <c r="C444" t="str">
        <f>"1122.2455"</f>
        <v>1122.2455</v>
      </c>
    </row>
    <row r="445" spans="1:3" x14ac:dyDescent="0.25">
      <c r="A445" t="str">
        <f>"23/03/2011"</f>
        <v>23/03/2011</v>
      </c>
      <c r="B445" t="str">
        <f>"1123.10"</f>
        <v>1123.10</v>
      </c>
      <c r="C445" t="str">
        <f>"1123.1455"</f>
        <v>1123.1455</v>
      </c>
    </row>
    <row r="446" spans="1:3" x14ac:dyDescent="0.25">
      <c r="A446" t="str">
        <f>"24/03/2011"</f>
        <v>24/03/2011</v>
      </c>
      <c r="B446" t="str">
        <f>"1122.60"</f>
        <v>1122.60</v>
      </c>
      <c r="C446" t="str">
        <f>"1122.6225"</f>
        <v>1122.6225</v>
      </c>
    </row>
    <row r="447" spans="1:3" x14ac:dyDescent="0.25">
      <c r="A447" t="str">
        <f>"25/03/2011"</f>
        <v>25/03/2011</v>
      </c>
      <c r="B447" t="str">
        <f>"1113.80"</f>
        <v>1113.80</v>
      </c>
      <c r="C447" t="str">
        <f>"1113.8225"</f>
        <v>1113.8225</v>
      </c>
    </row>
    <row r="448" spans="1:3" x14ac:dyDescent="0.25">
      <c r="A448" t="str">
        <f>"28/03/2011"</f>
        <v>28/03/2011</v>
      </c>
      <c r="B448" t="str">
        <f>"1114.50"</f>
        <v>1114.50</v>
      </c>
      <c r="C448" t="str">
        <f>"1114.522"</f>
        <v>1114.522</v>
      </c>
    </row>
    <row r="449" spans="1:3" x14ac:dyDescent="0.25">
      <c r="A449" t="str">
        <f>"29/03/2011"</f>
        <v>29/03/2011</v>
      </c>
      <c r="B449" t="str">
        <f>"1114.00"</f>
        <v>1114.00</v>
      </c>
      <c r="C449" t="str">
        <f>"1114.044"</f>
        <v>1114.044</v>
      </c>
    </row>
    <row r="450" spans="1:3" x14ac:dyDescent="0.25">
      <c r="A450" t="str">
        <f>"30/03/2011"</f>
        <v>30/03/2011</v>
      </c>
      <c r="B450" t="str">
        <f>"1105.80"</f>
        <v>1105.80</v>
      </c>
      <c r="C450" t="str">
        <f>"1105.8465"</f>
        <v>1105.8465</v>
      </c>
    </row>
    <row r="451" spans="1:3" x14ac:dyDescent="0.25">
      <c r="A451" t="str">
        <f>"31/03/2011"</f>
        <v>31/03/2011</v>
      </c>
      <c r="B451" t="str">
        <f>"1101.40"</f>
        <v>1101.40</v>
      </c>
      <c r="C451" t="str">
        <f>"1101.445"</f>
        <v>1101.445</v>
      </c>
    </row>
    <row r="452" spans="1:3" x14ac:dyDescent="0.25">
      <c r="A452" t="str">
        <f>"01/04/2011"</f>
        <v>01/04/2011</v>
      </c>
      <c r="B452" t="str">
        <f>"1092.50"</f>
        <v>1092.50</v>
      </c>
      <c r="C452" t="str">
        <f>"1092.545"</f>
        <v>1092.545</v>
      </c>
    </row>
    <row r="453" spans="1:3" x14ac:dyDescent="0.25">
      <c r="A453" t="str">
        <f>"05/04/2011"</f>
        <v>05/04/2011</v>
      </c>
      <c r="B453" t="str">
        <f>"1089.00"</f>
        <v>1089.00</v>
      </c>
      <c r="C453" t="str">
        <f>"1089.0465"</f>
        <v>1089.0465</v>
      </c>
    </row>
    <row r="454" spans="1:3" x14ac:dyDescent="0.25">
      <c r="A454" t="str">
        <f>"06/04/2011"</f>
        <v>06/04/2011</v>
      </c>
      <c r="B454" t="str">
        <f>"1084.60"</f>
        <v>1084.60</v>
      </c>
      <c r="C454" t="str">
        <f>"1084.645"</f>
        <v>1084.645</v>
      </c>
    </row>
    <row r="455" spans="1:3" x14ac:dyDescent="0.25">
      <c r="A455" t="str">
        <f>"07/04/2011"</f>
        <v>07/04/2011</v>
      </c>
      <c r="B455" t="str">
        <f>"1089.60"</f>
        <v>1089.60</v>
      </c>
      <c r="C455" t="str">
        <f>"1089.6445"</f>
        <v>1089.6445</v>
      </c>
    </row>
    <row r="456" spans="1:3" x14ac:dyDescent="0.25">
      <c r="A456" t="str">
        <f>"08/04/2011"</f>
        <v>08/04/2011</v>
      </c>
      <c r="B456" t="str">
        <f>"1084.20"</f>
        <v>1084.20</v>
      </c>
      <c r="C456" t="str">
        <f>"1084.221"</f>
        <v>1084.221</v>
      </c>
    </row>
    <row r="457" spans="1:3" x14ac:dyDescent="0.25">
      <c r="A457" t="str">
        <f>"11/04/2011"</f>
        <v>11/04/2011</v>
      </c>
      <c r="B457" t="str">
        <f>"1084.70"</f>
        <v>1084.70</v>
      </c>
      <c r="C457" t="str">
        <f>"1084.721"</f>
        <v>1084.721</v>
      </c>
    </row>
    <row r="458" spans="1:3" x14ac:dyDescent="0.25">
      <c r="A458" t="str">
        <f>"13/04/2011"</f>
        <v>13/04/2011</v>
      </c>
      <c r="B458" t="str">
        <f>"1090.70"</f>
        <v>1090.70</v>
      </c>
      <c r="C458" t="str">
        <f>"1090.7445"</f>
        <v>1090.7445</v>
      </c>
    </row>
    <row r="459" spans="1:3" x14ac:dyDescent="0.25">
      <c r="A459" t="str">
        <f>"15/04/2011"</f>
        <v>15/04/2011</v>
      </c>
      <c r="B459" t="str">
        <f>"1089.50"</f>
        <v>1089.50</v>
      </c>
      <c r="C459" t="str">
        <f>"1089.545"</f>
        <v>1089.545</v>
      </c>
    </row>
    <row r="460" spans="1:3" x14ac:dyDescent="0.25">
      <c r="A460" t="str">
        <f>"18/04/2011"</f>
        <v>18/04/2011</v>
      </c>
      <c r="B460" t="str">
        <f>"1090.40"</f>
        <v>1090.40</v>
      </c>
      <c r="C460" t="str">
        <f>"1090.422"</f>
        <v>1090.422</v>
      </c>
    </row>
    <row r="461" spans="1:3" x14ac:dyDescent="0.25">
      <c r="A461" t="str">
        <f>"19/04/2011"</f>
        <v>19/04/2011</v>
      </c>
      <c r="B461" t="str">
        <f>"1092.70"</f>
        <v>1092.70</v>
      </c>
      <c r="C461" t="str">
        <f>"1092.746"</f>
        <v>1092.746</v>
      </c>
    </row>
    <row r="462" spans="1:3" x14ac:dyDescent="0.25">
      <c r="A462" t="str">
        <f>"20/04/2011"</f>
        <v>20/04/2011</v>
      </c>
      <c r="B462" t="str">
        <f>"1083.70"</f>
        <v>1083.70</v>
      </c>
      <c r="C462" t="str">
        <f>"1083.7465"</f>
        <v>1083.7465</v>
      </c>
    </row>
    <row r="463" spans="1:3" x14ac:dyDescent="0.25">
      <c r="A463" t="str">
        <f>"21/04/2011"</f>
        <v>21/04/2011</v>
      </c>
      <c r="B463" t="str">
        <f>"1079.25"</f>
        <v>1079.25</v>
      </c>
      <c r="C463" t="str">
        <f>"1079.2955"</f>
        <v>1079.2955</v>
      </c>
    </row>
    <row r="464" spans="1:3" x14ac:dyDescent="0.25">
      <c r="A464" t="str">
        <f>"25/04/2011"</f>
        <v>25/04/2011</v>
      </c>
      <c r="B464" t="str">
        <f>"1082.40"</f>
        <v>1082.40</v>
      </c>
      <c r="C464" t="str">
        <f>"1082.4225"</f>
        <v>1082.4225</v>
      </c>
    </row>
    <row r="465" spans="1:3" x14ac:dyDescent="0.25">
      <c r="A465" t="str">
        <f>"26/04/2011"</f>
        <v>26/04/2011</v>
      </c>
      <c r="B465" t="str">
        <f>"1086.30"</f>
        <v>1086.30</v>
      </c>
      <c r="C465" t="str">
        <f>"1086.346"</f>
        <v>1086.346</v>
      </c>
    </row>
    <row r="466" spans="1:3" x14ac:dyDescent="0.25">
      <c r="A466" t="str">
        <f>"27/04/2011"</f>
        <v>27/04/2011</v>
      </c>
      <c r="B466" t="str">
        <f>"1078.80"</f>
        <v>1078.80</v>
      </c>
      <c r="C466" t="str">
        <f>"1078.8455"</f>
        <v>1078.8455</v>
      </c>
    </row>
    <row r="467" spans="1:3" x14ac:dyDescent="0.25">
      <c r="A467" t="str">
        <f>"28/04/2011"</f>
        <v>28/04/2011</v>
      </c>
      <c r="B467" t="str">
        <f>"1073.00"</f>
        <v>1073.00</v>
      </c>
      <c r="C467" t="str">
        <f>"1073.0465"</f>
        <v>1073.0465</v>
      </c>
    </row>
    <row r="468" spans="1:3" x14ac:dyDescent="0.25">
      <c r="A468" t="str">
        <f>"29/04/2011"</f>
        <v>29/04/2011</v>
      </c>
      <c r="B468" t="str">
        <f>"1073.60"</f>
        <v>1073.60</v>
      </c>
      <c r="C468" t="str">
        <f>"1073.6475"</f>
        <v>1073.6475</v>
      </c>
    </row>
    <row r="469" spans="1:3" x14ac:dyDescent="0.25">
      <c r="A469" t="str">
        <f>"02/05/2011"</f>
        <v>02/05/2011</v>
      </c>
      <c r="B469" t="str">
        <f>"1066.90"</f>
        <v>1066.90</v>
      </c>
      <c r="C469" t="str">
        <f>"1066.9485"</f>
        <v>1066.9485</v>
      </c>
    </row>
    <row r="470" spans="1:3" x14ac:dyDescent="0.25">
      <c r="A470" t="str">
        <f>"03/05/2011"</f>
        <v>03/05/2011</v>
      </c>
      <c r="B470" t="str">
        <f>"1071.10"</f>
        <v>1071.10</v>
      </c>
      <c r="C470" t="str">
        <f>"1071.1475"</f>
        <v>1071.1475</v>
      </c>
    </row>
    <row r="471" spans="1:3" x14ac:dyDescent="0.25">
      <c r="A471" t="str">
        <f>"04/05/2011"</f>
        <v>04/05/2011</v>
      </c>
      <c r="B471" t="str">
        <f>"1074.10"</f>
        <v>1074.10</v>
      </c>
      <c r="C471" t="str">
        <f>"1074.148"</f>
        <v>1074.148</v>
      </c>
    </row>
    <row r="472" spans="1:3" x14ac:dyDescent="0.25">
      <c r="A472" t="str">
        <f>"05/05/2011"</f>
        <v>05/05/2011</v>
      </c>
      <c r="B472" t="str">
        <f>"1081.45"</f>
        <v>1081.45</v>
      </c>
      <c r="C472" t="str">
        <f>"1081.498"</f>
        <v>1081.498</v>
      </c>
    </row>
    <row r="473" spans="1:3" x14ac:dyDescent="0.25">
      <c r="A473" t="str">
        <f>"06/05/2011"</f>
        <v>06/05/2011</v>
      </c>
      <c r="B473" t="str">
        <f>"1084.50"</f>
        <v>1084.50</v>
      </c>
      <c r="C473" t="str">
        <f>"1084.5265"</f>
        <v>1084.5265</v>
      </c>
    </row>
    <row r="474" spans="1:3" x14ac:dyDescent="0.25">
      <c r="A474" t="str">
        <f>"09/05/2011"</f>
        <v>09/05/2011</v>
      </c>
      <c r="B474" t="str">
        <f>"1080.10"</f>
        <v>1080.10</v>
      </c>
      <c r="C474" t="str">
        <f>"1080.125"</f>
        <v>1080.125</v>
      </c>
    </row>
    <row r="475" spans="1:3" x14ac:dyDescent="0.25">
      <c r="A475" t="str">
        <f>"10/05/2011"</f>
        <v>10/05/2011</v>
      </c>
      <c r="B475" t="str">
        <f>"1081.90"</f>
        <v>1081.90</v>
      </c>
      <c r="C475" t="str">
        <f>"1081.948"</f>
        <v>1081.948</v>
      </c>
    </row>
    <row r="476" spans="1:3" x14ac:dyDescent="0.25">
      <c r="A476" t="str">
        <f>"11/05/2011"</f>
        <v>11/05/2011</v>
      </c>
      <c r="B476" t="str">
        <f>"1075.40"</f>
        <v>1075.40</v>
      </c>
      <c r="C476" t="str">
        <f>"1075.425"</f>
        <v>1075.425</v>
      </c>
    </row>
    <row r="477" spans="1:3" x14ac:dyDescent="0.25">
      <c r="A477" t="str">
        <f>"12/05/2011"</f>
        <v>12/05/2011</v>
      </c>
      <c r="B477" t="str">
        <f>"1082.80"</f>
        <v>1082.80</v>
      </c>
      <c r="C477" t="str">
        <f>"1082.8475"</f>
        <v>1082.8475</v>
      </c>
    </row>
    <row r="478" spans="1:3" x14ac:dyDescent="0.25">
      <c r="A478" t="str">
        <f>"13/05/2011"</f>
        <v>13/05/2011</v>
      </c>
      <c r="B478" t="str">
        <f>"1091.20"</f>
        <v>1091.20</v>
      </c>
      <c r="C478" t="str">
        <f>"1091.2245"</f>
        <v>1091.2245</v>
      </c>
    </row>
    <row r="479" spans="1:3" x14ac:dyDescent="0.25">
      <c r="A479" t="str">
        <f>"16/05/2011"</f>
        <v>16/05/2011</v>
      </c>
      <c r="B479" t="str">
        <f>"1092.70"</f>
        <v>1092.70</v>
      </c>
      <c r="C479" t="str">
        <f>"1092.749"</f>
        <v>1092.749</v>
      </c>
    </row>
    <row r="480" spans="1:3" x14ac:dyDescent="0.25">
      <c r="A480" t="str">
        <f>"18/05/2011"</f>
        <v>18/05/2011</v>
      </c>
      <c r="B480" t="str">
        <f>"1086.55"</f>
        <v>1086.55</v>
      </c>
      <c r="C480" t="str">
        <f>"1086.575"</f>
        <v>1086.575</v>
      </c>
    </row>
    <row r="481" spans="1:3" x14ac:dyDescent="0.25">
      <c r="A481" t="str">
        <f>"19/05/2011"</f>
        <v>19/05/2011</v>
      </c>
      <c r="B481" t="str">
        <f>"1083.50"</f>
        <v>1083.50</v>
      </c>
      <c r="C481" t="str">
        <f>"1083.525"</f>
        <v>1083.525</v>
      </c>
    </row>
    <row r="482" spans="1:3" x14ac:dyDescent="0.25">
      <c r="A482" t="str">
        <f>"20/05/2011"</f>
        <v>20/05/2011</v>
      </c>
      <c r="B482" t="str">
        <f>"1083.10"</f>
        <v>1083.10</v>
      </c>
      <c r="C482" t="str">
        <f>"1083.1475"</f>
        <v>1083.1475</v>
      </c>
    </row>
    <row r="483" spans="1:3" x14ac:dyDescent="0.25">
      <c r="A483" t="str">
        <f>"23/05/2011"</f>
        <v>23/05/2011</v>
      </c>
      <c r="B483" t="str">
        <f>"1092.50"</f>
        <v>1092.50</v>
      </c>
      <c r="C483" t="str">
        <f>"1092.5265"</f>
        <v>1092.5265</v>
      </c>
    </row>
    <row r="484" spans="1:3" x14ac:dyDescent="0.25">
      <c r="A484" t="str">
        <f>"24/05/2011"</f>
        <v>24/05/2011</v>
      </c>
      <c r="B484" t="str">
        <f>"1094.30"</f>
        <v>1094.30</v>
      </c>
      <c r="C484" t="str">
        <f>"1094.3485"</f>
        <v>1094.3485</v>
      </c>
    </row>
    <row r="485" spans="1:3" x14ac:dyDescent="0.25">
      <c r="A485" t="str">
        <f>"25/05/2011"</f>
        <v>25/05/2011</v>
      </c>
      <c r="B485" t="str">
        <f>"1095.70"</f>
        <v>1095.70</v>
      </c>
      <c r="C485" t="str">
        <f>"1095.748"</f>
        <v>1095.748</v>
      </c>
    </row>
    <row r="486" spans="1:3" x14ac:dyDescent="0.25">
      <c r="A486" t="str">
        <f>"26/05/2011"</f>
        <v>26/05/2011</v>
      </c>
      <c r="B486" t="str">
        <f>"1091.10"</f>
        <v>1091.10</v>
      </c>
      <c r="C486" t="str">
        <f>"1091.1475"</f>
        <v>1091.1475</v>
      </c>
    </row>
    <row r="487" spans="1:3" x14ac:dyDescent="0.25">
      <c r="A487" t="str">
        <f>"27/05/2011"</f>
        <v>27/05/2011</v>
      </c>
      <c r="B487" t="str">
        <f>"1081.10"</f>
        <v>1081.10</v>
      </c>
      <c r="C487" t="str">
        <f>"1081.147"</f>
        <v>1081.147</v>
      </c>
    </row>
    <row r="488" spans="1:3" x14ac:dyDescent="0.25">
      <c r="A488" t="str">
        <f>"30/05/2011"</f>
        <v>30/05/2011</v>
      </c>
      <c r="B488" t="str">
        <f>"1081.20"</f>
        <v>1081.20</v>
      </c>
      <c r="C488" t="str">
        <f>"1081.2245"</f>
        <v>1081.2245</v>
      </c>
    </row>
    <row r="489" spans="1:3" x14ac:dyDescent="0.25">
      <c r="A489" t="str">
        <f>"31/05/2011"</f>
        <v>31/05/2011</v>
      </c>
      <c r="B489" t="str">
        <f>"1077.00"</f>
        <v>1077.00</v>
      </c>
      <c r="C489" t="str">
        <f>"1077.026"</f>
        <v>1077.026</v>
      </c>
    </row>
    <row r="490" spans="1:3" x14ac:dyDescent="0.25">
      <c r="A490" t="str">
        <f>"01/06/2011"</f>
        <v>01/06/2011</v>
      </c>
      <c r="B490" t="str">
        <f>"1075.90"</f>
        <v>1075.90</v>
      </c>
      <c r="C490" t="str">
        <f>"1075.9255"</f>
        <v>1075.9255</v>
      </c>
    </row>
    <row r="491" spans="1:3" x14ac:dyDescent="0.25">
      <c r="A491" t="str">
        <f>"02/06/2011"</f>
        <v>02/06/2011</v>
      </c>
      <c r="B491" t="str">
        <f>"1080.50"</f>
        <v>1080.50</v>
      </c>
      <c r="C491" t="str">
        <f>"1080.524"</f>
        <v>1080.524</v>
      </c>
    </row>
    <row r="492" spans="1:3" x14ac:dyDescent="0.25">
      <c r="A492" t="str">
        <f>"03/06/2011"</f>
        <v>03/06/2011</v>
      </c>
      <c r="B492" t="str">
        <f>"1077.30"</f>
        <v>1077.30</v>
      </c>
      <c r="C492" t="str">
        <f>"1077.3235"</f>
        <v>1077.3235</v>
      </c>
    </row>
    <row r="493" spans="1:3" x14ac:dyDescent="0.25">
      <c r="A493" t="str">
        <f>"06/06/2011"</f>
        <v>06/06/2011</v>
      </c>
      <c r="B493" t="str">
        <f>"1077.70"</f>
        <v>1077.70</v>
      </c>
      <c r="C493" t="str">
        <f>"1077.7465"</f>
        <v>1077.7465</v>
      </c>
    </row>
    <row r="494" spans="1:3" x14ac:dyDescent="0.25">
      <c r="A494" t="str">
        <f>"07/06/2011"</f>
        <v>07/06/2011</v>
      </c>
      <c r="B494" t="str">
        <f>"1080.35"</f>
        <v>1080.35</v>
      </c>
      <c r="C494" t="str">
        <f>"1080.397"</f>
        <v>1080.397</v>
      </c>
    </row>
    <row r="495" spans="1:3" x14ac:dyDescent="0.25">
      <c r="A495" t="str">
        <f>"08/06/2011"</f>
        <v>08/06/2011</v>
      </c>
      <c r="B495" t="str">
        <f>"1082.90"</f>
        <v>1082.90</v>
      </c>
      <c r="C495" t="str">
        <f>"1082.9455"</f>
        <v>1082.9455</v>
      </c>
    </row>
    <row r="496" spans="1:3" x14ac:dyDescent="0.25">
      <c r="A496" t="str">
        <f>"09/06/2011"</f>
        <v>09/06/2011</v>
      </c>
      <c r="B496" t="str">
        <f>"1083.95"</f>
        <v>1083.95</v>
      </c>
      <c r="C496" t="str">
        <f>"1083.9715"</f>
        <v>1083.9715</v>
      </c>
    </row>
    <row r="497" spans="1:3" x14ac:dyDescent="0.25">
      <c r="A497" t="str">
        <f>"13/06/2011"</f>
        <v>13/06/2011</v>
      </c>
      <c r="B497" t="str">
        <f>"1085.70"</f>
        <v>1085.70</v>
      </c>
      <c r="C497" t="str">
        <f>"1085.722"</f>
        <v>1085.722</v>
      </c>
    </row>
    <row r="498" spans="1:3" x14ac:dyDescent="0.25">
      <c r="A498" t="str">
        <f>"14/06/2011"</f>
        <v>14/06/2011</v>
      </c>
      <c r="B498" t="str">
        <f>"1082.30"</f>
        <v>1082.30</v>
      </c>
      <c r="C498" t="str">
        <f>"1082.323"</f>
        <v>1082.323</v>
      </c>
    </row>
    <row r="499" spans="1:3" x14ac:dyDescent="0.25">
      <c r="A499" t="str">
        <f>"15/06/2011"</f>
        <v>15/06/2011</v>
      </c>
      <c r="B499" t="str">
        <f>"1083.10"</f>
        <v>1083.10</v>
      </c>
      <c r="C499" t="str">
        <f>"1083.1215"</f>
        <v>1083.1215</v>
      </c>
    </row>
    <row r="500" spans="1:3" x14ac:dyDescent="0.25">
      <c r="A500" t="str">
        <f>"16/06/2011"</f>
        <v>16/06/2011</v>
      </c>
      <c r="B500" t="str">
        <f>"1090.85"</f>
        <v>1090.85</v>
      </c>
      <c r="C500" t="str">
        <f>"1090.8695"</f>
        <v>1090.8695</v>
      </c>
    </row>
    <row r="501" spans="1:3" x14ac:dyDescent="0.25">
      <c r="A501" t="str">
        <f>"17/06/2011"</f>
        <v>17/06/2011</v>
      </c>
      <c r="B501" t="str">
        <f>"1088.80"</f>
        <v>1088.80</v>
      </c>
      <c r="C501" t="str">
        <f>"1088.8185"</f>
        <v>1088.8185</v>
      </c>
    </row>
    <row r="502" spans="1:3" x14ac:dyDescent="0.25">
      <c r="A502" t="str">
        <f>"20/06/2011"</f>
        <v>20/06/2011</v>
      </c>
      <c r="B502" t="str">
        <f>"1083.90"</f>
        <v>1083.90</v>
      </c>
      <c r="C502" t="str">
        <f>"1083.943"</f>
        <v>1083.943</v>
      </c>
    </row>
    <row r="503" spans="1:3" x14ac:dyDescent="0.25">
      <c r="A503" t="str">
        <f>"21/06/2011"</f>
        <v>21/06/2011</v>
      </c>
      <c r="B503" t="str">
        <f>"1080.80"</f>
        <v>1080.80</v>
      </c>
      <c r="C503" t="str">
        <f>"1080.8445"</f>
        <v>1080.8445</v>
      </c>
    </row>
    <row r="504" spans="1:3" x14ac:dyDescent="0.25">
      <c r="A504" t="str">
        <f>"22/06/2011"</f>
        <v>22/06/2011</v>
      </c>
      <c r="B504" t="str">
        <f>"1075.90"</f>
        <v>1075.90</v>
      </c>
      <c r="C504" t="str">
        <f>"1075.945"</f>
        <v>1075.945</v>
      </c>
    </row>
    <row r="505" spans="1:3" x14ac:dyDescent="0.25">
      <c r="A505" t="str">
        <f>"23/06/2011"</f>
        <v>23/06/2011</v>
      </c>
      <c r="B505" t="str">
        <f>"1076.30"</f>
        <v>1076.30</v>
      </c>
      <c r="C505" t="str">
        <f>"1076.345"</f>
        <v>1076.345</v>
      </c>
    </row>
    <row r="506" spans="1:3" x14ac:dyDescent="0.25">
      <c r="A506" t="str">
        <f>"24/06/2011"</f>
        <v>24/06/2011</v>
      </c>
      <c r="B506" t="str">
        <f>"1077.70"</f>
        <v>1077.70</v>
      </c>
      <c r="C506" t="str">
        <f>"1077.722"</f>
        <v>1077.722</v>
      </c>
    </row>
    <row r="507" spans="1:3" x14ac:dyDescent="0.25">
      <c r="A507" t="str">
        <f>"27/06/2011"</f>
        <v>27/06/2011</v>
      </c>
      <c r="B507" t="str">
        <f>"1088.10"</f>
        <v>1088.10</v>
      </c>
      <c r="C507" t="str">
        <f>"1088.1445"</f>
        <v>1088.1445</v>
      </c>
    </row>
    <row r="508" spans="1:3" x14ac:dyDescent="0.25">
      <c r="A508" t="str">
        <f>"28/06/2011"</f>
        <v>28/06/2011</v>
      </c>
      <c r="B508" t="str">
        <f>"1081.90"</f>
        <v>1081.90</v>
      </c>
      <c r="C508" t="str">
        <f>"1081.9215"</f>
        <v>1081.9215</v>
      </c>
    </row>
    <row r="509" spans="1:3" x14ac:dyDescent="0.25">
      <c r="A509" t="str">
        <f>"29/06/2011"</f>
        <v>29/06/2011</v>
      </c>
      <c r="B509" t="str">
        <f>"1078.30"</f>
        <v>1078.30</v>
      </c>
      <c r="C509" t="str">
        <f>"1078.3225"</f>
        <v>1078.3225</v>
      </c>
    </row>
    <row r="510" spans="1:3" x14ac:dyDescent="0.25">
      <c r="A510" t="str">
        <f>"30/06/2011"</f>
        <v>30/06/2011</v>
      </c>
      <c r="B510" t="str">
        <f>"1068.60"</f>
        <v>1068.60</v>
      </c>
      <c r="C510" t="str">
        <f>"1068.623"</f>
        <v>1068.623</v>
      </c>
    </row>
    <row r="511" spans="1:3" x14ac:dyDescent="0.25">
      <c r="A511" t="str">
        <f>"01/07/2011"</f>
        <v>01/07/2011</v>
      </c>
      <c r="B511" t="str">
        <f>"1066.30"</f>
        <v>1066.30</v>
      </c>
      <c r="C511" t="str">
        <f>"1066.346"</f>
        <v>1066.346</v>
      </c>
    </row>
    <row r="512" spans="1:3" x14ac:dyDescent="0.25">
      <c r="A512" t="str">
        <f>"04/07/2011"</f>
        <v>04/07/2011</v>
      </c>
      <c r="B512" t="str">
        <f>"1063.70"</f>
        <v>1063.70</v>
      </c>
      <c r="C512" t="str">
        <f>"1063.7475"</f>
        <v>1063.7475</v>
      </c>
    </row>
    <row r="513" spans="1:3" x14ac:dyDescent="0.25">
      <c r="A513" t="str">
        <f>"05/07/2011"</f>
        <v>05/07/2011</v>
      </c>
      <c r="B513" t="str">
        <f>"1066.20"</f>
        <v>1066.20</v>
      </c>
      <c r="C513" t="str">
        <f>"1066.247"</f>
        <v>1066.247</v>
      </c>
    </row>
    <row r="514" spans="1:3" x14ac:dyDescent="0.25">
      <c r="A514" t="str">
        <f>"06/07/2011"</f>
        <v>06/07/2011</v>
      </c>
      <c r="B514" t="str">
        <f>"1063.90"</f>
        <v>1063.90</v>
      </c>
      <c r="C514" t="str">
        <f>"1063.946"</f>
        <v>1063.946</v>
      </c>
    </row>
    <row r="515" spans="1:3" x14ac:dyDescent="0.25">
      <c r="A515" t="str">
        <f>"07/07/2011"</f>
        <v>07/07/2011</v>
      </c>
      <c r="B515" t="str">
        <f>"1063.70"</f>
        <v>1063.70</v>
      </c>
      <c r="C515" t="str">
        <f>"1063.7465"</f>
        <v>1063.7465</v>
      </c>
    </row>
    <row r="516" spans="1:3" x14ac:dyDescent="0.25">
      <c r="A516" t="str">
        <f>"08/07/2011"</f>
        <v>08/07/2011</v>
      </c>
      <c r="B516" t="str">
        <f>"1058.00"</f>
        <v>1058.00</v>
      </c>
      <c r="C516" t="str">
        <f>"1058.0475"</f>
        <v>1058.0475</v>
      </c>
    </row>
    <row r="517" spans="1:3" x14ac:dyDescent="0.25">
      <c r="A517" t="str">
        <f>"11/07/2011"</f>
        <v>11/07/2011</v>
      </c>
      <c r="B517" t="str">
        <f>"1059.40"</f>
        <v>1059.40</v>
      </c>
      <c r="C517" t="str">
        <f>"1059.449"</f>
        <v>1059.449</v>
      </c>
    </row>
    <row r="518" spans="1:3" x14ac:dyDescent="0.25">
      <c r="A518" t="str">
        <f>"12/07/2011"</f>
        <v>12/07/2011</v>
      </c>
      <c r="B518" t="str">
        <f>"1066.70"</f>
        <v>1066.70</v>
      </c>
      <c r="C518" t="str">
        <f>"1066.7485"</f>
        <v>1066.7485</v>
      </c>
    </row>
    <row r="519" spans="1:3" x14ac:dyDescent="0.25">
      <c r="A519" t="str">
        <f>"13/07/2011"</f>
        <v>13/07/2011</v>
      </c>
      <c r="B519" t="str">
        <f>"1062.20"</f>
        <v>1062.20</v>
      </c>
      <c r="C519" t="str">
        <f>"1062.2475"</f>
        <v>1062.2475</v>
      </c>
    </row>
    <row r="520" spans="1:3" x14ac:dyDescent="0.25">
      <c r="A520" t="str">
        <f>"14/07/2011"</f>
        <v>14/07/2011</v>
      </c>
      <c r="B520" t="str">
        <f>"1058.125"</f>
        <v>1058.125</v>
      </c>
      <c r="C520" t="str">
        <f>"1058.1725"</f>
        <v>1058.1725</v>
      </c>
    </row>
    <row r="521" spans="1:3" x14ac:dyDescent="0.25">
      <c r="A521" t="str">
        <f>"15/07/2011"</f>
        <v>15/07/2011</v>
      </c>
      <c r="B521" t="str">
        <f>"1057.60"</f>
        <v>1057.60</v>
      </c>
      <c r="C521" t="str">
        <f>"1057.648"</f>
        <v>1057.648</v>
      </c>
    </row>
    <row r="522" spans="1:3" x14ac:dyDescent="0.25">
      <c r="A522" t="str">
        <f>"18/07/2011"</f>
        <v>18/07/2011</v>
      </c>
      <c r="B522" t="str">
        <f>"1061.65"</f>
        <v>1061.65</v>
      </c>
      <c r="C522" t="str">
        <f>"1061.6775"</f>
        <v>1061.6775</v>
      </c>
    </row>
    <row r="523" spans="1:3" x14ac:dyDescent="0.25">
      <c r="A523" t="str">
        <f>"19/07/2011"</f>
        <v>19/07/2011</v>
      </c>
      <c r="B523" t="str">
        <f>"1059.70"</f>
        <v>1059.70</v>
      </c>
      <c r="C523" t="str">
        <f>"1059.7495"</f>
        <v>1059.7495</v>
      </c>
    </row>
    <row r="524" spans="1:3" x14ac:dyDescent="0.25">
      <c r="A524" t="str">
        <f>"20/07/2011"</f>
        <v>20/07/2011</v>
      </c>
      <c r="B524" t="str">
        <f>"1055.40"</f>
        <v>1055.40</v>
      </c>
      <c r="C524" t="str">
        <f>"1055.426"</f>
        <v>1055.426</v>
      </c>
    </row>
    <row r="525" spans="1:3" x14ac:dyDescent="0.25">
      <c r="A525" t="str">
        <f>"21/07/2011"</f>
        <v>21/07/2011</v>
      </c>
      <c r="B525" t="str">
        <f>"1056.20"</f>
        <v>1056.20</v>
      </c>
      <c r="C525" t="str">
        <f>"1056.226"</f>
        <v>1056.226</v>
      </c>
    </row>
    <row r="526" spans="1:3" x14ac:dyDescent="0.25">
      <c r="A526" t="str">
        <f>"22/07/2011"</f>
        <v>22/07/2011</v>
      </c>
      <c r="B526" t="str">
        <f>"1051.10"</f>
        <v>1051.10</v>
      </c>
      <c r="C526" t="str">
        <f>"1051.149"</f>
        <v>1051.149</v>
      </c>
    </row>
    <row r="527" spans="1:3" x14ac:dyDescent="0.25">
      <c r="A527" t="str">
        <f>"25/07/2011"</f>
        <v>25/07/2011</v>
      </c>
      <c r="B527" t="str">
        <f>"1054.70"</f>
        <v>1054.70</v>
      </c>
      <c r="C527" t="str">
        <f>"1054.7275"</f>
        <v>1054.7275</v>
      </c>
    </row>
    <row r="528" spans="1:3" x14ac:dyDescent="0.25">
      <c r="A528" t="str">
        <f>"26/07/2011"</f>
        <v>26/07/2011</v>
      </c>
      <c r="B528" t="str">
        <f>"1052.10"</f>
        <v>1052.10</v>
      </c>
      <c r="C528" t="str">
        <f>"1052.1265"</f>
        <v>1052.1265</v>
      </c>
    </row>
    <row r="529" spans="1:3" x14ac:dyDescent="0.25">
      <c r="A529" t="str">
        <f>"27/07/2011"</f>
        <v>27/07/2011</v>
      </c>
      <c r="B529" t="str">
        <f>"1049.40"</f>
        <v>1049.40</v>
      </c>
      <c r="C529" t="str">
        <f>"1049.4275"</f>
        <v>1049.4275</v>
      </c>
    </row>
    <row r="530" spans="1:3" x14ac:dyDescent="0.25">
      <c r="A530" t="str">
        <f>"28/07/2011"</f>
        <v>28/07/2011</v>
      </c>
      <c r="B530" t="str">
        <f>"1052.70"</f>
        <v>1052.70</v>
      </c>
      <c r="C530" t="str">
        <f>"1052.7255"</f>
        <v>1052.7255</v>
      </c>
    </row>
    <row r="531" spans="1:3" x14ac:dyDescent="0.25">
      <c r="A531" t="str">
        <f>"29/07/2011"</f>
        <v>29/07/2011</v>
      </c>
      <c r="B531" t="str">
        <f>"1052.70"</f>
        <v>1052.70</v>
      </c>
      <c r="C531" t="str">
        <f>"1052.7255"</f>
        <v>1052.7255</v>
      </c>
    </row>
    <row r="532" spans="1:3" x14ac:dyDescent="0.25">
      <c r="A532" t="str">
        <f>"01/08/2011"</f>
        <v>01/08/2011</v>
      </c>
      <c r="B532" t="str">
        <f>"1049.40"</f>
        <v>1049.40</v>
      </c>
      <c r="C532" t="str">
        <f>"1049.428"</f>
        <v>1049.428</v>
      </c>
    </row>
    <row r="533" spans="1:3" x14ac:dyDescent="0.25">
      <c r="A533" t="str">
        <f>"02/08/2011"</f>
        <v>02/08/2011</v>
      </c>
      <c r="B533" t="str">
        <f>"1051.70"</f>
        <v>1051.70</v>
      </c>
      <c r="C533" t="str">
        <f>"1051.749"</f>
        <v>1051.749</v>
      </c>
    </row>
    <row r="534" spans="1:3" x14ac:dyDescent="0.25">
      <c r="A534" t="str">
        <f>"03/08/2011"</f>
        <v>03/08/2011</v>
      </c>
      <c r="B534" t="str">
        <f>"1058.40"</f>
        <v>1058.40</v>
      </c>
      <c r="C534" t="str">
        <f>"1058.446"</f>
        <v>1058.446</v>
      </c>
    </row>
    <row r="535" spans="1:3" x14ac:dyDescent="0.25">
      <c r="A535" t="str">
        <f>"04/08/2011"</f>
        <v>04/08/2011</v>
      </c>
      <c r="B535" t="str">
        <f>"1059.70"</f>
        <v>1059.70</v>
      </c>
      <c r="C535" t="str">
        <f>"1059.746"</f>
        <v>1059.746</v>
      </c>
    </row>
    <row r="536" spans="1:3" x14ac:dyDescent="0.25">
      <c r="A536" t="str">
        <f>"09/08/2011"</f>
        <v>09/08/2011</v>
      </c>
      <c r="B536" t="str">
        <f>"1092.60"</f>
        <v>1092.60</v>
      </c>
      <c r="C536" t="str">
        <f>"1092.624"</f>
        <v>1092.624</v>
      </c>
    </row>
    <row r="537" spans="1:3" x14ac:dyDescent="0.25">
      <c r="A537" t="str">
        <f>"10/08/2011"</f>
        <v>10/08/2011</v>
      </c>
      <c r="B537" t="str">
        <f>"1082.00"</f>
        <v>1082.00</v>
      </c>
      <c r="C537" t="str">
        <f>"1082.0245"</f>
        <v>1082.0245</v>
      </c>
    </row>
    <row r="538" spans="1:3" x14ac:dyDescent="0.25">
      <c r="A538" t="str">
        <f>"11/08/2011"</f>
        <v>11/08/2011</v>
      </c>
      <c r="B538" t="str">
        <f>"1084.00"</f>
        <v>1084.00</v>
      </c>
      <c r="C538" t="str">
        <f>"1084.042"</f>
        <v>1084.042</v>
      </c>
    </row>
    <row r="539" spans="1:3" x14ac:dyDescent="0.25">
      <c r="A539" t="str">
        <f>"12/08/2011"</f>
        <v>12/08/2011</v>
      </c>
      <c r="B539" t="str">
        <f>"1081.00"</f>
        <v>1081.00</v>
      </c>
      <c r="C539" t="str">
        <f>"1081.0415"</f>
        <v>1081.0415</v>
      </c>
    </row>
    <row r="540" spans="1:3" x14ac:dyDescent="0.25">
      <c r="A540" t="str">
        <f>"16/08/2011"</f>
        <v>16/08/2011</v>
      </c>
      <c r="B540" t="str">
        <f>"1070.20"</f>
        <v>1070.20</v>
      </c>
      <c r="C540" t="str">
        <f>"1070.2405"</f>
        <v>1070.2405</v>
      </c>
    </row>
    <row r="541" spans="1:3" x14ac:dyDescent="0.25">
      <c r="A541" t="str">
        <f>"17/08/2011"</f>
        <v>17/08/2011</v>
      </c>
      <c r="B541" t="str">
        <f>"1071.50"</f>
        <v>1071.50</v>
      </c>
      <c r="C541" t="str">
        <f>"1071.542"</f>
        <v>1071.542</v>
      </c>
    </row>
    <row r="542" spans="1:3" x14ac:dyDescent="0.25">
      <c r="A542" t="str">
        <f>"18/08/2011"</f>
        <v>18/08/2011</v>
      </c>
      <c r="B542" t="str">
        <f>"1074.10"</f>
        <v>1074.10</v>
      </c>
      <c r="C542" t="str">
        <f>"1074.1425"</f>
        <v>1074.1425</v>
      </c>
    </row>
    <row r="543" spans="1:3" x14ac:dyDescent="0.25">
      <c r="A543" t="str">
        <f>"19/08/2011"</f>
        <v>19/08/2011</v>
      </c>
      <c r="B543" t="str">
        <f>"1082.20"</f>
        <v>1082.20</v>
      </c>
      <c r="C543" t="str">
        <f>"1082.222"</f>
        <v>1082.222</v>
      </c>
    </row>
    <row r="544" spans="1:3" x14ac:dyDescent="0.25">
      <c r="A544" t="str">
        <f>"22/08/2011"</f>
        <v>22/08/2011</v>
      </c>
      <c r="B544" t="str">
        <f>"1084.10"</f>
        <v>1084.10</v>
      </c>
      <c r="C544" t="str">
        <f>"1084.123"</f>
        <v>1084.123</v>
      </c>
    </row>
    <row r="545" spans="1:3" x14ac:dyDescent="0.25">
      <c r="A545" t="str">
        <f>"23/08/2011"</f>
        <v>23/08/2011</v>
      </c>
      <c r="B545" t="str">
        <f>"1080.30"</f>
        <v>1080.30</v>
      </c>
      <c r="C545" t="str">
        <f>"1080.345"</f>
        <v>1080.345</v>
      </c>
    </row>
    <row r="546" spans="1:3" x14ac:dyDescent="0.25">
      <c r="A546" t="str">
        <f>"24/08/2011"</f>
        <v>24/08/2011</v>
      </c>
      <c r="B546" t="str">
        <f>"1078.15"</f>
        <v>1078.15</v>
      </c>
      <c r="C546" t="str">
        <f>"1078.194"</f>
        <v>1078.194</v>
      </c>
    </row>
    <row r="547" spans="1:3" x14ac:dyDescent="0.25">
      <c r="A547" t="str">
        <f>"25/08/2011"</f>
        <v>25/08/2011</v>
      </c>
      <c r="B547" t="str">
        <f>"1087.825"</f>
        <v>1087.825</v>
      </c>
      <c r="C547" t="str">
        <f>"1087.869"</f>
        <v>1087.869</v>
      </c>
    </row>
    <row r="548" spans="1:3" x14ac:dyDescent="0.25">
      <c r="A548" t="str">
        <f>"26/08/2011"</f>
        <v>26/08/2011</v>
      </c>
      <c r="B548" t="str">
        <f>"1083.40"</f>
        <v>1083.40</v>
      </c>
      <c r="C548" t="str">
        <f>"1083.444"</f>
        <v>1083.444</v>
      </c>
    </row>
    <row r="549" spans="1:3" x14ac:dyDescent="0.25">
      <c r="A549" t="str">
        <f>"29/08/2011"</f>
        <v>29/08/2011</v>
      </c>
      <c r="B549" t="str">
        <f>"1073.90"</f>
        <v>1073.90</v>
      </c>
      <c r="C549" t="str">
        <f>"1073.921"</f>
        <v>1073.921</v>
      </c>
    </row>
    <row r="550" spans="1:3" x14ac:dyDescent="0.25">
      <c r="A550" t="str">
        <f>"30/08/2011"</f>
        <v>30/08/2011</v>
      </c>
      <c r="B550" t="str">
        <f>"1071.50"</f>
        <v>1071.50</v>
      </c>
      <c r="C550" t="str">
        <f>"1071.547"</f>
        <v>1071.547</v>
      </c>
    </row>
    <row r="551" spans="1:3" x14ac:dyDescent="0.25">
      <c r="A551" t="str">
        <f>"02/09/2011"</f>
        <v>02/09/2011</v>
      </c>
      <c r="B551" t="str">
        <f>"1063.20"</f>
        <v>1063.20</v>
      </c>
      <c r="C551" t="str">
        <f>"1063.224"</f>
        <v>1063.224</v>
      </c>
    </row>
    <row r="552" spans="1:3" x14ac:dyDescent="0.25">
      <c r="A552" t="str">
        <f>"05/09/2011"</f>
        <v>05/09/2011</v>
      </c>
      <c r="B552" t="str">
        <f>"1067.90"</f>
        <v>1067.90</v>
      </c>
      <c r="C552" t="str">
        <f>"1067.9475"</f>
        <v>1067.9475</v>
      </c>
    </row>
    <row r="553" spans="1:3" x14ac:dyDescent="0.25">
      <c r="A553" t="str">
        <f>"06/09/2011"</f>
        <v>06/09/2011</v>
      </c>
      <c r="B553" t="str">
        <f>"1072.00"</f>
        <v>1072.00</v>
      </c>
      <c r="C553" t="str">
        <f>"1072.026"</f>
        <v>1072.026</v>
      </c>
    </row>
    <row r="554" spans="1:3" x14ac:dyDescent="0.25">
      <c r="A554" t="str">
        <f>"07/09/2011"</f>
        <v>07/09/2011</v>
      </c>
      <c r="B554" t="str">
        <f>"1072.00"</f>
        <v>1072.00</v>
      </c>
      <c r="C554" t="str">
        <f>"1072.027"</f>
        <v>1072.027</v>
      </c>
    </row>
    <row r="555" spans="1:3" x14ac:dyDescent="0.25">
      <c r="A555" t="str">
        <f>"08/09/2011"</f>
        <v>08/09/2011</v>
      </c>
      <c r="B555" t="str">
        <f>"1073.40"</f>
        <v>1073.40</v>
      </c>
      <c r="C555" t="str">
        <f>"1073.4245"</f>
        <v>1073.4245</v>
      </c>
    </row>
    <row r="556" spans="1:3" x14ac:dyDescent="0.25">
      <c r="A556" t="str">
        <f>"09/09/2011"</f>
        <v>09/09/2011</v>
      </c>
      <c r="B556" t="str">
        <f>"1076.80"</f>
        <v>1076.80</v>
      </c>
      <c r="C556" t="str">
        <f>"1076.826"</f>
        <v>1076.826</v>
      </c>
    </row>
    <row r="557" spans="1:3" x14ac:dyDescent="0.25">
      <c r="A557" t="str">
        <f>"12/09/2011"</f>
        <v>12/09/2011</v>
      </c>
      <c r="B557" t="str">
        <f>"1095.35"</f>
        <v>1095.35</v>
      </c>
      <c r="C557" t="str">
        <f>"1095.3995"</f>
        <v>1095.3995</v>
      </c>
    </row>
    <row r="558" spans="1:3" x14ac:dyDescent="0.25">
      <c r="A558" t="str">
        <f>"13/09/2011"</f>
        <v>13/09/2011</v>
      </c>
      <c r="B558" t="str">
        <f>"1086.95"</f>
        <v>1086.95</v>
      </c>
      <c r="C558" t="str">
        <f>"1086.9995"</f>
        <v>1086.9995</v>
      </c>
    </row>
    <row r="559" spans="1:3" x14ac:dyDescent="0.25">
      <c r="A559" t="str">
        <f>"14/09/2011"</f>
        <v>14/09/2011</v>
      </c>
      <c r="B559" t="str">
        <f>"1104.20"</f>
        <v>1104.20</v>
      </c>
      <c r="C559" t="str">
        <f>"1104.2475"</f>
        <v>1104.2475</v>
      </c>
    </row>
    <row r="560" spans="1:3" x14ac:dyDescent="0.25">
      <c r="A560" t="str">
        <f>"15/09/2011"</f>
        <v>15/09/2011</v>
      </c>
      <c r="B560" t="str">
        <f>"1118.10"</f>
        <v>1118.10</v>
      </c>
      <c r="C560" t="str">
        <f>"1118.1215"</f>
        <v>1118.1215</v>
      </c>
    </row>
    <row r="561" spans="1:3" x14ac:dyDescent="0.25">
      <c r="A561" t="str">
        <f>"16/09/2011"</f>
        <v>16/09/2011</v>
      </c>
      <c r="B561" t="str">
        <f>"1103.125"</f>
        <v>1103.125</v>
      </c>
      <c r="C561" t="str">
        <f>"1103.148"</f>
        <v>1103.148</v>
      </c>
    </row>
    <row r="562" spans="1:3" x14ac:dyDescent="0.25">
      <c r="A562" t="str">
        <f>"19/09/2011"</f>
        <v>19/09/2011</v>
      </c>
      <c r="B562" t="str">
        <f>"1122.70"</f>
        <v>1122.70</v>
      </c>
      <c r="C562" t="str">
        <f>"1122.7445"</f>
        <v>1122.7445</v>
      </c>
    </row>
    <row r="563" spans="1:3" x14ac:dyDescent="0.25">
      <c r="A563" t="str">
        <f>"20/09/2011"</f>
        <v>20/09/2011</v>
      </c>
      <c r="B563" t="str">
        <f>"1153.70"</f>
        <v>1153.70</v>
      </c>
      <c r="C563" t="str">
        <f>"1153.745"</f>
        <v>1153.745</v>
      </c>
    </row>
    <row r="564" spans="1:3" x14ac:dyDescent="0.25">
      <c r="A564" t="str">
        <f>"21/09/2011"</f>
        <v>21/09/2011</v>
      </c>
      <c r="B564" t="str">
        <f>"1147.925"</f>
        <v>1147.925</v>
      </c>
      <c r="C564" t="str">
        <f>"1147.9715"</f>
        <v>1147.9715</v>
      </c>
    </row>
    <row r="565" spans="1:3" x14ac:dyDescent="0.25">
      <c r="A565" t="str">
        <f>"22/09/2011"</f>
        <v>22/09/2011</v>
      </c>
      <c r="B565" t="str">
        <f>"1179.625"</f>
        <v>1179.625</v>
      </c>
      <c r="C565" t="str">
        <f>"1179.6705"</f>
        <v>1179.6705</v>
      </c>
    </row>
    <row r="566" spans="1:3" x14ac:dyDescent="0.25">
      <c r="A566" t="str">
        <f>"23/09/2011"</f>
        <v>23/09/2011</v>
      </c>
      <c r="B566" t="str">
        <f>"1194.85"</f>
        <v>1194.85</v>
      </c>
      <c r="C566" t="str">
        <f>"1194.8745"</f>
        <v>1194.8745</v>
      </c>
    </row>
    <row r="567" spans="1:3" x14ac:dyDescent="0.25">
      <c r="A567" t="str">
        <f>"26/09/2011"</f>
        <v>26/09/2011</v>
      </c>
      <c r="B567" t="str">
        <f>"1187.50"</f>
        <v>1187.50</v>
      </c>
      <c r="C567" t="str">
        <f>"1187.527"</f>
        <v>1187.527</v>
      </c>
    </row>
    <row r="568" spans="1:3" x14ac:dyDescent="0.25">
      <c r="A568" t="str">
        <f>"27/09/2011"</f>
        <v>27/09/2011</v>
      </c>
      <c r="B568" t="str">
        <f>"1181.00"</f>
        <v>1181.00</v>
      </c>
      <c r="C568" t="str">
        <f>"1181.0525"</f>
        <v>1181.0525</v>
      </c>
    </row>
    <row r="569" spans="1:3" x14ac:dyDescent="0.25">
      <c r="A569" t="str">
        <f>"28/09/2011"</f>
        <v>28/09/2011</v>
      </c>
      <c r="B569" t="str">
        <f>"1177.75"</f>
        <v>1177.75</v>
      </c>
      <c r="C569" t="str">
        <f>"1177.8015"</f>
        <v>1177.8015</v>
      </c>
    </row>
    <row r="570" spans="1:3" x14ac:dyDescent="0.25">
      <c r="A570" t="str">
        <f>"29/09/2011"</f>
        <v>29/09/2011</v>
      </c>
      <c r="B570" t="str">
        <f>"1177.20"</f>
        <v>1177.20</v>
      </c>
      <c r="C570" t="str">
        <f>"1177.2505"</f>
        <v>1177.2505</v>
      </c>
    </row>
    <row r="571" spans="1:3" x14ac:dyDescent="0.25">
      <c r="A571" t="str">
        <f>"30/09/2011"</f>
        <v>30/09/2011</v>
      </c>
      <c r="B571" t="str">
        <f>"1179.00"</f>
        <v>1179.00</v>
      </c>
      <c r="C571" t="str">
        <f>"1179.049"</f>
        <v>1179.049</v>
      </c>
    </row>
    <row r="572" spans="1:3" x14ac:dyDescent="0.25">
      <c r="A572" t="str">
        <f>"03/10/2011"</f>
        <v>03/10/2011</v>
      </c>
      <c r="B572" t="str">
        <f>"1199.35"</f>
        <v>1199.35</v>
      </c>
      <c r="C572" t="str">
        <f>"1199.3845"</f>
        <v>1199.3845</v>
      </c>
    </row>
    <row r="573" spans="1:3" x14ac:dyDescent="0.25">
      <c r="A573" t="str">
        <f>"04/10/2011"</f>
        <v>04/10/2011</v>
      </c>
      <c r="B573" t="str">
        <f>"1196.45"</f>
        <v>1196.45</v>
      </c>
      <c r="C573" t="str">
        <f>"1196.496"</f>
        <v>1196.496</v>
      </c>
    </row>
    <row r="574" spans="1:3" x14ac:dyDescent="0.25">
      <c r="A574" t="str">
        <f>"05/10/2011"</f>
        <v>05/10/2011</v>
      </c>
      <c r="B574" t="str">
        <f>"1193.75"</f>
        <v>1193.75</v>
      </c>
      <c r="C574" t="str">
        <f>"1193.774"</f>
        <v>1193.774</v>
      </c>
    </row>
    <row r="575" spans="1:3" x14ac:dyDescent="0.25">
      <c r="A575" t="str">
        <f>"07/10/2011"</f>
        <v>07/10/2011</v>
      </c>
      <c r="B575" t="str">
        <f>"1179.30"</f>
        <v>1179.30</v>
      </c>
      <c r="C575" t="str">
        <f>"1179.3495"</f>
        <v>1179.3495</v>
      </c>
    </row>
    <row r="576" spans="1:3" x14ac:dyDescent="0.25">
      <c r="A576" t="str">
        <f>"10/10/2011"</f>
        <v>10/10/2011</v>
      </c>
      <c r="B576" t="str">
        <f>"1172.45"</f>
        <v>1172.45</v>
      </c>
      <c r="C576" t="str">
        <f>"1172.4995"</f>
        <v>1172.4995</v>
      </c>
    </row>
    <row r="577" spans="1:3" x14ac:dyDescent="0.25">
      <c r="A577" t="str">
        <f>"11/10/2011"</f>
        <v>11/10/2011</v>
      </c>
      <c r="B577" t="str">
        <f>"1166.20"</f>
        <v>1166.20</v>
      </c>
      <c r="C577" t="str">
        <f>"1166.246"</f>
        <v>1166.246</v>
      </c>
    </row>
    <row r="578" spans="1:3" x14ac:dyDescent="0.25">
      <c r="A578" t="str">
        <f>"12/10/2011"</f>
        <v>12/10/2011</v>
      </c>
      <c r="B578" t="str">
        <f>"1171.10"</f>
        <v>1171.10</v>
      </c>
      <c r="C578" t="str">
        <f>"1171.125"</f>
        <v>1171.125</v>
      </c>
    </row>
    <row r="579" spans="1:3" x14ac:dyDescent="0.25">
      <c r="A579" t="str">
        <f>"13/10/2011"</f>
        <v>13/10/2011</v>
      </c>
      <c r="B579" t="str">
        <f>"1157.45"</f>
        <v>1157.45</v>
      </c>
      <c r="C579" t="str">
        <f>"1157.4975"</f>
        <v>1157.4975</v>
      </c>
    </row>
    <row r="580" spans="1:3" x14ac:dyDescent="0.25">
      <c r="A580" t="str">
        <f>"14/10/2011"</f>
        <v>14/10/2011</v>
      </c>
      <c r="B580" t="str">
        <f>"1158.30"</f>
        <v>1158.30</v>
      </c>
      <c r="C580" t="str">
        <f>"1158.347"</f>
        <v>1158.347</v>
      </c>
    </row>
    <row r="581" spans="1:3" x14ac:dyDescent="0.25">
      <c r="A581" t="str">
        <f>"17/10/2011"</f>
        <v>17/10/2011</v>
      </c>
      <c r="B581" t="str">
        <f>"1144.85"</f>
        <v>1144.85</v>
      </c>
      <c r="C581" t="str">
        <f>"1144.899"</f>
        <v>1144.899</v>
      </c>
    </row>
    <row r="582" spans="1:3" x14ac:dyDescent="0.25">
      <c r="A582" t="str">
        <f>"18/10/2011"</f>
        <v>18/10/2011</v>
      </c>
      <c r="B582" t="str">
        <f>"1145.925"</f>
        <v>1145.925</v>
      </c>
      <c r="C582" t="str">
        <f>"1145.973"</f>
        <v>1145.973</v>
      </c>
    </row>
    <row r="583" spans="1:3" x14ac:dyDescent="0.25">
      <c r="A583" t="str">
        <f>"19/10/2011"</f>
        <v>19/10/2011</v>
      </c>
      <c r="B583" t="str">
        <f>"1130.45"</f>
        <v>1130.45</v>
      </c>
      <c r="C583" t="str">
        <f>"1130.4995"</f>
        <v>1130.4995</v>
      </c>
    </row>
    <row r="584" spans="1:3" x14ac:dyDescent="0.25">
      <c r="A584" t="str">
        <f>"20/10/2011"</f>
        <v>20/10/2011</v>
      </c>
      <c r="B584" t="str">
        <f>"1141.60"</f>
        <v>1141.60</v>
      </c>
      <c r="C584" t="str">
        <f>"1141.649"</f>
        <v>1141.649</v>
      </c>
    </row>
    <row r="585" spans="1:3" x14ac:dyDescent="0.25">
      <c r="A585" t="str">
        <f>"21/10/2011"</f>
        <v>21/10/2011</v>
      </c>
      <c r="B585" t="str">
        <f>"1150.10"</f>
        <v>1150.10</v>
      </c>
      <c r="C585" t="str">
        <f>"1150.149"</f>
        <v>1150.149</v>
      </c>
    </row>
    <row r="586" spans="1:3" x14ac:dyDescent="0.25">
      <c r="A586" t="str">
        <f>"24/10/2011"</f>
        <v>24/10/2011</v>
      </c>
      <c r="B586" t="str">
        <f>"1135.90"</f>
        <v>1135.90</v>
      </c>
      <c r="C586" t="str">
        <f>"1135.9275"</f>
        <v>1135.9275</v>
      </c>
    </row>
    <row r="587" spans="1:3" x14ac:dyDescent="0.25">
      <c r="A587" t="str">
        <f>"25/10/2011"</f>
        <v>25/10/2011</v>
      </c>
      <c r="B587" t="str">
        <f>"1126.90"</f>
        <v>1126.90</v>
      </c>
      <c r="C587" t="str">
        <f>"1126.927"</f>
        <v>1126.927</v>
      </c>
    </row>
    <row r="588" spans="1:3" x14ac:dyDescent="0.25">
      <c r="A588" t="str">
        <f>"28/10/2011"</f>
        <v>28/10/2011</v>
      </c>
      <c r="B588" t="str">
        <f>"1105.35"</f>
        <v>1105.35</v>
      </c>
      <c r="C588" t="str">
        <f>"1105.377"</f>
        <v>1105.377</v>
      </c>
    </row>
    <row r="589" spans="1:3" x14ac:dyDescent="0.25">
      <c r="A589" t="str">
        <f>"31/10/2011"</f>
        <v>31/10/2011</v>
      </c>
      <c r="B589" t="str">
        <f>"1109.225"</f>
        <v>1109.225</v>
      </c>
      <c r="C589" t="str">
        <f>"1109.2805"</f>
        <v>1109.2805</v>
      </c>
    </row>
    <row r="590" spans="1:3" x14ac:dyDescent="0.25">
      <c r="A590" t="str">
        <f>"01/11/2011"</f>
        <v>01/11/2011</v>
      </c>
      <c r="B590" t="str">
        <f>"1113.90"</f>
        <v>1113.90</v>
      </c>
      <c r="C590" t="str">
        <f>"1113.929"</f>
        <v>1113.929</v>
      </c>
    </row>
    <row r="591" spans="1:3" x14ac:dyDescent="0.25">
      <c r="A591" t="str">
        <f>"02/11/2011"</f>
        <v>02/11/2011</v>
      </c>
      <c r="B591" t="str">
        <f>"1124.00"</f>
        <v>1124.00</v>
      </c>
      <c r="C591" t="str">
        <f>"1124.0565"</f>
        <v>1124.0565</v>
      </c>
    </row>
    <row r="592" spans="1:3" x14ac:dyDescent="0.25">
      <c r="A592" t="str">
        <f>"03/11/2011"</f>
        <v>03/11/2011</v>
      </c>
      <c r="B592" t="str">
        <f>"1131.25"</f>
        <v>1131.25</v>
      </c>
      <c r="C592" t="str">
        <f>"1131.278"</f>
        <v>1131.278</v>
      </c>
    </row>
    <row r="593" spans="1:3" x14ac:dyDescent="0.25">
      <c r="A593" t="str">
        <f>"04/11/2011"</f>
        <v>04/11/2011</v>
      </c>
      <c r="B593" t="str">
        <f>"1112.40"</f>
        <v>1112.40</v>
      </c>
      <c r="C593" t="str">
        <f>"1112.4565"</f>
        <v>1112.4565</v>
      </c>
    </row>
    <row r="594" spans="1:3" x14ac:dyDescent="0.25">
      <c r="A594" t="str">
        <f>"08/11/2011"</f>
        <v>08/11/2011</v>
      </c>
      <c r="B594" t="str">
        <f>"1116.80"</f>
        <v>1116.80</v>
      </c>
      <c r="C594" t="str">
        <f>"1116.858"</f>
        <v>1116.858</v>
      </c>
    </row>
    <row r="595" spans="1:3" x14ac:dyDescent="0.25">
      <c r="A595" t="str">
        <f>"09/11/2011"</f>
        <v>09/11/2011</v>
      </c>
      <c r="B595" t="str">
        <f>"1116.80"</f>
        <v>1116.80</v>
      </c>
      <c r="C595" t="str">
        <f>"1116.852"</f>
        <v>1116.852</v>
      </c>
    </row>
    <row r="596" spans="1:3" x14ac:dyDescent="0.25">
      <c r="A596" t="str">
        <f>"11/11/2011"</f>
        <v>11/11/2011</v>
      </c>
      <c r="B596" t="str">
        <f>"1125.10"</f>
        <v>1125.10</v>
      </c>
      <c r="C596" t="str">
        <f>"1125.1565"</f>
        <v>1125.1565</v>
      </c>
    </row>
    <row r="597" spans="1:3" x14ac:dyDescent="0.25">
      <c r="A597" t="str">
        <f>"14/11/2011"</f>
        <v>14/11/2011</v>
      </c>
      <c r="B597" t="str">
        <f>"1119.45"</f>
        <v>1119.45</v>
      </c>
      <c r="C597" t="str">
        <f>"1119.506"</f>
        <v>1119.506</v>
      </c>
    </row>
    <row r="598" spans="1:3" x14ac:dyDescent="0.25">
      <c r="A598" t="str">
        <f>"15/11/2011"</f>
        <v>15/11/2011</v>
      </c>
      <c r="B598" t="str">
        <f>"1127.30"</f>
        <v>1127.30</v>
      </c>
      <c r="C598" t="str">
        <f>"1127.329"</f>
        <v>1127.329</v>
      </c>
    </row>
    <row r="599" spans="1:3" x14ac:dyDescent="0.25">
      <c r="A599" t="str">
        <f>"16/11/2011"</f>
        <v>16/11/2011</v>
      </c>
      <c r="B599" t="str">
        <f>"1136.40"</f>
        <v>1136.40</v>
      </c>
      <c r="C599" t="str">
        <f>"1136.4495"</f>
        <v>1136.4495</v>
      </c>
    </row>
    <row r="600" spans="1:3" x14ac:dyDescent="0.25">
      <c r="A600" t="str">
        <f>"17/11/2011"</f>
        <v>17/11/2011</v>
      </c>
      <c r="B600" t="str">
        <f>"1136.925"</f>
        <v>1136.925</v>
      </c>
      <c r="C600" t="str">
        <f>"1136.9505"</f>
        <v>1136.9505</v>
      </c>
    </row>
    <row r="601" spans="1:3" x14ac:dyDescent="0.25">
      <c r="A601" t="str">
        <f>"18/11/2011"</f>
        <v>18/11/2011</v>
      </c>
      <c r="B601" t="str">
        <f>"1135.05"</f>
        <v>1135.05</v>
      </c>
      <c r="C601" t="str">
        <f>"1135.0975"</f>
        <v>1135.0975</v>
      </c>
    </row>
    <row r="602" spans="1:3" x14ac:dyDescent="0.25">
      <c r="A602" t="str">
        <f>"21/11/2011"</f>
        <v>21/11/2011</v>
      </c>
      <c r="B602" t="str">
        <f>"1139.10"</f>
        <v>1139.10</v>
      </c>
      <c r="C602" t="str">
        <f>"1139.125"</f>
        <v>1139.125</v>
      </c>
    </row>
    <row r="603" spans="1:3" x14ac:dyDescent="0.25">
      <c r="A603" t="str">
        <f>"22/11/2011"</f>
        <v>22/11/2011</v>
      </c>
      <c r="B603" t="str">
        <f>"1150.10"</f>
        <v>1150.10</v>
      </c>
      <c r="C603" t="str">
        <f>"1150.1535"</f>
        <v>1150.1535</v>
      </c>
    </row>
    <row r="604" spans="1:3" x14ac:dyDescent="0.25">
      <c r="A604" t="str">
        <f>"23/11/2011"</f>
        <v>23/11/2011</v>
      </c>
      <c r="B604" t="str">
        <f>"1149.90"</f>
        <v>1149.90</v>
      </c>
      <c r="C604" t="str">
        <f>"1149.926"</f>
        <v>1149.926</v>
      </c>
    </row>
    <row r="605" spans="1:3" x14ac:dyDescent="0.25">
      <c r="A605" t="str">
        <f>"24/11/2011"</f>
        <v>24/11/2011</v>
      </c>
      <c r="B605" t="str">
        <f>"1159.075"</f>
        <v>1159.075</v>
      </c>
      <c r="C605" t="str">
        <f>"1159.108"</f>
        <v>1159.108</v>
      </c>
    </row>
    <row r="606" spans="1:3" x14ac:dyDescent="0.25">
      <c r="A606" t="str">
        <f>"25/11/2011"</f>
        <v>25/11/2011</v>
      </c>
      <c r="B606" t="str">
        <f>"1164.30"</f>
        <v>1164.30</v>
      </c>
      <c r="C606" t="str">
        <f>"1164.348"</f>
        <v>1164.348</v>
      </c>
    </row>
    <row r="607" spans="1:3" x14ac:dyDescent="0.25">
      <c r="A607" t="str">
        <f>"28/11/2011"</f>
        <v>28/11/2011</v>
      </c>
      <c r="B607" t="str">
        <f>"1154.50"</f>
        <v>1154.50</v>
      </c>
      <c r="C607" t="str">
        <f>"1154.55"</f>
        <v>1154.55</v>
      </c>
    </row>
    <row r="608" spans="1:3" x14ac:dyDescent="0.25">
      <c r="A608" t="str">
        <f>"29/11/2011"</f>
        <v>29/11/2011</v>
      </c>
      <c r="B608" t="str">
        <f>"1145.35"</f>
        <v>1145.35</v>
      </c>
      <c r="C608" t="str">
        <f>"1145.386"</f>
        <v>1145.386</v>
      </c>
    </row>
    <row r="609" spans="1:3" x14ac:dyDescent="0.25">
      <c r="A609" t="str">
        <f>"30/11/2011"</f>
        <v>30/11/2011</v>
      </c>
      <c r="B609" t="str">
        <f>"1142.70"</f>
        <v>1142.70</v>
      </c>
      <c r="C609" t="str">
        <f>"1142.7355"</f>
        <v>1142.7355</v>
      </c>
    </row>
    <row r="610" spans="1:3" x14ac:dyDescent="0.25">
      <c r="A610" t="str">
        <f>"01/12/2011"</f>
        <v>01/12/2011</v>
      </c>
      <c r="B610" t="str">
        <f>"1126.40"</f>
        <v>1126.40</v>
      </c>
      <c r="C610" t="str">
        <f>"1126.435"</f>
        <v>1126.435</v>
      </c>
    </row>
    <row r="611" spans="1:3" x14ac:dyDescent="0.25">
      <c r="A611" t="str">
        <f>"02/12/2011"</f>
        <v>02/12/2011</v>
      </c>
      <c r="B611" t="str">
        <f>"1131.55"</f>
        <v>1131.55</v>
      </c>
      <c r="C611" t="str">
        <f>"1131.586"</f>
        <v>1131.586</v>
      </c>
    </row>
    <row r="612" spans="1:3" x14ac:dyDescent="0.25">
      <c r="A612" t="str">
        <f>"05/12/2011"</f>
        <v>05/12/2011</v>
      </c>
      <c r="B612" t="str">
        <f>"1130.00"</f>
        <v>1130.00</v>
      </c>
      <c r="C612" t="str">
        <f>"1130.0295"</f>
        <v>1130.0295</v>
      </c>
    </row>
    <row r="613" spans="1:3" x14ac:dyDescent="0.25">
      <c r="A613" t="str">
        <f>"07/12/2011"</f>
        <v>07/12/2011</v>
      </c>
      <c r="B613" t="str">
        <f>"1126.20"</f>
        <v>1126.20</v>
      </c>
      <c r="C613" t="str">
        <f>"1126.235"</f>
        <v>1126.235</v>
      </c>
    </row>
    <row r="614" spans="1:3" x14ac:dyDescent="0.25">
      <c r="A614" t="str">
        <f>"08/12/2011"</f>
        <v>08/12/2011</v>
      </c>
      <c r="B614" t="str">
        <f>"1131.60"</f>
        <v>1131.60</v>
      </c>
      <c r="C614" t="str">
        <f>"1131.634"</f>
        <v>1131.634</v>
      </c>
    </row>
    <row r="615" spans="1:3" x14ac:dyDescent="0.25">
      <c r="A615" t="str">
        <f>"09/12/2011"</f>
        <v>09/12/2011</v>
      </c>
      <c r="B615" t="str">
        <f>"1147.05"</f>
        <v>1147.05</v>
      </c>
      <c r="C615" t="str">
        <f>"1147.0835"</f>
        <v>1147.0835</v>
      </c>
    </row>
    <row r="616" spans="1:3" x14ac:dyDescent="0.25">
      <c r="A616" t="str">
        <f>"12/12/2011"</f>
        <v>12/12/2011</v>
      </c>
      <c r="B616" t="str">
        <f>"1147.05"</f>
        <v>1147.05</v>
      </c>
      <c r="C616" t="str">
        <f>"1147.0875"</f>
        <v>1147.0875</v>
      </c>
    </row>
    <row r="617" spans="1:3" x14ac:dyDescent="0.25">
      <c r="A617" t="str">
        <f>"13/12/2011"</f>
        <v>13/12/2011</v>
      </c>
      <c r="B617" t="str">
        <f>"1154.10"</f>
        <v>1154.10</v>
      </c>
      <c r="C617" t="str">
        <f>"1154.136"</f>
        <v>1154.136</v>
      </c>
    </row>
    <row r="618" spans="1:3" x14ac:dyDescent="0.25">
      <c r="A618" t="str">
        <f>"14/12/2011"</f>
        <v>14/12/2011</v>
      </c>
      <c r="B618" t="str">
        <f>"1156.30"</f>
        <v>1156.30</v>
      </c>
      <c r="C618" t="str">
        <f>"1156.3355"</f>
        <v>1156.3355</v>
      </c>
    </row>
    <row r="619" spans="1:3" x14ac:dyDescent="0.25">
      <c r="A619" t="str">
        <f>"15/12/2011"</f>
        <v>15/12/2011</v>
      </c>
      <c r="B619" t="str">
        <f>"1163.05"</f>
        <v>1163.05</v>
      </c>
      <c r="C619" t="str">
        <f>"1163.085"</f>
        <v>1163.085</v>
      </c>
    </row>
    <row r="620" spans="1:3" x14ac:dyDescent="0.25">
      <c r="A620" t="str">
        <f>"16/12/2011"</f>
        <v>16/12/2011</v>
      </c>
      <c r="B620" t="str">
        <f>"1156.60"</f>
        <v>1156.60</v>
      </c>
      <c r="C620" t="str">
        <f>"1156.6277"</f>
        <v>1156.6277</v>
      </c>
    </row>
    <row r="621" spans="1:3" x14ac:dyDescent="0.25">
      <c r="A621" t="str">
        <f>"19/12/2011"</f>
        <v>19/12/2011</v>
      </c>
      <c r="B621" t="str">
        <f>"1174.90"</f>
        <v>1174.90</v>
      </c>
      <c r="C621" t="str">
        <f>"1174.9375"</f>
        <v>1174.9375</v>
      </c>
    </row>
    <row r="622" spans="1:3" x14ac:dyDescent="0.25">
      <c r="A622" t="str">
        <f>"20/12/2011"</f>
        <v>20/12/2011</v>
      </c>
      <c r="B622" t="str">
        <f>"1162.30"</f>
        <v>1162.30</v>
      </c>
      <c r="C622" t="str">
        <f>"1162.3285"</f>
        <v>1162.3285</v>
      </c>
    </row>
    <row r="623" spans="1:3" x14ac:dyDescent="0.25">
      <c r="A623" t="str">
        <f>"21/12/2011"</f>
        <v>21/12/2011</v>
      </c>
      <c r="B623" t="str">
        <f>"1147.30"</f>
        <v>1147.30</v>
      </c>
      <c r="C623" t="str">
        <f>"1147.328"</f>
        <v>1147.328</v>
      </c>
    </row>
    <row r="624" spans="1:3" x14ac:dyDescent="0.25">
      <c r="A624" t="str">
        <f>"22/12/2011"</f>
        <v>22/12/2011</v>
      </c>
      <c r="B624" t="str">
        <f>"1156.30"</f>
        <v>1156.30</v>
      </c>
      <c r="C624" t="str">
        <f>"1156.334"</f>
        <v>1156.334</v>
      </c>
    </row>
    <row r="625" spans="1:3" x14ac:dyDescent="0.25">
      <c r="A625" t="str">
        <f>"23/12/2011"</f>
        <v>23/12/2011</v>
      </c>
      <c r="B625" t="str">
        <f>"1150.45"</f>
        <v>1150.45</v>
      </c>
      <c r="C625" t="str">
        <f>"1150.4835"</f>
        <v>1150.4835</v>
      </c>
    </row>
    <row r="626" spans="1:3" x14ac:dyDescent="0.25">
      <c r="A626" t="str">
        <f>"26/12/2011"</f>
        <v>26/12/2011</v>
      </c>
      <c r="B626" t="str">
        <f>"1155.125"</f>
        <v>1155.125</v>
      </c>
      <c r="C626" t="str">
        <f>"1155.174"</f>
        <v>1155.174</v>
      </c>
    </row>
    <row r="627" spans="1:3" x14ac:dyDescent="0.25">
      <c r="A627" t="str">
        <f>"27/12/2011"</f>
        <v>27/12/2011</v>
      </c>
      <c r="B627" t="str">
        <f>"1159.95"</f>
        <v>1159.95</v>
      </c>
      <c r="C627" t="str">
        <f>"1159.9765"</f>
        <v>1159.9765</v>
      </c>
    </row>
    <row r="628" spans="1:3" x14ac:dyDescent="0.25">
      <c r="A628" t="str">
        <f>"28/12/2011"</f>
        <v>28/12/2011</v>
      </c>
      <c r="B628" t="str">
        <f>"1158.10"</f>
        <v>1158.10</v>
      </c>
      <c r="C628" t="str">
        <f>"1158.15"</f>
        <v>1158.15</v>
      </c>
    </row>
    <row r="629" spans="1:3" x14ac:dyDescent="0.25">
      <c r="A629" t="str">
        <f>"29/12/2011"</f>
        <v>29/12/2011</v>
      </c>
      <c r="B629" t="str">
        <f>"1152.90"</f>
        <v>1152.90</v>
      </c>
      <c r="C629" t="str">
        <f>"1152.928"</f>
        <v>1152.928</v>
      </c>
    </row>
    <row r="630" spans="1:3" x14ac:dyDescent="0.25">
      <c r="A630" t="str">
        <f>"30/12/2011"</f>
        <v>30/12/2011</v>
      </c>
      <c r="B630" t="str">
        <f>"1152.40"</f>
        <v>1152.40</v>
      </c>
      <c r="C630" t="str">
        <f>"1152.429"</f>
        <v>1152.429</v>
      </c>
    </row>
    <row r="631" spans="1:3" x14ac:dyDescent="0.25">
      <c r="A631" t="str">
        <f>"02/01/2012"</f>
        <v>02/01/2012</v>
      </c>
      <c r="B631" t="str">
        <f>"1156.10"</f>
        <v>1156.10</v>
      </c>
      <c r="C631" t="str">
        <f>"1156.152"</f>
        <v>1156.152</v>
      </c>
    </row>
    <row r="632" spans="1:3" x14ac:dyDescent="0.25">
      <c r="A632" t="str">
        <f>"03/01/2012"</f>
        <v>03/01/2012</v>
      </c>
      <c r="B632" t="str">
        <f>"1149.90"</f>
        <v>1149.90</v>
      </c>
      <c r="C632" t="str">
        <f>"1149.9505"</f>
        <v>1149.9505</v>
      </c>
    </row>
    <row r="633" spans="1:3" x14ac:dyDescent="0.25">
      <c r="A633" t="str">
        <f>"04/01/2012"</f>
        <v>04/01/2012</v>
      </c>
      <c r="B633" t="str">
        <f>"1147.50"</f>
        <v>1147.50</v>
      </c>
      <c r="C633" t="str">
        <f>"1147.5495"</f>
        <v>1147.5495</v>
      </c>
    </row>
    <row r="634" spans="1:3" x14ac:dyDescent="0.25">
      <c r="A634" t="str">
        <f>"05/01/2012"</f>
        <v>05/01/2012</v>
      </c>
      <c r="B634" t="str">
        <f>"1150.75"</f>
        <v>1150.75</v>
      </c>
      <c r="C634" t="str">
        <f>"1150.799"</f>
        <v>1150.799</v>
      </c>
    </row>
    <row r="635" spans="1:3" x14ac:dyDescent="0.25">
      <c r="A635" t="str">
        <f>"06/01/2012"</f>
        <v>06/01/2012</v>
      </c>
      <c r="B635" t="str">
        <f>"1159.55"</f>
        <v>1159.55</v>
      </c>
      <c r="C635" t="str">
        <f>"1159.597"</f>
        <v>1159.597</v>
      </c>
    </row>
    <row r="636" spans="1:3" x14ac:dyDescent="0.25">
      <c r="A636" t="str">
        <f>"09/01/2012"</f>
        <v>09/01/2012</v>
      </c>
      <c r="B636" t="str">
        <f>"1163.80"</f>
        <v>1163.80</v>
      </c>
      <c r="C636" t="str">
        <f>"1163.8495"</f>
        <v>1163.8495</v>
      </c>
    </row>
    <row r="637" spans="1:3" x14ac:dyDescent="0.25">
      <c r="A637" t="str">
        <f>"10/01/2012"</f>
        <v>10/01/2012</v>
      </c>
      <c r="B637" t="str">
        <f>"1156.925"</f>
        <v>1156.925</v>
      </c>
      <c r="C637" t="str">
        <f>"1156.9745"</f>
        <v>1156.9745</v>
      </c>
    </row>
    <row r="638" spans="1:3" x14ac:dyDescent="0.25">
      <c r="A638" t="str">
        <f>"11/01/2012"</f>
        <v>11/01/2012</v>
      </c>
      <c r="B638" t="str">
        <f>"1158.95"</f>
        <v>1158.95</v>
      </c>
      <c r="C638" t="str">
        <f>"1158.985"</f>
        <v>1158.985</v>
      </c>
    </row>
    <row r="639" spans="1:3" x14ac:dyDescent="0.25">
      <c r="A639" t="str">
        <f>"12/01/2012"</f>
        <v>12/01/2012</v>
      </c>
      <c r="B639" t="str">
        <f>"1158.95"</f>
        <v>1158.95</v>
      </c>
      <c r="C639" t="str">
        <f>"1158.977"</f>
        <v>1158.977</v>
      </c>
    </row>
    <row r="640" spans="1:3" x14ac:dyDescent="0.25">
      <c r="A640" t="str">
        <f>"13/01/2012"</f>
        <v>13/01/2012</v>
      </c>
      <c r="B640" t="str">
        <f>"1149.90"</f>
        <v>1149.90</v>
      </c>
      <c r="C640" t="str">
        <f>"1149.9275"</f>
        <v>1149.9275</v>
      </c>
    </row>
    <row r="641" spans="1:3" x14ac:dyDescent="0.25">
      <c r="A641" t="str">
        <f>"16/01/2012"</f>
        <v>16/01/2012</v>
      </c>
      <c r="B641" t="str">
        <f>"1155.00"</f>
        <v>1155.00</v>
      </c>
      <c r="C641" t="str">
        <f>"1155.038"</f>
        <v>1155.038</v>
      </c>
    </row>
    <row r="642" spans="1:3" x14ac:dyDescent="0.25">
      <c r="A642" t="str">
        <f>"17/01/2012"</f>
        <v>17/01/2012</v>
      </c>
      <c r="B642" t="str">
        <f>"1146.20"</f>
        <v>1146.20</v>
      </c>
      <c r="C642" t="str">
        <f>"1146.2295"</f>
        <v>1146.2295</v>
      </c>
    </row>
    <row r="643" spans="1:3" x14ac:dyDescent="0.25">
      <c r="A643" t="str">
        <f>"18/01/2012"</f>
        <v>18/01/2012</v>
      </c>
      <c r="B643" t="str">
        <f>"1141.95"</f>
        <v>1141.95</v>
      </c>
      <c r="C643" t="str">
        <f>"1141.9865"</f>
        <v>1141.9865</v>
      </c>
    </row>
    <row r="644" spans="1:3" x14ac:dyDescent="0.25">
      <c r="A644" t="str">
        <f>"19/01/2012"</f>
        <v>19/01/2012</v>
      </c>
      <c r="B644" t="str">
        <f>"1137.55"</f>
        <v>1137.55</v>
      </c>
      <c r="C644" t="str">
        <f>"1137.601"</f>
        <v>1137.601</v>
      </c>
    </row>
    <row r="645" spans="1:3" x14ac:dyDescent="0.25">
      <c r="A645" t="str">
        <f>"20/01/2012"</f>
        <v>20/01/2012</v>
      </c>
      <c r="B645" t="str">
        <f>"1135.50"</f>
        <v>1135.50</v>
      </c>
      <c r="C645" t="str">
        <f>"1135.528"</f>
        <v>1135.528</v>
      </c>
    </row>
    <row r="646" spans="1:3" x14ac:dyDescent="0.25">
      <c r="A646" t="str">
        <f>"23/01/2012"</f>
        <v>23/01/2012</v>
      </c>
      <c r="B646" t="str">
        <f>"1131.30"</f>
        <v>1131.30</v>
      </c>
      <c r="C646" t="str">
        <f>"1131.3365"</f>
        <v>1131.3365</v>
      </c>
    </row>
    <row r="647" spans="1:3" x14ac:dyDescent="0.25">
      <c r="A647" t="str">
        <f>"24/01/2012"</f>
        <v>24/01/2012</v>
      </c>
      <c r="B647" t="str">
        <f>"1128.20"</f>
        <v>1128.20</v>
      </c>
      <c r="C647" t="str">
        <f>"1128.2365"</f>
        <v>1128.2365</v>
      </c>
    </row>
    <row r="648" spans="1:3" x14ac:dyDescent="0.25">
      <c r="A648" t="str">
        <f>"25/01/2012"</f>
        <v>25/01/2012</v>
      </c>
      <c r="B648" t="str">
        <f>"1126.10"</f>
        <v>1126.10</v>
      </c>
      <c r="C648" t="str">
        <f>"1126.1355"</f>
        <v>1126.1355</v>
      </c>
    </row>
    <row r="649" spans="1:3" x14ac:dyDescent="0.25">
      <c r="A649" t="str">
        <f>"27/01/2012"</f>
        <v>27/01/2012</v>
      </c>
      <c r="B649" t="str">
        <f>"1123.40"</f>
        <v>1123.40</v>
      </c>
      <c r="C649" t="str">
        <f>"1123.435"</f>
        <v>1123.435</v>
      </c>
    </row>
    <row r="650" spans="1:3" x14ac:dyDescent="0.25">
      <c r="A650" t="str">
        <f>"30/01/2012"</f>
        <v>30/01/2012</v>
      </c>
      <c r="B650" t="str">
        <f>"1127.40"</f>
        <v>1127.40</v>
      </c>
      <c r="C650" t="str">
        <f>"1127.4365"</f>
        <v>1127.4365</v>
      </c>
    </row>
    <row r="651" spans="1:3" x14ac:dyDescent="0.25">
      <c r="A651" t="str">
        <f>"31/01/2012"</f>
        <v>31/01/2012</v>
      </c>
      <c r="B651" t="str">
        <f>"1124.75"</f>
        <v>1124.75</v>
      </c>
      <c r="C651" t="str">
        <f>"1124.8005"</f>
        <v>1124.8005</v>
      </c>
    </row>
    <row r="652" spans="1:3" x14ac:dyDescent="0.25">
      <c r="A652" t="str">
        <f>"01/02/2012"</f>
        <v>01/02/2012</v>
      </c>
      <c r="B652" t="str">
        <f>"1125.90"</f>
        <v>1125.90</v>
      </c>
      <c r="C652" t="str">
        <f>"1125.93"</f>
        <v>1125.93</v>
      </c>
    </row>
    <row r="653" spans="1:3" x14ac:dyDescent="0.25">
      <c r="A653" t="str">
        <f>"02/02/2012"</f>
        <v>02/02/2012</v>
      </c>
      <c r="B653" t="str">
        <f>"1119.00"</f>
        <v>1119.00</v>
      </c>
      <c r="C653" t="str">
        <f>"1119.0285"</f>
        <v>1119.0285</v>
      </c>
    </row>
    <row r="654" spans="1:3" x14ac:dyDescent="0.25">
      <c r="A654" t="str">
        <f>"03/02/2012"</f>
        <v>03/02/2012</v>
      </c>
      <c r="B654" t="str">
        <f>"1118.50"</f>
        <v>1118.50</v>
      </c>
      <c r="C654" t="str">
        <f>"1118.528"</f>
        <v>1118.528</v>
      </c>
    </row>
    <row r="655" spans="1:3" x14ac:dyDescent="0.25">
      <c r="A655" t="str">
        <f>"06/02/2012"</f>
        <v>06/02/2012</v>
      </c>
      <c r="B655" t="str">
        <f>"1120.20"</f>
        <v>1120.20</v>
      </c>
      <c r="C655" t="str">
        <f>"1120.2495"</f>
        <v>1120.2495</v>
      </c>
    </row>
    <row r="656" spans="1:3" x14ac:dyDescent="0.25">
      <c r="A656" t="str">
        <f>"07/02/2012"</f>
        <v>07/02/2012</v>
      </c>
      <c r="B656" t="str">
        <f>"1121.50"</f>
        <v>1121.50</v>
      </c>
      <c r="C656" t="str">
        <f>"1121.527"</f>
        <v>1121.527</v>
      </c>
    </row>
    <row r="657" spans="1:3" x14ac:dyDescent="0.25">
      <c r="A657" t="str">
        <f>"08/02/2012"</f>
        <v>08/02/2012</v>
      </c>
      <c r="B657" t="str">
        <f>"1116.80"</f>
        <v>1116.80</v>
      </c>
      <c r="C657" t="str">
        <f>"1116.8285"</f>
        <v>1116.8285</v>
      </c>
    </row>
    <row r="658" spans="1:3" x14ac:dyDescent="0.25">
      <c r="A658" t="str">
        <f>"09/02/2012"</f>
        <v>09/02/2012</v>
      </c>
      <c r="B658" t="str">
        <f>"1116.35"</f>
        <v>1116.35</v>
      </c>
      <c r="C658" t="str">
        <f>"1116.3765"</f>
        <v>1116.3765</v>
      </c>
    </row>
    <row r="659" spans="1:3" x14ac:dyDescent="0.25">
      <c r="A659" t="str">
        <f>"10/02/2012"</f>
        <v>10/02/2012</v>
      </c>
      <c r="B659" t="str">
        <f>"1123.30"</f>
        <v>1123.30</v>
      </c>
      <c r="C659" t="str">
        <f>"1123.3265"</f>
        <v>1123.3265</v>
      </c>
    </row>
    <row r="660" spans="1:3" x14ac:dyDescent="0.25">
      <c r="A660" t="str">
        <f>"13/02/2012"</f>
        <v>13/02/2012</v>
      </c>
      <c r="B660" t="str">
        <f>"1122.00"</f>
        <v>1122.00</v>
      </c>
      <c r="C660" t="str">
        <f>"1122.033"</f>
        <v>1122.033</v>
      </c>
    </row>
    <row r="661" spans="1:3" x14ac:dyDescent="0.25">
      <c r="A661" t="str">
        <f>"14/02/2012"</f>
        <v>14/02/2012</v>
      </c>
      <c r="B661" t="str">
        <f>"1123.10"</f>
        <v>1123.10</v>
      </c>
      <c r="C661" t="str">
        <f>"1123.125"</f>
        <v>1123.125</v>
      </c>
    </row>
    <row r="662" spans="1:3" x14ac:dyDescent="0.25">
      <c r="A662" t="str">
        <f>"15/02/2012"</f>
        <v>15/02/2012</v>
      </c>
      <c r="B662" t="str">
        <f>"1123.00"</f>
        <v>1123.00</v>
      </c>
      <c r="C662" t="str">
        <f>"1123.0495"</f>
        <v>1123.0495</v>
      </c>
    </row>
    <row r="663" spans="1:3" x14ac:dyDescent="0.25">
      <c r="A663" t="str">
        <f>"16/02/2012"</f>
        <v>16/02/2012</v>
      </c>
      <c r="B663" t="str">
        <f>"1127.30"</f>
        <v>1127.30</v>
      </c>
      <c r="C663" t="str">
        <f>"1127.3255"</f>
        <v>1127.3255</v>
      </c>
    </row>
    <row r="664" spans="1:3" x14ac:dyDescent="0.25">
      <c r="A664" t="str">
        <f>"17/02/2012"</f>
        <v>17/02/2012</v>
      </c>
      <c r="B664" t="str">
        <f>"1123.85"</f>
        <v>1123.85</v>
      </c>
      <c r="C664" t="str">
        <f>"1123.875"</f>
        <v>1123.875</v>
      </c>
    </row>
    <row r="665" spans="1:3" x14ac:dyDescent="0.25">
      <c r="A665" t="str">
        <f>"21/02/2012"</f>
        <v>21/02/2012</v>
      </c>
      <c r="B665" t="str">
        <f>"1122.90"</f>
        <v>1122.90</v>
      </c>
      <c r="C665" t="str">
        <f>"1122.9335"</f>
        <v>1122.9335</v>
      </c>
    </row>
    <row r="666" spans="1:3" x14ac:dyDescent="0.25">
      <c r="A666" t="str">
        <f>"22/02/2012"</f>
        <v>22/02/2012</v>
      </c>
      <c r="B666" t="str">
        <f>"1126.20"</f>
        <v>1126.20</v>
      </c>
      <c r="C666" t="str">
        <f>"1126.235"</f>
        <v>1126.235</v>
      </c>
    </row>
    <row r="667" spans="1:3" x14ac:dyDescent="0.25">
      <c r="A667" t="str">
        <f>"23/02/2012"</f>
        <v>23/02/2012</v>
      </c>
      <c r="B667" t="str">
        <f>"1129.20"</f>
        <v>1129.20</v>
      </c>
      <c r="C667" t="str">
        <f>"1129.233"</f>
        <v>1129.233</v>
      </c>
    </row>
    <row r="668" spans="1:3" x14ac:dyDescent="0.25">
      <c r="A668" t="str">
        <f>"24/02/2012"</f>
        <v>24/02/2012</v>
      </c>
      <c r="B668" t="str">
        <f>"1126.00"</f>
        <v>1126.00</v>
      </c>
      <c r="C668" t="str">
        <f>"1126.034"</f>
        <v>1126.034</v>
      </c>
    </row>
    <row r="669" spans="1:3" x14ac:dyDescent="0.25">
      <c r="A669" t="str">
        <f>"27/02/2012"</f>
        <v>27/02/2012</v>
      </c>
      <c r="B669" t="str">
        <f>"1129.40"</f>
        <v>1129.40</v>
      </c>
      <c r="C669" t="str">
        <f>"1129.4355"</f>
        <v>1129.4355</v>
      </c>
    </row>
    <row r="670" spans="1:3" x14ac:dyDescent="0.25">
      <c r="A670" t="str">
        <f>"28/02/2012"</f>
        <v>28/02/2012</v>
      </c>
      <c r="B670" t="str">
        <f>"1126.075"</f>
        <v>1126.075</v>
      </c>
      <c r="C670" t="str">
        <f>"1126.126"</f>
        <v>1126.126</v>
      </c>
    </row>
    <row r="671" spans="1:3" x14ac:dyDescent="0.25">
      <c r="A671" t="str">
        <f t="shared" ref="A671" si="0">"29/02/2012"</f>
        <v>29/02/2012</v>
      </c>
      <c r="B671" t="str">
        <f t="shared" ref="B671" si="1">"1119.225"</f>
        <v>1119.225</v>
      </c>
      <c r="C671" t="str">
        <f t="shared" ref="C671" si="2">"1119.2535"</f>
        <v>1119.2535</v>
      </c>
    </row>
    <row r="672" spans="1:3" x14ac:dyDescent="0.25">
      <c r="A672" t="str">
        <f>"01/03/2012"</f>
        <v>01/03/2012</v>
      </c>
      <c r="B672" t="str">
        <f>"1116.675"</f>
        <v>1116.675</v>
      </c>
      <c r="C672" t="str">
        <f>"1116.7115"</f>
        <v>1116.7115</v>
      </c>
    </row>
    <row r="673" spans="1:3" x14ac:dyDescent="0.25">
      <c r="A673" t="str">
        <f>"02/03/2012"</f>
        <v>02/03/2012</v>
      </c>
      <c r="B673" t="str">
        <f>"1115.775"</f>
        <v>1115.775</v>
      </c>
      <c r="C673" t="str">
        <f>"1115.804"</f>
        <v>1115.804</v>
      </c>
    </row>
    <row r="674" spans="1:3" x14ac:dyDescent="0.25">
      <c r="A674" t="str">
        <f>"05/03/2012"</f>
        <v>05/03/2012</v>
      </c>
      <c r="B674" t="str">
        <f>"1118.80"</f>
        <v>1118.80</v>
      </c>
      <c r="C674" t="str">
        <f>"1118.838"</f>
        <v>1118.838</v>
      </c>
    </row>
    <row r="675" spans="1:3" x14ac:dyDescent="0.25">
      <c r="A675" t="str">
        <f>"06/03/2012"</f>
        <v>06/03/2012</v>
      </c>
      <c r="B675" t="str">
        <f>"1122.90"</f>
        <v>1122.90</v>
      </c>
      <c r="C675" t="str">
        <f>"1122.9285"</f>
        <v>1122.9285</v>
      </c>
    </row>
    <row r="676" spans="1:3" x14ac:dyDescent="0.25">
      <c r="A676" t="str">
        <f>"07/03/2012"</f>
        <v>07/03/2012</v>
      </c>
      <c r="B676" t="str">
        <f>"1124.95"</f>
        <v>1124.95</v>
      </c>
      <c r="C676" t="str">
        <f>"1124.986"</f>
        <v>1124.986</v>
      </c>
    </row>
    <row r="677" spans="1:3" x14ac:dyDescent="0.25">
      <c r="A677" t="str">
        <f>"09/03/2012"</f>
        <v>09/03/2012</v>
      </c>
      <c r="B677" t="str">
        <f>"1118.00"</f>
        <v>1118.00</v>
      </c>
      <c r="C677" t="str">
        <f>"1118.028"</f>
        <v>1118.028</v>
      </c>
    </row>
    <row r="678" spans="1:3" x14ac:dyDescent="0.25">
      <c r="A678" t="str">
        <f>"12/03/2012"</f>
        <v>12/03/2012</v>
      </c>
      <c r="B678" t="str">
        <f>"1124.10"</f>
        <v>1124.10</v>
      </c>
      <c r="C678" t="str">
        <f>"1124.1295"</f>
        <v>1124.1295</v>
      </c>
    </row>
    <row r="679" spans="1:3" x14ac:dyDescent="0.25">
      <c r="A679" t="str">
        <f>"13/03/2012"</f>
        <v>13/03/2012</v>
      </c>
      <c r="B679" t="str">
        <f>"1121.30"</f>
        <v>1121.30</v>
      </c>
      <c r="C679" t="str">
        <f>"1121.3285"</f>
        <v>1121.3285</v>
      </c>
    </row>
    <row r="680" spans="1:3" x14ac:dyDescent="0.25">
      <c r="A680" t="str">
        <f>"14/03/2012"</f>
        <v>14/03/2012</v>
      </c>
      <c r="B680" t="str">
        <f>"1126.35"</f>
        <v>1126.35</v>
      </c>
      <c r="C680" t="str">
        <f>"1126.386"</f>
        <v>1126.386</v>
      </c>
    </row>
    <row r="681" spans="1:3" x14ac:dyDescent="0.25">
      <c r="A681" t="str">
        <f>"15/03/2012"</f>
        <v>15/03/2012</v>
      </c>
      <c r="B681" t="str">
        <f>"1128.00"</f>
        <v>1128.00</v>
      </c>
      <c r="C681" t="str">
        <f>"1128.028"</f>
        <v>1128.028</v>
      </c>
    </row>
    <row r="682" spans="1:3" x14ac:dyDescent="0.25">
      <c r="A682" t="str">
        <f>"16/03/2012"</f>
        <v>16/03/2012</v>
      </c>
      <c r="B682" t="str">
        <f>"1123.80"</f>
        <v>1123.80</v>
      </c>
      <c r="C682" t="str">
        <f>"1123.828"</f>
        <v>1123.828</v>
      </c>
    </row>
    <row r="683" spans="1:3" x14ac:dyDescent="0.25">
      <c r="A683" t="str">
        <f>"19/03/2012"</f>
        <v>19/03/2012</v>
      </c>
      <c r="B683" t="str">
        <f>"1123.30"</f>
        <v>1123.30</v>
      </c>
      <c r="C683" t="str">
        <f>"1123.3295"</f>
        <v>1123.3295</v>
      </c>
    </row>
    <row r="684" spans="1:3" x14ac:dyDescent="0.25">
      <c r="A684" t="str">
        <f>"20/03/2012"</f>
        <v>20/03/2012</v>
      </c>
      <c r="B684" t="str">
        <f>"1124.60"</f>
        <v>1124.60</v>
      </c>
      <c r="C684" t="str">
        <f>"1124.629"</f>
        <v>1124.629</v>
      </c>
    </row>
    <row r="685" spans="1:3" x14ac:dyDescent="0.25">
      <c r="A685" t="str">
        <f>"21/03/2012"</f>
        <v>21/03/2012</v>
      </c>
      <c r="B685" t="str">
        <f>"1129.70"</f>
        <v>1129.70</v>
      </c>
      <c r="C685" t="str">
        <f>"1129.736"</f>
        <v>1129.736</v>
      </c>
    </row>
    <row r="686" spans="1:3" x14ac:dyDescent="0.25">
      <c r="A686" t="str">
        <f>"22/03/2012"</f>
        <v>22/03/2012</v>
      </c>
      <c r="B686" t="str">
        <f>"1129.80"</f>
        <v>1129.80</v>
      </c>
      <c r="C686" t="str">
        <f>"1129.8365"</f>
        <v>1129.8365</v>
      </c>
    </row>
    <row r="687" spans="1:3" x14ac:dyDescent="0.25">
      <c r="A687" t="str">
        <f>"26/03/2012"</f>
        <v>26/03/2012</v>
      </c>
      <c r="B687" t="str">
        <f>"1141.75"</f>
        <v>1141.75</v>
      </c>
      <c r="C687" t="str">
        <f>"1141.788"</f>
        <v>1141.788</v>
      </c>
    </row>
    <row r="688" spans="1:3" x14ac:dyDescent="0.25">
      <c r="A688" t="str">
        <f>"27/03/2012"</f>
        <v>27/03/2012</v>
      </c>
      <c r="B688" t="str">
        <f>"1136.85"</f>
        <v>1136.85</v>
      </c>
      <c r="C688" t="str">
        <f>"1136.9025"</f>
        <v>1136.9025</v>
      </c>
    </row>
    <row r="689" spans="1:3" x14ac:dyDescent="0.25">
      <c r="A689" t="str">
        <f>"28/03/2012"</f>
        <v>28/03/2012</v>
      </c>
      <c r="B689" t="str">
        <f>"1135.65"</f>
        <v>1135.65</v>
      </c>
      <c r="C689" t="str">
        <f>"1135.68"</f>
        <v>1135.68</v>
      </c>
    </row>
    <row r="690" spans="1:3" x14ac:dyDescent="0.25">
      <c r="A690" t="str">
        <f>"29/03/2012"</f>
        <v>29/03/2012</v>
      </c>
      <c r="B690" t="str">
        <f>"1137.00"</f>
        <v>1137.00</v>
      </c>
      <c r="C690" t="str">
        <f>"1137.036"</f>
        <v>1137.036</v>
      </c>
    </row>
    <row r="691" spans="1:3" x14ac:dyDescent="0.25">
      <c r="A691" t="str">
        <f>"30/03/2012"</f>
        <v>30/03/2012</v>
      </c>
      <c r="B691" t="str">
        <f>"1133.30"</f>
        <v>1133.30</v>
      </c>
      <c r="C691" t="str">
        <f>"1133.3285"</f>
        <v>1133.3285</v>
      </c>
    </row>
    <row r="692" spans="1:3" x14ac:dyDescent="0.25">
      <c r="A692" t="str">
        <f>"03/04/2012"</f>
        <v>03/04/2012</v>
      </c>
      <c r="B692" t="str">
        <f>"1122.00"</f>
        <v>1122.00</v>
      </c>
      <c r="C692" t="str">
        <f>"1122.038"</f>
        <v>1122.038</v>
      </c>
    </row>
    <row r="693" spans="1:3" x14ac:dyDescent="0.25">
      <c r="A693" t="str">
        <f>"04/04/2012"</f>
        <v>04/04/2012</v>
      </c>
      <c r="B693" t="str">
        <f>"1129.625"</f>
        <v>1129.625</v>
      </c>
      <c r="C693" t="str">
        <f>"1129.662"</f>
        <v>1129.662</v>
      </c>
    </row>
    <row r="694" spans="1:3" x14ac:dyDescent="0.25">
      <c r="A694" t="str">
        <f>"10/04/2012"</f>
        <v>10/04/2012</v>
      </c>
      <c r="B694" t="str">
        <f>"1138.70"</f>
        <v>1138.70</v>
      </c>
      <c r="C694" t="str">
        <f>"1138.728"</f>
        <v>1138.728</v>
      </c>
    </row>
    <row r="695" spans="1:3" x14ac:dyDescent="0.25">
      <c r="A695" t="str">
        <f>"11/04/2012"</f>
        <v>11/04/2012</v>
      </c>
      <c r="B695" t="str">
        <f>"1144.60"</f>
        <v>1144.60</v>
      </c>
      <c r="C695" t="str">
        <f>"1144.6355"</f>
        <v>1144.6355</v>
      </c>
    </row>
    <row r="696" spans="1:3" x14ac:dyDescent="0.25">
      <c r="A696" t="str">
        <f>"12/04/2012"</f>
        <v>12/04/2012</v>
      </c>
      <c r="B696" t="str">
        <f>"1141.60"</f>
        <v>1141.60</v>
      </c>
      <c r="C696" t="str">
        <f>"1141.627"</f>
        <v>1141.627</v>
      </c>
    </row>
    <row r="697" spans="1:3" x14ac:dyDescent="0.25">
      <c r="A697" t="str">
        <f>"13/04/2012"</f>
        <v>13/04/2012</v>
      </c>
      <c r="B697" t="str">
        <f>"1134.40"</f>
        <v>1134.40</v>
      </c>
      <c r="C697" t="str">
        <f>"1134.4265"</f>
        <v>1134.4265</v>
      </c>
    </row>
    <row r="698" spans="1:3" x14ac:dyDescent="0.25">
      <c r="A698" t="str">
        <f>"16/04/2012"</f>
        <v>16/04/2012</v>
      </c>
      <c r="B698" t="str">
        <f>"1138.40"</f>
        <v>1138.40</v>
      </c>
      <c r="C698" t="str">
        <f>"1138.4475"</f>
        <v>1138.4475</v>
      </c>
    </row>
    <row r="699" spans="1:3" x14ac:dyDescent="0.25">
      <c r="A699" t="str">
        <f>"17/04/2012"</f>
        <v>17/04/2012</v>
      </c>
      <c r="B699" t="str">
        <f>"1139.50"</f>
        <v>1139.50</v>
      </c>
      <c r="C699" t="str">
        <f>"1139.5275"</f>
        <v>1139.5275</v>
      </c>
    </row>
    <row r="700" spans="1:3" x14ac:dyDescent="0.25">
      <c r="A700" t="str">
        <f>"18/04/2012"</f>
        <v>18/04/2012</v>
      </c>
      <c r="B700" t="str">
        <f>"1137.35"</f>
        <v>1137.35</v>
      </c>
      <c r="C700" t="str">
        <f>"1137.384"</f>
        <v>1137.384</v>
      </c>
    </row>
    <row r="701" spans="1:3" x14ac:dyDescent="0.25">
      <c r="A701" t="str">
        <f>"19/04/2012"</f>
        <v>19/04/2012</v>
      </c>
      <c r="B701" t="str">
        <f>"1138.20"</f>
        <v>1138.20</v>
      </c>
      <c r="C701" t="str">
        <f>"1138.2335"</f>
        <v>1138.2335</v>
      </c>
    </row>
    <row r="702" spans="1:3" x14ac:dyDescent="0.25">
      <c r="A702" t="str">
        <f>"20/04/2012"</f>
        <v>20/04/2012</v>
      </c>
      <c r="B702" t="str">
        <f>"1140.00"</f>
        <v>1140.00</v>
      </c>
      <c r="C702" t="str">
        <f>"1140.045"</f>
        <v>1140.045</v>
      </c>
    </row>
    <row r="703" spans="1:3" x14ac:dyDescent="0.25">
      <c r="A703" t="str">
        <f>"23/04/2012"</f>
        <v>23/04/2012</v>
      </c>
      <c r="B703" t="str">
        <f>"1139.60"</f>
        <v>1139.60</v>
      </c>
      <c r="C703" t="str">
        <f>"1139.6325"</f>
        <v>1139.6325</v>
      </c>
    </row>
    <row r="704" spans="1:3" x14ac:dyDescent="0.25">
      <c r="A704" t="str">
        <f>"24/04/2012"</f>
        <v>24/04/2012</v>
      </c>
      <c r="B704" t="str">
        <f>"1140.90"</f>
        <v>1140.90</v>
      </c>
      <c r="C704" t="str">
        <f>"1140.935"</f>
        <v>1140.935</v>
      </c>
    </row>
    <row r="705" spans="1:3" x14ac:dyDescent="0.25">
      <c r="A705" t="str">
        <f>"25/04/2012"</f>
        <v>25/04/2012</v>
      </c>
      <c r="B705" t="str">
        <f>"1141.50"</f>
        <v>1141.50</v>
      </c>
      <c r="C705" t="str">
        <f>"1141.5325"</f>
        <v>1141.5325</v>
      </c>
    </row>
    <row r="706" spans="1:3" x14ac:dyDescent="0.25">
      <c r="A706" t="str">
        <f>"26/04/2012"</f>
        <v>26/04/2012</v>
      </c>
      <c r="B706" t="str">
        <f>"1138.50"</f>
        <v>1138.50</v>
      </c>
      <c r="C706" t="str">
        <f>"1138.5445"</f>
        <v>1138.5445</v>
      </c>
    </row>
    <row r="707" spans="1:3" x14ac:dyDescent="0.25">
      <c r="A707" t="str">
        <f>"27/04/2012"</f>
        <v>27/04/2012</v>
      </c>
      <c r="B707" t="str">
        <f>"1134.10"</f>
        <v>1134.10</v>
      </c>
      <c r="C707" t="str">
        <f>"1134.128"</f>
        <v>1134.128</v>
      </c>
    </row>
    <row r="708" spans="1:3" x14ac:dyDescent="0.25">
      <c r="A708" t="str">
        <f>"30/04/2012"</f>
        <v>30/04/2012</v>
      </c>
      <c r="B708" t="str">
        <f>"1130.25"</f>
        <v>1130.25</v>
      </c>
      <c r="C708" t="str">
        <f>"1130.2845"</f>
        <v>1130.2845</v>
      </c>
    </row>
    <row r="709" spans="1:3" x14ac:dyDescent="0.25">
      <c r="A709" t="str">
        <f>"02/05/2012"</f>
        <v>02/05/2012</v>
      </c>
      <c r="B709" t="str">
        <f>"1127.60"</f>
        <v>1127.60</v>
      </c>
      <c r="C709" t="str">
        <f>"1127.6335"</f>
        <v>1127.6335</v>
      </c>
    </row>
    <row r="710" spans="1:3" x14ac:dyDescent="0.25">
      <c r="A710" t="str">
        <f>"03/05/2012"</f>
        <v>03/05/2012</v>
      </c>
      <c r="B710" t="str">
        <f>"1129.10"</f>
        <v>1129.10</v>
      </c>
      <c r="C710" t="str">
        <f>"1129.133"</f>
        <v>1129.133</v>
      </c>
    </row>
    <row r="711" spans="1:3" x14ac:dyDescent="0.25">
      <c r="A711" t="str">
        <f>"04/05/2012"</f>
        <v>04/05/2012</v>
      </c>
      <c r="B711" t="str">
        <f>"1131.45"</f>
        <v>1131.45</v>
      </c>
      <c r="C711" t="str">
        <f>"1131.4935"</f>
        <v>1131.4935</v>
      </c>
    </row>
    <row r="712" spans="1:3" x14ac:dyDescent="0.25">
      <c r="A712" t="str">
        <f>"07/05/2012"</f>
        <v>07/05/2012</v>
      </c>
      <c r="B712" t="str">
        <f>"1138.65"</f>
        <v>1138.65</v>
      </c>
      <c r="C712" t="str">
        <f>"1138.684"</f>
        <v>1138.684</v>
      </c>
    </row>
    <row r="713" spans="1:3" x14ac:dyDescent="0.25">
      <c r="A713" t="str">
        <f>"08/05/2012"</f>
        <v>08/05/2012</v>
      </c>
      <c r="B713" t="str">
        <f>"1135.80"</f>
        <v>1135.80</v>
      </c>
      <c r="C713" t="str">
        <f>"1135.825"</f>
        <v>1135.825</v>
      </c>
    </row>
    <row r="714" spans="1:3" x14ac:dyDescent="0.25">
      <c r="A714" t="str">
        <f>"09/05/2012"</f>
        <v>09/05/2012</v>
      </c>
      <c r="B714" t="str">
        <f>"1141.00"</f>
        <v>1141.00</v>
      </c>
      <c r="C714" t="str">
        <f>"1141.047"</f>
        <v>1141.047</v>
      </c>
    </row>
    <row r="715" spans="1:3" x14ac:dyDescent="0.25">
      <c r="A715" t="str">
        <f>"10/05/2012"</f>
        <v>10/05/2012</v>
      </c>
      <c r="B715" t="str">
        <f>"1142.85"</f>
        <v>1142.85</v>
      </c>
      <c r="C715" t="str">
        <f>"1142.8975"</f>
        <v>1142.8975</v>
      </c>
    </row>
    <row r="716" spans="1:3" x14ac:dyDescent="0.25">
      <c r="A716" t="str">
        <f>"11/05/2012"</f>
        <v>11/05/2012</v>
      </c>
      <c r="B716" t="str">
        <f>"1145.80"</f>
        <v>1145.80</v>
      </c>
      <c r="C716" t="str">
        <f>"1145.826"</f>
        <v>1145.826</v>
      </c>
    </row>
    <row r="717" spans="1:3" x14ac:dyDescent="0.25">
      <c r="A717" t="str">
        <f>"14/05/2012"</f>
        <v>14/05/2012</v>
      </c>
      <c r="B717" t="str">
        <f>"1149.325"</f>
        <v>1149.325</v>
      </c>
      <c r="C717" t="str">
        <f>"1149.36"</f>
        <v>1149.36</v>
      </c>
    </row>
    <row r="718" spans="1:3" x14ac:dyDescent="0.25">
      <c r="A718" t="str">
        <f>"15/05/2012"</f>
        <v>15/05/2012</v>
      </c>
      <c r="B718" t="str">
        <f>"1154.10"</f>
        <v>1154.10</v>
      </c>
      <c r="C718" t="str">
        <f>"1154.1435"</f>
        <v>1154.1435</v>
      </c>
    </row>
    <row r="719" spans="1:3" x14ac:dyDescent="0.25">
      <c r="A719" t="str">
        <f>"16/05/2012"</f>
        <v>16/05/2012</v>
      </c>
      <c r="B719" t="str">
        <f>"1163.40"</f>
        <v>1163.40</v>
      </c>
      <c r="C719" t="str">
        <f>"1163.425"</f>
        <v>1163.425</v>
      </c>
    </row>
    <row r="720" spans="1:3" x14ac:dyDescent="0.25">
      <c r="A720" t="str">
        <f>"17/05/2012"</f>
        <v>17/05/2012</v>
      </c>
      <c r="B720" t="str">
        <f>"1163.20"</f>
        <v>1163.20</v>
      </c>
      <c r="C720" t="str">
        <f>"1163.244"</f>
        <v>1163.244</v>
      </c>
    </row>
    <row r="721" spans="1:3" x14ac:dyDescent="0.25">
      <c r="A721" t="str">
        <f>"18/05/2012"</f>
        <v>18/05/2012</v>
      </c>
      <c r="B721" t="str">
        <f>"1172.70"</f>
        <v>1172.70</v>
      </c>
      <c r="C721" t="str">
        <f>"1172.726"</f>
        <v>1172.726</v>
      </c>
    </row>
    <row r="722" spans="1:3" x14ac:dyDescent="0.25">
      <c r="A722" t="str">
        <f>"21/05/2012"</f>
        <v>21/05/2012</v>
      </c>
      <c r="B722" t="str">
        <f>"1169.15"</f>
        <v>1169.15</v>
      </c>
      <c r="C722" t="str">
        <f>"1169.185"</f>
        <v>1169.185</v>
      </c>
    </row>
    <row r="723" spans="1:3" x14ac:dyDescent="0.25">
      <c r="A723" t="str">
        <f>"22/05/2012"</f>
        <v>22/05/2012</v>
      </c>
      <c r="B723" t="str">
        <f>"1163.60"</f>
        <v>1163.60</v>
      </c>
      <c r="C723" t="str">
        <f>"1163.6345"</f>
        <v>1163.6345</v>
      </c>
    </row>
    <row r="724" spans="1:3" x14ac:dyDescent="0.25">
      <c r="A724" t="str">
        <f>"23/05/2012"</f>
        <v>23/05/2012</v>
      </c>
      <c r="B724" t="str">
        <f>"1172.20"</f>
        <v>1172.20</v>
      </c>
      <c r="C724" t="str">
        <f>"1172.244"</f>
        <v>1172.244</v>
      </c>
    </row>
    <row r="725" spans="1:3" x14ac:dyDescent="0.25">
      <c r="A725" t="str">
        <f>"24/05/2012"</f>
        <v>24/05/2012</v>
      </c>
      <c r="B725" t="str">
        <f>"1180.30"</f>
        <v>1180.30</v>
      </c>
      <c r="C725" t="str">
        <f>"1180.3445"</f>
        <v>1180.3445</v>
      </c>
    </row>
    <row r="726" spans="1:3" x14ac:dyDescent="0.25">
      <c r="A726" t="str">
        <f>"25/05/2012"</f>
        <v>25/05/2012</v>
      </c>
      <c r="B726" t="str">
        <f>"1182.70"</f>
        <v>1182.70</v>
      </c>
      <c r="C726" t="str">
        <f>"1182.727"</f>
        <v>1182.727</v>
      </c>
    </row>
    <row r="727" spans="1:3" x14ac:dyDescent="0.25">
      <c r="A727" t="str">
        <f>"28/05/2012"</f>
        <v>28/05/2012</v>
      </c>
      <c r="B727" t="str">
        <f>"1173.45"</f>
        <v>1173.45</v>
      </c>
      <c r="C727" t="str">
        <f>"1173.4845"</f>
        <v>1173.4845</v>
      </c>
    </row>
    <row r="728" spans="1:3" x14ac:dyDescent="0.25">
      <c r="A728" t="str">
        <f>"29/05/2012"</f>
        <v>29/05/2012</v>
      </c>
      <c r="B728" t="str">
        <f>"1177.80"</f>
        <v>1177.80</v>
      </c>
      <c r="C728" t="str">
        <f>"1177.8445"</f>
        <v>1177.8445</v>
      </c>
    </row>
    <row r="729" spans="1:3" x14ac:dyDescent="0.25">
      <c r="A729" t="str">
        <f>"30/05/2012"</f>
        <v>30/05/2012</v>
      </c>
      <c r="B729" t="str">
        <f>"1176.40"</f>
        <v>1176.40</v>
      </c>
      <c r="C729" t="str">
        <f>"1176.429"</f>
        <v>1176.429</v>
      </c>
    </row>
    <row r="730" spans="1:3" x14ac:dyDescent="0.25">
      <c r="A730" t="str">
        <f>"31/05/2012"</f>
        <v>31/05/2012</v>
      </c>
      <c r="B730" t="str">
        <f>"1181.70"</f>
        <v>1181.70</v>
      </c>
      <c r="C730" t="str">
        <f>"1181.7455"</f>
        <v>1181.7455</v>
      </c>
    </row>
    <row r="731" spans="1:3" x14ac:dyDescent="0.25">
      <c r="A731" t="str">
        <f>"01/06/2012"</f>
        <v>01/06/2012</v>
      </c>
      <c r="B731" t="str">
        <f>"1178.00"</f>
        <v>1178.00</v>
      </c>
      <c r="C731" t="str">
        <f>"1178.0285"</f>
        <v>1178.0285</v>
      </c>
    </row>
    <row r="732" spans="1:3" x14ac:dyDescent="0.25">
      <c r="A732" t="str">
        <f>"04/06/2012"</f>
        <v>04/06/2012</v>
      </c>
      <c r="B732" t="str">
        <f>"1182.20"</f>
        <v>1182.20</v>
      </c>
      <c r="C732" t="str">
        <f>"1182.2375"</f>
        <v>1182.2375</v>
      </c>
    </row>
    <row r="733" spans="1:3" x14ac:dyDescent="0.25">
      <c r="A733" t="str">
        <f>"05/06/2012"</f>
        <v>05/06/2012</v>
      </c>
      <c r="B733" t="str">
        <f>"1180.40"</f>
        <v>1180.40</v>
      </c>
      <c r="C733" t="str">
        <f>"1180.437"</f>
        <v>1180.437</v>
      </c>
    </row>
    <row r="734" spans="1:3" x14ac:dyDescent="0.25">
      <c r="A734" t="str">
        <f>"06/06/2012"</f>
        <v>06/06/2012</v>
      </c>
      <c r="B734" t="str">
        <f>"1174.80"</f>
        <v>1174.80</v>
      </c>
      <c r="C734" t="str">
        <f>"1174.837"</f>
        <v>1174.837</v>
      </c>
    </row>
    <row r="735" spans="1:3" x14ac:dyDescent="0.25">
      <c r="A735" t="str">
        <f>"07/06/2012"</f>
        <v>07/06/2012</v>
      </c>
      <c r="B735" t="str">
        <f>"1171.60"</f>
        <v>1171.60</v>
      </c>
      <c r="C735" t="str">
        <f>"1171.6365"</f>
        <v>1171.6365</v>
      </c>
    </row>
    <row r="736" spans="1:3" x14ac:dyDescent="0.25">
      <c r="A736" t="str">
        <f>"08/06/2012"</f>
        <v>08/06/2012</v>
      </c>
      <c r="B736" t="str">
        <f>"1173.90"</f>
        <v>1173.90</v>
      </c>
      <c r="C736" t="str">
        <f>"1173.9275"</f>
        <v>1173.9275</v>
      </c>
    </row>
    <row r="737" spans="1:3" x14ac:dyDescent="0.25">
      <c r="A737" t="str">
        <f>"11/06/2012"</f>
        <v>11/06/2012</v>
      </c>
      <c r="B737" t="str">
        <f>"1166.00"</f>
        <v>1166.00</v>
      </c>
      <c r="C737" t="str">
        <f>"1166.045"</f>
        <v>1166.045</v>
      </c>
    </row>
    <row r="738" spans="1:3" x14ac:dyDescent="0.25">
      <c r="A738" t="str">
        <f>"12/06/2012"</f>
        <v>12/06/2012</v>
      </c>
      <c r="B738" t="str">
        <f>"1170.70"</f>
        <v>1170.70</v>
      </c>
      <c r="C738" t="str">
        <f>"1170.7365"</f>
        <v>1170.7365</v>
      </c>
    </row>
    <row r="739" spans="1:3" x14ac:dyDescent="0.25">
      <c r="A739" t="str">
        <f>"13/06/2012"</f>
        <v>13/06/2012</v>
      </c>
      <c r="B739" t="str">
        <f>"1167.10"</f>
        <v>1167.10</v>
      </c>
      <c r="C739" t="str">
        <f>"1167.127"</f>
        <v>1167.127</v>
      </c>
    </row>
    <row r="740" spans="1:3" x14ac:dyDescent="0.25">
      <c r="A740" t="str">
        <f>"14/06/2012"</f>
        <v>14/06/2012</v>
      </c>
      <c r="B740" t="str">
        <f>"1166.50"</f>
        <v>1166.50</v>
      </c>
      <c r="C740" t="str">
        <f>"1166.5335"</f>
        <v>1166.5335</v>
      </c>
    </row>
    <row r="741" spans="1:3" x14ac:dyDescent="0.25">
      <c r="A741" t="str">
        <f>"15/06/2012"</f>
        <v>15/06/2012</v>
      </c>
      <c r="B741" t="str">
        <f>"1165.90"</f>
        <v>1165.90</v>
      </c>
      <c r="C741" t="str">
        <f>"1165.9255"</f>
        <v>1165.9255</v>
      </c>
    </row>
    <row r="742" spans="1:3" x14ac:dyDescent="0.25">
      <c r="A742" t="str">
        <f>"18/06/2012"</f>
        <v>18/06/2012</v>
      </c>
      <c r="B742" t="str">
        <f>"1157.40"</f>
        <v>1157.40</v>
      </c>
      <c r="C742" t="str">
        <f>"1157.426"</f>
        <v>1157.426</v>
      </c>
    </row>
    <row r="743" spans="1:3" x14ac:dyDescent="0.25">
      <c r="A743" t="str">
        <f>"19/06/2012"</f>
        <v>19/06/2012</v>
      </c>
      <c r="B743" t="str">
        <f>"1156.595"</f>
        <v>1156.595</v>
      </c>
      <c r="C743" t="str">
        <f>"1156.6225"</f>
        <v>1156.6225</v>
      </c>
    </row>
    <row r="744" spans="1:3" x14ac:dyDescent="0.25">
      <c r="A744" t="str">
        <f>"20/06/2012"</f>
        <v>20/06/2012</v>
      </c>
      <c r="B744" t="str">
        <f>"1151.30"</f>
        <v>1151.30</v>
      </c>
      <c r="C744" t="str">
        <f>"1151.335"</f>
        <v>1151.335</v>
      </c>
    </row>
    <row r="745" spans="1:3" x14ac:dyDescent="0.25">
      <c r="A745" t="str">
        <f>"21/06/2012"</f>
        <v>21/06/2012</v>
      </c>
      <c r="B745" t="str">
        <f>"1151.70"</f>
        <v>1151.70</v>
      </c>
      <c r="C745" t="str">
        <f>"1151.7355"</f>
        <v>1151.7355</v>
      </c>
    </row>
    <row r="746" spans="1:3" x14ac:dyDescent="0.25">
      <c r="A746" t="str">
        <f>"22/06/2012"</f>
        <v>22/06/2012</v>
      </c>
      <c r="B746" t="str">
        <f>"1157.20"</f>
        <v>1157.20</v>
      </c>
      <c r="C746" t="str">
        <f>"1157.2275"</f>
        <v>1157.2275</v>
      </c>
    </row>
    <row r="747" spans="1:3" x14ac:dyDescent="0.25">
      <c r="A747" t="str">
        <f>"25/06/2012"</f>
        <v>25/06/2012</v>
      </c>
      <c r="B747" t="str">
        <f>"1161.75"</f>
        <v>1161.75</v>
      </c>
      <c r="C747" t="str">
        <f>"1161.7775"</f>
        <v>1161.7775</v>
      </c>
    </row>
    <row r="748" spans="1:3" x14ac:dyDescent="0.25">
      <c r="A748" t="str">
        <f>"26/06/2012"</f>
        <v>26/06/2012</v>
      </c>
      <c r="B748" t="str">
        <f>"1160.40"</f>
        <v>1160.40</v>
      </c>
      <c r="C748" t="str">
        <f>"1160.429"</f>
        <v>1160.429</v>
      </c>
    </row>
    <row r="749" spans="1:3" x14ac:dyDescent="0.25">
      <c r="A749" t="str">
        <f>"27/06/2012"</f>
        <v>27/06/2012</v>
      </c>
      <c r="B749" t="str">
        <f>"1156.33"</f>
        <v>1156.33</v>
      </c>
      <c r="C749" t="str">
        <f>"1156.366"</f>
        <v>1156.366</v>
      </c>
    </row>
    <row r="750" spans="1:3" x14ac:dyDescent="0.25">
      <c r="A750" t="str">
        <f>"28/06/2012"</f>
        <v>28/06/2012</v>
      </c>
      <c r="B750" t="str">
        <f>"1154.60"</f>
        <v>1154.60</v>
      </c>
      <c r="C750" t="str">
        <f>"1154.635"</f>
        <v>1154.635</v>
      </c>
    </row>
    <row r="751" spans="1:3" x14ac:dyDescent="0.25">
      <c r="A751" t="str">
        <f>"29/06/2012"</f>
        <v>29/06/2012</v>
      </c>
      <c r="B751" t="str">
        <f>"1145.60"</f>
        <v>1145.60</v>
      </c>
      <c r="C751" t="str">
        <f>"1145.645"</f>
        <v>1145.645</v>
      </c>
    </row>
    <row r="752" spans="1:3" x14ac:dyDescent="0.25">
      <c r="A752" t="str">
        <f>"02/07/2012"</f>
        <v>02/07/2012</v>
      </c>
      <c r="B752" t="str">
        <f>"1146.20"</f>
        <v>1146.20</v>
      </c>
      <c r="C752" t="str">
        <f>"1146.2455"</f>
        <v>1146.2455</v>
      </c>
    </row>
    <row r="753" spans="1:3" x14ac:dyDescent="0.25">
      <c r="A753" t="str">
        <f>"03/07/2012"</f>
        <v>03/07/2012</v>
      </c>
      <c r="B753" t="str">
        <f>"1138.515"</f>
        <v>1138.515</v>
      </c>
      <c r="C753" t="str">
        <f>"1138.551"</f>
        <v>1138.551</v>
      </c>
    </row>
    <row r="754" spans="1:3" x14ac:dyDescent="0.25">
      <c r="A754" t="str">
        <f>"04/07/2012"</f>
        <v>04/07/2012</v>
      </c>
      <c r="B754" t="str">
        <f>"1135.90"</f>
        <v>1135.90</v>
      </c>
      <c r="C754" t="str">
        <f>"1135.9345"</f>
        <v>1135.9345</v>
      </c>
    </row>
    <row r="755" spans="1:3" x14ac:dyDescent="0.25">
      <c r="A755" t="str">
        <f>"05/07/2012"</f>
        <v>05/07/2012</v>
      </c>
      <c r="B755" t="str">
        <f>"1135.30"</f>
        <v>1135.30</v>
      </c>
      <c r="C755" t="str">
        <f>"1135.3265"</f>
        <v>1135.3265</v>
      </c>
    </row>
    <row r="756" spans="1:3" x14ac:dyDescent="0.25">
      <c r="A756" t="str">
        <f>"06/07/2012"</f>
        <v>06/07/2012</v>
      </c>
      <c r="B756" t="str">
        <f>"1138.20"</f>
        <v>1138.20</v>
      </c>
      <c r="C756" t="str">
        <f>"1138.2335"</f>
        <v>1138.2335</v>
      </c>
    </row>
    <row r="757" spans="1:3" x14ac:dyDescent="0.25">
      <c r="A757" t="str">
        <f>"09/07/2012"</f>
        <v>09/07/2012</v>
      </c>
      <c r="B757" t="str">
        <f>"1141.50"</f>
        <v>1141.50</v>
      </c>
      <c r="C757" t="str">
        <f>"1141.5255"</f>
        <v>1141.5255</v>
      </c>
    </row>
    <row r="758" spans="1:3" x14ac:dyDescent="0.25">
      <c r="A758" t="str">
        <f>"10/07/2012"</f>
        <v>10/07/2012</v>
      </c>
      <c r="B758" t="str">
        <f>"1143.90"</f>
        <v>1143.90</v>
      </c>
      <c r="C758" t="str">
        <f>"1143.9255"</f>
        <v>1143.9255</v>
      </c>
    </row>
    <row r="759" spans="1:3" x14ac:dyDescent="0.25">
      <c r="A759" t="str">
        <f>"11/07/2012"</f>
        <v>11/07/2012</v>
      </c>
      <c r="B759" t="str">
        <f>"1141.00"</f>
        <v>1141.00</v>
      </c>
      <c r="C759" t="str">
        <f>"1141.0325"</f>
        <v>1141.0325</v>
      </c>
    </row>
    <row r="760" spans="1:3" x14ac:dyDescent="0.25">
      <c r="A760" t="str">
        <f>"12/07/2012"</f>
        <v>12/07/2012</v>
      </c>
      <c r="B760" t="str">
        <f>"1148.575"</f>
        <v>1148.575</v>
      </c>
      <c r="C760" t="str">
        <f>"1148.617"</f>
        <v>1148.617</v>
      </c>
    </row>
    <row r="761" spans="1:3" x14ac:dyDescent="0.25">
      <c r="A761" t="str">
        <f>"13/07/2012"</f>
        <v>13/07/2012</v>
      </c>
      <c r="B761" t="str">
        <f>"1150.40"</f>
        <v>1150.40</v>
      </c>
      <c r="C761" t="str">
        <f>"1150.431"</f>
        <v>1150.431</v>
      </c>
    </row>
    <row r="762" spans="1:3" x14ac:dyDescent="0.25">
      <c r="A762" t="str">
        <f>"16/07/2012"</f>
        <v>16/07/2012</v>
      </c>
      <c r="B762" t="str">
        <f>"1147.20"</f>
        <v>1147.20</v>
      </c>
      <c r="C762" t="str">
        <f>"1147.233"</f>
        <v>1147.233</v>
      </c>
    </row>
    <row r="763" spans="1:3" x14ac:dyDescent="0.25">
      <c r="A763" t="str">
        <f>"17/07/2012"</f>
        <v>17/07/2012</v>
      </c>
      <c r="B763" t="str">
        <f>"1143.80"</f>
        <v>1143.80</v>
      </c>
      <c r="C763" t="str">
        <f>"1143.8425"</f>
        <v>1143.8425</v>
      </c>
    </row>
    <row r="764" spans="1:3" x14ac:dyDescent="0.25">
      <c r="A764" t="str">
        <f>"18/07/2012"</f>
        <v>18/07/2012</v>
      </c>
      <c r="B764" t="str">
        <f>"1142.70"</f>
        <v>1142.70</v>
      </c>
      <c r="C764" t="str">
        <f>"1142.742"</f>
        <v>1142.742</v>
      </c>
    </row>
    <row r="765" spans="1:3" x14ac:dyDescent="0.25">
      <c r="A765" t="str">
        <f>"19/07/2012"</f>
        <v>19/07/2012</v>
      </c>
      <c r="B765" t="str">
        <f>"1139.305"</f>
        <v>1139.305</v>
      </c>
      <c r="C765" t="str">
        <f>"1139.329"</f>
        <v>1139.329</v>
      </c>
    </row>
    <row r="766" spans="1:3" x14ac:dyDescent="0.25">
      <c r="A766" t="str">
        <f>"20/07/2012"</f>
        <v>20/07/2012</v>
      </c>
      <c r="B766" t="str">
        <f>"1141.30"</f>
        <v>1141.30</v>
      </c>
      <c r="C766" t="str">
        <f>"1141.324"</f>
        <v>1141.324</v>
      </c>
    </row>
    <row r="767" spans="1:3" x14ac:dyDescent="0.25">
      <c r="A767" t="str">
        <f>"23/07/2012"</f>
        <v>23/07/2012</v>
      </c>
      <c r="B767" t="str">
        <f>"1146.70"</f>
        <v>1146.70</v>
      </c>
      <c r="C767" t="str">
        <f>"1146.7255"</f>
        <v>1146.7255</v>
      </c>
    </row>
    <row r="768" spans="1:3" x14ac:dyDescent="0.25">
      <c r="A768" t="str">
        <f>"24/07/2012"</f>
        <v>24/07/2012</v>
      </c>
      <c r="B768" t="str">
        <f>"1146.30"</f>
        <v>1146.30</v>
      </c>
      <c r="C768" t="str">
        <f>"1146.325"</f>
        <v>1146.325</v>
      </c>
    </row>
    <row r="769" spans="1:3" x14ac:dyDescent="0.25">
      <c r="A769" t="str">
        <f>"25/07/2012"</f>
        <v>25/07/2012</v>
      </c>
      <c r="B769" t="str">
        <f>"1151.10"</f>
        <v>1151.10</v>
      </c>
      <c r="C769" t="str">
        <f>"1151.1245"</f>
        <v>1151.1245</v>
      </c>
    </row>
    <row r="770" spans="1:3" x14ac:dyDescent="0.25">
      <c r="A770" t="str">
        <f>"26/07/2012"</f>
        <v>26/07/2012</v>
      </c>
      <c r="B770" t="str">
        <f>"1147.00"</f>
        <v>1147.00</v>
      </c>
      <c r="C770" t="str">
        <f>"1147.0335"</f>
        <v>1147.0335</v>
      </c>
    </row>
    <row r="771" spans="1:3" x14ac:dyDescent="0.25">
      <c r="A771" t="str">
        <f>"27/07/2012"</f>
        <v>27/07/2012</v>
      </c>
      <c r="B771" t="str">
        <f>"1139.80"</f>
        <v>1139.80</v>
      </c>
      <c r="C771" t="str">
        <f>"1139.8255"</f>
        <v>1139.8255</v>
      </c>
    </row>
    <row r="772" spans="1:3" x14ac:dyDescent="0.25">
      <c r="A772" t="str">
        <f>"30/07/2012"</f>
        <v>30/07/2012</v>
      </c>
      <c r="B772" t="str">
        <f>"1137.80"</f>
        <v>1137.80</v>
      </c>
      <c r="C772" t="str">
        <f>"1137.8365"</f>
        <v>1137.8365</v>
      </c>
    </row>
    <row r="773" spans="1:3" x14ac:dyDescent="0.25">
      <c r="A773" t="str">
        <f>"31/07/2012"</f>
        <v>31/07/2012</v>
      </c>
      <c r="B773" t="str">
        <f>"1130.80"</f>
        <v>1130.80</v>
      </c>
      <c r="C773" t="str">
        <f>"1130.836"</f>
        <v>1130.836</v>
      </c>
    </row>
    <row r="774" spans="1:3" x14ac:dyDescent="0.25">
      <c r="A774" t="str">
        <f>"01/08/2012"</f>
        <v>01/08/2012</v>
      </c>
      <c r="B774" t="str">
        <f>"1126.80"</f>
        <v>1126.80</v>
      </c>
      <c r="C774" t="str">
        <f>"1126.827"</f>
        <v>1126.827</v>
      </c>
    </row>
    <row r="775" spans="1:3" x14ac:dyDescent="0.25">
      <c r="A775" t="str">
        <f>"02/08/2012"</f>
        <v>02/08/2012</v>
      </c>
      <c r="B775" t="str">
        <f>"1131.90"</f>
        <v>1131.90</v>
      </c>
      <c r="C775" t="str">
        <f>"1131.934"</f>
        <v>1131.934</v>
      </c>
    </row>
    <row r="776" spans="1:3" x14ac:dyDescent="0.25">
      <c r="A776" t="str">
        <f>"03/08/2012"</f>
        <v>03/08/2012</v>
      </c>
      <c r="B776" t="str">
        <f>"1135.00"</f>
        <v>1135.00</v>
      </c>
      <c r="C776" t="str">
        <f>"1135.0255"</f>
        <v>1135.0255</v>
      </c>
    </row>
    <row r="777" spans="1:3" x14ac:dyDescent="0.25">
      <c r="A777" t="str">
        <f>"06/08/2012"</f>
        <v>06/08/2012</v>
      </c>
      <c r="B777" t="str">
        <f>"1129.40"</f>
        <v>1129.40</v>
      </c>
      <c r="C777" t="str">
        <f>"1129.445"</f>
        <v>1129.445</v>
      </c>
    </row>
    <row r="778" spans="1:3" x14ac:dyDescent="0.25">
      <c r="A778" t="str">
        <f>"07/08/2012"</f>
        <v>07/08/2012</v>
      </c>
      <c r="B778" t="str">
        <f>"1128.90"</f>
        <v>1128.90</v>
      </c>
      <c r="C778" t="str">
        <f>"1128.944"</f>
        <v>1128.944</v>
      </c>
    </row>
    <row r="779" spans="1:3" x14ac:dyDescent="0.25">
      <c r="A779" t="str">
        <f>"08/08/2012"</f>
        <v>08/08/2012</v>
      </c>
      <c r="B779" t="str">
        <f>"1128.50"</f>
        <v>1128.50</v>
      </c>
      <c r="C779" t="str">
        <f>"1128.5255"</f>
        <v>1128.5255</v>
      </c>
    </row>
    <row r="780" spans="1:3" x14ac:dyDescent="0.25">
      <c r="A780" t="str">
        <f>"09/08/2012"</f>
        <v>09/08/2012</v>
      </c>
      <c r="B780" t="str">
        <f>"1125.60"</f>
        <v>1125.60</v>
      </c>
      <c r="C780" t="str">
        <f>"1125.634"</f>
        <v>1125.634</v>
      </c>
    </row>
    <row r="781" spans="1:3" x14ac:dyDescent="0.25">
      <c r="A781" t="str">
        <f>"10/08/2012"</f>
        <v>10/08/2012</v>
      </c>
      <c r="B781" t="str">
        <f>"1130.60"</f>
        <v>1130.60</v>
      </c>
      <c r="C781" t="str">
        <f>"1130.6335"</f>
        <v>1130.6335</v>
      </c>
    </row>
    <row r="782" spans="1:3" x14ac:dyDescent="0.25">
      <c r="A782" t="str">
        <f>"13/08/2012"</f>
        <v>13/08/2012</v>
      </c>
      <c r="B782" t="str">
        <f>"1131.30"</f>
        <v>1131.30</v>
      </c>
      <c r="C782" t="str">
        <f>"1131.326"</f>
        <v>1131.326</v>
      </c>
    </row>
    <row r="783" spans="1:3" x14ac:dyDescent="0.25">
      <c r="A783" t="str">
        <f>"14/08/2012"</f>
        <v>14/08/2012</v>
      </c>
      <c r="B783" t="str">
        <f>"1130.00"</f>
        <v>1130.00</v>
      </c>
      <c r="C783" t="str">
        <f>"1130.0335"</f>
        <v>1130.0335</v>
      </c>
    </row>
    <row r="784" spans="1:3" x14ac:dyDescent="0.25">
      <c r="A784" t="str">
        <f>"16/08/2012"</f>
        <v>16/08/2012</v>
      </c>
      <c r="B784" t="str">
        <f>"1134.30"</f>
        <v>1134.30</v>
      </c>
      <c r="C784" t="str">
        <f>"1134.3255"</f>
        <v>1134.3255</v>
      </c>
    </row>
    <row r="785" spans="1:3" x14ac:dyDescent="0.25">
      <c r="A785" t="str">
        <f>"17/08/2012"</f>
        <v>17/08/2012</v>
      </c>
      <c r="B785" t="str">
        <f>"1134.40"</f>
        <v>1134.40</v>
      </c>
      <c r="C785" t="str">
        <f>"1134.4245"</f>
        <v>1134.4245</v>
      </c>
    </row>
    <row r="786" spans="1:3" x14ac:dyDescent="0.25">
      <c r="A786" t="str">
        <f>"21/08/2012"</f>
        <v>21/08/2012</v>
      </c>
      <c r="B786" t="str">
        <f>"1132.60"</f>
        <v>1132.60</v>
      </c>
      <c r="C786" t="str">
        <f>"1132.6255"</f>
        <v>1132.6255</v>
      </c>
    </row>
    <row r="787" spans="1:3" x14ac:dyDescent="0.25">
      <c r="A787" t="str">
        <f>"22/08/2012"</f>
        <v>22/08/2012</v>
      </c>
      <c r="B787" t="str">
        <f>"1136.00"</f>
        <v>1136.00</v>
      </c>
      <c r="C787" t="str">
        <f>"1136.0245"</f>
        <v>1136.0245</v>
      </c>
    </row>
    <row r="788" spans="1:3" x14ac:dyDescent="0.25">
      <c r="A788" t="str">
        <f>"23/08/2012"</f>
        <v>23/08/2012</v>
      </c>
      <c r="B788" t="str">
        <f>"1130.70"</f>
        <v>1130.70</v>
      </c>
      <c r="C788" t="str">
        <f>"1130.743"</f>
        <v>1130.743</v>
      </c>
    </row>
    <row r="789" spans="1:3" x14ac:dyDescent="0.25">
      <c r="A789" t="str">
        <f>"24/08/2012"</f>
        <v>24/08/2012</v>
      </c>
      <c r="B789" t="str">
        <f>"1134.30"</f>
        <v>1134.30</v>
      </c>
      <c r="C789" t="str">
        <f>"1134.3325"</f>
        <v>1134.3325</v>
      </c>
    </row>
    <row r="790" spans="1:3" x14ac:dyDescent="0.25">
      <c r="A790" t="str">
        <f>"27/08/2012"</f>
        <v>27/08/2012</v>
      </c>
      <c r="B790" t="str">
        <f>"1134.80"</f>
        <v>1134.80</v>
      </c>
      <c r="C790" t="str">
        <f>"1134.8315"</f>
        <v>1134.8315</v>
      </c>
    </row>
    <row r="791" spans="1:3" x14ac:dyDescent="0.25">
      <c r="A791" t="str">
        <f>"28/08/2012"</f>
        <v>28/08/2012</v>
      </c>
      <c r="B791" t="str">
        <f>"1136.895"</f>
        <v>1136.895</v>
      </c>
      <c r="C791" t="str">
        <f>"1136.923"</f>
        <v>1136.923</v>
      </c>
    </row>
    <row r="792" spans="1:3" x14ac:dyDescent="0.25">
      <c r="A792" t="str">
        <f>"29/08/2012"</f>
        <v>29/08/2012</v>
      </c>
      <c r="B792" t="str">
        <f>"1134.40"</f>
        <v>1134.40</v>
      </c>
      <c r="C792" t="str">
        <f>"1134.429"</f>
        <v>1134.429</v>
      </c>
    </row>
    <row r="793" spans="1:3" x14ac:dyDescent="0.25">
      <c r="A793" t="str">
        <f>"30/08/2012"</f>
        <v>30/08/2012</v>
      </c>
      <c r="B793" t="str">
        <f>"1134.20"</f>
        <v>1134.20</v>
      </c>
      <c r="C793" t="str">
        <f>"1134.231"</f>
        <v>1134.231</v>
      </c>
    </row>
    <row r="794" spans="1:3" x14ac:dyDescent="0.25">
      <c r="A794" t="str">
        <f>"31/08/2012"</f>
        <v>31/08/2012</v>
      </c>
      <c r="B794" t="str">
        <f>"1134.80"</f>
        <v>1134.80</v>
      </c>
      <c r="C794" t="str">
        <f>"1134.823"</f>
        <v>1134.823</v>
      </c>
    </row>
    <row r="795" spans="1:3" x14ac:dyDescent="0.25">
      <c r="A795" t="str">
        <f>"03/09/2012"</f>
        <v>03/09/2012</v>
      </c>
      <c r="B795" t="str">
        <f>"1131.20"</f>
        <v>1131.20</v>
      </c>
      <c r="C795" t="str">
        <f>"1131.224"</f>
        <v>1131.224</v>
      </c>
    </row>
    <row r="796" spans="1:3" x14ac:dyDescent="0.25">
      <c r="A796" t="str">
        <f>"04/09/2012"</f>
        <v>04/09/2012</v>
      </c>
      <c r="B796" t="str">
        <f>"1132.00"</f>
        <v>1132.00</v>
      </c>
      <c r="C796" t="str">
        <f>"1132.026"</f>
        <v>1132.026</v>
      </c>
    </row>
    <row r="797" spans="1:3" x14ac:dyDescent="0.25">
      <c r="A797" t="str">
        <f>"05/09/2012"</f>
        <v>05/09/2012</v>
      </c>
      <c r="B797" t="str">
        <f>"1136.00"</f>
        <v>1136.00</v>
      </c>
      <c r="C797" t="str">
        <f>"1136.025"</f>
        <v>1136.025</v>
      </c>
    </row>
    <row r="798" spans="1:3" x14ac:dyDescent="0.25">
      <c r="A798" t="str">
        <f>"06/09/2012"</f>
        <v>06/09/2012</v>
      </c>
      <c r="B798" t="str">
        <f>"1134.00"</f>
        <v>1134.00</v>
      </c>
      <c r="C798" t="str">
        <f>"1134.031"</f>
        <v>1134.031</v>
      </c>
    </row>
    <row r="799" spans="1:3" x14ac:dyDescent="0.25">
      <c r="A799" t="str">
        <f>"07/09/2012"</f>
        <v>07/09/2012</v>
      </c>
      <c r="B799" t="str">
        <f>"1130.50"</f>
        <v>1130.50</v>
      </c>
      <c r="C799" t="str">
        <f>"1130.53"</f>
        <v>1130.53</v>
      </c>
    </row>
    <row r="800" spans="1:3" x14ac:dyDescent="0.25">
      <c r="A800" t="str">
        <f>"10/09/2012"</f>
        <v>10/09/2012</v>
      </c>
      <c r="B800" t="str">
        <f>"1129.50"</f>
        <v>1129.50</v>
      </c>
      <c r="C800" t="str">
        <f>"1129.528"</f>
        <v>1129.528</v>
      </c>
    </row>
    <row r="801" spans="1:3" x14ac:dyDescent="0.25">
      <c r="A801" t="str">
        <f>"11/09/2012"</f>
        <v>11/09/2012</v>
      </c>
      <c r="B801" t="str">
        <f>"1129.10"</f>
        <v>1129.10</v>
      </c>
      <c r="C801" t="str">
        <f>"1129.1285"</f>
        <v>1129.1285</v>
      </c>
    </row>
    <row r="802" spans="1:3" x14ac:dyDescent="0.25">
      <c r="A802" t="str">
        <f>"12/09/2012"</f>
        <v>12/09/2012</v>
      </c>
      <c r="B802" t="str">
        <f>"1126.60"</f>
        <v>1126.60</v>
      </c>
      <c r="C802" t="str">
        <f>"1126.637"</f>
        <v>1126.637</v>
      </c>
    </row>
    <row r="803" spans="1:3" x14ac:dyDescent="0.25">
      <c r="A803" t="str">
        <f>"13/09/2012"</f>
        <v>13/09/2012</v>
      </c>
      <c r="B803" t="str">
        <f>"1128.575"</f>
        <v>1128.575</v>
      </c>
      <c r="C803" t="str">
        <f>"1128.6035"</f>
        <v>1128.6035</v>
      </c>
    </row>
    <row r="804" spans="1:3" x14ac:dyDescent="0.25">
      <c r="A804" t="str">
        <f>"14/09/2012"</f>
        <v>14/09/2012</v>
      </c>
      <c r="B804" t="str">
        <f>"1117.50"</f>
        <v>1117.50</v>
      </c>
      <c r="C804" t="str">
        <f>"1117.535"</f>
        <v>1117.535</v>
      </c>
    </row>
    <row r="805" spans="1:3" x14ac:dyDescent="0.25">
      <c r="A805" t="str">
        <f>"17/09/2012"</f>
        <v>17/09/2012</v>
      </c>
      <c r="B805" t="str">
        <f>"1115.10"</f>
        <v>1115.10</v>
      </c>
      <c r="C805" t="str">
        <f>"1115.1285"</f>
        <v>1115.1285</v>
      </c>
    </row>
    <row r="806" spans="1:3" x14ac:dyDescent="0.25">
      <c r="A806" t="str">
        <f>"18/09/2012"</f>
        <v>18/09/2012</v>
      </c>
      <c r="B806" t="str">
        <f>"1118.50"</f>
        <v>1118.50</v>
      </c>
      <c r="C806" t="str">
        <f>"1118.5345"</f>
        <v>1118.5345</v>
      </c>
    </row>
    <row r="807" spans="1:3" x14ac:dyDescent="0.25">
      <c r="A807" t="str">
        <f>"20/09/2012"</f>
        <v>20/09/2012</v>
      </c>
      <c r="B807" t="str">
        <f>"1123.40"</f>
        <v>1123.40</v>
      </c>
      <c r="C807" t="str">
        <f>"1123.437"</f>
        <v>1123.437</v>
      </c>
    </row>
    <row r="808" spans="1:3" x14ac:dyDescent="0.25">
      <c r="A808" t="str">
        <f>"21/09/2012"</f>
        <v>21/09/2012</v>
      </c>
      <c r="B808" t="str">
        <f>"1119.40"</f>
        <v>1119.40</v>
      </c>
      <c r="C808" t="str">
        <f>"1119.4205"</f>
        <v>1119.4205</v>
      </c>
    </row>
    <row r="809" spans="1:3" x14ac:dyDescent="0.25">
      <c r="A809" t="str">
        <f>"24/09/2012"</f>
        <v>24/09/2012</v>
      </c>
      <c r="B809" t="str">
        <f>"1120.70"</f>
        <v>1120.70</v>
      </c>
      <c r="C809" t="str">
        <f>"1120.7275"</f>
        <v>1120.7275</v>
      </c>
    </row>
    <row r="810" spans="1:3" x14ac:dyDescent="0.25">
      <c r="A810" t="str">
        <f>"25/09/2012"</f>
        <v>25/09/2012</v>
      </c>
      <c r="B810" t="str">
        <f>"1119.60"</f>
        <v>1119.60</v>
      </c>
      <c r="C810" t="str">
        <f>"1119.6335"</f>
        <v>1119.6335</v>
      </c>
    </row>
    <row r="811" spans="1:3" x14ac:dyDescent="0.25">
      <c r="A811" t="str">
        <f>"26/09/2012"</f>
        <v>26/09/2012</v>
      </c>
      <c r="B811" t="str">
        <f>"1121.20"</f>
        <v>1121.20</v>
      </c>
      <c r="C811" t="str">
        <f>"1121.2365"</f>
        <v>1121.2365</v>
      </c>
    </row>
    <row r="812" spans="1:3" x14ac:dyDescent="0.25">
      <c r="A812" t="str">
        <f>"27/09/2012"</f>
        <v>27/09/2012</v>
      </c>
      <c r="B812" t="str">
        <f>"1118.80"</f>
        <v>1118.80</v>
      </c>
      <c r="C812" t="str">
        <f>"1118.834"</f>
        <v>1118.834</v>
      </c>
    </row>
    <row r="813" spans="1:3" x14ac:dyDescent="0.25">
      <c r="A813" t="str">
        <f>"28/09/2012"</f>
        <v>28/09/2012</v>
      </c>
      <c r="B813" t="str">
        <f>"1111.20"</f>
        <v>1111.20</v>
      </c>
      <c r="C813" t="str">
        <f>"1111.236"</f>
        <v>1111.236</v>
      </c>
    </row>
    <row r="814" spans="1:3" x14ac:dyDescent="0.25">
      <c r="A814" t="str">
        <f>"01/10/2012"</f>
        <v>01/10/2012</v>
      </c>
      <c r="B814" t="str">
        <f>"1115.20"</f>
        <v>1115.20</v>
      </c>
      <c r="C814" t="str">
        <f>"1115.228"</f>
        <v>1115.228</v>
      </c>
    </row>
    <row r="815" spans="1:3" x14ac:dyDescent="0.25">
      <c r="A815" t="str">
        <f>"03/10/2012"</f>
        <v>03/10/2012</v>
      </c>
      <c r="B815" t="str">
        <f>"1115.80"</f>
        <v>1115.80</v>
      </c>
      <c r="C815" t="str">
        <f>"1115.828"</f>
        <v>1115.828</v>
      </c>
    </row>
    <row r="816" spans="1:3" x14ac:dyDescent="0.25">
      <c r="A816" t="str">
        <f>"04/10/2012"</f>
        <v>04/10/2012</v>
      </c>
      <c r="B816" t="str">
        <f>"1113.90"</f>
        <v>1113.90</v>
      </c>
      <c r="C816" t="str">
        <f>"1113.928"</f>
        <v>1113.928</v>
      </c>
    </row>
    <row r="817" spans="1:3" x14ac:dyDescent="0.25">
      <c r="A817" t="str">
        <f>"05/10/2012"</f>
        <v>05/10/2012</v>
      </c>
      <c r="B817" t="str">
        <f>"1111.60"</f>
        <v>1111.60</v>
      </c>
      <c r="C817" t="str">
        <f>"1111.636"</f>
        <v>1111.636</v>
      </c>
    </row>
    <row r="818" spans="1:3" x14ac:dyDescent="0.25">
      <c r="A818" t="str">
        <f>"08/10/2012"</f>
        <v>08/10/2012</v>
      </c>
      <c r="B818" t="str">
        <f>"1111.80"</f>
        <v>1111.80</v>
      </c>
      <c r="C818" t="str">
        <f>"1111.838"</f>
        <v>1111.838</v>
      </c>
    </row>
    <row r="819" spans="1:3" x14ac:dyDescent="0.25">
      <c r="A819" t="str">
        <f>"09/10/2012"</f>
        <v>09/10/2012</v>
      </c>
      <c r="B819" t="str">
        <f>"1111.00"</f>
        <v>1111.00</v>
      </c>
      <c r="C819" t="str">
        <f>"1111.03"</f>
        <v>1111.03</v>
      </c>
    </row>
    <row r="820" spans="1:3" x14ac:dyDescent="0.25">
      <c r="A820" t="str">
        <f>"10/10/2012"</f>
        <v>10/10/2012</v>
      </c>
      <c r="B820" t="str">
        <f>"1114.90"</f>
        <v>1114.90</v>
      </c>
      <c r="C820" t="str">
        <f>"1114.9285"</f>
        <v>1114.9285</v>
      </c>
    </row>
    <row r="821" spans="1:3" x14ac:dyDescent="0.25">
      <c r="A821" t="str">
        <f>"11/10/2012"</f>
        <v>11/10/2012</v>
      </c>
      <c r="B821" t="str">
        <f>"1114.40"</f>
        <v>1114.40</v>
      </c>
      <c r="C821" t="str">
        <f>"1114.4207"</f>
        <v>1114.4207</v>
      </c>
    </row>
    <row r="822" spans="1:3" x14ac:dyDescent="0.25">
      <c r="A822" t="str">
        <f>"12/10/2012"</f>
        <v>12/10/2012</v>
      </c>
      <c r="B822" t="str">
        <f>"1111.00"</f>
        <v>1111.00</v>
      </c>
      <c r="C822" t="str">
        <f>"1111.0215"</f>
        <v>1111.0215</v>
      </c>
    </row>
    <row r="823" spans="1:3" x14ac:dyDescent="0.25">
      <c r="A823" t="str">
        <f>"15/10/2012"</f>
        <v>15/10/2012</v>
      </c>
      <c r="B823" t="str">
        <f>"1110.55"</f>
        <v>1110.55</v>
      </c>
      <c r="C823" t="str">
        <f>"1110.58"</f>
        <v>1110.58</v>
      </c>
    </row>
    <row r="824" spans="1:3" x14ac:dyDescent="0.25">
      <c r="A824" t="str">
        <f>"16/10/2012"</f>
        <v>16/10/2012</v>
      </c>
      <c r="B824" t="str">
        <f>"1107.35"</f>
        <v>1107.35</v>
      </c>
      <c r="C824" t="str">
        <f>"1107.3875"</f>
        <v>1107.3875</v>
      </c>
    </row>
    <row r="825" spans="1:3" x14ac:dyDescent="0.25">
      <c r="A825" t="str">
        <f>"17/10/2012"</f>
        <v>17/10/2012</v>
      </c>
      <c r="B825" t="str">
        <f>"1105.70"</f>
        <v>1105.70</v>
      </c>
      <c r="C825" t="str">
        <f>"1105.722"</f>
        <v>1105.722</v>
      </c>
    </row>
    <row r="826" spans="1:3" x14ac:dyDescent="0.25">
      <c r="A826" t="str">
        <f>"18/10/2012"</f>
        <v>18/10/2012</v>
      </c>
      <c r="B826" t="str">
        <f>"1105.20"</f>
        <v>1105.20</v>
      </c>
      <c r="C826" t="str">
        <f>"1105.2375"</f>
        <v>1105.2375</v>
      </c>
    </row>
    <row r="827" spans="1:3" x14ac:dyDescent="0.25">
      <c r="A827" t="str">
        <f>"19/10/2012"</f>
        <v>19/10/2012</v>
      </c>
      <c r="B827" t="str">
        <f>"1103.70"</f>
        <v>1103.70</v>
      </c>
      <c r="C827" t="str">
        <f>"1103.7285"</f>
        <v>1103.7285</v>
      </c>
    </row>
    <row r="828" spans="1:3" x14ac:dyDescent="0.25">
      <c r="A828" t="str">
        <f>"22/10/2012"</f>
        <v>22/10/2012</v>
      </c>
      <c r="B828" t="str">
        <f>"1104.40"</f>
        <v>1104.40</v>
      </c>
      <c r="C828" t="str">
        <f>"1104.4225"</f>
        <v>1104.4225</v>
      </c>
    </row>
    <row r="829" spans="1:3" x14ac:dyDescent="0.25">
      <c r="A829" t="str">
        <f>"23/10/2012"</f>
        <v>23/10/2012</v>
      </c>
      <c r="B829" t="str">
        <f>"1102.90"</f>
        <v>1102.90</v>
      </c>
      <c r="C829" t="str">
        <f>"1102.9215"</f>
        <v>1102.9215</v>
      </c>
    </row>
    <row r="830" spans="1:3" x14ac:dyDescent="0.25">
      <c r="A830" t="str">
        <f>"25/10/2012"</f>
        <v>25/10/2012</v>
      </c>
      <c r="B830" t="str">
        <f>"1098.30"</f>
        <v>1098.30</v>
      </c>
      <c r="C830" t="str">
        <f>"1098.3205"</f>
        <v>1098.3205</v>
      </c>
    </row>
    <row r="831" spans="1:3" x14ac:dyDescent="0.25">
      <c r="A831" t="str">
        <f>"26/10/2012"</f>
        <v>26/10/2012</v>
      </c>
      <c r="B831" t="str">
        <f>"1097.25"</f>
        <v>1097.25</v>
      </c>
      <c r="C831" t="str">
        <f>"1097.283"</f>
        <v>1097.283</v>
      </c>
    </row>
    <row r="832" spans="1:3" x14ac:dyDescent="0.25">
      <c r="A832" t="str">
        <f>"29/10/2012"</f>
        <v>29/10/2012</v>
      </c>
      <c r="B832" t="str">
        <f>"1096.10"</f>
        <v>1096.10</v>
      </c>
      <c r="C832" t="str">
        <f>"1096.134"</f>
        <v>1096.134</v>
      </c>
    </row>
    <row r="833" spans="1:3" x14ac:dyDescent="0.25">
      <c r="A833" t="str">
        <f>"30/10/2012"</f>
        <v>30/10/2012</v>
      </c>
      <c r="B833" t="str">
        <f>"1091.70"</f>
        <v>1091.70</v>
      </c>
      <c r="C833" t="str">
        <f>"1091.7225"</f>
        <v>1091.7225</v>
      </c>
    </row>
    <row r="834" spans="1:3" x14ac:dyDescent="0.25">
      <c r="A834" t="str">
        <f>"31/10/2012"</f>
        <v>31/10/2012</v>
      </c>
      <c r="B834" t="str">
        <f>"1090.80"</f>
        <v>1090.80</v>
      </c>
      <c r="C834" t="str">
        <f>"1090.822"</f>
        <v>1090.822</v>
      </c>
    </row>
    <row r="835" spans="1:3" x14ac:dyDescent="0.25">
      <c r="A835" t="str">
        <f>"01/11/2012"</f>
        <v>01/11/2012</v>
      </c>
      <c r="B835" t="str">
        <f>"1092.55"</f>
        <v>1092.55</v>
      </c>
      <c r="C835" t="str">
        <f>"1092.585"</f>
        <v>1092.585</v>
      </c>
    </row>
    <row r="836" spans="1:3" x14ac:dyDescent="0.25">
      <c r="A836" t="str">
        <f>"02/11/2012"</f>
        <v>02/11/2012</v>
      </c>
      <c r="B836" t="str">
        <f>"1091.00"</f>
        <v>1091.00</v>
      </c>
      <c r="C836" t="str">
        <f>"1091.0215"</f>
        <v>1091.0215</v>
      </c>
    </row>
    <row r="837" spans="1:3" x14ac:dyDescent="0.25">
      <c r="A837" t="str">
        <f>"05/11/2012"</f>
        <v>05/11/2012</v>
      </c>
      <c r="B837" t="str">
        <f>"1091.30"</f>
        <v>1091.30</v>
      </c>
      <c r="C837" t="str">
        <f>"1091.335"</f>
        <v>1091.335</v>
      </c>
    </row>
    <row r="838" spans="1:3" x14ac:dyDescent="0.25">
      <c r="A838" t="str">
        <f>"06/11/2012"</f>
        <v>06/11/2012</v>
      </c>
      <c r="B838" t="str">
        <f>"1091.40"</f>
        <v>1091.40</v>
      </c>
      <c r="C838" t="str">
        <f>"1091.4225"</f>
        <v>1091.4225</v>
      </c>
    </row>
    <row r="839" spans="1:3" x14ac:dyDescent="0.25">
      <c r="A839" t="str">
        <f>"07/11/2012"</f>
        <v>07/11/2012</v>
      </c>
      <c r="B839" t="str">
        <f>"1085.60"</f>
        <v>1085.60</v>
      </c>
      <c r="C839" t="str">
        <f>"1085.634"</f>
        <v>1085.634</v>
      </c>
    </row>
    <row r="840" spans="1:3" x14ac:dyDescent="0.25">
      <c r="A840" t="str">
        <f>"08/11/2012"</f>
        <v>08/11/2012</v>
      </c>
      <c r="B840" t="str">
        <f>"1089.90"</f>
        <v>1089.90</v>
      </c>
      <c r="C840" t="str">
        <f>"1089.92"</f>
        <v>1089.92</v>
      </c>
    </row>
    <row r="841" spans="1:3" x14ac:dyDescent="0.25">
      <c r="A841" t="str">
        <f>"09/11/2012"</f>
        <v>09/11/2012</v>
      </c>
      <c r="B841" t="str">
        <f>"1088.45"</f>
        <v>1088.45</v>
      </c>
      <c r="C841" t="str">
        <f>"1088.483"</f>
        <v>1088.483</v>
      </c>
    </row>
    <row r="842" spans="1:3" x14ac:dyDescent="0.25">
      <c r="A842" t="str">
        <f>"12/11/2012"</f>
        <v>12/11/2012</v>
      </c>
      <c r="B842" t="str">
        <f>"1087.90"</f>
        <v>1087.90</v>
      </c>
      <c r="C842" t="str">
        <f>"1087.9325"</f>
        <v>1087.9325</v>
      </c>
    </row>
    <row r="843" spans="1:3" x14ac:dyDescent="0.25">
      <c r="A843" t="str">
        <f>"15/11/2012"</f>
        <v>15/11/2012</v>
      </c>
      <c r="B843" t="str">
        <f>"1086.85"</f>
        <v>1086.85</v>
      </c>
      <c r="C843" t="str">
        <f>"1086.875"</f>
        <v>1086.875</v>
      </c>
    </row>
    <row r="844" spans="1:3" x14ac:dyDescent="0.25">
      <c r="A844" t="str">
        <f>"16/11/2012"</f>
        <v>16/11/2012</v>
      </c>
      <c r="B844" t="str">
        <f>"1090.75"</f>
        <v>1090.75</v>
      </c>
      <c r="C844" t="str">
        <f>"1090.7675"</f>
        <v>1090.7675</v>
      </c>
    </row>
    <row r="845" spans="1:3" x14ac:dyDescent="0.25">
      <c r="A845" t="str">
        <f>"19/11/2012"</f>
        <v>19/11/2012</v>
      </c>
      <c r="B845" t="str">
        <f>"1087.10"</f>
        <v>1087.10</v>
      </c>
      <c r="C845" t="str">
        <f>"1087.118"</f>
        <v>1087.118</v>
      </c>
    </row>
    <row r="846" spans="1:3" x14ac:dyDescent="0.25">
      <c r="A846" t="str">
        <f>"20/11/2012"</f>
        <v>20/11/2012</v>
      </c>
      <c r="B846" t="str">
        <f>"1081.70"</f>
        <v>1081.70</v>
      </c>
      <c r="C846" t="str">
        <f>"1081.7185"</f>
        <v>1081.7185</v>
      </c>
    </row>
    <row r="847" spans="1:3" x14ac:dyDescent="0.25">
      <c r="A847" t="str">
        <f>"21/11/2012"</f>
        <v>21/11/2012</v>
      </c>
      <c r="B847" t="str">
        <f>"1083.80"</f>
        <v>1083.80</v>
      </c>
      <c r="C847" t="str">
        <f>"1083.831"</f>
        <v>1083.831</v>
      </c>
    </row>
    <row r="848" spans="1:3" x14ac:dyDescent="0.25">
      <c r="A848" t="str">
        <f>"22/11/2012"</f>
        <v>22/11/2012</v>
      </c>
      <c r="B848" t="str">
        <f>"1086.05"</f>
        <v>1086.05</v>
      </c>
      <c r="C848" t="str">
        <f>"1086.075"</f>
        <v>1086.075</v>
      </c>
    </row>
    <row r="849" spans="1:3" x14ac:dyDescent="0.25">
      <c r="A849" t="str">
        <f>"23/11/2012"</f>
        <v>23/11/2012</v>
      </c>
      <c r="B849" t="str">
        <f>"1086.30"</f>
        <v>1086.30</v>
      </c>
      <c r="C849" t="str">
        <f>"1086.3245"</f>
        <v>1086.3245</v>
      </c>
    </row>
    <row r="850" spans="1:3" x14ac:dyDescent="0.25">
      <c r="A850" t="str">
        <f>"26/11/2012"</f>
        <v>26/11/2012</v>
      </c>
      <c r="B850" t="str">
        <f>"1085.30"</f>
        <v>1085.30</v>
      </c>
      <c r="C850" t="str">
        <f>"1085.3175"</f>
        <v>1085.3175</v>
      </c>
    </row>
    <row r="851" spans="1:3" x14ac:dyDescent="0.25">
      <c r="A851" t="str">
        <f>"27/11/2012"</f>
        <v>27/11/2012</v>
      </c>
      <c r="B851" t="str">
        <f>"1084.25"</f>
        <v>1084.25</v>
      </c>
      <c r="C851" t="str">
        <f>"1084.2695"</f>
        <v>1084.2695</v>
      </c>
    </row>
    <row r="852" spans="1:3" x14ac:dyDescent="0.25">
      <c r="A852" t="str">
        <f>"29/11/2012"</f>
        <v>29/11/2012</v>
      </c>
      <c r="B852" t="str">
        <f>"1084.80"</f>
        <v>1084.80</v>
      </c>
      <c r="C852" t="str">
        <f>"1084.829"</f>
        <v>1084.829</v>
      </c>
    </row>
    <row r="853" spans="1:3" x14ac:dyDescent="0.25">
      <c r="A853" t="str">
        <f>"30/11/2012"</f>
        <v>30/11/2012</v>
      </c>
      <c r="B853" t="str">
        <f>"1083.20"</f>
        <v>1083.20</v>
      </c>
      <c r="C853" t="str">
        <f>"1083.219"</f>
        <v>1083.219</v>
      </c>
    </row>
    <row r="854" spans="1:3" x14ac:dyDescent="0.25">
      <c r="A854" t="str">
        <f>"03/12/2012"</f>
        <v>03/12/2012</v>
      </c>
      <c r="B854" t="str">
        <f>"1083.30"</f>
        <v>1083.30</v>
      </c>
      <c r="C854" t="str">
        <f>"1083.329"</f>
        <v>1083.329</v>
      </c>
    </row>
    <row r="855" spans="1:3" x14ac:dyDescent="0.25">
      <c r="A855" t="str">
        <f>"04/12/2012"</f>
        <v>04/12/2012</v>
      </c>
      <c r="B855" t="str">
        <f>"1083.25"</f>
        <v>1083.25</v>
      </c>
      <c r="C855" t="str">
        <f>"1083.277"</f>
        <v>1083.277</v>
      </c>
    </row>
    <row r="856" spans="1:3" x14ac:dyDescent="0.25">
      <c r="A856" t="str">
        <f>"05/12/2012"</f>
        <v>05/12/2012</v>
      </c>
      <c r="B856" t="str">
        <f>"1081.75"</f>
        <v>1081.75</v>
      </c>
      <c r="C856" t="str">
        <f>"1081.7765"</f>
        <v>1081.7765</v>
      </c>
    </row>
    <row r="857" spans="1:3" x14ac:dyDescent="0.25">
      <c r="A857" t="str">
        <f>"06/12/2012"</f>
        <v>06/12/2012</v>
      </c>
      <c r="B857" t="str">
        <f>"1082.65"</f>
        <v>1082.65</v>
      </c>
      <c r="C857" t="str">
        <f>"1082.67"</f>
        <v>1082.67</v>
      </c>
    </row>
    <row r="858" spans="1:3" x14ac:dyDescent="0.25">
      <c r="A858" t="str">
        <f>"07/12/2012"</f>
        <v>07/12/2012</v>
      </c>
      <c r="B858" t="str">
        <f>"1082.55"</f>
        <v>1082.55</v>
      </c>
      <c r="C858" t="str">
        <f>"1082.5765"</f>
        <v>1082.5765</v>
      </c>
    </row>
    <row r="859" spans="1:3" x14ac:dyDescent="0.25">
      <c r="A859" t="str">
        <f>"10/12/2012"</f>
        <v>10/12/2012</v>
      </c>
      <c r="B859" t="str">
        <f>"1079.80"</f>
        <v>1079.80</v>
      </c>
      <c r="C859" t="str">
        <f>"1079.826"</f>
        <v>1079.826</v>
      </c>
    </row>
    <row r="860" spans="1:3" x14ac:dyDescent="0.25">
      <c r="A860" t="str">
        <f>"11/12/2012"</f>
        <v>11/12/2012</v>
      </c>
      <c r="B860" t="str">
        <f>"1077.00"</f>
        <v>1077.00</v>
      </c>
      <c r="C860" t="str">
        <f>"1077.027"</f>
        <v>1077.027</v>
      </c>
    </row>
    <row r="861" spans="1:3" x14ac:dyDescent="0.25">
      <c r="A861" t="str">
        <f>"12/12/2012"</f>
        <v>12/12/2012</v>
      </c>
      <c r="B861" t="str">
        <f>"1076.35"</f>
        <v>1076.35</v>
      </c>
      <c r="C861" t="str">
        <f>"1076.3675"</f>
        <v>1076.3675</v>
      </c>
    </row>
    <row r="862" spans="1:3" x14ac:dyDescent="0.25">
      <c r="A862" t="str">
        <f>"13/12/2012"</f>
        <v>13/12/2012</v>
      </c>
      <c r="B862" t="str">
        <f>"1073.15"</f>
        <v>1073.15</v>
      </c>
      <c r="C862" t="str">
        <f>"1073.1735"</f>
        <v>1073.1735</v>
      </c>
    </row>
    <row r="863" spans="1:3" x14ac:dyDescent="0.25">
      <c r="A863" t="str">
        <f>"14/12/2012"</f>
        <v>14/12/2012</v>
      </c>
      <c r="B863" t="str">
        <f>"1074.85"</f>
        <v>1074.85</v>
      </c>
      <c r="C863" t="str">
        <f>"1074.8755"</f>
        <v>1074.8755</v>
      </c>
    </row>
    <row r="864" spans="1:3" x14ac:dyDescent="0.25">
      <c r="A864" t="str">
        <f>"17/12/2012"</f>
        <v>17/12/2012</v>
      </c>
      <c r="B864" t="str">
        <f>"1072.70"</f>
        <v>1072.70</v>
      </c>
      <c r="C864" t="str">
        <f>"1072.72"</f>
        <v>1072.72</v>
      </c>
    </row>
    <row r="865" spans="1:3" x14ac:dyDescent="0.25">
      <c r="A865" t="str">
        <f>"18/12/2012"</f>
        <v>18/12/2012</v>
      </c>
      <c r="B865" t="str">
        <f>"1071.90"</f>
        <v>1071.90</v>
      </c>
      <c r="C865" t="str">
        <f>"1071.92"</f>
        <v>1071.92</v>
      </c>
    </row>
    <row r="866" spans="1:3" x14ac:dyDescent="0.25">
      <c r="A866" t="str">
        <f>"19/12/2012"</f>
        <v>19/12/2012</v>
      </c>
      <c r="B866" t="str">
        <f>"1072.70"</f>
        <v>1072.70</v>
      </c>
      <c r="C866" t="str">
        <f>"1072.7275"</f>
        <v>1072.7275</v>
      </c>
    </row>
    <row r="867" spans="1:3" x14ac:dyDescent="0.25">
      <c r="A867" t="str">
        <f>"20/12/2012"</f>
        <v>20/12/2012</v>
      </c>
      <c r="B867" t="str">
        <f>"1073.50"</f>
        <v>1073.50</v>
      </c>
      <c r="C867" t="str">
        <f>"1073.5285"</f>
        <v>1073.5285</v>
      </c>
    </row>
    <row r="868" spans="1:3" x14ac:dyDescent="0.25">
      <c r="A868" t="str">
        <f>"21/12/2012"</f>
        <v>21/12/2012</v>
      </c>
      <c r="B868" t="str">
        <f>"1074.50"</f>
        <v>1074.50</v>
      </c>
      <c r="C868" t="str">
        <f>"1074.5225"</f>
        <v>1074.5225</v>
      </c>
    </row>
    <row r="869" spans="1:3" x14ac:dyDescent="0.25">
      <c r="A869" t="str">
        <f>"24/12/2012"</f>
        <v>24/12/2012</v>
      </c>
      <c r="B869" t="str">
        <f>"1074.35"</f>
        <v>1074.35</v>
      </c>
      <c r="C869" t="str">
        <f>"1074.3725"</f>
        <v>1074.3725</v>
      </c>
    </row>
    <row r="870" spans="1:3" x14ac:dyDescent="0.25">
      <c r="A870" t="str">
        <f>"26/12/2012"</f>
        <v>26/12/2012</v>
      </c>
      <c r="B870" t="str">
        <f>"1074.40"</f>
        <v>1074.40</v>
      </c>
      <c r="C870" t="str">
        <f>"1074.43"</f>
        <v>1074.43</v>
      </c>
    </row>
    <row r="871" spans="1:3" x14ac:dyDescent="0.25">
      <c r="A871" t="str">
        <f>"27/12/2012"</f>
        <v>27/12/2012</v>
      </c>
      <c r="B871" t="str">
        <f>"1071.85"</f>
        <v>1071.85</v>
      </c>
      <c r="C871" t="str">
        <f>"1071.8735"</f>
        <v>1071.8735</v>
      </c>
    </row>
    <row r="872" spans="1:3" x14ac:dyDescent="0.25">
      <c r="A872" t="str">
        <f>"28/12/2012"</f>
        <v>28/12/2012</v>
      </c>
      <c r="B872" t="str">
        <f>"1070.75"</f>
        <v>1070.75</v>
      </c>
      <c r="C872" t="str">
        <f>"1070.775"</f>
        <v>1070.775</v>
      </c>
    </row>
    <row r="873" spans="1:3" x14ac:dyDescent="0.25">
      <c r="A873" t="str">
        <f>"31/12/2012"</f>
        <v>31/12/2012</v>
      </c>
      <c r="B873" t="str">
        <f>"1065.90"</f>
        <v>1065.90</v>
      </c>
      <c r="C873" t="str">
        <f>"1065.933"</f>
        <v>1065.933</v>
      </c>
    </row>
    <row r="874" spans="1:3" x14ac:dyDescent="0.25">
      <c r="A874" t="str">
        <f>"01/01/2013"</f>
        <v>01/01/2013</v>
      </c>
      <c r="B874" t="str">
        <f>"1064.80"</f>
        <v>1064.80</v>
      </c>
      <c r="C874" t="str">
        <f>"1064.832"</f>
        <v>1064.832</v>
      </c>
    </row>
    <row r="875" spans="1:3" x14ac:dyDescent="0.25">
      <c r="A875" t="str">
        <f>"02/01/2013"</f>
        <v>02/01/2013</v>
      </c>
      <c r="B875" t="str">
        <f>"1064.35"</f>
        <v>1064.35</v>
      </c>
      <c r="C875" t="str">
        <f>"1064.374"</f>
        <v>1064.374</v>
      </c>
    </row>
    <row r="876" spans="1:3" x14ac:dyDescent="0.25">
      <c r="A876" t="str">
        <f>"03/01/2013"</f>
        <v>03/01/2013</v>
      </c>
      <c r="B876" t="str">
        <f>"1064.15"</f>
        <v>1064.15</v>
      </c>
      <c r="C876" t="str">
        <f>"1064.181"</f>
        <v>1064.181</v>
      </c>
    </row>
    <row r="877" spans="1:3" x14ac:dyDescent="0.25">
      <c r="A877" t="str">
        <f>"04/01/2013"</f>
        <v>04/01/2013</v>
      </c>
      <c r="B877" t="str">
        <f>"1064.35"</f>
        <v>1064.35</v>
      </c>
      <c r="C877" t="str">
        <f>"1064.373"</f>
        <v>1064.373</v>
      </c>
    </row>
    <row r="878" spans="1:3" x14ac:dyDescent="0.25">
      <c r="A878" t="str">
        <f>"07/01/2013"</f>
        <v>07/01/2013</v>
      </c>
      <c r="B878" t="str">
        <f>"1063.90"</f>
        <v>1063.90</v>
      </c>
      <c r="C878" t="str">
        <f>"1063.926"</f>
        <v>1063.926</v>
      </c>
    </row>
    <row r="879" spans="1:3" x14ac:dyDescent="0.25">
      <c r="A879" t="str">
        <f>"08/01/2013"</f>
        <v>08/01/2013</v>
      </c>
      <c r="B879" t="str">
        <f>"1063.35"</f>
        <v>1063.35</v>
      </c>
      <c r="C879" t="str">
        <f>"1063.375"</f>
        <v>1063.375</v>
      </c>
    </row>
    <row r="880" spans="1:3" x14ac:dyDescent="0.25">
      <c r="A880" t="str">
        <f>"09/01/2013"</f>
        <v>09/01/2013</v>
      </c>
      <c r="B880" t="str">
        <f>"1061.80"</f>
        <v>1061.80</v>
      </c>
      <c r="C880" t="str">
        <f>"1061.831"</f>
        <v>1061.831</v>
      </c>
    </row>
    <row r="881" spans="1:3" x14ac:dyDescent="0.25">
      <c r="A881" t="str">
        <f>"10/01/2013"</f>
        <v>10/01/2013</v>
      </c>
      <c r="B881" t="str">
        <f>"1061.00"</f>
        <v>1061.00</v>
      </c>
      <c r="C881" t="str">
        <f>"1061.031"</f>
        <v>1061.031</v>
      </c>
    </row>
    <row r="882" spans="1:3" x14ac:dyDescent="0.25">
      <c r="A882" t="str">
        <f>"11/01/2013"</f>
        <v>11/01/2013</v>
      </c>
      <c r="B882" t="str">
        <f>"1056.05"</f>
        <v>1056.05</v>
      </c>
      <c r="C882" t="str">
        <f>"1056.073"</f>
        <v>1056.073</v>
      </c>
    </row>
    <row r="883" spans="1:3" x14ac:dyDescent="0.25">
      <c r="A883" t="str">
        <f>"14/01/2013"</f>
        <v>14/01/2013</v>
      </c>
      <c r="B883" t="str">
        <f>"1056.25"</f>
        <v>1056.25</v>
      </c>
      <c r="C883" t="str">
        <f>"1056.282"</f>
        <v>1056.282</v>
      </c>
    </row>
    <row r="884" spans="1:3" x14ac:dyDescent="0.25">
      <c r="A884" t="str">
        <f>"15/01/2013"</f>
        <v>15/01/2013</v>
      </c>
      <c r="B884" t="str">
        <f>"1055.90"</f>
        <v>1055.90</v>
      </c>
      <c r="C884" t="str">
        <f>"1055.9319"</f>
        <v>1055.9319</v>
      </c>
    </row>
    <row r="885" spans="1:3" x14ac:dyDescent="0.25">
      <c r="A885" t="str">
        <f>"16/01/2013"</f>
        <v>16/01/2013</v>
      </c>
      <c r="B885" t="str">
        <f>"1059.475"</f>
        <v>1059.475</v>
      </c>
      <c r="C885" t="str">
        <f>"1059.5066"</f>
        <v>1059.5066</v>
      </c>
    </row>
    <row r="886" spans="1:3" x14ac:dyDescent="0.25">
      <c r="A886" t="str">
        <f>"17/01/2013"</f>
        <v>17/01/2013</v>
      </c>
      <c r="B886" t="str">
        <f>"1059.80"</f>
        <v>1059.80</v>
      </c>
      <c r="C886" t="str">
        <f>"1059.8301"</f>
        <v>1059.8301</v>
      </c>
    </row>
    <row r="887" spans="1:3" x14ac:dyDescent="0.25">
      <c r="A887" t="str">
        <f>"18/01/2013"</f>
        <v>18/01/2013</v>
      </c>
      <c r="B887" t="str">
        <f>"1056.20"</f>
        <v>1056.20</v>
      </c>
      <c r="C887" t="str">
        <f>"1056.2258"</f>
        <v>1056.2258</v>
      </c>
    </row>
    <row r="888" spans="1:3" x14ac:dyDescent="0.25">
      <c r="A888" t="str">
        <f>"21/01/2013"</f>
        <v>21/01/2013</v>
      </c>
      <c r="B888" t="str">
        <f>"1059.65"</f>
        <v>1059.65</v>
      </c>
      <c r="C888" t="str">
        <f>"1059.6816"</f>
        <v>1059.6816</v>
      </c>
    </row>
    <row r="889" spans="1:3" x14ac:dyDescent="0.25">
      <c r="A889" t="str">
        <f>"22/01/2013"</f>
        <v>22/01/2013</v>
      </c>
      <c r="B889" t="str">
        <f>"1065.90"</f>
        <v>1065.90</v>
      </c>
      <c r="C889" t="str">
        <f>"1065.931"</f>
        <v>1065.931</v>
      </c>
    </row>
    <row r="890" spans="1:3" x14ac:dyDescent="0.25">
      <c r="A890" t="str">
        <f>"23/01/2013"</f>
        <v>23/01/2013</v>
      </c>
      <c r="B890" t="str">
        <f>"1066.35"</f>
        <v>1066.35</v>
      </c>
      <c r="C890" t="str">
        <f>"1066.374"</f>
        <v>1066.374</v>
      </c>
    </row>
    <row r="891" spans="1:3" x14ac:dyDescent="0.25">
      <c r="A891" t="str">
        <f>"24/01/2013"</f>
        <v>24/01/2013</v>
      </c>
      <c r="B891" t="str">
        <f>"1067.365"</f>
        <v>1067.365</v>
      </c>
      <c r="C891" t="str">
        <f>"1067.3937"</f>
        <v>1067.3937</v>
      </c>
    </row>
    <row r="892" spans="1:3" x14ac:dyDescent="0.25">
      <c r="A892" t="str">
        <f>"28/01/2013"</f>
        <v>28/01/2013</v>
      </c>
      <c r="B892" t="str">
        <f>"1082.30"</f>
        <v>1082.30</v>
      </c>
      <c r="C892" t="str">
        <f>"1082.3305"</f>
        <v>1082.3305</v>
      </c>
    </row>
    <row r="893" spans="1:3" x14ac:dyDescent="0.25">
      <c r="A893" t="str">
        <f>"29/01/2013"</f>
        <v>29/01/2013</v>
      </c>
      <c r="B893" t="str">
        <f>"1088.60"</f>
        <v>1088.60</v>
      </c>
      <c r="C893" t="str">
        <f>"1088.6223"</f>
        <v>1088.6223</v>
      </c>
    </row>
    <row r="894" spans="1:3" x14ac:dyDescent="0.25">
      <c r="A894" t="str">
        <f>"30/01/2013"</f>
        <v>30/01/2013</v>
      </c>
      <c r="B894" t="str">
        <f>"1083.70"</f>
        <v>1083.70</v>
      </c>
      <c r="C894" t="str">
        <f>"1083.724"</f>
        <v>1083.724</v>
      </c>
    </row>
    <row r="895" spans="1:3" x14ac:dyDescent="0.25">
      <c r="A895" t="str">
        <f>"31/01/2013"</f>
        <v>31/01/2013</v>
      </c>
      <c r="B895" t="str">
        <f>"1089.10"</f>
        <v>1089.10</v>
      </c>
      <c r="C895" t="str">
        <f>"1089.1282"</f>
        <v>1089.1282</v>
      </c>
    </row>
    <row r="896" spans="1:3" x14ac:dyDescent="0.25">
      <c r="A896" t="str">
        <f>"01/02/2013"</f>
        <v>01/02/2013</v>
      </c>
      <c r="B896" t="str">
        <f>"1098.05"</f>
        <v>1098.05</v>
      </c>
      <c r="C896" t="str">
        <f>"1098.0723"</f>
        <v>1098.0723</v>
      </c>
    </row>
    <row r="897" spans="1:3" x14ac:dyDescent="0.25">
      <c r="A897" t="str">
        <f>"04/02/2013"</f>
        <v>04/02/2013</v>
      </c>
      <c r="B897" t="str">
        <f>"1087.50"</f>
        <v>1087.50</v>
      </c>
      <c r="C897" t="str">
        <f>"1087.528"</f>
        <v>1087.528</v>
      </c>
    </row>
    <row r="898" spans="1:3" x14ac:dyDescent="0.25">
      <c r="A898" t="str">
        <f>"05/02/2013"</f>
        <v>05/02/2013</v>
      </c>
      <c r="B898" t="str">
        <f>"1086.60"</f>
        <v>1086.60</v>
      </c>
      <c r="C898" t="str">
        <f>"1086.6244"</f>
        <v>1086.6244</v>
      </c>
    </row>
    <row r="899" spans="1:3" x14ac:dyDescent="0.25">
      <c r="A899" t="str">
        <f>"06/02/2013"</f>
        <v>06/02/2013</v>
      </c>
      <c r="B899" t="str">
        <f>"1089.10"</f>
        <v>1089.10</v>
      </c>
      <c r="C899" t="str">
        <f>"1089.122"</f>
        <v>1089.122</v>
      </c>
    </row>
    <row r="900" spans="1:3" x14ac:dyDescent="0.25">
      <c r="A900" t="str">
        <f>"07/02/2013"</f>
        <v>07/02/2013</v>
      </c>
      <c r="B900" t="str">
        <f>"1089.60"</f>
        <v>1089.60</v>
      </c>
      <c r="C900" t="str">
        <f>"1089.6231"</f>
        <v>1089.6231</v>
      </c>
    </row>
    <row r="901" spans="1:3" x14ac:dyDescent="0.25">
      <c r="A901" t="str">
        <f>"08/02/2013"</f>
        <v>08/02/2013</v>
      </c>
      <c r="B901" t="str">
        <f>"1096.00"</f>
        <v>1096.00</v>
      </c>
      <c r="C901" t="str">
        <f>"1096.0215"</f>
        <v>1096.0215</v>
      </c>
    </row>
    <row r="902" spans="1:3" x14ac:dyDescent="0.25">
      <c r="A902" t="str">
        <f>"11/02/2013"</f>
        <v>11/02/2013</v>
      </c>
      <c r="B902" t="str">
        <f>"1098.00"</f>
        <v>1098.00</v>
      </c>
      <c r="C902" t="str">
        <f>"1098.0215"</f>
        <v>1098.0215</v>
      </c>
    </row>
    <row r="903" spans="1:3" x14ac:dyDescent="0.25">
      <c r="A903" t="str">
        <f>"12/02/2013"</f>
        <v>12/02/2013</v>
      </c>
      <c r="B903" t="str">
        <f>"1093.30"</f>
        <v>1093.30</v>
      </c>
      <c r="C903" t="str">
        <f>"1093.3296"</f>
        <v>1093.3296</v>
      </c>
    </row>
    <row r="904" spans="1:3" x14ac:dyDescent="0.25">
      <c r="A904" t="str">
        <f>"13/02/2013"</f>
        <v>13/02/2013</v>
      </c>
      <c r="B904" t="str">
        <f>"1086.05"</f>
        <v>1086.05</v>
      </c>
      <c r="C904" t="str">
        <f>"1086.0734"</f>
        <v>1086.0734</v>
      </c>
    </row>
    <row r="905" spans="1:3" x14ac:dyDescent="0.25">
      <c r="A905" t="str">
        <f>"14/02/2013"</f>
        <v>14/02/2013</v>
      </c>
      <c r="B905" t="str">
        <f>"1083.80"</f>
        <v>1083.80</v>
      </c>
      <c r="C905" t="str">
        <f>"1083.822"</f>
        <v>1083.822</v>
      </c>
    </row>
    <row r="906" spans="1:3" x14ac:dyDescent="0.25">
      <c r="A906" t="str">
        <f>"15/02/2013"</f>
        <v>15/02/2013</v>
      </c>
      <c r="B906" t="str">
        <f>"1077.80"</f>
        <v>1077.80</v>
      </c>
      <c r="C906" t="str">
        <f>"1077.831"</f>
        <v>1077.831</v>
      </c>
    </row>
    <row r="907" spans="1:3" x14ac:dyDescent="0.25">
      <c r="A907" t="str">
        <f>"18/02/2013"</f>
        <v>18/02/2013</v>
      </c>
      <c r="B907" t="str">
        <f>"1084.30"</f>
        <v>1084.30</v>
      </c>
      <c r="C907" t="str">
        <f>"1084.331"</f>
        <v>1084.331</v>
      </c>
    </row>
    <row r="908" spans="1:3" x14ac:dyDescent="0.25">
      <c r="A908" t="str">
        <f>"20/02/2013"</f>
        <v>20/02/2013</v>
      </c>
      <c r="B908" t="str">
        <f>"1077.50"</f>
        <v>1077.50</v>
      </c>
      <c r="C908" t="str">
        <f>"1077.5254"</f>
        <v>1077.5254</v>
      </c>
    </row>
    <row r="909" spans="1:3" x14ac:dyDescent="0.25">
      <c r="A909" t="str">
        <f>"21/02/2013"</f>
        <v>21/02/2013</v>
      </c>
      <c r="B909" t="str">
        <f>"1085.05"</f>
        <v>1085.05</v>
      </c>
      <c r="C909" t="str">
        <f>"1085.0787"</f>
        <v>1085.0787</v>
      </c>
    </row>
    <row r="910" spans="1:3" x14ac:dyDescent="0.25">
      <c r="A910" t="str">
        <f>"22/02/2013"</f>
        <v>22/02/2013</v>
      </c>
      <c r="B910" t="str">
        <f>"1084.70"</f>
        <v>1084.70</v>
      </c>
      <c r="C910" t="str">
        <f>"1084.7232"</f>
        <v>1084.7232</v>
      </c>
    </row>
    <row r="911" spans="1:3" x14ac:dyDescent="0.25">
      <c r="A911" t="str">
        <f>"25/02/2013"</f>
        <v>25/02/2013</v>
      </c>
      <c r="B911" t="str">
        <f>"1087.05"</f>
        <v>1087.05</v>
      </c>
      <c r="C911" t="str">
        <f>"1087.0815"</f>
        <v>1087.0815</v>
      </c>
    </row>
    <row r="912" spans="1:3" x14ac:dyDescent="0.25">
      <c r="A912" t="str">
        <f>"26/02/2013"</f>
        <v>26/02/2013</v>
      </c>
      <c r="B912" t="str">
        <f>"1088.30"</f>
        <v>1088.30</v>
      </c>
      <c r="C912" t="str">
        <f>"1088.3239"</f>
        <v>1088.3239</v>
      </c>
    </row>
    <row r="913" spans="1:3" x14ac:dyDescent="0.25">
      <c r="A913" t="str">
        <f>"27/02/2013"</f>
        <v>27/02/2013</v>
      </c>
      <c r="B913" t="str">
        <f>"1084.90"</f>
        <v>1084.90</v>
      </c>
      <c r="C913" t="str">
        <f>"1084.925"</f>
        <v>1084.925</v>
      </c>
    </row>
    <row r="914" spans="1:3" x14ac:dyDescent="0.25">
      <c r="A914" t="str">
        <f>"28/02/2013"</f>
        <v>28/02/2013</v>
      </c>
      <c r="B914" t="str">
        <f>"0.00"</f>
        <v>0.00</v>
      </c>
      <c r="C914" t="str">
        <f>"0.00"</f>
        <v>0.00</v>
      </c>
    </row>
    <row r="915" spans="1:3" x14ac:dyDescent="0.25">
      <c r="A915" t="str">
        <f>"01/03/2013"</f>
        <v>01/03/2013</v>
      </c>
      <c r="B915" t="str">
        <f>"1086.085"</f>
        <v>1086.085</v>
      </c>
      <c r="C915" t="str">
        <f>"1086.109"</f>
        <v>1086.109</v>
      </c>
    </row>
    <row r="916" spans="1:3" x14ac:dyDescent="0.25">
      <c r="A916" t="str">
        <f>"04/03/2013"</f>
        <v>04/03/2013</v>
      </c>
      <c r="B916" t="str">
        <f>"1091.90"</f>
        <v>1091.90</v>
      </c>
      <c r="C916" t="str">
        <f>"1091.9335"</f>
        <v>1091.9335</v>
      </c>
    </row>
    <row r="917" spans="1:3" x14ac:dyDescent="0.25">
      <c r="A917" t="str">
        <f>"05/03/2013"</f>
        <v>05/03/2013</v>
      </c>
      <c r="B917" t="str">
        <f>"1086.40"</f>
        <v>1086.40</v>
      </c>
      <c r="C917" t="str">
        <f>"1086.425"</f>
        <v>1086.425</v>
      </c>
    </row>
    <row r="918" spans="1:3" x14ac:dyDescent="0.25">
      <c r="A918" t="str">
        <f>"06/03/2013"</f>
        <v>06/03/2013</v>
      </c>
      <c r="B918" t="str">
        <f>"1083.30"</f>
        <v>1083.30</v>
      </c>
      <c r="C918" t="str">
        <f>"1083.3301"</f>
        <v>1083.3301</v>
      </c>
    </row>
    <row r="919" spans="1:3" x14ac:dyDescent="0.25">
      <c r="A919" t="str">
        <f>"07/03/2013"</f>
        <v>07/03/2013</v>
      </c>
      <c r="B919" t="str">
        <f>"1085.47"</f>
        <v>1085.47</v>
      </c>
      <c r="C919" t="str">
        <f>"1085.5022"</f>
        <v>1085.5022</v>
      </c>
    </row>
    <row r="920" spans="1:3" x14ac:dyDescent="0.25">
      <c r="A920" t="str">
        <f>"08/03/2013"</f>
        <v>08/03/2013</v>
      </c>
      <c r="B920" t="str">
        <f>"1091.05"</f>
        <v>1091.05</v>
      </c>
      <c r="C920" t="str">
        <f>"1091.0793"</f>
        <v>1091.0793</v>
      </c>
    </row>
    <row r="921" spans="1:3" x14ac:dyDescent="0.25">
      <c r="A921" t="str">
        <f>"11/03/2013"</f>
        <v>11/03/2013</v>
      </c>
      <c r="B921" t="str">
        <f>"1097.70"</f>
        <v>1097.70</v>
      </c>
      <c r="C921" t="str">
        <f>"1097.7309"</f>
        <v>1097.7309</v>
      </c>
    </row>
    <row r="922" spans="1:3" x14ac:dyDescent="0.25">
      <c r="A922" t="str">
        <f>"12/03/2013"</f>
        <v>12/03/2013</v>
      </c>
      <c r="B922" t="str">
        <f>"1094.90"</f>
        <v>1094.90</v>
      </c>
      <c r="C922" t="str">
        <f>"1094.9256"</f>
        <v>1094.9256</v>
      </c>
    </row>
    <row r="923" spans="1:3" x14ac:dyDescent="0.25">
      <c r="A923" t="str">
        <f>"13/03/2013"</f>
        <v>13/03/2013</v>
      </c>
      <c r="B923" t="str">
        <f>"1097.65"</f>
        <v>1097.65</v>
      </c>
      <c r="C923" t="str">
        <f>"1097.6823"</f>
        <v>1097.6823</v>
      </c>
    </row>
    <row r="924" spans="1:3" x14ac:dyDescent="0.25">
      <c r="A924" t="str">
        <f>"14/03/2013"</f>
        <v>14/03/2013</v>
      </c>
      <c r="B924" t="str">
        <f>"1109.325"</f>
        <v>1109.325</v>
      </c>
      <c r="C924" t="str">
        <f>"1109.3516"</f>
        <v>1109.3516</v>
      </c>
    </row>
    <row r="925" spans="1:3" x14ac:dyDescent="0.25">
      <c r="A925" t="str">
        <f>"15/03/2013"</f>
        <v>15/03/2013</v>
      </c>
      <c r="B925" t="str">
        <f>"1110.60"</f>
        <v>1110.60</v>
      </c>
      <c r="C925" t="str">
        <f>"1110.6255"</f>
        <v>1110.6255</v>
      </c>
    </row>
    <row r="926" spans="1:3" x14ac:dyDescent="0.25">
      <c r="A926" t="str">
        <f>"18/03/2013"</f>
        <v>18/03/2013</v>
      </c>
      <c r="B926" t="str">
        <f>"1114.375"</f>
        <v>1114.375</v>
      </c>
      <c r="C926" t="str">
        <f>"1114.4022"</f>
        <v>1114.4022</v>
      </c>
    </row>
    <row r="927" spans="1:3" x14ac:dyDescent="0.25">
      <c r="A927" t="str">
        <f>"19/03/2013"</f>
        <v>19/03/2013</v>
      </c>
      <c r="B927" t="str">
        <f>"1112.20"</f>
        <v>1112.20</v>
      </c>
      <c r="C927" t="str">
        <f>"1112.226"</f>
        <v>1112.226</v>
      </c>
    </row>
    <row r="928" spans="1:3" x14ac:dyDescent="0.25">
      <c r="A928" t="str">
        <f>"20/03/2013"</f>
        <v>20/03/2013</v>
      </c>
      <c r="B928" t="str">
        <f>"1117.90"</f>
        <v>1117.90</v>
      </c>
      <c r="C928" t="str">
        <f>"1117.9255"</f>
        <v>1117.9255</v>
      </c>
    </row>
    <row r="929" spans="1:3" x14ac:dyDescent="0.25">
      <c r="A929" t="str">
        <f>"21/03/2013"</f>
        <v>21/03/2013</v>
      </c>
      <c r="B929" t="str">
        <f>"1116.60"</f>
        <v>1116.60</v>
      </c>
      <c r="C929" t="str">
        <f>"1116.6255"</f>
        <v>1116.6255</v>
      </c>
    </row>
    <row r="930" spans="1:3" x14ac:dyDescent="0.25">
      <c r="A930" t="str">
        <f>"22/03/2013"</f>
        <v>22/03/2013</v>
      </c>
      <c r="B930" t="str">
        <f>"1117.375"</f>
        <v>1117.375</v>
      </c>
      <c r="C930" t="str">
        <f>"1117.40"</f>
        <v>1117.40</v>
      </c>
    </row>
    <row r="931" spans="1:3" x14ac:dyDescent="0.25">
      <c r="A931" t="str">
        <f>"25/03/2013"</f>
        <v>25/03/2013</v>
      </c>
      <c r="B931" t="str">
        <f>"1111.975"</f>
        <v>1111.975</v>
      </c>
      <c r="C931" t="str">
        <f>"1112.0012"</f>
        <v>1112.0012</v>
      </c>
    </row>
    <row r="932" spans="1:3" x14ac:dyDescent="0.25">
      <c r="A932" t="str">
        <f>"26/03/2013"</f>
        <v>26/03/2013</v>
      </c>
      <c r="B932" t="str">
        <f>"1107.55"</f>
        <v>1107.55</v>
      </c>
      <c r="C932" t="str">
        <f>"1107.5745"</f>
        <v>1107.5745</v>
      </c>
    </row>
    <row r="933" spans="1:3" x14ac:dyDescent="0.25">
      <c r="A933" t="str">
        <f>"28/03/2013"</f>
        <v>28/03/2013</v>
      </c>
      <c r="B933" t="str">
        <f>"1113.50"</f>
        <v>1113.50</v>
      </c>
      <c r="C933" t="str">
        <f>"1113.5307"</f>
        <v>1113.5307</v>
      </c>
    </row>
    <row r="934" spans="1:3" x14ac:dyDescent="0.25">
      <c r="A934" t="str">
        <f>"02/04/2013"</f>
        <v>02/04/2013</v>
      </c>
      <c r="B934" t="str">
        <f>"1111.50"</f>
        <v>1111.50</v>
      </c>
      <c r="C934" t="str">
        <f>"1111.522"</f>
        <v>1111.522</v>
      </c>
    </row>
    <row r="935" spans="1:3" x14ac:dyDescent="0.25">
      <c r="A935" t="str">
        <f>"03/04/2013"</f>
        <v>03/04/2013</v>
      </c>
      <c r="B935" t="str">
        <f>"1117.85"</f>
        <v>1117.85</v>
      </c>
      <c r="C935" t="str">
        <f>"1117.8665"</f>
        <v>1117.8665</v>
      </c>
    </row>
    <row r="936" spans="1:3" x14ac:dyDescent="0.25">
      <c r="A936" t="str">
        <f>"04/04/2013"</f>
        <v>04/04/2013</v>
      </c>
      <c r="B936" t="str">
        <f>"1125.15"</f>
        <v>1125.15</v>
      </c>
      <c r="C936" t="str">
        <f>"1125.168"</f>
        <v>1125.168</v>
      </c>
    </row>
    <row r="937" spans="1:3" x14ac:dyDescent="0.25">
      <c r="A937" t="str">
        <f>"05/04/2013"</f>
        <v>05/04/2013</v>
      </c>
      <c r="B937" t="str">
        <f>"1128.00"</f>
        <v>1128.00</v>
      </c>
      <c r="C937" t="str">
        <f>"1128.0238"</f>
        <v>1128.0238</v>
      </c>
    </row>
    <row r="938" spans="1:3" x14ac:dyDescent="0.25">
      <c r="A938" t="str">
        <f>"08/04/2013"</f>
        <v>08/04/2013</v>
      </c>
      <c r="B938" t="str">
        <f>"1139.10"</f>
        <v>1139.10</v>
      </c>
      <c r="C938" t="str">
        <f>"1139.1273"</f>
        <v>1139.1273</v>
      </c>
    </row>
    <row r="939" spans="1:3" x14ac:dyDescent="0.25">
      <c r="A939" t="str">
        <f>"09/04/2013"</f>
        <v>09/04/2013</v>
      </c>
      <c r="B939" t="str">
        <f>"1138.00"</f>
        <v>1138.00</v>
      </c>
      <c r="C939" t="str">
        <f>"1138.0284"</f>
        <v>1138.0284</v>
      </c>
    </row>
    <row r="940" spans="1:3" x14ac:dyDescent="0.25">
      <c r="A940" t="str">
        <f>"10/04/2013"</f>
        <v>10/04/2013</v>
      </c>
      <c r="B940" t="str">
        <f>"1136.70"</f>
        <v>1136.70</v>
      </c>
      <c r="C940" t="str">
        <f>"1136.72"</f>
        <v>1136.72</v>
      </c>
    </row>
    <row r="941" spans="1:3" x14ac:dyDescent="0.25">
      <c r="A941" t="str">
        <f>"12/04/2013"</f>
        <v>12/04/2013</v>
      </c>
      <c r="B941" t="str">
        <f>"1131.70"</f>
        <v>1131.70</v>
      </c>
      <c r="C941" t="str">
        <f>"1131.7206"</f>
        <v>1131.7206</v>
      </c>
    </row>
    <row r="942" spans="1:3" x14ac:dyDescent="0.25">
      <c r="A942" t="str">
        <f>"15/04/2013"</f>
        <v>15/04/2013</v>
      </c>
      <c r="B942" t="str">
        <f>"1123.95"</f>
        <v>1123.95</v>
      </c>
      <c r="C942" t="str">
        <f>"1123.9769"</f>
        <v>1123.9769</v>
      </c>
    </row>
    <row r="943" spans="1:3" x14ac:dyDescent="0.25">
      <c r="A943" t="str">
        <f>"16/04/2013"</f>
        <v>16/04/2013</v>
      </c>
      <c r="B943" t="str">
        <f>"1116.90"</f>
        <v>1116.90</v>
      </c>
      <c r="C943" t="str">
        <f>"1116.9261"</f>
        <v>1116.9261</v>
      </c>
    </row>
    <row r="944" spans="1:3" x14ac:dyDescent="0.25">
      <c r="A944" t="str">
        <f>"17/04/2013"</f>
        <v>17/04/2013</v>
      </c>
      <c r="B944" t="str">
        <f>"1117.30"</f>
        <v>1117.30</v>
      </c>
      <c r="C944" t="str">
        <f>"1117.322"</f>
        <v>1117.322</v>
      </c>
    </row>
    <row r="945" spans="1:3" x14ac:dyDescent="0.25">
      <c r="A945" t="str">
        <f>"18/04/2013"</f>
        <v>18/04/2013</v>
      </c>
      <c r="B945" t="str">
        <f>"1119.15"</f>
        <v>1119.15</v>
      </c>
      <c r="C945" t="str">
        <f>"1119.1665"</f>
        <v>1119.1665</v>
      </c>
    </row>
    <row r="946" spans="1:3" x14ac:dyDescent="0.25">
      <c r="A946" t="str">
        <f>"22/04/2013"</f>
        <v>22/04/2013</v>
      </c>
      <c r="B946" t="str">
        <f>"1121.27"</f>
        <v>1121.27</v>
      </c>
      <c r="C946" t="str">
        <f>"1121.2973"</f>
        <v>1121.2973</v>
      </c>
    </row>
    <row r="947" spans="1:3" x14ac:dyDescent="0.25">
      <c r="A947" t="str">
        <f>"23/04/2013"</f>
        <v>23/04/2013</v>
      </c>
      <c r="B947" t="str">
        <f>"1121.90"</f>
        <v>1121.90</v>
      </c>
      <c r="C947" t="str">
        <f>"1121.9272"</f>
        <v>1121.9272</v>
      </c>
    </row>
    <row r="948" spans="1:3" x14ac:dyDescent="0.25">
      <c r="A948" t="str">
        <f>"25/04/2013"</f>
        <v>25/04/2013</v>
      </c>
      <c r="B948" t="str">
        <f>"1113.50"</f>
        <v>1113.50</v>
      </c>
      <c r="C948" t="str">
        <f>"1113.5232"</f>
        <v>1113.5232</v>
      </c>
    </row>
    <row r="949" spans="1:3" x14ac:dyDescent="0.25">
      <c r="A949" t="str">
        <f>"26/04/2013"</f>
        <v>26/04/2013</v>
      </c>
      <c r="B949" t="str">
        <f>"1109.30"</f>
        <v>1109.30</v>
      </c>
      <c r="C949" t="str">
        <f>"1109.316"</f>
        <v>1109.316</v>
      </c>
    </row>
    <row r="950" spans="1:3" x14ac:dyDescent="0.25">
      <c r="A950" t="str">
        <f>"29/04/2013"</f>
        <v>29/04/2013</v>
      </c>
      <c r="B950" t="str">
        <f>"1107.675"</f>
        <v>1107.675</v>
      </c>
      <c r="C950" t="str">
        <f>"1107.6987"</f>
        <v>1107.6987</v>
      </c>
    </row>
    <row r="951" spans="1:3" x14ac:dyDescent="0.25">
      <c r="A951" t="str">
        <f>"30/04/2013"</f>
        <v>30/04/2013</v>
      </c>
      <c r="B951" t="str">
        <f>"1101.60"</f>
        <v>1101.60</v>
      </c>
      <c r="C951" t="str">
        <f>"1101.6155"</f>
        <v>1101.6155</v>
      </c>
    </row>
    <row r="952" spans="1:3" x14ac:dyDescent="0.25">
      <c r="A952" t="str">
        <f>"02/05/2013"</f>
        <v>02/05/2013</v>
      </c>
      <c r="B952" t="str">
        <f>"1099.30"</f>
        <v>1099.30</v>
      </c>
      <c r="C952" t="str">
        <f>"1099.317"</f>
        <v>1099.317</v>
      </c>
    </row>
    <row r="953" spans="1:3" x14ac:dyDescent="0.25">
      <c r="A953" t="str">
        <f>"03/05/2013"</f>
        <v>03/05/2013</v>
      </c>
      <c r="B953" t="str">
        <f>"1099.25"</f>
        <v>1099.25</v>
      </c>
      <c r="C953" t="str">
        <f>"1099.2701"</f>
        <v>1099.2701</v>
      </c>
    </row>
    <row r="954" spans="1:3" x14ac:dyDescent="0.25">
      <c r="A954" t="str">
        <f>"06/05/2013"</f>
        <v>06/05/2013</v>
      </c>
      <c r="B954" t="str">
        <f>"1094.30"</f>
        <v>1094.30</v>
      </c>
      <c r="C954" t="str">
        <f>"1094.3233"</f>
        <v>1094.3233</v>
      </c>
    </row>
    <row r="955" spans="1:3" x14ac:dyDescent="0.25">
      <c r="A955" t="str">
        <f>"07/05/2013"</f>
        <v>07/05/2013</v>
      </c>
      <c r="B955" t="str">
        <f>"1094.20"</f>
        <v>1094.20</v>
      </c>
      <c r="C955" t="str">
        <f>"1094.2251"</f>
        <v>1094.2251</v>
      </c>
    </row>
    <row r="956" spans="1:3" x14ac:dyDescent="0.25">
      <c r="A956" t="str">
        <f>"08/05/2013"</f>
        <v>08/05/2013</v>
      </c>
      <c r="B956" t="str">
        <f>"1088.40"</f>
        <v>1088.40</v>
      </c>
      <c r="C956" t="str">
        <f>"1088.4201"</f>
        <v>1088.4201</v>
      </c>
    </row>
    <row r="957" spans="1:3" x14ac:dyDescent="0.25">
      <c r="A957" t="str">
        <f>"09/05/2013"</f>
        <v>09/05/2013</v>
      </c>
      <c r="B957" t="str">
        <f>"1087.90"</f>
        <v>1087.90</v>
      </c>
      <c r="C957" t="str">
        <f>"1087.919"</f>
        <v>1087.919</v>
      </c>
    </row>
    <row r="958" spans="1:3" x14ac:dyDescent="0.25">
      <c r="A958" t="str">
        <f>"10/05/2013"</f>
        <v>10/05/2013</v>
      </c>
      <c r="B958" t="str">
        <f>"1104.95"</f>
        <v>1104.95</v>
      </c>
      <c r="C958" t="str">
        <f>"1104.9794"</f>
        <v>1104.9794</v>
      </c>
    </row>
    <row r="959" spans="1:3" x14ac:dyDescent="0.25">
      <c r="A959" t="str">
        <f>"13/05/2013"</f>
        <v>13/05/2013</v>
      </c>
      <c r="B959" t="str">
        <f>"1111.95"</f>
        <v>1111.95</v>
      </c>
      <c r="C959" t="str">
        <f>"1111.9716"</f>
        <v>1111.9716</v>
      </c>
    </row>
    <row r="960" spans="1:3" x14ac:dyDescent="0.25">
      <c r="A960" t="str">
        <f>"14/05/2013"</f>
        <v>14/05/2013</v>
      </c>
      <c r="B960" t="str">
        <f>"1106.675"</f>
        <v>1106.675</v>
      </c>
      <c r="C960" t="str">
        <f>"1106.6952"</f>
        <v>1106.6952</v>
      </c>
    </row>
    <row r="961" spans="1:3" x14ac:dyDescent="0.25">
      <c r="A961" t="str">
        <f>"15/05/2013"</f>
        <v>15/05/2013</v>
      </c>
      <c r="B961" t="str">
        <f>"1113.80"</f>
        <v>1113.80</v>
      </c>
      <c r="C961" t="str">
        <f>"1113.8219"</f>
        <v>1113.8219</v>
      </c>
    </row>
    <row r="962" spans="1:3" x14ac:dyDescent="0.25">
      <c r="A962" t="str">
        <f>"16/05/2013"</f>
        <v>16/05/2013</v>
      </c>
      <c r="B962" t="str">
        <f>"1116.85"</f>
        <v>1116.85</v>
      </c>
      <c r="C962" t="str">
        <f>"1116.8784"</f>
        <v>1116.8784</v>
      </c>
    </row>
    <row r="963" spans="1:3" x14ac:dyDescent="0.25">
      <c r="A963" t="str">
        <f>"17/05/2013"</f>
        <v>17/05/2013</v>
      </c>
      <c r="B963" t="str">
        <f>"1117.97"</f>
        <v>1117.97</v>
      </c>
      <c r="C963" t="str">
        <f>"1117.9907"</f>
        <v>1117.9907</v>
      </c>
    </row>
    <row r="964" spans="1:3" x14ac:dyDescent="0.25">
      <c r="A964" t="str">
        <f>"20/05/2013"</f>
        <v>20/05/2013</v>
      </c>
      <c r="B964" t="str">
        <f>"1117.00"</f>
        <v>1117.00</v>
      </c>
      <c r="C964" t="str">
        <f>"1117.029"</f>
        <v>1117.029</v>
      </c>
    </row>
    <row r="965" spans="1:3" x14ac:dyDescent="0.25">
      <c r="A965" t="str">
        <f>"21/05/2013"</f>
        <v>21/05/2013</v>
      </c>
      <c r="B965" t="str">
        <f>"1111.475"</f>
        <v>1111.475</v>
      </c>
      <c r="C965" t="str">
        <f>"1111.5031"</f>
        <v>1111.5031</v>
      </c>
    </row>
    <row r="966" spans="1:3" x14ac:dyDescent="0.25">
      <c r="A966" t="str">
        <f>"22/05/2013"</f>
        <v>22/05/2013</v>
      </c>
      <c r="B966" t="str">
        <f>"1112.40"</f>
        <v>1112.40</v>
      </c>
      <c r="C966" t="str">
        <f>"1112.4194"</f>
        <v>1112.4194</v>
      </c>
    </row>
    <row r="967" spans="1:3" x14ac:dyDescent="0.25">
      <c r="A967" t="str">
        <f>"23/05/2013"</f>
        <v>23/05/2013</v>
      </c>
      <c r="B967" t="str">
        <f>"1123.30"</f>
        <v>1123.30</v>
      </c>
      <c r="C967" t="str">
        <f>"1123.3209"</f>
        <v>1123.3209</v>
      </c>
    </row>
    <row r="968" spans="1:3" x14ac:dyDescent="0.25">
      <c r="A968" t="str">
        <f>"24/05/2013"</f>
        <v>24/05/2013</v>
      </c>
      <c r="B968" t="str">
        <f>"1127.475"</f>
        <v>1127.475</v>
      </c>
      <c r="C968" t="str">
        <f>"1127.4966"</f>
        <v>1127.4966</v>
      </c>
    </row>
    <row r="969" spans="1:3" x14ac:dyDescent="0.25">
      <c r="A969" t="str">
        <f>"27/05/2013"</f>
        <v>27/05/2013</v>
      </c>
      <c r="B969" t="str">
        <f>"1123.375"</f>
        <v>1123.375</v>
      </c>
      <c r="C969" t="str">
        <f>"1123.3947"</f>
        <v>1123.3947</v>
      </c>
    </row>
    <row r="970" spans="1:3" x14ac:dyDescent="0.25">
      <c r="A970" t="str">
        <f>"28/05/2013"</f>
        <v>28/05/2013</v>
      </c>
      <c r="B970" t="str">
        <f>"1127.40"</f>
        <v>1127.40</v>
      </c>
      <c r="C970" t="str">
        <f>"1127.425"</f>
        <v>1127.425</v>
      </c>
    </row>
    <row r="971" spans="1:3" x14ac:dyDescent="0.25">
      <c r="A971" t="str">
        <f>"29/05/2013"</f>
        <v>29/05/2013</v>
      </c>
      <c r="B971" t="str">
        <f>"1128.90"</f>
        <v>1128.90</v>
      </c>
      <c r="C971" t="str">
        <f>"1128.918"</f>
        <v>1128.918</v>
      </c>
    </row>
    <row r="972" spans="1:3" x14ac:dyDescent="0.25">
      <c r="A972" t="str">
        <f>"30/05/2013"</f>
        <v>30/05/2013</v>
      </c>
      <c r="B972" t="str">
        <f>"1127.50"</f>
        <v>1127.50</v>
      </c>
      <c r="C972" t="str">
        <f>"1127.52"</f>
        <v>1127.52</v>
      </c>
    </row>
    <row r="973" spans="1:3" x14ac:dyDescent="0.25">
      <c r="A973" t="str">
        <f>"31/05/2013"</f>
        <v>31/05/2013</v>
      </c>
      <c r="B973" t="str">
        <f>"1128.65"</f>
        <v>1128.65</v>
      </c>
      <c r="C973" t="str">
        <f>"1128.6789"</f>
        <v>1128.6789</v>
      </c>
    </row>
    <row r="974" spans="1:3" x14ac:dyDescent="0.25">
      <c r="A974" t="str">
        <f>"03/06/2013"</f>
        <v>03/06/2013</v>
      </c>
      <c r="B974" t="str">
        <f>"1127.775"</f>
        <v>1127.775</v>
      </c>
      <c r="C974" t="str">
        <f>"1127.797"</f>
        <v>1127.797</v>
      </c>
    </row>
    <row r="975" spans="1:3" x14ac:dyDescent="0.25">
      <c r="A975" t="str">
        <f>"04/06/2013"</f>
        <v>04/06/2013</v>
      </c>
      <c r="B975" t="str">
        <f>"1121.60"</f>
        <v>1121.60</v>
      </c>
      <c r="C975" t="str">
        <f>"1121.6215"</f>
        <v>1121.6215</v>
      </c>
    </row>
    <row r="976" spans="1:3" x14ac:dyDescent="0.25">
      <c r="A976" t="str">
        <f>"05/06/2013"</f>
        <v>05/06/2013</v>
      </c>
      <c r="B976" t="str">
        <f>"1116.75"</f>
        <v>1116.75</v>
      </c>
      <c r="C976" t="str">
        <f>"1116.77"</f>
        <v>1116.77</v>
      </c>
    </row>
    <row r="977" spans="1:3" x14ac:dyDescent="0.25">
      <c r="A977" t="str">
        <f>"06/06/2013"</f>
        <v>06/06/2013</v>
      </c>
      <c r="B977" t="str">
        <f>"1119.20"</f>
        <v>1119.20</v>
      </c>
      <c r="C977" t="str">
        <f>"1119.22"</f>
        <v>1119.22</v>
      </c>
    </row>
    <row r="978" spans="1:3" x14ac:dyDescent="0.25">
      <c r="A978" t="str">
        <f>"07/06/2013"</f>
        <v>07/06/2013</v>
      </c>
      <c r="B978" t="str">
        <f>"1112.225"</f>
        <v>1112.225</v>
      </c>
      <c r="C978" t="str">
        <f>"1112.2526"</f>
        <v>1112.2526</v>
      </c>
    </row>
    <row r="979" spans="1:3" x14ac:dyDescent="0.25">
      <c r="A979" t="str">
        <f>"10/06/2013"</f>
        <v>10/06/2013</v>
      </c>
      <c r="B979" t="str">
        <f>"1125.10"</f>
        <v>1125.10</v>
      </c>
      <c r="C979" t="str">
        <f>"1125.1276"</f>
        <v>1125.1276</v>
      </c>
    </row>
    <row r="980" spans="1:3" x14ac:dyDescent="0.25">
      <c r="A980" t="str">
        <f>"11/06/2013"</f>
        <v>11/06/2013</v>
      </c>
      <c r="B980" t="str">
        <f>"1132.70"</f>
        <v>1132.70</v>
      </c>
      <c r="C980" t="str">
        <f>"1132.7295"</f>
        <v>1132.7295</v>
      </c>
    </row>
    <row r="981" spans="1:3" x14ac:dyDescent="0.25">
      <c r="A981" t="str">
        <f>"12/06/2013"</f>
        <v>12/06/2013</v>
      </c>
      <c r="B981" t="str">
        <f>"1133.30"</f>
        <v>1133.30</v>
      </c>
      <c r="C981" t="str">
        <f>"1133.3241"</f>
        <v>1133.3241</v>
      </c>
    </row>
    <row r="982" spans="1:3" x14ac:dyDescent="0.25">
      <c r="A982" t="str">
        <f>"13/06/2013"</f>
        <v>13/06/2013</v>
      </c>
      <c r="B982" t="str">
        <f>"1135.025"</f>
        <v>1135.025</v>
      </c>
      <c r="C982" t="str">
        <f>"1135.0524"</f>
        <v>1135.0524</v>
      </c>
    </row>
    <row r="983" spans="1:3" x14ac:dyDescent="0.25">
      <c r="A983" t="str">
        <f>"14/06/2013"</f>
        <v>14/06/2013</v>
      </c>
      <c r="B983" t="str">
        <f>"1130.10"</f>
        <v>1130.10</v>
      </c>
      <c r="C983" t="str">
        <f>"1130.1268"</f>
        <v>1130.1268</v>
      </c>
    </row>
    <row r="984" spans="1:3" x14ac:dyDescent="0.25">
      <c r="A984" t="str">
        <f>"17/06/2013"</f>
        <v>17/06/2013</v>
      </c>
      <c r="B984" t="str">
        <f>"1128.30"</f>
        <v>1128.30</v>
      </c>
      <c r="C984" t="str">
        <f>"1128.3198"</f>
        <v>1128.3198</v>
      </c>
    </row>
    <row r="985" spans="1:3" x14ac:dyDescent="0.25">
      <c r="A985" t="str">
        <f>"18/06/2013"</f>
        <v>18/06/2013</v>
      </c>
      <c r="B985" t="str">
        <f>"1130.425"</f>
        <v>1130.425</v>
      </c>
      <c r="C985" t="str">
        <f>"1130.446"</f>
        <v>1130.446</v>
      </c>
    </row>
    <row r="986" spans="1:3" x14ac:dyDescent="0.25">
      <c r="A986" t="str">
        <f>"19/06/2013"</f>
        <v>19/06/2013</v>
      </c>
      <c r="B986" t="str">
        <f>"1131.85"</f>
        <v>1131.85</v>
      </c>
      <c r="C986" t="str">
        <f>"1131.87"</f>
        <v>1131.87</v>
      </c>
    </row>
    <row r="987" spans="1:3" x14ac:dyDescent="0.25">
      <c r="A987" t="str">
        <f>"20/06/2013"</f>
        <v>20/06/2013</v>
      </c>
      <c r="B987" t="str">
        <f>"1146.25"</f>
        <v>1146.25</v>
      </c>
      <c r="C987" t="str">
        <f>"1146.277"</f>
        <v>1146.277</v>
      </c>
    </row>
    <row r="988" spans="1:3" x14ac:dyDescent="0.25">
      <c r="A988" t="str">
        <f>"21/06/2013"</f>
        <v>21/06/2013</v>
      </c>
      <c r="B988" t="str">
        <f>"1155.60"</f>
        <v>1155.60</v>
      </c>
      <c r="C988" t="str">
        <f>"1155.6191"</f>
        <v>1155.6191</v>
      </c>
    </row>
    <row r="989" spans="1:3" x14ac:dyDescent="0.25">
      <c r="A989" t="str">
        <f>"24/06/2013"</f>
        <v>24/06/2013</v>
      </c>
      <c r="B989" t="str">
        <f>"1158.05"</f>
        <v>1158.05</v>
      </c>
      <c r="C989" t="str">
        <f>"1158.0774"</f>
        <v>1158.0774</v>
      </c>
    </row>
    <row r="990" spans="1:3" x14ac:dyDescent="0.25">
      <c r="A990" t="str">
        <f>"25/06/2013"</f>
        <v>25/06/2013</v>
      </c>
      <c r="B990" t="str">
        <f>"1162.30"</f>
        <v>1162.30</v>
      </c>
      <c r="C990" t="str">
        <f>"1162.3273"</f>
        <v>1162.3273</v>
      </c>
    </row>
    <row r="991" spans="1:3" x14ac:dyDescent="0.25">
      <c r="A991" t="str">
        <f>"26/06/2013"</f>
        <v>26/06/2013</v>
      </c>
      <c r="B991" t="str">
        <f>"1154.10"</f>
        <v>1154.10</v>
      </c>
      <c r="C991" t="str">
        <f>"1154.1304"</f>
        <v>1154.1304</v>
      </c>
    </row>
    <row r="992" spans="1:3" x14ac:dyDescent="0.25">
      <c r="A992" t="str">
        <f>"27/06/2013"</f>
        <v>27/06/2013</v>
      </c>
      <c r="B992" t="str">
        <f>"1150.725"</f>
        <v>1150.725</v>
      </c>
      <c r="C992" t="str">
        <f>"1150.754"</f>
        <v>1150.754</v>
      </c>
    </row>
    <row r="993" spans="1:3" x14ac:dyDescent="0.25">
      <c r="A993" t="str">
        <f>"28/06/2013"</f>
        <v>28/06/2013</v>
      </c>
      <c r="B993" t="str">
        <f>"1145.90"</f>
        <v>1145.90</v>
      </c>
      <c r="C993" t="str">
        <f>"1145.9291"</f>
        <v>1145.9291</v>
      </c>
    </row>
    <row r="994" spans="1:3" x14ac:dyDescent="0.25">
      <c r="A994" t="str">
        <f>"01/07/2013"</f>
        <v>01/07/2013</v>
      </c>
      <c r="B994" t="str">
        <f>"1134.125"</f>
        <v>1134.125</v>
      </c>
      <c r="C994" t="str">
        <f>"1134.154"</f>
        <v>1134.154</v>
      </c>
    </row>
    <row r="995" spans="1:3" x14ac:dyDescent="0.25">
      <c r="A995" t="str">
        <f>"02/07/2013"</f>
        <v>02/07/2013</v>
      </c>
      <c r="B995" t="str">
        <f>"1133.80"</f>
        <v>1133.80</v>
      </c>
      <c r="C995" t="str">
        <f>"1133.8273"</f>
        <v>1133.8273</v>
      </c>
    </row>
    <row r="996" spans="1:3" x14ac:dyDescent="0.25">
      <c r="A996" t="str">
        <f>"03/07/2013"</f>
        <v>03/07/2013</v>
      </c>
      <c r="B996" t="str">
        <f>"1134.25"</f>
        <v>1134.25</v>
      </c>
      <c r="C996" t="str">
        <f>"1134.275"</f>
        <v>1134.275</v>
      </c>
    </row>
    <row r="997" spans="1:3" x14ac:dyDescent="0.25">
      <c r="A997" t="str">
        <f>"04/07/2013"</f>
        <v>04/07/2013</v>
      </c>
      <c r="B997" t="str">
        <f>"1140.35"</f>
        <v>1140.35</v>
      </c>
      <c r="C997" t="str">
        <f>"1140.3781"</f>
        <v>1140.3781</v>
      </c>
    </row>
    <row r="998" spans="1:3" x14ac:dyDescent="0.25">
      <c r="A998" t="str">
        <f>"05/07/2013"</f>
        <v>05/07/2013</v>
      </c>
      <c r="B998" t="str">
        <f>"1142.20"</f>
        <v>1142.20</v>
      </c>
      <c r="C998" t="str">
        <f>"1142.227"</f>
        <v>1142.227</v>
      </c>
    </row>
    <row r="999" spans="1:3" x14ac:dyDescent="0.25">
      <c r="A999" t="str">
        <f>"08/07/2013"</f>
        <v>08/07/2013</v>
      </c>
      <c r="B999" t="str">
        <f>"1151.90"</f>
        <v>1151.90</v>
      </c>
      <c r="C999" t="str">
        <f>"1151.9278"</f>
        <v>1151.9278</v>
      </c>
    </row>
    <row r="1000" spans="1:3" x14ac:dyDescent="0.25">
      <c r="A1000" t="str">
        <f>"09/07/2013"</f>
        <v>09/07/2013</v>
      </c>
      <c r="B1000" t="str">
        <f>"1143.60"</f>
        <v>1143.60</v>
      </c>
      <c r="C1000" t="str">
        <f>"1143.6275"</f>
        <v>1143.6275</v>
      </c>
    </row>
    <row r="1001" spans="1:3" x14ac:dyDescent="0.25">
      <c r="A1001" t="str">
        <f>"10/07/2013"</f>
        <v>10/07/2013</v>
      </c>
      <c r="B1001" t="str">
        <f>"1136.60"</f>
        <v>1136.60</v>
      </c>
      <c r="C1001" t="str">
        <f>"1136.621"</f>
        <v>1136.621</v>
      </c>
    </row>
    <row r="1002" spans="1:3" x14ac:dyDescent="0.25">
      <c r="A1002" t="str">
        <f>"11/07/2013"</f>
        <v>11/07/2013</v>
      </c>
      <c r="B1002" t="str">
        <f>"1122.75"</f>
        <v>1122.75</v>
      </c>
      <c r="C1002" t="str">
        <f>"1122.7773"</f>
        <v>1122.7773</v>
      </c>
    </row>
    <row r="1003" spans="1:3" x14ac:dyDescent="0.25">
      <c r="A1003" t="str">
        <f>"12/07/2013"</f>
        <v>12/07/2013</v>
      </c>
      <c r="B1003" t="str">
        <f>"1120.80"</f>
        <v>1120.80</v>
      </c>
      <c r="C1003" t="str">
        <f>"1120.8231"</f>
        <v>1120.8231</v>
      </c>
    </row>
    <row r="1004" spans="1:3" x14ac:dyDescent="0.25">
      <c r="A1004" t="str">
        <f>"15/07/2013"</f>
        <v>15/07/2013</v>
      </c>
      <c r="B1004" t="str">
        <f>"1121.10"</f>
        <v>1121.10</v>
      </c>
      <c r="C1004" t="str">
        <f>"1121.1281"</f>
        <v>1121.1281</v>
      </c>
    </row>
    <row r="1005" spans="1:3" x14ac:dyDescent="0.25">
      <c r="A1005" t="str">
        <f>"16/07/2013"</f>
        <v>16/07/2013</v>
      </c>
      <c r="B1005" t="str">
        <f>"1119.20"</f>
        <v>1119.20</v>
      </c>
      <c r="C1005" t="str">
        <f>"1119.221"</f>
        <v>1119.221</v>
      </c>
    </row>
    <row r="1006" spans="1:3" x14ac:dyDescent="0.25">
      <c r="A1006" t="str">
        <f>"17/07/2013"</f>
        <v>17/07/2013</v>
      </c>
      <c r="B1006" t="str">
        <f>"1117.90"</f>
        <v>1117.90</v>
      </c>
      <c r="C1006" t="str">
        <f>"1117.921"</f>
        <v>1117.921</v>
      </c>
    </row>
    <row r="1007" spans="1:3" x14ac:dyDescent="0.25">
      <c r="A1007" t="str">
        <f>"18/07/2013"</f>
        <v>18/07/2013</v>
      </c>
      <c r="B1007" t="str">
        <f>"1125.925"</f>
        <v>1125.925</v>
      </c>
      <c r="C1007" t="str">
        <f>"1125.946"</f>
        <v>1125.946</v>
      </c>
    </row>
    <row r="1008" spans="1:3" x14ac:dyDescent="0.25">
      <c r="A1008" t="str">
        <f>"19/07/2013"</f>
        <v>19/07/2013</v>
      </c>
      <c r="B1008" t="str">
        <f>"1123.10"</f>
        <v>1123.10</v>
      </c>
      <c r="C1008" t="str">
        <f>"1123.126"</f>
        <v>1123.126</v>
      </c>
    </row>
    <row r="1009" spans="1:3" x14ac:dyDescent="0.25">
      <c r="A1009" t="str">
        <f>"22/07/2013"</f>
        <v>22/07/2013</v>
      </c>
      <c r="B1009" t="str">
        <f>"1118.80"</f>
        <v>1118.80</v>
      </c>
      <c r="C1009" t="str">
        <f>"1118.8229"</f>
        <v>1118.8229</v>
      </c>
    </row>
    <row r="1010" spans="1:3" x14ac:dyDescent="0.25">
      <c r="A1010" t="str">
        <f>"23/07/2013"</f>
        <v>23/07/2013</v>
      </c>
      <c r="B1010" t="str">
        <f>"1116.45"</f>
        <v>1116.45</v>
      </c>
      <c r="C1010" t="str">
        <f>"1116.472"</f>
        <v>1116.472</v>
      </c>
    </row>
    <row r="1011" spans="1:3" x14ac:dyDescent="0.25">
      <c r="A1011" t="str">
        <f>"24/07/2013"</f>
        <v>24/07/2013</v>
      </c>
      <c r="B1011" t="str">
        <f>"1114.025"</f>
        <v>1114.025</v>
      </c>
      <c r="C1011" t="str">
        <f>"1114.0485"</f>
        <v>1114.0485</v>
      </c>
    </row>
    <row r="1012" spans="1:3" x14ac:dyDescent="0.25">
      <c r="A1012" t="str">
        <f>"25/07/2013"</f>
        <v>25/07/2013</v>
      </c>
      <c r="B1012" t="str">
        <f>"1117.85"</f>
        <v>1117.85</v>
      </c>
      <c r="C1012" t="str">
        <f>"1117.8722"</f>
        <v>1117.8722</v>
      </c>
    </row>
    <row r="1013" spans="1:3" x14ac:dyDescent="0.25">
      <c r="A1013" t="str">
        <f>"26/07/2013"</f>
        <v>26/07/2013</v>
      </c>
      <c r="B1013" t="str">
        <f>"1111.50"</f>
        <v>1111.50</v>
      </c>
      <c r="C1013" t="str">
        <f>"1111.5288"</f>
        <v>1111.5288</v>
      </c>
    </row>
    <row r="1014" spans="1:3" x14ac:dyDescent="0.25">
      <c r="A1014" t="str">
        <f>"29/07/2013"</f>
        <v>29/07/2013</v>
      </c>
      <c r="B1014" t="str">
        <f>"1109.60"</f>
        <v>1109.60</v>
      </c>
      <c r="C1014" t="str">
        <f>"1109.63"</f>
        <v>1109.63</v>
      </c>
    </row>
    <row r="1015" spans="1:3" x14ac:dyDescent="0.25">
      <c r="A1015" t="str">
        <f>"30/07/2013"</f>
        <v>30/07/2013</v>
      </c>
      <c r="B1015" t="str">
        <f>"1114.30"</f>
        <v>1114.30</v>
      </c>
      <c r="C1015" t="str">
        <f>"1114.3255"</f>
        <v>1114.3255</v>
      </c>
    </row>
    <row r="1016" spans="1:3" x14ac:dyDescent="0.25">
      <c r="A1016" t="str">
        <f>"31/07/2013"</f>
        <v>31/07/2013</v>
      </c>
      <c r="B1016" t="str">
        <f>"1122.10"</f>
        <v>1122.10</v>
      </c>
      <c r="C1016" t="str">
        <f>"1122.127"</f>
        <v>1122.127</v>
      </c>
    </row>
    <row r="1017" spans="1:3" x14ac:dyDescent="0.25">
      <c r="A1017" t="str">
        <f>"01/08/2013"</f>
        <v>01/08/2013</v>
      </c>
      <c r="B1017" t="str">
        <f>"1121.50"</f>
        <v>1121.50</v>
      </c>
      <c r="C1017" t="str">
        <f>"1121.523"</f>
        <v>1121.523</v>
      </c>
    </row>
    <row r="1018" spans="1:3" x14ac:dyDescent="0.25">
      <c r="A1018" t="str">
        <f>"02/08/2013"</f>
        <v>02/08/2013</v>
      </c>
      <c r="B1018" t="str">
        <f>"1124.95"</f>
        <v>1124.95</v>
      </c>
      <c r="C1018" t="str">
        <f>"1124.9767"</f>
        <v>1124.9767</v>
      </c>
    </row>
    <row r="1019" spans="1:3" x14ac:dyDescent="0.25">
      <c r="A1019" t="str">
        <f>"05/08/2013"</f>
        <v>05/08/2013</v>
      </c>
      <c r="B1019" t="str">
        <f>"1115.55"</f>
        <v>1115.55</v>
      </c>
      <c r="C1019" t="str">
        <f>"1115.5776"</f>
        <v>1115.5776</v>
      </c>
    </row>
    <row r="1020" spans="1:3" x14ac:dyDescent="0.25">
      <c r="A1020" t="str">
        <f>"06/08/2013"</f>
        <v>06/08/2013</v>
      </c>
      <c r="B1020" t="str">
        <f>"1114.70"</f>
        <v>1114.70</v>
      </c>
      <c r="C1020" t="str">
        <f>"1114.7235"</f>
        <v>1114.7235</v>
      </c>
    </row>
    <row r="1021" spans="1:3" x14ac:dyDescent="0.25">
      <c r="A1021" t="str">
        <f>"07/08/2013"</f>
        <v>07/08/2013</v>
      </c>
      <c r="B1021" t="str">
        <f>"1118.80"</f>
        <v>1118.80</v>
      </c>
      <c r="C1021" t="str">
        <f>"1118.8291"</f>
        <v>1118.8291</v>
      </c>
    </row>
    <row r="1022" spans="1:3" x14ac:dyDescent="0.25">
      <c r="A1022" t="str">
        <f>"08/08/2013"</f>
        <v>08/08/2013</v>
      </c>
      <c r="B1022" t="str">
        <f>"1113.60"</f>
        <v>1113.60</v>
      </c>
      <c r="C1022" t="str">
        <f>"1113.6252"</f>
        <v>1113.6252</v>
      </c>
    </row>
    <row r="1023" spans="1:3" x14ac:dyDescent="0.25">
      <c r="A1023" t="str">
        <f>"12/08/2013"</f>
        <v>12/08/2013</v>
      </c>
      <c r="B1023" t="str">
        <f>"1113.40"</f>
        <v>1113.40</v>
      </c>
      <c r="C1023" t="str">
        <f>"1113.4273"</f>
        <v>1113.4273</v>
      </c>
    </row>
    <row r="1024" spans="1:3" x14ac:dyDescent="0.25">
      <c r="A1024" t="str">
        <f>"13/08/2013"</f>
        <v>13/08/2013</v>
      </c>
      <c r="B1024" t="str">
        <f>"1115.85"</f>
        <v>1115.85</v>
      </c>
      <c r="C1024" t="str">
        <f>"1115.8794"</f>
        <v>1115.8794</v>
      </c>
    </row>
    <row r="1025" spans="1:3" x14ac:dyDescent="0.25">
      <c r="A1025" t="str">
        <f>"14/08/2013"</f>
        <v>14/08/2013</v>
      </c>
      <c r="B1025" t="str">
        <f>"1119.15"</f>
        <v>1119.15</v>
      </c>
      <c r="C1025" t="str">
        <f>"1119.175"</f>
        <v>1119.175</v>
      </c>
    </row>
    <row r="1026" spans="1:3" x14ac:dyDescent="0.25">
      <c r="A1026" t="str">
        <f>"16/08/2013"</f>
        <v>16/08/2013</v>
      </c>
      <c r="B1026" t="str">
        <f>"1115.10"</f>
        <v>1115.10</v>
      </c>
      <c r="C1026" t="str">
        <f>"1115.124"</f>
        <v>1115.124</v>
      </c>
    </row>
    <row r="1027" spans="1:3" x14ac:dyDescent="0.25">
      <c r="A1027" t="str">
        <f>"19/08/2013"</f>
        <v>19/08/2013</v>
      </c>
      <c r="B1027" t="str">
        <f>"1115.50"</f>
        <v>1115.50</v>
      </c>
      <c r="C1027" t="str">
        <f>"1115.5307"</f>
        <v>1115.5307</v>
      </c>
    </row>
    <row r="1028" spans="1:3" x14ac:dyDescent="0.25">
      <c r="A1028" t="str">
        <f>"20/08/2013"</f>
        <v>20/08/2013</v>
      </c>
      <c r="B1028" t="str">
        <f>"1123.20"</f>
        <v>1123.20</v>
      </c>
      <c r="C1028" t="str">
        <f>"1123.224"</f>
        <v>1123.224</v>
      </c>
    </row>
    <row r="1029" spans="1:3" x14ac:dyDescent="0.25">
      <c r="A1029" t="str">
        <f>"21/08/2013"</f>
        <v>21/08/2013</v>
      </c>
      <c r="B1029" t="str">
        <f>"1118.90"</f>
        <v>1118.90</v>
      </c>
      <c r="C1029" t="str">
        <f>"1118.9243"</f>
        <v>1118.9243</v>
      </c>
    </row>
    <row r="1030" spans="1:3" x14ac:dyDescent="0.25">
      <c r="A1030" t="str">
        <f>"22/08/2013"</f>
        <v>22/08/2013</v>
      </c>
      <c r="B1030" t="str">
        <f>"1122.80"</f>
        <v>1122.80</v>
      </c>
      <c r="C1030" t="str">
        <f>"1122.824"</f>
        <v>1122.824</v>
      </c>
    </row>
    <row r="1031" spans="1:3" x14ac:dyDescent="0.25">
      <c r="A1031" t="str">
        <f>"23/08/2013"</f>
        <v>23/08/2013</v>
      </c>
      <c r="B1031" t="str">
        <f>"1116.90"</f>
        <v>1116.90</v>
      </c>
      <c r="C1031" t="str">
        <f>"1116.9235"</f>
        <v>1116.9235</v>
      </c>
    </row>
    <row r="1032" spans="1:3" x14ac:dyDescent="0.25">
      <c r="A1032" t="str">
        <f>"26/08/2013"</f>
        <v>26/08/2013</v>
      </c>
      <c r="B1032" t="str">
        <f>"1113.325"</f>
        <v>1113.325</v>
      </c>
      <c r="C1032" t="str">
        <f>"1113.3514"</f>
        <v>1113.3514</v>
      </c>
    </row>
    <row r="1033" spans="1:3" x14ac:dyDescent="0.25">
      <c r="A1033" t="str">
        <f>"27/08/2013"</f>
        <v>27/08/2013</v>
      </c>
      <c r="B1033" t="str">
        <f>"1115.85"</f>
        <v>1115.85</v>
      </c>
      <c r="C1033" t="str">
        <f>"1115.874"</f>
        <v>1115.874</v>
      </c>
    </row>
    <row r="1034" spans="1:3" x14ac:dyDescent="0.25">
      <c r="A1034" t="str">
        <f>"28/08/2013"</f>
        <v>28/08/2013</v>
      </c>
      <c r="B1034" t="str">
        <f>"1117.80"</f>
        <v>1117.80</v>
      </c>
      <c r="C1034" t="str">
        <f>"1117.8271"</f>
        <v>1117.8271</v>
      </c>
    </row>
    <row r="1035" spans="1:3" x14ac:dyDescent="0.25">
      <c r="A1035" t="str">
        <f>"29/08/2013"</f>
        <v>29/08/2013</v>
      </c>
      <c r="B1035" t="str">
        <f>"1109.40"</f>
        <v>1109.40</v>
      </c>
      <c r="C1035" t="str">
        <f>"1109.4313"</f>
        <v>1109.4313</v>
      </c>
    </row>
    <row r="1036" spans="1:3" x14ac:dyDescent="0.25">
      <c r="A1036" t="str">
        <f>"30/08/2013"</f>
        <v>30/08/2013</v>
      </c>
      <c r="B1036" t="str">
        <f>"1109.10"</f>
        <v>1109.10</v>
      </c>
      <c r="C1036" t="str">
        <f>"1109.126"</f>
        <v>1109.126</v>
      </c>
    </row>
    <row r="1037" spans="1:3" x14ac:dyDescent="0.25">
      <c r="A1037" t="str">
        <f>"02/09/2013"</f>
        <v>02/09/2013</v>
      </c>
      <c r="B1037" t="str">
        <f>"1102.70"</f>
        <v>1102.70</v>
      </c>
      <c r="C1037" t="str">
        <f>"1102.7311"</f>
        <v>1102.7311</v>
      </c>
    </row>
    <row r="1038" spans="1:3" x14ac:dyDescent="0.25">
      <c r="A1038" t="str">
        <f>"03/09/2013"</f>
        <v>03/09/2013</v>
      </c>
      <c r="B1038" t="str">
        <f>"1096.45"</f>
        <v>1096.45</v>
      </c>
      <c r="C1038" t="str">
        <f>"1096.4826"</f>
        <v>1096.4826</v>
      </c>
    </row>
    <row r="1039" spans="1:3" x14ac:dyDescent="0.25">
      <c r="A1039" t="str">
        <f>"04/09/2013"</f>
        <v>04/09/2013</v>
      </c>
      <c r="B1039" t="str">
        <f>"1100.45"</f>
        <v>1100.45</v>
      </c>
      <c r="C1039" t="str">
        <f>"1100.4796"</f>
        <v>1100.4796</v>
      </c>
    </row>
    <row r="1040" spans="1:3" x14ac:dyDescent="0.25">
      <c r="A1040" t="str">
        <f>"05/09/2013"</f>
        <v>05/09/2013</v>
      </c>
      <c r="B1040" t="str">
        <f>"1092.40"</f>
        <v>1092.40</v>
      </c>
      <c r="C1040" t="str">
        <f>"1092.4342"</f>
        <v>1092.4342</v>
      </c>
    </row>
    <row r="1041" spans="1:3" x14ac:dyDescent="0.25">
      <c r="A1041" t="str">
        <f>"06/09/2013"</f>
        <v>06/09/2013</v>
      </c>
      <c r="B1041" t="str">
        <f>"1096.45"</f>
        <v>1096.45</v>
      </c>
      <c r="C1041" t="str">
        <f>"1096.4827"</f>
        <v>1096.4827</v>
      </c>
    </row>
    <row r="1042" spans="1:3" x14ac:dyDescent="0.25">
      <c r="A1042" t="str">
        <f>"10/09/2013"</f>
        <v>10/09/2013</v>
      </c>
      <c r="B1042" t="str">
        <f>"1085.30"</f>
        <v>1085.30</v>
      </c>
      <c r="C1042" t="str">
        <f>"1085.3325"</f>
        <v>1085.3325</v>
      </c>
    </row>
    <row r="1043" spans="1:3" x14ac:dyDescent="0.25">
      <c r="A1043" t="str">
        <f>"11/09/2013"</f>
        <v>11/09/2013</v>
      </c>
      <c r="B1043" t="str">
        <f>"1089.80"</f>
        <v>1089.80</v>
      </c>
      <c r="C1043" t="str">
        <f>"1089.8284"</f>
        <v>1089.8284</v>
      </c>
    </row>
    <row r="1044" spans="1:3" x14ac:dyDescent="0.25">
      <c r="A1044" t="str">
        <f>"12/09/2013"</f>
        <v>12/09/2013</v>
      </c>
      <c r="B1044" t="str">
        <f>"1083.00"</f>
        <v>1083.00</v>
      </c>
      <c r="C1044" t="str">
        <f>"1083.0239"</f>
        <v>1083.0239</v>
      </c>
    </row>
    <row r="1045" spans="1:3" x14ac:dyDescent="0.25">
      <c r="A1045" t="str">
        <f>"13/09/2013"</f>
        <v>13/09/2013</v>
      </c>
      <c r="B1045" t="str">
        <f>"1085.70"</f>
        <v>1085.70</v>
      </c>
      <c r="C1045" t="str">
        <f>"1085.7315"</f>
        <v>1085.7315</v>
      </c>
    </row>
    <row r="1046" spans="1:3" x14ac:dyDescent="0.25">
      <c r="A1046" t="str">
        <f>"16/09/2013"</f>
        <v>16/09/2013</v>
      </c>
      <c r="B1046" t="str">
        <f>"1082.725"</f>
        <v>1082.725</v>
      </c>
      <c r="C1046" t="str">
        <f>"1082.7505"</f>
        <v>1082.7505</v>
      </c>
    </row>
    <row r="1047" spans="1:3" x14ac:dyDescent="0.25">
      <c r="A1047" t="str">
        <f>"17/09/2013"</f>
        <v>17/09/2013</v>
      </c>
      <c r="B1047" t="str">
        <f>"1086.17"</f>
        <v>1086.17</v>
      </c>
      <c r="C1047" t="str">
        <f>"1086.1998"</f>
        <v>1086.1998</v>
      </c>
    </row>
    <row r="1048" spans="1:3" x14ac:dyDescent="0.25">
      <c r="A1048" t="str">
        <f>"18/09/2013"</f>
        <v>18/09/2013</v>
      </c>
      <c r="B1048" t="str">
        <f>"1082.85"</f>
        <v>1082.85</v>
      </c>
      <c r="C1048" t="str">
        <f>"1082.8762"</f>
        <v>1082.8762</v>
      </c>
    </row>
    <row r="1049" spans="1:3" x14ac:dyDescent="0.25">
      <c r="A1049" t="str">
        <f>"19/09/2013"</f>
        <v>19/09/2013</v>
      </c>
      <c r="B1049" t="str">
        <f>"1071.16"</f>
        <v>1071.16</v>
      </c>
      <c r="C1049" t="str">
        <f>"1071.1862"</f>
        <v>1071.1862</v>
      </c>
    </row>
    <row r="1050" spans="1:3" x14ac:dyDescent="0.25">
      <c r="A1050" t="str">
        <f>"20/09/2013"</f>
        <v>20/09/2013</v>
      </c>
      <c r="B1050" t="str">
        <f>"1074.28"</f>
        <v>1074.28</v>
      </c>
      <c r="C1050" t="str">
        <f>"1074.3062"</f>
        <v>1074.3062</v>
      </c>
    </row>
    <row r="1051" spans="1:3" x14ac:dyDescent="0.25">
      <c r="A1051" t="str">
        <f>"23/09/2013"</f>
        <v>23/09/2013</v>
      </c>
      <c r="B1051" t="str">
        <f>"1076.40"</f>
        <v>1076.40</v>
      </c>
      <c r="C1051" t="str">
        <f>"1076.4248"</f>
        <v>1076.4248</v>
      </c>
    </row>
    <row r="1052" spans="1:3" x14ac:dyDescent="0.25">
      <c r="A1052" t="str">
        <f>"24/09/2013"</f>
        <v>24/09/2013</v>
      </c>
      <c r="B1052" t="str">
        <f>"1075.60"</f>
        <v>1075.60</v>
      </c>
      <c r="C1052" t="str">
        <f>"1075.6277"</f>
        <v>1075.6277</v>
      </c>
    </row>
    <row r="1053" spans="1:3" x14ac:dyDescent="0.25">
      <c r="A1053" t="str">
        <f>"25/09/2013"</f>
        <v>25/09/2013</v>
      </c>
      <c r="B1053" t="str">
        <f>"1077.725"</f>
        <v>1077.725</v>
      </c>
      <c r="C1053" t="str">
        <f>"1077.75"</f>
        <v>1077.75</v>
      </c>
    </row>
    <row r="1054" spans="1:3" x14ac:dyDescent="0.25">
      <c r="A1054" t="str">
        <f>"26/09/2013"</f>
        <v>26/09/2013</v>
      </c>
      <c r="B1054" t="str">
        <f>"1074.30"</f>
        <v>1074.30</v>
      </c>
      <c r="C1054" t="str">
        <f>"1074.3337"</f>
        <v>1074.3337</v>
      </c>
    </row>
    <row r="1055" spans="1:3" x14ac:dyDescent="0.25">
      <c r="A1055" t="str">
        <f>"27/09/2013"</f>
        <v>27/09/2013</v>
      </c>
      <c r="B1055" t="str">
        <f>"1074.575"</f>
        <v>1074.575</v>
      </c>
      <c r="C1055" t="str">
        <f>"1074.6091"</f>
        <v>1074.6091</v>
      </c>
    </row>
    <row r="1056" spans="1:3" x14ac:dyDescent="0.25">
      <c r="A1056" t="str">
        <f>"30/09/2013"</f>
        <v>30/09/2013</v>
      </c>
      <c r="B1056" t="str">
        <f>"1074.90"</f>
        <v>1074.90</v>
      </c>
      <c r="C1056" t="str">
        <f>"1074.928"</f>
        <v>1074.928</v>
      </c>
    </row>
    <row r="1057" spans="1:3" x14ac:dyDescent="0.25">
      <c r="A1057" t="str">
        <f>"01/10/2013"</f>
        <v>01/10/2013</v>
      </c>
      <c r="B1057" t="str">
        <f>"1075.00"</f>
        <v>1075.00</v>
      </c>
      <c r="C1057" t="str">
        <f>"1075.0296"</f>
        <v>1075.0296</v>
      </c>
    </row>
    <row r="1058" spans="1:3" x14ac:dyDescent="0.25">
      <c r="A1058" t="str">
        <f>"03/10/2013"</f>
        <v>03/10/2013</v>
      </c>
      <c r="B1058" t="str">
        <f>"1071.045"</f>
        <v>1071.045</v>
      </c>
      <c r="C1058" t="str">
        <f>"1071.0788"</f>
        <v>1071.0788</v>
      </c>
    </row>
    <row r="1059" spans="1:3" x14ac:dyDescent="0.25">
      <c r="A1059" t="str">
        <f>"04/10/2013"</f>
        <v>04/10/2013</v>
      </c>
      <c r="B1059" t="str">
        <f>"1071.70"</f>
        <v>1071.70</v>
      </c>
      <c r="C1059" t="str">
        <f>"1071.7325"</f>
        <v>1071.7325</v>
      </c>
    </row>
    <row r="1060" spans="1:3" x14ac:dyDescent="0.25">
      <c r="A1060" t="str">
        <f>"07/10/2013"</f>
        <v>07/10/2013</v>
      </c>
      <c r="B1060" t="str">
        <f>"1070.20"</f>
        <v>1070.20</v>
      </c>
      <c r="C1060" t="str">
        <f>"1070.2331"</f>
        <v>1070.2331</v>
      </c>
    </row>
    <row r="1061" spans="1:3" x14ac:dyDescent="0.25">
      <c r="A1061" t="str">
        <f>"08/10/2013"</f>
        <v>08/10/2013</v>
      </c>
      <c r="B1061" t="str">
        <f>"1075.00"</f>
        <v>1075.00</v>
      </c>
      <c r="C1061" t="str">
        <f>"1075.0297"</f>
        <v>1075.0297</v>
      </c>
    </row>
    <row r="1062" spans="1:3" x14ac:dyDescent="0.25">
      <c r="A1062" t="str">
        <f>"09/10/2013"</f>
        <v>09/10/2013</v>
      </c>
      <c r="B1062" t="str">
        <f>"1077.76"</f>
        <v>1077.76</v>
      </c>
      <c r="C1062" t="str">
        <f>"1077.7893"</f>
        <v>1077.7893</v>
      </c>
    </row>
    <row r="1063" spans="1:3" x14ac:dyDescent="0.25">
      <c r="A1063" t="str">
        <f>"10/10/2013"</f>
        <v>10/10/2013</v>
      </c>
      <c r="B1063" t="str">
        <f>"1074.60"</f>
        <v>1074.60</v>
      </c>
      <c r="C1063" t="str">
        <f>"1074.631"</f>
        <v>1074.631</v>
      </c>
    </row>
    <row r="1064" spans="1:3" x14ac:dyDescent="0.25">
      <c r="A1064" t="str">
        <f>"11/10/2013"</f>
        <v>11/10/2013</v>
      </c>
      <c r="B1064" t="str">
        <f>"1071.50"</f>
        <v>1071.50</v>
      </c>
      <c r="C1064" t="str">
        <f>"1071.5243"</f>
        <v>1071.5243</v>
      </c>
    </row>
    <row r="1065" spans="1:3" x14ac:dyDescent="0.25">
      <c r="A1065" t="str">
        <f>"14/10/2013"</f>
        <v>14/10/2013</v>
      </c>
      <c r="B1065" t="str">
        <f>"1073.20"</f>
        <v>1073.20</v>
      </c>
      <c r="C1065" t="str">
        <f>"1073.2299"</f>
        <v>1073.2299</v>
      </c>
    </row>
    <row r="1066" spans="1:3" x14ac:dyDescent="0.25">
      <c r="A1066" t="str">
        <f>"15/10/2013"</f>
        <v>15/10/2013</v>
      </c>
      <c r="B1066" t="str">
        <f>"1067.55"</f>
        <v>1067.55</v>
      </c>
      <c r="C1066" t="str">
        <f>"1067.5755"</f>
        <v>1067.5755</v>
      </c>
    </row>
    <row r="1067" spans="1:3" x14ac:dyDescent="0.25">
      <c r="A1067" t="str">
        <f>"17/10/2013"</f>
        <v>17/10/2013</v>
      </c>
      <c r="B1067" t="str">
        <f>"1064.40"</f>
        <v>1064.40</v>
      </c>
      <c r="C1067" t="str">
        <f>"1064.4325"</f>
        <v>1064.4325</v>
      </c>
    </row>
    <row r="1068" spans="1:3" x14ac:dyDescent="0.25">
      <c r="A1068" t="str">
        <f>"18/10/2013"</f>
        <v>18/10/2013</v>
      </c>
      <c r="B1068" t="str">
        <f>"1062.15"</f>
        <v>1062.15</v>
      </c>
      <c r="C1068" t="str">
        <f>"1062.181"</f>
        <v>1062.181</v>
      </c>
    </row>
    <row r="1069" spans="1:3" x14ac:dyDescent="0.25">
      <c r="A1069" t="str">
        <f>"21/10/2013"</f>
        <v>21/10/2013</v>
      </c>
      <c r="B1069" t="str">
        <f>"1062.30"</f>
        <v>1062.30</v>
      </c>
      <c r="C1069" t="str">
        <f>"1062.3324"</f>
        <v>1062.3324</v>
      </c>
    </row>
    <row r="1070" spans="1:3" x14ac:dyDescent="0.25">
      <c r="A1070" t="str">
        <f>"22/10/2013"</f>
        <v>22/10/2013</v>
      </c>
      <c r="B1070" t="str">
        <f>"1061.20"</f>
        <v>1061.20</v>
      </c>
      <c r="C1070" t="str">
        <f>"1061.2271"</f>
        <v>1061.2271</v>
      </c>
    </row>
    <row r="1071" spans="1:3" x14ac:dyDescent="0.25">
      <c r="A1071" t="str">
        <f>"23/10/2013"</f>
        <v>23/10/2013</v>
      </c>
      <c r="B1071" t="str">
        <f>"1057.60"</f>
        <v>1057.60</v>
      </c>
      <c r="C1071" t="str">
        <f>"1057.6245"</f>
        <v>1057.6245</v>
      </c>
    </row>
    <row r="1072" spans="1:3" x14ac:dyDescent="0.25">
      <c r="A1072" t="str">
        <f>"24/10/2013"</f>
        <v>24/10/2013</v>
      </c>
      <c r="B1072" t="str">
        <f>"1055.30"</f>
        <v>1055.30</v>
      </c>
      <c r="C1072" t="str">
        <f>"1055.325"</f>
        <v>1055.325</v>
      </c>
    </row>
    <row r="1073" spans="1:3" x14ac:dyDescent="0.25">
      <c r="A1073" t="str">
        <f>"25/10/2013"</f>
        <v>25/10/2013</v>
      </c>
      <c r="B1073" t="str">
        <f>"1062.155"</f>
        <v>1062.155</v>
      </c>
      <c r="C1073" t="str">
        <f>"1062.1869"</f>
        <v>1062.1869</v>
      </c>
    </row>
    <row r="1074" spans="1:3" x14ac:dyDescent="0.25">
      <c r="A1074" t="str">
        <f>"28/10/2013"</f>
        <v>28/10/2013</v>
      </c>
      <c r="B1074" t="str">
        <f>"1061.18"</f>
        <v>1061.18</v>
      </c>
      <c r="C1074" t="str">
        <f>"1061.212"</f>
        <v>1061.212</v>
      </c>
    </row>
    <row r="1075" spans="1:3" x14ac:dyDescent="0.25">
      <c r="A1075" t="str">
        <f>"29/10/2013"</f>
        <v>29/10/2013</v>
      </c>
      <c r="B1075" t="str">
        <f>"1060.90"</f>
        <v>1060.90</v>
      </c>
      <c r="C1075" t="str">
        <f>"1060.9331"</f>
        <v>1060.9331</v>
      </c>
    </row>
    <row r="1076" spans="1:3" x14ac:dyDescent="0.25">
      <c r="A1076" t="str">
        <f>"30/10/2013"</f>
        <v>30/10/2013</v>
      </c>
      <c r="B1076" t="str">
        <f>"1061.10"</f>
        <v>1061.10</v>
      </c>
      <c r="C1076" t="str">
        <f>"1061.1308"</f>
        <v>1061.1308</v>
      </c>
    </row>
    <row r="1077" spans="1:3" x14ac:dyDescent="0.25">
      <c r="A1077" t="str">
        <f>"31/10/2013"</f>
        <v>31/10/2013</v>
      </c>
      <c r="B1077" t="str">
        <f>"1060.15"</f>
        <v>1060.15</v>
      </c>
      <c r="C1077" t="str">
        <f>"1060.1765"</f>
        <v>1060.1765</v>
      </c>
    </row>
    <row r="1078" spans="1:3" x14ac:dyDescent="0.25">
      <c r="A1078" t="str">
        <f>"01/11/2013"</f>
        <v>01/11/2013</v>
      </c>
      <c r="B1078" t="str">
        <f>"1062.645"</f>
        <v>1062.645</v>
      </c>
      <c r="C1078" t="str">
        <f>"1062.6719"</f>
        <v>1062.6719</v>
      </c>
    </row>
    <row r="1079" spans="1:3" x14ac:dyDescent="0.25">
      <c r="A1079" t="str">
        <f>"05/11/2013"</f>
        <v>05/11/2013</v>
      </c>
      <c r="B1079" t="str">
        <f>"1061.90"</f>
        <v>1061.90</v>
      </c>
      <c r="C1079" t="str">
        <f>"1061.9278"</f>
        <v>1061.9278</v>
      </c>
    </row>
    <row r="1080" spans="1:3" x14ac:dyDescent="0.25">
      <c r="A1080" t="str">
        <f>"06/11/2013"</f>
        <v>06/11/2013</v>
      </c>
      <c r="B1080" t="str">
        <f>"1061.50"</f>
        <v>1061.50</v>
      </c>
      <c r="C1080" t="str">
        <f>"1061.5265"</f>
        <v>1061.5265</v>
      </c>
    </row>
    <row r="1081" spans="1:3" x14ac:dyDescent="0.25">
      <c r="A1081" t="str">
        <f>"07/11/2013"</f>
        <v>07/11/2013</v>
      </c>
      <c r="B1081" t="str">
        <f>"1060.81"</f>
        <v>1060.81</v>
      </c>
      <c r="C1081" t="str">
        <f>"1060.8391"</f>
        <v>1060.8391</v>
      </c>
    </row>
    <row r="1082" spans="1:3" x14ac:dyDescent="0.25">
      <c r="A1082" t="str">
        <f>"08/11/2013"</f>
        <v>08/11/2013</v>
      </c>
      <c r="B1082" t="str">
        <f>"1063.335"</f>
        <v>1063.335</v>
      </c>
      <c r="C1082" t="str">
        <f>"1063.361"</f>
        <v>1063.361</v>
      </c>
    </row>
    <row r="1083" spans="1:3" x14ac:dyDescent="0.25">
      <c r="A1083" t="str">
        <f>"11/11/2013"</f>
        <v>11/11/2013</v>
      </c>
      <c r="B1083" t="str">
        <f>"1068.42"</f>
        <v>1068.42</v>
      </c>
      <c r="C1083" t="str">
        <f>"1068.446"</f>
        <v>1068.446</v>
      </c>
    </row>
    <row r="1084" spans="1:3" x14ac:dyDescent="0.25">
      <c r="A1084" t="str">
        <f>"12/11/2013"</f>
        <v>12/11/2013</v>
      </c>
      <c r="B1084" t="str">
        <f>"1070.94"</f>
        <v>1070.94</v>
      </c>
      <c r="C1084" t="str">
        <f>"1070.9691"</f>
        <v>1070.9691</v>
      </c>
    </row>
    <row r="1085" spans="1:3" x14ac:dyDescent="0.25">
      <c r="A1085" t="str">
        <f>"13/11/2013"</f>
        <v>13/11/2013</v>
      </c>
      <c r="B1085" t="str">
        <f>"1073.195"</f>
        <v>1073.195</v>
      </c>
      <c r="C1085" t="str">
        <f>"1073.228"</f>
        <v>1073.228</v>
      </c>
    </row>
    <row r="1086" spans="1:3" x14ac:dyDescent="0.25">
      <c r="A1086" t="str">
        <f>"14/11/2013"</f>
        <v>14/11/2013</v>
      </c>
      <c r="B1086" t="str">
        <f>"1067.58"</f>
        <v>1067.58</v>
      </c>
      <c r="C1086" t="str">
        <f>"1067.6098"</f>
        <v>1067.6098</v>
      </c>
    </row>
    <row r="1087" spans="1:3" x14ac:dyDescent="0.25">
      <c r="A1087" t="str">
        <f>"18/11/2013"</f>
        <v>18/11/2013</v>
      </c>
      <c r="B1087" t="str">
        <f>"1061.625"</f>
        <v>1061.625</v>
      </c>
      <c r="C1087" t="str">
        <f>"1061.6491"</f>
        <v>1061.6491</v>
      </c>
    </row>
    <row r="1088" spans="1:3" x14ac:dyDescent="0.25">
      <c r="A1088" t="str">
        <f>"19/11/2013"</f>
        <v>19/11/2013</v>
      </c>
      <c r="B1088" t="str">
        <f>"1055.515"</f>
        <v>1055.515</v>
      </c>
      <c r="C1088" t="str">
        <f>"1055.541"</f>
        <v>1055.541</v>
      </c>
    </row>
    <row r="1089" spans="1:3" x14ac:dyDescent="0.25">
      <c r="A1089" t="str">
        <f>"20/11/2013"</f>
        <v>20/11/2013</v>
      </c>
      <c r="B1089" t="str">
        <f>"1056.20"</f>
        <v>1056.20</v>
      </c>
      <c r="C1089" t="str">
        <f>"1056.229"</f>
        <v>1056.229</v>
      </c>
    </row>
    <row r="1090" spans="1:3" x14ac:dyDescent="0.25">
      <c r="A1090" t="str">
        <f>"21/11/2013"</f>
        <v>21/11/2013</v>
      </c>
      <c r="B1090" t="str">
        <f>"1062.20"</f>
        <v>1062.20</v>
      </c>
      <c r="C1090" t="str">
        <f>"1062.2255"</f>
        <v>1062.2255</v>
      </c>
    </row>
    <row r="1091" spans="1:3" x14ac:dyDescent="0.25">
      <c r="A1091" t="str">
        <f>"22/11/2013"</f>
        <v>22/11/2013</v>
      </c>
      <c r="B1091" t="str">
        <f>"1061.80"</f>
        <v>1061.80</v>
      </c>
      <c r="C1091" t="str">
        <f>"1061.8251"</f>
        <v>1061.8251</v>
      </c>
    </row>
    <row r="1092" spans="1:3" x14ac:dyDescent="0.25">
      <c r="A1092" t="str">
        <f>"25/11/2013"</f>
        <v>25/11/2013</v>
      </c>
      <c r="B1092" t="str">
        <f>"1061.705"</f>
        <v>1061.705</v>
      </c>
      <c r="C1092" t="str">
        <f>"1061.7295"</f>
        <v>1061.7295</v>
      </c>
    </row>
    <row r="1093" spans="1:3" x14ac:dyDescent="0.25">
      <c r="A1093" t="str">
        <f>"26/11/2013"</f>
        <v>26/11/2013</v>
      </c>
      <c r="B1093" t="str">
        <f>"1060.55"</f>
        <v>1060.55</v>
      </c>
      <c r="C1093" t="str">
        <f>"1060.576"</f>
        <v>1060.576</v>
      </c>
    </row>
    <row r="1094" spans="1:3" x14ac:dyDescent="0.25">
      <c r="A1094" t="str">
        <f>"27/11/2013"</f>
        <v>27/11/2013</v>
      </c>
      <c r="B1094" t="str">
        <f>"1061.00"</f>
        <v>1061.00</v>
      </c>
      <c r="C1094" t="str">
        <f>"1061.0261"</f>
        <v>1061.0261</v>
      </c>
    </row>
    <row r="1095" spans="1:3" x14ac:dyDescent="0.25">
      <c r="A1095" t="str">
        <f>"28/11/2013"</f>
        <v>28/11/2013</v>
      </c>
      <c r="B1095" t="str">
        <f>"1061.20"</f>
        <v>1061.20</v>
      </c>
      <c r="C1095" t="str">
        <f>"1061.2255"</f>
        <v>1061.2255</v>
      </c>
    </row>
    <row r="1096" spans="1:3" x14ac:dyDescent="0.25">
      <c r="A1096" t="str">
        <f>"29/11/2013"</f>
        <v>29/11/2013</v>
      </c>
      <c r="B1096" t="str">
        <f>"1058.75"</f>
        <v>1058.75</v>
      </c>
      <c r="C1096" t="str">
        <f>"1058.7756"</f>
        <v>1058.7756</v>
      </c>
    </row>
    <row r="1097" spans="1:3" x14ac:dyDescent="0.25">
      <c r="A1097" t="str">
        <f>"02/12/2013"</f>
        <v>02/12/2013</v>
      </c>
      <c r="B1097" t="str">
        <f>"1058.40"</f>
        <v>1058.40</v>
      </c>
      <c r="C1097" t="str">
        <f>"1058.427"</f>
        <v>1058.427</v>
      </c>
    </row>
    <row r="1098" spans="1:3" x14ac:dyDescent="0.25">
      <c r="A1098" t="str">
        <f>"03/12/2013"</f>
        <v>03/12/2013</v>
      </c>
      <c r="B1098" t="str">
        <f>"1062.10"</f>
        <v>1062.10</v>
      </c>
      <c r="C1098" t="str">
        <f>"1062.1325"</f>
        <v>1062.1325</v>
      </c>
    </row>
    <row r="1099" spans="1:3" x14ac:dyDescent="0.25">
      <c r="A1099" t="str">
        <f>"04/12/2013"</f>
        <v>04/12/2013</v>
      </c>
      <c r="B1099" t="str">
        <f>"1061.30"</f>
        <v>1061.30</v>
      </c>
      <c r="C1099" t="str">
        <f>"1061.325"</f>
        <v>1061.325</v>
      </c>
    </row>
    <row r="1100" spans="1:3" x14ac:dyDescent="0.25">
      <c r="A1100" t="str">
        <f>"05/12/2013"</f>
        <v>05/12/2013</v>
      </c>
      <c r="B1100" t="str">
        <f>"1061.00"</f>
        <v>1061.00</v>
      </c>
      <c r="C1100" t="str">
        <f>"1061.0245"</f>
        <v>1061.0245</v>
      </c>
    </row>
    <row r="1101" spans="1:3" x14ac:dyDescent="0.25">
      <c r="A1101" t="str">
        <f>"06/12/2013"</f>
        <v>06/12/2013</v>
      </c>
      <c r="B1101" t="str">
        <f>"1058.30"</f>
        <v>1058.30</v>
      </c>
      <c r="C1101" t="str">
        <f>"1058.3243"</f>
        <v>1058.3243</v>
      </c>
    </row>
    <row r="1102" spans="1:3" x14ac:dyDescent="0.25">
      <c r="A1102" t="str">
        <f>"09/12/2013"</f>
        <v>09/12/2013</v>
      </c>
      <c r="B1102" t="str">
        <f>"1053.75"</f>
        <v>1053.75</v>
      </c>
      <c r="C1102" t="str">
        <f>"1053.7745"</f>
        <v>1053.7745</v>
      </c>
    </row>
    <row r="1103" spans="1:3" x14ac:dyDescent="0.25">
      <c r="A1103" t="str">
        <f>"10/12/2013"</f>
        <v>10/12/2013</v>
      </c>
      <c r="B1103" t="str">
        <f>"1052.90"</f>
        <v>1052.90</v>
      </c>
      <c r="C1103" t="str">
        <f>"1052.924"</f>
        <v>1052.924</v>
      </c>
    </row>
    <row r="1104" spans="1:3" x14ac:dyDescent="0.25">
      <c r="A1104" t="str">
        <f>"11/12/2013"</f>
        <v>11/12/2013</v>
      </c>
      <c r="B1104" t="str">
        <f>"1052.05"</f>
        <v>1052.05</v>
      </c>
      <c r="C1104" t="str">
        <f>"1052.076"</f>
        <v>1052.076</v>
      </c>
    </row>
    <row r="1105" spans="1:3" x14ac:dyDescent="0.25">
      <c r="A1105" t="str">
        <f>"12/12/2013"</f>
        <v>12/12/2013</v>
      </c>
      <c r="B1105" t="str">
        <f>"1053.50"</f>
        <v>1053.50</v>
      </c>
      <c r="C1105" t="str">
        <f>"1053.5216"</f>
        <v>1053.5216</v>
      </c>
    </row>
    <row r="1106" spans="1:3" x14ac:dyDescent="0.25">
      <c r="A1106" t="str">
        <f>"13/12/2013"</f>
        <v>13/12/2013</v>
      </c>
      <c r="B1106" t="str">
        <f>"1053.00"</f>
        <v>1053.00</v>
      </c>
      <c r="C1106" t="str">
        <f>"1053.0215"</f>
        <v>1053.0215</v>
      </c>
    </row>
    <row r="1107" spans="1:3" x14ac:dyDescent="0.25">
      <c r="A1107" t="str">
        <f>"16/12/2013"</f>
        <v>16/12/2013</v>
      </c>
      <c r="B1107" t="str">
        <f>"1052.73"</f>
        <v>1052.73</v>
      </c>
      <c r="C1107" t="str">
        <f>"1052.7566"</f>
        <v>1052.7566</v>
      </c>
    </row>
    <row r="1108" spans="1:3" x14ac:dyDescent="0.25">
      <c r="A1108" t="str">
        <f>"17/12/2013"</f>
        <v>17/12/2013</v>
      </c>
      <c r="B1108" t="str">
        <f>"1052.05"</f>
        <v>1052.05</v>
      </c>
      <c r="C1108" t="str">
        <f>"1052.0715"</f>
        <v>1052.0715</v>
      </c>
    </row>
    <row r="1109" spans="1:3" x14ac:dyDescent="0.25">
      <c r="A1109" t="str">
        <f>"18/12/2013"</f>
        <v>18/12/2013</v>
      </c>
      <c r="B1109" t="str">
        <f>"1052.75"</f>
        <v>1052.75</v>
      </c>
      <c r="C1109" t="str">
        <f>"1052.7734"</f>
        <v>1052.7734</v>
      </c>
    </row>
    <row r="1110" spans="1:3" x14ac:dyDescent="0.25">
      <c r="A1110" t="str">
        <f>"19/12/2013"</f>
        <v>19/12/2013</v>
      </c>
      <c r="B1110" t="str">
        <f>"1061.00"</f>
        <v>1061.00</v>
      </c>
      <c r="C1110" t="str">
        <f>"1061.028"</f>
        <v>1061.028</v>
      </c>
    </row>
    <row r="1111" spans="1:3" x14ac:dyDescent="0.25">
      <c r="A1111" t="str">
        <f>"20/12/2013"</f>
        <v>20/12/2013</v>
      </c>
      <c r="B1111" t="str">
        <f>"1063.10"</f>
        <v>1063.10</v>
      </c>
      <c r="C1111" t="str">
        <f>"1063.122"</f>
        <v>1063.122</v>
      </c>
    </row>
    <row r="1112" spans="1:3" x14ac:dyDescent="0.25">
      <c r="A1112" t="str">
        <f>"23/12/2013"</f>
        <v>23/12/2013</v>
      </c>
      <c r="B1112" t="str">
        <f>"1061.825"</f>
        <v>1061.825</v>
      </c>
      <c r="C1112" t="str">
        <f>"1061.857"</f>
        <v>1061.857</v>
      </c>
    </row>
    <row r="1113" spans="1:3" x14ac:dyDescent="0.25">
      <c r="A1113" t="str">
        <f>"24/12/2013"</f>
        <v>24/12/2013</v>
      </c>
      <c r="B1113" t="str">
        <f>"1060.95"</f>
        <v>1060.95</v>
      </c>
      <c r="C1113" t="str">
        <f>"1060.9746"</f>
        <v>1060.9746</v>
      </c>
    </row>
    <row r="1114" spans="1:3" x14ac:dyDescent="0.25">
      <c r="A1114" t="str">
        <f>"26/12/2013"</f>
        <v>26/12/2013</v>
      </c>
      <c r="B1114" t="str">
        <f>"1060.05"</f>
        <v>1060.05</v>
      </c>
      <c r="C1114" t="str">
        <f>"1060.0809"</f>
        <v>1060.0809</v>
      </c>
    </row>
    <row r="1115" spans="1:3" x14ac:dyDescent="0.25">
      <c r="A1115" t="str">
        <f>"27/12/2013"</f>
        <v>27/12/2013</v>
      </c>
      <c r="B1115" t="str">
        <f>"1055.40"</f>
        <v>1055.40</v>
      </c>
      <c r="C1115" t="str">
        <f>"1055.4311"</f>
        <v>1055.4311</v>
      </c>
    </row>
    <row r="1116" spans="1:3" x14ac:dyDescent="0.25">
      <c r="A1116" t="str">
        <f>"30/12/2013"</f>
        <v>30/12/2013</v>
      </c>
      <c r="B1116" t="str">
        <f>"1055.55"</f>
        <v>1055.55</v>
      </c>
      <c r="C1116" t="str">
        <f>"1055.5788"</f>
        <v>1055.5788</v>
      </c>
    </row>
    <row r="1117" spans="1:3" x14ac:dyDescent="0.25">
      <c r="A1117" t="str">
        <f>"31/12/2013"</f>
        <v>31/12/2013</v>
      </c>
      <c r="B1117" t="str">
        <f>"1054.00"</f>
        <v>1054.00</v>
      </c>
      <c r="C1117" t="str">
        <f>"1054.0304"</f>
        <v>1054.0304</v>
      </c>
    </row>
    <row r="1118" spans="1:3" x14ac:dyDescent="0.25">
      <c r="A1118" t="str">
        <f>"01/01/2014"</f>
        <v>01/01/2014</v>
      </c>
      <c r="B1118" t="str">
        <f>"1054.76"</f>
        <v>1054.76</v>
      </c>
      <c r="C1118" t="str">
        <f>"1054.7904"</f>
        <v>1054.7904</v>
      </c>
    </row>
    <row r="1119" spans="1:3" x14ac:dyDescent="0.25">
      <c r="A1119" t="str">
        <f>"02/01/2014"</f>
        <v>02/01/2014</v>
      </c>
      <c r="B1119" t="str">
        <f>"1050.70"</f>
        <v>1050.70</v>
      </c>
      <c r="C1119" t="str">
        <f>"1050.7315"</f>
        <v>1050.7315</v>
      </c>
    </row>
    <row r="1120" spans="1:3" x14ac:dyDescent="0.25">
      <c r="A1120" t="str">
        <f>"03/01/2014"</f>
        <v>03/01/2014</v>
      </c>
      <c r="B1120" t="str">
        <f>"1053.40"</f>
        <v>1053.40</v>
      </c>
      <c r="C1120" t="str">
        <f>"1053.4245"</f>
        <v>1053.4245</v>
      </c>
    </row>
    <row r="1121" spans="1:3" x14ac:dyDescent="0.25">
      <c r="A1121" t="str">
        <f>"06/01/2014"</f>
        <v>06/01/2014</v>
      </c>
      <c r="B1121" t="str">
        <f>"1064.23"</f>
        <v>1064.23</v>
      </c>
      <c r="C1121" t="str">
        <f>"1064.2555"</f>
        <v>1064.2555</v>
      </c>
    </row>
    <row r="1122" spans="1:3" x14ac:dyDescent="0.25">
      <c r="A1122" t="str">
        <f>"07/01/2014"</f>
        <v>07/01/2014</v>
      </c>
      <c r="B1122" t="str">
        <f>"1068.90"</f>
        <v>1068.90</v>
      </c>
      <c r="C1122" t="str">
        <f>"1068.9245"</f>
        <v>1068.9245</v>
      </c>
    </row>
    <row r="1123" spans="1:3" x14ac:dyDescent="0.25">
      <c r="A1123" t="str">
        <f>"08/01/2014"</f>
        <v>08/01/2014</v>
      </c>
      <c r="B1123" t="str">
        <f>"1065.00"</f>
        <v>1065.00</v>
      </c>
      <c r="C1123" t="str">
        <f>"1065.023"</f>
        <v>1065.023</v>
      </c>
    </row>
    <row r="1124" spans="1:3" x14ac:dyDescent="0.25">
      <c r="A1124" t="str">
        <f>"09/01/2014"</f>
        <v>09/01/2014</v>
      </c>
      <c r="B1124" t="str">
        <f>"1064.30"</f>
        <v>1064.30</v>
      </c>
      <c r="C1124" t="str">
        <f>"1064.3278"</f>
        <v>1064.3278</v>
      </c>
    </row>
    <row r="1125" spans="1:3" x14ac:dyDescent="0.25">
      <c r="A1125" t="str">
        <f>"10/01/2014"</f>
        <v>10/01/2014</v>
      </c>
      <c r="B1125" t="str">
        <f>"1062.50"</f>
        <v>1062.50</v>
      </c>
      <c r="C1125" t="str">
        <f>"1062.5236"</f>
        <v>1062.5236</v>
      </c>
    </row>
    <row r="1126" spans="1:3" x14ac:dyDescent="0.25">
      <c r="A1126" t="str">
        <f>"16/01/2014"</f>
        <v>16/01/2014</v>
      </c>
      <c r="B1126" t="str">
        <f>"1063.525"</f>
        <v>1063.525</v>
      </c>
      <c r="C1126" t="str">
        <f>"1063.5528"</f>
        <v>1063.5528</v>
      </c>
    </row>
    <row r="1127" spans="1:3" x14ac:dyDescent="0.25">
      <c r="A1127" t="str">
        <f>"17/01/2014"</f>
        <v>17/01/2014</v>
      </c>
      <c r="B1127" t="str">
        <f>"1060.50"</f>
        <v>1060.50</v>
      </c>
      <c r="C1127" t="str">
        <f>"1060.5235"</f>
        <v>1060.5235</v>
      </c>
    </row>
    <row r="1128" spans="1:3" x14ac:dyDescent="0.25">
      <c r="A1128" t="str">
        <f>"20/01/2014"</f>
        <v>20/01/2014</v>
      </c>
      <c r="B1128" t="str">
        <f>"1064.40"</f>
        <v>1064.40</v>
      </c>
      <c r="C1128" t="str">
        <f>"1064.425"</f>
        <v>1064.425</v>
      </c>
    </row>
    <row r="1129" spans="1:3" x14ac:dyDescent="0.25">
      <c r="A1129" t="str">
        <f>"21/01/2014"</f>
        <v>21/01/2014</v>
      </c>
      <c r="B1129" t="str">
        <f>"1064.10"</f>
        <v>1064.10</v>
      </c>
      <c r="C1129" t="str">
        <f>"1064.1255"</f>
        <v>1064.1255</v>
      </c>
    </row>
    <row r="1130" spans="1:3" x14ac:dyDescent="0.25">
      <c r="A1130" t="str">
        <f>"22/01/2014"</f>
        <v>22/01/2014</v>
      </c>
      <c r="B1130" t="str">
        <f>"1068.50"</f>
        <v>1068.50</v>
      </c>
      <c r="C1130" t="str">
        <f>"1068.524"</f>
        <v>1068.524</v>
      </c>
    </row>
    <row r="1131" spans="1:3" x14ac:dyDescent="0.25">
      <c r="A1131" t="str">
        <f>"23/01/2014"</f>
        <v>23/01/2014</v>
      </c>
      <c r="B1131" t="str">
        <f>"1072.32"</f>
        <v>1072.32</v>
      </c>
      <c r="C1131" t="str">
        <f>"1072.3441"</f>
        <v>1072.3441</v>
      </c>
    </row>
    <row r="1132" spans="1:3" x14ac:dyDescent="0.25">
      <c r="A1132" t="str">
        <f>"24/01/2014"</f>
        <v>24/01/2014</v>
      </c>
      <c r="B1132" t="str">
        <f>"1077.00"</f>
        <v>1077.00</v>
      </c>
      <c r="C1132" t="str">
        <f>"1077.0283"</f>
        <v>1077.0283</v>
      </c>
    </row>
    <row r="1133" spans="1:3" x14ac:dyDescent="0.25">
      <c r="A1133" t="str">
        <f>"27/01/2014"</f>
        <v>27/01/2014</v>
      </c>
      <c r="B1133" t="str">
        <f>"1083.40"</f>
        <v>1083.40</v>
      </c>
      <c r="C1133" t="str">
        <f>"1083.4235"</f>
        <v>1083.4235</v>
      </c>
    </row>
    <row r="1134" spans="1:3" x14ac:dyDescent="0.25">
      <c r="A1134" t="str">
        <f>"28/01/2014"</f>
        <v>28/01/2014</v>
      </c>
      <c r="B1134" t="str">
        <f>"1078.90"</f>
        <v>1078.90</v>
      </c>
      <c r="C1134" t="str">
        <f>"1078.9238"</f>
        <v>1078.9238</v>
      </c>
    </row>
    <row r="1135" spans="1:3" x14ac:dyDescent="0.25">
      <c r="A1135" t="str">
        <f>"29/01/2014"</f>
        <v>29/01/2014</v>
      </c>
      <c r="B1135" t="str">
        <f>"1070.495"</f>
        <v>1070.495</v>
      </c>
      <c r="C1135" t="str">
        <f>"1070.519"</f>
        <v>1070.519</v>
      </c>
    </row>
    <row r="1136" spans="1:3" x14ac:dyDescent="0.25">
      <c r="A1136" t="str">
        <f>"30/01/2014"</f>
        <v>30/01/2014</v>
      </c>
      <c r="B1136" t="str">
        <f>"1079.01"</f>
        <v>1079.01</v>
      </c>
      <c r="C1136" t="str">
        <f>"1079.037"</f>
        <v>1079.037</v>
      </c>
    </row>
    <row r="1137" spans="1:3" x14ac:dyDescent="0.25">
      <c r="A1137" t="str">
        <f>"31/01/2014"</f>
        <v>31/01/2014</v>
      </c>
      <c r="B1137" t="str">
        <f>"1081.74"</f>
        <v>1081.74</v>
      </c>
      <c r="C1137" t="str">
        <f>"1081.767"</f>
        <v>1081.767</v>
      </c>
    </row>
    <row r="1138" spans="1:3" x14ac:dyDescent="0.25">
      <c r="A1138" t="str">
        <f>"03/02/2014"</f>
        <v>03/02/2014</v>
      </c>
      <c r="B1138" t="str">
        <f>"1083.90"</f>
        <v>1083.90</v>
      </c>
      <c r="C1138" t="str">
        <f>"1083.922"</f>
        <v>1083.922</v>
      </c>
    </row>
    <row r="1139" spans="1:3" x14ac:dyDescent="0.25">
      <c r="A1139" t="str">
        <f>"04/02/2014"</f>
        <v>04/02/2014</v>
      </c>
      <c r="B1139" t="str">
        <f>"1085.41"</f>
        <v>1085.41</v>
      </c>
      <c r="C1139" t="str">
        <f>"1085.4315"</f>
        <v>1085.4315</v>
      </c>
    </row>
    <row r="1140" spans="1:3" x14ac:dyDescent="0.25">
      <c r="A1140" t="str">
        <f>"05/02/2014"</f>
        <v>05/02/2014</v>
      </c>
      <c r="B1140" t="str">
        <f>"1080.20"</f>
        <v>1080.20</v>
      </c>
      <c r="C1140" t="str">
        <f>"1080.226"</f>
        <v>1080.226</v>
      </c>
    </row>
    <row r="1141" spans="1:3" x14ac:dyDescent="0.25">
      <c r="A1141" t="str">
        <f>"06/02/2014"</f>
        <v>06/02/2014</v>
      </c>
      <c r="B1141" t="str">
        <f>"1076.10"</f>
        <v>1076.10</v>
      </c>
      <c r="C1141" t="str">
        <f>"1076.1225"</f>
        <v>1076.1225</v>
      </c>
    </row>
    <row r="1142" spans="1:3" x14ac:dyDescent="0.25">
      <c r="A1142" t="str">
        <f>"07/02/2014"</f>
        <v>07/02/2014</v>
      </c>
      <c r="B1142" t="str">
        <f>"1076.40"</f>
        <v>1076.40</v>
      </c>
      <c r="C1142" t="str">
        <f>"1076.422"</f>
        <v>1076.422</v>
      </c>
    </row>
    <row r="1143" spans="1:3" x14ac:dyDescent="0.25">
      <c r="A1143" t="str">
        <f>"10/02/2014"</f>
        <v>10/02/2014</v>
      </c>
      <c r="B1143" t="str">
        <f>"1071.90"</f>
        <v>1071.90</v>
      </c>
      <c r="C1143" t="str">
        <f>"1071.922"</f>
        <v>1071.922</v>
      </c>
    </row>
    <row r="1144" spans="1:3" x14ac:dyDescent="0.25">
      <c r="A1144" t="str">
        <f>"11/02/2014"</f>
        <v>11/02/2014</v>
      </c>
      <c r="B1144" t="str">
        <f>"1072.275"</f>
        <v>1072.275</v>
      </c>
      <c r="C1144" t="str">
        <f>"1072.297"</f>
        <v>1072.297</v>
      </c>
    </row>
    <row r="1145" spans="1:3" x14ac:dyDescent="0.25">
      <c r="A1145" t="str">
        <f>"12/02/2014"</f>
        <v>12/02/2014</v>
      </c>
      <c r="B1145" t="str">
        <f>"1064.50"</f>
        <v>1064.50</v>
      </c>
      <c r="C1145" t="str">
        <f>"1064.522"</f>
        <v>1064.522</v>
      </c>
    </row>
    <row r="1146" spans="1:3" x14ac:dyDescent="0.25">
      <c r="A1146" t="str">
        <f>"13/02/2014"</f>
        <v>13/02/2014</v>
      </c>
      <c r="B1146" t="str">
        <f>"1064.95"</f>
        <v>1064.95</v>
      </c>
      <c r="C1146" t="str">
        <f>"1064.9799"</f>
        <v>1064.9799</v>
      </c>
    </row>
    <row r="1147" spans="1:3" x14ac:dyDescent="0.25">
      <c r="A1147" t="str">
        <f>"14/02/2014"</f>
        <v>14/02/2014</v>
      </c>
      <c r="B1147" t="str">
        <f>"1063.33"</f>
        <v>1063.33</v>
      </c>
      <c r="C1147" t="str">
        <f>"1063.3568"</f>
        <v>1063.3568</v>
      </c>
    </row>
    <row r="1148" spans="1:3" x14ac:dyDescent="0.25">
      <c r="A1148" t="str">
        <f>"17/02/2014"</f>
        <v>17/02/2014</v>
      </c>
      <c r="B1148" t="str">
        <f>"1061.225"</f>
        <v>1061.225</v>
      </c>
      <c r="C1148" t="str">
        <f>"1061.2465"</f>
        <v>1061.2465</v>
      </c>
    </row>
    <row r="1149" spans="1:3" x14ac:dyDescent="0.25">
      <c r="A1149" t="str">
        <f>"18/02/2014"</f>
        <v>18/02/2014</v>
      </c>
      <c r="B1149" t="str">
        <f>"1064.58"</f>
        <v>1064.58</v>
      </c>
      <c r="C1149" t="str">
        <f>"1064.601"</f>
        <v>1064.601</v>
      </c>
    </row>
    <row r="1150" spans="1:3" x14ac:dyDescent="0.25">
      <c r="A1150" t="str">
        <f>"19/02/2014"</f>
        <v>19/02/2014</v>
      </c>
      <c r="B1150" t="str">
        <f>"1067.90"</f>
        <v>1067.90</v>
      </c>
      <c r="C1150" t="str">
        <f>"1067.921"</f>
        <v>1067.921</v>
      </c>
    </row>
    <row r="1151" spans="1:3" x14ac:dyDescent="0.25">
      <c r="A1151" t="str">
        <f>"20/02/2014"</f>
        <v>20/02/2014</v>
      </c>
      <c r="B1151" t="str">
        <f>"1072.84"</f>
        <v>1072.84</v>
      </c>
      <c r="C1151" t="str">
        <f>"1072.861"</f>
        <v>1072.861</v>
      </c>
    </row>
    <row r="1152" spans="1:3" x14ac:dyDescent="0.25">
      <c r="A1152" t="str">
        <f>"21/02/2014"</f>
        <v>21/02/2014</v>
      </c>
      <c r="B1152" t="str">
        <f>"1074.04"</f>
        <v>1074.04</v>
      </c>
      <c r="C1152" t="str">
        <f>"1074.061"</f>
        <v>1074.061</v>
      </c>
    </row>
    <row r="1153" spans="1:3" x14ac:dyDescent="0.25">
      <c r="A1153" t="str">
        <f>"24/02/2014"</f>
        <v>24/02/2014</v>
      </c>
      <c r="B1153" t="str">
        <f>"1076.25"</f>
        <v>1076.25</v>
      </c>
      <c r="C1153" t="str">
        <f>"1076.2705"</f>
        <v>1076.2705</v>
      </c>
    </row>
    <row r="1154" spans="1:3" x14ac:dyDescent="0.25">
      <c r="A1154" t="str">
        <f>"25/02/2014"</f>
        <v>25/02/2014</v>
      </c>
      <c r="B1154" t="str">
        <f>"1070.54"</f>
        <v>1070.54</v>
      </c>
      <c r="C1154" t="str">
        <f>"1070.5605"</f>
        <v>1070.5605</v>
      </c>
    </row>
    <row r="1155" spans="1:3" x14ac:dyDescent="0.25">
      <c r="A1155" t="str">
        <f>"26/02/2014"</f>
        <v>26/02/2014</v>
      </c>
      <c r="B1155" t="str">
        <f>"1068.50"</f>
        <v>1068.50</v>
      </c>
      <c r="C1155" t="str">
        <f>"1068.5225"</f>
        <v>1068.5225</v>
      </c>
    </row>
    <row r="1156" spans="1:3" x14ac:dyDescent="0.25">
      <c r="A1156" t="str">
        <f>"28/02/2014"</f>
        <v>28/02/2014</v>
      </c>
      <c r="B1156" t="str">
        <f>"1068.05"</f>
        <v>1068.05</v>
      </c>
      <c r="C1156" t="str">
        <f>"1068.0725"</f>
        <v>1068.0725</v>
      </c>
    </row>
    <row r="1157" spans="1:3" x14ac:dyDescent="0.25">
      <c r="A1157" t="str">
        <f>"03/03/2014"</f>
        <v>03/03/2014</v>
      </c>
      <c r="B1157" t="str">
        <f>"1071.10"</f>
        <v>1071.10</v>
      </c>
      <c r="C1157" t="str">
        <f>"1071.1242"</f>
        <v>1071.1242</v>
      </c>
    </row>
    <row r="1158" spans="1:3" x14ac:dyDescent="0.25">
      <c r="A1158" t="str">
        <f>"04/03/2014"</f>
        <v>04/03/2014</v>
      </c>
      <c r="B1158" t="str">
        <f>"1071.84"</f>
        <v>1071.84</v>
      </c>
      <c r="C1158" t="str">
        <f>"1071.8641"</f>
        <v>1071.8641</v>
      </c>
    </row>
    <row r="1159" spans="1:3" x14ac:dyDescent="0.25">
      <c r="A1159" t="str">
        <f>"05/03/2014"</f>
        <v>05/03/2014</v>
      </c>
      <c r="B1159" t="str">
        <f>"1071.60"</f>
        <v>1071.60</v>
      </c>
      <c r="C1159" t="str">
        <f>"1071.623"</f>
        <v>1071.623</v>
      </c>
    </row>
    <row r="1160" spans="1:3" x14ac:dyDescent="0.25">
      <c r="A1160" t="str">
        <f>"06/03/2014"</f>
        <v>06/03/2014</v>
      </c>
      <c r="B1160" t="str">
        <f>"1065.40"</f>
        <v>1065.40</v>
      </c>
      <c r="C1160" t="str">
        <f>"1065.422"</f>
        <v>1065.422</v>
      </c>
    </row>
    <row r="1161" spans="1:3" x14ac:dyDescent="0.25">
      <c r="A1161" t="str">
        <f>"07/03/2014"</f>
        <v>07/03/2014</v>
      </c>
      <c r="B1161" t="str">
        <f>"1063.775"</f>
        <v>1063.775</v>
      </c>
      <c r="C1161" t="str">
        <f>"1063.7975"</f>
        <v>1063.7975</v>
      </c>
    </row>
    <row r="1162" spans="1:3" x14ac:dyDescent="0.25">
      <c r="A1162" t="str">
        <f>"10/03/2014"</f>
        <v>10/03/2014</v>
      </c>
      <c r="B1162" t="str">
        <f>"1066.15"</f>
        <v>1066.15</v>
      </c>
      <c r="C1162" t="str">
        <f>"1066.1735"</f>
        <v>1066.1735</v>
      </c>
    </row>
    <row r="1163" spans="1:3" x14ac:dyDescent="0.25">
      <c r="A1163" t="str">
        <f>"11/03/2014"</f>
        <v>11/03/2014</v>
      </c>
      <c r="B1163" t="str">
        <f>"1064.50"</f>
        <v>1064.50</v>
      </c>
      <c r="C1163" t="str">
        <f>"1064.5225"</f>
        <v>1064.5225</v>
      </c>
    </row>
    <row r="1164" spans="1:3" x14ac:dyDescent="0.25">
      <c r="A1164" t="str">
        <f>"12/03/2014"</f>
        <v>12/03/2014</v>
      </c>
      <c r="B1164" t="str">
        <f>"1069.685"</f>
        <v>1069.685</v>
      </c>
      <c r="C1164" t="str">
        <f>"1069.7065"</f>
        <v>1069.7065</v>
      </c>
    </row>
    <row r="1165" spans="1:3" x14ac:dyDescent="0.25">
      <c r="A1165" t="str">
        <f>"13/03/2014"</f>
        <v>13/03/2014</v>
      </c>
      <c r="B1165" t="str">
        <f>"1066.975"</f>
        <v>1066.975</v>
      </c>
      <c r="C1165" t="str">
        <f>"1066.996"</f>
        <v>1066.996</v>
      </c>
    </row>
    <row r="1166" spans="1:3" x14ac:dyDescent="0.25">
      <c r="A1166" t="str">
        <f>"14/03/2014"</f>
        <v>14/03/2014</v>
      </c>
      <c r="B1166" t="str">
        <f>"1071.60"</f>
        <v>1071.60</v>
      </c>
      <c r="C1166" t="str">
        <f>"1071.6236"</f>
        <v>1071.6236</v>
      </c>
    </row>
    <row r="1167" spans="1:3" x14ac:dyDescent="0.25">
      <c r="A1167" t="str">
        <f>"18/03/2014"</f>
        <v>18/03/2014</v>
      </c>
      <c r="B1167" t="str">
        <f>"1068.60"</f>
        <v>1068.60</v>
      </c>
      <c r="C1167" t="str">
        <f>"1068.621"</f>
        <v>1068.621</v>
      </c>
    </row>
    <row r="1168" spans="1:3" x14ac:dyDescent="0.25">
      <c r="A1168" t="str">
        <f>"19/03/2014"</f>
        <v>19/03/2014</v>
      </c>
      <c r="B1168" t="str">
        <f>"1071.60"</f>
        <v>1071.60</v>
      </c>
      <c r="C1168" t="str">
        <f>"1071.621"</f>
        <v>1071.621</v>
      </c>
    </row>
    <row r="1169" spans="1:3" x14ac:dyDescent="0.25">
      <c r="A1169" t="str">
        <f>"20/03/2014"</f>
        <v>20/03/2014</v>
      </c>
      <c r="B1169" t="str">
        <f>"1076.245"</f>
        <v>1076.245</v>
      </c>
      <c r="C1169" t="str">
        <f>"1076.2694"</f>
        <v>1076.2694</v>
      </c>
    </row>
    <row r="1170" spans="1:3" x14ac:dyDescent="0.25">
      <c r="A1170" t="str">
        <f>"21/03/2014"</f>
        <v>21/03/2014</v>
      </c>
      <c r="B1170" t="str">
        <f>"1082.10"</f>
        <v>1082.10</v>
      </c>
      <c r="C1170" t="str">
        <f>"1082.1245"</f>
        <v>1082.1245</v>
      </c>
    </row>
    <row r="1171" spans="1:3" x14ac:dyDescent="0.25">
      <c r="A1171" t="str">
        <f>"24/03/2014"</f>
        <v>24/03/2014</v>
      </c>
      <c r="B1171" t="str">
        <f>"1080.00"</f>
        <v>1080.00</v>
      </c>
      <c r="C1171" t="str">
        <f>"1080.0205"</f>
        <v>1080.0205</v>
      </c>
    </row>
    <row r="1172" spans="1:3" x14ac:dyDescent="0.25">
      <c r="A1172" t="str">
        <f>"25/03/2014"</f>
        <v>25/03/2014</v>
      </c>
      <c r="B1172" t="str">
        <f>"1079.16"</f>
        <v>1079.16</v>
      </c>
      <c r="C1172" t="str">
        <f>"1079.18"</f>
        <v>1079.18</v>
      </c>
    </row>
    <row r="1173" spans="1:3" x14ac:dyDescent="0.25">
      <c r="A1173" t="str">
        <f>"26/03/2014"</f>
        <v>26/03/2014</v>
      </c>
      <c r="B1173" t="str">
        <f>"1074.60"</f>
        <v>1074.60</v>
      </c>
      <c r="C1173" t="str">
        <f>"1074.6205"</f>
        <v>1074.6205</v>
      </c>
    </row>
    <row r="1174" spans="1:3" x14ac:dyDescent="0.25">
      <c r="A1174" t="str">
        <f>"27/03/2014"</f>
        <v>27/03/2014</v>
      </c>
      <c r="B1174" t="str">
        <f>"1072.155"</f>
        <v>1072.155</v>
      </c>
      <c r="C1174" t="str">
        <f>"1072.1745"</f>
        <v>1072.1745</v>
      </c>
    </row>
    <row r="1175" spans="1:3" x14ac:dyDescent="0.25">
      <c r="A1175" t="str">
        <f>"28/03/2014"</f>
        <v>28/03/2014</v>
      </c>
      <c r="B1175" t="str">
        <f>"1069.05"</f>
        <v>1069.05</v>
      </c>
      <c r="C1175" t="str">
        <f>"1069.0695"</f>
        <v>1069.0695</v>
      </c>
    </row>
    <row r="1176" spans="1:3" x14ac:dyDescent="0.25">
      <c r="A1176" t="str">
        <f>"02/04/2014"</f>
        <v>02/04/2014</v>
      </c>
      <c r="B1176" t="str">
        <f>"1057.48"</f>
        <v>1057.48</v>
      </c>
      <c r="C1176" t="str">
        <f>"1057.5053"</f>
        <v>1057.5053</v>
      </c>
    </row>
    <row r="1177" spans="1:3" x14ac:dyDescent="0.25">
      <c r="A1177" t="str">
        <f>"03/04/2014"</f>
        <v>03/04/2014</v>
      </c>
      <c r="B1177" t="str">
        <f>"1057.70"</f>
        <v>1057.70</v>
      </c>
      <c r="C1177" t="str">
        <f>"1057.72"</f>
        <v>1057.72</v>
      </c>
    </row>
    <row r="1178" spans="1:3" x14ac:dyDescent="0.25">
      <c r="A1178" t="str">
        <f>"04/04/2014"</f>
        <v>04/04/2014</v>
      </c>
      <c r="B1178" t="str">
        <f>"1056.01"</f>
        <v>1056.01</v>
      </c>
      <c r="C1178" t="str">
        <f>"1056.0341"</f>
        <v>1056.0341</v>
      </c>
    </row>
    <row r="1179" spans="1:3" x14ac:dyDescent="0.25">
      <c r="A1179" t="str">
        <f>"07/04/2014"</f>
        <v>07/04/2014</v>
      </c>
      <c r="B1179" t="str">
        <f>"1053.80"</f>
        <v>1053.80</v>
      </c>
      <c r="C1179" t="str">
        <f>"1053.82"</f>
        <v>1053.82</v>
      </c>
    </row>
    <row r="1180" spans="1:3" x14ac:dyDescent="0.25">
      <c r="A1180" t="str">
        <f>"09/04/2014"</f>
        <v>09/04/2014</v>
      </c>
      <c r="B1180" t="str">
        <f>"1042.50"</f>
        <v>1042.50</v>
      </c>
      <c r="C1180" t="str">
        <f>"1042.5206"</f>
        <v>1042.5206</v>
      </c>
    </row>
    <row r="1181" spans="1:3" x14ac:dyDescent="0.25">
      <c r="A1181" t="str">
        <f>"10/04/2014"</f>
        <v>10/04/2014</v>
      </c>
      <c r="B1181" t="str">
        <f>"1037.90"</f>
        <v>1037.90</v>
      </c>
      <c r="C1181" t="str">
        <f>"1037.9195"</f>
        <v>1037.9195</v>
      </c>
    </row>
    <row r="1182" spans="1:3" x14ac:dyDescent="0.25">
      <c r="A1182" t="str">
        <f>"11/04/2014"</f>
        <v>11/04/2014</v>
      </c>
      <c r="B1182" t="str">
        <f>"1034.90"</f>
        <v>1034.90</v>
      </c>
      <c r="C1182" t="str">
        <f>"1034.9271"</f>
        <v>1034.9271</v>
      </c>
    </row>
    <row r="1183" spans="1:3" x14ac:dyDescent="0.25">
      <c r="A1183" t="str">
        <f>"15/04/2014"</f>
        <v>15/04/2014</v>
      </c>
      <c r="B1183" t="str">
        <f>"1041.75"</f>
        <v>1041.75</v>
      </c>
      <c r="C1183" t="str">
        <f>"1041.7685"</f>
        <v>1041.7685</v>
      </c>
    </row>
    <row r="1184" spans="1:3" x14ac:dyDescent="0.25">
      <c r="A1184" t="str">
        <f>"16/04/2014"</f>
        <v>16/04/2014</v>
      </c>
      <c r="B1184" t="str">
        <f>"1039.70"</f>
        <v>1039.70</v>
      </c>
      <c r="C1184" t="str">
        <f>"1039.717"</f>
        <v>1039.717</v>
      </c>
    </row>
    <row r="1185" spans="1:3" x14ac:dyDescent="0.25">
      <c r="A1185" t="str">
        <f>"17/04/2014"</f>
        <v>17/04/2014</v>
      </c>
      <c r="B1185" t="str">
        <f>"1038.90"</f>
        <v>1038.90</v>
      </c>
      <c r="C1185" t="str">
        <f>"1038.917"</f>
        <v>1038.917</v>
      </c>
    </row>
    <row r="1186" spans="1:3" x14ac:dyDescent="0.25">
      <c r="A1186" t="str">
        <f>"21/04/2014"</f>
        <v>21/04/2014</v>
      </c>
      <c r="B1186" t="str">
        <f>"1038.20"</f>
        <v>1038.20</v>
      </c>
      <c r="C1186" t="str">
        <f>"1038.2211"</f>
        <v>1038.2211</v>
      </c>
    </row>
    <row r="1187" spans="1:3" x14ac:dyDescent="0.25">
      <c r="A1187" t="str">
        <f>"22/04/2014"</f>
        <v>22/04/2014</v>
      </c>
      <c r="B1187" t="str">
        <f>"1040.05"</f>
        <v>1040.05</v>
      </c>
      <c r="C1187" t="str">
        <f>"1040.0695"</f>
        <v>1040.0695</v>
      </c>
    </row>
    <row r="1188" spans="1:3" x14ac:dyDescent="0.25">
      <c r="A1188" t="str">
        <f>"23/04/2014"</f>
        <v>23/04/2014</v>
      </c>
      <c r="B1188" t="str">
        <f>"1039.80"</f>
        <v>1039.80</v>
      </c>
      <c r="C1188" t="str">
        <f>"1039.818"</f>
        <v>1039.818</v>
      </c>
    </row>
    <row r="1189" spans="1:3" x14ac:dyDescent="0.25">
      <c r="A1189" t="str">
        <f>"25/04/2014"</f>
        <v>25/04/2014</v>
      </c>
      <c r="B1189" t="str">
        <f>"1039.775"</f>
        <v>1039.775</v>
      </c>
      <c r="C1189" t="str">
        <f>"1039.7925"</f>
        <v>1039.7925</v>
      </c>
    </row>
    <row r="1190" spans="1:3" x14ac:dyDescent="0.25">
      <c r="A1190" t="str">
        <f>"28/04/2014"</f>
        <v>28/04/2014</v>
      </c>
      <c r="B1190" t="str">
        <f>"1035.50"</f>
        <v>1035.50</v>
      </c>
      <c r="C1190" t="str">
        <f>"1035.5264"</f>
        <v>1035.5264</v>
      </c>
    </row>
    <row r="1191" spans="1:3" x14ac:dyDescent="0.25">
      <c r="A1191" t="str">
        <f>"29/04/2014"</f>
        <v>29/04/2014</v>
      </c>
      <c r="B1191" t="str">
        <f>"1031.50"</f>
        <v>1031.50</v>
      </c>
      <c r="C1191" t="str">
        <f>"1031.5249"</f>
        <v>1031.5249</v>
      </c>
    </row>
    <row r="1192" spans="1:3" x14ac:dyDescent="0.25">
      <c r="A1192" t="str">
        <f>"30/04/2014"</f>
        <v>30/04/2014</v>
      </c>
      <c r="B1192" t="str">
        <f>"1031.85"</f>
        <v>1031.85</v>
      </c>
      <c r="C1192" t="str">
        <f>"1031.8715"</f>
        <v>1031.8715</v>
      </c>
    </row>
    <row r="1193" spans="1:3" x14ac:dyDescent="0.25">
      <c r="A1193" t="str">
        <f>"02/05/2014"</f>
        <v>02/05/2014</v>
      </c>
      <c r="B1193" t="str">
        <f>"1031.30"</f>
        <v>1031.30</v>
      </c>
      <c r="C1193" t="str">
        <f>"1031.3215"</f>
        <v>1031.3215</v>
      </c>
    </row>
    <row r="1194" spans="1:3" x14ac:dyDescent="0.25">
      <c r="A1194" t="str">
        <f>"05/05/2014"</f>
        <v>05/05/2014</v>
      </c>
      <c r="B1194" t="str">
        <f>"1029.00"</f>
        <v>1029.00</v>
      </c>
      <c r="C1194" t="str">
        <f>"1029.0271"</f>
        <v>1029.0271</v>
      </c>
    </row>
    <row r="1195" spans="1:3" x14ac:dyDescent="0.25">
      <c r="A1195" t="str">
        <f>"06/05/2014"</f>
        <v>06/05/2014</v>
      </c>
      <c r="B1195" t="str">
        <f>"1025.55"</f>
        <v>1025.55</v>
      </c>
      <c r="C1195" t="str">
        <f>"1025.5771"</f>
        <v>1025.5771</v>
      </c>
    </row>
    <row r="1196" spans="1:3" x14ac:dyDescent="0.25">
      <c r="A1196" t="str">
        <f>"07/05/2014"</f>
        <v>07/05/2014</v>
      </c>
      <c r="B1196" t="str">
        <f>"1026.85"</f>
        <v>1026.85</v>
      </c>
      <c r="C1196" t="str">
        <f>"1026.8782"</f>
        <v>1026.8782</v>
      </c>
    </row>
    <row r="1197" spans="1:3" x14ac:dyDescent="0.25">
      <c r="A1197" t="str">
        <f>"08/05/2014"</f>
        <v>08/05/2014</v>
      </c>
      <c r="B1197" t="str">
        <f>"1022.50"</f>
        <v>1022.50</v>
      </c>
      <c r="C1197" t="str">
        <f>"1022.5295"</f>
        <v>1022.5295</v>
      </c>
    </row>
    <row r="1198" spans="1:3" x14ac:dyDescent="0.25">
      <c r="A1198" t="str">
        <f>"09/05/2014"</f>
        <v>09/05/2014</v>
      </c>
      <c r="B1198" t="str">
        <f>"1022.625"</f>
        <v>1022.625</v>
      </c>
      <c r="C1198" t="str">
        <f>"1022.645"</f>
        <v>1022.645</v>
      </c>
    </row>
    <row r="1199" spans="1:3" x14ac:dyDescent="0.25">
      <c r="A1199" t="str">
        <f>"12/05/2014"</f>
        <v>12/05/2014</v>
      </c>
      <c r="B1199" t="str">
        <f>"1024.90"</f>
        <v>1024.90</v>
      </c>
      <c r="C1199" t="str">
        <f>"1024.9215"</f>
        <v>1024.9215</v>
      </c>
    </row>
    <row r="1200" spans="1:3" x14ac:dyDescent="0.25">
      <c r="A1200" t="str">
        <f>"13/05/2014"</f>
        <v>13/05/2014</v>
      </c>
      <c r="B1200" t="str">
        <f>"1023.35"</f>
        <v>1023.35</v>
      </c>
      <c r="C1200" t="str">
        <f>"1023.3717"</f>
        <v>1023.3717</v>
      </c>
    </row>
    <row r="1201" spans="1:3" x14ac:dyDescent="0.25">
      <c r="A1201" t="str">
        <f>"15/05/2014"</f>
        <v>15/05/2014</v>
      </c>
      <c r="B1201" t="str">
        <f>"1026.70"</f>
        <v>1026.70</v>
      </c>
      <c r="C1201" t="str">
        <f>"1026.72"</f>
        <v>1026.72</v>
      </c>
    </row>
    <row r="1202" spans="1:3" x14ac:dyDescent="0.25">
      <c r="A1202" t="str">
        <f>"16/05/2014"</f>
        <v>16/05/2014</v>
      </c>
      <c r="B1202" t="str">
        <f>"1025.05"</f>
        <v>1025.05</v>
      </c>
      <c r="C1202" t="str">
        <f>"1025.07"</f>
        <v>1025.07</v>
      </c>
    </row>
    <row r="1203" spans="1:3" x14ac:dyDescent="0.25">
      <c r="A1203" t="str">
        <f>"19/05/2014"</f>
        <v>19/05/2014</v>
      </c>
      <c r="B1203" t="str">
        <f>"1022.60"</f>
        <v>1022.60</v>
      </c>
      <c r="C1203" t="str">
        <f>"1022.621"</f>
        <v>1022.621</v>
      </c>
    </row>
    <row r="1204" spans="1:3" x14ac:dyDescent="0.25">
      <c r="A1204" t="str">
        <f>"20/05/2014"</f>
        <v>20/05/2014</v>
      </c>
      <c r="B1204" t="str">
        <f>"1025.60"</f>
        <v>1025.60</v>
      </c>
      <c r="C1204" t="str">
        <f>"1025.6205"</f>
        <v>1025.6205</v>
      </c>
    </row>
    <row r="1205" spans="1:3" x14ac:dyDescent="0.25">
      <c r="A1205" t="str">
        <f>"21/05/2014"</f>
        <v>21/05/2014</v>
      </c>
      <c r="B1205" t="str">
        <f>"1027.89"</f>
        <v>1027.89</v>
      </c>
      <c r="C1205" t="str">
        <f>"1027.9095"</f>
        <v>1027.9095</v>
      </c>
    </row>
    <row r="1206" spans="1:3" x14ac:dyDescent="0.25">
      <c r="A1206" t="str">
        <f>"22/05/2014"</f>
        <v>22/05/2014</v>
      </c>
      <c r="B1206" t="str">
        <f>"1025.15"</f>
        <v>1025.15</v>
      </c>
      <c r="C1206" t="str">
        <f>"1025.1689"</f>
        <v>1025.1689</v>
      </c>
    </row>
    <row r="1207" spans="1:3" x14ac:dyDescent="0.25">
      <c r="A1207" t="str">
        <f>"23/05/2014"</f>
        <v>23/05/2014</v>
      </c>
      <c r="B1207" t="str">
        <f>"1024.10"</f>
        <v>1024.10</v>
      </c>
      <c r="C1207" t="str">
        <f>"1024.1283"</f>
        <v>1024.1283</v>
      </c>
    </row>
    <row r="1208" spans="1:3" x14ac:dyDescent="0.25">
      <c r="A1208" t="str">
        <f>"26/05/2014"</f>
        <v>26/05/2014</v>
      </c>
      <c r="B1208" t="str">
        <f>"1023.95"</f>
        <v>1023.95</v>
      </c>
      <c r="C1208" t="str">
        <f>"1023.9718"</f>
        <v>1023.9718</v>
      </c>
    </row>
    <row r="1209" spans="1:3" x14ac:dyDescent="0.25">
      <c r="A1209" t="str">
        <f>"27/05/2014"</f>
        <v>27/05/2014</v>
      </c>
      <c r="B1209" t="str">
        <f>"1023.68"</f>
        <v>1023.68</v>
      </c>
      <c r="C1209" t="str">
        <f>"1023.7031"</f>
        <v>1023.7031</v>
      </c>
    </row>
    <row r="1210" spans="1:3" x14ac:dyDescent="0.25">
      <c r="A1210" t="str">
        <f>"28/05/2014"</f>
        <v>28/05/2014</v>
      </c>
      <c r="B1210" t="str">
        <f>"1022.70"</f>
        <v>1022.70</v>
      </c>
      <c r="C1210" t="str">
        <f>"1022.719"</f>
        <v>1022.719</v>
      </c>
    </row>
    <row r="1211" spans="1:3" x14ac:dyDescent="0.25">
      <c r="A1211" t="str">
        <f>"29/05/2014"</f>
        <v>29/05/2014</v>
      </c>
      <c r="B1211" t="str">
        <f>"1021.55"</f>
        <v>1021.55</v>
      </c>
      <c r="C1211" t="str">
        <f>"1021.569"</f>
        <v>1021.569</v>
      </c>
    </row>
    <row r="1212" spans="1:3" x14ac:dyDescent="0.25">
      <c r="A1212" t="str">
        <f>"30/05/2014"</f>
        <v>30/05/2014</v>
      </c>
      <c r="B1212" t="str">
        <f>"1020.70"</f>
        <v>1020.70</v>
      </c>
      <c r="C1212" t="str">
        <f>"1020.7225"</f>
        <v>1020.7225</v>
      </c>
    </row>
    <row r="1213" spans="1:3" x14ac:dyDescent="0.25">
      <c r="A1213" t="str">
        <f>"02/06/2014"</f>
        <v>02/06/2014</v>
      </c>
      <c r="B1213" t="str">
        <f>"1024.425"</f>
        <v>1024.425</v>
      </c>
      <c r="C1213" t="str">
        <f>"1024.4528"</f>
        <v>1024.4528</v>
      </c>
    </row>
    <row r="1214" spans="1:3" x14ac:dyDescent="0.25">
      <c r="A1214" t="str">
        <f>"03/06/2014"</f>
        <v>03/06/2014</v>
      </c>
      <c r="B1214" t="str">
        <f>"1024.10"</f>
        <v>1024.10</v>
      </c>
      <c r="C1214" t="str">
        <f>"1024.118"</f>
        <v>1024.118</v>
      </c>
    </row>
    <row r="1215" spans="1:3" x14ac:dyDescent="0.25">
      <c r="A1215" t="str">
        <f>"04/06/2014"</f>
        <v>04/06/2014</v>
      </c>
      <c r="B1215" t="str">
        <f>"1027.42"</f>
        <v>1027.42</v>
      </c>
      <c r="C1215" t="str">
        <f>"1027.4411"</f>
        <v>1027.4411</v>
      </c>
    </row>
    <row r="1216" spans="1:3" x14ac:dyDescent="0.25">
      <c r="A1216" t="str">
        <f>"05/06/2014"</f>
        <v>05/06/2014</v>
      </c>
      <c r="B1216" t="str">
        <f>"1021.495"</f>
        <v>1021.495</v>
      </c>
      <c r="C1216" t="str">
        <f>"1021.5135"</f>
        <v>1021.5135</v>
      </c>
    </row>
    <row r="1217" spans="1:3" x14ac:dyDescent="0.25">
      <c r="A1217" t="str">
        <f>"06/06/2014"</f>
        <v>06/06/2014</v>
      </c>
      <c r="B1217" t="str">
        <f>"1020.835"</f>
        <v>1020.835</v>
      </c>
      <c r="C1217" t="str">
        <f>"1020.8535"</f>
        <v>1020.8535</v>
      </c>
    </row>
    <row r="1218" spans="1:3" x14ac:dyDescent="0.25">
      <c r="A1218" t="str">
        <f>"09/06/2014"</f>
        <v>09/06/2014</v>
      </c>
      <c r="B1218" t="str">
        <f>"1017.50"</f>
        <v>1017.50</v>
      </c>
      <c r="C1218" t="str">
        <f>"1017.5266"</f>
        <v>1017.5266</v>
      </c>
    </row>
    <row r="1219" spans="1:3" x14ac:dyDescent="0.25">
      <c r="A1219" t="str">
        <f>"10/06/2014"</f>
        <v>10/06/2014</v>
      </c>
      <c r="B1219" t="str">
        <f>"1016.60"</f>
        <v>1016.60</v>
      </c>
      <c r="C1219" t="str">
        <f>"1016.6195"</f>
        <v>1016.6195</v>
      </c>
    </row>
    <row r="1220" spans="1:3" x14ac:dyDescent="0.25">
      <c r="A1220" t="str">
        <f>"11/06/2014"</f>
        <v>11/06/2014</v>
      </c>
      <c r="B1220" t="str">
        <f>"1016.65"</f>
        <v>1016.65</v>
      </c>
      <c r="C1220" t="str">
        <f>"1016.667"</f>
        <v>1016.667</v>
      </c>
    </row>
    <row r="1221" spans="1:3" x14ac:dyDescent="0.25">
      <c r="A1221" t="str">
        <f>"12/06/2014"</f>
        <v>12/06/2014</v>
      </c>
      <c r="B1221" t="str">
        <f>"1017.00"</f>
        <v>1017.00</v>
      </c>
      <c r="C1221" t="str">
        <f>"1017.0222"</f>
        <v>1017.0222</v>
      </c>
    </row>
    <row r="1222" spans="1:3" x14ac:dyDescent="0.25">
      <c r="A1222" t="str">
        <f>"13/06/2014"</f>
        <v>13/06/2014</v>
      </c>
      <c r="B1222" t="str">
        <f>"1018.30"</f>
        <v>1018.30</v>
      </c>
      <c r="C1222" t="str">
        <f>"1018.317"</f>
        <v>1018.317</v>
      </c>
    </row>
    <row r="1223" spans="1:3" x14ac:dyDescent="0.25">
      <c r="A1223" t="str">
        <f>"16/06/2014"</f>
        <v>16/06/2014</v>
      </c>
      <c r="B1223" t="str">
        <f>"1019.90"</f>
        <v>1019.90</v>
      </c>
      <c r="C1223" t="str">
        <f>"1019.916"</f>
        <v>1019.916</v>
      </c>
    </row>
    <row r="1224" spans="1:3" x14ac:dyDescent="0.25">
      <c r="A1224" t="str">
        <f>"17/06/2014"</f>
        <v>17/06/2014</v>
      </c>
      <c r="B1224" t="str">
        <f>"1023.10"</f>
        <v>1023.10</v>
      </c>
      <c r="C1224" t="str">
        <f>"1023.1161"</f>
        <v>1023.1161</v>
      </c>
    </row>
    <row r="1225" spans="1:3" x14ac:dyDescent="0.25">
      <c r="A1225" t="str">
        <f>"18/06/2014"</f>
        <v>18/06/2014</v>
      </c>
      <c r="B1225" t="str">
        <f>"1023.275"</f>
        <v>1023.275</v>
      </c>
      <c r="C1225" t="str">
        <f>"1023.2952"</f>
        <v>1023.2952</v>
      </c>
    </row>
    <row r="1226" spans="1:3" x14ac:dyDescent="0.25">
      <c r="A1226" t="str">
        <f>"19/06/2014"</f>
        <v>19/06/2014</v>
      </c>
      <c r="B1226" t="str">
        <f>"1018.57"</f>
        <v>1018.57</v>
      </c>
      <c r="C1226" t="str">
        <f>"1018.586"</f>
        <v>1018.586</v>
      </c>
    </row>
    <row r="1227" spans="1:3" x14ac:dyDescent="0.25">
      <c r="A1227" t="str">
        <f>"20/06/2014"</f>
        <v>20/06/2014</v>
      </c>
      <c r="B1227" t="str">
        <f>"1019.25"</f>
        <v>1019.25</v>
      </c>
      <c r="C1227" t="str">
        <f>"1019.2663"</f>
        <v>1019.2663</v>
      </c>
    </row>
    <row r="1228" spans="1:3" x14ac:dyDescent="0.25">
      <c r="A1228" t="str">
        <f>"23/06/2014"</f>
        <v>23/06/2014</v>
      </c>
      <c r="B1228" t="str">
        <f>"1017.90"</f>
        <v>1017.90</v>
      </c>
      <c r="C1228" t="str">
        <f>"1017.9161"</f>
        <v>1017.9161</v>
      </c>
    </row>
    <row r="1229" spans="1:3" x14ac:dyDescent="0.25">
      <c r="A1229" t="str">
        <f>"24/06/2014"</f>
        <v>24/06/2014</v>
      </c>
      <c r="B1229" t="str">
        <f>"1017.80"</f>
        <v>1017.80</v>
      </c>
      <c r="C1229" t="str">
        <f>"1017.816"</f>
        <v>1017.816</v>
      </c>
    </row>
    <row r="1230" spans="1:3" x14ac:dyDescent="0.25">
      <c r="A1230" t="str">
        <f>"25/06/2014"</f>
        <v>25/06/2014</v>
      </c>
      <c r="B1230" t="str">
        <f>"1021.20"</f>
        <v>1021.20</v>
      </c>
      <c r="C1230" t="str">
        <f>"1021.2165"</f>
        <v>1021.2165</v>
      </c>
    </row>
    <row r="1231" spans="1:3" x14ac:dyDescent="0.25">
      <c r="A1231" t="str">
        <f>"26/06/2014"</f>
        <v>26/06/2014</v>
      </c>
      <c r="B1231" t="str">
        <f>"1016.75"</f>
        <v>1016.75</v>
      </c>
      <c r="C1231" t="str">
        <f>"1016.7662"</f>
        <v>1016.7662</v>
      </c>
    </row>
    <row r="1232" spans="1:3" x14ac:dyDescent="0.25">
      <c r="A1232" t="str">
        <f>"27/06/2014"</f>
        <v>27/06/2014</v>
      </c>
      <c r="B1232" t="str">
        <f>"1014.00"</f>
        <v>1014.00</v>
      </c>
      <c r="C1232" t="str">
        <f>"1014.019"</f>
        <v>1014.019</v>
      </c>
    </row>
    <row r="1233" spans="1:3" x14ac:dyDescent="0.25">
      <c r="A1233" t="str">
        <f>"30/06/2014"</f>
        <v>30/06/2014</v>
      </c>
      <c r="B1233" t="str">
        <f>"1011.85"</f>
        <v>1011.85</v>
      </c>
      <c r="C1233" t="str">
        <f>"1011.8677"</f>
        <v>1011.8677</v>
      </c>
    </row>
    <row r="1234" spans="1:3" x14ac:dyDescent="0.25">
      <c r="A1234" t="str">
        <f>"01/07/2014"</f>
        <v>01/07/2014</v>
      </c>
      <c r="B1234" t="str">
        <f>"1011.70"</f>
        <v>1011.70</v>
      </c>
      <c r="C1234" t="str">
        <f>"1011.715"</f>
        <v>1011.715</v>
      </c>
    </row>
    <row r="1235" spans="1:3" x14ac:dyDescent="0.25">
      <c r="A1235" t="str">
        <f>"02/07/2014"</f>
        <v>02/07/2014</v>
      </c>
      <c r="B1235" t="str">
        <f>"1010.55"</f>
        <v>1010.55</v>
      </c>
      <c r="C1235" t="str">
        <f>"1010.565"</f>
        <v>1010.565</v>
      </c>
    </row>
    <row r="1236" spans="1:3" x14ac:dyDescent="0.25">
      <c r="A1236" t="str">
        <f>"03/07/2014"</f>
        <v>03/07/2014</v>
      </c>
      <c r="B1236" t="str">
        <f>"1009.50"</f>
        <v>1009.50</v>
      </c>
      <c r="C1236" t="str">
        <f>"1009.515"</f>
        <v>1009.515</v>
      </c>
    </row>
    <row r="1237" spans="1:3" x14ac:dyDescent="0.25">
      <c r="A1237" t="str">
        <f>"04/07/2014"</f>
        <v>04/07/2014</v>
      </c>
      <c r="B1237" t="str">
        <f>"1009.515"</f>
        <v>1009.515</v>
      </c>
      <c r="C1237" t="str">
        <f>"1009.5346"</f>
        <v>1009.5346</v>
      </c>
    </row>
    <row r="1238" spans="1:3" x14ac:dyDescent="0.25">
      <c r="A1238" t="str">
        <f>"07/07/2014"</f>
        <v>07/07/2014</v>
      </c>
      <c r="B1238" t="str">
        <f>"1010.05"</f>
        <v>1010.05</v>
      </c>
      <c r="C1238" t="str">
        <f>"1010.0698"</f>
        <v>1010.0698</v>
      </c>
    </row>
    <row r="1239" spans="1:3" x14ac:dyDescent="0.25">
      <c r="A1239" t="str">
        <f>"08/07/2014"</f>
        <v>08/07/2014</v>
      </c>
      <c r="B1239" t="str">
        <f>"1012.00"</f>
        <v>1012.00</v>
      </c>
      <c r="C1239" t="str">
        <f>"1012.0207"</f>
        <v>1012.0207</v>
      </c>
    </row>
    <row r="1240" spans="1:3" x14ac:dyDescent="0.25">
      <c r="A1240" t="str">
        <f>"09/07/2014"</f>
        <v>09/07/2014</v>
      </c>
      <c r="B1240" t="str">
        <f>"1012.825"</f>
        <v>1012.825</v>
      </c>
      <c r="C1240" t="str">
        <f>"1012.8415"</f>
        <v>1012.8415</v>
      </c>
    </row>
    <row r="1241" spans="1:3" x14ac:dyDescent="0.25">
      <c r="A1241" t="str">
        <f>"10/07/2014"</f>
        <v>10/07/2014</v>
      </c>
      <c r="B1241" t="str">
        <f>"1012.71"</f>
        <v>1012.71</v>
      </c>
      <c r="C1241" t="str">
        <f>"1012.7281"</f>
        <v>1012.7281</v>
      </c>
    </row>
    <row r="1242" spans="1:3" x14ac:dyDescent="0.25">
      <c r="A1242" t="str">
        <f>"11/07/2014"</f>
        <v>11/07/2014</v>
      </c>
      <c r="B1242" t="str">
        <f>"1020.00"</f>
        <v>1020.00</v>
      </c>
      <c r="C1242" t="str">
        <f>"1020.0175"</f>
        <v>1020.0175</v>
      </c>
    </row>
    <row r="1243" spans="1:3" x14ac:dyDescent="0.25">
      <c r="A1243" t="str">
        <f>"14/07/2014"</f>
        <v>14/07/2014</v>
      </c>
      <c r="B1243" t="str">
        <f>"1019.40"</f>
        <v>1019.40</v>
      </c>
      <c r="C1243" t="str">
        <f>"1019.4222"</f>
        <v>1019.4222</v>
      </c>
    </row>
    <row r="1244" spans="1:3" x14ac:dyDescent="0.25">
      <c r="A1244" t="str">
        <f>"15/07/2014"</f>
        <v>15/07/2014</v>
      </c>
      <c r="B1244" t="str">
        <f>"1026.58"</f>
        <v>1026.58</v>
      </c>
      <c r="C1244" t="str">
        <f>"1026.6051"</f>
        <v>1026.6051</v>
      </c>
    </row>
    <row r="1245" spans="1:3" x14ac:dyDescent="0.25">
      <c r="A1245" t="str">
        <f>"16/07/2014"</f>
        <v>16/07/2014</v>
      </c>
      <c r="B1245" t="str">
        <f>"1032.775"</f>
        <v>1032.775</v>
      </c>
      <c r="C1245" t="str">
        <f>"1032.7972"</f>
        <v>1032.7972</v>
      </c>
    </row>
    <row r="1246" spans="1:3" x14ac:dyDescent="0.25">
      <c r="A1246" t="str">
        <f>"17/07/2014"</f>
        <v>17/07/2014</v>
      </c>
      <c r="B1246" t="str">
        <f>"1032.80"</f>
        <v>1032.80</v>
      </c>
      <c r="C1246" t="str">
        <f>"1032.825"</f>
        <v>1032.825</v>
      </c>
    </row>
    <row r="1247" spans="1:3" x14ac:dyDescent="0.25">
      <c r="A1247" t="str">
        <f>"18/07/2014"</f>
        <v>18/07/2014</v>
      </c>
      <c r="B1247" t="str">
        <f>"1032.40"</f>
        <v>1032.40</v>
      </c>
      <c r="C1247" t="str">
        <f>"1032.42"</f>
        <v>1032.42</v>
      </c>
    </row>
    <row r="1248" spans="1:3" x14ac:dyDescent="0.25">
      <c r="A1248" t="str">
        <f>"21/07/2014"</f>
        <v>21/07/2014</v>
      </c>
      <c r="B1248" t="str">
        <f>"1027.55"</f>
        <v>1027.55</v>
      </c>
      <c r="C1248" t="str">
        <f>"1027.5768"</f>
        <v>1027.5768</v>
      </c>
    </row>
    <row r="1249" spans="1:3" x14ac:dyDescent="0.25">
      <c r="A1249" t="str">
        <f>"22/07/2014"</f>
        <v>22/07/2014</v>
      </c>
      <c r="B1249" t="str">
        <f>"1024.10"</f>
        <v>1024.10</v>
      </c>
      <c r="C1249" t="str">
        <f>"1024.119"</f>
        <v>1024.119</v>
      </c>
    </row>
    <row r="1250" spans="1:3" x14ac:dyDescent="0.25">
      <c r="A1250" t="str">
        <f>"23/07/2014"</f>
        <v>23/07/2014</v>
      </c>
      <c r="B1250" t="str">
        <f>"1022.90"</f>
        <v>1022.90</v>
      </c>
      <c r="C1250" t="str">
        <f>"1022.919"</f>
        <v>1022.919</v>
      </c>
    </row>
    <row r="1251" spans="1:3" x14ac:dyDescent="0.25">
      <c r="A1251" t="str">
        <f>"24/07/2014"</f>
        <v>24/07/2014</v>
      </c>
      <c r="B1251" t="str">
        <f>"1029.625"</f>
        <v>1029.625</v>
      </c>
      <c r="C1251" t="str">
        <f>"1029.6498"</f>
        <v>1029.6498</v>
      </c>
    </row>
    <row r="1252" spans="1:3" x14ac:dyDescent="0.25">
      <c r="A1252" t="str">
        <f>"25/07/2014"</f>
        <v>25/07/2014</v>
      </c>
      <c r="B1252" t="str">
        <f>"1029.47"</f>
        <v>1029.47</v>
      </c>
      <c r="C1252" t="str">
        <f>"1029.489"</f>
        <v>1029.489</v>
      </c>
    </row>
    <row r="1253" spans="1:3" x14ac:dyDescent="0.25">
      <c r="A1253" t="str">
        <f>"28/07/2014"</f>
        <v>28/07/2014</v>
      </c>
      <c r="B1253" t="str">
        <f>"1025.70"</f>
        <v>1025.70</v>
      </c>
      <c r="C1253" t="str">
        <f>"1025.7185"</f>
        <v>1025.7185</v>
      </c>
    </row>
    <row r="1254" spans="1:3" x14ac:dyDescent="0.25">
      <c r="A1254" t="str">
        <f>"30/07/2014"</f>
        <v>30/07/2014</v>
      </c>
      <c r="B1254" t="str">
        <f>"1022.83"</f>
        <v>1022.83</v>
      </c>
      <c r="C1254" t="str">
        <f>"1022.8569"</f>
        <v>1022.8569</v>
      </c>
    </row>
    <row r="1255" spans="1:3" x14ac:dyDescent="0.25">
      <c r="A1255" t="str">
        <f>"31/07/2014"</f>
        <v>31/07/2014</v>
      </c>
      <c r="B1255" t="str">
        <f>"1026.90"</f>
        <v>1026.90</v>
      </c>
      <c r="C1255" t="str">
        <f>"1026.92"</f>
        <v>1026.92</v>
      </c>
    </row>
    <row r="1256" spans="1:3" x14ac:dyDescent="0.25">
      <c r="A1256" t="str">
        <f>"01/08/2014"</f>
        <v>01/08/2014</v>
      </c>
      <c r="B1256" t="str">
        <f>"1034.90"</f>
        <v>1034.90</v>
      </c>
      <c r="C1256" t="str">
        <f>"1034.9273"</f>
        <v>1034.9273</v>
      </c>
    </row>
    <row r="1257" spans="1:3" x14ac:dyDescent="0.25">
      <c r="A1257" t="str">
        <f>"04/08/2014"</f>
        <v>04/08/2014</v>
      </c>
      <c r="B1257" t="str">
        <f>"1033.205"</f>
        <v>1033.205</v>
      </c>
      <c r="C1257" t="str">
        <f>"1033.2361"</f>
        <v>1033.2361</v>
      </c>
    </row>
    <row r="1258" spans="1:3" x14ac:dyDescent="0.25">
      <c r="A1258" t="str">
        <f>"05/08/2014"</f>
        <v>05/08/2014</v>
      </c>
      <c r="B1258" t="str">
        <f>"1030.375"</f>
        <v>1030.375</v>
      </c>
      <c r="C1258" t="str">
        <f>"1030.399"</f>
        <v>1030.399</v>
      </c>
    </row>
    <row r="1259" spans="1:3" x14ac:dyDescent="0.25">
      <c r="A1259" t="str">
        <f>"06/08/2014"</f>
        <v>06/08/2014</v>
      </c>
      <c r="B1259" t="str">
        <f>"1034.40"</f>
        <v>1034.40</v>
      </c>
      <c r="C1259" t="str">
        <f>"1034.423"</f>
        <v>1034.423</v>
      </c>
    </row>
    <row r="1260" spans="1:3" x14ac:dyDescent="0.25">
      <c r="A1260" t="str">
        <f>"07/08/2014"</f>
        <v>07/08/2014</v>
      </c>
      <c r="B1260" t="str">
        <f>"1034.985"</f>
        <v>1034.985</v>
      </c>
      <c r="C1260" t="str">
        <f>"1035.006"</f>
        <v>1035.006</v>
      </c>
    </row>
    <row r="1261" spans="1:3" x14ac:dyDescent="0.25">
      <c r="A1261" t="str">
        <f>"08/08/2014"</f>
        <v>08/08/2014</v>
      </c>
      <c r="B1261" t="str">
        <f>"1038.895"</f>
        <v>1038.895</v>
      </c>
      <c r="C1261" t="str">
        <f>"1038.9145"</f>
        <v>1038.9145</v>
      </c>
    </row>
    <row r="1262" spans="1:3" x14ac:dyDescent="0.25">
      <c r="A1262" t="str">
        <f>"11/08/2014"</f>
        <v>11/08/2014</v>
      </c>
      <c r="B1262" t="str">
        <f>"1030.70"</f>
        <v>1030.70</v>
      </c>
      <c r="C1262" t="str">
        <f>"1030.7205"</f>
        <v>1030.7205</v>
      </c>
    </row>
    <row r="1263" spans="1:3" x14ac:dyDescent="0.25">
      <c r="A1263" t="str">
        <f>"12/08/2014"</f>
        <v>12/08/2014</v>
      </c>
      <c r="B1263" t="str">
        <f>"1027.30"</f>
        <v>1027.30</v>
      </c>
      <c r="C1263" t="str">
        <f>"1027.3211"</f>
        <v>1027.3211</v>
      </c>
    </row>
    <row r="1264" spans="1:3" x14ac:dyDescent="0.25">
      <c r="A1264" t="str">
        <f>"13/08/2014"</f>
        <v>13/08/2014</v>
      </c>
      <c r="B1264" t="str">
        <f>"1027.70"</f>
        <v>1027.70</v>
      </c>
      <c r="C1264" t="str">
        <f>"1027.718"</f>
        <v>1027.718</v>
      </c>
    </row>
    <row r="1265" spans="1:3" x14ac:dyDescent="0.25">
      <c r="A1265" t="str">
        <f>"14/08/2014"</f>
        <v>14/08/2014</v>
      </c>
      <c r="B1265" t="str">
        <f>"1023.20"</f>
        <v>1023.20</v>
      </c>
      <c r="C1265" t="str">
        <f>"1023.219"</f>
        <v>1023.219</v>
      </c>
    </row>
    <row r="1266" spans="1:3" x14ac:dyDescent="0.25">
      <c r="A1266" t="str">
        <f>"19/08/2014"</f>
        <v>19/08/2014</v>
      </c>
      <c r="B1266" t="str">
        <f>"1017.16"</f>
        <v>1017.16</v>
      </c>
      <c r="C1266" t="str">
        <f>"1017.178"</f>
        <v>1017.178</v>
      </c>
    </row>
    <row r="1267" spans="1:3" x14ac:dyDescent="0.25">
      <c r="A1267" t="str">
        <f>"20/08/2014"</f>
        <v>20/08/2014</v>
      </c>
      <c r="B1267" t="str">
        <f>"1022.10"</f>
        <v>1022.10</v>
      </c>
      <c r="C1267" t="str">
        <f>"1022.1175"</f>
        <v>1022.1175</v>
      </c>
    </row>
    <row r="1268" spans="1:3" x14ac:dyDescent="0.25">
      <c r="A1268" t="str">
        <f>"21/08/2014"</f>
        <v>21/08/2014</v>
      </c>
      <c r="B1268" t="str">
        <f>"1024.20"</f>
        <v>1024.20</v>
      </c>
      <c r="C1268" t="str">
        <f>"1024.2179"</f>
        <v>1024.2179</v>
      </c>
    </row>
    <row r="1269" spans="1:3" x14ac:dyDescent="0.25">
      <c r="A1269" t="str">
        <f>"22/08/2014"</f>
        <v>22/08/2014</v>
      </c>
      <c r="B1269" t="str">
        <f>"1019.80"</f>
        <v>1019.80</v>
      </c>
      <c r="C1269" t="str">
        <f>"1019.8175"</f>
        <v>1019.8175</v>
      </c>
    </row>
    <row r="1270" spans="1:3" x14ac:dyDescent="0.25">
      <c r="A1270" t="str">
        <f>"25/08/2014"</f>
        <v>25/08/2014</v>
      </c>
      <c r="B1270" t="str">
        <f>"1019.975"</f>
        <v>1019.975</v>
      </c>
      <c r="C1270" t="str">
        <f>"1020.0005"</f>
        <v>1020.0005</v>
      </c>
    </row>
    <row r="1271" spans="1:3" x14ac:dyDescent="0.25">
      <c r="A1271" t="str">
        <f>"26/08/2014"</f>
        <v>26/08/2014</v>
      </c>
      <c r="B1271" t="str">
        <f>"1017.70"</f>
        <v>1017.70</v>
      </c>
      <c r="C1271" t="str">
        <f>"1017.7185"</f>
        <v>1017.7185</v>
      </c>
    </row>
    <row r="1272" spans="1:3" x14ac:dyDescent="0.25">
      <c r="A1272" t="str">
        <f>"27/08/2014"</f>
        <v>27/08/2014</v>
      </c>
      <c r="B1272" t="str">
        <f>"1014.30"</f>
        <v>1014.30</v>
      </c>
      <c r="C1272" t="str">
        <f>"1014.3252"</f>
        <v>1014.3252</v>
      </c>
    </row>
    <row r="1273" spans="1:3" x14ac:dyDescent="0.25">
      <c r="A1273" t="str">
        <f>"28/08/2014"</f>
        <v>28/08/2014</v>
      </c>
      <c r="B1273" t="str">
        <f>"1013.60"</f>
        <v>1013.60</v>
      </c>
      <c r="C1273" t="str">
        <f>"1013.6175"</f>
        <v>1013.6175</v>
      </c>
    </row>
    <row r="1274" spans="1:3" x14ac:dyDescent="0.25">
      <c r="A1274" t="str">
        <f>"01/09/2014"</f>
        <v>01/09/2014</v>
      </c>
      <c r="B1274" t="str">
        <f>"1014.25"</f>
        <v>1014.25</v>
      </c>
      <c r="C1274" t="str">
        <f>"1014.2696"</f>
        <v>1014.2696</v>
      </c>
    </row>
    <row r="1275" spans="1:3" x14ac:dyDescent="0.25">
      <c r="A1275" t="str">
        <f>"02/09/2014"</f>
        <v>02/09/2014</v>
      </c>
      <c r="B1275" t="str">
        <f>"1017.175"</f>
        <v>1017.175</v>
      </c>
      <c r="C1275" t="str">
        <f>"1017.1945"</f>
        <v>1017.1945</v>
      </c>
    </row>
    <row r="1276" spans="1:3" x14ac:dyDescent="0.25">
      <c r="A1276" t="str">
        <f>"03/09/2014"</f>
        <v>03/09/2014</v>
      </c>
      <c r="B1276" t="str">
        <f>"1020.80"</f>
        <v>1020.80</v>
      </c>
      <c r="C1276" t="str">
        <f>"1020.819"</f>
        <v>1020.819</v>
      </c>
    </row>
    <row r="1277" spans="1:3" x14ac:dyDescent="0.25">
      <c r="A1277" t="str">
        <f>"04/09/2014"</f>
        <v>04/09/2014</v>
      </c>
      <c r="B1277" t="str">
        <f>"1017.725"</f>
        <v>1017.725</v>
      </c>
      <c r="C1277" t="str">
        <f>"1017.7459"</f>
        <v>1017.7459</v>
      </c>
    </row>
    <row r="1278" spans="1:3" x14ac:dyDescent="0.25">
      <c r="A1278" t="str">
        <f>"05/09/2014"</f>
        <v>05/09/2014</v>
      </c>
      <c r="B1278" t="str">
        <f>"1026.30"</f>
        <v>1026.30</v>
      </c>
      <c r="C1278" t="str">
        <f>"1026.326"</f>
        <v>1026.326</v>
      </c>
    </row>
    <row r="1279" spans="1:3" x14ac:dyDescent="0.25">
      <c r="A1279" t="str">
        <f>"08/09/2014"</f>
        <v>08/09/2014</v>
      </c>
      <c r="B1279" t="str">
        <f>"1024.565"</f>
        <v>1024.565</v>
      </c>
      <c r="C1279" t="str">
        <f>"1024.5882"</f>
        <v>1024.5882</v>
      </c>
    </row>
    <row r="1280" spans="1:3" x14ac:dyDescent="0.25">
      <c r="A1280" t="str">
        <f>"09/09/2014"</f>
        <v>09/09/2014</v>
      </c>
      <c r="B1280" t="str">
        <f>"1032.84"</f>
        <v>1032.84</v>
      </c>
      <c r="C1280" t="str">
        <f>"1032.8632"</f>
        <v>1032.8632</v>
      </c>
    </row>
    <row r="1281" spans="1:3" x14ac:dyDescent="0.25">
      <c r="A1281" t="str">
        <f>"10/09/2014"</f>
        <v>10/09/2014</v>
      </c>
      <c r="B1281" t="str">
        <f>"1034.875"</f>
        <v>1034.875</v>
      </c>
      <c r="C1281" t="str">
        <f>"1034.8982"</f>
        <v>1034.8982</v>
      </c>
    </row>
    <row r="1282" spans="1:3" x14ac:dyDescent="0.25">
      <c r="A1282" t="str">
        <f>"11/09/2014"</f>
        <v>11/09/2014</v>
      </c>
      <c r="B1282" t="str">
        <f>"1035.285"</f>
        <v>1035.285</v>
      </c>
      <c r="C1282" t="str">
        <f>"1035.3028"</f>
        <v>1035.3028</v>
      </c>
    </row>
    <row r="1283" spans="1:3" x14ac:dyDescent="0.25">
      <c r="A1283" t="str">
        <f>"12/09/2014"</f>
        <v>12/09/2014</v>
      </c>
      <c r="B1283" t="str">
        <f>"1040.07"</f>
        <v>1040.07</v>
      </c>
      <c r="C1283" t="str">
        <f>"1040.0918"</f>
        <v>1040.0918</v>
      </c>
    </row>
    <row r="1284" spans="1:3" x14ac:dyDescent="0.25">
      <c r="A1284" t="str">
        <f>"15/09/2014"</f>
        <v>15/09/2014</v>
      </c>
      <c r="B1284" t="str">
        <f>"1038.30"</f>
        <v>1038.30</v>
      </c>
      <c r="C1284" t="str">
        <f>"1038.3175"</f>
        <v>1038.3175</v>
      </c>
    </row>
    <row r="1285" spans="1:3" x14ac:dyDescent="0.25">
      <c r="A1285" t="str">
        <f>"16/09/2014"</f>
        <v>16/09/2014</v>
      </c>
      <c r="B1285" t="str">
        <f>"1035.20"</f>
        <v>1035.20</v>
      </c>
      <c r="C1285" t="str">
        <f>"1035.2185"</f>
        <v>1035.2185</v>
      </c>
    </row>
    <row r="1286" spans="1:3" x14ac:dyDescent="0.25">
      <c r="A1286" t="str">
        <f>"17/09/2014"</f>
        <v>17/09/2014</v>
      </c>
      <c r="B1286" t="str">
        <f>"1033.70"</f>
        <v>1033.70</v>
      </c>
      <c r="C1286" t="str">
        <f>"1033.718"</f>
        <v>1033.718</v>
      </c>
    </row>
    <row r="1287" spans="1:3" x14ac:dyDescent="0.25">
      <c r="A1287" t="str">
        <f>"18/09/2014"</f>
        <v>18/09/2014</v>
      </c>
      <c r="B1287" t="str">
        <f>"1041.60"</f>
        <v>1041.60</v>
      </c>
      <c r="C1287" t="str">
        <f>"1041.6185"</f>
        <v>1041.6185</v>
      </c>
    </row>
    <row r="1288" spans="1:3" x14ac:dyDescent="0.25">
      <c r="A1288" t="str">
        <f>"19/09/2014"</f>
        <v>19/09/2014</v>
      </c>
      <c r="B1288" t="str">
        <f>"1046.65"</f>
        <v>1046.65</v>
      </c>
      <c r="C1288" t="str">
        <f>"1046.669"</f>
        <v>1046.669</v>
      </c>
    </row>
    <row r="1289" spans="1:3" x14ac:dyDescent="0.25">
      <c r="A1289" t="str">
        <f>"22/09/2014"</f>
        <v>22/09/2014</v>
      </c>
      <c r="B1289" t="str">
        <f>"1039.90"</f>
        <v>1039.90</v>
      </c>
      <c r="C1289" t="str">
        <f>"1039.919"</f>
        <v>1039.919</v>
      </c>
    </row>
    <row r="1290" spans="1:3" x14ac:dyDescent="0.25">
      <c r="A1290" t="str">
        <f>"23/09/2014"</f>
        <v>23/09/2014</v>
      </c>
      <c r="B1290" t="str">
        <f>"1040.60"</f>
        <v>1040.60</v>
      </c>
      <c r="C1290" t="str">
        <f>"1040.6195"</f>
        <v>1040.6195</v>
      </c>
    </row>
    <row r="1291" spans="1:3" x14ac:dyDescent="0.25">
      <c r="A1291" t="str">
        <f>"24/09/2014"</f>
        <v>24/09/2014</v>
      </c>
      <c r="B1291" t="str">
        <f>"1039.50"</f>
        <v>1039.50</v>
      </c>
      <c r="C1291" t="str">
        <f>"1039.5181"</f>
        <v>1039.5181</v>
      </c>
    </row>
    <row r="1292" spans="1:3" x14ac:dyDescent="0.25">
      <c r="A1292" t="str">
        <f>"25/09/2014"</f>
        <v>25/09/2014</v>
      </c>
      <c r="B1292" t="str">
        <f>"1043.60"</f>
        <v>1043.60</v>
      </c>
      <c r="C1292" t="str">
        <f>"1043.6165"</f>
        <v>1043.6165</v>
      </c>
    </row>
    <row r="1293" spans="1:3" x14ac:dyDescent="0.25">
      <c r="A1293" t="str">
        <f>"26/09/2014"</f>
        <v>26/09/2014</v>
      </c>
      <c r="B1293" t="str">
        <f>"1043.00"</f>
        <v>1043.00</v>
      </c>
      <c r="C1293" t="str">
        <f>"1043.0165"</f>
        <v>1043.0165</v>
      </c>
    </row>
    <row r="1294" spans="1:3" x14ac:dyDescent="0.25">
      <c r="A1294" t="str">
        <f>"29/09/2014"</f>
        <v>29/09/2014</v>
      </c>
      <c r="B1294" t="str">
        <f>"1049.90"</f>
        <v>1049.90</v>
      </c>
      <c r="C1294" t="str">
        <f>"1049.9206"</f>
        <v>1049.9206</v>
      </c>
    </row>
    <row r="1295" spans="1:3" x14ac:dyDescent="0.25">
      <c r="A1295" t="str">
        <f>"30/09/2014"</f>
        <v>30/09/2014</v>
      </c>
      <c r="B1295" t="str">
        <f>"1053.00"</f>
        <v>1053.00</v>
      </c>
      <c r="C1295" t="str">
        <f>"1053.019"</f>
        <v>1053.019</v>
      </c>
    </row>
    <row r="1296" spans="1:3" x14ac:dyDescent="0.25">
      <c r="A1296" t="str">
        <f>"01/10/2014"</f>
        <v>01/10/2014</v>
      </c>
      <c r="B1296" t="str">
        <f>"1063.55"</f>
        <v>1063.55</v>
      </c>
      <c r="C1296" t="str">
        <f>"1063.5685"</f>
        <v>1063.5685</v>
      </c>
    </row>
    <row r="1297" spans="1:3" x14ac:dyDescent="0.25">
      <c r="A1297" t="str">
        <f>"07/10/2014"</f>
        <v>07/10/2014</v>
      </c>
      <c r="B1297" t="str">
        <f>"1070.30"</f>
        <v>1070.30</v>
      </c>
      <c r="C1297" t="str">
        <f>"1070.3191"</f>
        <v>1070.3191</v>
      </c>
    </row>
    <row r="1298" spans="1:3" x14ac:dyDescent="0.25">
      <c r="A1298" t="str">
        <f>"08/10/2014"</f>
        <v>08/10/2014</v>
      </c>
      <c r="B1298" t="str">
        <f>"1072.70"</f>
        <v>1072.70</v>
      </c>
      <c r="C1298" t="str">
        <f>"1072.718"</f>
        <v>1072.718</v>
      </c>
    </row>
    <row r="1299" spans="1:3" x14ac:dyDescent="0.25">
      <c r="A1299" t="str">
        <f>"09/10/2014"</f>
        <v>09/10/2014</v>
      </c>
      <c r="B1299" t="str">
        <f>"1064.73"</f>
        <v>1064.73</v>
      </c>
      <c r="C1299" t="str">
        <f>"1064.7476"</f>
        <v>1064.7476</v>
      </c>
    </row>
    <row r="1300" spans="1:3" x14ac:dyDescent="0.25">
      <c r="A1300" t="str">
        <f>"10/10/2014"</f>
        <v>10/10/2014</v>
      </c>
      <c r="B1300" t="str">
        <f>"1069.50"</f>
        <v>1069.50</v>
      </c>
      <c r="C1300" t="str">
        <f>"1069.5206"</f>
        <v>1069.5206</v>
      </c>
    </row>
    <row r="1301" spans="1:3" x14ac:dyDescent="0.25">
      <c r="A1301" t="str">
        <f>"13/10/2014"</f>
        <v>13/10/2014</v>
      </c>
      <c r="B1301" t="str">
        <f>"1067.10"</f>
        <v>1067.10</v>
      </c>
      <c r="C1301" t="str">
        <f>"1067.12"</f>
        <v>1067.12</v>
      </c>
    </row>
    <row r="1302" spans="1:3" x14ac:dyDescent="0.25">
      <c r="A1302" t="str">
        <f>"14/10/2014"</f>
        <v>14/10/2014</v>
      </c>
      <c r="B1302" t="str">
        <f>"1063.20"</f>
        <v>1063.20</v>
      </c>
      <c r="C1302" t="str">
        <f>"1063.2225"</f>
        <v>1063.2225</v>
      </c>
    </row>
    <row r="1303" spans="1:3" x14ac:dyDescent="0.25">
      <c r="A1303" t="str">
        <f>"16/10/2014"</f>
        <v>16/10/2014</v>
      </c>
      <c r="B1303" t="str">
        <f>"1061.40"</f>
        <v>1061.40</v>
      </c>
      <c r="C1303" t="str">
        <f>"1061.4166"</f>
        <v>1061.4166</v>
      </c>
    </row>
    <row r="1304" spans="1:3" x14ac:dyDescent="0.25">
      <c r="A1304" t="str">
        <f>"17/10/2014"</f>
        <v>17/10/2014</v>
      </c>
      <c r="B1304" t="str">
        <f>"1063.90"</f>
        <v>1063.90</v>
      </c>
      <c r="C1304" t="str">
        <f>"1063.9227"</f>
        <v>1063.9227</v>
      </c>
    </row>
    <row r="1305" spans="1:3" x14ac:dyDescent="0.25">
      <c r="A1305" t="str">
        <f>"20/10/2014"</f>
        <v>20/10/2014</v>
      </c>
      <c r="B1305" t="str">
        <f>"1059.90"</f>
        <v>1059.90</v>
      </c>
      <c r="C1305" t="str">
        <f>"1059.921"</f>
        <v>1059.921</v>
      </c>
    </row>
    <row r="1306" spans="1:3" x14ac:dyDescent="0.25">
      <c r="A1306" t="str">
        <f>"21/10/2014"</f>
        <v>21/10/2014</v>
      </c>
      <c r="B1306" t="str">
        <f>"1053.60"</f>
        <v>1053.60</v>
      </c>
      <c r="C1306" t="str">
        <f>"1053.6165"</f>
        <v>1053.6165</v>
      </c>
    </row>
    <row r="1307" spans="1:3" x14ac:dyDescent="0.25">
      <c r="A1307" t="str">
        <f>"22/10/2014"</f>
        <v>22/10/2014</v>
      </c>
      <c r="B1307" t="str">
        <f>"1053.10"</f>
        <v>1053.10</v>
      </c>
      <c r="C1307" t="str">
        <f>"1053.1168"</f>
        <v>1053.1168</v>
      </c>
    </row>
    <row r="1308" spans="1:3" x14ac:dyDescent="0.25">
      <c r="A1308" t="str">
        <f>"27/10/2014"</f>
        <v>27/10/2014</v>
      </c>
      <c r="B1308" t="str">
        <f>"1052.51"</f>
        <v>1052.51</v>
      </c>
      <c r="C1308" t="str">
        <f>"1052.5299"</f>
        <v>1052.5299</v>
      </c>
    </row>
    <row r="1309" spans="1:3" x14ac:dyDescent="0.25">
      <c r="A1309" t="str">
        <f>"28/10/2014"</f>
        <v>28/10/2014</v>
      </c>
      <c r="B1309" t="str">
        <f>"1050.30"</f>
        <v>1050.30</v>
      </c>
      <c r="C1309" t="str">
        <f>"1050.3172"</f>
        <v>1050.3172</v>
      </c>
    </row>
    <row r="1310" spans="1:3" x14ac:dyDescent="0.25">
      <c r="A1310" t="str">
        <f>"29/10/2014"</f>
        <v>29/10/2014</v>
      </c>
      <c r="B1310" t="str">
        <f>"1047.50"</f>
        <v>1047.50</v>
      </c>
      <c r="C1310" t="str">
        <f>"1047.5215"</f>
        <v>1047.5215</v>
      </c>
    </row>
    <row r="1311" spans="1:3" x14ac:dyDescent="0.25">
      <c r="A1311" t="str">
        <f>"30/10/2014"</f>
        <v>30/10/2014</v>
      </c>
      <c r="B1311" t="str">
        <f>"1053.20"</f>
        <v>1053.20</v>
      </c>
      <c r="C1311" t="str">
        <f>"1053.2155"</f>
        <v>1053.2155</v>
      </c>
    </row>
    <row r="1312" spans="1:3" x14ac:dyDescent="0.25">
      <c r="A1312" t="str">
        <f>"31/10/2014"</f>
        <v>31/10/2014</v>
      </c>
      <c r="B1312" t="str">
        <f>"1057.40"</f>
        <v>1057.40</v>
      </c>
      <c r="C1312" t="str">
        <f>"1057.4155"</f>
        <v>1057.4155</v>
      </c>
    </row>
    <row r="1313" spans="1:3" x14ac:dyDescent="0.25">
      <c r="A1313" t="str">
        <f>"03/11/2014"</f>
        <v>03/11/2014</v>
      </c>
      <c r="B1313" t="str">
        <f>"1073.53"</f>
        <v>1073.53</v>
      </c>
      <c r="C1313" t="str">
        <f>"1073.5493"</f>
        <v>1073.5493</v>
      </c>
    </row>
    <row r="1314" spans="1:3" x14ac:dyDescent="0.25">
      <c r="A1314" t="str">
        <f>"05/11/2014"</f>
        <v>05/11/2014</v>
      </c>
      <c r="B1314" t="str">
        <f>"1079.745"</f>
        <v>1079.745</v>
      </c>
      <c r="C1314" t="str">
        <f>"1079.7625"</f>
        <v>1079.7625</v>
      </c>
    </row>
    <row r="1315" spans="1:3" x14ac:dyDescent="0.25">
      <c r="A1315" t="str">
        <f>"07/11/2014"</f>
        <v>07/11/2014</v>
      </c>
      <c r="B1315" t="str">
        <f>"1094.225"</f>
        <v>1094.225</v>
      </c>
      <c r="C1315" t="str">
        <f>"1094.2467"</f>
        <v>1094.2467</v>
      </c>
    </row>
    <row r="1316" spans="1:3" x14ac:dyDescent="0.25">
      <c r="A1316" t="str">
        <f>"10/11/2014"</f>
        <v>10/11/2014</v>
      </c>
      <c r="B1316" t="str">
        <f>"1084.90"</f>
        <v>1084.90</v>
      </c>
      <c r="C1316" t="str">
        <f>"1084.9212"</f>
        <v>1084.9212</v>
      </c>
    </row>
    <row r="1317" spans="1:3" x14ac:dyDescent="0.25">
      <c r="A1317" t="str">
        <f>"11/11/2014"</f>
        <v>11/11/2014</v>
      </c>
      <c r="B1317" t="str">
        <f>"1089.925"</f>
        <v>1089.925</v>
      </c>
      <c r="C1317" t="str">
        <f>"1089.9439"</f>
        <v>1089.9439</v>
      </c>
    </row>
    <row r="1318" spans="1:3" x14ac:dyDescent="0.25">
      <c r="A1318" t="str">
        <f>"12/11/2014"</f>
        <v>12/11/2014</v>
      </c>
      <c r="B1318" t="str">
        <f>"1097.40"</f>
        <v>1097.40</v>
      </c>
      <c r="C1318" t="str">
        <f>"1097.4248"</f>
        <v>1097.4248</v>
      </c>
    </row>
    <row r="1319" spans="1:3" x14ac:dyDescent="0.25">
      <c r="A1319" t="str">
        <f>"13/11/2014"</f>
        <v>13/11/2014</v>
      </c>
      <c r="B1319" t="str">
        <f>"1097.90"</f>
        <v>1097.90</v>
      </c>
      <c r="C1319" t="str">
        <f>"1097.918"</f>
        <v>1097.918</v>
      </c>
    </row>
    <row r="1320" spans="1:3" x14ac:dyDescent="0.25">
      <c r="A1320" t="str">
        <f>"14/11/2014"</f>
        <v>14/11/2014</v>
      </c>
      <c r="B1320" t="str">
        <f>"1099.40"</f>
        <v>1099.40</v>
      </c>
      <c r="C1320" t="str">
        <f>"1099.418"</f>
        <v>1099.418</v>
      </c>
    </row>
    <row r="1321" spans="1:3" x14ac:dyDescent="0.25">
      <c r="A1321" t="str">
        <f>"17/11/2014"</f>
        <v>17/11/2014</v>
      </c>
      <c r="B1321" t="str">
        <f>"1094.40"</f>
        <v>1094.40</v>
      </c>
      <c r="C1321" t="str">
        <f>"1094.4175"</f>
        <v>1094.4175</v>
      </c>
    </row>
    <row r="1322" spans="1:3" x14ac:dyDescent="0.25">
      <c r="A1322" t="str">
        <f>"18/11/2014"</f>
        <v>18/11/2014</v>
      </c>
      <c r="B1322" t="str">
        <f>"1098.825"</f>
        <v>1098.825</v>
      </c>
      <c r="C1322" t="str">
        <f>"1098.8436"</f>
        <v>1098.8436</v>
      </c>
    </row>
    <row r="1323" spans="1:3" x14ac:dyDescent="0.25">
      <c r="A1323" t="str">
        <f>"19/11/2014"</f>
        <v>19/11/2014</v>
      </c>
      <c r="B1323" t="str">
        <f>"1105.875"</f>
        <v>1105.875</v>
      </c>
      <c r="C1323" t="str">
        <f>"1105.8935"</f>
        <v>1105.8935</v>
      </c>
    </row>
    <row r="1324" spans="1:3" x14ac:dyDescent="0.25">
      <c r="A1324" t="str">
        <f>"20/11/2014"</f>
        <v>20/11/2014</v>
      </c>
      <c r="B1324" t="str">
        <f>"1114.925"</f>
        <v>1114.925</v>
      </c>
      <c r="C1324" t="str">
        <f>"1114.9438"</f>
        <v>1114.9438</v>
      </c>
    </row>
    <row r="1325" spans="1:3" x14ac:dyDescent="0.25">
      <c r="A1325" t="str">
        <f>"21/11/2014"</f>
        <v>21/11/2014</v>
      </c>
      <c r="B1325" t="str">
        <f>"1112.54"</f>
        <v>1112.54</v>
      </c>
      <c r="C1325" t="str">
        <f>"1112.559"</f>
        <v>1112.559</v>
      </c>
    </row>
    <row r="1326" spans="1:3" x14ac:dyDescent="0.25">
      <c r="A1326" t="str">
        <f>"24/11/2014"</f>
        <v>24/11/2014</v>
      </c>
      <c r="B1326" t="str">
        <f>"1114.10"</f>
        <v>1114.10</v>
      </c>
      <c r="C1326" t="str">
        <f>"1114.1185"</f>
        <v>1114.1185</v>
      </c>
    </row>
    <row r="1327" spans="1:3" x14ac:dyDescent="0.25">
      <c r="A1327" t="str">
        <f>"25/11/2014"</f>
        <v>25/11/2014</v>
      </c>
      <c r="B1327" t="str">
        <f>"1113.25"</f>
        <v>1113.25</v>
      </c>
      <c r="C1327" t="str">
        <f>"1113.27"</f>
        <v>1113.27</v>
      </c>
    </row>
    <row r="1328" spans="1:3" x14ac:dyDescent="0.25">
      <c r="A1328" t="str">
        <f>"26/11/2014"</f>
        <v>26/11/2014</v>
      </c>
      <c r="B1328" t="str">
        <f>"1107.13"</f>
        <v>1107.13</v>
      </c>
      <c r="C1328" t="str">
        <f>"1107.1517"</f>
        <v>1107.1517</v>
      </c>
    </row>
    <row r="1329" spans="1:3" x14ac:dyDescent="0.25">
      <c r="A1329" t="str">
        <f>"27/11/2014"</f>
        <v>27/11/2014</v>
      </c>
      <c r="B1329" t="str">
        <f>"1100.69"</f>
        <v>1100.69</v>
      </c>
      <c r="C1329" t="str">
        <f>"1100.7095"</f>
        <v>1100.7095</v>
      </c>
    </row>
    <row r="1330" spans="1:3" x14ac:dyDescent="0.25">
      <c r="A1330" t="str">
        <f>"28/11/2014"</f>
        <v>28/11/2014</v>
      </c>
      <c r="B1330" t="str">
        <f>"1107.20"</f>
        <v>1107.20</v>
      </c>
      <c r="C1330" t="str">
        <f>"1107.2185"</f>
        <v>1107.2185</v>
      </c>
    </row>
    <row r="1331" spans="1:3" x14ac:dyDescent="0.25">
      <c r="A1331" t="str">
        <f>"01/12/2014"</f>
        <v>01/12/2014</v>
      </c>
      <c r="B1331" t="str">
        <f>"1115.20"</f>
        <v>1115.20</v>
      </c>
      <c r="C1331" t="str">
        <f>"1115.2269"</f>
        <v>1115.2269</v>
      </c>
    </row>
    <row r="1332" spans="1:3" x14ac:dyDescent="0.25">
      <c r="A1332" t="str">
        <f>"02/12/2014"</f>
        <v>02/12/2014</v>
      </c>
      <c r="B1332" t="str">
        <f>"1106.35"</f>
        <v>1106.35</v>
      </c>
      <c r="C1332" t="str">
        <f>"1106.37"</f>
        <v>1106.37</v>
      </c>
    </row>
    <row r="1333" spans="1:3" x14ac:dyDescent="0.25">
      <c r="A1333" t="str">
        <f>"04/12/2014"</f>
        <v>04/12/2014</v>
      </c>
      <c r="B1333" t="str">
        <f>"1117.00"</f>
        <v>1117.00</v>
      </c>
      <c r="C1333" t="str">
        <f>"1117.0205"</f>
        <v>1117.0205</v>
      </c>
    </row>
    <row r="1334" spans="1:3" x14ac:dyDescent="0.25">
      <c r="A1334" t="str">
        <f>"05/12/2014"</f>
        <v>05/12/2014</v>
      </c>
      <c r="B1334" t="str">
        <f>"1115.20"</f>
        <v>1115.20</v>
      </c>
      <c r="C1334" t="str">
        <f>"1115.2266"</f>
        <v>1115.2266</v>
      </c>
    </row>
    <row r="1335" spans="1:3" x14ac:dyDescent="0.25">
      <c r="A1335" t="str">
        <f>"08/12/2014"</f>
        <v>08/12/2014</v>
      </c>
      <c r="B1335" t="str">
        <f>"1117.65"</f>
        <v>1117.65</v>
      </c>
      <c r="C1335" t="str">
        <f>"1117.6713"</f>
        <v>1117.6713</v>
      </c>
    </row>
    <row r="1336" spans="1:3" x14ac:dyDescent="0.25">
      <c r="A1336" t="str">
        <f>"09/12/2014"</f>
        <v>09/12/2014</v>
      </c>
      <c r="B1336" t="str">
        <f>"1111.00"</f>
        <v>1111.00</v>
      </c>
      <c r="C1336" t="str">
        <f>"1111.0267"</f>
        <v>1111.0267</v>
      </c>
    </row>
    <row r="1337" spans="1:3" x14ac:dyDescent="0.25">
      <c r="A1337" t="str">
        <f>"10/12/2014"</f>
        <v>10/12/2014</v>
      </c>
      <c r="B1337" t="str">
        <f>"1102.54"</f>
        <v>1102.54</v>
      </c>
      <c r="C1337" t="str">
        <f>"1102.5595"</f>
        <v>1102.5595</v>
      </c>
    </row>
    <row r="1338" spans="1:3" x14ac:dyDescent="0.25">
      <c r="A1338" t="str">
        <f>"11/12/2014"</f>
        <v>11/12/2014</v>
      </c>
      <c r="B1338" t="str">
        <f>"1097.575"</f>
        <v>1097.575</v>
      </c>
      <c r="C1338" t="str">
        <f>"1097.5967"</f>
        <v>1097.5967</v>
      </c>
    </row>
    <row r="1339" spans="1:3" x14ac:dyDescent="0.25">
      <c r="A1339" t="str">
        <f>"12/12/2014"</f>
        <v>12/12/2014</v>
      </c>
      <c r="B1339" t="str">
        <f>"1102.85"</f>
        <v>1102.85</v>
      </c>
      <c r="C1339" t="str">
        <f>"1102.8685"</f>
        <v>1102.8685</v>
      </c>
    </row>
    <row r="1340" spans="1:3" x14ac:dyDescent="0.25">
      <c r="A1340" t="str">
        <f>"15/12/2014"</f>
        <v>15/12/2014</v>
      </c>
      <c r="B1340" t="str">
        <f>"1103.40"</f>
        <v>1103.40</v>
      </c>
      <c r="C1340" t="str">
        <f>"1103.4195"</f>
        <v>1103.4195</v>
      </c>
    </row>
    <row r="1341" spans="1:3" x14ac:dyDescent="0.25">
      <c r="A1341" t="str">
        <f>"16/12/2014"</f>
        <v>16/12/2014</v>
      </c>
      <c r="B1341" t="str">
        <f>"1088.85"</f>
        <v>1088.85</v>
      </c>
      <c r="C1341" t="str">
        <f>"1088.8695"</f>
        <v>1088.8695</v>
      </c>
    </row>
    <row r="1342" spans="1:3" x14ac:dyDescent="0.25">
      <c r="A1342" t="str">
        <f>"17/12/2014"</f>
        <v>17/12/2014</v>
      </c>
      <c r="B1342" t="str">
        <f>"1093.10"</f>
        <v>1093.10</v>
      </c>
      <c r="C1342" t="str">
        <f>"1093.119"</f>
        <v>1093.119</v>
      </c>
    </row>
    <row r="1343" spans="1:3" x14ac:dyDescent="0.25">
      <c r="A1343" t="str">
        <f>"18/12/2014"</f>
        <v>18/12/2014</v>
      </c>
      <c r="B1343" t="str">
        <f>"1105.20"</f>
        <v>1105.20</v>
      </c>
      <c r="C1343" t="str">
        <f>"1105.2185"</f>
        <v>1105.2185</v>
      </c>
    </row>
    <row r="1344" spans="1:3" x14ac:dyDescent="0.25">
      <c r="A1344" t="str">
        <f>"19/12/2014"</f>
        <v>19/12/2014</v>
      </c>
      <c r="B1344" t="str">
        <f>"1103.175"</f>
        <v>1103.175</v>
      </c>
      <c r="C1344" t="str">
        <f>"1103.1935"</f>
        <v>1103.1935</v>
      </c>
    </row>
    <row r="1345" spans="1:3" x14ac:dyDescent="0.25">
      <c r="A1345" t="str">
        <f>"22/12/2014"</f>
        <v>22/12/2014</v>
      </c>
      <c r="B1345" t="str">
        <f>"1097.50"</f>
        <v>1097.50</v>
      </c>
      <c r="C1345" t="str">
        <f>"1097.519"</f>
        <v>1097.519</v>
      </c>
    </row>
    <row r="1346" spans="1:3" x14ac:dyDescent="0.25">
      <c r="A1346" t="str">
        <f>"23/12/2014"</f>
        <v>23/12/2014</v>
      </c>
      <c r="B1346" t="str">
        <f>"1101.90"</f>
        <v>1101.90</v>
      </c>
      <c r="C1346" t="str">
        <f>"1101.919"</f>
        <v>1101.919</v>
      </c>
    </row>
    <row r="1347" spans="1:3" x14ac:dyDescent="0.25">
      <c r="A1347" t="str">
        <f>"24/12/2014"</f>
        <v>24/12/2014</v>
      </c>
      <c r="B1347" t="str">
        <f>"1103.50"</f>
        <v>1103.50</v>
      </c>
      <c r="C1347" t="str">
        <f>"1103.5195"</f>
        <v>1103.5195</v>
      </c>
    </row>
    <row r="1348" spans="1:3" x14ac:dyDescent="0.25">
      <c r="A1348" t="str">
        <f>"26/12/2014"</f>
        <v>26/12/2014</v>
      </c>
      <c r="B1348" t="str">
        <f>"1098.20"</f>
        <v>1098.20</v>
      </c>
      <c r="C1348" t="str">
        <f>"1098.2275"</f>
        <v>1098.2275</v>
      </c>
    </row>
    <row r="1349" spans="1:3" x14ac:dyDescent="0.25">
      <c r="A1349" t="str">
        <f>"29/12/2014"</f>
        <v>29/12/2014</v>
      </c>
      <c r="B1349" t="str">
        <f>"1098.20"</f>
        <v>1098.20</v>
      </c>
      <c r="C1349" t="str">
        <f>"1098.227"</f>
        <v>1098.227</v>
      </c>
    </row>
    <row r="1350" spans="1:3" x14ac:dyDescent="0.25">
      <c r="A1350" t="str">
        <f>"30/12/2014"</f>
        <v>30/12/2014</v>
      </c>
      <c r="B1350" t="str">
        <f>"1099.465"</f>
        <v>1099.465</v>
      </c>
      <c r="C1350" t="str">
        <f>"1099.4925"</f>
        <v>1099.4925</v>
      </c>
    </row>
    <row r="1351" spans="1:3" x14ac:dyDescent="0.25">
      <c r="A1351" t="str">
        <f>"31/12/2014"</f>
        <v>31/12/2014</v>
      </c>
      <c r="B1351" t="str">
        <f>"1092.48"</f>
        <v>1092.48</v>
      </c>
      <c r="C1351" t="str">
        <f>"1092.508"</f>
        <v>1092.508</v>
      </c>
    </row>
    <row r="1352" spans="1:3" x14ac:dyDescent="0.25">
      <c r="A1352" t="str">
        <f>"01/01/2015"</f>
        <v>01/01/2015</v>
      </c>
      <c r="B1352" t="str">
        <f>"1094.95"</f>
        <v>1094.95</v>
      </c>
      <c r="C1352" t="str">
        <f>"1094.978"</f>
        <v>1094.978</v>
      </c>
    </row>
    <row r="1353" spans="1:3" x14ac:dyDescent="0.25">
      <c r="A1353" t="str">
        <f>"02/01/2015"</f>
        <v>02/01/2015</v>
      </c>
      <c r="B1353" t="str">
        <f>"1102.315"</f>
        <v>1102.315</v>
      </c>
      <c r="C1353" t="str">
        <f>"1102.3421"</f>
        <v>1102.3421</v>
      </c>
    </row>
    <row r="1354" spans="1:3" x14ac:dyDescent="0.25">
      <c r="A1354" t="str">
        <f>"05/01/2015"</f>
        <v>05/01/2015</v>
      </c>
      <c r="B1354" t="str">
        <f>"1111.10"</f>
        <v>1111.10</v>
      </c>
      <c r="C1354" t="str">
        <f>"1111.1275"</f>
        <v>1111.1275</v>
      </c>
    </row>
    <row r="1355" spans="1:3" x14ac:dyDescent="0.25">
      <c r="A1355" t="str">
        <f>"06/01/2015"</f>
        <v>06/01/2015</v>
      </c>
      <c r="B1355" t="str">
        <f>"1102.75"</f>
        <v>1102.75</v>
      </c>
      <c r="C1355" t="str">
        <f>"1102.7765"</f>
        <v>1102.7765</v>
      </c>
    </row>
    <row r="1356" spans="1:3" x14ac:dyDescent="0.25">
      <c r="A1356" t="str">
        <f>"07/01/2015"</f>
        <v>07/01/2015</v>
      </c>
      <c r="B1356" t="str">
        <f>"1101.045"</f>
        <v>1101.045</v>
      </c>
      <c r="C1356" t="str">
        <f>"1101.0705"</f>
        <v>1101.0705</v>
      </c>
    </row>
    <row r="1357" spans="1:3" x14ac:dyDescent="0.25">
      <c r="A1357" t="str">
        <f>"08/01/2015"</f>
        <v>08/01/2015</v>
      </c>
      <c r="B1357" t="str">
        <f>"1098.385"</f>
        <v>1098.385</v>
      </c>
      <c r="C1357" t="str">
        <f>"1098.4035"</f>
        <v>1098.4035</v>
      </c>
    </row>
    <row r="1358" spans="1:3" x14ac:dyDescent="0.25">
      <c r="A1358" t="str">
        <f>"09/01/2015"</f>
        <v>09/01/2015</v>
      </c>
      <c r="B1358" t="str">
        <f>"1090.85"</f>
        <v>1090.85</v>
      </c>
      <c r="C1358" t="str">
        <f>"1090.8694"</f>
        <v>1090.8694</v>
      </c>
    </row>
    <row r="1359" spans="1:3" x14ac:dyDescent="0.25">
      <c r="A1359" t="str">
        <f>"12/01/2015"</f>
        <v>12/01/2015</v>
      </c>
      <c r="B1359" t="str">
        <f>"1082.908"</f>
        <v>1082.908</v>
      </c>
      <c r="C1359" t="str">
        <f>"1082.9286"</f>
        <v>1082.9286</v>
      </c>
    </row>
    <row r="1360" spans="1:3" x14ac:dyDescent="0.25">
      <c r="A1360" t="str">
        <f>"13/01/2015"</f>
        <v>13/01/2015</v>
      </c>
      <c r="B1360" t="str">
        <f>"1079.60"</f>
        <v>1079.60</v>
      </c>
      <c r="C1360" t="str">
        <f>"1079.6238"</f>
        <v>1079.6238</v>
      </c>
    </row>
    <row r="1361" spans="1:3" x14ac:dyDescent="0.25">
      <c r="A1361" t="str">
        <f>"14/01/2015"</f>
        <v>14/01/2015</v>
      </c>
      <c r="B1361" t="str">
        <f>"1082.15"</f>
        <v>1082.15</v>
      </c>
      <c r="C1361" t="str">
        <f>"1082.1675"</f>
        <v>1082.1675</v>
      </c>
    </row>
    <row r="1362" spans="1:3" x14ac:dyDescent="0.25">
      <c r="A1362" t="str">
        <f>"15/01/2015"</f>
        <v>15/01/2015</v>
      </c>
      <c r="B1362" t="str">
        <f>"1082.60"</f>
        <v>1082.60</v>
      </c>
      <c r="C1362" t="str">
        <f>"1082.619"</f>
        <v>1082.619</v>
      </c>
    </row>
    <row r="1363" spans="1:3" x14ac:dyDescent="0.25">
      <c r="A1363" t="str">
        <f>"16/01/2015"</f>
        <v>16/01/2015</v>
      </c>
      <c r="B1363" t="str">
        <f>"1079.12"</f>
        <v>1079.12</v>
      </c>
      <c r="C1363" t="str">
        <f>"1079.1385"</f>
        <v>1079.1385</v>
      </c>
    </row>
    <row r="1364" spans="1:3" x14ac:dyDescent="0.25">
      <c r="A1364" t="str">
        <f>"19/01/2015"</f>
        <v>19/01/2015</v>
      </c>
      <c r="B1364" t="str">
        <f>"1078.50"</f>
        <v>1078.50</v>
      </c>
      <c r="C1364" t="str">
        <f>"1078.518"</f>
        <v>1078.518</v>
      </c>
    </row>
    <row r="1365" spans="1:3" x14ac:dyDescent="0.25">
      <c r="A1365" t="str">
        <f>"20/01/2015"</f>
        <v>20/01/2015</v>
      </c>
      <c r="B1365" t="str">
        <f>"1085.76"</f>
        <v>1085.76</v>
      </c>
      <c r="C1365" t="str">
        <f>"1085.778"</f>
        <v>1085.778</v>
      </c>
    </row>
    <row r="1366" spans="1:3" x14ac:dyDescent="0.25">
      <c r="A1366" t="str">
        <f>"21/01/2015"</f>
        <v>21/01/2015</v>
      </c>
      <c r="B1366" t="str">
        <f>"1084.90"</f>
        <v>1084.90</v>
      </c>
      <c r="C1366" t="str">
        <f>"1084.9197"</f>
        <v>1084.9197</v>
      </c>
    </row>
    <row r="1367" spans="1:3" x14ac:dyDescent="0.25">
      <c r="A1367" t="str">
        <f>"22/01/2015"</f>
        <v>22/01/2015</v>
      </c>
      <c r="B1367" t="str">
        <f>"1087.80"</f>
        <v>1087.80</v>
      </c>
      <c r="C1367" t="str">
        <f>"1087.8165"</f>
        <v>1087.8165</v>
      </c>
    </row>
    <row r="1368" spans="1:3" x14ac:dyDescent="0.25">
      <c r="A1368" t="str">
        <f>"23/01/2015"</f>
        <v>23/01/2015</v>
      </c>
      <c r="B1368" t="str">
        <f>"1083.015"</f>
        <v>1083.015</v>
      </c>
      <c r="C1368" t="str">
        <f>"1083.0378"</f>
        <v>1083.0378</v>
      </c>
    </row>
    <row r="1369" spans="1:3" x14ac:dyDescent="0.25">
      <c r="A1369" t="str">
        <f>"27/01/2015"</f>
        <v>27/01/2015</v>
      </c>
      <c r="B1369" t="str">
        <f>"1081.065"</f>
        <v>1081.065</v>
      </c>
      <c r="C1369" t="str">
        <f>"1081.0849"</f>
        <v>1081.0849</v>
      </c>
    </row>
    <row r="1370" spans="1:3" x14ac:dyDescent="0.25">
      <c r="A1370" t="str">
        <f>"28/01/2015"</f>
        <v>28/01/2015</v>
      </c>
      <c r="B1370" t="str">
        <f>"1085.65"</f>
        <v>1085.65</v>
      </c>
      <c r="C1370" t="str">
        <f>"1085.6671"</f>
        <v>1085.6671</v>
      </c>
    </row>
    <row r="1371" spans="1:3" x14ac:dyDescent="0.25">
      <c r="A1371" t="str">
        <f>"29/01/2015"</f>
        <v>29/01/2015</v>
      </c>
      <c r="B1371" t="str">
        <f>"1093.925"</f>
        <v>1093.925</v>
      </c>
      <c r="C1371" t="str">
        <f>"1093.9422"</f>
        <v>1093.9422</v>
      </c>
    </row>
    <row r="1372" spans="1:3" x14ac:dyDescent="0.25">
      <c r="A1372" t="str">
        <f>"30/01/2015"</f>
        <v>30/01/2015</v>
      </c>
      <c r="B1372" t="str">
        <f>"1096.475"</f>
        <v>1096.475</v>
      </c>
      <c r="C1372" t="str">
        <f>"1096.491"</f>
        <v>1096.491</v>
      </c>
    </row>
    <row r="1373" spans="1:3" x14ac:dyDescent="0.25">
      <c r="A1373" t="str">
        <f>"02/02/2015"</f>
        <v>02/02/2015</v>
      </c>
      <c r="B1373" t="str">
        <f>"1101.30"</f>
        <v>1101.30</v>
      </c>
      <c r="C1373" t="str">
        <f>"1101.316"</f>
        <v>1101.316</v>
      </c>
    </row>
    <row r="1374" spans="1:3" x14ac:dyDescent="0.25">
      <c r="A1374" t="str">
        <f>"03/02/2015"</f>
        <v>03/02/2015</v>
      </c>
      <c r="B1374" t="str">
        <f>"1099.80"</f>
        <v>1099.80</v>
      </c>
      <c r="C1374" t="str">
        <f>"1099.817"</f>
        <v>1099.817</v>
      </c>
    </row>
    <row r="1375" spans="1:3" x14ac:dyDescent="0.25">
      <c r="A1375" t="str">
        <f>"04/02/2015"</f>
        <v>04/02/2015</v>
      </c>
      <c r="B1375" t="str">
        <f>"1087.90"</f>
        <v>1087.90</v>
      </c>
      <c r="C1375" t="str">
        <f>"1087.9175"</f>
        <v>1087.9175</v>
      </c>
    </row>
    <row r="1376" spans="1:3" x14ac:dyDescent="0.25">
      <c r="A1376" t="str">
        <f>"05/02/2015"</f>
        <v>05/02/2015</v>
      </c>
      <c r="B1376" t="str">
        <f>"1089.015"</f>
        <v>1089.015</v>
      </c>
      <c r="C1376" t="str">
        <f>"1089.032"</f>
        <v>1089.032</v>
      </c>
    </row>
    <row r="1377" spans="1:3" x14ac:dyDescent="0.25">
      <c r="A1377" t="str">
        <f>"06/02/2015"</f>
        <v>06/02/2015</v>
      </c>
      <c r="B1377" t="str">
        <f>"1087.74"</f>
        <v>1087.74</v>
      </c>
      <c r="C1377" t="str">
        <f>"1087.7628"</f>
        <v>1087.7628</v>
      </c>
    </row>
    <row r="1378" spans="1:3" x14ac:dyDescent="0.25">
      <c r="A1378" t="str">
        <f>"09/02/2015"</f>
        <v>09/02/2015</v>
      </c>
      <c r="B1378" t="str">
        <f>"1096.65"</f>
        <v>1096.65</v>
      </c>
      <c r="C1378" t="str">
        <f>"1096.673"</f>
        <v>1096.673</v>
      </c>
    </row>
    <row r="1379" spans="1:3" x14ac:dyDescent="0.25">
      <c r="A1379" t="str">
        <f>"10/02/2015"</f>
        <v>10/02/2015</v>
      </c>
      <c r="B1379" t="str">
        <f>"1090.30"</f>
        <v>1090.30</v>
      </c>
      <c r="C1379" t="str">
        <f>"1090.3235"</f>
        <v>1090.3235</v>
      </c>
    </row>
    <row r="1380" spans="1:3" x14ac:dyDescent="0.25">
      <c r="A1380" t="str">
        <f>"11/02/2015"</f>
        <v>11/02/2015</v>
      </c>
      <c r="B1380" t="str">
        <f>"1096.70"</f>
        <v>1096.70</v>
      </c>
      <c r="C1380" t="str">
        <f>"1096.7165"</f>
        <v>1096.7165</v>
      </c>
    </row>
    <row r="1381" spans="1:3" x14ac:dyDescent="0.25">
      <c r="A1381" t="str">
        <f>"12/02/2015"</f>
        <v>12/02/2015</v>
      </c>
      <c r="B1381" t="str">
        <f>"1109.20"</f>
        <v>1109.20</v>
      </c>
      <c r="C1381" t="str">
        <f>"1109.216"</f>
        <v>1109.216</v>
      </c>
    </row>
    <row r="1382" spans="1:3" x14ac:dyDescent="0.25">
      <c r="A1382" t="str">
        <f>"13/02/2015"</f>
        <v>13/02/2015</v>
      </c>
      <c r="B1382" t="str">
        <f>"1096.90"</f>
        <v>1096.90</v>
      </c>
      <c r="C1382" t="str">
        <f>"1096.9156"</f>
        <v>1096.9156</v>
      </c>
    </row>
    <row r="1383" spans="1:3" x14ac:dyDescent="0.25">
      <c r="A1383" t="str">
        <f>"16/02/2015"</f>
        <v>16/02/2015</v>
      </c>
      <c r="B1383" t="str">
        <f>"1100.90"</f>
        <v>1100.90</v>
      </c>
      <c r="C1383" t="str">
        <f>"1100.9164"</f>
        <v>1100.9164</v>
      </c>
    </row>
    <row r="1384" spans="1:3" x14ac:dyDescent="0.25">
      <c r="A1384" t="str">
        <f>"18/02/2015"</f>
        <v>18/02/2015</v>
      </c>
      <c r="B1384" t="str">
        <f>"1111.22"</f>
        <v>1111.22</v>
      </c>
      <c r="C1384" t="str">
        <f>"1111.2424"</f>
        <v>1111.2424</v>
      </c>
    </row>
    <row r="1385" spans="1:3" x14ac:dyDescent="0.25">
      <c r="A1385" t="str">
        <f>"20/02/2015"</f>
        <v>20/02/2015</v>
      </c>
      <c r="B1385" t="str">
        <f>"1113.30"</f>
        <v>1113.30</v>
      </c>
      <c r="C1385" t="str">
        <f>"1113.3224"</f>
        <v>1113.3224</v>
      </c>
    </row>
    <row r="1386" spans="1:3" x14ac:dyDescent="0.25">
      <c r="A1386" t="str">
        <f>"23/02/2015"</f>
        <v>23/02/2015</v>
      </c>
      <c r="B1386" t="str">
        <f>"1108.98"</f>
        <v>1108.98</v>
      </c>
      <c r="C1386" t="str">
        <f>"1108.9955"</f>
        <v>1108.9955</v>
      </c>
    </row>
    <row r="1387" spans="1:3" x14ac:dyDescent="0.25">
      <c r="A1387" t="str">
        <f>"24/02/2015"</f>
        <v>24/02/2015</v>
      </c>
      <c r="B1387" t="str">
        <f>"1110.17"</f>
        <v>1110.17</v>
      </c>
      <c r="C1387" t="str">
        <f>"1110.1854"</f>
        <v>1110.1854</v>
      </c>
    </row>
    <row r="1388" spans="1:3" x14ac:dyDescent="0.25">
      <c r="A1388" t="str">
        <f>"25/02/2015"</f>
        <v>25/02/2015</v>
      </c>
      <c r="B1388" t="str">
        <f>"1099.35"</f>
        <v>1099.35</v>
      </c>
      <c r="C1388" t="str">
        <f>"1099.3655"</f>
        <v>1099.3655</v>
      </c>
    </row>
    <row r="1389" spans="1:3" x14ac:dyDescent="0.25">
      <c r="A1389" t="str">
        <f>"26/02/2015"</f>
        <v>26/02/2015</v>
      </c>
      <c r="B1389" t="str">
        <f>"1097.60"</f>
        <v>1097.60</v>
      </c>
      <c r="C1389" t="str">
        <f>"1097.617"</f>
        <v>1097.617</v>
      </c>
    </row>
    <row r="1390" spans="1:3" x14ac:dyDescent="0.25">
      <c r="A1390" t="str">
        <f>"27/02/2015"</f>
        <v>27/02/2015</v>
      </c>
      <c r="B1390" t="str">
        <f>"1098.32"</f>
        <v>1098.32</v>
      </c>
      <c r="C1390" t="str">
        <f>"1098.3369"</f>
        <v>1098.3369</v>
      </c>
    </row>
    <row r="1391" spans="1:3" x14ac:dyDescent="0.25">
      <c r="A1391" t="str">
        <f>"02/03/2015"</f>
        <v>02/03/2015</v>
      </c>
      <c r="B1391" t="str">
        <f>"1100.98"</f>
        <v>1100.98</v>
      </c>
      <c r="C1391" t="str">
        <f>"1100.9981"</f>
        <v>1100.9981</v>
      </c>
    </row>
    <row r="1392" spans="1:3" x14ac:dyDescent="0.25">
      <c r="A1392" t="str">
        <f>"03/03/2015"</f>
        <v>03/03/2015</v>
      </c>
      <c r="B1392" t="str">
        <f>"1096.60"</f>
        <v>1096.60</v>
      </c>
      <c r="C1392" t="str">
        <f>"1096.617"</f>
        <v>1096.617</v>
      </c>
    </row>
    <row r="1393" spans="1:3" x14ac:dyDescent="0.25">
      <c r="A1393" t="str">
        <f>"04/03/2015"</f>
        <v>04/03/2015</v>
      </c>
      <c r="B1393" t="str">
        <f>"1097.90"</f>
        <v>1097.90</v>
      </c>
      <c r="C1393" t="str">
        <f>"1097.9165"</f>
        <v>1097.9165</v>
      </c>
    </row>
    <row r="1394" spans="1:3" x14ac:dyDescent="0.25">
      <c r="A1394" t="str">
        <f>"05/03/2015"</f>
        <v>05/03/2015</v>
      </c>
      <c r="B1394" t="str">
        <f>"1101.30"</f>
        <v>1101.30</v>
      </c>
      <c r="C1394" t="str">
        <f>"1101.3152"</f>
        <v>1101.3152</v>
      </c>
    </row>
    <row r="1395" spans="1:3" x14ac:dyDescent="0.25">
      <c r="A1395" t="str">
        <f>"09/03/2015"</f>
        <v>09/03/2015</v>
      </c>
      <c r="B1395" t="str">
        <f>"1112.38"</f>
        <v>1112.38</v>
      </c>
      <c r="C1395" t="str">
        <f>"1112.397"</f>
        <v>1112.397</v>
      </c>
    </row>
    <row r="1396" spans="1:3" x14ac:dyDescent="0.25">
      <c r="A1396" t="str">
        <f>"10/03/2015"</f>
        <v>10/03/2015</v>
      </c>
      <c r="B1396" t="str">
        <f>"1122.90"</f>
        <v>1122.90</v>
      </c>
      <c r="C1396" t="str">
        <f>"1122.9169"</f>
        <v>1122.9169</v>
      </c>
    </row>
    <row r="1397" spans="1:3" x14ac:dyDescent="0.25">
      <c r="A1397" t="str">
        <f>"11/03/2015"</f>
        <v>11/03/2015</v>
      </c>
      <c r="B1397" t="str">
        <f>"1126.60"</f>
        <v>1126.60</v>
      </c>
      <c r="C1397" t="str">
        <f>"1126.6169"</f>
        <v>1126.6169</v>
      </c>
    </row>
    <row r="1398" spans="1:3" x14ac:dyDescent="0.25">
      <c r="A1398" t="str">
        <f>"12/03/2015"</f>
        <v>12/03/2015</v>
      </c>
      <c r="B1398" t="str">
        <f>"1126.60"</f>
        <v>1126.60</v>
      </c>
      <c r="C1398" t="str">
        <f>"1126.6172"</f>
        <v>1126.6172</v>
      </c>
    </row>
    <row r="1399" spans="1:3" x14ac:dyDescent="0.25">
      <c r="A1399" t="str">
        <f>"13/03/2015"</f>
        <v>13/03/2015</v>
      </c>
      <c r="B1399" t="str">
        <f>"1129.05"</f>
        <v>1129.05</v>
      </c>
      <c r="C1399" t="str">
        <f>"1129.0665"</f>
        <v>1129.0665</v>
      </c>
    </row>
    <row r="1400" spans="1:3" x14ac:dyDescent="0.25">
      <c r="A1400" t="str">
        <f>"16/03/2015"</f>
        <v>16/03/2015</v>
      </c>
      <c r="B1400" t="str">
        <f>"1131.86"</f>
        <v>1131.86</v>
      </c>
      <c r="C1400" t="str">
        <f>"1131.8775"</f>
        <v>1131.8775</v>
      </c>
    </row>
    <row r="1401" spans="1:3" x14ac:dyDescent="0.25">
      <c r="A1401" t="str">
        <f>"17/03/2015"</f>
        <v>17/03/2015</v>
      </c>
      <c r="B1401" t="str">
        <f>"1129.10"</f>
        <v>1129.10</v>
      </c>
      <c r="C1401" t="str">
        <f>"1129.117"</f>
        <v>1129.117</v>
      </c>
    </row>
    <row r="1402" spans="1:3" x14ac:dyDescent="0.25">
      <c r="A1402" t="str">
        <f>"18/03/2015"</f>
        <v>18/03/2015</v>
      </c>
      <c r="B1402" t="str">
        <f>"1130.07"</f>
        <v>1130.07</v>
      </c>
      <c r="C1402" t="str">
        <f>"1130.0859"</f>
        <v>1130.0859</v>
      </c>
    </row>
    <row r="1403" spans="1:3" x14ac:dyDescent="0.25">
      <c r="A1403" t="str">
        <f>"19/03/2015"</f>
        <v>19/03/2015</v>
      </c>
      <c r="B1403" t="str">
        <f>"1117.47"</f>
        <v>1117.47</v>
      </c>
      <c r="C1403" t="str">
        <f>"1117.486"</f>
        <v>1117.486</v>
      </c>
    </row>
    <row r="1404" spans="1:3" x14ac:dyDescent="0.25">
      <c r="A1404" t="str">
        <f>"20/03/2015"</f>
        <v>20/03/2015</v>
      </c>
      <c r="B1404" t="str">
        <f>"1123.15"</f>
        <v>1123.15</v>
      </c>
      <c r="C1404" t="str">
        <f>"1123.1647"</f>
        <v>1123.1647</v>
      </c>
    </row>
    <row r="1405" spans="1:3" x14ac:dyDescent="0.25">
      <c r="A1405" t="str">
        <f>"23/03/2015"</f>
        <v>23/03/2015</v>
      </c>
      <c r="B1405" t="str">
        <f>"1114.79"</f>
        <v>1114.79</v>
      </c>
      <c r="C1405" t="str">
        <f>"1114.8055"</f>
        <v>1114.8055</v>
      </c>
    </row>
    <row r="1406" spans="1:3" x14ac:dyDescent="0.25">
      <c r="A1406" t="str">
        <f>"24/03/2015"</f>
        <v>24/03/2015</v>
      </c>
      <c r="B1406" t="str">
        <f>"1105.03"</f>
        <v>1105.03</v>
      </c>
      <c r="C1406" t="str">
        <f>"1105.0508"</f>
        <v>1105.0508</v>
      </c>
    </row>
    <row r="1407" spans="1:3" x14ac:dyDescent="0.25">
      <c r="A1407" t="str">
        <f>"25/03/2015"</f>
        <v>25/03/2015</v>
      </c>
      <c r="B1407" t="str">
        <f>"1101.45"</f>
        <v>1101.45</v>
      </c>
      <c r="C1407" t="str">
        <f>"1101.4684"</f>
        <v>1101.4684</v>
      </c>
    </row>
    <row r="1408" spans="1:3" x14ac:dyDescent="0.25">
      <c r="A1408" t="str">
        <f>"26/03/2015"</f>
        <v>26/03/2015</v>
      </c>
      <c r="B1408" t="str">
        <f>"1108.00"</f>
        <v>1108.00</v>
      </c>
      <c r="C1408" t="str">
        <f>"1108.014"</f>
        <v>1108.014</v>
      </c>
    </row>
    <row r="1409" spans="1:3" x14ac:dyDescent="0.25">
      <c r="A1409" t="str">
        <f>"27/03/2015"</f>
        <v>27/03/2015</v>
      </c>
      <c r="B1409" t="str">
        <f>"1103.50"</f>
        <v>1103.50</v>
      </c>
      <c r="C1409" t="str">
        <f>"1103.5126"</f>
        <v>1103.5126</v>
      </c>
    </row>
    <row r="1410" spans="1:3" x14ac:dyDescent="0.25">
      <c r="A1410" t="str">
        <f>"30/03/2015"</f>
        <v>30/03/2015</v>
      </c>
      <c r="B1410" t="str">
        <f>"1105.22"</f>
        <v>1105.22</v>
      </c>
      <c r="C1410" t="str">
        <f>"1105.235"</f>
        <v>1105.235</v>
      </c>
    </row>
    <row r="1411" spans="1:3" x14ac:dyDescent="0.25">
      <c r="A1411" t="str">
        <f>"31/03/2015"</f>
        <v>31/03/2015</v>
      </c>
      <c r="B1411" t="str">
        <f>"1109.95"</f>
        <v>1109.95</v>
      </c>
      <c r="C1411" t="str">
        <f>"1109.965"</f>
        <v>1109.965</v>
      </c>
    </row>
    <row r="1412" spans="1:3" x14ac:dyDescent="0.25">
      <c r="A1412" t="str">
        <f>"06/04/2015"</f>
        <v>06/04/2015</v>
      </c>
      <c r="B1412" t="str">
        <f>"1085.30"</f>
        <v>1085.30</v>
      </c>
      <c r="C1412" t="str">
        <f>"1085.3149"</f>
        <v>1085.3149</v>
      </c>
    </row>
    <row r="1413" spans="1:3" x14ac:dyDescent="0.25">
      <c r="A1413" t="str">
        <f>"07/04/2015"</f>
        <v>07/04/2015</v>
      </c>
      <c r="B1413" t="str">
        <f>"1088.70"</f>
        <v>1088.70</v>
      </c>
      <c r="C1413" t="str">
        <f>"1088.7141"</f>
        <v>1088.7141</v>
      </c>
    </row>
    <row r="1414" spans="1:3" x14ac:dyDescent="0.25">
      <c r="A1414" t="str">
        <f>"08/04/2015"</f>
        <v>08/04/2015</v>
      </c>
      <c r="B1414" t="str">
        <f>"1091.22"</f>
        <v>1091.22</v>
      </c>
      <c r="C1414" t="str">
        <f>"1091.2335"</f>
        <v>1091.2335</v>
      </c>
    </row>
    <row r="1415" spans="1:3" x14ac:dyDescent="0.25">
      <c r="A1415" t="str">
        <f>"09/04/2015"</f>
        <v>09/04/2015</v>
      </c>
      <c r="B1415" t="str">
        <f>"1092.90"</f>
        <v>1092.90</v>
      </c>
      <c r="C1415" t="str">
        <f>"1092.914"</f>
        <v>1092.914</v>
      </c>
    </row>
    <row r="1416" spans="1:3" x14ac:dyDescent="0.25">
      <c r="A1416" t="str">
        <f>"10/04/2015"</f>
        <v>10/04/2015</v>
      </c>
      <c r="B1416" t="str">
        <f>"1092.93"</f>
        <v>1092.93</v>
      </c>
      <c r="C1416" t="str">
        <f>"1092.9432"</f>
        <v>1092.9432</v>
      </c>
    </row>
    <row r="1417" spans="1:3" x14ac:dyDescent="0.25">
      <c r="A1417" t="str">
        <f>"13/04/2015"</f>
        <v>13/04/2015</v>
      </c>
      <c r="B1417" t="str">
        <f>"1098.60"</f>
        <v>1098.60</v>
      </c>
      <c r="C1417" t="str">
        <f>"1098.6135"</f>
        <v>1098.6135</v>
      </c>
    </row>
    <row r="1418" spans="1:3" x14ac:dyDescent="0.25">
      <c r="A1418" t="str">
        <f>"15/04/2015"</f>
        <v>15/04/2015</v>
      </c>
      <c r="B1418" t="str">
        <f>"1097.15"</f>
        <v>1097.15</v>
      </c>
      <c r="C1418" t="str">
        <f>"1097.1642"</f>
        <v>1097.1642</v>
      </c>
    </row>
    <row r="1419" spans="1:3" x14ac:dyDescent="0.25">
      <c r="A1419" t="str">
        <f>"16/04/2015"</f>
        <v>16/04/2015</v>
      </c>
      <c r="B1419" t="str">
        <f>"1089.04"</f>
        <v>1089.04</v>
      </c>
      <c r="C1419" t="str">
        <f>"1089.0538"</f>
        <v>1089.0538</v>
      </c>
    </row>
    <row r="1420" spans="1:3" x14ac:dyDescent="0.25">
      <c r="A1420" t="str">
        <f>"17/04/2015"</f>
        <v>17/04/2015</v>
      </c>
      <c r="B1420" t="str">
        <f>"1083.90"</f>
        <v>1083.90</v>
      </c>
      <c r="C1420" t="str">
        <f>"1083.9158"</f>
        <v>1083.9158</v>
      </c>
    </row>
    <row r="1421" spans="1:3" x14ac:dyDescent="0.25">
      <c r="A1421" t="str">
        <f>"20/04/2015"</f>
        <v>20/04/2015</v>
      </c>
      <c r="B1421" t="str">
        <f>"1079.40"</f>
        <v>1079.40</v>
      </c>
      <c r="C1421" t="str">
        <f>"1079.4125"</f>
        <v>1079.4125</v>
      </c>
    </row>
    <row r="1422" spans="1:3" x14ac:dyDescent="0.25">
      <c r="A1422" t="str">
        <f>"21/04/2015"</f>
        <v>21/04/2015</v>
      </c>
      <c r="B1422" t="str">
        <f>"1083.60"</f>
        <v>1083.60</v>
      </c>
      <c r="C1422" t="str">
        <f>"1083.613"</f>
        <v>1083.613</v>
      </c>
    </row>
    <row r="1423" spans="1:3" x14ac:dyDescent="0.25">
      <c r="A1423" t="str">
        <f>"22/04/2015"</f>
        <v>22/04/2015</v>
      </c>
      <c r="B1423" t="str">
        <f>"1079.77"</f>
        <v>1079.77</v>
      </c>
      <c r="C1423" t="str">
        <f>"1079.7825"</f>
        <v>1079.7825</v>
      </c>
    </row>
    <row r="1424" spans="1:3" x14ac:dyDescent="0.25">
      <c r="A1424" t="str">
        <f>"23/04/2015"</f>
        <v>23/04/2015</v>
      </c>
      <c r="B1424" t="str">
        <f>"1082.30"</f>
        <v>1082.30</v>
      </c>
      <c r="C1424" t="str">
        <f>"1082.3135"</f>
        <v>1082.3135</v>
      </c>
    </row>
    <row r="1425" spans="1:3" x14ac:dyDescent="0.25">
      <c r="A1425" t="str">
        <f>"24/04/2015"</f>
        <v>24/04/2015</v>
      </c>
      <c r="B1425" t="str">
        <f>"1079.75"</f>
        <v>1079.75</v>
      </c>
      <c r="C1425" t="str">
        <f>"1079.7635"</f>
        <v>1079.7635</v>
      </c>
    </row>
    <row r="1426" spans="1:3" x14ac:dyDescent="0.25">
      <c r="A1426" t="str">
        <f>"27/04/2015"</f>
        <v>27/04/2015</v>
      </c>
      <c r="B1426" t="str">
        <f>"1073.25"</f>
        <v>1073.25</v>
      </c>
      <c r="C1426" t="str">
        <f>"1073.2635"</f>
        <v>1073.2635</v>
      </c>
    </row>
    <row r="1427" spans="1:3" x14ac:dyDescent="0.25">
      <c r="A1427" t="str">
        <f>"28/04/2015"</f>
        <v>28/04/2015</v>
      </c>
      <c r="B1427" t="str">
        <f>"1070.20"</f>
        <v>1070.20</v>
      </c>
      <c r="C1427" t="str">
        <f>"1070.213"</f>
        <v>1070.213</v>
      </c>
    </row>
    <row r="1428" spans="1:3" x14ac:dyDescent="0.25">
      <c r="A1428" t="str">
        <f>"29/04/2015"</f>
        <v>29/04/2015</v>
      </c>
      <c r="B1428" t="str">
        <f>"1068.80"</f>
        <v>1068.80</v>
      </c>
      <c r="C1428" t="str">
        <f>"1068.8175"</f>
        <v>1068.8175</v>
      </c>
    </row>
    <row r="1429" spans="1:3" x14ac:dyDescent="0.25">
      <c r="A1429" t="str">
        <f>"30/04/2015"</f>
        <v>30/04/2015</v>
      </c>
      <c r="B1429" t="str">
        <f>"1072.53"</f>
        <v>1072.53</v>
      </c>
      <c r="C1429" t="str">
        <f>"1072.5412"</f>
        <v>1072.5412</v>
      </c>
    </row>
    <row r="1430" spans="1:3" x14ac:dyDescent="0.25">
      <c r="A1430" t="str">
        <f>"05/05/2015"</f>
        <v>05/05/2015</v>
      </c>
      <c r="B1430" t="str">
        <f>"1083.30"</f>
        <v>1083.30</v>
      </c>
      <c r="C1430" t="str">
        <f>"1083.3156"</f>
        <v>1083.3156</v>
      </c>
    </row>
    <row r="1431" spans="1:3" x14ac:dyDescent="0.25">
      <c r="A1431" t="str">
        <f>"06/05/2015"</f>
        <v>06/05/2015</v>
      </c>
      <c r="B1431" t="str">
        <f>"1081.43"</f>
        <v>1081.43</v>
      </c>
      <c r="C1431" t="str">
        <f>"1081.4425"</f>
        <v>1081.4425</v>
      </c>
    </row>
    <row r="1432" spans="1:3" x14ac:dyDescent="0.25">
      <c r="A1432" t="str">
        <f>"07/05/2015"</f>
        <v>07/05/2015</v>
      </c>
      <c r="B1432" t="str">
        <f>"1089.85"</f>
        <v>1089.85</v>
      </c>
      <c r="C1432" t="str">
        <f>"1089.8627"</f>
        <v>1089.8627</v>
      </c>
    </row>
    <row r="1433" spans="1:3" x14ac:dyDescent="0.25">
      <c r="A1433" t="str">
        <f>"08/05/2015"</f>
        <v>08/05/2015</v>
      </c>
      <c r="B1433" t="str">
        <f>"1088.63"</f>
        <v>1088.63</v>
      </c>
      <c r="C1433" t="str">
        <f>"1088.643"</f>
        <v>1088.643</v>
      </c>
    </row>
    <row r="1434" spans="1:3" x14ac:dyDescent="0.25">
      <c r="A1434" t="str">
        <f>"11/05/2015"</f>
        <v>11/05/2015</v>
      </c>
      <c r="B1434" t="str">
        <f>"1091.67"</f>
        <v>1091.67</v>
      </c>
      <c r="C1434" t="str">
        <f>"1091.684"</f>
        <v>1091.684</v>
      </c>
    </row>
    <row r="1435" spans="1:3" x14ac:dyDescent="0.25">
      <c r="A1435" t="str">
        <f>"12/05/2015"</f>
        <v>12/05/2015</v>
      </c>
      <c r="B1435" t="str">
        <f>"1096.06"</f>
        <v>1096.06</v>
      </c>
      <c r="C1435" t="str">
        <f>"1096.074"</f>
        <v>1096.074</v>
      </c>
    </row>
    <row r="1436" spans="1:3" x14ac:dyDescent="0.25">
      <c r="A1436" t="str">
        <f>"13/05/2015"</f>
        <v>13/05/2015</v>
      </c>
      <c r="B1436" t="str">
        <f>"1099.95"</f>
        <v>1099.95</v>
      </c>
      <c r="C1436" t="str">
        <f>"1099.9635"</f>
        <v>1099.9635</v>
      </c>
    </row>
    <row r="1437" spans="1:3" x14ac:dyDescent="0.25">
      <c r="A1437" t="str">
        <f>"14/05/2015"</f>
        <v>14/05/2015</v>
      </c>
      <c r="B1437" t="str">
        <f>"1090.69"</f>
        <v>1090.69</v>
      </c>
      <c r="C1437" t="str">
        <f>"1090.7055"</f>
        <v>1090.7055</v>
      </c>
    </row>
    <row r="1438" spans="1:3" x14ac:dyDescent="0.25">
      <c r="A1438" t="str">
        <f>"15/05/2015"</f>
        <v>15/05/2015</v>
      </c>
      <c r="B1438" t="str">
        <f>"1085.91"</f>
        <v>1085.91</v>
      </c>
      <c r="C1438" t="str">
        <f>"1085.9235"</f>
        <v>1085.9235</v>
      </c>
    </row>
    <row r="1439" spans="1:3" x14ac:dyDescent="0.25">
      <c r="A1439" t="str">
        <f>"18/05/2015"</f>
        <v>18/05/2015</v>
      </c>
      <c r="B1439" t="str">
        <f>"1085.70"</f>
        <v>1085.70</v>
      </c>
      <c r="C1439" t="str">
        <f>"1085.7154"</f>
        <v>1085.7154</v>
      </c>
    </row>
    <row r="1440" spans="1:3" x14ac:dyDescent="0.25">
      <c r="A1440" t="str">
        <f>"19/05/2015"</f>
        <v>19/05/2015</v>
      </c>
      <c r="B1440" t="str">
        <f>"1088.30"</f>
        <v>1088.30</v>
      </c>
      <c r="C1440" t="str">
        <f>"1088.314"</f>
        <v>1088.314</v>
      </c>
    </row>
    <row r="1441" spans="1:3" x14ac:dyDescent="0.25">
      <c r="A1441" t="str">
        <f>"20/05/2015"</f>
        <v>20/05/2015</v>
      </c>
      <c r="B1441" t="str">
        <f>"1096.20"</f>
        <v>1096.20</v>
      </c>
      <c r="C1441" t="str">
        <f>"1096.214"</f>
        <v>1096.214</v>
      </c>
    </row>
    <row r="1442" spans="1:3" x14ac:dyDescent="0.25">
      <c r="A1442" t="str">
        <f>"21/05/2015"</f>
        <v>21/05/2015</v>
      </c>
      <c r="B1442" t="str">
        <f>"1094.35"</f>
        <v>1094.35</v>
      </c>
      <c r="C1442" t="str">
        <f>"1094.3665"</f>
        <v>1094.3665</v>
      </c>
    </row>
    <row r="1443" spans="1:3" x14ac:dyDescent="0.25">
      <c r="A1443" t="str">
        <f>"22/05/2015"</f>
        <v>22/05/2015</v>
      </c>
      <c r="B1443" t="str">
        <f>"1090.36"</f>
        <v>1090.36</v>
      </c>
      <c r="C1443" t="str">
        <f>"1090.3743"</f>
        <v>1090.3743</v>
      </c>
    </row>
    <row r="1444" spans="1:3" x14ac:dyDescent="0.25">
      <c r="A1444" t="str">
        <f>"25/05/2015"</f>
        <v>25/05/2015</v>
      </c>
      <c r="B1444" t="str">
        <f>"1099.39"</f>
        <v>1099.39</v>
      </c>
      <c r="C1444" t="str">
        <f>"1099.4045"</f>
        <v>1099.4045</v>
      </c>
    </row>
    <row r="1445" spans="1:3" x14ac:dyDescent="0.25">
      <c r="A1445" t="str">
        <f>"26/05/2015"</f>
        <v>26/05/2015</v>
      </c>
      <c r="B1445" t="str">
        <f>"1101.24"</f>
        <v>1101.24</v>
      </c>
      <c r="C1445" t="str">
        <f>"1101.2539"</f>
        <v>1101.2539</v>
      </c>
    </row>
    <row r="1446" spans="1:3" x14ac:dyDescent="0.25">
      <c r="A1446" t="str">
        <f>"27/05/2015"</f>
        <v>27/05/2015</v>
      </c>
      <c r="B1446" t="str">
        <f>"1105.80"</f>
        <v>1105.80</v>
      </c>
      <c r="C1446" t="str">
        <f>"1105.814"</f>
        <v>1105.814</v>
      </c>
    </row>
    <row r="1447" spans="1:3" x14ac:dyDescent="0.25">
      <c r="A1447" t="str">
        <f>"28/05/2015"</f>
        <v>28/05/2015</v>
      </c>
      <c r="B1447" t="str">
        <f>"1106.44"</f>
        <v>1106.44</v>
      </c>
      <c r="C1447" t="str">
        <f>"1106.454"</f>
        <v>1106.454</v>
      </c>
    </row>
    <row r="1448" spans="1:3" x14ac:dyDescent="0.25">
      <c r="A1448" t="str">
        <f>"29/05/2015"</f>
        <v>29/05/2015</v>
      </c>
      <c r="B1448" t="str">
        <f>"1108.40"</f>
        <v>1108.40</v>
      </c>
      <c r="C1448" t="str">
        <f>"1108.4135"</f>
        <v>1108.4135</v>
      </c>
    </row>
    <row r="1449" spans="1:3" x14ac:dyDescent="0.25">
      <c r="A1449" t="str">
        <f>"01/06/2015"</f>
        <v>01/06/2015</v>
      </c>
      <c r="B1449" t="str">
        <f>"1110.48"</f>
        <v>1110.48</v>
      </c>
      <c r="C1449" t="str">
        <f>"1110.4935"</f>
        <v>1110.4935</v>
      </c>
    </row>
    <row r="1450" spans="1:3" x14ac:dyDescent="0.25">
      <c r="A1450" t="str">
        <f>"02/06/2015"</f>
        <v>02/06/2015</v>
      </c>
      <c r="B1450" t="str">
        <f>"1112.65"</f>
        <v>1112.65</v>
      </c>
      <c r="C1450" t="str">
        <f>"1112.6658"</f>
        <v>1112.6658</v>
      </c>
    </row>
    <row r="1451" spans="1:3" x14ac:dyDescent="0.25">
      <c r="A1451" t="str">
        <f>"03/06/2015"</f>
        <v>03/06/2015</v>
      </c>
      <c r="B1451" t="str">
        <f>"1104.84"</f>
        <v>1104.84</v>
      </c>
      <c r="C1451" t="str">
        <f>"1104.8545"</f>
        <v>1104.8545</v>
      </c>
    </row>
    <row r="1452" spans="1:3" x14ac:dyDescent="0.25">
      <c r="A1452" t="str">
        <f>"04/06/2015"</f>
        <v>04/06/2015</v>
      </c>
      <c r="B1452" t="str">
        <f>"1114.00"</f>
        <v>1114.00</v>
      </c>
      <c r="C1452" t="str">
        <f>"1114.0151"</f>
        <v>1114.0151</v>
      </c>
    </row>
    <row r="1453" spans="1:3" x14ac:dyDescent="0.25">
      <c r="A1453" t="str">
        <f>"05/06/2015"</f>
        <v>05/06/2015</v>
      </c>
      <c r="B1453" t="str">
        <f>"1111.40"</f>
        <v>1111.40</v>
      </c>
      <c r="C1453" t="str">
        <f>"1111.4145"</f>
        <v>1111.4145</v>
      </c>
    </row>
    <row r="1454" spans="1:3" x14ac:dyDescent="0.25">
      <c r="A1454" t="str">
        <f>"08/06/2015"</f>
        <v>08/06/2015</v>
      </c>
      <c r="B1454" t="str">
        <f>"1123.50"</f>
        <v>1123.50</v>
      </c>
      <c r="C1454" t="str">
        <f>"1123.514"</f>
        <v>1123.514</v>
      </c>
    </row>
    <row r="1455" spans="1:3" x14ac:dyDescent="0.25">
      <c r="A1455" t="str">
        <f>"09/06/2015"</f>
        <v>09/06/2015</v>
      </c>
      <c r="B1455" t="str">
        <f>"1119.07"</f>
        <v>1119.07</v>
      </c>
      <c r="C1455" t="str">
        <f>"1119.085"</f>
        <v>1119.085</v>
      </c>
    </row>
    <row r="1456" spans="1:3" x14ac:dyDescent="0.25">
      <c r="A1456" t="str">
        <f>"10/06/2015"</f>
        <v>10/06/2015</v>
      </c>
      <c r="B1456" t="str">
        <f>"1108.25"</f>
        <v>1108.25</v>
      </c>
      <c r="C1456" t="str">
        <f>"1108.2629"</f>
        <v>1108.2629</v>
      </c>
    </row>
    <row r="1457" spans="1:3" x14ac:dyDescent="0.25">
      <c r="A1457" t="str">
        <f>"11/06/2015"</f>
        <v>11/06/2015</v>
      </c>
      <c r="B1457" t="str">
        <f>"1108.90"</f>
        <v>1108.90</v>
      </c>
      <c r="C1457" t="str">
        <f>"1108.915"</f>
        <v>1108.915</v>
      </c>
    </row>
    <row r="1458" spans="1:3" x14ac:dyDescent="0.25">
      <c r="A1458" t="str">
        <f>"12/06/2015"</f>
        <v>12/06/2015</v>
      </c>
      <c r="B1458" t="str">
        <f>"1114.83"</f>
        <v>1114.83</v>
      </c>
      <c r="C1458" t="str">
        <f>"1114.8425"</f>
        <v>1114.8425</v>
      </c>
    </row>
    <row r="1459" spans="1:3" x14ac:dyDescent="0.25">
      <c r="A1459" t="str">
        <f>"15/06/2015"</f>
        <v>15/06/2015</v>
      </c>
      <c r="B1459" t="str">
        <f>"1117.45"</f>
        <v>1117.45</v>
      </c>
      <c r="C1459" t="str">
        <f>"1117.4649"</f>
        <v>1117.4649</v>
      </c>
    </row>
    <row r="1460" spans="1:3" x14ac:dyDescent="0.25">
      <c r="A1460" t="str">
        <f>"16/06/2015"</f>
        <v>16/06/2015</v>
      </c>
      <c r="B1460" t="str">
        <f>"1118.78"</f>
        <v>1118.78</v>
      </c>
      <c r="C1460" t="str">
        <f>"1118.7965"</f>
        <v>1118.7965</v>
      </c>
    </row>
    <row r="1461" spans="1:3" x14ac:dyDescent="0.25">
      <c r="A1461" t="str">
        <f>"17/06/2015"</f>
        <v>17/06/2015</v>
      </c>
      <c r="B1461" t="str">
        <f>"1117.70"</f>
        <v>1117.70</v>
      </c>
      <c r="C1461" t="str">
        <f>"1117.712"</f>
        <v>1117.712</v>
      </c>
    </row>
    <row r="1462" spans="1:3" x14ac:dyDescent="0.25">
      <c r="A1462" t="str">
        <f>"18/06/2015"</f>
        <v>18/06/2015</v>
      </c>
      <c r="B1462" t="str">
        <f>"1107.30"</f>
        <v>1107.30</v>
      </c>
      <c r="C1462" t="str">
        <f>"1107.311"</f>
        <v>1107.311</v>
      </c>
    </row>
    <row r="1463" spans="1:3" x14ac:dyDescent="0.25">
      <c r="A1463" t="str">
        <f>"19/06/2015"</f>
        <v>19/06/2015</v>
      </c>
      <c r="B1463" t="str">
        <f>"1107.20"</f>
        <v>1107.20</v>
      </c>
      <c r="C1463" t="str">
        <f>"1107.2125"</f>
        <v>1107.2125</v>
      </c>
    </row>
    <row r="1464" spans="1:3" x14ac:dyDescent="0.25">
      <c r="A1464" t="str">
        <f>"22/06/2015"</f>
        <v>22/06/2015</v>
      </c>
      <c r="B1464" t="str">
        <f>"1099.20"</f>
        <v>1099.20</v>
      </c>
      <c r="C1464" t="str">
        <f>"1099.2105"</f>
        <v>1099.2105</v>
      </c>
    </row>
    <row r="1465" spans="1:3" x14ac:dyDescent="0.25">
      <c r="A1465" t="str">
        <f>"23/06/2015"</f>
        <v>23/06/2015</v>
      </c>
      <c r="B1465" t="str">
        <f>"1104.95"</f>
        <v>1104.95</v>
      </c>
      <c r="C1465" t="str">
        <f>"1104.9623"</f>
        <v>1104.9623</v>
      </c>
    </row>
    <row r="1466" spans="1:3" x14ac:dyDescent="0.25">
      <c r="A1466" t="str">
        <f>"24/06/2015"</f>
        <v>24/06/2015</v>
      </c>
      <c r="B1466" t="str">
        <f>"1108.72"</f>
        <v>1108.72</v>
      </c>
      <c r="C1466" t="str">
        <f>"1108.731"</f>
        <v>1108.731</v>
      </c>
    </row>
    <row r="1467" spans="1:3" x14ac:dyDescent="0.25">
      <c r="A1467" t="str">
        <f>"25/06/2015"</f>
        <v>25/06/2015</v>
      </c>
      <c r="B1467" t="str">
        <f>"1110.46"</f>
        <v>1110.46</v>
      </c>
      <c r="C1467" t="str">
        <f>"1110.471"</f>
        <v>1110.471</v>
      </c>
    </row>
    <row r="1468" spans="1:3" x14ac:dyDescent="0.25">
      <c r="A1468" t="str">
        <f>"26/06/2015"</f>
        <v>26/06/2015</v>
      </c>
      <c r="B1468" t="str">
        <f>"1116.79"</f>
        <v>1116.79</v>
      </c>
      <c r="C1468" t="str">
        <f>"1116.801"</f>
        <v>1116.801</v>
      </c>
    </row>
    <row r="1469" spans="1:3" x14ac:dyDescent="0.25">
      <c r="A1469" t="str">
        <f>"29/06/2015"</f>
        <v>29/06/2015</v>
      </c>
      <c r="B1469" t="str">
        <f>"1125.45"</f>
        <v>1125.45</v>
      </c>
      <c r="C1469" t="str">
        <f>"1125.4605"</f>
        <v>1125.4605</v>
      </c>
    </row>
    <row r="1470" spans="1:3" x14ac:dyDescent="0.25">
      <c r="A1470" t="str">
        <f>"30/06/2015"</f>
        <v>30/06/2015</v>
      </c>
      <c r="B1470" t="str">
        <f>"1115.77"</f>
        <v>1115.77</v>
      </c>
      <c r="C1470" t="str">
        <f>"1115.7813"</f>
        <v>1115.7813</v>
      </c>
    </row>
    <row r="1471" spans="1:3" x14ac:dyDescent="0.25">
      <c r="A1471" t="str">
        <f>"01/07/2015"</f>
        <v>01/07/2015</v>
      </c>
      <c r="B1471" t="str">
        <f>"1117.80"</f>
        <v>1117.80</v>
      </c>
      <c r="C1471" t="str">
        <f>"1117.812"</f>
        <v>1117.812</v>
      </c>
    </row>
    <row r="1472" spans="1:3" x14ac:dyDescent="0.25">
      <c r="A1472" t="str">
        <f>"02/07/2015"</f>
        <v>02/07/2015</v>
      </c>
      <c r="B1472" t="str">
        <f>"1125.20"</f>
        <v>1125.20</v>
      </c>
      <c r="C1472" t="str">
        <f>"1125.2124"</f>
        <v>1125.2124</v>
      </c>
    </row>
    <row r="1473" spans="1:3" x14ac:dyDescent="0.25">
      <c r="A1473" t="str">
        <f>"03/07/2015"</f>
        <v>03/07/2015</v>
      </c>
      <c r="B1473" t="str">
        <f>"1123.20"</f>
        <v>1123.20</v>
      </c>
      <c r="C1473" t="str">
        <f>"1123.2137"</f>
        <v>1123.2137</v>
      </c>
    </row>
    <row r="1474" spans="1:3" x14ac:dyDescent="0.25">
      <c r="A1474" t="str">
        <f>"06/07/2015"</f>
        <v>06/07/2015</v>
      </c>
      <c r="B1474" t="str">
        <f>"1126.66"</f>
        <v>1126.66</v>
      </c>
      <c r="C1474" t="str">
        <f>"1126.6735"</f>
        <v>1126.6735</v>
      </c>
    </row>
    <row r="1475" spans="1:3" x14ac:dyDescent="0.25">
      <c r="A1475" t="str">
        <f>"07/07/2015"</f>
        <v>07/07/2015</v>
      </c>
      <c r="B1475" t="str">
        <f>"1130.30"</f>
        <v>1130.30</v>
      </c>
      <c r="C1475" t="str">
        <f>"1130.3129"</f>
        <v>1130.3129</v>
      </c>
    </row>
    <row r="1476" spans="1:3" x14ac:dyDescent="0.25">
      <c r="A1476" t="str">
        <f>"08/07/2015"</f>
        <v>08/07/2015</v>
      </c>
      <c r="B1476" t="str">
        <f>"1136.90"</f>
        <v>1136.90</v>
      </c>
      <c r="C1476" t="str">
        <f>"1136.913"</f>
        <v>1136.913</v>
      </c>
    </row>
    <row r="1477" spans="1:3" x14ac:dyDescent="0.25">
      <c r="A1477" t="str">
        <f>"09/07/2015"</f>
        <v>09/07/2015</v>
      </c>
      <c r="B1477" t="str">
        <f>"1134.12"</f>
        <v>1134.12</v>
      </c>
      <c r="C1477" t="str">
        <f>"1134.1335"</f>
        <v>1134.1335</v>
      </c>
    </row>
    <row r="1478" spans="1:3" x14ac:dyDescent="0.25">
      <c r="A1478" t="str">
        <f>"10/07/2015"</f>
        <v>10/07/2015</v>
      </c>
      <c r="B1478" t="str">
        <f>"1129.73"</f>
        <v>1129.73</v>
      </c>
      <c r="C1478" t="str">
        <f>"1129.7435"</f>
        <v>1129.7435</v>
      </c>
    </row>
    <row r="1479" spans="1:3" x14ac:dyDescent="0.25">
      <c r="A1479" t="str">
        <f>"13/07/2015"</f>
        <v>13/07/2015</v>
      </c>
      <c r="B1479" t="str">
        <f>"1130.71"</f>
        <v>1130.71</v>
      </c>
      <c r="C1479" t="str">
        <f>"1130.725"</f>
        <v>1130.725</v>
      </c>
    </row>
    <row r="1480" spans="1:3" x14ac:dyDescent="0.25">
      <c r="A1480" t="str">
        <f>"14/07/2015"</f>
        <v>14/07/2015</v>
      </c>
      <c r="B1480" t="str">
        <f>"1142.50"</f>
        <v>1142.50</v>
      </c>
      <c r="C1480" t="str">
        <f>"1142.5145"</f>
        <v>1142.5145</v>
      </c>
    </row>
    <row r="1481" spans="1:3" x14ac:dyDescent="0.25">
      <c r="A1481" t="str">
        <f>"15/07/2015"</f>
        <v>15/07/2015</v>
      </c>
      <c r="B1481" t="str">
        <f>"1143.71"</f>
        <v>1143.71</v>
      </c>
      <c r="C1481" t="str">
        <f>"1143.7234"</f>
        <v>1143.7234</v>
      </c>
    </row>
    <row r="1482" spans="1:3" x14ac:dyDescent="0.25">
      <c r="A1482" t="str">
        <f>"16/07/2015"</f>
        <v>16/07/2015</v>
      </c>
      <c r="B1482" t="str">
        <f>"1149.43"</f>
        <v>1149.43</v>
      </c>
      <c r="C1482" t="str">
        <f>"1149.444"</f>
        <v>1149.444</v>
      </c>
    </row>
    <row r="1483" spans="1:3" x14ac:dyDescent="0.25">
      <c r="A1483" t="str">
        <f>"17/07/2015"</f>
        <v>17/07/2015</v>
      </c>
      <c r="B1483" t="str">
        <f>"1147.66"</f>
        <v>1147.66</v>
      </c>
      <c r="C1483" t="str">
        <f>"1147.6739"</f>
        <v>1147.6739</v>
      </c>
    </row>
    <row r="1484" spans="1:3" x14ac:dyDescent="0.25">
      <c r="A1484" t="str">
        <f>"20/07/2015"</f>
        <v>20/07/2015</v>
      </c>
      <c r="B1484" t="str">
        <f>"1152.45"</f>
        <v>1152.45</v>
      </c>
      <c r="C1484" t="str">
        <f>"1152.465"</f>
        <v>1152.465</v>
      </c>
    </row>
    <row r="1485" spans="1:3" x14ac:dyDescent="0.25">
      <c r="A1485" t="str">
        <f>"21/07/2015"</f>
        <v>21/07/2015</v>
      </c>
      <c r="B1485" t="str">
        <f>"1158.46"</f>
        <v>1158.46</v>
      </c>
      <c r="C1485" t="str">
        <f>"1158.4751"</f>
        <v>1158.4751</v>
      </c>
    </row>
    <row r="1486" spans="1:3" x14ac:dyDescent="0.25">
      <c r="A1486" t="str">
        <f>"22/07/2015"</f>
        <v>22/07/2015</v>
      </c>
      <c r="B1486" t="str">
        <f>"1153.75"</f>
        <v>1153.75</v>
      </c>
      <c r="C1486" t="str">
        <f>"1153.765"</f>
        <v>1153.765</v>
      </c>
    </row>
    <row r="1487" spans="1:3" x14ac:dyDescent="0.25">
      <c r="A1487" t="str">
        <f>"23/07/2015"</f>
        <v>23/07/2015</v>
      </c>
      <c r="B1487" t="str">
        <f>"1163.20"</f>
        <v>1163.20</v>
      </c>
      <c r="C1487" t="str">
        <f>"1163.2154"</f>
        <v>1163.2154</v>
      </c>
    </row>
    <row r="1488" spans="1:3" x14ac:dyDescent="0.25">
      <c r="A1488" t="str">
        <f>"24/07/2015"</f>
        <v>24/07/2015</v>
      </c>
      <c r="B1488" t="str">
        <f>"1167.78"</f>
        <v>1167.78</v>
      </c>
      <c r="C1488" t="str">
        <f>"1167.7954"</f>
        <v>1167.7954</v>
      </c>
    </row>
    <row r="1489" spans="1:3" x14ac:dyDescent="0.25">
      <c r="A1489" t="str">
        <f>"27/07/2015"</f>
        <v>27/07/2015</v>
      </c>
      <c r="B1489" t="str">
        <f>"1167.20"</f>
        <v>1167.20</v>
      </c>
      <c r="C1489" t="str">
        <f>"1167.2147"</f>
        <v>1167.2147</v>
      </c>
    </row>
    <row r="1490" spans="1:3" x14ac:dyDescent="0.25">
      <c r="A1490" t="str">
        <f>"28/07/2015"</f>
        <v>28/07/2015</v>
      </c>
      <c r="B1490" t="str">
        <f>"1164.98"</f>
        <v>1164.98</v>
      </c>
      <c r="C1490" t="str">
        <f>"1164.9936"</f>
        <v>1164.9936</v>
      </c>
    </row>
    <row r="1491" spans="1:3" x14ac:dyDescent="0.25">
      <c r="A1491" t="str">
        <f>"29/07/2015"</f>
        <v>29/07/2015</v>
      </c>
      <c r="B1491" t="str">
        <f>"1158.15"</f>
        <v>1158.15</v>
      </c>
      <c r="C1491" t="str">
        <f>"1158.1639"</f>
        <v>1158.1639</v>
      </c>
    </row>
    <row r="1492" spans="1:3" x14ac:dyDescent="0.25">
      <c r="A1492" t="str">
        <f>"30/07/2015"</f>
        <v>30/07/2015</v>
      </c>
      <c r="B1492" t="str">
        <f>"1168.47"</f>
        <v>1168.47</v>
      </c>
      <c r="C1492" t="str">
        <f>"1168.4844"</f>
        <v>1168.4844</v>
      </c>
    </row>
    <row r="1493" spans="1:3" x14ac:dyDescent="0.25">
      <c r="A1493" t="str">
        <f>"31/07/2015"</f>
        <v>31/07/2015</v>
      </c>
      <c r="B1493" t="str">
        <f>"1170.65"</f>
        <v>1170.65</v>
      </c>
      <c r="C1493" t="str">
        <f>"1170.6645"</f>
        <v>1170.6645</v>
      </c>
    </row>
    <row r="1494" spans="1:3" x14ac:dyDescent="0.25">
      <c r="A1494" t="str">
        <f>"03/08/2015"</f>
        <v>03/08/2015</v>
      </c>
      <c r="B1494" t="str">
        <f>"1166.11"</f>
        <v>1166.11</v>
      </c>
      <c r="C1494" t="str">
        <f>"1166.1287"</f>
        <v>1166.1287</v>
      </c>
    </row>
    <row r="1495" spans="1:3" x14ac:dyDescent="0.25">
      <c r="A1495" t="str">
        <f>"04/08/2015"</f>
        <v>04/08/2015</v>
      </c>
      <c r="B1495" t="str">
        <f>"1169.23"</f>
        <v>1169.23</v>
      </c>
      <c r="C1495" t="str">
        <f>"1169.2455"</f>
        <v>1169.2455</v>
      </c>
    </row>
    <row r="1496" spans="1:3" x14ac:dyDescent="0.25">
      <c r="A1496" t="str">
        <f>"05/08/2015"</f>
        <v>05/08/2015</v>
      </c>
      <c r="B1496" t="str">
        <f>"1173.80"</f>
        <v>1173.80</v>
      </c>
      <c r="C1496" t="str">
        <f>"1173.8155"</f>
        <v>1173.8155</v>
      </c>
    </row>
    <row r="1497" spans="1:3" x14ac:dyDescent="0.25">
      <c r="A1497" t="str">
        <f>"06/08/2015"</f>
        <v>06/08/2015</v>
      </c>
      <c r="B1497" t="str">
        <f>"1166.30"</f>
        <v>1166.30</v>
      </c>
      <c r="C1497" t="str">
        <f>"1166.3155"</f>
        <v>1166.3155</v>
      </c>
    </row>
    <row r="1498" spans="1:3" x14ac:dyDescent="0.25">
      <c r="A1498" t="str">
        <f>"07/08/2015"</f>
        <v>07/08/2015</v>
      </c>
      <c r="B1498" t="str">
        <f>"1167.72"</f>
        <v>1167.72</v>
      </c>
      <c r="C1498" t="str">
        <f>"1167.7346"</f>
        <v>1167.7346</v>
      </c>
    </row>
    <row r="1499" spans="1:3" x14ac:dyDescent="0.25">
      <c r="A1499" t="str">
        <f>"10/08/2015"</f>
        <v>10/08/2015</v>
      </c>
      <c r="B1499" t="str">
        <f>"1163.35"</f>
        <v>1163.35</v>
      </c>
      <c r="C1499" t="str">
        <f>"1163.369"</f>
        <v>1163.369</v>
      </c>
    </row>
    <row r="1500" spans="1:3" x14ac:dyDescent="0.25">
      <c r="A1500" t="str">
        <f>"11/08/2015"</f>
        <v>11/08/2015</v>
      </c>
      <c r="B1500" t="str">
        <f>"1179.18"</f>
        <v>1179.18</v>
      </c>
      <c r="C1500" t="str">
        <f>"1179.1997"</f>
        <v>1179.1997</v>
      </c>
    </row>
    <row r="1501" spans="1:3" x14ac:dyDescent="0.25">
      <c r="A1501" t="str">
        <f>"12/08/2015"</f>
        <v>12/08/2015</v>
      </c>
      <c r="B1501" t="str">
        <f>"1190.96"</f>
        <v>1190.96</v>
      </c>
      <c r="C1501" t="str">
        <f>"1190.9802"</f>
        <v>1190.9802</v>
      </c>
    </row>
    <row r="1502" spans="1:3" x14ac:dyDescent="0.25">
      <c r="A1502" t="str">
        <f>"13/08/2015"</f>
        <v>13/08/2015</v>
      </c>
      <c r="B1502" t="str">
        <f>"1174.00"</f>
        <v>1174.00</v>
      </c>
      <c r="C1502" t="str">
        <f>"1174.0174"</f>
        <v>1174.0174</v>
      </c>
    </row>
    <row r="1503" spans="1:3" x14ac:dyDescent="0.25">
      <c r="A1503" t="str">
        <f>"14/08/2015"</f>
        <v>14/08/2015</v>
      </c>
      <c r="B1503" t="str">
        <f>"1181.49"</f>
        <v>1181.49</v>
      </c>
      <c r="C1503" t="str">
        <f>"1181.5105"</f>
        <v>1181.5105</v>
      </c>
    </row>
    <row r="1504" spans="1:3" x14ac:dyDescent="0.25">
      <c r="A1504" t="str">
        <f>"17/08/2015"</f>
        <v>17/08/2015</v>
      </c>
      <c r="B1504" t="str">
        <f>"1183.12"</f>
        <v>1183.12</v>
      </c>
      <c r="C1504" t="str">
        <f>"1183.1391"</f>
        <v>1183.1391</v>
      </c>
    </row>
    <row r="1505" spans="1:3" x14ac:dyDescent="0.25">
      <c r="A1505" t="str">
        <f>"19/08/2015"</f>
        <v>19/08/2015</v>
      </c>
      <c r="B1505" t="str">
        <f>"1186.00"</f>
        <v>1186.00</v>
      </c>
      <c r="C1505" t="str">
        <f>"1186.018"</f>
        <v>1186.018</v>
      </c>
    </row>
    <row r="1506" spans="1:3" x14ac:dyDescent="0.25">
      <c r="A1506" t="str">
        <f>"20/08/2015"</f>
        <v>20/08/2015</v>
      </c>
      <c r="B1506" t="str">
        <f>"1185.39"</f>
        <v>1185.39</v>
      </c>
      <c r="C1506" t="str">
        <f>"1185.408"</f>
        <v>1185.408</v>
      </c>
    </row>
    <row r="1507" spans="1:3" x14ac:dyDescent="0.25">
      <c r="A1507" t="str">
        <f>"21/08/2015"</f>
        <v>21/08/2015</v>
      </c>
      <c r="B1507" t="str">
        <f>"1193.20"</f>
        <v>1193.20</v>
      </c>
      <c r="C1507" t="str">
        <f>"1193.2179"</f>
        <v>1193.2179</v>
      </c>
    </row>
    <row r="1508" spans="1:3" x14ac:dyDescent="0.25">
      <c r="A1508" t="str">
        <f>"25/08/2015"</f>
        <v>25/08/2015</v>
      </c>
      <c r="B1508" t="str">
        <f>"1195.80"</f>
        <v>1195.80</v>
      </c>
      <c r="C1508" t="str">
        <f>"1195.8189"</f>
        <v>1195.8189</v>
      </c>
    </row>
    <row r="1509" spans="1:3" x14ac:dyDescent="0.25">
      <c r="A1509" t="str">
        <f>"26/08/2015"</f>
        <v>26/08/2015</v>
      </c>
      <c r="B1509" t="str">
        <f>"1186.11"</f>
        <v>1186.11</v>
      </c>
      <c r="C1509" t="str">
        <f>"1186.1265"</f>
        <v>1186.1265</v>
      </c>
    </row>
    <row r="1510" spans="1:3" x14ac:dyDescent="0.25">
      <c r="A1510" t="str">
        <f>"27/08/2015"</f>
        <v>27/08/2015</v>
      </c>
      <c r="B1510" t="str">
        <f>"1185.40"</f>
        <v>1185.40</v>
      </c>
      <c r="C1510" t="str">
        <f>"1185.4145"</f>
        <v>1185.4145</v>
      </c>
    </row>
    <row r="1511" spans="1:3" x14ac:dyDescent="0.25">
      <c r="A1511" t="str">
        <f>"28/08/2015"</f>
        <v>28/08/2015</v>
      </c>
      <c r="B1511" t="str">
        <f>"1174.21"</f>
        <v>1174.21</v>
      </c>
      <c r="C1511" t="str">
        <f>"1174.2245"</f>
        <v>1174.2245</v>
      </c>
    </row>
    <row r="1512" spans="1:3" x14ac:dyDescent="0.25">
      <c r="A1512" t="str">
        <f>"31/08/2015"</f>
        <v>31/08/2015</v>
      </c>
      <c r="B1512" t="str">
        <f>"1183.40"</f>
        <v>1183.40</v>
      </c>
      <c r="C1512" t="str">
        <f>"1183.4145"</f>
        <v>1183.4145</v>
      </c>
    </row>
    <row r="1513" spans="1:3" x14ac:dyDescent="0.25">
      <c r="A1513" t="str">
        <f>"01/09/2015"</f>
        <v>01/09/2015</v>
      </c>
      <c r="B1513" t="str">
        <f>"1172.01"</f>
        <v>1172.01</v>
      </c>
      <c r="C1513" t="str">
        <f>"1172.0251"</f>
        <v>1172.0251</v>
      </c>
    </row>
    <row r="1514" spans="1:3" x14ac:dyDescent="0.25">
      <c r="A1514" t="str">
        <f>"02/09/2015"</f>
        <v>02/09/2015</v>
      </c>
      <c r="B1514" t="str">
        <f>"1181.09"</f>
        <v>1181.09</v>
      </c>
      <c r="C1514" t="str">
        <f>"1181.1051"</f>
        <v>1181.1051</v>
      </c>
    </row>
    <row r="1515" spans="1:3" x14ac:dyDescent="0.25">
      <c r="A1515" t="str">
        <f>"03/09/2015"</f>
        <v>03/09/2015</v>
      </c>
      <c r="B1515" t="str">
        <f>"1190.50"</f>
        <v>1190.50</v>
      </c>
      <c r="C1515" t="str">
        <f>"1190.514"</f>
        <v>1190.514</v>
      </c>
    </row>
    <row r="1516" spans="1:3" x14ac:dyDescent="0.25">
      <c r="A1516" t="str">
        <f>"04/09/2015"</f>
        <v>04/09/2015</v>
      </c>
      <c r="B1516" t="str">
        <f>"1193.44"</f>
        <v>1193.44</v>
      </c>
      <c r="C1516" t="str">
        <f>"1193.4559"</f>
        <v>1193.4559</v>
      </c>
    </row>
    <row r="1517" spans="1:3" x14ac:dyDescent="0.25">
      <c r="A1517" t="str">
        <f>"07/09/2015"</f>
        <v>07/09/2015</v>
      </c>
      <c r="B1517" t="str">
        <f>"1204.34"</f>
        <v>1204.34</v>
      </c>
      <c r="C1517" t="str">
        <f>"1204.3601"</f>
        <v>1204.3601</v>
      </c>
    </row>
    <row r="1518" spans="1:3" x14ac:dyDescent="0.25">
      <c r="A1518" t="str">
        <f>"08/09/2015"</f>
        <v>08/09/2015</v>
      </c>
      <c r="B1518" t="str">
        <f>"1201.04"</f>
        <v>1201.04</v>
      </c>
      <c r="C1518" t="str">
        <f>"1201.0602"</f>
        <v>1201.0602</v>
      </c>
    </row>
    <row r="1519" spans="1:3" x14ac:dyDescent="0.25">
      <c r="A1519" t="str">
        <f>"09/09/2015"</f>
        <v>09/09/2015</v>
      </c>
      <c r="B1519" t="str">
        <f>"1189.64"</f>
        <v>1189.64</v>
      </c>
      <c r="C1519" t="str">
        <f>"1189.6597"</f>
        <v>1189.6597</v>
      </c>
    </row>
    <row r="1520" spans="1:3" x14ac:dyDescent="0.25">
      <c r="A1520" t="str">
        <f>"10/09/2015"</f>
        <v>10/09/2015</v>
      </c>
      <c r="B1520" t="str">
        <f>"1194.54"</f>
        <v>1194.54</v>
      </c>
      <c r="C1520" t="str">
        <f>"1194.557"</f>
        <v>1194.557</v>
      </c>
    </row>
    <row r="1521" spans="1:3" x14ac:dyDescent="0.25">
      <c r="A1521" t="str">
        <f>"11/09/2015"</f>
        <v>11/09/2015</v>
      </c>
      <c r="B1521" t="str">
        <f>"1184.75"</f>
        <v>1184.75</v>
      </c>
      <c r="C1521" t="str">
        <f>"1184.7665"</f>
        <v>1184.7665</v>
      </c>
    </row>
    <row r="1522" spans="1:3" x14ac:dyDescent="0.25">
      <c r="A1522" t="str">
        <f>"14/09/2015"</f>
        <v>14/09/2015</v>
      </c>
      <c r="B1522" t="str">
        <f>"1183.47"</f>
        <v>1183.47</v>
      </c>
      <c r="C1522" t="str">
        <f>"1183.4865"</f>
        <v>1183.4865</v>
      </c>
    </row>
    <row r="1523" spans="1:3" x14ac:dyDescent="0.25">
      <c r="A1523" t="str">
        <f>"15/09/2015"</f>
        <v>15/09/2015</v>
      </c>
      <c r="B1523" t="str">
        <f>"1186.59"</f>
        <v>1186.59</v>
      </c>
      <c r="C1523" t="str">
        <f>"1186.6076"</f>
        <v>1186.6076</v>
      </c>
    </row>
    <row r="1524" spans="1:3" x14ac:dyDescent="0.25">
      <c r="A1524" t="str">
        <f>"16/09/2015"</f>
        <v>16/09/2015</v>
      </c>
      <c r="B1524" t="str">
        <f>"1176.25"</f>
        <v>1176.25</v>
      </c>
      <c r="C1524" t="str">
        <f>"1176.2659"</f>
        <v>1176.2659</v>
      </c>
    </row>
    <row r="1525" spans="1:3" x14ac:dyDescent="0.25">
      <c r="A1525" t="str">
        <f>"18/09/2015"</f>
        <v>18/09/2015</v>
      </c>
      <c r="B1525" t="str">
        <f>"1163.05"</f>
        <v>1163.05</v>
      </c>
      <c r="C1525" t="str">
        <f>"1163.0651"</f>
        <v>1163.0651</v>
      </c>
    </row>
    <row r="1526" spans="1:3" x14ac:dyDescent="0.25">
      <c r="A1526" t="str">
        <f>"21/09/2015"</f>
        <v>21/09/2015</v>
      </c>
      <c r="B1526" t="str">
        <f>"1174.88"</f>
        <v>1174.88</v>
      </c>
      <c r="C1526" t="str">
        <f>"1174.8947"</f>
        <v>1174.8947</v>
      </c>
    </row>
    <row r="1527" spans="1:3" x14ac:dyDescent="0.25">
      <c r="A1527" t="str">
        <f>"22/09/2015"</f>
        <v>22/09/2015</v>
      </c>
      <c r="B1527" t="str">
        <f>"1179.42"</f>
        <v>1179.42</v>
      </c>
      <c r="C1527" t="str">
        <f>"1179.4371"</f>
        <v>1179.4371</v>
      </c>
    </row>
    <row r="1528" spans="1:3" x14ac:dyDescent="0.25">
      <c r="A1528" t="str">
        <f>"23/09/2015"</f>
        <v>23/09/2015</v>
      </c>
      <c r="B1528" t="str">
        <f>"1191.30"</f>
        <v>1191.30</v>
      </c>
      <c r="C1528" t="str">
        <f>"1191.3147"</f>
        <v>1191.3147</v>
      </c>
    </row>
    <row r="1529" spans="1:3" x14ac:dyDescent="0.25">
      <c r="A1529" t="str">
        <f>"24/09/2015"</f>
        <v>24/09/2015</v>
      </c>
      <c r="B1529" t="str">
        <f>"1192.80"</f>
        <v>1192.80</v>
      </c>
      <c r="C1529" t="str">
        <f>"1192.815"</f>
        <v>1192.815</v>
      </c>
    </row>
    <row r="1530" spans="1:3" x14ac:dyDescent="0.25">
      <c r="A1530" t="str">
        <f>"28/09/2015"</f>
        <v>28/09/2015</v>
      </c>
      <c r="B1530" t="str">
        <f>"1195.95"</f>
        <v>1195.95</v>
      </c>
      <c r="C1530" t="str">
        <f>"1195.9684"</f>
        <v>1195.9684</v>
      </c>
    </row>
    <row r="1531" spans="1:3" x14ac:dyDescent="0.25">
      <c r="A1531" t="str">
        <f>"29/09/2015"</f>
        <v>29/09/2015</v>
      </c>
      <c r="B1531" t="str">
        <f>"1202.50"</f>
        <v>1202.50</v>
      </c>
      <c r="C1531" t="str">
        <f>"1202.5184"</f>
        <v>1202.5184</v>
      </c>
    </row>
    <row r="1532" spans="1:3" x14ac:dyDescent="0.25">
      <c r="A1532" t="str">
        <f>"30/09/2015"</f>
        <v>30/09/2015</v>
      </c>
      <c r="B1532" t="str">
        <f>"1185.57"</f>
        <v>1185.57</v>
      </c>
      <c r="C1532" t="str">
        <f>"1185.5861"</f>
        <v>1185.5861</v>
      </c>
    </row>
    <row r="1533" spans="1:3" x14ac:dyDescent="0.25">
      <c r="A1533" t="str">
        <f>"01/10/2015"</f>
        <v>01/10/2015</v>
      </c>
      <c r="B1533" t="str">
        <f>"1176.50"</f>
        <v>1176.50</v>
      </c>
      <c r="C1533" t="str">
        <f>"1176.5165"</f>
        <v>1176.5165</v>
      </c>
    </row>
    <row r="1534" spans="1:3" x14ac:dyDescent="0.25">
      <c r="A1534" t="str">
        <f>"05/10/2015"</f>
        <v>05/10/2015</v>
      </c>
      <c r="B1534" t="str">
        <f>"1172.47"</f>
        <v>1172.47</v>
      </c>
      <c r="C1534" t="str">
        <f>"1172.4894"</f>
        <v>1172.4894</v>
      </c>
    </row>
    <row r="1535" spans="1:3" x14ac:dyDescent="0.25">
      <c r="A1535" t="str">
        <f>"06/10/2015"</f>
        <v>06/10/2015</v>
      </c>
      <c r="B1535" t="str">
        <f>"1166.47"</f>
        <v>1166.47</v>
      </c>
      <c r="C1535" t="str">
        <f>"1166.4835"</f>
        <v>1166.4835</v>
      </c>
    </row>
    <row r="1536" spans="1:3" x14ac:dyDescent="0.25">
      <c r="A1536" t="str">
        <f>"07/10/2015"</f>
        <v>07/10/2015</v>
      </c>
      <c r="B1536" t="str">
        <f>"1162.21"</f>
        <v>1162.21</v>
      </c>
      <c r="C1536" t="str">
        <f>"1162.225"</f>
        <v>1162.225</v>
      </c>
    </row>
    <row r="1537" spans="1:3" x14ac:dyDescent="0.25">
      <c r="A1537" t="str">
        <f>"08/10/2015"</f>
        <v>08/10/2015</v>
      </c>
      <c r="B1537" t="str">
        <f>"1158.90"</f>
        <v>1158.90</v>
      </c>
      <c r="C1537" t="str">
        <f>"1158.915"</f>
        <v>1158.915</v>
      </c>
    </row>
    <row r="1538" spans="1:3" x14ac:dyDescent="0.25">
      <c r="A1538" t="str">
        <f>"09/10/2015"</f>
        <v>09/10/2015</v>
      </c>
      <c r="B1538" t="str">
        <f>"1144.75"</f>
        <v>1144.75</v>
      </c>
      <c r="C1538" t="str">
        <f>"1144.7655"</f>
        <v>1144.7655</v>
      </c>
    </row>
    <row r="1539" spans="1:3" x14ac:dyDescent="0.25">
      <c r="A1539" t="str">
        <f>"12/10/2015"</f>
        <v>12/10/2015</v>
      </c>
      <c r="B1539" t="str">
        <f>"1144.46"</f>
        <v>1144.46</v>
      </c>
      <c r="C1539" t="str">
        <f>"1144.475"</f>
        <v>1144.475</v>
      </c>
    </row>
    <row r="1540" spans="1:3" x14ac:dyDescent="0.25">
      <c r="A1540" t="str">
        <f>"13/10/2015"</f>
        <v>13/10/2015</v>
      </c>
      <c r="B1540" t="str">
        <f>"1149.90"</f>
        <v>1149.90</v>
      </c>
      <c r="C1540" t="str">
        <f>"1149.9138"</f>
        <v>1149.9138</v>
      </c>
    </row>
    <row r="1541" spans="1:3" x14ac:dyDescent="0.25">
      <c r="A1541" t="str">
        <f>"14/10/2015"</f>
        <v>14/10/2015</v>
      </c>
      <c r="B1541" t="str">
        <f>"1147.26"</f>
        <v>1147.26</v>
      </c>
      <c r="C1541" t="str">
        <f>"1147.2735"</f>
        <v>1147.2735</v>
      </c>
    </row>
    <row r="1542" spans="1:3" x14ac:dyDescent="0.25">
      <c r="A1542" t="str">
        <f>"15/10/2015"</f>
        <v>15/10/2015</v>
      </c>
      <c r="B1542" t="str">
        <f>"1130.60"</f>
        <v>1130.60</v>
      </c>
      <c r="C1542" t="str">
        <f>"1130.6135"</f>
        <v>1130.6135</v>
      </c>
    </row>
    <row r="1543" spans="1:3" x14ac:dyDescent="0.25">
      <c r="A1543" t="str">
        <f>"16/10/2015"</f>
        <v>16/10/2015</v>
      </c>
      <c r="B1543" t="str">
        <f>"1129.70"</f>
        <v>1129.70</v>
      </c>
      <c r="C1543" t="str">
        <f>"1129.713"</f>
        <v>1129.713</v>
      </c>
    </row>
    <row r="1544" spans="1:3" x14ac:dyDescent="0.25">
      <c r="A1544" t="str">
        <f>"19/10/2015"</f>
        <v>19/10/2015</v>
      </c>
      <c r="B1544" t="str">
        <f>"1121.35"</f>
        <v>1121.35</v>
      </c>
      <c r="C1544" t="str">
        <f>"1121.363"</f>
        <v>1121.363</v>
      </c>
    </row>
    <row r="1545" spans="1:3" x14ac:dyDescent="0.25">
      <c r="A1545" t="str">
        <f>"20/10/2015"</f>
        <v>20/10/2015</v>
      </c>
      <c r="B1545" t="str">
        <f>"1131.05"</f>
        <v>1131.05</v>
      </c>
      <c r="C1545" t="str">
        <f>"1131.063"</f>
        <v>1131.063</v>
      </c>
    </row>
    <row r="1546" spans="1:3" x14ac:dyDescent="0.25">
      <c r="A1546" t="str">
        <f>"21/10/2015"</f>
        <v>21/10/2015</v>
      </c>
      <c r="B1546" t="str">
        <f>"1133.16"</f>
        <v>1133.16</v>
      </c>
      <c r="C1546" t="str">
        <f>"1133.1732"</f>
        <v>1133.1732</v>
      </c>
    </row>
    <row r="1547" spans="1:3" x14ac:dyDescent="0.25">
      <c r="A1547" t="str">
        <f>"23/10/2015"</f>
        <v>23/10/2015</v>
      </c>
      <c r="B1547" t="str">
        <f>"1125.07"</f>
        <v>1125.07</v>
      </c>
      <c r="C1547" t="str">
        <f>"1125.0839"</f>
        <v>1125.0839</v>
      </c>
    </row>
    <row r="1548" spans="1:3" x14ac:dyDescent="0.25">
      <c r="A1548" t="str">
        <f>"26/10/2015"</f>
        <v>26/10/2015</v>
      </c>
      <c r="B1548" t="str">
        <f>"1134.13"</f>
        <v>1134.13</v>
      </c>
      <c r="C1548" t="str">
        <f>"1134.143"</f>
        <v>1134.143</v>
      </c>
    </row>
    <row r="1549" spans="1:3" x14ac:dyDescent="0.25">
      <c r="A1549" t="str">
        <f>"27/10/2015"</f>
        <v>27/10/2015</v>
      </c>
      <c r="B1549" t="str">
        <f>"1131.10"</f>
        <v>1131.10</v>
      </c>
      <c r="C1549" t="str">
        <f>"1131.113"</f>
        <v>1131.113</v>
      </c>
    </row>
    <row r="1550" spans="1:3" x14ac:dyDescent="0.25">
      <c r="A1550" t="str">
        <f>"29/10/2015"</f>
        <v>29/10/2015</v>
      </c>
      <c r="B1550" t="str">
        <f>"1142.40"</f>
        <v>1142.40</v>
      </c>
      <c r="C1550" t="str">
        <f>"1142.415"</f>
        <v>1142.415</v>
      </c>
    </row>
    <row r="1551" spans="1:3" x14ac:dyDescent="0.25">
      <c r="A1551" t="str">
        <f>"30/10/2015"</f>
        <v>30/10/2015</v>
      </c>
      <c r="B1551" t="str">
        <f>"1140.91"</f>
        <v>1140.91</v>
      </c>
      <c r="C1551" t="str">
        <f>"1140.925"</f>
        <v>1140.925</v>
      </c>
    </row>
    <row r="1552" spans="1:3" x14ac:dyDescent="0.25">
      <c r="A1552" t="str">
        <f>"02/11/2015"</f>
        <v>02/11/2015</v>
      </c>
      <c r="B1552" t="str">
        <f>"1137.20"</f>
        <v>1137.20</v>
      </c>
      <c r="C1552" t="str">
        <f>"1137.215"</f>
        <v>1137.215</v>
      </c>
    </row>
    <row r="1553" spans="1:3" x14ac:dyDescent="0.25">
      <c r="A1553" t="str">
        <f>"03/11/2015"</f>
        <v>03/11/2015</v>
      </c>
      <c r="B1553" t="str">
        <f>"1133.25"</f>
        <v>1133.25</v>
      </c>
      <c r="C1553" t="str">
        <f>"1133.2665"</f>
        <v>1133.2665</v>
      </c>
    </row>
    <row r="1554" spans="1:3" x14ac:dyDescent="0.25">
      <c r="A1554" t="str">
        <f>"04/11/2015"</f>
        <v>04/11/2015</v>
      </c>
      <c r="B1554" t="str">
        <f>"1132.16"</f>
        <v>1132.16</v>
      </c>
      <c r="C1554" t="str">
        <f>"1132.176"</f>
        <v>1132.176</v>
      </c>
    </row>
    <row r="1555" spans="1:3" x14ac:dyDescent="0.25">
      <c r="A1555" t="str">
        <f>"05/11/2015"</f>
        <v>05/11/2015</v>
      </c>
      <c r="B1555" t="str">
        <f>"1138.88"</f>
        <v>1138.88</v>
      </c>
      <c r="C1555" t="str">
        <f>"1138.895"</f>
        <v>1138.895</v>
      </c>
    </row>
    <row r="1556" spans="1:3" x14ac:dyDescent="0.25">
      <c r="A1556" t="str">
        <f>"06/11/2015"</f>
        <v>06/11/2015</v>
      </c>
      <c r="B1556" t="str">
        <f>"1142.15"</f>
        <v>1142.15</v>
      </c>
      <c r="C1556" t="str">
        <f>"1142.169"</f>
        <v>1142.169</v>
      </c>
    </row>
    <row r="1557" spans="1:3" x14ac:dyDescent="0.25">
      <c r="A1557" t="str">
        <f>"09/11/2015"</f>
        <v>09/11/2015</v>
      </c>
      <c r="B1557" t="str">
        <f>"1157.78"</f>
        <v>1157.78</v>
      </c>
      <c r="C1557" t="str">
        <f>"1157.80"</f>
        <v>1157.80</v>
      </c>
    </row>
    <row r="1558" spans="1:3" x14ac:dyDescent="0.25">
      <c r="A1558" t="str">
        <f>"10/11/2015"</f>
        <v>10/11/2015</v>
      </c>
      <c r="B1558" t="str">
        <f>"1157.13"</f>
        <v>1157.13</v>
      </c>
      <c r="C1558" t="str">
        <f>"1157.1455"</f>
        <v>1157.1455</v>
      </c>
    </row>
    <row r="1559" spans="1:3" x14ac:dyDescent="0.25">
      <c r="A1559" t="str">
        <f>"13/11/2015"</f>
        <v>13/11/2015</v>
      </c>
      <c r="B1559" t="str">
        <f>"1163.90"</f>
        <v>1163.90</v>
      </c>
      <c r="C1559" t="str">
        <f>"1163.9145"</f>
        <v>1163.9145</v>
      </c>
    </row>
    <row r="1560" spans="1:3" x14ac:dyDescent="0.25">
      <c r="A1560" t="str">
        <f>"16/11/2015"</f>
        <v>16/11/2015</v>
      </c>
      <c r="B1560" t="str">
        <f>"1174.13"</f>
        <v>1174.13</v>
      </c>
      <c r="C1560" t="str">
        <f>"1174.15"</f>
        <v>1174.15</v>
      </c>
    </row>
    <row r="1561" spans="1:3" x14ac:dyDescent="0.25">
      <c r="A1561" t="str">
        <f>"17/11/2015"</f>
        <v>17/11/2015</v>
      </c>
      <c r="B1561" t="str">
        <f>"1170.57"</f>
        <v>1170.57</v>
      </c>
      <c r="C1561" t="str">
        <f>"1170.59"</f>
        <v>1170.59</v>
      </c>
    </row>
    <row r="1562" spans="1:3" x14ac:dyDescent="0.25">
      <c r="A1562" t="str">
        <f>"18/11/2015"</f>
        <v>18/11/2015</v>
      </c>
      <c r="B1562" t="str">
        <f>"1172.41"</f>
        <v>1172.41</v>
      </c>
      <c r="C1562" t="str">
        <f>"1172.4295"</f>
        <v>1172.4295</v>
      </c>
    </row>
    <row r="1563" spans="1:3" x14ac:dyDescent="0.25">
      <c r="A1563" t="str">
        <f>"19/11/2015"</f>
        <v>19/11/2015</v>
      </c>
      <c r="B1563" t="str">
        <f>"1161.88"</f>
        <v>1161.88</v>
      </c>
      <c r="C1563" t="str">
        <f>"1161.8945"</f>
        <v>1161.8945</v>
      </c>
    </row>
    <row r="1564" spans="1:3" x14ac:dyDescent="0.25">
      <c r="A1564" t="str">
        <f>"20/11/2015"</f>
        <v>20/11/2015</v>
      </c>
      <c r="B1564" t="str">
        <f>"1154.60"</f>
        <v>1154.60</v>
      </c>
      <c r="C1564" t="str">
        <f>"1154.615"</f>
        <v>1154.615</v>
      </c>
    </row>
    <row r="1565" spans="1:3" x14ac:dyDescent="0.25">
      <c r="A1565" t="str">
        <f>"23/11/2015"</f>
        <v>23/11/2015</v>
      </c>
      <c r="B1565" t="str">
        <f>"1158.70"</f>
        <v>1158.70</v>
      </c>
      <c r="C1565" t="str">
        <f>"1158.721"</f>
        <v>1158.721</v>
      </c>
    </row>
    <row r="1566" spans="1:3" x14ac:dyDescent="0.25">
      <c r="A1566" t="str">
        <f>"24/11/2015"</f>
        <v>24/11/2015</v>
      </c>
      <c r="B1566" t="str">
        <f>"1153.98"</f>
        <v>1153.98</v>
      </c>
      <c r="C1566" t="str">
        <f>"1153.9998"</f>
        <v>1153.9998</v>
      </c>
    </row>
    <row r="1567" spans="1:3" x14ac:dyDescent="0.25">
      <c r="A1567" t="str">
        <f>"26/11/2015"</f>
        <v>26/11/2015</v>
      </c>
      <c r="B1567" t="str">
        <f>"1147.53"</f>
        <v>1147.53</v>
      </c>
      <c r="C1567" t="str">
        <f>"1147.545"</f>
        <v>1147.545</v>
      </c>
    </row>
    <row r="1568" spans="1:3" x14ac:dyDescent="0.25">
      <c r="A1568" t="str">
        <f>"27/11/2015"</f>
        <v>27/11/2015</v>
      </c>
      <c r="B1568" t="str">
        <f>"1153.30"</f>
        <v>1153.30</v>
      </c>
      <c r="C1568" t="str">
        <f>"1153.316"</f>
        <v>1153.316</v>
      </c>
    </row>
    <row r="1569" spans="1:3" x14ac:dyDescent="0.25">
      <c r="A1569" t="str">
        <f>"30/11/2015"</f>
        <v>30/11/2015</v>
      </c>
      <c r="B1569" t="str">
        <f>"1158.10"</f>
        <v>1158.10</v>
      </c>
      <c r="C1569" t="str">
        <f>"1158.115"</f>
        <v>1158.115</v>
      </c>
    </row>
    <row r="1570" spans="1:3" x14ac:dyDescent="0.25">
      <c r="A1570" t="str">
        <f>"01/12/2015"</f>
        <v>01/12/2015</v>
      </c>
      <c r="B1570" t="str">
        <f>"1158.25"</f>
        <v>1158.25</v>
      </c>
      <c r="C1570" t="str">
        <f>"1158.27"</f>
        <v>1158.27</v>
      </c>
    </row>
    <row r="1571" spans="1:3" x14ac:dyDescent="0.25">
      <c r="A1571" t="str">
        <f>"02/12/2015"</f>
        <v>02/12/2015</v>
      </c>
      <c r="B1571" t="str">
        <f>"1164.59"</f>
        <v>1164.59</v>
      </c>
      <c r="C1571" t="str">
        <f>"1164.61"</f>
        <v>1164.61</v>
      </c>
    </row>
    <row r="1572" spans="1:3" x14ac:dyDescent="0.25">
      <c r="A1572" t="str">
        <f>"03/12/2015"</f>
        <v>03/12/2015</v>
      </c>
      <c r="B1572" t="str">
        <f>"1164.75"</f>
        <v>1164.75</v>
      </c>
      <c r="C1572" t="str">
        <f>"1164.765"</f>
        <v>1164.765</v>
      </c>
    </row>
    <row r="1573" spans="1:3" x14ac:dyDescent="0.25">
      <c r="A1573" t="str">
        <f>"04/12/2015"</f>
        <v>04/12/2015</v>
      </c>
      <c r="B1573" t="str">
        <f>"1156.80"</f>
        <v>1156.80</v>
      </c>
      <c r="C1573" t="str">
        <f>"1156.8185"</f>
        <v>1156.8185</v>
      </c>
    </row>
    <row r="1574" spans="1:3" x14ac:dyDescent="0.25">
      <c r="A1574" t="str">
        <f>"07/12/2015"</f>
        <v>07/12/2015</v>
      </c>
      <c r="B1574" t="str">
        <f>"1168.25"</f>
        <v>1168.25</v>
      </c>
      <c r="C1574" t="str">
        <f>"1168.2685"</f>
        <v>1168.2685</v>
      </c>
    </row>
    <row r="1575" spans="1:3" x14ac:dyDescent="0.25">
      <c r="A1575" t="str">
        <f>"08/12/2015"</f>
        <v>08/12/2015</v>
      </c>
      <c r="B1575" t="str">
        <f>"1178.70"</f>
        <v>1178.70</v>
      </c>
      <c r="C1575" t="str">
        <f>"1178.714"</f>
        <v>1178.714</v>
      </c>
    </row>
    <row r="1576" spans="1:3" x14ac:dyDescent="0.25">
      <c r="A1576" t="str">
        <f>"09/12/2015"</f>
        <v>09/12/2015</v>
      </c>
      <c r="B1576" t="str">
        <f>"1179.43"</f>
        <v>1179.43</v>
      </c>
      <c r="C1576" t="str">
        <f>"1179.4425"</f>
        <v>1179.4425</v>
      </c>
    </row>
    <row r="1577" spans="1:3" x14ac:dyDescent="0.25">
      <c r="A1577" t="str">
        <f>"10/12/2015"</f>
        <v>10/12/2015</v>
      </c>
      <c r="B1577" t="str">
        <f>"1181.75"</f>
        <v>1181.75</v>
      </c>
      <c r="C1577" t="str">
        <f>"1181.764"</f>
        <v>1181.764</v>
      </c>
    </row>
    <row r="1578" spans="1:3" x14ac:dyDescent="0.25">
      <c r="A1578" t="str">
        <f>"11/12/2015"</f>
        <v>11/12/2015</v>
      </c>
      <c r="B1578" t="str">
        <f>"1179.70"</f>
        <v>1179.70</v>
      </c>
      <c r="C1578" t="str">
        <f>"1179.714"</f>
        <v>1179.714</v>
      </c>
    </row>
    <row r="1579" spans="1:3" x14ac:dyDescent="0.25">
      <c r="A1579" t="str">
        <f>"14/12/2015"</f>
        <v>14/12/2015</v>
      </c>
      <c r="B1579" t="str">
        <f>"1184.93"</f>
        <v>1184.93</v>
      </c>
      <c r="C1579" t="str">
        <f>"1184.945"</f>
        <v>1184.945</v>
      </c>
    </row>
    <row r="1580" spans="1:3" x14ac:dyDescent="0.25">
      <c r="A1580" t="str">
        <f>"15/12/2015"</f>
        <v>15/12/2015</v>
      </c>
      <c r="B1580" t="str">
        <f>"1183.72"</f>
        <v>1183.72</v>
      </c>
      <c r="C1580" t="str">
        <f>"1183.734"</f>
        <v>1183.734</v>
      </c>
    </row>
    <row r="1581" spans="1:3" x14ac:dyDescent="0.25">
      <c r="A1581" t="str">
        <f>"16/12/2015"</f>
        <v>16/12/2015</v>
      </c>
      <c r="B1581" t="str">
        <f>"1176.40"</f>
        <v>1176.40</v>
      </c>
      <c r="C1581" t="str">
        <f>"1176.415"</f>
        <v>1176.415</v>
      </c>
    </row>
    <row r="1582" spans="1:3" x14ac:dyDescent="0.25">
      <c r="A1582" t="str">
        <f>"17/12/2015"</f>
        <v>17/12/2015</v>
      </c>
      <c r="B1582" t="str">
        <f>"1180.30"</f>
        <v>1180.30</v>
      </c>
      <c r="C1582" t="str">
        <f>"1179.521"</f>
        <v>1179.521</v>
      </c>
    </row>
    <row r="1583" spans="1:3" x14ac:dyDescent="0.25">
      <c r="A1583" t="str">
        <f>"18/12/2015"</f>
        <v>18/12/2015</v>
      </c>
      <c r="B1583" t="str">
        <f>"1183.32"</f>
        <v>1183.32</v>
      </c>
      <c r="C1583" t="str">
        <f>"1183.3345"</f>
        <v>1183.3345</v>
      </c>
    </row>
    <row r="1584" spans="1:3" x14ac:dyDescent="0.25">
      <c r="A1584" t="str">
        <f>"21/12/2015"</f>
        <v>21/12/2015</v>
      </c>
      <c r="B1584" t="str">
        <f>"1177.95"</f>
        <v>1177.95</v>
      </c>
      <c r="C1584" t="str">
        <f>"1177.9605"</f>
        <v>1177.9605</v>
      </c>
    </row>
    <row r="1585" spans="1:3" x14ac:dyDescent="0.25">
      <c r="A1585" t="str">
        <f>"22/12/2015"</f>
        <v>22/12/2015</v>
      </c>
      <c r="B1585" t="str">
        <f>"1173.44"</f>
        <v>1173.44</v>
      </c>
      <c r="C1585" t="str">
        <f>"1173.455"</f>
        <v>1173.455</v>
      </c>
    </row>
    <row r="1586" spans="1:3" x14ac:dyDescent="0.25">
      <c r="A1586" t="str">
        <f>"23/12/2015"</f>
        <v>23/12/2015</v>
      </c>
      <c r="B1586" t="str">
        <f>"1173.40"</f>
        <v>1173.40</v>
      </c>
      <c r="C1586" t="str">
        <f>"1173.416"</f>
        <v>1173.416</v>
      </c>
    </row>
    <row r="1587" spans="1:3" x14ac:dyDescent="0.25">
      <c r="A1587" t="str">
        <f>"28/12/2015"</f>
        <v>28/12/2015</v>
      </c>
      <c r="B1587" t="str">
        <f>"1165.52"</f>
        <v>1165.52</v>
      </c>
      <c r="C1587" t="str">
        <f>"1165.5355"</f>
        <v>1165.5355</v>
      </c>
    </row>
    <row r="1588" spans="1:3" x14ac:dyDescent="0.25">
      <c r="A1588" t="str">
        <f>"29/12/2015"</f>
        <v>29/12/2015</v>
      </c>
      <c r="B1588" t="str">
        <f>"1169.81"</f>
        <v>1169.81</v>
      </c>
      <c r="C1588" t="str">
        <f>"1169.822"</f>
        <v>1169.822</v>
      </c>
    </row>
    <row r="1589" spans="1:3" x14ac:dyDescent="0.25">
      <c r="A1589" t="str">
        <f>"30/12/2015"</f>
        <v>30/12/2015</v>
      </c>
      <c r="B1589" t="str">
        <f>"1172.97"</f>
        <v>1172.97</v>
      </c>
      <c r="C1589" t="str">
        <f>"1172.987"</f>
        <v>1172.987</v>
      </c>
    </row>
    <row r="1590" spans="1:3" x14ac:dyDescent="0.25">
      <c r="A1590" t="str">
        <f>"31/12/2015"</f>
        <v>31/12/2015</v>
      </c>
      <c r="B1590" t="str">
        <f>"1176.61"</f>
        <v>1176.61</v>
      </c>
      <c r="C1590" t="str">
        <f>"1176.627"</f>
        <v>1176.627</v>
      </c>
    </row>
    <row r="1591" spans="1:3" x14ac:dyDescent="0.25">
      <c r="A1591" t="str">
        <f>"01/01/2016"</f>
        <v>01/01/2016</v>
      </c>
      <c r="B1591" t="str">
        <f>"1172.80"</f>
        <v>1172.80</v>
      </c>
      <c r="C1591" t="str">
        <f>"1172.817"</f>
        <v>1172.817</v>
      </c>
    </row>
    <row r="1592" spans="1:3" x14ac:dyDescent="0.25">
      <c r="A1592" t="str">
        <f>"04/01/2016"</f>
        <v>04/01/2016</v>
      </c>
      <c r="B1592" t="str">
        <f>"1187.85"</f>
        <v>1187.85</v>
      </c>
      <c r="C1592" t="str">
        <f>"1187.869"</f>
        <v>1187.869</v>
      </c>
    </row>
    <row r="1593" spans="1:3" x14ac:dyDescent="0.25">
      <c r="A1593" t="str">
        <f>"05/01/2016"</f>
        <v>05/01/2016</v>
      </c>
      <c r="B1593" t="str">
        <f>"1188.49"</f>
        <v>1188.49</v>
      </c>
      <c r="C1593" t="str">
        <f>"1188.5085"</f>
        <v>1188.5085</v>
      </c>
    </row>
    <row r="1594" spans="1:3" x14ac:dyDescent="0.25">
      <c r="A1594" t="str">
        <f>"06/01/2016"</f>
        <v>06/01/2016</v>
      </c>
      <c r="B1594" t="str">
        <f>"1197.70"</f>
        <v>1197.70</v>
      </c>
      <c r="C1594" t="str">
        <f>"1197.7145"</f>
        <v>1197.7145</v>
      </c>
    </row>
    <row r="1595" spans="1:3" x14ac:dyDescent="0.25">
      <c r="A1595" t="str">
        <f>"07/01/2016"</f>
        <v>07/01/2016</v>
      </c>
      <c r="B1595" t="str">
        <f>"1200.65"</f>
        <v>1200.65</v>
      </c>
      <c r="C1595" t="str">
        <f>"1200.668"</f>
        <v>1200.668</v>
      </c>
    </row>
    <row r="1596" spans="1:3" x14ac:dyDescent="0.25">
      <c r="A1596" t="str">
        <f>"08/01/2016"</f>
        <v>08/01/2016</v>
      </c>
      <c r="B1596" t="str">
        <f>"1197.30"</f>
        <v>1197.30</v>
      </c>
      <c r="C1596" t="str">
        <f>"1197.317"</f>
        <v>1197.317</v>
      </c>
    </row>
    <row r="1597" spans="1:3" x14ac:dyDescent="0.25">
      <c r="A1597" t="str">
        <f>"11/01/2016"</f>
        <v>11/01/2016</v>
      </c>
      <c r="B1597" t="str">
        <f>"1208.10"</f>
        <v>1208.10</v>
      </c>
      <c r="C1597" t="str">
        <f>"1208.121"</f>
        <v>1208.121</v>
      </c>
    </row>
    <row r="1598" spans="1:3" x14ac:dyDescent="0.25">
      <c r="A1598" t="str">
        <f>"12/01/2016"</f>
        <v>12/01/2016</v>
      </c>
      <c r="B1598" t="str">
        <f>"1210.60"</f>
        <v>1210.60</v>
      </c>
      <c r="C1598" t="str">
        <f>"1210.6205"</f>
        <v>1210.6205</v>
      </c>
    </row>
    <row r="1599" spans="1:3" x14ac:dyDescent="0.25">
      <c r="A1599" t="str">
        <f>"13/01/2016"</f>
        <v>13/01/2016</v>
      </c>
      <c r="B1599" t="str">
        <f>"1204.20"</f>
        <v>1204.20</v>
      </c>
      <c r="C1599" t="str">
        <f>"1204.215"</f>
        <v>1204.215</v>
      </c>
    </row>
    <row r="1600" spans="1:3" x14ac:dyDescent="0.25">
      <c r="A1600" t="str">
        <f>"14/01/2016"</f>
        <v>14/01/2016</v>
      </c>
      <c r="B1600" t="str">
        <f>"1213.53"</f>
        <v>1213.53</v>
      </c>
      <c r="C1600" t="str">
        <f>"1213.5495"</f>
        <v>1213.5495</v>
      </c>
    </row>
    <row r="1601" spans="1:3" x14ac:dyDescent="0.25">
      <c r="A1601" t="str">
        <f>"15/01/2016"</f>
        <v>15/01/2016</v>
      </c>
      <c r="B1601" t="str">
        <f>"1213.40"</f>
        <v>1213.40</v>
      </c>
      <c r="C1601" t="str">
        <f>"1213.4165"</f>
        <v>1213.4165</v>
      </c>
    </row>
    <row r="1602" spans="1:3" x14ac:dyDescent="0.25">
      <c r="A1602" t="str">
        <f>"18/01/2016"</f>
        <v>18/01/2016</v>
      </c>
      <c r="B1602" t="str">
        <f>"1211.09"</f>
        <v>1211.09</v>
      </c>
      <c r="C1602" t="str">
        <f>"1211.111"</f>
        <v>1211.111</v>
      </c>
    </row>
    <row r="1603" spans="1:3" x14ac:dyDescent="0.25">
      <c r="A1603" t="str">
        <f>"19/01/2016"</f>
        <v>19/01/2016</v>
      </c>
      <c r="B1603" t="str">
        <f>"1206.18"</f>
        <v>1206.18</v>
      </c>
      <c r="C1603" t="str">
        <f>"1206.20"</f>
        <v>1206.20</v>
      </c>
    </row>
    <row r="1604" spans="1:3" x14ac:dyDescent="0.25">
      <c r="A1604" t="str">
        <f>"20/01/2016"</f>
        <v>20/01/2016</v>
      </c>
      <c r="B1604" t="str">
        <f>"1214.05"</f>
        <v>1214.05</v>
      </c>
      <c r="C1604" t="str">
        <f>"1214.0695"</f>
        <v>1214.0695</v>
      </c>
    </row>
    <row r="1605" spans="1:3" x14ac:dyDescent="0.25">
      <c r="A1605" t="str">
        <f>"21/01/2016"</f>
        <v>21/01/2016</v>
      </c>
      <c r="B1605" t="str">
        <f>"1214.00"</f>
        <v>1214.00</v>
      </c>
      <c r="C1605" t="str">
        <f>"1214.019"</f>
        <v>1214.019</v>
      </c>
    </row>
    <row r="1606" spans="1:3" x14ac:dyDescent="0.25">
      <c r="A1606" t="str">
        <f>"22/01/2016"</f>
        <v>22/01/2016</v>
      </c>
      <c r="B1606" t="str">
        <f>"1200.45"</f>
        <v>1200.45</v>
      </c>
      <c r="C1606" t="str">
        <f>"1200.468"</f>
        <v>1200.468</v>
      </c>
    </row>
    <row r="1607" spans="1:3" x14ac:dyDescent="0.25">
      <c r="A1607" t="str">
        <f>"25/01/2016"</f>
        <v>25/01/2016</v>
      </c>
      <c r="B1607" t="str">
        <f>"1194.57"</f>
        <v>1194.57</v>
      </c>
      <c r="C1607" t="str">
        <f>"1194.585"</f>
        <v>1194.585</v>
      </c>
    </row>
    <row r="1608" spans="1:3" x14ac:dyDescent="0.25">
      <c r="A1608" t="str">
        <f>"27/01/2016"</f>
        <v>27/01/2016</v>
      </c>
      <c r="B1608" t="str">
        <f>"1202.50"</f>
        <v>1202.50</v>
      </c>
      <c r="C1608" t="str">
        <f>"1202.514"</f>
        <v>1202.514</v>
      </c>
    </row>
    <row r="1609" spans="1:3" x14ac:dyDescent="0.25">
      <c r="A1609" t="str">
        <f>"28/01/2016"</f>
        <v>28/01/2016</v>
      </c>
      <c r="B1609" t="str">
        <f>"1208.70"</f>
        <v>1208.70</v>
      </c>
      <c r="C1609" t="str">
        <f>"1208.718"</f>
        <v>1208.718</v>
      </c>
    </row>
    <row r="1610" spans="1:3" x14ac:dyDescent="0.25">
      <c r="A1610" t="str">
        <f>"29/01/2016"</f>
        <v>29/01/2016</v>
      </c>
      <c r="B1610" t="str">
        <f>"1199.35"</f>
        <v>1199.35</v>
      </c>
      <c r="C1610" t="str">
        <f>"1199.366"</f>
        <v>1199.366</v>
      </c>
    </row>
    <row r="1611" spans="1:3" x14ac:dyDescent="0.25">
      <c r="A1611" t="str">
        <f>"01/02/2016"</f>
        <v>01/02/2016</v>
      </c>
      <c r="B1611" t="str">
        <f>"1200.67"</f>
        <v>1200.67</v>
      </c>
      <c r="C1611" t="str">
        <f>"1200.686"</f>
        <v>1200.686</v>
      </c>
    </row>
    <row r="1612" spans="1:3" x14ac:dyDescent="0.25">
      <c r="A1612" t="str">
        <f>"02/02/2016"</f>
        <v>02/02/2016</v>
      </c>
      <c r="B1612" t="str">
        <f>"1207.58"</f>
        <v>1207.58</v>
      </c>
      <c r="C1612" t="str">
        <f>"1207.593"</f>
        <v>1207.593</v>
      </c>
    </row>
    <row r="1613" spans="1:3" x14ac:dyDescent="0.25">
      <c r="A1613" t="str">
        <f>"03/02/2016"</f>
        <v>03/02/2016</v>
      </c>
      <c r="B1613" t="str">
        <f>"1219.55"</f>
        <v>1219.55</v>
      </c>
      <c r="C1613" t="str">
        <f>"1219.565"</f>
        <v>1219.565</v>
      </c>
    </row>
    <row r="1614" spans="1:3" x14ac:dyDescent="0.25">
      <c r="A1614" t="str">
        <f>"04/02/2016"</f>
        <v>04/02/2016</v>
      </c>
      <c r="B1614" t="str">
        <f>"1202.30"</f>
        <v>1202.30</v>
      </c>
      <c r="C1614" t="str">
        <f>"1202.318"</f>
        <v>1202.318</v>
      </c>
    </row>
    <row r="1615" spans="1:3" x14ac:dyDescent="0.25">
      <c r="A1615" t="str">
        <f>"05/02/2016"</f>
        <v>05/02/2016</v>
      </c>
      <c r="B1615" t="str">
        <f>"1198.30"</f>
        <v>1198.30</v>
      </c>
      <c r="C1615" t="str">
        <f>"1198.315"</f>
        <v>1198.315</v>
      </c>
    </row>
    <row r="1616" spans="1:3" x14ac:dyDescent="0.25">
      <c r="A1616" t="str">
        <f>"08/02/2016"</f>
        <v>08/02/2016</v>
      </c>
      <c r="B1616" t="str">
        <f>"1204.97"</f>
        <v>1204.97</v>
      </c>
      <c r="C1616" t="str">
        <f>"1204.985"</f>
        <v>1204.985</v>
      </c>
    </row>
    <row r="1617" spans="1:3" x14ac:dyDescent="0.25">
      <c r="A1617" t="str">
        <f>"09/02/2016"</f>
        <v>09/02/2016</v>
      </c>
      <c r="B1617" t="str">
        <f>"1208.29"</f>
        <v>1208.29</v>
      </c>
      <c r="C1617" t="str">
        <f>"1208.305"</f>
        <v>1208.305</v>
      </c>
    </row>
    <row r="1618" spans="1:3" x14ac:dyDescent="0.25">
      <c r="A1618" t="str">
        <f>"10/02/2016"</f>
        <v>10/02/2016</v>
      </c>
      <c r="B1618" t="str">
        <f>"1199.27"</f>
        <v>1199.27</v>
      </c>
      <c r="C1618" t="str">
        <f>"1199.285"</f>
        <v>1199.285</v>
      </c>
    </row>
    <row r="1619" spans="1:3" x14ac:dyDescent="0.25">
      <c r="A1619" t="str">
        <f>"11/02/2016"</f>
        <v>11/02/2016</v>
      </c>
      <c r="B1619" t="str">
        <f>"1202.92"</f>
        <v>1202.92</v>
      </c>
      <c r="C1619" t="str">
        <f>"1202.937"</f>
        <v>1202.937</v>
      </c>
    </row>
    <row r="1620" spans="1:3" x14ac:dyDescent="0.25">
      <c r="A1620" t="str">
        <f>"12/02/2016"</f>
        <v>12/02/2016</v>
      </c>
      <c r="B1620" t="str">
        <f>"1211.77"</f>
        <v>1211.77</v>
      </c>
      <c r="C1620" t="str">
        <f>"1211.781"</f>
        <v>1211.781</v>
      </c>
    </row>
    <row r="1621" spans="1:3" x14ac:dyDescent="0.25">
      <c r="A1621" t="str">
        <f>"15/02/2016"</f>
        <v>15/02/2016</v>
      </c>
      <c r="B1621" t="str">
        <f>"1208.86"</f>
        <v>1208.86</v>
      </c>
      <c r="C1621" t="str">
        <f>"1208.8715"</f>
        <v>1208.8715</v>
      </c>
    </row>
    <row r="1622" spans="1:3" x14ac:dyDescent="0.25">
      <c r="A1622" t="str">
        <f>"16/02/2016"</f>
        <v>16/02/2016</v>
      </c>
      <c r="B1622" t="str">
        <f>"1216.82"</f>
        <v>1216.82</v>
      </c>
      <c r="C1622" t="str">
        <f>"1216.8355"</f>
        <v>1216.8355</v>
      </c>
    </row>
    <row r="1623" spans="1:3" x14ac:dyDescent="0.25">
      <c r="A1623" t="str">
        <f>"17/02/2016"</f>
        <v>17/02/2016</v>
      </c>
      <c r="B1623" t="str">
        <f>"1227.39"</f>
        <v>1227.39</v>
      </c>
      <c r="C1623" t="str">
        <f>"1227.402"</f>
        <v>1227.402</v>
      </c>
    </row>
    <row r="1624" spans="1:3" x14ac:dyDescent="0.25">
      <c r="A1624" t="str">
        <f>"18/02/2016"</f>
        <v>18/02/2016</v>
      </c>
      <c r="B1624" t="str">
        <f>"1227.50"</f>
        <v>1227.50</v>
      </c>
      <c r="C1624" t="str">
        <f>"1227.5165"</f>
        <v>1227.5165</v>
      </c>
    </row>
    <row r="1625" spans="1:3" x14ac:dyDescent="0.25">
      <c r="A1625" t="str">
        <f>"22/02/2016"</f>
        <v>22/02/2016</v>
      </c>
      <c r="B1625" t="str">
        <f>"1234.63"</f>
        <v>1234.63</v>
      </c>
      <c r="C1625" t="str">
        <f>"1234.6435"</f>
        <v>1234.6435</v>
      </c>
    </row>
    <row r="1626" spans="1:3" x14ac:dyDescent="0.25">
      <c r="A1626" t="str">
        <f>"23/02/2016"</f>
        <v>23/02/2016</v>
      </c>
      <c r="B1626" t="str">
        <f>"1231.95"</f>
        <v>1231.95</v>
      </c>
      <c r="C1626" t="str">
        <f>"1231.9635"</f>
        <v>1231.9635</v>
      </c>
    </row>
    <row r="1627" spans="1:3" x14ac:dyDescent="0.25">
      <c r="A1627" t="str">
        <f>"24/02/2016"</f>
        <v>24/02/2016</v>
      </c>
      <c r="B1627" t="str">
        <f>"1235.25"</f>
        <v>1235.25</v>
      </c>
      <c r="C1627" t="str">
        <f>"1235.2625"</f>
        <v>1235.2625</v>
      </c>
    </row>
    <row r="1628" spans="1:3" x14ac:dyDescent="0.25">
      <c r="A1628" t="str">
        <f>"25/02/2016"</f>
        <v>25/02/2016</v>
      </c>
      <c r="B1628" t="str">
        <f>"1236.98"</f>
        <v>1236.98</v>
      </c>
      <c r="C1628" t="str">
        <f>"1236.9925"</f>
        <v>1236.9925</v>
      </c>
    </row>
    <row r="1629" spans="1:3" x14ac:dyDescent="0.25">
      <c r="A1629" t="str">
        <f>"26/02/2016"</f>
        <v>26/02/2016</v>
      </c>
      <c r="B1629" t="str">
        <f>"1236.15"</f>
        <v>1236.15</v>
      </c>
      <c r="C1629" t="str">
        <f>"1236.163"</f>
        <v>1236.163</v>
      </c>
    </row>
    <row r="1630" spans="1:3" x14ac:dyDescent="0.25">
      <c r="A1630" t="str">
        <f>"29/02/2016"</f>
        <v>29/02/2016</v>
      </c>
      <c r="B1630" t="str">
        <f>"1236.81"</f>
        <v>1236.81</v>
      </c>
      <c r="C1630" t="str">
        <f>"1236.827"</f>
        <v>1236.827</v>
      </c>
    </row>
    <row r="1631" spans="1:3" x14ac:dyDescent="0.25">
      <c r="A1631" t="str">
        <f>"01/03/2016"</f>
        <v>01/03/2016</v>
      </c>
      <c r="B1631" t="str">
        <f>"1233.45"</f>
        <v>1233.45</v>
      </c>
      <c r="C1631" t="str">
        <f>"1233.467"</f>
        <v>1233.467</v>
      </c>
    </row>
    <row r="1632" spans="1:3" x14ac:dyDescent="0.25">
      <c r="A1632" t="str">
        <f>"02/03/2016"</f>
        <v>02/03/2016</v>
      </c>
      <c r="B1632" t="str">
        <f>"1227.88"</f>
        <v>1227.88</v>
      </c>
      <c r="C1632" t="str">
        <f>"1227.898"</f>
        <v>1227.898</v>
      </c>
    </row>
    <row r="1633" spans="1:3" x14ac:dyDescent="0.25">
      <c r="A1633" t="str">
        <f>"03/03/2016"</f>
        <v>03/03/2016</v>
      </c>
      <c r="B1633" t="str">
        <f>"1215.00"</f>
        <v>1215.00</v>
      </c>
      <c r="C1633" t="str">
        <f>"1215.018"</f>
        <v>1215.018</v>
      </c>
    </row>
    <row r="1634" spans="1:3" x14ac:dyDescent="0.25">
      <c r="A1634" t="str">
        <f>"04/03/2016"</f>
        <v>04/03/2016</v>
      </c>
      <c r="B1634" t="str">
        <f>"1203.50"</f>
        <v>1203.50</v>
      </c>
      <c r="C1634" t="str">
        <f>"1203.514"</f>
        <v>1203.514</v>
      </c>
    </row>
    <row r="1635" spans="1:3" x14ac:dyDescent="0.25">
      <c r="A1635" t="str">
        <f>"08/03/2016"</f>
        <v>08/03/2016</v>
      </c>
      <c r="B1635" t="str">
        <f>"1206.05"</f>
        <v>1206.05</v>
      </c>
      <c r="C1635" t="str">
        <f>"1206.064"</f>
        <v>1206.064</v>
      </c>
    </row>
    <row r="1636" spans="1:3" x14ac:dyDescent="0.25">
      <c r="A1636" t="str">
        <f>"09/03/2016"</f>
        <v>09/03/2016</v>
      </c>
      <c r="B1636" t="str">
        <f>"1216.35"</f>
        <v>1216.35</v>
      </c>
      <c r="C1636" t="str">
        <f>"1216.3655"</f>
        <v>1216.3655</v>
      </c>
    </row>
    <row r="1637" spans="1:3" x14ac:dyDescent="0.25">
      <c r="A1637" t="str">
        <f>"10/03/2016"</f>
        <v>10/03/2016</v>
      </c>
      <c r="B1637" t="str">
        <f>"1203.65"</f>
        <v>1203.65</v>
      </c>
      <c r="C1637" t="str">
        <f>"1203.6645"</f>
        <v>1203.6645</v>
      </c>
    </row>
    <row r="1638" spans="1:3" x14ac:dyDescent="0.25">
      <c r="A1638" t="str">
        <f>"11/03/2016"</f>
        <v>11/03/2016</v>
      </c>
      <c r="B1638" t="str">
        <f>"1193.30"</f>
        <v>1193.30</v>
      </c>
      <c r="C1638" t="str">
        <f>"1193.318"</f>
        <v>1193.318</v>
      </c>
    </row>
    <row r="1639" spans="1:3" x14ac:dyDescent="0.25">
      <c r="A1639" t="str">
        <f>"14/03/2016"</f>
        <v>14/03/2016</v>
      </c>
      <c r="B1639" t="str">
        <f>"1186.40"</f>
        <v>1186.40</v>
      </c>
      <c r="C1639" t="str">
        <f>"1186.4185"</f>
        <v>1186.4185</v>
      </c>
    </row>
    <row r="1640" spans="1:3" x14ac:dyDescent="0.25">
      <c r="A1640" t="str">
        <f>"15/03/2016"</f>
        <v>15/03/2016</v>
      </c>
      <c r="B1640" t="str">
        <f>"1187.85"</f>
        <v>1187.85</v>
      </c>
      <c r="C1640" t="str">
        <f>"1187.8685"</f>
        <v>1187.8685</v>
      </c>
    </row>
    <row r="1641" spans="1:3" x14ac:dyDescent="0.25">
      <c r="A1641" t="str">
        <f>"16/03/2016"</f>
        <v>16/03/2016</v>
      </c>
      <c r="B1641" t="str">
        <f>"1193.45"</f>
        <v>1193.45</v>
      </c>
      <c r="C1641" t="str">
        <f>"1193.4675"</f>
        <v>1193.4675</v>
      </c>
    </row>
    <row r="1642" spans="1:3" x14ac:dyDescent="0.25">
      <c r="A1642" t="str">
        <f>"17/03/2016"</f>
        <v>17/03/2016</v>
      </c>
      <c r="B1642" t="str">
        <f>"1173.45"</f>
        <v>1173.45</v>
      </c>
      <c r="C1642" t="str">
        <f>"1173.467"</f>
        <v>1173.467</v>
      </c>
    </row>
    <row r="1643" spans="1:3" x14ac:dyDescent="0.25">
      <c r="A1643" t="str">
        <f>"18/03/2016"</f>
        <v>18/03/2016</v>
      </c>
      <c r="B1643" t="str">
        <f>"1162.64"</f>
        <v>1162.64</v>
      </c>
      <c r="C1643" t="str">
        <f>"1162.657"</f>
        <v>1162.657</v>
      </c>
    </row>
    <row r="1644" spans="1:3" x14ac:dyDescent="0.25">
      <c r="A1644" t="str">
        <f>"21/03/2016"</f>
        <v>21/03/2016</v>
      </c>
      <c r="B1644" t="str">
        <f>"1163.70"</f>
        <v>1163.70</v>
      </c>
      <c r="C1644" t="str">
        <f>"1163.713"</f>
        <v>1163.713</v>
      </c>
    </row>
    <row r="1645" spans="1:3" x14ac:dyDescent="0.25">
      <c r="A1645" t="str">
        <f>"22/03/2016"</f>
        <v>22/03/2016</v>
      </c>
      <c r="B1645" t="str">
        <f>"1154.45"</f>
        <v>1154.45</v>
      </c>
      <c r="C1645" t="str">
        <f>"1154.466"</f>
        <v>1154.466</v>
      </c>
    </row>
    <row r="1646" spans="1:3" x14ac:dyDescent="0.25">
      <c r="A1646" t="str">
        <f>"23/03/2016"</f>
        <v>23/03/2016</v>
      </c>
      <c r="B1646" t="str">
        <f>"1161.45"</f>
        <v>1161.45</v>
      </c>
      <c r="C1646" t="str">
        <f>"1161.4655"</f>
        <v>1161.4655</v>
      </c>
    </row>
    <row r="1647" spans="1:3" x14ac:dyDescent="0.25">
      <c r="A1647" t="str">
        <f>"28/03/2016"</f>
        <v>28/03/2016</v>
      </c>
      <c r="B1647" t="str">
        <f>"1166.20"</f>
        <v>1166.20</v>
      </c>
      <c r="C1647" t="str">
        <f>"1166.216"</f>
        <v>1166.216</v>
      </c>
    </row>
    <row r="1648" spans="1:3" x14ac:dyDescent="0.25">
      <c r="A1648" t="str">
        <f>"29/03/2016"</f>
        <v>29/03/2016</v>
      </c>
      <c r="B1648" t="str">
        <f>"1164.00"</f>
        <v>1164.00</v>
      </c>
      <c r="C1648" t="str">
        <f>"1164.0165"</f>
        <v>1164.0165</v>
      </c>
    </row>
    <row r="1649" spans="1:3" x14ac:dyDescent="0.25">
      <c r="A1649" t="str">
        <f>"30/03/2016"</f>
        <v>30/03/2016</v>
      </c>
      <c r="B1649" t="str">
        <f>"1151.44"</f>
        <v>1151.44</v>
      </c>
      <c r="C1649" t="str">
        <f>"1151.457"</f>
        <v>1151.457</v>
      </c>
    </row>
    <row r="1650" spans="1:3" x14ac:dyDescent="0.25">
      <c r="A1650" t="str">
        <f>"31/03/2016"</f>
        <v>31/03/2016</v>
      </c>
      <c r="B1650" t="str">
        <f>"1143.65"</f>
        <v>1143.65</v>
      </c>
      <c r="C1650" t="str">
        <f>"1143.666"</f>
        <v>1143.666</v>
      </c>
    </row>
    <row r="1651" spans="1:3" x14ac:dyDescent="0.25">
      <c r="A1651" t="str">
        <f>"04/04/2016"</f>
        <v>04/04/2016</v>
      </c>
      <c r="B1651" t="str">
        <f>"1146.44"</f>
        <v>1146.44</v>
      </c>
      <c r="C1651" t="str">
        <f>"1146.4565"</f>
        <v>1146.4565</v>
      </c>
    </row>
    <row r="1652" spans="1:3" x14ac:dyDescent="0.25">
      <c r="A1652" t="str">
        <f>"05/04/2016"</f>
        <v>05/04/2016</v>
      </c>
      <c r="B1652" t="str">
        <f>"1155.32"</f>
        <v>1155.32</v>
      </c>
      <c r="C1652" t="str">
        <f>"1155.337"</f>
        <v>1155.337</v>
      </c>
    </row>
    <row r="1653" spans="1:3" x14ac:dyDescent="0.25">
      <c r="A1653" t="str">
        <f>"06/04/2016"</f>
        <v>06/04/2016</v>
      </c>
      <c r="B1653" t="str">
        <f>"1156.38"</f>
        <v>1156.38</v>
      </c>
      <c r="C1653" t="str">
        <f>"1156.3965"</f>
        <v>1156.3965</v>
      </c>
    </row>
    <row r="1654" spans="1:3" x14ac:dyDescent="0.25">
      <c r="A1654" t="str">
        <f>"07/04/2016"</f>
        <v>07/04/2016</v>
      </c>
      <c r="B1654" t="str">
        <f>"1150.88"</f>
        <v>1150.88</v>
      </c>
      <c r="C1654" t="str">
        <f>"1150.8952"</f>
        <v>1150.8952</v>
      </c>
    </row>
    <row r="1655" spans="1:3" x14ac:dyDescent="0.25">
      <c r="A1655" t="str">
        <f>"11/04/2016"</f>
        <v>11/04/2016</v>
      </c>
      <c r="B1655" t="str">
        <f>"1146.80"</f>
        <v>1146.80</v>
      </c>
      <c r="C1655" t="str">
        <f>"1146.817"</f>
        <v>1146.817</v>
      </c>
    </row>
    <row r="1656" spans="1:3" x14ac:dyDescent="0.25">
      <c r="A1656" t="str">
        <f>"12/04/2016"</f>
        <v>12/04/2016</v>
      </c>
      <c r="B1656" t="str">
        <f>"1146.10"</f>
        <v>1146.10</v>
      </c>
      <c r="C1656" t="str">
        <f>"1146.1165"</f>
        <v>1146.1165</v>
      </c>
    </row>
    <row r="1657" spans="1:3" x14ac:dyDescent="0.25">
      <c r="A1657" t="str">
        <f>"13/04/2016"</f>
        <v>13/04/2016</v>
      </c>
      <c r="B1657" t="str">
        <f>"1143.48"</f>
        <v>1143.48</v>
      </c>
      <c r="C1657" t="str">
        <f>"1143.4965"</f>
        <v>1143.4965</v>
      </c>
    </row>
    <row r="1658" spans="1:3" x14ac:dyDescent="0.25">
      <c r="A1658" t="str">
        <f>"18/04/2016"</f>
        <v>18/04/2016</v>
      </c>
      <c r="B1658" t="str">
        <f>"1150.65"</f>
        <v>1150.65</v>
      </c>
      <c r="C1658" t="str">
        <f>"1150.662"</f>
        <v>1150.662</v>
      </c>
    </row>
    <row r="1659" spans="1:3" x14ac:dyDescent="0.25">
      <c r="A1659" t="str">
        <f>"20/04/2016"</f>
        <v>20/04/2016</v>
      </c>
      <c r="B1659" t="str">
        <f>"1135.51"</f>
        <v>1135.51</v>
      </c>
      <c r="C1659" t="str">
        <f>"1135.525"</f>
        <v>1135.525</v>
      </c>
    </row>
    <row r="1660" spans="1:3" x14ac:dyDescent="0.25">
      <c r="A1660" t="str">
        <f>"21/04/2016"</f>
        <v>21/04/2016</v>
      </c>
      <c r="B1660" t="str">
        <f>"1133.39"</f>
        <v>1133.39</v>
      </c>
      <c r="C1660" t="str">
        <f>"1133.404"</f>
        <v>1133.404</v>
      </c>
    </row>
    <row r="1661" spans="1:3" x14ac:dyDescent="0.25">
      <c r="A1661" t="str">
        <f>"22/04/2016"</f>
        <v>22/04/2016</v>
      </c>
      <c r="B1661" t="str">
        <f>"1143.45"</f>
        <v>1143.45</v>
      </c>
      <c r="C1661" t="str">
        <f>"1143.46"</f>
        <v>1143.46</v>
      </c>
    </row>
    <row r="1662" spans="1:3" x14ac:dyDescent="0.25">
      <c r="A1662" t="str">
        <f>"25/04/2016"</f>
        <v>25/04/2016</v>
      </c>
      <c r="B1662" t="str">
        <f>"1148.55"</f>
        <v>1148.55</v>
      </c>
      <c r="C1662" t="str">
        <f>"1148.5635"</f>
        <v>1148.5635</v>
      </c>
    </row>
    <row r="1663" spans="1:3" x14ac:dyDescent="0.25">
      <c r="A1663" t="str">
        <f>"26/04/2016"</f>
        <v>26/04/2016</v>
      </c>
      <c r="B1663" t="str">
        <f>"1151.32"</f>
        <v>1151.32</v>
      </c>
      <c r="C1663" t="str">
        <f>"1151.334"</f>
        <v>1151.334</v>
      </c>
    </row>
    <row r="1664" spans="1:3" x14ac:dyDescent="0.25">
      <c r="A1664" t="str">
        <f>"27/04/2016"</f>
        <v>27/04/2016</v>
      </c>
      <c r="B1664" t="str">
        <f>"1148.50"</f>
        <v>1148.50</v>
      </c>
      <c r="C1664" t="str">
        <f>"1148.5095"</f>
        <v>1148.5095</v>
      </c>
    </row>
    <row r="1665" spans="1:3" x14ac:dyDescent="0.25">
      <c r="A1665" t="str">
        <f>"28/04/2016"</f>
        <v>28/04/2016</v>
      </c>
      <c r="B1665" t="str">
        <f>"1138.35"</f>
        <v>1138.35</v>
      </c>
      <c r="C1665" t="str">
        <f>"1138.362"</f>
        <v>1138.362</v>
      </c>
    </row>
    <row r="1666" spans="1:3" x14ac:dyDescent="0.25">
      <c r="A1666" t="str">
        <f>"29/04/2016"</f>
        <v>29/04/2016</v>
      </c>
      <c r="B1666" t="str">
        <f>"1140.30"</f>
        <v>1140.30</v>
      </c>
      <c r="C1666" t="str">
        <f>"1140.3085"</f>
        <v>1140.3085</v>
      </c>
    </row>
    <row r="1667" spans="1:3" x14ac:dyDescent="0.25">
      <c r="A1667" t="str">
        <f>"02/05/2016"</f>
        <v>02/05/2016</v>
      </c>
      <c r="B1667" t="str">
        <f>"1137.90"</f>
        <v>1137.90</v>
      </c>
      <c r="C1667" t="str">
        <f>"1137.912"</f>
        <v>1137.912</v>
      </c>
    </row>
    <row r="1668" spans="1:3" x14ac:dyDescent="0.25">
      <c r="A1668" t="str">
        <f>"03/05/2016"</f>
        <v>03/05/2016</v>
      </c>
      <c r="B1668" t="str">
        <f>"1139.00"</f>
        <v>1139.00</v>
      </c>
      <c r="C1668" t="str">
        <f>"1139.0105"</f>
        <v>1139.0105</v>
      </c>
    </row>
    <row r="1669" spans="1:3" x14ac:dyDescent="0.25">
      <c r="A1669" t="str">
        <f>"04/05/2016"</f>
        <v>04/05/2016</v>
      </c>
      <c r="B1669" t="str">
        <f>"1154.60"</f>
        <v>1154.60</v>
      </c>
      <c r="C1669" t="str">
        <f>"1154.6105"</f>
        <v>1154.6105</v>
      </c>
    </row>
    <row r="1670" spans="1:3" x14ac:dyDescent="0.25">
      <c r="A1670" t="str">
        <f>"05/05/2016"</f>
        <v>05/05/2016</v>
      </c>
      <c r="B1670" t="str">
        <f>"1154.60"</f>
        <v>1154.60</v>
      </c>
      <c r="C1670" t="str">
        <f>"1154.6105"</f>
        <v>1154.6105</v>
      </c>
    </row>
    <row r="1671" spans="1:3" x14ac:dyDescent="0.25">
      <c r="A1671" t="str">
        <f>"06/05/2016"</f>
        <v>06/05/2016</v>
      </c>
      <c r="B1671" t="str">
        <f>"1154.60"</f>
        <v>1154.60</v>
      </c>
      <c r="C1671" t="str">
        <f>"1154.6105"</f>
        <v>1154.6105</v>
      </c>
    </row>
    <row r="1672" spans="1:3" x14ac:dyDescent="0.25">
      <c r="A1672" t="str">
        <f>"09/05/2016"</f>
        <v>09/05/2016</v>
      </c>
      <c r="B1672" t="str">
        <f>"1166.00"</f>
        <v>1166.00</v>
      </c>
      <c r="C1672" t="str">
        <f>"1166.0135"</f>
        <v>1166.0135</v>
      </c>
    </row>
    <row r="1673" spans="1:3" x14ac:dyDescent="0.25">
      <c r="A1673" t="str">
        <f>"10/05/2016"</f>
        <v>10/05/2016</v>
      </c>
      <c r="B1673" t="str">
        <f>"1172.90"</f>
        <v>1172.90</v>
      </c>
      <c r="C1673" t="str">
        <f>"1172.912"</f>
        <v>1172.912</v>
      </c>
    </row>
    <row r="1674" spans="1:3" x14ac:dyDescent="0.25">
      <c r="A1674" t="str">
        <f>"11/05/2016"</f>
        <v>11/05/2016</v>
      </c>
      <c r="B1674" t="str">
        <f>"1168.30"</f>
        <v>1168.30</v>
      </c>
      <c r="C1674" t="str">
        <f>"1168.311"</f>
        <v>1168.311</v>
      </c>
    </row>
    <row r="1675" spans="1:3" x14ac:dyDescent="0.25">
      <c r="A1675" t="str">
        <f>"12/05/2016"</f>
        <v>12/05/2016</v>
      </c>
      <c r="B1675" t="str">
        <f>"1162.60"</f>
        <v>1162.60</v>
      </c>
      <c r="C1675" t="str">
        <f>"1162.6105"</f>
        <v>1162.6105</v>
      </c>
    </row>
    <row r="1676" spans="1:3" x14ac:dyDescent="0.25">
      <c r="A1676" t="str">
        <f>"13/05/2016"</f>
        <v>13/05/2016</v>
      </c>
      <c r="B1676" t="str">
        <f>"1171.60"</f>
        <v>1171.60</v>
      </c>
      <c r="C1676" t="str">
        <f>"1171.613"</f>
        <v>1171.613</v>
      </c>
    </row>
    <row r="1677" spans="1:3" x14ac:dyDescent="0.25">
      <c r="A1677" t="str">
        <f>"16/05/2016"</f>
        <v>16/05/2016</v>
      </c>
      <c r="B1677" t="str">
        <f>"1179.80"</f>
        <v>1179.80</v>
      </c>
      <c r="C1677" t="str">
        <f>"1179.8155"</f>
        <v>1179.8155</v>
      </c>
    </row>
    <row r="1678" spans="1:3" x14ac:dyDescent="0.25">
      <c r="A1678" t="str">
        <f>"17/05/2016"</f>
        <v>17/05/2016</v>
      </c>
      <c r="B1678" t="str">
        <f>"1173.90"</f>
        <v>1173.90</v>
      </c>
      <c r="C1678" t="str">
        <f>"1173.915"</f>
        <v>1173.915</v>
      </c>
    </row>
    <row r="1679" spans="1:3" x14ac:dyDescent="0.25">
      <c r="A1679" t="str">
        <f>"18/05/2016"</f>
        <v>18/05/2016</v>
      </c>
      <c r="B1679" t="str">
        <f>"1183.00"</f>
        <v>1183.00</v>
      </c>
      <c r="C1679" t="str">
        <f>"1183.014"</f>
        <v>1183.014</v>
      </c>
    </row>
    <row r="1680" spans="1:3" x14ac:dyDescent="0.25">
      <c r="A1680" t="str">
        <f>"19/05/2016"</f>
        <v>19/05/2016</v>
      </c>
      <c r="B1680" t="str">
        <f>"1192.00"</f>
        <v>1192.00</v>
      </c>
      <c r="C1680" t="str">
        <f>"1192.0135"</f>
        <v>1192.0135</v>
      </c>
    </row>
    <row r="1681" spans="1:3" x14ac:dyDescent="0.25">
      <c r="A1681" t="str">
        <f>"20/05/2016"</f>
        <v>20/05/2016</v>
      </c>
      <c r="B1681" t="str">
        <f>"1190.25"</f>
        <v>1190.25</v>
      </c>
      <c r="C1681" t="str">
        <f>"1190.263"</f>
        <v>1190.263</v>
      </c>
    </row>
    <row r="1682" spans="1:3" x14ac:dyDescent="0.25">
      <c r="A1682" t="str">
        <f>"23/05/2016"</f>
        <v>23/05/2016</v>
      </c>
      <c r="B1682" t="str">
        <f>"1183.10"</f>
        <v>1183.10</v>
      </c>
      <c r="C1682" t="str">
        <f>"1183.114"</f>
        <v>1183.114</v>
      </c>
    </row>
    <row r="1683" spans="1:3" x14ac:dyDescent="0.25">
      <c r="A1683" t="str">
        <f>"24/05/2016"</f>
        <v>24/05/2016</v>
      </c>
      <c r="B1683" t="str">
        <f>"1191.65"</f>
        <v>1191.65</v>
      </c>
      <c r="C1683" t="str">
        <f>"1191.663"</f>
        <v>1191.663</v>
      </c>
    </row>
    <row r="1684" spans="1:3" x14ac:dyDescent="0.25">
      <c r="A1684" t="str">
        <f>"25/05/2016"</f>
        <v>25/05/2016</v>
      </c>
      <c r="B1684" t="str">
        <f>"1182.85"</f>
        <v>1182.85</v>
      </c>
      <c r="C1684" t="str">
        <f>"1182.8625"</f>
        <v>1182.8625</v>
      </c>
    </row>
    <row r="1685" spans="1:3" x14ac:dyDescent="0.25">
      <c r="A1685" t="str">
        <f>"26/05/2016"</f>
        <v>26/05/2016</v>
      </c>
      <c r="B1685" t="str">
        <f>"1180.60"</f>
        <v>1180.60</v>
      </c>
      <c r="C1685" t="str">
        <f>"1180.6125"</f>
        <v>1180.6125</v>
      </c>
    </row>
    <row r="1686" spans="1:3" x14ac:dyDescent="0.25">
      <c r="A1686" t="str">
        <f>"27/05/2016"</f>
        <v>27/05/2016</v>
      </c>
      <c r="B1686" t="str">
        <f>"1179.50"</f>
        <v>1179.50</v>
      </c>
      <c r="C1686" t="str">
        <f>"1179.5125"</f>
        <v>1179.5125</v>
      </c>
    </row>
    <row r="1687" spans="1:3" x14ac:dyDescent="0.25">
      <c r="A1687" t="str">
        <f>"30/05/2016"</f>
        <v>30/05/2016</v>
      </c>
      <c r="B1687" t="str">
        <f>"1191.90"</f>
        <v>1191.90</v>
      </c>
      <c r="C1687" t="str">
        <f>"1191.9125"</f>
        <v>1191.9125</v>
      </c>
    </row>
    <row r="1688" spans="1:3" x14ac:dyDescent="0.25">
      <c r="A1688" t="str">
        <f>"31/05/2016"</f>
        <v>31/05/2016</v>
      </c>
      <c r="B1688" t="str">
        <f>"1192.15"</f>
        <v>1192.15</v>
      </c>
      <c r="C1688" t="str">
        <f>"1192.1625"</f>
        <v>1192.1625</v>
      </c>
    </row>
    <row r="1689" spans="1:3" x14ac:dyDescent="0.25">
      <c r="A1689" t="str">
        <f>"01/06/2016"</f>
        <v>01/06/2016</v>
      </c>
      <c r="B1689" t="str">
        <f>"1193.60"</f>
        <v>1193.60</v>
      </c>
      <c r="C1689" t="str">
        <f>"1193.6125"</f>
        <v>1193.6125</v>
      </c>
    </row>
    <row r="1690" spans="1:3" x14ac:dyDescent="0.25">
      <c r="A1690" t="str">
        <f>"02/06/2016"</f>
        <v>02/06/2016</v>
      </c>
      <c r="B1690" t="str">
        <f>"1186.65"</f>
        <v>1186.65</v>
      </c>
      <c r="C1690" t="str">
        <f>"1186.663"</f>
        <v>1186.663</v>
      </c>
    </row>
    <row r="1691" spans="1:3" x14ac:dyDescent="0.25">
      <c r="A1691" t="str">
        <f>"03/06/2016"</f>
        <v>03/06/2016</v>
      </c>
      <c r="B1691" t="str">
        <f>"1183.80"</f>
        <v>1183.80</v>
      </c>
      <c r="C1691" t="str">
        <f>"1183.8125"</f>
        <v>1183.8125</v>
      </c>
    </row>
    <row r="1692" spans="1:3" x14ac:dyDescent="0.25">
      <c r="A1692" t="str">
        <f>"06/06/2016"</f>
        <v>06/06/2016</v>
      </c>
      <c r="B1692" t="str">
        <f>"1183.80"</f>
        <v>1183.80</v>
      </c>
      <c r="C1692" t="str">
        <f>"1183.8125"</f>
        <v>1183.8125</v>
      </c>
    </row>
    <row r="1693" spans="1:3" x14ac:dyDescent="0.25">
      <c r="A1693" t="str">
        <f>"07/06/2016"</f>
        <v>07/06/2016</v>
      </c>
      <c r="B1693" t="str">
        <f>"1162.80"</f>
        <v>1162.80</v>
      </c>
      <c r="C1693" t="str">
        <f>"1162.814"</f>
        <v>1162.814</v>
      </c>
    </row>
    <row r="1694" spans="1:3" x14ac:dyDescent="0.25">
      <c r="A1694" t="str">
        <f>"08/06/2016"</f>
        <v>08/06/2016</v>
      </c>
      <c r="B1694" t="str">
        <f>"1156.85"</f>
        <v>1156.85</v>
      </c>
      <c r="C1694" t="str">
        <f>"1156.863"</f>
        <v>1156.863</v>
      </c>
    </row>
    <row r="1695" spans="1:3" x14ac:dyDescent="0.25">
      <c r="A1695" t="str">
        <f>"09/06/2016"</f>
        <v>09/06/2016</v>
      </c>
      <c r="B1695" t="str">
        <f>"1155.95"</f>
        <v>1155.95</v>
      </c>
      <c r="C1695" t="str">
        <f>"1155.962"</f>
        <v>1155.962</v>
      </c>
    </row>
    <row r="1696" spans="1:3" x14ac:dyDescent="0.25">
      <c r="A1696" t="str">
        <f>"10/06/2016"</f>
        <v>10/06/2016</v>
      </c>
      <c r="B1696" t="str">
        <f>"1165.60"</f>
        <v>1165.60</v>
      </c>
      <c r="C1696" t="str">
        <f>"1165.6115"</f>
        <v>1165.6115</v>
      </c>
    </row>
    <row r="1697" spans="1:3" x14ac:dyDescent="0.25">
      <c r="A1697" t="str">
        <f>"13/06/2016"</f>
        <v>13/06/2016</v>
      </c>
      <c r="B1697" t="str">
        <f>"1174.00"</f>
        <v>1174.00</v>
      </c>
      <c r="C1697" t="str">
        <f>"1174.01"</f>
        <v>1174.01</v>
      </c>
    </row>
    <row r="1698" spans="1:3" x14ac:dyDescent="0.25">
      <c r="A1698" t="str">
        <f>"14/06/2016"</f>
        <v>14/06/2016</v>
      </c>
      <c r="B1698" t="str">
        <f>"1173.35"</f>
        <v>1173.35</v>
      </c>
      <c r="C1698" t="str">
        <f>"1173.3625"</f>
        <v>1173.3625</v>
      </c>
    </row>
    <row r="1699" spans="1:3" x14ac:dyDescent="0.25">
      <c r="A1699" t="str">
        <f>"15/06/2016"</f>
        <v>15/06/2016</v>
      </c>
      <c r="B1699" t="str">
        <f>"1174.90"</f>
        <v>1174.90</v>
      </c>
      <c r="C1699" t="str">
        <f>"1174.912"</f>
        <v>1174.912</v>
      </c>
    </row>
    <row r="1700" spans="1:3" x14ac:dyDescent="0.25">
      <c r="A1700" t="str">
        <f>"16/06/2016"</f>
        <v>16/06/2016</v>
      </c>
      <c r="B1700" t="str">
        <f>"1171.45"</f>
        <v>1171.45</v>
      </c>
      <c r="C1700" t="str">
        <f>"1171.4605"</f>
        <v>1171.4605</v>
      </c>
    </row>
    <row r="1701" spans="1:3" x14ac:dyDescent="0.25">
      <c r="A1701" t="str">
        <f>"17/06/2016"</f>
        <v>17/06/2016</v>
      </c>
      <c r="B1701" t="str">
        <f>"1173.95"</f>
        <v>1173.95</v>
      </c>
      <c r="C1701" t="str">
        <f>"1173.96"</f>
        <v>1173.96</v>
      </c>
    </row>
    <row r="1702" spans="1:3" x14ac:dyDescent="0.25">
      <c r="A1702" t="str">
        <f>"20/06/2016"</f>
        <v>20/06/2016</v>
      </c>
      <c r="B1702" t="str">
        <f>"1160.90"</f>
        <v>1160.90</v>
      </c>
      <c r="C1702" t="str">
        <f>"1160.9115"</f>
        <v>1160.9115</v>
      </c>
    </row>
    <row r="1703" spans="1:3" x14ac:dyDescent="0.25">
      <c r="A1703" t="str">
        <f>"21/06/2016"</f>
        <v>21/06/2016</v>
      </c>
      <c r="B1703" t="str">
        <f>"1157.70"</f>
        <v>1157.70</v>
      </c>
      <c r="C1703" t="str">
        <f>"1157.7095"</f>
        <v>1157.7095</v>
      </c>
    </row>
    <row r="1704" spans="1:3" x14ac:dyDescent="0.25">
      <c r="A1704" t="str">
        <f>"22/06/2016"</f>
        <v>22/06/2016</v>
      </c>
      <c r="B1704" t="str">
        <f>"1154.55"</f>
        <v>1154.55</v>
      </c>
      <c r="C1704" t="str">
        <f>"1154.559"</f>
        <v>1154.559</v>
      </c>
    </row>
    <row r="1705" spans="1:3" x14ac:dyDescent="0.25">
      <c r="A1705" t="str">
        <f>"23/06/2016"</f>
        <v>23/06/2016</v>
      </c>
      <c r="B1705" t="str">
        <f>"1150.50"</f>
        <v>1150.50</v>
      </c>
      <c r="C1705" t="str">
        <f>"1150.5085"</f>
        <v>1150.5085</v>
      </c>
    </row>
    <row r="1706" spans="1:3" x14ac:dyDescent="0.25">
      <c r="A1706" t="str">
        <f>"24/06/2016"</f>
        <v>24/06/2016</v>
      </c>
      <c r="B1706" t="str">
        <f>"1179.40"</f>
        <v>1179.40</v>
      </c>
      <c r="C1706" t="str">
        <f>"1179.408"</f>
        <v>1179.408</v>
      </c>
    </row>
    <row r="1707" spans="1:3" x14ac:dyDescent="0.25">
      <c r="A1707" t="str">
        <f>"27/06/2016"</f>
        <v>27/06/2016</v>
      </c>
      <c r="B1707" t="str">
        <f>"1182.40"</f>
        <v>1182.40</v>
      </c>
      <c r="C1707" t="str">
        <f>"1182.408"</f>
        <v>1182.408</v>
      </c>
    </row>
    <row r="1708" spans="1:3" x14ac:dyDescent="0.25">
      <c r="A1708" t="str">
        <f>"28/06/2016"</f>
        <v>28/06/2016</v>
      </c>
      <c r="B1708" t="str">
        <f>"1171.35"</f>
        <v>1171.35</v>
      </c>
      <c r="C1708" t="str">
        <f>"1171.358"</f>
        <v>1171.358</v>
      </c>
    </row>
    <row r="1709" spans="1:3" x14ac:dyDescent="0.25">
      <c r="A1709" t="str">
        <f>"29/06/2016"</f>
        <v>29/06/2016</v>
      </c>
      <c r="B1709" t="str">
        <f>"1160.25"</f>
        <v>1160.25</v>
      </c>
      <c r="C1709" t="str">
        <f>"1160.2575"</f>
        <v>1160.2575</v>
      </c>
    </row>
    <row r="1710" spans="1:3" x14ac:dyDescent="0.25">
      <c r="A1710" t="str">
        <f>"30/06/2016"</f>
        <v>30/06/2016</v>
      </c>
      <c r="B1710" t="str">
        <f>"1151.90"</f>
        <v>1151.90</v>
      </c>
      <c r="C1710" t="str">
        <f>"1151.9065"</f>
        <v>1151.9065</v>
      </c>
    </row>
    <row r="1711" spans="1:3" x14ac:dyDescent="0.25">
      <c r="A1711" t="str">
        <f>"01/07/2016"</f>
        <v>01/07/2016</v>
      </c>
      <c r="B1711" t="str">
        <f>"1145.15"</f>
        <v>1145.15</v>
      </c>
      <c r="C1711" t="str">
        <f>"1145.1575"</f>
        <v>1145.1575</v>
      </c>
    </row>
    <row r="1712" spans="1:3" x14ac:dyDescent="0.25">
      <c r="A1712" t="str">
        <f>"04/07/2016"</f>
        <v>04/07/2016</v>
      </c>
      <c r="B1712" t="str">
        <f>"1146.15"</f>
        <v>1146.15</v>
      </c>
      <c r="C1712" t="str">
        <f>"1146.158"</f>
        <v>1146.158</v>
      </c>
    </row>
    <row r="1713" spans="1:3" x14ac:dyDescent="0.25">
      <c r="A1713" t="str">
        <f>"05/07/2016"</f>
        <v>05/07/2016</v>
      </c>
      <c r="B1713" t="str">
        <f>"1155.45"</f>
        <v>1155.45</v>
      </c>
      <c r="C1713" t="str">
        <f>"1155.458"</f>
        <v>1155.458</v>
      </c>
    </row>
    <row r="1714" spans="1:3" x14ac:dyDescent="0.25">
      <c r="A1714" t="str">
        <f>"07/07/2016"</f>
        <v>07/07/2016</v>
      </c>
      <c r="B1714" t="str">
        <f>"1154.80"</f>
        <v>1154.80</v>
      </c>
      <c r="C1714" t="str">
        <f>"1154.8085"</f>
        <v>1154.8085</v>
      </c>
    </row>
    <row r="1715" spans="1:3" x14ac:dyDescent="0.25">
      <c r="A1715" t="str">
        <f>"08/07/2016"</f>
        <v>08/07/2016</v>
      </c>
      <c r="B1715" t="str">
        <f>"1161.90"</f>
        <v>1161.90</v>
      </c>
      <c r="C1715" t="str">
        <f>"1161.908"</f>
        <v>1161.908</v>
      </c>
    </row>
    <row r="1716" spans="1:3" x14ac:dyDescent="0.25">
      <c r="A1716" t="str">
        <f>"11/07/2016"</f>
        <v>11/07/2016</v>
      </c>
      <c r="B1716" t="str">
        <f>"1147.40"</f>
        <v>1147.40</v>
      </c>
      <c r="C1716" t="str">
        <f>"1147.408"</f>
        <v>1147.408</v>
      </c>
    </row>
    <row r="1717" spans="1:3" x14ac:dyDescent="0.25">
      <c r="A1717" t="str">
        <f>"12/07/2016"</f>
        <v>12/07/2016</v>
      </c>
      <c r="B1717" t="str">
        <f>"1148.40"</f>
        <v>1148.40</v>
      </c>
      <c r="C1717" t="str">
        <f>"1148.4085"</f>
        <v>1148.4085</v>
      </c>
    </row>
    <row r="1718" spans="1:3" x14ac:dyDescent="0.25">
      <c r="A1718" t="str">
        <f>"13/07/2016"</f>
        <v>13/07/2016</v>
      </c>
      <c r="B1718" t="str">
        <f>"1146.80"</f>
        <v>1146.80</v>
      </c>
      <c r="C1718" t="str">
        <f>"1146.808"</f>
        <v>1146.808</v>
      </c>
    </row>
    <row r="1719" spans="1:3" x14ac:dyDescent="0.25">
      <c r="A1719" t="str">
        <f>"14/07/2016"</f>
        <v>14/07/2016</v>
      </c>
      <c r="B1719" t="str">
        <f>"1138.80"</f>
        <v>1138.80</v>
      </c>
      <c r="C1719" t="str">
        <f>"1138.8075"</f>
        <v>1138.8075</v>
      </c>
    </row>
    <row r="1720" spans="1:3" x14ac:dyDescent="0.25">
      <c r="A1720" t="str">
        <f>"15/07/2016"</f>
        <v>15/07/2016</v>
      </c>
      <c r="B1720" t="str">
        <f>"1133.70"</f>
        <v>1133.70</v>
      </c>
      <c r="C1720" t="str">
        <f>"1133.7075"</f>
        <v>1133.7075</v>
      </c>
    </row>
    <row r="1721" spans="1:3" x14ac:dyDescent="0.25">
      <c r="A1721" t="str">
        <f>"18/07/2016"</f>
        <v>18/07/2016</v>
      </c>
      <c r="B1721" t="str">
        <f>"1136.70"</f>
        <v>1136.70</v>
      </c>
      <c r="C1721" t="str">
        <f>"1136.7075"</f>
        <v>1136.7075</v>
      </c>
    </row>
    <row r="1722" spans="1:3" x14ac:dyDescent="0.25">
      <c r="A1722" t="str">
        <f>"19/07/2016"</f>
        <v>19/07/2016</v>
      </c>
      <c r="B1722" t="str">
        <f>"1137.75"</f>
        <v>1137.75</v>
      </c>
      <c r="C1722" t="str">
        <f>"1137.757"</f>
        <v>1137.757</v>
      </c>
    </row>
    <row r="1723" spans="1:3" x14ac:dyDescent="0.25">
      <c r="A1723" t="str">
        <f>"20/07/2016"</f>
        <v>20/07/2016</v>
      </c>
      <c r="B1723" t="str">
        <f>"1140.60"</f>
        <v>1140.60</v>
      </c>
      <c r="C1723" t="str">
        <f>"1140.607"</f>
        <v>1140.607</v>
      </c>
    </row>
    <row r="1724" spans="1:3" x14ac:dyDescent="0.25">
      <c r="A1724" t="str">
        <f>"21/07/2016"</f>
        <v>21/07/2016</v>
      </c>
      <c r="B1724" t="str">
        <f>"1136.25"</f>
        <v>1136.25</v>
      </c>
      <c r="C1724" t="str">
        <f>"1136.2565"</f>
        <v>1136.2565</v>
      </c>
    </row>
    <row r="1725" spans="1:3" x14ac:dyDescent="0.25">
      <c r="A1725" t="str">
        <f>"22/07/2016"</f>
        <v>22/07/2016</v>
      </c>
      <c r="B1725" t="str">
        <f>"1134.55"</f>
        <v>1134.55</v>
      </c>
      <c r="C1725" t="str">
        <f>"1134.556"</f>
        <v>1134.556</v>
      </c>
    </row>
    <row r="1726" spans="1:3" x14ac:dyDescent="0.25">
      <c r="A1726" t="str">
        <f>"25/07/2016"</f>
        <v>25/07/2016</v>
      </c>
      <c r="B1726" t="str">
        <f>"1136.95"</f>
        <v>1136.95</v>
      </c>
      <c r="C1726" t="str">
        <f>"1136.9565"</f>
        <v>1136.9565</v>
      </c>
    </row>
    <row r="1727" spans="1:3" x14ac:dyDescent="0.25">
      <c r="A1727" t="str">
        <f>"26/07/2016"</f>
        <v>26/07/2016</v>
      </c>
      <c r="B1727" t="str">
        <f>"1135.05"</f>
        <v>1135.05</v>
      </c>
      <c r="C1727" t="str">
        <f>"1135.057"</f>
        <v>1135.057</v>
      </c>
    </row>
    <row r="1728" spans="1:3" x14ac:dyDescent="0.25">
      <c r="A1728" t="str">
        <f>"27/07/2016"</f>
        <v>27/07/2016</v>
      </c>
      <c r="B1728" t="str">
        <f>"1134.30"</f>
        <v>1134.30</v>
      </c>
      <c r="C1728" t="str">
        <f>"1134.3065"</f>
        <v>1134.3065</v>
      </c>
    </row>
    <row r="1729" spans="1:3" x14ac:dyDescent="0.25">
      <c r="A1729" t="str">
        <f>"28/07/2016"</f>
        <v>28/07/2016</v>
      </c>
      <c r="B1729" t="str">
        <f>"1125.65"</f>
        <v>1125.65</v>
      </c>
      <c r="C1729" t="str">
        <f>"1125.656"</f>
        <v>1125.656</v>
      </c>
    </row>
    <row r="1730" spans="1:3" x14ac:dyDescent="0.25">
      <c r="A1730" t="str">
        <f>"29/07/2016"</f>
        <v>29/07/2016</v>
      </c>
      <c r="B1730" t="str">
        <f>"1120.70"</f>
        <v>1120.70</v>
      </c>
      <c r="C1730" t="str">
        <f>"1120.7065"</f>
        <v>1120.7065</v>
      </c>
    </row>
    <row r="1731" spans="1:3" x14ac:dyDescent="0.25">
      <c r="A1731" t="str">
        <f>"01/08/2016"</f>
        <v>01/08/2016</v>
      </c>
      <c r="B1731" t="str">
        <f>"1108.30"</f>
        <v>1108.30</v>
      </c>
      <c r="C1731" t="str">
        <f>"1108.3065"</f>
        <v>1108.3065</v>
      </c>
    </row>
    <row r="1732" spans="1:3" x14ac:dyDescent="0.25">
      <c r="A1732" t="str">
        <f>"02/08/2016"</f>
        <v>02/08/2016</v>
      </c>
      <c r="B1732" t="str">
        <f>"1110.60"</f>
        <v>1110.60</v>
      </c>
      <c r="C1732" t="str">
        <f>"1110.6065"</f>
        <v>1110.6065</v>
      </c>
    </row>
    <row r="1733" spans="1:3" x14ac:dyDescent="0.25">
      <c r="A1733" t="str">
        <f>"03/08/2016"</f>
        <v>03/08/2016</v>
      </c>
      <c r="B1733" t="str">
        <f>"1117.55"</f>
        <v>1117.55</v>
      </c>
      <c r="C1733" t="str">
        <f>"1117.5585"</f>
        <v>1117.5585</v>
      </c>
    </row>
    <row r="1734" spans="1:3" x14ac:dyDescent="0.25">
      <c r="A1734" t="str">
        <f>"04/08/2016"</f>
        <v>04/08/2016</v>
      </c>
      <c r="B1734" t="str">
        <f>"1114.20"</f>
        <v>1114.20</v>
      </c>
      <c r="C1734" t="str">
        <f>"1114.2065"</f>
        <v>1114.2065</v>
      </c>
    </row>
    <row r="1735" spans="1:3" x14ac:dyDescent="0.25">
      <c r="A1735" t="str">
        <f>"05/08/2016"</f>
        <v>05/08/2016</v>
      </c>
      <c r="B1735" t="str">
        <f>"1110.75"</f>
        <v>1110.75</v>
      </c>
      <c r="C1735" t="str">
        <f>"1110.7565"</f>
        <v>1110.7565</v>
      </c>
    </row>
    <row r="1736" spans="1:3" x14ac:dyDescent="0.25">
      <c r="A1736" t="str">
        <f>"08/08/2016"</f>
        <v>08/08/2016</v>
      </c>
      <c r="B1736" t="str">
        <f>"1108.55"</f>
        <v>1108.55</v>
      </c>
      <c r="C1736" t="str">
        <f>"1108.557"</f>
        <v>1108.557</v>
      </c>
    </row>
    <row r="1737" spans="1:3" x14ac:dyDescent="0.25">
      <c r="A1737" t="str">
        <f>"09/08/2016"</f>
        <v>09/08/2016</v>
      </c>
      <c r="B1737" t="str">
        <f>"1106.35"</f>
        <v>1106.35</v>
      </c>
      <c r="C1737" t="str">
        <f>"1106.355"</f>
        <v>1106.355</v>
      </c>
    </row>
    <row r="1738" spans="1:3" x14ac:dyDescent="0.25">
      <c r="A1738" t="str">
        <f>"10/08/2016"</f>
        <v>10/08/2016</v>
      </c>
      <c r="B1738" t="str">
        <f>"1095.25"</f>
        <v>1095.25</v>
      </c>
      <c r="C1738" t="str">
        <f>"1095.255"</f>
        <v>1095.255</v>
      </c>
    </row>
    <row r="1739" spans="1:3" x14ac:dyDescent="0.25">
      <c r="A1739" t="str">
        <f>"11/08/2016"</f>
        <v>11/08/2016</v>
      </c>
      <c r="B1739" t="str">
        <f>"1099.80"</f>
        <v>1099.80</v>
      </c>
      <c r="C1739" t="str">
        <f>"1099.8075"</f>
        <v>1099.8075</v>
      </c>
    </row>
    <row r="1740" spans="1:3" x14ac:dyDescent="0.25">
      <c r="A1740" t="str">
        <f>"12/08/2016"</f>
        <v>12/08/2016</v>
      </c>
      <c r="B1740" t="str">
        <f>"1101.95"</f>
        <v>1101.95</v>
      </c>
      <c r="C1740" t="str">
        <f>"1101.955"</f>
        <v>1101.955</v>
      </c>
    </row>
    <row r="1741" spans="1:3" x14ac:dyDescent="0.25">
      <c r="A1741" t="str">
        <f>"16/08/2016"</f>
        <v>16/08/2016</v>
      </c>
      <c r="B1741" t="str">
        <f>"1092.45"</f>
        <v>1092.45</v>
      </c>
      <c r="C1741" t="str">
        <f>"1092.456"</f>
        <v>1092.456</v>
      </c>
    </row>
    <row r="1742" spans="1:3" x14ac:dyDescent="0.25">
      <c r="A1742" t="str">
        <f>"18/08/2016"</f>
        <v>18/08/2016</v>
      </c>
      <c r="B1742" t="str">
        <f>"1107.50"</f>
        <v>1107.50</v>
      </c>
      <c r="C1742" t="str">
        <f>"1107.5065"</f>
        <v>1107.5065</v>
      </c>
    </row>
    <row r="1743" spans="1:3" x14ac:dyDescent="0.25">
      <c r="A1743" t="str">
        <f>"19/08/2016"</f>
        <v>19/08/2016</v>
      </c>
      <c r="B1743" t="str">
        <f>"1117.65"</f>
        <v>1117.65</v>
      </c>
      <c r="C1743" t="str">
        <f>"1117.6545"</f>
        <v>1117.6545</v>
      </c>
    </row>
    <row r="1744" spans="1:3" x14ac:dyDescent="0.25">
      <c r="A1744" t="str">
        <f>"22/08/2016"</f>
        <v>22/08/2016</v>
      </c>
      <c r="B1744" t="str">
        <f>"1127.00"</f>
        <v>1127.00</v>
      </c>
      <c r="C1744" t="str">
        <f>"1127.005"</f>
        <v>1127.005</v>
      </c>
    </row>
    <row r="1745" spans="1:3" x14ac:dyDescent="0.25">
      <c r="A1745" t="str">
        <f>"23/08/2016"</f>
        <v>23/08/2016</v>
      </c>
      <c r="B1745" t="str">
        <f>"1115.95"</f>
        <v>1115.95</v>
      </c>
      <c r="C1745" t="str">
        <f>"1115.955"</f>
        <v>1115.955</v>
      </c>
    </row>
    <row r="1746" spans="1:3" x14ac:dyDescent="0.25">
      <c r="A1746" t="str">
        <f>"24/08/2016"</f>
        <v>24/08/2016</v>
      </c>
      <c r="B1746" t="str">
        <f>"1119.25"</f>
        <v>1119.25</v>
      </c>
      <c r="C1746" t="str">
        <f>"1119.255"</f>
        <v>1119.255</v>
      </c>
    </row>
    <row r="1747" spans="1:3" x14ac:dyDescent="0.25">
      <c r="A1747" t="str">
        <f>"25/08/2016"</f>
        <v>25/08/2016</v>
      </c>
      <c r="B1747" t="str">
        <f>"1115.95"</f>
        <v>1115.95</v>
      </c>
      <c r="C1747" t="str">
        <f>"1115.956"</f>
        <v>1115.956</v>
      </c>
    </row>
    <row r="1748" spans="1:3" x14ac:dyDescent="0.25">
      <c r="A1748" t="str">
        <f>"26/08/2016"</f>
        <v>26/08/2016</v>
      </c>
      <c r="B1748" t="str">
        <f>"1113.95"</f>
        <v>1113.95</v>
      </c>
      <c r="C1748" t="str">
        <f>"1113.9555"</f>
        <v>1113.9555</v>
      </c>
    </row>
    <row r="1749" spans="1:3" x14ac:dyDescent="0.25">
      <c r="A1749" t="str">
        <f>"29/08/2016"</f>
        <v>29/08/2016</v>
      </c>
      <c r="B1749" t="str">
        <f>"1125.10"</f>
        <v>1125.10</v>
      </c>
      <c r="C1749" t="str">
        <f>"1125.1045"</f>
        <v>1125.1045</v>
      </c>
    </row>
    <row r="1750" spans="1:3" x14ac:dyDescent="0.25">
      <c r="A1750" t="str">
        <f>"30/08/2016"</f>
        <v>30/08/2016</v>
      </c>
      <c r="B1750" t="str">
        <f>"1120.00"</f>
        <v>1120.00</v>
      </c>
      <c r="C1750" t="str">
        <f>"1120.0045"</f>
        <v>1120.0045</v>
      </c>
    </row>
    <row r="1751" spans="1:3" x14ac:dyDescent="0.25">
      <c r="A1751" t="str">
        <f>"31/08/2016"</f>
        <v>31/08/2016</v>
      </c>
      <c r="B1751" t="str">
        <f>"1114.85"</f>
        <v>1114.85</v>
      </c>
      <c r="C1751" t="str">
        <f>"1114.8545"</f>
        <v>1114.8545</v>
      </c>
    </row>
    <row r="1752" spans="1:3" x14ac:dyDescent="0.25">
      <c r="A1752" t="str">
        <f>"01/09/2016"</f>
        <v>01/09/2016</v>
      </c>
      <c r="B1752" t="str">
        <f>"1122.10"</f>
        <v>1122.10</v>
      </c>
      <c r="C1752" t="str">
        <f>"1122.107"</f>
        <v>1122.107</v>
      </c>
    </row>
    <row r="1753" spans="1:3" x14ac:dyDescent="0.25">
      <c r="A1753" t="str">
        <f>"02/09/2016"</f>
        <v>02/09/2016</v>
      </c>
      <c r="B1753" t="str">
        <f>"1117.25"</f>
        <v>1117.25</v>
      </c>
      <c r="C1753" t="str">
        <f>"1117.2545"</f>
        <v>1117.2545</v>
      </c>
    </row>
    <row r="1754" spans="1:3" x14ac:dyDescent="0.25">
      <c r="A1754" t="str">
        <f>"06/09/2016"</f>
        <v>06/09/2016</v>
      </c>
      <c r="B1754" t="str">
        <f>"1105.45"</f>
        <v>1105.45</v>
      </c>
      <c r="C1754" t="str">
        <f>"1105.4565"</f>
        <v>1105.4565</v>
      </c>
    </row>
    <row r="1755" spans="1:3" x14ac:dyDescent="0.25">
      <c r="A1755" t="str">
        <f>"07/09/2016"</f>
        <v>07/09/2016</v>
      </c>
      <c r="B1755" t="str">
        <f>"1091.45"</f>
        <v>1091.45</v>
      </c>
      <c r="C1755" t="str">
        <f>"1091.457"</f>
        <v>1091.457</v>
      </c>
    </row>
    <row r="1756" spans="1:3" x14ac:dyDescent="0.25">
      <c r="A1756" t="str">
        <f>"08/09/2016"</f>
        <v>08/09/2016</v>
      </c>
      <c r="B1756" t="str">
        <f>"1094.10"</f>
        <v>1094.10</v>
      </c>
      <c r="C1756" t="str">
        <f>"1094.1065"</f>
        <v>1094.1065</v>
      </c>
    </row>
    <row r="1757" spans="1:3" x14ac:dyDescent="0.25">
      <c r="A1757" t="str">
        <f>"09/09/2016"</f>
        <v>09/09/2016</v>
      </c>
      <c r="B1757" t="str">
        <f>"1099.90"</f>
        <v>1099.90</v>
      </c>
      <c r="C1757" t="str">
        <f>"1099.906"</f>
        <v>1099.906</v>
      </c>
    </row>
    <row r="1758" spans="1:3" x14ac:dyDescent="0.25">
      <c r="A1758" t="str">
        <f>"12/09/2016"</f>
        <v>12/09/2016</v>
      </c>
      <c r="B1758" t="str">
        <f>"1110.75"</f>
        <v>1110.75</v>
      </c>
      <c r="C1758" t="str">
        <f>"1110.7565"</f>
        <v>1110.7565</v>
      </c>
    </row>
    <row r="1759" spans="1:3" x14ac:dyDescent="0.25">
      <c r="A1759" t="str">
        <f>"14/09/2016"</f>
        <v>14/09/2016</v>
      </c>
      <c r="B1759" t="str">
        <f>"1119.30"</f>
        <v>1119.30</v>
      </c>
      <c r="C1759" t="str">
        <f>"1119.307"</f>
        <v>1119.307</v>
      </c>
    </row>
    <row r="1760" spans="1:3" x14ac:dyDescent="0.25">
      <c r="A1760" t="str">
        <f>"15/09/2016"</f>
        <v>15/09/2016</v>
      </c>
      <c r="B1760" t="str">
        <f>"1119.30"</f>
        <v>1119.30</v>
      </c>
      <c r="C1760" t="str">
        <f>"1119.307"</f>
        <v>1119.307</v>
      </c>
    </row>
    <row r="1761" spans="1:3" x14ac:dyDescent="0.25">
      <c r="A1761" t="str">
        <f>"16/09/2016"</f>
        <v>16/09/2016</v>
      </c>
      <c r="B1761" t="str">
        <f>"1119.30"</f>
        <v>1119.30</v>
      </c>
      <c r="C1761" t="str">
        <f>"1119.307"</f>
        <v>1119.307</v>
      </c>
    </row>
    <row r="1762" spans="1:3" x14ac:dyDescent="0.25">
      <c r="A1762" t="str">
        <f>"19/09/2016"</f>
        <v>19/09/2016</v>
      </c>
      <c r="B1762" t="str">
        <f>"1118.15"</f>
        <v>1118.15</v>
      </c>
      <c r="C1762" t="str">
        <f>"1118.1565"</f>
        <v>1118.1565</v>
      </c>
    </row>
    <row r="1763" spans="1:3" x14ac:dyDescent="0.25">
      <c r="A1763" t="str">
        <f>"20/09/2016"</f>
        <v>20/09/2016</v>
      </c>
      <c r="B1763" t="str">
        <f>"1120.55"</f>
        <v>1120.55</v>
      </c>
      <c r="C1763" t="str">
        <f>"1120.5568"</f>
        <v>1120.5568</v>
      </c>
    </row>
    <row r="1764" spans="1:3" x14ac:dyDescent="0.25">
      <c r="A1764" t="str">
        <f>"21/09/2016"</f>
        <v>21/09/2016</v>
      </c>
      <c r="B1764" t="str">
        <f>"1120.35"</f>
        <v>1120.35</v>
      </c>
      <c r="C1764" t="str">
        <f>"1120.358"</f>
        <v>1120.358</v>
      </c>
    </row>
    <row r="1765" spans="1:3" x14ac:dyDescent="0.25">
      <c r="A1765" t="str">
        <f>"22/09/2016"</f>
        <v>22/09/2016</v>
      </c>
      <c r="B1765" t="str">
        <f>"1103.05"</f>
        <v>1103.05</v>
      </c>
      <c r="C1765" t="str">
        <f>"1103.0585"</f>
        <v>1103.0585</v>
      </c>
    </row>
    <row r="1766" spans="1:3" x14ac:dyDescent="0.25">
      <c r="A1766" t="str">
        <f>"23/09/2016"</f>
        <v>23/09/2016</v>
      </c>
      <c r="B1766" t="str">
        <f>"1102.55"</f>
        <v>1102.55</v>
      </c>
      <c r="C1766" t="str">
        <f>"1102.557"</f>
        <v>1102.557</v>
      </c>
    </row>
    <row r="1767" spans="1:3" x14ac:dyDescent="0.25">
      <c r="A1767" t="str">
        <f>"26/09/2016"</f>
        <v>26/09/2016</v>
      </c>
      <c r="B1767" t="str">
        <f>"1108.10"</f>
        <v>1108.10</v>
      </c>
      <c r="C1767" t="str">
        <f>"1108.107"</f>
        <v>1108.107</v>
      </c>
    </row>
    <row r="1768" spans="1:3" x14ac:dyDescent="0.25">
      <c r="A1768" t="str">
        <f>"27/09/2016"</f>
        <v>27/09/2016</v>
      </c>
      <c r="B1768" t="str">
        <f>"1097.85"</f>
        <v>1097.85</v>
      </c>
      <c r="C1768" t="str">
        <f>"1097.8575"</f>
        <v>1097.8575</v>
      </c>
    </row>
    <row r="1769" spans="1:3" x14ac:dyDescent="0.25">
      <c r="A1769" t="str">
        <f>"28/09/2016"</f>
        <v>28/09/2016</v>
      </c>
      <c r="B1769" t="str">
        <f>"1096.85"</f>
        <v>1096.85</v>
      </c>
      <c r="C1769" t="str">
        <f>"1096.8565"</f>
        <v>1096.8565</v>
      </c>
    </row>
    <row r="1770" spans="1:3" x14ac:dyDescent="0.25">
      <c r="A1770" t="str">
        <f>"29/09/2016"</f>
        <v>29/09/2016</v>
      </c>
      <c r="B1770" t="str">
        <f>"1098.20"</f>
        <v>1098.20</v>
      </c>
      <c r="C1770" t="str">
        <f>"1098.207"</f>
        <v>1098.207</v>
      </c>
    </row>
    <row r="1771" spans="1:3" x14ac:dyDescent="0.25">
      <c r="A1771" t="str">
        <f>"30/09/2016"</f>
        <v>30/09/2016</v>
      </c>
      <c r="B1771" t="str">
        <f>"1101.35"</f>
        <v>1101.35</v>
      </c>
      <c r="C1771" t="str">
        <f>"1101.356"</f>
        <v>1101.356</v>
      </c>
    </row>
    <row r="1772" spans="1:3" x14ac:dyDescent="0.25">
      <c r="A1772" t="str">
        <f>"03/10/2016"</f>
        <v>03/10/2016</v>
      </c>
      <c r="B1772" t="str">
        <f>"1101.35"</f>
        <v>1101.35</v>
      </c>
      <c r="C1772" t="str">
        <f>"1101.356"</f>
        <v>1101.356</v>
      </c>
    </row>
    <row r="1773" spans="1:3" x14ac:dyDescent="0.25">
      <c r="A1773" t="str">
        <f>"04/10/2016"</f>
        <v>04/10/2016</v>
      </c>
      <c r="B1773" t="str">
        <f>"1107.85"</f>
        <v>1107.85</v>
      </c>
      <c r="C1773" t="str">
        <f>"1107.8565"</f>
        <v>1107.8565</v>
      </c>
    </row>
    <row r="1774" spans="1:3" x14ac:dyDescent="0.25">
      <c r="A1774" t="str">
        <f>"05/10/2016"</f>
        <v>05/10/2016</v>
      </c>
      <c r="B1774" t="str">
        <f>"1113.65"</f>
        <v>1113.65</v>
      </c>
      <c r="C1774" t="str">
        <f>"1113.656"</f>
        <v>1113.656</v>
      </c>
    </row>
    <row r="1775" spans="1:3" x14ac:dyDescent="0.25">
      <c r="A1775" t="str">
        <f>"06/10/2016"</f>
        <v>06/10/2016</v>
      </c>
      <c r="B1775" t="str">
        <f>"1111.95"</f>
        <v>1111.95</v>
      </c>
      <c r="C1775" t="str">
        <f>"1111.9565"</f>
        <v>1111.9565</v>
      </c>
    </row>
    <row r="1776" spans="1:3" x14ac:dyDescent="0.25">
      <c r="A1776" t="str">
        <f>"07/10/2016"</f>
        <v>07/10/2016</v>
      </c>
      <c r="B1776" t="str">
        <f>"1115.75"</f>
        <v>1115.75</v>
      </c>
      <c r="C1776" t="str">
        <f>"1115.7555"</f>
        <v>1115.7555</v>
      </c>
    </row>
    <row r="1777" spans="1:3" x14ac:dyDescent="0.25">
      <c r="A1777" t="str">
        <f>"10/10/2016"</f>
        <v>10/10/2016</v>
      </c>
      <c r="B1777" t="str">
        <f>"1110.05"</f>
        <v>1110.05</v>
      </c>
      <c r="C1777" t="str">
        <f>"1110.056"</f>
        <v>1110.056</v>
      </c>
    </row>
    <row r="1778" spans="1:3" x14ac:dyDescent="0.25">
      <c r="A1778" t="str">
        <f>"13/10/2016"</f>
        <v>13/10/2016</v>
      </c>
      <c r="B1778" t="str">
        <f>"1135.25"</f>
        <v>1135.25</v>
      </c>
      <c r="C1778" t="str">
        <f>"1135.255"</f>
        <v>1135.255</v>
      </c>
    </row>
    <row r="1779" spans="1:3" x14ac:dyDescent="0.25">
      <c r="A1779" t="str">
        <f>"14/10/2016"</f>
        <v>14/10/2016</v>
      </c>
      <c r="B1779" t="str">
        <f>"1134.20"</f>
        <v>1134.20</v>
      </c>
      <c r="C1779" t="str">
        <f>"1134.205"</f>
        <v>1134.205</v>
      </c>
    </row>
    <row r="1780" spans="1:3" x14ac:dyDescent="0.25">
      <c r="A1780" t="str">
        <f>"17/10/2016"</f>
        <v>17/10/2016</v>
      </c>
      <c r="B1780" t="str">
        <f>"1138.30"</f>
        <v>1138.30</v>
      </c>
      <c r="C1780" t="str">
        <f>"1138.306"</f>
        <v>1138.306</v>
      </c>
    </row>
    <row r="1781" spans="1:3" x14ac:dyDescent="0.25">
      <c r="A1781" t="str">
        <f>"18/10/2016"</f>
        <v>18/10/2016</v>
      </c>
      <c r="B1781" t="str">
        <f>"1133.55"</f>
        <v>1133.55</v>
      </c>
      <c r="C1781" t="str">
        <f>"1133.56"</f>
        <v>1133.56</v>
      </c>
    </row>
    <row r="1782" spans="1:3" x14ac:dyDescent="0.25">
      <c r="A1782" t="str">
        <f>"19/10/2016"</f>
        <v>19/10/2016</v>
      </c>
      <c r="B1782" t="str">
        <f>"1123.20"</f>
        <v>1123.20</v>
      </c>
      <c r="C1782" t="str">
        <f>"1123.2065"</f>
        <v>1123.2065</v>
      </c>
    </row>
    <row r="1783" spans="1:3" x14ac:dyDescent="0.25">
      <c r="A1783" t="str">
        <f>"20/10/2016"</f>
        <v>20/10/2016</v>
      </c>
      <c r="B1783" t="str">
        <f>"1127.55"</f>
        <v>1127.55</v>
      </c>
      <c r="C1783" t="str">
        <f>"1127.5565"</f>
        <v>1127.5565</v>
      </c>
    </row>
    <row r="1784" spans="1:3" x14ac:dyDescent="0.25">
      <c r="A1784" t="str">
        <f>"21/10/2016"</f>
        <v>21/10/2016</v>
      </c>
      <c r="B1784" t="str">
        <f>"1135.05"</f>
        <v>1135.05</v>
      </c>
      <c r="C1784" t="str">
        <f>"1135.0555"</f>
        <v>1135.0555</v>
      </c>
    </row>
    <row r="1785" spans="1:3" x14ac:dyDescent="0.25">
      <c r="A1785" t="str">
        <f>"24/10/2016"</f>
        <v>24/10/2016</v>
      </c>
      <c r="B1785" t="str">
        <f>"1131.80"</f>
        <v>1131.80</v>
      </c>
      <c r="C1785" t="str">
        <f>"1131.806"</f>
        <v>1131.806</v>
      </c>
    </row>
    <row r="1786" spans="1:3" x14ac:dyDescent="0.25">
      <c r="A1786" t="str">
        <f>"25/10/2016"</f>
        <v>25/10/2016</v>
      </c>
      <c r="B1786" t="str">
        <f>"1133.55"</f>
        <v>1133.55</v>
      </c>
      <c r="C1786" t="str">
        <f>"1133.556"</f>
        <v>1133.556</v>
      </c>
    </row>
    <row r="1787" spans="1:3" x14ac:dyDescent="0.25">
      <c r="A1787" t="str">
        <f>"26/10/2016"</f>
        <v>26/10/2016</v>
      </c>
      <c r="B1787" t="str">
        <f>"1134.15"</f>
        <v>1134.15</v>
      </c>
      <c r="C1787" t="str">
        <f>"1134.156"</f>
        <v>1134.156</v>
      </c>
    </row>
    <row r="1788" spans="1:3" x14ac:dyDescent="0.25">
      <c r="A1788" t="str">
        <f>"27/10/2016"</f>
        <v>27/10/2016</v>
      </c>
      <c r="B1788" t="str">
        <f>"1142.10"</f>
        <v>1142.10</v>
      </c>
      <c r="C1788" t="str">
        <f>"1142.106"</f>
        <v>1142.106</v>
      </c>
    </row>
    <row r="1789" spans="1:3" x14ac:dyDescent="0.25">
      <c r="A1789" t="str">
        <f>"28/10/2016"</f>
        <v>28/10/2016</v>
      </c>
      <c r="B1789" t="str">
        <f>"1144.85"</f>
        <v>1144.85</v>
      </c>
      <c r="C1789" t="str">
        <f>"1144.856"</f>
        <v>1144.856</v>
      </c>
    </row>
    <row r="1790" spans="1:3" x14ac:dyDescent="0.25">
      <c r="A1790" t="str">
        <f>"01/11/2016"</f>
        <v>01/11/2016</v>
      </c>
      <c r="B1790" t="str">
        <f>"1141.10"</f>
        <v>1141.10</v>
      </c>
      <c r="C1790" t="str">
        <f>"1141.1045"</f>
        <v>1141.1045</v>
      </c>
    </row>
    <row r="1791" spans="1:3" x14ac:dyDescent="0.25">
      <c r="A1791" t="str">
        <f>"02/11/2016"</f>
        <v>02/11/2016</v>
      </c>
      <c r="B1791" t="str">
        <f>"1149.35"</f>
        <v>1149.35</v>
      </c>
      <c r="C1791" t="str">
        <f>"1149.3545"</f>
        <v>1149.3545</v>
      </c>
    </row>
    <row r="1792" spans="1:3" x14ac:dyDescent="0.25">
      <c r="A1792" t="str">
        <f>"03/11/2016"</f>
        <v>03/11/2016</v>
      </c>
      <c r="B1792" t="str">
        <f>"1137.60"</f>
        <v>1137.60</v>
      </c>
      <c r="C1792" t="str">
        <f>"1137.6045"</f>
        <v>1137.6045</v>
      </c>
    </row>
    <row r="1793" spans="1:3" x14ac:dyDescent="0.25">
      <c r="A1793" t="str">
        <f>"04/11/2016"</f>
        <v>04/11/2016</v>
      </c>
      <c r="B1793" t="str">
        <f>"1143.65"</f>
        <v>1143.65</v>
      </c>
      <c r="C1793" t="str">
        <f>"1143.6545"</f>
        <v>1143.6545</v>
      </c>
    </row>
    <row r="1794" spans="1:3" x14ac:dyDescent="0.25">
      <c r="A1794" t="str">
        <f>"07/11/2016"</f>
        <v>07/11/2016</v>
      </c>
      <c r="B1794" t="str">
        <f>"1143.20"</f>
        <v>1143.20</v>
      </c>
      <c r="C1794" t="str">
        <f>"1143.2045"</f>
        <v>1143.2045</v>
      </c>
    </row>
    <row r="1795" spans="1:3" x14ac:dyDescent="0.25">
      <c r="A1795" t="str">
        <f>"08/11/2016"</f>
        <v>08/11/2016</v>
      </c>
      <c r="B1795" t="str">
        <f>"1135.75"</f>
        <v>1135.75</v>
      </c>
      <c r="C1795" t="str">
        <f>"1135.7558"</f>
        <v>1135.7558</v>
      </c>
    </row>
    <row r="1796" spans="1:3" x14ac:dyDescent="0.25">
      <c r="A1796" t="str">
        <f>"09/11/2016"</f>
        <v>09/11/2016</v>
      </c>
      <c r="B1796" t="str">
        <f>"1153.20"</f>
        <v>1153.20</v>
      </c>
      <c r="C1796" t="str">
        <f>"1153.2058"</f>
        <v>1153.2058</v>
      </c>
    </row>
    <row r="1797" spans="1:3" x14ac:dyDescent="0.25">
      <c r="A1797" t="str">
        <f>"10/11/2016"</f>
        <v>10/11/2016</v>
      </c>
      <c r="B1797" t="str">
        <f>"1150.35"</f>
        <v>1150.35</v>
      </c>
      <c r="C1797" t="str">
        <f>"1150.3558"</f>
        <v>1150.3558</v>
      </c>
    </row>
    <row r="1798" spans="1:3" x14ac:dyDescent="0.25">
      <c r="A1798" t="str">
        <f>"11/11/2016"</f>
        <v>11/11/2016</v>
      </c>
      <c r="B1798" t="str">
        <f>"1162.70"</f>
        <v>1162.70</v>
      </c>
      <c r="C1798" t="str">
        <f>"1162.707"</f>
        <v>1162.707</v>
      </c>
    </row>
    <row r="1799" spans="1:3" x14ac:dyDescent="0.25">
      <c r="A1799" t="str">
        <f>"15/11/2016"</f>
        <v>15/11/2016</v>
      </c>
      <c r="B1799" t="str">
        <f>"1170.60"</f>
        <v>1170.60</v>
      </c>
      <c r="C1799" t="str">
        <f>"1170.607"</f>
        <v>1170.607</v>
      </c>
    </row>
    <row r="1800" spans="1:3" x14ac:dyDescent="0.25">
      <c r="A1800" t="str">
        <f>"16/11/2016"</f>
        <v>16/11/2016</v>
      </c>
      <c r="B1800" t="str">
        <f>"1169.40"</f>
        <v>1169.40</v>
      </c>
      <c r="C1800" t="str">
        <f>"1169.407"</f>
        <v>1169.407</v>
      </c>
    </row>
    <row r="1801" spans="1:3" x14ac:dyDescent="0.25">
      <c r="A1801" t="str">
        <f>"17/11/2016"</f>
        <v>17/11/2016</v>
      </c>
      <c r="B1801" t="str">
        <f>"1176.20"</f>
        <v>1176.20</v>
      </c>
      <c r="C1801" t="str">
        <f>"1176.209"</f>
        <v>1176.209</v>
      </c>
    </row>
    <row r="1802" spans="1:3" x14ac:dyDescent="0.25">
      <c r="A1802" t="str">
        <f>"18/11/2016"</f>
        <v>18/11/2016</v>
      </c>
      <c r="B1802" t="str">
        <f>"1183.25"</f>
        <v>1183.25</v>
      </c>
      <c r="C1802" t="str">
        <f>"1183.258"</f>
        <v>1183.258</v>
      </c>
    </row>
    <row r="1803" spans="1:3" x14ac:dyDescent="0.25">
      <c r="A1803" t="str">
        <f>"21/11/2016"</f>
        <v>21/11/2016</v>
      </c>
      <c r="B1803" t="str">
        <f>"1185.55"</f>
        <v>1185.55</v>
      </c>
      <c r="C1803" t="str">
        <f>"1185.558"</f>
        <v>1185.558</v>
      </c>
    </row>
    <row r="1804" spans="1:3" x14ac:dyDescent="0.25">
      <c r="A1804" t="str">
        <f>"22/11/2016"</f>
        <v>22/11/2016</v>
      </c>
      <c r="B1804" t="str">
        <f>"1176.35"</f>
        <v>1176.35</v>
      </c>
      <c r="C1804" t="str">
        <f>"1176.358"</f>
        <v>1176.358</v>
      </c>
    </row>
    <row r="1805" spans="1:3" x14ac:dyDescent="0.25">
      <c r="A1805" t="str">
        <f>"23/11/2016"</f>
        <v>23/11/2016</v>
      </c>
      <c r="B1805" t="str">
        <f>"1177.05"</f>
        <v>1177.05</v>
      </c>
      <c r="C1805" t="str">
        <f>"1177.058"</f>
        <v>1177.058</v>
      </c>
    </row>
    <row r="1806" spans="1:3" x14ac:dyDescent="0.25">
      <c r="A1806" t="str">
        <f>"24/11/2016"</f>
        <v>24/11/2016</v>
      </c>
      <c r="B1806" t="str">
        <f>"1180.50"</f>
        <v>1180.50</v>
      </c>
      <c r="C1806" t="str">
        <f>"1180.508"</f>
        <v>1180.508</v>
      </c>
    </row>
    <row r="1807" spans="1:3" x14ac:dyDescent="0.25">
      <c r="A1807" t="str">
        <f>"25/11/2016"</f>
        <v>25/11/2016</v>
      </c>
      <c r="B1807" t="str">
        <f>"1177.50"</f>
        <v>1177.50</v>
      </c>
      <c r="C1807" t="str">
        <f>"1177.507"</f>
        <v>1177.507</v>
      </c>
    </row>
    <row r="1808" spans="1:3" x14ac:dyDescent="0.25">
      <c r="A1808" t="str">
        <f>"28/11/2016"</f>
        <v>28/11/2016</v>
      </c>
      <c r="B1808" t="str">
        <f>"1170.50"</f>
        <v>1170.50</v>
      </c>
      <c r="C1808" t="str">
        <f>"1170.507"</f>
        <v>1170.507</v>
      </c>
    </row>
    <row r="1809" spans="1:3" x14ac:dyDescent="0.25">
      <c r="A1809" t="str">
        <f>"29/11/2016"</f>
        <v>29/11/2016</v>
      </c>
      <c r="B1809" t="str">
        <f>"1170.30"</f>
        <v>1170.30</v>
      </c>
      <c r="C1809" t="str">
        <f>"1170.307"</f>
        <v>1170.307</v>
      </c>
    </row>
    <row r="1810" spans="1:3" x14ac:dyDescent="0.25">
      <c r="A1810" t="str">
        <f>"30/11/2016"</f>
        <v>30/11/2016</v>
      </c>
      <c r="B1810" t="str">
        <f>"1168.90"</f>
        <v>1168.90</v>
      </c>
      <c r="C1810" t="str">
        <f>"1168.907"</f>
        <v>1168.907</v>
      </c>
    </row>
    <row r="1811" spans="1:3" x14ac:dyDescent="0.25">
      <c r="A1811" t="str">
        <f>"01/12/2016"</f>
        <v>01/12/2016</v>
      </c>
      <c r="B1811" t="str">
        <f>"1172.60"</f>
        <v>1172.60</v>
      </c>
      <c r="C1811" t="str">
        <f>"1172.607"</f>
        <v>1172.607</v>
      </c>
    </row>
    <row r="1812" spans="1:3" x14ac:dyDescent="0.25">
      <c r="A1812" t="str">
        <f>"02/12/2016"</f>
        <v>02/12/2016</v>
      </c>
      <c r="B1812" t="str">
        <f>"1172.75"</f>
        <v>1172.75</v>
      </c>
      <c r="C1812" t="str">
        <f>"1172.757"</f>
        <v>1172.757</v>
      </c>
    </row>
    <row r="1813" spans="1:3" x14ac:dyDescent="0.25">
      <c r="A1813" t="str">
        <f>"05/12/2016"</f>
        <v>05/12/2016</v>
      </c>
      <c r="B1813" t="str">
        <f>"1174.70"</f>
        <v>1174.70</v>
      </c>
      <c r="C1813" t="str">
        <f>"1174.705"</f>
        <v>1174.705</v>
      </c>
    </row>
    <row r="1814" spans="1:3" x14ac:dyDescent="0.25">
      <c r="A1814" t="str">
        <f>"06/12/2016"</f>
        <v>06/12/2016</v>
      </c>
      <c r="B1814" t="str">
        <f>"1171.50"</f>
        <v>1171.50</v>
      </c>
      <c r="C1814" t="str">
        <f>"1171.505"</f>
        <v>1171.505</v>
      </c>
    </row>
    <row r="1815" spans="1:3" x14ac:dyDescent="0.25">
      <c r="A1815" t="str">
        <f>"07/12/2016"</f>
        <v>07/12/2016</v>
      </c>
      <c r="B1815" t="str">
        <f>"1167.65"</f>
        <v>1167.65</v>
      </c>
      <c r="C1815" t="str">
        <f>"1167.655"</f>
        <v>1167.655</v>
      </c>
    </row>
    <row r="1816" spans="1:3" x14ac:dyDescent="0.25">
      <c r="A1816" t="str">
        <f>"08/12/2016"</f>
        <v>08/12/2016</v>
      </c>
      <c r="B1816" t="str">
        <f>"1159.00"</f>
        <v>1159.00</v>
      </c>
      <c r="C1816" t="str">
        <f>"1159.005"</f>
        <v>1159.005</v>
      </c>
    </row>
    <row r="1817" spans="1:3" x14ac:dyDescent="0.25">
      <c r="A1817" t="str">
        <f>"09/12/2016"</f>
        <v>09/12/2016</v>
      </c>
      <c r="B1817" t="str">
        <f>"1166.05"</f>
        <v>1166.05</v>
      </c>
      <c r="C1817" t="str">
        <f>"1166.055"</f>
        <v>1166.055</v>
      </c>
    </row>
    <row r="1818" spans="1:3" x14ac:dyDescent="0.25">
      <c r="A1818" t="str">
        <f>"13/12/2016"</f>
        <v>13/12/2016</v>
      </c>
      <c r="B1818" t="str">
        <f>"1166.70"</f>
        <v>1166.70</v>
      </c>
      <c r="C1818" t="str">
        <f>"1166.705"</f>
        <v>1166.705</v>
      </c>
    </row>
    <row r="1819" spans="1:3" x14ac:dyDescent="0.25">
      <c r="A1819" t="str">
        <f>"14/12/2016"</f>
        <v>14/12/2016</v>
      </c>
      <c r="B1819" t="str">
        <f>"1170.40"</f>
        <v>1170.40</v>
      </c>
      <c r="C1819" t="str">
        <f>"1170.404"</f>
        <v>1170.404</v>
      </c>
    </row>
    <row r="1820" spans="1:3" x14ac:dyDescent="0.25">
      <c r="A1820" t="str">
        <f>"15/12/2016"</f>
        <v>15/12/2016</v>
      </c>
      <c r="B1820" t="str">
        <f>"1179.10"</f>
        <v>1179.10</v>
      </c>
      <c r="C1820" t="str">
        <f>"1179.1007"</f>
        <v>1179.1007</v>
      </c>
    </row>
    <row r="1821" spans="1:3" x14ac:dyDescent="0.25">
      <c r="A1821" t="str">
        <f>"16/12/2016"</f>
        <v>16/12/2016</v>
      </c>
      <c r="B1821" t="str">
        <f>"1183.90"</f>
        <v>1183.90</v>
      </c>
      <c r="C1821" t="str">
        <f>"1183.9007"</f>
        <v>1183.9007</v>
      </c>
    </row>
    <row r="1822" spans="1:3" x14ac:dyDescent="0.25">
      <c r="A1822" t="str">
        <f>"19/12/2016"</f>
        <v>19/12/2016</v>
      </c>
      <c r="B1822" t="str">
        <f>"1187.55"</f>
        <v>1187.55</v>
      </c>
      <c r="C1822" t="str">
        <f>"1187.5508"</f>
        <v>1187.5508</v>
      </c>
    </row>
    <row r="1823" spans="1:3" x14ac:dyDescent="0.25">
      <c r="A1823" t="str">
        <f>"20/12/2016"</f>
        <v>20/12/2016</v>
      </c>
      <c r="B1823" t="str">
        <f>"1193.50"</f>
        <v>1193.50</v>
      </c>
      <c r="C1823" t="str">
        <f>"1193.4987"</f>
        <v>1193.4987</v>
      </c>
    </row>
    <row r="1824" spans="1:3" x14ac:dyDescent="0.25">
      <c r="A1824" t="str">
        <f>"21/12/2016"</f>
        <v>21/12/2016</v>
      </c>
      <c r="B1824" t="str">
        <f>"1194.95"</f>
        <v>1194.95</v>
      </c>
      <c r="C1824" t="str">
        <f>"1194.9487"</f>
        <v>1194.9487</v>
      </c>
    </row>
    <row r="1825" spans="1:3" x14ac:dyDescent="0.25">
      <c r="A1825" t="str">
        <f>"22/12/2016"</f>
        <v>22/12/2016</v>
      </c>
      <c r="B1825" t="str">
        <f>"1199.25"</f>
        <v>1199.25</v>
      </c>
      <c r="C1825" t="str">
        <f>"1199.2487"</f>
        <v>1199.2487</v>
      </c>
    </row>
    <row r="1826" spans="1:3" x14ac:dyDescent="0.25">
      <c r="A1826" t="str">
        <f>"23/12/2016"</f>
        <v>23/12/2016</v>
      </c>
      <c r="B1826" t="str">
        <f>"1202.95"</f>
        <v>1202.95</v>
      </c>
      <c r="C1826" t="str">
        <f>"1202.9487"</f>
        <v>1202.9487</v>
      </c>
    </row>
    <row r="1827" spans="1:3" x14ac:dyDescent="0.25">
      <c r="A1827" t="str">
        <f>"26/12/2016"</f>
        <v>26/12/2016</v>
      </c>
      <c r="B1827" t="str">
        <f>"1201.50"</f>
        <v>1201.50</v>
      </c>
      <c r="C1827" t="str">
        <f>"1201.4995"</f>
        <v>1201.4995</v>
      </c>
    </row>
    <row r="1828" spans="1:3" x14ac:dyDescent="0.25">
      <c r="A1828" t="str">
        <f>"27/12/2016"</f>
        <v>27/12/2016</v>
      </c>
      <c r="B1828" t="str">
        <f>"1207.60"</f>
        <v>1207.60</v>
      </c>
      <c r="C1828" t="str">
        <f>"1207.5995"</f>
        <v>1207.5995</v>
      </c>
    </row>
    <row r="1829" spans="1:3" x14ac:dyDescent="0.25">
      <c r="A1829" t="str">
        <f>"28/12/2016"</f>
        <v>28/12/2016</v>
      </c>
      <c r="B1829" t="str">
        <f>"1209.05"</f>
        <v>1209.05</v>
      </c>
      <c r="C1829" t="str">
        <f>"1209.0525"</f>
        <v>1209.0525</v>
      </c>
    </row>
    <row r="1830" spans="1:3" x14ac:dyDescent="0.25">
      <c r="A1830" t="str">
        <f>"29/12/2016"</f>
        <v>29/12/2016</v>
      </c>
      <c r="B1830" t="str">
        <f>"1208.00"</f>
        <v>1208.00</v>
      </c>
      <c r="C1830" t="str">
        <f>"1208.003"</f>
        <v>1208.003</v>
      </c>
    </row>
    <row r="1831" spans="1:3" x14ac:dyDescent="0.25">
      <c r="A1831" t="str">
        <f>"30/12/2016"</f>
        <v>30/12/2016</v>
      </c>
      <c r="B1831" t="str">
        <f>"1208.00"</f>
        <v>1208.00</v>
      </c>
      <c r="C1831" t="str">
        <f>"1208.003"</f>
        <v>1208.003</v>
      </c>
    </row>
    <row r="1832" spans="1:3" x14ac:dyDescent="0.25">
      <c r="A1832" t="str">
        <f>"02/01/2017"</f>
        <v>02/01/2017</v>
      </c>
      <c r="B1832" t="str">
        <f>"1208.05"</f>
        <v>1208.05</v>
      </c>
      <c r="C1832" t="str">
        <f>"1208.053"</f>
        <v>1208.053</v>
      </c>
    </row>
    <row r="1833" spans="1:3" x14ac:dyDescent="0.25">
      <c r="A1833" t="str">
        <f>"03/01/2017"</f>
        <v>03/01/2017</v>
      </c>
      <c r="B1833" t="str">
        <f>"1203.50"</f>
        <v>1203.50</v>
      </c>
      <c r="C1833" t="str">
        <f>"1203.503"</f>
        <v>1203.503</v>
      </c>
    </row>
    <row r="1834" spans="1:3" x14ac:dyDescent="0.25">
      <c r="A1834" t="str">
        <f>"04/01/2017"</f>
        <v>04/01/2017</v>
      </c>
      <c r="B1834" t="str">
        <f>"1206.45"</f>
        <v>1206.45</v>
      </c>
      <c r="C1834" t="str">
        <f>"1206.452"</f>
        <v>1206.452</v>
      </c>
    </row>
    <row r="1835" spans="1:3" x14ac:dyDescent="0.25">
      <c r="A1835" t="str">
        <f>"05/01/2017"</f>
        <v>05/01/2017</v>
      </c>
      <c r="B1835" t="str">
        <f>"1186.35"</f>
        <v>1186.35</v>
      </c>
      <c r="C1835" t="str">
        <f>"1186.352"</f>
        <v>1186.352</v>
      </c>
    </row>
    <row r="1836" spans="1:3" x14ac:dyDescent="0.25">
      <c r="A1836" t="str">
        <f>"06/01/2017"</f>
        <v>06/01/2017</v>
      </c>
      <c r="B1836" t="str">
        <f>"1193.10"</f>
        <v>1193.10</v>
      </c>
      <c r="C1836" t="str">
        <f>"1193.1038"</f>
        <v>1193.1038</v>
      </c>
    </row>
    <row r="1837" spans="1:3" x14ac:dyDescent="0.25">
      <c r="A1837" t="str">
        <f>"09/01/2017"</f>
        <v>09/01/2017</v>
      </c>
      <c r="B1837" t="str">
        <f>"1208.50"</f>
        <v>1208.50</v>
      </c>
      <c r="C1837" t="str">
        <f>"1208.5038"</f>
        <v>1208.5038</v>
      </c>
    </row>
    <row r="1838" spans="1:3" x14ac:dyDescent="0.25">
      <c r="A1838" t="str">
        <f>"10/01/2017"</f>
        <v>10/01/2017</v>
      </c>
      <c r="B1838" t="str">
        <f>"1195.50"</f>
        <v>1195.50</v>
      </c>
      <c r="C1838" t="str">
        <f>"1195.5038"</f>
        <v>1195.5038</v>
      </c>
    </row>
    <row r="1839" spans="1:3" x14ac:dyDescent="0.25">
      <c r="A1839" t="str">
        <f>"11/01/2017"</f>
        <v>11/01/2017</v>
      </c>
      <c r="B1839" t="str">
        <f>"1196.45"</f>
        <v>1196.45</v>
      </c>
      <c r="C1839" t="str">
        <f>"1196.4538"</f>
        <v>1196.4538</v>
      </c>
    </row>
    <row r="1840" spans="1:3" x14ac:dyDescent="0.25">
      <c r="A1840" t="str">
        <f>"12/01/2017"</f>
        <v>12/01/2017</v>
      </c>
      <c r="B1840" t="str">
        <f>"1185.00"</f>
        <v>1185.00</v>
      </c>
      <c r="C1840" t="str">
        <f>"1185.0038"</f>
        <v>1185.0038</v>
      </c>
    </row>
    <row r="1841" spans="1:3" x14ac:dyDescent="0.25">
      <c r="A1841" t="str">
        <f>"13/01/2017"</f>
        <v>13/01/2017</v>
      </c>
      <c r="B1841" t="str">
        <f>"1175.05"</f>
        <v>1175.05</v>
      </c>
      <c r="C1841" t="str">
        <f>"1175.0538"</f>
        <v>1175.0538</v>
      </c>
    </row>
    <row r="1842" spans="1:3" x14ac:dyDescent="0.25">
      <c r="A1842" t="str">
        <f>"16/01/2017"</f>
        <v>16/01/2017</v>
      </c>
      <c r="B1842" t="str">
        <f>"1181.20"</f>
        <v>1181.20</v>
      </c>
      <c r="C1842" t="str">
        <f>"1181.2038"</f>
        <v>1181.2038</v>
      </c>
    </row>
    <row r="1843" spans="1:3" x14ac:dyDescent="0.25">
      <c r="A1843" t="str">
        <f>"17/01/2017"</f>
        <v>17/01/2017</v>
      </c>
      <c r="B1843" t="str">
        <f>"1174.60"</f>
        <v>1174.60</v>
      </c>
      <c r="C1843" t="str">
        <f>"1174.6025"</f>
        <v>1174.6025</v>
      </c>
    </row>
    <row r="1844" spans="1:3" x14ac:dyDescent="0.25">
      <c r="A1844" t="str">
        <f>"18/01/2017"</f>
        <v>18/01/2017</v>
      </c>
      <c r="B1844" t="str">
        <f>"1165.75"</f>
        <v>1165.75</v>
      </c>
      <c r="C1844" t="str">
        <f>"1165.751"</f>
        <v>1165.751</v>
      </c>
    </row>
    <row r="1845" spans="1:3" x14ac:dyDescent="0.25">
      <c r="A1845" t="str">
        <f>"19/01/2017"</f>
        <v>19/01/2017</v>
      </c>
      <c r="B1845" t="str">
        <f>"1176.50"</f>
        <v>1176.50</v>
      </c>
      <c r="C1845" t="str">
        <f>"1176.501"</f>
        <v>1176.501</v>
      </c>
    </row>
    <row r="1846" spans="1:3" x14ac:dyDescent="0.25">
      <c r="A1846" t="str">
        <f>"20/01/2017"</f>
        <v>20/01/2017</v>
      </c>
      <c r="B1846" t="str">
        <f>"1169.25"</f>
        <v>1169.25</v>
      </c>
      <c r="C1846" t="str">
        <f>"1169.251"</f>
        <v>1169.251</v>
      </c>
    </row>
    <row r="1847" spans="1:3" x14ac:dyDescent="0.25">
      <c r="A1847" t="str">
        <f>"23/01/2017"</f>
        <v>23/01/2017</v>
      </c>
      <c r="B1847" t="str">
        <f>"1166.45"</f>
        <v>1166.45</v>
      </c>
      <c r="C1847" t="str">
        <f>"1166.451"</f>
        <v>1166.451</v>
      </c>
    </row>
    <row r="1848" spans="1:3" x14ac:dyDescent="0.25">
      <c r="A1848" t="str">
        <f>"24/01/2017"</f>
        <v>24/01/2017</v>
      </c>
      <c r="B1848" t="str">
        <f>"1163.65"</f>
        <v>1163.65</v>
      </c>
      <c r="C1848" t="str">
        <f>"1163.6503"</f>
        <v>1163.6503</v>
      </c>
    </row>
    <row r="1849" spans="1:3" x14ac:dyDescent="0.25">
      <c r="A1849" t="str">
        <f>"25/01/2017"</f>
        <v>25/01/2017</v>
      </c>
      <c r="B1849" t="str">
        <f>"1166.10"</f>
        <v>1166.10</v>
      </c>
      <c r="C1849" t="str">
        <f>"1166.1003"</f>
        <v>1166.1003</v>
      </c>
    </row>
    <row r="1850" spans="1:3" x14ac:dyDescent="0.25">
      <c r="A1850" t="str">
        <f>"27/01/2017"</f>
        <v>27/01/2017</v>
      </c>
      <c r="B1850" t="str">
        <f>"1159.75"</f>
        <v>1159.75</v>
      </c>
      <c r="C1850" t="str">
        <f>"1159.7497"</f>
        <v>1159.7497</v>
      </c>
    </row>
    <row r="1851" spans="1:3" x14ac:dyDescent="0.25">
      <c r="A1851" t="str">
        <f>"30/01/2017"</f>
        <v>30/01/2017</v>
      </c>
      <c r="B1851" t="str">
        <f>"1159.75"</f>
        <v>1159.75</v>
      </c>
      <c r="C1851" t="str">
        <f>"1159.7497"</f>
        <v>1159.7497</v>
      </c>
    </row>
    <row r="1852" spans="1:3" x14ac:dyDescent="0.25">
      <c r="A1852" t="str">
        <f>"31/01/2017"</f>
        <v>31/01/2017</v>
      </c>
      <c r="B1852" t="str">
        <f>"1161.70"</f>
        <v>1161.70</v>
      </c>
      <c r="C1852" t="str">
        <f>"1161.6997"</f>
        <v>1161.6997</v>
      </c>
    </row>
    <row r="1853" spans="1:3" x14ac:dyDescent="0.25">
      <c r="A1853" t="str">
        <f>"01/02/2017"</f>
        <v>01/02/2017</v>
      </c>
      <c r="B1853" t="str">
        <f>"1156.65"</f>
        <v>1156.65</v>
      </c>
      <c r="C1853" t="str">
        <f>"1156.6497"</f>
        <v>1156.6497</v>
      </c>
    </row>
    <row r="1854" spans="1:3" x14ac:dyDescent="0.25">
      <c r="A1854" t="str">
        <f>"02/02/2017"</f>
        <v>02/02/2017</v>
      </c>
      <c r="B1854" t="str">
        <f>"1147.00"</f>
        <v>1147.00</v>
      </c>
      <c r="C1854" t="str">
        <f>"1147.001"</f>
        <v>1147.001</v>
      </c>
    </row>
    <row r="1855" spans="1:3" x14ac:dyDescent="0.25">
      <c r="A1855" t="str">
        <f>"03/02/2017"</f>
        <v>03/02/2017</v>
      </c>
      <c r="B1855" t="str">
        <f>"1147.55"</f>
        <v>1147.55</v>
      </c>
      <c r="C1855" t="str">
        <f>"1147.551"</f>
        <v>1147.551</v>
      </c>
    </row>
    <row r="1856" spans="1:3" x14ac:dyDescent="0.25">
      <c r="A1856" t="str">
        <f>"06/02/2017"</f>
        <v>06/02/2017</v>
      </c>
      <c r="B1856" t="str">
        <f>"1138.55"</f>
        <v>1138.55</v>
      </c>
      <c r="C1856" t="str">
        <f>"1138.551"</f>
        <v>1138.551</v>
      </c>
    </row>
    <row r="1857" spans="1:3" x14ac:dyDescent="0.25">
      <c r="A1857" t="str">
        <f>"07/02/2017"</f>
        <v>07/02/2017</v>
      </c>
      <c r="B1857" t="str">
        <f>"1144.35"</f>
        <v>1144.35</v>
      </c>
      <c r="C1857" t="str">
        <f>"1144.351"</f>
        <v>1144.351</v>
      </c>
    </row>
    <row r="1858" spans="1:3" x14ac:dyDescent="0.25">
      <c r="A1858" t="str">
        <f>"08/02/2017"</f>
        <v>08/02/2017</v>
      </c>
      <c r="B1858" t="str">
        <f>"1145.00"</f>
        <v>1145.00</v>
      </c>
      <c r="C1858" t="str">
        <f>"1145.001"</f>
        <v>1145.001</v>
      </c>
    </row>
    <row r="1859" spans="1:3" x14ac:dyDescent="0.25">
      <c r="A1859" t="str">
        <f>"09/02/2017"</f>
        <v>09/02/2017</v>
      </c>
      <c r="B1859" t="str">
        <f>"1146.40"</f>
        <v>1146.40</v>
      </c>
      <c r="C1859" t="str">
        <f>"1146.3993"</f>
        <v>1146.3993</v>
      </c>
    </row>
    <row r="1860" spans="1:3" x14ac:dyDescent="0.25">
      <c r="A1860" t="str">
        <f>"10/02/2017"</f>
        <v>10/02/2017</v>
      </c>
      <c r="B1860" t="str">
        <f>"1150.65"</f>
        <v>1150.65</v>
      </c>
      <c r="C1860" t="str">
        <f>"1150.648"</f>
        <v>1150.648</v>
      </c>
    </row>
    <row r="1861" spans="1:3" x14ac:dyDescent="0.25">
      <c r="A1861" t="str">
        <f>"13/02/2017"</f>
        <v>13/02/2017</v>
      </c>
      <c r="B1861" t="str">
        <f>"1152.05"</f>
        <v>1152.05</v>
      </c>
      <c r="C1861" t="str">
        <f>"1152.0485"</f>
        <v>1152.0485</v>
      </c>
    </row>
    <row r="1862" spans="1:3" x14ac:dyDescent="0.25">
      <c r="A1862" t="str">
        <f>"14/02/2017"</f>
        <v>14/02/2017</v>
      </c>
      <c r="B1862" t="str">
        <f>"1137.50"</f>
        <v>1137.50</v>
      </c>
      <c r="C1862" t="str">
        <f>"1137.5007"</f>
        <v>1137.5007</v>
      </c>
    </row>
    <row r="1863" spans="1:3" x14ac:dyDescent="0.25">
      <c r="A1863" t="str">
        <f>"15/02/2017"</f>
        <v>15/02/2017</v>
      </c>
      <c r="B1863" t="str">
        <f>"1142.35"</f>
        <v>1142.35</v>
      </c>
      <c r="C1863" t="str">
        <f>"1142.3508"</f>
        <v>1142.3508</v>
      </c>
    </row>
    <row r="1864" spans="1:3" x14ac:dyDescent="0.25">
      <c r="A1864" t="str">
        <f>"16/02/2017"</f>
        <v>16/02/2017</v>
      </c>
      <c r="B1864" t="str">
        <f>"1141.90"</f>
        <v>1141.90</v>
      </c>
      <c r="C1864" t="str">
        <f>"1141.9008"</f>
        <v>1141.9008</v>
      </c>
    </row>
    <row r="1865" spans="1:3" x14ac:dyDescent="0.25">
      <c r="A1865" t="str">
        <f>"17/02/2017"</f>
        <v>17/02/2017</v>
      </c>
      <c r="B1865" t="str">
        <f>"1148.20"</f>
        <v>1148.20</v>
      </c>
      <c r="C1865" t="str">
        <f>"1148.199"</f>
        <v>1148.199</v>
      </c>
    </row>
    <row r="1866" spans="1:3" x14ac:dyDescent="0.25">
      <c r="A1866" t="str">
        <f>"20/02/2017"</f>
        <v>20/02/2017</v>
      </c>
      <c r="B1866" t="str">
        <f>"1147.65"</f>
        <v>1147.65</v>
      </c>
      <c r="C1866" t="str">
        <f>"1147.649"</f>
        <v>1147.649</v>
      </c>
    </row>
    <row r="1867" spans="1:3" x14ac:dyDescent="0.25">
      <c r="A1867" t="str">
        <f>"22/02/2017"</f>
        <v>22/02/2017</v>
      </c>
      <c r="B1867" t="str">
        <f>"1142.60"</f>
        <v>1142.60</v>
      </c>
      <c r="C1867" t="str">
        <f>"1142.6005"</f>
        <v>1142.6005</v>
      </c>
    </row>
    <row r="1868" spans="1:3" x14ac:dyDescent="0.25">
      <c r="A1868" t="str">
        <f>"23/02/2017"</f>
        <v>23/02/2017</v>
      </c>
      <c r="B1868" t="str">
        <f>"1137.50"</f>
        <v>1137.50</v>
      </c>
      <c r="C1868" t="str">
        <f>"1137.502"</f>
        <v>1137.502</v>
      </c>
    </row>
    <row r="1869" spans="1:3" x14ac:dyDescent="0.25">
      <c r="A1869" t="str">
        <f>"27/02/2017"</f>
        <v>27/02/2017</v>
      </c>
      <c r="B1869" t="str">
        <f>"1133.85"</f>
        <v>1133.85</v>
      </c>
      <c r="C1869" t="str">
        <f>"1133.856"</f>
        <v>1133.856</v>
      </c>
    </row>
    <row r="1870" spans="1:3" x14ac:dyDescent="0.25">
      <c r="A1870" t="str">
        <f>"28/02/2017"</f>
        <v>28/02/2017</v>
      </c>
      <c r="B1870" t="str">
        <f>"1130.45"</f>
        <v>1130.45</v>
      </c>
      <c r="C1870" t="str">
        <f>"1130.456"</f>
        <v>1130.456</v>
      </c>
    </row>
    <row r="1871" spans="1:3" x14ac:dyDescent="0.25">
      <c r="A1871" t="str">
        <f>"01/03/2017"</f>
        <v>01/03/2017</v>
      </c>
      <c r="B1871" t="str">
        <f>"1130.45"</f>
        <v>1130.45</v>
      </c>
      <c r="C1871" t="str">
        <f>"1130.456"</f>
        <v>1130.456</v>
      </c>
    </row>
    <row r="1872" spans="1:3" x14ac:dyDescent="0.25">
      <c r="A1872" t="str">
        <f>"02/03/2017"</f>
        <v>02/03/2017</v>
      </c>
      <c r="B1872" t="str">
        <f>"1141.70"</f>
        <v>1141.70</v>
      </c>
      <c r="C1872" t="str">
        <f>"1141.706"</f>
        <v>1141.706</v>
      </c>
    </row>
    <row r="1873" spans="1:3" x14ac:dyDescent="0.25">
      <c r="A1873" t="str">
        <f>"03/03/2017"</f>
        <v>03/03/2017</v>
      </c>
      <c r="B1873" t="str">
        <f>"1153.90"</f>
        <v>1153.90</v>
      </c>
      <c r="C1873" t="str">
        <f>"1153.906"</f>
        <v>1153.906</v>
      </c>
    </row>
    <row r="1874" spans="1:3" x14ac:dyDescent="0.25">
      <c r="A1874" t="str">
        <f>"06/03/2017"</f>
        <v>06/03/2017</v>
      </c>
      <c r="B1874" t="str">
        <f>"1158.00"</f>
        <v>1158.00</v>
      </c>
      <c r="C1874" t="str">
        <f>"1158.006"</f>
        <v>1158.006</v>
      </c>
    </row>
    <row r="1875" spans="1:3" x14ac:dyDescent="0.25">
      <c r="A1875" t="str">
        <f>"07/03/2017"</f>
        <v>07/03/2017</v>
      </c>
      <c r="B1875" t="str">
        <f>"1146.25"</f>
        <v>1146.25</v>
      </c>
      <c r="C1875" t="str">
        <f>"1146.256"</f>
        <v>1146.256</v>
      </c>
    </row>
    <row r="1876" spans="1:3" x14ac:dyDescent="0.25">
      <c r="A1876" t="str">
        <f>"08/03/2017"</f>
        <v>08/03/2017</v>
      </c>
      <c r="B1876" t="str">
        <f>"1145.65"</f>
        <v>1145.65</v>
      </c>
      <c r="C1876" t="str">
        <f>"1145.656"</f>
        <v>1145.656</v>
      </c>
    </row>
    <row r="1877" spans="1:3" x14ac:dyDescent="0.25">
      <c r="A1877" t="str">
        <f>"09/03/2017"</f>
        <v>09/03/2017</v>
      </c>
      <c r="B1877" t="str">
        <f>"1158.40"</f>
        <v>1158.40</v>
      </c>
      <c r="C1877" t="str">
        <f>"1158.4088"</f>
        <v>1158.4088</v>
      </c>
    </row>
    <row r="1878" spans="1:3" x14ac:dyDescent="0.25">
      <c r="A1878" t="str">
        <f>"10/03/2017"</f>
        <v>10/03/2017</v>
      </c>
      <c r="B1878" t="str">
        <f>"1157.45"</f>
        <v>1157.45</v>
      </c>
      <c r="C1878" t="str">
        <f>"1157.4588"</f>
        <v>1157.4588</v>
      </c>
    </row>
    <row r="1879" spans="1:3" x14ac:dyDescent="0.25">
      <c r="A1879" t="str">
        <f>"14/03/2017"</f>
        <v>14/03/2017</v>
      </c>
      <c r="B1879" t="str">
        <f>"1149.00"</f>
        <v>1149.00</v>
      </c>
      <c r="C1879" t="str">
        <f>"1149.0088"</f>
        <v>1149.0088</v>
      </c>
    </row>
    <row r="1880" spans="1:3" x14ac:dyDescent="0.25">
      <c r="A1880" t="str">
        <f>"15/03/2017"</f>
        <v>15/03/2017</v>
      </c>
      <c r="B1880" t="str">
        <f>"1144.55"</f>
        <v>1144.55</v>
      </c>
      <c r="C1880" t="str">
        <f>"1144.5588"</f>
        <v>1144.5588</v>
      </c>
    </row>
    <row r="1881" spans="1:3" x14ac:dyDescent="0.25">
      <c r="A1881" t="str">
        <f>"16/03/2017"</f>
        <v>16/03/2017</v>
      </c>
      <c r="B1881" t="str">
        <f>"1131.95"</f>
        <v>1131.95</v>
      </c>
      <c r="C1881" t="str">
        <f>"1131.9558"</f>
        <v>1131.9558</v>
      </c>
    </row>
    <row r="1882" spans="1:3" x14ac:dyDescent="0.25">
      <c r="A1882" t="str">
        <f>"17/03/2017"</f>
        <v>17/03/2017</v>
      </c>
      <c r="B1882" t="str">
        <f>"1131.40"</f>
        <v>1131.40</v>
      </c>
      <c r="C1882" t="str">
        <f>"1131.4058"</f>
        <v>1131.4058</v>
      </c>
    </row>
    <row r="1883" spans="1:3" x14ac:dyDescent="0.25">
      <c r="A1883" t="str">
        <f>"20/03/2017"</f>
        <v>20/03/2017</v>
      </c>
      <c r="B1883" t="str">
        <f>"1120.20"</f>
        <v>1120.20</v>
      </c>
      <c r="C1883" t="str">
        <f>"1120.2043"</f>
        <v>1120.2043</v>
      </c>
    </row>
    <row r="1884" spans="1:3" x14ac:dyDescent="0.25">
      <c r="A1884" t="str">
        <f>"21/03/2017"</f>
        <v>21/03/2017</v>
      </c>
      <c r="B1884" t="str">
        <f>"1122.70"</f>
        <v>1122.70</v>
      </c>
      <c r="C1884" t="str">
        <f>"1122.7043"</f>
        <v>1122.7043</v>
      </c>
    </row>
    <row r="1885" spans="1:3" x14ac:dyDescent="0.25">
      <c r="A1885" t="str">
        <f>"22/03/2017"</f>
        <v>22/03/2017</v>
      </c>
      <c r="B1885" t="str">
        <f>"1123.45"</f>
        <v>1123.45</v>
      </c>
      <c r="C1885" t="str">
        <f>"1123.4538"</f>
        <v>1123.4538</v>
      </c>
    </row>
    <row r="1886" spans="1:3" x14ac:dyDescent="0.25">
      <c r="A1886" t="str">
        <f>"23/03/2017"</f>
        <v>23/03/2017</v>
      </c>
      <c r="B1886" t="str">
        <f>"1120.15"</f>
        <v>1120.15</v>
      </c>
      <c r="C1886" t="str">
        <f>"1120.1538"</f>
        <v>1120.1538</v>
      </c>
    </row>
    <row r="1887" spans="1:3" x14ac:dyDescent="0.25">
      <c r="A1887" t="str">
        <f>"24/03/2017"</f>
        <v>24/03/2017</v>
      </c>
      <c r="B1887" t="str">
        <f>"1122.85"</f>
        <v>1122.85</v>
      </c>
      <c r="C1887" t="str">
        <f>"1122.8528"</f>
        <v>1122.8528</v>
      </c>
    </row>
    <row r="1888" spans="1:3" x14ac:dyDescent="0.25">
      <c r="A1888" t="str">
        <f>"27/03/2017"</f>
        <v>27/03/2017</v>
      </c>
      <c r="B1888" t="str">
        <f>"1113.00"</f>
        <v>1113.00</v>
      </c>
      <c r="C1888" t="str">
        <f>"1113.0007"</f>
        <v>1113.0007</v>
      </c>
    </row>
    <row r="1889" spans="1:3" x14ac:dyDescent="0.25">
      <c r="A1889" t="str">
        <f>"29/03/2017"</f>
        <v>29/03/2017</v>
      </c>
      <c r="B1889" t="str">
        <f>"1114.70"</f>
        <v>1114.70</v>
      </c>
      <c r="C1889" t="str">
        <f>"1114.7035"</f>
        <v>1114.7035</v>
      </c>
    </row>
    <row r="1890" spans="1:3" x14ac:dyDescent="0.25">
      <c r="A1890" t="str">
        <f>"30/03/2017"</f>
        <v>30/03/2017</v>
      </c>
      <c r="B1890" t="str">
        <f>"1117.40"</f>
        <v>1117.40</v>
      </c>
      <c r="C1890" t="str">
        <f>"1117.405"</f>
        <v>1117.405</v>
      </c>
    </row>
    <row r="1891" spans="1:3" x14ac:dyDescent="0.25">
      <c r="A1891" t="str">
        <f>"31/03/2017"</f>
        <v>31/03/2017</v>
      </c>
      <c r="B1891" t="str">
        <f>"1118.50"</f>
        <v>1118.50</v>
      </c>
      <c r="C1891" t="str">
        <f>"1118.5018"</f>
        <v>1118.5018</v>
      </c>
    </row>
    <row r="1892" spans="1:3" x14ac:dyDescent="0.25">
      <c r="A1892" t="str">
        <f>"03/04/2017"</f>
        <v>03/04/2017</v>
      </c>
      <c r="B1892" t="str">
        <f>"1115.75"</f>
        <v>1115.75</v>
      </c>
      <c r="C1892" t="str">
        <f>"1115.754"</f>
        <v>1115.754</v>
      </c>
    </row>
    <row r="1893" spans="1:3" x14ac:dyDescent="0.25">
      <c r="A1893" t="str">
        <f>"05/04/2017"</f>
        <v>05/04/2017</v>
      </c>
      <c r="B1893" t="str">
        <f>"1124.35"</f>
        <v>1124.35</v>
      </c>
      <c r="C1893" t="str">
        <f>"1124.354"</f>
        <v>1124.354</v>
      </c>
    </row>
    <row r="1894" spans="1:3" x14ac:dyDescent="0.25">
      <c r="A1894" t="str">
        <f>"06/04/2017"</f>
        <v>06/04/2017</v>
      </c>
      <c r="B1894" t="str">
        <f>"1133.20"</f>
        <v>1133.20</v>
      </c>
      <c r="C1894" t="str">
        <f>"1133.204"</f>
        <v>1133.204</v>
      </c>
    </row>
    <row r="1895" spans="1:3" x14ac:dyDescent="0.25">
      <c r="A1895" t="str">
        <f>"07/04/2017"</f>
        <v>07/04/2017</v>
      </c>
      <c r="B1895" t="str">
        <f>"1134.50"</f>
        <v>1134.50</v>
      </c>
      <c r="C1895" t="str">
        <f>"1134.504"</f>
        <v>1134.504</v>
      </c>
    </row>
    <row r="1896" spans="1:3" x14ac:dyDescent="0.25">
      <c r="A1896" t="str">
        <f>"10/04/2017"</f>
        <v>10/04/2017</v>
      </c>
      <c r="B1896" t="str">
        <f>"1142.55"</f>
        <v>1142.55</v>
      </c>
      <c r="C1896" t="str">
        <f>"1142.555"</f>
        <v>1142.555</v>
      </c>
    </row>
    <row r="1897" spans="1:3" x14ac:dyDescent="0.25">
      <c r="A1897" t="str">
        <f>"11/04/2017"</f>
        <v>11/04/2017</v>
      </c>
      <c r="B1897" t="str">
        <f>"1145.95"</f>
        <v>1145.95</v>
      </c>
      <c r="C1897" t="str">
        <f>"1145.9555"</f>
        <v>1145.9555</v>
      </c>
    </row>
    <row r="1898" spans="1:3" x14ac:dyDescent="0.25">
      <c r="A1898" t="str">
        <f>"12/04/2017"</f>
        <v>12/04/2017</v>
      </c>
      <c r="B1898" t="str">
        <f>"1144.05"</f>
        <v>1144.05</v>
      </c>
      <c r="C1898" t="str">
        <f>"1144.055"</f>
        <v>1144.055</v>
      </c>
    </row>
    <row r="1899" spans="1:3" x14ac:dyDescent="0.25">
      <c r="A1899" t="str">
        <f>"13/04/2017"</f>
        <v>13/04/2017</v>
      </c>
      <c r="B1899" t="str">
        <f>"1129.90"</f>
        <v>1129.90</v>
      </c>
      <c r="C1899" t="str">
        <f>"1129.9035"</f>
        <v>1129.9035</v>
      </c>
    </row>
    <row r="1900" spans="1:3" x14ac:dyDescent="0.25">
      <c r="A1900" t="str">
        <f>"17/04/2017"</f>
        <v>17/04/2017</v>
      </c>
      <c r="B1900" t="str">
        <f>"1139.00"</f>
        <v>1139.00</v>
      </c>
      <c r="C1900" t="str">
        <f>"1139.003"</f>
        <v>1139.003</v>
      </c>
    </row>
    <row r="1901" spans="1:3" x14ac:dyDescent="0.25">
      <c r="A1901" t="str">
        <f>"18/04/2017"</f>
        <v>18/04/2017</v>
      </c>
      <c r="B1901" t="str">
        <f>"1142.50"</f>
        <v>1142.50</v>
      </c>
      <c r="C1901" t="str">
        <f>"1142.503"</f>
        <v>1142.503</v>
      </c>
    </row>
    <row r="1902" spans="1:3" x14ac:dyDescent="0.25">
      <c r="A1902" t="str">
        <f>"19/04/2017"</f>
        <v>19/04/2017</v>
      </c>
      <c r="B1902" t="str">
        <f>"1141.15"</f>
        <v>1141.15</v>
      </c>
      <c r="C1902" t="str">
        <f>"1141.153"</f>
        <v>1141.153</v>
      </c>
    </row>
    <row r="1903" spans="1:3" x14ac:dyDescent="0.25">
      <c r="A1903" t="str">
        <f>"20/04/2017"</f>
        <v>20/04/2017</v>
      </c>
      <c r="B1903" t="str">
        <f>"1140.30"</f>
        <v>1140.30</v>
      </c>
      <c r="C1903" t="str">
        <f>"1140.3035"</f>
        <v>1140.3035</v>
      </c>
    </row>
    <row r="1904" spans="1:3" x14ac:dyDescent="0.25">
      <c r="A1904" t="str">
        <f>"21/04/2017"</f>
        <v>21/04/2017</v>
      </c>
      <c r="B1904" t="str">
        <f>"1134.40"</f>
        <v>1134.40</v>
      </c>
      <c r="C1904" t="str">
        <f>"1134.403"</f>
        <v>1134.403</v>
      </c>
    </row>
    <row r="1905" spans="1:3" x14ac:dyDescent="0.25">
      <c r="A1905" t="str">
        <f>"24/04/2017"</f>
        <v>24/04/2017</v>
      </c>
      <c r="B1905" t="str">
        <f>"1130.15"</f>
        <v>1130.15</v>
      </c>
      <c r="C1905" t="str">
        <f>"1130.153"</f>
        <v>1130.153</v>
      </c>
    </row>
    <row r="1906" spans="1:3" x14ac:dyDescent="0.25">
      <c r="A1906" t="str">
        <f>"25/04/2017"</f>
        <v>25/04/2017</v>
      </c>
      <c r="B1906" t="str">
        <f>"1125.50"</f>
        <v>1125.50</v>
      </c>
      <c r="C1906" t="str">
        <f>"1125.503"</f>
        <v>1125.503</v>
      </c>
    </row>
    <row r="1907" spans="1:3" x14ac:dyDescent="0.25">
      <c r="A1907" t="str">
        <f>"26/04/2017"</f>
        <v>26/04/2017</v>
      </c>
      <c r="B1907" t="str">
        <f>"1125.40"</f>
        <v>1125.40</v>
      </c>
      <c r="C1907" t="str">
        <f>"1125.4035"</f>
        <v>1125.4035</v>
      </c>
    </row>
    <row r="1908" spans="1:3" x14ac:dyDescent="0.25">
      <c r="A1908" t="str">
        <f>"27/04/2017"</f>
        <v>27/04/2017</v>
      </c>
      <c r="B1908" t="str">
        <f>"1130.25"</f>
        <v>1130.25</v>
      </c>
      <c r="C1908" t="str">
        <f>"1130.2535"</f>
        <v>1130.2535</v>
      </c>
    </row>
    <row r="1909" spans="1:3" x14ac:dyDescent="0.25">
      <c r="A1909" t="str">
        <f>"28/04/2017"</f>
        <v>28/04/2017</v>
      </c>
      <c r="B1909" t="str">
        <f>"1137.90"</f>
        <v>1137.90</v>
      </c>
      <c r="C1909" t="str">
        <f>"1137.9013"</f>
        <v>1137.9013</v>
      </c>
    </row>
    <row r="1910" spans="1:3" x14ac:dyDescent="0.25">
      <c r="A1910" t="str">
        <f>"02/05/2017"</f>
        <v>02/05/2017</v>
      </c>
      <c r="B1910" t="str">
        <f>"1131.10"</f>
        <v>1131.10</v>
      </c>
      <c r="C1910" t="str">
        <f>"1131.104"</f>
        <v>1131.104</v>
      </c>
    </row>
    <row r="1911" spans="1:3" x14ac:dyDescent="0.25">
      <c r="A1911" t="str">
        <f>"03/05/2017"</f>
        <v>03/05/2017</v>
      </c>
      <c r="B1911" t="str">
        <f>"1131.10"</f>
        <v>1131.10</v>
      </c>
      <c r="C1911" t="str">
        <f>"1131.104"</f>
        <v>1131.104</v>
      </c>
    </row>
    <row r="1912" spans="1:3" x14ac:dyDescent="0.25">
      <c r="A1912" t="str">
        <f>"04/05/2017"</f>
        <v>04/05/2017</v>
      </c>
      <c r="B1912" t="str">
        <f>"1130.95"</f>
        <v>1130.95</v>
      </c>
      <c r="C1912" t="str">
        <f>"1130.9545"</f>
        <v>1130.9545</v>
      </c>
    </row>
    <row r="1913" spans="1:3" x14ac:dyDescent="0.25">
      <c r="A1913" t="str">
        <f>"05/05/2017"</f>
        <v>05/05/2017</v>
      </c>
      <c r="B1913" t="str">
        <f>"1132.75"</f>
        <v>1132.75</v>
      </c>
      <c r="C1913" t="str">
        <f>"1132.7545"</f>
        <v>1132.7545</v>
      </c>
    </row>
    <row r="1914" spans="1:3" x14ac:dyDescent="0.25">
      <c r="A1914" t="str">
        <f>"08/05/2017"</f>
        <v>08/05/2017</v>
      </c>
      <c r="B1914" t="str">
        <f>"1131.55"</f>
        <v>1131.55</v>
      </c>
      <c r="C1914" t="str">
        <f>"1131.555"</f>
        <v>1131.555</v>
      </c>
    </row>
    <row r="1915" spans="1:3" x14ac:dyDescent="0.25">
      <c r="A1915" t="str">
        <f>"09/05/2017"</f>
        <v>09/05/2017</v>
      </c>
      <c r="B1915" t="str">
        <f>"1131.55"</f>
        <v>1131.55</v>
      </c>
      <c r="C1915" t="str">
        <f>"1131.555"</f>
        <v>1131.555</v>
      </c>
    </row>
    <row r="1916" spans="1:3" x14ac:dyDescent="0.25">
      <c r="A1916" t="str">
        <f>"11/05/2017"</f>
        <v>11/05/2017</v>
      </c>
      <c r="B1916" t="str">
        <f>"1127.90"</f>
        <v>1127.90</v>
      </c>
      <c r="C1916" t="str">
        <f>"1127.9045"</f>
        <v>1127.9045</v>
      </c>
    </row>
    <row r="1917" spans="1:3" x14ac:dyDescent="0.25">
      <c r="A1917" t="str">
        <f>"12/05/2017"</f>
        <v>12/05/2017</v>
      </c>
      <c r="B1917" t="str">
        <f>"1127.55"</f>
        <v>1127.55</v>
      </c>
      <c r="C1917" t="str">
        <f>"1127.554"</f>
        <v>1127.554</v>
      </c>
    </row>
    <row r="1918" spans="1:3" x14ac:dyDescent="0.25">
      <c r="A1918" t="str">
        <f>"15/05/2017"</f>
        <v>15/05/2017</v>
      </c>
      <c r="B1918" t="str">
        <f>"1123.80"</f>
        <v>1123.80</v>
      </c>
      <c r="C1918" t="str">
        <f>"1123.804"</f>
        <v>1123.804</v>
      </c>
    </row>
    <row r="1919" spans="1:3" x14ac:dyDescent="0.25">
      <c r="A1919" t="str">
        <f>"16/05/2017"</f>
        <v>16/05/2017</v>
      </c>
      <c r="B1919" t="str">
        <f>"1116.05"</f>
        <v>1116.05</v>
      </c>
      <c r="C1919" t="str">
        <f>"1116.054"</f>
        <v>1116.054</v>
      </c>
    </row>
    <row r="1920" spans="1:3" x14ac:dyDescent="0.25">
      <c r="A1920" t="str">
        <f>"17/05/2017"</f>
        <v>17/05/2017</v>
      </c>
      <c r="B1920" t="str">
        <f>"1118.40"</f>
        <v>1118.40</v>
      </c>
      <c r="C1920" t="str">
        <f>"1118.4015"</f>
        <v>1118.4015</v>
      </c>
    </row>
    <row r="1921" spans="1:3" x14ac:dyDescent="0.25">
      <c r="A1921" t="str">
        <f>"18/05/2017"</f>
        <v>18/05/2017</v>
      </c>
      <c r="B1921" t="str">
        <f>"1124.60"</f>
        <v>1124.60</v>
      </c>
      <c r="C1921" t="str">
        <f>"1124.601"</f>
        <v>1124.601</v>
      </c>
    </row>
    <row r="1922" spans="1:3" x14ac:dyDescent="0.25">
      <c r="A1922" t="str">
        <f>"19/05/2017"</f>
        <v>19/05/2017</v>
      </c>
      <c r="B1922" t="str">
        <f>"1127.10"</f>
        <v>1127.10</v>
      </c>
      <c r="C1922" t="str">
        <f>"1127.102"</f>
        <v>1127.102</v>
      </c>
    </row>
    <row r="1923" spans="1:3" x14ac:dyDescent="0.25">
      <c r="A1923" t="str">
        <f>"22/05/2017"</f>
        <v>22/05/2017</v>
      </c>
      <c r="B1923" t="str">
        <f>"1118.80"</f>
        <v>1118.80</v>
      </c>
      <c r="C1923" t="str">
        <f>"1118.802"</f>
        <v>1118.802</v>
      </c>
    </row>
    <row r="1924" spans="1:3" x14ac:dyDescent="0.25">
      <c r="A1924" t="str">
        <f>"23/05/2017"</f>
        <v>23/05/2017</v>
      </c>
      <c r="B1924" t="str">
        <f>"1124.20"</f>
        <v>1124.20</v>
      </c>
      <c r="C1924" t="str">
        <f>"1124.2015"</f>
        <v>1124.2015</v>
      </c>
    </row>
    <row r="1925" spans="1:3" x14ac:dyDescent="0.25">
      <c r="A1925" t="str">
        <f>"24/05/2017"</f>
        <v>24/05/2017</v>
      </c>
      <c r="B1925" t="str">
        <f>"1126.60"</f>
        <v>1126.60</v>
      </c>
      <c r="C1925" t="str">
        <f>"1126.6015"</f>
        <v>1126.6015</v>
      </c>
    </row>
    <row r="1926" spans="1:3" x14ac:dyDescent="0.25">
      <c r="A1926" t="str">
        <f>"25/05/2017"</f>
        <v>25/05/2017</v>
      </c>
      <c r="B1926" t="str">
        <f>"1116.50"</f>
        <v>1116.50</v>
      </c>
      <c r="C1926" t="str">
        <f>"1116.501"</f>
        <v>1116.501</v>
      </c>
    </row>
    <row r="1927" spans="1:3" x14ac:dyDescent="0.25">
      <c r="A1927" t="str">
        <f>"26/05/2017"</f>
        <v>26/05/2017</v>
      </c>
      <c r="B1927" t="str">
        <f>"1121.00"</f>
        <v>1121.00</v>
      </c>
      <c r="C1927" t="str">
        <f>"1121.001"</f>
        <v>1121.001</v>
      </c>
    </row>
    <row r="1928" spans="1:3" x14ac:dyDescent="0.25">
      <c r="A1928" t="str">
        <f>"29/05/2017"</f>
        <v>29/05/2017</v>
      </c>
      <c r="B1928" t="str">
        <f>"1122.20"</f>
        <v>1122.20</v>
      </c>
      <c r="C1928" t="str">
        <f>"1122.2035"</f>
        <v>1122.2035</v>
      </c>
    </row>
    <row r="1929" spans="1:3" x14ac:dyDescent="0.25">
      <c r="A1929" t="str">
        <f>"30/05/2017"</f>
        <v>30/05/2017</v>
      </c>
      <c r="B1929" t="str">
        <f>"1125.50"</f>
        <v>1125.50</v>
      </c>
      <c r="C1929" t="str">
        <f>"1125.5035"</f>
        <v>1125.5035</v>
      </c>
    </row>
    <row r="1930" spans="1:3" x14ac:dyDescent="0.25">
      <c r="A1930" t="str">
        <f>"31/05/2017"</f>
        <v>31/05/2017</v>
      </c>
      <c r="B1930" t="str">
        <f>"1119.70"</f>
        <v>1119.70</v>
      </c>
      <c r="C1930" t="str">
        <f>"1119.7015"</f>
        <v>1119.7015</v>
      </c>
    </row>
    <row r="1931" spans="1:3" x14ac:dyDescent="0.25">
      <c r="A1931" t="str">
        <f>"01/06/2017"</f>
        <v>01/06/2017</v>
      </c>
      <c r="B1931" t="str">
        <f>"1122.20"</f>
        <v>1122.20</v>
      </c>
      <c r="C1931" t="str">
        <f>"1122.202"</f>
        <v>1122.202</v>
      </c>
    </row>
    <row r="1932" spans="1:3" x14ac:dyDescent="0.25">
      <c r="A1932" t="str">
        <f>"02/06/2017"</f>
        <v>02/06/2017</v>
      </c>
      <c r="B1932" t="str">
        <f>"1122.00"</f>
        <v>1122.00</v>
      </c>
      <c r="C1932" t="str">
        <f>"1122.0015"</f>
        <v>1122.0015</v>
      </c>
    </row>
    <row r="1933" spans="1:3" x14ac:dyDescent="0.25">
      <c r="A1933" t="str">
        <f>"05/06/2017"</f>
        <v>05/06/2017</v>
      </c>
      <c r="B1933" t="str">
        <f>"1118.30"</f>
        <v>1118.30</v>
      </c>
      <c r="C1933" t="str">
        <f>"1118.3025"</f>
        <v>1118.3025</v>
      </c>
    </row>
    <row r="1934" spans="1:3" x14ac:dyDescent="0.25">
      <c r="A1934" t="str">
        <f>"06/06/2017"</f>
        <v>06/06/2017</v>
      </c>
      <c r="B1934" t="str">
        <f>"1118.30"</f>
        <v>1118.30</v>
      </c>
      <c r="C1934" t="str">
        <f>"1118.3025"</f>
        <v>1118.3025</v>
      </c>
    </row>
    <row r="1935" spans="1:3" x14ac:dyDescent="0.25">
      <c r="A1935" t="str">
        <f>"07/06/2017"</f>
        <v>07/06/2017</v>
      </c>
      <c r="B1935" t="str">
        <f>"1124.20"</f>
        <v>1124.20</v>
      </c>
      <c r="C1935" t="str">
        <f>"1124.202"</f>
        <v>1124.202</v>
      </c>
    </row>
    <row r="1936" spans="1:3" x14ac:dyDescent="0.25">
      <c r="A1936" t="str">
        <f>"08/06/2017"</f>
        <v>08/06/2017</v>
      </c>
      <c r="B1936" t="str">
        <f>"1125.50"</f>
        <v>1125.50</v>
      </c>
      <c r="C1936" t="str">
        <f>"1125.5015"</f>
        <v>1125.5015</v>
      </c>
    </row>
    <row r="1937" spans="1:3" x14ac:dyDescent="0.25">
      <c r="A1937" t="str">
        <f>"09/06/2017"</f>
        <v>09/06/2017</v>
      </c>
      <c r="B1937" t="str">
        <f>"1123.30"</f>
        <v>1123.30</v>
      </c>
      <c r="C1937" t="str">
        <f>"1123.3025"</f>
        <v>1123.3025</v>
      </c>
    </row>
    <row r="1938" spans="1:3" x14ac:dyDescent="0.25">
      <c r="A1938" t="str">
        <f>"12/06/2017"</f>
        <v>12/06/2017</v>
      </c>
      <c r="B1938" t="str">
        <f>"1127.50"</f>
        <v>1127.50</v>
      </c>
      <c r="C1938" t="str">
        <f>"1127.4997"</f>
        <v>1127.4997</v>
      </c>
    </row>
    <row r="1939" spans="1:3" x14ac:dyDescent="0.25">
      <c r="A1939" t="str">
        <f>"13/06/2017"</f>
        <v>13/06/2017</v>
      </c>
      <c r="B1939" t="str">
        <f>"1128.30"</f>
        <v>1128.30</v>
      </c>
      <c r="C1939" t="str">
        <f>"1128.2995"</f>
        <v>1128.2995</v>
      </c>
    </row>
    <row r="1940" spans="1:3" x14ac:dyDescent="0.25">
      <c r="A1940" t="str">
        <f>"14/06/2017"</f>
        <v>14/06/2017</v>
      </c>
      <c r="B1940" t="str">
        <f>"1124.20"</f>
        <v>1124.20</v>
      </c>
      <c r="C1940" t="str">
        <f>"1124.199"</f>
        <v>1124.199</v>
      </c>
    </row>
    <row r="1941" spans="1:3" x14ac:dyDescent="0.25">
      <c r="A1941" t="str">
        <f>"15/06/2017"</f>
        <v>15/06/2017</v>
      </c>
      <c r="B1941" t="str">
        <f>"1124.30"</f>
        <v>1124.30</v>
      </c>
      <c r="C1941" t="str">
        <f>"1124.301"</f>
        <v>1124.301</v>
      </c>
    </row>
    <row r="1942" spans="1:3" x14ac:dyDescent="0.25">
      <c r="A1942" t="str">
        <f>"16/06/2017"</f>
        <v>16/06/2017</v>
      </c>
      <c r="B1942" t="str">
        <f>"1134.30"</f>
        <v>1134.30</v>
      </c>
      <c r="C1942" t="str">
        <f>"1134.2993"</f>
        <v>1134.2993</v>
      </c>
    </row>
    <row r="1943" spans="1:3" x14ac:dyDescent="0.25">
      <c r="A1943" t="str">
        <f>"19/06/2017"</f>
        <v>19/06/2017</v>
      </c>
      <c r="B1943" t="str">
        <f>"1131.30"</f>
        <v>1131.30</v>
      </c>
      <c r="C1943" t="str">
        <f>"1131.2992"</f>
        <v>1131.2992</v>
      </c>
    </row>
    <row r="1944" spans="1:3" x14ac:dyDescent="0.25">
      <c r="A1944" t="str">
        <f>"20/06/2017"</f>
        <v>20/06/2017</v>
      </c>
      <c r="B1944" t="str">
        <f>"1135.50"</f>
        <v>1135.50</v>
      </c>
      <c r="C1944" t="str">
        <f>"1135.502"</f>
        <v>1135.502</v>
      </c>
    </row>
    <row r="1945" spans="1:3" x14ac:dyDescent="0.25">
      <c r="A1945" t="str">
        <f>"21/06/2017"</f>
        <v>21/06/2017</v>
      </c>
      <c r="B1945" t="str">
        <f>"1144.10"</f>
        <v>1144.10</v>
      </c>
      <c r="C1945" t="str">
        <f>"1144.101"</f>
        <v>1144.101</v>
      </c>
    </row>
    <row r="1946" spans="1:3" x14ac:dyDescent="0.25">
      <c r="A1946" t="str">
        <f>"22/06/2017"</f>
        <v>22/06/2017</v>
      </c>
      <c r="B1946" t="str">
        <f>"1141.10"</f>
        <v>1141.10</v>
      </c>
      <c r="C1946" t="str">
        <f>"1141.098"</f>
        <v>1141.098</v>
      </c>
    </row>
    <row r="1947" spans="1:3" x14ac:dyDescent="0.25">
      <c r="A1947" t="str">
        <f>"23/06/2017"</f>
        <v>23/06/2017</v>
      </c>
      <c r="B1947" t="str">
        <f>"1139.10"</f>
        <v>1139.10</v>
      </c>
      <c r="C1947" t="str">
        <f>"1139.099"</f>
        <v>1139.099</v>
      </c>
    </row>
    <row r="1948" spans="1:3" x14ac:dyDescent="0.25">
      <c r="A1948" t="str">
        <f>"27/06/2017"</f>
        <v>27/06/2017</v>
      </c>
      <c r="B1948" t="str">
        <f>"1136.50"</f>
        <v>1136.50</v>
      </c>
      <c r="C1948" t="str">
        <f>"1136.4995"</f>
        <v>1136.4995</v>
      </c>
    </row>
    <row r="1949" spans="1:3" x14ac:dyDescent="0.25">
      <c r="A1949" t="str">
        <f>"28/06/2017"</f>
        <v>28/06/2017</v>
      </c>
      <c r="B1949" t="str">
        <f>"1144.10"</f>
        <v>1144.10</v>
      </c>
      <c r="C1949" t="str">
        <f>"1144.1005"</f>
        <v>1144.1005</v>
      </c>
    </row>
    <row r="1950" spans="1:3" x14ac:dyDescent="0.25">
      <c r="A1950" t="str">
        <f>"29/06/2017"</f>
        <v>29/06/2017</v>
      </c>
      <c r="B1950" t="str">
        <f>"1141.30"</f>
        <v>1141.30</v>
      </c>
      <c r="C1950" t="str">
        <f>"1141.3003"</f>
        <v>1141.3003</v>
      </c>
    </row>
    <row r="1951" spans="1:3" x14ac:dyDescent="0.25">
      <c r="A1951" t="str">
        <f>"30/06/2017"</f>
        <v>30/06/2017</v>
      </c>
      <c r="B1951" t="str">
        <f>"1144.10"</f>
        <v>1144.10</v>
      </c>
      <c r="C1951" t="str">
        <f>"1144.0995"</f>
        <v>1144.0995</v>
      </c>
    </row>
    <row r="1952" spans="1:3" x14ac:dyDescent="0.25">
      <c r="A1952" t="str">
        <f>"03/07/2017"</f>
        <v>03/07/2017</v>
      </c>
      <c r="B1952" t="str">
        <f>"1147.00"</f>
        <v>1147.00</v>
      </c>
      <c r="C1952" t="str">
        <f>"1147.0005"</f>
        <v>1147.0005</v>
      </c>
    </row>
    <row r="1953" spans="1:3" x14ac:dyDescent="0.25">
      <c r="A1953" t="str">
        <f>"04/07/2017"</f>
        <v>04/07/2017</v>
      </c>
      <c r="B1953" t="str">
        <f>"1150.90"</f>
        <v>1150.90</v>
      </c>
      <c r="C1953" t="str">
        <f>"1150.9003"</f>
        <v>1150.9003</v>
      </c>
    </row>
    <row r="1954" spans="1:3" x14ac:dyDescent="0.25">
      <c r="A1954" t="str">
        <f>"05/07/2017"</f>
        <v>05/07/2017</v>
      </c>
      <c r="B1954" t="str">
        <f>"1150.20"</f>
        <v>1150.20</v>
      </c>
      <c r="C1954" t="str">
        <f>"1150.2003"</f>
        <v>1150.2003</v>
      </c>
    </row>
    <row r="1955" spans="1:3" x14ac:dyDescent="0.25">
      <c r="A1955" t="str">
        <f>"06/07/2017"</f>
        <v>06/07/2017</v>
      </c>
      <c r="B1955" t="str">
        <f>"1157.50"</f>
        <v>1157.50</v>
      </c>
      <c r="C1955" t="str">
        <f>"1157.5007"</f>
        <v>1157.5007</v>
      </c>
    </row>
    <row r="1956" spans="1:3" x14ac:dyDescent="0.25">
      <c r="A1956" t="str">
        <f>"07/07/2017"</f>
        <v>07/07/2017</v>
      </c>
      <c r="B1956" t="str">
        <f>"1156.20"</f>
        <v>1156.20</v>
      </c>
      <c r="C1956" t="str">
        <f>"1156.2013"</f>
        <v>1156.2013</v>
      </c>
    </row>
    <row r="1957" spans="1:3" x14ac:dyDescent="0.25">
      <c r="A1957" t="str">
        <f>"10/07/2017"</f>
        <v>10/07/2017</v>
      </c>
      <c r="B1957" t="str">
        <f>"1149.70"</f>
        <v>1149.70</v>
      </c>
      <c r="C1957" t="str">
        <f>"1149.7035"</f>
        <v>1149.7035</v>
      </c>
    </row>
    <row r="1958" spans="1:3" x14ac:dyDescent="0.25">
      <c r="A1958" t="str">
        <f>"11/07/2017"</f>
        <v>11/07/2017</v>
      </c>
      <c r="B1958" t="str">
        <f>"1151.30"</f>
        <v>1151.30</v>
      </c>
      <c r="C1958" t="str">
        <f>"1151.3025"</f>
        <v>1151.3025</v>
      </c>
    </row>
    <row r="1959" spans="1:3" x14ac:dyDescent="0.25">
      <c r="A1959" t="str">
        <f>"12/07/2017"</f>
        <v>12/07/2017</v>
      </c>
      <c r="B1959" t="str">
        <f>"1145.40"</f>
        <v>1145.40</v>
      </c>
      <c r="C1959" t="str">
        <f>"1145.4025"</f>
        <v>1145.4025</v>
      </c>
    </row>
    <row r="1960" spans="1:3" x14ac:dyDescent="0.25">
      <c r="A1960" t="str">
        <f>"13/07/2017"</f>
        <v>13/07/2017</v>
      </c>
      <c r="B1960" t="str">
        <f>"1136.50"</f>
        <v>1136.50</v>
      </c>
      <c r="C1960" t="str">
        <f>"1136.5025"</f>
        <v>1136.5025</v>
      </c>
    </row>
    <row r="1961" spans="1:3" x14ac:dyDescent="0.25">
      <c r="A1961" t="str">
        <f>"14/07/2017"</f>
        <v>14/07/2017</v>
      </c>
      <c r="B1961" t="str">
        <f>"1133.40"</f>
        <v>1133.40</v>
      </c>
      <c r="C1961" t="str">
        <f>"1133.402"</f>
        <v>1133.402</v>
      </c>
    </row>
    <row r="1962" spans="1:3" x14ac:dyDescent="0.25">
      <c r="A1962" t="str">
        <f>"17/07/2017"</f>
        <v>17/07/2017</v>
      </c>
      <c r="B1962" t="str">
        <f>"1128.40"</f>
        <v>1128.40</v>
      </c>
      <c r="C1962" t="str">
        <f>"1128.402"</f>
        <v>1128.402</v>
      </c>
    </row>
    <row r="1963" spans="1:3" x14ac:dyDescent="0.25">
      <c r="A1963" t="str">
        <f>"18/07/2017"</f>
        <v>18/07/2017</v>
      </c>
      <c r="B1963" t="str">
        <f>"1123.50"</f>
        <v>1123.50</v>
      </c>
      <c r="C1963" t="str">
        <f>"1123.502"</f>
        <v>1123.502</v>
      </c>
    </row>
    <row r="1964" spans="1:3" x14ac:dyDescent="0.25">
      <c r="A1964" t="str">
        <f>"19/07/2017"</f>
        <v>19/07/2017</v>
      </c>
      <c r="B1964" t="str">
        <f>"1120.80"</f>
        <v>1120.80</v>
      </c>
      <c r="C1964" t="str">
        <f>"1120.8025"</f>
        <v>1120.8025</v>
      </c>
    </row>
    <row r="1965" spans="1:3" x14ac:dyDescent="0.25">
      <c r="A1965" t="str">
        <f>"20/07/2017"</f>
        <v>20/07/2017</v>
      </c>
      <c r="B1965" t="str">
        <f>"1125.80"</f>
        <v>1125.80</v>
      </c>
      <c r="C1965" t="str">
        <f>"1125.8025"</f>
        <v>1125.8025</v>
      </c>
    </row>
    <row r="1966" spans="1:3" x14ac:dyDescent="0.25">
      <c r="A1966" t="str">
        <f>"21/07/2017"</f>
        <v>21/07/2017</v>
      </c>
      <c r="B1966" t="str">
        <f>"1118.50"</f>
        <v>1118.50</v>
      </c>
      <c r="C1966" t="str">
        <f>"1118.5025"</f>
        <v>1118.5025</v>
      </c>
    </row>
    <row r="1967" spans="1:3" x14ac:dyDescent="0.25">
      <c r="A1967" t="str">
        <f>"24/07/2017"</f>
        <v>24/07/2017</v>
      </c>
      <c r="B1967" t="str">
        <f>"1114.20"</f>
        <v>1114.20</v>
      </c>
      <c r="C1967" t="str">
        <f>"1114.202"</f>
        <v>1114.202</v>
      </c>
    </row>
    <row r="1968" spans="1:3" x14ac:dyDescent="0.25">
      <c r="A1968" t="str">
        <f>"25/07/2017"</f>
        <v>25/07/2017</v>
      </c>
      <c r="B1968" t="str">
        <f>"1115.50"</f>
        <v>1115.50</v>
      </c>
      <c r="C1968" t="str">
        <f>"1115.502"</f>
        <v>1115.502</v>
      </c>
    </row>
    <row r="1969" spans="1:3" x14ac:dyDescent="0.25">
      <c r="A1969" t="str">
        <f>"26/07/2017"</f>
        <v>26/07/2017</v>
      </c>
      <c r="B1969" t="str">
        <f>"1121.90"</f>
        <v>1121.90</v>
      </c>
      <c r="C1969" t="str">
        <f>"1121.903"</f>
        <v>1121.903</v>
      </c>
    </row>
    <row r="1970" spans="1:3" x14ac:dyDescent="0.25">
      <c r="A1970" t="str">
        <f>"27/07/2017"</f>
        <v>27/07/2017</v>
      </c>
      <c r="B1970" t="str">
        <f>"1113.10"</f>
        <v>1113.10</v>
      </c>
      <c r="C1970" t="str">
        <f>"1113.1035"</f>
        <v>1113.1035</v>
      </c>
    </row>
    <row r="1971" spans="1:3" x14ac:dyDescent="0.25">
      <c r="A1971" t="str">
        <f>"28/07/2017"</f>
        <v>28/07/2017</v>
      </c>
      <c r="B1971" t="str">
        <f>"1122.20"</f>
        <v>1122.20</v>
      </c>
      <c r="C1971" t="str">
        <f>"1122.203"</f>
        <v>1122.203</v>
      </c>
    </row>
    <row r="1972" spans="1:3" x14ac:dyDescent="0.25">
      <c r="A1972" t="str">
        <f>"31/07/2017"</f>
        <v>31/07/2017</v>
      </c>
      <c r="B1972" t="str">
        <f>"1119.30"</f>
        <v>1119.30</v>
      </c>
      <c r="C1972" t="str">
        <f>"1119.3035"</f>
        <v>1119.3035</v>
      </c>
    </row>
    <row r="1973" spans="1:3" x14ac:dyDescent="0.25">
      <c r="A1973" t="str">
        <f>"01/08/2017"</f>
        <v>01/08/2017</v>
      </c>
      <c r="B1973" t="str">
        <f>"1121.30"</f>
        <v>1121.30</v>
      </c>
      <c r="C1973" t="str">
        <f>"1121.3035"</f>
        <v>1121.3035</v>
      </c>
    </row>
    <row r="1974" spans="1:3" x14ac:dyDescent="0.25">
      <c r="A1974" t="str">
        <f>"02/08/2017"</f>
        <v>02/08/2017</v>
      </c>
      <c r="B1974" t="str">
        <f>"1124.00"</f>
        <v>1124.00</v>
      </c>
      <c r="C1974" t="str">
        <f>"1124.0035"</f>
        <v>1124.0035</v>
      </c>
    </row>
    <row r="1975" spans="1:3" x14ac:dyDescent="0.25">
      <c r="A1975" t="str">
        <f>"03/08/2017"</f>
        <v>03/08/2017</v>
      </c>
      <c r="B1975" t="str">
        <f>"1128.80"</f>
        <v>1128.80</v>
      </c>
      <c r="C1975" t="str">
        <f>"1128.804"</f>
        <v>1128.804</v>
      </c>
    </row>
    <row r="1976" spans="1:3" x14ac:dyDescent="0.25">
      <c r="A1976" t="str">
        <f>"04/08/2017"</f>
        <v>04/08/2017</v>
      </c>
      <c r="B1976" t="str">
        <f>"1125.00"</f>
        <v>1125.00</v>
      </c>
      <c r="C1976" t="str">
        <f>"1125.0035"</f>
        <v>1125.0035</v>
      </c>
    </row>
    <row r="1977" spans="1:3" x14ac:dyDescent="0.25">
      <c r="A1977" t="str">
        <f>"07/08/2017"</f>
        <v>07/08/2017</v>
      </c>
      <c r="B1977" t="str">
        <f>"1127.30"</f>
        <v>1127.30</v>
      </c>
      <c r="C1977" t="str">
        <f>"1127.3035"</f>
        <v>1127.3035</v>
      </c>
    </row>
    <row r="1978" spans="1:3" x14ac:dyDescent="0.25">
      <c r="A1978" t="str">
        <f>"08/08/2017"</f>
        <v>08/08/2017</v>
      </c>
      <c r="B1978" t="str">
        <f>"1124.20"</f>
        <v>1124.20</v>
      </c>
      <c r="C1978" t="str">
        <f>"1124.203"</f>
        <v>1124.203</v>
      </c>
    </row>
    <row r="1979" spans="1:3" x14ac:dyDescent="0.25">
      <c r="A1979" t="str">
        <f>"09/08/2017"</f>
        <v>09/08/2017</v>
      </c>
      <c r="B1979" t="str">
        <f>"1135.50"</f>
        <v>1135.50</v>
      </c>
      <c r="C1979" t="str">
        <f>"1135.5025"</f>
        <v>1135.5025</v>
      </c>
    </row>
    <row r="1980" spans="1:3" x14ac:dyDescent="0.25">
      <c r="A1980" t="str">
        <f>"10/08/2017"</f>
        <v>10/08/2017</v>
      </c>
      <c r="B1980" t="str">
        <f>"1141.90"</f>
        <v>1141.90</v>
      </c>
      <c r="C1980" t="str">
        <f>"1141.9025"</f>
        <v>1141.9025</v>
      </c>
    </row>
    <row r="1981" spans="1:3" x14ac:dyDescent="0.25">
      <c r="A1981" t="str">
        <f>"11/08/2017"</f>
        <v>11/08/2017</v>
      </c>
      <c r="B1981" t="str">
        <f>"1143.80"</f>
        <v>1143.80</v>
      </c>
      <c r="C1981" t="str">
        <f>"1143.803"</f>
        <v>1143.803</v>
      </c>
    </row>
    <row r="1982" spans="1:3" x14ac:dyDescent="0.25">
      <c r="A1982" t="str">
        <f>"14/08/2017"</f>
        <v>14/08/2017</v>
      </c>
      <c r="B1982" t="str">
        <f>"1139.80"</f>
        <v>1139.80</v>
      </c>
      <c r="C1982" t="str">
        <f>"1139.8035"</f>
        <v>1139.8035</v>
      </c>
    </row>
    <row r="1983" spans="1:3" x14ac:dyDescent="0.25">
      <c r="A1983" t="str">
        <f>"16/08/2017"</f>
        <v>16/08/2017</v>
      </c>
      <c r="B1983" t="str">
        <f>"1143.30"</f>
        <v>1143.30</v>
      </c>
      <c r="C1983" t="str">
        <f>"1143.3035"</f>
        <v>1143.3035</v>
      </c>
    </row>
    <row r="1984" spans="1:3" x14ac:dyDescent="0.25">
      <c r="A1984" t="str">
        <f>"18/08/2017"</f>
        <v>18/08/2017</v>
      </c>
      <c r="B1984" t="str">
        <f>"1141.50"</f>
        <v>1141.50</v>
      </c>
      <c r="C1984" t="str">
        <f>"1141.5035"</f>
        <v>1141.5035</v>
      </c>
    </row>
    <row r="1985" spans="1:3" x14ac:dyDescent="0.25">
      <c r="A1985" t="str">
        <f>"21/08/2017"</f>
        <v>21/08/2017</v>
      </c>
      <c r="B1985" t="str">
        <f>"1139.10"</f>
        <v>1139.10</v>
      </c>
      <c r="C1985" t="str">
        <f>"1139.1035"</f>
        <v>1139.1035</v>
      </c>
    </row>
    <row r="1986" spans="1:3" x14ac:dyDescent="0.25">
      <c r="A1986" t="str">
        <f>"22/08/2017"</f>
        <v>22/08/2017</v>
      </c>
      <c r="B1986" t="str">
        <f>"1134.00"</f>
        <v>1134.00</v>
      </c>
      <c r="C1986" t="str">
        <f>"1134.0035"</f>
        <v>1134.0035</v>
      </c>
    </row>
    <row r="1987" spans="1:3" x14ac:dyDescent="0.25">
      <c r="A1987" t="str">
        <f>"23/08/2017"</f>
        <v>23/08/2017</v>
      </c>
      <c r="B1987" t="str">
        <f>"1131.90"</f>
        <v>1131.90</v>
      </c>
      <c r="C1987" t="str">
        <f>"1131.9035"</f>
        <v>1131.9035</v>
      </c>
    </row>
    <row r="1988" spans="1:3" x14ac:dyDescent="0.25">
      <c r="A1988" t="str">
        <f>"24/08/2017"</f>
        <v>24/08/2017</v>
      </c>
      <c r="B1988" t="str">
        <f>"1128.00"</f>
        <v>1128.00</v>
      </c>
      <c r="C1988" t="str">
        <f>"1128.0035"</f>
        <v>1128.0035</v>
      </c>
    </row>
    <row r="1989" spans="1:3" x14ac:dyDescent="0.25">
      <c r="A1989" t="str">
        <f>"28/08/2017"</f>
        <v>28/08/2017</v>
      </c>
      <c r="B1989" t="str">
        <f>"1120.30"</f>
        <v>1120.30</v>
      </c>
      <c r="C1989" t="str">
        <f>"1120.3035"</f>
        <v>1120.3035</v>
      </c>
    </row>
    <row r="1990" spans="1:3" x14ac:dyDescent="0.25">
      <c r="A1990" t="str">
        <f>"29/08/2017"</f>
        <v>29/08/2017</v>
      </c>
      <c r="B1990" t="str">
        <f>"1126.50"</f>
        <v>1126.50</v>
      </c>
      <c r="C1990" t="str">
        <f>"1126.5035"</f>
        <v>1126.5035</v>
      </c>
    </row>
    <row r="1991" spans="1:3" x14ac:dyDescent="0.25">
      <c r="A1991" t="str">
        <f>"30/08/2017"</f>
        <v>30/08/2017</v>
      </c>
      <c r="B1991" t="str">
        <f>"1122.00"</f>
        <v>1122.00</v>
      </c>
      <c r="C1991" t="str">
        <f>"1122.0035"</f>
        <v>1122.0035</v>
      </c>
    </row>
    <row r="1992" spans="1:3" x14ac:dyDescent="0.25">
      <c r="A1992" t="str">
        <f>"31/08/2017"</f>
        <v>31/08/2017</v>
      </c>
      <c r="B1992" t="str">
        <f>"1127.50"</f>
        <v>1127.50</v>
      </c>
      <c r="C1992" t="str">
        <f>"1127.503"</f>
        <v>1127.503</v>
      </c>
    </row>
    <row r="1993" spans="1:3" x14ac:dyDescent="0.25">
      <c r="A1993" t="str">
        <f>"01/09/2017"</f>
        <v>01/09/2017</v>
      </c>
      <c r="B1993" t="str">
        <f>"1123.10"</f>
        <v>1123.10</v>
      </c>
      <c r="C1993" t="str">
        <f>"1123.102"</f>
        <v>1123.102</v>
      </c>
    </row>
    <row r="1994" spans="1:3" x14ac:dyDescent="0.25">
      <c r="A1994" t="str">
        <f>"04/09/2017"</f>
        <v>04/09/2017</v>
      </c>
      <c r="B1994" t="str">
        <f>"1131.40"</f>
        <v>1131.40</v>
      </c>
      <c r="C1994" t="str">
        <f>"1131.402"</f>
        <v>1131.402</v>
      </c>
    </row>
    <row r="1995" spans="1:3" x14ac:dyDescent="0.25">
      <c r="A1995" t="str">
        <f>"05/09/2017"</f>
        <v>05/09/2017</v>
      </c>
      <c r="B1995" t="str">
        <f>"1131.30"</f>
        <v>1131.30</v>
      </c>
      <c r="C1995" t="str">
        <f>"1131.302"</f>
        <v>1131.302</v>
      </c>
    </row>
    <row r="1996" spans="1:3" x14ac:dyDescent="0.25">
      <c r="A1996" t="str">
        <f>"06/09/2017"</f>
        <v>06/09/2017</v>
      </c>
      <c r="B1996" t="str">
        <f>"1135.70"</f>
        <v>1135.70</v>
      </c>
      <c r="C1996" t="str">
        <f>"1135.702"</f>
        <v>1135.702</v>
      </c>
    </row>
    <row r="1997" spans="1:3" x14ac:dyDescent="0.25">
      <c r="A1997" t="str">
        <f>"07/09/2017"</f>
        <v>07/09/2017</v>
      </c>
      <c r="B1997" t="str">
        <f>"1129.70"</f>
        <v>1129.70</v>
      </c>
      <c r="C1997" t="str">
        <f>"1129.702"</f>
        <v>1129.702</v>
      </c>
    </row>
    <row r="1998" spans="1:3" x14ac:dyDescent="0.25">
      <c r="A1998" t="str">
        <f>"08/09/2017"</f>
        <v>08/09/2017</v>
      </c>
      <c r="B1998" t="str">
        <f>"1127.30"</f>
        <v>1127.30</v>
      </c>
      <c r="C1998" t="str">
        <f>"1127.302"</f>
        <v>1127.302</v>
      </c>
    </row>
    <row r="1999" spans="1:3" x14ac:dyDescent="0.25">
      <c r="A1999" t="str">
        <f>"11/09/2017"</f>
        <v>11/09/2017</v>
      </c>
      <c r="B1999" t="str">
        <f>"1132.10"</f>
        <v>1132.10</v>
      </c>
      <c r="C1999" t="str">
        <f>"1132.102"</f>
        <v>1132.102</v>
      </c>
    </row>
    <row r="2000" spans="1:3" x14ac:dyDescent="0.25">
      <c r="A2000" t="str">
        <f>"12/09/2017"</f>
        <v>12/09/2017</v>
      </c>
      <c r="B2000" t="str">
        <f>"1128.90"</f>
        <v>1128.90</v>
      </c>
      <c r="C2000" t="str">
        <f>"1128.902"</f>
        <v>1128.902</v>
      </c>
    </row>
    <row r="2001" spans="1:3" x14ac:dyDescent="0.25">
      <c r="A2001" t="str">
        <f>"13/09/2017"</f>
        <v>13/09/2017</v>
      </c>
      <c r="B2001" t="str">
        <f>"1128.60"</f>
        <v>1128.60</v>
      </c>
      <c r="C2001" t="str">
        <f>"1128.601"</f>
        <v>1128.601</v>
      </c>
    </row>
    <row r="2002" spans="1:3" x14ac:dyDescent="0.25">
      <c r="A2002" t="str">
        <f>"14/09/2017"</f>
        <v>14/09/2017</v>
      </c>
      <c r="B2002" t="str">
        <f>"1132.60"</f>
        <v>1132.60</v>
      </c>
      <c r="C2002" t="str">
        <f>"1132.601"</f>
        <v>1132.601</v>
      </c>
    </row>
    <row r="2003" spans="1:3" x14ac:dyDescent="0.25">
      <c r="A2003" t="str">
        <f>"15/09/2017"</f>
        <v>15/09/2017</v>
      </c>
      <c r="B2003" t="str">
        <f>"1132.60"</f>
        <v>1132.60</v>
      </c>
      <c r="C2003" t="str">
        <f>"1132.601"</f>
        <v>1132.601</v>
      </c>
    </row>
    <row r="2004" spans="1:3" x14ac:dyDescent="0.25">
      <c r="A2004" t="str">
        <f>"18/09/2017"</f>
        <v>18/09/2017</v>
      </c>
      <c r="B2004" t="str">
        <f>"1127.10"</f>
        <v>1127.10</v>
      </c>
      <c r="C2004" t="str">
        <f>"1127.101"</f>
        <v>1127.101</v>
      </c>
    </row>
    <row r="2005" spans="1:3" x14ac:dyDescent="0.25">
      <c r="A2005" t="str">
        <f>"19/09/2017"</f>
        <v>19/09/2017</v>
      </c>
      <c r="B2005" t="str">
        <f>"1131.60"</f>
        <v>1131.60</v>
      </c>
      <c r="C2005" t="str">
        <f>"1131.5995"</f>
        <v>1131.5995</v>
      </c>
    </row>
    <row r="2006" spans="1:3" x14ac:dyDescent="0.25">
      <c r="A2006" t="str">
        <f>"20/09/2017"</f>
        <v>20/09/2017</v>
      </c>
      <c r="B2006" t="str">
        <f>"1128.40"</f>
        <v>1128.40</v>
      </c>
      <c r="C2006" t="str">
        <f>"1128.3995"</f>
        <v>1128.3995</v>
      </c>
    </row>
    <row r="2007" spans="1:3" x14ac:dyDescent="0.25">
      <c r="A2007" t="str">
        <f>"21/09/2017"</f>
        <v>21/09/2017</v>
      </c>
      <c r="B2007" t="str">
        <f>"1132.90"</f>
        <v>1132.90</v>
      </c>
      <c r="C2007" t="str">
        <f>"1132.9015"</f>
        <v>1132.9015</v>
      </c>
    </row>
    <row r="2008" spans="1:3" x14ac:dyDescent="0.25">
      <c r="A2008" t="str">
        <f>"22/09/2017"</f>
        <v>22/09/2017</v>
      </c>
      <c r="B2008" t="str">
        <f>"1136.80"</f>
        <v>1136.80</v>
      </c>
      <c r="C2008" t="str">
        <f>"1136.8015"</f>
        <v>1136.8015</v>
      </c>
    </row>
    <row r="2009" spans="1:3" x14ac:dyDescent="0.25">
      <c r="A2009" t="str">
        <f>"25/09/2017"</f>
        <v>25/09/2017</v>
      </c>
      <c r="B2009" t="str">
        <f>"1131.80"</f>
        <v>1131.80</v>
      </c>
      <c r="C2009" t="str">
        <f>"1131.8015"</f>
        <v>1131.8015</v>
      </c>
    </row>
    <row r="2010" spans="1:3" x14ac:dyDescent="0.25">
      <c r="A2010" t="str">
        <f>"26/09/2017"</f>
        <v>26/09/2017</v>
      </c>
      <c r="B2010" t="str">
        <f>"1137.20"</f>
        <v>1137.20</v>
      </c>
      <c r="C2010" t="str">
        <f>"1137.2015"</f>
        <v>1137.2015</v>
      </c>
    </row>
    <row r="2011" spans="1:3" x14ac:dyDescent="0.25">
      <c r="A2011" t="str">
        <f>"27/09/2017"</f>
        <v>27/09/2017</v>
      </c>
      <c r="B2011" t="str">
        <f>"1140.80"</f>
        <v>1140.80</v>
      </c>
      <c r="C2011" t="str">
        <f>"1140.8015"</f>
        <v>1140.8015</v>
      </c>
    </row>
    <row r="2012" spans="1:3" x14ac:dyDescent="0.25">
      <c r="A2012" t="str">
        <f>"28/09/2017"</f>
        <v>28/09/2017</v>
      </c>
      <c r="B2012" t="str">
        <f>"1147.30"</f>
        <v>1147.30</v>
      </c>
      <c r="C2012" t="str">
        <f>"1147.3015"</f>
        <v>1147.3015</v>
      </c>
    </row>
    <row r="2013" spans="1:3" x14ac:dyDescent="0.25">
      <c r="A2013" t="str">
        <f>"29/09/2017"</f>
        <v>29/09/2017</v>
      </c>
      <c r="B2013" t="str">
        <f t="shared" ref="B2013:B2018" si="3">"1145.50"</f>
        <v>1145.50</v>
      </c>
      <c r="C2013" t="str">
        <f>"1145.5015"</f>
        <v>1145.5015</v>
      </c>
    </row>
    <row r="2014" spans="1:3" x14ac:dyDescent="0.25">
      <c r="A2014" t="str">
        <f>"03/10/2017"</f>
        <v>03/10/2017</v>
      </c>
      <c r="B2014" t="str">
        <f t="shared" si="3"/>
        <v>1145.50</v>
      </c>
      <c r="C2014" t="str">
        <f>"1145.5015"</f>
        <v>1145.5015</v>
      </c>
    </row>
    <row r="2015" spans="1:3" x14ac:dyDescent="0.25">
      <c r="A2015" t="str">
        <f>"04/10/2017"</f>
        <v>04/10/2017</v>
      </c>
      <c r="B2015" t="str">
        <f t="shared" si="3"/>
        <v>1145.50</v>
      </c>
      <c r="C2015" t="str">
        <f>"1145.5015"</f>
        <v>1145.5015</v>
      </c>
    </row>
    <row r="2016" spans="1:3" x14ac:dyDescent="0.25">
      <c r="A2016" t="str">
        <f>"05/10/2017"</f>
        <v>05/10/2017</v>
      </c>
      <c r="B2016" t="str">
        <f t="shared" si="3"/>
        <v>1145.50</v>
      </c>
      <c r="C2016" t="str">
        <f>"1145.5015"</f>
        <v>1145.5015</v>
      </c>
    </row>
    <row r="2017" spans="1:3" x14ac:dyDescent="0.25">
      <c r="A2017" t="str">
        <f>"06/10/2017"</f>
        <v>06/10/2017</v>
      </c>
      <c r="B2017" t="str">
        <f t="shared" si="3"/>
        <v>1145.50</v>
      </c>
      <c r="C2017" t="str">
        <f>"1145.498"</f>
        <v>1145.498</v>
      </c>
    </row>
    <row r="2018" spans="1:3" x14ac:dyDescent="0.25">
      <c r="A2018" t="str">
        <f>"09/10/2017"</f>
        <v>09/10/2017</v>
      </c>
      <c r="B2018" t="str">
        <f t="shared" si="3"/>
        <v>1145.50</v>
      </c>
      <c r="C2018" t="str">
        <f>"1145.498"</f>
        <v>1145.498</v>
      </c>
    </row>
    <row r="2019" spans="1:3" x14ac:dyDescent="0.25">
      <c r="A2019" t="str">
        <f>"10/10/2017"</f>
        <v>10/10/2017</v>
      </c>
      <c r="B2019" t="str">
        <f>"1135.30"</f>
        <v>1135.30</v>
      </c>
      <c r="C2019" t="str">
        <f>"1135.2985"</f>
        <v>1135.2985</v>
      </c>
    </row>
    <row r="2020" spans="1:3" x14ac:dyDescent="0.25">
      <c r="A2020" t="str">
        <f>"11/10/2017"</f>
        <v>11/10/2017</v>
      </c>
      <c r="B2020" t="str">
        <f>"1135.30"</f>
        <v>1135.30</v>
      </c>
      <c r="C2020" t="str">
        <f>"1135.299"</f>
        <v>1135.299</v>
      </c>
    </row>
    <row r="2021" spans="1:3" x14ac:dyDescent="0.25">
      <c r="A2021" t="str">
        <f>"12/10/2017"</f>
        <v>12/10/2017</v>
      </c>
      <c r="B2021" t="str">
        <f>"1133.30"</f>
        <v>1133.30</v>
      </c>
      <c r="C2021" t="str">
        <f>"1133.302"</f>
        <v>1133.302</v>
      </c>
    </row>
    <row r="2022" spans="1:3" x14ac:dyDescent="0.25">
      <c r="A2022" t="str">
        <f>"13/10/2017"</f>
        <v>13/10/2017</v>
      </c>
      <c r="B2022" t="str">
        <f>"1129.10"</f>
        <v>1129.10</v>
      </c>
      <c r="C2022" t="str">
        <f>"1129.102"</f>
        <v>1129.102</v>
      </c>
    </row>
    <row r="2023" spans="1:3" x14ac:dyDescent="0.25">
      <c r="A2023" t="str">
        <f>"16/10/2017"</f>
        <v>16/10/2017</v>
      </c>
      <c r="B2023" t="str">
        <f>"1127.90"</f>
        <v>1127.90</v>
      </c>
      <c r="C2023" t="str">
        <f>"1129.1003"</f>
        <v>1129.1003</v>
      </c>
    </row>
    <row r="2024" spans="1:3" x14ac:dyDescent="0.25">
      <c r="A2024" t="str">
        <f>"17/10/2017"</f>
        <v>17/10/2017</v>
      </c>
      <c r="B2024" t="str">
        <f>"1132.60"</f>
        <v>1132.60</v>
      </c>
      <c r="C2024" t="str">
        <f>"1132.602"</f>
        <v>1132.602</v>
      </c>
    </row>
    <row r="2025" spans="1:3" x14ac:dyDescent="0.25">
      <c r="A2025" t="str">
        <f>"18/10/2017"</f>
        <v>18/10/2017</v>
      </c>
      <c r="B2025" t="str">
        <f>"1130.10"</f>
        <v>1130.10</v>
      </c>
      <c r="C2025" t="str">
        <f>"1132.6003"</f>
        <v>1132.6003</v>
      </c>
    </row>
    <row r="2026" spans="1:3" x14ac:dyDescent="0.25">
      <c r="A2026" t="str">
        <f>"23/10/2017"</f>
        <v>23/10/2017</v>
      </c>
      <c r="B2026" t="str">
        <f>"1130.40"</f>
        <v>1130.40</v>
      </c>
      <c r="C2026" t="str">
        <f>"1130.401"</f>
        <v>1130.401</v>
      </c>
    </row>
    <row r="2027" spans="1:3" x14ac:dyDescent="0.25">
      <c r="A2027" t="str">
        <f>"24/10/2017"</f>
        <v>24/10/2017</v>
      </c>
      <c r="B2027" t="str">
        <f>"1127.50"</f>
        <v>1127.50</v>
      </c>
      <c r="C2027" t="str">
        <f>"1127.503"</f>
        <v>1127.503</v>
      </c>
    </row>
    <row r="2028" spans="1:3" x14ac:dyDescent="0.25">
      <c r="A2028" t="str">
        <f>"25/10/2017"</f>
        <v>25/10/2017</v>
      </c>
      <c r="B2028" t="str">
        <f>"1128.00"</f>
        <v>1128.00</v>
      </c>
      <c r="C2028" t="str">
        <f>"1128.001"</f>
        <v>1128.001</v>
      </c>
    </row>
    <row r="2029" spans="1:3" x14ac:dyDescent="0.25">
      <c r="A2029" t="str">
        <f>"26/10/2017"</f>
        <v>26/10/2017</v>
      </c>
      <c r="B2029" t="str">
        <f>"1124.60"</f>
        <v>1124.60</v>
      </c>
      <c r="C2029" t="str">
        <f>"1124.603"</f>
        <v>1124.603</v>
      </c>
    </row>
    <row r="2030" spans="1:3" x14ac:dyDescent="0.25">
      <c r="A2030" t="str">
        <f>"27/10/2017"</f>
        <v>27/10/2017</v>
      </c>
      <c r="B2030" t="str">
        <f>"1130.50"</f>
        <v>1130.50</v>
      </c>
      <c r="C2030" t="str">
        <f>"1130.502"</f>
        <v>1130.502</v>
      </c>
    </row>
    <row r="2031" spans="1:3" x14ac:dyDescent="0.25">
      <c r="A2031" t="str">
        <f>"30/10/2017"</f>
        <v>30/10/2017</v>
      </c>
      <c r="B2031" t="str">
        <f>"1124.90"</f>
        <v>1124.90</v>
      </c>
      <c r="C2031" t="str">
        <f>"1124.9015"</f>
        <v>1124.9015</v>
      </c>
    </row>
    <row r="2032" spans="1:3" x14ac:dyDescent="0.25">
      <c r="A2032" t="str">
        <f>"31/10/2017"</f>
        <v>31/10/2017</v>
      </c>
      <c r="B2032" t="str">
        <f>"1120.50"</f>
        <v>1120.50</v>
      </c>
      <c r="C2032" t="str">
        <f>"1120.503"</f>
        <v>1120.503</v>
      </c>
    </row>
    <row r="2033" spans="1:3" x14ac:dyDescent="0.25">
      <c r="A2033" t="str">
        <f>"01/11/2017"</f>
        <v>01/11/2017</v>
      </c>
      <c r="B2033" t="str">
        <f>"1114.50"</f>
        <v>1114.50</v>
      </c>
      <c r="C2033" t="str">
        <f>"1114.503"</f>
        <v>1114.503</v>
      </c>
    </row>
    <row r="2034" spans="1:3" x14ac:dyDescent="0.25">
      <c r="A2034" t="str">
        <f>"02/11/2017"</f>
        <v>02/11/2017</v>
      </c>
      <c r="B2034" t="str">
        <f>"1114.50"</f>
        <v>1114.50</v>
      </c>
      <c r="C2034" t="str">
        <f>"1114.504"</f>
        <v>1114.504</v>
      </c>
    </row>
    <row r="2035" spans="1:3" x14ac:dyDescent="0.25">
      <c r="A2035" t="str">
        <f>"03/11/2017"</f>
        <v>03/11/2017</v>
      </c>
      <c r="B2035" t="str">
        <f>"1113.80"</f>
        <v>1113.80</v>
      </c>
      <c r="C2035" t="str">
        <f>"1113.804"</f>
        <v>1113.804</v>
      </c>
    </row>
    <row r="2036" spans="1:3" x14ac:dyDescent="0.25">
      <c r="A2036" t="str">
        <f>"06/11/2017"</f>
        <v>06/11/2017</v>
      </c>
      <c r="B2036" t="str">
        <f>"1115.10"</f>
        <v>1115.10</v>
      </c>
      <c r="C2036" t="str">
        <f>"1115.099"</f>
        <v>1115.099</v>
      </c>
    </row>
    <row r="2037" spans="1:3" x14ac:dyDescent="0.25">
      <c r="A2037" t="str">
        <f>"07/11/2017"</f>
        <v>07/11/2017</v>
      </c>
      <c r="B2037" t="str">
        <f>"1112.00"</f>
        <v>1112.00</v>
      </c>
      <c r="C2037" t="str">
        <f>"1112.0038"</f>
        <v>1112.0038</v>
      </c>
    </row>
    <row r="2038" spans="1:3" x14ac:dyDescent="0.25">
      <c r="A2038" t="str">
        <f>"08/11/2017"</f>
        <v>08/11/2017</v>
      </c>
      <c r="B2038" t="str">
        <f>"1115.60"</f>
        <v>1115.60</v>
      </c>
      <c r="C2038" t="str">
        <f>"1115.604"</f>
        <v>1115.604</v>
      </c>
    </row>
    <row r="2039" spans="1:3" x14ac:dyDescent="0.25">
      <c r="A2039" t="str">
        <f>"09/11/2017"</f>
        <v>09/11/2017</v>
      </c>
      <c r="B2039" t="str">
        <f>"1115.60"</f>
        <v>1115.60</v>
      </c>
      <c r="C2039" t="str">
        <f>"1115.604"</f>
        <v>1115.604</v>
      </c>
    </row>
    <row r="2040" spans="1:3" x14ac:dyDescent="0.25">
      <c r="A2040" t="str">
        <f>"10/11/2017"</f>
        <v>10/11/2017</v>
      </c>
      <c r="B2040" t="str">
        <f>"1117.10"</f>
        <v>1117.10</v>
      </c>
      <c r="C2040" t="str">
        <f>"1117.099"</f>
        <v>1117.099</v>
      </c>
    </row>
    <row r="2041" spans="1:3" x14ac:dyDescent="0.25">
      <c r="A2041" t="str">
        <f>"13/11/2017"</f>
        <v>13/11/2017</v>
      </c>
      <c r="B2041" t="str">
        <f>"1120.90"</f>
        <v>1120.90</v>
      </c>
      <c r="C2041" t="str">
        <f>"1120.899"</f>
        <v>1120.899</v>
      </c>
    </row>
    <row r="2042" spans="1:3" x14ac:dyDescent="0.25">
      <c r="A2042" t="str">
        <f>"14/11/2017"</f>
        <v>14/11/2017</v>
      </c>
      <c r="B2042" t="str">
        <f>"1118.20"</f>
        <v>1118.20</v>
      </c>
      <c r="C2042" t="str">
        <f>"1118.199"</f>
        <v>1118.199</v>
      </c>
    </row>
    <row r="2043" spans="1:3" x14ac:dyDescent="0.25">
      <c r="A2043" t="str">
        <f>"15/11/2017"</f>
        <v>15/11/2017</v>
      </c>
      <c r="B2043" t="str">
        <f>"1112.50"</f>
        <v>1112.50</v>
      </c>
      <c r="C2043" t="str">
        <f>"1112.499"</f>
        <v>1112.499</v>
      </c>
    </row>
    <row r="2044" spans="1:3" x14ac:dyDescent="0.25">
      <c r="A2044" t="str">
        <f>"16/11/2017"</f>
        <v>16/11/2017</v>
      </c>
      <c r="B2044" t="str">
        <f>"1101.70"</f>
        <v>1101.70</v>
      </c>
      <c r="C2044" t="str">
        <f>"1101.699"</f>
        <v>1101.699</v>
      </c>
    </row>
    <row r="2045" spans="1:3" x14ac:dyDescent="0.25">
      <c r="A2045" t="str">
        <f>"17/11/2017"</f>
        <v>17/11/2017</v>
      </c>
      <c r="B2045" t="str">
        <f>"1098.00"</f>
        <v>1098.00</v>
      </c>
      <c r="C2045" t="str">
        <f>"1097.999"</f>
        <v>1097.999</v>
      </c>
    </row>
    <row r="2046" spans="1:3" x14ac:dyDescent="0.25">
      <c r="A2046" t="str">
        <f>"20/11/2017"</f>
        <v>20/11/2017</v>
      </c>
      <c r="B2046" t="str">
        <f>"1100.70"</f>
        <v>1100.70</v>
      </c>
      <c r="C2046" t="str">
        <f>"1100.703"</f>
        <v>1100.703</v>
      </c>
    </row>
    <row r="2047" spans="1:3" x14ac:dyDescent="0.25">
      <c r="A2047" t="str">
        <f>"21/11/2017"</f>
        <v>21/11/2017</v>
      </c>
      <c r="B2047" t="str">
        <f>"1096.00"</f>
        <v>1096.00</v>
      </c>
      <c r="C2047" t="str">
        <f>"1096.003"</f>
        <v>1096.003</v>
      </c>
    </row>
    <row r="2048" spans="1:3" x14ac:dyDescent="0.25">
      <c r="A2048" t="str">
        <f>"22/11/2017"</f>
        <v>22/11/2017</v>
      </c>
      <c r="B2048" t="str">
        <f>"1089.00"</f>
        <v>1089.00</v>
      </c>
      <c r="C2048" t="str">
        <f>"1089.0032"</f>
        <v>1089.0032</v>
      </c>
    </row>
    <row r="2049" spans="1:3" x14ac:dyDescent="0.25">
      <c r="A2049" t="str">
        <f>"23/11/2017"</f>
        <v>23/11/2017</v>
      </c>
      <c r="B2049" t="str">
        <f>"1085.50"</f>
        <v>1085.50</v>
      </c>
      <c r="C2049" t="str">
        <f>"1085.502"</f>
        <v>1085.502</v>
      </c>
    </row>
    <row r="2050" spans="1:3" x14ac:dyDescent="0.25">
      <c r="A2050" t="str">
        <f>"24/11/2017"</f>
        <v>24/11/2017</v>
      </c>
      <c r="B2050" t="str">
        <f>"1085.40"</f>
        <v>1085.40</v>
      </c>
      <c r="C2050" t="str">
        <f>"1085.402"</f>
        <v>1085.402</v>
      </c>
    </row>
    <row r="2051" spans="1:3" x14ac:dyDescent="0.25">
      <c r="A2051" t="str">
        <f>"27/11/2017"</f>
        <v>27/11/2017</v>
      </c>
      <c r="B2051" t="str">
        <f>"1088.70"</f>
        <v>1088.70</v>
      </c>
      <c r="C2051" t="str">
        <f>"1088.7018"</f>
        <v>1088.7018</v>
      </c>
    </row>
    <row r="2052" spans="1:3" x14ac:dyDescent="0.25">
      <c r="A2052" t="str">
        <f>"28/11/2017"</f>
        <v>28/11/2017</v>
      </c>
      <c r="B2052" t="str">
        <f>"1084.40"</f>
        <v>1084.40</v>
      </c>
      <c r="C2052" t="str">
        <f>"1084.4018"</f>
        <v>1084.4018</v>
      </c>
    </row>
    <row r="2053" spans="1:3" x14ac:dyDescent="0.25">
      <c r="A2053" t="str">
        <f>"29/11/2017"</f>
        <v>29/11/2017</v>
      </c>
      <c r="B2053" t="str">
        <f>"1077.00"</f>
        <v>1077.00</v>
      </c>
      <c r="C2053" t="str">
        <f>"1076.9974"</f>
        <v>1076.9974</v>
      </c>
    </row>
    <row r="2054" spans="1:3" x14ac:dyDescent="0.25">
      <c r="A2054" t="str">
        <f>"30/11/2017"</f>
        <v>30/11/2017</v>
      </c>
      <c r="B2054" t="str">
        <f>"1088.10"</f>
        <v>1088.10</v>
      </c>
      <c r="C2054" t="str">
        <f>"1088.1028"</f>
        <v>1088.1028</v>
      </c>
    </row>
    <row r="2055" spans="1:3" x14ac:dyDescent="0.25">
      <c r="A2055" t="str">
        <f>"04/12/2017"</f>
        <v>04/12/2017</v>
      </c>
      <c r="B2055" t="str">
        <f>"1089.00"</f>
        <v>1089.00</v>
      </c>
      <c r="C2055" t="str">
        <f>"1089.003"</f>
        <v>1089.003</v>
      </c>
    </row>
    <row r="2056" spans="1:3" x14ac:dyDescent="0.25">
      <c r="A2056" t="str">
        <f>"05/12/2017"</f>
        <v>05/12/2017</v>
      </c>
      <c r="B2056" t="str">
        <f>"1086.00"</f>
        <v>1086.00</v>
      </c>
      <c r="C2056" t="str">
        <f>"1086.003"</f>
        <v>1086.003</v>
      </c>
    </row>
    <row r="2057" spans="1:3" x14ac:dyDescent="0.25">
      <c r="A2057" t="str">
        <f>"06/12/2017"</f>
        <v>06/12/2017</v>
      </c>
      <c r="B2057" t="str">
        <f>"1093.50"</f>
        <v>1093.50</v>
      </c>
      <c r="C2057" t="str">
        <f>"1093.4983"</f>
        <v>1093.4983</v>
      </c>
    </row>
    <row r="2058" spans="1:3" x14ac:dyDescent="0.25">
      <c r="A2058" t="str">
        <f>"07/12/2017"</f>
        <v>07/12/2017</v>
      </c>
      <c r="B2058" t="str">
        <f>"1093.50"</f>
        <v>1093.50</v>
      </c>
      <c r="C2058" t="str">
        <f>"1093.5018"</f>
        <v>1093.5018</v>
      </c>
    </row>
    <row r="2059" spans="1:3" x14ac:dyDescent="0.25">
      <c r="A2059" t="str">
        <f>"08/12/2017"</f>
        <v>08/12/2017</v>
      </c>
      <c r="B2059" t="str">
        <f>"1093.60"</f>
        <v>1093.60</v>
      </c>
      <c r="C2059" t="str">
        <f>"1093.5971"</f>
        <v>1093.5971</v>
      </c>
    </row>
    <row r="2060" spans="1:3" x14ac:dyDescent="0.25">
      <c r="A2060" t="str">
        <f>"11/12/2017"</f>
        <v>11/12/2017</v>
      </c>
      <c r="B2060" t="str">
        <f>"1092.30"</f>
        <v>1092.30</v>
      </c>
      <c r="C2060" t="str">
        <f>"1092.2971"</f>
        <v>1092.2971</v>
      </c>
    </row>
    <row r="2061" spans="1:3" x14ac:dyDescent="0.25">
      <c r="A2061" t="str">
        <f>"12/12/2017"</f>
        <v>12/12/2017</v>
      </c>
      <c r="B2061" t="str">
        <f>"1092.40"</f>
        <v>1092.40</v>
      </c>
      <c r="C2061" t="str">
        <f>"1092.4018"</f>
        <v>1092.4018</v>
      </c>
    </row>
    <row r="2062" spans="1:3" x14ac:dyDescent="0.25">
      <c r="A2062" t="str">
        <f>"13/12/2017"</f>
        <v>13/12/2017</v>
      </c>
      <c r="B2062" t="str">
        <f>"1090.80"</f>
        <v>1090.80</v>
      </c>
      <c r="C2062" t="str">
        <f>"1090.7969"</f>
        <v>1090.7969</v>
      </c>
    </row>
    <row r="2063" spans="1:3" x14ac:dyDescent="0.25">
      <c r="A2063" t="str">
        <f>"14/12/2017"</f>
        <v>14/12/2017</v>
      </c>
      <c r="B2063" t="str">
        <f>"1089.00"</f>
        <v>1089.00</v>
      </c>
      <c r="C2063" t="str">
        <f>"1088.9969"</f>
        <v>1088.9969</v>
      </c>
    </row>
    <row r="2064" spans="1:3" x14ac:dyDescent="0.25">
      <c r="A2064" t="str">
        <f>"15/12/2017"</f>
        <v>15/12/2017</v>
      </c>
      <c r="B2064" t="str">
        <f>"1089.35"</f>
        <v>1089.35</v>
      </c>
      <c r="C2064" t="str">
        <f>"1089.3518"</f>
        <v>1089.3518</v>
      </c>
    </row>
    <row r="2065" spans="1:3" x14ac:dyDescent="0.25">
      <c r="A2065" t="str">
        <f>"18/12/2017"</f>
        <v>18/12/2017</v>
      </c>
      <c r="B2065" t="str">
        <f>"1088.60"</f>
        <v>1088.60</v>
      </c>
      <c r="C2065" t="str">
        <f>"1088.6018"</f>
        <v>1088.6018</v>
      </c>
    </row>
    <row r="2066" spans="1:3" x14ac:dyDescent="0.25">
      <c r="A2066" t="str">
        <f>"19/12/2017"</f>
        <v>19/12/2017</v>
      </c>
      <c r="B2066" t="str">
        <f>"1085.00"</f>
        <v>1085.00</v>
      </c>
      <c r="C2066" t="str">
        <f>"1085.0018"</f>
        <v>1085.0018</v>
      </c>
    </row>
    <row r="2067" spans="1:3" x14ac:dyDescent="0.25">
      <c r="A2067" t="str">
        <f>"20/12/2017"</f>
        <v>20/12/2017</v>
      </c>
      <c r="B2067" t="str">
        <f>"1081.00"</f>
        <v>1081.00</v>
      </c>
      <c r="C2067" t="str">
        <f>"1081.0005"</f>
        <v>1081.0005</v>
      </c>
    </row>
    <row r="2068" spans="1:3" x14ac:dyDescent="0.25">
      <c r="A2068" t="str">
        <f>"21/12/2017"</f>
        <v>21/12/2017</v>
      </c>
      <c r="B2068" t="str">
        <f>"1082.80"</f>
        <v>1082.80</v>
      </c>
      <c r="C2068" t="str">
        <f>"1082.8005"</f>
        <v>1082.8005</v>
      </c>
    </row>
    <row r="2069" spans="1:3" x14ac:dyDescent="0.25">
      <c r="A2069" t="str">
        <f>"22/12/2017"</f>
        <v>22/12/2017</v>
      </c>
      <c r="B2069" t="str">
        <f>"1079.80"</f>
        <v>1079.80</v>
      </c>
      <c r="C2069" t="str">
        <f>"1079.7905"</f>
        <v>1079.7905</v>
      </c>
    </row>
    <row r="2070" spans="1:3" x14ac:dyDescent="0.25">
      <c r="A2070" t="str">
        <f>"26/12/2017"</f>
        <v>26/12/2017</v>
      </c>
      <c r="B2070" t="str">
        <f>"1076.30"</f>
        <v>1076.30</v>
      </c>
      <c r="C2070" t="str">
        <f>"1076.2905"</f>
        <v>1076.2905</v>
      </c>
    </row>
    <row r="2071" spans="1:3" x14ac:dyDescent="0.25">
      <c r="A2071" t="str">
        <f>"27/12/2017"</f>
        <v>27/12/2017</v>
      </c>
      <c r="B2071" t="str">
        <f>"1074.30"</f>
        <v>1074.30</v>
      </c>
      <c r="C2071" t="str">
        <f>"1074.2905"</f>
        <v>1074.2905</v>
      </c>
    </row>
    <row r="2072" spans="1:3" x14ac:dyDescent="0.25">
      <c r="A2072" t="str">
        <f>"28/12/2017"</f>
        <v>28/12/2017</v>
      </c>
      <c r="B2072" t="str">
        <f>"1070.80"</f>
        <v>1070.80</v>
      </c>
      <c r="C2072" t="str">
        <f>"1070.7905"</f>
        <v>1070.7905</v>
      </c>
    </row>
    <row r="2073" spans="1:3" x14ac:dyDescent="0.25">
      <c r="A2073" t="str">
        <f>"29/12/2017"</f>
        <v>29/12/2017</v>
      </c>
      <c r="B2073" t="str">
        <f>"1070.80"</f>
        <v>1070.80</v>
      </c>
      <c r="C2073" t="str">
        <f>"1070.7905"</f>
        <v>1070.7905</v>
      </c>
    </row>
    <row r="2074" spans="1:3" x14ac:dyDescent="0.25">
      <c r="A2074" t="str">
        <f>"02/01/2018"</f>
        <v>02/01/2018</v>
      </c>
      <c r="B2074" t="str">
        <f>"1061.30"</f>
        <v>1061.30</v>
      </c>
      <c r="C2074" t="str">
        <f>"1061.2905"</f>
        <v>1061.2905</v>
      </c>
    </row>
    <row r="2075" spans="1:3" x14ac:dyDescent="0.25">
      <c r="A2075" t="str">
        <f>"03/01/2018"</f>
        <v>03/01/2018</v>
      </c>
      <c r="B2075" t="str">
        <f>"1064.60"</f>
        <v>1064.60</v>
      </c>
      <c r="C2075" t="str">
        <f>"1064.5905"</f>
        <v>1064.5905</v>
      </c>
    </row>
    <row r="2076" spans="1:3" x14ac:dyDescent="0.25">
      <c r="A2076" t="str">
        <f>"04/01/2018"</f>
        <v>04/01/2018</v>
      </c>
      <c r="B2076" t="str">
        <f>"1062.30"</f>
        <v>1062.30</v>
      </c>
      <c r="C2076" t="str">
        <f>"1062.2953"</f>
        <v>1062.2953</v>
      </c>
    </row>
    <row r="2077" spans="1:3" x14ac:dyDescent="0.25">
      <c r="A2077" t="str">
        <f>"05/01/2018"</f>
        <v>05/01/2018</v>
      </c>
      <c r="B2077" t="str">
        <f>"1062.90"</f>
        <v>1062.90</v>
      </c>
      <c r="C2077" t="str">
        <f>"1062.896"</f>
        <v>1062.896</v>
      </c>
    </row>
    <row r="2078" spans="1:3" x14ac:dyDescent="0.25">
      <c r="A2078" t="str">
        <f>"08/01/2018"</f>
        <v>08/01/2018</v>
      </c>
      <c r="B2078" t="str">
        <f>"1066.20"</f>
        <v>1066.20</v>
      </c>
      <c r="C2078" t="str">
        <f>"1066.205"</f>
        <v>1066.205</v>
      </c>
    </row>
    <row r="2079" spans="1:3" x14ac:dyDescent="0.25">
      <c r="A2079" t="str">
        <f>"09/01/2018"</f>
        <v>09/01/2018</v>
      </c>
      <c r="B2079" t="str">
        <f>"1067.20"</f>
        <v>1067.20</v>
      </c>
      <c r="C2079" t="str">
        <f>"1067.1965"</f>
        <v>1067.1965</v>
      </c>
    </row>
    <row r="2080" spans="1:3" x14ac:dyDescent="0.25">
      <c r="A2080" t="str">
        <f>"10/01/2018"</f>
        <v>10/01/2018</v>
      </c>
      <c r="B2080" t="str">
        <f>"1071.90"</f>
        <v>1071.90</v>
      </c>
      <c r="C2080" t="str">
        <f>"1071.8975"</f>
        <v>1071.8975</v>
      </c>
    </row>
    <row r="2081" spans="1:3" x14ac:dyDescent="0.25">
      <c r="A2081" t="str">
        <f>"11/01/2018"</f>
        <v>11/01/2018</v>
      </c>
      <c r="B2081" t="str">
        <f>"1072.20"</f>
        <v>1072.20</v>
      </c>
      <c r="C2081" t="str">
        <f>"1072.196"</f>
        <v>1072.196</v>
      </c>
    </row>
    <row r="2082" spans="1:3" x14ac:dyDescent="0.25">
      <c r="A2082" t="str">
        <f>"12/01/2018"</f>
        <v>12/01/2018</v>
      </c>
      <c r="B2082" t="str">
        <f>"1065.00"</f>
        <v>1065.00</v>
      </c>
      <c r="C2082" t="str">
        <f>"1064.995"</f>
        <v>1064.995</v>
      </c>
    </row>
    <row r="2083" spans="1:3" x14ac:dyDescent="0.25">
      <c r="A2083" t="str">
        <f>"15/01/2018"</f>
        <v>15/01/2018</v>
      </c>
      <c r="B2083" t="str">
        <f>"1062.80"</f>
        <v>1062.80</v>
      </c>
      <c r="C2083" t="str">
        <f>"1062.7945"</f>
        <v>1062.7945</v>
      </c>
    </row>
    <row r="2084" spans="1:3" x14ac:dyDescent="0.25">
      <c r="A2084" t="str">
        <f>"16/01/2018"</f>
        <v>16/01/2018</v>
      </c>
      <c r="B2084" t="str">
        <f>"1062.80"</f>
        <v>1062.80</v>
      </c>
      <c r="C2084" t="str">
        <f>"1062.796"</f>
        <v>1062.796</v>
      </c>
    </row>
    <row r="2085" spans="1:3" x14ac:dyDescent="0.25">
      <c r="A2085" t="str">
        <f>"17/01/2018"</f>
        <v>17/01/2018</v>
      </c>
      <c r="B2085" t="str">
        <f>"1069.30"</f>
        <v>1069.30</v>
      </c>
      <c r="C2085" t="str">
        <f>"1069.296"</f>
        <v>1069.296</v>
      </c>
    </row>
    <row r="2086" spans="1:3" x14ac:dyDescent="0.25">
      <c r="A2086" t="str">
        <f>"18/01/2018"</f>
        <v>18/01/2018</v>
      </c>
      <c r="B2086" t="str">
        <f>"1070.60"</f>
        <v>1070.60</v>
      </c>
      <c r="C2086" t="str">
        <f>"1070.597"</f>
        <v>1070.597</v>
      </c>
    </row>
    <row r="2087" spans="1:3" x14ac:dyDescent="0.25">
      <c r="A2087" t="str">
        <f>"19/01/2018"</f>
        <v>19/01/2018</v>
      </c>
      <c r="B2087" t="str">
        <f>"1066.00"</f>
        <v>1066.00</v>
      </c>
      <c r="C2087" t="str">
        <f>"1065.9965"</f>
        <v>1065.9965</v>
      </c>
    </row>
    <row r="2088" spans="1:3" x14ac:dyDescent="0.25">
      <c r="A2088" t="str">
        <f>"22/01/2018"</f>
        <v>22/01/2018</v>
      </c>
      <c r="B2088" t="str">
        <f>"1070.20"</f>
        <v>1070.20</v>
      </c>
      <c r="C2088" t="str">
        <f>"1070.196"</f>
        <v>1070.196</v>
      </c>
    </row>
    <row r="2089" spans="1:3" x14ac:dyDescent="0.25">
      <c r="A2089" t="str">
        <f>"23/01/2018"</f>
        <v>23/01/2018</v>
      </c>
      <c r="B2089" t="str">
        <f>"1070.30"</f>
        <v>1070.30</v>
      </c>
      <c r="C2089" t="str">
        <f>"1070.295"</f>
        <v>1070.295</v>
      </c>
    </row>
    <row r="2090" spans="1:3" x14ac:dyDescent="0.25">
      <c r="A2090" t="str">
        <f>"24/01/2018"</f>
        <v>24/01/2018</v>
      </c>
      <c r="B2090" t="str">
        <f>"1070.30"</f>
        <v>1070.30</v>
      </c>
      <c r="C2090" t="str">
        <f>"1070.2965"</f>
        <v>1070.2965</v>
      </c>
    </row>
    <row r="2091" spans="1:3" x14ac:dyDescent="0.25">
      <c r="A2091" t="str">
        <f>"25/01/2018"</f>
        <v>25/01/2018</v>
      </c>
      <c r="B2091" t="str">
        <f>"1058.80"</f>
        <v>1058.80</v>
      </c>
      <c r="C2091" t="str">
        <f>"1058.798"</f>
        <v>1058.798</v>
      </c>
    </row>
    <row r="2092" spans="1:3" x14ac:dyDescent="0.25">
      <c r="A2092" t="str">
        <f>"29/01/2018"</f>
        <v>29/01/2018</v>
      </c>
      <c r="B2092" t="str">
        <f>"1065.60"</f>
        <v>1065.60</v>
      </c>
      <c r="C2092" t="str">
        <f>"1065.5995"</f>
        <v>1065.5995</v>
      </c>
    </row>
    <row r="2093" spans="1:3" x14ac:dyDescent="0.25">
      <c r="A2093" t="str">
        <f>"30/01/2018"</f>
        <v>30/01/2018</v>
      </c>
      <c r="B2093" t="str">
        <f>"1073.80"</f>
        <v>1073.80</v>
      </c>
      <c r="C2093" t="str">
        <f>"1073.7995"</f>
        <v>1073.7995</v>
      </c>
    </row>
    <row r="2094" spans="1:3" x14ac:dyDescent="0.25">
      <c r="A2094" t="str">
        <f>"31/01/2018"</f>
        <v>31/01/2018</v>
      </c>
      <c r="B2094" t="str">
        <f>"1067.90"</f>
        <v>1067.90</v>
      </c>
      <c r="C2094" t="str">
        <f>"1067.8953"</f>
        <v>1067.8953</v>
      </c>
    </row>
    <row r="2095" spans="1:3" x14ac:dyDescent="0.25">
      <c r="A2095" t="str">
        <f>"01/02/2018"</f>
        <v>01/02/2018</v>
      </c>
      <c r="B2095" t="str">
        <f>"1072.10"</f>
        <v>1072.10</v>
      </c>
      <c r="C2095" t="str">
        <f>"1072.0953"</f>
        <v>1072.0953</v>
      </c>
    </row>
    <row r="2096" spans="1:3" x14ac:dyDescent="0.25">
      <c r="A2096" t="str">
        <f>"02/02/2018"</f>
        <v>02/02/2018</v>
      </c>
      <c r="B2096" t="str">
        <f>"1080.20"</f>
        <v>1080.20</v>
      </c>
      <c r="C2096" t="str">
        <f>"1080.2025"</f>
        <v>1080.2025</v>
      </c>
    </row>
    <row r="2097" spans="1:3" x14ac:dyDescent="0.25">
      <c r="A2097" t="str">
        <f>"05/02/2018"</f>
        <v>05/02/2018</v>
      </c>
      <c r="B2097" t="str">
        <f>"1088.60"</f>
        <v>1088.60</v>
      </c>
      <c r="C2097" t="str">
        <f>"1088.6022"</f>
        <v>1088.6022</v>
      </c>
    </row>
    <row r="2098" spans="1:3" x14ac:dyDescent="0.25">
      <c r="A2098" t="str">
        <f>"06/02/2018"</f>
        <v>06/02/2018</v>
      </c>
      <c r="B2098" t="str">
        <f>"1091.40"</f>
        <v>1091.40</v>
      </c>
      <c r="C2098" t="str">
        <f>"1091.4032"</f>
        <v>1091.4032</v>
      </c>
    </row>
    <row r="2099" spans="1:3" x14ac:dyDescent="0.25">
      <c r="A2099" t="str">
        <f>"07/02/2018"</f>
        <v>07/02/2018</v>
      </c>
      <c r="B2099" t="str">
        <f>"1086.70"</f>
        <v>1086.70</v>
      </c>
      <c r="C2099" t="str">
        <f>"1086.7038"</f>
        <v>1086.7038</v>
      </c>
    </row>
    <row r="2100" spans="1:3" x14ac:dyDescent="0.25">
      <c r="A2100" t="str">
        <f>"08/02/2018"</f>
        <v>08/02/2018</v>
      </c>
      <c r="B2100" t="str">
        <f>"1088.00"</f>
        <v>1088.00</v>
      </c>
      <c r="C2100" t="str">
        <f>"1088.0032"</f>
        <v>1088.0032</v>
      </c>
    </row>
    <row r="2101" spans="1:3" x14ac:dyDescent="0.25">
      <c r="A2101" t="str">
        <f>"09/02/2018"</f>
        <v>09/02/2018</v>
      </c>
      <c r="B2101" t="str">
        <f>"1092.20"</f>
        <v>1092.20</v>
      </c>
      <c r="C2101" t="str">
        <f>"1092.2028"</f>
        <v>1092.2028</v>
      </c>
    </row>
    <row r="2102" spans="1:3" x14ac:dyDescent="0.25">
      <c r="A2102" t="str">
        <f>"12/02/2018"</f>
        <v>12/02/2018</v>
      </c>
      <c r="B2102" t="str">
        <f>"1084.60"</f>
        <v>1084.60</v>
      </c>
      <c r="C2102" t="str">
        <f>"1084.602"</f>
        <v>1084.602</v>
      </c>
    </row>
    <row r="2103" spans="1:3" x14ac:dyDescent="0.25">
      <c r="A2103" t="str">
        <f>"14/02/2018"</f>
        <v>14/02/2018</v>
      </c>
      <c r="B2103" t="str">
        <f>"1077.30"</f>
        <v>1077.30</v>
      </c>
      <c r="C2103" t="str">
        <f>"1077.3022"</f>
        <v>1077.3022</v>
      </c>
    </row>
    <row r="2104" spans="1:3" x14ac:dyDescent="0.25">
      <c r="A2104" t="str">
        <f>"15/02/2018"</f>
        <v>15/02/2018</v>
      </c>
      <c r="B2104" t="str">
        <f>"1077.30"</f>
        <v>1077.30</v>
      </c>
      <c r="C2104" t="str">
        <f>"1077.3022"</f>
        <v>1077.3022</v>
      </c>
    </row>
    <row r="2105" spans="1:3" x14ac:dyDescent="0.25">
      <c r="A2105" t="str">
        <f>"16/02/2018"</f>
        <v>16/02/2018</v>
      </c>
      <c r="B2105" t="str">
        <f>"1077.30"</f>
        <v>1077.30</v>
      </c>
      <c r="C2105" t="str">
        <f>"1077.2945"</f>
        <v>1077.2945</v>
      </c>
    </row>
    <row r="2106" spans="1:3" x14ac:dyDescent="0.25">
      <c r="A2106" t="str">
        <f>"20/02/2018"</f>
        <v>20/02/2018</v>
      </c>
      <c r="B2106" t="str">
        <f>"1073.50"</f>
        <v>1073.50</v>
      </c>
      <c r="C2106" t="str">
        <f>"1073.5018"</f>
        <v>1073.5018</v>
      </c>
    </row>
    <row r="2107" spans="1:3" x14ac:dyDescent="0.25">
      <c r="A2107" t="str">
        <f>"21/02/2018"</f>
        <v>21/02/2018</v>
      </c>
      <c r="B2107" t="str">
        <f>"1076.30"</f>
        <v>1076.30</v>
      </c>
      <c r="C2107" t="str">
        <f>"1076.301"</f>
        <v>1076.301</v>
      </c>
    </row>
    <row r="2108" spans="1:3" x14ac:dyDescent="0.25">
      <c r="A2108" t="str">
        <f>"22/02/2018"</f>
        <v>22/02/2018</v>
      </c>
      <c r="B2108" t="str">
        <f>"1084.40"</f>
        <v>1084.40</v>
      </c>
      <c r="C2108" t="str">
        <f>"1084.4022"</f>
        <v>1084.4022</v>
      </c>
    </row>
    <row r="2109" spans="1:3" x14ac:dyDescent="0.25">
      <c r="A2109" t="str">
        <f>"23/02/2018"</f>
        <v>23/02/2018</v>
      </c>
      <c r="B2109" t="str">
        <f>"1079.00"</f>
        <v>1079.00</v>
      </c>
      <c r="C2109" t="str">
        <f>"1079.0022"</f>
        <v>1079.0022</v>
      </c>
    </row>
    <row r="2110" spans="1:3" x14ac:dyDescent="0.25">
      <c r="A2110" t="str">
        <f>"26/02/2018"</f>
        <v>26/02/2018</v>
      </c>
      <c r="B2110" t="str">
        <f>"1073.50"</f>
        <v>1073.50</v>
      </c>
      <c r="C2110" t="str">
        <f>"1073.5022"</f>
        <v>1073.5022</v>
      </c>
    </row>
    <row r="2111" spans="1:3" x14ac:dyDescent="0.25">
      <c r="A2111" t="str">
        <f>"27/02/2018"</f>
        <v>27/02/2018</v>
      </c>
      <c r="B2111" t="str">
        <f>"1071.40"</f>
        <v>1071.40</v>
      </c>
      <c r="C2111" t="str">
        <f>"1071.4028"</f>
        <v>1071.4028</v>
      </c>
    </row>
    <row r="2112" spans="1:3" x14ac:dyDescent="0.25">
      <c r="A2112" t="str">
        <f>"28/02/2018"</f>
        <v>28/02/2018</v>
      </c>
      <c r="B2112" t="str">
        <f>"1083.20"</f>
        <v>1083.20</v>
      </c>
      <c r="C2112" t="str">
        <f>"1083.2038"</f>
        <v>1083.2038</v>
      </c>
    </row>
    <row r="2113" spans="1:3" x14ac:dyDescent="0.25">
      <c r="A2113" t="str">
        <f>"01/03/2018"</f>
        <v>01/03/2018</v>
      </c>
      <c r="B2113" t="str">
        <f>"1083.20"</f>
        <v>1083.20</v>
      </c>
      <c r="C2113" t="str">
        <f>"1083.2038"</f>
        <v>1083.2038</v>
      </c>
    </row>
    <row r="2114" spans="1:3" x14ac:dyDescent="0.25">
      <c r="A2114" t="str">
        <f>"05/03/2018"</f>
        <v>05/03/2018</v>
      </c>
      <c r="B2114" t="str">
        <f>"1082.10"</f>
        <v>1082.10</v>
      </c>
      <c r="C2114" t="str">
        <f>"1082.1028"</f>
        <v>1082.1028</v>
      </c>
    </row>
    <row r="2115" spans="1:3" x14ac:dyDescent="0.25">
      <c r="A2115" t="str">
        <f>"06/03/2018"</f>
        <v>06/03/2018</v>
      </c>
      <c r="B2115" t="str">
        <f>"1076.10"</f>
        <v>1076.10</v>
      </c>
      <c r="C2115" t="str">
        <f>"1076.095"</f>
        <v>1076.095</v>
      </c>
    </row>
    <row r="2116" spans="1:3" x14ac:dyDescent="0.25">
      <c r="A2116" t="str">
        <f>"07/03/2018"</f>
        <v>07/03/2018</v>
      </c>
      <c r="B2116" t="str">
        <f>"1069.20"</f>
        <v>1069.20</v>
      </c>
      <c r="C2116" t="str">
        <f>"1069.195"</f>
        <v>1069.195</v>
      </c>
    </row>
    <row r="2117" spans="1:3" x14ac:dyDescent="0.25">
      <c r="A2117" t="str">
        <f>"08/03/2018"</f>
        <v>08/03/2018</v>
      </c>
      <c r="B2117" t="str">
        <f>"1070.40"</f>
        <v>1070.40</v>
      </c>
      <c r="C2117" t="str">
        <f>"1070.395"</f>
        <v>1070.395</v>
      </c>
    </row>
    <row r="2118" spans="1:3" x14ac:dyDescent="0.25">
      <c r="A2118" t="str">
        <f>"09/03/2018"</f>
        <v>09/03/2018</v>
      </c>
      <c r="B2118" t="str">
        <f>"1070.00"</f>
        <v>1070.00</v>
      </c>
      <c r="C2118" t="str">
        <f>"1069.995"</f>
        <v>1069.995</v>
      </c>
    </row>
    <row r="2119" spans="1:3" x14ac:dyDescent="0.25">
      <c r="A2119" t="str">
        <f>"12/03/2018"</f>
        <v>12/03/2018</v>
      </c>
      <c r="B2119" t="str">
        <f>"1065.30"</f>
        <v>1065.30</v>
      </c>
      <c r="C2119" t="str">
        <f>"1065.295"</f>
        <v>1065.295</v>
      </c>
    </row>
    <row r="2120" spans="1:3" x14ac:dyDescent="0.25">
      <c r="A2120" t="str">
        <f>"13/03/2018"</f>
        <v>13/03/2018</v>
      </c>
      <c r="B2120" t="str">
        <f>"1067.50"</f>
        <v>1067.50</v>
      </c>
      <c r="C2120" t="str">
        <f>"1067.495"</f>
        <v>1067.495</v>
      </c>
    </row>
    <row r="2121" spans="1:3" x14ac:dyDescent="0.25">
      <c r="A2121" t="str">
        <f>"14/03/2018"</f>
        <v>14/03/2018</v>
      </c>
      <c r="B2121" t="str">
        <f>"1064.60"</f>
        <v>1064.60</v>
      </c>
      <c r="C2121" t="str">
        <f>"1064.595"</f>
        <v>1064.595</v>
      </c>
    </row>
    <row r="2122" spans="1:3" x14ac:dyDescent="0.25">
      <c r="A2122" t="str">
        <f>"15/03/2018"</f>
        <v>15/03/2018</v>
      </c>
      <c r="B2122" t="str">
        <f>"1065.60"</f>
        <v>1065.60</v>
      </c>
      <c r="C2122" t="str">
        <f>"1065.595"</f>
        <v>1065.595</v>
      </c>
    </row>
    <row r="2123" spans="1:3" x14ac:dyDescent="0.25">
      <c r="A2123" t="str">
        <f>"16/03/2018"</f>
        <v>16/03/2018</v>
      </c>
      <c r="B2123" t="str">
        <f>"1066.40"</f>
        <v>1066.40</v>
      </c>
      <c r="C2123" t="str">
        <f>"1066.3955"</f>
        <v>1066.3955</v>
      </c>
    </row>
    <row r="2124" spans="1:3" x14ac:dyDescent="0.25">
      <c r="A2124" t="str">
        <f>"19/03/2018"</f>
        <v>19/03/2018</v>
      </c>
      <c r="B2124" t="str">
        <f>"1071.60"</f>
        <v>1071.60</v>
      </c>
      <c r="C2124" t="str">
        <f>"1071.595"</f>
        <v>1071.595</v>
      </c>
    </row>
    <row r="2125" spans="1:3" x14ac:dyDescent="0.25">
      <c r="A2125" t="str">
        <f>"20/03/2018"</f>
        <v>20/03/2018</v>
      </c>
      <c r="B2125" t="str">
        <f>"1068.80"</f>
        <v>1068.80</v>
      </c>
      <c r="C2125" t="str">
        <f>"1068.7935"</f>
        <v>1068.7935</v>
      </c>
    </row>
    <row r="2126" spans="1:3" x14ac:dyDescent="0.25">
      <c r="A2126" t="str">
        <f>"21/03/2018"</f>
        <v>21/03/2018</v>
      </c>
      <c r="B2126" t="str">
        <f>"1072.50"</f>
        <v>1072.50</v>
      </c>
      <c r="C2126" t="str">
        <f>"1072.493"</f>
        <v>1072.493</v>
      </c>
    </row>
    <row r="2127" spans="1:3" x14ac:dyDescent="0.25">
      <c r="A2127" t="str">
        <f>"22/03/2018"</f>
        <v>22/03/2018</v>
      </c>
      <c r="B2127" t="str">
        <f>"1072.60"</f>
        <v>1072.60</v>
      </c>
      <c r="C2127" t="str">
        <f>"1072.5908"</f>
        <v>1072.5908</v>
      </c>
    </row>
    <row r="2128" spans="1:3" x14ac:dyDescent="0.25">
      <c r="A2128" t="str">
        <f>"23/03/2018"</f>
        <v>23/03/2018</v>
      </c>
      <c r="B2128" t="str">
        <f>"1082.20"</f>
        <v>1082.20</v>
      </c>
      <c r="C2128" t="str">
        <f>"1082.179"</f>
        <v>1082.179</v>
      </c>
    </row>
    <row r="2129" spans="1:3" x14ac:dyDescent="0.25">
      <c r="A2129" t="str">
        <f>"26/03/2018"</f>
        <v>26/03/2018</v>
      </c>
      <c r="B2129" t="str">
        <f>"1081.30"</f>
        <v>1081.30</v>
      </c>
      <c r="C2129" t="str">
        <f>"1081.273"</f>
        <v>1081.273</v>
      </c>
    </row>
    <row r="2130" spans="1:3" x14ac:dyDescent="0.25">
      <c r="A2130" t="str">
        <f>"27/03/2018"</f>
        <v>27/03/2018</v>
      </c>
      <c r="B2130" t="str">
        <f>"1070.50"</f>
        <v>1070.50</v>
      </c>
      <c r="C2130" t="str">
        <f>"1070.485"</f>
        <v>1070.485</v>
      </c>
    </row>
    <row r="2131" spans="1:3" x14ac:dyDescent="0.25">
      <c r="A2131" t="str">
        <f>"28/03/2018"</f>
        <v>28/03/2018</v>
      </c>
      <c r="B2131" t="str">
        <f>"1070.80"</f>
        <v>1070.80</v>
      </c>
      <c r="C2131" t="str">
        <f>"1070.795"</f>
        <v>1070.795</v>
      </c>
    </row>
    <row r="2132" spans="1:3" x14ac:dyDescent="0.25">
      <c r="A2132" t="str">
        <f>"03/04/2018"</f>
        <v>03/04/2018</v>
      </c>
      <c r="B2132" t="str">
        <f>"1054.70"</f>
        <v>1054.70</v>
      </c>
      <c r="C2132" t="str">
        <f>"1054.6895"</f>
        <v>1054.6895</v>
      </c>
    </row>
    <row r="2133" spans="1:3" x14ac:dyDescent="0.25">
      <c r="A2133" t="str">
        <f>"04/04/2018"</f>
        <v>04/04/2018</v>
      </c>
      <c r="B2133" t="str">
        <f>"1059.80"</f>
        <v>1059.80</v>
      </c>
      <c r="C2133" t="str">
        <f>"1059.7905"</f>
        <v>1059.7905</v>
      </c>
    </row>
    <row r="2134" spans="1:3" x14ac:dyDescent="0.25">
      <c r="A2134" t="str">
        <f>"05/04/2018"</f>
        <v>05/04/2018</v>
      </c>
      <c r="B2134" t="str">
        <f>"1060.00"</f>
        <v>1060.00</v>
      </c>
      <c r="C2134" t="str">
        <f>"1059.9935"</f>
        <v>1059.9935</v>
      </c>
    </row>
    <row r="2135" spans="1:3" x14ac:dyDescent="0.25">
      <c r="A2135" t="str">
        <f>"06/04/2018"</f>
        <v>06/04/2018</v>
      </c>
      <c r="B2135" t="str">
        <f>"1069.80"</f>
        <v>1069.80</v>
      </c>
      <c r="C2135" t="str">
        <f>"1069.794"</f>
        <v>1069.794</v>
      </c>
    </row>
    <row r="2136" spans="1:3" x14ac:dyDescent="0.25">
      <c r="A2136" t="str">
        <f>"09/04/2018"</f>
        <v>09/04/2018</v>
      </c>
      <c r="B2136" t="str">
        <f>"1066.90"</f>
        <v>1066.90</v>
      </c>
      <c r="C2136" t="str">
        <f>"1066.8945"</f>
        <v>1066.8945</v>
      </c>
    </row>
    <row r="2137" spans="1:3" x14ac:dyDescent="0.25">
      <c r="A2137" t="str">
        <f>"10/04/2018"</f>
        <v>10/04/2018</v>
      </c>
      <c r="B2137" t="str">
        <f>"1066.60"</f>
        <v>1066.60</v>
      </c>
      <c r="C2137" t="str">
        <f>"1066.5945"</f>
        <v>1066.5945</v>
      </c>
    </row>
    <row r="2138" spans="1:3" x14ac:dyDescent="0.25">
      <c r="A2138" t="str">
        <f>"11/04/2018"</f>
        <v>11/04/2018</v>
      </c>
      <c r="B2138" t="str">
        <f>"1066.50"</f>
        <v>1066.50</v>
      </c>
      <c r="C2138" t="str">
        <f>"1066.4935"</f>
        <v>1066.4935</v>
      </c>
    </row>
    <row r="2139" spans="1:3" x14ac:dyDescent="0.25">
      <c r="A2139" t="str">
        <f>"12/04/2018"</f>
        <v>12/04/2018</v>
      </c>
      <c r="B2139" t="str">
        <f>"1069.60"</f>
        <v>1069.60</v>
      </c>
      <c r="C2139" t="str">
        <f>"1069.5935"</f>
        <v>1069.5935</v>
      </c>
    </row>
    <row r="2140" spans="1:3" x14ac:dyDescent="0.25">
      <c r="A2140" t="str">
        <f>"13/04/2018"</f>
        <v>13/04/2018</v>
      </c>
      <c r="B2140" t="str">
        <f>"1069.70"</f>
        <v>1069.70</v>
      </c>
      <c r="C2140" t="str">
        <f>"1069.693"</f>
        <v>1069.693</v>
      </c>
    </row>
    <row r="2141" spans="1:3" x14ac:dyDescent="0.25">
      <c r="A2141" t="str">
        <f>"16/04/2018"</f>
        <v>16/04/2018</v>
      </c>
      <c r="B2141" t="str">
        <f>"1074.00"</f>
        <v>1074.00</v>
      </c>
      <c r="C2141" t="str">
        <f>"1073.993"</f>
        <v>1073.993</v>
      </c>
    </row>
    <row r="2142" spans="1:3" x14ac:dyDescent="0.25">
      <c r="A2142" t="str">
        <f>"17/04/2018"</f>
        <v>17/04/2018</v>
      </c>
      <c r="B2142" t="str">
        <f>"1067.20"</f>
        <v>1067.20</v>
      </c>
      <c r="C2142" t="str">
        <f>"1067.1935"</f>
        <v>1067.1935</v>
      </c>
    </row>
    <row r="2143" spans="1:3" x14ac:dyDescent="0.25">
      <c r="A2143" t="str">
        <f>"18/04/2018"</f>
        <v>18/04/2018</v>
      </c>
      <c r="B2143" t="str">
        <f>"1068.70"</f>
        <v>1068.70</v>
      </c>
      <c r="C2143" t="str">
        <f>"1068.695"</f>
        <v>1068.695</v>
      </c>
    </row>
    <row r="2144" spans="1:3" x14ac:dyDescent="0.25">
      <c r="A2144" t="str">
        <f>"19/04/2018"</f>
        <v>19/04/2018</v>
      </c>
      <c r="B2144" t="str">
        <f>"1061.60"</f>
        <v>1061.60</v>
      </c>
      <c r="C2144" t="str">
        <f>"1061.5955"</f>
        <v>1061.5955</v>
      </c>
    </row>
    <row r="2145" spans="1:3" x14ac:dyDescent="0.25">
      <c r="A2145" t="str">
        <f>"20/04/2018"</f>
        <v>20/04/2018</v>
      </c>
      <c r="B2145" t="str">
        <f>"1067.30"</f>
        <v>1067.30</v>
      </c>
      <c r="C2145" t="str">
        <f>"1067.295"</f>
        <v>1067.295</v>
      </c>
    </row>
    <row r="2146" spans="1:3" x14ac:dyDescent="0.25">
      <c r="A2146" t="str">
        <f>"23/04/2018"</f>
        <v>23/04/2018</v>
      </c>
      <c r="B2146" t="str">
        <f>"1069.00"</f>
        <v>1069.00</v>
      </c>
      <c r="C2146" t="str">
        <f>"1068.995"</f>
        <v>1068.995</v>
      </c>
    </row>
    <row r="2147" spans="1:3" x14ac:dyDescent="0.25">
      <c r="A2147" t="str">
        <f>"24/04/2018"</f>
        <v>24/04/2018</v>
      </c>
      <c r="B2147" t="str">
        <f>"1076.90"</f>
        <v>1076.90</v>
      </c>
      <c r="C2147" t="str">
        <f>"1076.8945"</f>
        <v>1076.8945</v>
      </c>
    </row>
    <row r="2148" spans="1:3" x14ac:dyDescent="0.25">
      <c r="A2148" t="str">
        <f>"25/04/2018"</f>
        <v>25/04/2018</v>
      </c>
      <c r="B2148" t="str">
        <f>"1080.70"</f>
        <v>1080.70</v>
      </c>
      <c r="C2148" t="str">
        <f>"1080.695"</f>
        <v>1080.695</v>
      </c>
    </row>
    <row r="2149" spans="1:3" x14ac:dyDescent="0.25">
      <c r="A2149" t="str">
        <f>"26/04/2018"</f>
        <v>26/04/2018</v>
      </c>
      <c r="B2149" t="str">
        <f>"1081.00"</f>
        <v>1081.00</v>
      </c>
      <c r="C2149" t="str">
        <f>"1080.9965"</f>
        <v>1080.9965</v>
      </c>
    </row>
    <row r="2150" spans="1:3" x14ac:dyDescent="0.25">
      <c r="A2150" t="str">
        <f>"27/04/2018"</f>
        <v>27/04/2018</v>
      </c>
      <c r="B2150" t="str">
        <f>"1076.80"</f>
        <v>1076.80</v>
      </c>
      <c r="C2150" t="str">
        <f>"1076.797"</f>
        <v>1076.797</v>
      </c>
    </row>
    <row r="2151" spans="1:3" x14ac:dyDescent="0.25">
      <c r="A2151" t="str">
        <f>"02/05/2018"</f>
        <v>02/05/2018</v>
      </c>
      <c r="B2151" t="str">
        <f>"1076.20"</f>
        <v>1076.20</v>
      </c>
      <c r="C2151" t="str">
        <f>"1076.1975"</f>
        <v>1076.1975</v>
      </c>
    </row>
    <row r="2152" spans="1:3" x14ac:dyDescent="0.25">
      <c r="A2152" t="str">
        <f>"03/05/2018"</f>
        <v>03/05/2018</v>
      </c>
      <c r="B2152" t="str">
        <f>"1076.40"</f>
        <v>1076.40</v>
      </c>
      <c r="C2152" t="str">
        <f>"1076.397"</f>
        <v>1076.397</v>
      </c>
    </row>
    <row r="2153" spans="1:3" x14ac:dyDescent="0.25">
      <c r="A2153" t="str">
        <f>"04/05/2018"</f>
        <v>04/05/2018</v>
      </c>
      <c r="B2153" t="str">
        <f>"1077.30"</f>
        <v>1077.30</v>
      </c>
      <c r="C2153" t="str">
        <f>"1077.2965"</f>
        <v>1077.2965</v>
      </c>
    </row>
    <row r="2154" spans="1:3" x14ac:dyDescent="0.25">
      <c r="A2154" t="str">
        <f>"07/05/2018"</f>
        <v>07/05/2018</v>
      </c>
      <c r="B2154" t="str">
        <f>"1077.30"</f>
        <v>1077.30</v>
      </c>
      <c r="C2154" t="str">
        <f>"1077.2965"</f>
        <v>1077.2965</v>
      </c>
    </row>
    <row r="2155" spans="1:3" x14ac:dyDescent="0.25">
      <c r="A2155" t="str">
        <f>"08/05/2018"</f>
        <v>08/05/2018</v>
      </c>
      <c r="B2155" t="str">
        <f>"1076.60"</f>
        <v>1076.60</v>
      </c>
      <c r="C2155" t="str">
        <f>"1076.597"</f>
        <v>1076.597</v>
      </c>
    </row>
    <row r="2156" spans="1:3" x14ac:dyDescent="0.25">
      <c r="A2156" t="str">
        <f>"09/05/2018"</f>
        <v>09/05/2018</v>
      </c>
      <c r="B2156" t="str">
        <f>"1081.10"</f>
        <v>1081.10</v>
      </c>
      <c r="C2156" t="str">
        <f>"1081.097"</f>
        <v>1081.097</v>
      </c>
    </row>
    <row r="2157" spans="1:3" x14ac:dyDescent="0.25">
      <c r="A2157" t="str">
        <f>"10/05/2018"</f>
        <v>10/05/2018</v>
      </c>
      <c r="B2157" t="str">
        <f>"1073.10"</f>
        <v>1073.10</v>
      </c>
      <c r="C2157" t="str">
        <f>"1073.097"</f>
        <v>1073.097</v>
      </c>
    </row>
    <row r="2158" spans="1:3" x14ac:dyDescent="0.25">
      <c r="A2158" t="str">
        <f>"11/05/2018"</f>
        <v>11/05/2018</v>
      </c>
      <c r="B2158" t="str">
        <f>"1069.50"</f>
        <v>1069.50</v>
      </c>
      <c r="C2158" t="str">
        <f>"1069.4975"</f>
        <v>1069.4975</v>
      </c>
    </row>
    <row r="2159" spans="1:3" x14ac:dyDescent="0.25">
      <c r="A2159" t="str">
        <f>"14/05/2018"</f>
        <v>14/05/2018</v>
      </c>
      <c r="B2159" t="str">
        <f>"1068.00"</f>
        <v>1068.00</v>
      </c>
      <c r="C2159" t="str">
        <f>"1067.998"</f>
        <v>1067.998</v>
      </c>
    </row>
    <row r="2160" spans="1:3" x14ac:dyDescent="0.25">
      <c r="A2160" t="str">
        <f>"15/05/2018"</f>
        <v>15/05/2018</v>
      </c>
      <c r="B2160" t="str">
        <f>"1073.80"</f>
        <v>1073.80</v>
      </c>
      <c r="C2160" t="str">
        <f>"1073.798"</f>
        <v>1073.798</v>
      </c>
    </row>
    <row r="2161" spans="1:3" x14ac:dyDescent="0.25">
      <c r="A2161" t="str">
        <f>"16/05/2018"</f>
        <v>16/05/2018</v>
      </c>
      <c r="B2161" t="str">
        <f>"1077.90"</f>
        <v>1077.90</v>
      </c>
      <c r="C2161" t="str">
        <f>"1077.897"</f>
        <v>1077.897</v>
      </c>
    </row>
    <row r="2162" spans="1:3" x14ac:dyDescent="0.25">
      <c r="A2162" t="str">
        <f>"17/05/2018"</f>
        <v>17/05/2018</v>
      </c>
      <c r="B2162" t="str">
        <f>"1081.30"</f>
        <v>1081.30</v>
      </c>
      <c r="C2162" t="str">
        <f>"1081.2955"</f>
        <v>1081.2955</v>
      </c>
    </row>
    <row r="2163" spans="1:3" x14ac:dyDescent="0.25">
      <c r="A2163" t="str">
        <f>"18/05/2018"</f>
        <v>18/05/2018</v>
      </c>
      <c r="B2163" t="str">
        <f>"1077.70"</f>
        <v>1077.70</v>
      </c>
      <c r="C2163" t="str">
        <f>"1077.695"</f>
        <v>1077.695</v>
      </c>
    </row>
    <row r="2164" spans="1:3" x14ac:dyDescent="0.25">
      <c r="A2164" t="str">
        <f>"21/05/2018"</f>
        <v>21/05/2018</v>
      </c>
      <c r="B2164" t="str">
        <f>"1085.50"</f>
        <v>1085.50</v>
      </c>
      <c r="C2164" t="str">
        <f>"1085.495"</f>
        <v>1085.495</v>
      </c>
    </row>
    <row r="2165" spans="1:3" x14ac:dyDescent="0.25">
      <c r="A2165" t="str">
        <f>"22/05/2018"</f>
        <v>22/05/2018</v>
      </c>
      <c r="B2165" t="str">
        <f>"1085.50"</f>
        <v>1085.50</v>
      </c>
      <c r="C2165" t="str">
        <f>"1085.4955"</f>
        <v>1085.4955</v>
      </c>
    </row>
    <row r="2166" spans="1:3" x14ac:dyDescent="0.25">
      <c r="A2166" t="str">
        <f>"23/05/2018"</f>
        <v>23/05/2018</v>
      </c>
      <c r="B2166" t="str">
        <f>"1080.70"</f>
        <v>1080.70</v>
      </c>
      <c r="C2166" t="str">
        <f>"1080.6935"</f>
        <v>1080.6935</v>
      </c>
    </row>
    <row r="2167" spans="1:3" x14ac:dyDescent="0.25">
      <c r="A2167" t="str">
        <f>"24/05/2018"</f>
        <v>24/05/2018</v>
      </c>
      <c r="B2167" t="str">
        <f>"1079.80"</f>
        <v>1079.80</v>
      </c>
      <c r="C2167" t="str">
        <f>"1079.7937"</f>
        <v>1079.7937</v>
      </c>
    </row>
    <row r="2168" spans="1:3" x14ac:dyDescent="0.25">
      <c r="A2168" t="str">
        <f>"25/05/2018"</f>
        <v>25/05/2018</v>
      </c>
      <c r="B2168" t="str">
        <f>"1078.00"</f>
        <v>1078.00</v>
      </c>
      <c r="C2168" t="str">
        <f>"1077.9953"</f>
        <v>1077.9953</v>
      </c>
    </row>
    <row r="2169" spans="1:3" x14ac:dyDescent="0.25">
      <c r="A2169" t="str">
        <f>"28/05/2018"</f>
        <v>28/05/2018</v>
      </c>
      <c r="B2169" t="str">
        <f>"1074.10"</f>
        <v>1074.10</v>
      </c>
      <c r="C2169" t="str">
        <f>"1074.0957"</f>
        <v>1074.0957</v>
      </c>
    </row>
    <row r="2170" spans="1:3" x14ac:dyDescent="0.25">
      <c r="A2170" t="str">
        <f>"29/05/2018"</f>
        <v>29/05/2018</v>
      </c>
      <c r="B2170" t="str">
        <f>"1076.90"</f>
        <v>1076.90</v>
      </c>
      <c r="C2170" t="str">
        <f>"1076.8935"</f>
        <v>1076.8935</v>
      </c>
    </row>
    <row r="2171" spans="1:3" x14ac:dyDescent="0.25">
      <c r="A2171" t="str">
        <f>"30/05/2018"</f>
        <v>30/05/2018</v>
      </c>
      <c r="B2171" t="str">
        <f>"1080.80"</f>
        <v>1080.80</v>
      </c>
      <c r="C2171" t="str">
        <f>"1080.7935"</f>
        <v>1080.7935</v>
      </c>
    </row>
    <row r="2172" spans="1:3" x14ac:dyDescent="0.25">
      <c r="A2172" t="str">
        <f>"31/05/2018"</f>
        <v>31/05/2018</v>
      </c>
      <c r="B2172" t="str">
        <f>"1077.80"</f>
        <v>1077.80</v>
      </c>
      <c r="C2172" t="str">
        <f>"1077.793"</f>
        <v>1077.793</v>
      </c>
    </row>
    <row r="2173" spans="1:3" x14ac:dyDescent="0.25">
      <c r="A2173" t="str">
        <f>"01/06/2018"</f>
        <v>01/06/2018</v>
      </c>
      <c r="B2173" t="str">
        <f>"1075.00"</f>
        <v>1075.00</v>
      </c>
      <c r="C2173" t="str">
        <f>"1074.9935"</f>
        <v>1074.9935</v>
      </c>
    </row>
    <row r="2174" spans="1:3" x14ac:dyDescent="0.25">
      <c r="A2174" t="str">
        <f>"04/06/2018"</f>
        <v>04/06/2018</v>
      </c>
      <c r="B2174" t="str">
        <f>"1072.00"</f>
        <v>1072.00</v>
      </c>
      <c r="C2174" t="str">
        <f>"1071.992"</f>
        <v>1071.992</v>
      </c>
    </row>
    <row r="2175" spans="1:3" x14ac:dyDescent="0.25">
      <c r="A2175" t="str">
        <f>"05/06/2018"</f>
        <v>05/06/2018</v>
      </c>
      <c r="B2175" t="str">
        <f>"1071.00"</f>
        <v>1071.00</v>
      </c>
      <c r="C2175" t="str">
        <f>"1070.994"</f>
        <v>1070.994</v>
      </c>
    </row>
    <row r="2176" spans="1:3" x14ac:dyDescent="0.25">
      <c r="A2176" t="str">
        <f>"06/06/2018"</f>
        <v>06/06/2018</v>
      </c>
      <c r="B2176" t="str">
        <f>"1071.00"</f>
        <v>1071.00</v>
      </c>
      <c r="C2176" t="str">
        <f>"1070.9935"</f>
        <v>1070.9935</v>
      </c>
    </row>
    <row r="2177" spans="1:3" x14ac:dyDescent="0.25">
      <c r="A2177" t="str">
        <f>"07/06/2018"</f>
        <v>07/06/2018</v>
      </c>
      <c r="B2177" t="str">
        <f>"1069.20"</f>
        <v>1069.20</v>
      </c>
      <c r="C2177" t="str">
        <f>"1069.193"</f>
        <v>1069.193</v>
      </c>
    </row>
    <row r="2178" spans="1:3" x14ac:dyDescent="0.25">
      <c r="A2178" t="str">
        <f>"08/06/2018"</f>
        <v>08/06/2018</v>
      </c>
      <c r="B2178" t="str">
        <f>"1076.00"</f>
        <v>1076.00</v>
      </c>
      <c r="C2178" t="str">
        <f>"1075.9925"</f>
        <v>1075.9925</v>
      </c>
    </row>
    <row r="2179" spans="1:3" x14ac:dyDescent="0.25">
      <c r="A2179" t="str">
        <f>"11/06/2018"</f>
        <v>11/06/2018</v>
      </c>
      <c r="B2179" t="str">
        <f>"1075.30"</f>
        <v>1075.30</v>
      </c>
      <c r="C2179" t="str">
        <f>"1075.29"</f>
        <v>1075.29</v>
      </c>
    </row>
    <row r="2180" spans="1:3" x14ac:dyDescent="0.25">
      <c r="A2180" t="str">
        <f>"12/06/2018"</f>
        <v>12/06/2018</v>
      </c>
      <c r="B2180" t="str">
        <f>"1077.30"</f>
        <v>1077.30</v>
      </c>
      <c r="C2180" t="str">
        <f>"1077.2905"</f>
        <v>1077.2905</v>
      </c>
    </row>
    <row r="2181" spans="1:3" x14ac:dyDescent="0.25">
      <c r="A2181" t="str">
        <f>"13/06/2018"</f>
        <v>13/06/2018</v>
      </c>
      <c r="B2181" t="str">
        <f>"1077.30"</f>
        <v>1077.30</v>
      </c>
      <c r="C2181" t="str">
        <f>"1077.291"</f>
        <v>1077.291</v>
      </c>
    </row>
    <row r="2182" spans="1:3" x14ac:dyDescent="0.25">
      <c r="A2182" t="str">
        <f>"14/06/2018"</f>
        <v>14/06/2018</v>
      </c>
      <c r="B2182" t="str">
        <f>"1083.10"</f>
        <v>1083.10</v>
      </c>
      <c r="C2182" t="str">
        <f>"1083.0902"</f>
        <v>1083.0902</v>
      </c>
    </row>
    <row r="2183" spans="1:3" x14ac:dyDescent="0.25">
      <c r="A2183" t="str">
        <f>"15/06/2018"</f>
        <v>15/06/2018</v>
      </c>
      <c r="B2183" t="str">
        <f>"1097.90"</f>
        <v>1097.90</v>
      </c>
      <c r="C2183" t="str">
        <f>"1097.8915"</f>
        <v>1097.8915</v>
      </c>
    </row>
    <row r="2184" spans="1:3" x14ac:dyDescent="0.25">
      <c r="A2184" t="str">
        <f>"18/06/2018"</f>
        <v>18/06/2018</v>
      </c>
      <c r="B2184" t="str">
        <f>"1105.00"</f>
        <v>1105.00</v>
      </c>
      <c r="C2184" t="str">
        <f>"1104.992"</f>
        <v>1104.992</v>
      </c>
    </row>
    <row r="2185" spans="1:3" x14ac:dyDescent="0.25">
      <c r="A2185" t="str">
        <f>"19/06/2018"</f>
        <v>19/06/2018</v>
      </c>
      <c r="B2185" t="str">
        <f>"1109.20"</f>
        <v>1109.20</v>
      </c>
      <c r="C2185" t="str">
        <f>"1109.1925"</f>
        <v>1109.1925</v>
      </c>
    </row>
    <row r="2186" spans="1:3" x14ac:dyDescent="0.25">
      <c r="A2186" t="str">
        <f>"20/06/2018"</f>
        <v>20/06/2018</v>
      </c>
      <c r="B2186" t="str">
        <f>"1105.40"</f>
        <v>1105.40</v>
      </c>
      <c r="C2186" t="str">
        <f>"1105.388"</f>
        <v>1105.388</v>
      </c>
    </row>
    <row r="2187" spans="1:3" x14ac:dyDescent="0.25">
      <c r="A2187" t="str">
        <f>"21/06/2018"</f>
        <v>21/06/2018</v>
      </c>
      <c r="B2187" t="str">
        <f>"1112.50"</f>
        <v>1112.50</v>
      </c>
      <c r="C2187" t="str">
        <f>"1112.487"</f>
        <v>1112.487</v>
      </c>
    </row>
    <row r="2188" spans="1:3" x14ac:dyDescent="0.25">
      <c r="A2188" t="str">
        <f>"22/06/2018"</f>
        <v>22/06/2018</v>
      </c>
      <c r="B2188" t="str">
        <f>"1107.70"</f>
        <v>1107.70</v>
      </c>
      <c r="C2188" t="str">
        <f>"1107.6915"</f>
        <v>1107.6915</v>
      </c>
    </row>
    <row r="2189" spans="1:3" x14ac:dyDescent="0.25">
      <c r="A2189" t="str">
        <f>"25/06/2018"</f>
        <v>25/06/2018</v>
      </c>
      <c r="B2189" t="str">
        <f>"1117.30"</f>
        <v>1117.30</v>
      </c>
      <c r="C2189" t="str">
        <f>"1117.2955"</f>
        <v>1117.2955</v>
      </c>
    </row>
    <row r="2190" spans="1:3" x14ac:dyDescent="0.25">
      <c r="A2190" t="str">
        <f>"26/06/2018"</f>
        <v>26/06/2018</v>
      </c>
      <c r="B2190" t="str">
        <f>"1114.90"</f>
        <v>1114.90</v>
      </c>
      <c r="C2190" t="str">
        <f>"1114.8955"</f>
        <v>1114.8955</v>
      </c>
    </row>
    <row r="2191" spans="1:3" x14ac:dyDescent="0.25">
      <c r="A2191" t="str">
        <f>"27/06/2018"</f>
        <v>27/06/2018</v>
      </c>
      <c r="B2191" t="str">
        <f>"1117.70"</f>
        <v>1117.70</v>
      </c>
      <c r="C2191" t="str">
        <f>"1117.6975"</f>
        <v>1117.6975</v>
      </c>
    </row>
    <row r="2192" spans="1:3" x14ac:dyDescent="0.25">
      <c r="A2192" t="str">
        <f>"28/06/2018"</f>
        <v>28/06/2018</v>
      </c>
      <c r="B2192" t="str">
        <f>"1124.10"</f>
        <v>1124.10</v>
      </c>
      <c r="C2192" t="str">
        <f>"1124.098"</f>
        <v>1124.098</v>
      </c>
    </row>
    <row r="2193" spans="1:3" x14ac:dyDescent="0.25">
      <c r="A2193" t="str">
        <f>"29/06/2018"</f>
        <v>29/06/2018</v>
      </c>
      <c r="B2193" t="str">
        <f>"1114.70"</f>
        <v>1114.70</v>
      </c>
      <c r="C2193" t="str">
        <f>"1114.6985"</f>
        <v>1114.6985</v>
      </c>
    </row>
    <row r="2194" spans="1:3" x14ac:dyDescent="0.25">
      <c r="A2194" t="str">
        <f>"02/07/2018"</f>
        <v>02/07/2018</v>
      </c>
      <c r="B2194" t="str">
        <f>"1120.20"</f>
        <v>1120.20</v>
      </c>
      <c r="C2194" t="str">
        <f>"1120.1975"</f>
        <v>1120.1975</v>
      </c>
    </row>
    <row r="2195" spans="1:3" x14ac:dyDescent="0.25">
      <c r="A2195" t="str">
        <f>"03/07/2018"</f>
        <v>03/07/2018</v>
      </c>
      <c r="B2195" t="str">
        <f>"1118.80"</f>
        <v>1118.80</v>
      </c>
      <c r="C2195" t="str">
        <f>"1118.799"</f>
        <v>1118.799</v>
      </c>
    </row>
    <row r="2196" spans="1:3" x14ac:dyDescent="0.25">
      <c r="A2196" t="str">
        <f>"04/07/2018"</f>
        <v>04/07/2018</v>
      </c>
      <c r="B2196" t="str">
        <f>"1114.60"</f>
        <v>1114.60</v>
      </c>
      <c r="C2196" t="str">
        <f>"1114.5977"</f>
        <v>1114.5977</v>
      </c>
    </row>
    <row r="2197" spans="1:3" x14ac:dyDescent="0.25">
      <c r="A2197" t="str">
        <f>"05/07/2018"</f>
        <v>05/07/2018</v>
      </c>
      <c r="B2197" t="str">
        <f>"1118.50"</f>
        <v>1118.50</v>
      </c>
      <c r="C2197" t="str">
        <f>"1118.498"</f>
        <v>1118.498</v>
      </c>
    </row>
    <row r="2198" spans="1:3" x14ac:dyDescent="0.25">
      <c r="A2198" t="str">
        <f>"06/07/2018"</f>
        <v>06/07/2018</v>
      </c>
      <c r="B2198" t="str">
        <f>"1116.10"</f>
        <v>1116.10</v>
      </c>
      <c r="C2198" t="str">
        <f>"1116.0965"</f>
        <v>1116.0965</v>
      </c>
    </row>
    <row r="2199" spans="1:3" x14ac:dyDescent="0.25">
      <c r="A2199" t="str">
        <f>"09/07/2018"</f>
        <v>09/07/2018</v>
      </c>
      <c r="B2199" t="str">
        <f>"1112.30"</f>
        <v>1112.30</v>
      </c>
      <c r="C2199" t="str">
        <f>"1112.297"</f>
        <v>1112.297</v>
      </c>
    </row>
    <row r="2200" spans="1:3" x14ac:dyDescent="0.25">
      <c r="A2200" t="str">
        <f>"10/07/2018"</f>
        <v>10/07/2018</v>
      </c>
      <c r="B2200" t="str">
        <f>"1116.40"</f>
        <v>1116.40</v>
      </c>
      <c r="C2200" t="str">
        <f>"1116.397"</f>
        <v>1116.397</v>
      </c>
    </row>
    <row r="2201" spans="1:3" x14ac:dyDescent="0.25">
      <c r="A2201" t="str">
        <f>"11/07/2018"</f>
        <v>11/07/2018</v>
      </c>
      <c r="B2201" t="str">
        <f>"1120.20"</f>
        <v>1120.20</v>
      </c>
      <c r="C2201" t="str">
        <f>"1120.197"</f>
        <v>1120.197</v>
      </c>
    </row>
    <row r="2202" spans="1:3" x14ac:dyDescent="0.25">
      <c r="A2202" t="str">
        <f>"12/07/2018"</f>
        <v>12/07/2018</v>
      </c>
      <c r="B2202" t="str">
        <f>"1126.00"</f>
        <v>1126.00</v>
      </c>
      <c r="C2202" t="str">
        <f>"1125.997"</f>
        <v>1125.997</v>
      </c>
    </row>
    <row r="2203" spans="1:3" x14ac:dyDescent="0.25">
      <c r="A2203" t="str">
        <f>"13/07/2018"</f>
        <v>13/07/2018</v>
      </c>
      <c r="B2203" t="str">
        <f>"1123.50"</f>
        <v>1123.50</v>
      </c>
      <c r="C2203" t="str">
        <f>"1123.4957"</f>
        <v>1123.4957</v>
      </c>
    </row>
    <row r="2204" spans="1:3" x14ac:dyDescent="0.25">
      <c r="A2204" t="str">
        <f>"16/07/2018"</f>
        <v>16/07/2018</v>
      </c>
      <c r="B2204" t="str">
        <f>"1129.20"</f>
        <v>1129.20</v>
      </c>
      <c r="C2204" t="str">
        <f>"1129.1945"</f>
        <v>1129.1945</v>
      </c>
    </row>
    <row r="2205" spans="1:3" x14ac:dyDescent="0.25">
      <c r="A2205" t="str">
        <f>"17/07/2018"</f>
        <v>17/07/2018</v>
      </c>
      <c r="B2205" t="str">
        <f>"1124.20"</f>
        <v>1124.20</v>
      </c>
      <c r="C2205" t="str">
        <f>"1124.196"</f>
        <v>1124.196</v>
      </c>
    </row>
    <row r="2206" spans="1:3" x14ac:dyDescent="0.25">
      <c r="A2206" t="str">
        <f>"18/07/2018"</f>
        <v>18/07/2018</v>
      </c>
      <c r="B2206" t="str">
        <f>"1132.50"</f>
        <v>1132.50</v>
      </c>
      <c r="C2206" t="str">
        <f>"1132.497"</f>
        <v>1132.497</v>
      </c>
    </row>
    <row r="2207" spans="1:3" x14ac:dyDescent="0.25">
      <c r="A2207" t="str">
        <f>"19/07/2018"</f>
        <v>19/07/2018</v>
      </c>
      <c r="B2207" t="str">
        <f>"1133.30"</f>
        <v>1133.30</v>
      </c>
      <c r="C2207" t="str">
        <f>"1133.2972"</f>
        <v>1133.2972</v>
      </c>
    </row>
    <row r="2208" spans="1:3" x14ac:dyDescent="0.25">
      <c r="A2208" t="str">
        <f>"20/07/2018"</f>
        <v>20/07/2018</v>
      </c>
      <c r="B2208" t="str">
        <f>"1133.90"</f>
        <v>1133.90</v>
      </c>
      <c r="C2208" t="str">
        <f>"1133.8972"</f>
        <v>1133.8972</v>
      </c>
    </row>
    <row r="2209" spans="1:3" x14ac:dyDescent="0.25">
      <c r="A2209" t="str">
        <f>"23/07/2018"</f>
        <v>23/07/2018</v>
      </c>
      <c r="B2209" t="str">
        <f>"1131.50"</f>
        <v>1131.50</v>
      </c>
      <c r="C2209" t="str">
        <f>"1131.4965"</f>
        <v>1131.4965</v>
      </c>
    </row>
    <row r="2210" spans="1:3" x14ac:dyDescent="0.25">
      <c r="A2210" t="str">
        <f>"24/07/2018"</f>
        <v>24/07/2018</v>
      </c>
      <c r="B2210" t="str">
        <f>"1135.30"</f>
        <v>1135.30</v>
      </c>
      <c r="C2210" t="str">
        <f>"1135.297"</f>
        <v>1135.297</v>
      </c>
    </row>
    <row r="2211" spans="1:3" x14ac:dyDescent="0.25">
      <c r="A2211" t="str">
        <f>"25/07/2018"</f>
        <v>25/07/2018</v>
      </c>
      <c r="B2211" t="str">
        <f>"1126.50"</f>
        <v>1126.50</v>
      </c>
      <c r="C2211" t="str">
        <f>"1126.4985"</f>
        <v>1126.4985</v>
      </c>
    </row>
    <row r="2212" spans="1:3" x14ac:dyDescent="0.25">
      <c r="A2212" t="str">
        <f>"26/07/2018"</f>
        <v>26/07/2018</v>
      </c>
      <c r="B2212" t="str">
        <f>"1119.50"</f>
        <v>1119.50</v>
      </c>
      <c r="C2212" t="str">
        <f>"1119.499"</f>
        <v>1119.499</v>
      </c>
    </row>
    <row r="2213" spans="1:3" x14ac:dyDescent="0.25">
      <c r="A2213" t="str">
        <f>"27/07/2018"</f>
        <v>27/07/2018</v>
      </c>
      <c r="B2213" t="str">
        <f>"1118.30"</f>
        <v>1118.30</v>
      </c>
      <c r="C2213" t="str">
        <f>"1118.2995"</f>
        <v>1118.2995</v>
      </c>
    </row>
    <row r="2214" spans="1:3" x14ac:dyDescent="0.25">
      <c r="A2214" t="str">
        <f>"30/07/2018"</f>
        <v>30/07/2018</v>
      </c>
      <c r="B2214" t="str">
        <f>"1120.50"</f>
        <v>1120.50</v>
      </c>
      <c r="C2214" t="str">
        <f>"1120.4995"</f>
        <v>1120.4995</v>
      </c>
    </row>
    <row r="2215" spans="1:3" x14ac:dyDescent="0.25">
      <c r="A2215" t="str">
        <f>"31/07/2018"</f>
        <v>31/07/2018</v>
      </c>
      <c r="B2215" t="str">
        <f>"1118.80"</f>
        <v>1118.80</v>
      </c>
      <c r="C2215" t="str">
        <f>"1118.798"</f>
        <v>1118.798</v>
      </c>
    </row>
    <row r="2216" spans="1:3" x14ac:dyDescent="0.25">
      <c r="A2216" t="str">
        <f>"01/08/2018"</f>
        <v>01/08/2018</v>
      </c>
      <c r="B2216" t="str">
        <f>"1120.80"</f>
        <v>1120.80</v>
      </c>
      <c r="C2216" t="str">
        <f>"1120.799"</f>
        <v>1120.799</v>
      </c>
    </row>
    <row r="2217" spans="1:3" x14ac:dyDescent="0.25">
      <c r="A2217" t="str">
        <f>"02/08/2018"</f>
        <v>02/08/2018</v>
      </c>
      <c r="B2217" t="str">
        <f>"1126.20"</f>
        <v>1126.20</v>
      </c>
      <c r="C2217" t="str">
        <f>"1126.1985"</f>
        <v>1126.1985</v>
      </c>
    </row>
    <row r="2218" spans="1:3" x14ac:dyDescent="0.25">
      <c r="A2218" t="str">
        <f>"03/08/2018"</f>
        <v>03/08/2018</v>
      </c>
      <c r="B2218" t="str">
        <f>"1127.80"</f>
        <v>1127.80</v>
      </c>
      <c r="C2218" t="str">
        <f>"1127.798"</f>
        <v>1127.798</v>
      </c>
    </row>
    <row r="2219" spans="1:3" x14ac:dyDescent="0.25">
      <c r="A2219" t="str">
        <f>"06/08/2018"</f>
        <v>06/08/2018</v>
      </c>
      <c r="B2219" t="str">
        <f>"1124.00"</f>
        <v>1124.00</v>
      </c>
      <c r="C2219" t="str">
        <f>"1123.9975"</f>
        <v>1123.9975</v>
      </c>
    </row>
    <row r="2220" spans="1:3" x14ac:dyDescent="0.25">
      <c r="A2220" t="str">
        <f>"07/08/2018"</f>
        <v>07/08/2018</v>
      </c>
      <c r="B2220" t="str">
        <f>"1123.90"</f>
        <v>1123.90</v>
      </c>
      <c r="C2220" t="str">
        <f>"1123.8985"</f>
        <v>1123.8985</v>
      </c>
    </row>
    <row r="2221" spans="1:3" x14ac:dyDescent="0.25">
      <c r="A2221" t="str">
        <f>"08/08/2018"</f>
        <v>08/08/2018</v>
      </c>
      <c r="B2221" t="str">
        <f>"1120.00"</f>
        <v>1120.00</v>
      </c>
      <c r="C2221" t="str">
        <f>"1119.9987"</f>
        <v>1119.9987</v>
      </c>
    </row>
    <row r="2222" spans="1:3" x14ac:dyDescent="0.25">
      <c r="A2222" t="str">
        <f>"09/08/2018"</f>
        <v>09/08/2018</v>
      </c>
      <c r="B2222" t="str">
        <f>"1117.20"</f>
        <v>1117.20</v>
      </c>
      <c r="C2222" t="str">
        <f>"1117.1987"</f>
        <v>1117.1987</v>
      </c>
    </row>
    <row r="2223" spans="1:3" x14ac:dyDescent="0.25">
      <c r="A2223" t="str">
        <f>"10/08/2018"</f>
        <v>10/08/2018</v>
      </c>
      <c r="B2223" t="str">
        <f>"1129.00"</f>
        <v>1129.00</v>
      </c>
      <c r="C2223" t="str">
        <f>"1128.9985"</f>
        <v>1128.9985</v>
      </c>
    </row>
    <row r="2224" spans="1:3" x14ac:dyDescent="0.25">
      <c r="A2224" t="str">
        <f>"13/08/2018"</f>
        <v>13/08/2018</v>
      </c>
      <c r="B2224" t="str">
        <f>"1134.20"</f>
        <v>1134.20</v>
      </c>
      <c r="C2224" t="str">
        <f>"1134.1972"</f>
        <v>1134.1972</v>
      </c>
    </row>
    <row r="2225" spans="1:3" x14ac:dyDescent="0.25">
      <c r="A2225" t="str">
        <f>"14/08/2018"</f>
        <v>14/08/2018</v>
      </c>
      <c r="B2225" t="str">
        <f>"1128.20"</f>
        <v>1128.20</v>
      </c>
      <c r="C2225" t="str">
        <f>"1128.1987"</f>
        <v>1128.1987</v>
      </c>
    </row>
    <row r="2226" spans="1:3" x14ac:dyDescent="0.25">
      <c r="A2226" t="str">
        <f>"16/08/2018"</f>
        <v>16/08/2018</v>
      </c>
      <c r="B2226" t="str">
        <f>"1130.10"</f>
        <v>1130.10</v>
      </c>
      <c r="C2226" t="str">
        <f>"1130.0987"</f>
        <v>1130.0987</v>
      </c>
    </row>
    <row r="2227" spans="1:3" x14ac:dyDescent="0.25">
      <c r="A2227" t="str">
        <f>"20/08/2018"</f>
        <v>20/08/2018</v>
      </c>
      <c r="B2227" t="str">
        <f>"1123.30"</f>
        <v>1123.30</v>
      </c>
      <c r="C2227" t="str">
        <f>"1123.2968"</f>
        <v>1123.2968</v>
      </c>
    </row>
    <row r="2228" spans="1:3" x14ac:dyDescent="0.25">
      <c r="A2228" t="str">
        <f>"21/08/2018"</f>
        <v>21/08/2018</v>
      </c>
      <c r="B2228" t="str">
        <f>"1118.70"</f>
        <v>1118.70</v>
      </c>
      <c r="C2228" t="str">
        <f>"1118.6965"</f>
        <v>1118.6965</v>
      </c>
    </row>
    <row r="2229" spans="1:3" x14ac:dyDescent="0.25">
      <c r="A2229" t="str">
        <f>"23/08/2018"</f>
        <v>23/08/2018</v>
      </c>
      <c r="B2229" t="str">
        <f>"1121.50"</f>
        <v>1121.50</v>
      </c>
      <c r="C2229" t="str">
        <f>"1121.496"</f>
        <v>1121.496</v>
      </c>
    </row>
    <row r="2230" spans="1:3" x14ac:dyDescent="0.25">
      <c r="A2230" t="str">
        <f>"24/08/2018"</f>
        <v>24/08/2018</v>
      </c>
      <c r="B2230" t="str">
        <f>"1119.10"</f>
        <v>1119.10</v>
      </c>
      <c r="C2230" t="str">
        <f>"1119.0968"</f>
        <v>1119.0968</v>
      </c>
    </row>
    <row r="2231" spans="1:3" x14ac:dyDescent="0.25">
      <c r="A2231" t="str">
        <f>"27/08/2018"</f>
        <v>27/08/2018</v>
      </c>
      <c r="B2231" t="str">
        <f>"1114.00"</f>
        <v>1114.00</v>
      </c>
      <c r="C2231" t="str">
        <f>"1113.998"</f>
        <v>1113.998</v>
      </c>
    </row>
    <row r="2232" spans="1:3" x14ac:dyDescent="0.25">
      <c r="A2232" t="str">
        <f>"28/08/2018"</f>
        <v>28/08/2018</v>
      </c>
      <c r="B2232" t="str">
        <f>"1110.00"</f>
        <v>1110.00</v>
      </c>
      <c r="C2232" t="str">
        <f>"1109.999"</f>
        <v>1109.999</v>
      </c>
    </row>
    <row r="2233" spans="1:3" x14ac:dyDescent="0.25">
      <c r="A2233" t="str">
        <f>"29/08/2018"</f>
        <v>29/08/2018</v>
      </c>
      <c r="B2233" t="str">
        <f>"1110.40"</f>
        <v>1110.40</v>
      </c>
      <c r="C2233" t="str">
        <f>"1110.3987"</f>
        <v>1110.3987</v>
      </c>
    </row>
    <row r="2234" spans="1:3" x14ac:dyDescent="0.25">
      <c r="A2234" t="str">
        <f>"30/08/2018"</f>
        <v>30/08/2018</v>
      </c>
      <c r="B2234" t="str">
        <f>"1108.80"</f>
        <v>1108.80</v>
      </c>
      <c r="C2234" t="str">
        <f>"1108.7975"</f>
        <v>1108.7975</v>
      </c>
    </row>
    <row r="2235" spans="1:3" x14ac:dyDescent="0.25">
      <c r="A2235" t="str">
        <f>"31/08/2018"</f>
        <v>31/08/2018</v>
      </c>
      <c r="B2235" t="str">
        <f>"1113.00"</f>
        <v>1113.00</v>
      </c>
      <c r="C2235" t="str">
        <f>"1112.9965"</f>
        <v>1112.9965</v>
      </c>
    </row>
    <row r="2236" spans="1:3" x14ac:dyDescent="0.25">
      <c r="A2236" t="str">
        <f>"03/09/2018"</f>
        <v>03/09/2018</v>
      </c>
      <c r="B2236" t="str">
        <f>"1110.40"</f>
        <v>1110.40</v>
      </c>
      <c r="C2236" t="str">
        <f>"1110.3985"</f>
        <v>1110.3985</v>
      </c>
    </row>
    <row r="2237" spans="1:3" x14ac:dyDescent="0.25">
      <c r="A2237" t="str">
        <f>"04/09/2018"</f>
        <v>04/09/2018</v>
      </c>
      <c r="B2237" t="str">
        <f>"1115.00"</f>
        <v>1115.00</v>
      </c>
      <c r="C2237" t="str">
        <f>"1114.9975"</f>
        <v>1114.9975</v>
      </c>
    </row>
    <row r="2238" spans="1:3" x14ac:dyDescent="0.25">
      <c r="A2238" t="str">
        <f>"05/09/2018"</f>
        <v>05/09/2018</v>
      </c>
      <c r="B2238" t="str">
        <f>"1121.30"</f>
        <v>1121.30</v>
      </c>
      <c r="C2238" t="str">
        <f>"1121.2985"</f>
        <v>1121.2985</v>
      </c>
    </row>
    <row r="2239" spans="1:3" x14ac:dyDescent="0.25">
      <c r="A2239" t="str">
        <f>"06/09/2018"</f>
        <v>06/09/2018</v>
      </c>
      <c r="B2239" t="str">
        <f>"1124.00"</f>
        <v>1124.00</v>
      </c>
      <c r="C2239" t="str">
        <f>"1123.9985"</f>
        <v>1123.9985</v>
      </c>
    </row>
    <row r="2240" spans="1:3" x14ac:dyDescent="0.25">
      <c r="A2240" t="str">
        <f>"07/09/2018"</f>
        <v>07/09/2018</v>
      </c>
      <c r="B2240" t="str">
        <f>"1123.00"</f>
        <v>1123.00</v>
      </c>
      <c r="C2240" t="str">
        <f>"1122.999"</f>
        <v>1122.999</v>
      </c>
    </row>
    <row r="2241" spans="1:3" x14ac:dyDescent="0.25">
      <c r="A2241" t="str">
        <f>"10/09/2018"</f>
        <v>10/09/2018</v>
      </c>
      <c r="B2241" t="str">
        <f>"1128.50"</f>
        <v>1128.50</v>
      </c>
      <c r="C2241" t="str">
        <f>"1128.4985"</f>
        <v>1128.4985</v>
      </c>
    </row>
    <row r="2242" spans="1:3" x14ac:dyDescent="0.25">
      <c r="A2242" t="str">
        <f>"11/09/2018"</f>
        <v>11/09/2018</v>
      </c>
      <c r="B2242" t="str">
        <f>"1124.30"</f>
        <v>1124.30</v>
      </c>
      <c r="C2242" t="str">
        <f>"1124.2975"</f>
        <v>1124.2975</v>
      </c>
    </row>
    <row r="2243" spans="1:3" x14ac:dyDescent="0.25">
      <c r="A2243" t="str">
        <f>"12/09/2018"</f>
        <v>12/09/2018</v>
      </c>
      <c r="B2243" t="str">
        <f>"1128.60"</f>
        <v>1128.60</v>
      </c>
      <c r="C2243" t="str">
        <f>"1128.597"</f>
        <v>1128.597</v>
      </c>
    </row>
    <row r="2244" spans="1:3" x14ac:dyDescent="0.25">
      <c r="A2244" t="str">
        <f>"14/09/2018"</f>
        <v>14/09/2018</v>
      </c>
      <c r="B2244" t="str">
        <f>"1116.80"</f>
        <v>1116.80</v>
      </c>
      <c r="C2244" t="str">
        <f>"1116.7975"</f>
        <v>1116.7975</v>
      </c>
    </row>
    <row r="2245" spans="1:3" x14ac:dyDescent="0.25">
      <c r="A2245" t="str">
        <f>"17/09/2018"</f>
        <v>17/09/2018</v>
      </c>
      <c r="B2245" t="str">
        <f>"1126.80"</f>
        <v>1126.80</v>
      </c>
      <c r="C2245" t="str">
        <f>"1126.797"</f>
        <v>1126.797</v>
      </c>
    </row>
    <row r="2246" spans="1:3" x14ac:dyDescent="0.25">
      <c r="A2246" t="str">
        <f>"18/09/2018"</f>
        <v>18/09/2018</v>
      </c>
      <c r="B2246" t="str">
        <f>"1123.40"</f>
        <v>1123.40</v>
      </c>
      <c r="C2246" t="str">
        <f>"1123.396"</f>
        <v>1123.396</v>
      </c>
    </row>
    <row r="2247" spans="1:3" x14ac:dyDescent="0.25">
      <c r="A2247" t="str">
        <f>"19/09/2018"</f>
        <v>19/09/2018</v>
      </c>
      <c r="B2247" t="str">
        <f>"1121.00"</f>
        <v>1121.00</v>
      </c>
      <c r="C2247" t="str">
        <f>"1120.9965"</f>
        <v>1120.9965</v>
      </c>
    </row>
    <row r="2248" spans="1:3" x14ac:dyDescent="0.25">
      <c r="A2248" t="str">
        <f>"21/09/2018"</f>
        <v>21/09/2018</v>
      </c>
      <c r="B2248" t="str">
        <f>"1115.50"</f>
        <v>1115.50</v>
      </c>
      <c r="C2248" t="str">
        <f>"1115.495"</f>
        <v>1115.495</v>
      </c>
    </row>
    <row r="2249" spans="1:3" x14ac:dyDescent="0.25">
      <c r="A2249" t="str">
        <f>"24/09/2018"</f>
        <v>24/09/2018</v>
      </c>
      <c r="B2249" t="str">
        <f>"1115.50"</f>
        <v>1115.50</v>
      </c>
      <c r="C2249" t="str">
        <f>"1115.496"</f>
        <v>1115.496</v>
      </c>
    </row>
    <row r="2250" spans="1:3" x14ac:dyDescent="0.25">
      <c r="A2250" t="str">
        <f>"25/09/2018"</f>
        <v>25/09/2018</v>
      </c>
      <c r="B2250" t="str">
        <f>"1115.50"</f>
        <v>1115.50</v>
      </c>
      <c r="C2250" t="str">
        <f>"1115.491"</f>
        <v>1115.491</v>
      </c>
    </row>
    <row r="2251" spans="1:3" x14ac:dyDescent="0.25">
      <c r="A2251" t="str">
        <f>"26/09/2018"</f>
        <v>26/09/2018</v>
      </c>
      <c r="B2251" t="str">
        <f>"1115.50"</f>
        <v>1115.50</v>
      </c>
      <c r="C2251" t="str">
        <f>"1115.491"</f>
        <v>1115.491</v>
      </c>
    </row>
    <row r="2252" spans="1:3" x14ac:dyDescent="0.25">
      <c r="A2252" t="str">
        <f>"27/09/2018"</f>
        <v>27/09/2018</v>
      </c>
      <c r="B2252" t="str">
        <f>"1112.60"</f>
        <v>1112.60</v>
      </c>
      <c r="C2252" t="str">
        <f>"1112.5975"</f>
        <v>1112.5975</v>
      </c>
    </row>
    <row r="2253" spans="1:3" x14ac:dyDescent="0.25">
      <c r="A2253" t="str">
        <f>"28/09/2018"</f>
        <v>28/09/2018</v>
      </c>
      <c r="B2253" t="str">
        <f>"1109.40"</f>
        <v>1109.40</v>
      </c>
      <c r="C2253" t="str">
        <f>"1109.3975"</f>
        <v>1109.3975</v>
      </c>
    </row>
    <row r="2254" spans="1:3" x14ac:dyDescent="0.25">
      <c r="A2254" t="str">
        <f>"01/10/2018"</f>
        <v>01/10/2018</v>
      </c>
      <c r="B2254" t="str">
        <f>"1111.80"</f>
        <v>1111.80</v>
      </c>
      <c r="C2254" t="str">
        <f>"1111.7975"</f>
        <v>1111.7975</v>
      </c>
    </row>
    <row r="2255" spans="1:3" x14ac:dyDescent="0.25">
      <c r="A2255" t="str">
        <f>"03/10/2018"</f>
        <v>03/10/2018</v>
      </c>
      <c r="B2255" t="str">
        <f>"1119.40"</f>
        <v>1119.40</v>
      </c>
      <c r="C2255" t="str">
        <f>"1119.396"</f>
        <v>1119.396</v>
      </c>
    </row>
    <row r="2256" spans="1:3" x14ac:dyDescent="0.25">
      <c r="A2256" t="str">
        <f>"04/10/2018"</f>
        <v>04/10/2018</v>
      </c>
      <c r="B2256" t="str">
        <f>"1130.00"</f>
        <v>1130.00</v>
      </c>
      <c r="C2256" t="str">
        <f>"1129.9957"</f>
        <v>1129.9957</v>
      </c>
    </row>
    <row r="2257" spans="1:3" x14ac:dyDescent="0.25">
      <c r="A2257" t="str">
        <f>"05/10/2018"</f>
        <v>05/10/2018</v>
      </c>
      <c r="B2257" t="str">
        <f>"1130.80"</f>
        <v>1130.80</v>
      </c>
      <c r="C2257" t="str">
        <f>"1130.7965"</f>
        <v>1130.7965</v>
      </c>
    </row>
    <row r="2258" spans="1:3" x14ac:dyDescent="0.25">
      <c r="A2258" t="str">
        <f>"08/10/2018"</f>
        <v>08/10/2018</v>
      </c>
      <c r="B2258" t="str">
        <f>"1132.80"</f>
        <v>1132.80</v>
      </c>
      <c r="C2258" t="str">
        <f>"1132.7965"</f>
        <v>1132.7965</v>
      </c>
    </row>
    <row r="2259" spans="1:3" x14ac:dyDescent="0.25">
      <c r="A2259" t="str">
        <f>"09/10/2018"</f>
        <v>09/10/2018</v>
      </c>
      <c r="B2259" t="str">
        <f>"1132.80"</f>
        <v>1132.80</v>
      </c>
      <c r="C2259" t="str">
        <f>"1132.7955"</f>
        <v>1132.7955</v>
      </c>
    </row>
    <row r="2260" spans="1:3" x14ac:dyDescent="0.25">
      <c r="A2260" t="str">
        <f>"10/10/2018"</f>
        <v>10/10/2018</v>
      </c>
      <c r="B2260" t="str">
        <f>"1134.00"</f>
        <v>1134.00</v>
      </c>
      <c r="C2260" t="str">
        <f>"1133.997"</f>
        <v>1133.997</v>
      </c>
    </row>
    <row r="2261" spans="1:3" x14ac:dyDescent="0.25">
      <c r="A2261" t="str">
        <f>"11/10/2018"</f>
        <v>11/10/2018</v>
      </c>
      <c r="B2261" t="str">
        <f>"1144.70"</f>
        <v>1144.70</v>
      </c>
      <c r="C2261" t="str">
        <f>"1144.697"</f>
        <v>1144.697</v>
      </c>
    </row>
    <row r="2262" spans="1:3" x14ac:dyDescent="0.25">
      <c r="A2262" t="str">
        <f>"12/10/2018"</f>
        <v>12/10/2018</v>
      </c>
      <c r="B2262" t="str">
        <f>"1131.50"</f>
        <v>1131.50</v>
      </c>
      <c r="C2262" t="str">
        <f>"1131.4965"</f>
        <v>1131.4965</v>
      </c>
    </row>
    <row r="2263" spans="1:3" x14ac:dyDescent="0.25">
      <c r="A2263" t="str">
        <f>"15/10/2018"</f>
        <v>15/10/2018</v>
      </c>
      <c r="B2263" t="str">
        <f>"1134.50"</f>
        <v>1134.50</v>
      </c>
      <c r="C2263" t="str">
        <f>"1134.496"</f>
        <v>1134.496</v>
      </c>
    </row>
    <row r="2264" spans="1:3" x14ac:dyDescent="0.25">
      <c r="A2264" t="str">
        <f>"16/10/2018"</f>
        <v>16/10/2018</v>
      </c>
      <c r="B2264" t="str">
        <f>"1128.00"</f>
        <v>1128.00</v>
      </c>
      <c r="C2264" t="str">
        <f>"1127.9965"</f>
        <v>1127.9965</v>
      </c>
    </row>
    <row r="2265" spans="1:3" x14ac:dyDescent="0.25">
      <c r="A2265" t="str">
        <f>"17/10/2018"</f>
        <v>17/10/2018</v>
      </c>
      <c r="B2265" t="str">
        <f>"1126.70"</f>
        <v>1126.70</v>
      </c>
      <c r="C2265" t="str">
        <f>"1126.6952"</f>
        <v>1126.6952</v>
      </c>
    </row>
    <row r="2266" spans="1:3" x14ac:dyDescent="0.25">
      <c r="A2266" t="str">
        <f>"19/10/2018"</f>
        <v>19/10/2018</v>
      </c>
      <c r="B2266" t="str">
        <f>"1132.20"</f>
        <v>1132.20</v>
      </c>
      <c r="C2266" t="str">
        <f>"1132.1945"</f>
        <v>1132.1945</v>
      </c>
    </row>
    <row r="2267" spans="1:3" x14ac:dyDescent="0.25">
      <c r="A2267" t="str">
        <f>"22/10/2018"</f>
        <v>22/10/2018</v>
      </c>
      <c r="B2267" t="str">
        <f>"1128.60"</f>
        <v>1128.60</v>
      </c>
      <c r="C2267" t="str">
        <f>"1128.5927"</f>
        <v>1128.5927</v>
      </c>
    </row>
    <row r="2268" spans="1:3" x14ac:dyDescent="0.25">
      <c r="A2268" t="str">
        <f>"23/10/2018"</f>
        <v>23/10/2018</v>
      </c>
      <c r="B2268" t="str">
        <f>"1137.60"</f>
        <v>1137.60</v>
      </c>
      <c r="C2268" t="str">
        <f>"1137.594"</f>
        <v>1137.594</v>
      </c>
    </row>
    <row r="2269" spans="1:3" x14ac:dyDescent="0.25">
      <c r="A2269" t="str">
        <f>"24/10/2018"</f>
        <v>24/10/2018</v>
      </c>
      <c r="B2269" t="str">
        <f>"1132.30"</f>
        <v>1132.30</v>
      </c>
      <c r="C2269" t="str">
        <f>"1132.293"</f>
        <v>1132.293</v>
      </c>
    </row>
    <row r="2270" spans="1:3" x14ac:dyDescent="0.25">
      <c r="A2270" t="str">
        <f>"25/10/2018"</f>
        <v>25/10/2018</v>
      </c>
      <c r="B2270" t="str">
        <f>"1138.10"</f>
        <v>1138.10</v>
      </c>
      <c r="C2270" t="str">
        <f>"1138.0925"</f>
        <v>1138.0925</v>
      </c>
    </row>
    <row r="2271" spans="1:3" x14ac:dyDescent="0.25">
      <c r="A2271" t="str">
        <f>"26/10/2018"</f>
        <v>26/10/2018</v>
      </c>
      <c r="B2271" t="str">
        <f>"1141.90"</f>
        <v>1141.90</v>
      </c>
      <c r="C2271" t="str">
        <f>"1141.8918"</f>
        <v>1141.8918</v>
      </c>
    </row>
    <row r="2272" spans="1:3" x14ac:dyDescent="0.25">
      <c r="A2272" t="str">
        <f>"29/10/2018"</f>
        <v>29/10/2018</v>
      </c>
      <c r="B2272" t="str">
        <f>"1138.10"</f>
        <v>1138.10</v>
      </c>
      <c r="C2272" t="str">
        <f>"1138.095"</f>
        <v>1138.095</v>
      </c>
    </row>
    <row r="2273" spans="1:3" x14ac:dyDescent="0.25">
      <c r="A2273" t="str">
        <f>"30/10/2018"</f>
        <v>30/10/2018</v>
      </c>
      <c r="B2273" t="str">
        <f>"1140.60"</f>
        <v>1140.60</v>
      </c>
      <c r="C2273" t="str">
        <f>"1140.596"</f>
        <v>1140.596</v>
      </c>
    </row>
    <row r="2274" spans="1:3" x14ac:dyDescent="0.25">
      <c r="A2274" t="str">
        <f>"31/10/2018"</f>
        <v>31/10/2018</v>
      </c>
      <c r="B2274" t="str">
        <f>"1139.90"</f>
        <v>1139.90</v>
      </c>
      <c r="C2274" t="str">
        <f>"1139.8965"</f>
        <v>1139.8965</v>
      </c>
    </row>
    <row r="2275" spans="1:3" x14ac:dyDescent="0.25">
      <c r="A2275" t="str">
        <f>"01/11/2018"</f>
        <v>01/11/2018</v>
      </c>
      <c r="B2275" t="str">
        <f>"1138.20"</f>
        <v>1138.20</v>
      </c>
      <c r="C2275" t="str">
        <f>"1138.1965"</f>
        <v>1138.1965</v>
      </c>
    </row>
    <row r="2276" spans="1:3" x14ac:dyDescent="0.25">
      <c r="A2276" t="str">
        <f>"02/11/2018"</f>
        <v>02/11/2018</v>
      </c>
      <c r="B2276" t="str">
        <f>"1121.80"</f>
        <v>1121.80</v>
      </c>
      <c r="C2276" t="str">
        <f>"1121.7965"</f>
        <v>1121.7965</v>
      </c>
    </row>
    <row r="2277" spans="1:3" x14ac:dyDescent="0.25">
      <c r="A2277" t="str">
        <f>"05/11/2018"</f>
        <v>05/11/2018</v>
      </c>
      <c r="B2277" t="str">
        <f>"1123.50"</f>
        <v>1123.50</v>
      </c>
      <c r="C2277" t="str">
        <f>"1123.496"</f>
        <v>1123.496</v>
      </c>
    </row>
    <row r="2278" spans="1:3" x14ac:dyDescent="0.25">
      <c r="A2278" t="str">
        <f>"06/11/2018"</f>
        <v>06/11/2018</v>
      </c>
      <c r="B2278" t="str">
        <f>"1124.00"</f>
        <v>1124.00</v>
      </c>
      <c r="C2278" t="str">
        <f>"1123.9955"</f>
        <v>1123.9955</v>
      </c>
    </row>
    <row r="2279" spans="1:3" x14ac:dyDescent="0.25">
      <c r="A2279" t="str">
        <f>"09/11/2018"</f>
        <v>09/11/2018</v>
      </c>
      <c r="B2279" t="str">
        <f>"1126.90"</f>
        <v>1126.90</v>
      </c>
      <c r="C2279" t="str">
        <f>"1126.8952"</f>
        <v>1126.8952</v>
      </c>
    </row>
    <row r="2280" spans="1:3" x14ac:dyDescent="0.25">
      <c r="A2280" t="str">
        <f>"12/11/2018"</f>
        <v>12/11/2018</v>
      </c>
      <c r="B2280" t="str">
        <f>"1134.00"</f>
        <v>1134.00</v>
      </c>
      <c r="C2280" t="str">
        <f>"1133.997"</f>
        <v>1133.997</v>
      </c>
    </row>
    <row r="2281" spans="1:3" x14ac:dyDescent="0.25">
      <c r="A2281" t="str">
        <f>"13/11/2018"</f>
        <v>13/11/2018</v>
      </c>
      <c r="B2281" t="str">
        <f>"1133.30"</f>
        <v>1133.30</v>
      </c>
      <c r="C2281" t="str">
        <f>"1133.296"</f>
        <v>1133.296</v>
      </c>
    </row>
    <row r="2282" spans="1:3" x14ac:dyDescent="0.25">
      <c r="A2282" t="str">
        <f>"14/11/2018"</f>
        <v>14/11/2018</v>
      </c>
      <c r="B2282" t="str">
        <f>"1134.30"</f>
        <v>1134.30</v>
      </c>
      <c r="C2282" t="str">
        <f>"1134.297"</f>
        <v>1134.297</v>
      </c>
    </row>
    <row r="2283" spans="1:3" x14ac:dyDescent="0.25">
      <c r="A2283" t="str">
        <f>"15/11/2018"</f>
        <v>15/11/2018</v>
      </c>
      <c r="B2283" t="str">
        <f>"1129.30"</f>
        <v>1129.30</v>
      </c>
      <c r="C2283" t="str">
        <f>"1129.2975"</f>
        <v>1129.2975</v>
      </c>
    </row>
    <row r="2284" spans="1:3" x14ac:dyDescent="0.25">
      <c r="A2284" t="str">
        <f>"16/11/2018"</f>
        <v>16/11/2018</v>
      </c>
      <c r="B2284" t="str">
        <f>"1128.70"</f>
        <v>1128.70</v>
      </c>
      <c r="C2284" t="str">
        <f>"1128.6957"</f>
        <v>1128.6957</v>
      </c>
    </row>
    <row r="2285" spans="1:3" x14ac:dyDescent="0.25">
      <c r="A2285" t="str">
        <f>"19/11/2018"</f>
        <v>19/11/2018</v>
      </c>
      <c r="B2285" t="str">
        <f>"1128.70"</f>
        <v>1128.70</v>
      </c>
      <c r="C2285" t="str">
        <f>"1128.6952"</f>
        <v>1128.6952</v>
      </c>
    </row>
    <row r="2286" spans="1:3" x14ac:dyDescent="0.25">
      <c r="A2286" t="str">
        <f>"20/11/2018"</f>
        <v>20/11/2018</v>
      </c>
      <c r="B2286" t="str">
        <f>"1125.80"</f>
        <v>1125.80</v>
      </c>
      <c r="C2286" t="str">
        <f>"1125.7952"</f>
        <v>1125.7952</v>
      </c>
    </row>
    <row r="2287" spans="1:3" x14ac:dyDescent="0.25">
      <c r="A2287" t="str">
        <f>"22/11/2018"</f>
        <v>22/11/2018</v>
      </c>
      <c r="B2287" t="str">
        <f>"1129.20"</f>
        <v>1129.20</v>
      </c>
      <c r="C2287" t="str">
        <f>"1129.196"</f>
        <v>1129.196</v>
      </c>
    </row>
    <row r="2288" spans="1:3" x14ac:dyDescent="0.25">
      <c r="A2288" t="str">
        <f>"26/11/2018"</f>
        <v>26/11/2018</v>
      </c>
      <c r="B2288" t="str">
        <f>"1129.00"</f>
        <v>1129.00</v>
      </c>
      <c r="C2288" t="str">
        <f>"1128.9945"</f>
        <v>1128.9945</v>
      </c>
    </row>
    <row r="2289" spans="1:3" x14ac:dyDescent="0.25">
      <c r="A2289" t="str">
        <f>"27/11/2018"</f>
        <v>27/11/2018</v>
      </c>
      <c r="B2289" t="str">
        <f>"1129.50"</f>
        <v>1129.50</v>
      </c>
      <c r="C2289" t="str">
        <f>"1129.495"</f>
        <v>1129.495</v>
      </c>
    </row>
    <row r="2290" spans="1:3" x14ac:dyDescent="0.25">
      <c r="A2290" t="str">
        <f>"28/11/2018"</f>
        <v>28/11/2018</v>
      </c>
      <c r="B2290" t="str">
        <f>"1126.60"</f>
        <v>1126.60</v>
      </c>
      <c r="C2290" t="str">
        <f>"1126.595"</f>
        <v>1126.595</v>
      </c>
    </row>
    <row r="2291" spans="1:3" x14ac:dyDescent="0.25">
      <c r="A2291" t="str">
        <f>"29/11/2018"</f>
        <v>29/11/2018</v>
      </c>
      <c r="B2291" t="str">
        <f>"1119.40"</f>
        <v>1119.40</v>
      </c>
      <c r="C2291" t="str">
        <f>"1119.3905"</f>
        <v>1119.3905</v>
      </c>
    </row>
    <row r="2292" spans="1:3" x14ac:dyDescent="0.25">
      <c r="A2292" t="str">
        <f>"30/11/2018"</f>
        <v>30/11/2018</v>
      </c>
      <c r="B2292" t="str">
        <f>"1121.00"</f>
        <v>1121.00</v>
      </c>
      <c r="C2292" t="str">
        <f>"1120.993"</f>
        <v>1120.993</v>
      </c>
    </row>
    <row r="2293" spans="1:3" x14ac:dyDescent="0.25">
      <c r="A2293" t="str">
        <f>"03/12/2018"</f>
        <v>03/12/2018</v>
      </c>
      <c r="B2293" t="str">
        <f>"1110.80"</f>
        <v>1110.80</v>
      </c>
      <c r="C2293" t="str">
        <f>"1110.7903"</f>
        <v>1110.7903</v>
      </c>
    </row>
    <row r="2294" spans="1:3" x14ac:dyDescent="0.25">
      <c r="A2294" t="str">
        <f>"04/12/2018"</f>
        <v>04/12/2018</v>
      </c>
      <c r="B2294" t="str">
        <f>"1105.60"</f>
        <v>1105.60</v>
      </c>
      <c r="C2294" t="str">
        <f>"1105.5915"</f>
        <v>1105.5915</v>
      </c>
    </row>
    <row r="2295" spans="1:3" x14ac:dyDescent="0.25">
      <c r="A2295" t="str">
        <f>"05/12/2018"</f>
        <v>05/12/2018</v>
      </c>
      <c r="B2295" t="str">
        <f>"1114.20"</f>
        <v>1114.20</v>
      </c>
      <c r="C2295" t="str">
        <f>"1114.1905"</f>
        <v>1114.1905</v>
      </c>
    </row>
    <row r="2296" spans="1:3" x14ac:dyDescent="0.25">
      <c r="A2296" t="str">
        <f>"06/12/2018"</f>
        <v>06/12/2018</v>
      </c>
      <c r="B2296" t="str">
        <f>"1120.80"</f>
        <v>1120.80</v>
      </c>
      <c r="C2296" t="str">
        <f>"1120.7885"</f>
        <v>1120.7885</v>
      </c>
    </row>
    <row r="2297" spans="1:3" x14ac:dyDescent="0.25">
      <c r="A2297" t="str">
        <f>"07/12/2018"</f>
        <v>07/12/2018</v>
      </c>
      <c r="B2297" t="str">
        <f>"1119.80"</f>
        <v>1119.80</v>
      </c>
      <c r="C2297" t="str">
        <f>"1119.7885"</f>
        <v>1119.7885</v>
      </c>
    </row>
    <row r="2298" spans="1:3" x14ac:dyDescent="0.25">
      <c r="A2298" t="str">
        <f>"10/12/2018"</f>
        <v>10/12/2018</v>
      </c>
      <c r="B2298" t="str">
        <f>"1126.90"</f>
        <v>1126.90</v>
      </c>
      <c r="C2298" t="str">
        <f>"1126.887"</f>
        <v>1126.887</v>
      </c>
    </row>
    <row r="2299" spans="1:3" x14ac:dyDescent="0.25">
      <c r="A2299" t="str">
        <f>"11/12/2018"</f>
        <v>11/12/2018</v>
      </c>
      <c r="B2299" t="str">
        <f>"1130.10"</f>
        <v>1130.10</v>
      </c>
      <c r="C2299" t="str">
        <f>"1130.087"</f>
        <v>1130.087</v>
      </c>
    </row>
    <row r="2300" spans="1:3" x14ac:dyDescent="0.25">
      <c r="A2300" t="str">
        <f>"12/12/2018"</f>
        <v>12/12/2018</v>
      </c>
      <c r="B2300" t="str">
        <f>"1128.50"</f>
        <v>1128.50</v>
      </c>
      <c r="C2300" t="str">
        <f>"1128.485"</f>
        <v>1128.485</v>
      </c>
    </row>
    <row r="2301" spans="1:3" x14ac:dyDescent="0.25">
      <c r="A2301" t="str">
        <f>"13/12/2018"</f>
        <v>13/12/2018</v>
      </c>
      <c r="B2301" t="str">
        <f>"1123.50"</f>
        <v>1123.50</v>
      </c>
      <c r="C2301" t="str">
        <f>"1123.4845"</f>
        <v>1123.4845</v>
      </c>
    </row>
    <row r="2302" spans="1:3" x14ac:dyDescent="0.25">
      <c r="A2302" t="str">
        <f>"14/12/2018"</f>
        <v>14/12/2018</v>
      </c>
      <c r="B2302" t="str">
        <f>"1130.90"</f>
        <v>1130.90</v>
      </c>
      <c r="C2302" t="str">
        <f>"1130.8823"</f>
        <v>1130.8823</v>
      </c>
    </row>
    <row r="2303" spans="1:3" x14ac:dyDescent="0.25">
      <c r="A2303" t="str">
        <f>"17/12/2018"</f>
        <v>17/12/2018</v>
      </c>
      <c r="B2303" t="str">
        <f>"1131.50"</f>
        <v>1131.50</v>
      </c>
      <c r="C2303" t="str">
        <f>"1131.4815"</f>
        <v>1131.4815</v>
      </c>
    </row>
    <row r="2304" spans="1:3" x14ac:dyDescent="0.25">
      <c r="A2304" t="str">
        <f>"18/12/2018"</f>
        <v>18/12/2018</v>
      </c>
      <c r="B2304" t="str">
        <f>"1130.10"</f>
        <v>1130.10</v>
      </c>
      <c r="C2304" t="str">
        <f>"1130.083"</f>
        <v>1130.083</v>
      </c>
    </row>
    <row r="2305" spans="1:3" x14ac:dyDescent="0.25">
      <c r="A2305" t="str">
        <f>"19/12/2018"</f>
        <v>19/12/2018</v>
      </c>
      <c r="B2305" t="str">
        <f>"1123.50"</f>
        <v>1123.50</v>
      </c>
      <c r="C2305" t="str">
        <f>"1123.4855"</f>
        <v>1123.4855</v>
      </c>
    </row>
    <row r="2306" spans="1:3" x14ac:dyDescent="0.25">
      <c r="A2306" t="str">
        <f>"20/12/2018"</f>
        <v>20/12/2018</v>
      </c>
      <c r="B2306" t="str">
        <f>"1127.90"</f>
        <v>1127.90</v>
      </c>
      <c r="C2306" t="str">
        <f>"1127.887"</f>
        <v>1127.887</v>
      </c>
    </row>
    <row r="2307" spans="1:3" x14ac:dyDescent="0.25">
      <c r="A2307" t="str">
        <f>"21/12/2018"</f>
        <v>21/12/2018</v>
      </c>
      <c r="B2307" t="str">
        <f>"1122.60"</f>
        <v>1122.60</v>
      </c>
      <c r="C2307" t="str">
        <f>"1122.586"</f>
        <v>1122.586</v>
      </c>
    </row>
    <row r="2308" spans="1:3" x14ac:dyDescent="0.25">
      <c r="A2308" t="str">
        <f>"24/12/2018"</f>
        <v>24/12/2018</v>
      </c>
      <c r="B2308" t="str">
        <f>"1125.30"</f>
        <v>1125.30</v>
      </c>
      <c r="C2308" t="str">
        <f>"1125.291"</f>
        <v>1125.291</v>
      </c>
    </row>
    <row r="2309" spans="1:3" x14ac:dyDescent="0.25">
      <c r="A2309" t="str">
        <f>"26/12/2018"</f>
        <v>26/12/2018</v>
      </c>
      <c r="B2309" t="str">
        <f>"1125.50"</f>
        <v>1125.50</v>
      </c>
      <c r="C2309" t="str">
        <f>"1125.4935"</f>
        <v>1125.4935</v>
      </c>
    </row>
    <row r="2310" spans="1:3" x14ac:dyDescent="0.25">
      <c r="A2310" t="str">
        <f>"27/12/2018"</f>
        <v>27/12/2018</v>
      </c>
      <c r="B2310" t="str">
        <f>"1120.40"</f>
        <v>1120.40</v>
      </c>
      <c r="C2310" t="str">
        <f>"1120.3955"</f>
        <v>1120.3955</v>
      </c>
    </row>
    <row r="2311" spans="1:3" x14ac:dyDescent="0.25">
      <c r="A2311" t="str">
        <f>"28/12/2018"</f>
        <v>28/12/2018</v>
      </c>
      <c r="B2311" t="str">
        <f>"1117.50"</f>
        <v>1117.50</v>
      </c>
      <c r="C2311" t="str">
        <f>"1117.4935"</f>
        <v>1117.4935</v>
      </c>
    </row>
    <row r="2312" spans="1:3" x14ac:dyDescent="0.25">
      <c r="A2312" t="str">
        <f>"31/12/2018"</f>
        <v>31/12/2018</v>
      </c>
      <c r="B2312" t="str">
        <f>"1116.00"</f>
        <v>1116.00</v>
      </c>
      <c r="C2312" t="str">
        <f>"1115.994"</f>
        <v>1115.994</v>
      </c>
    </row>
    <row r="2313" spans="1:3" x14ac:dyDescent="0.25">
      <c r="A2313" t="str">
        <f>"01/01/2019"</f>
        <v>01/01/2019</v>
      </c>
      <c r="B2313" t="str">
        <f>"1116.00"</f>
        <v>1116.00</v>
      </c>
      <c r="C2313" t="str">
        <f>"1115.989"</f>
        <v>1115.989</v>
      </c>
    </row>
    <row r="2314" spans="1:3" x14ac:dyDescent="0.25">
      <c r="A2314" t="str">
        <f>"02/01/2019"</f>
        <v>02/01/2019</v>
      </c>
      <c r="B2314" t="str">
        <f>"1119.20"</f>
        <v>1119.20</v>
      </c>
      <c r="C2314" t="str">
        <f>"1119.1945"</f>
        <v>1119.1945</v>
      </c>
    </row>
    <row r="2315" spans="1:3" x14ac:dyDescent="0.25">
      <c r="A2315" t="str">
        <f>"03/01/2019"</f>
        <v>03/01/2019</v>
      </c>
      <c r="B2315" t="str">
        <f>"1127.90"</f>
        <v>1127.90</v>
      </c>
      <c r="C2315" t="str">
        <f>"1127.895"</f>
        <v>1127.895</v>
      </c>
    </row>
    <row r="2316" spans="1:3" x14ac:dyDescent="0.25">
      <c r="A2316" t="str">
        <f>"04/01/2019"</f>
        <v>04/01/2019</v>
      </c>
      <c r="B2316" t="str">
        <f>"1124.50"</f>
        <v>1124.50</v>
      </c>
      <c r="C2316" t="str">
        <f>"1124.4937"</f>
        <v>1124.4937</v>
      </c>
    </row>
    <row r="2317" spans="1:3" x14ac:dyDescent="0.25">
      <c r="A2317" t="str">
        <f>"07/01/2019"</f>
        <v>07/01/2019</v>
      </c>
      <c r="B2317" t="str">
        <f>"1118.80"</f>
        <v>1118.80</v>
      </c>
      <c r="C2317" t="str">
        <f>"1118.7955"</f>
        <v>1118.7955</v>
      </c>
    </row>
    <row r="2318" spans="1:3" x14ac:dyDescent="0.25">
      <c r="A2318" t="str">
        <f>"08/01/2019"</f>
        <v>08/01/2019</v>
      </c>
      <c r="B2318" t="str">
        <f>"1124.00"</f>
        <v>1124.00</v>
      </c>
      <c r="C2318" t="str">
        <f>"1123.995"</f>
        <v>1123.995</v>
      </c>
    </row>
    <row r="2319" spans="1:3" x14ac:dyDescent="0.25">
      <c r="A2319" t="str">
        <f>"09/01/2019"</f>
        <v>09/01/2019</v>
      </c>
      <c r="B2319" t="str">
        <f>"1122.40"</f>
        <v>1122.40</v>
      </c>
      <c r="C2319" t="str">
        <f>"1122.3948"</f>
        <v>1122.3948</v>
      </c>
    </row>
    <row r="2320" spans="1:3" x14ac:dyDescent="0.25">
      <c r="A2320" t="str">
        <f>"10/01/2019"</f>
        <v>10/01/2019</v>
      </c>
      <c r="B2320" t="str">
        <f>"1118.60"</f>
        <v>1118.60</v>
      </c>
      <c r="C2320" t="str">
        <f>"1118.5955"</f>
        <v>1118.5955</v>
      </c>
    </row>
    <row r="2321" spans="1:3" x14ac:dyDescent="0.25">
      <c r="A2321" t="str">
        <f>"11/01/2019"</f>
        <v>11/01/2019</v>
      </c>
      <c r="B2321" t="str">
        <f>"1116.50"</f>
        <v>1116.50</v>
      </c>
      <c r="C2321" t="str">
        <f>"1116.495"</f>
        <v>1116.495</v>
      </c>
    </row>
    <row r="2322" spans="1:3" x14ac:dyDescent="0.25">
      <c r="A2322" t="str">
        <f>"14/01/2019"</f>
        <v>14/01/2019</v>
      </c>
      <c r="B2322" t="str">
        <f>"1123.30"</f>
        <v>1123.30</v>
      </c>
      <c r="C2322" t="str">
        <f>"1123.293"</f>
        <v>1123.293</v>
      </c>
    </row>
    <row r="2323" spans="1:3" x14ac:dyDescent="0.25">
      <c r="A2323" t="str">
        <f>"15/01/2019"</f>
        <v>15/01/2019</v>
      </c>
      <c r="B2323" t="str">
        <f>"1120.90"</f>
        <v>1120.90</v>
      </c>
      <c r="C2323" t="str">
        <f>"1120.8935"</f>
        <v>1120.8935</v>
      </c>
    </row>
    <row r="2324" spans="1:3" x14ac:dyDescent="0.25">
      <c r="A2324" t="str">
        <f>"16/01/2019"</f>
        <v>16/01/2019</v>
      </c>
      <c r="B2324" t="str">
        <f>"1120.30"</f>
        <v>1120.30</v>
      </c>
      <c r="C2324" t="str">
        <f>"1120.2927"</f>
        <v>1120.2927</v>
      </c>
    </row>
    <row r="2325" spans="1:3" x14ac:dyDescent="0.25">
      <c r="A2325" t="str">
        <f>"17/01/2019"</f>
        <v>17/01/2019</v>
      </c>
      <c r="B2325" t="str">
        <f>"1122.50"</f>
        <v>1122.50</v>
      </c>
      <c r="C2325" t="str">
        <f>"1122.494"</f>
        <v>1122.494</v>
      </c>
    </row>
    <row r="2326" spans="1:3" x14ac:dyDescent="0.25">
      <c r="A2326" t="str">
        <f>"18/01/2019"</f>
        <v>18/01/2019</v>
      </c>
      <c r="B2326" t="str">
        <f>"1122.00"</f>
        <v>1122.00</v>
      </c>
      <c r="C2326" t="str">
        <f>"1121.994"</f>
        <v>1121.994</v>
      </c>
    </row>
    <row r="2327" spans="1:3" x14ac:dyDescent="0.25">
      <c r="A2327" t="str">
        <f>"21/01/2019"</f>
        <v>21/01/2019</v>
      </c>
      <c r="B2327" t="str">
        <f>"1128.20"</f>
        <v>1128.20</v>
      </c>
      <c r="C2327" t="str">
        <f>"1128.1927"</f>
        <v>1128.1927</v>
      </c>
    </row>
    <row r="2328" spans="1:3" x14ac:dyDescent="0.25">
      <c r="A2328" t="str">
        <f>"22/01/2019"</f>
        <v>22/01/2019</v>
      </c>
      <c r="B2328" t="str">
        <f>"1131.00"</f>
        <v>1131.00</v>
      </c>
      <c r="C2328" t="str">
        <f>"1130.993"</f>
        <v>1130.993</v>
      </c>
    </row>
    <row r="2329" spans="1:3" x14ac:dyDescent="0.25">
      <c r="A2329" t="str">
        <f>"23/01/2019"</f>
        <v>23/01/2019</v>
      </c>
      <c r="B2329" t="str">
        <f>"1127.50"</f>
        <v>1127.50</v>
      </c>
      <c r="C2329" t="str">
        <f>"1127.4945"</f>
        <v>1127.4945</v>
      </c>
    </row>
    <row r="2330" spans="1:3" x14ac:dyDescent="0.25">
      <c r="A2330" t="str">
        <f>"24/01/2019"</f>
        <v>24/01/2019</v>
      </c>
      <c r="B2330" t="str">
        <f>"1128.80"</f>
        <v>1128.80</v>
      </c>
      <c r="C2330" t="str">
        <f>"1128.7948"</f>
        <v>1128.7948</v>
      </c>
    </row>
    <row r="2331" spans="1:3" x14ac:dyDescent="0.25">
      <c r="A2331" t="str">
        <f>"25/01/2019"</f>
        <v>25/01/2019</v>
      </c>
      <c r="B2331" t="str">
        <f>"1121.40"</f>
        <v>1121.40</v>
      </c>
      <c r="C2331" t="str">
        <f>"1121.395"</f>
        <v>1121.395</v>
      </c>
    </row>
    <row r="2332" spans="1:3" x14ac:dyDescent="0.25">
      <c r="A2332" t="str">
        <f>"28/01/2019"</f>
        <v>28/01/2019</v>
      </c>
      <c r="B2332" t="str">
        <f>"1118.00"</f>
        <v>1118.00</v>
      </c>
      <c r="C2332" t="str">
        <f>"1117.995"</f>
        <v>1117.995</v>
      </c>
    </row>
    <row r="2333" spans="1:3" x14ac:dyDescent="0.25">
      <c r="A2333" t="str">
        <f>"29/01/2019"</f>
        <v>29/01/2019</v>
      </c>
      <c r="B2333" t="str">
        <f>"1116.50"</f>
        <v>1116.50</v>
      </c>
      <c r="C2333" t="str">
        <f>"1116.4955"</f>
        <v>1116.4955</v>
      </c>
    </row>
    <row r="2334" spans="1:3" x14ac:dyDescent="0.25">
      <c r="A2334" t="str">
        <f>"30/01/2019"</f>
        <v>30/01/2019</v>
      </c>
      <c r="B2334" t="str">
        <f>"1116.50"</f>
        <v>1116.50</v>
      </c>
      <c r="C2334" t="str">
        <f>"1116.495"</f>
        <v>1116.495</v>
      </c>
    </row>
    <row r="2335" spans="1:3" x14ac:dyDescent="0.25">
      <c r="A2335" t="str">
        <f>"31/01/2019"</f>
        <v>31/01/2019</v>
      </c>
      <c r="B2335" t="str">
        <f>"1112.90"</f>
        <v>1112.90</v>
      </c>
      <c r="C2335" t="str">
        <f>"1112.897"</f>
        <v>1112.897</v>
      </c>
    </row>
    <row r="2336" spans="1:3" x14ac:dyDescent="0.25">
      <c r="A2336" t="str">
        <f>"01/02/2019"</f>
        <v>01/02/2019</v>
      </c>
      <c r="B2336" t="str">
        <f>"1119.20"</f>
        <v>1119.20</v>
      </c>
      <c r="C2336" t="str">
        <f>"1119.196"</f>
        <v>1119.196</v>
      </c>
    </row>
    <row r="2337" spans="1:3" x14ac:dyDescent="0.25">
      <c r="A2337" t="str">
        <f>"04/02/2019"</f>
        <v>04/02/2019</v>
      </c>
      <c r="B2337" t="str">
        <f>"1119.20"</f>
        <v>1119.20</v>
      </c>
      <c r="C2337" t="str">
        <f>"1119.1948"</f>
        <v>1119.1948</v>
      </c>
    </row>
    <row r="2338" spans="1:3" x14ac:dyDescent="0.25">
      <c r="A2338" t="str">
        <f>"05/02/2019"</f>
        <v>05/02/2019</v>
      </c>
      <c r="B2338" t="str">
        <f>"1119.20"</f>
        <v>1119.20</v>
      </c>
      <c r="C2338" t="str">
        <f>"1119.1907"</f>
        <v>1119.1907</v>
      </c>
    </row>
    <row r="2339" spans="1:3" x14ac:dyDescent="0.25">
      <c r="A2339" t="str">
        <f>"06/02/2019"</f>
        <v>06/02/2019</v>
      </c>
      <c r="B2339" t="str">
        <f>"1119.20"</f>
        <v>1119.20</v>
      </c>
      <c r="C2339" t="str">
        <f>"1119.1907"</f>
        <v>1119.1907</v>
      </c>
    </row>
    <row r="2340" spans="1:3" x14ac:dyDescent="0.25">
      <c r="A2340" t="str">
        <f>"07/02/2019"</f>
        <v>07/02/2019</v>
      </c>
      <c r="B2340" t="str">
        <f>"1124.20"</f>
        <v>1124.20</v>
      </c>
      <c r="C2340" t="str">
        <f>"1124.1952"</f>
        <v>1124.1952</v>
      </c>
    </row>
    <row r="2341" spans="1:3" x14ac:dyDescent="0.25">
      <c r="A2341" t="str">
        <f>"08/02/2019"</f>
        <v>08/02/2019</v>
      </c>
      <c r="B2341" t="str">
        <f>"1124.00"</f>
        <v>1124.00</v>
      </c>
      <c r="C2341" t="str">
        <f>"1123.9965"</f>
        <v>1123.9965</v>
      </c>
    </row>
    <row r="2342" spans="1:3" x14ac:dyDescent="0.25">
      <c r="A2342" t="str">
        <f>"11/02/2019"</f>
        <v>11/02/2019</v>
      </c>
      <c r="B2342" t="str">
        <f>"1124.80"</f>
        <v>1124.80</v>
      </c>
      <c r="C2342" t="str">
        <f>"1124.796"</f>
        <v>1124.796</v>
      </c>
    </row>
    <row r="2343" spans="1:3" x14ac:dyDescent="0.25">
      <c r="A2343" t="str">
        <f>"12/02/2019"</f>
        <v>12/02/2019</v>
      </c>
      <c r="B2343" t="str">
        <f>"1124.30"</f>
        <v>1124.30</v>
      </c>
      <c r="C2343" t="str">
        <f>"1124.297"</f>
        <v>1124.297</v>
      </c>
    </row>
    <row r="2344" spans="1:3" x14ac:dyDescent="0.25">
      <c r="A2344" t="str">
        <f>"13/02/2019"</f>
        <v>13/02/2019</v>
      </c>
      <c r="B2344" t="str">
        <f>"1121.90"</f>
        <v>1121.90</v>
      </c>
      <c r="C2344" t="str">
        <f>"1121.897"</f>
        <v>1121.897</v>
      </c>
    </row>
    <row r="2345" spans="1:3" x14ac:dyDescent="0.25">
      <c r="A2345" t="str">
        <f>"14/02/2019"</f>
        <v>14/02/2019</v>
      </c>
      <c r="B2345" t="str">
        <f>"1125.40"</f>
        <v>1125.40</v>
      </c>
      <c r="C2345" t="str">
        <f>"1125.3955"</f>
        <v>1125.3955</v>
      </c>
    </row>
    <row r="2346" spans="1:3" x14ac:dyDescent="0.25">
      <c r="A2346" t="str">
        <f>"15/02/2019"</f>
        <v>15/02/2019</v>
      </c>
      <c r="B2346" t="str">
        <f>"1128.90"</f>
        <v>1128.90</v>
      </c>
      <c r="C2346" t="str">
        <f>"1128.897"</f>
        <v>1128.897</v>
      </c>
    </row>
    <row r="2347" spans="1:3" x14ac:dyDescent="0.25">
      <c r="A2347" t="str">
        <f>"18/02/2019"</f>
        <v>18/02/2019</v>
      </c>
      <c r="B2347" t="str">
        <f>"1124.40"</f>
        <v>1124.40</v>
      </c>
      <c r="C2347" t="str">
        <f>"1124.3965"</f>
        <v>1124.3965</v>
      </c>
    </row>
    <row r="2348" spans="1:3" x14ac:dyDescent="0.25">
      <c r="A2348" t="str">
        <f>"20/02/2019"</f>
        <v>20/02/2019</v>
      </c>
      <c r="B2348" t="str">
        <f>"1123.80"</f>
        <v>1123.80</v>
      </c>
      <c r="C2348" t="str">
        <f>"1123.7965"</f>
        <v>1123.7965</v>
      </c>
    </row>
    <row r="2349" spans="1:3" x14ac:dyDescent="0.25">
      <c r="A2349" t="str">
        <f>"21/02/2019"</f>
        <v>21/02/2019</v>
      </c>
      <c r="B2349" t="str">
        <f>"1123.10"</f>
        <v>1123.10</v>
      </c>
      <c r="C2349" t="str">
        <f>"1123.0952"</f>
        <v>1123.0952</v>
      </c>
    </row>
    <row r="2350" spans="1:3" x14ac:dyDescent="0.25">
      <c r="A2350" t="str">
        <f>"22/02/2019"</f>
        <v>22/02/2019</v>
      </c>
      <c r="B2350" t="str">
        <f>"1125.40"</f>
        <v>1125.40</v>
      </c>
      <c r="C2350" t="str">
        <f>"1125.3965"</f>
        <v>1125.3965</v>
      </c>
    </row>
    <row r="2351" spans="1:3" x14ac:dyDescent="0.25">
      <c r="A2351" t="str">
        <f>"25/02/2019"</f>
        <v>25/02/2019</v>
      </c>
      <c r="B2351" t="str">
        <f>"1121.10"</f>
        <v>1121.10</v>
      </c>
      <c r="C2351" t="str">
        <f>"1121.0968"</f>
        <v>1121.0968</v>
      </c>
    </row>
    <row r="2352" spans="1:3" x14ac:dyDescent="0.25">
      <c r="A2352" t="str">
        <f>"26/02/2019"</f>
        <v>26/02/2019</v>
      </c>
      <c r="B2352" t="str">
        <f>"1118.80"</f>
        <v>1118.80</v>
      </c>
      <c r="C2352" t="str">
        <f>"1118.796"</f>
        <v>1118.796</v>
      </c>
    </row>
    <row r="2353" spans="1:3" x14ac:dyDescent="0.25">
      <c r="A2353" t="str">
        <f>"27/02/2019"</f>
        <v>27/02/2019</v>
      </c>
      <c r="B2353" t="str">
        <f>"1119.10"</f>
        <v>1119.10</v>
      </c>
      <c r="C2353" t="str">
        <f>"1119.0955"</f>
        <v>1119.0955</v>
      </c>
    </row>
    <row r="2354" spans="1:3" x14ac:dyDescent="0.25">
      <c r="A2354" t="str">
        <f>"28/02/2019"</f>
        <v>28/02/2019</v>
      </c>
      <c r="B2354" t="str">
        <f>"1124.50"</f>
        <v>1124.50</v>
      </c>
      <c r="C2354" t="str">
        <f>"1124.495"</f>
        <v>1124.495</v>
      </c>
    </row>
    <row r="2355" spans="1:3" x14ac:dyDescent="0.25">
      <c r="A2355" t="str">
        <f>"01/03/2019"</f>
        <v>01/03/2019</v>
      </c>
      <c r="B2355" t="str">
        <f>"1124.50"</f>
        <v>1124.50</v>
      </c>
      <c r="C2355" t="str">
        <f>"1124.495"</f>
        <v>1124.495</v>
      </c>
    </row>
    <row r="2356" spans="1:3" x14ac:dyDescent="0.25">
      <c r="A2356" t="str">
        <f>"05/03/2019"</f>
        <v>05/03/2019</v>
      </c>
      <c r="B2356" t="str">
        <f>"1125.50"</f>
        <v>1125.50</v>
      </c>
      <c r="C2356" t="str">
        <f>"1125.495"</f>
        <v>1125.495</v>
      </c>
    </row>
    <row r="2357" spans="1:3" x14ac:dyDescent="0.25">
      <c r="A2357" t="str">
        <f>"06/03/2019"</f>
        <v>06/03/2019</v>
      </c>
      <c r="B2357" t="str">
        <f>"1128.70"</f>
        <v>1128.70</v>
      </c>
      <c r="C2357" t="str">
        <f>"1128.6943"</f>
        <v>1128.6943</v>
      </c>
    </row>
    <row r="2358" spans="1:3" x14ac:dyDescent="0.25">
      <c r="A2358" t="str">
        <f>"07/03/2019"</f>
        <v>07/03/2019</v>
      </c>
      <c r="B2358" t="str">
        <f>"1129.00"</f>
        <v>1129.00</v>
      </c>
      <c r="C2358" t="str">
        <f>"1128.995"</f>
        <v>1128.995</v>
      </c>
    </row>
    <row r="2359" spans="1:3" x14ac:dyDescent="0.25">
      <c r="A2359" t="str">
        <f>"08/03/2019"</f>
        <v>08/03/2019</v>
      </c>
      <c r="B2359" t="str">
        <f>"1136.20"</f>
        <v>1136.20</v>
      </c>
      <c r="C2359" t="str">
        <f>"1136.1945"</f>
        <v>1136.1945</v>
      </c>
    </row>
    <row r="2360" spans="1:3" x14ac:dyDescent="0.25">
      <c r="A2360" t="str">
        <f>"11/03/2019"</f>
        <v>11/03/2019</v>
      </c>
      <c r="B2360" t="str">
        <f>"1133.70"</f>
        <v>1133.70</v>
      </c>
      <c r="C2360" t="str">
        <f>"1133.695"</f>
        <v>1133.695</v>
      </c>
    </row>
    <row r="2361" spans="1:3" x14ac:dyDescent="0.25">
      <c r="A2361" t="str">
        <f>"12/03/2019"</f>
        <v>12/03/2019</v>
      </c>
      <c r="B2361" t="str">
        <f>"1129.80"</f>
        <v>1129.80</v>
      </c>
      <c r="C2361" t="str">
        <f>"1129.795"</f>
        <v>1129.795</v>
      </c>
    </row>
    <row r="2362" spans="1:3" x14ac:dyDescent="0.25">
      <c r="A2362" t="str">
        <f>"13/03/2019"</f>
        <v>13/03/2019</v>
      </c>
      <c r="B2362" t="str">
        <f>"1131.60"</f>
        <v>1131.60</v>
      </c>
      <c r="C2362" t="str">
        <f>"1131.5945"</f>
        <v>1131.5945</v>
      </c>
    </row>
    <row r="2363" spans="1:3" x14ac:dyDescent="0.25">
      <c r="A2363" t="str">
        <f>"14/03/2019"</f>
        <v>14/03/2019</v>
      </c>
      <c r="B2363" t="str">
        <f>"1135.00"</f>
        <v>1135.00</v>
      </c>
      <c r="C2363" t="str">
        <f>"1134.995"</f>
        <v>1134.995</v>
      </c>
    </row>
    <row r="2364" spans="1:3" x14ac:dyDescent="0.25">
      <c r="A2364" t="str">
        <f>"18/03/2019"</f>
        <v>18/03/2019</v>
      </c>
      <c r="B2364" t="str">
        <f>"1132.20"</f>
        <v>1132.20</v>
      </c>
      <c r="C2364" t="str">
        <f>"1132.194"</f>
        <v>1132.194</v>
      </c>
    </row>
    <row r="2365" spans="1:3" x14ac:dyDescent="0.25">
      <c r="A2365" t="str">
        <f>"19/03/2019"</f>
        <v>19/03/2019</v>
      </c>
      <c r="B2365" t="str">
        <f>"1130.70"</f>
        <v>1130.70</v>
      </c>
      <c r="C2365" t="str">
        <f>"1130.6945"</f>
        <v>1130.6945</v>
      </c>
    </row>
    <row r="2366" spans="1:3" x14ac:dyDescent="0.25">
      <c r="A2366" t="str">
        <f>"20/03/2019"</f>
        <v>20/03/2019</v>
      </c>
      <c r="B2366" t="str">
        <f>"1130.50"</f>
        <v>1130.50</v>
      </c>
      <c r="C2366" t="str">
        <f>"1130.493"</f>
        <v>1130.493</v>
      </c>
    </row>
    <row r="2367" spans="1:3" x14ac:dyDescent="0.25">
      <c r="A2367" t="str">
        <f>"22/03/2019"</f>
        <v>22/03/2019</v>
      </c>
      <c r="B2367" t="str">
        <f>"1130.30"</f>
        <v>1130.30</v>
      </c>
      <c r="C2367" t="str">
        <f>"1130.2925"</f>
        <v>1130.2925</v>
      </c>
    </row>
    <row r="2368" spans="1:3" x14ac:dyDescent="0.25">
      <c r="A2368" t="str">
        <f>"25/03/2019"</f>
        <v>25/03/2019</v>
      </c>
      <c r="B2368" t="str">
        <f>"1134.30"</f>
        <v>1134.30</v>
      </c>
      <c r="C2368" t="str">
        <f>"1134.2925"</f>
        <v>1134.2925</v>
      </c>
    </row>
    <row r="2369" spans="1:3" x14ac:dyDescent="0.25">
      <c r="A2369" t="str">
        <f>"26/03/2019"</f>
        <v>26/03/2019</v>
      </c>
      <c r="B2369" t="str">
        <f>"1133.60"</f>
        <v>1133.60</v>
      </c>
      <c r="C2369" t="str">
        <f>"1133.595"</f>
        <v>1133.595</v>
      </c>
    </row>
    <row r="2370" spans="1:3" x14ac:dyDescent="0.25">
      <c r="A2370" t="str">
        <f>"27/03/2019"</f>
        <v>27/03/2019</v>
      </c>
      <c r="B2370" t="str">
        <f>"1134.60"</f>
        <v>1134.60</v>
      </c>
      <c r="C2370" t="str">
        <f>"1134.5927"</f>
        <v>1134.5927</v>
      </c>
    </row>
    <row r="2371" spans="1:3" x14ac:dyDescent="0.25">
      <c r="A2371" t="str">
        <f>"28/03/2019"</f>
        <v>28/03/2019</v>
      </c>
      <c r="B2371" t="str">
        <f>"1136.80"</f>
        <v>1136.80</v>
      </c>
      <c r="C2371" t="str">
        <f>"1136.796"</f>
        <v>1136.796</v>
      </c>
    </row>
    <row r="2372" spans="1:3" x14ac:dyDescent="0.25">
      <c r="A2372" t="str">
        <f>"29/03/2019"</f>
        <v>29/03/2019</v>
      </c>
      <c r="B2372" t="str">
        <f>"1135.30"</f>
        <v>1135.30</v>
      </c>
      <c r="C2372" t="str">
        <f>"1135.295"</f>
        <v>1135.295</v>
      </c>
    </row>
    <row r="2373" spans="1:3" x14ac:dyDescent="0.25">
      <c r="A2373" t="str">
        <f>"02/04/2019"</f>
        <v>02/04/2019</v>
      </c>
      <c r="B2373" t="str">
        <f>"1136.50"</f>
        <v>1136.50</v>
      </c>
      <c r="C2373" t="str">
        <f>"1136.4925"</f>
        <v>1136.4925</v>
      </c>
    </row>
    <row r="2374" spans="1:3" x14ac:dyDescent="0.25">
      <c r="A2374" t="str">
        <f>"03/04/2019"</f>
        <v>03/04/2019</v>
      </c>
      <c r="B2374" t="str">
        <f>"1134.50"</f>
        <v>1134.50</v>
      </c>
      <c r="C2374" t="str">
        <f>"1134.4935"</f>
        <v>1134.4935</v>
      </c>
    </row>
    <row r="2375" spans="1:3" x14ac:dyDescent="0.25">
      <c r="A2375" t="str">
        <f>"04/04/2019"</f>
        <v>04/04/2019</v>
      </c>
      <c r="B2375" t="str">
        <f>"1136.50"</f>
        <v>1136.50</v>
      </c>
      <c r="C2375" t="str">
        <f>"1136.495"</f>
        <v>1136.495</v>
      </c>
    </row>
    <row r="2376" spans="1:3" x14ac:dyDescent="0.25">
      <c r="A2376" t="str">
        <f>"05/04/2019"</f>
        <v>05/04/2019</v>
      </c>
      <c r="B2376" t="str">
        <f>"1136.40"</f>
        <v>1136.40</v>
      </c>
      <c r="C2376" t="str">
        <f>"1136.395"</f>
        <v>1136.395</v>
      </c>
    </row>
    <row r="2377" spans="1:3" x14ac:dyDescent="0.25">
      <c r="A2377" t="str">
        <f>"08/04/2019"</f>
        <v>08/04/2019</v>
      </c>
      <c r="B2377" t="str">
        <f>"1144.90"</f>
        <v>1144.90</v>
      </c>
      <c r="C2377" t="str">
        <f>"1144.895"</f>
        <v>1144.895</v>
      </c>
    </row>
    <row r="2378" spans="1:3" x14ac:dyDescent="0.25">
      <c r="A2378" t="str">
        <f>"09/04/2019"</f>
        <v>09/04/2019</v>
      </c>
      <c r="B2378" t="str">
        <f>"1142.30"</f>
        <v>1142.30</v>
      </c>
      <c r="C2378" t="str">
        <f>"1142.2935"</f>
        <v>1142.2935</v>
      </c>
    </row>
    <row r="2379" spans="1:3" x14ac:dyDescent="0.25">
      <c r="A2379" t="str">
        <f>"10/04/2019"</f>
        <v>10/04/2019</v>
      </c>
      <c r="B2379" t="str">
        <f>"1139.00"</f>
        <v>1139.00</v>
      </c>
      <c r="C2379" t="str">
        <f>"1138.9937"</f>
        <v>1138.9937</v>
      </c>
    </row>
    <row r="2380" spans="1:3" x14ac:dyDescent="0.25">
      <c r="A2380" t="str">
        <f>"11/04/2019"</f>
        <v>11/04/2019</v>
      </c>
      <c r="B2380" t="str">
        <f>"1139.30"</f>
        <v>1139.30</v>
      </c>
      <c r="C2380" t="str">
        <f>"1139.2945"</f>
        <v>1139.2945</v>
      </c>
    </row>
    <row r="2381" spans="1:3" x14ac:dyDescent="0.25">
      <c r="A2381" t="str">
        <f>"12/04/2019"</f>
        <v>12/04/2019</v>
      </c>
      <c r="B2381" t="str">
        <f>"1139.60"</f>
        <v>1139.60</v>
      </c>
      <c r="C2381" t="str">
        <f>"1139.5935"</f>
        <v>1139.5935</v>
      </c>
    </row>
    <row r="2382" spans="1:3" x14ac:dyDescent="0.25">
      <c r="A2382" t="str">
        <f>"15/04/2019"</f>
        <v>15/04/2019</v>
      </c>
      <c r="B2382" t="str">
        <f>"1133.10"</f>
        <v>1133.10</v>
      </c>
      <c r="C2382" t="str">
        <f>"1133.094"</f>
        <v>1133.094</v>
      </c>
    </row>
    <row r="2383" spans="1:3" x14ac:dyDescent="0.25">
      <c r="A2383" t="str">
        <f>"16/04/2019"</f>
        <v>16/04/2019</v>
      </c>
      <c r="B2383" t="str">
        <f>"1135.90"</f>
        <v>1135.90</v>
      </c>
      <c r="C2383" t="str">
        <f>"1135.8945"</f>
        <v>1135.8945</v>
      </c>
    </row>
    <row r="2384" spans="1:3" x14ac:dyDescent="0.25">
      <c r="A2384" t="str">
        <f>"18/04/2019"</f>
        <v>18/04/2019</v>
      </c>
      <c r="B2384" t="str">
        <f>"1137.10"</f>
        <v>1137.10</v>
      </c>
      <c r="C2384" t="str">
        <f>"1137.093"</f>
        <v>1137.093</v>
      </c>
    </row>
    <row r="2385" spans="1:3" x14ac:dyDescent="0.25">
      <c r="A2385" t="str">
        <f>"22/04/2019"</f>
        <v>22/04/2019</v>
      </c>
      <c r="B2385" t="str">
        <f>"1141.60"</f>
        <v>1141.60</v>
      </c>
      <c r="C2385" t="str">
        <f>"1141.5915"</f>
        <v>1141.5915</v>
      </c>
    </row>
    <row r="2386" spans="1:3" x14ac:dyDescent="0.25">
      <c r="A2386" t="str">
        <f>"23/04/2019"</f>
        <v>23/04/2019</v>
      </c>
      <c r="B2386" t="str">
        <f>"1142.00"</f>
        <v>1142.00</v>
      </c>
      <c r="C2386" t="str">
        <f>"1141.991"</f>
        <v>1141.991</v>
      </c>
    </row>
    <row r="2387" spans="1:3" x14ac:dyDescent="0.25">
      <c r="A2387" t="str">
        <f>"24/04/2019"</f>
        <v>24/04/2019</v>
      </c>
      <c r="B2387" t="str">
        <f>"1150.90"</f>
        <v>1150.90</v>
      </c>
      <c r="C2387" t="str">
        <f>"1150.8915"</f>
        <v>1150.8915</v>
      </c>
    </row>
    <row r="2388" spans="1:3" x14ac:dyDescent="0.25">
      <c r="A2388" t="str">
        <f>"25/04/2019"</f>
        <v>25/04/2019</v>
      </c>
      <c r="B2388" t="str">
        <f>"1160.50"</f>
        <v>1160.50</v>
      </c>
      <c r="C2388" t="str">
        <f>"1160.492"</f>
        <v>1160.492</v>
      </c>
    </row>
    <row r="2389" spans="1:3" x14ac:dyDescent="0.25">
      <c r="A2389" t="str">
        <f>"26/04/2019"</f>
        <v>26/04/2019</v>
      </c>
      <c r="B2389" t="str">
        <f>"1161.00"</f>
        <v>1161.00</v>
      </c>
      <c r="C2389" t="str">
        <f>"1160.993"</f>
        <v>1160.993</v>
      </c>
    </row>
    <row r="2390" spans="1:3" x14ac:dyDescent="0.25">
      <c r="A2390" t="str">
        <f>"30/04/2019"</f>
        <v>30/04/2019</v>
      </c>
      <c r="B2390" t="str">
        <f>"1168.20"</f>
        <v>1168.20</v>
      </c>
      <c r="C2390" t="str">
        <f>"1168.1915"</f>
        <v>1168.1915</v>
      </c>
    </row>
    <row r="2391" spans="1:3" x14ac:dyDescent="0.25">
      <c r="A2391" t="str">
        <f>"02/05/2019"</f>
        <v>02/05/2019</v>
      </c>
      <c r="B2391" t="str">
        <f>"1165.90"</f>
        <v>1165.90</v>
      </c>
      <c r="C2391" t="str">
        <f>"1165.8935"</f>
        <v>1165.8935</v>
      </c>
    </row>
    <row r="2392" spans="1:3" x14ac:dyDescent="0.25">
      <c r="A2392" t="str">
        <f>"03/05/2019"</f>
        <v>03/05/2019</v>
      </c>
      <c r="B2392" t="str">
        <f>"1169.90"</f>
        <v>1169.90</v>
      </c>
      <c r="C2392" t="str">
        <f>"1169.8935"</f>
        <v>1169.8935</v>
      </c>
    </row>
    <row r="2393" spans="1:3" x14ac:dyDescent="0.25">
      <c r="A2393" t="str">
        <f>"06/05/2019"</f>
        <v>06/05/2019</v>
      </c>
      <c r="B2393" t="str">
        <f>"1169.90"</f>
        <v>1169.90</v>
      </c>
      <c r="C2393" t="str">
        <f>"1169.8935"</f>
        <v>1169.8935</v>
      </c>
    </row>
    <row r="2394" spans="1:3" x14ac:dyDescent="0.25">
      <c r="A2394" t="str">
        <f>"07/05/2019"</f>
        <v>07/05/2019</v>
      </c>
      <c r="B2394" t="str">
        <f>"1166.30"</f>
        <v>1166.30</v>
      </c>
      <c r="C2394" t="str">
        <f>"1166.293"</f>
        <v>1166.293</v>
      </c>
    </row>
    <row r="2395" spans="1:3" x14ac:dyDescent="0.25">
      <c r="A2395" t="str">
        <f>"08/05/2019"</f>
        <v>08/05/2019</v>
      </c>
      <c r="B2395" t="str">
        <f>"1169.70"</f>
        <v>1169.70</v>
      </c>
      <c r="C2395" t="str">
        <f>"1169.6935"</f>
        <v>1169.6935</v>
      </c>
    </row>
    <row r="2396" spans="1:3" x14ac:dyDescent="0.25">
      <c r="A2396" t="str">
        <f>"09/05/2019"</f>
        <v>09/05/2019</v>
      </c>
      <c r="B2396" t="str">
        <f>"1179.70"</f>
        <v>1179.70</v>
      </c>
      <c r="C2396" t="str">
        <f>"1179.6923"</f>
        <v>1179.6923</v>
      </c>
    </row>
    <row r="2397" spans="1:3" x14ac:dyDescent="0.25">
      <c r="A2397" t="str">
        <f>"10/05/2019"</f>
        <v>10/05/2019</v>
      </c>
      <c r="B2397" t="str">
        <f>"1177.50"</f>
        <v>1177.50</v>
      </c>
      <c r="C2397" t="str">
        <f>"1177.492"</f>
        <v>1177.492</v>
      </c>
    </row>
    <row r="2398" spans="1:3" x14ac:dyDescent="0.25">
      <c r="A2398" t="str">
        <f>"13/05/2019"</f>
        <v>13/05/2019</v>
      </c>
      <c r="B2398" t="str">
        <f>"1183.80"</f>
        <v>1183.80</v>
      </c>
      <c r="C2398" t="str">
        <f>"1183.792"</f>
        <v>1183.792</v>
      </c>
    </row>
    <row r="2399" spans="1:3" x14ac:dyDescent="0.25">
      <c r="A2399" t="str">
        <f>"14/05/2019"</f>
        <v>14/05/2019</v>
      </c>
      <c r="B2399" t="str">
        <f>"1189.50"</f>
        <v>1189.50</v>
      </c>
      <c r="C2399" t="str">
        <f>"1189.4925"</f>
        <v>1189.4925</v>
      </c>
    </row>
    <row r="2400" spans="1:3" x14ac:dyDescent="0.25">
      <c r="A2400" t="str">
        <f>"15/05/2019"</f>
        <v>15/05/2019</v>
      </c>
      <c r="B2400" t="str">
        <f>"1188.60"</f>
        <v>1188.60</v>
      </c>
      <c r="C2400" t="str">
        <f>"1188.593"</f>
        <v>1188.593</v>
      </c>
    </row>
    <row r="2401" spans="1:3" x14ac:dyDescent="0.25">
      <c r="A2401" t="str">
        <f>"16/05/2019"</f>
        <v>16/05/2019</v>
      </c>
      <c r="B2401" t="str">
        <f>"1191.50"</f>
        <v>1191.50</v>
      </c>
      <c r="C2401" t="str">
        <f>"1191.493"</f>
        <v>1191.493</v>
      </c>
    </row>
    <row r="2402" spans="1:3" x14ac:dyDescent="0.25">
      <c r="A2402" t="str">
        <f>"17/05/2019"</f>
        <v>17/05/2019</v>
      </c>
      <c r="B2402" t="str">
        <f>"1195.70"</f>
        <v>1195.70</v>
      </c>
      <c r="C2402" t="str">
        <f>"1195.692"</f>
        <v>1195.692</v>
      </c>
    </row>
    <row r="2403" spans="1:3" x14ac:dyDescent="0.25">
      <c r="A2403" t="str">
        <f>"20/05/2019"</f>
        <v>20/05/2019</v>
      </c>
      <c r="B2403" t="str">
        <f>"1194.20"</f>
        <v>1194.20</v>
      </c>
      <c r="C2403" t="str">
        <f>"1194.1915"</f>
        <v>1194.1915</v>
      </c>
    </row>
    <row r="2404" spans="1:3" x14ac:dyDescent="0.25">
      <c r="A2404" t="str">
        <f>"21/05/2019"</f>
        <v>21/05/2019</v>
      </c>
      <c r="B2404" t="str">
        <f>"1194.50"</f>
        <v>1194.50</v>
      </c>
      <c r="C2404" t="str">
        <f>"1194.4925"</f>
        <v>1194.4925</v>
      </c>
    </row>
    <row r="2405" spans="1:3" x14ac:dyDescent="0.25">
      <c r="A2405" t="str">
        <f>"22/05/2019"</f>
        <v>22/05/2019</v>
      </c>
      <c r="B2405" t="str">
        <f>"1193.30"</f>
        <v>1193.30</v>
      </c>
      <c r="C2405" t="str">
        <f>"1193.292"</f>
        <v>1193.292</v>
      </c>
    </row>
    <row r="2406" spans="1:3" x14ac:dyDescent="0.25">
      <c r="A2406" t="str">
        <f>"23/05/2019"</f>
        <v>23/05/2019</v>
      </c>
      <c r="B2406" t="str">
        <f>"1189.20"</f>
        <v>1189.20</v>
      </c>
      <c r="C2406" t="str">
        <f>"1189.192"</f>
        <v>1189.192</v>
      </c>
    </row>
    <row r="2407" spans="1:3" x14ac:dyDescent="0.25">
      <c r="A2407" t="str">
        <f>"24/05/2019"</f>
        <v>24/05/2019</v>
      </c>
      <c r="B2407" t="str">
        <f>"1188.40"</f>
        <v>1188.40</v>
      </c>
      <c r="C2407" t="str">
        <f>"1188.3915"</f>
        <v>1188.3915</v>
      </c>
    </row>
    <row r="2408" spans="1:3" x14ac:dyDescent="0.25">
      <c r="A2408" t="str">
        <f>"27/05/2019"</f>
        <v>27/05/2019</v>
      </c>
      <c r="B2408" t="str">
        <f>"1184.50"</f>
        <v>1184.50</v>
      </c>
      <c r="C2408" t="str">
        <f>"1184.4915"</f>
        <v>1184.4915</v>
      </c>
    </row>
    <row r="2409" spans="1:3" x14ac:dyDescent="0.25">
      <c r="A2409" t="str">
        <f>"28/05/2019"</f>
        <v>28/05/2019</v>
      </c>
      <c r="B2409" t="str">
        <f>"1188.10"</f>
        <v>1188.10</v>
      </c>
      <c r="C2409" t="str">
        <f>"1188.092"</f>
        <v>1188.092</v>
      </c>
    </row>
    <row r="2410" spans="1:3" x14ac:dyDescent="0.25">
      <c r="A2410" t="str">
        <f>"29/05/2019"</f>
        <v>29/05/2019</v>
      </c>
      <c r="B2410" t="str">
        <f>"1194.30"</f>
        <v>1194.30</v>
      </c>
      <c r="C2410" t="str">
        <f>"1194.293"</f>
        <v>1194.293</v>
      </c>
    </row>
    <row r="2411" spans="1:3" x14ac:dyDescent="0.25">
      <c r="A2411" t="str">
        <f>"30/05/2019"</f>
        <v>30/05/2019</v>
      </c>
      <c r="B2411" t="str">
        <f>"1189.00"</f>
        <v>1189.00</v>
      </c>
      <c r="C2411" t="str">
        <f>"1188.9927"</f>
        <v>1188.9927</v>
      </c>
    </row>
    <row r="2412" spans="1:3" x14ac:dyDescent="0.25">
      <c r="A2412" t="str">
        <f>"31/05/2019"</f>
        <v>31/05/2019</v>
      </c>
      <c r="B2412" t="str">
        <f>"1190.40"</f>
        <v>1190.40</v>
      </c>
      <c r="C2412" t="str">
        <f>"1190.3915"</f>
        <v>1190.3915</v>
      </c>
    </row>
    <row r="2413" spans="1:3" x14ac:dyDescent="0.25">
      <c r="A2413" t="str">
        <f>"03/06/2019"</f>
        <v>03/06/2019</v>
      </c>
      <c r="B2413" t="str">
        <f>"1182.30"</f>
        <v>1182.30</v>
      </c>
      <c r="C2413" t="str">
        <f>"1182.2925"</f>
        <v>1182.2925</v>
      </c>
    </row>
    <row r="2414" spans="1:3" x14ac:dyDescent="0.25">
      <c r="A2414" t="str">
        <f>"04/06/2019"</f>
        <v>04/06/2019</v>
      </c>
      <c r="B2414" t="str">
        <f>"1180.80"</f>
        <v>1180.80</v>
      </c>
      <c r="C2414" t="str">
        <f>"1180.793"</f>
        <v>1180.793</v>
      </c>
    </row>
    <row r="2415" spans="1:3" x14ac:dyDescent="0.25">
      <c r="A2415" t="str">
        <f>"06/06/2019"</f>
        <v>06/06/2019</v>
      </c>
      <c r="B2415" t="str">
        <f>"1178.60"</f>
        <v>1178.60</v>
      </c>
      <c r="C2415" t="str">
        <f>"1178.593"</f>
        <v>1178.593</v>
      </c>
    </row>
    <row r="2416" spans="1:3" x14ac:dyDescent="0.25">
      <c r="A2416" t="str">
        <f>"07/06/2019"</f>
        <v>07/06/2019</v>
      </c>
      <c r="B2416" t="str">
        <f>"1181.50"</f>
        <v>1181.50</v>
      </c>
      <c r="C2416" t="str">
        <f>"1181.4925"</f>
        <v>1181.4925</v>
      </c>
    </row>
    <row r="2417" spans="1:3" x14ac:dyDescent="0.25">
      <c r="A2417" t="str">
        <f>"10/06/2019"</f>
        <v>10/06/2019</v>
      </c>
      <c r="B2417" t="str">
        <f>"1185.30"</f>
        <v>1185.30</v>
      </c>
      <c r="C2417" t="str">
        <f>"1185.2925"</f>
        <v>1185.2925</v>
      </c>
    </row>
    <row r="2418" spans="1:3" x14ac:dyDescent="0.25">
      <c r="A2418" t="str">
        <f>"11/06/2019"</f>
        <v>11/06/2019</v>
      </c>
      <c r="B2418" t="str">
        <f>"1180.80"</f>
        <v>1180.80</v>
      </c>
      <c r="C2418" t="str">
        <f>"1180.7925"</f>
        <v>1180.7925</v>
      </c>
    </row>
    <row r="2419" spans="1:3" x14ac:dyDescent="0.25">
      <c r="A2419" t="str">
        <f>"12/06/2019"</f>
        <v>12/06/2019</v>
      </c>
      <c r="B2419" t="str">
        <f>"1182.90"</f>
        <v>1182.90</v>
      </c>
      <c r="C2419" t="str">
        <f>"1182.8925"</f>
        <v>1182.8925</v>
      </c>
    </row>
    <row r="2420" spans="1:3" x14ac:dyDescent="0.25">
      <c r="A2420" t="str">
        <f>"13/06/2019"</f>
        <v>13/06/2019</v>
      </c>
      <c r="B2420" t="str">
        <f>"1184.60"</f>
        <v>1184.60</v>
      </c>
      <c r="C2420" t="str">
        <f>"1184.5915"</f>
        <v>1184.5915</v>
      </c>
    </row>
    <row r="2421" spans="1:3" x14ac:dyDescent="0.25">
      <c r="A2421" t="str">
        <f>"14/06/2019"</f>
        <v>14/06/2019</v>
      </c>
      <c r="B2421" t="str">
        <f>"1185.30"</f>
        <v>1185.30</v>
      </c>
      <c r="C2421" t="str">
        <f>"1185.292"</f>
        <v>1185.292</v>
      </c>
    </row>
    <row r="2422" spans="1:3" x14ac:dyDescent="0.25">
      <c r="A2422" t="str">
        <f>"17/06/2019"</f>
        <v>17/06/2019</v>
      </c>
      <c r="B2422" t="str">
        <f>"1186.50"</f>
        <v>1186.50</v>
      </c>
      <c r="C2422" t="str">
        <f>"1186.4923"</f>
        <v>1186.4923</v>
      </c>
    </row>
    <row r="2423" spans="1:3" x14ac:dyDescent="0.25">
      <c r="A2423" t="str">
        <f>"18/06/2019"</f>
        <v>18/06/2019</v>
      </c>
      <c r="B2423" t="str">
        <f>"1185.90"</f>
        <v>1185.90</v>
      </c>
      <c r="C2423" t="str">
        <f>"1185.892"</f>
        <v>1185.892</v>
      </c>
    </row>
    <row r="2424" spans="1:3" x14ac:dyDescent="0.25">
      <c r="A2424" t="str">
        <f>"19/06/2019"</f>
        <v>19/06/2019</v>
      </c>
      <c r="B2424" t="str">
        <f>"1176.30"</f>
        <v>1176.30</v>
      </c>
      <c r="C2424" t="str">
        <f>"1176.2918"</f>
        <v>1176.2918</v>
      </c>
    </row>
    <row r="2425" spans="1:3" x14ac:dyDescent="0.25">
      <c r="A2425" t="str">
        <f>"20/06/2019"</f>
        <v>20/06/2019</v>
      </c>
      <c r="B2425" t="str">
        <f>"1162.00"</f>
        <v>1162.00</v>
      </c>
      <c r="C2425" t="str">
        <f>"1161.9925"</f>
        <v>1161.9925</v>
      </c>
    </row>
    <row r="2426" spans="1:3" x14ac:dyDescent="0.25">
      <c r="A2426" t="str">
        <f>"21/06/2019"</f>
        <v>21/06/2019</v>
      </c>
      <c r="B2426" t="str">
        <f>"1164.00"</f>
        <v>1164.00</v>
      </c>
      <c r="C2426" t="str">
        <f>"1163.9915"</f>
        <v>1163.9915</v>
      </c>
    </row>
    <row r="2427" spans="1:3" x14ac:dyDescent="0.25">
      <c r="A2427" t="str">
        <f>"24/06/2019"</f>
        <v>24/06/2019</v>
      </c>
      <c r="B2427" t="str">
        <f>"1156.50"</f>
        <v>1156.50</v>
      </c>
      <c r="C2427" t="str">
        <f>"1156.4915"</f>
        <v>1156.4915</v>
      </c>
    </row>
    <row r="2428" spans="1:3" x14ac:dyDescent="0.25">
      <c r="A2428" t="str">
        <f>"25/06/2019"</f>
        <v>25/06/2019</v>
      </c>
      <c r="B2428" t="str">
        <f>"1156.40"</f>
        <v>1156.40</v>
      </c>
      <c r="C2428" t="str">
        <f>"1156.3925"</f>
        <v>1156.3925</v>
      </c>
    </row>
    <row r="2429" spans="1:3" x14ac:dyDescent="0.25">
      <c r="A2429" t="str">
        <f>"26/06/2019"</f>
        <v>26/06/2019</v>
      </c>
      <c r="B2429" t="str">
        <f>"1156.80"</f>
        <v>1156.80</v>
      </c>
      <c r="C2429" t="str">
        <f>"1156.7935"</f>
        <v>1156.7935</v>
      </c>
    </row>
    <row r="2430" spans="1:3" x14ac:dyDescent="0.25">
      <c r="A2430" t="str">
        <f>"27/06/2019"</f>
        <v>27/06/2019</v>
      </c>
      <c r="B2430" t="str">
        <f>"1158.30"</f>
        <v>1158.30</v>
      </c>
      <c r="C2430" t="str">
        <f>"1158.2955"</f>
        <v>1158.2955</v>
      </c>
    </row>
    <row r="2431" spans="1:3" x14ac:dyDescent="0.25">
      <c r="A2431" t="str">
        <f>"28/06/2019"</f>
        <v>28/06/2019</v>
      </c>
      <c r="B2431" t="str">
        <f>"1154.80"</f>
        <v>1154.80</v>
      </c>
      <c r="C2431" t="str">
        <f>"1154.7945"</f>
        <v>1154.7945</v>
      </c>
    </row>
    <row r="2432" spans="1:3" x14ac:dyDescent="0.25">
      <c r="A2432" t="str">
        <f>"01/07/2019"</f>
        <v>01/07/2019</v>
      </c>
      <c r="B2432" t="str">
        <f>"1158.80"</f>
        <v>1158.80</v>
      </c>
      <c r="C2432" t="str">
        <f>"1158.7945"</f>
        <v>1158.7945</v>
      </c>
    </row>
    <row r="2433" spans="1:3" x14ac:dyDescent="0.25">
      <c r="A2433" t="str">
        <f>"02/07/2019"</f>
        <v>02/07/2019</v>
      </c>
      <c r="B2433" t="str">
        <f>"1167.00"</f>
        <v>1167.00</v>
      </c>
      <c r="C2433" t="str">
        <f>"1166.995"</f>
        <v>1166.995</v>
      </c>
    </row>
    <row r="2434" spans="1:3" x14ac:dyDescent="0.25">
      <c r="A2434" t="str">
        <f>"03/07/2019"</f>
        <v>03/07/2019</v>
      </c>
      <c r="B2434" t="str">
        <f>"1171.40"</f>
        <v>1171.40</v>
      </c>
      <c r="C2434" t="str">
        <f>"1171.395"</f>
        <v>1171.395</v>
      </c>
    </row>
    <row r="2435" spans="1:3" x14ac:dyDescent="0.25">
      <c r="A2435" t="str">
        <f>"04/07/2019"</f>
        <v>04/07/2019</v>
      </c>
      <c r="B2435" t="str">
        <f>"1170.40"</f>
        <v>1170.40</v>
      </c>
      <c r="C2435" t="str">
        <f>"1170.3955"</f>
        <v>1170.3955</v>
      </c>
    </row>
    <row r="2436" spans="1:3" x14ac:dyDescent="0.25">
      <c r="A2436" t="str">
        <f>"05/07/2019"</f>
        <v>05/07/2019</v>
      </c>
      <c r="B2436" t="str">
        <f>"1170.50"</f>
        <v>1170.50</v>
      </c>
      <c r="C2436" t="str">
        <f>"1170.4955"</f>
        <v>1170.4955</v>
      </c>
    </row>
    <row r="2437" spans="1:3" x14ac:dyDescent="0.25">
      <c r="A2437" t="str">
        <f>"08/07/2019"</f>
        <v>08/07/2019</v>
      </c>
      <c r="B2437" t="str">
        <f>"1179.30"</f>
        <v>1179.30</v>
      </c>
      <c r="C2437" t="str">
        <f>"1179.2953"</f>
        <v>1179.2953</v>
      </c>
    </row>
    <row r="2438" spans="1:3" x14ac:dyDescent="0.25">
      <c r="A2438" t="str">
        <f>"09/07/2019"</f>
        <v>09/07/2019</v>
      </c>
      <c r="B2438" t="str">
        <f>"1179.90"</f>
        <v>1179.90</v>
      </c>
      <c r="C2438" t="str">
        <f>"1179.8945"</f>
        <v>1179.8945</v>
      </c>
    </row>
    <row r="2439" spans="1:3" x14ac:dyDescent="0.25">
      <c r="A2439" t="str">
        <f>"10/07/2019"</f>
        <v>10/07/2019</v>
      </c>
      <c r="B2439" t="str">
        <f>"1181.60"</f>
        <v>1181.60</v>
      </c>
      <c r="C2439" t="str">
        <f>"1181.595"</f>
        <v>1181.595</v>
      </c>
    </row>
    <row r="2440" spans="1:3" x14ac:dyDescent="0.25">
      <c r="A2440" t="str">
        <f>"11/07/2019"</f>
        <v>11/07/2019</v>
      </c>
      <c r="B2440" t="str">
        <f>"1173.70"</f>
        <v>1173.70</v>
      </c>
      <c r="C2440" t="str">
        <f>"1173.695"</f>
        <v>1173.695</v>
      </c>
    </row>
    <row r="2441" spans="1:3" x14ac:dyDescent="0.25">
      <c r="A2441" t="str">
        <f>"12/07/2019"</f>
        <v>12/07/2019</v>
      </c>
      <c r="B2441" t="str">
        <f>"1177.20"</f>
        <v>1177.20</v>
      </c>
      <c r="C2441" t="str">
        <f>"1177.195"</f>
        <v>1177.195</v>
      </c>
    </row>
    <row r="2442" spans="1:3" x14ac:dyDescent="0.25">
      <c r="A2442" t="str">
        <f>"15/07/2019"</f>
        <v>15/07/2019</v>
      </c>
      <c r="B2442" t="str">
        <f>"1179.40"</f>
        <v>1179.40</v>
      </c>
      <c r="C2442" t="str">
        <f>"1179.3937"</f>
        <v>1179.3937</v>
      </c>
    </row>
    <row r="2443" spans="1:3" x14ac:dyDescent="0.25">
      <c r="A2443" t="str">
        <f>"16/07/2019"</f>
        <v>16/07/2019</v>
      </c>
      <c r="B2443" t="str">
        <f>"1177.80"</f>
        <v>1177.80</v>
      </c>
      <c r="C2443" t="str">
        <f>"1177.7945"</f>
        <v>1177.7945</v>
      </c>
    </row>
    <row r="2444" spans="1:3" x14ac:dyDescent="0.25">
      <c r="A2444" t="str">
        <f>"17/07/2019"</f>
        <v>17/07/2019</v>
      </c>
      <c r="B2444" t="str">
        <f>"1181.30"</f>
        <v>1181.30</v>
      </c>
      <c r="C2444" t="str">
        <f>"1181.2945"</f>
        <v>1181.2945</v>
      </c>
    </row>
    <row r="2445" spans="1:3" x14ac:dyDescent="0.25">
      <c r="A2445" t="str">
        <f>"18/07/2019"</f>
        <v>18/07/2019</v>
      </c>
      <c r="B2445" t="str">
        <f>"1178.90"</f>
        <v>1178.90</v>
      </c>
      <c r="C2445" t="str">
        <f>"1178.8945"</f>
        <v>1178.8945</v>
      </c>
    </row>
    <row r="2446" spans="1:3" x14ac:dyDescent="0.25">
      <c r="A2446" t="str">
        <f>"19/07/2019"</f>
        <v>19/07/2019</v>
      </c>
      <c r="B2446" t="str">
        <f>"1172.90"</f>
        <v>1172.90</v>
      </c>
      <c r="C2446" t="str">
        <f>"1172.8937"</f>
        <v>1172.8937</v>
      </c>
    </row>
    <row r="2447" spans="1:3" x14ac:dyDescent="0.25">
      <c r="A2447" t="str">
        <f>"22/07/2019"</f>
        <v>22/07/2019</v>
      </c>
      <c r="B2447" t="str">
        <f>"1177.00"</f>
        <v>1177.00</v>
      </c>
      <c r="C2447" t="str">
        <f>"1176.994"</f>
        <v>1176.994</v>
      </c>
    </row>
    <row r="2448" spans="1:3" x14ac:dyDescent="0.25">
      <c r="A2448" t="str">
        <f>"23/07/2019"</f>
        <v>23/07/2019</v>
      </c>
      <c r="B2448" t="str">
        <f>"1179.10"</f>
        <v>1179.10</v>
      </c>
      <c r="C2448" t="str">
        <f>"1179.0935"</f>
        <v>1179.0935</v>
      </c>
    </row>
    <row r="2449" spans="1:3" x14ac:dyDescent="0.25">
      <c r="A2449" t="str">
        <f>"24/07/2019"</f>
        <v>24/07/2019</v>
      </c>
      <c r="B2449" t="str">
        <f>"1177.50"</f>
        <v>1177.50</v>
      </c>
      <c r="C2449" t="str">
        <f>"1177.493"</f>
        <v>1177.493</v>
      </c>
    </row>
    <row r="2450" spans="1:3" x14ac:dyDescent="0.25">
      <c r="A2450" t="str">
        <f>"25/07/2019"</f>
        <v>25/07/2019</v>
      </c>
      <c r="B2450" t="str">
        <f>"1181.50"</f>
        <v>1181.50</v>
      </c>
      <c r="C2450" t="str">
        <f>"1181.493"</f>
        <v>1181.493</v>
      </c>
    </row>
    <row r="2451" spans="1:3" x14ac:dyDescent="0.25">
      <c r="A2451" t="str">
        <f>"26/07/2019"</f>
        <v>26/07/2019</v>
      </c>
      <c r="B2451" t="str">
        <f>"1185.10"</f>
        <v>1185.10</v>
      </c>
      <c r="C2451" t="str">
        <f>"1185.092"</f>
        <v>1185.092</v>
      </c>
    </row>
    <row r="2452" spans="1:3" x14ac:dyDescent="0.25">
      <c r="A2452" t="str">
        <f>"29/07/2019"</f>
        <v>29/07/2019</v>
      </c>
      <c r="B2452" t="str">
        <f>"1183.60"</f>
        <v>1183.60</v>
      </c>
      <c r="C2452" t="str">
        <f>"1183.5932"</f>
        <v>1183.5932</v>
      </c>
    </row>
    <row r="2453" spans="1:3" x14ac:dyDescent="0.25">
      <c r="A2453" t="str">
        <f>"30/07/2019"</f>
        <v>30/07/2019</v>
      </c>
      <c r="B2453" t="str">
        <f>"1182.00"</f>
        <v>1182.00</v>
      </c>
      <c r="C2453" t="str">
        <f>"1181.9935"</f>
        <v>1181.9935</v>
      </c>
    </row>
    <row r="2454" spans="1:3" x14ac:dyDescent="0.25">
      <c r="A2454" t="str">
        <f>"31/07/2019"</f>
        <v>31/07/2019</v>
      </c>
      <c r="B2454" t="str">
        <f>"1183.10"</f>
        <v>1183.10</v>
      </c>
      <c r="C2454" t="str">
        <f>"1183.0945"</f>
        <v>1183.0945</v>
      </c>
    </row>
    <row r="2455" spans="1:3" x14ac:dyDescent="0.25">
      <c r="A2455" t="str">
        <f>"01/08/2019"</f>
        <v>01/08/2019</v>
      </c>
      <c r="B2455" t="str">
        <f>"1188.60"</f>
        <v>1188.60</v>
      </c>
      <c r="C2455" t="str">
        <f>"1188.594"</f>
        <v>1188.594</v>
      </c>
    </row>
    <row r="2456" spans="1:3" x14ac:dyDescent="0.25">
      <c r="A2456" t="str">
        <f>"02/08/2019"</f>
        <v>02/08/2019</v>
      </c>
      <c r="B2456" t="str">
        <f>"1198.00"</f>
        <v>1198.00</v>
      </c>
      <c r="C2456" t="str">
        <f>"1197.995"</f>
        <v>1197.995</v>
      </c>
    </row>
    <row r="2457" spans="1:3" x14ac:dyDescent="0.25">
      <c r="A2457" t="str">
        <f>"05/08/2019"</f>
        <v>05/08/2019</v>
      </c>
      <c r="B2457" t="str">
        <f>"1215.00"</f>
        <v>1215.00</v>
      </c>
      <c r="C2457" t="str">
        <f>"1214.9935"</f>
        <v>1214.9935</v>
      </c>
    </row>
    <row r="2458" spans="1:3" x14ac:dyDescent="0.25">
      <c r="A2458" t="str">
        <f>"06/08/2019"</f>
        <v>06/08/2019</v>
      </c>
      <c r="B2458" t="str">
        <f>"1215.40"</f>
        <v>1215.40</v>
      </c>
      <c r="C2458" t="str">
        <f>"1215.3955"</f>
        <v>1215.3955</v>
      </c>
    </row>
    <row r="2459" spans="1:3" x14ac:dyDescent="0.25">
      <c r="A2459" t="str">
        <f>"07/08/2019"</f>
        <v>07/08/2019</v>
      </c>
      <c r="B2459" t="str">
        <f>"1215.30"</f>
        <v>1215.30</v>
      </c>
      <c r="C2459" t="str">
        <f>"1215.295"</f>
        <v>1215.295</v>
      </c>
    </row>
    <row r="2460" spans="1:3" x14ac:dyDescent="0.25">
      <c r="A2460" t="str">
        <f>"08/08/2019"</f>
        <v>08/08/2019</v>
      </c>
      <c r="B2460" t="str">
        <f>"1209.10"</f>
        <v>1209.10</v>
      </c>
      <c r="C2460" t="str">
        <f>"1209.0945"</f>
        <v>1209.0945</v>
      </c>
    </row>
    <row r="2461" spans="1:3" x14ac:dyDescent="0.25">
      <c r="A2461" t="str">
        <f>"09/08/2019"</f>
        <v>09/08/2019</v>
      </c>
      <c r="B2461" t="str">
        <f>"1210.10"</f>
        <v>1210.10</v>
      </c>
      <c r="C2461" t="str">
        <f>"1210.0945"</f>
        <v>1210.0945</v>
      </c>
    </row>
    <row r="2462" spans="1:3" x14ac:dyDescent="0.25">
      <c r="A2462" t="str">
        <f>"13/08/2019"</f>
        <v>13/08/2019</v>
      </c>
      <c r="B2462" t="str">
        <f>"1222.40"</f>
        <v>1222.40</v>
      </c>
      <c r="C2462" t="str">
        <f>"1222.395"</f>
        <v>1222.395</v>
      </c>
    </row>
    <row r="2463" spans="1:3" x14ac:dyDescent="0.25">
      <c r="A2463" t="str">
        <f>"14/08/2019"</f>
        <v>14/08/2019</v>
      </c>
      <c r="B2463" t="str">
        <f>"1212.70"</f>
        <v>1212.70</v>
      </c>
      <c r="C2463" t="str">
        <f>"1212.6948"</f>
        <v>1212.6948</v>
      </c>
    </row>
    <row r="2464" spans="1:3" x14ac:dyDescent="0.25">
      <c r="A2464" t="str">
        <f>"16/08/2019"</f>
        <v>16/08/2019</v>
      </c>
      <c r="B2464" t="str">
        <f>"1212.60"</f>
        <v>1212.60</v>
      </c>
      <c r="C2464" t="str">
        <f>"1212.5943"</f>
        <v>1212.5943</v>
      </c>
    </row>
    <row r="2465" spans="1:3" x14ac:dyDescent="0.25">
      <c r="A2465" t="str">
        <f>"19/08/2019"</f>
        <v>19/08/2019</v>
      </c>
      <c r="B2465" t="str">
        <f>"1211.80"</f>
        <v>1211.80</v>
      </c>
      <c r="C2465" t="str">
        <f>"1211.795"</f>
        <v>1211.795</v>
      </c>
    </row>
    <row r="2466" spans="1:3" x14ac:dyDescent="0.25">
      <c r="A2466" t="str">
        <f>"20/08/2019"</f>
        <v>20/08/2019</v>
      </c>
      <c r="B2466" t="str">
        <f>"1210.50"</f>
        <v>1210.50</v>
      </c>
      <c r="C2466" t="str">
        <f>"1210.4955"</f>
        <v>1210.4955</v>
      </c>
    </row>
    <row r="2467" spans="1:3" x14ac:dyDescent="0.25">
      <c r="A2467" t="str">
        <f>"21/08/2019"</f>
        <v>21/08/2019</v>
      </c>
      <c r="B2467" t="str">
        <f>"1202.00"</f>
        <v>1202.00</v>
      </c>
      <c r="C2467" t="str">
        <f>"1201.996"</f>
        <v>1201.996</v>
      </c>
    </row>
    <row r="2468" spans="1:3" x14ac:dyDescent="0.25">
      <c r="A2468" t="str">
        <f>"22/08/2019"</f>
        <v>22/08/2019</v>
      </c>
      <c r="B2468" t="str">
        <f>"1206.70"</f>
        <v>1206.70</v>
      </c>
      <c r="C2468" t="str">
        <f>"1206.6955"</f>
        <v>1206.6955</v>
      </c>
    </row>
    <row r="2469" spans="1:3" x14ac:dyDescent="0.25">
      <c r="A2469" t="str">
        <f>"23/08/2019"</f>
        <v>23/08/2019</v>
      </c>
      <c r="B2469" t="str">
        <f>"1210.80"</f>
        <v>1210.80</v>
      </c>
      <c r="C2469" t="str">
        <f>"1210.7955"</f>
        <v>1210.7955</v>
      </c>
    </row>
    <row r="2470" spans="1:3" x14ac:dyDescent="0.25">
      <c r="A2470" t="str">
        <f>"26/08/2019"</f>
        <v>26/08/2019</v>
      </c>
      <c r="B2470" t="str">
        <f>"1218.00"</f>
        <v>1218.00</v>
      </c>
      <c r="C2470" t="str">
        <f>"1217.995"</f>
        <v>1217.995</v>
      </c>
    </row>
    <row r="2471" spans="1:3" x14ac:dyDescent="0.25">
      <c r="A2471" t="str">
        <f>"27/08/2019"</f>
        <v>27/08/2019</v>
      </c>
      <c r="B2471" t="str">
        <f>"1213.80"</f>
        <v>1213.80</v>
      </c>
      <c r="C2471" t="str">
        <f>"1213.7955"</f>
        <v>1213.7955</v>
      </c>
    </row>
    <row r="2472" spans="1:3" x14ac:dyDescent="0.25">
      <c r="A2472" t="str">
        <f>"28/08/2019"</f>
        <v>28/08/2019</v>
      </c>
      <c r="B2472" t="str">
        <f>"1214.10"</f>
        <v>1214.10</v>
      </c>
      <c r="C2472" t="str">
        <f>"1214.095"</f>
        <v>1214.095</v>
      </c>
    </row>
    <row r="2473" spans="1:3" x14ac:dyDescent="0.25">
      <c r="A2473" t="str">
        <f>"29/08/2019"</f>
        <v>29/08/2019</v>
      </c>
      <c r="B2473" t="str">
        <f>"1216.50"</f>
        <v>1216.50</v>
      </c>
      <c r="C2473" t="str">
        <f>"1216.495"</f>
        <v>1216.495</v>
      </c>
    </row>
    <row r="2474" spans="1:3" x14ac:dyDescent="0.25">
      <c r="A2474" t="str">
        <f>"30/08/2019"</f>
        <v>30/08/2019</v>
      </c>
      <c r="B2474" t="str">
        <f>"1211.40"</f>
        <v>1211.40</v>
      </c>
      <c r="C2474" t="str">
        <f>"1211.395"</f>
        <v>1211.395</v>
      </c>
    </row>
    <row r="2475" spans="1:3" x14ac:dyDescent="0.25">
      <c r="A2475" t="str">
        <f>"03/09/2019"</f>
        <v>03/09/2019</v>
      </c>
      <c r="B2475" t="str">
        <f>"1215.80"</f>
        <v>1215.80</v>
      </c>
      <c r="C2475" t="str">
        <f>"1215.795"</f>
        <v>1215.795</v>
      </c>
    </row>
    <row r="2476" spans="1:3" x14ac:dyDescent="0.25">
      <c r="A2476" t="str">
        <f>"04/09/2019"</f>
        <v>04/09/2019</v>
      </c>
      <c r="B2476" t="str">
        <f>"1208.10"</f>
        <v>1208.10</v>
      </c>
      <c r="C2476" t="str">
        <f>"1208.095"</f>
        <v>1208.095</v>
      </c>
    </row>
    <row r="2477" spans="1:3" x14ac:dyDescent="0.25">
      <c r="A2477" t="str">
        <f>"05/09/2019"</f>
        <v>05/09/2019</v>
      </c>
      <c r="B2477" t="str">
        <f>"1200.30"</f>
        <v>1200.30</v>
      </c>
      <c r="C2477" t="str">
        <f>"1200.295"</f>
        <v>1200.295</v>
      </c>
    </row>
    <row r="2478" spans="1:3" x14ac:dyDescent="0.25">
      <c r="A2478" t="str">
        <f>"06/09/2019"</f>
        <v>06/09/2019</v>
      </c>
      <c r="B2478" t="str">
        <f>"1197.00"</f>
        <v>1197.00</v>
      </c>
      <c r="C2478" t="str">
        <f>"1196.995"</f>
        <v>1196.995</v>
      </c>
    </row>
    <row r="2479" spans="1:3" x14ac:dyDescent="0.25">
      <c r="A2479" t="str">
        <f>"09/09/2019"</f>
        <v>09/09/2019</v>
      </c>
      <c r="B2479" t="str">
        <f>"1193.30"</f>
        <v>1193.30</v>
      </c>
      <c r="C2479" t="str">
        <f>"1193.293"</f>
        <v>1193.293</v>
      </c>
    </row>
    <row r="2480" spans="1:3" x14ac:dyDescent="0.25">
      <c r="A2480" t="str">
        <f>"11/09/2019"</f>
        <v>11/09/2019</v>
      </c>
      <c r="B2480" t="str">
        <f>"1190.80"</f>
        <v>1190.80</v>
      </c>
      <c r="C2480" t="str">
        <f>"1190.7937"</f>
        <v>1190.7937</v>
      </c>
    </row>
    <row r="2481" spans="1:3" x14ac:dyDescent="0.25">
      <c r="A2481" t="str">
        <f>"12/09/2019"</f>
        <v>12/09/2019</v>
      </c>
      <c r="B2481" t="str">
        <f>"1190.80"</f>
        <v>1190.80</v>
      </c>
      <c r="C2481" t="str">
        <f>"1190.7937"</f>
        <v>1190.7937</v>
      </c>
    </row>
    <row r="2482" spans="1:3" x14ac:dyDescent="0.25">
      <c r="A2482" t="str">
        <f>"16/09/2019"</f>
        <v>16/09/2019</v>
      </c>
      <c r="B2482" t="str">
        <f>"1184.80"</f>
        <v>1184.80</v>
      </c>
      <c r="C2482" t="str">
        <f>"1184.7937"</f>
        <v>1184.7937</v>
      </c>
    </row>
    <row r="2483" spans="1:3" x14ac:dyDescent="0.25">
      <c r="A2483" t="str">
        <f>"17/09/2019"</f>
        <v>17/09/2019</v>
      </c>
      <c r="B2483" t="str">
        <f>"1190.80"</f>
        <v>1190.80</v>
      </c>
      <c r="C2483" t="str">
        <f>"1190.793"</f>
        <v>1190.793</v>
      </c>
    </row>
    <row r="2484" spans="1:3" x14ac:dyDescent="0.25">
      <c r="A2484" t="str">
        <f>"18/09/2019"</f>
        <v>18/09/2019</v>
      </c>
      <c r="B2484" t="str">
        <f>"1192.30"</f>
        <v>1192.30</v>
      </c>
      <c r="C2484" t="str">
        <f>"1192.293"</f>
        <v>1192.293</v>
      </c>
    </row>
    <row r="2485" spans="1:3" x14ac:dyDescent="0.25">
      <c r="A2485" t="str">
        <f>"19/09/2019"</f>
        <v>19/09/2019</v>
      </c>
      <c r="B2485" t="str">
        <f>"1196.50"</f>
        <v>1196.50</v>
      </c>
      <c r="C2485" t="str">
        <f>"1196.494"</f>
        <v>1196.494</v>
      </c>
    </row>
    <row r="2486" spans="1:3" x14ac:dyDescent="0.25">
      <c r="A2486" t="str">
        <f>"20/09/2019"</f>
        <v>20/09/2019</v>
      </c>
      <c r="B2486" t="str">
        <f>"1190.30"</f>
        <v>1190.30</v>
      </c>
      <c r="C2486" t="str">
        <f>"1190.2935"</f>
        <v>1190.2935</v>
      </c>
    </row>
    <row r="2487" spans="1:3" x14ac:dyDescent="0.25">
      <c r="A2487" t="str">
        <f>"23/09/2019"</f>
        <v>23/09/2019</v>
      </c>
      <c r="B2487" t="str">
        <f>"1194.00"</f>
        <v>1194.00</v>
      </c>
      <c r="C2487" t="str">
        <f>"1193.994"</f>
        <v>1193.994</v>
      </c>
    </row>
    <row r="2488" spans="1:3" x14ac:dyDescent="0.25">
      <c r="A2488" t="str">
        <f>"24/09/2019"</f>
        <v>24/09/2019</v>
      </c>
      <c r="B2488" t="str">
        <f>"1195.00"</f>
        <v>1195.00</v>
      </c>
      <c r="C2488" t="str">
        <f>"1194.9935"</f>
        <v>1194.9935</v>
      </c>
    </row>
    <row r="2489" spans="1:3" x14ac:dyDescent="0.25">
      <c r="A2489" t="str">
        <f>"25/09/2019"</f>
        <v>25/09/2019</v>
      </c>
      <c r="B2489" t="str">
        <f>"1199.00"</f>
        <v>1199.00</v>
      </c>
      <c r="C2489" t="str">
        <f>"1198.994"</f>
        <v>1198.994</v>
      </c>
    </row>
    <row r="2490" spans="1:3" x14ac:dyDescent="0.25">
      <c r="A2490" t="str">
        <f>"26/09/2019"</f>
        <v>26/09/2019</v>
      </c>
      <c r="B2490" t="str">
        <f>"1199.20"</f>
        <v>1199.20</v>
      </c>
      <c r="C2490" t="str">
        <f>"1199.1945"</f>
        <v>1199.1945</v>
      </c>
    </row>
    <row r="2491" spans="1:3" x14ac:dyDescent="0.25">
      <c r="A2491" t="str">
        <f>"27/09/2019"</f>
        <v>27/09/2019</v>
      </c>
      <c r="B2491" t="str">
        <f>"1200.00"</f>
        <v>1200.00</v>
      </c>
      <c r="C2491" t="str">
        <f>"1199.995"</f>
        <v>1199.995</v>
      </c>
    </row>
    <row r="2492" spans="1:3" x14ac:dyDescent="0.25">
      <c r="A2492" t="str">
        <f>"30/09/2019"</f>
        <v>30/09/2019</v>
      </c>
      <c r="B2492" t="str">
        <f>"1196.40"</f>
        <v>1196.40</v>
      </c>
      <c r="C2492" t="str">
        <f>"1196.3945"</f>
        <v>1196.3945</v>
      </c>
    </row>
    <row r="2493" spans="1:3" x14ac:dyDescent="0.25">
      <c r="A2493" t="str">
        <f>"01/10/2019"</f>
        <v>01/10/2019</v>
      </c>
      <c r="B2493" t="str">
        <f>"1199.30"</f>
        <v>1199.30</v>
      </c>
      <c r="C2493" t="str">
        <f>"1199.295"</f>
        <v>1199.295</v>
      </c>
    </row>
    <row r="2494" spans="1:3" x14ac:dyDescent="0.25">
      <c r="A2494" t="str">
        <f>"03/10/2019"</f>
        <v>03/10/2019</v>
      </c>
      <c r="B2494" t="str">
        <f>"1206.00"</f>
        <v>1206.00</v>
      </c>
      <c r="C2494" t="str">
        <f>"1205.9965"</f>
        <v>1205.9965</v>
      </c>
    </row>
    <row r="2495" spans="1:3" x14ac:dyDescent="0.25">
      <c r="A2495" t="str">
        <f>"04/10/2019"</f>
        <v>04/10/2019</v>
      </c>
      <c r="B2495" t="str">
        <f>"1196.70"</f>
        <v>1196.70</v>
      </c>
      <c r="C2495" t="str">
        <f>"1196.6957"</f>
        <v>1196.6957</v>
      </c>
    </row>
    <row r="2496" spans="1:3" x14ac:dyDescent="0.25">
      <c r="A2496" t="str">
        <f>"07/10/2019"</f>
        <v>07/10/2019</v>
      </c>
      <c r="B2496" t="str">
        <f>"1196.70"</f>
        <v>1196.70</v>
      </c>
      <c r="C2496" t="str">
        <f>"1196.6975"</f>
        <v>1196.6975</v>
      </c>
    </row>
    <row r="2497" spans="1:3" x14ac:dyDescent="0.25">
      <c r="A2497" t="str">
        <f>"09/10/2019"</f>
        <v>09/10/2019</v>
      </c>
      <c r="B2497" t="str">
        <f>"1193.30"</f>
        <v>1193.30</v>
      </c>
      <c r="C2497" t="str">
        <f>"1193.2972"</f>
        <v>1193.2972</v>
      </c>
    </row>
    <row r="2498" spans="1:3" x14ac:dyDescent="0.25">
      <c r="A2498" t="str">
        <f>"10/10/2019"</f>
        <v>10/10/2019</v>
      </c>
      <c r="B2498" t="str">
        <f>"1196.20"</f>
        <v>1196.20</v>
      </c>
      <c r="C2498" t="str">
        <f>"1196.196"</f>
        <v>1196.196</v>
      </c>
    </row>
    <row r="2499" spans="1:3" x14ac:dyDescent="0.25">
      <c r="A2499" t="str">
        <f>"11/10/2019"</f>
        <v>11/10/2019</v>
      </c>
      <c r="B2499" t="str">
        <f>"1189.00"</f>
        <v>1189.00</v>
      </c>
      <c r="C2499" t="str">
        <f>"1188.997"</f>
        <v>1188.997</v>
      </c>
    </row>
    <row r="2500" spans="1:3" x14ac:dyDescent="0.25">
      <c r="A2500" t="str">
        <f>"14/10/2019"</f>
        <v>14/10/2019</v>
      </c>
      <c r="B2500" t="str">
        <f>"1185.00"</f>
        <v>1185.00</v>
      </c>
      <c r="C2500" t="str">
        <f>"1184.9965"</f>
        <v>1184.9965</v>
      </c>
    </row>
    <row r="2501" spans="1:3" x14ac:dyDescent="0.25">
      <c r="A2501" t="str">
        <f>"15/10/2019"</f>
        <v>15/10/2019</v>
      </c>
      <c r="B2501" t="str">
        <f>"1185.40"</f>
        <v>1185.40</v>
      </c>
      <c r="C2501" t="str">
        <f>"1185.3962"</f>
        <v>1185.3962</v>
      </c>
    </row>
    <row r="2502" spans="1:3" x14ac:dyDescent="0.25">
      <c r="A2502" t="str">
        <f>"16/10/2019"</f>
        <v>16/10/2019</v>
      </c>
      <c r="B2502" t="str">
        <f>"1188.00"</f>
        <v>1188.00</v>
      </c>
      <c r="C2502" t="str">
        <f>"1187.9965"</f>
        <v>1187.9965</v>
      </c>
    </row>
    <row r="2503" spans="1:3" x14ac:dyDescent="0.25">
      <c r="A2503" t="str">
        <f>"17/10/2019"</f>
        <v>17/10/2019</v>
      </c>
      <c r="B2503" t="str">
        <f>"1187.00"</f>
        <v>1187.00</v>
      </c>
      <c r="C2503" t="str">
        <f>"1186.997"</f>
        <v>1186.997</v>
      </c>
    </row>
    <row r="2504" spans="1:3" x14ac:dyDescent="0.25">
      <c r="A2504" t="str">
        <f>"18/10/2019"</f>
        <v>18/10/2019</v>
      </c>
      <c r="B2504" t="str">
        <f>"1181.50"</f>
        <v>1181.50</v>
      </c>
      <c r="C2504" t="str">
        <f>"1181.496"</f>
        <v>1181.496</v>
      </c>
    </row>
    <row r="2505" spans="1:3" x14ac:dyDescent="0.25">
      <c r="A2505" t="str">
        <f>"22/10/2019"</f>
        <v>22/10/2019</v>
      </c>
      <c r="B2505" t="str">
        <f>"1170.00"</f>
        <v>1170.00</v>
      </c>
      <c r="C2505" t="str">
        <f>"1169.997"</f>
        <v>1169.997</v>
      </c>
    </row>
    <row r="2506" spans="1:3" x14ac:dyDescent="0.25">
      <c r="A2506" t="str">
        <f>"23/10/2019"</f>
        <v>23/10/2019</v>
      </c>
      <c r="B2506" t="str">
        <f>"1172.60"</f>
        <v>1172.60</v>
      </c>
      <c r="C2506" t="str">
        <f>"1172.5965"</f>
        <v>1172.5965</v>
      </c>
    </row>
    <row r="2507" spans="1:3" x14ac:dyDescent="0.25">
      <c r="A2507" t="str">
        <f>"24/10/2019"</f>
        <v>24/10/2019</v>
      </c>
      <c r="B2507" t="str">
        <f>"1173.00"</f>
        <v>1173.00</v>
      </c>
      <c r="C2507" t="str">
        <f>"1172.996"</f>
        <v>1172.996</v>
      </c>
    </row>
    <row r="2508" spans="1:3" x14ac:dyDescent="0.25">
      <c r="A2508" t="str">
        <f>"25/10/2019"</f>
        <v>25/10/2019</v>
      </c>
      <c r="B2508" t="str">
        <f>"1174.40"</f>
        <v>1174.40</v>
      </c>
      <c r="C2508" t="str">
        <f>"1174.3965"</f>
        <v>1174.3965</v>
      </c>
    </row>
    <row r="2509" spans="1:3" x14ac:dyDescent="0.25">
      <c r="A2509" t="str">
        <f>"29/10/2019"</f>
        <v>29/10/2019</v>
      </c>
      <c r="B2509" t="str">
        <f>"1163.20"</f>
        <v>1163.20</v>
      </c>
      <c r="C2509" t="str">
        <f>"1163.197"</f>
        <v>1163.197</v>
      </c>
    </row>
    <row r="2510" spans="1:3" x14ac:dyDescent="0.25">
      <c r="A2510" t="str">
        <f>"30/10/2019"</f>
        <v>30/10/2019</v>
      </c>
      <c r="B2510" t="str">
        <f>"1168.90"</f>
        <v>1168.90</v>
      </c>
      <c r="C2510" t="str">
        <f>"1168.8975"</f>
        <v>1168.8975</v>
      </c>
    </row>
    <row r="2511" spans="1:3" x14ac:dyDescent="0.25">
      <c r="A2511" t="str">
        <f>"31/10/2019"</f>
        <v>31/10/2019</v>
      </c>
      <c r="B2511" t="str">
        <f>"1163.80"</f>
        <v>1163.80</v>
      </c>
      <c r="C2511" t="str">
        <f>"1163.798"</f>
        <v>1163.798</v>
      </c>
    </row>
    <row r="2512" spans="1:3" x14ac:dyDescent="0.25">
      <c r="A2512" t="str">
        <f>"01/11/2019"</f>
        <v>01/11/2019</v>
      </c>
      <c r="B2512" t="str">
        <f>"1165.60"</f>
        <v>1165.60</v>
      </c>
      <c r="C2512" t="str">
        <f>"1165.598"</f>
        <v>1165.598</v>
      </c>
    </row>
    <row r="2513" spans="1:3" x14ac:dyDescent="0.25">
      <c r="A2513" t="str">
        <f>"04/11/2019"</f>
        <v>04/11/2019</v>
      </c>
      <c r="B2513" t="str">
        <f>"1160.50"</f>
        <v>1160.50</v>
      </c>
      <c r="C2513" t="str">
        <f>"1160.497"</f>
        <v>1160.497</v>
      </c>
    </row>
    <row r="2514" spans="1:3" x14ac:dyDescent="0.25">
      <c r="A2514" t="str">
        <f>"05/11/2019"</f>
        <v>05/11/2019</v>
      </c>
      <c r="B2514" t="str">
        <f>"1160.40"</f>
        <v>1160.40</v>
      </c>
      <c r="C2514" t="str">
        <f>"1160.398"</f>
        <v>1160.398</v>
      </c>
    </row>
    <row r="2515" spans="1:3" x14ac:dyDescent="0.25">
      <c r="A2515" t="str">
        <f>"06/11/2019"</f>
        <v>06/11/2019</v>
      </c>
      <c r="B2515" t="str">
        <f>"1157.00"</f>
        <v>1157.00</v>
      </c>
      <c r="C2515" t="str">
        <f>"1156.9985"</f>
        <v>1156.9985</v>
      </c>
    </row>
    <row r="2516" spans="1:3" x14ac:dyDescent="0.25">
      <c r="A2516" t="str">
        <f>"07/11/2019"</f>
        <v>07/11/2019</v>
      </c>
      <c r="B2516" t="str">
        <f>"1159.50"</f>
        <v>1159.50</v>
      </c>
      <c r="C2516" t="str">
        <f>"1159.498"</f>
        <v>1159.498</v>
      </c>
    </row>
    <row r="2517" spans="1:3" x14ac:dyDescent="0.25">
      <c r="A2517" t="str">
        <f>"08/11/2019"</f>
        <v>08/11/2019</v>
      </c>
      <c r="B2517" t="str">
        <f>"1157.50"</f>
        <v>1157.50</v>
      </c>
      <c r="C2517" t="str">
        <f>"1157.4982"</f>
        <v>1157.4982</v>
      </c>
    </row>
    <row r="2518" spans="1:3" x14ac:dyDescent="0.25">
      <c r="A2518" t="str">
        <f>"11/11/2019"</f>
        <v>11/11/2019</v>
      </c>
      <c r="B2518" t="str">
        <f>"1166.70"</f>
        <v>1166.70</v>
      </c>
      <c r="C2518" t="str">
        <f>"1166.699"</f>
        <v>1166.699</v>
      </c>
    </row>
    <row r="2519" spans="1:3" x14ac:dyDescent="0.25">
      <c r="A2519" t="str">
        <f>"13/11/2019"</f>
        <v>13/11/2019</v>
      </c>
      <c r="B2519" t="str">
        <f>"1167.80"</f>
        <v>1167.80</v>
      </c>
      <c r="C2519" t="str">
        <f>"1167.7987"</f>
        <v>1167.7987</v>
      </c>
    </row>
    <row r="2520" spans="1:3" x14ac:dyDescent="0.25">
      <c r="A2520" t="str">
        <f>"14/11/2019"</f>
        <v>14/11/2019</v>
      </c>
      <c r="B2520" t="str">
        <f>"1169.90"</f>
        <v>1169.90</v>
      </c>
      <c r="C2520" t="str">
        <f>"1169.8985"</f>
        <v>1169.8985</v>
      </c>
    </row>
    <row r="2521" spans="1:3" x14ac:dyDescent="0.25">
      <c r="A2521" t="str">
        <f>"15/11/2019"</f>
        <v>15/11/2019</v>
      </c>
      <c r="B2521" t="str">
        <f>"1166.90"</f>
        <v>1166.90</v>
      </c>
      <c r="C2521" t="str">
        <f>"1166.8985"</f>
        <v>1166.8985</v>
      </c>
    </row>
    <row r="2522" spans="1:3" x14ac:dyDescent="0.25">
      <c r="A2522" t="str">
        <f>"18/11/2019"</f>
        <v>18/11/2019</v>
      </c>
      <c r="B2522" t="str">
        <f>"1164.60"</f>
        <v>1164.60</v>
      </c>
      <c r="C2522" t="str">
        <f>"1164.5987"</f>
        <v>1164.5987</v>
      </c>
    </row>
    <row r="2523" spans="1:3" x14ac:dyDescent="0.25">
      <c r="A2523" t="str">
        <f>"19/11/2019"</f>
        <v>19/11/2019</v>
      </c>
      <c r="B2523" t="str">
        <f>"1167.70"</f>
        <v>1167.70</v>
      </c>
      <c r="C2523" t="str">
        <f>"1167.6987"</f>
        <v>1167.6987</v>
      </c>
    </row>
    <row r="2524" spans="1:3" x14ac:dyDescent="0.25">
      <c r="A2524" t="str">
        <f>"20/11/2019"</f>
        <v>20/11/2019</v>
      </c>
      <c r="B2524" t="str">
        <f>"1170.10"</f>
        <v>1170.10</v>
      </c>
      <c r="C2524" t="str">
        <f>"1170.0977"</f>
        <v>1170.0977</v>
      </c>
    </row>
    <row r="2525" spans="1:3" x14ac:dyDescent="0.25">
      <c r="A2525" t="str">
        <f>"21/11/2019"</f>
        <v>21/11/2019</v>
      </c>
      <c r="B2525" t="str">
        <f>"1177.60"</f>
        <v>1177.60</v>
      </c>
      <c r="C2525" t="str">
        <f>"1177.5987"</f>
        <v>1177.5987</v>
      </c>
    </row>
    <row r="2526" spans="1:3" x14ac:dyDescent="0.25">
      <c r="A2526" t="str">
        <f>"22/11/2019"</f>
        <v>22/11/2019</v>
      </c>
      <c r="B2526" t="str">
        <f>"1177.70"</f>
        <v>1177.70</v>
      </c>
      <c r="C2526" t="str">
        <f>"1177.6975"</f>
        <v>1177.6975</v>
      </c>
    </row>
    <row r="2527" spans="1:3" x14ac:dyDescent="0.25">
      <c r="A2527" t="str">
        <f>"25/11/2019"</f>
        <v>25/11/2019</v>
      </c>
      <c r="B2527" t="str">
        <f>"1176.10"</f>
        <v>1176.10</v>
      </c>
      <c r="C2527" t="str">
        <f>"1176.0972"</f>
        <v>1176.0972</v>
      </c>
    </row>
    <row r="2528" spans="1:3" x14ac:dyDescent="0.25">
      <c r="A2528" t="str">
        <f>"26/11/2019"</f>
        <v>26/11/2019</v>
      </c>
      <c r="B2528" t="str">
        <f>"1176.40"</f>
        <v>1176.40</v>
      </c>
      <c r="C2528" t="str">
        <f>"1176.3985"</f>
        <v>1176.3985</v>
      </c>
    </row>
    <row r="2529" spans="1:3" x14ac:dyDescent="0.25">
      <c r="A2529" t="str">
        <f>"27/11/2019"</f>
        <v>27/11/2019</v>
      </c>
      <c r="B2529" t="str">
        <f>"1177.50"</f>
        <v>1177.50</v>
      </c>
      <c r="C2529" t="str">
        <f>"1177.4985"</f>
        <v>1177.4985</v>
      </c>
    </row>
    <row r="2530" spans="1:3" x14ac:dyDescent="0.25">
      <c r="A2530" t="str">
        <f>"28/11/2019"</f>
        <v>28/11/2019</v>
      </c>
      <c r="B2530" t="str">
        <f>"1179.10"</f>
        <v>1179.10</v>
      </c>
      <c r="C2530" t="str">
        <f>"1179.096"</f>
        <v>1179.096</v>
      </c>
    </row>
    <row r="2531" spans="1:3" x14ac:dyDescent="0.25">
      <c r="A2531" t="str">
        <f>"29/11/2019"</f>
        <v>29/11/2019</v>
      </c>
      <c r="B2531" t="str">
        <f>"1181.30"</f>
        <v>1181.30</v>
      </c>
      <c r="C2531" t="str">
        <f>"1181.295"</f>
        <v>1181.295</v>
      </c>
    </row>
    <row r="2532" spans="1:3" x14ac:dyDescent="0.25">
      <c r="A2532" t="str">
        <f>"02/12/2019"</f>
        <v>02/12/2019</v>
      </c>
      <c r="B2532" t="str">
        <f>"1183.20"</f>
        <v>1183.20</v>
      </c>
      <c r="C2532" t="str">
        <f>"1183.1942"</f>
        <v>1183.1942</v>
      </c>
    </row>
    <row r="2533" spans="1:3" x14ac:dyDescent="0.25">
      <c r="A2533" t="str">
        <f>"03/12/2019"</f>
        <v>03/12/2019</v>
      </c>
      <c r="B2533" t="str">
        <f>"1187.10"</f>
        <v>1187.10</v>
      </c>
      <c r="C2533" t="str">
        <f>"1187.094"</f>
        <v>1187.094</v>
      </c>
    </row>
    <row r="2534" spans="1:3" x14ac:dyDescent="0.25">
      <c r="A2534" t="str">
        <f>"04/12/2019"</f>
        <v>04/12/2019</v>
      </c>
      <c r="B2534" t="str">
        <f>"1194.60"</f>
        <v>1194.60</v>
      </c>
      <c r="C2534" t="str">
        <f>"1194.5955"</f>
        <v>1194.5955</v>
      </c>
    </row>
    <row r="2535" spans="1:3" x14ac:dyDescent="0.25">
      <c r="A2535" t="str">
        <f>"05/12/2019"</f>
        <v>05/12/2019</v>
      </c>
      <c r="B2535" t="str">
        <f>"1190.40"</f>
        <v>1190.40</v>
      </c>
      <c r="C2535" t="str">
        <f>"1190.396"</f>
        <v>1190.396</v>
      </c>
    </row>
    <row r="2536" spans="1:3" x14ac:dyDescent="0.25">
      <c r="A2536" t="str">
        <f>"06/12/2019"</f>
        <v>06/12/2019</v>
      </c>
      <c r="B2536" t="str">
        <f>"1190.00"</f>
        <v>1190.00</v>
      </c>
      <c r="C2536" t="str">
        <f>"1189.9965"</f>
        <v>1189.9965</v>
      </c>
    </row>
    <row r="2537" spans="1:3" x14ac:dyDescent="0.25">
      <c r="A2537" t="str">
        <f>"09/12/2019"</f>
        <v>09/12/2019</v>
      </c>
      <c r="B2537" t="str">
        <f>"1190.00"</f>
        <v>1190.00</v>
      </c>
      <c r="C2537" t="str">
        <f>"1189.9955"</f>
        <v>1189.9955</v>
      </c>
    </row>
    <row r="2538" spans="1:3" x14ac:dyDescent="0.25">
      <c r="A2538" t="str">
        <f>"10/12/2019"</f>
        <v>10/12/2019</v>
      </c>
      <c r="B2538" t="str">
        <f>"1191.50"</f>
        <v>1191.50</v>
      </c>
      <c r="C2538" t="str">
        <f>"1191.4957"</f>
        <v>1191.4957</v>
      </c>
    </row>
    <row r="2539" spans="1:3" x14ac:dyDescent="0.25">
      <c r="A2539" t="str">
        <f>"11/12/2019"</f>
        <v>11/12/2019</v>
      </c>
      <c r="B2539" t="str">
        <f>"1194.80"</f>
        <v>1194.80</v>
      </c>
      <c r="C2539" t="str">
        <f>"1194.7957"</f>
        <v>1194.7957</v>
      </c>
    </row>
    <row r="2540" spans="1:3" x14ac:dyDescent="0.25">
      <c r="A2540" t="str">
        <f>"12/12/2019"</f>
        <v>12/12/2019</v>
      </c>
      <c r="B2540" t="str">
        <f>"1187.00"</f>
        <v>1187.00</v>
      </c>
      <c r="C2540" t="str">
        <f>"1186.9948"</f>
        <v>1186.9948</v>
      </c>
    </row>
    <row r="2541" spans="1:3" x14ac:dyDescent="0.25">
      <c r="A2541" t="str">
        <f>"13/12/2019"</f>
        <v>13/12/2019</v>
      </c>
      <c r="B2541" t="str">
        <f>"1170.20"</f>
        <v>1170.20</v>
      </c>
      <c r="C2541" t="str">
        <f>"1170.1948"</f>
        <v>1170.1948</v>
      </c>
    </row>
    <row r="2542" spans="1:3" x14ac:dyDescent="0.25">
      <c r="A2542" t="str">
        <f>"16/12/2019"</f>
        <v>16/12/2019</v>
      </c>
      <c r="B2542" t="str">
        <f>"1172.40"</f>
        <v>1172.40</v>
      </c>
      <c r="C2542" t="str">
        <f>"1172.3937"</f>
        <v>1172.3937</v>
      </c>
    </row>
    <row r="2543" spans="1:3" x14ac:dyDescent="0.25">
      <c r="A2543" t="str">
        <f>"17/12/2019"</f>
        <v>17/12/2019</v>
      </c>
      <c r="B2543" t="str">
        <f>"1164.80"</f>
        <v>1164.80</v>
      </c>
      <c r="C2543" t="str">
        <f>"1164.7923"</f>
        <v>1164.7923</v>
      </c>
    </row>
    <row r="2544" spans="1:3" x14ac:dyDescent="0.25">
      <c r="A2544" t="str">
        <f>"18/12/2019"</f>
        <v>18/12/2019</v>
      </c>
      <c r="B2544" t="str">
        <f>"1169.00"</f>
        <v>1169.00</v>
      </c>
      <c r="C2544" t="str">
        <f>"1168.992"</f>
        <v>1168.992</v>
      </c>
    </row>
    <row r="2545" spans="1:3" x14ac:dyDescent="0.25">
      <c r="A2545" t="str">
        <f>"19/12/2019"</f>
        <v>19/12/2019</v>
      </c>
      <c r="B2545" t="str">
        <f>"1165.90"</f>
        <v>1165.90</v>
      </c>
      <c r="C2545" t="str">
        <f>"1165.893"</f>
        <v>1165.893</v>
      </c>
    </row>
    <row r="2546" spans="1:3" x14ac:dyDescent="0.25">
      <c r="A2546" t="str">
        <f>"20/12/2019"</f>
        <v>20/12/2019</v>
      </c>
      <c r="B2546" t="str">
        <f>"1162.10"</f>
        <v>1162.10</v>
      </c>
      <c r="C2546" t="str">
        <f>"1162.0915"</f>
        <v>1162.0915</v>
      </c>
    </row>
    <row r="2547" spans="1:3" x14ac:dyDescent="0.25">
      <c r="A2547" t="str">
        <f>"23/12/2019"</f>
        <v>23/12/2019</v>
      </c>
      <c r="B2547" t="str">
        <f>"1164.40"</f>
        <v>1164.40</v>
      </c>
      <c r="C2547" t="str">
        <f>"1164.3912"</f>
        <v>1164.3912</v>
      </c>
    </row>
    <row r="2548" spans="1:3" x14ac:dyDescent="0.25">
      <c r="A2548" t="str">
        <f>"24/12/2019"</f>
        <v>24/12/2019</v>
      </c>
      <c r="B2548" t="str">
        <f>"1163.90"</f>
        <v>1163.90</v>
      </c>
      <c r="C2548" t="str">
        <f>"1163.891"</f>
        <v>1163.891</v>
      </c>
    </row>
    <row r="2549" spans="1:3" x14ac:dyDescent="0.25">
      <c r="A2549" t="str">
        <f>"26/12/2019"</f>
        <v>26/12/2019</v>
      </c>
      <c r="B2549" t="str">
        <f>"1162.10"</f>
        <v>1162.10</v>
      </c>
      <c r="C2549" t="str">
        <f>"1162.089"</f>
        <v>1162.089</v>
      </c>
    </row>
    <row r="2550" spans="1:3" x14ac:dyDescent="0.25">
      <c r="A2550" t="str">
        <f>"27/12/2019"</f>
        <v>27/12/2019</v>
      </c>
      <c r="B2550" t="str">
        <f>"1161.50"</f>
        <v>1161.50</v>
      </c>
      <c r="C2550" t="str">
        <f>"1161.49"</f>
        <v>1161.49</v>
      </c>
    </row>
    <row r="2551" spans="1:3" x14ac:dyDescent="0.25">
      <c r="A2551" t="str">
        <f>"30/12/2019"</f>
        <v>30/12/2019</v>
      </c>
      <c r="B2551" t="str">
        <f>"1156.40"</f>
        <v>1156.40</v>
      </c>
      <c r="C2551" t="str">
        <f>"1156.3975"</f>
        <v>1156.3975</v>
      </c>
    </row>
    <row r="2552" spans="1:3" x14ac:dyDescent="0.25">
      <c r="A2552" t="str">
        <f>"31/12/2019"</f>
        <v>31/12/2019</v>
      </c>
      <c r="B2552" t="str">
        <f>"1156.40"</f>
        <v>1156.40</v>
      </c>
      <c r="C2552" t="str">
        <f>"1156.397"</f>
        <v>1156.397</v>
      </c>
    </row>
    <row r="2553" spans="1:3" x14ac:dyDescent="0.25">
      <c r="A2553" t="str">
        <f>"02/01/2020"</f>
        <v>02/01/2020</v>
      </c>
      <c r="B2553" t="str">
        <f>"1158.20"</f>
        <v>1158.20</v>
      </c>
      <c r="C2553" t="str">
        <f>"1158.1975"</f>
        <v>1158.1975</v>
      </c>
    </row>
    <row r="2554" spans="1:3" x14ac:dyDescent="0.25">
      <c r="A2554" t="str">
        <f>"03/01/2020"</f>
        <v>03/01/2020</v>
      </c>
      <c r="B2554" t="str">
        <f>"1167.00"</f>
        <v>1167.00</v>
      </c>
      <c r="C2554" t="str">
        <f>"1166.997"</f>
        <v>1166.997</v>
      </c>
    </row>
    <row r="2555" spans="1:3" x14ac:dyDescent="0.25">
      <c r="A2555" t="str">
        <f>"06/01/2020"</f>
        <v>06/01/2020</v>
      </c>
      <c r="B2555" t="str">
        <f>"1169.00"</f>
        <v>1169.00</v>
      </c>
      <c r="C2555" t="str">
        <f>"1168.995"</f>
        <v>1168.995</v>
      </c>
    </row>
    <row r="2556" spans="1:3" x14ac:dyDescent="0.25">
      <c r="A2556" t="str">
        <f>"07/01/2020"</f>
        <v>07/01/2020</v>
      </c>
      <c r="B2556" t="str">
        <f>"1166.50"</f>
        <v>1166.50</v>
      </c>
      <c r="C2556" t="str">
        <f>"1166.4965"</f>
        <v>1166.4965</v>
      </c>
    </row>
    <row r="2557" spans="1:3" x14ac:dyDescent="0.25">
      <c r="A2557" t="str">
        <f>"08/01/2020"</f>
        <v>08/01/2020</v>
      </c>
      <c r="B2557" t="str">
        <f>"1170.90"</f>
        <v>1170.90</v>
      </c>
      <c r="C2557" t="str">
        <f>"1170.895"</f>
        <v>1170.895</v>
      </c>
    </row>
    <row r="2558" spans="1:3" x14ac:dyDescent="0.25">
      <c r="A2558" t="str">
        <f>"09/01/2020"</f>
        <v>09/01/2020</v>
      </c>
      <c r="B2558" t="str">
        <f>"1159.50"</f>
        <v>1159.50</v>
      </c>
      <c r="C2558" t="str">
        <f>"1159.4957"</f>
        <v>1159.4957</v>
      </c>
    </row>
    <row r="2559" spans="1:3" x14ac:dyDescent="0.25">
      <c r="A2559" t="str">
        <f>"10/01/2020"</f>
        <v>10/01/2020</v>
      </c>
      <c r="B2559" t="str">
        <f>"1161.80"</f>
        <v>1161.80</v>
      </c>
      <c r="C2559" t="str">
        <f>"1161.7955"</f>
        <v>1161.7955</v>
      </c>
    </row>
    <row r="2560" spans="1:3" x14ac:dyDescent="0.25">
      <c r="A2560" t="str">
        <f>"13/01/2020"</f>
        <v>13/01/2020</v>
      </c>
      <c r="B2560" t="str">
        <f>"1155.00"</f>
        <v>1155.00</v>
      </c>
      <c r="C2560" t="str">
        <f>"1154.994"</f>
        <v>1154.994</v>
      </c>
    </row>
    <row r="2561" spans="1:3" x14ac:dyDescent="0.25">
      <c r="A2561" t="str">
        <f>"14/01/2020"</f>
        <v>14/01/2020</v>
      </c>
      <c r="B2561" t="str">
        <f>"1153.60"</f>
        <v>1153.60</v>
      </c>
      <c r="C2561" t="str">
        <f>"1153.593"</f>
        <v>1153.593</v>
      </c>
    </row>
    <row r="2562" spans="1:3" x14ac:dyDescent="0.25">
      <c r="A2562" t="str">
        <f>"15/01/2020"</f>
        <v>15/01/2020</v>
      </c>
      <c r="B2562" t="str">
        <f>"1158.00"</f>
        <v>1158.00</v>
      </c>
      <c r="C2562" t="str">
        <f>"1157.9945"</f>
        <v>1157.9945</v>
      </c>
    </row>
    <row r="2563" spans="1:3" x14ac:dyDescent="0.25">
      <c r="A2563" t="str">
        <f>"16/01/2020"</f>
        <v>16/01/2020</v>
      </c>
      <c r="B2563" t="str">
        <f>"1161.50"</f>
        <v>1161.50</v>
      </c>
      <c r="C2563" t="str">
        <f>"1161.495"</f>
        <v>1161.495</v>
      </c>
    </row>
    <row r="2564" spans="1:3" x14ac:dyDescent="0.25">
      <c r="A2564" t="str">
        <f>"17/01/2020"</f>
        <v>17/01/2020</v>
      </c>
      <c r="B2564" t="str">
        <f>"1159.60"</f>
        <v>1159.60</v>
      </c>
      <c r="C2564" t="str">
        <f>"1159.595"</f>
        <v>1159.595</v>
      </c>
    </row>
    <row r="2565" spans="1:3" x14ac:dyDescent="0.25">
      <c r="A2565" t="str">
        <f>"20/01/2020"</f>
        <v>20/01/2020</v>
      </c>
      <c r="B2565" t="str">
        <f>"1158.20"</f>
        <v>1158.20</v>
      </c>
      <c r="C2565" t="str">
        <f>"1158.1955"</f>
        <v>1158.1955</v>
      </c>
    </row>
    <row r="2566" spans="1:3" x14ac:dyDescent="0.25">
      <c r="A2566" t="str">
        <f>"21/01/2020"</f>
        <v>21/01/2020</v>
      </c>
      <c r="B2566" t="str">
        <f>"1167.10"</f>
        <v>1167.10</v>
      </c>
      <c r="C2566" t="str">
        <f>"1167.095"</f>
        <v>1167.095</v>
      </c>
    </row>
    <row r="2567" spans="1:3" x14ac:dyDescent="0.25">
      <c r="A2567" t="str">
        <f>"22/01/2020"</f>
        <v>22/01/2020</v>
      </c>
      <c r="B2567" t="str">
        <f>"1164.70"</f>
        <v>1164.70</v>
      </c>
      <c r="C2567" t="str">
        <f>"1164.695"</f>
        <v>1164.695</v>
      </c>
    </row>
    <row r="2568" spans="1:3" x14ac:dyDescent="0.25">
      <c r="A2568" t="str">
        <f>"23/01/2020"</f>
        <v>23/01/2020</v>
      </c>
      <c r="B2568" t="str">
        <f>"1168.80"</f>
        <v>1168.80</v>
      </c>
      <c r="C2568" t="str">
        <f>"1168.795"</f>
        <v>1168.795</v>
      </c>
    </row>
    <row r="2569" spans="1:3" x14ac:dyDescent="0.25">
      <c r="A2569" t="str">
        <f>"24/01/2020"</f>
        <v>24/01/2020</v>
      </c>
      <c r="B2569" t="str">
        <f>"1168.80"</f>
        <v>1168.80</v>
      </c>
      <c r="C2569" t="str">
        <f>"1168.7955"</f>
        <v>1168.7955</v>
      </c>
    </row>
    <row r="2570" spans="1:3" x14ac:dyDescent="0.25">
      <c r="A2570" t="str">
        <f>"27/01/2020"</f>
        <v>27/01/2020</v>
      </c>
      <c r="B2570" t="str">
        <f>"1168.80"</f>
        <v>1168.80</v>
      </c>
      <c r="C2570" t="str">
        <f>"1168.7905"</f>
        <v>1168.7905</v>
      </c>
    </row>
    <row r="2571" spans="1:3" x14ac:dyDescent="0.25">
      <c r="A2571" t="str">
        <f>"28/01/2020"</f>
        <v>28/01/2020</v>
      </c>
      <c r="B2571" t="str">
        <f>"1176.50"</f>
        <v>1176.50</v>
      </c>
      <c r="C2571" t="str">
        <f>"1176.496"</f>
        <v>1176.496</v>
      </c>
    </row>
    <row r="2572" spans="1:3" x14ac:dyDescent="0.25">
      <c r="A2572" t="str">
        <f>"29/01/2020"</f>
        <v>29/01/2020</v>
      </c>
      <c r="B2572" t="str">
        <f>"1177.30"</f>
        <v>1177.30</v>
      </c>
      <c r="C2572" t="str">
        <f>"1177.2975"</f>
        <v>1177.2975</v>
      </c>
    </row>
    <row r="2573" spans="1:3" x14ac:dyDescent="0.25">
      <c r="A2573" t="str">
        <f>"30/01/2020"</f>
        <v>30/01/2020</v>
      </c>
      <c r="B2573" t="str">
        <f>"1185.20"</f>
        <v>1185.20</v>
      </c>
      <c r="C2573" t="str">
        <f>"1185.198"</f>
        <v>1185.198</v>
      </c>
    </row>
    <row r="2574" spans="1:3" x14ac:dyDescent="0.25">
      <c r="A2574" t="str">
        <f>"31/01/2020"</f>
        <v>31/01/2020</v>
      </c>
      <c r="B2574" t="str">
        <f>"1188.30"</f>
        <v>1188.30</v>
      </c>
      <c r="C2574" t="str">
        <f>"1188.299"</f>
        <v>1188.299</v>
      </c>
    </row>
    <row r="2575" spans="1:3" x14ac:dyDescent="0.25">
      <c r="A2575" t="str">
        <f>"03/02/2020"</f>
        <v>03/02/2020</v>
      </c>
      <c r="B2575" t="str">
        <f>"1195.00"</f>
        <v>1195.00</v>
      </c>
      <c r="C2575" t="str">
        <f>"1194.9992"</f>
        <v>1194.9992</v>
      </c>
    </row>
    <row r="2576" spans="1:3" x14ac:dyDescent="0.25">
      <c r="A2576" t="str">
        <f>"04/02/2020"</f>
        <v>04/02/2020</v>
      </c>
      <c r="B2576" t="str">
        <f>"1187.70"</f>
        <v>1187.70</v>
      </c>
      <c r="C2576" t="str">
        <f>"1187.6992"</f>
        <v>1187.6992</v>
      </c>
    </row>
    <row r="2577" spans="1:3" x14ac:dyDescent="0.25">
      <c r="A2577" t="str">
        <f>"05/02/2020"</f>
        <v>05/02/2020</v>
      </c>
      <c r="B2577" t="str">
        <f>"1191.50"</f>
        <v>1191.50</v>
      </c>
      <c r="C2577" t="str">
        <f>"1191.4985"</f>
        <v>1191.4985</v>
      </c>
    </row>
    <row r="2578" spans="1:3" x14ac:dyDescent="0.25">
      <c r="A2578" t="str">
        <f>"06/02/2020"</f>
        <v>06/02/2020</v>
      </c>
      <c r="B2578" t="str">
        <f>"1180.00"</f>
        <v>1180.00</v>
      </c>
      <c r="C2578" t="str">
        <f>"1179.999"</f>
        <v>1179.999</v>
      </c>
    </row>
    <row r="2579" spans="1:3" x14ac:dyDescent="0.25">
      <c r="A2579" t="str">
        <f>"07/02/2020"</f>
        <v>07/02/2020</v>
      </c>
      <c r="B2579" t="str">
        <f>"1186.60"</f>
        <v>1186.60</v>
      </c>
      <c r="C2579" t="str">
        <f>"1186.5987"</f>
        <v>1186.5987</v>
      </c>
    </row>
    <row r="2580" spans="1:3" x14ac:dyDescent="0.25">
      <c r="A2580" t="str">
        <f>"10/02/2020"</f>
        <v>10/02/2020</v>
      </c>
      <c r="B2580" t="str">
        <f>"1187.30"</f>
        <v>1187.30</v>
      </c>
      <c r="C2580" t="str">
        <f>"1187.299"</f>
        <v>1187.299</v>
      </c>
    </row>
    <row r="2581" spans="1:3" x14ac:dyDescent="0.25">
      <c r="A2581" t="str">
        <f>"11/02/2020"</f>
        <v>11/02/2020</v>
      </c>
      <c r="B2581" t="str">
        <f>"1181.60"</f>
        <v>1181.60</v>
      </c>
      <c r="C2581" t="str">
        <f>"1181.5995"</f>
        <v>1181.5995</v>
      </c>
    </row>
    <row r="2582" spans="1:3" x14ac:dyDescent="0.25">
      <c r="A2582" t="str">
        <f>"12/02/2020"</f>
        <v>12/02/2020</v>
      </c>
      <c r="B2582" t="str">
        <f>"1179.60"</f>
        <v>1179.60</v>
      </c>
      <c r="C2582" t="str">
        <f>"1179.5977"</f>
        <v>1179.5977</v>
      </c>
    </row>
    <row r="2583" spans="1:3" x14ac:dyDescent="0.25">
      <c r="A2583" t="str">
        <f>"13/02/2020"</f>
        <v>13/02/2020</v>
      </c>
      <c r="B2583" t="str">
        <f>"1183.00"</f>
        <v>1183.00</v>
      </c>
      <c r="C2583" t="str">
        <f>"1182.9995"</f>
        <v>1182.9995</v>
      </c>
    </row>
    <row r="2584" spans="1:3" x14ac:dyDescent="0.25">
      <c r="A2584" t="str">
        <f>"14/02/2020"</f>
        <v>14/02/2020</v>
      </c>
      <c r="B2584" t="str">
        <f>"1183.20"</f>
        <v>1183.20</v>
      </c>
      <c r="C2584" t="str">
        <f>"1183.199"</f>
        <v>1183.199</v>
      </c>
    </row>
    <row r="2585" spans="1:3" x14ac:dyDescent="0.25">
      <c r="A2585" t="str">
        <f>"17/02/2020"</f>
        <v>17/02/2020</v>
      </c>
      <c r="B2585" t="str">
        <f>"1184.00"</f>
        <v>1184.00</v>
      </c>
      <c r="C2585" t="str">
        <f>"1183.9992"</f>
        <v>1183.9992</v>
      </c>
    </row>
    <row r="2586" spans="1:3" x14ac:dyDescent="0.25">
      <c r="A2586" t="str">
        <f>"18/02/2020"</f>
        <v>18/02/2020</v>
      </c>
      <c r="B2586" t="str">
        <f>"1189.60"</f>
        <v>1189.60</v>
      </c>
      <c r="C2586" t="str">
        <f>"1189.599"</f>
        <v>1189.599</v>
      </c>
    </row>
    <row r="2587" spans="1:3" x14ac:dyDescent="0.25">
      <c r="A2587" t="str">
        <f>"20/02/2020"</f>
        <v>20/02/2020</v>
      </c>
      <c r="B2587" t="str">
        <f>"1198.70"</f>
        <v>1198.70</v>
      </c>
      <c r="C2587" t="str">
        <f>"1198.6985"</f>
        <v>1198.6985</v>
      </c>
    </row>
    <row r="2588" spans="1:3" x14ac:dyDescent="0.25">
      <c r="A2588" t="str">
        <f>"24/02/2020"</f>
        <v>24/02/2020</v>
      </c>
      <c r="B2588" t="str">
        <f>"1220.40"</f>
        <v>1220.40</v>
      </c>
      <c r="C2588" t="str">
        <f>"1220.4005"</f>
        <v>1220.4005</v>
      </c>
    </row>
    <row r="2589" spans="1:3" x14ac:dyDescent="0.25">
      <c r="A2589" t="str">
        <f>"25/02/2020"</f>
        <v>25/02/2020</v>
      </c>
      <c r="B2589" t="str">
        <f>"1210.30"</f>
        <v>1210.30</v>
      </c>
      <c r="C2589" t="str">
        <f>"1210.3005"</f>
        <v>1210.3005</v>
      </c>
    </row>
    <row r="2590" spans="1:3" x14ac:dyDescent="0.25">
      <c r="A2590" t="str">
        <f>"26/02/2020"</f>
        <v>26/02/2020</v>
      </c>
      <c r="B2590" t="str">
        <f>"1217.00"</f>
        <v>1217.00</v>
      </c>
      <c r="C2590" t="str">
        <f>"1216.9955"</f>
        <v>1216.9955</v>
      </c>
    </row>
    <row r="2591" spans="1:3" x14ac:dyDescent="0.25">
      <c r="A2591" t="str">
        <f>"27/02/2020"</f>
        <v>27/02/2020</v>
      </c>
      <c r="B2591" t="str">
        <f>"1217.30"</f>
        <v>1217.30</v>
      </c>
      <c r="C2591" t="str">
        <f>"1217.2955"</f>
        <v>1217.2955</v>
      </c>
    </row>
    <row r="2592" spans="1:3" x14ac:dyDescent="0.25">
      <c r="A2592" t="str">
        <f>"28/02/2020"</f>
        <v>28/02/2020</v>
      </c>
      <c r="B2592" t="str">
        <f>"1214.50"</f>
        <v>1214.50</v>
      </c>
      <c r="C2592" t="str">
        <f>"1214.4992"</f>
        <v>1214.4992</v>
      </c>
    </row>
    <row r="2593" spans="1:3" x14ac:dyDescent="0.25">
      <c r="A2593" t="str">
        <f>"02/03/2020"</f>
        <v>02/03/2020</v>
      </c>
      <c r="B2593" t="str">
        <f>"1193.80"</f>
        <v>1193.80</v>
      </c>
      <c r="C2593" t="str">
        <f>"1193.798"</f>
        <v>1193.798</v>
      </c>
    </row>
    <row r="2594" spans="1:3" x14ac:dyDescent="0.25">
      <c r="A2594" t="str">
        <f>"03/03/2020"</f>
        <v>03/03/2020</v>
      </c>
      <c r="B2594" t="str">
        <f>"1195.40"</f>
        <v>1195.40</v>
      </c>
      <c r="C2594" t="str">
        <f>"1195.399"</f>
        <v>1195.399</v>
      </c>
    </row>
    <row r="2595" spans="1:3" x14ac:dyDescent="0.25">
      <c r="A2595" t="str">
        <f>"04/03/2020"</f>
        <v>04/03/2020</v>
      </c>
      <c r="B2595" t="str">
        <f>"1187.90"</f>
        <v>1187.90</v>
      </c>
      <c r="C2595" t="str">
        <f>"1187.9025"</f>
        <v>1187.9025</v>
      </c>
    </row>
    <row r="2596" spans="1:3" x14ac:dyDescent="0.25">
      <c r="A2596" t="str">
        <f>"05/03/2020"</f>
        <v>05/03/2020</v>
      </c>
      <c r="B2596" t="str">
        <f>"1181.30"</f>
        <v>1181.30</v>
      </c>
      <c r="C2596" t="str">
        <f>"1181.3035"</f>
        <v>1181.3035</v>
      </c>
    </row>
    <row r="2597" spans="1:3" x14ac:dyDescent="0.25">
      <c r="A2597" t="str">
        <f>"06/03/2020"</f>
        <v>06/03/2020</v>
      </c>
      <c r="B2597" t="str">
        <f>"1192.40"</f>
        <v>1192.40</v>
      </c>
      <c r="C2597" t="str">
        <f>"1192.404"</f>
        <v>1192.404</v>
      </c>
    </row>
    <row r="2598" spans="1:3" x14ac:dyDescent="0.25">
      <c r="A2598" t="str">
        <f>"09/03/2020"</f>
        <v>09/03/2020</v>
      </c>
      <c r="B2598" t="str">
        <f>"1203.60"</f>
        <v>1203.60</v>
      </c>
      <c r="C2598" t="str">
        <f>"1203.6035"</f>
        <v>1203.6035</v>
      </c>
    </row>
    <row r="2599" spans="1:3" x14ac:dyDescent="0.25">
      <c r="A2599" t="str">
        <f>"11/03/2020"</f>
        <v>11/03/2020</v>
      </c>
      <c r="B2599" t="str">
        <f>"1193.10"</f>
        <v>1193.10</v>
      </c>
      <c r="C2599" t="str">
        <f>"1193.0948"</f>
        <v>1193.0948</v>
      </c>
    </row>
    <row r="2600" spans="1:3" x14ac:dyDescent="0.25">
      <c r="A2600" t="str">
        <f>"12/03/2020"</f>
        <v>12/03/2020</v>
      </c>
      <c r="B2600" t="str">
        <f>"1206.70"</f>
        <v>1206.70</v>
      </c>
      <c r="C2600" t="str">
        <f>"1206.6952"</f>
        <v>1206.6952</v>
      </c>
    </row>
    <row r="2601" spans="1:3" x14ac:dyDescent="0.25">
      <c r="A2601" t="str">
        <f>"13/03/2020"</f>
        <v>13/03/2020</v>
      </c>
      <c r="B2601" t="str">
        <f>"1219.50"</f>
        <v>1219.50</v>
      </c>
      <c r="C2601" t="str">
        <f>"1219.4755"</f>
        <v>1219.4755</v>
      </c>
    </row>
    <row r="2602" spans="1:3" x14ac:dyDescent="0.25">
      <c r="A2602" t="str">
        <f>"16/03/2020"</f>
        <v>16/03/2020</v>
      </c>
      <c r="B2602" t="str">
        <f>"1226.10"</f>
        <v>1226.10</v>
      </c>
      <c r="C2602" t="str">
        <f>"1226.073"</f>
        <v>1226.073</v>
      </c>
    </row>
    <row r="2603" spans="1:3" x14ac:dyDescent="0.25">
      <c r="A2603" t="str">
        <f>"17/03/2020"</f>
        <v>17/03/2020</v>
      </c>
      <c r="B2603" t="str">
        <f>"1243.20"</f>
        <v>1243.20</v>
      </c>
      <c r="C2603" t="str">
        <f>"1243.1555"</f>
        <v>1243.1555</v>
      </c>
    </row>
    <row r="2604" spans="1:3" x14ac:dyDescent="0.25">
      <c r="A2604" t="str">
        <f>"18/03/2020"</f>
        <v>18/03/2020</v>
      </c>
      <c r="B2604" t="str">
        <f>"1245.90"</f>
        <v>1245.90</v>
      </c>
      <c r="C2604" t="str">
        <f>"1245.885"</f>
        <v>1245.885</v>
      </c>
    </row>
    <row r="2605" spans="1:3" x14ac:dyDescent="0.25">
      <c r="A2605" t="str">
        <f>"19/03/2020"</f>
        <v>19/03/2020</v>
      </c>
      <c r="B2605" t="str">
        <f>"1285.80"</f>
        <v>1285.80</v>
      </c>
      <c r="C2605" t="str">
        <f>"1285.775"</f>
        <v>1285.775</v>
      </c>
    </row>
    <row r="2606" spans="1:3" x14ac:dyDescent="0.25">
      <c r="A2606" t="str">
        <f>"20/03/2020"</f>
        <v>20/03/2020</v>
      </c>
      <c r="B2606" t="str">
        <f>"1249.50"</f>
        <v>1249.50</v>
      </c>
      <c r="C2606" t="str">
        <f>"1249.4855"</f>
        <v>1249.4855</v>
      </c>
    </row>
    <row r="2607" spans="1:3" x14ac:dyDescent="0.25">
      <c r="A2607" t="str">
        <f>"23/03/2020"</f>
        <v>23/03/2020</v>
      </c>
      <c r="B2607" t="str">
        <f>"1266.90"</f>
        <v>1266.90</v>
      </c>
      <c r="C2607" t="str">
        <f>"1266.8655"</f>
        <v>1266.8655</v>
      </c>
    </row>
    <row r="2608" spans="1:3" x14ac:dyDescent="0.25">
      <c r="A2608" t="str">
        <f>"24/03/2020"</f>
        <v>24/03/2020</v>
      </c>
      <c r="B2608" t="str">
        <f>"1257.00"</f>
        <v>1257.00</v>
      </c>
      <c r="C2608" t="str">
        <f>"1256.9605"</f>
        <v>1256.9605</v>
      </c>
    </row>
    <row r="2609" spans="1:3" x14ac:dyDescent="0.25">
      <c r="A2609" t="str">
        <f>"26/03/2020"</f>
        <v>26/03/2020</v>
      </c>
      <c r="B2609" t="str">
        <f>"1233.30"</f>
        <v>1233.30</v>
      </c>
      <c r="C2609" t="str">
        <f>"1233.2875"</f>
        <v>1233.2875</v>
      </c>
    </row>
    <row r="2610" spans="1:3" x14ac:dyDescent="0.25">
      <c r="A2610" t="str">
        <f>"27/03/2020"</f>
        <v>27/03/2020</v>
      </c>
      <c r="B2610" t="str">
        <f>"1211.30"</f>
        <v>1211.30</v>
      </c>
      <c r="C2610" t="str">
        <f>"1211.2925"</f>
        <v>1211.2925</v>
      </c>
    </row>
    <row r="2611" spans="1:3" x14ac:dyDescent="0.25">
      <c r="A2611" t="str">
        <f>"30/03/2020"</f>
        <v>30/03/2020</v>
      </c>
      <c r="B2611" t="str">
        <f>"1224.90"</f>
        <v>1224.90</v>
      </c>
      <c r="C2611" t="str">
        <f>"1224.895"</f>
        <v>1224.895</v>
      </c>
    </row>
    <row r="2612" spans="1:3" x14ac:dyDescent="0.25">
      <c r="A2612" t="str">
        <f>"31/03/2020"</f>
        <v>31/03/2020</v>
      </c>
      <c r="B2612" t="str">
        <f>"1218.50"</f>
        <v>1218.50</v>
      </c>
      <c r="C2612" t="str">
        <f>"1218.4935"</f>
        <v>1218.4935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7D56A-EB3B-4FC9-A242-EC0CBDE1F5EF}">
  <dimension ref="A2:C2612"/>
  <sheetViews>
    <sheetView workbookViewId="0">
      <selection activeCell="C2612" sqref="C2612"/>
    </sheetView>
  </sheetViews>
  <sheetFormatPr defaultRowHeight="15" x14ac:dyDescent="0.25"/>
  <cols>
    <col min="1" max="1" width="10.7109375" bestFit="1" customWidth="1"/>
  </cols>
  <sheetData>
    <row r="2" spans="1:3" x14ac:dyDescent="0.25">
      <c r="A2" t="str">
        <f>"29/05/2009"</f>
        <v>29/05/2009</v>
      </c>
      <c r="B2" t="str">
        <f>"6.4159"</f>
        <v>6.4159</v>
      </c>
      <c r="C2" t="str">
        <f>"6.4225"</f>
        <v>6.4225</v>
      </c>
    </row>
    <row r="3" spans="1:3" x14ac:dyDescent="0.25">
      <c r="A3" t="str">
        <f>"01/06/2009"</f>
        <v>01/06/2009</v>
      </c>
      <c r="B3" t="str">
        <f>"6.2862"</f>
        <v>6.2862</v>
      </c>
      <c r="C3" t="str">
        <f>"6.2927"</f>
        <v>6.2927</v>
      </c>
    </row>
    <row r="4" spans="1:3" x14ac:dyDescent="0.25">
      <c r="A4" t="str">
        <f>"02/06/2009"</f>
        <v>02/06/2009</v>
      </c>
      <c r="B4" t="str">
        <f>"6.1825"</f>
        <v>6.1825</v>
      </c>
      <c r="C4" t="str">
        <f>"6.1893"</f>
        <v>6.1893</v>
      </c>
    </row>
    <row r="5" spans="1:3" x14ac:dyDescent="0.25">
      <c r="A5" t="str">
        <f>"03/06/2009"</f>
        <v>03/06/2009</v>
      </c>
      <c r="B5" t="str">
        <f>"6.1915"</f>
        <v>6.1915</v>
      </c>
      <c r="C5" t="str">
        <f>"6.1984"</f>
        <v>6.1984</v>
      </c>
    </row>
    <row r="6" spans="1:3" x14ac:dyDescent="0.25">
      <c r="A6" t="str">
        <f>"04/06/2009"</f>
        <v>04/06/2009</v>
      </c>
      <c r="B6" t="str">
        <f>"6.3409"</f>
        <v>6.3409</v>
      </c>
      <c r="C6" t="str">
        <f>"6.3479"</f>
        <v>6.3479</v>
      </c>
    </row>
    <row r="7" spans="1:3" x14ac:dyDescent="0.25">
      <c r="A7" t="str">
        <f>"05/06/2009"</f>
        <v>05/06/2009</v>
      </c>
      <c r="B7" t="str">
        <f>"6.3123"</f>
        <v>6.3123</v>
      </c>
      <c r="C7" t="str">
        <f>"6.3187"</f>
        <v>6.3187</v>
      </c>
    </row>
    <row r="8" spans="1:3" x14ac:dyDescent="0.25">
      <c r="A8" t="str">
        <f>"08/06/2009"</f>
        <v>08/06/2009</v>
      </c>
      <c r="B8" t="str">
        <f>"6.4193"</f>
        <v>6.4193</v>
      </c>
      <c r="C8" t="str">
        <f>"6.4258"</f>
        <v>6.4258</v>
      </c>
    </row>
    <row r="9" spans="1:3" x14ac:dyDescent="0.25">
      <c r="A9" t="str">
        <f>"09/06/2009"</f>
        <v>09/06/2009</v>
      </c>
      <c r="B9" t="str">
        <f>"6.4562"</f>
        <v>6.4562</v>
      </c>
      <c r="C9" t="str">
        <f>"6.4627"</f>
        <v>6.4627</v>
      </c>
    </row>
    <row r="10" spans="1:3" x14ac:dyDescent="0.25">
      <c r="A10" t="str">
        <f>"10/06/2009"</f>
        <v>10/06/2009</v>
      </c>
      <c r="B10" t="str">
        <f>"6.334"</f>
        <v>6.334</v>
      </c>
      <c r="C10" t="str">
        <f>"6.3403"</f>
        <v>6.3403</v>
      </c>
    </row>
    <row r="11" spans="1:3" x14ac:dyDescent="0.25">
      <c r="A11" t="str">
        <f>"11/06/2009"</f>
        <v>11/06/2009</v>
      </c>
      <c r="B11" t="str">
        <f>"6.3516"</f>
        <v>6.3516</v>
      </c>
      <c r="C11" t="str">
        <f>"6.3577"</f>
        <v>6.3577</v>
      </c>
    </row>
    <row r="12" spans="1:3" x14ac:dyDescent="0.25">
      <c r="A12" t="str">
        <f>"12/06/2009"</f>
        <v>12/06/2009</v>
      </c>
      <c r="B12" t="str">
        <f>"6.3031"</f>
        <v>6.3031</v>
      </c>
      <c r="C12" t="str">
        <f>"6.3089"</f>
        <v>6.3089</v>
      </c>
    </row>
    <row r="13" spans="1:3" x14ac:dyDescent="0.25">
      <c r="A13" t="str">
        <f>"15/06/2009"</f>
        <v>15/06/2009</v>
      </c>
      <c r="B13" t="str">
        <f>"6.3951"</f>
        <v>6.3951</v>
      </c>
      <c r="C13" t="str">
        <f>"6.4011"</f>
        <v>6.4011</v>
      </c>
    </row>
    <row r="14" spans="1:3" x14ac:dyDescent="0.25">
      <c r="A14" t="str">
        <f>"16/06/2009"</f>
        <v>16/06/2009</v>
      </c>
      <c r="B14" t="str">
        <f>"6.4886"</f>
        <v>6.4886</v>
      </c>
      <c r="C14" t="str">
        <f>"6.4945"</f>
        <v>6.4945</v>
      </c>
    </row>
    <row r="15" spans="1:3" x14ac:dyDescent="0.25">
      <c r="A15" t="str">
        <f>"17/06/2009"</f>
        <v>17/06/2009</v>
      </c>
      <c r="B15" t="str">
        <f>"6.4148"</f>
        <v>6.4148</v>
      </c>
      <c r="C15" t="str">
        <f>"6.4213"</f>
        <v>6.4213</v>
      </c>
    </row>
    <row r="16" spans="1:3" x14ac:dyDescent="0.25">
      <c r="A16" t="str">
        <f>"18/06/2009"</f>
        <v>18/06/2009</v>
      </c>
      <c r="B16" t="str">
        <f>"6.3613"</f>
        <v>6.3613</v>
      </c>
      <c r="C16" t="str">
        <f>"6.3666"</f>
        <v>6.3666</v>
      </c>
    </row>
    <row r="17" spans="1:3" x14ac:dyDescent="0.25">
      <c r="A17" t="str">
        <f>"19/06/2009"</f>
        <v>19/06/2009</v>
      </c>
      <c r="B17" t="str">
        <f>"6.4118"</f>
        <v>6.4118</v>
      </c>
      <c r="C17" t="str">
        <f>"6.4169"</f>
        <v>6.4169</v>
      </c>
    </row>
    <row r="18" spans="1:3" x14ac:dyDescent="0.25">
      <c r="A18" t="str">
        <f>"22/06/2009"</f>
        <v>22/06/2009</v>
      </c>
      <c r="B18" t="str">
        <f>"6.421"</f>
        <v>6.421</v>
      </c>
      <c r="C18" t="str">
        <f>"6.426"</f>
        <v>6.426</v>
      </c>
    </row>
    <row r="19" spans="1:3" x14ac:dyDescent="0.25">
      <c r="A19" t="str">
        <f>"23/06/2009"</f>
        <v>23/06/2009</v>
      </c>
      <c r="B19" t="str">
        <f>"6.6031"</f>
        <v>6.6031</v>
      </c>
      <c r="C19" t="str">
        <f>"6.6083"</f>
        <v>6.6083</v>
      </c>
    </row>
    <row r="20" spans="1:3" x14ac:dyDescent="0.25">
      <c r="A20" t="str">
        <f>"24/06/2009"</f>
        <v>24/06/2009</v>
      </c>
      <c r="B20" t="str">
        <f>"6.4878"</f>
        <v>6.4878</v>
      </c>
      <c r="C20" t="str">
        <f>"6.4934"</f>
        <v>6.4934</v>
      </c>
    </row>
    <row r="21" spans="1:3" x14ac:dyDescent="0.25">
      <c r="A21" t="str">
        <f>"25/06/2009"</f>
        <v>25/06/2009</v>
      </c>
      <c r="B21" t="str">
        <f>"6.4878"</f>
        <v>6.4878</v>
      </c>
      <c r="C21" t="str">
        <f>"6.4933"</f>
        <v>6.4933</v>
      </c>
    </row>
    <row r="22" spans="1:3" x14ac:dyDescent="0.25">
      <c r="A22" t="str">
        <f>"26/06/2009"</f>
        <v>26/06/2009</v>
      </c>
      <c r="B22" t="str">
        <f>"6.4578"</f>
        <v>6.4578</v>
      </c>
      <c r="C22" t="str">
        <f>"6.463"</f>
        <v>6.463</v>
      </c>
    </row>
    <row r="23" spans="1:3" x14ac:dyDescent="0.25">
      <c r="A23" t="str">
        <f>"29/06/2009"</f>
        <v>29/06/2009</v>
      </c>
      <c r="B23" t="str">
        <f>"6.4692"</f>
        <v>6.4692</v>
      </c>
      <c r="C23" t="str">
        <f>"6.4746"</f>
        <v>6.4746</v>
      </c>
    </row>
    <row r="24" spans="1:3" x14ac:dyDescent="0.25">
      <c r="A24" t="str">
        <f>"30/06/2009"</f>
        <v>30/06/2009</v>
      </c>
      <c r="B24" t="str">
        <f>"6.4026"</f>
        <v>6.4026</v>
      </c>
      <c r="C24" t="str">
        <f>"6.4083"</f>
        <v>6.4083</v>
      </c>
    </row>
    <row r="25" spans="1:3" x14ac:dyDescent="0.25">
      <c r="A25" t="str">
        <f>"01/07/2009"</f>
        <v>01/07/2009</v>
      </c>
      <c r="B25" t="str">
        <f>"6.4407"</f>
        <v>6.4407</v>
      </c>
      <c r="C25" t="str">
        <f>"6.4462"</f>
        <v>6.4462</v>
      </c>
    </row>
    <row r="26" spans="1:3" x14ac:dyDescent="0.25">
      <c r="A26" t="str">
        <f>"03/07/2009"</f>
        <v>03/07/2009</v>
      </c>
      <c r="B26" t="str">
        <f>"6.4205"</f>
        <v>6.4205</v>
      </c>
      <c r="C26" t="str">
        <f>"6.4257"</f>
        <v>6.4257</v>
      </c>
    </row>
    <row r="27" spans="1:3" x14ac:dyDescent="0.25">
      <c r="A27" t="str">
        <f>"06/07/2009"</f>
        <v>06/07/2009</v>
      </c>
      <c r="B27" t="str">
        <f>"6.435"</f>
        <v>6.435</v>
      </c>
      <c r="C27" t="str">
        <f>"6.4399"</f>
        <v>6.4399</v>
      </c>
    </row>
    <row r="28" spans="1:3" x14ac:dyDescent="0.25">
      <c r="A28" t="str">
        <f>"07/07/2009"</f>
        <v>07/07/2009</v>
      </c>
      <c r="B28" t="str">
        <f>"6.4753"</f>
        <v>6.4753</v>
      </c>
      <c r="C28" t="str">
        <f>"6.4807"</f>
        <v>6.4807</v>
      </c>
    </row>
    <row r="29" spans="1:3" x14ac:dyDescent="0.25">
      <c r="A29" t="str">
        <f>"08/07/2009"</f>
        <v>08/07/2009</v>
      </c>
      <c r="B29" t="str">
        <f>"6.5441"</f>
        <v>6.5441</v>
      </c>
      <c r="C29" t="str">
        <f>"6.5494"</f>
        <v>6.5494</v>
      </c>
    </row>
    <row r="30" spans="1:3" x14ac:dyDescent="0.25">
      <c r="A30" t="str">
        <f>"09/07/2009"</f>
        <v>09/07/2009</v>
      </c>
      <c r="B30" t="str">
        <f>"6.5545"</f>
        <v>6.5545</v>
      </c>
      <c r="C30" t="str">
        <f>"6.5598"</f>
        <v>6.5598</v>
      </c>
    </row>
    <row r="31" spans="1:3" x14ac:dyDescent="0.25">
      <c r="A31" t="str">
        <f>"10/07/2009"</f>
        <v>10/07/2009</v>
      </c>
      <c r="B31" t="str">
        <f>"6.5085"</f>
        <v>6.5085</v>
      </c>
      <c r="C31" t="str">
        <f>"6.5138"</f>
        <v>6.5138</v>
      </c>
    </row>
    <row r="32" spans="1:3" x14ac:dyDescent="0.25">
      <c r="A32" t="str">
        <f>"13/07/2009"</f>
        <v>13/07/2009</v>
      </c>
      <c r="B32" t="str">
        <f>"6.5235"</f>
        <v>6.5235</v>
      </c>
      <c r="C32" t="str">
        <f>"6.5288"</f>
        <v>6.5288</v>
      </c>
    </row>
    <row r="33" spans="1:3" x14ac:dyDescent="0.25">
      <c r="A33" t="str">
        <f>"14/07/2009"</f>
        <v>14/07/2009</v>
      </c>
      <c r="B33" t="str">
        <f>"6.4871"</f>
        <v>6.4871</v>
      </c>
      <c r="C33" t="str">
        <f>"6.4926"</f>
        <v>6.4926</v>
      </c>
    </row>
    <row r="34" spans="1:3" x14ac:dyDescent="0.25">
      <c r="A34" t="str">
        <f>"15/07/2009"</f>
        <v>15/07/2009</v>
      </c>
      <c r="B34" t="str">
        <f>"6.4433"</f>
        <v>6.4433</v>
      </c>
      <c r="C34" t="str">
        <f>"6.4486"</f>
        <v>6.4486</v>
      </c>
    </row>
    <row r="35" spans="1:3" x14ac:dyDescent="0.25">
      <c r="A35" t="str">
        <f>"16/07/2009"</f>
        <v>16/07/2009</v>
      </c>
      <c r="B35" t="str">
        <f>"6.4062"</f>
        <v>6.4062</v>
      </c>
      <c r="C35" t="str">
        <f>"6.4113"</f>
        <v>6.4113</v>
      </c>
    </row>
    <row r="36" spans="1:3" x14ac:dyDescent="0.25">
      <c r="A36" t="str">
        <f>"17/07/2009"</f>
        <v>17/07/2009</v>
      </c>
      <c r="B36" t="str">
        <f>"6.3811"</f>
        <v>6.3811</v>
      </c>
      <c r="C36" t="str">
        <f>"6.3863"</f>
        <v>6.3863</v>
      </c>
    </row>
    <row r="37" spans="1:3" x14ac:dyDescent="0.25">
      <c r="A37" t="str">
        <f>"20/07/2009"</f>
        <v>20/07/2009</v>
      </c>
      <c r="B37" t="str">
        <f>"6.363"</f>
        <v>6.363</v>
      </c>
      <c r="C37" t="str">
        <f>"6.3682"</f>
        <v>6.3682</v>
      </c>
    </row>
    <row r="38" spans="1:3" x14ac:dyDescent="0.25">
      <c r="A38" t="str">
        <f>"21/07/2009"</f>
        <v>21/07/2009</v>
      </c>
      <c r="B38" t="str">
        <f>"6.3178"</f>
        <v>6.3178</v>
      </c>
      <c r="C38" t="str">
        <f>"6.3232"</f>
        <v>6.3232</v>
      </c>
    </row>
    <row r="39" spans="1:3" x14ac:dyDescent="0.25">
      <c r="A39" t="str">
        <f>"22/07/2009"</f>
        <v>22/07/2009</v>
      </c>
      <c r="B39" t="str">
        <f>"6.3014"</f>
        <v>6.3014</v>
      </c>
      <c r="C39" t="str">
        <f>"6.3066"</f>
        <v>6.3066</v>
      </c>
    </row>
    <row r="40" spans="1:3" x14ac:dyDescent="0.25">
      <c r="A40" t="str">
        <f>"23/07/2009"</f>
        <v>23/07/2009</v>
      </c>
      <c r="B40" t="str">
        <f>"6.2847"</f>
        <v>6.2847</v>
      </c>
      <c r="C40" t="str">
        <f>"6.2899"</f>
        <v>6.2899</v>
      </c>
    </row>
    <row r="41" spans="1:3" x14ac:dyDescent="0.25">
      <c r="A41" t="str">
        <f>"24/07/2009"</f>
        <v>24/07/2009</v>
      </c>
      <c r="B41" t="str">
        <f>"6.2936"</f>
        <v>6.2936</v>
      </c>
      <c r="C41" t="str">
        <f>"6.2989"</f>
        <v>6.2989</v>
      </c>
    </row>
    <row r="42" spans="1:3" x14ac:dyDescent="0.25">
      <c r="A42" t="str">
        <f>"27/07/2009"</f>
        <v>27/07/2009</v>
      </c>
      <c r="B42" t="str">
        <f>"6.2399"</f>
        <v>6.2399</v>
      </c>
      <c r="C42" t="str">
        <f>"6.2451"</f>
        <v>6.2451</v>
      </c>
    </row>
    <row r="43" spans="1:3" x14ac:dyDescent="0.25">
      <c r="A43" t="str">
        <f>"28/07/2009"</f>
        <v>28/07/2009</v>
      </c>
      <c r="B43" t="str">
        <f>"6.1881"</f>
        <v>6.1881</v>
      </c>
      <c r="C43" t="str">
        <f>"6.1935"</f>
        <v>6.1935</v>
      </c>
    </row>
    <row r="44" spans="1:3" x14ac:dyDescent="0.25">
      <c r="A44" t="str">
        <f>"29/07/2009"</f>
        <v>29/07/2009</v>
      </c>
      <c r="B44" t="str">
        <f>"6.1959"</f>
        <v>6.1959</v>
      </c>
      <c r="C44" t="str">
        <f>"6.2012"</f>
        <v>6.2012</v>
      </c>
    </row>
    <row r="45" spans="1:3" x14ac:dyDescent="0.25">
      <c r="A45" t="str">
        <f>"30/07/2009"</f>
        <v>30/07/2009</v>
      </c>
      <c r="B45" t="str">
        <f>"6.2504"</f>
        <v>6.2504</v>
      </c>
      <c r="C45" t="str">
        <f>"6.2555"</f>
        <v>6.2555</v>
      </c>
    </row>
    <row r="46" spans="1:3" x14ac:dyDescent="0.25">
      <c r="A46" t="str">
        <f>"31/07/2009"</f>
        <v>31/07/2009</v>
      </c>
      <c r="B46" t="str">
        <f>"6.2008"</f>
        <v>6.2008</v>
      </c>
      <c r="C46" t="str">
        <f>"6.2059"</f>
        <v>6.2059</v>
      </c>
    </row>
    <row r="47" spans="1:3" x14ac:dyDescent="0.25">
      <c r="A47" t="str">
        <f>"03/08/2009"</f>
        <v>03/08/2009</v>
      </c>
      <c r="B47" t="str">
        <f>"6.1299"</f>
        <v>6.1299</v>
      </c>
      <c r="C47" t="str">
        <f>"6.135"</f>
        <v>6.135</v>
      </c>
    </row>
    <row r="48" spans="1:3" x14ac:dyDescent="0.25">
      <c r="A48" t="str">
        <f>"04/08/2009"</f>
        <v>04/08/2009</v>
      </c>
      <c r="B48" t="str">
        <f>"6.0268"</f>
        <v>6.0268</v>
      </c>
      <c r="C48" t="str">
        <f>"6.0322"</f>
        <v>6.0322</v>
      </c>
    </row>
    <row r="49" spans="1:3" x14ac:dyDescent="0.25">
      <c r="A49" t="str">
        <f>"05/08/2009"</f>
        <v>05/08/2009</v>
      </c>
      <c r="B49" t="str">
        <f>"6.045"</f>
        <v>6.045</v>
      </c>
      <c r="C49" t="str">
        <f>"6.0502"</f>
        <v>6.0502</v>
      </c>
    </row>
    <row r="50" spans="1:3" x14ac:dyDescent="0.25">
      <c r="A50" t="str">
        <f>"06/08/2009"</f>
        <v>06/08/2009</v>
      </c>
      <c r="B50" t="str">
        <f>"6.0351"</f>
        <v>6.0351</v>
      </c>
      <c r="C50" t="str">
        <f>"6.04"</f>
        <v>6.04</v>
      </c>
    </row>
    <row r="51" spans="1:3" x14ac:dyDescent="0.25">
      <c r="A51" t="str">
        <f>"07/08/2009"</f>
        <v>07/08/2009</v>
      </c>
      <c r="B51" t="str">
        <f>"6.072"</f>
        <v>6.072</v>
      </c>
      <c r="C51" t="str">
        <f>"6.0767"</f>
        <v>6.0767</v>
      </c>
    </row>
    <row r="52" spans="1:3" x14ac:dyDescent="0.25">
      <c r="A52" t="str">
        <f>"10/08/2009"</f>
        <v>10/08/2009</v>
      </c>
      <c r="B52" t="str">
        <f>"6.1197"</f>
        <v>6.1197</v>
      </c>
      <c r="C52" t="str">
        <f>"6.1249"</f>
        <v>6.1249</v>
      </c>
    </row>
    <row r="53" spans="1:3" x14ac:dyDescent="0.25">
      <c r="A53" t="str">
        <f>"11/08/2009"</f>
        <v>11/08/2009</v>
      </c>
      <c r="B53" t="str">
        <f>"6.2155"</f>
        <v>6.2155</v>
      </c>
      <c r="C53" t="str">
        <f>"6.2207"</f>
        <v>6.2207</v>
      </c>
    </row>
    <row r="54" spans="1:3" x14ac:dyDescent="0.25">
      <c r="A54" t="str">
        <f>"12/08/2009"</f>
        <v>12/08/2009</v>
      </c>
      <c r="B54" t="str">
        <f>"6.2476"</f>
        <v>6.2476</v>
      </c>
      <c r="C54" t="str">
        <f>"6.2529"</f>
        <v>6.2529</v>
      </c>
    </row>
    <row r="55" spans="1:3" x14ac:dyDescent="0.25">
      <c r="A55" t="str">
        <f>"13/08/2009"</f>
        <v>13/08/2009</v>
      </c>
      <c r="B55" t="str">
        <f>"6.0929"</f>
        <v>6.0929</v>
      </c>
      <c r="C55" t="str">
        <f>"6.0981"</f>
        <v>6.0981</v>
      </c>
    </row>
    <row r="56" spans="1:3" x14ac:dyDescent="0.25">
      <c r="A56" t="str">
        <f>"14/08/2009"</f>
        <v>14/08/2009</v>
      </c>
      <c r="B56" t="str">
        <f>"6.0556"</f>
        <v>6.0556</v>
      </c>
      <c r="C56" t="str">
        <f>"6.0609"</f>
        <v>6.0609</v>
      </c>
    </row>
    <row r="57" spans="1:3" x14ac:dyDescent="0.25">
      <c r="A57" t="str">
        <f>"17/08/2009"</f>
        <v>17/08/2009</v>
      </c>
      <c r="B57" t="str">
        <f>"6.1213"</f>
        <v>6.1213</v>
      </c>
      <c r="C57" t="str">
        <f>"6.1266"</f>
        <v>6.1266</v>
      </c>
    </row>
    <row r="58" spans="1:3" x14ac:dyDescent="0.25">
      <c r="A58" t="str">
        <f>"18/08/2009"</f>
        <v>18/08/2009</v>
      </c>
      <c r="B58" t="str">
        <f>"6.1686"</f>
        <v>6.1686</v>
      </c>
      <c r="C58" t="str">
        <f>"6.1743"</f>
        <v>6.1743</v>
      </c>
    </row>
    <row r="59" spans="1:3" x14ac:dyDescent="0.25">
      <c r="A59" t="str">
        <f>"20/08/2009"</f>
        <v>20/08/2009</v>
      </c>
      <c r="B59" t="str">
        <f>"6.0635"</f>
        <v>6.0635</v>
      </c>
      <c r="C59" t="str">
        <f>"6.069"</f>
        <v>6.069</v>
      </c>
    </row>
    <row r="60" spans="1:3" x14ac:dyDescent="0.25">
      <c r="A60" t="str">
        <f>"21/08/2009"</f>
        <v>21/08/2009</v>
      </c>
      <c r="B60" t="str">
        <f>"6.0378"</f>
        <v>6.0378</v>
      </c>
      <c r="C60" t="str">
        <f>"6.0435"</f>
        <v>6.0435</v>
      </c>
    </row>
    <row r="61" spans="1:3" x14ac:dyDescent="0.25">
      <c r="A61" t="str">
        <f>"24/08/2009"</f>
        <v>24/08/2009</v>
      </c>
      <c r="B61" t="str">
        <f>"5.9896"</f>
        <v>5.9896</v>
      </c>
      <c r="C61" t="str">
        <f>"5.9962"</f>
        <v>5.9962</v>
      </c>
    </row>
    <row r="62" spans="1:3" x14ac:dyDescent="0.25">
      <c r="A62" t="str">
        <f>"25/08/2009"</f>
        <v>25/08/2009</v>
      </c>
      <c r="B62" t="str">
        <f>"6.0146"</f>
        <v>6.0146</v>
      </c>
      <c r="C62" t="str">
        <f>"6.0207"</f>
        <v>6.0207</v>
      </c>
    </row>
    <row r="63" spans="1:3" x14ac:dyDescent="0.25">
      <c r="A63" t="str">
        <f>"26/08/2009"</f>
        <v>26/08/2009</v>
      </c>
      <c r="B63" t="str">
        <f>"6.0455"</f>
        <v>6.0455</v>
      </c>
      <c r="C63" t="str">
        <f>"6.0511"</f>
        <v>6.0511</v>
      </c>
    </row>
    <row r="64" spans="1:3" x14ac:dyDescent="0.25">
      <c r="A64" t="str">
        <f>"27/08/2009"</f>
        <v>27/08/2009</v>
      </c>
      <c r="B64" t="str">
        <f>"6.0679"</f>
        <v>6.0679</v>
      </c>
      <c r="C64" t="str">
        <f>"6.0735"</f>
        <v>6.0735</v>
      </c>
    </row>
    <row r="65" spans="1:3" x14ac:dyDescent="0.25">
      <c r="A65" t="str">
        <f>"28/08/2009"</f>
        <v>28/08/2009</v>
      </c>
      <c r="B65" t="str">
        <f>"6.03"</f>
        <v>6.03</v>
      </c>
      <c r="C65" t="str">
        <f>"6.0355"</f>
        <v>6.0355</v>
      </c>
    </row>
    <row r="66" spans="1:3" x14ac:dyDescent="0.25">
      <c r="A66" t="str">
        <f>"31/08/2009"</f>
        <v>31/08/2009</v>
      </c>
      <c r="B66" t="str">
        <f>"6.0522"</f>
        <v>6.0522</v>
      </c>
      <c r="C66" t="str">
        <f>"6.0575"</f>
        <v>6.0575</v>
      </c>
    </row>
    <row r="67" spans="1:3" x14ac:dyDescent="0.25">
      <c r="A67" t="str">
        <f>"01/09/2009"</f>
        <v>01/09/2009</v>
      </c>
      <c r="B67" t="str">
        <f>"6.0041"</f>
        <v>6.0041</v>
      </c>
      <c r="C67" t="str">
        <f>"6.0099"</f>
        <v>6.0099</v>
      </c>
    </row>
    <row r="68" spans="1:3" x14ac:dyDescent="0.25">
      <c r="A68" t="str">
        <f>"02/09/2009"</f>
        <v>02/09/2009</v>
      </c>
      <c r="B68" t="str">
        <f>"6.0921"</f>
        <v>6.0921</v>
      </c>
      <c r="C68" t="str">
        <f>"6.0978"</f>
        <v>6.0978</v>
      </c>
    </row>
    <row r="69" spans="1:3" x14ac:dyDescent="0.25">
      <c r="A69" t="str">
        <f>"03/09/2009"</f>
        <v>03/09/2009</v>
      </c>
      <c r="B69" t="str">
        <f>"6.0862"</f>
        <v>6.0862</v>
      </c>
      <c r="C69" t="str">
        <f>"6.0917"</f>
        <v>6.0917</v>
      </c>
    </row>
    <row r="70" spans="1:3" x14ac:dyDescent="0.25">
      <c r="A70" t="str">
        <f>"04/09/2009"</f>
        <v>04/09/2009</v>
      </c>
      <c r="B70" t="str">
        <f>"6.0591"</f>
        <v>6.0591</v>
      </c>
      <c r="C70" t="str">
        <f>"6.0645"</f>
        <v>6.0645</v>
      </c>
    </row>
    <row r="71" spans="1:3" x14ac:dyDescent="0.25">
      <c r="A71" t="str">
        <f>"07/09/2009"</f>
        <v>07/09/2009</v>
      </c>
      <c r="B71" t="str">
        <f>"6.0025"</f>
        <v>6.0025</v>
      </c>
      <c r="C71" t="str">
        <f>"6.0079"</f>
        <v>6.0079</v>
      </c>
    </row>
    <row r="72" spans="1:3" x14ac:dyDescent="0.25">
      <c r="A72" t="str">
        <f>"08/09/2009"</f>
        <v>08/09/2009</v>
      </c>
      <c r="B72" t="str">
        <f>"5.9906"</f>
        <v>5.9906</v>
      </c>
      <c r="C72" t="str">
        <f>"5.9969"</f>
        <v>5.9969</v>
      </c>
    </row>
    <row r="73" spans="1:3" x14ac:dyDescent="0.25">
      <c r="A73" t="str">
        <f>"09/09/2009"</f>
        <v>09/09/2009</v>
      </c>
      <c r="B73" t="str">
        <f>"5.9367"</f>
        <v>5.9367</v>
      </c>
      <c r="C73" t="str">
        <f>"5.9425"</f>
        <v>5.9425</v>
      </c>
    </row>
    <row r="74" spans="1:3" x14ac:dyDescent="0.25">
      <c r="A74" t="str">
        <f>"10/09/2009"</f>
        <v>10/09/2009</v>
      </c>
      <c r="B74" t="str">
        <f>"5.9018"</f>
        <v>5.9018</v>
      </c>
      <c r="C74" t="str">
        <f>"5.9075"</f>
        <v>5.9075</v>
      </c>
    </row>
    <row r="75" spans="1:3" x14ac:dyDescent="0.25">
      <c r="A75" t="str">
        <f>"11/09/2009"</f>
        <v>11/09/2009</v>
      </c>
      <c r="B75" t="str">
        <f>"5.9371"</f>
        <v>5.9371</v>
      </c>
      <c r="C75" t="str">
        <f>"5.9422"</f>
        <v>5.9422</v>
      </c>
    </row>
    <row r="76" spans="1:3" x14ac:dyDescent="0.25">
      <c r="A76" t="str">
        <f>"14/09/2009"</f>
        <v>14/09/2009</v>
      </c>
      <c r="B76" t="str">
        <f>"5.9598"</f>
        <v>5.9598</v>
      </c>
      <c r="C76" t="str">
        <f>"5.965"</f>
        <v>5.965</v>
      </c>
    </row>
    <row r="77" spans="1:3" x14ac:dyDescent="0.25">
      <c r="A77" t="str">
        <f>"15/09/2009"</f>
        <v>15/09/2009</v>
      </c>
      <c r="B77" t="str">
        <f>"5.9154"</f>
        <v>5.9154</v>
      </c>
      <c r="C77" t="str">
        <f>"5.9205"</f>
        <v>5.9205</v>
      </c>
    </row>
    <row r="78" spans="1:3" x14ac:dyDescent="0.25">
      <c r="A78" t="str">
        <f>"16/09/2009"</f>
        <v>16/09/2009</v>
      </c>
      <c r="B78" t="str">
        <f>"5.8718"</f>
        <v>5.8718</v>
      </c>
      <c r="C78" t="str">
        <f>"5.8773"</f>
        <v>5.8773</v>
      </c>
    </row>
    <row r="79" spans="1:3" x14ac:dyDescent="0.25">
      <c r="A79" t="str">
        <f>"17/09/2009"</f>
        <v>17/09/2009</v>
      </c>
      <c r="B79" t="str">
        <f>"5.8495"</f>
        <v>5.8495</v>
      </c>
      <c r="C79" t="str">
        <f>"5.8547"</f>
        <v>5.8547</v>
      </c>
    </row>
    <row r="80" spans="1:3" x14ac:dyDescent="0.25">
      <c r="A80" t="str">
        <f>"18/09/2009"</f>
        <v>18/09/2009</v>
      </c>
      <c r="B80" t="str">
        <f>"5.8713"</f>
        <v>5.8713</v>
      </c>
      <c r="C80" t="str">
        <f>"5.8763"</f>
        <v>5.8763</v>
      </c>
    </row>
    <row r="81" spans="1:3" x14ac:dyDescent="0.25">
      <c r="A81" t="str">
        <f>"22/09/2009"</f>
        <v>22/09/2009</v>
      </c>
      <c r="B81" t="str">
        <f>"5.8984"</f>
        <v>5.8984</v>
      </c>
      <c r="C81" t="str">
        <f>"5.9036"</f>
        <v>5.9036</v>
      </c>
    </row>
    <row r="82" spans="1:3" x14ac:dyDescent="0.25">
      <c r="A82" t="str">
        <f>"23/09/2009"</f>
        <v>23/09/2009</v>
      </c>
      <c r="B82" t="str">
        <f>"5.833"</f>
        <v>5.833</v>
      </c>
      <c r="C82" t="str">
        <f>"5.8382"</f>
        <v>5.8382</v>
      </c>
    </row>
    <row r="83" spans="1:3" x14ac:dyDescent="0.25">
      <c r="A83" t="str">
        <f>"24/09/2009"</f>
        <v>24/09/2009</v>
      </c>
      <c r="B83" t="str">
        <f>"5.8025"</f>
        <v>5.8025</v>
      </c>
      <c r="C83" t="str">
        <f>"5.8076"</f>
        <v>5.8076</v>
      </c>
    </row>
    <row r="84" spans="1:3" x14ac:dyDescent="0.25">
      <c r="A84" t="str">
        <f>"25/09/2009"</f>
        <v>25/09/2009</v>
      </c>
      <c r="B84" t="str">
        <f>"5.8394"</f>
        <v>5.8394</v>
      </c>
      <c r="C84" t="str">
        <f>"5.8446"</f>
        <v>5.8446</v>
      </c>
    </row>
    <row r="85" spans="1:3" x14ac:dyDescent="0.25">
      <c r="A85" t="str">
        <f>"29/09/2009"</f>
        <v>29/09/2009</v>
      </c>
      <c r="B85" t="str">
        <f>"5.8308"</f>
        <v>5.8308</v>
      </c>
      <c r="C85" t="str">
        <f>"5.8365"</f>
        <v>5.8365</v>
      </c>
    </row>
    <row r="86" spans="1:3" x14ac:dyDescent="0.25">
      <c r="A86" t="str">
        <f>"01/10/2009"</f>
        <v>01/10/2009</v>
      </c>
      <c r="B86" t="str">
        <f>"5.7847"</f>
        <v>5.7847</v>
      </c>
      <c r="C86" t="str">
        <f>"5.7903"</f>
        <v>5.7903</v>
      </c>
    </row>
    <row r="87" spans="1:3" x14ac:dyDescent="0.25">
      <c r="A87" t="str">
        <f>"05/10/2009"</f>
        <v>05/10/2009</v>
      </c>
      <c r="B87" t="str">
        <f>"5.7753"</f>
        <v>5.7753</v>
      </c>
      <c r="C87" t="str">
        <f>"5.7815"</f>
        <v>5.7815</v>
      </c>
    </row>
    <row r="88" spans="1:3" x14ac:dyDescent="0.25">
      <c r="A88" t="str">
        <f>"06/10/2009"</f>
        <v>06/10/2009</v>
      </c>
      <c r="B88" t="str">
        <f>"5.7203"</f>
        <v>5.7203</v>
      </c>
      <c r="C88" t="str">
        <f>"5.7263"</f>
        <v>5.7263</v>
      </c>
    </row>
    <row r="89" spans="1:3" x14ac:dyDescent="0.25">
      <c r="A89" t="str">
        <f>"07/10/2009"</f>
        <v>07/10/2009</v>
      </c>
      <c r="B89" t="str">
        <f>"5.6994"</f>
        <v>5.6994</v>
      </c>
      <c r="C89" t="str">
        <f>"5.7054"</f>
        <v>5.7054</v>
      </c>
    </row>
    <row r="90" spans="1:3" x14ac:dyDescent="0.25">
      <c r="A90" t="str">
        <f>"08/10/2009"</f>
        <v>08/10/2009</v>
      </c>
      <c r="B90" t="str">
        <f>"5.6508"</f>
        <v>5.6508</v>
      </c>
      <c r="C90" t="str">
        <f>"5.6566"</f>
        <v>5.6566</v>
      </c>
    </row>
    <row r="91" spans="1:3" x14ac:dyDescent="0.25">
      <c r="A91" t="str">
        <f>"09/10/2009"</f>
        <v>09/10/2009</v>
      </c>
      <c r="B91" t="str">
        <f>"5.6788"</f>
        <v>5.6788</v>
      </c>
      <c r="C91" t="str">
        <f>"5.6848"</f>
        <v>5.6848</v>
      </c>
    </row>
    <row r="92" spans="1:3" x14ac:dyDescent="0.25">
      <c r="A92" t="str">
        <f>"12/10/2009"</f>
        <v>12/10/2009</v>
      </c>
      <c r="B92" t="str">
        <f>"5.6512"</f>
        <v>5.6512</v>
      </c>
      <c r="C92" t="str">
        <f>"5.6573"</f>
        <v>5.6573</v>
      </c>
    </row>
    <row r="93" spans="1:3" x14ac:dyDescent="0.25">
      <c r="A93" t="str">
        <f>"14/10/2009"</f>
        <v>14/10/2009</v>
      </c>
      <c r="B93" t="str">
        <f>"5.609"</f>
        <v>5.609</v>
      </c>
      <c r="C93" t="str">
        <f>"5.6151"</f>
        <v>5.6151</v>
      </c>
    </row>
    <row r="94" spans="1:3" x14ac:dyDescent="0.25">
      <c r="A94" t="str">
        <f>"15/10/2009"</f>
        <v>15/10/2009</v>
      </c>
      <c r="B94" t="str">
        <f>"5.523"</f>
        <v>5.523</v>
      </c>
      <c r="C94" t="str">
        <f>"5.5292"</f>
        <v>5.5292</v>
      </c>
    </row>
    <row r="95" spans="1:3" x14ac:dyDescent="0.25">
      <c r="A95" t="str">
        <f>"16/10/2009"</f>
        <v>16/10/2009</v>
      </c>
      <c r="B95" t="str">
        <f>"5.562"</f>
        <v>5.562</v>
      </c>
      <c r="C95" t="str">
        <f>"5.5685"</f>
        <v>5.5685</v>
      </c>
    </row>
    <row r="96" spans="1:3" x14ac:dyDescent="0.25">
      <c r="A96" t="str">
        <f>"20/10/2009"</f>
        <v>20/10/2009</v>
      </c>
      <c r="B96" t="str">
        <f>"5.5654"</f>
        <v>5.5654</v>
      </c>
      <c r="C96" t="str">
        <f>"5.5725"</f>
        <v>5.5725</v>
      </c>
    </row>
    <row r="97" spans="1:3" x14ac:dyDescent="0.25">
      <c r="A97" t="str">
        <f>"21/10/2009"</f>
        <v>21/10/2009</v>
      </c>
      <c r="B97" t="str">
        <f>"5.6028"</f>
        <v>5.6028</v>
      </c>
      <c r="C97" t="str">
        <f>"5.6095"</f>
        <v>5.6095</v>
      </c>
    </row>
    <row r="98" spans="1:3" x14ac:dyDescent="0.25">
      <c r="A98" t="str">
        <f>"22/10/2009"</f>
        <v>22/10/2009</v>
      </c>
      <c r="B98" t="str">
        <f>"5.5698"</f>
        <v>5.5698</v>
      </c>
      <c r="C98" t="str">
        <f>"5.5765"</f>
        <v>5.5765</v>
      </c>
    </row>
    <row r="99" spans="1:3" x14ac:dyDescent="0.25">
      <c r="A99" t="str">
        <f>"23/10/2009"</f>
        <v>23/10/2009</v>
      </c>
      <c r="B99" t="str">
        <f>"5.5276"</f>
        <v>5.5276</v>
      </c>
      <c r="C99" t="str">
        <f>"5.5344"</f>
        <v>5.5344</v>
      </c>
    </row>
    <row r="100" spans="1:3" x14ac:dyDescent="0.25">
      <c r="A100" t="str">
        <f>"26/10/2009"</f>
        <v>26/10/2009</v>
      </c>
      <c r="B100" t="str">
        <f>"5.5484"</f>
        <v>5.5484</v>
      </c>
      <c r="C100" t="str">
        <f>"5.5553"</f>
        <v>5.5553</v>
      </c>
    </row>
    <row r="101" spans="1:3" x14ac:dyDescent="0.25">
      <c r="A101" t="str">
        <f>"27/10/2009"</f>
        <v>27/10/2009</v>
      </c>
      <c r="B101" t="str">
        <f>"5.6334"</f>
        <v>5.6334</v>
      </c>
      <c r="C101" t="str">
        <f>"5.6408"</f>
        <v>5.6408</v>
      </c>
    </row>
    <row r="102" spans="1:3" x14ac:dyDescent="0.25">
      <c r="A102" t="str">
        <f>"28/10/2009"</f>
        <v>28/10/2009</v>
      </c>
      <c r="B102" t="str">
        <f>"5.656"</f>
        <v>5.656</v>
      </c>
      <c r="C102" t="str">
        <f>"5.663"</f>
        <v>5.663</v>
      </c>
    </row>
    <row r="103" spans="1:3" x14ac:dyDescent="0.25">
      <c r="A103" t="str">
        <f>"29/10/2009"</f>
        <v>29/10/2009</v>
      </c>
      <c r="B103" t="str">
        <f>"5.7519"</f>
        <v>5.7519</v>
      </c>
      <c r="C103" t="str">
        <f>"5.7587"</f>
        <v>5.7587</v>
      </c>
    </row>
    <row r="104" spans="1:3" x14ac:dyDescent="0.25">
      <c r="A104" t="str">
        <f>"30/10/2009"</f>
        <v>30/10/2009</v>
      </c>
      <c r="B104" t="str">
        <f>"5.6398"</f>
        <v>5.6398</v>
      </c>
      <c r="C104" t="str">
        <f>"5.6463"</f>
        <v>5.6463</v>
      </c>
    </row>
    <row r="105" spans="1:3" x14ac:dyDescent="0.25">
      <c r="A105" t="str">
        <f>"03/11/2009"</f>
        <v>03/11/2009</v>
      </c>
      <c r="B105" t="str">
        <f>"5.7568"</f>
        <v>5.7568</v>
      </c>
      <c r="C105" t="str">
        <f>"5.7636"</f>
        <v>5.7636</v>
      </c>
    </row>
    <row r="106" spans="1:3" x14ac:dyDescent="0.25">
      <c r="A106" t="str">
        <f>"04/11/2009"</f>
        <v>04/11/2009</v>
      </c>
      <c r="B106" t="str">
        <f>"5.7729"</f>
        <v>5.7729</v>
      </c>
      <c r="C106" t="str">
        <f>"5.7798"</f>
        <v>5.7798</v>
      </c>
    </row>
    <row r="107" spans="1:3" x14ac:dyDescent="0.25">
      <c r="A107" t="str">
        <f>"05/11/2009"</f>
        <v>05/11/2009</v>
      </c>
      <c r="B107" t="str">
        <f>"5.7043"</f>
        <v>5.7043</v>
      </c>
      <c r="C107" t="str">
        <f>"5.7109"</f>
        <v>5.7109</v>
      </c>
    </row>
    <row r="108" spans="1:3" x14ac:dyDescent="0.25">
      <c r="A108" t="str">
        <f>"06/11/2009"</f>
        <v>06/11/2009</v>
      </c>
      <c r="B108" t="str">
        <f>"5.6811"</f>
        <v>5.6811</v>
      </c>
      <c r="C108" t="str">
        <f>"5.6875"</f>
        <v>5.6875</v>
      </c>
    </row>
    <row r="109" spans="1:3" x14ac:dyDescent="0.25">
      <c r="A109" t="str">
        <f>"09/11/2009"</f>
        <v>09/11/2009</v>
      </c>
      <c r="B109" t="str">
        <f>"5.6514"</f>
        <v>5.6514</v>
      </c>
      <c r="C109" t="str">
        <f>"5.6586"</f>
        <v>5.6586</v>
      </c>
    </row>
    <row r="110" spans="1:3" x14ac:dyDescent="0.25">
      <c r="A110" t="str">
        <f>"10/11/2009"</f>
        <v>10/11/2009</v>
      </c>
      <c r="B110" t="str">
        <f>"5.5971"</f>
        <v>5.5971</v>
      </c>
      <c r="C110" t="str">
        <f>"5.6039"</f>
        <v>5.6039</v>
      </c>
    </row>
    <row r="111" spans="1:3" x14ac:dyDescent="0.25">
      <c r="A111" t="str">
        <f>"11/11/2009"</f>
        <v>11/11/2009</v>
      </c>
      <c r="B111" t="str">
        <f>"5.5951"</f>
        <v>5.5951</v>
      </c>
      <c r="C111" t="str">
        <f>"5.6019"</f>
        <v>5.6019</v>
      </c>
    </row>
    <row r="112" spans="1:3" x14ac:dyDescent="0.25">
      <c r="A112" t="str">
        <f>"12/11/2009"</f>
        <v>12/11/2009</v>
      </c>
      <c r="B112" t="str">
        <f>"5.5889"</f>
        <v>5.5889</v>
      </c>
      <c r="C112" t="str">
        <f>"5.5954"</f>
        <v>5.5954</v>
      </c>
    </row>
    <row r="113" spans="1:3" x14ac:dyDescent="0.25">
      <c r="A113" t="str">
        <f>"13/11/2009"</f>
        <v>13/11/2009</v>
      </c>
      <c r="B113" t="str">
        <f>"5.6626"</f>
        <v>5.6626</v>
      </c>
      <c r="C113" t="str">
        <f>"5.6691"</f>
        <v>5.6691</v>
      </c>
    </row>
    <row r="114" spans="1:3" x14ac:dyDescent="0.25">
      <c r="A114" t="str">
        <f>"16/11/2009"</f>
        <v>16/11/2009</v>
      </c>
      <c r="B114" t="str">
        <f>"5.6008"</f>
        <v>5.6008</v>
      </c>
      <c r="C114" t="str">
        <f>"5.6073"</f>
        <v>5.6073</v>
      </c>
    </row>
    <row r="115" spans="1:3" x14ac:dyDescent="0.25">
      <c r="A115" t="str">
        <f>"17/11/2009"</f>
        <v>17/11/2009</v>
      </c>
      <c r="B115" t="str">
        <f>"5.5773"</f>
        <v>5.5773</v>
      </c>
      <c r="C115" t="str">
        <f>"5.5844"</f>
        <v>5.5844</v>
      </c>
    </row>
    <row r="116" spans="1:3" x14ac:dyDescent="0.25">
      <c r="A116" t="str">
        <f>"18/11/2009"</f>
        <v>18/11/2009</v>
      </c>
      <c r="B116" t="str">
        <f>"5.623"</f>
        <v>5.623</v>
      </c>
      <c r="C116" t="str">
        <f>"5.6301"</f>
        <v>5.6301</v>
      </c>
    </row>
    <row r="117" spans="1:3" x14ac:dyDescent="0.25">
      <c r="A117" t="str">
        <f>"19/11/2009"</f>
        <v>19/11/2009</v>
      </c>
      <c r="B117" t="str">
        <f>"5.6096"</f>
        <v>5.6096</v>
      </c>
      <c r="C117" t="str">
        <f>"5.6165"</f>
        <v>5.6165</v>
      </c>
    </row>
    <row r="118" spans="1:3" x14ac:dyDescent="0.25">
      <c r="A118" t="str">
        <f>"20/11/2009"</f>
        <v>20/11/2009</v>
      </c>
      <c r="B118" t="str">
        <f>"5.6534"</f>
        <v>5.6534</v>
      </c>
      <c r="C118" t="str">
        <f>"5.6603"</f>
        <v>5.6603</v>
      </c>
    </row>
    <row r="119" spans="1:3" x14ac:dyDescent="0.25">
      <c r="A119" t="str">
        <f>"23/11/2009"</f>
        <v>23/11/2009</v>
      </c>
      <c r="B119" t="str">
        <f>"5.6435"</f>
        <v>5.6435</v>
      </c>
      <c r="C119" t="str">
        <f>"5.6512"</f>
        <v>5.6512</v>
      </c>
    </row>
    <row r="120" spans="1:3" x14ac:dyDescent="0.25">
      <c r="A120" t="str">
        <f>"24/11/2009"</f>
        <v>24/11/2009</v>
      </c>
      <c r="B120" t="str">
        <f>"5.61"</f>
        <v>5.61</v>
      </c>
      <c r="C120" t="str">
        <f>"5.6173"</f>
        <v>5.6173</v>
      </c>
    </row>
    <row r="121" spans="1:3" x14ac:dyDescent="0.25">
      <c r="A121" t="str">
        <f>"25/11/2009"</f>
        <v>25/11/2009</v>
      </c>
      <c r="B121" t="str">
        <f>"5.6075"</f>
        <v>5.6075</v>
      </c>
      <c r="C121" t="str">
        <f>"5.6148"</f>
        <v>5.6148</v>
      </c>
    </row>
    <row r="122" spans="1:3" x14ac:dyDescent="0.25">
      <c r="A122" t="str">
        <f>"26/11/2009"</f>
        <v>26/11/2009</v>
      </c>
      <c r="B122" t="str">
        <f>"5.582"</f>
        <v>5.582</v>
      </c>
      <c r="C122" t="str">
        <f>"5.5892"</f>
        <v>5.5892</v>
      </c>
    </row>
    <row r="123" spans="1:3" x14ac:dyDescent="0.25">
      <c r="A123" t="str">
        <f>"27/11/2009"</f>
        <v>27/11/2009</v>
      </c>
      <c r="B123" t="str">
        <f>"5.6985"</f>
        <v>5.6985</v>
      </c>
      <c r="C123" t="str">
        <f>"5.7065"</f>
        <v>5.7065</v>
      </c>
    </row>
    <row r="124" spans="1:3" x14ac:dyDescent="0.25">
      <c r="A124" t="str">
        <f>"30/11/2009"</f>
        <v>30/11/2009</v>
      </c>
      <c r="B124" t="str">
        <f>"5.6402"</f>
        <v>5.6402</v>
      </c>
      <c r="C124" t="str">
        <f>"5.648"</f>
        <v>5.648</v>
      </c>
    </row>
    <row r="125" spans="1:3" x14ac:dyDescent="0.25">
      <c r="A125" t="str">
        <f>"01/12/2009"</f>
        <v>01/12/2009</v>
      </c>
      <c r="B125" t="str">
        <f>"5.6792"</f>
        <v>5.6792</v>
      </c>
      <c r="C125" t="str">
        <f>"5.6865"</f>
        <v>5.6865</v>
      </c>
    </row>
    <row r="126" spans="1:3" x14ac:dyDescent="0.25">
      <c r="A126" t="str">
        <f>"02/12/2009"</f>
        <v>02/12/2009</v>
      </c>
      <c r="B126" t="str">
        <f>"5.6061"</f>
        <v>5.6061</v>
      </c>
      <c r="C126" t="str">
        <f>"5.6133"</f>
        <v>5.6133</v>
      </c>
    </row>
    <row r="127" spans="1:3" x14ac:dyDescent="0.25">
      <c r="A127" t="str">
        <f>"03/12/2009"</f>
        <v>03/12/2009</v>
      </c>
      <c r="B127" t="str">
        <f>"5.5949"</f>
        <v>5.5949</v>
      </c>
      <c r="C127" t="str">
        <f>"5.6019"</f>
        <v>5.6019</v>
      </c>
    </row>
    <row r="128" spans="1:3" x14ac:dyDescent="0.25">
      <c r="A128" t="str">
        <f>"04/12/2009"</f>
        <v>04/12/2009</v>
      </c>
      <c r="B128" t="str">
        <f>"5.6293"</f>
        <v>5.6293</v>
      </c>
      <c r="C128" t="str">
        <f>"5.6364"</f>
        <v>5.6364</v>
      </c>
    </row>
    <row r="129" spans="1:3" x14ac:dyDescent="0.25">
      <c r="A129" t="str">
        <f>"07/12/2009"</f>
        <v>07/12/2009</v>
      </c>
      <c r="B129" t="str">
        <f>"5.6739"</f>
        <v>5.6739</v>
      </c>
      <c r="C129" t="str">
        <f>"5.6813"</f>
        <v>5.6813</v>
      </c>
    </row>
    <row r="130" spans="1:3" x14ac:dyDescent="0.25">
      <c r="A130" t="str">
        <f>"08/12/2009"</f>
        <v>08/12/2009</v>
      </c>
      <c r="B130" t="str">
        <f>"5.71"</f>
        <v>5.71</v>
      </c>
      <c r="C130" t="str">
        <f>"5.7175"</f>
        <v>5.7175</v>
      </c>
    </row>
    <row r="131" spans="1:3" x14ac:dyDescent="0.25">
      <c r="A131" t="str">
        <f>"09/12/2009"</f>
        <v>09/12/2009</v>
      </c>
      <c r="B131" t="str">
        <f>"5.7854"</f>
        <v>5.7854</v>
      </c>
      <c r="C131" t="str">
        <f>"5.7927"</f>
        <v>5.7927</v>
      </c>
    </row>
    <row r="132" spans="1:3" x14ac:dyDescent="0.25">
      <c r="A132" t="str">
        <f>"10/12/2009"</f>
        <v>10/12/2009</v>
      </c>
      <c r="B132" t="str">
        <f>"5.7292"</f>
        <v>5.7292</v>
      </c>
      <c r="C132" t="str">
        <f>"5.7363"</f>
        <v>5.7363</v>
      </c>
    </row>
    <row r="133" spans="1:3" x14ac:dyDescent="0.25">
      <c r="A133" t="str">
        <f>"11/12/2009"</f>
        <v>11/12/2009</v>
      </c>
      <c r="B133" t="str">
        <f>"5.7441"</f>
        <v>5.7441</v>
      </c>
      <c r="C133" t="str">
        <f>"5.7514"</f>
        <v>5.7514</v>
      </c>
    </row>
    <row r="134" spans="1:3" x14ac:dyDescent="0.25">
      <c r="A134" t="str">
        <f>"14/12/2009"</f>
        <v>14/12/2009</v>
      </c>
      <c r="B134" t="str">
        <f>"5.7893"</f>
        <v>5.7893</v>
      </c>
      <c r="C134" t="str">
        <f>"5.7971"</f>
        <v>5.7971</v>
      </c>
    </row>
    <row r="135" spans="1:3" x14ac:dyDescent="0.25">
      <c r="A135" t="str">
        <f>"15/12/2009"</f>
        <v>15/12/2009</v>
      </c>
      <c r="B135" t="str">
        <f>"5.7839"</f>
        <v>5.7839</v>
      </c>
      <c r="C135" t="str">
        <f>"5.7918"</f>
        <v>5.7918</v>
      </c>
    </row>
    <row r="136" spans="1:3" x14ac:dyDescent="0.25">
      <c r="A136" t="str">
        <f>"16/12/2009"</f>
        <v>16/12/2009</v>
      </c>
      <c r="B136" t="str">
        <f>"5.834"</f>
        <v>5.834</v>
      </c>
      <c r="C136" t="str">
        <f>"5.8417"</f>
        <v>5.8417</v>
      </c>
    </row>
    <row r="137" spans="1:3" x14ac:dyDescent="0.25">
      <c r="A137" t="str">
        <f>"17/12/2009"</f>
        <v>17/12/2009</v>
      </c>
      <c r="B137" t="str">
        <f>"5.8215"</f>
        <v>5.8215</v>
      </c>
      <c r="C137" t="str">
        <f>"5.8299"</f>
        <v>5.8299</v>
      </c>
    </row>
    <row r="138" spans="1:3" x14ac:dyDescent="0.25">
      <c r="A138" t="str">
        <f>"18/12/2009"</f>
        <v>18/12/2009</v>
      </c>
      <c r="B138" t="str">
        <f>"5.8539"</f>
        <v>5.8539</v>
      </c>
      <c r="C138" t="str">
        <f>"5.8618"</f>
        <v>5.8618</v>
      </c>
    </row>
    <row r="139" spans="1:3" x14ac:dyDescent="0.25">
      <c r="A139" t="str">
        <f>"21/12/2009"</f>
        <v>21/12/2009</v>
      </c>
      <c r="B139" t="str">
        <f>"5.8391"</f>
        <v>5.8391</v>
      </c>
      <c r="C139" t="str">
        <f>"5.8477"</f>
        <v>5.8477</v>
      </c>
    </row>
    <row r="140" spans="1:3" x14ac:dyDescent="0.25">
      <c r="A140" t="str">
        <f>"22/12/2009"</f>
        <v>22/12/2009</v>
      </c>
      <c r="B140" t="str">
        <f>"5.8644"</f>
        <v>5.8644</v>
      </c>
      <c r="C140" t="str">
        <f>"5.8727"</f>
        <v>5.8727</v>
      </c>
    </row>
    <row r="141" spans="1:3" x14ac:dyDescent="0.25">
      <c r="A141" t="str">
        <f>"23/12/2009"</f>
        <v>23/12/2009</v>
      </c>
      <c r="B141" t="str">
        <f>"5.8798"</f>
        <v>5.8798</v>
      </c>
      <c r="C141" t="str">
        <f>"5.8877"</f>
        <v>5.8877</v>
      </c>
    </row>
    <row r="142" spans="1:3" x14ac:dyDescent="0.25">
      <c r="A142" t="str">
        <f>"24/12/2009"</f>
        <v>24/12/2009</v>
      </c>
      <c r="B142" t="str">
        <f>"5.8285"</f>
        <v>5.8285</v>
      </c>
      <c r="C142" t="str">
        <f>"5.8362"</f>
        <v>5.8362</v>
      </c>
    </row>
    <row r="143" spans="1:3" x14ac:dyDescent="0.25">
      <c r="A143" t="str">
        <f>"29/12/2009"</f>
        <v>29/12/2009</v>
      </c>
      <c r="B143" t="str">
        <f>"5.8099"</f>
        <v>5.8099</v>
      </c>
      <c r="C143" t="str">
        <f>"5.8175"</f>
        <v>5.8175</v>
      </c>
    </row>
    <row r="144" spans="1:3" x14ac:dyDescent="0.25">
      <c r="A144" t="str">
        <f>"30/12/2009"</f>
        <v>30/12/2009</v>
      </c>
      <c r="B144" t="str">
        <f>"5.8313"</f>
        <v>5.8313</v>
      </c>
      <c r="C144" t="str">
        <f>"5.8389"</f>
        <v>5.8389</v>
      </c>
    </row>
    <row r="145" spans="1:3" x14ac:dyDescent="0.25">
      <c r="A145" t="str">
        <f>"31/12/2009"</f>
        <v>31/12/2009</v>
      </c>
      <c r="B145" t="str">
        <f>"5.793"</f>
        <v>5.793</v>
      </c>
      <c r="C145" t="str">
        <f>"5.8011"</f>
        <v>5.8011</v>
      </c>
    </row>
    <row r="146" spans="1:3" x14ac:dyDescent="0.25">
      <c r="A146" t="str">
        <f>"01/01/2010"</f>
        <v>01/01/2010</v>
      </c>
      <c r="B146" t="str">
        <f>"5.8112"</f>
        <v>5.8112</v>
      </c>
      <c r="C146" t="str">
        <f>"5.8193"</f>
        <v>5.8193</v>
      </c>
    </row>
    <row r="147" spans="1:3" x14ac:dyDescent="0.25">
      <c r="A147" t="str">
        <f>"04/01/2010"</f>
        <v>04/01/2010</v>
      </c>
      <c r="B147" t="str">
        <f>"5.8012"</f>
        <v>5.8012</v>
      </c>
      <c r="C147" t="str">
        <f>"5.8093"</f>
        <v>5.8093</v>
      </c>
    </row>
    <row r="148" spans="1:3" x14ac:dyDescent="0.25">
      <c r="A148" t="str">
        <f>"05/01/2010"</f>
        <v>05/01/2010</v>
      </c>
      <c r="B148" t="str">
        <f>"5.7101"</f>
        <v>5.7101</v>
      </c>
      <c r="C148" t="str">
        <f>"5.7185"</f>
        <v>5.7185</v>
      </c>
    </row>
    <row r="149" spans="1:3" x14ac:dyDescent="0.25">
      <c r="A149" t="str">
        <f>"06/01/2010"</f>
        <v>06/01/2010</v>
      </c>
      <c r="B149" t="str">
        <f>"5.7233"</f>
        <v>5.7233</v>
      </c>
      <c r="C149" t="str">
        <f>"5.7313"</f>
        <v>5.7313</v>
      </c>
    </row>
    <row r="150" spans="1:3" x14ac:dyDescent="0.25">
      <c r="A150" t="str">
        <f>"07/01/2010"</f>
        <v>07/01/2010</v>
      </c>
      <c r="B150" t="str">
        <f>"5.6815"</f>
        <v>5.6815</v>
      </c>
      <c r="C150" t="str">
        <f>"5.6894"</f>
        <v>5.6894</v>
      </c>
    </row>
    <row r="151" spans="1:3" x14ac:dyDescent="0.25">
      <c r="A151" t="str">
        <f>"08/01/2010"</f>
        <v>08/01/2010</v>
      </c>
      <c r="B151" t="str">
        <f>"5.7123"</f>
        <v>5.7123</v>
      </c>
      <c r="C151" t="str">
        <f>"5.7204"</f>
        <v>5.7204</v>
      </c>
    </row>
    <row r="152" spans="1:3" x14ac:dyDescent="0.25">
      <c r="A152" t="str">
        <f>"11/01/2010"</f>
        <v>11/01/2010</v>
      </c>
      <c r="B152" t="str">
        <f>"5.6249"</f>
        <v>5.6249</v>
      </c>
      <c r="C152" t="str">
        <f>"5.6339"</f>
        <v>5.6339</v>
      </c>
    </row>
    <row r="153" spans="1:3" x14ac:dyDescent="0.25">
      <c r="A153" t="str">
        <f>"12/01/2010"</f>
        <v>12/01/2010</v>
      </c>
      <c r="B153" t="str">
        <f>"5.6383"</f>
        <v>5.6383</v>
      </c>
      <c r="C153" t="str">
        <f>"5.6473"</f>
        <v>5.6473</v>
      </c>
    </row>
    <row r="154" spans="1:3" x14ac:dyDescent="0.25">
      <c r="A154" t="str">
        <f>"13/01/2010"</f>
        <v>13/01/2010</v>
      </c>
      <c r="B154" t="str">
        <f>"5.6755"</f>
        <v>5.6755</v>
      </c>
      <c r="C154" t="str">
        <f>"5.6843"</f>
        <v>5.6843</v>
      </c>
    </row>
    <row r="155" spans="1:3" x14ac:dyDescent="0.25">
      <c r="A155" t="str">
        <f>"14/01/2010"</f>
        <v>14/01/2010</v>
      </c>
      <c r="B155" t="str">
        <f>"5.6374"</f>
        <v>5.6374</v>
      </c>
      <c r="C155" t="str">
        <f>"5.6459"</f>
        <v>5.6459</v>
      </c>
    </row>
    <row r="156" spans="1:3" x14ac:dyDescent="0.25">
      <c r="A156" t="str">
        <f>"15/01/2010"</f>
        <v>15/01/2010</v>
      </c>
      <c r="B156" t="str">
        <f>"5.6608"</f>
        <v>5.6608</v>
      </c>
      <c r="C156" t="str">
        <f>"5.6691"</f>
        <v>5.6691</v>
      </c>
    </row>
    <row r="157" spans="1:3" x14ac:dyDescent="0.25">
      <c r="A157" t="str">
        <f>"18/01/2010"</f>
        <v>18/01/2010</v>
      </c>
      <c r="B157" t="str">
        <f>"5.6925"</f>
        <v>5.6925</v>
      </c>
      <c r="C157" t="str">
        <f>"5.7014"</f>
        <v>5.7014</v>
      </c>
    </row>
    <row r="158" spans="1:3" x14ac:dyDescent="0.25">
      <c r="A158" t="str">
        <f>"19/01/2010"</f>
        <v>19/01/2010</v>
      </c>
      <c r="B158" t="str">
        <f>"5.6549"</f>
        <v>5.6549</v>
      </c>
      <c r="C158" t="str">
        <f>"5.6638"</f>
        <v>5.6638</v>
      </c>
    </row>
    <row r="159" spans="1:3" x14ac:dyDescent="0.25">
      <c r="A159" t="str">
        <f>"20/01/2010"</f>
        <v>20/01/2010</v>
      </c>
      <c r="B159" t="str">
        <f>"5.7241"</f>
        <v>5.7241</v>
      </c>
      <c r="C159" t="str">
        <f>"5.7327"</f>
        <v>5.7327</v>
      </c>
    </row>
    <row r="160" spans="1:3" x14ac:dyDescent="0.25">
      <c r="A160" t="str">
        <f>"21/01/2010"</f>
        <v>21/01/2010</v>
      </c>
      <c r="B160" t="str">
        <f>"5.7845"</f>
        <v>5.7845</v>
      </c>
      <c r="C160" t="str">
        <f>"5.7929"</f>
        <v>5.7929</v>
      </c>
    </row>
    <row r="161" spans="1:3" x14ac:dyDescent="0.25">
      <c r="A161" t="str">
        <f>"22/01/2010"</f>
        <v>22/01/2010</v>
      </c>
      <c r="B161" t="str">
        <f>"5.8065"</f>
        <v>5.8065</v>
      </c>
      <c r="C161" t="str">
        <f>"5.8151"</f>
        <v>5.8151</v>
      </c>
    </row>
    <row r="162" spans="1:3" x14ac:dyDescent="0.25">
      <c r="A162" t="str">
        <f>"25/01/2010"</f>
        <v>25/01/2010</v>
      </c>
      <c r="B162" t="str">
        <f>"5.7995"</f>
        <v>5.7995</v>
      </c>
      <c r="C162" t="str">
        <f>"5.8081"</f>
        <v>5.8081</v>
      </c>
    </row>
    <row r="163" spans="1:3" x14ac:dyDescent="0.25">
      <c r="A163" t="str">
        <f>"27/01/2010"</f>
        <v>27/01/2010</v>
      </c>
      <c r="B163" t="str">
        <f>"5.8402"</f>
        <v>5.8402</v>
      </c>
      <c r="C163" t="str">
        <f>"5.8483"</f>
        <v>5.8483</v>
      </c>
    </row>
    <row r="164" spans="1:3" x14ac:dyDescent="0.25">
      <c r="A164" t="str">
        <f>"28/01/2010"</f>
        <v>28/01/2010</v>
      </c>
      <c r="B164" t="str">
        <f>"5.8454"</f>
        <v>5.8454</v>
      </c>
      <c r="C164" t="str">
        <f>"5.8532"</f>
        <v>5.8532</v>
      </c>
    </row>
    <row r="165" spans="1:3" x14ac:dyDescent="0.25">
      <c r="A165" t="str">
        <f>"29/01/2010"</f>
        <v>29/01/2010</v>
      </c>
      <c r="B165" t="str">
        <f>"5.8904"</f>
        <v>5.8904</v>
      </c>
      <c r="C165" t="str">
        <f>"5.8982"</f>
        <v>5.8982</v>
      </c>
    </row>
    <row r="166" spans="1:3" x14ac:dyDescent="0.25">
      <c r="A166" t="str">
        <f>"01/02/2010"</f>
        <v>01/02/2010</v>
      </c>
      <c r="B166" t="str">
        <f>"5.9301"</f>
        <v>5.9301</v>
      </c>
      <c r="C166" t="str">
        <f>"5.9378"</f>
        <v>5.9378</v>
      </c>
    </row>
    <row r="167" spans="1:3" x14ac:dyDescent="0.25">
      <c r="A167" t="str">
        <f>"02/02/2010"</f>
        <v>02/02/2010</v>
      </c>
      <c r="B167" t="str">
        <f>"5.875"</f>
        <v>5.875</v>
      </c>
      <c r="C167" t="str">
        <f>"5.8828"</f>
        <v>5.8828</v>
      </c>
    </row>
    <row r="168" spans="1:3" x14ac:dyDescent="0.25">
      <c r="A168" t="str">
        <f>"03/02/2010"</f>
        <v>03/02/2010</v>
      </c>
      <c r="B168" t="str">
        <f>"5.847"</f>
        <v>5.847</v>
      </c>
      <c r="C168" t="str">
        <f>"5.8547"</f>
        <v>5.8547</v>
      </c>
    </row>
    <row r="169" spans="1:3" x14ac:dyDescent="0.25">
      <c r="A169" t="str">
        <f>"04/02/2010"</f>
        <v>04/02/2010</v>
      </c>
      <c r="B169" t="str">
        <f>"5.8845"</f>
        <v>5.8845</v>
      </c>
      <c r="C169" t="str">
        <f>"5.8921"</f>
        <v>5.8921</v>
      </c>
    </row>
    <row r="170" spans="1:3" x14ac:dyDescent="0.25">
      <c r="A170" t="str">
        <f>"05/02/2010"</f>
        <v>05/02/2010</v>
      </c>
      <c r="B170" t="str">
        <f>"5.9686"</f>
        <v>5.9686</v>
      </c>
      <c r="C170" t="str">
        <f>"5.9766"</f>
        <v>5.9766</v>
      </c>
    </row>
    <row r="171" spans="1:3" x14ac:dyDescent="0.25">
      <c r="A171" t="str">
        <f>"08/02/2010"</f>
        <v>08/02/2010</v>
      </c>
      <c r="B171" t="str">
        <f>"6.005"</f>
        <v>6.005</v>
      </c>
      <c r="C171" t="str">
        <f>"6.0128"</f>
        <v>6.0128</v>
      </c>
    </row>
    <row r="172" spans="1:3" x14ac:dyDescent="0.25">
      <c r="A172" t="str">
        <f>"09/02/2010"</f>
        <v>09/02/2010</v>
      </c>
      <c r="B172" t="str">
        <f>"5.9741"</f>
        <v>5.9741</v>
      </c>
      <c r="C172" t="str">
        <f>"5.9817"</f>
        <v>5.9817</v>
      </c>
    </row>
    <row r="173" spans="1:3" x14ac:dyDescent="0.25">
      <c r="A173" t="str">
        <f>"10/02/2010"</f>
        <v>10/02/2010</v>
      </c>
      <c r="B173" t="str">
        <f>"5.9211"</f>
        <v>5.9211</v>
      </c>
      <c r="C173" t="str">
        <f>"5.9287"</f>
        <v>5.9287</v>
      </c>
    </row>
    <row r="174" spans="1:3" x14ac:dyDescent="0.25">
      <c r="A174" t="str">
        <f>"11/02/2010"</f>
        <v>11/02/2010</v>
      </c>
      <c r="B174" t="str">
        <f>"5.8973"</f>
        <v>5.8973</v>
      </c>
      <c r="C174" t="str">
        <f>"5.9049"</f>
        <v>5.9049</v>
      </c>
    </row>
    <row r="175" spans="1:3" x14ac:dyDescent="0.25">
      <c r="A175" t="str">
        <f>"15/02/2010"</f>
        <v>15/02/2010</v>
      </c>
      <c r="B175" t="str">
        <f>"5.9304"</f>
        <v>5.9304</v>
      </c>
      <c r="C175" t="str">
        <f>"5.9379"</f>
        <v>5.9379</v>
      </c>
    </row>
    <row r="176" spans="1:3" x14ac:dyDescent="0.25">
      <c r="A176" t="str">
        <f>"16/02/2010"</f>
        <v>16/02/2010</v>
      </c>
      <c r="B176" t="str">
        <f>"5.9156"</f>
        <v>5.9156</v>
      </c>
      <c r="C176" t="str">
        <f>"5.9233"</f>
        <v>5.9233</v>
      </c>
    </row>
    <row r="177" spans="1:3" x14ac:dyDescent="0.25">
      <c r="A177" t="str">
        <f>"17/02/2010"</f>
        <v>17/02/2010</v>
      </c>
      <c r="B177" t="str">
        <f>"5.8543"</f>
        <v>5.8543</v>
      </c>
      <c r="C177" t="str">
        <f>"5.8618"</f>
        <v>5.8618</v>
      </c>
    </row>
    <row r="178" spans="1:3" x14ac:dyDescent="0.25">
      <c r="A178" t="str">
        <f>"18/02/2010"</f>
        <v>18/02/2010</v>
      </c>
      <c r="B178" t="str">
        <f>"5.9045"</f>
        <v>5.9045</v>
      </c>
      <c r="C178" t="str">
        <f>"5.912"</f>
        <v>5.912</v>
      </c>
    </row>
    <row r="179" spans="1:3" x14ac:dyDescent="0.25">
      <c r="A179" t="str">
        <f>"19/02/2010"</f>
        <v>19/02/2010</v>
      </c>
      <c r="B179" t="str">
        <f>"6.0011"</f>
        <v>6.0011</v>
      </c>
      <c r="C179" t="str">
        <f>"6.0086"</f>
        <v>6.0086</v>
      </c>
    </row>
    <row r="180" spans="1:3" x14ac:dyDescent="0.25">
      <c r="A180" t="str">
        <f>"22/02/2010"</f>
        <v>22/02/2010</v>
      </c>
      <c r="B180" t="str">
        <f>"5.9193"</f>
        <v>5.9193</v>
      </c>
      <c r="C180" t="str">
        <f>"5.9269"</f>
        <v>5.9269</v>
      </c>
    </row>
    <row r="181" spans="1:3" x14ac:dyDescent="0.25">
      <c r="A181" t="str">
        <f>"23/02/2010"</f>
        <v>23/02/2010</v>
      </c>
      <c r="B181" t="str">
        <f>"5.9074"</f>
        <v>5.9074</v>
      </c>
      <c r="C181" t="str">
        <f>"5.915"</f>
        <v>5.915</v>
      </c>
    </row>
    <row r="182" spans="1:3" x14ac:dyDescent="0.25">
      <c r="A182" t="str">
        <f>"24/02/2010"</f>
        <v>24/02/2010</v>
      </c>
      <c r="B182" t="str">
        <f>"5.9449"</f>
        <v>5.9449</v>
      </c>
      <c r="C182" t="str">
        <f>"5.9537"</f>
        <v>5.9537</v>
      </c>
    </row>
    <row r="183" spans="1:3" x14ac:dyDescent="0.25">
      <c r="A183" t="str">
        <f>"25/02/2010"</f>
        <v>25/02/2010</v>
      </c>
      <c r="B183" t="str">
        <f>"5.9637"</f>
        <v>5.9637</v>
      </c>
      <c r="C183" t="str">
        <f>"5.9737"</f>
        <v>5.9737</v>
      </c>
    </row>
    <row r="184" spans="1:3" x14ac:dyDescent="0.25">
      <c r="A184" t="str">
        <f>"26/02/2010"</f>
        <v>26/02/2010</v>
      </c>
      <c r="B184" t="str">
        <f>"5.9285"</f>
        <v>5.9285</v>
      </c>
      <c r="C184" t="str">
        <f>"5.9387"</f>
        <v>5.9387</v>
      </c>
    </row>
    <row r="185" spans="1:3" x14ac:dyDescent="0.25">
      <c r="A185" t="str">
        <f>"02/03/2010"</f>
        <v>02/03/2010</v>
      </c>
      <c r="B185" t="str">
        <f>"5.965"</f>
        <v>5.965</v>
      </c>
      <c r="C185" t="str">
        <f>"5.9744"</f>
        <v>5.9744</v>
      </c>
    </row>
    <row r="186" spans="1:3" x14ac:dyDescent="0.25">
      <c r="A186" t="str">
        <f>"03/03/2010"</f>
        <v>03/03/2010</v>
      </c>
      <c r="B186" t="str">
        <f>"5.9244"</f>
        <v>5.9244</v>
      </c>
      <c r="C186" t="str">
        <f>"5.9334"</f>
        <v>5.9334</v>
      </c>
    </row>
    <row r="187" spans="1:3" x14ac:dyDescent="0.25">
      <c r="A187" t="str">
        <f>"04/03/2010"</f>
        <v>04/03/2010</v>
      </c>
      <c r="B187" t="str">
        <f>"5.8908"</f>
        <v>5.8908</v>
      </c>
      <c r="C187" t="str">
        <f>"5.8999"</f>
        <v>5.8999</v>
      </c>
    </row>
    <row r="188" spans="1:3" x14ac:dyDescent="0.25">
      <c r="A188" t="str">
        <f>"05/03/2010"</f>
        <v>05/03/2010</v>
      </c>
      <c r="B188" t="str">
        <f>"5.9268"</f>
        <v>5.9268</v>
      </c>
      <c r="C188" t="str">
        <f>"5.9354"</f>
        <v>5.9354</v>
      </c>
    </row>
    <row r="189" spans="1:3" x14ac:dyDescent="0.25">
      <c r="A189" t="str">
        <f>"08/03/2010"</f>
        <v>08/03/2010</v>
      </c>
      <c r="B189" t="str">
        <f>"5.8755"</f>
        <v>5.8755</v>
      </c>
      <c r="C189" t="str">
        <f>"5.8846"</f>
        <v>5.8846</v>
      </c>
    </row>
    <row r="190" spans="1:3" x14ac:dyDescent="0.25">
      <c r="A190" t="str">
        <f>"09/03/2010"</f>
        <v>09/03/2010</v>
      </c>
      <c r="B190" t="str">
        <f>"5.9025"</f>
        <v>5.9025</v>
      </c>
      <c r="C190" t="str">
        <f>"5.9119"</f>
        <v>5.9119</v>
      </c>
    </row>
    <row r="191" spans="1:3" x14ac:dyDescent="0.25">
      <c r="A191" t="str">
        <f>"10/03/2010"</f>
        <v>10/03/2010</v>
      </c>
      <c r="B191" t="str">
        <f>"5.9127"</f>
        <v>5.9127</v>
      </c>
      <c r="C191" t="str">
        <f>"5.9217"</f>
        <v>5.9217</v>
      </c>
    </row>
    <row r="192" spans="1:3" x14ac:dyDescent="0.25">
      <c r="A192" t="str">
        <f>"11/03/2010"</f>
        <v>11/03/2010</v>
      </c>
      <c r="B192" t="str">
        <f>"5.8867"</f>
        <v>5.8867</v>
      </c>
      <c r="C192" t="str">
        <f>"5.8953"</f>
        <v>5.8953</v>
      </c>
    </row>
    <row r="193" spans="1:3" x14ac:dyDescent="0.25">
      <c r="A193" t="str">
        <f>"12/03/2010"</f>
        <v>12/03/2010</v>
      </c>
      <c r="B193" t="str">
        <f>"5.8643"</f>
        <v>5.8643</v>
      </c>
      <c r="C193" t="str">
        <f>"5.8729"</f>
        <v>5.8729</v>
      </c>
    </row>
    <row r="194" spans="1:3" x14ac:dyDescent="0.25">
      <c r="A194" t="str">
        <f>"15/03/2010"</f>
        <v>15/03/2010</v>
      </c>
      <c r="B194" t="str">
        <f>"5.8391"</f>
        <v>5.8391</v>
      </c>
      <c r="C194" t="str">
        <f>"5.8483"</f>
        <v>5.8483</v>
      </c>
    </row>
    <row r="195" spans="1:3" x14ac:dyDescent="0.25">
      <c r="A195" t="str">
        <f>"17/03/2010"</f>
        <v>17/03/2010</v>
      </c>
      <c r="B195" t="str">
        <f>"5.8305"</f>
        <v>5.8305</v>
      </c>
      <c r="C195" t="str">
        <f>"5.839"</f>
        <v>5.839</v>
      </c>
    </row>
    <row r="196" spans="1:3" x14ac:dyDescent="0.25">
      <c r="A196" t="str">
        <f>"18/03/2010"</f>
        <v>18/03/2010</v>
      </c>
      <c r="B196" t="str">
        <f>"5.8303"</f>
        <v>5.8303</v>
      </c>
      <c r="C196" t="str">
        <f>"5.8385"</f>
        <v>5.8385</v>
      </c>
    </row>
    <row r="197" spans="1:3" x14ac:dyDescent="0.25">
      <c r="A197" t="str">
        <f>"19/03/2010"</f>
        <v>19/03/2010</v>
      </c>
      <c r="B197" t="str">
        <f>"5.8694"</f>
        <v>5.8694</v>
      </c>
      <c r="C197" t="str">
        <f>"5.8775"</f>
        <v>5.8775</v>
      </c>
    </row>
    <row r="198" spans="1:3" x14ac:dyDescent="0.25">
      <c r="A198" t="str">
        <f>"22/03/2010"</f>
        <v>22/03/2010</v>
      </c>
      <c r="B198" t="str">
        <f>"5.9291"</f>
        <v>5.9291</v>
      </c>
      <c r="C198" t="str">
        <f>"5.938"</f>
        <v>5.938</v>
      </c>
    </row>
    <row r="199" spans="1:3" x14ac:dyDescent="0.25">
      <c r="A199" t="str">
        <f>"23/03/2010"</f>
        <v>23/03/2010</v>
      </c>
      <c r="B199" t="str">
        <f>"5.936"</f>
        <v>5.936</v>
      </c>
      <c r="C199" t="str">
        <f>"5.9451"</f>
        <v>5.9451</v>
      </c>
    </row>
    <row r="200" spans="1:3" x14ac:dyDescent="0.25">
      <c r="A200" t="str">
        <f>"25/03/2010"</f>
        <v>25/03/2010</v>
      </c>
      <c r="B200" t="str">
        <f>"6.0413"</f>
        <v>6.0413</v>
      </c>
      <c r="C200" t="str">
        <f>"6.0491"</f>
        <v>6.0491</v>
      </c>
    </row>
    <row r="201" spans="1:3" x14ac:dyDescent="0.25">
      <c r="A201" t="str">
        <f>"26/03/2010"</f>
        <v>26/03/2010</v>
      </c>
      <c r="B201" t="str">
        <f>"6.072"</f>
        <v>6.072</v>
      </c>
      <c r="C201" t="str">
        <f>"6.08"</f>
        <v>6.08</v>
      </c>
    </row>
    <row r="202" spans="1:3" x14ac:dyDescent="0.25">
      <c r="A202" t="str">
        <f>"29/03/2010"</f>
        <v>29/03/2010</v>
      </c>
      <c r="B202" t="str">
        <f>"6.0348"</f>
        <v>6.0348</v>
      </c>
      <c r="C202" t="str">
        <f>"6.0429"</f>
        <v>6.0429</v>
      </c>
    </row>
    <row r="203" spans="1:3" x14ac:dyDescent="0.25">
      <c r="A203" t="str">
        <f>"30/03/2010"</f>
        <v>30/03/2010</v>
      </c>
      <c r="B203" t="str">
        <f>"5.9614"</f>
        <v>5.9614</v>
      </c>
      <c r="C203" t="str">
        <f>"5.9693"</f>
        <v>5.9693</v>
      </c>
    </row>
    <row r="204" spans="1:3" x14ac:dyDescent="0.25">
      <c r="A204" t="str">
        <f>"31/03/2010"</f>
        <v>31/03/2010</v>
      </c>
      <c r="B204" t="str">
        <f>"5.9956"</f>
        <v>5.9956</v>
      </c>
      <c r="C204" t="str">
        <f>"6.0037"</f>
        <v>6.0037</v>
      </c>
    </row>
    <row r="205" spans="1:3" x14ac:dyDescent="0.25">
      <c r="A205" t="str">
        <f>"05/04/2010"</f>
        <v>05/04/2010</v>
      </c>
      <c r="B205" t="str">
        <f>"5.9328"</f>
        <v>5.9328</v>
      </c>
      <c r="C205" t="str">
        <f>"5.9411"</f>
        <v>5.9411</v>
      </c>
    </row>
    <row r="206" spans="1:3" x14ac:dyDescent="0.25">
      <c r="A206" t="str">
        <f>"06/04/2010"</f>
        <v>06/04/2010</v>
      </c>
      <c r="B206" t="str">
        <f>"5.9649"</f>
        <v>5.9649</v>
      </c>
      <c r="C206" t="str">
        <f>"5.9739"</f>
        <v>5.9739</v>
      </c>
    </row>
    <row r="207" spans="1:3" x14ac:dyDescent="0.25">
      <c r="A207" t="str">
        <f>"07/04/2010"</f>
        <v>07/04/2010</v>
      </c>
      <c r="B207" t="str">
        <f>"5.9682"</f>
        <v>5.9682</v>
      </c>
      <c r="C207" t="str">
        <f>"5.9767"</f>
        <v>5.9767</v>
      </c>
    </row>
    <row r="208" spans="1:3" x14ac:dyDescent="0.25">
      <c r="A208" t="str">
        <f>"08/04/2010"</f>
        <v>08/04/2010</v>
      </c>
      <c r="B208" t="str">
        <f>"5.9909"</f>
        <v>5.9909</v>
      </c>
      <c r="C208" t="str">
        <f>"5.9995"</f>
        <v>5.9995</v>
      </c>
    </row>
    <row r="209" spans="1:3" x14ac:dyDescent="0.25">
      <c r="A209" t="str">
        <f>"09/04/2010"</f>
        <v>09/04/2010</v>
      </c>
      <c r="B209" t="str">
        <f>"5.9542"</f>
        <v>5.9542</v>
      </c>
      <c r="C209" t="str">
        <f>"5.9626"</f>
        <v>5.9626</v>
      </c>
    </row>
    <row r="210" spans="1:3" x14ac:dyDescent="0.25">
      <c r="A210" t="str">
        <f>"12/04/2010"</f>
        <v>12/04/2010</v>
      </c>
      <c r="B210" t="str">
        <f>"5.8593"</f>
        <v>5.8593</v>
      </c>
      <c r="C210" t="str">
        <f>"5.8679"</f>
        <v>5.8679</v>
      </c>
    </row>
    <row r="211" spans="1:3" x14ac:dyDescent="0.25">
      <c r="A211" t="str">
        <f>"13/04/2010"</f>
        <v>13/04/2010</v>
      </c>
      <c r="B211" t="str">
        <f>"5.9005"</f>
        <v>5.9005</v>
      </c>
      <c r="C211" t="str">
        <f>"5.9095"</f>
        <v>5.9095</v>
      </c>
    </row>
    <row r="212" spans="1:3" x14ac:dyDescent="0.25">
      <c r="A212" t="str">
        <f>"15/04/2010"</f>
        <v>15/04/2010</v>
      </c>
      <c r="B212" t="str">
        <f>"5.8544"</f>
        <v>5.8544</v>
      </c>
      <c r="C212" t="str">
        <f>"5.8634"</f>
        <v>5.8634</v>
      </c>
    </row>
    <row r="213" spans="1:3" x14ac:dyDescent="0.25">
      <c r="A213" t="str">
        <f>"16/04/2010"</f>
        <v>16/04/2010</v>
      </c>
      <c r="B213" t="str">
        <f>"5.8678"</f>
        <v>5.8678</v>
      </c>
      <c r="C213" t="str">
        <f>"5.8763"</f>
        <v>5.8763</v>
      </c>
    </row>
    <row r="214" spans="1:3" x14ac:dyDescent="0.25">
      <c r="A214" t="str">
        <f>"19/04/2010"</f>
        <v>19/04/2010</v>
      </c>
      <c r="B214" t="str">
        <f>"5.9229"</f>
        <v>5.9229</v>
      </c>
      <c r="C214" t="str">
        <f>"5.9313"</f>
        <v>5.9313</v>
      </c>
    </row>
    <row r="215" spans="1:3" x14ac:dyDescent="0.25">
      <c r="A215" t="str">
        <f>"20/04/2010"</f>
        <v>20/04/2010</v>
      </c>
      <c r="B215" t="str">
        <f>"5.9212"</f>
        <v>5.9212</v>
      </c>
      <c r="C215" t="str">
        <f>"5.9297"</f>
        <v>5.9297</v>
      </c>
    </row>
    <row r="216" spans="1:3" x14ac:dyDescent="0.25">
      <c r="A216" t="str">
        <f>"21/04/2010"</f>
        <v>21/04/2010</v>
      </c>
      <c r="B216" t="str">
        <f>"5.9116"</f>
        <v>5.9116</v>
      </c>
      <c r="C216" t="str">
        <f>"5.921"</f>
        <v>5.921</v>
      </c>
    </row>
    <row r="217" spans="1:3" x14ac:dyDescent="0.25">
      <c r="A217" t="str">
        <f>"22/04/2010"</f>
        <v>22/04/2010</v>
      </c>
      <c r="B217" t="str">
        <f>"5.9204"</f>
        <v>5.9204</v>
      </c>
      <c r="C217" t="str">
        <f>"5.9292"</f>
        <v>5.9292</v>
      </c>
    </row>
    <row r="218" spans="1:3" x14ac:dyDescent="0.25">
      <c r="A218" t="str">
        <f>"23/04/2010"</f>
        <v>23/04/2010</v>
      </c>
      <c r="B218" t="str">
        <f>"5.9582"</f>
        <v>5.9582</v>
      </c>
      <c r="C218" t="str">
        <f>"5.967"</f>
        <v>5.967</v>
      </c>
    </row>
    <row r="219" spans="1:3" x14ac:dyDescent="0.25">
      <c r="A219" t="str">
        <f>"26/04/2010"</f>
        <v>26/04/2010</v>
      </c>
      <c r="B219" t="str">
        <f>"5.9016"</f>
        <v>5.9016</v>
      </c>
      <c r="C219" t="str">
        <f>"5.9103"</f>
        <v>5.9103</v>
      </c>
    </row>
    <row r="220" spans="1:3" x14ac:dyDescent="0.25">
      <c r="A220" t="str">
        <f>"27/04/2010"</f>
        <v>27/04/2010</v>
      </c>
      <c r="B220" t="str">
        <f>"5.8714"</f>
        <v>5.8714</v>
      </c>
      <c r="C220" t="str">
        <f>"5.8801"</f>
        <v>5.8801</v>
      </c>
    </row>
    <row r="221" spans="1:3" x14ac:dyDescent="0.25">
      <c r="A221" t="str">
        <f>"28/04/2010"</f>
        <v>28/04/2010</v>
      </c>
      <c r="B221" t="str">
        <f>"5.9401"</f>
        <v>5.9401</v>
      </c>
      <c r="C221" t="str">
        <f>"5.9486"</f>
        <v>5.9486</v>
      </c>
    </row>
    <row r="222" spans="1:3" x14ac:dyDescent="0.25">
      <c r="A222" t="str">
        <f>"29/04/2010"</f>
        <v>29/04/2010</v>
      </c>
      <c r="B222" t="str">
        <f>"5.9679"</f>
        <v>5.9679</v>
      </c>
      <c r="C222" t="str">
        <f>"5.9761"</f>
        <v>5.9761</v>
      </c>
    </row>
    <row r="223" spans="1:3" x14ac:dyDescent="0.25">
      <c r="A223" t="str">
        <f>"30/04/2010"</f>
        <v>30/04/2010</v>
      </c>
      <c r="B223" t="str">
        <f>"5.9138"</f>
        <v>5.9138</v>
      </c>
      <c r="C223" t="str">
        <f>"5.9225"</f>
        <v>5.9225</v>
      </c>
    </row>
    <row r="224" spans="1:3" x14ac:dyDescent="0.25">
      <c r="A224" t="str">
        <f>"03/05/2010"</f>
        <v>03/05/2010</v>
      </c>
      <c r="B224" t="str">
        <f>"5.9376"</f>
        <v>5.9376</v>
      </c>
      <c r="C224" t="str">
        <f>"5.947"</f>
        <v>5.947</v>
      </c>
    </row>
    <row r="225" spans="1:3" x14ac:dyDescent="0.25">
      <c r="A225" t="str">
        <f>"04/05/2010"</f>
        <v>04/05/2010</v>
      </c>
      <c r="B225" t="str">
        <f>"5.9362"</f>
        <v>5.9362</v>
      </c>
      <c r="C225" t="str">
        <f>"5.9453"</f>
        <v>5.9453</v>
      </c>
    </row>
    <row r="226" spans="1:3" x14ac:dyDescent="0.25">
      <c r="A226" t="str">
        <f>"05/05/2010"</f>
        <v>05/05/2010</v>
      </c>
      <c r="B226" t="str">
        <f>"6.0409"</f>
        <v>6.0409</v>
      </c>
      <c r="C226" t="str">
        <f>"6.0495"</f>
        <v>6.0495</v>
      </c>
    </row>
    <row r="227" spans="1:3" x14ac:dyDescent="0.25">
      <c r="A227" t="str">
        <f>"06/05/2010"</f>
        <v>06/05/2010</v>
      </c>
      <c r="B227" t="str">
        <f>"6.0752"</f>
        <v>6.0752</v>
      </c>
      <c r="C227" t="str">
        <f>"6.0837"</f>
        <v>6.0837</v>
      </c>
    </row>
    <row r="228" spans="1:3" x14ac:dyDescent="0.25">
      <c r="A228" t="str">
        <f>"07/05/2010"</f>
        <v>07/05/2010</v>
      </c>
      <c r="B228" t="str">
        <f>"6.2357"</f>
        <v>6.2357</v>
      </c>
      <c r="C228" t="str">
        <f>"6.2439"</f>
        <v>6.2439</v>
      </c>
    </row>
    <row r="229" spans="1:3" x14ac:dyDescent="0.25">
      <c r="A229" t="str">
        <f>"10/05/2010"</f>
        <v>10/05/2010</v>
      </c>
      <c r="B229" t="str">
        <f>"6.1229"</f>
        <v>6.1229</v>
      </c>
      <c r="C229" t="str">
        <f>"6.1315"</f>
        <v>6.1315</v>
      </c>
    </row>
    <row r="230" spans="1:3" x14ac:dyDescent="0.25">
      <c r="A230" t="str">
        <f>"11/05/2010"</f>
        <v>11/05/2010</v>
      </c>
      <c r="B230" t="str">
        <f>"6.1494"</f>
        <v>6.1494</v>
      </c>
      <c r="C230" t="str">
        <f>"6.1588"</f>
        <v>6.1588</v>
      </c>
    </row>
    <row r="231" spans="1:3" x14ac:dyDescent="0.25">
      <c r="A231" t="str">
        <f>"12/05/2010"</f>
        <v>12/05/2010</v>
      </c>
      <c r="B231" t="str">
        <f>"6.2021"</f>
        <v>6.2021</v>
      </c>
      <c r="C231" t="str">
        <f>"6.2106"</f>
        <v>6.2106</v>
      </c>
    </row>
    <row r="232" spans="1:3" x14ac:dyDescent="0.25">
      <c r="A232" t="str">
        <f>"13/05/2010"</f>
        <v>13/05/2010</v>
      </c>
      <c r="B232" t="str">
        <f>"6.144"</f>
        <v>6.144</v>
      </c>
      <c r="C232" t="str">
        <f>"6.153"</f>
        <v>6.153</v>
      </c>
    </row>
    <row r="233" spans="1:3" x14ac:dyDescent="0.25">
      <c r="A233" t="str">
        <f>"14/05/2010"</f>
        <v>14/05/2010</v>
      </c>
      <c r="B233" t="str">
        <f>"6.1903"</f>
        <v>6.1903</v>
      </c>
      <c r="C233" t="str">
        <f>"6.20"</f>
        <v>6.20</v>
      </c>
    </row>
    <row r="234" spans="1:3" x14ac:dyDescent="0.25">
      <c r="A234" t="str">
        <f>"17/05/2010"</f>
        <v>17/05/2010</v>
      </c>
      <c r="B234" t="str">
        <f>"6.2887"</f>
        <v>6.2887</v>
      </c>
      <c r="C234" t="str">
        <f>"6.2981"</f>
        <v>6.2981</v>
      </c>
    </row>
    <row r="235" spans="1:3" x14ac:dyDescent="0.25">
      <c r="A235" t="str">
        <f>"18/05/2010"</f>
        <v>18/05/2010</v>
      </c>
      <c r="B235" t="str">
        <f>"6.2534"</f>
        <v>6.2534</v>
      </c>
      <c r="C235" t="str">
        <f>"6.2628"</f>
        <v>6.2628</v>
      </c>
    </row>
    <row r="236" spans="1:3" x14ac:dyDescent="0.25">
      <c r="A236" t="str">
        <f>"19/05/2010"</f>
        <v>19/05/2010</v>
      </c>
      <c r="B236" t="str">
        <f>"6.3497"</f>
        <v>6.3497</v>
      </c>
      <c r="C236" t="str">
        <f>"6.3592"</f>
        <v>6.3592</v>
      </c>
    </row>
    <row r="237" spans="1:3" x14ac:dyDescent="0.25">
      <c r="A237" t="str">
        <f>"20/05/2010"</f>
        <v>20/05/2010</v>
      </c>
      <c r="B237" t="str">
        <f>"6.414"</f>
        <v>6.414</v>
      </c>
      <c r="C237" t="str">
        <f>"6.4229"</f>
        <v>6.4229</v>
      </c>
    </row>
    <row r="238" spans="1:3" x14ac:dyDescent="0.25">
      <c r="A238" t="str">
        <f>"21/05/2010"</f>
        <v>21/05/2010</v>
      </c>
      <c r="B238" t="str">
        <f>"6.5272"</f>
        <v>6.5272</v>
      </c>
      <c r="C238" t="str">
        <f>"6.537"</f>
        <v>6.537</v>
      </c>
    </row>
    <row r="239" spans="1:3" x14ac:dyDescent="0.25">
      <c r="A239" t="str">
        <f>"24/05/2010"</f>
        <v>24/05/2010</v>
      </c>
      <c r="B239" t="str">
        <f>"6.5148"</f>
        <v>6.5148</v>
      </c>
      <c r="C239" t="str">
        <f>"6.5246"</f>
        <v>6.5246</v>
      </c>
    </row>
    <row r="240" spans="1:3" x14ac:dyDescent="0.25">
      <c r="A240" t="str">
        <f>"25/05/2010"</f>
        <v>25/05/2010</v>
      </c>
      <c r="B240" t="str">
        <f>"6.5541"</f>
        <v>6.5541</v>
      </c>
      <c r="C240" t="str">
        <f>"6.5643"</f>
        <v>6.5643</v>
      </c>
    </row>
    <row r="241" spans="1:3" x14ac:dyDescent="0.25">
      <c r="A241" t="str">
        <f>"26/05/2010"</f>
        <v>26/05/2010</v>
      </c>
      <c r="B241" t="str">
        <f>"6.5855"</f>
        <v>6.5855</v>
      </c>
      <c r="C241" t="str">
        <f>"6.5952"</f>
        <v>6.5952</v>
      </c>
    </row>
    <row r="242" spans="1:3" x14ac:dyDescent="0.25">
      <c r="A242" t="str">
        <f>"28/05/2010"</f>
        <v>28/05/2010</v>
      </c>
      <c r="B242" t="str">
        <f>"6.4744"</f>
        <v>6.4744</v>
      </c>
      <c r="C242" t="str">
        <f>"6.4833"</f>
        <v>6.4833</v>
      </c>
    </row>
    <row r="243" spans="1:3" x14ac:dyDescent="0.25">
      <c r="A243" t="str">
        <f>"31/05/2010"</f>
        <v>31/05/2010</v>
      </c>
      <c r="B243" t="str">
        <f>"6.4643"</f>
        <v>6.4643</v>
      </c>
      <c r="C243" t="str">
        <f>"6.4735"</f>
        <v>6.4735</v>
      </c>
    </row>
    <row r="244" spans="1:3" x14ac:dyDescent="0.25">
      <c r="A244" t="str">
        <f>"01/06/2010"</f>
        <v>01/06/2010</v>
      </c>
      <c r="B244" t="str">
        <f>"6.4841"</f>
        <v>6.4841</v>
      </c>
      <c r="C244" t="str">
        <f>"6.4943"</f>
        <v>6.4943</v>
      </c>
    </row>
    <row r="245" spans="1:3" x14ac:dyDescent="0.25">
      <c r="A245" t="str">
        <f>"02/06/2010"</f>
        <v>02/06/2010</v>
      </c>
      <c r="B245" t="str">
        <f>"6.5017"</f>
        <v>6.5017</v>
      </c>
      <c r="C245" t="str">
        <f>"6.5114"</f>
        <v>6.5114</v>
      </c>
    </row>
    <row r="246" spans="1:3" x14ac:dyDescent="0.25">
      <c r="A246" t="str">
        <f>"03/06/2010"</f>
        <v>03/06/2010</v>
      </c>
      <c r="B246" t="str">
        <f>"6.4486"</f>
        <v>6.4486</v>
      </c>
      <c r="C246" t="str">
        <f>"6.4587"</f>
        <v>6.4587</v>
      </c>
    </row>
    <row r="247" spans="1:3" x14ac:dyDescent="0.25">
      <c r="A247" t="str">
        <f>"04/06/2010"</f>
        <v>04/06/2010</v>
      </c>
      <c r="B247" t="str">
        <f>"6.4688"</f>
        <v>6.4688</v>
      </c>
      <c r="C247" t="str">
        <f>"6.4778"</f>
        <v>6.4778</v>
      </c>
    </row>
    <row r="248" spans="1:3" x14ac:dyDescent="0.25">
      <c r="A248" t="str">
        <f>"07/06/2010"</f>
        <v>07/06/2010</v>
      </c>
      <c r="B248" t="str">
        <f>"6.6624"</f>
        <v>6.6624</v>
      </c>
      <c r="C248" t="str">
        <f>"6.6721"</f>
        <v>6.6721</v>
      </c>
    </row>
    <row r="249" spans="1:3" x14ac:dyDescent="0.25">
      <c r="A249" t="str">
        <f>"08/06/2010"</f>
        <v>08/06/2010</v>
      </c>
      <c r="B249" t="str">
        <f>"6.666"</f>
        <v>6.666</v>
      </c>
      <c r="C249" t="str">
        <f>"6.6764"</f>
        <v>6.6764</v>
      </c>
    </row>
    <row r="250" spans="1:3" x14ac:dyDescent="0.25">
      <c r="A250" t="str">
        <f>"09/06/2010"</f>
        <v>09/06/2010</v>
      </c>
      <c r="B250" t="str">
        <f>"6.6631"</f>
        <v>6.6631</v>
      </c>
      <c r="C250" t="str">
        <f>"6.6735"</f>
        <v>6.6735</v>
      </c>
    </row>
    <row r="251" spans="1:3" x14ac:dyDescent="0.25">
      <c r="A251" t="str">
        <f>"10/06/2010"</f>
        <v>10/06/2010</v>
      </c>
      <c r="B251" t="str">
        <f>"6.5949"</f>
        <v>6.5949</v>
      </c>
      <c r="C251" t="str">
        <f>"6.6052"</f>
        <v>6.6052</v>
      </c>
    </row>
    <row r="252" spans="1:3" x14ac:dyDescent="0.25">
      <c r="A252" t="str">
        <f>"11/06/2010"</f>
        <v>11/06/2010</v>
      </c>
      <c r="B252" t="str">
        <f>"6.5027"</f>
        <v>6.5027</v>
      </c>
      <c r="C252" t="str">
        <f>"6.5129"</f>
        <v>6.5129</v>
      </c>
    </row>
    <row r="253" spans="1:3" x14ac:dyDescent="0.25">
      <c r="A253" t="str">
        <f>"14/06/2010"</f>
        <v>14/06/2010</v>
      </c>
      <c r="B253" t="str">
        <f>"6.4383"</f>
        <v>6.4383</v>
      </c>
      <c r="C253" t="str">
        <f>"6.4483"</f>
        <v>6.4483</v>
      </c>
    </row>
    <row r="254" spans="1:3" x14ac:dyDescent="0.25">
      <c r="A254" t="str">
        <f>"15/06/2010"</f>
        <v>15/06/2010</v>
      </c>
      <c r="B254" t="str">
        <f>"6.4296"</f>
        <v>6.4296</v>
      </c>
      <c r="C254" t="str">
        <f>"6.4397"</f>
        <v>6.4397</v>
      </c>
    </row>
    <row r="255" spans="1:3" x14ac:dyDescent="0.25">
      <c r="A255" t="str">
        <f>"16/06/2010"</f>
        <v>16/06/2010</v>
      </c>
      <c r="B255" t="str">
        <f>"6.3858"</f>
        <v>6.3858</v>
      </c>
      <c r="C255" t="str">
        <f>"6.3963"</f>
        <v>6.3963</v>
      </c>
    </row>
    <row r="256" spans="1:3" x14ac:dyDescent="0.25">
      <c r="A256" t="str">
        <f>"17/06/2010"</f>
        <v>17/06/2010</v>
      </c>
      <c r="B256" t="str">
        <f>"6.4303"</f>
        <v>6.4303</v>
      </c>
      <c r="C256" t="str">
        <f>"6.4403"</f>
        <v>6.4403</v>
      </c>
    </row>
    <row r="257" spans="1:3" x14ac:dyDescent="0.25">
      <c r="A257" t="str">
        <f>"18/06/2010"</f>
        <v>18/06/2010</v>
      </c>
      <c r="B257" t="str">
        <f>"6.349"</f>
        <v>6.349</v>
      </c>
      <c r="C257" t="str">
        <f>"6.3584"</f>
        <v>6.3584</v>
      </c>
    </row>
    <row r="258" spans="1:3" x14ac:dyDescent="0.25">
      <c r="A258" t="str">
        <f>"21/06/2010"</f>
        <v>21/06/2010</v>
      </c>
      <c r="B258" t="str">
        <f>"6.3198"</f>
        <v>6.3198</v>
      </c>
      <c r="C258" t="str">
        <f>"6.329"</f>
        <v>6.329</v>
      </c>
    </row>
    <row r="259" spans="1:3" x14ac:dyDescent="0.25">
      <c r="A259" t="str">
        <f>"22/06/2010"</f>
        <v>22/06/2010</v>
      </c>
      <c r="B259" t="str">
        <f>"6.4249"</f>
        <v>6.4249</v>
      </c>
      <c r="C259" t="str">
        <f>"6.4349"</f>
        <v>6.4349</v>
      </c>
    </row>
    <row r="260" spans="1:3" x14ac:dyDescent="0.25">
      <c r="A260" t="str">
        <f>"23/06/2010"</f>
        <v>23/06/2010</v>
      </c>
      <c r="B260" t="str">
        <f>"6.4827"</f>
        <v>6.4827</v>
      </c>
      <c r="C260" t="str">
        <f>"6.4928"</f>
        <v>6.4928</v>
      </c>
    </row>
    <row r="261" spans="1:3" x14ac:dyDescent="0.25">
      <c r="A261" t="str">
        <f>"24/06/2010"</f>
        <v>24/06/2010</v>
      </c>
      <c r="B261" t="str">
        <f>"6.4666"</f>
        <v>6.4666</v>
      </c>
      <c r="C261" t="str">
        <f>"6.4766"</f>
        <v>6.4766</v>
      </c>
    </row>
    <row r="262" spans="1:3" x14ac:dyDescent="0.25">
      <c r="A262" t="str">
        <f>"25/06/2010"</f>
        <v>25/06/2010</v>
      </c>
      <c r="B262" t="str">
        <f>"6.5191"</f>
        <v>6.5191</v>
      </c>
      <c r="C262" t="str">
        <f>"6.5287"</f>
        <v>6.5287</v>
      </c>
    </row>
    <row r="263" spans="1:3" x14ac:dyDescent="0.25">
      <c r="A263" t="str">
        <f>"28/06/2010"</f>
        <v>28/06/2010</v>
      </c>
      <c r="B263" t="str">
        <f>"6.4514"</f>
        <v>6.4514</v>
      </c>
      <c r="C263" t="str">
        <f>"6.4609"</f>
        <v>6.4609</v>
      </c>
    </row>
    <row r="264" spans="1:3" x14ac:dyDescent="0.25">
      <c r="A264" t="str">
        <f>"29/06/2010"</f>
        <v>29/06/2010</v>
      </c>
      <c r="B264" t="str">
        <f>"6.4522"</f>
        <v>6.4522</v>
      </c>
      <c r="C264" t="str">
        <f>"6.4628"</f>
        <v>6.4628</v>
      </c>
    </row>
    <row r="265" spans="1:3" x14ac:dyDescent="0.25">
      <c r="A265" t="str">
        <f>"30/06/2010"</f>
        <v>30/06/2010</v>
      </c>
      <c r="B265" t="str">
        <f>"6.4801"</f>
        <v>6.4801</v>
      </c>
      <c r="C265" t="str">
        <f>"6.4909"</f>
        <v>6.4909</v>
      </c>
    </row>
    <row r="266" spans="1:3" x14ac:dyDescent="0.25">
      <c r="A266" t="str">
        <f>"01/07/2010"</f>
        <v>01/07/2010</v>
      </c>
      <c r="B266" t="str">
        <f>"6.55"</f>
        <v>6.55</v>
      </c>
      <c r="C266" t="str">
        <f>"6.5605"</f>
        <v>6.5605</v>
      </c>
    </row>
    <row r="267" spans="1:3" x14ac:dyDescent="0.25">
      <c r="A267" t="str">
        <f>"02/07/2010"</f>
        <v>02/07/2010</v>
      </c>
      <c r="B267" t="str">
        <f>"6.4225"</f>
        <v>6.4225</v>
      </c>
      <c r="C267" t="str">
        <f>"6.4335"</f>
        <v>6.4335</v>
      </c>
    </row>
    <row r="268" spans="1:3" x14ac:dyDescent="0.25">
      <c r="A268" t="str">
        <f>"05/07/2010"</f>
        <v>05/07/2010</v>
      </c>
      <c r="B268" t="str">
        <f>"6.454"</f>
        <v>6.454</v>
      </c>
      <c r="C268" t="str">
        <f>"6.4647"</f>
        <v>6.4647</v>
      </c>
    </row>
    <row r="269" spans="1:3" x14ac:dyDescent="0.25">
      <c r="A269" t="str">
        <f>"06/07/2010"</f>
        <v>06/07/2010</v>
      </c>
      <c r="B269" t="str">
        <f>"6.454"</f>
        <v>6.454</v>
      </c>
      <c r="C269" t="str">
        <f>"6.4651"</f>
        <v>6.4651</v>
      </c>
    </row>
    <row r="270" spans="1:3" x14ac:dyDescent="0.25">
      <c r="A270" t="str">
        <f>"07/07/2010"</f>
        <v>07/07/2010</v>
      </c>
      <c r="B270" t="str">
        <f>"6.4242"</f>
        <v>6.4242</v>
      </c>
      <c r="C270" t="str">
        <f>"6.4348"</f>
        <v>6.4348</v>
      </c>
    </row>
    <row r="271" spans="1:3" x14ac:dyDescent="0.25">
      <c r="A271" t="str">
        <f>"08/07/2010"</f>
        <v>08/07/2010</v>
      </c>
      <c r="B271" t="str">
        <f>"6.3786"</f>
        <v>6.3786</v>
      </c>
      <c r="C271" t="str">
        <f>"6.3887"</f>
        <v>6.3887</v>
      </c>
    </row>
    <row r="272" spans="1:3" x14ac:dyDescent="0.25">
      <c r="A272" t="str">
        <f>"09/07/2010"</f>
        <v>09/07/2010</v>
      </c>
      <c r="B272" t="str">
        <f>"6.3685"</f>
        <v>6.3685</v>
      </c>
      <c r="C272" t="str">
        <f>"6.3787"</f>
        <v>6.3787</v>
      </c>
    </row>
    <row r="273" spans="1:3" x14ac:dyDescent="0.25">
      <c r="A273" t="str">
        <f>"12/07/2010"</f>
        <v>12/07/2010</v>
      </c>
      <c r="B273" t="str">
        <f>"6.3683"</f>
        <v>6.3683</v>
      </c>
      <c r="C273" t="str">
        <f>"6.3795"</f>
        <v>6.3795</v>
      </c>
    </row>
    <row r="274" spans="1:3" x14ac:dyDescent="0.25">
      <c r="A274" t="str">
        <f>"13/07/2010"</f>
        <v>13/07/2010</v>
      </c>
      <c r="B274" t="str">
        <f>"6.3528"</f>
        <v>6.3528</v>
      </c>
      <c r="C274" t="str">
        <f>"6.3641"</f>
        <v>6.3641</v>
      </c>
    </row>
    <row r="275" spans="1:3" x14ac:dyDescent="0.25">
      <c r="A275" t="str">
        <f>"14/07/2010"</f>
        <v>14/07/2010</v>
      </c>
      <c r="B275" t="str">
        <f>"6.2441"</f>
        <v>6.2441</v>
      </c>
      <c r="C275" t="str">
        <f>"6.2548"</f>
        <v>6.2548</v>
      </c>
    </row>
    <row r="276" spans="1:3" x14ac:dyDescent="0.25">
      <c r="A276" t="str">
        <f>"15/07/2010"</f>
        <v>15/07/2010</v>
      </c>
      <c r="B276" t="str">
        <f>"6.2258"</f>
        <v>6.2258</v>
      </c>
      <c r="C276" t="str">
        <f>"6.2357"</f>
        <v>6.2357</v>
      </c>
    </row>
    <row r="277" spans="1:3" x14ac:dyDescent="0.25">
      <c r="A277" t="str">
        <f>"16/07/2010"</f>
        <v>16/07/2010</v>
      </c>
      <c r="B277" t="str">
        <f>"6.1826"</f>
        <v>6.1826</v>
      </c>
      <c r="C277" t="str">
        <f>"6.1925"</f>
        <v>6.1925</v>
      </c>
    </row>
    <row r="278" spans="1:3" x14ac:dyDescent="0.25">
      <c r="A278" t="str">
        <f>"19/07/2010"</f>
        <v>19/07/2010</v>
      </c>
      <c r="B278" t="str">
        <f>"6.3113"</f>
        <v>6.3113</v>
      </c>
      <c r="C278" t="str">
        <f>"6.322"</f>
        <v>6.322</v>
      </c>
    </row>
    <row r="279" spans="1:3" x14ac:dyDescent="0.25">
      <c r="A279" t="str">
        <f>"20/07/2010"</f>
        <v>20/07/2010</v>
      </c>
      <c r="B279" t="str">
        <f>"6.3001"</f>
        <v>6.3001</v>
      </c>
      <c r="C279" t="str">
        <f>"6.3108"</f>
        <v>6.3108</v>
      </c>
    </row>
    <row r="280" spans="1:3" x14ac:dyDescent="0.25">
      <c r="A280" t="str">
        <f>"21/07/2010"</f>
        <v>21/07/2010</v>
      </c>
      <c r="B280" t="str">
        <f>"6.2335"</f>
        <v>6.2335</v>
      </c>
      <c r="C280" t="str">
        <f>"6.2439"</f>
        <v>6.2439</v>
      </c>
    </row>
    <row r="281" spans="1:3" x14ac:dyDescent="0.25">
      <c r="A281" t="str">
        <f>"22/07/2010"</f>
        <v>22/07/2010</v>
      </c>
      <c r="B281" t="str">
        <f>"6.2796"</f>
        <v>6.2796</v>
      </c>
      <c r="C281" t="str">
        <f>"6.2897"</f>
        <v>6.2897</v>
      </c>
    </row>
    <row r="282" spans="1:3" x14ac:dyDescent="0.25">
      <c r="A282" t="str">
        <f>"23/07/2010"</f>
        <v>23/07/2010</v>
      </c>
      <c r="B282" t="str">
        <f>"6.1781"</f>
        <v>6.1781</v>
      </c>
      <c r="C282" t="str">
        <f>"6.188"</f>
        <v>6.188</v>
      </c>
    </row>
    <row r="283" spans="1:3" x14ac:dyDescent="0.25">
      <c r="A283" t="str">
        <f>"26/07/2010"</f>
        <v>26/07/2010</v>
      </c>
      <c r="B283" t="str">
        <f>"6.1757"</f>
        <v>6.1757</v>
      </c>
      <c r="C283" t="str">
        <f>"6.1867"</f>
        <v>6.1867</v>
      </c>
    </row>
    <row r="284" spans="1:3" x14ac:dyDescent="0.25">
      <c r="A284" t="str">
        <f>"27/07/2010"</f>
        <v>27/07/2010</v>
      </c>
      <c r="B284" t="str">
        <f>"6.1545"</f>
        <v>6.1545</v>
      </c>
      <c r="C284" t="str">
        <f>"6.1653"</f>
        <v>6.1653</v>
      </c>
    </row>
    <row r="285" spans="1:3" x14ac:dyDescent="0.25">
      <c r="A285" t="str">
        <f>"28/07/2010"</f>
        <v>28/07/2010</v>
      </c>
      <c r="B285" t="str">
        <f>"6.1736"</f>
        <v>6.1736</v>
      </c>
      <c r="C285" t="str">
        <f>"6.1839"</f>
        <v>6.1839</v>
      </c>
    </row>
    <row r="286" spans="1:3" x14ac:dyDescent="0.25">
      <c r="A286" t="str">
        <f>"29/07/2010"</f>
        <v>29/07/2010</v>
      </c>
      <c r="B286" t="str">
        <f>"6.1574"</f>
        <v>6.1574</v>
      </c>
      <c r="C286" t="str">
        <f>"6.1679"</f>
        <v>6.1679</v>
      </c>
    </row>
    <row r="287" spans="1:3" x14ac:dyDescent="0.25">
      <c r="A287" t="str">
        <f>"30/07/2010"</f>
        <v>30/07/2010</v>
      </c>
      <c r="B287" t="str">
        <f>"6.1101"</f>
        <v>6.1101</v>
      </c>
      <c r="C287" t="str">
        <f>"6.1201"</f>
        <v>6.1201</v>
      </c>
    </row>
    <row r="288" spans="1:3" x14ac:dyDescent="0.25">
      <c r="A288" t="str">
        <f>"02/08/2010"</f>
        <v>02/08/2010</v>
      </c>
      <c r="B288" t="str">
        <f>"6.065"</f>
        <v>6.065</v>
      </c>
      <c r="C288" t="str">
        <f>"6.0766"</f>
        <v>6.0766</v>
      </c>
    </row>
    <row r="289" spans="1:3" x14ac:dyDescent="0.25">
      <c r="A289" t="str">
        <f>"03/08/2010"</f>
        <v>03/08/2010</v>
      </c>
      <c r="B289" t="str">
        <f>"5.9837"</f>
        <v>5.9837</v>
      </c>
      <c r="C289" t="str">
        <f>"5.9946"</f>
        <v>5.9946</v>
      </c>
    </row>
    <row r="290" spans="1:3" x14ac:dyDescent="0.25">
      <c r="A290" t="str">
        <f>"04/08/2010"</f>
        <v>04/08/2010</v>
      </c>
      <c r="B290" t="str">
        <f>"5.9796"</f>
        <v>5.9796</v>
      </c>
      <c r="C290" t="str">
        <f>"5.99"</f>
        <v>5.99</v>
      </c>
    </row>
    <row r="291" spans="1:3" x14ac:dyDescent="0.25">
      <c r="A291" t="str">
        <f>"05/08/2010"</f>
        <v>05/08/2010</v>
      </c>
      <c r="B291" t="str">
        <f>"5.9993"</f>
        <v>5.9993</v>
      </c>
      <c r="C291" t="str">
        <f>"6.0096"</f>
        <v>6.0096</v>
      </c>
    </row>
    <row r="292" spans="1:3" x14ac:dyDescent="0.25">
      <c r="A292" t="str">
        <f>"06/08/2010"</f>
        <v>06/08/2010</v>
      </c>
      <c r="B292" t="str">
        <f>"5.9824"</f>
        <v>5.9824</v>
      </c>
      <c r="C292" t="str">
        <f>"5.9924"</f>
        <v>5.9924</v>
      </c>
    </row>
    <row r="293" spans="1:3" x14ac:dyDescent="0.25">
      <c r="A293" t="str">
        <f>"09/08/2010"</f>
        <v>09/08/2010</v>
      </c>
      <c r="B293" t="str">
        <f>"5.9653"</f>
        <v>5.9653</v>
      </c>
      <c r="C293" t="str">
        <f>"5.976"</f>
        <v>5.976</v>
      </c>
    </row>
    <row r="294" spans="1:3" x14ac:dyDescent="0.25">
      <c r="A294" t="str">
        <f>"10/08/2010"</f>
        <v>10/08/2010</v>
      </c>
      <c r="B294" t="str">
        <f>"6.0217"</f>
        <v>6.0217</v>
      </c>
      <c r="C294" t="str">
        <f>"6.0324"</f>
        <v>6.0324</v>
      </c>
    </row>
    <row r="295" spans="1:3" x14ac:dyDescent="0.25">
      <c r="A295" t="str">
        <f>"11/08/2010"</f>
        <v>11/08/2010</v>
      </c>
      <c r="B295" t="str">
        <f>"6.0661"</f>
        <v>6.0661</v>
      </c>
      <c r="C295" t="str">
        <f>"6.0765"</f>
        <v>6.0765</v>
      </c>
    </row>
    <row r="296" spans="1:3" x14ac:dyDescent="0.25">
      <c r="A296" t="str">
        <f>"12/08/2010"</f>
        <v>12/08/2010</v>
      </c>
      <c r="B296" t="str">
        <f>"6.1982"</f>
        <v>6.1982</v>
      </c>
      <c r="C296" t="str">
        <f>"6.2084"</f>
        <v>6.2084</v>
      </c>
    </row>
    <row r="297" spans="1:3" x14ac:dyDescent="0.25">
      <c r="A297" t="str">
        <f>"13/08/2010"</f>
        <v>13/08/2010</v>
      </c>
      <c r="B297" t="str">
        <f>"6.1671"</f>
        <v>6.1671</v>
      </c>
      <c r="C297" t="str">
        <f>"6.1771"</f>
        <v>6.1771</v>
      </c>
    </row>
    <row r="298" spans="1:3" x14ac:dyDescent="0.25">
      <c r="A298" t="str">
        <f>"16/08/2010"</f>
        <v>16/08/2010</v>
      </c>
      <c r="B298" t="str">
        <f>"6.2031"</f>
        <v>6.2031</v>
      </c>
      <c r="C298" t="str">
        <f>"6.214"</f>
        <v>6.214</v>
      </c>
    </row>
    <row r="299" spans="1:3" x14ac:dyDescent="0.25">
      <c r="A299" t="str">
        <f>"17/08/2010"</f>
        <v>17/08/2010</v>
      </c>
      <c r="B299" t="str">
        <f>"6.164"</f>
        <v>6.164</v>
      </c>
      <c r="C299" t="str">
        <f>"6.1749"</f>
        <v>6.1749</v>
      </c>
    </row>
    <row r="300" spans="1:3" x14ac:dyDescent="0.25">
      <c r="A300" t="str">
        <f>"18/08/2010"</f>
        <v>18/08/2010</v>
      </c>
      <c r="B300" t="str">
        <f>"6.1624"</f>
        <v>6.1624</v>
      </c>
      <c r="C300" t="str">
        <f>"6.173"</f>
        <v>6.173</v>
      </c>
    </row>
    <row r="301" spans="1:3" x14ac:dyDescent="0.25">
      <c r="A301" t="str">
        <f>"20/08/2010"</f>
        <v>20/08/2010</v>
      </c>
      <c r="B301" t="str">
        <f>"6.2028"</f>
        <v>6.2028</v>
      </c>
      <c r="C301" t="str">
        <f>"6.2131"</f>
        <v>6.2131</v>
      </c>
    </row>
    <row r="302" spans="1:3" x14ac:dyDescent="0.25">
      <c r="A302" t="str">
        <f>"23/08/2010"</f>
        <v>23/08/2010</v>
      </c>
      <c r="B302" t="str">
        <f>"6.2382"</f>
        <v>6.2382</v>
      </c>
      <c r="C302" t="str">
        <f>"6.2491"</f>
        <v>6.2491</v>
      </c>
    </row>
    <row r="303" spans="1:3" x14ac:dyDescent="0.25">
      <c r="A303" t="str">
        <f>"24/08/2010"</f>
        <v>24/08/2010</v>
      </c>
      <c r="B303" t="str">
        <f>"6.2618"</f>
        <v>6.2618</v>
      </c>
      <c r="C303" t="str">
        <f>"6.2731"</f>
        <v>6.2731</v>
      </c>
    </row>
    <row r="304" spans="1:3" x14ac:dyDescent="0.25">
      <c r="A304" t="str">
        <f>"25/08/2010"</f>
        <v>25/08/2010</v>
      </c>
      <c r="B304" t="str">
        <f>"6.3114"</f>
        <v>6.3114</v>
      </c>
      <c r="C304" t="str">
        <f>"6.3219"</f>
        <v>6.3219</v>
      </c>
    </row>
    <row r="305" spans="1:3" x14ac:dyDescent="0.25">
      <c r="A305" t="str">
        <f>"26/08/2010"</f>
        <v>26/08/2010</v>
      </c>
      <c r="B305" t="str">
        <f>"6.2753"</f>
        <v>6.2753</v>
      </c>
      <c r="C305" t="str">
        <f>"6.2854"</f>
        <v>6.2854</v>
      </c>
    </row>
    <row r="306" spans="1:3" x14ac:dyDescent="0.25">
      <c r="A306" t="str">
        <f>"27/08/2010"</f>
        <v>27/08/2010</v>
      </c>
      <c r="B306" t="str">
        <f>"6.3126"</f>
        <v>6.3126</v>
      </c>
      <c r="C306" t="str">
        <f>"6.3228"</f>
        <v>6.3228</v>
      </c>
    </row>
    <row r="307" spans="1:3" x14ac:dyDescent="0.25">
      <c r="A307" t="str">
        <f>"30/08/2010"</f>
        <v>30/08/2010</v>
      </c>
      <c r="B307" t="str">
        <f>"6.2419"</f>
        <v>6.2419</v>
      </c>
      <c r="C307" t="str">
        <f>"6.252"</f>
        <v>6.252</v>
      </c>
    </row>
    <row r="308" spans="1:3" x14ac:dyDescent="0.25">
      <c r="A308" t="str">
        <f>"31/08/2010"</f>
        <v>31/08/2010</v>
      </c>
      <c r="B308" t="str">
        <f>"6.3073"</f>
        <v>6.3073</v>
      </c>
      <c r="C308" t="str">
        <f>"6.3178"</f>
        <v>6.3178</v>
      </c>
    </row>
    <row r="309" spans="1:3" x14ac:dyDescent="0.25">
      <c r="A309" t="str">
        <f>"01/09/2010"</f>
        <v>01/09/2010</v>
      </c>
      <c r="B309" t="str">
        <f>"6.2764"</f>
        <v>6.2764</v>
      </c>
      <c r="C309" t="str">
        <f>"6.286"</f>
        <v>6.286</v>
      </c>
    </row>
    <row r="310" spans="1:3" x14ac:dyDescent="0.25">
      <c r="A310" t="str">
        <f>"02/09/2010"</f>
        <v>02/09/2010</v>
      </c>
      <c r="B310" t="str">
        <f>"6.2053"</f>
        <v>6.2053</v>
      </c>
      <c r="C310" t="str">
        <f>"6.2154"</f>
        <v>6.2154</v>
      </c>
    </row>
    <row r="311" spans="1:3" x14ac:dyDescent="0.25">
      <c r="A311" t="str">
        <f>"03/09/2010"</f>
        <v>03/09/2010</v>
      </c>
      <c r="B311" t="str">
        <f>"6.1458"</f>
        <v>6.1458</v>
      </c>
      <c r="C311" t="str">
        <f>"6.1557"</f>
        <v>6.1557</v>
      </c>
    </row>
    <row r="312" spans="1:3" x14ac:dyDescent="0.25">
      <c r="A312" t="str">
        <f>"06/09/2010"</f>
        <v>06/09/2010</v>
      </c>
      <c r="B312" t="str">
        <f>"6.1056"</f>
        <v>6.1056</v>
      </c>
      <c r="C312" t="str">
        <f>"6.1154"</f>
        <v>6.1154</v>
      </c>
    </row>
    <row r="313" spans="1:3" x14ac:dyDescent="0.25">
      <c r="A313" t="str">
        <f>"07/09/2010"</f>
        <v>07/09/2010</v>
      </c>
      <c r="B313" t="str">
        <f>"6.1441"</f>
        <v>6.1441</v>
      </c>
      <c r="C313" t="str">
        <f>"6.1545"</f>
        <v>6.1545</v>
      </c>
    </row>
    <row r="314" spans="1:3" x14ac:dyDescent="0.25">
      <c r="A314" t="str">
        <f>"08/09/2010"</f>
        <v>08/09/2010</v>
      </c>
      <c r="B314" t="str">
        <f>"6.2113"</f>
        <v>6.2113</v>
      </c>
      <c r="C314" t="str">
        <f>"6.2222"</f>
        <v>6.2222</v>
      </c>
    </row>
    <row r="315" spans="1:3" x14ac:dyDescent="0.25">
      <c r="A315" t="str">
        <f>"09/09/2010"</f>
        <v>09/09/2010</v>
      </c>
      <c r="B315" t="str">
        <f>"6.1944"</f>
        <v>6.1944</v>
      </c>
      <c r="C315" t="str">
        <f>"6.2046"</f>
        <v>6.2046</v>
      </c>
    </row>
    <row r="316" spans="1:3" x14ac:dyDescent="0.25">
      <c r="A316" t="str">
        <f>"13/09/2010"</f>
        <v>13/09/2010</v>
      </c>
      <c r="B316" t="str">
        <f>"6.1319"</f>
        <v>6.1319</v>
      </c>
      <c r="C316" t="str">
        <f>"6.1416"</f>
        <v>6.1416</v>
      </c>
    </row>
    <row r="317" spans="1:3" x14ac:dyDescent="0.25">
      <c r="A317" t="str">
        <f>"14/09/2010"</f>
        <v>14/09/2010</v>
      </c>
      <c r="B317" t="str">
        <f>"6.1093"</f>
        <v>6.1093</v>
      </c>
      <c r="C317" t="str">
        <f>"6.1198"</f>
        <v>6.1198</v>
      </c>
    </row>
    <row r="318" spans="1:3" x14ac:dyDescent="0.25">
      <c r="A318" t="str">
        <f>"15/09/2010"</f>
        <v>15/09/2010</v>
      </c>
      <c r="B318" t="str">
        <f>"6.079"</f>
        <v>6.079</v>
      </c>
      <c r="C318" t="str">
        <f>"6.089"</f>
        <v>6.089</v>
      </c>
    </row>
    <row r="319" spans="1:3" x14ac:dyDescent="0.25">
      <c r="A319" t="str">
        <f>"16/09/2010"</f>
        <v>16/09/2010</v>
      </c>
      <c r="B319" t="str">
        <f>"6.1122"</f>
        <v>6.1122</v>
      </c>
      <c r="C319" t="str">
        <f>"6.1219"</f>
        <v>6.1219</v>
      </c>
    </row>
    <row r="320" spans="1:3" x14ac:dyDescent="0.25">
      <c r="A320" t="str">
        <f>"17/09/2010"</f>
        <v>17/09/2010</v>
      </c>
      <c r="B320" t="str">
        <f>"6.0846"</f>
        <v>6.0846</v>
      </c>
      <c r="C320" t="str">
        <f>"6.0941"</f>
        <v>6.0941</v>
      </c>
    </row>
    <row r="321" spans="1:3" x14ac:dyDescent="0.25">
      <c r="A321" t="str">
        <f>"20/09/2010"</f>
        <v>20/09/2010</v>
      </c>
      <c r="B321" t="str">
        <f>"6.0833"</f>
        <v>6.0833</v>
      </c>
      <c r="C321" t="str">
        <f>"6.0928"</f>
        <v>6.0928</v>
      </c>
    </row>
    <row r="322" spans="1:3" x14ac:dyDescent="0.25">
      <c r="A322" t="str">
        <f>"21/09/2010"</f>
        <v>21/09/2010</v>
      </c>
      <c r="B322" t="str">
        <f>"6.0524"</f>
        <v>6.0524</v>
      </c>
      <c r="C322" t="str">
        <f>"6.0622"</f>
        <v>6.0622</v>
      </c>
    </row>
    <row r="323" spans="1:3" x14ac:dyDescent="0.25">
      <c r="A323" t="str">
        <f>"22/09/2010"</f>
        <v>22/09/2010</v>
      </c>
      <c r="B323" t="str">
        <f>"5.9426"</f>
        <v>5.9426</v>
      </c>
      <c r="C323" t="str">
        <f>"5.9524"</f>
        <v>5.9524</v>
      </c>
    </row>
    <row r="324" spans="1:3" x14ac:dyDescent="0.25">
      <c r="A324" t="str">
        <f>"23/09/2010"</f>
        <v>23/09/2010</v>
      </c>
      <c r="B324" t="str">
        <f>"5.8928"</f>
        <v>5.8928</v>
      </c>
      <c r="C324" t="str">
        <f>"5.9023"</f>
        <v>5.9023</v>
      </c>
    </row>
    <row r="325" spans="1:3" x14ac:dyDescent="0.25">
      <c r="A325" t="str">
        <f>"24/09/2010"</f>
        <v>24/09/2010</v>
      </c>
      <c r="B325" t="str">
        <f>"5.9568"</f>
        <v>5.9568</v>
      </c>
      <c r="C325" t="str">
        <f>"5.9663"</f>
        <v>5.9663</v>
      </c>
    </row>
    <row r="326" spans="1:3" x14ac:dyDescent="0.25">
      <c r="A326" t="str">
        <f>"27/09/2010"</f>
        <v>27/09/2010</v>
      </c>
      <c r="B326" t="str">
        <f>"5.889"</f>
        <v>5.889</v>
      </c>
      <c r="C326" t="str">
        <f>"5.8984"</f>
        <v>5.8984</v>
      </c>
    </row>
    <row r="327" spans="1:3" x14ac:dyDescent="0.25">
      <c r="A327" t="str">
        <f>"28/09/2010"</f>
        <v>28/09/2010</v>
      </c>
      <c r="B327" t="str">
        <f>"5.901"</f>
        <v>5.901</v>
      </c>
      <c r="C327" t="str">
        <f>"5.91"</f>
        <v>5.91</v>
      </c>
    </row>
    <row r="328" spans="1:3" x14ac:dyDescent="0.25">
      <c r="A328" t="str">
        <f>"29/09/2010"</f>
        <v>29/09/2010</v>
      </c>
      <c r="B328" t="str">
        <f>"5.8506"</f>
        <v>5.8506</v>
      </c>
      <c r="C328" t="str">
        <f>"5.86"</f>
        <v>5.86</v>
      </c>
    </row>
    <row r="329" spans="1:3" x14ac:dyDescent="0.25">
      <c r="A329" t="str">
        <f>"01/10/2010"</f>
        <v>01/10/2010</v>
      </c>
      <c r="B329" t="str">
        <f>"5.8667"</f>
        <v>5.8667</v>
      </c>
      <c r="C329" t="str">
        <f>"5.8763"</f>
        <v>5.8763</v>
      </c>
    </row>
    <row r="330" spans="1:3" x14ac:dyDescent="0.25">
      <c r="A330" t="str">
        <f>"04/10/2010"</f>
        <v>04/10/2010</v>
      </c>
      <c r="B330" t="str">
        <f>"5.8498"</f>
        <v>5.8498</v>
      </c>
      <c r="C330" t="str">
        <f>"5.8597"</f>
        <v>5.8597</v>
      </c>
    </row>
    <row r="331" spans="1:3" x14ac:dyDescent="0.25">
      <c r="A331" t="str">
        <f>"05/10/2010"</f>
        <v>05/10/2010</v>
      </c>
      <c r="B331" t="str">
        <f>"5.8883"</f>
        <v>5.8883</v>
      </c>
      <c r="C331" t="str">
        <f>"5.8985"</f>
        <v>5.8985</v>
      </c>
    </row>
    <row r="332" spans="1:3" x14ac:dyDescent="0.25">
      <c r="A332" t="str">
        <f>"06/10/2010"</f>
        <v>06/10/2010</v>
      </c>
      <c r="B332" t="str">
        <f>"5.8185"</f>
        <v>5.8185</v>
      </c>
      <c r="C332" t="str">
        <f>"5.8282"</f>
        <v>5.8282</v>
      </c>
    </row>
    <row r="333" spans="1:3" x14ac:dyDescent="0.25">
      <c r="A333" t="str">
        <f>"07/10/2010"</f>
        <v>07/10/2010</v>
      </c>
      <c r="B333" t="str">
        <f>"5.776"</f>
        <v>5.776</v>
      </c>
      <c r="C333" t="str">
        <f>"5.7852"</f>
        <v>5.7852</v>
      </c>
    </row>
    <row r="334" spans="1:3" x14ac:dyDescent="0.25">
      <c r="A334" t="str">
        <f>"08/10/2010"</f>
        <v>08/10/2010</v>
      </c>
      <c r="B334" t="str">
        <f>"5.8147"</f>
        <v>5.8147</v>
      </c>
      <c r="C334" t="str">
        <f>"5.8239"</f>
        <v>5.8239</v>
      </c>
    </row>
    <row r="335" spans="1:3" x14ac:dyDescent="0.25">
      <c r="A335" t="str">
        <f>"11/10/2010"</f>
        <v>11/10/2010</v>
      </c>
      <c r="B335" t="str">
        <f>"5.812"</f>
        <v>5.812</v>
      </c>
      <c r="C335" t="str">
        <f>"5.8217"</f>
        <v>5.8217</v>
      </c>
    </row>
    <row r="336" spans="1:3" x14ac:dyDescent="0.25">
      <c r="A336" t="str">
        <f>"12/10/2010"</f>
        <v>12/10/2010</v>
      </c>
      <c r="B336" t="str">
        <f>"5.8654"</f>
        <v>5.8654</v>
      </c>
      <c r="C336" t="str">
        <f>"5.8752"</f>
        <v>5.8752</v>
      </c>
    </row>
    <row r="337" spans="1:3" x14ac:dyDescent="0.25">
      <c r="A337" t="str">
        <f>"13/10/2010"</f>
        <v>13/10/2010</v>
      </c>
      <c r="B337" t="str">
        <f>"5.8333"</f>
        <v>5.8333</v>
      </c>
      <c r="C337" t="str">
        <f>"5.843"</f>
        <v>5.843</v>
      </c>
    </row>
    <row r="338" spans="1:3" x14ac:dyDescent="0.25">
      <c r="A338" t="str">
        <f>"14/10/2010"</f>
        <v>14/10/2010</v>
      </c>
      <c r="B338" t="str">
        <f>"5.7448"</f>
        <v>5.7448</v>
      </c>
      <c r="C338" t="str">
        <f>"5.754"</f>
        <v>5.754</v>
      </c>
    </row>
    <row r="339" spans="1:3" x14ac:dyDescent="0.25">
      <c r="A339" t="str">
        <f>"15/10/2010"</f>
        <v>15/10/2010</v>
      </c>
      <c r="B339" t="str">
        <f>"5.7604"</f>
        <v>5.7604</v>
      </c>
      <c r="C339" t="str">
        <f>"5.7696"</f>
        <v>5.7696</v>
      </c>
    </row>
    <row r="340" spans="1:3" x14ac:dyDescent="0.25">
      <c r="A340" t="str">
        <f>"18/10/2010"</f>
        <v>18/10/2010</v>
      </c>
      <c r="B340" t="str">
        <f>"5.8333"</f>
        <v>5.8333</v>
      </c>
      <c r="C340" t="str">
        <f>"5.8428"</f>
        <v>5.8428</v>
      </c>
    </row>
    <row r="341" spans="1:3" x14ac:dyDescent="0.25">
      <c r="A341" t="str">
        <f>"19/10/2010"</f>
        <v>19/10/2010</v>
      </c>
      <c r="B341" t="str">
        <f>"5.8616"</f>
        <v>5.8616</v>
      </c>
      <c r="C341" t="str">
        <f>"5.8713"</f>
        <v>5.8713</v>
      </c>
    </row>
    <row r="342" spans="1:3" x14ac:dyDescent="0.25">
      <c r="A342" t="str">
        <f>"20/10/2010"</f>
        <v>20/10/2010</v>
      </c>
      <c r="B342" t="str">
        <f>"5.929"</f>
        <v>5.929</v>
      </c>
      <c r="C342" t="str">
        <f>"5.9385"</f>
        <v>5.9385</v>
      </c>
    </row>
    <row r="343" spans="1:3" x14ac:dyDescent="0.25">
      <c r="A343" t="str">
        <f>"21/10/2010"</f>
        <v>21/10/2010</v>
      </c>
      <c r="B343" t="str">
        <f>"5.8563"</f>
        <v>5.8563</v>
      </c>
      <c r="C343" t="str">
        <f>"5.866"</f>
        <v>5.866</v>
      </c>
    </row>
    <row r="344" spans="1:3" x14ac:dyDescent="0.25">
      <c r="A344" t="str">
        <f>"22/10/2010"</f>
        <v>22/10/2010</v>
      </c>
      <c r="B344" t="str">
        <f>"5.8569"</f>
        <v>5.8569</v>
      </c>
      <c r="C344" t="str">
        <f>"5.8665"</f>
        <v>5.8665</v>
      </c>
    </row>
    <row r="345" spans="1:3" x14ac:dyDescent="0.25">
      <c r="A345" t="str">
        <f>"25/10/2010"</f>
        <v>25/10/2010</v>
      </c>
      <c r="B345" t="str">
        <f>"5.7728"</f>
        <v>5.7728</v>
      </c>
      <c r="C345" t="str">
        <f>"5.7824"</f>
        <v>5.7824</v>
      </c>
    </row>
    <row r="346" spans="1:3" x14ac:dyDescent="0.25">
      <c r="A346" t="str">
        <f>"26/10/2010"</f>
        <v>26/10/2010</v>
      </c>
      <c r="B346" t="str">
        <f>"5.7864"</f>
        <v>5.7864</v>
      </c>
      <c r="C346" t="str">
        <f>"5.7962"</f>
        <v>5.7962</v>
      </c>
    </row>
    <row r="347" spans="1:3" x14ac:dyDescent="0.25">
      <c r="A347" t="str">
        <f>"27/10/2010"</f>
        <v>27/10/2010</v>
      </c>
      <c r="B347" t="str">
        <f>"5.8972"</f>
        <v>5.8972</v>
      </c>
      <c r="C347" t="str">
        <f>"5.907"</f>
        <v>5.907</v>
      </c>
    </row>
    <row r="348" spans="1:3" x14ac:dyDescent="0.25">
      <c r="A348" t="str">
        <f>"28/10/2010"</f>
        <v>28/10/2010</v>
      </c>
      <c r="B348" t="str">
        <f>"5.8928"</f>
        <v>5.8928</v>
      </c>
      <c r="C348" t="str">
        <f>"5.9028"</f>
        <v>5.9028</v>
      </c>
    </row>
    <row r="349" spans="1:3" x14ac:dyDescent="0.25">
      <c r="A349" t="str">
        <f>"29/10/2010"</f>
        <v>29/10/2010</v>
      </c>
      <c r="B349" t="str">
        <f>"5.902"</f>
        <v>5.902</v>
      </c>
      <c r="C349" t="str">
        <f>"5.9112"</f>
        <v>5.9112</v>
      </c>
    </row>
    <row r="350" spans="1:3" x14ac:dyDescent="0.25">
      <c r="A350" t="str">
        <f>"01/11/2010"</f>
        <v>01/11/2010</v>
      </c>
      <c r="B350" t="str">
        <f>"5.8414"</f>
        <v>5.8414</v>
      </c>
      <c r="C350" t="str">
        <f>"5.8505"</f>
        <v>5.8505</v>
      </c>
    </row>
    <row r="351" spans="1:3" x14ac:dyDescent="0.25">
      <c r="A351" t="str">
        <f>"02/11/2010"</f>
        <v>02/11/2010</v>
      </c>
      <c r="B351" t="str">
        <f>"5.8638"</f>
        <v>5.8638</v>
      </c>
      <c r="C351" t="str">
        <f>"5.8734"</f>
        <v>5.8734</v>
      </c>
    </row>
    <row r="352" spans="1:3" x14ac:dyDescent="0.25">
      <c r="A352" t="str">
        <f>"03/11/2010"</f>
        <v>03/11/2010</v>
      </c>
      <c r="B352" t="str">
        <f>"5.8509"</f>
        <v>5.8509</v>
      </c>
      <c r="C352" t="str">
        <f>"5.8606"</f>
        <v>5.8606</v>
      </c>
    </row>
    <row r="353" spans="1:3" x14ac:dyDescent="0.25">
      <c r="A353" t="str">
        <f>"04/11/2010"</f>
        <v>04/11/2010</v>
      </c>
      <c r="B353" t="str">
        <f>"5.7968"</f>
        <v>5.7968</v>
      </c>
      <c r="C353" t="str">
        <f>"5.806"</f>
        <v>5.806</v>
      </c>
    </row>
    <row r="354" spans="1:3" x14ac:dyDescent="0.25">
      <c r="A354" t="str">
        <f>"08/11/2010"</f>
        <v>08/11/2010</v>
      </c>
      <c r="B354" t="str">
        <f>"5.8037"</f>
        <v>5.8037</v>
      </c>
      <c r="C354" t="str">
        <f>"5.8128"</f>
        <v>5.8128</v>
      </c>
    </row>
    <row r="355" spans="1:3" x14ac:dyDescent="0.25">
      <c r="A355" t="str">
        <f>"09/11/2010"</f>
        <v>09/11/2010</v>
      </c>
      <c r="B355" t="str">
        <f>"5.8262"</f>
        <v>5.8262</v>
      </c>
      <c r="C355" t="str">
        <f>"5.8354"</f>
        <v>5.8354</v>
      </c>
    </row>
    <row r="356" spans="1:3" x14ac:dyDescent="0.25">
      <c r="A356" t="str">
        <f>"10/11/2010"</f>
        <v>10/11/2010</v>
      </c>
      <c r="B356" t="str">
        <f>"5.8687"</f>
        <v>5.8687</v>
      </c>
      <c r="C356" t="str">
        <f>"5.8782"</f>
        <v>5.8782</v>
      </c>
    </row>
    <row r="357" spans="1:3" x14ac:dyDescent="0.25">
      <c r="A357" t="str">
        <f>"11/11/2010"</f>
        <v>11/11/2010</v>
      </c>
      <c r="B357" t="str">
        <f>"5.861"</f>
        <v>5.861</v>
      </c>
      <c r="C357" t="str">
        <f>"5.8703"</f>
        <v>5.8703</v>
      </c>
    </row>
    <row r="358" spans="1:3" x14ac:dyDescent="0.25">
      <c r="A358" t="str">
        <f>"12/11/2010"</f>
        <v>12/11/2010</v>
      </c>
      <c r="B358" t="str">
        <f>"5.9656"</f>
        <v>5.9656</v>
      </c>
      <c r="C358" t="str">
        <f>"5.9748"</f>
        <v>5.9748</v>
      </c>
    </row>
    <row r="359" spans="1:3" x14ac:dyDescent="0.25">
      <c r="A359" t="str">
        <f>"15/11/2010"</f>
        <v>15/11/2010</v>
      </c>
      <c r="B359" t="str">
        <f>"5.9681"</f>
        <v>5.9681</v>
      </c>
      <c r="C359" t="str">
        <f>"5.9772"</f>
        <v>5.9772</v>
      </c>
    </row>
    <row r="360" spans="1:3" x14ac:dyDescent="0.25">
      <c r="A360" t="str">
        <f>"16/11/2010"</f>
        <v>16/11/2010</v>
      </c>
      <c r="B360" t="str">
        <f>"5.9849"</f>
        <v>5.9849</v>
      </c>
      <c r="C360" t="str">
        <f>"5.9943"</f>
        <v>5.9943</v>
      </c>
    </row>
    <row r="361" spans="1:3" x14ac:dyDescent="0.25">
      <c r="A361" t="str">
        <f>"18/11/2010"</f>
        <v>18/11/2010</v>
      </c>
      <c r="B361" t="str">
        <f>"6.0168"</f>
        <v>6.0168</v>
      </c>
      <c r="C361" t="str">
        <f>"6.0261"</f>
        <v>6.0261</v>
      </c>
    </row>
    <row r="362" spans="1:3" x14ac:dyDescent="0.25">
      <c r="A362" t="str">
        <f>"22/11/2010"</f>
        <v>22/11/2010</v>
      </c>
      <c r="B362" t="str">
        <f>"5.9491"</f>
        <v>5.9491</v>
      </c>
      <c r="C362" t="str">
        <f>"5.9586"</f>
        <v>5.9586</v>
      </c>
    </row>
    <row r="363" spans="1:3" x14ac:dyDescent="0.25">
      <c r="A363" t="str">
        <f>"23/11/2010"</f>
        <v>23/11/2010</v>
      </c>
      <c r="B363" t="str">
        <f>"6.0239"</f>
        <v>6.0239</v>
      </c>
      <c r="C363" t="str">
        <f>"6.0335"</f>
        <v>6.0335</v>
      </c>
    </row>
    <row r="364" spans="1:3" x14ac:dyDescent="0.25">
      <c r="A364" t="str">
        <f>"24/11/2010"</f>
        <v>24/11/2010</v>
      </c>
      <c r="B364" t="str">
        <f>"6.0976"</f>
        <v>6.0976</v>
      </c>
      <c r="C364" t="str">
        <f>"6.1071"</f>
        <v>6.1071</v>
      </c>
    </row>
    <row r="365" spans="1:3" x14ac:dyDescent="0.25">
      <c r="A365" t="str">
        <f>"25/11/2010"</f>
        <v>25/11/2010</v>
      </c>
      <c r="B365" t="str">
        <f>"6.0992"</f>
        <v>6.0992</v>
      </c>
      <c r="C365" t="str">
        <f>"6.1085"</f>
        <v>6.1085</v>
      </c>
    </row>
    <row r="366" spans="1:3" x14ac:dyDescent="0.25">
      <c r="A366" t="str">
        <f>"26/11/2010"</f>
        <v>26/11/2010</v>
      </c>
      <c r="B366" t="str">
        <f>"6.1061"</f>
        <v>6.1061</v>
      </c>
      <c r="C366" t="str">
        <f>"6.1155"</f>
        <v>6.1155</v>
      </c>
    </row>
    <row r="367" spans="1:3" x14ac:dyDescent="0.25">
      <c r="A367" t="str">
        <f>"29/11/2010"</f>
        <v>29/11/2010</v>
      </c>
      <c r="B367" t="str">
        <f>"6.1567"</f>
        <v>6.1567</v>
      </c>
      <c r="C367" t="str">
        <f>"6.1664"</f>
        <v>6.1664</v>
      </c>
    </row>
    <row r="368" spans="1:3" x14ac:dyDescent="0.25">
      <c r="A368" t="str">
        <f>"30/11/2010"</f>
        <v>30/11/2010</v>
      </c>
      <c r="B368" t="str">
        <f>"6.1723"</f>
        <v>6.1723</v>
      </c>
      <c r="C368" t="str">
        <f>"6.182"</f>
        <v>6.182</v>
      </c>
    </row>
    <row r="369" spans="1:3" x14ac:dyDescent="0.25">
      <c r="A369" t="str">
        <f>"01/12/2010"</f>
        <v>01/12/2010</v>
      </c>
      <c r="B369" t="str">
        <f>"6.2005"</f>
        <v>6.2005</v>
      </c>
      <c r="C369" t="str">
        <f>"6.2097"</f>
        <v>6.2097</v>
      </c>
    </row>
    <row r="370" spans="1:3" x14ac:dyDescent="0.25">
      <c r="A370" t="str">
        <f>"02/12/2010"</f>
        <v>02/12/2010</v>
      </c>
      <c r="B370" t="str">
        <f>"6.1661"</f>
        <v>6.1661</v>
      </c>
      <c r="C370" t="str">
        <f>"6.1752"</f>
        <v>6.1752</v>
      </c>
    </row>
    <row r="371" spans="1:3" x14ac:dyDescent="0.25">
      <c r="A371" t="str">
        <f>"03/12/2010"</f>
        <v>03/12/2010</v>
      </c>
      <c r="B371" t="str">
        <f>"6.0925"</f>
        <v>6.0925</v>
      </c>
      <c r="C371" t="str">
        <f>"6.1016"</f>
        <v>6.1016</v>
      </c>
    </row>
    <row r="372" spans="1:3" x14ac:dyDescent="0.25">
      <c r="A372" t="str">
        <f>"06/12/2010"</f>
        <v>06/12/2010</v>
      </c>
      <c r="B372" t="str">
        <f>"5.9883"</f>
        <v>5.9883</v>
      </c>
      <c r="C372" t="str">
        <f>"5.9981"</f>
        <v>5.9981</v>
      </c>
    </row>
    <row r="373" spans="1:3" x14ac:dyDescent="0.25">
      <c r="A373" t="str">
        <f>"07/12/2010"</f>
        <v>07/12/2010</v>
      </c>
      <c r="B373" t="str">
        <f>"5.9826"</f>
        <v>5.9826</v>
      </c>
      <c r="C373" t="str">
        <f>"5.9923"</f>
        <v>5.9923</v>
      </c>
    </row>
    <row r="374" spans="1:3" x14ac:dyDescent="0.25">
      <c r="A374" t="str">
        <f>"08/12/2010"</f>
        <v>08/12/2010</v>
      </c>
      <c r="B374" t="str">
        <f>"6.0203"</f>
        <v>6.0203</v>
      </c>
      <c r="C374" t="str">
        <f>"6.0297"</f>
        <v>6.0297</v>
      </c>
    </row>
    <row r="375" spans="1:3" x14ac:dyDescent="0.25">
      <c r="A375" t="str">
        <f>"09/12/2010"</f>
        <v>09/12/2010</v>
      </c>
      <c r="B375" t="str">
        <f>"5.9904"</f>
        <v>5.9904</v>
      </c>
      <c r="C375" t="str">
        <f>"5.9995"</f>
        <v>5.9995</v>
      </c>
    </row>
    <row r="376" spans="1:3" x14ac:dyDescent="0.25">
      <c r="A376" t="str">
        <f>"10/12/2010"</f>
        <v>10/12/2010</v>
      </c>
      <c r="B376" t="str">
        <f>"6.0329"</f>
        <v>6.0329</v>
      </c>
      <c r="C376" t="str">
        <f>"6.0422"</f>
        <v>6.0422</v>
      </c>
    </row>
    <row r="377" spans="1:3" x14ac:dyDescent="0.25">
      <c r="A377" t="str">
        <f>"13/12/2010"</f>
        <v>13/12/2010</v>
      </c>
      <c r="B377" t="str">
        <f>"6.0185"</f>
        <v>6.0185</v>
      </c>
      <c r="C377" t="str">
        <f>"6.0282"</f>
        <v>6.0282</v>
      </c>
    </row>
    <row r="378" spans="1:3" x14ac:dyDescent="0.25">
      <c r="A378" t="str">
        <f>"14/12/2010"</f>
        <v>14/12/2010</v>
      </c>
      <c r="B378" t="str">
        <f>"5.9211"</f>
        <v>5.9211</v>
      </c>
      <c r="C378" t="str">
        <f>"5.931"</f>
        <v>5.931</v>
      </c>
    </row>
    <row r="379" spans="1:3" x14ac:dyDescent="0.25">
      <c r="A379" t="str">
        <f>"15/12/2010"</f>
        <v>15/12/2010</v>
      </c>
      <c r="B379" t="str">
        <f>"5.9128"</f>
        <v>5.9128</v>
      </c>
      <c r="C379" t="str">
        <f>"5.9226"</f>
        <v>5.9226</v>
      </c>
    </row>
    <row r="380" spans="1:3" x14ac:dyDescent="0.25">
      <c r="A380" t="str">
        <f>"16/12/2010"</f>
        <v>16/12/2010</v>
      </c>
      <c r="B380" t="str">
        <f>"5.9819"</f>
        <v>5.9819</v>
      </c>
      <c r="C380" t="str">
        <f>"5.9913"</f>
        <v>5.9913</v>
      </c>
    </row>
    <row r="381" spans="1:3" x14ac:dyDescent="0.25">
      <c r="A381" t="str">
        <f>"20/12/2010"</f>
        <v>20/12/2010</v>
      </c>
      <c r="B381" t="str">
        <f>"5.9989"</f>
        <v>5.9989</v>
      </c>
      <c r="C381" t="str">
        <f>"6.008"</f>
        <v>6.008</v>
      </c>
    </row>
    <row r="382" spans="1:3" x14ac:dyDescent="0.25">
      <c r="A382" t="str">
        <f>"21/12/2010"</f>
        <v>21/12/2010</v>
      </c>
      <c r="B382" t="str">
        <f>"5.9722"</f>
        <v>5.9722</v>
      </c>
      <c r="C382" t="str">
        <f>"5.9815"</f>
        <v>5.9815</v>
      </c>
    </row>
    <row r="383" spans="1:3" x14ac:dyDescent="0.25">
      <c r="A383" t="str">
        <f>"22/12/2010"</f>
        <v>22/12/2010</v>
      </c>
      <c r="B383" t="str">
        <f>"5.9719"</f>
        <v>5.9719</v>
      </c>
      <c r="C383" t="str">
        <f>"5.981"</f>
        <v>5.981</v>
      </c>
    </row>
    <row r="384" spans="1:3" x14ac:dyDescent="0.25">
      <c r="A384" t="str">
        <f>"23/12/2010"</f>
        <v>23/12/2010</v>
      </c>
      <c r="B384" t="str">
        <f>"5.9881"</f>
        <v>5.9881</v>
      </c>
      <c r="C384" t="str">
        <f>"5.9971"</f>
        <v>5.9971</v>
      </c>
    </row>
    <row r="385" spans="1:3" x14ac:dyDescent="0.25">
      <c r="A385" t="str">
        <f>"24/12/2010"</f>
        <v>24/12/2010</v>
      </c>
      <c r="B385" t="str">
        <f>"5.9657"</f>
        <v>5.9657</v>
      </c>
      <c r="C385" t="str">
        <f>"5.9747"</f>
        <v>5.9747</v>
      </c>
    </row>
    <row r="386" spans="1:3" x14ac:dyDescent="0.25">
      <c r="A386" t="str">
        <f>"27/12/2010"</f>
        <v>27/12/2010</v>
      </c>
      <c r="B386" t="str">
        <f>"5.9701"</f>
        <v>5.9701</v>
      </c>
      <c r="C386" t="str">
        <f>"5.9791"</f>
        <v>5.9791</v>
      </c>
    </row>
    <row r="387" spans="1:3" x14ac:dyDescent="0.25">
      <c r="A387" t="str">
        <f>"28/12/2010"</f>
        <v>28/12/2010</v>
      </c>
      <c r="B387" t="str">
        <f>"5.9099"</f>
        <v>5.9099</v>
      </c>
      <c r="C387" t="str">
        <f>"5.9196"</f>
        <v>5.9196</v>
      </c>
    </row>
    <row r="388" spans="1:3" x14ac:dyDescent="0.25">
      <c r="A388" t="str">
        <f>"29/12/2010"</f>
        <v>29/12/2010</v>
      </c>
      <c r="B388" t="str">
        <f>"5.9516"</f>
        <v>5.9516</v>
      </c>
      <c r="C388" t="str">
        <f>"5.9609"</f>
        <v>5.9609</v>
      </c>
    </row>
    <row r="389" spans="1:3" x14ac:dyDescent="0.25">
      <c r="A389" t="str">
        <f>"30/12/2010"</f>
        <v>30/12/2010</v>
      </c>
      <c r="B389" t="str">
        <f>"5.9097"</f>
        <v>5.9097</v>
      </c>
      <c r="C389" t="str">
        <f>"5.9182"</f>
        <v>5.9182</v>
      </c>
    </row>
    <row r="390" spans="1:3" x14ac:dyDescent="0.25">
      <c r="A390" t="str">
        <f>"31/12/2010"</f>
        <v>31/12/2010</v>
      </c>
      <c r="B390" t="str">
        <f>"5.8864"</f>
        <v>5.8864</v>
      </c>
      <c r="C390" t="str">
        <f>"5.8953"</f>
        <v>5.8953</v>
      </c>
    </row>
    <row r="391" spans="1:3" x14ac:dyDescent="0.25">
      <c r="A391" t="str">
        <f>"03/01/2011"</f>
        <v>03/01/2011</v>
      </c>
      <c r="B391" t="str">
        <f>"5.8623"</f>
        <v>5.8623</v>
      </c>
      <c r="C391" t="str">
        <f>"5.8712"</f>
        <v>5.8712</v>
      </c>
    </row>
    <row r="392" spans="1:3" x14ac:dyDescent="0.25">
      <c r="A392" t="str">
        <f>"04/01/2011"</f>
        <v>04/01/2011</v>
      </c>
      <c r="B392" t="str">
        <f>"5.8314"</f>
        <v>5.8314</v>
      </c>
      <c r="C392" t="str">
        <f>"5.8408"</f>
        <v>5.8408</v>
      </c>
    </row>
    <row r="393" spans="1:3" x14ac:dyDescent="0.25">
      <c r="A393" t="str">
        <f>"05/01/2011"</f>
        <v>05/01/2011</v>
      </c>
      <c r="B393" t="str">
        <f>"5.8792"</f>
        <v>5.8792</v>
      </c>
      <c r="C393" t="str">
        <f>"5.8884"</f>
        <v>5.8884</v>
      </c>
    </row>
    <row r="394" spans="1:3" x14ac:dyDescent="0.25">
      <c r="A394" t="str">
        <f>"06/01/2011"</f>
        <v>06/01/2011</v>
      </c>
      <c r="B394" t="str">
        <f>"5.9229"</f>
        <v>5.9229</v>
      </c>
      <c r="C394" t="str">
        <f>"5.9318"</f>
        <v>5.9318</v>
      </c>
    </row>
    <row r="395" spans="1:3" x14ac:dyDescent="0.25">
      <c r="A395" t="str">
        <f>"07/01/2011"</f>
        <v>07/01/2011</v>
      </c>
      <c r="B395" t="str">
        <f>"5.9667"</f>
        <v>5.9667</v>
      </c>
      <c r="C395" t="str">
        <f>"5.9756"</f>
        <v>5.9756</v>
      </c>
    </row>
    <row r="396" spans="1:3" x14ac:dyDescent="0.25">
      <c r="A396" t="str">
        <f>"10/01/2011"</f>
        <v>10/01/2011</v>
      </c>
      <c r="B396" t="str">
        <f>"5.9882"</f>
        <v>5.9882</v>
      </c>
      <c r="C396" t="str">
        <f>"5.9973"</f>
        <v>5.9973</v>
      </c>
    </row>
    <row r="397" spans="1:3" x14ac:dyDescent="0.25">
      <c r="A397" t="str">
        <f>"11/01/2011"</f>
        <v>11/01/2011</v>
      </c>
      <c r="B397" t="str">
        <f>"5.982"</f>
        <v>5.982</v>
      </c>
      <c r="C397" t="str">
        <f>"5.9916"</f>
        <v>5.9916</v>
      </c>
    </row>
    <row r="398" spans="1:3" x14ac:dyDescent="0.25">
      <c r="A398" t="str">
        <f>"12/01/2011"</f>
        <v>12/01/2011</v>
      </c>
      <c r="B398" t="str">
        <f>"5.9456"</f>
        <v>5.9456</v>
      </c>
      <c r="C398" t="str">
        <f>"5.9549"</f>
        <v>5.9549</v>
      </c>
    </row>
    <row r="399" spans="1:3" x14ac:dyDescent="0.25">
      <c r="A399" t="str">
        <f>"13/01/2011"</f>
        <v>13/01/2011</v>
      </c>
      <c r="B399" t="str">
        <f>"5.92"</f>
        <v>5.92</v>
      </c>
      <c r="C399" t="str">
        <f>"5.9291"</f>
        <v>5.9291</v>
      </c>
    </row>
    <row r="400" spans="1:3" x14ac:dyDescent="0.25">
      <c r="A400" t="str">
        <f>"14/01/2011"</f>
        <v>14/01/2011</v>
      </c>
      <c r="B400" t="str">
        <f>"5.8749"</f>
        <v>5.8749</v>
      </c>
      <c r="C400" t="str">
        <f>"5.8841"</f>
        <v>5.8841</v>
      </c>
    </row>
    <row r="401" spans="1:3" x14ac:dyDescent="0.25">
      <c r="A401" t="str">
        <f>"17/01/2011"</f>
        <v>17/01/2011</v>
      </c>
      <c r="B401" t="str">
        <f>"5.8461"</f>
        <v>5.8461</v>
      </c>
      <c r="C401" t="str">
        <f>"5.8552"</f>
        <v>5.8552</v>
      </c>
    </row>
    <row r="402" spans="1:3" x14ac:dyDescent="0.25">
      <c r="A402" t="str">
        <f>"18/01/2011"</f>
        <v>18/01/2011</v>
      </c>
      <c r="B402" t="str">
        <f>"5.8524"</f>
        <v>5.8524</v>
      </c>
      <c r="C402" t="str">
        <f>"5.8618"</f>
        <v>5.8618</v>
      </c>
    </row>
    <row r="403" spans="1:3" x14ac:dyDescent="0.25">
      <c r="A403" t="str">
        <f>"19/01/2011"</f>
        <v>19/01/2011</v>
      </c>
      <c r="B403" t="str">
        <f>"5.8129"</f>
        <v>5.8129</v>
      </c>
      <c r="C403" t="str">
        <f>"5.8226"</f>
        <v>5.8226</v>
      </c>
    </row>
    <row r="404" spans="1:3" x14ac:dyDescent="0.25">
      <c r="A404" t="str">
        <f>"20/01/2011"</f>
        <v>20/01/2011</v>
      </c>
      <c r="B404" t="str">
        <f>"5.8223"</f>
        <v>5.8223</v>
      </c>
      <c r="C404" t="str">
        <f>"5.8317"</f>
        <v>5.8317</v>
      </c>
    </row>
    <row r="405" spans="1:3" x14ac:dyDescent="0.25">
      <c r="A405" t="str">
        <f>"21/01/2011"</f>
        <v>21/01/2011</v>
      </c>
      <c r="B405" t="str">
        <f>"5.8585"</f>
        <v>5.8585</v>
      </c>
      <c r="C405" t="str">
        <f>"5.8678"</f>
        <v>5.8678</v>
      </c>
    </row>
    <row r="406" spans="1:3" x14ac:dyDescent="0.25">
      <c r="A406" t="str">
        <f>"24/01/2011"</f>
        <v>24/01/2011</v>
      </c>
      <c r="B406" t="str">
        <f>"5.8297"</f>
        <v>5.8297</v>
      </c>
      <c r="C406" t="str">
        <f>"5.8394"</f>
        <v>5.8394</v>
      </c>
    </row>
    <row r="407" spans="1:3" x14ac:dyDescent="0.25">
      <c r="A407" t="str">
        <f>"25/01/2011"</f>
        <v>25/01/2011</v>
      </c>
      <c r="B407" t="str">
        <f>"5.7822"</f>
        <v>5.7822</v>
      </c>
      <c r="C407" t="str">
        <f>"5.7919"</f>
        <v>5.7919</v>
      </c>
    </row>
    <row r="408" spans="1:3" x14ac:dyDescent="0.25">
      <c r="A408" t="str">
        <f>"27/01/2011"</f>
        <v>27/01/2011</v>
      </c>
      <c r="B408" t="str">
        <f>"5.7665"</f>
        <v>5.7665</v>
      </c>
      <c r="C408" t="str">
        <f>"5.7755"</f>
        <v>5.7755</v>
      </c>
    </row>
    <row r="409" spans="1:3" x14ac:dyDescent="0.25">
      <c r="A409" t="str">
        <f>"28/01/2011"</f>
        <v>28/01/2011</v>
      </c>
      <c r="B409" t="str">
        <f>"5.8047"</f>
        <v>5.8047</v>
      </c>
      <c r="C409" t="str">
        <f>"5.8128"</f>
        <v>5.8128</v>
      </c>
    </row>
    <row r="410" spans="1:3" x14ac:dyDescent="0.25">
      <c r="A410" t="str">
        <f>"31/01/2011"</f>
        <v>31/01/2011</v>
      </c>
      <c r="B410" t="str">
        <f>"5.8236"</f>
        <v>5.8236</v>
      </c>
      <c r="C410" t="str">
        <f>"5.8317"</f>
        <v>5.8317</v>
      </c>
    </row>
    <row r="411" spans="1:3" x14ac:dyDescent="0.25">
      <c r="A411" t="str">
        <f>"01/02/2011"</f>
        <v>01/02/2011</v>
      </c>
      <c r="B411" t="str">
        <f>"5.767"</f>
        <v>5.767</v>
      </c>
      <c r="C411" t="str">
        <f>"5.7751"</f>
        <v>5.7751</v>
      </c>
    </row>
    <row r="412" spans="1:3" x14ac:dyDescent="0.25">
      <c r="A412" t="str">
        <f>"02/02/2011"</f>
        <v>02/02/2011</v>
      </c>
      <c r="B412" t="str">
        <f>"5.6928"</f>
        <v>5.6928</v>
      </c>
      <c r="C412" t="str">
        <f>"5.701"</f>
        <v>5.701</v>
      </c>
    </row>
    <row r="413" spans="1:3" x14ac:dyDescent="0.25">
      <c r="A413" t="str">
        <f>"03/02/2011"</f>
        <v>03/02/2011</v>
      </c>
      <c r="B413" t="str">
        <f>"5.7261"</f>
        <v>5.7261</v>
      </c>
      <c r="C413" t="str">
        <f>"5.7343"</f>
        <v>5.7343</v>
      </c>
    </row>
    <row r="414" spans="1:3" x14ac:dyDescent="0.25">
      <c r="A414" t="str">
        <f>"04/02/2011"</f>
        <v>04/02/2011</v>
      </c>
      <c r="B414" t="str">
        <f>"5.741"</f>
        <v>5.741</v>
      </c>
      <c r="C414" t="str">
        <f>"5.7491"</f>
        <v>5.7491</v>
      </c>
    </row>
    <row r="415" spans="1:3" x14ac:dyDescent="0.25">
      <c r="A415" t="str">
        <f>"07/02/2011"</f>
        <v>07/02/2011</v>
      </c>
      <c r="B415" t="str">
        <f>"5.7496"</f>
        <v>5.7496</v>
      </c>
      <c r="C415" t="str">
        <f>"5.7577"</f>
        <v>5.7577</v>
      </c>
    </row>
    <row r="416" spans="1:3" x14ac:dyDescent="0.25">
      <c r="A416" t="str">
        <f>"08/02/2011"</f>
        <v>08/02/2011</v>
      </c>
      <c r="B416" t="str">
        <f>"5.7642"</f>
        <v>5.7642</v>
      </c>
      <c r="C416" t="str">
        <f>"5.7724"</f>
        <v>5.7724</v>
      </c>
    </row>
    <row r="417" spans="1:3" x14ac:dyDescent="0.25">
      <c r="A417" t="str">
        <f>"09/02/2011"</f>
        <v>09/02/2011</v>
      </c>
      <c r="B417" t="str">
        <f>"5.7651"</f>
        <v>5.7651</v>
      </c>
      <c r="C417" t="str">
        <f>"5.7733"</f>
        <v>5.7733</v>
      </c>
    </row>
    <row r="418" spans="1:3" x14ac:dyDescent="0.25">
      <c r="A418" t="str">
        <f>"10/02/2011"</f>
        <v>10/02/2011</v>
      </c>
      <c r="B418" t="str">
        <f>"5.7699"</f>
        <v>5.7699</v>
      </c>
      <c r="C418" t="str">
        <f>"5.7781"</f>
        <v>5.7781</v>
      </c>
    </row>
    <row r="419" spans="1:3" x14ac:dyDescent="0.25">
      <c r="A419" t="str">
        <f>"11/02/2011"</f>
        <v>11/02/2011</v>
      </c>
      <c r="B419" t="str">
        <f>"5.8449"</f>
        <v>5.8449</v>
      </c>
      <c r="C419" t="str">
        <f>"5.8532"</f>
        <v>5.8532</v>
      </c>
    </row>
    <row r="420" spans="1:3" x14ac:dyDescent="0.25">
      <c r="A420" t="str">
        <f>"14/02/2011"</f>
        <v>14/02/2011</v>
      </c>
      <c r="B420" t="str">
        <f>"5.8608"</f>
        <v>5.8608</v>
      </c>
      <c r="C420" t="str">
        <f>"5.8692"</f>
        <v>5.8692</v>
      </c>
    </row>
    <row r="421" spans="1:3" x14ac:dyDescent="0.25">
      <c r="A421" t="str">
        <f>"15/02/2011"</f>
        <v>15/02/2011</v>
      </c>
      <c r="B421" t="str">
        <f>"5.8242"</f>
        <v>5.8242</v>
      </c>
      <c r="C421" t="str">
        <f>"5.8327"</f>
        <v>5.8327</v>
      </c>
    </row>
    <row r="422" spans="1:3" x14ac:dyDescent="0.25">
      <c r="A422" t="str">
        <f>"17/02/2011"</f>
        <v>17/02/2011</v>
      </c>
      <c r="B422" t="str">
        <f>"5.7261"</f>
        <v>5.7261</v>
      </c>
      <c r="C422" t="str">
        <f>"5.7347"</f>
        <v>5.7347</v>
      </c>
    </row>
    <row r="423" spans="1:3" x14ac:dyDescent="0.25">
      <c r="A423" t="str">
        <f>"18/02/2011"</f>
        <v>18/02/2011</v>
      </c>
      <c r="B423" t="str">
        <f>"5.7031"</f>
        <v>5.7031</v>
      </c>
      <c r="C423" t="str">
        <f>"5.7115"</f>
        <v>5.7115</v>
      </c>
    </row>
    <row r="424" spans="1:3" x14ac:dyDescent="0.25">
      <c r="A424" t="str">
        <f>"21/02/2011"</f>
        <v>21/02/2011</v>
      </c>
      <c r="B424" t="str">
        <f>"5.6861"</f>
        <v>5.6861</v>
      </c>
      <c r="C424" t="str">
        <f>"5.6946"</f>
        <v>5.6946</v>
      </c>
    </row>
    <row r="425" spans="1:3" x14ac:dyDescent="0.25">
      <c r="A425" t="str">
        <f>"22/02/2011"</f>
        <v>22/02/2011</v>
      </c>
      <c r="B425" t="str">
        <f>"5.7231"</f>
        <v>5.7231</v>
      </c>
      <c r="C425" t="str">
        <f>"5.7313"</f>
        <v>5.7313</v>
      </c>
    </row>
    <row r="426" spans="1:3" x14ac:dyDescent="0.25">
      <c r="A426" t="str">
        <f>"23/02/2011"</f>
        <v>23/02/2011</v>
      </c>
      <c r="B426" t="str">
        <f>"5.665"</f>
        <v>5.665</v>
      </c>
      <c r="C426" t="str">
        <f>"5.6732"</f>
        <v>5.6732</v>
      </c>
    </row>
    <row r="427" spans="1:3" x14ac:dyDescent="0.25">
      <c r="A427" t="str">
        <f>"24/02/2011"</f>
        <v>24/02/2011</v>
      </c>
      <c r="B427" t="str">
        <f>"5.6213"</f>
        <v>5.6213</v>
      </c>
      <c r="C427" t="str">
        <f>"5.6295"</f>
        <v>5.6295</v>
      </c>
    </row>
    <row r="428" spans="1:3" x14ac:dyDescent="0.25">
      <c r="A428" t="str">
        <f>"25/02/2011"</f>
        <v>25/02/2011</v>
      </c>
      <c r="B428" t="str">
        <f>"5.6107"</f>
        <v>5.6107</v>
      </c>
      <c r="C428" t="str">
        <f>"5.6199"</f>
        <v>5.6199</v>
      </c>
    </row>
    <row r="429" spans="1:3" x14ac:dyDescent="0.25">
      <c r="A429" t="str">
        <f>"28/02/2011"</f>
        <v>28/02/2011</v>
      </c>
      <c r="B429" t="str">
        <f>"5.6437"</f>
        <v>5.6437</v>
      </c>
      <c r="C429" t="str">
        <f>"5.6528"</f>
        <v>5.6528</v>
      </c>
    </row>
    <row r="430" spans="1:3" x14ac:dyDescent="0.25">
      <c r="A430" t="str">
        <f>"01/03/2011"</f>
        <v>01/03/2011</v>
      </c>
      <c r="B430" t="str">
        <f>"5.599"</f>
        <v>5.599</v>
      </c>
      <c r="C430" t="str">
        <f>"5.6085"</f>
        <v>5.6085</v>
      </c>
    </row>
    <row r="431" spans="1:3" x14ac:dyDescent="0.25">
      <c r="A431" t="str">
        <f>"03/03/2011"</f>
        <v>03/03/2011</v>
      </c>
      <c r="B431" t="str">
        <f>"5.5506"</f>
        <v>5.5506</v>
      </c>
      <c r="C431" t="str">
        <f>"5.5599"</f>
        <v>5.5599</v>
      </c>
    </row>
    <row r="432" spans="1:3" x14ac:dyDescent="0.25">
      <c r="A432" t="str">
        <f>"04/03/2011"</f>
        <v>04/03/2011</v>
      </c>
      <c r="B432" t="str">
        <f>"5.5705"</f>
        <v>5.5705</v>
      </c>
      <c r="C432" t="str">
        <f>"5.5798"</f>
        <v>5.5798</v>
      </c>
    </row>
    <row r="433" spans="1:3" x14ac:dyDescent="0.25">
      <c r="A433" t="str">
        <f>"07/03/2011"</f>
        <v>07/03/2011</v>
      </c>
      <c r="B433" t="str">
        <f>"5.5689"</f>
        <v>5.5689</v>
      </c>
      <c r="C433" t="str">
        <f>"5.5781"</f>
        <v>5.5781</v>
      </c>
    </row>
    <row r="434" spans="1:3" x14ac:dyDescent="0.25">
      <c r="A434" t="str">
        <f>"08/03/2011"</f>
        <v>08/03/2011</v>
      </c>
      <c r="B434" t="str">
        <f>"5.5543"</f>
        <v>5.5543</v>
      </c>
      <c r="C434" t="str">
        <f>"5.564"</f>
        <v>5.564</v>
      </c>
    </row>
    <row r="435" spans="1:3" x14ac:dyDescent="0.25">
      <c r="A435" t="str">
        <f>"09/03/2011"</f>
        <v>09/03/2011</v>
      </c>
      <c r="B435" t="str">
        <f>"5.5889"</f>
        <v>5.5889</v>
      </c>
      <c r="C435" t="str">
        <f>"5.5984"</f>
        <v>5.5984</v>
      </c>
    </row>
    <row r="436" spans="1:3" x14ac:dyDescent="0.25">
      <c r="A436" t="str">
        <f>"10/03/2011"</f>
        <v>10/03/2011</v>
      </c>
      <c r="B436" t="str">
        <f>"5.5865"</f>
        <v>5.5865</v>
      </c>
      <c r="C436" t="str">
        <f>"5.5956"</f>
        <v>5.5956</v>
      </c>
    </row>
    <row r="437" spans="1:3" x14ac:dyDescent="0.25">
      <c r="A437" t="str">
        <f>"11/03/2011"</f>
        <v>11/03/2011</v>
      </c>
      <c r="B437" t="str">
        <f>"5.6428"</f>
        <v>5.6428</v>
      </c>
      <c r="C437" t="str">
        <f>"5.652"</f>
        <v>5.652</v>
      </c>
    </row>
    <row r="438" spans="1:3" x14ac:dyDescent="0.25">
      <c r="A438" t="str">
        <f>"14/03/2011"</f>
        <v>14/03/2011</v>
      </c>
      <c r="B438" t="str">
        <f>"5.6006"</f>
        <v>5.6006</v>
      </c>
      <c r="C438" t="str">
        <f>"5.6097"</f>
        <v>5.6097</v>
      </c>
    </row>
    <row r="439" spans="1:3" x14ac:dyDescent="0.25">
      <c r="A439" t="str">
        <f>"15/03/2011"</f>
        <v>15/03/2011</v>
      </c>
      <c r="B439" t="str">
        <f>"5.6545"</f>
        <v>5.6545</v>
      </c>
      <c r="C439" t="str">
        <f>"5.6642"</f>
        <v>5.6642</v>
      </c>
    </row>
    <row r="440" spans="1:3" x14ac:dyDescent="0.25">
      <c r="A440" t="str">
        <f>"16/03/2011"</f>
        <v>16/03/2011</v>
      </c>
      <c r="B440" t="str">
        <f>"5.6725"</f>
        <v>5.6725</v>
      </c>
      <c r="C440" t="str">
        <f>"5.6818"</f>
        <v>5.6818</v>
      </c>
    </row>
    <row r="441" spans="1:3" x14ac:dyDescent="0.25">
      <c r="A441" t="str">
        <f>"17/03/2011"</f>
        <v>17/03/2011</v>
      </c>
      <c r="B441" t="str">
        <f>"5.674"</f>
        <v>5.674</v>
      </c>
      <c r="C441" t="str">
        <f>"5.6829"</f>
        <v>5.6829</v>
      </c>
    </row>
    <row r="442" spans="1:3" x14ac:dyDescent="0.25">
      <c r="A442" t="str">
        <f>"18/03/2011"</f>
        <v>18/03/2011</v>
      </c>
      <c r="B442" t="str">
        <f>"5.6249"</f>
        <v>5.6249</v>
      </c>
      <c r="C442" t="str">
        <f>"5.6352"</f>
        <v>5.6352</v>
      </c>
    </row>
    <row r="443" spans="1:3" x14ac:dyDescent="0.25">
      <c r="A443" t="str">
        <f>"21/03/2011"</f>
        <v>21/03/2011</v>
      </c>
      <c r="B443" t="str">
        <f>"5.5575"</f>
        <v>5.5575</v>
      </c>
      <c r="C443" t="str">
        <f>"5.5675"</f>
        <v>5.5675</v>
      </c>
    </row>
    <row r="444" spans="1:3" x14ac:dyDescent="0.25">
      <c r="A444" t="str">
        <f>"22/03/2011"</f>
        <v>22/03/2011</v>
      </c>
      <c r="B444" t="str">
        <f>"5.552"</f>
        <v>5.552</v>
      </c>
      <c r="C444" t="str">
        <f>"5.5618"</f>
        <v>5.5618</v>
      </c>
    </row>
    <row r="445" spans="1:3" x14ac:dyDescent="0.25">
      <c r="A445" t="str">
        <f>"23/03/2011"</f>
        <v>23/03/2011</v>
      </c>
      <c r="B445" t="str">
        <f>"5.5851"</f>
        <v>5.5851</v>
      </c>
      <c r="C445" t="str">
        <f>"5.5946"</f>
        <v>5.5946</v>
      </c>
    </row>
    <row r="446" spans="1:3" x14ac:dyDescent="0.25">
      <c r="A446" t="str">
        <f>"24/03/2011"</f>
        <v>24/03/2011</v>
      </c>
      <c r="B446" t="str">
        <f>"5.5978"</f>
        <v>5.5978</v>
      </c>
      <c r="C446" t="str">
        <f>"5.607"</f>
        <v>5.607</v>
      </c>
    </row>
    <row r="447" spans="1:3" x14ac:dyDescent="0.25">
      <c r="A447" t="str">
        <f>"25/03/2011"</f>
        <v>25/03/2011</v>
      </c>
      <c r="B447" t="str">
        <f>"5.5571"</f>
        <v>5.5571</v>
      </c>
      <c r="C447" t="str">
        <f>"5.566"</f>
        <v>5.566</v>
      </c>
    </row>
    <row r="448" spans="1:3" x14ac:dyDescent="0.25">
      <c r="A448" t="str">
        <f>"28/03/2011"</f>
        <v>28/03/2011</v>
      </c>
      <c r="B448" t="str">
        <f>"5.6198"</f>
        <v>5.6198</v>
      </c>
      <c r="C448" t="str">
        <f>"5.6286"</f>
        <v>5.6286</v>
      </c>
    </row>
    <row r="449" spans="1:3" x14ac:dyDescent="0.25">
      <c r="A449" t="str">
        <f>"29/03/2011"</f>
        <v>29/03/2011</v>
      </c>
      <c r="B449" t="str">
        <f>"5.5958"</f>
        <v>5.5958</v>
      </c>
      <c r="C449" t="str">
        <f>"5.6043"</f>
        <v>5.6043</v>
      </c>
    </row>
    <row r="450" spans="1:3" x14ac:dyDescent="0.25">
      <c r="A450" t="str">
        <f>"30/03/2011"</f>
        <v>30/03/2011</v>
      </c>
      <c r="B450" t="str">
        <f>"5.6043"</f>
        <v>5.6043</v>
      </c>
      <c r="C450" t="str">
        <f>"5.6125"</f>
        <v>5.6125</v>
      </c>
    </row>
    <row r="451" spans="1:3" x14ac:dyDescent="0.25">
      <c r="A451" t="str">
        <f>"31/03/2011"</f>
        <v>31/03/2011</v>
      </c>
      <c r="B451" t="str">
        <f>"5.5685"</f>
        <v>5.5685</v>
      </c>
      <c r="C451" t="str">
        <f>"5.5773"</f>
        <v>5.5773</v>
      </c>
    </row>
    <row r="452" spans="1:3" x14ac:dyDescent="0.25">
      <c r="A452" t="str">
        <f>"01/04/2011"</f>
        <v>01/04/2011</v>
      </c>
      <c r="B452" t="str">
        <f>"5.5278"</f>
        <v>5.5278</v>
      </c>
      <c r="C452" t="str">
        <f>"5.5364"</f>
        <v>5.5364</v>
      </c>
    </row>
    <row r="453" spans="1:3" x14ac:dyDescent="0.25">
      <c r="A453" t="str">
        <f>"05/04/2011"</f>
        <v>05/04/2011</v>
      </c>
      <c r="B453" t="str">
        <f>"5.4976"</f>
        <v>5.4976</v>
      </c>
      <c r="C453" t="str">
        <f>"5.5063"</f>
        <v>5.5063</v>
      </c>
    </row>
    <row r="454" spans="1:3" x14ac:dyDescent="0.25">
      <c r="A454" t="str">
        <f>"06/04/2011"</f>
        <v>06/04/2011</v>
      </c>
      <c r="B454" t="str">
        <f>"5.4682"</f>
        <v>5.4682</v>
      </c>
      <c r="C454" t="str">
        <f>"5.4773"</f>
        <v>5.4773</v>
      </c>
    </row>
    <row r="455" spans="1:3" x14ac:dyDescent="0.25">
      <c r="A455" t="str">
        <f>"07/04/2011"</f>
        <v>07/04/2011</v>
      </c>
      <c r="B455" t="str">
        <f>"5.4739"</f>
        <v>5.4739</v>
      </c>
      <c r="C455" t="str">
        <f>"5.4828"</f>
        <v>5.4828</v>
      </c>
    </row>
    <row r="456" spans="1:3" x14ac:dyDescent="0.25">
      <c r="A456" t="str">
        <f>"08/04/2011"</f>
        <v>08/04/2011</v>
      </c>
      <c r="B456" t="str">
        <f>"5.4371"</f>
        <v>5.4371</v>
      </c>
      <c r="C456" t="str">
        <f>"5.4459"</f>
        <v>5.4459</v>
      </c>
    </row>
    <row r="457" spans="1:3" x14ac:dyDescent="0.25">
      <c r="A457" t="str">
        <f>"11/04/2011"</f>
        <v>11/04/2011</v>
      </c>
      <c r="B457" t="str">
        <f>"5.3897"</f>
        <v>5.3897</v>
      </c>
      <c r="C457" t="str">
        <f>"5.3985"</f>
        <v>5.3985</v>
      </c>
    </row>
    <row r="458" spans="1:3" x14ac:dyDescent="0.25">
      <c r="A458" t="str">
        <f>"13/04/2011"</f>
        <v>13/04/2011</v>
      </c>
      <c r="B458" t="str">
        <f>"5.4501"</f>
        <v>5.4501</v>
      </c>
      <c r="C458" t="str">
        <f>"5.4592"</f>
        <v>5.4592</v>
      </c>
    </row>
    <row r="459" spans="1:3" x14ac:dyDescent="0.25">
      <c r="A459" t="str">
        <f>"15/04/2011"</f>
        <v>15/04/2011</v>
      </c>
      <c r="B459" t="str">
        <f>"5.4146"</f>
        <v>5.4146</v>
      </c>
      <c r="C459" t="str">
        <f>"5.4234"</f>
        <v>5.4234</v>
      </c>
    </row>
    <row r="460" spans="1:3" x14ac:dyDescent="0.25">
      <c r="A460" t="str">
        <f>"18/04/2011"</f>
        <v>18/04/2011</v>
      </c>
      <c r="B460" t="str">
        <f>"5.3894"</f>
        <v>5.3894</v>
      </c>
      <c r="C460" t="str">
        <f>"5.3982"</f>
        <v>5.3982</v>
      </c>
    </row>
    <row r="461" spans="1:3" x14ac:dyDescent="0.25">
      <c r="A461" t="str">
        <f>"19/04/2011"</f>
        <v>19/04/2011</v>
      </c>
      <c r="B461" t="str">
        <f>"5.4864"</f>
        <v>5.4864</v>
      </c>
      <c r="C461" t="str">
        <f>"5.4953"</f>
        <v>5.4953</v>
      </c>
    </row>
    <row r="462" spans="1:3" x14ac:dyDescent="0.25">
      <c r="A462" t="str">
        <f>"20/04/2011"</f>
        <v>20/04/2011</v>
      </c>
      <c r="B462" t="str">
        <f>"5.4076"</f>
        <v>5.4076</v>
      </c>
      <c r="C462" t="str">
        <f>"5.4167"</f>
        <v>5.4167</v>
      </c>
    </row>
    <row r="463" spans="1:3" x14ac:dyDescent="0.25">
      <c r="A463" t="str">
        <f>"21/04/2011"</f>
        <v>21/04/2011</v>
      </c>
      <c r="B463" t="str">
        <f>"5.3389"</f>
        <v>5.3389</v>
      </c>
      <c r="C463" t="str">
        <f>"5.348"</f>
        <v>5.348</v>
      </c>
    </row>
    <row r="464" spans="1:3" x14ac:dyDescent="0.25">
      <c r="A464" t="str">
        <f>"25/04/2011"</f>
        <v>25/04/2011</v>
      </c>
      <c r="B464" t="str">
        <f>"5.365"</f>
        <v>5.365</v>
      </c>
      <c r="C464" t="str">
        <f>"5.3741"</f>
        <v>5.3741</v>
      </c>
    </row>
    <row r="465" spans="1:3" x14ac:dyDescent="0.25">
      <c r="A465" t="str">
        <f>"26/04/2011"</f>
        <v>26/04/2011</v>
      </c>
      <c r="B465" t="str">
        <f>"5.3769"</f>
        <v>5.3769</v>
      </c>
      <c r="C465" t="str">
        <f>"5.3861"</f>
        <v>5.3861</v>
      </c>
    </row>
    <row r="466" spans="1:3" x14ac:dyDescent="0.25">
      <c r="A466" t="str">
        <f>"27/04/2011"</f>
        <v>27/04/2011</v>
      </c>
      <c r="B466" t="str">
        <f>"5.2906"</f>
        <v>5.2906</v>
      </c>
      <c r="C466" t="str">
        <f>"5.3005"</f>
        <v>5.3005</v>
      </c>
    </row>
    <row r="467" spans="1:3" x14ac:dyDescent="0.25">
      <c r="A467" t="str">
        <f>"28/04/2011"</f>
        <v>28/04/2011</v>
      </c>
      <c r="B467" t="str">
        <f>"5.2559"</f>
        <v>5.2559</v>
      </c>
      <c r="C467" t="str">
        <f>"5.2654"</f>
        <v>5.2654</v>
      </c>
    </row>
    <row r="468" spans="1:3" x14ac:dyDescent="0.25">
      <c r="A468" t="str">
        <f>"29/04/2011"</f>
        <v>29/04/2011</v>
      </c>
      <c r="B468" t="str">
        <f>"5.2434"</f>
        <v>5.2434</v>
      </c>
      <c r="C468" t="str">
        <f>"5.253"</f>
        <v>5.253</v>
      </c>
    </row>
    <row r="469" spans="1:3" x14ac:dyDescent="0.25">
      <c r="A469" t="str">
        <f>"02/05/2011"</f>
        <v>02/05/2011</v>
      </c>
      <c r="B469" t="str">
        <f>"5.2584"</f>
        <v>5.2584</v>
      </c>
      <c r="C469" t="str">
        <f>"5.2679"</f>
        <v>5.2679</v>
      </c>
    </row>
    <row r="470" spans="1:3" x14ac:dyDescent="0.25">
      <c r="A470" t="str">
        <f>"03/05/2011"</f>
        <v>03/05/2011</v>
      </c>
      <c r="B470" t="str">
        <f>"5.2554"</f>
        <v>5.2554</v>
      </c>
      <c r="C470" t="str">
        <f>"5.2656"</f>
        <v>5.2656</v>
      </c>
    </row>
    <row r="471" spans="1:3" x14ac:dyDescent="0.25">
      <c r="A471" t="str">
        <f>"04/05/2011"</f>
        <v>04/05/2011</v>
      </c>
      <c r="B471" t="str">
        <f>"5.2988"</f>
        <v>5.2988</v>
      </c>
      <c r="C471" t="str">
        <f>"5.3091"</f>
        <v>5.3091</v>
      </c>
    </row>
    <row r="472" spans="1:3" x14ac:dyDescent="0.25">
      <c r="A472" t="str">
        <f>"05/05/2011"</f>
        <v>05/05/2011</v>
      </c>
      <c r="B472" t="str">
        <f>"5.3126"</f>
        <v>5.3126</v>
      </c>
      <c r="C472" t="str">
        <f>"5.3223"</f>
        <v>5.3223</v>
      </c>
    </row>
    <row r="473" spans="1:3" x14ac:dyDescent="0.25">
      <c r="A473" t="str">
        <f>"06/05/2011"</f>
        <v>06/05/2011</v>
      </c>
      <c r="B473" t="str">
        <f>"5.459"</f>
        <v>5.459</v>
      </c>
      <c r="C473" t="str">
        <f>"5.4692"</f>
        <v>5.4692</v>
      </c>
    </row>
    <row r="474" spans="1:3" x14ac:dyDescent="0.25">
      <c r="A474" t="str">
        <f>"09/05/2011"</f>
        <v>09/05/2011</v>
      </c>
      <c r="B474" t="str">
        <f>"5.5021"</f>
        <v>5.5021</v>
      </c>
      <c r="C474" t="str">
        <f>"5.5121"</f>
        <v>5.5121</v>
      </c>
    </row>
    <row r="475" spans="1:3" x14ac:dyDescent="0.25">
      <c r="A475" t="str">
        <f>"10/05/2011"</f>
        <v>10/05/2011</v>
      </c>
      <c r="B475" t="str">
        <f>"5.4932"</f>
        <v>5.4932</v>
      </c>
      <c r="C475" t="str">
        <f>"5.5041"</f>
        <v>5.5041</v>
      </c>
    </row>
    <row r="476" spans="1:3" x14ac:dyDescent="0.25">
      <c r="A476" t="str">
        <f>"11/05/2011"</f>
        <v>11/05/2011</v>
      </c>
      <c r="B476" t="str">
        <f>"5.4222"</f>
        <v>5.4222</v>
      </c>
      <c r="C476" t="str">
        <f>"5.4326"</f>
        <v>5.4326</v>
      </c>
    </row>
    <row r="477" spans="1:3" x14ac:dyDescent="0.25">
      <c r="A477" t="str">
        <f>"12/05/2011"</f>
        <v>12/05/2011</v>
      </c>
      <c r="B477" t="str">
        <f>"5.5087"</f>
        <v>5.5087</v>
      </c>
      <c r="C477" t="str">
        <f>"5.519"</f>
        <v>5.519</v>
      </c>
    </row>
    <row r="478" spans="1:3" x14ac:dyDescent="0.25">
      <c r="A478" t="str">
        <f>"13/05/2011"</f>
        <v>13/05/2011</v>
      </c>
      <c r="B478" t="str">
        <f>"5.5258"</f>
        <v>5.5258</v>
      </c>
      <c r="C478" t="str">
        <f>"5.5361"</f>
        <v>5.5361</v>
      </c>
    </row>
    <row r="479" spans="1:3" x14ac:dyDescent="0.25">
      <c r="A479" t="str">
        <f>"16/05/2011"</f>
        <v>16/05/2011</v>
      </c>
      <c r="B479" t="str">
        <f>"5.58"</f>
        <v>5.58</v>
      </c>
      <c r="C479" t="str">
        <f>"5.5917"</f>
        <v>5.5917</v>
      </c>
    </row>
    <row r="480" spans="1:3" x14ac:dyDescent="0.25">
      <c r="A480" t="str">
        <f>"18/05/2011"</f>
        <v>18/05/2011</v>
      </c>
      <c r="B480" t="str">
        <f>"5.5519"</f>
        <v>5.5519</v>
      </c>
      <c r="C480" t="str">
        <f>"5.5627"</f>
        <v>5.5627</v>
      </c>
    </row>
    <row r="481" spans="1:3" x14ac:dyDescent="0.25">
      <c r="A481" t="str">
        <f>"19/05/2011"</f>
        <v>19/05/2011</v>
      </c>
      <c r="B481" t="str">
        <f>"5.5199"</f>
        <v>5.5199</v>
      </c>
      <c r="C481" t="str">
        <f>"5.5303"</f>
        <v>5.5303</v>
      </c>
    </row>
    <row r="482" spans="1:3" x14ac:dyDescent="0.25">
      <c r="A482" t="str">
        <f>"20/05/2011"</f>
        <v>20/05/2011</v>
      </c>
      <c r="B482" t="str">
        <f>"5.4984"</f>
        <v>5.4984</v>
      </c>
      <c r="C482" t="str">
        <f>"5.5089"</f>
        <v>5.5089</v>
      </c>
    </row>
    <row r="483" spans="1:3" x14ac:dyDescent="0.25">
      <c r="A483" t="str">
        <f>"23/05/2011"</f>
        <v>23/05/2011</v>
      </c>
      <c r="B483" t="str">
        <f>"5.5671"</f>
        <v>5.5671</v>
      </c>
      <c r="C483" t="str">
        <f>"5.5778"</f>
        <v>5.5778</v>
      </c>
    </row>
    <row r="484" spans="1:3" x14ac:dyDescent="0.25">
      <c r="A484" t="str">
        <f>"24/05/2011"</f>
        <v>24/05/2011</v>
      </c>
      <c r="B484" t="str">
        <f>"5.5944"</f>
        <v>5.5944</v>
      </c>
      <c r="C484" t="str">
        <f>"5.6055"</f>
        <v>5.6055</v>
      </c>
    </row>
    <row r="485" spans="1:3" x14ac:dyDescent="0.25">
      <c r="A485" t="str">
        <f>"25/05/2011"</f>
        <v>25/05/2011</v>
      </c>
      <c r="B485" t="str">
        <f>"5.5854"</f>
        <v>5.5854</v>
      </c>
      <c r="C485" t="str">
        <f>"5.5961"</f>
        <v>5.5961</v>
      </c>
    </row>
    <row r="486" spans="1:3" x14ac:dyDescent="0.25">
      <c r="A486" t="str">
        <f>"26/05/2011"</f>
        <v>26/05/2011</v>
      </c>
      <c r="B486" t="str">
        <f>"5.5257"</f>
        <v>5.5257</v>
      </c>
      <c r="C486" t="str">
        <f>"5.5363"</f>
        <v>5.5363</v>
      </c>
    </row>
    <row r="487" spans="1:3" x14ac:dyDescent="0.25">
      <c r="A487" t="str">
        <f>"27/05/2011"</f>
        <v>27/05/2011</v>
      </c>
      <c r="B487" t="str">
        <f>"5.4475"</f>
        <v>5.4475</v>
      </c>
      <c r="C487" t="str">
        <f>"5.4578"</f>
        <v>5.4578</v>
      </c>
    </row>
    <row r="488" spans="1:3" x14ac:dyDescent="0.25">
      <c r="A488" t="str">
        <f>"30/05/2011"</f>
        <v>30/05/2011</v>
      </c>
      <c r="B488" t="str">
        <f>"5.4372"</f>
        <v>5.4372</v>
      </c>
      <c r="C488" t="str">
        <f>"5.4475"</f>
        <v>5.4475</v>
      </c>
    </row>
    <row r="489" spans="1:3" x14ac:dyDescent="0.25">
      <c r="A489" t="str">
        <f>"31/05/2011"</f>
        <v>31/05/2011</v>
      </c>
      <c r="B489" t="str">
        <f>"5.3911"</f>
        <v>5.3911</v>
      </c>
      <c r="C489" t="str">
        <f>"5.4014"</f>
        <v>5.4014</v>
      </c>
    </row>
    <row r="490" spans="1:3" x14ac:dyDescent="0.25">
      <c r="A490" t="str">
        <f>"01/06/2011"</f>
        <v>01/06/2011</v>
      </c>
      <c r="B490" t="str">
        <f>"5.3706"</f>
        <v>5.3706</v>
      </c>
      <c r="C490" t="str">
        <f>"5.3809"</f>
        <v>5.3809</v>
      </c>
    </row>
    <row r="491" spans="1:3" x14ac:dyDescent="0.25">
      <c r="A491" t="str">
        <f>"02/06/2011"</f>
        <v>02/06/2011</v>
      </c>
      <c r="B491" t="str">
        <f>"5.437"</f>
        <v>5.437</v>
      </c>
      <c r="C491" t="str">
        <f>"5.4473"</f>
        <v>5.4473</v>
      </c>
    </row>
    <row r="492" spans="1:3" x14ac:dyDescent="0.25">
      <c r="A492" t="str">
        <f>"03/06/2011"</f>
        <v>03/06/2011</v>
      </c>
      <c r="B492" t="str">
        <f>"5.3731"</f>
        <v>5.3731</v>
      </c>
      <c r="C492" t="str">
        <f>"5.3834"</f>
        <v>5.3834</v>
      </c>
    </row>
    <row r="493" spans="1:3" x14ac:dyDescent="0.25">
      <c r="A493" t="str">
        <f>"06/06/2011"</f>
        <v>06/06/2011</v>
      </c>
      <c r="B493" t="str">
        <f>"5.3359"</f>
        <v>5.3359</v>
      </c>
      <c r="C493" t="str">
        <f>"5.3461"</f>
        <v>5.3461</v>
      </c>
    </row>
    <row r="494" spans="1:3" x14ac:dyDescent="0.25">
      <c r="A494" t="str">
        <f>"07/06/2011"</f>
        <v>07/06/2011</v>
      </c>
      <c r="B494" t="str">
        <f>"5.3731"</f>
        <v>5.3731</v>
      </c>
      <c r="C494" t="str">
        <f>"5.384"</f>
        <v>5.384</v>
      </c>
    </row>
    <row r="495" spans="1:3" x14ac:dyDescent="0.25">
      <c r="A495" t="str">
        <f>"08/06/2011"</f>
        <v>08/06/2011</v>
      </c>
      <c r="B495" t="str">
        <f>"5.3558"</f>
        <v>5.3558</v>
      </c>
      <c r="C495" t="str">
        <f>"5.3664"</f>
        <v>5.3664</v>
      </c>
    </row>
    <row r="496" spans="1:3" x14ac:dyDescent="0.25">
      <c r="A496" t="str">
        <f>"09/06/2011"</f>
        <v>09/06/2011</v>
      </c>
      <c r="B496" t="str">
        <f>"5.3917"</f>
        <v>5.3917</v>
      </c>
      <c r="C496" t="str">
        <f>"5.4018"</f>
        <v>5.4018</v>
      </c>
    </row>
    <row r="497" spans="1:3" x14ac:dyDescent="0.25">
      <c r="A497" t="str">
        <f>"13/06/2011"</f>
        <v>13/06/2011</v>
      </c>
      <c r="B497" t="str">
        <f>"5.4995"</f>
        <v>5.4995</v>
      </c>
      <c r="C497" t="str">
        <f>"5.5099"</f>
        <v>5.5099</v>
      </c>
    </row>
    <row r="498" spans="1:3" x14ac:dyDescent="0.25">
      <c r="A498" t="str">
        <f>"14/06/2011"</f>
        <v>14/06/2011</v>
      </c>
      <c r="B498" t="str">
        <f>"5.4206"</f>
        <v>5.4206</v>
      </c>
      <c r="C498" t="str">
        <f>"5.4311"</f>
        <v>5.4311</v>
      </c>
    </row>
    <row r="499" spans="1:3" x14ac:dyDescent="0.25">
      <c r="A499" t="str">
        <f>"15/06/2011"</f>
        <v>15/06/2011</v>
      </c>
      <c r="B499" t="str">
        <f>"5.4186"</f>
        <v>5.4186</v>
      </c>
      <c r="C499" t="str">
        <f>"5.429"</f>
        <v>5.429</v>
      </c>
    </row>
    <row r="500" spans="1:3" x14ac:dyDescent="0.25">
      <c r="A500" t="str">
        <f>"16/06/2011"</f>
        <v>16/06/2011</v>
      </c>
      <c r="B500" t="str">
        <f>"5.5642"</f>
        <v>5.5642</v>
      </c>
      <c r="C500" t="str">
        <f>"5.5743"</f>
        <v>5.5743</v>
      </c>
    </row>
    <row r="501" spans="1:3" x14ac:dyDescent="0.25">
      <c r="A501" t="str">
        <f>"17/06/2011"</f>
        <v>17/06/2011</v>
      </c>
      <c r="B501" t="str">
        <f>"5.5512"</f>
        <v>5.5512</v>
      </c>
      <c r="C501" t="str">
        <f>"5.5611"</f>
        <v>5.5611</v>
      </c>
    </row>
    <row r="502" spans="1:3" x14ac:dyDescent="0.25">
      <c r="A502" t="str">
        <f>"20/06/2011"</f>
        <v>20/06/2011</v>
      </c>
      <c r="B502" t="str">
        <f>"5.5517"</f>
        <v>5.5517</v>
      </c>
      <c r="C502" t="str">
        <f>"5.5621"</f>
        <v>5.5621</v>
      </c>
    </row>
    <row r="503" spans="1:3" x14ac:dyDescent="0.25">
      <c r="A503" t="str">
        <f>"21/06/2011"</f>
        <v>21/06/2011</v>
      </c>
      <c r="B503" t="str">
        <f>"5.5293"</f>
        <v>5.5293</v>
      </c>
      <c r="C503" t="str">
        <f>"5.5396"</f>
        <v>5.5396</v>
      </c>
    </row>
    <row r="504" spans="1:3" x14ac:dyDescent="0.25">
      <c r="A504" t="str">
        <f>"22/06/2011"</f>
        <v>22/06/2011</v>
      </c>
      <c r="B504" t="str">
        <f>"5.509"</f>
        <v>5.509</v>
      </c>
      <c r="C504" t="str">
        <f>"5.5199"</f>
        <v>5.5199</v>
      </c>
    </row>
    <row r="505" spans="1:3" x14ac:dyDescent="0.25">
      <c r="A505" t="str">
        <f>"23/06/2011"</f>
        <v>23/06/2011</v>
      </c>
      <c r="B505" t="str">
        <f>"5.4618"</f>
        <v>5.4618</v>
      </c>
      <c r="C505" t="str">
        <f>"5.4723"</f>
        <v>5.4723</v>
      </c>
    </row>
    <row r="506" spans="1:3" x14ac:dyDescent="0.25">
      <c r="A506" t="str">
        <f>"24/06/2011"</f>
        <v>24/06/2011</v>
      </c>
      <c r="B506" t="str">
        <f>"5.4552"</f>
        <v>5.4552</v>
      </c>
      <c r="C506" t="str">
        <f>"5.4654"</f>
        <v>5.4654</v>
      </c>
    </row>
    <row r="507" spans="1:3" x14ac:dyDescent="0.25">
      <c r="A507" t="str">
        <f>"27/06/2011"</f>
        <v>27/06/2011</v>
      </c>
      <c r="B507" t="str">
        <f>"5.5178"</f>
        <v>5.5178</v>
      </c>
      <c r="C507" t="str">
        <f>"5.528"</f>
        <v>5.528</v>
      </c>
    </row>
    <row r="508" spans="1:3" x14ac:dyDescent="0.25">
      <c r="A508" t="str">
        <f>"28/06/2011"</f>
        <v>28/06/2011</v>
      </c>
      <c r="B508" t="str">
        <f>"5.4687"</f>
        <v>5.4687</v>
      </c>
      <c r="C508" t="str">
        <f>"5.4787"</f>
        <v>5.4787</v>
      </c>
    </row>
    <row r="509" spans="1:3" x14ac:dyDescent="0.25">
      <c r="A509" t="str">
        <f>"29/06/2011"</f>
        <v>29/06/2011</v>
      </c>
      <c r="B509" t="str">
        <f>"5.4272"</f>
        <v>5.4272</v>
      </c>
      <c r="C509" t="str">
        <f>"5.437"</f>
        <v>5.437</v>
      </c>
    </row>
    <row r="510" spans="1:3" x14ac:dyDescent="0.25">
      <c r="A510" t="str">
        <f>"30/06/2011"</f>
        <v>30/06/2011</v>
      </c>
      <c r="B510" t="str">
        <f>"5.3674"</f>
        <v>5.3674</v>
      </c>
      <c r="C510" t="str">
        <f>"5.3778"</f>
        <v>5.3778</v>
      </c>
    </row>
    <row r="511" spans="1:3" x14ac:dyDescent="0.25">
      <c r="A511" t="str">
        <f>"01/07/2011"</f>
        <v>01/07/2011</v>
      </c>
      <c r="B511" t="str">
        <f>"5.3808"</f>
        <v>5.3808</v>
      </c>
      <c r="C511" t="str">
        <f>"5.3911"</f>
        <v>5.3911</v>
      </c>
    </row>
    <row r="512" spans="1:3" x14ac:dyDescent="0.25">
      <c r="A512" t="str">
        <f>"04/07/2011"</f>
        <v>04/07/2011</v>
      </c>
      <c r="B512" t="str">
        <f>"5.3539"</f>
        <v>5.3539</v>
      </c>
      <c r="C512" t="str">
        <f>"5.3642"</f>
        <v>5.3642</v>
      </c>
    </row>
    <row r="513" spans="1:3" x14ac:dyDescent="0.25">
      <c r="A513" t="str">
        <f>"05/07/2011"</f>
        <v>05/07/2011</v>
      </c>
      <c r="B513" t="str">
        <f>"5.3604"</f>
        <v>5.3604</v>
      </c>
      <c r="C513" t="str">
        <f>"5.3712"</f>
        <v>5.3712</v>
      </c>
    </row>
    <row r="514" spans="1:3" x14ac:dyDescent="0.25">
      <c r="A514" t="str">
        <f>"06/07/2011"</f>
        <v>06/07/2011</v>
      </c>
      <c r="B514" t="str">
        <f>"5.362"</f>
        <v>5.362</v>
      </c>
      <c r="C514" t="str">
        <f>"5.3723"</f>
        <v>5.3723</v>
      </c>
    </row>
    <row r="515" spans="1:3" x14ac:dyDescent="0.25">
      <c r="A515" t="str">
        <f>"07/07/2011"</f>
        <v>07/07/2011</v>
      </c>
      <c r="B515" t="str">
        <f>"5.4135"</f>
        <v>5.4135</v>
      </c>
      <c r="C515" t="str">
        <f>"5.4234"</f>
        <v>5.4234</v>
      </c>
    </row>
    <row r="516" spans="1:3" x14ac:dyDescent="0.25">
      <c r="A516" t="str">
        <f>"08/07/2011"</f>
        <v>08/07/2011</v>
      </c>
      <c r="B516" t="str">
        <f>"5.3858"</f>
        <v>5.3858</v>
      </c>
      <c r="C516" t="str">
        <f>"5.3959"</f>
        <v>5.3959</v>
      </c>
    </row>
    <row r="517" spans="1:3" x14ac:dyDescent="0.25">
      <c r="A517" t="str">
        <f>"11/07/2011"</f>
        <v>11/07/2011</v>
      </c>
      <c r="B517" t="str">
        <f>"5.4496"</f>
        <v>5.4496</v>
      </c>
      <c r="C517" t="str">
        <f>"5.4597"</f>
        <v>5.4597</v>
      </c>
    </row>
    <row r="518" spans="1:3" x14ac:dyDescent="0.25">
      <c r="A518" t="str">
        <f>"12/07/2011"</f>
        <v>12/07/2011</v>
      </c>
      <c r="B518" t="str">
        <f>"5.5628"</f>
        <v>5.5628</v>
      </c>
      <c r="C518" t="str">
        <f>"5.5735"</f>
        <v>5.5735</v>
      </c>
    </row>
    <row r="519" spans="1:3" x14ac:dyDescent="0.25">
      <c r="A519" t="str">
        <f>"13/07/2011"</f>
        <v>13/07/2011</v>
      </c>
      <c r="B519" t="str">
        <f>"5.5855"</f>
        <v>5.5855</v>
      </c>
      <c r="C519" t="str">
        <f>"5.5958"</f>
        <v>5.5958</v>
      </c>
    </row>
    <row r="520" spans="1:3" x14ac:dyDescent="0.25">
      <c r="A520" t="str">
        <f>"14/07/2011"</f>
        <v>14/07/2011</v>
      </c>
      <c r="B520" t="str">
        <f>"5.507"</f>
        <v>5.507</v>
      </c>
      <c r="C520" t="str">
        <f>"5.5172"</f>
        <v>5.5172</v>
      </c>
    </row>
    <row r="521" spans="1:3" x14ac:dyDescent="0.25">
      <c r="A521" t="str">
        <f>"15/07/2011"</f>
        <v>15/07/2011</v>
      </c>
      <c r="B521" t="str">
        <f>"5.5372"</f>
        <v>5.5372</v>
      </c>
      <c r="C521" t="str">
        <f>"5.5475"</f>
        <v>5.5475</v>
      </c>
    </row>
    <row r="522" spans="1:3" x14ac:dyDescent="0.25">
      <c r="A522" t="str">
        <f>"18/07/2011"</f>
        <v>18/07/2011</v>
      </c>
      <c r="B522" t="str">
        <f>"5.5962"</f>
        <v>5.5962</v>
      </c>
      <c r="C522" t="str">
        <f>"5.6067"</f>
        <v>5.6067</v>
      </c>
    </row>
    <row r="523" spans="1:3" x14ac:dyDescent="0.25">
      <c r="A523" t="str">
        <f>"19/07/2011"</f>
        <v>19/07/2011</v>
      </c>
      <c r="B523" t="str">
        <f>"5.5831"</f>
        <v>5.5831</v>
      </c>
      <c r="C523" t="str">
        <f>"5.5942"</f>
        <v>5.5942</v>
      </c>
    </row>
    <row r="524" spans="1:3" x14ac:dyDescent="0.25">
      <c r="A524" t="str">
        <f>"20/07/2011"</f>
        <v>20/07/2011</v>
      </c>
      <c r="B524" t="str">
        <f>"5.5146"</f>
        <v>5.5146</v>
      </c>
      <c r="C524" t="str">
        <f>"5.5255"</f>
        <v>5.5255</v>
      </c>
    </row>
    <row r="525" spans="1:3" x14ac:dyDescent="0.25">
      <c r="A525" t="str">
        <f>"21/07/2011"</f>
        <v>21/07/2011</v>
      </c>
      <c r="B525" t="str">
        <f>"5.4681"</f>
        <v>5.4681</v>
      </c>
      <c r="C525" t="str">
        <f>"5.4788"</f>
        <v>5.4788</v>
      </c>
    </row>
    <row r="526" spans="1:3" x14ac:dyDescent="0.25">
      <c r="A526" t="str">
        <f>"22/07/2011"</f>
        <v>22/07/2011</v>
      </c>
      <c r="B526" t="str">
        <f>"5.4043"</f>
        <v>5.4043</v>
      </c>
      <c r="C526" t="str">
        <f>"5.4151"</f>
        <v>5.4151</v>
      </c>
    </row>
    <row r="527" spans="1:3" x14ac:dyDescent="0.25">
      <c r="A527" t="str">
        <f>"25/07/2011"</f>
        <v>25/07/2011</v>
      </c>
      <c r="B527" t="str">
        <f>"5.41"</f>
        <v>5.41</v>
      </c>
      <c r="C527" t="str">
        <f>"5.4207"</f>
        <v>5.4207</v>
      </c>
    </row>
    <row r="528" spans="1:3" x14ac:dyDescent="0.25">
      <c r="A528" t="str">
        <f>"26/07/2011"</f>
        <v>26/07/2011</v>
      </c>
      <c r="B528" t="str">
        <f>"5.3745"</f>
        <v>5.3745</v>
      </c>
      <c r="C528" t="str">
        <f>"5.3857"</f>
        <v>5.3857</v>
      </c>
    </row>
    <row r="529" spans="1:3" x14ac:dyDescent="0.25">
      <c r="A529" t="str">
        <f>"27/07/2011"</f>
        <v>27/07/2011</v>
      </c>
      <c r="B529" t="str">
        <f>"5.3443"</f>
        <v>5.3443</v>
      </c>
      <c r="C529" t="str">
        <f>"5.3549"</f>
        <v>5.3549</v>
      </c>
    </row>
    <row r="530" spans="1:3" x14ac:dyDescent="0.25">
      <c r="A530" t="str">
        <f>"28/07/2011"</f>
        <v>28/07/2011</v>
      </c>
      <c r="B530" t="str">
        <f>"5.409"</f>
        <v>5.409</v>
      </c>
      <c r="C530" t="str">
        <f>"5.4197"</f>
        <v>5.4197</v>
      </c>
    </row>
    <row r="531" spans="1:3" x14ac:dyDescent="0.25">
      <c r="A531" t="str">
        <f>"29/07/2011"</f>
        <v>29/07/2011</v>
      </c>
      <c r="B531" t="str">
        <f>"5.3994"</f>
        <v>5.3994</v>
      </c>
      <c r="C531" t="str">
        <f>"5.4093"</f>
        <v>5.4093</v>
      </c>
    </row>
    <row r="532" spans="1:3" x14ac:dyDescent="0.25">
      <c r="A532" t="str">
        <f>"01/08/2011"</f>
        <v>01/08/2011</v>
      </c>
      <c r="B532" t="str">
        <f>"5.374"</f>
        <v>5.374</v>
      </c>
      <c r="C532" t="str">
        <f>"5.384"</f>
        <v>5.384</v>
      </c>
    </row>
    <row r="533" spans="1:3" x14ac:dyDescent="0.25">
      <c r="A533" t="str">
        <f>"02/08/2011"</f>
        <v>02/08/2011</v>
      </c>
      <c r="B533" t="str">
        <f>"5.3752"</f>
        <v>5.3752</v>
      </c>
      <c r="C533" t="str">
        <f>"5.3864"</f>
        <v>5.3864</v>
      </c>
    </row>
    <row r="534" spans="1:3" x14ac:dyDescent="0.25">
      <c r="A534" t="str">
        <f>"03/08/2011"</f>
        <v>03/08/2011</v>
      </c>
      <c r="B534" t="str">
        <f>"5.4172"</f>
        <v>5.4172</v>
      </c>
      <c r="C534" t="str">
        <f>"5.428"</f>
        <v>5.428</v>
      </c>
    </row>
    <row r="535" spans="1:3" x14ac:dyDescent="0.25">
      <c r="A535" t="str">
        <f>"04/08/2011"</f>
        <v>04/08/2011</v>
      </c>
      <c r="B535" t="str">
        <f>"5.3729"</f>
        <v>5.3729</v>
      </c>
      <c r="C535" t="str">
        <f>"5.3832"</f>
        <v>5.3832</v>
      </c>
    </row>
    <row r="536" spans="1:3" x14ac:dyDescent="0.25">
      <c r="A536" t="str">
        <f>"09/08/2011"</f>
        <v>09/08/2011</v>
      </c>
      <c r="B536" t="str">
        <f>"5.4728"</f>
        <v>5.4728</v>
      </c>
      <c r="C536" t="str">
        <f>"5.483"</f>
        <v>5.483</v>
      </c>
    </row>
    <row r="537" spans="1:3" x14ac:dyDescent="0.25">
      <c r="A537" t="str">
        <f>"10/08/2011"</f>
        <v>10/08/2011</v>
      </c>
      <c r="B537" t="str">
        <f>"5.4622"</f>
        <v>5.4622</v>
      </c>
      <c r="C537" t="str">
        <f>"5.4715"</f>
        <v>5.4715</v>
      </c>
    </row>
    <row r="538" spans="1:3" x14ac:dyDescent="0.25">
      <c r="A538" t="str">
        <f>"11/08/2011"</f>
        <v>11/08/2011</v>
      </c>
      <c r="B538" t="str">
        <f>"5.5337"</f>
        <v>5.5337</v>
      </c>
      <c r="C538" t="str">
        <f>"5.5431"</f>
        <v>5.5431</v>
      </c>
    </row>
    <row r="539" spans="1:3" x14ac:dyDescent="0.25">
      <c r="A539" t="str">
        <f>"12/08/2011"</f>
        <v>12/08/2011</v>
      </c>
      <c r="B539" t="str">
        <f>"5.5518"</f>
        <v>5.5518</v>
      </c>
      <c r="C539" t="str">
        <f>"5.5611"</f>
        <v>5.5611</v>
      </c>
    </row>
    <row r="540" spans="1:3" x14ac:dyDescent="0.25">
      <c r="A540" t="str">
        <f>"16/08/2011"</f>
        <v>16/08/2011</v>
      </c>
      <c r="B540" t="str">
        <f>"5.4394"</f>
        <v>5.4394</v>
      </c>
      <c r="C540" t="str">
        <f>"5.4496"</f>
        <v>5.4496</v>
      </c>
    </row>
    <row r="541" spans="1:3" x14ac:dyDescent="0.25">
      <c r="A541" t="str">
        <f>"17/08/2011"</f>
        <v>17/08/2011</v>
      </c>
      <c r="B541" t="str">
        <f>"5.4422"</f>
        <v>5.4422</v>
      </c>
      <c r="C541" t="str">
        <f>"5.4524"</f>
        <v>5.4524</v>
      </c>
    </row>
    <row r="542" spans="1:3" x14ac:dyDescent="0.25">
      <c r="A542" t="str">
        <f>"18/08/2011"</f>
        <v>18/08/2011</v>
      </c>
      <c r="B542" t="str">
        <f>"5.4015"</f>
        <v>5.4015</v>
      </c>
      <c r="C542" t="str">
        <f>"5.4108"</f>
        <v>5.4108</v>
      </c>
    </row>
    <row r="543" spans="1:3" x14ac:dyDescent="0.25">
      <c r="A543" t="str">
        <f>"19/08/2011"</f>
        <v>19/08/2011</v>
      </c>
      <c r="B543" t="str">
        <f>"5.49"</f>
        <v>5.49</v>
      </c>
      <c r="C543" t="str">
        <f>"5.4993"</f>
        <v>5.4993</v>
      </c>
    </row>
    <row r="544" spans="1:3" x14ac:dyDescent="0.25">
      <c r="A544" t="str">
        <f>"22/08/2011"</f>
        <v>22/08/2011</v>
      </c>
      <c r="B544" t="str">
        <f>"5.4689"</f>
        <v>5.4689</v>
      </c>
      <c r="C544" t="str">
        <f>"5.4782"</f>
        <v>5.4782</v>
      </c>
    </row>
    <row r="545" spans="1:3" x14ac:dyDescent="0.25">
      <c r="A545" t="str">
        <f>"23/08/2011"</f>
        <v>23/08/2011</v>
      </c>
      <c r="B545" t="str">
        <f>"5.4529"</f>
        <v>5.4529</v>
      </c>
      <c r="C545" t="str">
        <f>"5.4631"</f>
        <v>5.4631</v>
      </c>
    </row>
    <row r="546" spans="1:3" x14ac:dyDescent="0.25">
      <c r="A546" t="str">
        <f>"24/08/2011"</f>
        <v>24/08/2011</v>
      </c>
      <c r="B546" t="str">
        <f>"5.4394"</f>
        <v>5.4394</v>
      </c>
      <c r="C546" t="str">
        <f>"5.4491"</f>
        <v>5.4491</v>
      </c>
    </row>
    <row r="547" spans="1:3" x14ac:dyDescent="0.25">
      <c r="A547" t="str">
        <f>"25/08/2011"</f>
        <v>25/08/2011</v>
      </c>
      <c r="B547" t="str">
        <f>"5.438"</f>
        <v>5.438</v>
      </c>
      <c r="C547" t="str">
        <f>"5.4476"</f>
        <v>5.4476</v>
      </c>
    </row>
    <row r="548" spans="1:3" x14ac:dyDescent="0.25">
      <c r="A548" t="str">
        <f>"26/08/2011"</f>
        <v>26/08/2011</v>
      </c>
      <c r="B548" t="str">
        <f>"5.4094"</f>
        <v>5.4094</v>
      </c>
      <c r="C548" t="str">
        <f>"5.4188"</f>
        <v>5.4188</v>
      </c>
    </row>
    <row r="549" spans="1:3" x14ac:dyDescent="0.25">
      <c r="A549" t="str">
        <f>"29/08/2011"</f>
        <v>29/08/2011</v>
      </c>
      <c r="B549" t="str">
        <f>"5.3696"</f>
        <v>5.3696</v>
      </c>
      <c r="C549" t="str">
        <f>"5.3787"</f>
        <v>5.3787</v>
      </c>
    </row>
    <row r="550" spans="1:3" x14ac:dyDescent="0.25">
      <c r="A550" t="str">
        <f>"30/08/2011"</f>
        <v>30/08/2011</v>
      </c>
      <c r="B550" t="str">
        <f>"5.3417"</f>
        <v>5.3417</v>
      </c>
      <c r="C550" t="str">
        <f>"5.3507"</f>
        <v>5.3507</v>
      </c>
    </row>
    <row r="551" spans="1:3" x14ac:dyDescent="0.25">
      <c r="A551" t="str">
        <f>"02/09/2011"</f>
        <v>02/09/2011</v>
      </c>
      <c r="B551" t="str">
        <f>"5.4034"</f>
        <v>5.4034</v>
      </c>
      <c r="C551" t="str">
        <f>"5.4127"</f>
        <v>5.4127</v>
      </c>
    </row>
    <row r="552" spans="1:3" x14ac:dyDescent="0.25">
      <c r="A552" t="str">
        <f>"05/09/2011"</f>
        <v>05/09/2011</v>
      </c>
      <c r="B552" t="str">
        <f>"5.4252"</f>
        <v>5.4252</v>
      </c>
      <c r="C552" t="str">
        <f>"5.4343"</f>
        <v>5.4343</v>
      </c>
    </row>
    <row r="553" spans="1:3" x14ac:dyDescent="0.25">
      <c r="A553" t="str">
        <f>"06/09/2011"</f>
        <v>06/09/2011</v>
      </c>
      <c r="B553" t="str">
        <f>"5.4566"</f>
        <v>5.4566</v>
      </c>
      <c r="C553" t="str">
        <f>"5.4656"</f>
        <v>5.4656</v>
      </c>
    </row>
    <row r="554" spans="1:3" x14ac:dyDescent="0.25">
      <c r="A554" t="str">
        <f>"07/09/2011"</f>
        <v>07/09/2011</v>
      </c>
      <c r="B554" t="str">
        <f>"5.3835"</f>
        <v>5.3835</v>
      </c>
      <c r="C554" t="str">
        <f>"5.3932"</f>
        <v>5.3932</v>
      </c>
    </row>
    <row r="555" spans="1:3" x14ac:dyDescent="0.25">
      <c r="A555" t="str">
        <f>"08/09/2011"</f>
        <v>08/09/2011</v>
      </c>
      <c r="B555" t="str">
        <f>"5.3996"</f>
        <v>5.3996</v>
      </c>
      <c r="C555" t="str">
        <f>"5.409"</f>
        <v>5.409</v>
      </c>
    </row>
    <row r="556" spans="1:3" x14ac:dyDescent="0.25">
      <c r="A556" t="str">
        <f>"09/09/2011"</f>
        <v>09/09/2011</v>
      </c>
      <c r="B556" t="str">
        <f>"5.4095"</f>
        <v>5.4095</v>
      </c>
      <c r="C556" t="str">
        <f>"5.4185"</f>
        <v>5.4185</v>
      </c>
    </row>
    <row r="557" spans="1:3" x14ac:dyDescent="0.25">
      <c r="A557" t="str">
        <f>"12/09/2011"</f>
        <v>12/09/2011</v>
      </c>
      <c r="B557" t="str">
        <f>"5.559"</f>
        <v>5.559</v>
      </c>
      <c r="C557" t="str">
        <f>"5.5676"</f>
        <v>5.5676</v>
      </c>
    </row>
    <row r="558" spans="1:3" x14ac:dyDescent="0.25">
      <c r="A558" t="str">
        <f>"13/09/2011"</f>
        <v>13/09/2011</v>
      </c>
      <c r="B558" t="str">
        <f>"5.6263"</f>
        <v>5.6263</v>
      </c>
      <c r="C558" t="str">
        <f>"5.6353"</f>
        <v>5.6353</v>
      </c>
    </row>
    <row r="559" spans="1:3" x14ac:dyDescent="0.25">
      <c r="A559" t="str">
        <f>"14/09/2011"</f>
        <v>14/09/2011</v>
      </c>
      <c r="B559" t="str">
        <f>"5.6518"</f>
        <v>5.6518</v>
      </c>
      <c r="C559" t="str">
        <f>"5.6616"</f>
        <v>5.6616</v>
      </c>
    </row>
    <row r="560" spans="1:3" x14ac:dyDescent="0.25">
      <c r="A560" t="str">
        <f>"15/09/2011"</f>
        <v>15/09/2011</v>
      </c>
      <c r="B560" t="str">
        <f>"5.6756"</f>
        <v>5.6756</v>
      </c>
      <c r="C560" t="str">
        <f>"5.6861"</f>
        <v>5.6861</v>
      </c>
    </row>
    <row r="561" spans="1:3" x14ac:dyDescent="0.25">
      <c r="A561" t="str">
        <f>"16/09/2011"</f>
        <v>16/09/2011</v>
      </c>
      <c r="B561" t="str">
        <f>"5.569"</f>
        <v>5.569</v>
      </c>
      <c r="C561" t="str">
        <f>"5.5785"</f>
        <v>5.5785</v>
      </c>
    </row>
    <row r="562" spans="1:3" x14ac:dyDescent="0.25">
      <c r="A562" t="str">
        <f>"19/09/2011"</f>
        <v>19/09/2011</v>
      </c>
      <c r="B562" t="str">
        <f>"5.632"</f>
        <v>5.632</v>
      </c>
      <c r="C562" t="str">
        <f>"5.6415"</f>
        <v>5.6415</v>
      </c>
    </row>
    <row r="563" spans="1:3" x14ac:dyDescent="0.25">
      <c r="A563" t="str">
        <f>"20/09/2011"</f>
        <v>20/09/2011</v>
      </c>
      <c r="B563" t="str">
        <f>"5.7146"</f>
        <v>5.7146</v>
      </c>
      <c r="C563" t="str">
        <f>"5.724"</f>
        <v>5.724</v>
      </c>
    </row>
    <row r="564" spans="1:3" x14ac:dyDescent="0.25">
      <c r="A564" t="str">
        <f>"21/09/2011"</f>
        <v>21/09/2011</v>
      </c>
      <c r="B564" t="str">
        <f>"5.6314"</f>
        <v>5.6314</v>
      </c>
      <c r="C564" t="str">
        <f>"5.6413"</f>
        <v>5.6413</v>
      </c>
    </row>
    <row r="565" spans="1:3" x14ac:dyDescent="0.25">
      <c r="A565" t="str">
        <f>"22/09/2011"</f>
        <v>22/09/2011</v>
      </c>
      <c r="B565" t="str">
        <f>"5.7551"</f>
        <v>5.7551</v>
      </c>
      <c r="C565" t="str">
        <f>"5.7646"</f>
        <v>5.7646</v>
      </c>
    </row>
    <row r="566" spans="1:3" x14ac:dyDescent="0.25">
      <c r="A566" t="str">
        <f>"23/09/2011"</f>
        <v>23/09/2011</v>
      </c>
      <c r="B566" t="str">
        <f>"5.8298"</f>
        <v>5.8298</v>
      </c>
      <c r="C566" t="str">
        <f>"5.839"</f>
        <v>5.839</v>
      </c>
    </row>
    <row r="567" spans="1:3" x14ac:dyDescent="0.25">
      <c r="A567" t="str">
        <f>"26/09/2011"</f>
        <v>26/09/2011</v>
      </c>
      <c r="B567" t="str">
        <f>"5.8678"</f>
        <v>5.8678</v>
      </c>
      <c r="C567" t="str">
        <f>"5.8769"</f>
        <v>5.8769</v>
      </c>
    </row>
    <row r="568" spans="1:3" x14ac:dyDescent="0.25">
      <c r="A568" t="str">
        <f>"27/09/2011"</f>
        <v>27/09/2011</v>
      </c>
      <c r="B568" t="str">
        <f>"5.7618"</f>
        <v>5.7618</v>
      </c>
      <c r="C568" t="str">
        <f>"5.7709"</f>
        <v>5.7709</v>
      </c>
    </row>
    <row r="569" spans="1:3" x14ac:dyDescent="0.25">
      <c r="A569" t="str">
        <f>"28/09/2011"</f>
        <v>28/09/2011</v>
      </c>
      <c r="B569" t="str">
        <f>"5.7773"</f>
        <v>5.7773</v>
      </c>
      <c r="C569" t="str">
        <f>"5.7867"</f>
        <v>5.7867</v>
      </c>
    </row>
    <row r="570" spans="1:3" x14ac:dyDescent="0.25">
      <c r="A570" t="str">
        <f>"29/09/2011"</f>
        <v>29/09/2011</v>
      </c>
      <c r="B570" t="str">
        <f>"5.7698"</f>
        <v>5.7698</v>
      </c>
      <c r="C570" t="str">
        <f>"5.7792"</f>
        <v>5.7792</v>
      </c>
    </row>
    <row r="571" spans="1:3" x14ac:dyDescent="0.25">
      <c r="A571" t="str">
        <f>"30/09/2011"</f>
        <v>30/09/2011</v>
      </c>
      <c r="B571" t="str">
        <f>"5.827"</f>
        <v>5.827</v>
      </c>
      <c r="C571" t="str">
        <f>"5.836"</f>
        <v>5.836</v>
      </c>
    </row>
    <row r="572" spans="1:3" x14ac:dyDescent="0.25">
      <c r="A572" t="str">
        <f>"03/10/2011"</f>
        <v>03/10/2011</v>
      </c>
      <c r="B572" t="str">
        <f>"5.9043"</f>
        <v>5.9043</v>
      </c>
      <c r="C572" t="str">
        <f>"5.9133"</f>
        <v>5.9133</v>
      </c>
    </row>
    <row r="573" spans="1:3" x14ac:dyDescent="0.25">
      <c r="A573" t="str">
        <f>"04/10/2011"</f>
        <v>04/10/2011</v>
      </c>
      <c r="B573" t="str">
        <f>"5.9186"</f>
        <v>5.9186</v>
      </c>
      <c r="C573" t="str">
        <f>"5.9282"</f>
        <v>5.9282</v>
      </c>
    </row>
    <row r="574" spans="1:3" x14ac:dyDescent="0.25">
      <c r="A574" t="str">
        <f>"05/10/2011"</f>
        <v>05/10/2011</v>
      </c>
      <c r="B574" t="str">
        <f>"5.9039"</f>
        <v>5.9039</v>
      </c>
      <c r="C574" t="str">
        <f>"5.9129"</f>
        <v>5.9129</v>
      </c>
    </row>
    <row r="575" spans="1:3" x14ac:dyDescent="0.25">
      <c r="A575" t="str">
        <f>"07/10/2011"</f>
        <v>07/10/2011</v>
      </c>
      <c r="B575" t="str">
        <f>"5.8325"</f>
        <v>5.8325</v>
      </c>
      <c r="C575" t="str">
        <f>"5.8426"</f>
        <v>5.8426</v>
      </c>
    </row>
    <row r="576" spans="1:3" x14ac:dyDescent="0.25">
      <c r="A576" t="str">
        <f>"10/10/2011"</f>
        <v>10/10/2011</v>
      </c>
      <c r="B576" t="str">
        <f>"5.8084"</f>
        <v>5.8084</v>
      </c>
      <c r="C576" t="str">
        <f>"5.8189"</f>
        <v>5.8189</v>
      </c>
    </row>
    <row r="577" spans="1:3" x14ac:dyDescent="0.25">
      <c r="A577" t="str">
        <f>"11/10/2011"</f>
        <v>11/10/2011</v>
      </c>
      <c r="B577" t="str">
        <f>"5.7121"</f>
        <v>5.7121</v>
      </c>
      <c r="C577" t="str">
        <f>"5.7224"</f>
        <v>5.7224</v>
      </c>
    </row>
    <row r="578" spans="1:3" x14ac:dyDescent="0.25">
      <c r="A578" t="str">
        <f>"12/10/2011"</f>
        <v>12/10/2011</v>
      </c>
      <c r="B578" t="str">
        <f>"5.7034"</f>
        <v>5.7034</v>
      </c>
      <c r="C578" t="str">
        <f>"5.713"</f>
        <v>5.713</v>
      </c>
    </row>
    <row r="579" spans="1:3" x14ac:dyDescent="0.25">
      <c r="A579" t="str">
        <f>"13/10/2011"</f>
        <v>13/10/2011</v>
      </c>
      <c r="B579" t="str">
        <f>"5.6226"</f>
        <v>5.6226</v>
      </c>
      <c r="C579" t="str">
        <f>"5.632"</f>
        <v>5.632</v>
      </c>
    </row>
    <row r="580" spans="1:3" x14ac:dyDescent="0.25">
      <c r="A580" t="str">
        <f>"14/10/2011"</f>
        <v>14/10/2011</v>
      </c>
      <c r="B580" t="str">
        <f>"5.625"</f>
        <v>5.625</v>
      </c>
      <c r="C580" t="str">
        <f>"5.6344"</f>
        <v>5.6344</v>
      </c>
    </row>
    <row r="581" spans="1:3" x14ac:dyDescent="0.25">
      <c r="A581" t="str">
        <f>"17/10/2011"</f>
        <v>17/10/2011</v>
      </c>
      <c r="B581" t="str">
        <f>"5.5668"</f>
        <v>5.5668</v>
      </c>
      <c r="C581" t="str">
        <f>"5.5767"</f>
        <v>5.5767</v>
      </c>
    </row>
    <row r="582" spans="1:3" x14ac:dyDescent="0.25">
      <c r="A582" t="str">
        <f>"18/10/2011"</f>
        <v>18/10/2011</v>
      </c>
      <c r="B582" t="str">
        <f>"5.622"</f>
        <v>5.622</v>
      </c>
      <c r="C582" t="str">
        <f>"5.6324"</f>
        <v>5.6324</v>
      </c>
    </row>
    <row r="583" spans="1:3" x14ac:dyDescent="0.25">
      <c r="A583" t="str">
        <f>"19/10/2011"</f>
        <v>19/10/2011</v>
      </c>
      <c r="B583" t="str">
        <f>"5.6024"</f>
        <v>5.6024</v>
      </c>
      <c r="C583" t="str">
        <f>"5.612"</f>
        <v>5.612</v>
      </c>
    </row>
    <row r="584" spans="1:3" x14ac:dyDescent="0.25">
      <c r="A584" t="str">
        <f>"20/10/2011"</f>
        <v>20/10/2011</v>
      </c>
      <c r="B584" t="str">
        <f>"5.6335"</f>
        <v>5.6335</v>
      </c>
      <c r="C584" t="str">
        <f>"5.6433"</f>
        <v>5.6433</v>
      </c>
    </row>
    <row r="585" spans="1:3" x14ac:dyDescent="0.25">
      <c r="A585" t="str">
        <f>"21/10/2011"</f>
        <v>21/10/2011</v>
      </c>
      <c r="B585" t="str">
        <f>"5.6086"</f>
        <v>5.6086</v>
      </c>
      <c r="C585" t="str">
        <f>"5.6184"</f>
        <v>5.6184</v>
      </c>
    </row>
    <row r="586" spans="1:3" x14ac:dyDescent="0.25">
      <c r="A586" t="str">
        <f>"24/10/2011"</f>
        <v>24/10/2011</v>
      </c>
      <c r="B586" t="str">
        <f>"5.558"</f>
        <v>5.558</v>
      </c>
      <c r="C586" t="str">
        <f>"5.5683"</f>
        <v>5.5683</v>
      </c>
    </row>
    <row r="587" spans="1:3" x14ac:dyDescent="0.25">
      <c r="A587" t="str">
        <f>"25/10/2011"</f>
        <v>25/10/2011</v>
      </c>
      <c r="B587" t="str">
        <f>"5.529"</f>
        <v>5.529</v>
      </c>
      <c r="C587" t="str">
        <f>"5.5387"</f>
        <v>5.5387</v>
      </c>
    </row>
    <row r="588" spans="1:3" x14ac:dyDescent="0.25">
      <c r="A588" t="str">
        <f>"28/10/2011"</f>
        <v>28/10/2011</v>
      </c>
      <c r="B588" t="str">
        <f>"5.4166"</f>
        <v>5.4166</v>
      </c>
      <c r="C588" t="str">
        <f>"5.4254"</f>
        <v>5.4254</v>
      </c>
    </row>
    <row r="589" spans="1:3" x14ac:dyDescent="0.25">
      <c r="A589" t="str">
        <f>"31/10/2011"</f>
        <v>31/10/2011</v>
      </c>
      <c r="B589" t="str">
        <f>"5.4913"</f>
        <v>5.4913</v>
      </c>
      <c r="C589" t="str">
        <f>"5.50"</f>
        <v>5.50</v>
      </c>
    </row>
    <row r="590" spans="1:3" x14ac:dyDescent="0.25">
      <c r="A590" t="str">
        <f>"01/11/2011"</f>
        <v>01/11/2011</v>
      </c>
      <c r="B590" t="str">
        <f>"5.5838"</f>
        <v>5.5838</v>
      </c>
      <c r="C590" t="str">
        <f>"5.5924"</f>
        <v>5.5924</v>
      </c>
    </row>
    <row r="591" spans="1:3" x14ac:dyDescent="0.25">
      <c r="A591" t="str">
        <f>"02/11/2011"</f>
        <v>02/11/2011</v>
      </c>
      <c r="B591" t="str">
        <f>"5.6581"</f>
        <v>5.6581</v>
      </c>
      <c r="C591" t="str">
        <f>"5.6672"</f>
        <v>5.6672</v>
      </c>
    </row>
    <row r="592" spans="1:3" x14ac:dyDescent="0.25">
      <c r="A592" t="str">
        <f>"03/11/2011"</f>
        <v>03/11/2011</v>
      </c>
      <c r="B592" t="str">
        <f>"5.6816"</f>
        <v>5.6816</v>
      </c>
      <c r="C592" t="str">
        <f>"5.6904"</f>
        <v>5.6904</v>
      </c>
    </row>
    <row r="593" spans="1:3" x14ac:dyDescent="0.25">
      <c r="A593" t="str">
        <f>"04/11/2011"</f>
        <v>04/11/2011</v>
      </c>
      <c r="B593" t="str">
        <f>"5.6012"</f>
        <v>5.6012</v>
      </c>
      <c r="C593" t="str">
        <f>"5.6098"</f>
        <v>5.6098</v>
      </c>
    </row>
    <row r="594" spans="1:3" x14ac:dyDescent="0.25">
      <c r="A594" t="str">
        <f>"08/11/2011"</f>
        <v>08/11/2011</v>
      </c>
      <c r="B594" t="str">
        <f>"5.6199"</f>
        <v>5.6199</v>
      </c>
      <c r="C594" t="str">
        <f>"5.6291"</f>
        <v>5.6291</v>
      </c>
    </row>
    <row r="595" spans="1:3" x14ac:dyDescent="0.25">
      <c r="A595" t="str">
        <f>"09/11/2011"</f>
        <v>09/11/2011</v>
      </c>
      <c r="B595" t="str">
        <f>"5.595"</f>
        <v>5.595</v>
      </c>
      <c r="C595" t="str">
        <f>"5.6037"</f>
        <v>5.6037</v>
      </c>
    </row>
    <row r="596" spans="1:3" x14ac:dyDescent="0.25">
      <c r="A596" t="str">
        <f>"11/11/2011"</f>
        <v>11/11/2011</v>
      </c>
      <c r="B596" t="str">
        <f>"5.6878"</f>
        <v>5.6878</v>
      </c>
      <c r="C596" t="str">
        <f>"5.6967"</f>
        <v>5.6967</v>
      </c>
    </row>
    <row r="597" spans="1:3" x14ac:dyDescent="0.25">
      <c r="A597" t="str">
        <f>"14/11/2011"</f>
        <v>14/11/2011</v>
      </c>
      <c r="B597" t="str">
        <f>"5.6274"</f>
        <v>5.6274</v>
      </c>
      <c r="C597" t="str">
        <f>"5.6361"</f>
        <v>5.6361</v>
      </c>
    </row>
    <row r="598" spans="1:3" x14ac:dyDescent="0.25">
      <c r="A598" t="str">
        <f>"15/11/2011"</f>
        <v>15/11/2011</v>
      </c>
      <c r="B598" t="str">
        <f>"5.7302"</f>
        <v>5.7302</v>
      </c>
      <c r="C598" t="str">
        <f>"5.7393"</f>
        <v>5.7393</v>
      </c>
    </row>
    <row r="599" spans="1:3" x14ac:dyDescent="0.25">
      <c r="A599" t="str">
        <f>"16/11/2011"</f>
        <v>16/11/2011</v>
      </c>
      <c r="B599" t="str">
        <f>"5.788"</f>
        <v>5.788</v>
      </c>
      <c r="C599" t="str">
        <f>"5.7967"</f>
        <v>5.7967</v>
      </c>
    </row>
    <row r="600" spans="1:3" x14ac:dyDescent="0.25">
      <c r="A600" t="str">
        <f>"17/11/2011"</f>
        <v>17/11/2011</v>
      </c>
      <c r="B600" t="str">
        <f>"5.7912"</f>
        <v>5.7912</v>
      </c>
      <c r="C600" t="str">
        <f>"5.7996"</f>
        <v>5.7996</v>
      </c>
    </row>
    <row r="601" spans="1:3" x14ac:dyDescent="0.25">
      <c r="A601" t="str">
        <f>"18/11/2011"</f>
        <v>18/11/2011</v>
      </c>
      <c r="B601" t="str">
        <f>"5.8066"</f>
        <v>5.8066</v>
      </c>
      <c r="C601" t="str">
        <f>"5.8152"</f>
        <v>5.8152</v>
      </c>
    </row>
    <row r="602" spans="1:3" x14ac:dyDescent="0.25">
      <c r="A602" t="str">
        <f>"21/11/2011"</f>
        <v>21/11/2011</v>
      </c>
      <c r="B602" t="str">
        <f>"5.7856"</f>
        <v>5.7856</v>
      </c>
      <c r="C602" t="str">
        <f>"5.7943"</f>
        <v>5.7943</v>
      </c>
    </row>
    <row r="603" spans="1:3" x14ac:dyDescent="0.25">
      <c r="A603" t="str">
        <f>"22/11/2011"</f>
        <v>22/11/2011</v>
      </c>
      <c r="B603" t="str">
        <f>"5.821"</f>
        <v>5.821</v>
      </c>
      <c r="C603" t="str">
        <f>"5.8305"</f>
        <v>5.8305</v>
      </c>
    </row>
    <row r="604" spans="1:3" x14ac:dyDescent="0.25">
      <c r="A604" t="str">
        <f>"23/11/2011"</f>
        <v>23/11/2011</v>
      </c>
      <c r="B604" t="str">
        <f>"5.8036"</f>
        <v>5.8036</v>
      </c>
      <c r="C604" t="str">
        <f>"5.8124"</f>
        <v>5.8124</v>
      </c>
    </row>
    <row r="605" spans="1:3" x14ac:dyDescent="0.25">
      <c r="A605" t="str">
        <f>"24/11/2011"</f>
        <v>24/11/2011</v>
      </c>
      <c r="B605" t="str">
        <f>"5.8441"</f>
        <v>5.8441</v>
      </c>
      <c r="C605" t="str">
        <f>"5.8522"</f>
        <v>5.8522</v>
      </c>
    </row>
    <row r="606" spans="1:3" x14ac:dyDescent="0.25">
      <c r="A606" t="str">
        <f>"25/11/2011"</f>
        <v>25/11/2011</v>
      </c>
      <c r="B606" t="str">
        <f>"5.9121"</f>
        <v>5.9121</v>
      </c>
      <c r="C606" t="str">
        <f>"5.92"</f>
        <v>5.92</v>
      </c>
    </row>
    <row r="607" spans="1:3" x14ac:dyDescent="0.25">
      <c r="A607" t="str">
        <f>"28/11/2011"</f>
        <v>28/11/2011</v>
      </c>
      <c r="B607" t="str">
        <f>"5.8469"</f>
        <v>5.8469</v>
      </c>
      <c r="C607" t="str">
        <f>"5.8547"</f>
        <v>5.8547</v>
      </c>
    </row>
    <row r="608" spans="1:3" x14ac:dyDescent="0.25">
      <c r="A608" t="str">
        <f>"29/11/2011"</f>
        <v>29/11/2011</v>
      </c>
      <c r="B608" t="str">
        <f>"5.8483"</f>
        <v>5.8483</v>
      </c>
      <c r="C608" t="str">
        <f>"5.8565"</f>
        <v>5.8565</v>
      </c>
    </row>
    <row r="609" spans="1:3" x14ac:dyDescent="0.25">
      <c r="A609" t="str">
        <f>"30/11/2011"</f>
        <v>30/11/2011</v>
      </c>
      <c r="B609" t="str">
        <f>"5.8573"</f>
        <v>5.8573</v>
      </c>
      <c r="C609" t="str">
        <f>"5.8651"</f>
        <v>5.8651</v>
      </c>
    </row>
    <row r="610" spans="1:3" x14ac:dyDescent="0.25">
      <c r="A610" t="str">
        <f>"01/12/2011"</f>
        <v>01/12/2011</v>
      </c>
      <c r="B610" t="str">
        <f>"5.7688"</f>
        <v>5.7688</v>
      </c>
      <c r="C610" t="str">
        <f>"5.7769"</f>
        <v>5.7769</v>
      </c>
    </row>
    <row r="611" spans="1:3" x14ac:dyDescent="0.25">
      <c r="A611" t="str">
        <f>"02/12/2011"</f>
        <v>02/12/2011</v>
      </c>
      <c r="B611" t="str">
        <f>"5.7806"</f>
        <v>5.7806</v>
      </c>
      <c r="C611" t="str">
        <f>"5.7886"</f>
        <v>5.7886</v>
      </c>
    </row>
    <row r="612" spans="1:3" x14ac:dyDescent="0.25">
      <c r="A612" t="str">
        <f>"05/12/2011"</f>
        <v>05/12/2011</v>
      </c>
      <c r="B612" t="str">
        <f>"5.7616"</f>
        <v>5.7616</v>
      </c>
      <c r="C612" t="str">
        <f>"5.7698"</f>
        <v>5.7698</v>
      </c>
    </row>
    <row r="613" spans="1:3" x14ac:dyDescent="0.25">
      <c r="A613" t="str">
        <f>"07/12/2011"</f>
        <v>07/12/2011</v>
      </c>
      <c r="B613" t="str">
        <f>"5.7462"</f>
        <v>5.7462</v>
      </c>
      <c r="C613" t="str">
        <f>"5.754"</f>
        <v>5.754</v>
      </c>
    </row>
    <row r="614" spans="1:3" x14ac:dyDescent="0.25">
      <c r="A614" t="str">
        <f>"08/12/2011"</f>
        <v>08/12/2011</v>
      </c>
      <c r="B614" t="str">
        <f>"5.7422"</f>
        <v>5.7422</v>
      </c>
      <c r="C614" t="str">
        <f>"5.75"</f>
        <v>5.75</v>
      </c>
    </row>
    <row r="615" spans="1:3" x14ac:dyDescent="0.25">
      <c r="A615" t="str">
        <f>"09/12/2011"</f>
        <v>09/12/2011</v>
      </c>
      <c r="B615" t="str">
        <f>"5.7906"</f>
        <v>5.7906</v>
      </c>
      <c r="C615" t="str">
        <f>"5.7983"</f>
        <v>5.7983</v>
      </c>
    </row>
    <row r="616" spans="1:3" x14ac:dyDescent="0.25">
      <c r="A616" t="str">
        <f>"12/12/2011"</f>
        <v>12/12/2011</v>
      </c>
      <c r="B616" t="str">
        <f>"5.8096"</f>
        <v>5.8096</v>
      </c>
      <c r="C616" t="str">
        <f>"5.8179"</f>
        <v>5.8179</v>
      </c>
    </row>
    <row r="617" spans="1:3" x14ac:dyDescent="0.25">
      <c r="A617" t="str">
        <f>"13/12/2011"</f>
        <v>13/12/2011</v>
      </c>
      <c r="B617" t="str">
        <f>"5.8401"</f>
        <v>5.8401</v>
      </c>
      <c r="C617" t="str">
        <f>"5.8482"</f>
        <v>5.8482</v>
      </c>
    </row>
    <row r="618" spans="1:3" x14ac:dyDescent="0.25">
      <c r="A618" t="str">
        <f>"14/12/2011"</f>
        <v>14/12/2011</v>
      </c>
      <c r="B618" t="str">
        <f>"5.9383"</f>
        <v>5.9383</v>
      </c>
      <c r="C618" t="str">
        <f>"5.946"</f>
        <v>5.946</v>
      </c>
    </row>
    <row r="619" spans="1:3" x14ac:dyDescent="0.25">
      <c r="A619" t="str">
        <f>"15/12/2011"</f>
        <v>15/12/2011</v>
      </c>
      <c r="B619" t="str">
        <f>"5.9892"</f>
        <v>5.9892</v>
      </c>
      <c r="C619" t="str">
        <f>"5.9956"</f>
        <v>5.9956</v>
      </c>
    </row>
    <row r="620" spans="1:3" x14ac:dyDescent="0.25">
      <c r="A620" t="str">
        <f>"16/12/2011"</f>
        <v>16/12/2011</v>
      </c>
      <c r="B620" t="str">
        <f>"5.9879"</f>
        <v>5.9879</v>
      </c>
      <c r="C620" t="str">
        <f>"5.9941"</f>
        <v>5.9941</v>
      </c>
    </row>
    <row r="621" spans="1:3" x14ac:dyDescent="0.25">
      <c r="A621" t="str">
        <f>"19/12/2011"</f>
        <v>19/12/2011</v>
      </c>
      <c r="B621" t="str">
        <f>"5.9622"</f>
        <v>5.9622</v>
      </c>
      <c r="C621" t="str">
        <f>"5.969"</f>
        <v>5.969</v>
      </c>
    </row>
    <row r="622" spans="1:3" x14ac:dyDescent="0.25">
      <c r="A622" t="str">
        <f>"20/12/2011"</f>
        <v>20/12/2011</v>
      </c>
      <c r="B622" t="str">
        <f>"5.9042"</f>
        <v>5.9042</v>
      </c>
      <c r="C622" t="str">
        <f>"5.9108"</f>
        <v>5.9108</v>
      </c>
    </row>
    <row r="623" spans="1:3" x14ac:dyDescent="0.25">
      <c r="A623" t="str">
        <f>"21/12/2011"</f>
        <v>21/12/2011</v>
      </c>
      <c r="B623" t="str">
        <f>"5.8845"</f>
        <v>5.8845</v>
      </c>
      <c r="C623" t="str">
        <f>"5.8911"</f>
        <v>5.8911</v>
      </c>
    </row>
    <row r="624" spans="1:3" x14ac:dyDescent="0.25">
      <c r="A624" t="str">
        <f>"22/12/2011"</f>
        <v>22/12/2011</v>
      </c>
      <c r="B624" t="str">
        <f>"5.9133"</f>
        <v>5.9133</v>
      </c>
      <c r="C624" t="str">
        <f>"5.9196"</f>
        <v>5.9196</v>
      </c>
    </row>
    <row r="625" spans="1:3" x14ac:dyDescent="0.25">
      <c r="A625" t="str">
        <f>"23/12/2011"</f>
        <v>23/12/2011</v>
      </c>
      <c r="B625" t="str">
        <f>"5.9472"</f>
        <v>5.9472</v>
      </c>
      <c r="C625" t="str">
        <f>"5.9532"</f>
        <v>5.9532</v>
      </c>
    </row>
    <row r="626" spans="1:3" x14ac:dyDescent="0.25">
      <c r="A626" t="str">
        <f>"26/12/2011"</f>
        <v>26/12/2011</v>
      </c>
      <c r="B626" t="str">
        <f>"5.9714"</f>
        <v>5.9714</v>
      </c>
      <c r="C626" t="str">
        <f>"5.9774"</f>
        <v>5.9774</v>
      </c>
    </row>
    <row r="627" spans="1:3" x14ac:dyDescent="0.25">
      <c r="A627" t="str">
        <f>"27/12/2011"</f>
        <v>27/12/2011</v>
      </c>
      <c r="B627" t="str">
        <f>"5.9518"</f>
        <v>5.9518</v>
      </c>
      <c r="C627" t="str">
        <f>"5.9578"</f>
        <v>5.9578</v>
      </c>
    </row>
    <row r="628" spans="1:3" x14ac:dyDescent="0.25">
      <c r="A628" t="str">
        <f>"28/12/2011"</f>
        <v>28/12/2011</v>
      </c>
      <c r="B628" t="str">
        <f>"5.961"</f>
        <v>5.961</v>
      </c>
      <c r="C628" t="str">
        <f>"5.967"</f>
        <v>5.967</v>
      </c>
    </row>
    <row r="629" spans="1:3" x14ac:dyDescent="0.25">
      <c r="A629" t="str">
        <f>"29/12/2011"</f>
        <v>29/12/2011</v>
      </c>
      <c r="B629" t="str">
        <f>"6.0229"</f>
        <v>6.0229</v>
      </c>
      <c r="C629" t="str">
        <f>"6.0289"</f>
        <v>6.0289</v>
      </c>
    </row>
    <row r="630" spans="1:3" x14ac:dyDescent="0.25">
      <c r="A630" t="str">
        <f>"30/12/2011"</f>
        <v>30/12/2011</v>
      </c>
      <c r="B630" t="str">
        <f>"6.0078"</f>
        <v>6.0078</v>
      </c>
      <c r="C630" t="str">
        <f>"6.0141"</f>
        <v>6.0141</v>
      </c>
    </row>
    <row r="631" spans="1:3" x14ac:dyDescent="0.25">
      <c r="A631" t="str">
        <f>"02/01/2012"</f>
        <v>02/01/2012</v>
      </c>
      <c r="B631" t="str">
        <f>"5.9938"</f>
        <v>5.9938</v>
      </c>
      <c r="C631" t="str">
        <f>"6.0002"</f>
        <v>6.0002</v>
      </c>
    </row>
    <row r="632" spans="1:3" x14ac:dyDescent="0.25">
      <c r="A632" t="str">
        <f>"03/01/2012"</f>
        <v>03/01/2012</v>
      </c>
      <c r="B632" t="str">
        <f>"5.9637"</f>
        <v>5.9637</v>
      </c>
      <c r="C632" t="str">
        <f>"5.97"</f>
        <v>5.97</v>
      </c>
    </row>
    <row r="633" spans="1:3" x14ac:dyDescent="0.25">
      <c r="A633" t="str">
        <f>"04/01/2012"</f>
        <v>04/01/2012</v>
      </c>
      <c r="B633" t="str">
        <f>"5.9229"</f>
        <v>5.9229</v>
      </c>
      <c r="C633" t="str">
        <f>"5.9294"</f>
        <v>5.9294</v>
      </c>
    </row>
    <row r="634" spans="1:3" x14ac:dyDescent="0.25">
      <c r="A634" t="str">
        <f>"05/01/2012"</f>
        <v>05/01/2012</v>
      </c>
      <c r="B634" t="str">
        <f>"5.9434"</f>
        <v>5.9434</v>
      </c>
      <c r="C634" t="str">
        <f>"5.9494"</f>
        <v>5.9494</v>
      </c>
    </row>
    <row r="635" spans="1:3" x14ac:dyDescent="0.25">
      <c r="A635" t="str">
        <f>"06/01/2012"</f>
        <v>06/01/2012</v>
      </c>
      <c r="B635" t="str">
        <f>"6.0183"</f>
        <v>6.0183</v>
      </c>
      <c r="C635" t="str">
        <f>"6.0243"</f>
        <v>6.0243</v>
      </c>
    </row>
    <row r="636" spans="1:3" x14ac:dyDescent="0.25">
      <c r="A636" t="str">
        <f>"09/01/2012"</f>
        <v>09/01/2012</v>
      </c>
      <c r="B636" t="str">
        <f>"6.0228"</f>
        <v>6.0228</v>
      </c>
      <c r="C636" t="str">
        <f>"6.0301"</f>
        <v>6.0301</v>
      </c>
    </row>
    <row r="637" spans="1:3" x14ac:dyDescent="0.25">
      <c r="A637" t="str">
        <f>"10/01/2012"</f>
        <v>10/01/2012</v>
      </c>
      <c r="B637" t="str">
        <f>"5.9852"</f>
        <v>5.9852</v>
      </c>
      <c r="C637" t="str">
        <f>"5.992"</f>
        <v>5.992</v>
      </c>
    </row>
    <row r="638" spans="1:3" x14ac:dyDescent="0.25">
      <c r="A638" t="str">
        <f>"11/01/2012"</f>
        <v>11/01/2012</v>
      </c>
      <c r="B638" t="str">
        <f>"5.9974"</f>
        <v>5.9974</v>
      </c>
      <c r="C638" t="str">
        <f>"6.0042"</f>
        <v>6.0042</v>
      </c>
    </row>
    <row r="639" spans="1:3" x14ac:dyDescent="0.25">
      <c r="A639" t="str">
        <f>"12/01/2012"</f>
        <v>12/01/2012</v>
      </c>
      <c r="B639" t="str">
        <f>"6.0398"</f>
        <v>6.0398</v>
      </c>
      <c r="C639" t="str">
        <f>"6.0466"</f>
        <v>6.0466</v>
      </c>
    </row>
    <row r="640" spans="1:3" x14ac:dyDescent="0.25">
      <c r="A640" t="str">
        <f>"13/01/2012"</f>
        <v>13/01/2012</v>
      </c>
      <c r="B640" t="str">
        <f>"6.0136"</f>
        <v>6.0136</v>
      </c>
      <c r="C640" t="str">
        <f>"6.0203"</f>
        <v>6.0203</v>
      </c>
    </row>
    <row r="641" spans="1:3" x14ac:dyDescent="0.25">
      <c r="A641" t="str">
        <f>"16/01/2012"</f>
        <v>16/01/2012</v>
      </c>
      <c r="B641" t="str">
        <f>"6.0672"</f>
        <v>6.0672</v>
      </c>
      <c r="C641" t="str">
        <f>"6.0745"</f>
        <v>6.0745</v>
      </c>
    </row>
    <row r="642" spans="1:3" x14ac:dyDescent="0.25">
      <c r="A642" t="str">
        <f>"17/01/2012"</f>
        <v>17/01/2012</v>
      </c>
      <c r="B642" t="str">
        <f>"6.0276"</f>
        <v>6.0276</v>
      </c>
      <c r="C642" t="str">
        <f>"6.035"</f>
        <v>6.035</v>
      </c>
    </row>
    <row r="643" spans="1:3" x14ac:dyDescent="0.25">
      <c r="A643" t="str">
        <f>"18/01/2012"</f>
        <v>18/01/2012</v>
      </c>
      <c r="B643" t="str">
        <f>"6.0221"</f>
        <v>6.0221</v>
      </c>
      <c r="C643" t="str">
        <f>"6.0292"</f>
        <v>6.0292</v>
      </c>
    </row>
    <row r="644" spans="1:3" x14ac:dyDescent="0.25">
      <c r="A644" t="str">
        <f>"19/01/2012"</f>
        <v>19/01/2012</v>
      </c>
      <c r="B644" t="str">
        <f>"5.9362"</f>
        <v>5.9362</v>
      </c>
      <c r="C644" t="str">
        <f>"5.9432"</f>
        <v>5.9432</v>
      </c>
    </row>
    <row r="645" spans="1:3" x14ac:dyDescent="0.25">
      <c r="A645" t="str">
        <f>"20/01/2012"</f>
        <v>20/01/2012</v>
      </c>
      <c r="B645" t="str">
        <f>"5.9146"</f>
        <v>5.9146</v>
      </c>
      <c r="C645" t="str">
        <f>"5.9219"</f>
        <v>5.9219</v>
      </c>
    </row>
    <row r="646" spans="1:3" x14ac:dyDescent="0.25">
      <c r="A646" t="str">
        <f>"23/01/2012"</f>
        <v>23/01/2012</v>
      </c>
      <c r="B646" t="str">
        <f>"5.944"</f>
        <v>5.944</v>
      </c>
      <c r="C646" t="str">
        <f>"5.9517"</f>
        <v>5.9517</v>
      </c>
    </row>
    <row r="647" spans="1:3" x14ac:dyDescent="0.25">
      <c r="A647" t="str">
        <f>"24/01/2012"</f>
        <v>24/01/2012</v>
      </c>
      <c r="B647" t="str">
        <f>"5.8784"</f>
        <v>5.8784</v>
      </c>
      <c r="C647" t="str">
        <f>"5.8859"</f>
        <v>5.8859</v>
      </c>
    </row>
    <row r="648" spans="1:3" x14ac:dyDescent="0.25">
      <c r="A648" t="str">
        <f>"25/01/2012"</f>
        <v>25/01/2012</v>
      </c>
      <c r="B648" t="str">
        <f>"5.914"</f>
        <v>5.914</v>
      </c>
      <c r="C648" t="str">
        <f>"5.9215"</f>
        <v>5.9215</v>
      </c>
    </row>
    <row r="649" spans="1:3" x14ac:dyDescent="0.25">
      <c r="A649" t="str">
        <f>"27/01/2012"</f>
        <v>27/01/2012</v>
      </c>
      <c r="B649" t="str">
        <f>"5.819"</f>
        <v>5.819</v>
      </c>
      <c r="C649" t="str">
        <f>"5.8259"</f>
        <v>5.8259</v>
      </c>
    </row>
    <row r="650" spans="1:3" x14ac:dyDescent="0.25">
      <c r="A650" t="str">
        <f>"30/01/2012"</f>
        <v>30/01/2012</v>
      </c>
      <c r="B650" t="str">
        <f>"5.8493"</f>
        <v>5.8493</v>
      </c>
      <c r="C650" t="str">
        <f>"5.8561"</f>
        <v>5.8561</v>
      </c>
    </row>
    <row r="651" spans="1:3" x14ac:dyDescent="0.25">
      <c r="A651" t="str">
        <f>"31/01/2012"</f>
        <v>31/01/2012</v>
      </c>
      <c r="B651" t="str">
        <f>"5.8117"</f>
        <v>5.8117</v>
      </c>
      <c r="C651" t="str">
        <f>"5.8184"</f>
        <v>5.8184</v>
      </c>
    </row>
    <row r="652" spans="1:3" x14ac:dyDescent="0.25">
      <c r="A652" t="str">
        <f>"01/02/2012"</f>
        <v>01/02/2012</v>
      </c>
      <c r="B652" t="str">
        <f>"5.8694"</f>
        <v>5.8694</v>
      </c>
      <c r="C652" t="str">
        <f>"5.8762"</f>
        <v>5.8762</v>
      </c>
    </row>
    <row r="653" spans="1:3" x14ac:dyDescent="0.25">
      <c r="A653" t="str">
        <f>"02/02/2012"</f>
        <v>02/02/2012</v>
      </c>
      <c r="B653" t="str">
        <f>"5.8018"</f>
        <v>5.8018</v>
      </c>
      <c r="C653" t="str">
        <f>"5.8093"</f>
        <v>5.8093</v>
      </c>
    </row>
    <row r="654" spans="1:3" x14ac:dyDescent="0.25">
      <c r="A654" t="str">
        <f>"03/02/2012"</f>
        <v>03/02/2012</v>
      </c>
      <c r="B654" t="str">
        <f>"5.839"</f>
        <v>5.839</v>
      </c>
      <c r="C654" t="str">
        <f>"5.8462"</f>
        <v>5.8462</v>
      </c>
    </row>
    <row r="655" spans="1:3" x14ac:dyDescent="0.25">
      <c r="A655" t="str">
        <f>"06/02/2012"</f>
        <v>06/02/2012</v>
      </c>
      <c r="B655" t="str">
        <f>"5.8209"</f>
        <v>5.8209</v>
      </c>
      <c r="C655" t="str">
        <f>"5.828"</f>
        <v>5.828</v>
      </c>
    </row>
    <row r="656" spans="1:3" x14ac:dyDescent="0.25">
      <c r="A656" t="str">
        <f>"07/02/2012"</f>
        <v>07/02/2012</v>
      </c>
      <c r="B656" t="str">
        <f>"5.8241"</f>
        <v>5.8241</v>
      </c>
      <c r="C656" t="str">
        <f>"5.8313"</f>
        <v>5.8313</v>
      </c>
    </row>
    <row r="657" spans="1:3" x14ac:dyDescent="0.25">
      <c r="A657" t="str">
        <f>"08/02/2012"</f>
        <v>08/02/2012</v>
      </c>
      <c r="B657" t="str">
        <f>"5.7784"</f>
        <v>5.7784</v>
      </c>
      <c r="C657" t="str">
        <f>"5.7856"</f>
        <v>5.7856</v>
      </c>
    </row>
    <row r="658" spans="1:3" x14ac:dyDescent="0.25">
      <c r="A658" t="str">
        <f>"09/02/2012"</f>
        <v>09/02/2012</v>
      </c>
      <c r="B658" t="str">
        <f>"5.76"</f>
        <v>5.76</v>
      </c>
      <c r="C658" t="str">
        <f>"5.7678"</f>
        <v>5.7678</v>
      </c>
    </row>
    <row r="659" spans="1:3" x14ac:dyDescent="0.25">
      <c r="A659" t="str">
        <f>"10/02/2012"</f>
        <v>10/02/2012</v>
      </c>
      <c r="B659" t="str">
        <f>"5.7578"</f>
        <v>5.7578</v>
      </c>
      <c r="C659" t="str">
        <f>"5.765"</f>
        <v>5.765</v>
      </c>
    </row>
    <row r="660" spans="1:3" x14ac:dyDescent="0.25">
      <c r="A660" t="str">
        <f>"13/02/2012"</f>
        <v>13/02/2012</v>
      </c>
      <c r="B660" t="str">
        <f>"5.7201"</f>
        <v>5.7201</v>
      </c>
      <c r="C660" t="str">
        <f>"5.7272"</f>
        <v>5.7272</v>
      </c>
    </row>
    <row r="661" spans="1:3" x14ac:dyDescent="0.25">
      <c r="A661" t="str">
        <f>"14/02/2012"</f>
        <v>14/02/2012</v>
      </c>
      <c r="B661" t="str">
        <f>"5.7276"</f>
        <v>5.7276</v>
      </c>
      <c r="C661" t="str">
        <f>"5.7347"</f>
        <v>5.7347</v>
      </c>
    </row>
    <row r="662" spans="1:3" x14ac:dyDescent="0.25">
      <c r="A662" t="str">
        <f>"15/02/2012"</f>
        <v>15/02/2012</v>
      </c>
      <c r="B662" t="str">
        <f>"5.7232"</f>
        <v>5.7232</v>
      </c>
      <c r="C662" t="str">
        <f>"5.7304"</f>
        <v>5.7304</v>
      </c>
    </row>
    <row r="663" spans="1:3" x14ac:dyDescent="0.25">
      <c r="A663" t="str">
        <f>"16/02/2012"</f>
        <v>16/02/2012</v>
      </c>
      <c r="B663" t="str">
        <f>"5.8035"</f>
        <v>5.8035</v>
      </c>
      <c r="C663" t="str">
        <f>"5.8112"</f>
        <v>5.8112</v>
      </c>
    </row>
    <row r="664" spans="1:3" x14ac:dyDescent="0.25">
      <c r="A664" t="str">
        <f>"17/02/2012"</f>
        <v>17/02/2012</v>
      </c>
      <c r="B664" t="str">
        <f>"5.7338"</f>
        <v>5.7338</v>
      </c>
      <c r="C664" t="str">
        <f>"5.741"</f>
        <v>5.741</v>
      </c>
    </row>
    <row r="665" spans="1:3" x14ac:dyDescent="0.25">
      <c r="A665" t="str">
        <f>"21/02/2012"</f>
        <v>21/02/2012</v>
      </c>
      <c r="B665" t="str">
        <f>"5.6896"</f>
        <v>5.6896</v>
      </c>
      <c r="C665" t="str">
        <f>"5.6967"</f>
        <v>5.6967</v>
      </c>
    </row>
    <row r="666" spans="1:3" x14ac:dyDescent="0.25">
      <c r="A666" t="str">
        <f>"22/02/2012"</f>
        <v>22/02/2012</v>
      </c>
      <c r="B666" t="str">
        <f>"5.6774"</f>
        <v>5.6774</v>
      </c>
      <c r="C666" t="str">
        <f>"5.6845"</f>
        <v>5.6845</v>
      </c>
    </row>
    <row r="667" spans="1:3" x14ac:dyDescent="0.25">
      <c r="A667" t="str">
        <f>"23/02/2012"</f>
        <v>23/02/2012</v>
      </c>
      <c r="B667" t="str">
        <f>"5.6127"</f>
        <v>5.6127</v>
      </c>
      <c r="C667" t="str">
        <f>"5.6197"</f>
        <v>5.6197</v>
      </c>
    </row>
    <row r="668" spans="1:3" x14ac:dyDescent="0.25">
      <c r="A668" t="str">
        <f>"24/02/2012"</f>
        <v>24/02/2012</v>
      </c>
      <c r="B668" t="str">
        <f>"5.5929"</f>
        <v>5.5929</v>
      </c>
      <c r="C668" t="str">
        <f>"5.5998"</f>
        <v>5.5998</v>
      </c>
    </row>
    <row r="669" spans="1:3" x14ac:dyDescent="0.25">
      <c r="A669" t="str">
        <f>"27/02/2012"</f>
        <v>27/02/2012</v>
      </c>
      <c r="B669" t="str">
        <f>"5.5931"</f>
        <v>5.5931</v>
      </c>
      <c r="C669" t="str">
        <f>"5.6003"</f>
        <v>5.6003</v>
      </c>
    </row>
    <row r="670" spans="1:3" x14ac:dyDescent="0.25">
      <c r="A670" t="str">
        <f>"28/02/2012"</f>
        <v>28/02/2012</v>
      </c>
      <c r="B670" t="str">
        <f>"5.5818"</f>
        <v>5.5818</v>
      </c>
      <c r="C670" t="str">
        <f>"5.589"</f>
        <v>5.589</v>
      </c>
    </row>
    <row r="671" spans="1:3" x14ac:dyDescent="0.25">
      <c r="A671" t="str">
        <f t="shared" ref="A671" si="0">"29/02/2012"</f>
        <v>29/02/2012</v>
      </c>
      <c r="B671" t="str">
        <f>"5.5405"</f>
        <v>5.5405</v>
      </c>
      <c r="C671" t="str">
        <f>"5.5478"</f>
        <v>5.5478</v>
      </c>
    </row>
    <row r="672" spans="1:3" x14ac:dyDescent="0.25">
      <c r="A672" t="str">
        <f>"01/03/2012"</f>
        <v>01/03/2012</v>
      </c>
      <c r="B672" t="str">
        <f>"5.5725"</f>
        <v>5.5725</v>
      </c>
      <c r="C672" t="str">
        <f>"5.5811"</f>
        <v>5.5811</v>
      </c>
    </row>
    <row r="673" spans="1:3" x14ac:dyDescent="0.25">
      <c r="A673" t="str">
        <f>"02/03/2012"</f>
        <v>02/03/2012</v>
      </c>
      <c r="B673" t="str">
        <f>"5.5831"</f>
        <v>5.5831</v>
      </c>
      <c r="C673" t="str">
        <f>"5.5916"</f>
        <v>5.5916</v>
      </c>
    </row>
    <row r="674" spans="1:3" x14ac:dyDescent="0.25">
      <c r="A674" t="str">
        <f>"05/03/2012"</f>
        <v>05/03/2012</v>
      </c>
      <c r="B674" t="str">
        <f>"5.6243"</f>
        <v>5.6243</v>
      </c>
      <c r="C674" t="str">
        <f>"5.6323"</f>
        <v>5.6323</v>
      </c>
    </row>
    <row r="675" spans="1:3" x14ac:dyDescent="0.25">
      <c r="A675" t="str">
        <f>"06/03/2012"</f>
        <v>06/03/2012</v>
      </c>
      <c r="B675" t="str">
        <f>"5.6302"</f>
        <v>5.6302</v>
      </c>
      <c r="C675" t="str">
        <f>"5.6381"</f>
        <v>5.6381</v>
      </c>
    </row>
    <row r="676" spans="1:3" x14ac:dyDescent="0.25">
      <c r="A676" t="str">
        <f>"07/03/2012"</f>
        <v>07/03/2012</v>
      </c>
      <c r="B676" t="str">
        <f>"5.6628"</f>
        <v>5.6628</v>
      </c>
      <c r="C676" t="str">
        <f>"5.6704"</f>
        <v>5.6704</v>
      </c>
    </row>
    <row r="677" spans="1:3" x14ac:dyDescent="0.25">
      <c r="A677" t="str">
        <f>"09/03/2012"</f>
        <v>09/03/2012</v>
      </c>
      <c r="B677" t="str">
        <f>"5.6242"</f>
        <v>5.6242</v>
      </c>
      <c r="C677" t="str">
        <f>"5.6315"</f>
        <v>5.6315</v>
      </c>
    </row>
    <row r="678" spans="1:3" x14ac:dyDescent="0.25">
      <c r="A678" t="str">
        <f>"12/03/2012"</f>
        <v>12/03/2012</v>
      </c>
      <c r="B678" t="str">
        <f>"5.7166"</f>
        <v>5.7166</v>
      </c>
      <c r="C678" t="str">
        <f>"5.7245"</f>
        <v>5.7245</v>
      </c>
    </row>
    <row r="679" spans="1:3" x14ac:dyDescent="0.25">
      <c r="A679" t="str">
        <f>"13/03/2012"</f>
        <v>13/03/2012</v>
      </c>
      <c r="B679" t="str">
        <f>"5.6602"</f>
        <v>5.6602</v>
      </c>
      <c r="C679" t="str">
        <f>"5.6683"</f>
        <v>5.6683</v>
      </c>
    </row>
    <row r="680" spans="1:3" x14ac:dyDescent="0.25">
      <c r="A680" t="str">
        <f>"14/03/2012"</f>
        <v>14/03/2012</v>
      </c>
      <c r="B680" t="str">
        <f>"5.724"</f>
        <v>5.724</v>
      </c>
      <c r="C680" t="str">
        <f>"5.7319"</f>
        <v>5.7319</v>
      </c>
    </row>
    <row r="681" spans="1:3" x14ac:dyDescent="0.25">
      <c r="A681" t="str">
        <f>"15/03/2012"</f>
        <v>15/03/2012</v>
      </c>
      <c r="B681" t="str">
        <f>"5.8058"</f>
        <v>5.8058</v>
      </c>
      <c r="C681" t="str">
        <f>"5.8126"</f>
        <v>5.8126</v>
      </c>
    </row>
    <row r="682" spans="1:3" x14ac:dyDescent="0.25">
      <c r="A682" t="str">
        <f>"16/03/2012"</f>
        <v>16/03/2012</v>
      </c>
      <c r="B682" t="str">
        <f>"5.778"</f>
        <v>5.778</v>
      </c>
      <c r="C682" t="str">
        <f>"5.7847"</f>
        <v>5.7847</v>
      </c>
    </row>
    <row r="683" spans="1:3" x14ac:dyDescent="0.25">
      <c r="A683" t="str">
        <f>"19/03/2012"</f>
        <v>19/03/2012</v>
      </c>
      <c r="B683" t="str">
        <f>"5.7283"</f>
        <v>5.7283</v>
      </c>
      <c r="C683" t="str">
        <f>"5.7348"</f>
        <v>5.7348</v>
      </c>
    </row>
    <row r="684" spans="1:3" x14ac:dyDescent="0.25">
      <c r="A684" t="str">
        <f>"20/03/2012"</f>
        <v>20/03/2012</v>
      </c>
      <c r="B684" t="str">
        <f>"5.7232"</f>
        <v>5.7232</v>
      </c>
      <c r="C684" t="str">
        <f>"5.73"</f>
        <v>5.73</v>
      </c>
    </row>
    <row r="685" spans="1:3" x14ac:dyDescent="0.25">
      <c r="A685" t="str">
        <f>"21/03/2012"</f>
        <v>21/03/2012</v>
      </c>
      <c r="B685" t="str">
        <f>"5.7349"</f>
        <v>5.7349</v>
      </c>
      <c r="C685" t="str">
        <f>"5.7414"</f>
        <v>5.7414</v>
      </c>
    </row>
    <row r="686" spans="1:3" x14ac:dyDescent="0.25">
      <c r="A686" t="str">
        <f>"22/03/2012"</f>
        <v>22/03/2012</v>
      </c>
      <c r="B686" t="str">
        <f>"5.796"</f>
        <v>5.796</v>
      </c>
      <c r="C686" t="str">
        <f>"5.8025"</f>
        <v>5.8025</v>
      </c>
    </row>
    <row r="687" spans="1:3" x14ac:dyDescent="0.25">
      <c r="A687" t="str">
        <f>"26/03/2012"</f>
        <v>26/03/2012</v>
      </c>
      <c r="B687" t="str">
        <f>"5.75"</f>
        <v>5.75</v>
      </c>
      <c r="C687" t="str">
        <f>"5.7569"</f>
        <v>5.7569</v>
      </c>
    </row>
    <row r="688" spans="1:3" x14ac:dyDescent="0.25">
      <c r="A688" t="str">
        <f>"27/03/2012"</f>
        <v>27/03/2012</v>
      </c>
      <c r="B688" t="str">
        <f>"5.6826"</f>
        <v>5.6826</v>
      </c>
      <c r="C688" t="str">
        <f>"5.6893"</f>
        <v>5.6893</v>
      </c>
    </row>
    <row r="689" spans="1:3" x14ac:dyDescent="0.25">
      <c r="A689" t="str">
        <f>"28/03/2012"</f>
        <v>28/03/2012</v>
      </c>
      <c r="B689" t="str">
        <f>"5.6838"</f>
        <v>5.6838</v>
      </c>
      <c r="C689" t="str">
        <f>"5.6903"</f>
        <v>5.6903</v>
      </c>
    </row>
    <row r="690" spans="1:3" x14ac:dyDescent="0.25">
      <c r="A690" t="str">
        <f>"29/03/2012"</f>
        <v>29/03/2012</v>
      </c>
      <c r="B690" t="str">
        <f>"5.7469"</f>
        <v>5.7469</v>
      </c>
      <c r="C690" t="str">
        <f>"5.7533"</f>
        <v>5.7533</v>
      </c>
    </row>
    <row r="691" spans="1:3" x14ac:dyDescent="0.25">
      <c r="A691" t="str">
        <f>"30/03/2012"</f>
        <v>30/03/2012</v>
      </c>
      <c r="B691" t="str">
        <f>"5.6975"</f>
        <v>5.6975</v>
      </c>
      <c r="C691" t="str">
        <f>"5.7041"</f>
        <v>5.7041</v>
      </c>
    </row>
    <row r="692" spans="1:3" x14ac:dyDescent="0.25">
      <c r="A692" t="str">
        <f>"03/04/2012"</f>
        <v>03/04/2012</v>
      </c>
      <c r="B692" t="str">
        <f>"5.6679"</f>
        <v>5.6679</v>
      </c>
      <c r="C692" t="str">
        <f>"5.6745"</f>
        <v>5.6745</v>
      </c>
    </row>
    <row r="693" spans="1:3" x14ac:dyDescent="0.25">
      <c r="A693" t="str">
        <f>"04/04/2012"</f>
        <v>04/04/2012</v>
      </c>
      <c r="B693" t="str">
        <f>"5.7477"</f>
        <v>5.7477</v>
      </c>
      <c r="C693" t="str">
        <f>"5.7545"</f>
        <v>5.7545</v>
      </c>
    </row>
    <row r="694" spans="1:3" x14ac:dyDescent="0.25">
      <c r="A694" t="str">
        <f>"10/04/2012"</f>
        <v>10/04/2012</v>
      </c>
      <c r="B694" t="str">
        <f>"5.7648"</f>
        <v>5.7648</v>
      </c>
      <c r="C694" t="str">
        <f>"5.7719"</f>
        <v>5.7719</v>
      </c>
    </row>
    <row r="695" spans="1:3" x14ac:dyDescent="0.25">
      <c r="A695" t="str">
        <f>"11/04/2012"</f>
        <v>11/04/2012</v>
      </c>
      <c r="B695" t="str">
        <f>"5.7772"</f>
        <v>5.7772</v>
      </c>
      <c r="C695" t="str">
        <f>"5.784"</f>
        <v>5.784</v>
      </c>
    </row>
    <row r="696" spans="1:3" x14ac:dyDescent="0.25">
      <c r="A696" t="str">
        <f>"12/04/2012"</f>
        <v>12/04/2012</v>
      </c>
      <c r="B696" t="str">
        <f>"5.8089"</f>
        <v>5.8089</v>
      </c>
      <c r="C696" t="str">
        <f>"5.8155"</f>
        <v>5.8155</v>
      </c>
    </row>
    <row r="697" spans="1:3" x14ac:dyDescent="0.25">
      <c r="A697" t="str">
        <f>"13/04/2012"</f>
        <v>13/04/2012</v>
      </c>
      <c r="B697" t="str">
        <f>"5.7809"</f>
        <v>5.7809</v>
      </c>
      <c r="C697" t="str">
        <f>"5.788"</f>
        <v>5.788</v>
      </c>
    </row>
    <row r="698" spans="1:3" x14ac:dyDescent="0.25">
      <c r="A698" t="str">
        <f>"16/04/2012"</f>
        <v>16/04/2012</v>
      </c>
      <c r="B698" t="str">
        <f>"5.8083"</f>
        <v>5.8083</v>
      </c>
      <c r="C698" t="str">
        <f>"5.8151"</f>
        <v>5.8151</v>
      </c>
    </row>
    <row r="699" spans="1:3" x14ac:dyDescent="0.25">
      <c r="A699" t="str">
        <f>"17/04/2012"</f>
        <v>17/04/2012</v>
      </c>
      <c r="B699" t="str">
        <f>"5.757"</f>
        <v>5.757</v>
      </c>
      <c r="C699" t="str">
        <f>"5.7642"</f>
        <v>5.7642</v>
      </c>
    </row>
    <row r="700" spans="1:3" x14ac:dyDescent="0.25">
      <c r="A700" t="str">
        <f>"18/04/2012"</f>
        <v>18/04/2012</v>
      </c>
      <c r="B700" t="str">
        <f>"5.7604"</f>
        <v>5.7604</v>
      </c>
      <c r="C700" t="str">
        <f>"5.7675"</f>
        <v>5.7675</v>
      </c>
    </row>
    <row r="701" spans="1:3" x14ac:dyDescent="0.25">
      <c r="A701" t="str">
        <f>"19/04/2012"</f>
        <v>19/04/2012</v>
      </c>
      <c r="B701" t="str">
        <f>"5.7481"</f>
        <v>5.7481</v>
      </c>
      <c r="C701" t="str">
        <f>"5.7549"</f>
        <v>5.7549</v>
      </c>
    </row>
    <row r="702" spans="1:3" x14ac:dyDescent="0.25">
      <c r="A702" t="str">
        <f>"20/04/2012"</f>
        <v>20/04/2012</v>
      </c>
      <c r="B702" t="str">
        <f>"5.7452"</f>
        <v>5.7452</v>
      </c>
      <c r="C702" t="str">
        <f>"5.7519"</f>
        <v>5.7519</v>
      </c>
    </row>
    <row r="703" spans="1:3" x14ac:dyDescent="0.25">
      <c r="A703" t="str">
        <f>"23/04/2012"</f>
        <v>23/04/2012</v>
      </c>
      <c r="B703" t="str">
        <f>"5.7338"</f>
        <v>5.7338</v>
      </c>
      <c r="C703" t="str">
        <f>"5.7405"</f>
        <v>5.7405</v>
      </c>
    </row>
    <row r="704" spans="1:3" x14ac:dyDescent="0.25">
      <c r="A704" t="str">
        <f>"24/04/2012"</f>
        <v>24/04/2012</v>
      </c>
      <c r="B704" t="str">
        <f>"5.7346"</f>
        <v>5.7346</v>
      </c>
      <c r="C704" t="str">
        <f>"5.7418"</f>
        <v>5.7418</v>
      </c>
    </row>
    <row r="705" spans="1:3" x14ac:dyDescent="0.25">
      <c r="A705" t="str">
        <f>"25/04/2012"</f>
        <v>25/04/2012</v>
      </c>
      <c r="B705" t="str">
        <f>"5.7262"</f>
        <v>5.7262</v>
      </c>
      <c r="C705" t="str">
        <f>"5.7334"</f>
        <v>5.7334</v>
      </c>
    </row>
    <row r="706" spans="1:3" x14ac:dyDescent="0.25">
      <c r="A706" t="str">
        <f>"26/04/2012"</f>
        <v>26/04/2012</v>
      </c>
      <c r="B706" t="str">
        <f>"5.7196"</f>
        <v>5.7196</v>
      </c>
      <c r="C706" t="str">
        <f>"5.7267"</f>
        <v>5.7267</v>
      </c>
    </row>
    <row r="707" spans="1:3" x14ac:dyDescent="0.25">
      <c r="A707" t="str">
        <f>"27/04/2012"</f>
        <v>27/04/2012</v>
      </c>
      <c r="B707" t="str">
        <f>"5.7459"</f>
        <v>5.7459</v>
      </c>
      <c r="C707" t="str">
        <f>"5.7534"</f>
        <v>5.7534</v>
      </c>
    </row>
    <row r="708" spans="1:3" x14ac:dyDescent="0.25">
      <c r="A708" t="str">
        <f>"30/04/2012"</f>
        <v>30/04/2012</v>
      </c>
      <c r="B708" t="str">
        <f>"5.727"</f>
        <v>5.727</v>
      </c>
      <c r="C708" t="str">
        <f>"5.734"</f>
        <v>5.734</v>
      </c>
    </row>
    <row r="709" spans="1:3" x14ac:dyDescent="0.25">
      <c r="A709" t="str">
        <f>"02/05/2012"</f>
        <v>02/05/2012</v>
      </c>
      <c r="B709" t="str">
        <f>"5.7574"</f>
        <v>5.7574</v>
      </c>
      <c r="C709" t="str">
        <f>"5.7642"</f>
        <v>5.7642</v>
      </c>
    </row>
    <row r="710" spans="1:3" x14ac:dyDescent="0.25">
      <c r="A710" t="str">
        <f>"03/05/2012"</f>
        <v>03/05/2012</v>
      </c>
      <c r="B710" t="str">
        <f>"5.7483"</f>
        <v>5.7483</v>
      </c>
      <c r="C710" t="str">
        <f>"5.755"</f>
        <v>5.755</v>
      </c>
    </row>
    <row r="711" spans="1:3" x14ac:dyDescent="0.25">
      <c r="A711" t="str">
        <f>"04/05/2012"</f>
        <v>04/05/2012</v>
      </c>
      <c r="B711" t="str">
        <f>"5.7478"</f>
        <v>5.7478</v>
      </c>
      <c r="C711" t="str">
        <f>"5.7547"</f>
        <v>5.7547</v>
      </c>
    </row>
    <row r="712" spans="1:3" x14ac:dyDescent="0.25">
      <c r="A712" t="str">
        <f>"07/05/2012"</f>
        <v>07/05/2012</v>
      </c>
      <c r="B712" t="str">
        <f>"5.8052"</f>
        <v>5.8052</v>
      </c>
      <c r="C712" t="str">
        <f>"5.8125"</f>
        <v>5.8125</v>
      </c>
    </row>
    <row r="713" spans="1:3" x14ac:dyDescent="0.25">
      <c r="A713" t="str">
        <f>"08/05/2012"</f>
        <v>08/05/2012</v>
      </c>
      <c r="B713" t="str">
        <f>"5.8046"</f>
        <v>5.8046</v>
      </c>
      <c r="C713" t="str">
        <f>"5.8117"</f>
        <v>5.8117</v>
      </c>
    </row>
    <row r="714" spans="1:3" x14ac:dyDescent="0.25">
      <c r="A714" t="str">
        <f>"09/05/2012"</f>
        <v>09/05/2012</v>
      </c>
      <c r="B714" t="str">
        <f>"5.8426"</f>
        <v>5.8426</v>
      </c>
      <c r="C714" t="str">
        <f>"5.8497"</f>
        <v>5.8497</v>
      </c>
    </row>
    <row r="715" spans="1:3" x14ac:dyDescent="0.25">
      <c r="A715" t="str">
        <f>"10/05/2012"</f>
        <v>10/05/2012</v>
      </c>
      <c r="B715" t="str">
        <f>"5.8319"</f>
        <v>5.8319</v>
      </c>
      <c r="C715" t="str">
        <f>"5.8387"</f>
        <v>5.8387</v>
      </c>
    </row>
    <row r="716" spans="1:3" x14ac:dyDescent="0.25">
      <c r="A716" t="str">
        <f>"11/05/2012"</f>
        <v>11/05/2012</v>
      </c>
      <c r="B716" t="str">
        <f>"5.8678"</f>
        <v>5.8678</v>
      </c>
      <c r="C716" t="str">
        <f>"5.8746"</f>
        <v>5.8746</v>
      </c>
    </row>
    <row r="717" spans="1:3" x14ac:dyDescent="0.25">
      <c r="A717" t="str">
        <f>"14/05/2012"</f>
        <v>14/05/2012</v>
      </c>
      <c r="B717" t="str">
        <f>"5.9067"</f>
        <v>5.9067</v>
      </c>
      <c r="C717" t="str">
        <f>"5.9141"</f>
        <v>5.9141</v>
      </c>
    </row>
    <row r="718" spans="1:3" x14ac:dyDescent="0.25">
      <c r="A718" t="str">
        <f>"15/05/2012"</f>
        <v>15/05/2012</v>
      </c>
      <c r="B718" t="str">
        <f>"5.9274"</f>
        <v>5.9274</v>
      </c>
      <c r="C718" t="str">
        <f>"5.9342"</f>
        <v>5.9342</v>
      </c>
    </row>
    <row r="719" spans="1:3" x14ac:dyDescent="0.25">
      <c r="A719" t="str">
        <f>"16/05/2012"</f>
        <v>16/05/2012</v>
      </c>
      <c r="B719" t="str">
        <f>"6.0125"</f>
        <v>6.0125</v>
      </c>
      <c r="C719" t="str">
        <f>"6.0195"</f>
        <v>6.0195</v>
      </c>
    </row>
    <row r="720" spans="1:3" x14ac:dyDescent="0.25">
      <c r="A720" t="str">
        <f>"17/05/2012"</f>
        <v>17/05/2012</v>
      </c>
      <c r="B720" t="str">
        <f>"5.9433"</f>
        <v>5.9433</v>
      </c>
      <c r="C720" t="str">
        <f>"5.9507"</f>
        <v>5.9507</v>
      </c>
    </row>
    <row r="721" spans="1:3" x14ac:dyDescent="0.25">
      <c r="A721" t="str">
        <f>"18/05/2012"</f>
        <v>18/05/2012</v>
      </c>
      <c r="B721" t="str">
        <f>"5.9971"</f>
        <v>5.9971</v>
      </c>
      <c r="C721" t="str">
        <f>"6.0045"</f>
        <v>6.0045</v>
      </c>
    </row>
    <row r="722" spans="1:3" x14ac:dyDescent="0.25">
      <c r="A722" t="str">
        <f>"21/05/2012"</f>
        <v>21/05/2012</v>
      </c>
      <c r="B722" t="str">
        <f>"5.9645"</f>
        <v>5.9645</v>
      </c>
      <c r="C722" t="str">
        <f>"5.9723"</f>
        <v>5.9723</v>
      </c>
    </row>
    <row r="723" spans="1:3" x14ac:dyDescent="0.25">
      <c r="A723" t="str">
        <f>"22/05/2012"</f>
        <v>22/05/2012</v>
      </c>
      <c r="B723" t="str">
        <f>"5.9405"</f>
        <v>5.9405</v>
      </c>
      <c r="C723" t="str">
        <f>"5.9482"</f>
        <v>5.9482</v>
      </c>
    </row>
    <row r="724" spans="1:3" x14ac:dyDescent="0.25">
      <c r="A724" t="str">
        <f>"23/05/2012"</f>
        <v>23/05/2012</v>
      </c>
      <c r="B724" t="str">
        <f>"5.9915"</f>
        <v>5.9915</v>
      </c>
      <c r="C724" t="str">
        <f>"5.9991"</f>
        <v>5.9991</v>
      </c>
    </row>
    <row r="725" spans="1:3" x14ac:dyDescent="0.25">
      <c r="A725" t="str">
        <f>"24/05/2012"</f>
        <v>24/05/2012</v>
      </c>
      <c r="B725" t="str">
        <f>"5.9925"</f>
        <v>5.9925</v>
      </c>
      <c r="C725" t="str">
        <f>"5.9998"</f>
        <v>5.9998</v>
      </c>
    </row>
    <row r="726" spans="1:3" x14ac:dyDescent="0.25">
      <c r="A726" t="str">
        <f>"25/05/2012"</f>
        <v>25/05/2012</v>
      </c>
      <c r="B726" t="str">
        <f>"6.0434"</f>
        <v>6.0434</v>
      </c>
      <c r="C726" t="str">
        <f>"6.0506"</f>
        <v>6.0506</v>
      </c>
    </row>
    <row r="727" spans="1:3" x14ac:dyDescent="0.25">
      <c r="A727" t="str">
        <f>"28/05/2012"</f>
        <v>28/05/2012</v>
      </c>
      <c r="B727" t="str">
        <f>"5.9837"</f>
        <v>5.9837</v>
      </c>
      <c r="C727" t="str">
        <f>"5.9908"</f>
        <v>5.9908</v>
      </c>
    </row>
    <row r="728" spans="1:3" x14ac:dyDescent="0.25">
      <c r="A728" t="str">
        <f>"29/05/2012"</f>
        <v>29/05/2012</v>
      </c>
      <c r="B728" t="str">
        <f>"6.0122"</f>
        <v>6.0122</v>
      </c>
      <c r="C728" t="str">
        <f>"6.019"</f>
        <v>6.019</v>
      </c>
    </row>
    <row r="729" spans="1:3" x14ac:dyDescent="0.25">
      <c r="A729" t="str">
        <f>"30/05/2012"</f>
        <v>30/05/2012</v>
      </c>
      <c r="B729" t="str">
        <f>"6.0339"</f>
        <v>6.0339</v>
      </c>
      <c r="C729" t="str">
        <f>"6.0414"</f>
        <v>6.0414</v>
      </c>
    </row>
    <row r="730" spans="1:3" x14ac:dyDescent="0.25">
      <c r="A730" t="str">
        <f>"31/05/2012"</f>
        <v>31/05/2012</v>
      </c>
      <c r="B730" t="str">
        <f>"6.0836"</f>
        <v>6.0836</v>
      </c>
      <c r="C730" t="str">
        <f>"6.0909"</f>
        <v>6.0909</v>
      </c>
    </row>
    <row r="731" spans="1:3" x14ac:dyDescent="0.25">
      <c r="A731" t="str">
        <f>"01/06/2012"</f>
        <v>01/06/2012</v>
      </c>
      <c r="B731" t="str">
        <f>"6.145"</f>
        <v>6.145</v>
      </c>
      <c r="C731" t="str">
        <f>"6.1522"</f>
        <v>6.1522</v>
      </c>
    </row>
    <row r="732" spans="1:3" x14ac:dyDescent="0.25">
      <c r="A732" t="str">
        <f>"04/06/2012"</f>
        <v>04/06/2012</v>
      </c>
      <c r="B732" t="str">
        <f>"6.12"</f>
        <v>6.12</v>
      </c>
      <c r="C732" t="str">
        <f>"6.1272"</f>
        <v>6.1272</v>
      </c>
    </row>
    <row r="733" spans="1:3" x14ac:dyDescent="0.25">
      <c r="A733" t="str">
        <f>"05/06/2012"</f>
        <v>05/06/2012</v>
      </c>
      <c r="B733" t="str">
        <f>"6.1039"</f>
        <v>6.1039</v>
      </c>
      <c r="C733" t="str">
        <f>"6.1115"</f>
        <v>6.1115</v>
      </c>
    </row>
    <row r="734" spans="1:3" x14ac:dyDescent="0.25">
      <c r="A734" t="str">
        <f>"06/06/2012"</f>
        <v>06/06/2012</v>
      </c>
      <c r="B734" t="str">
        <f>"6.0866"</f>
        <v>6.0866</v>
      </c>
      <c r="C734" t="str">
        <f>"6.0939"</f>
        <v>6.0939</v>
      </c>
    </row>
    <row r="735" spans="1:3" x14ac:dyDescent="0.25">
      <c r="A735" t="str">
        <f>"07/06/2012"</f>
        <v>07/06/2012</v>
      </c>
      <c r="B735" t="str">
        <f>"6.0596"</f>
        <v>6.0596</v>
      </c>
      <c r="C735" t="str">
        <f>"6.0666"</f>
        <v>6.0666</v>
      </c>
    </row>
    <row r="736" spans="1:3" x14ac:dyDescent="0.25">
      <c r="A736" t="str">
        <f>"08/06/2012"</f>
        <v>08/06/2012</v>
      </c>
      <c r="B736" t="str">
        <f>"6.0596"</f>
        <v>6.0596</v>
      </c>
      <c r="C736" t="str">
        <f>"6.0668"</f>
        <v>6.0668</v>
      </c>
    </row>
    <row r="737" spans="1:3" x14ac:dyDescent="0.25">
      <c r="A737" t="str">
        <f>"11/06/2012"</f>
        <v>11/06/2012</v>
      </c>
      <c r="B737" t="str">
        <f>"5.9982"</f>
        <v>5.9982</v>
      </c>
      <c r="C737" t="str">
        <f>"6.0053"</f>
        <v>6.0053</v>
      </c>
    </row>
    <row r="738" spans="1:3" x14ac:dyDescent="0.25">
      <c r="A738" t="str">
        <f>"12/06/2012"</f>
        <v>12/06/2012</v>
      </c>
      <c r="B738" t="str">
        <f>"6.0341"</f>
        <v>6.0341</v>
      </c>
      <c r="C738" t="str">
        <f>"6.0416"</f>
        <v>6.0416</v>
      </c>
    </row>
    <row r="739" spans="1:3" x14ac:dyDescent="0.25">
      <c r="A739" t="str">
        <f>"13/06/2012"</f>
        <v>13/06/2012</v>
      </c>
      <c r="B739" t="str">
        <f>"6.0132"</f>
        <v>6.0132</v>
      </c>
      <c r="C739" t="str">
        <f>"6.0206"</f>
        <v>6.0206</v>
      </c>
    </row>
    <row r="740" spans="1:3" x14ac:dyDescent="0.25">
      <c r="A740" t="str">
        <f>"14/06/2012"</f>
        <v>14/06/2012</v>
      </c>
      <c r="B740" t="str">
        <f>"5.9727"</f>
        <v>5.9727</v>
      </c>
      <c r="C740" t="str">
        <f>"5.9798"</f>
        <v>5.9798</v>
      </c>
    </row>
    <row r="741" spans="1:3" x14ac:dyDescent="0.25">
      <c r="A741" t="str">
        <f>"15/06/2012"</f>
        <v>15/06/2012</v>
      </c>
      <c r="B741" t="str">
        <f>"5.9521"</f>
        <v>5.9521</v>
      </c>
      <c r="C741" t="str">
        <f>"5.959"</f>
        <v>5.959</v>
      </c>
    </row>
    <row r="742" spans="1:3" x14ac:dyDescent="0.25">
      <c r="A742" t="str">
        <f>"18/06/2012"</f>
        <v>18/06/2012</v>
      </c>
      <c r="B742" t="str">
        <f>"5.9348"</f>
        <v>5.9348</v>
      </c>
      <c r="C742" t="str">
        <f>"5.9417"</f>
        <v>5.9417</v>
      </c>
    </row>
    <row r="743" spans="1:3" x14ac:dyDescent="0.25">
      <c r="A743" t="str">
        <f>"19/06/2012"</f>
        <v>19/06/2012</v>
      </c>
      <c r="B743" t="str">
        <f>"5.9822"</f>
        <v>5.9822</v>
      </c>
      <c r="C743" t="str">
        <f>"5.99"</f>
        <v>5.99</v>
      </c>
    </row>
    <row r="744" spans="1:3" x14ac:dyDescent="0.25">
      <c r="A744" t="str">
        <f>"20/06/2012"</f>
        <v>20/06/2012</v>
      </c>
      <c r="B744" t="str">
        <f>"5.9306"</f>
        <v>5.9306</v>
      </c>
      <c r="C744" t="str">
        <f>"5.9379"</f>
        <v>5.9379</v>
      </c>
    </row>
    <row r="745" spans="1:3" x14ac:dyDescent="0.25">
      <c r="A745" t="str">
        <f>"21/06/2012"</f>
        <v>21/06/2012</v>
      </c>
      <c r="B745" t="str">
        <f>"5.9211"</f>
        <v>5.9211</v>
      </c>
      <c r="C745" t="str">
        <f>"5.9279"</f>
        <v>5.9279</v>
      </c>
    </row>
    <row r="746" spans="1:3" x14ac:dyDescent="0.25">
      <c r="A746" t="str">
        <f>"22/06/2012"</f>
        <v>22/06/2012</v>
      </c>
      <c r="B746" t="str">
        <f>"5.9665"</f>
        <v>5.9665</v>
      </c>
      <c r="C746" t="str">
        <f>"5.9732"</f>
        <v>5.9732</v>
      </c>
    </row>
    <row r="747" spans="1:3" x14ac:dyDescent="0.25">
      <c r="A747" t="str">
        <f>"25/06/2012"</f>
        <v>25/06/2012</v>
      </c>
      <c r="B747" t="str">
        <f>"6.0008"</f>
        <v>6.0008</v>
      </c>
      <c r="C747" t="str">
        <f>"6.0074"</f>
        <v>6.0074</v>
      </c>
    </row>
    <row r="748" spans="1:3" x14ac:dyDescent="0.25">
      <c r="A748" t="str">
        <f>"26/06/2012"</f>
        <v>26/06/2012</v>
      </c>
      <c r="B748" t="str">
        <f>"6.005"</f>
        <v>6.005</v>
      </c>
      <c r="C748" t="str">
        <f>"6.0122"</f>
        <v>6.0122</v>
      </c>
    </row>
    <row r="749" spans="1:3" x14ac:dyDescent="0.25">
      <c r="A749" t="str">
        <f>"27/06/2012"</f>
        <v>27/06/2012</v>
      </c>
      <c r="B749" t="str">
        <f>"6.0173"</f>
        <v>6.0173</v>
      </c>
      <c r="C749" t="str">
        <f>"6.0243"</f>
        <v>6.0243</v>
      </c>
    </row>
    <row r="750" spans="1:3" x14ac:dyDescent="0.25">
      <c r="A750" t="str">
        <f>"28/06/2012"</f>
        <v>28/06/2012</v>
      </c>
      <c r="B750" t="str">
        <f>"6.0186"</f>
        <v>6.0186</v>
      </c>
      <c r="C750" t="str">
        <f>"6.0255"</f>
        <v>6.0255</v>
      </c>
    </row>
    <row r="751" spans="1:3" x14ac:dyDescent="0.25">
      <c r="A751" t="str">
        <f>"29/06/2012"</f>
        <v>29/06/2012</v>
      </c>
      <c r="B751" t="str">
        <f>"5.99"</f>
        <v>5.99</v>
      </c>
      <c r="C751" t="str">
        <f>"5.9967"</f>
        <v>5.9967</v>
      </c>
    </row>
    <row r="752" spans="1:3" x14ac:dyDescent="0.25">
      <c r="A752" t="str">
        <f>"02/07/2012"</f>
        <v>02/07/2012</v>
      </c>
      <c r="B752" t="str">
        <f>"5.973"</f>
        <v>5.973</v>
      </c>
      <c r="C752" t="str">
        <f>"5.9798"</f>
        <v>5.9798</v>
      </c>
    </row>
    <row r="753" spans="1:3" x14ac:dyDescent="0.25">
      <c r="A753" t="str">
        <f>"03/07/2012"</f>
        <v>03/07/2012</v>
      </c>
      <c r="B753" t="str">
        <f>"5.9758"</f>
        <v>5.9758</v>
      </c>
      <c r="C753" t="str">
        <f>"5.9825"</f>
        <v>5.9825</v>
      </c>
    </row>
    <row r="754" spans="1:3" x14ac:dyDescent="0.25">
      <c r="A754" t="str">
        <f>"04/07/2012"</f>
        <v>04/07/2012</v>
      </c>
      <c r="B754" t="str">
        <f>"5.9741"</f>
        <v>5.9741</v>
      </c>
      <c r="C754" t="str">
        <f>"5.9804"</f>
        <v>5.9804</v>
      </c>
    </row>
    <row r="755" spans="1:3" x14ac:dyDescent="0.25">
      <c r="A755" t="str">
        <f>"05/07/2012"</f>
        <v>05/07/2012</v>
      </c>
      <c r="B755" t="str">
        <f>"6.0034"</f>
        <v>6.0034</v>
      </c>
      <c r="C755" t="str">
        <f>"6.0096"</f>
        <v>6.0096</v>
      </c>
    </row>
    <row r="756" spans="1:3" x14ac:dyDescent="0.25">
      <c r="A756" t="str">
        <f>"06/07/2012"</f>
        <v>06/07/2012</v>
      </c>
      <c r="B756" t="str">
        <f>"6.0563"</f>
        <v>6.0563</v>
      </c>
      <c r="C756" t="str">
        <f>"6.0628"</f>
        <v>6.0628</v>
      </c>
    </row>
    <row r="757" spans="1:3" x14ac:dyDescent="0.25">
      <c r="A757" t="str">
        <f>"09/07/2012"</f>
        <v>09/07/2012</v>
      </c>
      <c r="B757" t="str">
        <f>"6.1234"</f>
        <v>6.1234</v>
      </c>
      <c r="C757" t="str">
        <f>"6.1304"</f>
        <v>6.1304</v>
      </c>
    </row>
    <row r="758" spans="1:3" x14ac:dyDescent="0.25">
      <c r="A758" t="str">
        <f>"10/07/2012"</f>
        <v>10/07/2012</v>
      </c>
      <c r="B758" t="str">
        <f>"6.0908"</f>
        <v>6.0908</v>
      </c>
      <c r="C758" t="str">
        <f>"6.0978"</f>
        <v>6.0978</v>
      </c>
    </row>
    <row r="759" spans="1:3" x14ac:dyDescent="0.25">
      <c r="A759" t="str">
        <f>"11/07/2012"</f>
        <v>11/07/2012</v>
      </c>
      <c r="B759" t="str">
        <f>"6.0916"</f>
        <v>6.0916</v>
      </c>
      <c r="C759" t="str">
        <f>"6.0982"</f>
        <v>6.0982</v>
      </c>
    </row>
    <row r="760" spans="1:3" x14ac:dyDescent="0.25">
      <c r="A760" t="str">
        <f>"12/07/2012"</f>
        <v>12/07/2012</v>
      </c>
      <c r="B760" t="str">
        <f>"6.1099"</f>
        <v>6.1099</v>
      </c>
      <c r="C760" t="str">
        <f>"6.1166"</f>
        <v>6.1166</v>
      </c>
    </row>
    <row r="761" spans="1:3" x14ac:dyDescent="0.25">
      <c r="A761" t="str">
        <f>"13/07/2012"</f>
        <v>13/07/2012</v>
      </c>
      <c r="B761" t="str">
        <f>"6.0963"</f>
        <v>6.0963</v>
      </c>
      <c r="C761" t="str">
        <f>"6.1033"</f>
        <v>6.1033</v>
      </c>
    </row>
    <row r="762" spans="1:3" x14ac:dyDescent="0.25">
      <c r="A762" t="str">
        <f>"16/07/2012"</f>
        <v>16/07/2012</v>
      </c>
      <c r="B762" t="str">
        <f>"6.1139"</f>
        <v>6.1139</v>
      </c>
      <c r="C762" t="str">
        <f>"6.1214"</f>
        <v>6.1214</v>
      </c>
    </row>
    <row r="763" spans="1:3" x14ac:dyDescent="0.25">
      <c r="A763" t="str">
        <f>"17/07/2012"</f>
        <v>17/07/2012</v>
      </c>
      <c r="B763" t="str">
        <f>"6.0875"</f>
        <v>6.0875</v>
      </c>
      <c r="C763" t="str">
        <f>"6.0948"</f>
        <v>6.0948</v>
      </c>
    </row>
    <row r="764" spans="1:3" x14ac:dyDescent="0.25">
      <c r="A764" t="str">
        <f>"18/07/2012"</f>
        <v>18/07/2012</v>
      </c>
      <c r="B764" t="str">
        <f>"6.0844"</f>
        <v>6.0844</v>
      </c>
      <c r="C764" t="str">
        <f>"6.0915"</f>
        <v>6.0915</v>
      </c>
    </row>
    <row r="765" spans="1:3" x14ac:dyDescent="0.25">
      <c r="A765" t="str">
        <f>"19/07/2012"</f>
        <v>19/07/2012</v>
      </c>
      <c r="B765" t="str">
        <f>"6.0836"</f>
        <v>6.0836</v>
      </c>
      <c r="C765" t="str">
        <f>"6.0906"</f>
        <v>6.0906</v>
      </c>
    </row>
    <row r="766" spans="1:3" x14ac:dyDescent="0.25">
      <c r="A766" t="str">
        <f>"20/07/2012"</f>
        <v>20/07/2012</v>
      </c>
      <c r="B766" t="str">
        <f>"6.0698"</f>
        <v>6.0698</v>
      </c>
      <c r="C766" t="str">
        <f>"6.0768"</f>
        <v>6.0768</v>
      </c>
    </row>
    <row r="767" spans="1:3" x14ac:dyDescent="0.25">
      <c r="A767" t="str">
        <f>"23/07/2012"</f>
        <v>23/07/2012</v>
      </c>
      <c r="B767" t="str">
        <f>"6.0776"</f>
        <v>6.0776</v>
      </c>
      <c r="C767" t="str">
        <f>"6.085"</f>
        <v>6.085</v>
      </c>
    </row>
    <row r="768" spans="1:3" x14ac:dyDescent="0.25">
      <c r="A768" t="str">
        <f>"24/07/2012"</f>
        <v>24/07/2012</v>
      </c>
      <c r="B768" t="str">
        <f>"6.0902"</f>
        <v>6.0902</v>
      </c>
      <c r="C768" t="str">
        <f>"6.0975"</f>
        <v>6.0975</v>
      </c>
    </row>
    <row r="769" spans="1:3" x14ac:dyDescent="0.25">
      <c r="A769" t="str">
        <f>"25/07/2012"</f>
        <v>25/07/2012</v>
      </c>
      <c r="B769" t="str">
        <f>"6.0846"</f>
        <v>6.0846</v>
      </c>
      <c r="C769" t="str">
        <f>"6.0916"</f>
        <v>6.0916</v>
      </c>
    </row>
    <row r="770" spans="1:3" x14ac:dyDescent="0.25">
      <c r="A770" t="str">
        <f>"26/07/2012"</f>
        <v>26/07/2012</v>
      </c>
      <c r="B770" t="str">
        <f>"6.0674"</f>
        <v>6.0674</v>
      </c>
      <c r="C770" t="str">
        <f>"6.0745"</f>
        <v>6.0745</v>
      </c>
    </row>
    <row r="771" spans="1:3" x14ac:dyDescent="0.25">
      <c r="A771" t="str">
        <f>"27/07/2012"</f>
        <v>27/07/2012</v>
      </c>
      <c r="B771" t="str">
        <f>"6.0211"</f>
        <v>6.0211</v>
      </c>
      <c r="C771" t="str">
        <f>"6.0282"</f>
        <v>6.0282</v>
      </c>
    </row>
    <row r="772" spans="1:3" x14ac:dyDescent="0.25">
      <c r="A772" t="str">
        <f>"30/07/2012"</f>
        <v>30/07/2012</v>
      </c>
      <c r="B772" t="str">
        <f>"6.0683"</f>
        <v>6.0683</v>
      </c>
      <c r="C772" t="str">
        <f>"6.0759"</f>
        <v>6.0759</v>
      </c>
    </row>
    <row r="773" spans="1:3" x14ac:dyDescent="0.25">
      <c r="A773" t="str">
        <f>"31/07/2012"</f>
        <v>31/07/2012</v>
      </c>
      <c r="B773" t="str">
        <f>"6.0405"</f>
        <v>6.0405</v>
      </c>
      <c r="C773" t="str">
        <f>"6.0479"</f>
        <v>6.0479</v>
      </c>
    </row>
    <row r="774" spans="1:3" x14ac:dyDescent="0.25">
      <c r="A774" t="str">
        <f>"01/08/2012"</f>
        <v>01/08/2012</v>
      </c>
      <c r="B774" t="str">
        <f>"6.0316"</f>
        <v>6.0316</v>
      </c>
      <c r="C774" t="str">
        <f>"6.0388"</f>
        <v>6.0388</v>
      </c>
    </row>
    <row r="775" spans="1:3" x14ac:dyDescent="0.25">
      <c r="A775" t="str">
        <f>"02/08/2012"</f>
        <v>02/08/2012</v>
      </c>
      <c r="B775" t="str">
        <f>"6.0291"</f>
        <v>6.0291</v>
      </c>
      <c r="C775" t="str">
        <f>"6.0362"</f>
        <v>6.0362</v>
      </c>
    </row>
    <row r="776" spans="1:3" x14ac:dyDescent="0.25">
      <c r="A776" t="str">
        <f>"03/08/2012"</f>
        <v>03/08/2012</v>
      </c>
      <c r="B776" t="str">
        <f>"6.011"</f>
        <v>6.011</v>
      </c>
      <c r="C776" t="str">
        <f>"6.0184"</f>
        <v>6.0184</v>
      </c>
    </row>
    <row r="777" spans="1:3" x14ac:dyDescent="0.25">
      <c r="A777" t="str">
        <f>"06/08/2012"</f>
        <v>06/08/2012</v>
      </c>
      <c r="B777" t="str">
        <f>"5.9912"</f>
        <v>5.9912</v>
      </c>
      <c r="C777" t="str">
        <f>"5.999"</f>
        <v>5.999</v>
      </c>
    </row>
    <row r="778" spans="1:3" x14ac:dyDescent="0.25">
      <c r="A778" t="str">
        <f>"07/08/2012"</f>
        <v>07/08/2012</v>
      </c>
      <c r="B778" t="str">
        <f>"5.9297"</f>
        <v>5.9297</v>
      </c>
      <c r="C778" t="str">
        <f>"5.9371"</f>
        <v>5.9371</v>
      </c>
    </row>
    <row r="779" spans="1:3" x14ac:dyDescent="0.25">
      <c r="A779" t="str">
        <f>"08/08/2012"</f>
        <v>08/08/2012</v>
      </c>
      <c r="B779" t="str">
        <f>"5.9046"</f>
        <v>5.9046</v>
      </c>
      <c r="C779" t="str">
        <f>"5.9117"</f>
        <v>5.9117</v>
      </c>
    </row>
    <row r="780" spans="1:3" x14ac:dyDescent="0.25">
      <c r="A780" t="str">
        <f>"09/08/2012"</f>
        <v>09/08/2012</v>
      </c>
      <c r="B780" t="str">
        <f>"5.913"</f>
        <v>5.913</v>
      </c>
      <c r="C780" t="str">
        <f>"5.9201"</f>
        <v>5.9201</v>
      </c>
    </row>
    <row r="781" spans="1:3" x14ac:dyDescent="0.25">
      <c r="A781" t="str">
        <f>"10/08/2012"</f>
        <v>10/08/2012</v>
      </c>
      <c r="B781" t="str">
        <f>"5.9195"</f>
        <v>5.9195</v>
      </c>
      <c r="C781" t="str">
        <f>"5.9266"</f>
        <v>5.9266</v>
      </c>
    </row>
    <row r="782" spans="1:3" x14ac:dyDescent="0.25">
      <c r="A782" t="str">
        <f>"13/08/2012"</f>
        <v>13/08/2012</v>
      </c>
      <c r="B782" t="str">
        <f>"5.9211"</f>
        <v>5.9211</v>
      </c>
      <c r="C782" t="str">
        <f>"5.9288"</f>
        <v>5.9288</v>
      </c>
    </row>
    <row r="783" spans="1:3" x14ac:dyDescent="0.25">
      <c r="A783" t="str">
        <f>"14/08/2012"</f>
        <v>14/08/2012</v>
      </c>
      <c r="B783" t="str">
        <f>"5.9096"</f>
        <v>5.9096</v>
      </c>
      <c r="C783" t="str">
        <f>"5.9169"</f>
        <v>5.9169</v>
      </c>
    </row>
    <row r="784" spans="1:3" x14ac:dyDescent="0.25">
      <c r="A784" t="str">
        <f>"16/08/2012"</f>
        <v>16/08/2012</v>
      </c>
      <c r="B784" t="str">
        <f>"5.9725"</f>
        <v>5.9725</v>
      </c>
      <c r="C784" t="str">
        <f>"5.9794"</f>
        <v>5.9794</v>
      </c>
    </row>
    <row r="785" spans="1:3" x14ac:dyDescent="0.25">
      <c r="A785" t="str">
        <f>"17/08/2012"</f>
        <v>17/08/2012</v>
      </c>
      <c r="B785" t="str">
        <f>"5.9345"</f>
        <v>5.9345</v>
      </c>
      <c r="C785" t="str">
        <f>"5.9412"</f>
        <v>5.9412</v>
      </c>
    </row>
    <row r="786" spans="1:3" x14ac:dyDescent="0.25">
      <c r="A786" t="str">
        <f>"21/08/2012"</f>
        <v>21/08/2012</v>
      </c>
      <c r="B786" t="str">
        <f>"5.915"</f>
        <v>5.915</v>
      </c>
      <c r="C786" t="str">
        <f>"5.9222"</f>
        <v>5.9222</v>
      </c>
    </row>
    <row r="787" spans="1:3" x14ac:dyDescent="0.25">
      <c r="A787" t="str">
        <f>"22/08/2012"</f>
        <v>22/08/2012</v>
      </c>
      <c r="B787" t="str">
        <f>"5.906"</f>
        <v>5.906</v>
      </c>
      <c r="C787" t="str">
        <f>"5.9127"</f>
        <v>5.9127</v>
      </c>
    </row>
    <row r="788" spans="1:3" x14ac:dyDescent="0.25">
      <c r="A788" t="str">
        <f>"23/08/2012"</f>
        <v>23/08/2012</v>
      </c>
      <c r="B788" t="str">
        <f>"5.8511"</f>
        <v>5.8511</v>
      </c>
      <c r="C788" t="str">
        <f>"5.8576"</f>
        <v>5.8576</v>
      </c>
    </row>
    <row r="789" spans="1:3" x14ac:dyDescent="0.25">
      <c r="A789" t="str">
        <f>"24/08/2012"</f>
        <v>24/08/2012</v>
      </c>
      <c r="B789" t="str">
        <f>"5.8404"</f>
        <v>5.8404</v>
      </c>
      <c r="C789" t="str">
        <f>"5.847"</f>
        <v>5.847</v>
      </c>
    </row>
    <row r="790" spans="1:3" x14ac:dyDescent="0.25">
      <c r="A790" t="str">
        <f>"27/08/2012"</f>
        <v>27/08/2012</v>
      </c>
      <c r="B790" t="str">
        <f>"5.8327"</f>
        <v>5.8327</v>
      </c>
      <c r="C790" t="str">
        <f>"5.8392"</f>
        <v>5.8392</v>
      </c>
    </row>
    <row r="791" spans="1:3" x14ac:dyDescent="0.25">
      <c r="A791" t="str">
        <f>"28/08/2012"</f>
        <v>28/08/2012</v>
      </c>
      <c r="B791" t="str">
        <f>"5.8208"</f>
        <v>5.8208</v>
      </c>
      <c r="C791" t="str">
        <f>"5.8271"</f>
        <v>5.8271</v>
      </c>
    </row>
    <row r="792" spans="1:3" x14ac:dyDescent="0.25">
      <c r="A792" t="str">
        <f>"29/08/2012"</f>
        <v>29/08/2012</v>
      </c>
      <c r="B792" t="str">
        <f>"5.839"</f>
        <v>5.839</v>
      </c>
      <c r="C792" t="str">
        <f>"5.8451"</f>
        <v>5.8451</v>
      </c>
    </row>
    <row r="793" spans="1:3" x14ac:dyDescent="0.25">
      <c r="A793" t="str">
        <f>"30/08/2012"</f>
        <v>30/08/2012</v>
      </c>
      <c r="B793" t="str">
        <f>"5.8164"</f>
        <v>5.8164</v>
      </c>
      <c r="C793" t="str">
        <f>"5.8228"</f>
        <v>5.8228</v>
      </c>
    </row>
    <row r="794" spans="1:3" x14ac:dyDescent="0.25">
      <c r="A794" t="str">
        <f>"31/08/2012"</f>
        <v>31/08/2012</v>
      </c>
      <c r="B794" t="str">
        <f>"5.8001"</f>
        <v>5.8001</v>
      </c>
      <c r="C794" t="str">
        <f>"5.8066"</f>
        <v>5.8066</v>
      </c>
    </row>
    <row r="795" spans="1:3" x14ac:dyDescent="0.25">
      <c r="A795" t="str">
        <f>"03/09/2012"</f>
        <v>03/09/2012</v>
      </c>
      <c r="B795" t="str">
        <f>"5.8077"</f>
        <v>5.8077</v>
      </c>
      <c r="C795" t="str">
        <f>"5.8143"</f>
        <v>5.8143</v>
      </c>
    </row>
    <row r="796" spans="1:3" x14ac:dyDescent="0.25">
      <c r="A796" t="str">
        <f>"04/09/2012"</f>
        <v>04/09/2012</v>
      </c>
      <c r="B796" t="str">
        <f>"5.8007"</f>
        <v>5.8007</v>
      </c>
      <c r="C796" t="str">
        <f>"5.808"</f>
        <v>5.808</v>
      </c>
    </row>
    <row r="797" spans="1:3" x14ac:dyDescent="0.25">
      <c r="A797" t="str">
        <f>"05/09/2012"</f>
        <v>05/09/2012</v>
      </c>
      <c r="B797" t="str">
        <f>"5.8225"</f>
        <v>5.8225</v>
      </c>
      <c r="C797" t="str">
        <f>"5.8294"</f>
        <v>5.8294</v>
      </c>
    </row>
    <row r="798" spans="1:3" x14ac:dyDescent="0.25">
      <c r="A798" t="str">
        <f>"06/09/2012"</f>
        <v>06/09/2012</v>
      </c>
      <c r="B798" t="str">
        <f>"5.8305"</f>
        <v>5.8305</v>
      </c>
      <c r="C798" t="str">
        <f>"5.8369"</f>
        <v>5.8369</v>
      </c>
    </row>
    <row r="799" spans="1:3" x14ac:dyDescent="0.25">
      <c r="A799" t="str">
        <f>"07/09/2012"</f>
        <v>07/09/2012</v>
      </c>
      <c r="B799" t="str">
        <f>"5.83"</f>
        <v>5.83</v>
      </c>
      <c r="C799" t="str">
        <f>"5.8364"</f>
        <v>5.8364</v>
      </c>
    </row>
    <row r="800" spans="1:3" x14ac:dyDescent="0.25">
      <c r="A800" t="str">
        <f>"10/09/2012"</f>
        <v>10/09/2012</v>
      </c>
      <c r="B800" t="str">
        <f>"5.7832"</f>
        <v>5.7832</v>
      </c>
      <c r="C800" t="str">
        <f>"5.7895"</f>
        <v>5.7895</v>
      </c>
    </row>
    <row r="801" spans="1:3" x14ac:dyDescent="0.25">
      <c r="A801" t="str">
        <f>"11/09/2012"</f>
        <v>11/09/2012</v>
      </c>
      <c r="B801" t="str">
        <f>"5.7946"</f>
        <v>5.7946</v>
      </c>
      <c r="C801" t="str">
        <f>"5.8014"</f>
        <v>5.8014</v>
      </c>
    </row>
    <row r="802" spans="1:3" x14ac:dyDescent="0.25">
      <c r="A802" t="str">
        <f>"12/09/2012"</f>
        <v>12/09/2012</v>
      </c>
      <c r="B802" t="str">
        <f>"5.7588"</f>
        <v>5.7588</v>
      </c>
      <c r="C802" t="str">
        <f>"5.7654"</f>
        <v>5.7654</v>
      </c>
    </row>
    <row r="803" spans="1:3" x14ac:dyDescent="0.25">
      <c r="A803" t="str">
        <f>"13/09/2012"</f>
        <v>13/09/2012</v>
      </c>
      <c r="B803" t="str">
        <f>"5.755"</f>
        <v>5.755</v>
      </c>
      <c r="C803" t="str">
        <f>"5.7615"</f>
        <v>5.7615</v>
      </c>
    </row>
    <row r="804" spans="1:3" x14ac:dyDescent="0.25">
      <c r="A804" t="str">
        <f>"14/09/2012"</f>
        <v>14/09/2012</v>
      </c>
      <c r="B804" t="str">
        <f>"5.6879"</f>
        <v>5.6879</v>
      </c>
      <c r="C804" t="str">
        <f>"5.6945"</f>
        <v>5.6945</v>
      </c>
    </row>
    <row r="805" spans="1:3" x14ac:dyDescent="0.25">
      <c r="A805" t="str">
        <f>"17/09/2012"</f>
        <v>17/09/2012</v>
      </c>
      <c r="B805" t="str">
        <f>"5.6874"</f>
        <v>5.6874</v>
      </c>
      <c r="C805" t="str">
        <f>"5.6941"</f>
        <v>5.6941</v>
      </c>
    </row>
    <row r="806" spans="1:3" x14ac:dyDescent="0.25">
      <c r="A806" t="str">
        <f>"18/09/2012"</f>
        <v>18/09/2012</v>
      </c>
      <c r="B806" t="str">
        <f>"5.7263"</f>
        <v>5.7263</v>
      </c>
      <c r="C806" t="str">
        <f>"5.7333"</f>
        <v>5.7333</v>
      </c>
    </row>
    <row r="807" spans="1:3" x14ac:dyDescent="0.25">
      <c r="A807" t="str">
        <f>"20/09/2012"</f>
        <v>20/09/2012</v>
      </c>
      <c r="B807" t="str">
        <f>"5.7422"</f>
        <v>5.7422</v>
      </c>
      <c r="C807" t="str">
        <f>"5.7488"</f>
        <v>5.7488</v>
      </c>
    </row>
    <row r="808" spans="1:3" x14ac:dyDescent="0.25">
      <c r="A808" t="str">
        <f>"21/09/2012"</f>
        <v>21/09/2012</v>
      </c>
      <c r="B808" t="str">
        <f>"5.6997"</f>
        <v>5.6997</v>
      </c>
      <c r="C808" t="str">
        <f>"5.7059"</f>
        <v>5.7059</v>
      </c>
    </row>
    <row r="809" spans="1:3" x14ac:dyDescent="0.25">
      <c r="A809" t="str">
        <f>"24/09/2012"</f>
        <v>24/09/2012</v>
      </c>
      <c r="B809" t="str">
        <f>"5.768"</f>
        <v>5.768</v>
      </c>
      <c r="C809" t="str">
        <f>"5.7743"</f>
        <v>5.7743</v>
      </c>
    </row>
    <row r="810" spans="1:3" x14ac:dyDescent="0.25">
      <c r="A810" t="str">
        <f>"25/09/2012"</f>
        <v>25/09/2012</v>
      </c>
      <c r="B810" t="str">
        <f>"5.7561"</f>
        <v>5.7561</v>
      </c>
      <c r="C810" t="str">
        <f>"5.763"</f>
        <v>5.763</v>
      </c>
    </row>
    <row r="811" spans="1:3" x14ac:dyDescent="0.25">
      <c r="A811" t="str">
        <f>"26/09/2012"</f>
        <v>26/09/2012</v>
      </c>
      <c r="B811" t="str">
        <f>"5.742"</f>
        <v>5.742</v>
      </c>
      <c r="C811" t="str">
        <f>"5.7491"</f>
        <v>5.7491</v>
      </c>
    </row>
    <row r="812" spans="1:3" x14ac:dyDescent="0.25">
      <c r="A812" t="str">
        <f>"27/09/2012"</f>
        <v>27/09/2012</v>
      </c>
      <c r="B812" t="str">
        <f>"5.7513"</f>
        <v>5.7513</v>
      </c>
      <c r="C812" t="str">
        <f>"5.758"</f>
        <v>5.758</v>
      </c>
    </row>
    <row r="813" spans="1:3" x14ac:dyDescent="0.25">
      <c r="A813" t="str">
        <f>"28/09/2012"</f>
        <v>28/09/2012</v>
      </c>
      <c r="B813" t="str">
        <f>"5.7034"</f>
        <v>5.7034</v>
      </c>
      <c r="C813" t="str">
        <f>"5.7102"</f>
        <v>5.7102</v>
      </c>
    </row>
    <row r="814" spans="1:3" x14ac:dyDescent="0.25">
      <c r="A814" t="str">
        <f>"01/10/2012"</f>
        <v>01/10/2012</v>
      </c>
      <c r="B814" t="str">
        <f>"5.7134"</f>
        <v>5.7134</v>
      </c>
      <c r="C814" t="str">
        <f>"5.7203"</f>
        <v>5.7203</v>
      </c>
    </row>
    <row r="815" spans="1:3" x14ac:dyDescent="0.25">
      <c r="A815" t="str">
        <f>"03/10/2012"</f>
        <v>03/10/2012</v>
      </c>
      <c r="B815" t="str">
        <f>"5.7275"</f>
        <v>5.7275</v>
      </c>
      <c r="C815" t="str">
        <f>"5.7342"</f>
        <v>5.7342</v>
      </c>
    </row>
    <row r="816" spans="1:3" x14ac:dyDescent="0.25">
      <c r="A816" t="str">
        <f>"04/10/2012"</f>
        <v>04/10/2012</v>
      </c>
      <c r="B816" t="str">
        <f>"5.7353"</f>
        <v>5.7353</v>
      </c>
      <c r="C816" t="str">
        <f>"5.742"</f>
        <v>5.742</v>
      </c>
    </row>
    <row r="817" spans="1:3" x14ac:dyDescent="0.25">
      <c r="A817" t="str">
        <f>"05/10/2012"</f>
        <v>05/10/2012</v>
      </c>
      <c r="B817" t="str">
        <f>"5.685"</f>
        <v>5.685</v>
      </c>
      <c r="C817" t="str">
        <f>"5.6918"</f>
        <v>5.6918</v>
      </c>
    </row>
    <row r="818" spans="1:3" x14ac:dyDescent="0.25">
      <c r="A818" t="str">
        <f>"08/10/2012"</f>
        <v>08/10/2012</v>
      </c>
      <c r="B818" t="str">
        <f>"5.6977"</f>
        <v>5.6977</v>
      </c>
      <c r="C818" t="str">
        <f>"5.7053"</f>
        <v>5.7053</v>
      </c>
    </row>
    <row r="819" spans="1:3" x14ac:dyDescent="0.25">
      <c r="A819" t="str">
        <f>"09/10/2012"</f>
        <v>09/10/2012</v>
      </c>
      <c r="B819" t="str">
        <f>"5.7283"</f>
        <v>5.7283</v>
      </c>
      <c r="C819" t="str">
        <f>"5.7355"</f>
        <v>5.7355</v>
      </c>
    </row>
    <row r="820" spans="1:3" x14ac:dyDescent="0.25">
      <c r="A820" t="str">
        <f>"10/10/2012"</f>
        <v>10/10/2012</v>
      </c>
      <c r="B820" t="str">
        <f>"5.7426"</f>
        <v>5.7426</v>
      </c>
      <c r="C820" t="str">
        <f>"5.7496"</f>
        <v>5.7496</v>
      </c>
    </row>
    <row r="821" spans="1:3" x14ac:dyDescent="0.25">
      <c r="A821" t="str">
        <f>"11/10/2012"</f>
        <v>11/10/2012</v>
      </c>
      <c r="B821" t="str">
        <f>"5.7141"</f>
        <v>5.7141</v>
      </c>
      <c r="C821" t="str">
        <f>"5.7208"</f>
        <v>5.7208</v>
      </c>
    </row>
    <row r="822" spans="1:3" x14ac:dyDescent="0.25">
      <c r="A822" t="str">
        <f>"12/10/2012"</f>
        <v>12/10/2012</v>
      </c>
      <c r="B822" t="str">
        <f>"5.708"</f>
        <v>5.708</v>
      </c>
      <c r="C822" t="str">
        <f>"5.7147"</f>
        <v>5.7147</v>
      </c>
    </row>
    <row r="823" spans="1:3" x14ac:dyDescent="0.25">
      <c r="A823" t="str">
        <f>"15/10/2012"</f>
        <v>15/10/2012</v>
      </c>
      <c r="B823" t="str">
        <f>"5.7092"</f>
        <v>5.7092</v>
      </c>
      <c r="C823" t="str">
        <f>"5.7162"</f>
        <v>5.7162</v>
      </c>
    </row>
    <row r="824" spans="1:3" x14ac:dyDescent="0.25">
      <c r="A824" t="str">
        <f>"16/10/2012"</f>
        <v>16/10/2012</v>
      </c>
      <c r="B824" t="str">
        <f>"5.6903"</f>
        <v>5.6903</v>
      </c>
      <c r="C824" t="str">
        <f>"5.6972"</f>
        <v>5.6972</v>
      </c>
    </row>
    <row r="825" spans="1:3" x14ac:dyDescent="0.25">
      <c r="A825" t="str">
        <f>"17/10/2012"</f>
        <v>17/10/2012</v>
      </c>
      <c r="B825" t="str">
        <f>"5.6526"</f>
        <v>5.6526</v>
      </c>
      <c r="C825" t="str">
        <f>"5.659"</f>
        <v>5.659</v>
      </c>
    </row>
    <row r="826" spans="1:3" x14ac:dyDescent="0.25">
      <c r="A826" t="str">
        <f>"18/10/2012"</f>
        <v>18/10/2012</v>
      </c>
      <c r="B826" t="str">
        <f>"5.6461"</f>
        <v>5.6461</v>
      </c>
      <c r="C826" t="str">
        <f>"5.6527"</f>
        <v>5.6527</v>
      </c>
    </row>
    <row r="827" spans="1:3" x14ac:dyDescent="0.25">
      <c r="A827" t="str">
        <f>"19/10/2012"</f>
        <v>19/10/2012</v>
      </c>
      <c r="B827" t="str">
        <f>"5.6422"</f>
        <v>5.6422</v>
      </c>
      <c r="C827" t="str">
        <f>"5.6486"</f>
        <v>5.6486</v>
      </c>
    </row>
    <row r="828" spans="1:3" x14ac:dyDescent="0.25">
      <c r="A828" t="str">
        <f>"22/10/2012"</f>
        <v>22/10/2012</v>
      </c>
      <c r="B828" t="str">
        <f>"5.65"</f>
        <v>5.65</v>
      </c>
      <c r="C828" t="str">
        <f>"5.6568"</f>
        <v>5.6568</v>
      </c>
    </row>
    <row r="829" spans="1:3" x14ac:dyDescent="0.25">
      <c r="A829" t="str">
        <f>"23/10/2012"</f>
        <v>23/10/2012</v>
      </c>
      <c r="B829" t="str">
        <f>"5.6809"</f>
        <v>5.6809</v>
      </c>
      <c r="C829" t="str">
        <f>"5.6876"</f>
        <v>5.6876</v>
      </c>
    </row>
    <row r="830" spans="1:3" x14ac:dyDescent="0.25">
      <c r="A830" t="str">
        <f>"25/10/2012"</f>
        <v>25/10/2012</v>
      </c>
      <c r="B830" t="str">
        <f>"5.7318"</f>
        <v>5.7318</v>
      </c>
      <c r="C830" t="str">
        <f>"5.7382"</f>
        <v>5.7382</v>
      </c>
    </row>
    <row r="831" spans="1:3" x14ac:dyDescent="0.25">
      <c r="A831" t="str">
        <f>"26/10/2012"</f>
        <v>26/10/2012</v>
      </c>
      <c r="B831" t="str">
        <f>"5.7917"</f>
        <v>5.7917</v>
      </c>
      <c r="C831" t="str">
        <f>"5.7981"</f>
        <v>5.7981</v>
      </c>
    </row>
    <row r="832" spans="1:3" x14ac:dyDescent="0.25">
      <c r="A832" t="str">
        <f>"29/10/2012"</f>
        <v>29/10/2012</v>
      </c>
      <c r="B832" t="str">
        <f>"5.7725"</f>
        <v>5.7725</v>
      </c>
      <c r="C832" t="str">
        <f>"5.779"</f>
        <v>5.779</v>
      </c>
    </row>
    <row r="833" spans="1:3" x14ac:dyDescent="0.25">
      <c r="A833" t="str">
        <f>"30/10/2012"</f>
        <v>30/10/2012</v>
      </c>
      <c r="B833" t="str">
        <f>"5.7562"</f>
        <v>5.7562</v>
      </c>
      <c r="C833" t="str">
        <f>"5.7629"</f>
        <v>5.7629</v>
      </c>
    </row>
    <row r="834" spans="1:3" x14ac:dyDescent="0.25">
      <c r="A834" t="str">
        <f>"31/10/2012"</f>
        <v>31/10/2012</v>
      </c>
      <c r="B834" t="str">
        <f>"5.682"</f>
        <v>5.682</v>
      </c>
      <c r="C834" t="str">
        <f>"5.6884"</f>
        <v>5.6884</v>
      </c>
    </row>
    <row r="835" spans="1:3" x14ac:dyDescent="0.25">
      <c r="A835" t="str">
        <f>"01/11/2012"</f>
        <v>01/11/2012</v>
      </c>
      <c r="B835" t="str">
        <f>"5.6993"</f>
        <v>5.6993</v>
      </c>
      <c r="C835" t="str">
        <f>"5.7058"</f>
        <v>5.7058</v>
      </c>
    </row>
    <row r="836" spans="1:3" x14ac:dyDescent="0.25">
      <c r="A836" t="str">
        <f>"02/11/2012"</f>
        <v>02/11/2012</v>
      </c>
      <c r="B836" t="str">
        <f>"5.7028"</f>
        <v>5.7028</v>
      </c>
      <c r="C836" t="str">
        <f>"5.709"</f>
        <v>5.709</v>
      </c>
    </row>
    <row r="837" spans="1:3" x14ac:dyDescent="0.25">
      <c r="A837" t="str">
        <f>"05/11/2012"</f>
        <v>05/11/2012</v>
      </c>
      <c r="B837" t="str">
        <f>"5.7373"</f>
        <v>5.7373</v>
      </c>
      <c r="C837" t="str">
        <f>"5.7437"</f>
        <v>5.7437</v>
      </c>
    </row>
    <row r="838" spans="1:3" x14ac:dyDescent="0.25">
      <c r="A838" t="str">
        <f>"06/11/2012"</f>
        <v>06/11/2012</v>
      </c>
      <c r="B838" t="str">
        <f>"5.733"</f>
        <v>5.733</v>
      </c>
      <c r="C838" t="str">
        <f>"5.7398"</f>
        <v>5.7398</v>
      </c>
    </row>
    <row r="839" spans="1:3" x14ac:dyDescent="0.25">
      <c r="A839" t="str">
        <f>"07/11/2012"</f>
        <v>07/11/2012</v>
      </c>
      <c r="B839" t="str">
        <f>"5.687"</f>
        <v>5.687</v>
      </c>
      <c r="C839" t="str">
        <f>"5.6936"</f>
        <v>5.6936</v>
      </c>
    </row>
    <row r="840" spans="1:3" x14ac:dyDescent="0.25">
      <c r="A840" t="str">
        <f>"08/11/2012"</f>
        <v>08/11/2012</v>
      </c>
      <c r="B840" t="str">
        <f>"5.7427"</f>
        <v>5.7427</v>
      </c>
      <c r="C840" t="str">
        <f>"5.7493"</f>
        <v>5.7493</v>
      </c>
    </row>
    <row r="841" spans="1:3" x14ac:dyDescent="0.25">
      <c r="A841" t="str">
        <f>"09/11/2012"</f>
        <v>09/11/2012</v>
      </c>
      <c r="B841" t="str">
        <f>"5.7114"</f>
        <v>5.7114</v>
      </c>
      <c r="C841" t="str">
        <f>"5.7181"</f>
        <v>5.7181</v>
      </c>
    </row>
    <row r="842" spans="1:3" x14ac:dyDescent="0.25">
      <c r="A842" t="str">
        <f>"12/11/2012"</f>
        <v>12/11/2012</v>
      </c>
      <c r="B842" t="str">
        <f>"5.7398"</f>
        <v>5.7398</v>
      </c>
      <c r="C842" t="str">
        <f>"5.7465"</f>
        <v>5.7465</v>
      </c>
    </row>
    <row r="843" spans="1:3" x14ac:dyDescent="0.25">
      <c r="A843" t="str">
        <f>"15/11/2012"</f>
        <v>15/11/2012</v>
      </c>
      <c r="B843" t="str">
        <f>"5.7648"</f>
        <v>5.7648</v>
      </c>
      <c r="C843" t="str">
        <f>"5.7712"</f>
        <v>5.7712</v>
      </c>
    </row>
    <row r="844" spans="1:3" x14ac:dyDescent="0.25">
      <c r="A844" t="str">
        <f>"16/11/2012"</f>
        <v>16/11/2012</v>
      </c>
      <c r="B844" t="str">
        <f>"5.764"</f>
        <v>5.764</v>
      </c>
      <c r="C844" t="str">
        <f>"5.7708"</f>
        <v>5.7708</v>
      </c>
    </row>
    <row r="845" spans="1:3" x14ac:dyDescent="0.25">
      <c r="A845" t="str">
        <f>"19/11/2012"</f>
        <v>19/11/2012</v>
      </c>
      <c r="B845" t="str">
        <f>"5.7677"</f>
        <v>5.7677</v>
      </c>
      <c r="C845" t="str">
        <f>"5.7742"</f>
        <v>5.7742</v>
      </c>
    </row>
    <row r="846" spans="1:3" x14ac:dyDescent="0.25">
      <c r="A846" t="str">
        <f>"20/11/2012"</f>
        <v>20/11/2012</v>
      </c>
      <c r="B846" t="str">
        <f>"5.7393"</f>
        <v>5.7393</v>
      </c>
      <c r="C846" t="str">
        <f>"5.7469"</f>
        <v>5.7469</v>
      </c>
    </row>
    <row r="847" spans="1:3" x14ac:dyDescent="0.25">
      <c r="A847" t="str">
        <f>"21/11/2012"</f>
        <v>21/11/2012</v>
      </c>
      <c r="B847" t="str">
        <f>"5.7525"</f>
        <v>5.7525</v>
      </c>
      <c r="C847" t="str">
        <f>"5.7602"</f>
        <v>5.7602</v>
      </c>
    </row>
    <row r="848" spans="1:3" x14ac:dyDescent="0.25">
      <c r="A848" t="str">
        <f>"22/11/2012"</f>
        <v>22/11/2012</v>
      </c>
      <c r="B848" t="str">
        <f>"5.7042"</f>
        <v>5.7042</v>
      </c>
      <c r="C848" t="str">
        <f>"5.7109"</f>
        <v>5.7109</v>
      </c>
    </row>
    <row r="849" spans="1:3" x14ac:dyDescent="0.25">
      <c r="A849" t="str">
        <f>"23/11/2012"</f>
        <v>23/11/2012</v>
      </c>
      <c r="B849" t="str">
        <f>"5.6924"</f>
        <v>5.6924</v>
      </c>
      <c r="C849" t="str">
        <f>"5.699"</f>
        <v>5.699</v>
      </c>
    </row>
    <row r="850" spans="1:3" x14ac:dyDescent="0.25">
      <c r="A850" t="str">
        <f>"26/11/2012"</f>
        <v>26/11/2012</v>
      </c>
      <c r="B850" t="str">
        <f>"5.673"</f>
        <v>5.673</v>
      </c>
      <c r="C850" t="str">
        <f>"5.6797"</f>
        <v>5.6797</v>
      </c>
    </row>
    <row r="851" spans="1:3" x14ac:dyDescent="0.25">
      <c r="A851" t="str">
        <f>"27/11/2012"</f>
        <v>27/11/2012</v>
      </c>
      <c r="B851" t="str">
        <f>"5.6498"</f>
        <v>5.6498</v>
      </c>
      <c r="C851" t="str">
        <f>"5.6568"</f>
        <v>5.6568</v>
      </c>
    </row>
    <row r="852" spans="1:3" x14ac:dyDescent="0.25">
      <c r="A852" t="str">
        <f>"29/11/2012"</f>
        <v>29/11/2012</v>
      </c>
      <c r="B852" t="str">
        <f>"5.667"</f>
        <v>5.667</v>
      </c>
      <c r="C852" t="str">
        <f>"5.6739"</f>
        <v>5.6739</v>
      </c>
    </row>
    <row r="853" spans="1:3" x14ac:dyDescent="0.25">
      <c r="A853" t="str">
        <f>"30/11/2012"</f>
        <v>30/11/2012</v>
      </c>
      <c r="B853" t="str">
        <f>"5.682"</f>
        <v>5.682</v>
      </c>
      <c r="C853" t="str">
        <f>"5.6887"</f>
        <v>5.6887</v>
      </c>
    </row>
    <row r="854" spans="1:3" x14ac:dyDescent="0.25">
      <c r="A854" t="str">
        <f>"03/12/2012"</f>
        <v>03/12/2012</v>
      </c>
      <c r="B854" t="str">
        <f>"5.6616"</f>
        <v>5.6616</v>
      </c>
      <c r="C854" t="str">
        <f>"5.6687"</f>
        <v>5.6687</v>
      </c>
    </row>
    <row r="855" spans="1:3" x14ac:dyDescent="0.25">
      <c r="A855" t="str">
        <f>"04/12/2012"</f>
        <v>04/12/2012</v>
      </c>
      <c r="B855" t="str">
        <f>"5.6355"</f>
        <v>5.6355</v>
      </c>
      <c r="C855" t="str">
        <f>"5.6425"</f>
        <v>5.6425</v>
      </c>
    </row>
    <row r="856" spans="1:3" x14ac:dyDescent="0.25">
      <c r="A856" t="str">
        <f>"05/12/2012"</f>
        <v>05/12/2012</v>
      </c>
      <c r="B856" t="str">
        <f>"5.6114"</f>
        <v>5.6114</v>
      </c>
      <c r="C856" t="str">
        <f>"5.6182"</f>
        <v>5.6182</v>
      </c>
    </row>
    <row r="857" spans="1:3" x14ac:dyDescent="0.25">
      <c r="A857" t="str">
        <f>"06/12/2012"</f>
        <v>06/12/2012</v>
      </c>
      <c r="B857" t="str">
        <f>"5.634"</f>
        <v>5.634</v>
      </c>
      <c r="C857" t="str">
        <f>"5.6407"</f>
        <v>5.6407</v>
      </c>
    </row>
    <row r="858" spans="1:3" x14ac:dyDescent="0.25">
      <c r="A858" t="str">
        <f>"07/12/2012"</f>
        <v>07/12/2012</v>
      </c>
      <c r="B858" t="str">
        <f>"5.6549"</f>
        <v>5.6549</v>
      </c>
      <c r="C858" t="str">
        <f>"5.6616"</f>
        <v>5.6616</v>
      </c>
    </row>
    <row r="859" spans="1:3" x14ac:dyDescent="0.25">
      <c r="A859" t="str">
        <f>"10/12/2012"</f>
        <v>10/12/2012</v>
      </c>
      <c r="B859" t="str">
        <f>"5.6924"</f>
        <v>5.6924</v>
      </c>
      <c r="C859" t="str">
        <f>"5.6997"</f>
        <v>5.6997</v>
      </c>
    </row>
    <row r="860" spans="1:3" x14ac:dyDescent="0.25">
      <c r="A860" t="str">
        <f>"11/12/2012"</f>
        <v>11/12/2012</v>
      </c>
      <c r="B860" t="str">
        <f>"5.6654"</f>
        <v>5.6654</v>
      </c>
      <c r="C860" t="str">
        <f>"5.6722"</f>
        <v>5.6722</v>
      </c>
    </row>
    <row r="861" spans="1:3" x14ac:dyDescent="0.25">
      <c r="A861" t="str">
        <f>"12/12/2012"</f>
        <v>12/12/2012</v>
      </c>
      <c r="B861" t="str">
        <f>"5.6499"</f>
        <v>5.6499</v>
      </c>
      <c r="C861" t="str">
        <f>"5.6565"</f>
        <v>5.6565</v>
      </c>
    </row>
    <row r="862" spans="1:3" x14ac:dyDescent="0.25">
      <c r="A862" t="str">
        <f>"13/12/2012"</f>
        <v>13/12/2012</v>
      </c>
      <c r="B862" t="str">
        <f>"5.6212"</f>
        <v>5.6212</v>
      </c>
      <c r="C862" t="str">
        <f>"5.6275"</f>
        <v>5.6275</v>
      </c>
    </row>
    <row r="863" spans="1:3" x14ac:dyDescent="0.25">
      <c r="A863" t="str">
        <f>"14/12/2012"</f>
        <v>14/12/2012</v>
      </c>
      <c r="B863" t="str">
        <f>"5.6211"</f>
        <v>5.6211</v>
      </c>
      <c r="C863" t="str">
        <f>"5.6274"</f>
        <v>5.6274</v>
      </c>
    </row>
    <row r="864" spans="1:3" x14ac:dyDescent="0.25">
      <c r="A864" t="str">
        <f>"17/12/2012"</f>
        <v>17/12/2012</v>
      </c>
      <c r="B864" t="str">
        <f>"5.63"</f>
        <v>5.63</v>
      </c>
      <c r="C864" t="str">
        <f>"5.637"</f>
        <v>5.637</v>
      </c>
    </row>
    <row r="865" spans="1:3" x14ac:dyDescent="0.25">
      <c r="A865" t="str">
        <f>"18/12/2012"</f>
        <v>18/12/2012</v>
      </c>
      <c r="B865" t="str">
        <f>"5.6088"</f>
        <v>5.6088</v>
      </c>
      <c r="C865" t="str">
        <f>"5.6156"</f>
        <v>5.6156</v>
      </c>
    </row>
    <row r="866" spans="1:3" x14ac:dyDescent="0.25">
      <c r="A866" t="str">
        <f>"19/12/2012"</f>
        <v>19/12/2012</v>
      </c>
      <c r="B866" t="str">
        <f>"5.5938"</f>
        <v>5.5938</v>
      </c>
      <c r="C866" t="str">
        <f>"5.6002"</f>
        <v>5.6002</v>
      </c>
    </row>
    <row r="867" spans="1:3" x14ac:dyDescent="0.25">
      <c r="A867" t="str">
        <f>"20/12/2012"</f>
        <v>20/12/2012</v>
      </c>
      <c r="B867" t="str">
        <f>"5.5782"</f>
        <v>5.5782</v>
      </c>
      <c r="C867" t="str">
        <f>"5.5843"</f>
        <v>5.5843</v>
      </c>
    </row>
    <row r="868" spans="1:3" x14ac:dyDescent="0.25">
      <c r="A868" t="str">
        <f>"21/12/2012"</f>
        <v>21/12/2012</v>
      </c>
      <c r="B868" t="str">
        <f>"5.5742"</f>
        <v>5.5742</v>
      </c>
      <c r="C868" t="str">
        <f>"5.58"</f>
        <v>5.58</v>
      </c>
    </row>
    <row r="869" spans="1:3" x14ac:dyDescent="0.25">
      <c r="A869" t="str">
        <f>"24/12/2012"</f>
        <v>24/12/2012</v>
      </c>
      <c r="B869" t="str">
        <f>"5.563"</f>
        <v>5.563</v>
      </c>
      <c r="C869" t="str">
        <f>"5.5695"</f>
        <v>5.5695</v>
      </c>
    </row>
    <row r="870" spans="1:3" x14ac:dyDescent="0.25">
      <c r="A870" t="str">
        <f>"26/12/2012"</f>
        <v>26/12/2012</v>
      </c>
      <c r="B870" t="str">
        <f>"5.6018"</f>
        <v>5.6018</v>
      </c>
      <c r="C870" t="str">
        <f>"5.6082"</f>
        <v>5.6082</v>
      </c>
    </row>
    <row r="871" spans="1:3" x14ac:dyDescent="0.25">
      <c r="A871" t="str">
        <f>"27/12/2012"</f>
        <v>27/12/2012</v>
      </c>
      <c r="B871" t="str">
        <f>"5.5896"</f>
        <v>5.5896</v>
      </c>
      <c r="C871" t="str">
        <f>"5.5962"</f>
        <v>5.5962</v>
      </c>
    </row>
    <row r="872" spans="1:3" x14ac:dyDescent="0.25">
      <c r="A872" t="str">
        <f>"28/12/2012"</f>
        <v>28/12/2012</v>
      </c>
      <c r="B872" t="str">
        <f>"5.5734"</f>
        <v>5.5734</v>
      </c>
      <c r="C872" t="str">
        <f>"5.5803"</f>
        <v>5.5803</v>
      </c>
    </row>
    <row r="873" spans="1:3" x14ac:dyDescent="0.25">
      <c r="A873" t="str">
        <f>"31/12/2012"</f>
        <v>31/12/2012</v>
      </c>
      <c r="B873" t="str">
        <f>"5.5886"</f>
        <v>5.5886</v>
      </c>
      <c r="C873" t="str">
        <f>"5.5956"</f>
        <v>5.5956</v>
      </c>
    </row>
    <row r="874" spans="1:3" x14ac:dyDescent="0.25">
      <c r="A874" t="str">
        <f>"01/01/2013"</f>
        <v>01/01/2013</v>
      </c>
      <c r="B874" t="str">
        <f>"5.57"</f>
        <v>5.57</v>
      </c>
      <c r="C874" t="str">
        <f>"5.5766"</f>
        <v>5.5766</v>
      </c>
    </row>
    <row r="875" spans="1:3" x14ac:dyDescent="0.25">
      <c r="A875" t="str">
        <f>"02/01/2013"</f>
        <v>02/01/2013</v>
      </c>
      <c r="B875" t="str">
        <f>"5.523"</f>
        <v>5.523</v>
      </c>
      <c r="C875" t="str">
        <f>"5.5295"</f>
        <v>5.5295</v>
      </c>
    </row>
    <row r="876" spans="1:3" x14ac:dyDescent="0.25">
      <c r="A876" t="str">
        <f>"03/01/2013"</f>
        <v>03/01/2013</v>
      </c>
      <c r="B876" t="str">
        <f>"5.5678"</f>
        <v>5.5678</v>
      </c>
      <c r="C876" t="str">
        <f>"5.5741"</f>
        <v>5.5741</v>
      </c>
    </row>
    <row r="877" spans="1:3" x14ac:dyDescent="0.25">
      <c r="A877" t="str">
        <f>"04/01/2013"</f>
        <v>04/01/2013</v>
      </c>
      <c r="B877" t="str">
        <f>"5.587"</f>
        <v>5.587</v>
      </c>
      <c r="C877" t="str">
        <f>"5.5934"</f>
        <v>5.5934</v>
      </c>
    </row>
    <row r="878" spans="1:3" x14ac:dyDescent="0.25">
      <c r="A878" t="str">
        <f>"07/01/2013"</f>
        <v>07/01/2013</v>
      </c>
      <c r="B878" t="str">
        <f>"5.6158"</f>
        <v>5.6158</v>
      </c>
      <c r="C878" t="str">
        <f>"5.6225"</f>
        <v>5.6225</v>
      </c>
    </row>
    <row r="879" spans="1:3" x14ac:dyDescent="0.25">
      <c r="A879" t="str">
        <f>"08/01/2013"</f>
        <v>08/01/2013</v>
      </c>
      <c r="B879" t="str">
        <f>"5.5832"</f>
        <v>5.5832</v>
      </c>
      <c r="C879" t="str">
        <f>"5.59"</f>
        <v>5.59</v>
      </c>
    </row>
    <row r="880" spans="1:3" x14ac:dyDescent="0.25">
      <c r="A880" t="str">
        <f>"09/01/2013"</f>
        <v>09/01/2013</v>
      </c>
      <c r="B880" t="str">
        <f>"5.6036"</f>
        <v>5.6036</v>
      </c>
      <c r="C880" t="str">
        <f>"5.6103"</f>
        <v>5.6103</v>
      </c>
    </row>
    <row r="881" spans="1:3" x14ac:dyDescent="0.25">
      <c r="A881" t="str">
        <f>"10/01/2013"</f>
        <v>10/01/2013</v>
      </c>
      <c r="B881" t="str">
        <f>"5.602"</f>
        <v>5.602</v>
      </c>
      <c r="C881" t="str">
        <f>"5.6084"</f>
        <v>5.6084</v>
      </c>
    </row>
    <row r="882" spans="1:3" x14ac:dyDescent="0.25">
      <c r="A882" t="str">
        <f>"11/01/2013"</f>
        <v>11/01/2013</v>
      </c>
      <c r="B882" t="str">
        <f>"5.5268"</f>
        <v>5.5268</v>
      </c>
      <c r="C882" t="str">
        <f>"5.5334"</f>
        <v>5.5334</v>
      </c>
    </row>
    <row r="883" spans="1:3" x14ac:dyDescent="0.25">
      <c r="A883" t="str">
        <f>"14/01/2013"</f>
        <v>14/01/2013</v>
      </c>
      <c r="B883" t="str">
        <f>"5.5158"</f>
        <v>5.5158</v>
      </c>
      <c r="C883" t="str">
        <f>"5.523"</f>
        <v>5.523</v>
      </c>
    </row>
    <row r="884" spans="1:3" x14ac:dyDescent="0.25">
      <c r="A884" t="str">
        <f>"15/01/2013"</f>
        <v>15/01/2013</v>
      </c>
      <c r="B884" t="str">
        <f>"5.5202"</f>
        <v>5.5202</v>
      </c>
      <c r="C884" t="str">
        <f>"5.5275"</f>
        <v>5.5275</v>
      </c>
    </row>
    <row r="885" spans="1:3" x14ac:dyDescent="0.25">
      <c r="A885" t="str">
        <f>"16/01/2013"</f>
        <v>16/01/2013</v>
      </c>
      <c r="B885" t="str">
        <f>"5.579"</f>
        <v>5.579</v>
      </c>
      <c r="C885" t="str">
        <f>"5.5861"</f>
        <v>5.5861</v>
      </c>
    </row>
    <row r="886" spans="1:3" x14ac:dyDescent="0.25">
      <c r="A886" t="str">
        <f>"17/01/2013"</f>
        <v>17/01/2013</v>
      </c>
      <c r="B886" t="str">
        <f>"5.5748"</f>
        <v>5.5748</v>
      </c>
      <c r="C886" t="str">
        <f>"5.5816"</f>
        <v>5.5816</v>
      </c>
    </row>
    <row r="887" spans="1:3" x14ac:dyDescent="0.25">
      <c r="A887" t="str">
        <f>"18/01/2013"</f>
        <v>18/01/2013</v>
      </c>
      <c r="B887" t="str">
        <f>"5.5776"</f>
        <v>5.5776</v>
      </c>
      <c r="C887" t="str">
        <f>"5.5844"</f>
        <v>5.5844</v>
      </c>
    </row>
    <row r="888" spans="1:3" x14ac:dyDescent="0.25">
      <c r="A888" t="str">
        <f>"21/01/2013"</f>
        <v>21/01/2013</v>
      </c>
      <c r="B888" t="str">
        <f>"5.6069"</f>
        <v>5.6069</v>
      </c>
      <c r="C888" t="str">
        <f>"5.6142"</f>
        <v>5.6142</v>
      </c>
    </row>
    <row r="889" spans="1:3" x14ac:dyDescent="0.25">
      <c r="A889" t="str">
        <f>"22/01/2013"</f>
        <v>22/01/2013</v>
      </c>
      <c r="B889" t="str">
        <f>"5.5937"</f>
        <v>5.5937</v>
      </c>
      <c r="C889" t="str">
        <f>"5.6008"</f>
        <v>5.6008</v>
      </c>
    </row>
    <row r="890" spans="1:3" x14ac:dyDescent="0.25">
      <c r="A890" t="str">
        <f>"23/01/2013"</f>
        <v>23/01/2013</v>
      </c>
      <c r="B890" t="str">
        <f>"5.5778"</f>
        <v>5.5778</v>
      </c>
      <c r="C890" t="str">
        <f>"5.5846"</f>
        <v>5.5846</v>
      </c>
    </row>
    <row r="891" spans="1:3" x14ac:dyDescent="0.25">
      <c r="A891" t="str">
        <f>"24/01/2013"</f>
        <v>24/01/2013</v>
      </c>
      <c r="B891" t="str">
        <f>"5.561"</f>
        <v>5.561</v>
      </c>
      <c r="C891" t="str">
        <f>"5.5679"</f>
        <v>5.5679</v>
      </c>
    </row>
    <row r="892" spans="1:3" x14ac:dyDescent="0.25">
      <c r="A892" t="str">
        <f>"28/01/2013"</f>
        <v>28/01/2013</v>
      </c>
      <c r="B892" t="str">
        <f>"5.5355"</f>
        <v>5.5355</v>
      </c>
      <c r="C892" t="str">
        <f>"5.542"</f>
        <v>5.542</v>
      </c>
    </row>
    <row r="893" spans="1:3" x14ac:dyDescent="0.25">
      <c r="A893" t="str">
        <f>"29/01/2013"</f>
        <v>29/01/2013</v>
      </c>
      <c r="B893" t="str">
        <f>"5.537"</f>
        <v>5.537</v>
      </c>
      <c r="C893" t="str">
        <f>"5.5434"</f>
        <v>5.5434</v>
      </c>
    </row>
    <row r="894" spans="1:3" x14ac:dyDescent="0.25">
      <c r="A894" t="str">
        <f>"30/01/2013"</f>
        <v>30/01/2013</v>
      </c>
      <c r="B894" t="str">
        <f>"5.5012"</f>
        <v>5.5012</v>
      </c>
      <c r="C894" t="str">
        <f>"5.5073"</f>
        <v>5.5073</v>
      </c>
    </row>
    <row r="895" spans="1:3" x14ac:dyDescent="0.25">
      <c r="A895" t="str">
        <f>"31/01/2013"</f>
        <v>31/01/2013</v>
      </c>
      <c r="B895" t="str">
        <f>"5.4783"</f>
        <v>5.4783</v>
      </c>
      <c r="C895" t="str">
        <f>"5.4846"</f>
        <v>5.4846</v>
      </c>
    </row>
    <row r="896" spans="1:3" x14ac:dyDescent="0.25">
      <c r="A896" t="str">
        <f>"01/02/2013"</f>
        <v>01/02/2013</v>
      </c>
      <c r="B896" t="str">
        <f>"5.461"</f>
        <v>5.461</v>
      </c>
      <c r="C896" t="str">
        <f>"5.4673"</f>
        <v>5.4673</v>
      </c>
    </row>
    <row r="897" spans="1:3" x14ac:dyDescent="0.25">
      <c r="A897" t="str">
        <f>"04/02/2013"</f>
        <v>04/02/2013</v>
      </c>
      <c r="B897" t="str">
        <f>"5.4626"</f>
        <v>5.4626</v>
      </c>
      <c r="C897" t="str">
        <f>"5.4689"</f>
        <v>5.4689</v>
      </c>
    </row>
    <row r="898" spans="1:3" x14ac:dyDescent="0.25">
      <c r="A898" t="str">
        <f>"05/02/2013"</f>
        <v>05/02/2013</v>
      </c>
      <c r="B898" t="str">
        <f>"5.4855"</f>
        <v>5.4855</v>
      </c>
      <c r="C898" t="str">
        <f>"5.4917"</f>
        <v>5.4917</v>
      </c>
    </row>
    <row r="899" spans="1:3" x14ac:dyDescent="0.25">
      <c r="A899" t="str">
        <f>"06/02/2013"</f>
        <v>06/02/2013</v>
      </c>
      <c r="B899" t="str">
        <f>"5.4826"</f>
        <v>5.4826</v>
      </c>
      <c r="C899" t="str">
        <f>"5.4888"</f>
        <v>5.4888</v>
      </c>
    </row>
    <row r="900" spans="1:3" x14ac:dyDescent="0.25">
      <c r="A900" t="str">
        <f>"07/02/2013"</f>
        <v>07/02/2013</v>
      </c>
      <c r="B900" t="str">
        <f>"5.51"</f>
        <v>5.51</v>
      </c>
      <c r="C900" t="str">
        <f>"5.5162"</f>
        <v>5.5162</v>
      </c>
    </row>
    <row r="901" spans="1:3" x14ac:dyDescent="0.25">
      <c r="A901" t="str">
        <f>"08/02/2013"</f>
        <v>08/02/2013</v>
      </c>
      <c r="B901" t="str">
        <f>"5.5179"</f>
        <v>5.5179</v>
      </c>
      <c r="C901" t="str">
        <f>"5.5244"</f>
        <v>5.5244</v>
      </c>
    </row>
    <row r="902" spans="1:3" x14ac:dyDescent="0.25">
      <c r="A902" t="str">
        <f>"11/02/2013"</f>
        <v>11/02/2013</v>
      </c>
      <c r="B902" t="str">
        <f>"5.5312"</f>
        <v>5.5312</v>
      </c>
      <c r="C902" t="str">
        <f>"5.5377"</f>
        <v>5.5377</v>
      </c>
    </row>
    <row r="903" spans="1:3" x14ac:dyDescent="0.25">
      <c r="A903" t="str">
        <f>"12/02/2013"</f>
        <v>12/02/2013</v>
      </c>
      <c r="B903" t="str">
        <f>"5.5127"</f>
        <v>5.5127</v>
      </c>
      <c r="C903" t="str">
        <f>"5.519"</f>
        <v>5.519</v>
      </c>
    </row>
    <row r="904" spans="1:3" x14ac:dyDescent="0.25">
      <c r="A904" t="str">
        <f>"13/02/2013"</f>
        <v>13/02/2013</v>
      </c>
      <c r="B904" t="str">
        <f>"5.4887"</f>
        <v>5.4887</v>
      </c>
      <c r="C904" t="str">
        <f>"5.495"</f>
        <v>5.495</v>
      </c>
    </row>
    <row r="905" spans="1:3" x14ac:dyDescent="0.25">
      <c r="A905" t="str">
        <f>"14/02/2013"</f>
        <v>14/02/2013</v>
      </c>
      <c r="B905" t="str">
        <f>"5.5266"</f>
        <v>5.5266</v>
      </c>
      <c r="C905" t="str">
        <f>"5.5328"</f>
        <v>5.5328</v>
      </c>
    </row>
    <row r="906" spans="1:3" x14ac:dyDescent="0.25">
      <c r="A906" t="str">
        <f>"15/02/2013"</f>
        <v>15/02/2013</v>
      </c>
      <c r="B906" t="str">
        <f>"5.5454"</f>
        <v>5.5454</v>
      </c>
      <c r="C906" t="str">
        <f>"5.5516"</f>
        <v>5.5516</v>
      </c>
    </row>
    <row r="907" spans="1:3" x14ac:dyDescent="0.25">
      <c r="A907" t="str">
        <f>"18/02/2013"</f>
        <v>18/02/2013</v>
      </c>
      <c r="B907" t="str">
        <f>"5.5557"</f>
        <v>5.5557</v>
      </c>
      <c r="C907" t="str">
        <f>"5.5619"</f>
        <v>5.5619</v>
      </c>
    </row>
    <row r="908" spans="1:3" x14ac:dyDescent="0.25">
      <c r="A908" t="str">
        <f>"20/02/2013"</f>
        <v>20/02/2013</v>
      </c>
      <c r="B908" t="str">
        <f>"5.5287"</f>
        <v>5.5287</v>
      </c>
      <c r="C908" t="str">
        <f>"5.535"</f>
        <v>5.535</v>
      </c>
    </row>
    <row r="909" spans="1:3" x14ac:dyDescent="0.25">
      <c r="A909" t="str">
        <f>"21/02/2013"</f>
        <v>21/02/2013</v>
      </c>
      <c r="B909" t="str">
        <f>"5.6147"</f>
        <v>5.6147</v>
      </c>
      <c r="C909" t="str">
        <f>"5.621"</f>
        <v>5.621</v>
      </c>
    </row>
    <row r="910" spans="1:3" x14ac:dyDescent="0.25">
      <c r="A910" t="str">
        <f>"22/02/2013"</f>
        <v>22/02/2013</v>
      </c>
      <c r="B910" t="str">
        <f>"5.6676"</f>
        <v>5.6676</v>
      </c>
      <c r="C910" t="str">
        <f>"5.674"</f>
        <v>5.674</v>
      </c>
    </row>
    <row r="911" spans="1:3" x14ac:dyDescent="0.25">
      <c r="A911" t="str">
        <f>"25/02/2013"</f>
        <v>25/02/2013</v>
      </c>
      <c r="B911" t="str">
        <f>"5.6724"</f>
        <v>5.6724</v>
      </c>
      <c r="C911" t="str">
        <f>"5.6786"</f>
        <v>5.6786</v>
      </c>
    </row>
    <row r="912" spans="1:3" x14ac:dyDescent="0.25">
      <c r="A912" t="str">
        <f>"26/02/2013"</f>
        <v>26/02/2013</v>
      </c>
      <c r="B912" t="str">
        <f>"5.7045"</f>
        <v>5.7045</v>
      </c>
      <c r="C912" t="str">
        <f>"5.7104"</f>
        <v>5.7104</v>
      </c>
    </row>
    <row r="913" spans="1:3" x14ac:dyDescent="0.25">
      <c r="A913" t="str">
        <f>"27/02/2013"</f>
        <v>27/02/2013</v>
      </c>
      <c r="B913" t="str">
        <f>"5.699"</f>
        <v>5.699</v>
      </c>
      <c r="C913" t="str">
        <f>"5.7061"</f>
        <v>5.7061</v>
      </c>
    </row>
    <row r="914" spans="1:3" x14ac:dyDescent="0.25">
      <c r="A914" t="str">
        <f>"28/02/2013"</f>
        <v>28/02/2013</v>
      </c>
      <c r="B914" t="str">
        <f>"5.6942"</f>
        <v>5.6942</v>
      </c>
      <c r="C914" t="str">
        <f>"5.7011"</f>
        <v>5.7011</v>
      </c>
    </row>
    <row r="915" spans="1:3" x14ac:dyDescent="0.25">
      <c r="A915" t="str">
        <f>"01/03/2013"</f>
        <v>01/03/2013</v>
      </c>
      <c r="B915" t="str">
        <f>"5.7271"</f>
        <v>5.7271</v>
      </c>
      <c r="C915" t="str">
        <f>"5.7339"</f>
        <v>5.7339</v>
      </c>
    </row>
    <row r="916" spans="1:3" x14ac:dyDescent="0.25">
      <c r="A916" t="str">
        <f>"04/03/2013"</f>
        <v>04/03/2013</v>
      </c>
      <c r="B916" t="str">
        <f>"5.7498"</f>
        <v>5.7498</v>
      </c>
      <c r="C916" t="str">
        <f>"5.7571"</f>
        <v>5.7571</v>
      </c>
    </row>
    <row r="917" spans="1:3" x14ac:dyDescent="0.25">
      <c r="A917" t="str">
        <f>"05/03/2013"</f>
        <v>05/03/2013</v>
      </c>
      <c r="B917" t="str">
        <f>"5.7174"</f>
        <v>5.7174</v>
      </c>
      <c r="C917" t="str">
        <f>"5.7244"</f>
        <v>5.7244</v>
      </c>
    </row>
    <row r="918" spans="1:3" x14ac:dyDescent="0.25">
      <c r="A918" t="str">
        <f>"06/03/2013"</f>
        <v>06/03/2013</v>
      </c>
      <c r="B918" t="str">
        <f>"5.6967"</f>
        <v>5.6967</v>
      </c>
      <c r="C918" t="str">
        <f>"5.7038"</f>
        <v>5.7038</v>
      </c>
    </row>
    <row r="919" spans="1:3" x14ac:dyDescent="0.25">
      <c r="A919" t="str">
        <f>"07/03/2013"</f>
        <v>07/03/2013</v>
      </c>
      <c r="B919" t="str">
        <f>"5.718"</f>
        <v>5.718</v>
      </c>
      <c r="C919" t="str">
        <f>"5.7249"</f>
        <v>5.7249</v>
      </c>
    </row>
    <row r="920" spans="1:3" x14ac:dyDescent="0.25">
      <c r="A920" t="str">
        <f>"08/03/2013"</f>
        <v>08/03/2013</v>
      </c>
      <c r="B920" t="str">
        <f>"5.6779"</f>
        <v>5.6779</v>
      </c>
      <c r="C920" t="str">
        <f>"5.6848"</f>
        <v>5.6848</v>
      </c>
    </row>
    <row r="921" spans="1:3" x14ac:dyDescent="0.25">
      <c r="A921" t="str">
        <f>"11/03/2013"</f>
        <v>11/03/2013</v>
      </c>
      <c r="B921" t="str">
        <f>"5.729"</f>
        <v>5.729</v>
      </c>
      <c r="C921" t="str">
        <f>"5.7364"</f>
        <v>5.7364</v>
      </c>
    </row>
    <row r="922" spans="1:3" x14ac:dyDescent="0.25">
      <c r="A922" t="str">
        <f>"12/03/2013"</f>
        <v>12/03/2013</v>
      </c>
      <c r="B922" t="str">
        <f>"5.7316"</f>
        <v>5.7316</v>
      </c>
      <c r="C922" t="str">
        <f>"5.7388"</f>
        <v>5.7388</v>
      </c>
    </row>
    <row r="923" spans="1:3" x14ac:dyDescent="0.25">
      <c r="A923" t="str">
        <f>"13/03/2013"</f>
        <v>13/03/2013</v>
      </c>
      <c r="B923" t="str">
        <f>"5.7003"</f>
        <v>5.7003</v>
      </c>
      <c r="C923" t="str">
        <f>"5.7075"</f>
        <v>5.7075</v>
      </c>
    </row>
    <row r="924" spans="1:3" x14ac:dyDescent="0.25">
      <c r="A924" t="str">
        <f>"14/03/2013"</f>
        <v>14/03/2013</v>
      </c>
      <c r="B924" t="str">
        <f>"5.7502"</f>
        <v>5.7502</v>
      </c>
      <c r="C924" t="str">
        <f>"5.7571"</f>
        <v>5.7571</v>
      </c>
    </row>
    <row r="925" spans="1:3" x14ac:dyDescent="0.25">
      <c r="A925" t="str">
        <f>"15/03/2013"</f>
        <v>15/03/2013</v>
      </c>
      <c r="B925" t="str">
        <f>"5.7869"</f>
        <v>5.7869</v>
      </c>
      <c r="C925" t="str">
        <f>"5.7939"</f>
        <v>5.7939</v>
      </c>
    </row>
    <row r="926" spans="1:3" x14ac:dyDescent="0.25">
      <c r="A926" t="str">
        <f>"18/03/2013"</f>
        <v>18/03/2013</v>
      </c>
      <c r="B926" t="str">
        <f>"5.8068"</f>
        <v>5.8068</v>
      </c>
      <c r="C926" t="str">
        <f>"5.8146"</f>
        <v>5.8146</v>
      </c>
    </row>
    <row r="927" spans="1:3" x14ac:dyDescent="0.25">
      <c r="A927" t="str">
        <f>"19/03/2013"</f>
        <v>19/03/2013</v>
      </c>
      <c r="B927" t="str">
        <f>"5.796"</f>
        <v>5.796</v>
      </c>
      <c r="C927" t="str">
        <f>"5.8034"</f>
        <v>5.8034</v>
      </c>
    </row>
    <row r="928" spans="1:3" x14ac:dyDescent="0.25">
      <c r="A928" t="str">
        <f>"20/03/2013"</f>
        <v>20/03/2013</v>
      </c>
      <c r="B928" t="str">
        <f>"5.8399"</f>
        <v>5.8399</v>
      </c>
      <c r="C928" t="str">
        <f>"5.8473"</f>
        <v>5.8473</v>
      </c>
    </row>
    <row r="929" spans="1:3" x14ac:dyDescent="0.25">
      <c r="A929" t="str">
        <f>"21/03/2013"</f>
        <v>21/03/2013</v>
      </c>
      <c r="B929" t="str">
        <f>"5.8462"</f>
        <v>5.8462</v>
      </c>
      <c r="C929" t="str">
        <f>"5.8537"</f>
        <v>5.8537</v>
      </c>
    </row>
    <row r="930" spans="1:3" x14ac:dyDescent="0.25">
      <c r="A930" t="str">
        <f>"22/03/2013"</f>
        <v>22/03/2013</v>
      </c>
      <c r="B930" t="str">
        <f>"5.8369"</f>
        <v>5.8369</v>
      </c>
      <c r="C930" t="str">
        <f>"5.8441"</f>
        <v>5.8441</v>
      </c>
    </row>
    <row r="931" spans="1:3" x14ac:dyDescent="0.25">
      <c r="A931" t="str">
        <f>"25/03/2013"</f>
        <v>25/03/2013</v>
      </c>
      <c r="B931" t="str">
        <f>"5.7855"</f>
        <v>5.7855</v>
      </c>
      <c r="C931" t="str">
        <f>"5.7936"</f>
        <v>5.7936</v>
      </c>
    </row>
    <row r="932" spans="1:3" x14ac:dyDescent="0.25">
      <c r="A932" t="str">
        <f>"26/03/2013"</f>
        <v>26/03/2013</v>
      </c>
      <c r="B932" t="str">
        <f>"5.8372"</f>
        <v>5.8372</v>
      </c>
      <c r="C932" t="str">
        <f>"5.8442"</f>
        <v>5.8442</v>
      </c>
    </row>
    <row r="933" spans="1:3" x14ac:dyDescent="0.25">
      <c r="A933" t="str">
        <f>"28/03/2013"</f>
        <v>28/03/2013</v>
      </c>
      <c r="B933" t="str">
        <f>"5.855"</f>
        <v>5.855</v>
      </c>
      <c r="C933" t="str">
        <f>"5.8623"</f>
        <v>5.8623</v>
      </c>
    </row>
    <row r="934" spans="1:3" x14ac:dyDescent="0.25">
      <c r="A934" t="str">
        <f>"02/04/2013"</f>
        <v>02/04/2013</v>
      </c>
      <c r="B934" t="str">
        <f>"5.8123"</f>
        <v>5.8123</v>
      </c>
      <c r="C934" t="str">
        <f>"5.82"</f>
        <v>5.82</v>
      </c>
    </row>
    <row r="935" spans="1:3" x14ac:dyDescent="0.25">
      <c r="A935" t="str">
        <f>"03/04/2013"</f>
        <v>03/04/2013</v>
      </c>
      <c r="B935" t="str">
        <f>"5.8124"</f>
        <v>5.8124</v>
      </c>
      <c r="C935" t="str">
        <f>"5.8197"</f>
        <v>5.8197</v>
      </c>
    </row>
    <row r="936" spans="1:3" x14ac:dyDescent="0.25">
      <c r="A936" t="str">
        <f>"04/04/2013"</f>
        <v>04/04/2013</v>
      </c>
      <c r="B936" t="str">
        <f>"5.8181"</f>
        <v>5.8181</v>
      </c>
      <c r="C936" t="str">
        <f>"5.8253"</f>
        <v>5.8253</v>
      </c>
    </row>
    <row r="937" spans="1:3" x14ac:dyDescent="0.25">
      <c r="A937" t="str">
        <f>"05/04/2013"</f>
        <v>05/04/2013</v>
      </c>
      <c r="B937" t="str">
        <f>"5.7812"</f>
        <v>5.7812</v>
      </c>
      <c r="C937" t="str">
        <f>"5.7887"</f>
        <v>5.7887</v>
      </c>
    </row>
    <row r="938" spans="1:3" x14ac:dyDescent="0.25">
      <c r="A938" t="str">
        <f>"08/04/2013"</f>
        <v>08/04/2013</v>
      </c>
      <c r="B938" t="str">
        <f>"5.7301"</f>
        <v>5.7301</v>
      </c>
      <c r="C938" t="str">
        <f>"5.7372"</f>
        <v>5.7372</v>
      </c>
    </row>
    <row r="939" spans="1:3" x14ac:dyDescent="0.25">
      <c r="A939" t="str">
        <f>"09/04/2013"</f>
        <v>09/04/2013</v>
      </c>
      <c r="B939" t="str">
        <f>"5.7352"</f>
        <v>5.7352</v>
      </c>
      <c r="C939" t="str">
        <f>"5.7427"</f>
        <v>5.7427</v>
      </c>
    </row>
    <row r="940" spans="1:3" x14ac:dyDescent="0.25">
      <c r="A940" t="str">
        <f>"10/04/2013"</f>
        <v>10/04/2013</v>
      </c>
      <c r="B940" t="str">
        <f>"5.7179"</f>
        <v>5.7179</v>
      </c>
      <c r="C940" t="str">
        <f>"5.7251"</f>
        <v>5.7251</v>
      </c>
    </row>
    <row r="941" spans="1:3" x14ac:dyDescent="0.25">
      <c r="A941" t="str">
        <f>"12/04/2013"</f>
        <v>12/04/2013</v>
      </c>
      <c r="B941" t="str">
        <f>"5.7047"</f>
        <v>5.7047</v>
      </c>
      <c r="C941" t="str">
        <f>"5.7115"</f>
        <v>5.7115</v>
      </c>
    </row>
    <row r="942" spans="1:3" x14ac:dyDescent="0.25">
      <c r="A942" t="str">
        <f>"15/04/2013"</f>
        <v>15/04/2013</v>
      </c>
      <c r="B942" t="str">
        <f>"5.7408"</f>
        <v>5.7408</v>
      </c>
      <c r="C942" t="str">
        <f>"5.7485"</f>
        <v>5.7485</v>
      </c>
    </row>
    <row r="943" spans="1:3" x14ac:dyDescent="0.25">
      <c r="A943" t="str">
        <f>"16/04/2013"</f>
        <v>16/04/2013</v>
      </c>
      <c r="B943" t="str">
        <f>"5.7481"</f>
        <v>5.7481</v>
      </c>
      <c r="C943" t="str">
        <f>"5.7557"</f>
        <v>5.7557</v>
      </c>
    </row>
    <row r="944" spans="1:3" x14ac:dyDescent="0.25">
      <c r="A944" t="str">
        <f>"17/04/2013"</f>
        <v>17/04/2013</v>
      </c>
      <c r="B944" t="str">
        <f>"5.7335"</f>
        <v>5.7335</v>
      </c>
      <c r="C944" t="str">
        <f>"5.7406"</f>
        <v>5.7406</v>
      </c>
    </row>
    <row r="945" spans="1:3" x14ac:dyDescent="0.25">
      <c r="A945" t="str">
        <f>"18/04/2013"</f>
        <v>18/04/2013</v>
      </c>
      <c r="B945" t="str">
        <f>"5.7994"</f>
        <v>5.7994</v>
      </c>
      <c r="C945" t="str">
        <f>"5.806"</f>
        <v>5.806</v>
      </c>
    </row>
    <row r="946" spans="1:3" x14ac:dyDescent="0.25">
      <c r="A946" t="str">
        <f>"22/04/2013"</f>
        <v>22/04/2013</v>
      </c>
      <c r="B946" t="str">
        <f>"5.8102"</f>
        <v>5.8102</v>
      </c>
      <c r="C946" t="str">
        <f>"5.8169"</f>
        <v>5.8169</v>
      </c>
    </row>
    <row r="947" spans="1:3" x14ac:dyDescent="0.25">
      <c r="A947" t="str">
        <f>"23/04/2013"</f>
        <v>23/04/2013</v>
      </c>
      <c r="B947" t="str">
        <f>"5.864"</f>
        <v>5.864</v>
      </c>
      <c r="C947" t="str">
        <f>"5.8713"</f>
        <v>5.8713</v>
      </c>
    </row>
    <row r="948" spans="1:3" x14ac:dyDescent="0.25">
      <c r="A948" t="str">
        <f>"25/04/2013"</f>
        <v>25/04/2013</v>
      </c>
      <c r="B948" t="str">
        <f>"5.8866"</f>
        <v>5.8866</v>
      </c>
      <c r="C948" t="str">
        <f>"5.8933"</f>
        <v>5.8933</v>
      </c>
    </row>
    <row r="949" spans="1:3" x14ac:dyDescent="0.25">
      <c r="A949" t="str">
        <f>"26/04/2013"</f>
        <v>26/04/2013</v>
      </c>
      <c r="B949" t="str">
        <f>"5.859"</f>
        <v>5.859</v>
      </c>
      <c r="C949" t="str">
        <f>"5.8659"</f>
        <v>5.8659</v>
      </c>
    </row>
    <row r="950" spans="1:3" x14ac:dyDescent="0.25">
      <c r="A950" t="str">
        <f>"29/04/2013"</f>
        <v>29/04/2013</v>
      </c>
      <c r="B950" t="str">
        <f>"5.8487"</f>
        <v>5.8487</v>
      </c>
      <c r="C950" t="str">
        <f>"5.8558"</f>
        <v>5.8558</v>
      </c>
    </row>
    <row r="951" spans="1:3" x14ac:dyDescent="0.25">
      <c r="A951" t="str">
        <f>"30/04/2013"</f>
        <v>30/04/2013</v>
      </c>
      <c r="B951" t="str">
        <f>"5.8189"</f>
        <v>5.8189</v>
      </c>
      <c r="C951" t="str">
        <f>"5.8259"</f>
        <v>5.8259</v>
      </c>
    </row>
    <row r="952" spans="1:3" x14ac:dyDescent="0.25">
      <c r="A952" t="str">
        <f>"02/05/2013"</f>
        <v>02/05/2013</v>
      </c>
      <c r="B952" t="str">
        <f>"5.7737"</f>
        <v>5.7737</v>
      </c>
      <c r="C952" t="str">
        <f>"5.7806"</f>
        <v>5.7806</v>
      </c>
    </row>
    <row r="953" spans="1:3" x14ac:dyDescent="0.25">
      <c r="A953" t="str">
        <f>"03/05/2013"</f>
        <v>03/05/2013</v>
      </c>
      <c r="B953" t="str">
        <f>"5.8031"</f>
        <v>5.8031</v>
      </c>
      <c r="C953" t="str">
        <f>"5.8101"</f>
        <v>5.8101</v>
      </c>
    </row>
    <row r="954" spans="1:3" x14ac:dyDescent="0.25">
      <c r="A954" t="str">
        <f>"06/05/2013"</f>
        <v>06/05/2013</v>
      </c>
      <c r="B954" t="str">
        <f>"5.8031"</f>
        <v>5.8031</v>
      </c>
      <c r="C954" t="str">
        <f>"5.8104"</f>
        <v>5.8104</v>
      </c>
    </row>
    <row r="955" spans="1:3" x14ac:dyDescent="0.25">
      <c r="A955" t="str">
        <f>"07/05/2013"</f>
        <v>07/05/2013</v>
      </c>
      <c r="B955" t="str">
        <f>"5.8365"</f>
        <v>5.8365</v>
      </c>
      <c r="C955" t="str">
        <f>"5.8435"</f>
        <v>5.8435</v>
      </c>
    </row>
    <row r="956" spans="1:3" x14ac:dyDescent="0.25">
      <c r="A956" t="str">
        <f>"08/05/2013"</f>
        <v>08/05/2013</v>
      </c>
      <c r="B956" t="str">
        <f>"5.8367"</f>
        <v>5.8367</v>
      </c>
      <c r="C956" t="str">
        <f>"5.8437"</f>
        <v>5.8437</v>
      </c>
    </row>
    <row r="957" spans="1:3" x14ac:dyDescent="0.25">
      <c r="A957" t="str">
        <f>"09/05/2013"</f>
        <v>09/05/2013</v>
      </c>
      <c r="B957" t="str">
        <f>"5.7493"</f>
        <v>5.7493</v>
      </c>
      <c r="C957" t="str">
        <f>"5.7565"</f>
        <v>5.7565</v>
      </c>
    </row>
    <row r="958" spans="1:3" x14ac:dyDescent="0.25">
      <c r="A958" t="str">
        <f>"10/05/2013"</f>
        <v>10/05/2013</v>
      </c>
      <c r="B958" t="str">
        <f>"5.7832"</f>
        <v>5.7832</v>
      </c>
      <c r="C958" t="str">
        <f>"5.7904"</f>
        <v>5.7904</v>
      </c>
    </row>
    <row r="959" spans="1:3" x14ac:dyDescent="0.25">
      <c r="A959" t="str">
        <f>"13/05/2013"</f>
        <v>13/05/2013</v>
      </c>
      <c r="B959" t="str">
        <f>"5.8072"</f>
        <v>5.8072</v>
      </c>
      <c r="C959" t="str">
        <f>"5.8149"</f>
        <v>5.8149</v>
      </c>
    </row>
    <row r="960" spans="1:3" x14ac:dyDescent="0.25">
      <c r="A960" t="str">
        <f>"14/05/2013"</f>
        <v>14/05/2013</v>
      </c>
      <c r="B960" t="str">
        <f>"5.7916"</f>
        <v>5.7916</v>
      </c>
      <c r="C960" t="str">
        <f>"5.7989"</f>
        <v>5.7989</v>
      </c>
    </row>
    <row r="961" spans="1:3" x14ac:dyDescent="0.25">
      <c r="A961" t="str">
        <f>"15/05/2013"</f>
        <v>15/05/2013</v>
      </c>
      <c r="B961" t="str">
        <f>"5.8333"</f>
        <v>5.8333</v>
      </c>
      <c r="C961" t="str">
        <f>"5.8403"</f>
        <v>5.8403</v>
      </c>
    </row>
    <row r="962" spans="1:3" x14ac:dyDescent="0.25">
      <c r="A962" t="str">
        <f>"16/05/2013"</f>
        <v>16/05/2013</v>
      </c>
      <c r="B962" t="str">
        <f>"5.8539"</f>
        <v>5.8539</v>
      </c>
      <c r="C962" t="str">
        <f>"5.8613"</f>
        <v>5.8613</v>
      </c>
    </row>
    <row r="963" spans="1:3" x14ac:dyDescent="0.25">
      <c r="A963" t="str">
        <f>"17/05/2013"</f>
        <v>17/05/2013</v>
      </c>
      <c r="B963" t="str">
        <f>"5.8452"</f>
        <v>5.8452</v>
      </c>
      <c r="C963" t="str">
        <f>"5.8525"</f>
        <v>5.8525</v>
      </c>
    </row>
    <row r="964" spans="1:3" x14ac:dyDescent="0.25">
      <c r="A964" t="str">
        <f>"20/05/2013"</f>
        <v>20/05/2013</v>
      </c>
      <c r="B964" t="str">
        <f>"5.8621"</f>
        <v>5.8621</v>
      </c>
      <c r="C964" t="str">
        <f>"5.8696"</f>
        <v>5.8696</v>
      </c>
    </row>
    <row r="965" spans="1:3" x14ac:dyDescent="0.25">
      <c r="A965" t="str">
        <f>"21/05/2013"</f>
        <v>21/05/2013</v>
      </c>
      <c r="B965" t="str">
        <f>"5.8353"</f>
        <v>5.8353</v>
      </c>
      <c r="C965" t="str">
        <f>"5.8423"</f>
        <v>5.8423</v>
      </c>
    </row>
    <row r="966" spans="1:3" x14ac:dyDescent="0.25">
      <c r="A966" t="str">
        <f>"22/05/2013"</f>
        <v>22/05/2013</v>
      </c>
      <c r="B966" t="str">
        <f>"5.7974"</f>
        <v>5.7974</v>
      </c>
      <c r="C966" t="str">
        <f>"5.8042"</f>
        <v>5.8042</v>
      </c>
    </row>
    <row r="967" spans="1:3" x14ac:dyDescent="0.25">
      <c r="A967" t="str">
        <f>"23/05/2013"</f>
        <v>23/05/2013</v>
      </c>
      <c r="B967" t="str">
        <f>"5.8348"</f>
        <v>5.8348</v>
      </c>
      <c r="C967" t="str">
        <f>"5.8415"</f>
        <v>5.8415</v>
      </c>
    </row>
    <row r="968" spans="1:3" x14ac:dyDescent="0.25">
      <c r="A968" t="str">
        <f>"24/05/2013"</f>
        <v>24/05/2013</v>
      </c>
      <c r="B968" t="str">
        <f>"5.8268"</f>
        <v>5.8268</v>
      </c>
      <c r="C968" t="str">
        <f>"5.8335"</f>
        <v>5.8335</v>
      </c>
    </row>
    <row r="969" spans="1:3" x14ac:dyDescent="0.25">
      <c r="A969" t="str">
        <f>"27/05/2013"</f>
        <v>27/05/2013</v>
      </c>
      <c r="B969" t="str">
        <f>"5.8339"</f>
        <v>5.8339</v>
      </c>
      <c r="C969" t="str">
        <f>"5.8405"</f>
        <v>5.8405</v>
      </c>
    </row>
    <row r="970" spans="1:3" x14ac:dyDescent="0.25">
      <c r="A970" t="str">
        <f>"28/05/2013"</f>
        <v>28/05/2013</v>
      </c>
      <c r="B970" t="str">
        <f>"5.8498"</f>
        <v>5.8498</v>
      </c>
      <c r="C970" t="str">
        <f>"5.8564"</f>
        <v>5.8564</v>
      </c>
    </row>
    <row r="971" spans="1:3" x14ac:dyDescent="0.25">
      <c r="A971" t="str">
        <f>"29/05/2013"</f>
        <v>29/05/2013</v>
      </c>
      <c r="B971" t="str">
        <f>"5.8984"</f>
        <v>5.8984</v>
      </c>
      <c r="C971" t="str">
        <f>"5.9048"</f>
        <v>5.9048</v>
      </c>
    </row>
    <row r="972" spans="1:3" x14ac:dyDescent="0.25">
      <c r="A972" t="str">
        <f>"30/05/2013"</f>
        <v>30/05/2013</v>
      </c>
      <c r="B972" t="str">
        <f>"5.8877"</f>
        <v>5.8877</v>
      </c>
      <c r="C972" t="str">
        <f>"5.8945"</f>
        <v>5.8945</v>
      </c>
    </row>
    <row r="973" spans="1:3" x14ac:dyDescent="0.25">
      <c r="A973" t="str">
        <f>"31/05/2013"</f>
        <v>31/05/2013</v>
      </c>
      <c r="B973" t="str">
        <f>"5.8401"</f>
        <v>5.8401</v>
      </c>
      <c r="C973" t="str">
        <f>"5.847"</f>
        <v>5.847</v>
      </c>
    </row>
    <row r="974" spans="1:3" x14ac:dyDescent="0.25">
      <c r="A974" t="str">
        <f>"03/06/2013"</f>
        <v>03/06/2013</v>
      </c>
      <c r="B974" t="str">
        <f>"5.867"</f>
        <v>5.867</v>
      </c>
      <c r="C974" t="str">
        <f>"5.8736"</f>
        <v>5.8736</v>
      </c>
    </row>
    <row r="975" spans="1:3" x14ac:dyDescent="0.25">
      <c r="A975" t="str">
        <f>"04/06/2013"</f>
        <v>04/06/2013</v>
      </c>
      <c r="B975" t="str">
        <f>"5.8106"</f>
        <v>5.8106</v>
      </c>
      <c r="C975" t="str">
        <f>"5.8179"</f>
        <v>5.8179</v>
      </c>
    </row>
    <row r="976" spans="1:3" x14ac:dyDescent="0.25">
      <c r="A976" t="str">
        <f>"05/06/2013"</f>
        <v>05/06/2013</v>
      </c>
      <c r="B976" t="str">
        <f>"5.8053"</f>
        <v>5.8053</v>
      </c>
      <c r="C976" t="str">
        <f>"5.8123"</f>
        <v>5.8123</v>
      </c>
    </row>
    <row r="977" spans="1:3" x14ac:dyDescent="0.25">
      <c r="A977" t="str">
        <f>"06/06/2013"</f>
        <v>06/06/2013</v>
      </c>
      <c r="B977" t="str">
        <f>"5.8141"</f>
        <v>5.8141</v>
      </c>
      <c r="C977" t="str">
        <f>"5.8208"</f>
        <v>5.8208</v>
      </c>
    </row>
    <row r="978" spans="1:3" x14ac:dyDescent="0.25">
      <c r="A978" t="str">
        <f>"07/06/2013"</f>
        <v>07/06/2013</v>
      </c>
      <c r="B978" t="str">
        <f>"5.7441"</f>
        <v>5.7441</v>
      </c>
      <c r="C978" t="str">
        <f>"5.7508"</f>
        <v>5.7508</v>
      </c>
    </row>
    <row r="979" spans="1:3" x14ac:dyDescent="0.25">
      <c r="A979" t="str">
        <f>"10/06/2013"</f>
        <v>10/06/2013</v>
      </c>
      <c r="B979" t="str">
        <f>"5.7802"</f>
        <v>5.7802</v>
      </c>
      <c r="C979" t="str">
        <f>"5.7869"</f>
        <v>5.7869</v>
      </c>
    </row>
    <row r="980" spans="1:3" x14ac:dyDescent="0.25">
      <c r="A980" t="str">
        <f>"11/06/2013"</f>
        <v>11/06/2013</v>
      </c>
      <c r="B980" t="str">
        <f>"5.7606"</f>
        <v>5.7606</v>
      </c>
      <c r="C980" t="str">
        <f>"5.7677"</f>
        <v>5.7677</v>
      </c>
    </row>
    <row r="981" spans="1:3" x14ac:dyDescent="0.25">
      <c r="A981" t="str">
        <f>"12/06/2013"</f>
        <v>12/06/2013</v>
      </c>
      <c r="B981" t="str">
        <f>"5.7814"</f>
        <v>5.7814</v>
      </c>
      <c r="C981" t="str">
        <f>"5.7883"</f>
        <v>5.7883</v>
      </c>
    </row>
    <row r="982" spans="1:3" x14ac:dyDescent="0.25">
      <c r="A982" t="str">
        <f>"13/06/2013"</f>
        <v>13/06/2013</v>
      </c>
      <c r="B982" t="str">
        <f>"5.7617"</f>
        <v>5.7617</v>
      </c>
      <c r="C982" t="str">
        <f>"5.7683"</f>
        <v>5.7683</v>
      </c>
    </row>
    <row r="983" spans="1:3" x14ac:dyDescent="0.25">
      <c r="A983" t="str">
        <f>"14/06/2013"</f>
        <v>14/06/2013</v>
      </c>
      <c r="B983" t="str">
        <f>"5.7538"</f>
        <v>5.7538</v>
      </c>
      <c r="C983" t="str">
        <f>"5.7605"</f>
        <v>5.7605</v>
      </c>
    </row>
    <row r="984" spans="1:3" x14ac:dyDescent="0.25">
      <c r="A984" t="str">
        <f>"17/06/2013"</f>
        <v>17/06/2013</v>
      </c>
      <c r="B984" t="str">
        <f>"5.7261"</f>
        <v>5.7261</v>
      </c>
      <c r="C984" t="str">
        <f>"5.7327"</f>
        <v>5.7327</v>
      </c>
    </row>
    <row r="985" spans="1:3" x14ac:dyDescent="0.25">
      <c r="A985" t="str">
        <f>"18/06/2013"</f>
        <v>18/06/2013</v>
      </c>
      <c r="B985" t="str">
        <f>"5.751"</f>
        <v>5.751</v>
      </c>
      <c r="C985" t="str">
        <f>"5.758"</f>
        <v>5.758</v>
      </c>
    </row>
    <row r="986" spans="1:3" x14ac:dyDescent="0.25">
      <c r="A986" t="str">
        <f>"19/06/2013"</f>
        <v>19/06/2013</v>
      </c>
      <c r="B986" t="str">
        <f>"5.7414"</f>
        <v>5.7414</v>
      </c>
      <c r="C986" t="str">
        <f>"5.7482"</f>
        <v>5.7482</v>
      </c>
    </row>
    <row r="987" spans="1:3" x14ac:dyDescent="0.25">
      <c r="A987" t="str">
        <f>"20/06/2013"</f>
        <v>20/06/2013</v>
      </c>
      <c r="B987" t="str">
        <f>"5.7966"</f>
        <v>5.7966</v>
      </c>
      <c r="C987" t="str">
        <f>"5.8031"</f>
        <v>5.8031</v>
      </c>
    </row>
    <row r="988" spans="1:3" x14ac:dyDescent="0.25">
      <c r="A988" t="str">
        <f>"21/06/2013"</f>
        <v>21/06/2013</v>
      </c>
      <c r="B988" t="str">
        <f>"5.9865"</f>
        <v>5.9865</v>
      </c>
      <c r="C988" t="str">
        <f>"5.993"</f>
        <v>5.993</v>
      </c>
    </row>
    <row r="989" spans="1:3" x14ac:dyDescent="0.25">
      <c r="A989" t="str">
        <f>"24/06/2013"</f>
        <v>24/06/2013</v>
      </c>
      <c r="B989" t="str">
        <f>"6.0775"</f>
        <v>6.0775</v>
      </c>
      <c r="C989" t="str">
        <f>"6.0841"</f>
        <v>6.0841</v>
      </c>
    </row>
    <row r="990" spans="1:3" x14ac:dyDescent="0.25">
      <c r="A990" t="str">
        <f>"25/06/2013"</f>
        <v>25/06/2013</v>
      </c>
      <c r="B990" t="str">
        <f>"6.1372"</f>
        <v>6.1372</v>
      </c>
      <c r="C990" t="str">
        <f>"6.1443"</f>
        <v>6.1443</v>
      </c>
    </row>
    <row r="991" spans="1:3" x14ac:dyDescent="0.25">
      <c r="A991" t="str">
        <f>"26/06/2013"</f>
        <v>26/06/2013</v>
      </c>
      <c r="B991" t="str">
        <f>"6.1021"</f>
        <v>6.1021</v>
      </c>
      <c r="C991" t="str">
        <f>"6.1094"</f>
        <v>6.1094</v>
      </c>
    </row>
    <row r="992" spans="1:3" x14ac:dyDescent="0.25">
      <c r="A992" t="str">
        <f>"27/06/2013"</f>
        <v>27/06/2013</v>
      </c>
      <c r="B992" t="str">
        <f>"6.096"</f>
        <v>6.096</v>
      </c>
      <c r="C992" t="str">
        <f>"6.103"</f>
        <v>6.103</v>
      </c>
    </row>
    <row r="993" spans="1:3" x14ac:dyDescent="0.25">
      <c r="A993" t="str">
        <f>"28/06/2013"</f>
        <v>28/06/2013</v>
      </c>
      <c r="B993" t="str">
        <f>"6.0394"</f>
        <v>6.0394</v>
      </c>
      <c r="C993" t="str">
        <f>"6.0463"</f>
        <v>6.0463</v>
      </c>
    </row>
    <row r="994" spans="1:3" x14ac:dyDescent="0.25">
      <c r="A994" t="str">
        <f>"01/07/2013"</f>
        <v>01/07/2013</v>
      </c>
      <c r="B994" t="str">
        <f>"6.0699"</f>
        <v>6.0699</v>
      </c>
      <c r="C994" t="str">
        <f>"6.0769"</f>
        <v>6.0769</v>
      </c>
    </row>
    <row r="995" spans="1:3" x14ac:dyDescent="0.25">
      <c r="A995" t="str">
        <f>"02/07/2013"</f>
        <v>02/07/2013</v>
      </c>
      <c r="B995" t="str">
        <f>"6.1163"</f>
        <v>6.1163</v>
      </c>
      <c r="C995" t="str">
        <f>"6.1231"</f>
        <v>6.1231</v>
      </c>
    </row>
    <row r="996" spans="1:3" x14ac:dyDescent="0.25">
      <c r="A996" t="str">
        <f>"03/07/2013"</f>
        <v>03/07/2013</v>
      </c>
      <c r="B996" t="str">
        <f>"6.0845"</f>
        <v>6.0845</v>
      </c>
      <c r="C996" t="str">
        <f>"6.0911"</f>
        <v>6.0911</v>
      </c>
    </row>
    <row r="997" spans="1:3" x14ac:dyDescent="0.25">
      <c r="A997" t="str">
        <f>"04/07/2013"</f>
        <v>04/07/2013</v>
      </c>
      <c r="B997" t="str">
        <f>"6.1168"</f>
        <v>6.1168</v>
      </c>
      <c r="C997" t="str">
        <f>"6.1236"</f>
        <v>6.1236</v>
      </c>
    </row>
    <row r="998" spans="1:3" x14ac:dyDescent="0.25">
      <c r="A998" t="str">
        <f>"05/07/2013"</f>
        <v>05/07/2013</v>
      </c>
      <c r="B998" t="str">
        <f>"6.1156"</f>
        <v>6.1156</v>
      </c>
      <c r="C998" t="str">
        <f>"6.1224"</f>
        <v>6.1224</v>
      </c>
    </row>
    <row r="999" spans="1:3" x14ac:dyDescent="0.25">
      <c r="A999" t="str">
        <f>"08/07/2013"</f>
        <v>08/07/2013</v>
      </c>
      <c r="B999" t="str">
        <f>"6.2641"</f>
        <v>6.2641</v>
      </c>
      <c r="C999" t="str">
        <f>"6.2715"</f>
        <v>6.2715</v>
      </c>
    </row>
    <row r="1000" spans="1:3" x14ac:dyDescent="0.25">
      <c r="A1000" t="str">
        <f>"09/07/2013"</f>
        <v>09/07/2013</v>
      </c>
      <c r="B1000" t="str">
        <f>"6.155"</f>
        <v>6.155</v>
      </c>
      <c r="C1000" t="str">
        <f>"6.1621"</f>
        <v>6.1621</v>
      </c>
    </row>
    <row r="1001" spans="1:3" x14ac:dyDescent="0.25">
      <c r="A1001" t="str">
        <f>"10/07/2013"</f>
        <v>10/07/2013</v>
      </c>
      <c r="B1001" t="str">
        <f>"6.1857"</f>
        <v>6.1857</v>
      </c>
      <c r="C1001" t="str">
        <f>"6.1925"</f>
        <v>6.1925</v>
      </c>
    </row>
    <row r="1002" spans="1:3" x14ac:dyDescent="0.25">
      <c r="A1002" t="str">
        <f>"11/07/2013"</f>
        <v>11/07/2013</v>
      </c>
      <c r="B1002" t="str">
        <f>"6.0134"</f>
        <v>6.0134</v>
      </c>
      <c r="C1002" t="str">
        <f>"6.0204"</f>
        <v>6.0204</v>
      </c>
    </row>
    <row r="1003" spans="1:3" x14ac:dyDescent="0.25">
      <c r="A1003" t="str">
        <f>"12/07/2013"</f>
        <v>12/07/2013</v>
      </c>
      <c r="B1003" t="str">
        <f>"6.0672"</f>
        <v>6.0672</v>
      </c>
      <c r="C1003" t="str">
        <f>"6.0743"</f>
        <v>6.0743</v>
      </c>
    </row>
    <row r="1004" spans="1:3" x14ac:dyDescent="0.25">
      <c r="A1004" t="str">
        <f>"15/07/2013"</f>
        <v>15/07/2013</v>
      </c>
      <c r="B1004" t="str">
        <f>"6.0627"</f>
        <v>6.0627</v>
      </c>
      <c r="C1004" t="str">
        <f>"6.0703"</f>
        <v>6.0703</v>
      </c>
    </row>
    <row r="1005" spans="1:3" x14ac:dyDescent="0.25">
      <c r="A1005" t="str">
        <f>"16/07/2013"</f>
        <v>16/07/2013</v>
      </c>
      <c r="B1005" t="str">
        <f>"6.0736"</f>
        <v>6.0736</v>
      </c>
      <c r="C1005" t="str">
        <f>"6.081"</f>
        <v>6.081</v>
      </c>
    </row>
    <row r="1006" spans="1:3" x14ac:dyDescent="0.25">
      <c r="A1006" t="str">
        <f>"17/07/2013"</f>
        <v>17/07/2013</v>
      </c>
      <c r="B1006" t="str">
        <f>"6.0054"</f>
        <v>6.0054</v>
      </c>
      <c r="C1006" t="str">
        <f>"6.0124"</f>
        <v>6.0124</v>
      </c>
    </row>
    <row r="1007" spans="1:3" x14ac:dyDescent="0.25">
      <c r="A1007" t="str">
        <f>"18/07/2013"</f>
        <v>18/07/2013</v>
      </c>
      <c r="B1007" t="str">
        <f>"6.0103"</f>
        <v>6.0103</v>
      </c>
      <c r="C1007" t="str">
        <f>"6.0174"</f>
        <v>6.0174</v>
      </c>
    </row>
    <row r="1008" spans="1:3" x14ac:dyDescent="0.25">
      <c r="A1008" t="str">
        <f>"19/07/2013"</f>
        <v>19/07/2013</v>
      </c>
      <c r="B1008" t="str">
        <f>"5.9745"</f>
        <v>5.9745</v>
      </c>
      <c r="C1008" t="str">
        <f>"5.9815"</f>
        <v>5.9815</v>
      </c>
    </row>
    <row r="1009" spans="1:3" x14ac:dyDescent="0.25">
      <c r="A1009" t="str">
        <f>"22/07/2013"</f>
        <v>22/07/2013</v>
      </c>
      <c r="B1009" t="str">
        <f>"5.974"</f>
        <v>5.974</v>
      </c>
      <c r="C1009" t="str">
        <f>"5.9816"</f>
        <v>5.9816</v>
      </c>
    </row>
    <row r="1010" spans="1:3" x14ac:dyDescent="0.25">
      <c r="A1010" t="str">
        <f>"23/07/2013"</f>
        <v>23/07/2013</v>
      </c>
      <c r="B1010" t="str">
        <f>"5.9447"</f>
        <v>5.9447</v>
      </c>
      <c r="C1010" t="str">
        <f>"5.952"</f>
        <v>5.952</v>
      </c>
    </row>
    <row r="1011" spans="1:3" x14ac:dyDescent="0.25">
      <c r="A1011" t="str">
        <f>"24/07/2013"</f>
        <v>24/07/2013</v>
      </c>
      <c r="B1011" t="str">
        <f>"5.885"</f>
        <v>5.885</v>
      </c>
      <c r="C1011" t="str">
        <f>"5.8921"</f>
        <v>5.8921</v>
      </c>
    </row>
    <row r="1012" spans="1:3" x14ac:dyDescent="0.25">
      <c r="A1012" t="str">
        <f>"25/07/2013"</f>
        <v>25/07/2013</v>
      </c>
      <c r="B1012" t="str">
        <f>"5.9347"</f>
        <v>5.9347</v>
      </c>
      <c r="C1012" t="str">
        <f>"5.9418"</f>
        <v>5.9418</v>
      </c>
    </row>
    <row r="1013" spans="1:3" x14ac:dyDescent="0.25">
      <c r="A1013" t="str">
        <f>"26/07/2013"</f>
        <v>26/07/2013</v>
      </c>
      <c r="B1013" t="str">
        <f>"5.9134"</f>
        <v>5.9134</v>
      </c>
      <c r="C1013" t="str">
        <f>"5.9205"</f>
        <v>5.9205</v>
      </c>
    </row>
    <row r="1014" spans="1:3" x14ac:dyDescent="0.25">
      <c r="A1014" t="str">
        <f>"29/07/2013"</f>
        <v>29/07/2013</v>
      </c>
      <c r="B1014" t="str">
        <f>"5.9039"</f>
        <v>5.9039</v>
      </c>
      <c r="C1014" t="str">
        <f>"5.9109"</f>
        <v>5.9109</v>
      </c>
    </row>
    <row r="1015" spans="1:3" x14ac:dyDescent="0.25">
      <c r="A1015" t="str">
        <f>"30/07/2013"</f>
        <v>30/07/2013</v>
      </c>
      <c r="B1015" t="str">
        <f>"5.949"</f>
        <v>5.949</v>
      </c>
      <c r="C1015" t="str">
        <f>"5.9567"</f>
        <v>5.9567</v>
      </c>
    </row>
    <row r="1016" spans="1:3" x14ac:dyDescent="0.25">
      <c r="A1016" t="str">
        <f>"31/07/2013"</f>
        <v>31/07/2013</v>
      </c>
      <c r="B1016" t="str">
        <f>"5.9425"</f>
        <v>5.9425</v>
      </c>
      <c r="C1016" t="str">
        <f>"5.9499"</f>
        <v>5.9499</v>
      </c>
    </row>
    <row r="1017" spans="1:3" x14ac:dyDescent="0.25">
      <c r="A1017" t="str">
        <f>"01/08/2013"</f>
        <v>01/08/2013</v>
      </c>
      <c r="B1017" t="str">
        <f>"5.9127"</f>
        <v>5.9127</v>
      </c>
      <c r="C1017" t="str">
        <f>"5.9199"</f>
        <v>5.9199</v>
      </c>
    </row>
    <row r="1018" spans="1:3" x14ac:dyDescent="0.25">
      <c r="A1018" t="str">
        <f>"02/08/2013"</f>
        <v>02/08/2013</v>
      </c>
      <c r="B1018" t="str">
        <f>"5.961"</f>
        <v>5.961</v>
      </c>
      <c r="C1018" t="str">
        <f>"5.9682"</f>
        <v>5.9682</v>
      </c>
    </row>
    <row r="1019" spans="1:3" x14ac:dyDescent="0.25">
      <c r="A1019" t="str">
        <f>"05/08/2013"</f>
        <v>05/08/2013</v>
      </c>
      <c r="B1019" t="str">
        <f>"5.9452"</f>
        <v>5.9452</v>
      </c>
      <c r="C1019" t="str">
        <f>"5.9529"</f>
        <v>5.9529</v>
      </c>
    </row>
    <row r="1020" spans="1:3" x14ac:dyDescent="0.25">
      <c r="A1020" t="str">
        <f>"06/08/2013"</f>
        <v>06/08/2013</v>
      </c>
      <c r="B1020" t="str">
        <f>"5.9198"</f>
        <v>5.9198</v>
      </c>
      <c r="C1020" t="str">
        <f>"5.9274"</f>
        <v>5.9274</v>
      </c>
    </row>
    <row r="1021" spans="1:3" x14ac:dyDescent="0.25">
      <c r="A1021" t="str">
        <f>"07/08/2013"</f>
        <v>07/08/2013</v>
      </c>
      <c r="B1021" t="str">
        <f>"5.9244"</f>
        <v>5.9244</v>
      </c>
      <c r="C1021" t="str">
        <f>"5.9316"</f>
        <v>5.9316</v>
      </c>
    </row>
    <row r="1022" spans="1:3" x14ac:dyDescent="0.25">
      <c r="A1022" t="str">
        <f>"08/08/2013"</f>
        <v>08/08/2013</v>
      </c>
      <c r="B1022" t="str">
        <f>"5.908"</f>
        <v>5.908</v>
      </c>
      <c r="C1022" t="str">
        <f>"5.915"</f>
        <v>5.915</v>
      </c>
    </row>
    <row r="1023" spans="1:3" x14ac:dyDescent="0.25">
      <c r="A1023" t="str">
        <f>"12/08/2013"</f>
        <v>12/08/2013</v>
      </c>
      <c r="B1023" t="str">
        <f>"5.875"</f>
        <v>5.875</v>
      </c>
      <c r="C1023" t="str">
        <f>"5.8825"</f>
        <v>5.8825</v>
      </c>
    </row>
    <row r="1024" spans="1:3" x14ac:dyDescent="0.25">
      <c r="A1024" t="str">
        <f>"13/08/2013"</f>
        <v>13/08/2013</v>
      </c>
      <c r="B1024" t="str">
        <f>"5.871"</f>
        <v>5.871</v>
      </c>
      <c r="C1024" t="str">
        <f>"5.8783"</f>
        <v>5.8783</v>
      </c>
    </row>
    <row r="1025" spans="1:3" x14ac:dyDescent="0.25">
      <c r="A1025" t="str">
        <f>"14/08/2013"</f>
        <v>14/08/2013</v>
      </c>
      <c r="B1025" t="str">
        <f>"5.8961"</f>
        <v>5.8961</v>
      </c>
      <c r="C1025" t="str">
        <f>"5.9033"</f>
        <v>5.9033</v>
      </c>
    </row>
    <row r="1026" spans="1:3" x14ac:dyDescent="0.25">
      <c r="A1026" t="str">
        <f>"16/08/2013"</f>
        <v>16/08/2013</v>
      </c>
      <c r="B1026" t="str">
        <f>"5.9168"</f>
        <v>5.9168</v>
      </c>
      <c r="C1026" t="str">
        <f>"5.9239"</f>
        <v>5.9239</v>
      </c>
    </row>
    <row r="1027" spans="1:3" x14ac:dyDescent="0.25">
      <c r="A1027" t="str">
        <f>"19/08/2013"</f>
        <v>19/08/2013</v>
      </c>
      <c r="B1027" t="str">
        <f>"5.9188"</f>
        <v>5.9188</v>
      </c>
      <c r="C1027" t="str">
        <f>"5.9264"</f>
        <v>5.9264</v>
      </c>
    </row>
    <row r="1028" spans="1:3" x14ac:dyDescent="0.25">
      <c r="A1028" t="str">
        <f>"20/08/2013"</f>
        <v>20/08/2013</v>
      </c>
      <c r="B1028" t="str">
        <f>"5.9245"</f>
        <v>5.9245</v>
      </c>
      <c r="C1028" t="str">
        <f>"5.9319"</f>
        <v>5.9319</v>
      </c>
    </row>
    <row r="1029" spans="1:3" x14ac:dyDescent="0.25">
      <c r="A1029" t="str">
        <f>"21/08/2013"</f>
        <v>21/08/2013</v>
      </c>
      <c r="B1029" t="str">
        <f>"5.9596"</f>
        <v>5.9596</v>
      </c>
      <c r="C1029" t="str">
        <f>"5.9668"</f>
        <v>5.9668</v>
      </c>
    </row>
    <row r="1030" spans="1:3" x14ac:dyDescent="0.25">
      <c r="A1030" t="str">
        <f>"22/08/2013"</f>
        <v>22/08/2013</v>
      </c>
      <c r="B1030" t="str">
        <f>"6.0816"</f>
        <v>6.0816</v>
      </c>
      <c r="C1030" t="str">
        <f>"6.0891"</f>
        <v>6.0891</v>
      </c>
    </row>
    <row r="1031" spans="1:3" x14ac:dyDescent="0.25">
      <c r="A1031" t="str">
        <f>"23/08/2013"</f>
        <v>23/08/2013</v>
      </c>
      <c r="B1031" t="str">
        <f>"6.1046"</f>
        <v>6.1046</v>
      </c>
      <c r="C1031" t="str">
        <f>"6.112"</f>
        <v>6.112</v>
      </c>
    </row>
    <row r="1032" spans="1:3" x14ac:dyDescent="0.25">
      <c r="A1032" t="str">
        <f>"26/08/2013"</f>
        <v>26/08/2013</v>
      </c>
      <c r="B1032" t="str">
        <f>"6.0174"</f>
        <v>6.0174</v>
      </c>
      <c r="C1032" t="str">
        <f>"6.0251"</f>
        <v>6.0251</v>
      </c>
    </row>
    <row r="1033" spans="1:3" x14ac:dyDescent="0.25">
      <c r="A1033" t="str">
        <f>"27/08/2013"</f>
        <v>27/08/2013</v>
      </c>
      <c r="B1033" t="str">
        <f>"6.0378"</f>
        <v>6.0378</v>
      </c>
      <c r="C1033" t="str">
        <f>"6.0451"</f>
        <v>6.0451</v>
      </c>
    </row>
    <row r="1034" spans="1:3" x14ac:dyDescent="0.25">
      <c r="A1034" t="str">
        <f>"28/08/2013"</f>
        <v>28/08/2013</v>
      </c>
      <c r="B1034" t="str">
        <f>"6.0161"</f>
        <v>6.0161</v>
      </c>
      <c r="C1034" t="str">
        <f>"6.0232"</f>
        <v>6.0232</v>
      </c>
    </row>
    <row r="1035" spans="1:3" x14ac:dyDescent="0.25">
      <c r="A1035" t="str">
        <f>"29/08/2013"</f>
        <v>29/08/2013</v>
      </c>
      <c r="B1035" t="str">
        <f>"6.0502"</f>
        <v>6.0502</v>
      </c>
      <c r="C1035" t="str">
        <f>"6.0571"</f>
        <v>6.0571</v>
      </c>
    </row>
    <row r="1036" spans="1:3" x14ac:dyDescent="0.25">
      <c r="A1036" t="str">
        <f>"30/08/2013"</f>
        <v>30/08/2013</v>
      </c>
      <c r="B1036" t="str">
        <f>"6.0973"</f>
        <v>6.0973</v>
      </c>
      <c r="C1036" t="str">
        <f>"6.1042"</f>
        <v>6.1042</v>
      </c>
    </row>
    <row r="1037" spans="1:3" x14ac:dyDescent="0.25">
      <c r="A1037" t="str">
        <f>"02/09/2013"</f>
        <v>02/09/2013</v>
      </c>
      <c r="B1037" t="str">
        <f>"6.118"</f>
        <v>6.118</v>
      </c>
      <c r="C1037" t="str">
        <f>"6.125"</f>
        <v>6.125</v>
      </c>
    </row>
    <row r="1038" spans="1:3" x14ac:dyDescent="0.25">
      <c r="A1038" t="str">
        <f>"03/09/2013"</f>
        <v>03/09/2013</v>
      </c>
      <c r="B1038" t="str">
        <f>"6.0845"</f>
        <v>6.0845</v>
      </c>
      <c r="C1038" t="str">
        <f>"6.092"</f>
        <v>6.092</v>
      </c>
    </row>
    <row r="1039" spans="1:3" x14ac:dyDescent="0.25">
      <c r="A1039" t="str">
        <f>"04/09/2013"</f>
        <v>04/09/2013</v>
      </c>
      <c r="B1039" t="str">
        <f>"6.0774"</f>
        <v>6.0774</v>
      </c>
      <c r="C1039" t="str">
        <f>"6.0846"</f>
        <v>6.0846</v>
      </c>
    </row>
    <row r="1040" spans="1:3" x14ac:dyDescent="0.25">
      <c r="A1040" t="str">
        <f>"05/09/2013"</f>
        <v>05/09/2013</v>
      </c>
      <c r="B1040" t="str">
        <f>"6.0716"</f>
        <v>6.0716</v>
      </c>
      <c r="C1040" t="str">
        <f>"6.0785"</f>
        <v>6.0785</v>
      </c>
    </row>
    <row r="1041" spans="1:3" x14ac:dyDescent="0.25">
      <c r="A1041" t="str">
        <f>"06/09/2013"</f>
        <v>06/09/2013</v>
      </c>
      <c r="B1041" t="str">
        <f>"6.1231"</f>
        <v>6.1231</v>
      </c>
      <c r="C1041" t="str">
        <f>"6.13"</f>
        <v>6.13</v>
      </c>
    </row>
    <row r="1042" spans="1:3" x14ac:dyDescent="0.25">
      <c r="A1042" t="str">
        <f>"10/09/2013"</f>
        <v>10/09/2013</v>
      </c>
      <c r="B1042" t="str">
        <f>"6.0026"</f>
        <v>6.0026</v>
      </c>
      <c r="C1042" t="str">
        <f>"6.0102"</f>
        <v>6.0102</v>
      </c>
    </row>
    <row r="1043" spans="1:3" x14ac:dyDescent="0.25">
      <c r="A1043" t="str">
        <f>"11/09/2013"</f>
        <v>11/09/2013</v>
      </c>
      <c r="B1043" t="str">
        <f>"5.9259"</f>
        <v>5.9259</v>
      </c>
      <c r="C1043" t="str">
        <f>"5.9332"</f>
        <v>5.9332</v>
      </c>
    </row>
    <row r="1044" spans="1:3" x14ac:dyDescent="0.25">
      <c r="A1044" t="str">
        <f>"12/09/2013"</f>
        <v>12/09/2013</v>
      </c>
      <c r="B1044" t="str">
        <f>"5.9206"</f>
        <v>5.9206</v>
      </c>
      <c r="C1044" t="str">
        <f>"5.9274"</f>
        <v>5.9274</v>
      </c>
    </row>
    <row r="1045" spans="1:3" x14ac:dyDescent="0.25">
      <c r="A1045" t="str">
        <f>"13/09/2013"</f>
        <v>13/09/2013</v>
      </c>
      <c r="B1045" t="str">
        <f>"5.8938"</f>
        <v>5.8938</v>
      </c>
      <c r="C1045" t="str">
        <f>"5.9007"</f>
        <v>5.9007</v>
      </c>
    </row>
    <row r="1046" spans="1:3" x14ac:dyDescent="0.25">
      <c r="A1046" t="str">
        <f>"16/09/2013"</f>
        <v>16/09/2013</v>
      </c>
      <c r="B1046" t="str">
        <f>"5.9041"</f>
        <v>5.9041</v>
      </c>
      <c r="C1046" t="str">
        <f>"5.911"</f>
        <v>5.911</v>
      </c>
    </row>
    <row r="1047" spans="1:3" x14ac:dyDescent="0.25">
      <c r="A1047" t="str">
        <f>"17/09/2013"</f>
        <v>17/09/2013</v>
      </c>
      <c r="B1047" t="str">
        <f>"5.9124"</f>
        <v>5.9124</v>
      </c>
      <c r="C1047" t="str">
        <f>"5.9197"</f>
        <v>5.9197</v>
      </c>
    </row>
    <row r="1048" spans="1:3" x14ac:dyDescent="0.25">
      <c r="A1048" t="str">
        <f>"18/09/2013"</f>
        <v>18/09/2013</v>
      </c>
      <c r="B1048" t="str">
        <f>"5.909"</f>
        <v>5.909</v>
      </c>
      <c r="C1048" t="str">
        <f>"5.9161"</f>
        <v>5.9161</v>
      </c>
    </row>
    <row r="1049" spans="1:3" x14ac:dyDescent="0.25">
      <c r="A1049" t="str">
        <f>"19/09/2013"</f>
        <v>19/09/2013</v>
      </c>
      <c r="B1049" t="str">
        <f>"5.8252"</f>
        <v>5.8252</v>
      </c>
      <c r="C1049" t="str">
        <f>"5.8321"</f>
        <v>5.8321</v>
      </c>
    </row>
    <row r="1050" spans="1:3" x14ac:dyDescent="0.25">
      <c r="A1050" t="str">
        <f>"20/09/2013"</f>
        <v>20/09/2013</v>
      </c>
      <c r="B1050" t="str">
        <f>"5.8307"</f>
        <v>5.8307</v>
      </c>
      <c r="C1050" t="str">
        <f>"5.8374"</f>
        <v>5.8374</v>
      </c>
    </row>
    <row r="1051" spans="1:3" x14ac:dyDescent="0.25">
      <c r="A1051" t="str">
        <f>"23/09/2013"</f>
        <v>23/09/2013</v>
      </c>
      <c r="B1051" t="str">
        <f>"5.9249"</f>
        <v>5.9249</v>
      </c>
      <c r="C1051" t="str">
        <f>"5.9316"</f>
        <v>5.9316</v>
      </c>
    </row>
    <row r="1052" spans="1:3" x14ac:dyDescent="0.25">
      <c r="A1052" t="str">
        <f>"24/09/2013"</f>
        <v>24/09/2013</v>
      </c>
      <c r="B1052" t="str">
        <f>"5.9212"</f>
        <v>5.9212</v>
      </c>
      <c r="C1052" t="str">
        <f>"5.9283"</f>
        <v>5.9283</v>
      </c>
    </row>
    <row r="1053" spans="1:3" x14ac:dyDescent="0.25">
      <c r="A1053" t="str">
        <f>"25/09/2013"</f>
        <v>25/09/2013</v>
      </c>
      <c r="B1053" t="str">
        <f>"5.9743"</f>
        <v>5.9743</v>
      </c>
      <c r="C1053" t="str">
        <f>"5.9813"</f>
        <v>5.9813</v>
      </c>
    </row>
    <row r="1054" spans="1:3" x14ac:dyDescent="0.25">
      <c r="A1054" t="str">
        <f>"26/09/2013"</f>
        <v>26/09/2013</v>
      </c>
      <c r="B1054" t="str">
        <f>"6.0075"</f>
        <v>6.0075</v>
      </c>
      <c r="C1054" t="str">
        <f>"6.0145"</f>
        <v>6.0145</v>
      </c>
    </row>
    <row r="1055" spans="1:3" x14ac:dyDescent="0.25">
      <c r="A1055" t="str">
        <f>"27/09/2013"</f>
        <v>27/09/2013</v>
      </c>
      <c r="B1055" t="str">
        <f>"5.9832"</f>
        <v>5.9832</v>
      </c>
      <c r="C1055" t="str">
        <f>"5.9901"</f>
        <v>5.9901</v>
      </c>
    </row>
    <row r="1056" spans="1:3" x14ac:dyDescent="0.25">
      <c r="A1056" t="str">
        <f>"30/09/2013"</f>
        <v>30/09/2013</v>
      </c>
      <c r="B1056" t="str">
        <f>"5.9933"</f>
        <v>5.9933</v>
      </c>
      <c r="C1056" t="str">
        <f>"6.0007"</f>
        <v>6.0007</v>
      </c>
    </row>
    <row r="1057" spans="1:3" x14ac:dyDescent="0.25">
      <c r="A1057" t="str">
        <f>"01/10/2013"</f>
        <v>01/10/2013</v>
      </c>
      <c r="B1057" t="str">
        <f>"6.004"</f>
        <v>6.004</v>
      </c>
      <c r="C1057" t="str">
        <f>"6.0114"</f>
        <v>6.0114</v>
      </c>
    </row>
    <row r="1058" spans="1:3" x14ac:dyDescent="0.25">
      <c r="A1058" t="str">
        <f>"03/10/2013"</f>
        <v>03/10/2013</v>
      </c>
      <c r="B1058" t="str">
        <f>"6.0078"</f>
        <v>6.0078</v>
      </c>
      <c r="C1058" t="str">
        <f>"6.0149"</f>
        <v>6.0149</v>
      </c>
    </row>
    <row r="1059" spans="1:3" x14ac:dyDescent="0.25">
      <c r="A1059" t="str">
        <f>"04/10/2013"</f>
        <v>04/10/2013</v>
      </c>
      <c r="B1059" t="str">
        <f>"5.9542"</f>
        <v>5.9542</v>
      </c>
      <c r="C1059" t="str">
        <f>"5.9611"</f>
        <v>5.9611</v>
      </c>
    </row>
    <row r="1060" spans="1:3" x14ac:dyDescent="0.25">
      <c r="A1060" t="str">
        <f>"07/10/2013"</f>
        <v>07/10/2013</v>
      </c>
      <c r="B1060" t="str">
        <f>"5.9765"</f>
        <v>5.9765</v>
      </c>
      <c r="C1060" t="str">
        <f>"5.9841"</f>
        <v>5.9841</v>
      </c>
    </row>
    <row r="1061" spans="1:3" x14ac:dyDescent="0.25">
      <c r="A1061" t="str">
        <f>"08/10/2013"</f>
        <v>08/10/2013</v>
      </c>
      <c r="B1061" t="str">
        <f>"5.976"</f>
        <v>5.976</v>
      </c>
      <c r="C1061" t="str">
        <f>"5.9835"</f>
        <v>5.9835</v>
      </c>
    </row>
    <row r="1062" spans="1:3" x14ac:dyDescent="0.25">
      <c r="A1062" t="str">
        <f>"09/10/2013"</f>
        <v>09/10/2013</v>
      </c>
      <c r="B1062" t="str">
        <f>"5.9827"</f>
        <v>5.9827</v>
      </c>
      <c r="C1062" t="str">
        <f>"5.9901"</f>
        <v>5.9901</v>
      </c>
    </row>
    <row r="1063" spans="1:3" x14ac:dyDescent="0.25">
      <c r="A1063" t="str">
        <f>"10/10/2013"</f>
        <v>10/10/2013</v>
      </c>
      <c r="B1063" t="str">
        <f>"6.0085"</f>
        <v>6.0085</v>
      </c>
      <c r="C1063" t="str">
        <f>"6.0155"</f>
        <v>6.0155</v>
      </c>
    </row>
    <row r="1064" spans="1:3" x14ac:dyDescent="0.25">
      <c r="A1064" t="str">
        <f>"11/10/2013"</f>
        <v>11/10/2013</v>
      </c>
      <c r="B1064" t="str">
        <f>"6.0352"</f>
        <v>6.0352</v>
      </c>
      <c r="C1064" t="str">
        <f>"6.0422"</f>
        <v>6.0422</v>
      </c>
    </row>
    <row r="1065" spans="1:3" x14ac:dyDescent="0.25">
      <c r="A1065" t="str">
        <f>"14/10/2013"</f>
        <v>14/10/2013</v>
      </c>
      <c r="B1065" t="str">
        <f>"5.9981"</f>
        <v>5.9981</v>
      </c>
      <c r="C1065" t="str">
        <f>"6.0055"</f>
        <v>6.0055</v>
      </c>
    </row>
    <row r="1066" spans="1:3" x14ac:dyDescent="0.25">
      <c r="A1066" t="str">
        <f>"15/10/2013"</f>
        <v>15/10/2013</v>
      </c>
      <c r="B1066" t="str">
        <f>"5.9769"</f>
        <v>5.9769</v>
      </c>
      <c r="C1066" t="str">
        <f>"5.984"</f>
        <v>5.984</v>
      </c>
    </row>
    <row r="1067" spans="1:3" x14ac:dyDescent="0.25">
      <c r="A1067" t="str">
        <f>"17/10/2013"</f>
        <v>17/10/2013</v>
      </c>
      <c r="B1067" t="str">
        <f>"5.9929"</f>
        <v>5.9929</v>
      </c>
      <c r="C1067" t="str">
        <f>"5.9999"</f>
        <v>5.9999</v>
      </c>
    </row>
    <row r="1068" spans="1:3" x14ac:dyDescent="0.25">
      <c r="A1068" t="str">
        <f>"18/10/2013"</f>
        <v>18/10/2013</v>
      </c>
      <c r="B1068" t="str">
        <f>"5.9374"</f>
        <v>5.9374</v>
      </c>
      <c r="C1068" t="str">
        <f>"5.9444"</f>
        <v>5.9444</v>
      </c>
    </row>
    <row r="1069" spans="1:3" x14ac:dyDescent="0.25">
      <c r="A1069" t="str">
        <f>"21/10/2013"</f>
        <v>21/10/2013</v>
      </c>
      <c r="B1069" t="str">
        <f>"5.9097"</f>
        <v>5.9097</v>
      </c>
      <c r="C1069" t="str">
        <f>"5.917"</f>
        <v>5.917</v>
      </c>
    </row>
    <row r="1070" spans="1:3" x14ac:dyDescent="0.25">
      <c r="A1070" t="str">
        <f>"22/10/2013"</f>
        <v>22/10/2013</v>
      </c>
      <c r="B1070" t="str">
        <f>"5.9258"</f>
        <v>5.9258</v>
      </c>
      <c r="C1070" t="str">
        <f>"5.9329"</f>
        <v>5.9329</v>
      </c>
    </row>
    <row r="1071" spans="1:3" x14ac:dyDescent="0.25">
      <c r="A1071" t="str">
        <f>"23/10/2013"</f>
        <v>23/10/2013</v>
      </c>
      <c r="B1071" t="str">
        <f>"5.9149"</f>
        <v>5.9149</v>
      </c>
      <c r="C1071" t="str">
        <f>"5.9219"</f>
        <v>5.9219</v>
      </c>
    </row>
    <row r="1072" spans="1:3" x14ac:dyDescent="0.25">
      <c r="A1072" t="str">
        <f>"24/10/2013"</f>
        <v>24/10/2013</v>
      </c>
      <c r="B1072" t="str">
        <f>"5.9169"</f>
        <v>5.9169</v>
      </c>
      <c r="C1072" t="str">
        <f>"5.9241"</f>
        <v>5.9241</v>
      </c>
    </row>
    <row r="1073" spans="1:3" x14ac:dyDescent="0.25">
      <c r="A1073" t="str">
        <f>"25/10/2013"</f>
        <v>25/10/2013</v>
      </c>
      <c r="B1073" t="str">
        <f>"5.8879"</f>
        <v>5.8879</v>
      </c>
      <c r="C1073" t="str">
        <f>"5.8948"</f>
        <v>5.8948</v>
      </c>
    </row>
    <row r="1074" spans="1:3" x14ac:dyDescent="0.25">
      <c r="A1074" t="str">
        <f>"28/10/2013"</f>
        <v>28/10/2013</v>
      </c>
      <c r="B1074" t="str">
        <f>"5.8881"</f>
        <v>5.8881</v>
      </c>
      <c r="C1074" t="str">
        <f>"5.8949"</f>
        <v>5.8949</v>
      </c>
    </row>
    <row r="1075" spans="1:3" x14ac:dyDescent="0.25">
      <c r="A1075" t="str">
        <f>"29/10/2013"</f>
        <v>29/10/2013</v>
      </c>
      <c r="B1075" t="str">
        <f>"5.9085"</f>
        <v>5.9085</v>
      </c>
      <c r="C1075" t="str">
        <f>"5.915"</f>
        <v>5.915</v>
      </c>
    </row>
    <row r="1076" spans="1:3" x14ac:dyDescent="0.25">
      <c r="A1076" t="str">
        <f>"30/10/2013"</f>
        <v>30/10/2013</v>
      </c>
      <c r="B1076" t="str">
        <f>"5.9024"</f>
        <v>5.9024</v>
      </c>
      <c r="C1076" t="str">
        <f>"5.9092"</f>
        <v>5.9092</v>
      </c>
    </row>
    <row r="1077" spans="1:3" x14ac:dyDescent="0.25">
      <c r="A1077" t="str">
        <f>"31/10/2013"</f>
        <v>31/10/2013</v>
      </c>
      <c r="B1077" t="str">
        <f>"5.9126"</f>
        <v>5.9126</v>
      </c>
      <c r="C1077" t="str">
        <f>"5.9191"</f>
        <v>5.9191</v>
      </c>
    </row>
    <row r="1078" spans="1:3" x14ac:dyDescent="0.25">
      <c r="A1078" t="str">
        <f>"01/11/2013"</f>
        <v>01/11/2013</v>
      </c>
      <c r="B1078" t="str">
        <f>"5.9602"</f>
        <v>5.9602</v>
      </c>
      <c r="C1078" t="str">
        <f>"5.9669"</f>
        <v>5.9669</v>
      </c>
    </row>
    <row r="1079" spans="1:3" x14ac:dyDescent="0.25">
      <c r="A1079" t="str">
        <f>"05/11/2013"</f>
        <v>05/11/2013</v>
      </c>
      <c r="B1079" t="str">
        <f>"5.9669"</f>
        <v>5.9669</v>
      </c>
      <c r="C1079" t="str">
        <f>"5.974"</f>
        <v>5.974</v>
      </c>
    </row>
    <row r="1080" spans="1:3" x14ac:dyDescent="0.25">
      <c r="A1080" t="str">
        <f>"06/11/2013"</f>
        <v>06/11/2013</v>
      </c>
      <c r="B1080" t="str">
        <f>"5.9689"</f>
        <v>5.9689</v>
      </c>
      <c r="C1080" t="str">
        <f>"5.9758"</f>
        <v>5.9758</v>
      </c>
    </row>
    <row r="1081" spans="1:3" x14ac:dyDescent="0.25">
      <c r="A1081" t="str">
        <f>"07/11/2013"</f>
        <v>07/11/2013</v>
      </c>
      <c r="B1081" t="str">
        <f>"5.9603"</f>
        <v>5.9603</v>
      </c>
      <c r="C1081" t="str">
        <f>"5.967"</f>
        <v>5.967</v>
      </c>
    </row>
    <row r="1082" spans="1:3" x14ac:dyDescent="0.25">
      <c r="A1082" t="str">
        <f>"08/11/2013"</f>
        <v>08/11/2013</v>
      </c>
      <c r="B1082" t="str">
        <f>"6.0545"</f>
        <v>6.0545</v>
      </c>
      <c r="C1082" t="str">
        <f>"6.0613"</f>
        <v>6.0613</v>
      </c>
    </row>
    <row r="1083" spans="1:3" x14ac:dyDescent="0.25">
      <c r="A1083" t="str">
        <f>"11/11/2013"</f>
        <v>11/11/2013</v>
      </c>
      <c r="B1083" t="str">
        <f>"6.1485"</f>
        <v>6.1485</v>
      </c>
      <c r="C1083" t="str">
        <f>"6.1554"</f>
        <v>6.1554</v>
      </c>
    </row>
    <row r="1084" spans="1:3" x14ac:dyDescent="0.25">
      <c r="A1084" t="str">
        <f>"12/11/2013"</f>
        <v>12/11/2013</v>
      </c>
      <c r="B1084" t="str">
        <f>"6.1601"</f>
        <v>6.1601</v>
      </c>
      <c r="C1084" t="str">
        <f>"6.1675"</f>
        <v>6.1675</v>
      </c>
    </row>
    <row r="1085" spans="1:3" x14ac:dyDescent="0.25">
      <c r="A1085" t="str">
        <f>"13/11/2013"</f>
        <v>13/11/2013</v>
      </c>
      <c r="B1085" t="str">
        <f>"6.1978"</f>
        <v>6.1978</v>
      </c>
      <c r="C1085" t="str">
        <f>"6.2051"</f>
        <v>6.2051</v>
      </c>
    </row>
    <row r="1086" spans="1:3" x14ac:dyDescent="0.25">
      <c r="A1086" t="str">
        <f>"14/11/2013"</f>
        <v>14/11/2013</v>
      </c>
      <c r="B1086" t="str">
        <f>"6.1742"</f>
        <v>6.1742</v>
      </c>
      <c r="C1086" t="str">
        <f>"6.1815"</f>
        <v>6.1815</v>
      </c>
    </row>
    <row r="1087" spans="1:3" x14ac:dyDescent="0.25">
      <c r="A1087" t="str">
        <f>"18/11/2013"</f>
        <v>18/11/2013</v>
      </c>
      <c r="B1087" t="str">
        <f>"6.1225"</f>
        <v>6.1225</v>
      </c>
      <c r="C1087" t="str">
        <f>"6.1296"</f>
        <v>6.1296</v>
      </c>
    </row>
    <row r="1088" spans="1:3" x14ac:dyDescent="0.25">
      <c r="A1088" t="str">
        <f>"19/11/2013"</f>
        <v>19/11/2013</v>
      </c>
      <c r="B1088" t="str">
        <f>"6.1321"</f>
        <v>6.1321</v>
      </c>
      <c r="C1088" t="str">
        <f>"6.1395"</f>
        <v>6.1395</v>
      </c>
    </row>
    <row r="1089" spans="1:3" x14ac:dyDescent="0.25">
      <c r="A1089" t="str">
        <f>"20/11/2013"</f>
        <v>20/11/2013</v>
      </c>
      <c r="B1089" t="str">
        <f>"6.0941"</f>
        <v>6.0941</v>
      </c>
      <c r="C1089" t="str">
        <f>"6.1012"</f>
        <v>6.1012</v>
      </c>
    </row>
    <row r="1090" spans="1:3" x14ac:dyDescent="0.25">
      <c r="A1090" t="str">
        <f>"21/11/2013"</f>
        <v>21/11/2013</v>
      </c>
      <c r="B1090" t="str">
        <f>"6.1337"</f>
        <v>6.1337</v>
      </c>
      <c r="C1090" t="str">
        <f>"6.1412"</f>
        <v>6.1412</v>
      </c>
    </row>
    <row r="1091" spans="1:3" x14ac:dyDescent="0.25">
      <c r="A1091" t="str">
        <f>"22/11/2013"</f>
        <v>22/11/2013</v>
      </c>
      <c r="B1091" t="str">
        <f>"6.1036"</f>
        <v>6.1036</v>
      </c>
      <c r="C1091" t="str">
        <f>"6.1108"</f>
        <v>6.1108</v>
      </c>
    </row>
    <row r="1092" spans="1:3" x14ac:dyDescent="0.25">
      <c r="A1092" t="str">
        <f>"25/11/2013"</f>
        <v>25/11/2013</v>
      </c>
      <c r="B1092" t="str">
        <f>"6.0747"</f>
        <v>6.0747</v>
      </c>
      <c r="C1092" t="str">
        <f>"6.0817"</f>
        <v>6.0817</v>
      </c>
    </row>
    <row r="1093" spans="1:3" x14ac:dyDescent="0.25">
      <c r="A1093" t="str">
        <f>"26/11/2013"</f>
        <v>26/11/2013</v>
      </c>
      <c r="B1093" t="str">
        <f>"6.0957"</f>
        <v>6.0957</v>
      </c>
      <c r="C1093" t="str">
        <f>"6.1031"</f>
        <v>6.1031</v>
      </c>
    </row>
    <row r="1094" spans="1:3" x14ac:dyDescent="0.25">
      <c r="A1094" t="str">
        <f>"27/11/2013"</f>
        <v>27/11/2013</v>
      </c>
      <c r="B1094" t="str">
        <f>"6.0881"</f>
        <v>6.0881</v>
      </c>
      <c r="C1094" t="str">
        <f>"6.095"</f>
        <v>6.095</v>
      </c>
    </row>
    <row r="1095" spans="1:3" x14ac:dyDescent="0.25">
      <c r="A1095" t="str">
        <f>"28/11/2013"</f>
        <v>28/11/2013</v>
      </c>
      <c r="B1095" t="str">
        <f>"6.1086"</f>
        <v>6.1086</v>
      </c>
      <c r="C1095" t="str">
        <f>"6.1171"</f>
        <v>6.1171</v>
      </c>
    </row>
    <row r="1096" spans="1:3" x14ac:dyDescent="0.25">
      <c r="A1096" t="str">
        <f>"29/11/2013"</f>
        <v>29/11/2013</v>
      </c>
      <c r="B1096" t="str">
        <f>"6.0909"</f>
        <v>6.0909</v>
      </c>
      <c r="C1096" t="str">
        <f>"6.0988"</f>
        <v>6.0988</v>
      </c>
    </row>
    <row r="1097" spans="1:3" x14ac:dyDescent="0.25">
      <c r="A1097" t="str">
        <f>"02/12/2013"</f>
        <v>02/12/2013</v>
      </c>
      <c r="B1097" t="str">
        <f>"6.12"</f>
        <v>6.12</v>
      </c>
      <c r="C1097" t="str">
        <f>"6.1285"</f>
        <v>6.1285</v>
      </c>
    </row>
    <row r="1098" spans="1:3" x14ac:dyDescent="0.25">
      <c r="A1098" t="str">
        <f>"03/12/2013"</f>
        <v>03/12/2013</v>
      </c>
      <c r="B1098" t="str">
        <f>"6.1276"</f>
        <v>6.1276</v>
      </c>
      <c r="C1098" t="str">
        <f>"6.1352"</f>
        <v>6.1352</v>
      </c>
    </row>
    <row r="1099" spans="1:3" x14ac:dyDescent="0.25">
      <c r="A1099" t="str">
        <f>"04/12/2013"</f>
        <v>04/12/2013</v>
      </c>
      <c r="B1099" t="str">
        <f>"6.1049"</f>
        <v>6.1049</v>
      </c>
      <c r="C1099" t="str">
        <f>"6.1129"</f>
        <v>6.1129</v>
      </c>
    </row>
    <row r="1100" spans="1:3" x14ac:dyDescent="0.25">
      <c r="A1100" t="str">
        <f>"05/12/2013"</f>
        <v>05/12/2013</v>
      </c>
      <c r="B1100" t="str">
        <f>"6.1511"</f>
        <v>6.1511</v>
      </c>
      <c r="C1100" t="str">
        <f>"6.1587"</f>
        <v>6.1587</v>
      </c>
    </row>
    <row r="1101" spans="1:3" x14ac:dyDescent="0.25">
      <c r="A1101" t="str">
        <f>"06/12/2013"</f>
        <v>06/12/2013</v>
      </c>
      <c r="B1101" t="str">
        <f>"6.153"</f>
        <v>6.153</v>
      </c>
      <c r="C1101" t="str">
        <f>"6.161"</f>
        <v>6.161</v>
      </c>
    </row>
    <row r="1102" spans="1:3" x14ac:dyDescent="0.25">
      <c r="A1102" t="str">
        <f>"09/12/2013"</f>
        <v>09/12/2013</v>
      </c>
      <c r="B1102" t="str">
        <f>"6.1483"</f>
        <v>6.1483</v>
      </c>
      <c r="C1102" t="str">
        <f>"6.1568"</f>
        <v>6.1568</v>
      </c>
    </row>
    <row r="1103" spans="1:3" x14ac:dyDescent="0.25">
      <c r="A1103" t="str">
        <f>"10/12/2013"</f>
        <v>10/12/2013</v>
      </c>
      <c r="B1103" t="str">
        <f>"6.1314"</f>
        <v>6.1314</v>
      </c>
      <c r="C1103" t="str">
        <f>"6.1396"</f>
        <v>6.1396</v>
      </c>
    </row>
    <row r="1104" spans="1:3" x14ac:dyDescent="0.25">
      <c r="A1104" t="str">
        <f>"11/12/2013"</f>
        <v>11/12/2013</v>
      </c>
      <c r="B1104" t="str">
        <f>"6.1132"</f>
        <v>6.1132</v>
      </c>
      <c r="C1104" t="str">
        <f>"6.1207"</f>
        <v>6.1207</v>
      </c>
    </row>
    <row r="1105" spans="1:3" x14ac:dyDescent="0.25">
      <c r="A1105" t="str">
        <f>"12/12/2013"</f>
        <v>12/12/2013</v>
      </c>
      <c r="B1105" t="str">
        <f>"6.1399"</f>
        <v>6.1399</v>
      </c>
      <c r="C1105" t="str">
        <f>"6.1478"</f>
        <v>6.1478</v>
      </c>
    </row>
    <row r="1106" spans="1:3" x14ac:dyDescent="0.25">
      <c r="A1106" t="str">
        <f>"13/12/2013"</f>
        <v>13/12/2013</v>
      </c>
      <c r="B1106" t="str">
        <f>"6.2034"</f>
        <v>6.2034</v>
      </c>
      <c r="C1106" t="str">
        <f>"6.2113"</f>
        <v>6.2113</v>
      </c>
    </row>
    <row r="1107" spans="1:3" x14ac:dyDescent="0.25">
      <c r="A1107" t="str">
        <f>"16/12/2013"</f>
        <v>16/12/2013</v>
      </c>
      <c r="B1107" t="str">
        <f>"6.1907"</f>
        <v>6.1907</v>
      </c>
      <c r="C1107" t="str">
        <f>"6.1994"</f>
        <v>6.1994</v>
      </c>
    </row>
    <row r="1108" spans="1:3" x14ac:dyDescent="0.25">
      <c r="A1108" t="str">
        <f>"17/12/2013"</f>
        <v>17/12/2013</v>
      </c>
      <c r="B1108" t="str">
        <f>"6.1488"</f>
        <v>6.1488</v>
      </c>
      <c r="C1108" t="str">
        <f>"6.1571"</f>
        <v>6.1571</v>
      </c>
    </row>
    <row r="1109" spans="1:3" x14ac:dyDescent="0.25">
      <c r="A1109" t="str">
        <f>"18/12/2013"</f>
        <v>18/12/2013</v>
      </c>
      <c r="B1109" t="str">
        <f>"6.1144"</f>
        <v>6.1144</v>
      </c>
      <c r="C1109" t="str">
        <f>"6.1224"</f>
        <v>6.1224</v>
      </c>
    </row>
    <row r="1110" spans="1:3" x14ac:dyDescent="0.25">
      <c r="A1110" t="str">
        <f>"19/12/2013"</f>
        <v>19/12/2013</v>
      </c>
      <c r="B1110" t="str">
        <f>"6.1433"</f>
        <v>6.1433</v>
      </c>
      <c r="C1110" t="str">
        <f>"6.1511"</f>
        <v>6.1511</v>
      </c>
    </row>
    <row r="1111" spans="1:3" x14ac:dyDescent="0.25">
      <c r="A1111" t="str">
        <f>"20/12/2013"</f>
        <v>20/12/2013</v>
      </c>
      <c r="B1111" t="str">
        <f>"6.1572"</f>
        <v>6.1572</v>
      </c>
      <c r="C1111" t="str">
        <f>"6.1649"</f>
        <v>6.1649</v>
      </c>
    </row>
    <row r="1112" spans="1:3" x14ac:dyDescent="0.25">
      <c r="A1112" t="str">
        <f>"23/12/2013"</f>
        <v>23/12/2013</v>
      </c>
      <c r="B1112" t="str">
        <f>"6.1631"</f>
        <v>6.1631</v>
      </c>
      <c r="C1112" t="str">
        <f>"6.1709"</f>
        <v>6.1709</v>
      </c>
    </row>
    <row r="1113" spans="1:3" x14ac:dyDescent="0.25">
      <c r="A1113" t="str">
        <f>"24/12/2013"</f>
        <v>24/12/2013</v>
      </c>
      <c r="B1113" t="str">
        <f>"6.157"</f>
        <v>6.157</v>
      </c>
      <c r="C1113" t="str">
        <f>"6.1648"</f>
        <v>6.1648</v>
      </c>
    </row>
    <row r="1114" spans="1:3" x14ac:dyDescent="0.25">
      <c r="A1114" t="str">
        <f>"26/12/2013"</f>
        <v>26/12/2013</v>
      </c>
      <c r="B1114" t="str">
        <f>"6.1506"</f>
        <v>6.1506</v>
      </c>
      <c r="C1114" t="str">
        <f>"6.1589"</f>
        <v>6.1589</v>
      </c>
    </row>
    <row r="1115" spans="1:3" x14ac:dyDescent="0.25">
      <c r="A1115" t="str">
        <f>"27/12/2013"</f>
        <v>27/12/2013</v>
      </c>
      <c r="B1115" t="str">
        <f>"6.1237"</f>
        <v>6.1237</v>
      </c>
      <c r="C1115" t="str">
        <f>"6.132"</f>
        <v>6.132</v>
      </c>
    </row>
    <row r="1116" spans="1:3" x14ac:dyDescent="0.25">
      <c r="A1116" t="str">
        <f>"30/12/2013"</f>
        <v>30/12/2013</v>
      </c>
      <c r="B1116" t="str">
        <f>"6.1509"</f>
        <v>6.1509</v>
      </c>
      <c r="C1116" t="str">
        <f>"6.1595"</f>
        <v>6.1595</v>
      </c>
    </row>
    <row r="1117" spans="1:3" x14ac:dyDescent="0.25">
      <c r="A1117" t="str">
        <f>"31/12/2013"</f>
        <v>31/12/2013</v>
      </c>
      <c r="B1117" t="str">
        <f>"6.0827"</f>
        <v>6.0827</v>
      </c>
      <c r="C1117" t="str">
        <f>"6.0911"</f>
        <v>6.0911</v>
      </c>
    </row>
    <row r="1118" spans="1:3" x14ac:dyDescent="0.25">
      <c r="A1118" t="str">
        <f>"01/01/2014"</f>
        <v>01/01/2014</v>
      </c>
      <c r="B1118" t="str">
        <f>"6.1016"</f>
        <v>6.1016</v>
      </c>
      <c r="C1118" t="str">
        <f>"6.1087"</f>
        <v>6.1087</v>
      </c>
    </row>
    <row r="1119" spans="1:3" x14ac:dyDescent="0.25">
      <c r="A1119" t="str">
        <f>"02/01/2014"</f>
        <v>02/01/2014</v>
      </c>
      <c r="B1119" t="str">
        <f>"6.0807"</f>
        <v>6.0807</v>
      </c>
      <c r="C1119" t="str">
        <f>"6.088"</f>
        <v>6.088</v>
      </c>
    </row>
    <row r="1120" spans="1:3" x14ac:dyDescent="0.25">
      <c r="A1120" t="str">
        <f>"03/01/2014"</f>
        <v>03/01/2014</v>
      </c>
      <c r="B1120" t="str">
        <f>"6.1679"</f>
        <v>6.1679</v>
      </c>
      <c r="C1120" t="str">
        <f>"6.1752"</f>
        <v>6.1752</v>
      </c>
    </row>
    <row r="1121" spans="1:3" x14ac:dyDescent="0.25">
      <c r="A1121" t="str">
        <f>"06/01/2014"</f>
        <v>06/01/2014</v>
      </c>
      <c r="B1121" t="str">
        <f>"6.167"</f>
        <v>6.167</v>
      </c>
      <c r="C1121" t="str">
        <f>"6.1746"</f>
        <v>6.1746</v>
      </c>
    </row>
    <row r="1122" spans="1:3" x14ac:dyDescent="0.25">
      <c r="A1122" t="str">
        <f>"07/01/2014"</f>
        <v>07/01/2014</v>
      </c>
      <c r="B1122" t="str">
        <f>"6.1736"</f>
        <v>6.1736</v>
      </c>
      <c r="C1122" t="str">
        <f>"6.1805"</f>
        <v>6.1805</v>
      </c>
    </row>
    <row r="1123" spans="1:3" x14ac:dyDescent="0.25">
      <c r="A1123" t="str">
        <f>"08/01/2014"</f>
        <v>08/01/2014</v>
      </c>
      <c r="B1123" t="str">
        <f>"6.1657"</f>
        <v>6.1657</v>
      </c>
      <c r="C1123" t="str">
        <f>"6.1728"</f>
        <v>6.1728</v>
      </c>
    </row>
    <row r="1124" spans="1:3" x14ac:dyDescent="0.25">
      <c r="A1124" t="str">
        <f>"09/01/2014"</f>
        <v>09/01/2014</v>
      </c>
      <c r="B1124" t="str">
        <f>"6.2037"</f>
        <v>6.2037</v>
      </c>
      <c r="C1124" t="str">
        <f>"6.2109"</f>
        <v>6.2109</v>
      </c>
    </row>
    <row r="1125" spans="1:3" x14ac:dyDescent="0.25">
      <c r="A1125" t="str">
        <f>"10/01/2014"</f>
        <v>10/01/2014</v>
      </c>
      <c r="B1125" t="str">
        <f>"6.172"</f>
        <v>6.172</v>
      </c>
      <c r="C1125" t="str">
        <f>"6.1792"</f>
        <v>6.1792</v>
      </c>
    </row>
    <row r="1126" spans="1:3" x14ac:dyDescent="0.25">
      <c r="A1126" t="str">
        <f>"16/01/2014"</f>
        <v>16/01/2014</v>
      </c>
      <c r="B1126" t="str">
        <f>"6.1249"</f>
        <v>6.1249</v>
      </c>
      <c r="C1126" t="str">
        <f>"6.1319"</f>
        <v>6.1319</v>
      </c>
    </row>
    <row r="1127" spans="1:3" x14ac:dyDescent="0.25">
      <c r="A1127" t="str">
        <f>"17/01/2014"</f>
        <v>17/01/2014</v>
      </c>
      <c r="B1127" t="str">
        <f>"6.1869"</f>
        <v>6.1869</v>
      </c>
      <c r="C1127" t="str">
        <f>"6.194"</f>
        <v>6.194</v>
      </c>
    </row>
    <row r="1128" spans="1:3" x14ac:dyDescent="0.25">
      <c r="A1128" t="str">
        <f>"20/01/2014"</f>
        <v>20/01/2014</v>
      </c>
      <c r="B1128" t="str">
        <f>"6.169"</f>
        <v>6.169</v>
      </c>
      <c r="C1128" t="str">
        <f>"6.1769"</f>
        <v>6.1769</v>
      </c>
    </row>
    <row r="1129" spans="1:3" x14ac:dyDescent="0.25">
      <c r="A1129" t="str">
        <f>"21/01/2014"</f>
        <v>21/01/2014</v>
      </c>
      <c r="B1129" t="str">
        <f>"6.1805"</f>
        <v>6.1805</v>
      </c>
      <c r="C1129" t="str">
        <f>"6.1881"</f>
        <v>6.1881</v>
      </c>
    </row>
    <row r="1130" spans="1:3" x14ac:dyDescent="0.25">
      <c r="A1130" t="str">
        <f>"22/01/2014"</f>
        <v>22/01/2014</v>
      </c>
      <c r="B1130" t="str">
        <f>"6.1759"</f>
        <v>6.1759</v>
      </c>
      <c r="C1130" t="str">
        <f>"6.1832"</f>
        <v>6.1832</v>
      </c>
    </row>
    <row r="1131" spans="1:3" x14ac:dyDescent="0.25">
      <c r="A1131" t="str">
        <f>"23/01/2014"</f>
        <v>23/01/2014</v>
      </c>
      <c r="B1131" t="str">
        <f>"6.1706"</f>
        <v>6.1706</v>
      </c>
      <c r="C1131" t="str">
        <f>"6.1779"</f>
        <v>6.1779</v>
      </c>
    </row>
    <row r="1132" spans="1:3" x14ac:dyDescent="0.25">
      <c r="A1132" t="str">
        <f>"24/01/2014"</f>
        <v>24/01/2014</v>
      </c>
      <c r="B1132" t="str">
        <f>"6.0938"</f>
        <v>6.0938</v>
      </c>
      <c r="C1132" t="str">
        <f>"6.101"</f>
        <v>6.101</v>
      </c>
    </row>
    <row r="1133" spans="1:3" x14ac:dyDescent="0.25">
      <c r="A1133" t="str">
        <f>"27/01/2014"</f>
        <v>27/01/2014</v>
      </c>
      <c r="B1133" t="str">
        <f>"6.1459"</f>
        <v>6.1459</v>
      </c>
      <c r="C1133" t="str">
        <f>"6.1528"</f>
        <v>6.1528</v>
      </c>
    </row>
    <row r="1134" spans="1:3" x14ac:dyDescent="0.25">
      <c r="A1134" t="str">
        <f>"28/01/2014"</f>
        <v>28/01/2014</v>
      </c>
      <c r="B1134" t="str">
        <f>"6.152"</f>
        <v>6.152</v>
      </c>
      <c r="C1134" t="str">
        <f>"6.1589"</f>
        <v>6.1589</v>
      </c>
    </row>
    <row r="1135" spans="1:3" x14ac:dyDescent="0.25">
      <c r="A1135" t="str">
        <f>"29/01/2014"</f>
        <v>29/01/2014</v>
      </c>
      <c r="B1135" t="str">
        <f>"6.1327"</f>
        <v>6.1327</v>
      </c>
      <c r="C1135" t="str">
        <f>"6.1392"</f>
        <v>6.1392</v>
      </c>
    </row>
    <row r="1136" spans="1:3" x14ac:dyDescent="0.25">
      <c r="A1136" t="str">
        <f>"30/01/2014"</f>
        <v>30/01/2014</v>
      </c>
      <c r="B1136" t="str">
        <f>"6.1799"</f>
        <v>6.1799</v>
      </c>
      <c r="C1136" t="str">
        <f>"6.187"</f>
        <v>6.187</v>
      </c>
    </row>
    <row r="1137" spans="1:3" x14ac:dyDescent="0.25">
      <c r="A1137" t="str">
        <f>"31/01/2014"</f>
        <v>31/01/2014</v>
      </c>
      <c r="B1137" t="str">
        <f>"6.254"</f>
        <v>6.254</v>
      </c>
      <c r="C1137" t="str">
        <f>"6.2612"</f>
        <v>6.2612</v>
      </c>
    </row>
    <row r="1138" spans="1:3" x14ac:dyDescent="0.25">
      <c r="A1138" t="str">
        <f>"03/02/2014"</f>
        <v>03/02/2014</v>
      </c>
      <c r="B1138" t="str">
        <f>"6.2788"</f>
        <v>6.2788</v>
      </c>
      <c r="C1138" t="str">
        <f>"6.2861"</f>
        <v>6.2861</v>
      </c>
    </row>
    <row r="1139" spans="1:3" x14ac:dyDescent="0.25">
      <c r="A1139" t="str">
        <f>"04/02/2014"</f>
        <v>04/02/2014</v>
      </c>
      <c r="B1139" t="str">
        <f>"6.2932"</f>
        <v>6.2932</v>
      </c>
      <c r="C1139" t="str">
        <f>"6.3007"</f>
        <v>6.3007</v>
      </c>
    </row>
    <row r="1140" spans="1:3" x14ac:dyDescent="0.25">
      <c r="A1140" t="str">
        <f>"05/02/2014"</f>
        <v>05/02/2014</v>
      </c>
      <c r="B1140" t="str">
        <f>"6.2895"</f>
        <v>6.2895</v>
      </c>
      <c r="C1140" t="str">
        <f>"6.2969"</f>
        <v>6.2969</v>
      </c>
    </row>
    <row r="1141" spans="1:3" x14ac:dyDescent="0.25">
      <c r="A1141" t="str">
        <f>"06/02/2014"</f>
        <v>06/02/2014</v>
      </c>
      <c r="B1141" t="str">
        <f>"6.2373"</f>
        <v>6.2373</v>
      </c>
      <c r="C1141" t="str">
        <f>"6.2447"</f>
        <v>6.2447</v>
      </c>
    </row>
    <row r="1142" spans="1:3" x14ac:dyDescent="0.25">
      <c r="A1142" t="str">
        <f>"07/02/2014"</f>
        <v>07/02/2014</v>
      </c>
      <c r="B1142" t="str">
        <f>"6.218"</f>
        <v>6.218</v>
      </c>
      <c r="C1142" t="str">
        <f>"6.2253"</f>
        <v>6.2253</v>
      </c>
    </row>
    <row r="1143" spans="1:3" x14ac:dyDescent="0.25">
      <c r="A1143" t="str">
        <f>"10/02/2014"</f>
        <v>10/02/2014</v>
      </c>
      <c r="B1143" t="str">
        <f>"6.1797"</f>
        <v>6.1797</v>
      </c>
      <c r="C1143" t="str">
        <f>"6.1869"</f>
        <v>6.1869</v>
      </c>
    </row>
    <row r="1144" spans="1:3" x14ac:dyDescent="0.25">
      <c r="A1144" t="str">
        <f>"11/02/2014"</f>
        <v>11/02/2014</v>
      </c>
      <c r="B1144" t="str">
        <f>"6.1268"</f>
        <v>6.1268</v>
      </c>
      <c r="C1144" t="str">
        <f>"6.134"</f>
        <v>6.134</v>
      </c>
    </row>
    <row r="1145" spans="1:3" x14ac:dyDescent="0.25">
      <c r="A1145" t="str">
        <f>"12/02/2014"</f>
        <v>12/02/2014</v>
      </c>
      <c r="B1145" t="str">
        <f>"6.1312"</f>
        <v>6.1312</v>
      </c>
      <c r="C1145" t="str">
        <f>"6.1384"</f>
        <v>6.1384</v>
      </c>
    </row>
    <row r="1146" spans="1:3" x14ac:dyDescent="0.25">
      <c r="A1146" t="str">
        <f>"13/02/2014"</f>
        <v>13/02/2014</v>
      </c>
      <c r="B1146" t="str">
        <f>"6.1117"</f>
        <v>6.1117</v>
      </c>
      <c r="C1146" t="str">
        <f>"6.119"</f>
        <v>6.119</v>
      </c>
    </row>
    <row r="1147" spans="1:3" x14ac:dyDescent="0.25">
      <c r="A1147" t="str">
        <f>"14/02/2014"</f>
        <v>14/02/2014</v>
      </c>
      <c r="B1147" t="str">
        <f>"6.1057"</f>
        <v>6.1057</v>
      </c>
      <c r="C1147" t="str">
        <f>"6.113"</f>
        <v>6.113</v>
      </c>
    </row>
    <row r="1148" spans="1:3" x14ac:dyDescent="0.25">
      <c r="A1148" t="str">
        <f>"17/02/2014"</f>
        <v>17/02/2014</v>
      </c>
      <c r="B1148" t="str">
        <f>"6.0753"</f>
        <v>6.0753</v>
      </c>
      <c r="C1148" t="str">
        <f>"6.0826"</f>
        <v>6.0826</v>
      </c>
    </row>
    <row r="1149" spans="1:3" x14ac:dyDescent="0.25">
      <c r="A1149" t="str">
        <f>"18/02/2014"</f>
        <v>18/02/2014</v>
      </c>
      <c r="B1149" t="str">
        <f>"6.0778"</f>
        <v>6.0778</v>
      </c>
      <c r="C1149" t="str">
        <f>"6.0847"</f>
        <v>6.0847</v>
      </c>
    </row>
    <row r="1150" spans="1:3" x14ac:dyDescent="0.25">
      <c r="A1150" t="str">
        <f>"19/02/2014"</f>
        <v>19/02/2014</v>
      </c>
      <c r="B1150" t="str">
        <f>"6.0397"</f>
        <v>6.0397</v>
      </c>
      <c r="C1150" t="str">
        <f>"6.0465"</f>
        <v>6.0465</v>
      </c>
    </row>
    <row r="1151" spans="1:3" x14ac:dyDescent="0.25">
      <c r="A1151" t="str">
        <f>"20/02/2014"</f>
        <v>20/02/2014</v>
      </c>
      <c r="B1151" t="str">
        <f>"6.0728"</f>
        <v>6.0728</v>
      </c>
      <c r="C1151" t="str">
        <f>"6.0795"</f>
        <v>6.0795</v>
      </c>
    </row>
    <row r="1152" spans="1:3" x14ac:dyDescent="0.25">
      <c r="A1152" t="str">
        <f>"21/02/2014"</f>
        <v>21/02/2014</v>
      </c>
      <c r="B1152" t="str">
        <f>"6.0991"</f>
        <v>6.0991</v>
      </c>
      <c r="C1152" t="str">
        <f>"6.1059"</f>
        <v>6.1059</v>
      </c>
    </row>
    <row r="1153" spans="1:3" x14ac:dyDescent="0.25">
      <c r="A1153" t="str">
        <f>"24/02/2014"</f>
        <v>24/02/2014</v>
      </c>
      <c r="B1153" t="str">
        <f>"6.0749"</f>
        <v>6.0749</v>
      </c>
      <c r="C1153" t="str">
        <f>"6.0818"</f>
        <v>6.0818</v>
      </c>
    </row>
    <row r="1154" spans="1:3" x14ac:dyDescent="0.25">
      <c r="A1154" t="str">
        <f>"25/02/2014"</f>
        <v>25/02/2014</v>
      </c>
      <c r="B1154" t="str">
        <f>"6.0354"</f>
        <v>6.0354</v>
      </c>
      <c r="C1154" t="str">
        <f>"6.0421"</f>
        <v>6.0421</v>
      </c>
    </row>
    <row r="1155" spans="1:3" x14ac:dyDescent="0.25">
      <c r="A1155" t="str">
        <f>"26/02/2014"</f>
        <v>26/02/2014</v>
      </c>
      <c r="B1155" t="str">
        <f>"6.0453"</f>
        <v>6.0453</v>
      </c>
      <c r="C1155" t="str">
        <f>"6.0527"</f>
        <v>6.0527</v>
      </c>
    </row>
    <row r="1156" spans="1:3" x14ac:dyDescent="0.25">
      <c r="A1156" t="str">
        <f>"28/02/2014"</f>
        <v>28/02/2014</v>
      </c>
      <c r="B1156" t="str">
        <f>"6.0471"</f>
        <v>6.0471</v>
      </c>
      <c r="C1156" t="str">
        <f>"6.0544"</f>
        <v>6.0544</v>
      </c>
    </row>
    <row r="1157" spans="1:3" x14ac:dyDescent="0.25">
      <c r="A1157" t="str">
        <f>"03/03/2014"</f>
        <v>03/03/2014</v>
      </c>
      <c r="B1157" t="str">
        <f>"6.0096"</f>
        <v>6.0096</v>
      </c>
      <c r="C1157" t="str">
        <f>"6.0175"</f>
        <v>6.0175</v>
      </c>
    </row>
    <row r="1158" spans="1:3" x14ac:dyDescent="0.25">
      <c r="A1158" t="str">
        <f>"04/03/2014"</f>
        <v>04/03/2014</v>
      </c>
      <c r="B1158" t="str">
        <f>"6.0561"</f>
        <v>6.0561</v>
      </c>
      <c r="C1158" t="str">
        <f>"6.0639"</f>
        <v>6.0639</v>
      </c>
    </row>
    <row r="1159" spans="1:3" x14ac:dyDescent="0.25">
      <c r="A1159" t="str">
        <f>"05/03/2014"</f>
        <v>05/03/2014</v>
      </c>
      <c r="B1159" t="str">
        <f>"6.0174"</f>
        <v>6.0174</v>
      </c>
      <c r="C1159" t="str">
        <f>"6.0248"</f>
        <v>6.0248</v>
      </c>
    </row>
    <row r="1160" spans="1:3" x14ac:dyDescent="0.25">
      <c r="A1160" t="str">
        <f>"06/03/2014"</f>
        <v>06/03/2014</v>
      </c>
      <c r="B1160" t="str">
        <f>"5.999"</f>
        <v>5.999</v>
      </c>
      <c r="C1160" t="str">
        <f>"6.0064"</f>
        <v>6.0064</v>
      </c>
    </row>
    <row r="1161" spans="1:3" x14ac:dyDescent="0.25">
      <c r="A1161" t="str">
        <f>"07/03/2014"</f>
        <v>07/03/2014</v>
      </c>
      <c r="B1161" t="str">
        <f>"5.9755"</f>
        <v>5.9755</v>
      </c>
      <c r="C1161" t="str">
        <f>"5.9829"</f>
        <v>5.9829</v>
      </c>
    </row>
    <row r="1162" spans="1:3" x14ac:dyDescent="0.25">
      <c r="A1162" t="str">
        <f>"10/03/2014"</f>
        <v>10/03/2014</v>
      </c>
      <c r="B1162" t="str">
        <f>"5.9822"</f>
        <v>5.9822</v>
      </c>
      <c r="C1162" t="str">
        <f>"5.9902"</f>
        <v>5.9902</v>
      </c>
    </row>
    <row r="1163" spans="1:3" x14ac:dyDescent="0.25">
      <c r="A1163" t="str">
        <f>"11/03/2014"</f>
        <v>11/03/2014</v>
      </c>
      <c r="B1163" t="str">
        <f>"5.9606"</f>
        <v>5.9606</v>
      </c>
      <c r="C1163" t="str">
        <f>"5.9683"</f>
        <v>5.9683</v>
      </c>
    </row>
    <row r="1164" spans="1:3" x14ac:dyDescent="0.25">
      <c r="A1164" t="str">
        <f>"12/03/2014"</f>
        <v>12/03/2014</v>
      </c>
      <c r="B1164" t="str">
        <f>"5.9592"</f>
        <v>5.9592</v>
      </c>
      <c r="C1164" t="str">
        <f>"5.9667"</f>
        <v>5.9667</v>
      </c>
    </row>
    <row r="1165" spans="1:3" x14ac:dyDescent="0.25">
      <c r="A1165" t="str">
        <f>"13/03/2014"</f>
        <v>13/03/2014</v>
      </c>
      <c r="B1165" t="str">
        <f>"5.9404"</f>
        <v>5.9404</v>
      </c>
      <c r="C1165" t="str">
        <f>"5.9496"</f>
        <v>5.9496</v>
      </c>
    </row>
    <row r="1166" spans="1:3" x14ac:dyDescent="0.25">
      <c r="A1166" t="str">
        <f>"14/03/2014"</f>
        <v>14/03/2014</v>
      </c>
      <c r="B1166" t="str">
        <f>"5.9811"</f>
        <v>5.9811</v>
      </c>
      <c r="C1166" t="str">
        <f>"5.9896"</f>
        <v>5.9896</v>
      </c>
    </row>
    <row r="1167" spans="1:3" x14ac:dyDescent="0.25">
      <c r="A1167" t="str">
        <f>"18/03/2014"</f>
        <v>18/03/2014</v>
      </c>
      <c r="B1167" t="str">
        <f>"5.9533"</f>
        <v>5.9533</v>
      </c>
      <c r="C1167" t="str">
        <f>"5.9615"</f>
        <v>5.9615</v>
      </c>
    </row>
    <row r="1168" spans="1:3" x14ac:dyDescent="0.25">
      <c r="A1168" t="str">
        <f>"19/03/2014"</f>
        <v>19/03/2014</v>
      </c>
      <c r="B1168" t="str">
        <f>"5.9561"</f>
        <v>5.9561</v>
      </c>
      <c r="C1168" t="str">
        <f>"5.9639"</f>
        <v>5.9639</v>
      </c>
    </row>
    <row r="1169" spans="1:3" x14ac:dyDescent="0.25">
      <c r="A1169" t="str">
        <f>"20/03/2014"</f>
        <v>20/03/2014</v>
      </c>
      <c r="B1169" t="str">
        <f>"6.0517"</f>
        <v>6.0517</v>
      </c>
      <c r="C1169" t="str">
        <f>"6.0592"</f>
        <v>6.0592</v>
      </c>
    </row>
    <row r="1170" spans="1:3" x14ac:dyDescent="0.25">
      <c r="A1170" t="str">
        <f>"21/03/2014"</f>
        <v>21/03/2014</v>
      </c>
      <c r="B1170" t="str">
        <f>"6.0583"</f>
        <v>6.0583</v>
      </c>
      <c r="C1170" t="str">
        <f>"6.0659"</f>
        <v>6.0659</v>
      </c>
    </row>
    <row r="1171" spans="1:3" x14ac:dyDescent="0.25">
      <c r="A1171" t="str">
        <f>"24/03/2014"</f>
        <v>24/03/2014</v>
      </c>
      <c r="B1171" t="str">
        <f>"6.0538"</f>
        <v>6.0538</v>
      </c>
      <c r="C1171" t="str">
        <f>"6.0618"</f>
        <v>6.0618</v>
      </c>
    </row>
    <row r="1172" spans="1:3" x14ac:dyDescent="0.25">
      <c r="A1172" t="str">
        <f>"25/03/2014"</f>
        <v>25/03/2014</v>
      </c>
      <c r="B1172" t="str">
        <f>"6.0229"</f>
        <v>6.0229</v>
      </c>
      <c r="C1172" t="str">
        <f>"6.0307"</f>
        <v>6.0307</v>
      </c>
    </row>
    <row r="1173" spans="1:3" x14ac:dyDescent="0.25">
      <c r="A1173" t="str">
        <f>"26/03/2014"</f>
        <v>26/03/2014</v>
      </c>
      <c r="B1173" t="str">
        <f>"6.0373"</f>
        <v>6.0373</v>
      </c>
      <c r="C1173" t="str">
        <f>"6.045"</f>
        <v>6.045</v>
      </c>
    </row>
    <row r="1174" spans="1:3" x14ac:dyDescent="0.25">
      <c r="A1174" t="str">
        <f>"27/03/2014"</f>
        <v>27/03/2014</v>
      </c>
      <c r="B1174" t="str">
        <f>"6.0526"</f>
        <v>6.0526</v>
      </c>
      <c r="C1174" t="str">
        <f>"6.06"</f>
        <v>6.06</v>
      </c>
    </row>
    <row r="1175" spans="1:3" x14ac:dyDescent="0.25">
      <c r="A1175" t="str">
        <f>"28/03/2014"</f>
        <v>28/03/2014</v>
      </c>
      <c r="B1175" t="str">
        <f>"6.0004"</f>
        <v>6.0004</v>
      </c>
      <c r="C1175" t="str">
        <f>"6.0076"</f>
        <v>6.0076</v>
      </c>
    </row>
    <row r="1176" spans="1:3" x14ac:dyDescent="0.25">
      <c r="A1176" t="str">
        <f>"02/04/2014"</f>
        <v>02/04/2014</v>
      </c>
      <c r="B1176" t="str">
        <f>"5.9797"</f>
        <v>5.9797</v>
      </c>
      <c r="C1176" t="str">
        <f>"5.9874"</f>
        <v>5.9874</v>
      </c>
    </row>
    <row r="1177" spans="1:3" x14ac:dyDescent="0.25">
      <c r="A1177" t="str">
        <f>"03/04/2014"</f>
        <v>03/04/2014</v>
      </c>
      <c r="B1177" t="str">
        <f>"5.9786"</f>
        <v>5.9786</v>
      </c>
      <c r="C1177" t="str">
        <f>"5.986"</f>
        <v>5.986</v>
      </c>
    </row>
    <row r="1178" spans="1:3" x14ac:dyDescent="0.25">
      <c r="A1178" t="str">
        <f>"04/04/2014"</f>
        <v>04/04/2014</v>
      </c>
      <c r="B1178" t="str">
        <f>"6.0117"</f>
        <v>6.0117</v>
      </c>
      <c r="C1178" t="str">
        <f>"6.0191"</f>
        <v>6.0191</v>
      </c>
    </row>
    <row r="1179" spans="1:3" x14ac:dyDescent="0.25">
      <c r="A1179" t="str">
        <f>"07/04/2014"</f>
        <v>07/04/2014</v>
      </c>
      <c r="B1179" t="str">
        <f>"5.9986"</f>
        <v>5.9986</v>
      </c>
      <c r="C1179" t="str">
        <f>"6.0062"</f>
        <v>6.0062</v>
      </c>
    </row>
    <row r="1180" spans="1:3" x14ac:dyDescent="0.25">
      <c r="A1180" t="str">
        <f>"09/04/2014"</f>
        <v>09/04/2014</v>
      </c>
      <c r="B1180" t="str">
        <f>"5.9784"</f>
        <v>5.9784</v>
      </c>
      <c r="C1180" t="str">
        <f>"5.9862"</f>
        <v>5.9862</v>
      </c>
    </row>
    <row r="1181" spans="1:3" x14ac:dyDescent="0.25">
      <c r="A1181" t="str">
        <f>"10/04/2014"</f>
        <v>10/04/2014</v>
      </c>
      <c r="B1181" t="str">
        <f>"5.9411"</f>
        <v>5.9411</v>
      </c>
      <c r="C1181" t="str">
        <f>"5.9487"</f>
        <v>5.9487</v>
      </c>
    </row>
    <row r="1182" spans="1:3" x14ac:dyDescent="0.25">
      <c r="A1182" t="str">
        <f>"11/04/2014"</f>
        <v>11/04/2014</v>
      </c>
      <c r="B1182" t="str">
        <f>"5.927"</f>
        <v>5.927</v>
      </c>
      <c r="C1182" t="str">
        <f>"5.9346"</f>
        <v>5.9346</v>
      </c>
    </row>
    <row r="1183" spans="1:3" x14ac:dyDescent="0.25">
      <c r="A1183" t="str">
        <f>"15/04/2014"</f>
        <v>15/04/2014</v>
      </c>
      <c r="B1183" t="str">
        <f>"5.9679"</f>
        <v>5.9679</v>
      </c>
      <c r="C1183" t="str">
        <f>"5.9752"</f>
        <v>5.9752</v>
      </c>
    </row>
    <row r="1184" spans="1:3" x14ac:dyDescent="0.25">
      <c r="A1184" t="str">
        <f>"16/04/2014"</f>
        <v>16/04/2014</v>
      </c>
      <c r="B1184" t="str">
        <f>"5.9532"</f>
        <v>5.9532</v>
      </c>
      <c r="C1184" t="str">
        <f>"5.9605"</f>
        <v>5.9605</v>
      </c>
    </row>
    <row r="1185" spans="1:3" x14ac:dyDescent="0.25">
      <c r="A1185" t="str">
        <f>"17/04/2014"</f>
        <v>17/04/2014</v>
      </c>
      <c r="B1185" t="str">
        <f>"5.9759"</f>
        <v>5.9759</v>
      </c>
      <c r="C1185" t="str">
        <f>"5.9833"</f>
        <v>5.9833</v>
      </c>
    </row>
    <row r="1186" spans="1:3" x14ac:dyDescent="0.25">
      <c r="A1186" t="str">
        <f>"21/04/2014"</f>
        <v>21/04/2014</v>
      </c>
      <c r="B1186" t="str">
        <f>"5.9877"</f>
        <v>5.9877</v>
      </c>
      <c r="C1186" t="str">
        <f>"5.9951"</f>
        <v>5.9951</v>
      </c>
    </row>
    <row r="1187" spans="1:3" x14ac:dyDescent="0.25">
      <c r="A1187" t="str">
        <f>"22/04/2014"</f>
        <v>22/04/2014</v>
      </c>
      <c r="B1187" t="str">
        <f>"5.9905"</f>
        <v>5.9905</v>
      </c>
      <c r="C1187" t="str">
        <f>"5.9991"</f>
        <v>5.9991</v>
      </c>
    </row>
    <row r="1188" spans="1:3" x14ac:dyDescent="0.25">
      <c r="A1188" t="str">
        <f>"23/04/2014"</f>
        <v>23/04/2014</v>
      </c>
      <c r="B1188" t="str">
        <f>"5.9833"</f>
        <v>5.9833</v>
      </c>
      <c r="C1188" t="str">
        <f>"5.9916"</f>
        <v>5.9916</v>
      </c>
    </row>
    <row r="1189" spans="1:3" x14ac:dyDescent="0.25">
      <c r="A1189" t="str">
        <f>"25/04/2014"</f>
        <v>25/04/2014</v>
      </c>
      <c r="B1189" t="str">
        <f>"5.9967"</f>
        <v>5.9967</v>
      </c>
      <c r="C1189" t="str">
        <f>"6.0045"</f>
        <v>6.0045</v>
      </c>
    </row>
    <row r="1190" spans="1:3" x14ac:dyDescent="0.25">
      <c r="A1190" t="str">
        <f>"28/04/2014"</f>
        <v>28/04/2014</v>
      </c>
      <c r="B1190" t="str">
        <f>"6.017"</f>
        <v>6.017</v>
      </c>
      <c r="C1190" t="str">
        <f>"6.0243"</f>
        <v>6.0243</v>
      </c>
    </row>
    <row r="1191" spans="1:3" x14ac:dyDescent="0.25">
      <c r="A1191" t="str">
        <f>"29/04/2014"</f>
        <v>29/04/2014</v>
      </c>
      <c r="B1191" t="str">
        <f>"5.9967"</f>
        <v>5.9967</v>
      </c>
      <c r="C1191" t="str">
        <f>"6.0045"</f>
        <v>6.0045</v>
      </c>
    </row>
    <row r="1192" spans="1:3" x14ac:dyDescent="0.25">
      <c r="A1192" t="str">
        <f>"30/04/2014"</f>
        <v>30/04/2014</v>
      </c>
      <c r="B1192" t="str">
        <f>"6.011"</f>
        <v>6.011</v>
      </c>
      <c r="C1192" t="str">
        <f>"6.019"</f>
        <v>6.019</v>
      </c>
    </row>
    <row r="1193" spans="1:3" x14ac:dyDescent="0.25">
      <c r="A1193" t="str">
        <f>"02/05/2014"</f>
        <v>02/05/2014</v>
      </c>
      <c r="B1193" t="str">
        <f>"5.9546"</f>
        <v>5.9546</v>
      </c>
      <c r="C1193" t="str">
        <f>"5.9625"</f>
        <v>5.9625</v>
      </c>
    </row>
    <row r="1194" spans="1:3" x14ac:dyDescent="0.25">
      <c r="A1194" t="str">
        <f>"05/05/2014"</f>
        <v>05/05/2014</v>
      </c>
      <c r="B1194" t="str">
        <f>"5.9453"</f>
        <v>5.9453</v>
      </c>
      <c r="C1194" t="str">
        <f>"5.9534"</f>
        <v>5.9534</v>
      </c>
    </row>
    <row r="1195" spans="1:3" x14ac:dyDescent="0.25">
      <c r="A1195" t="str">
        <f>"06/05/2014"</f>
        <v>06/05/2014</v>
      </c>
      <c r="B1195" t="str">
        <f>"5.9555"</f>
        <v>5.9555</v>
      </c>
      <c r="C1195" t="str">
        <f>"5.9647"</f>
        <v>5.9647</v>
      </c>
    </row>
    <row r="1196" spans="1:3" x14ac:dyDescent="0.25">
      <c r="A1196" t="str">
        <f>"07/05/2014"</f>
        <v>07/05/2014</v>
      </c>
      <c r="B1196" t="str">
        <f>"5.9278"</f>
        <v>5.9278</v>
      </c>
      <c r="C1196" t="str">
        <f>"5.9362"</f>
        <v>5.9362</v>
      </c>
    </row>
    <row r="1197" spans="1:3" x14ac:dyDescent="0.25">
      <c r="A1197" t="str">
        <f>"08/05/2014"</f>
        <v>08/05/2014</v>
      </c>
      <c r="B1197" t="str">
        <f>"5.9117"</f>
        <v>5.9117</v>
      </c>
      <c r="C1197" t="str">
        <f>"5.9197"</f>
        <v>5.9197</v>
      </c>
    </row>
    <row r="1198" spans="1:3" x14ac:dyDescent="0.25">
      <c r="A1198" t="str">
        <f>"09/05/2014"</f>
        <v>09/05/2014</v>
      </c>
      <c r="B1198" t="str">
        <f>"5.9037"</f>
        <v>5.9037</v>
      </c>
      <c r="C1198" t="str">
        <f>"5.9116"</f>
        <v>5.9116</v>
      </c>
    </row>
    <row r="1199" spans="1:3" x14ac:dyDescent="0.25">
      <c r="A1199" t="str">
        <f>"12/05/2014"</f>
        <v>12/05/2014</v>
      </c>
      <c r="B1199" t="str">
        <f>"5.9132"</f>
        <v>5.9132</v>
      </c>
      <c r="C1199" t="str">
        <f>"5.9213"</f>
        <v>5.9213</v>
      </c>
    </row>
    <row r="1200" spans="1:3" x14ac:dyDescent="0.25">
      <c r="A1200" t="str">
        <f>"13/05/2014"</f>
        <v>13/05/2014</v>
      </c>
      <c r="B1200" t="str">
        <f>"5.9235"</f>
        <v>5.9235</v>
      </c>
      <c r="C1200" t="str">
        <f>"5.9317"</f>
        <v>5.9317</v>
      </c>
    </row>
    <row r="1201" spans="1:3" x14ac:dyDescent="0.25">
      <c r="A1201" t="str">
        <f>"15/05/2014"</f>
        <v>15/05/2014</v>
      </c>
      <c r="B1201" t="str">
        <f>"5.9284"</f>
        <v>5.9284</v>
      </c>
      <c r="C1201" t="str">
        <f>"5.9362"</f>
        <v>5.9362</v>
      </c>
    </row>
    <row r="1202" spans="1:3" x14ac:dyDescent="0.25">
      <c r="A1202" t="str">
        <f>"16/05/2014"</f>
        <v>16/05/2014</v>
      </c>
      <c r="B1202" t="str">
        <f>"5.9503"</f>
        <v>5.9503</v>
      </c>
      <c r="C1202" t="str">
        <f>"5.9582"</f>
        <v>5.9582</v>
      </c>
    </row>
    <row r="1203" spans="1:3" x14ac:dyDescent="0.25">
      <c r="A1203" t="str">
        <f>"19/05/2014"</f>
        <v>19/05/2014</v>
      </c>
      <c r="B1203" t="str">
        <f>"5.937"</f>
        <v>5.937</v>
      </c>
      <c r="C1203" t="str">
        <f>"5.9453"</f>
        <v>5.9453</v>
      </c>
    </row>
    <row r="1204" spans="1:3" x14ac:dyDescent="0.25">
      <c r="A1204" t="str">
        <f>"20/05/2014"</f>
        <v>20/05/2014</v>
      </c>
      <c r="B1204" t="str">
        <f>"5.9408"</f>
        <v>5.9408</v>
      </c>
      <c r="C1204" t="str">
        <f>"5.9484"</f>
        <v>5.9484</v>
      </c>
    </row>
    <row r="1205" spans="1:3" x14ac:dyDescent="0.25">
      <c r="A1205" t="str">
        <f>"21/05/2014"</f>
        <v>21/05/2014</v>
      </c>
      <c r="B1205" t="str">
        <f>"5.9604"</f>
        <v>5.9604</v>
      </c>
      <c r="C1205" t="str">
        <f>"5.9683"</f>
        <v>5.9683</v>
      </c>
    </row>
    <row r="1206" spans="1:3" x14ac:dyDescent="0.25">
      <c r="A1206" t="str">
        <f>"22/05/2014"</f>
        <v>22/05/2014</v>
      </c>
      <c r="B1206" t="str">
        <f>"5.9529"</f>
        <v>5.9529</v>
      </c>
      <c r="C1206" t="str">
        <f>"5.9608"</f>
        <v>5.9608</v>
      </c>
    </row>
    <row r="1207" spans="1:3" x14ac:dyDescent="0.25">
      <c r="A1207" t="str">
        <f>"23/05/2014"</f>
        <v>23/05/2014</v>
      </c>
      <c r="B1207" t="str">
        <f>"5.9569"</f>
        <v>5.9569</v>
      </c>
      <c r="C1207" t="str">
        <f>"5.9648"</f>
        <v>5.9648</v>
      </c>
    </row>
    <row r="1208" spans="1:3" x14ac:dyDescent="0.25">
      <c r="A1208" t="str">
        <f>"26/05/2014"</f>
        <v>26/05/2014</v>
      </c>
      <c r="B1208" t="str">
        <f>"5.9697"</f>
        <v>5.9697</v>
      </c>
      <c r="C1208" t="str">
        <f>"5.9781"</f>
        <v>5.9781</v>
      </c>
    </row>
    <row r="1209" spans="1:3" x14ac:dyDescent="0.25">
      <c r="A1209" t="str">
        <f>"27/05/2014"</f>
        <v>27/05/2014</v>
      </c>
      <c r="B1209" t="str">
        <f>"5.9585"</f>
        <v>5.9585</v>
      </c>
      <c r="C1209" t="str">
        <f>"5.9663"</f>
        <v>5.9663</v>
      </c>
    </row>
    <row r="1210" spans="1:3" x14ac:dyDescent="0.25">
      <c r="A1210" t="str">
        <f>"28/05/2014"</f>
        <v>28/05/2014</v>
      </c>
      <c r="B1210" t="str">
        <f>"5.9569"</f>
        <v>5.9569</v>
      </c>
      <c r="C1210" t="str">
        <f>"5.9645"</f>
        <v>5.9645</v>
      </c>
    </row>
    <row r="1211" spans="1:3" x14ac:dyDescent="0.25">
      <c r="A1211" t="str">
        <f>"29/05/2014"</f>
        <v>29/05/2014</v>
      </c>
      <c r="B1211" t="str">
        <f>"5.9625"</f>
        <v>5.9625</v>
      </c>
      <c r="C1211" t="str">
        <f>"5.9701"</f>
        <v>5.9701</v>
      </c>
    </row>
    <row r="1212" spans="1:3" x14ac:dyDescent="0.25">
      <c r="A1212" t="str">
        <f>"30/05/2014"</f>
        <v>30/05/2014</v>
      </c>
      <c r="B1212" t="str">
        <f>"5.9686"</f>
        <v>5.9686</v>
      </c>
      <c r="C1212" t="str">
        <f>"5.9762"</f>
        <v>5.9762</v>
      </c>
    </row>
    <row r="1213" spans="1:3" x14ac:dyDescent="0.25">
      <c r="A1213" t="str">
        <f>"02/06/2014"</f>
        <v>02/06/2014</v>
      </c>
      <c r="B1213" t="str">
        <f>"5.9849"</f>
        <v>5.9849</v>
      </c>
      <c r="C1213" t="str">
        <f>"5.9932"</f>
        <v>5.9932</v>
      </c>
    </row>
    <row r="1214" spans="1:3" x14ac:dyDescent="0.25">
      <c r="A1214" t="str">
        <f>"03/06/2014"</f>
        <v>03/06/2014</v>
      </c>
      <c r="B1214" t="str">
        <f>"5.9936"</f>
        <v>5.9936</v>
      </c>
      <c r="C1214" t="str">
        <f>"6.0017"</f>
        <v>6.0017</v>
      </c>
    </row>
    <row r="1215" spans="1:3" x14ac:dyDescent="0.25">
      <c r="A1215" t="str">
        <f>"04/06/2014"</f>
        <v>04/06/2014</v>
      </c>
      <c r="B1215" t="str">
        <f>"6.0084"</f>
        <v>6.0084</v>
      </c>
      <c r="C1215" t="str">
        <f>"6.0162"</f>
        <v>6.0162</v>
      </c>
    </row>
    <row r="1216" spans="1:3" x14ac:dyDescent="0.25">
      <c r="A1216" t="str">
        <f>"05/06/2014"</f>
        <v>05/06/2014</v>
      </c>
      <c r="B1216" t="str">
        <f>"6.0029"</f>
        <v>6.0029</v>
      </c>
      <c r="C1216" t="str">
        <f>"6.0105"</f>
        <v>6.0105</v>
      </c>
    </row>
    <row r="1217" spans="1:3" x14ac:dyDescent="0.25">
      <c r="A1217" t="str">
        <f>"06/06/2014"</f>
        <v>06/06/2014</v>
      </c>
      <c r="B1217" t="str">
        <f>"5.9897"</f>
        <v>5.9897</v>
      </c>
      <c r="C1217" t="str">
        <f>"5.9973"</f>
        <v>5.9973</v>
      </c>
    </row>
    <row r="1218" spans="1:3" x14ac:dyDescent="0.25">
      <c r="A1218" t="str">
        <f>"09/06/2014"</f>
        <v>09/06/2014</v>
      </c>
      <c r="B1218" t="str">
        <f>"5.9489"</f>
        <v>5.9489</v>
      </c>
      <c r="C1218" t="str">
        <f>"5.9562"</f>
        <v>5.9562</v>
      </c>
    </row>
    <row r="1219" spans="1:3" x14ac:dyDescent="0.25">
      <c r="A1219" t="str">
        <f>"10/06/2014"</f>
        <v>10/06/2014</v>
      </c>
      <c r="B1219" t="str">
        <f>"5.9742"</f>
        <v>5.9742</v>
      </c>
      <c r="C1219" t="str">
        <f>"5.9819"</f>
        <v>5.9819</v>
      </c>
    </row>
    <row r="1220" spans="1:3" x14ac:dyDescent="0.25">
      <c r="A1220" t="str">
        <f>"11/06/2014"</f>
        <v>11/06/2014</v>
      </c>
      <c r="B1220" t="str">
        <f>"5.9859"</f>
        <v>5.9859</v>
      </c>
      <c r="C1220" t="str">
        <f>"5.9935"</f>
        <v>5.9935</v>
      </c>
    </row>
    <row r="1221" spans="1:3" x14ac:dyDescent="0.25">
      <c r="A1221" t="str">
        <f>"12/06/2014"</f>
        <v>12/06/2014</v>
      </c>
      <c r="B1221" t="str">
        <f>"5.9982"</f>
        <v>5.9982</v>
      </c>
      <c r="C1221" t="str">
        <f>"6.0056"</f>
        <v>6.0056</v>
      </c>
    </row>
    <row r="1222" spans="1:3" x14ac:dyDescent="0.25">
      <c r="A1222" t="str">
        <f>"13/06/2014"</f>
        <v>13/06/2014</v>
      </c>
      <c r="B1222" t="str">
        <f>"5.9868"</f>
        <v>5.9868</v>
      </c>
      <c r="C1222" t="str">
        <f>"5.9938"</f>
        <v>5.9938</v>
      </c>
    </row>
    <row r="1223" spans="1:3" x14ac:dyDescent="0.25">
      <c r="A1223" t="str">
        <f>"16/06/2014"</f>
        <v>16/06/2014</v>
      </c>
      <c r="B1223" t="str">
        <f>"5.9978"</f>
        <v>5.9978</v>
      </c>
      <c r="C1223" t="str">
        <f>"6.005"</f>
        <v>6.005</v>
      </c>
    </row>
    <row r="1224" spans="1:3" x14ac:dyDescent="0.25">
      <c r="A1224" t="str">
        <f>"17/06/2014"</f>
        <v>17/06/2014</v>
      </c>
      <c r="B1224" t="str">
        <f>"5.9926"</f>
        <v>5.9926</v>
      </c>
      <c r="C1224" t="str">
        <f>"5.9998"</f>
        <v>5.9998</v>
      </c>
    </row>
    <row r="1225" spans="1:3" x14ac:dyDescent="0.25">
      <c r="A1225" t="str">
        <f>"18/06/2014"</f>
        <v>18/06/2014</v>
      </c>
      <c r="B1225" t="str">
        <f>"6.0073"</f>
        <v>6.0073</v>
      </c>
      <c r="C1225" t="str">
        <f>"6.0148"</f>
        <v>6.0148</v>
      </c>
    </row>
    <row r="1226" spans="1:3" x14ac:dyDescent="0.25">
      <c r="A1226" t="str">
        <f>"19/06/2014"</f>
        <v>19/06/2014</v>
      </c>
      <c r="B1226" t="str">
        <f>"6.011"</f>
        <v>6.011</v>
      </c>
      <c r="C1226" t="str">
        <f>"6.0182"</f>
        <v>6.0182</v>
      </c>
    </row>
    <row r="1227" spans="1:3" x14ac:dyDescent="0.25">
      <c r="A1227" t="str">
        <f>"20/06/2014"</f>
        <v>20/06/2014</v>
      </c>
      <c r="B1227" t="str">
        <f>"6.1198"</f>
        <v>6.1198</v>
      </c>
      <c r="C1227" t="str">
        <f>"6.1269"</f>
        <v>6.1269</v>
      </c>
    </row>
    <row r="1228" spans="1:3" x14ac:dyDescent="0.25">
      <c r="A1228" t="str">
        <f>"23/06/2014"</f>
        <v>23/06/2014</v>
      </c>
      <c r="B1228" t="str">
        <f>"6.1254"</f>
        <v>6.1254</v>
      </c>
      <c r="C1228" t="str">
        <f>"6.1326"</f>
        <v>6.1326</v>
      </c>
    </row>
    <row r="1229" spans="1:3" x14ac:dyDescent="0.25">
      <c r="A1229" t="str">
        <f>"24/06/2014"</f>
        <v>24/06/2014</v>
      </c>
      <c r="B1229" t="str">
        <f>"6.1128"</f>
        <v>6.1128</v>
      </c>
      <c r="C1229" t="str">
        <f>"6.12"</f>
        <v>6.12</v>
      </c>
    </row>
    <row r="1230" spans="1:3" x14ac:dyDescent="0.25">
      <c r="A1230" t="str">
        <f>"25/06/2014"</f>
        <v>25/06/2014</v>
      </c>
      <c r="B1230" t="str">
        <f>"6.1122"</f>
        <v>6.1122</v>
      </c>
      <c r="C1230" t="str">
        <f>"6.1194"</f>
        <v>6.1194</v>
      </c>
    </row>
    <row r="1231" spans="1:3" x14ac:dyDescent="0.25">
      <c r="A1231" t="str">
        <f>"26/06/2014"</f>
        <v>26/06/2014</v>
      </c>
      <c r="B1231" t="str">
        <f>"6.1355"</f>
        <v>6.1355</v>
      </c>
      <c r="C1231" t="str">
        <f>"6.1427"</f>
        <v>6.1427</v>
      </c>
    </row>
    <row r="1232" spans="1:3" x14ac:dyDescent="0.25">
      <c r="A1232" t="str">
        <f>"27/06/2014"</f>
        <v>27/06/2014</v>
      </c>
      <c r="B1232" t="str">
        <f>"6.1321"</f>
        <v>6.1321</v>
      </c>
      <c r="C1232" t="str">
        <f>"6.1393"</f>
        <v>6.1393</v>
      </c>
    </row>
    <row r="1233" spans="1:3" x14ac:dyDescent="0.25">
      <c r="A1233" t="str">
        <f>"30/06/2014"</f>
        <v>30/06/2014</v>
      </c>
      <c r="B1233" t="str">
        <f>"6.1328"</f>
        <v>6.1328</v>
      </c>
      <c r="C1233" t="str">
        <f>"6.1405"</f>
        <v>6.1405</v>
      </c>
    </row>
    <row r="1234" spans="1:3" x14ac:dyDescent="0.25">
      <c r="A1234" t="str">
        <f>"01/07/2014"</f>
        <v>01/07/2014</v>
      </c>
      <c r="B1234" t="str">
        <f>"6.1362"</f>
        <v>6.1362</v>
      </c>
      <c r="C1234" t="str">
        <f>"6.1439"</f>
        <v>6.1439</v>
      </c>
    </row>
    <row r="1235" spans="1:3" x14ac:dyDescent="0.25">
      <c r="A1235" t="str">
        <f>"02/07/2014"</f>
        <v>02/07/2014</v>
      </c>
      <c r="B1235" t="str">
        <f>"6.1689"</f>
        <v>6.1689</v>
      </c>
      <c r="C1235" t="str">
        <f>"6.1762"</f>
        <v>6.1762</v>
      </c>
    </row>
    <row r="1236" spans="1:3" x14ac:dyDescent="0.25">
      <c r="A1236" t="str">
        <f>"03/07/2014"</f>
        <v>03/07/2014</v>
      </c>
      <c r="B1236" t="str">
        <f>"6.177"</f>
        <v>6.177</v>
      </c>
      <c r="C1236" t="str">
        <f>"6.1843"</f>
        <v>6.1843</v>
      </c>
    </row>
    <row r="1237" spans="1:3" x14ac:dyDescent="0.25">
      <c r="A1237" t="str">
        <f>"04/07/2014"</f>
        <v>04/07/2014</v>
      </c>
      <c r="B1237" t="str">
        <f>"6.1962"</f>
        <v>6.1962</v>
      </c>
      <c r="C1237" t="str">
        <f>"6.2034"</f>
        <v>6.2034</v>
      </c>
    </row>
    <row r="1238" spans="1:3" x14ac:dyDescent="0.25">
      <c r="A1238" t="str">
        <f>"07/07/2014"</f>
        <v>07/07/2014</v>
      </c>
      <c r="B1238" t="str">
        <f>"6.1931"</f>
        <v>6.1931</v>
      </c>
      <c r="C1238" t="str">
        <f>"6.2006"</f>
        <v>6.2006</v>
      </c>
    </row>
    <row r="1239" spans="1:3" x14ac:dyDescent="0.25">
      <c r="A1239" t="str">
        <f>"08/07/2014"</f>
        <v>08/07/2014</v>
      </c>
      <c r="B1239" t="str">
        <f>"6.1617"</f>
        <v>6.1617</v>
      </c>
      <c r="C1239" t="str">
        <f>"6.1694"</f>
        <v>6.1694</v>
      </c>
    </row>
    <row r="1240" spans="1:3" x14ac:dyDescent="0.25">
      <c r="A1240" t="str">
        <f>"09/07/2014"</f>
        <v>09/07/2014</v>
      </c>
      <c r="B1240" t="str">
        <f>"6.187"</f>
        <v>6.187</v>
      </c>
      <c r="C1240" t="str">
        <f>"6.1945"</f>
        <v>6.1945</v>
      </c>
    </row>
    <row r="1241" spans="1:3" x14ac:dyDescent="0.25">
      <c r="A1241" t="str">
        <f>"10/07/2014"</f>
        <v>10/07/2014</v>
      </c>
      <c r="B1241" t="str">
        <f>"6.1549"</f>
        <v>6.1549</v>
      </c>
      <c r="C1241" t="str">
        <f>"6.1621"</f>
        <v>6.1621</v>
      </c>
    </row>
    <row r="1242" spans="1:3" x14ac:dyDescent="0.25">
      <c r="A1242" t="str">
        <f>"11/07/2014"</f>
        <v>11/07/2014</v>
      </c>
      <c r="B1242" t="str">
        <f>"6.1735"</f>
        <v>6.1735</v>
      </c>
      <c r="C1242" t="str">
        <f>"6.1807"</f>
        <v>6.1807</v>
      </c>
    </row>
    <row r="1243" spans="1:3" x14ac:dyDescent="0.25">
      <c r="A1243" t="str">
        <f>"14/07/2014"</f>
        <v>14/07/2014</v>
      </c>
      <c r="B1243" t="str">
        <f>"6.1826"</f>
        <v>6.1826</v>
      </c>
      <c r="C1243" t="str">
        <f>"6.1903"</f>
        <v>6.1903</v>
      </c>
    </row>
    <row r="1244" spans="1:3" x14ac:dyDescent="0.25">
      <c r="A1244" t="str">
        <f>"15/07/2014"</f>
        <v>15/07/2014</v>
      </c>
      <c r="B1244" t="str">
        <f>"6.1812"</f>
        <v>6.1812</v>
      </c>
      <c r="C1244" t="str">
        <f>"6.189"</f>
        <v>6.189</v>
      </c>
    </row>
    <row r="1245" spans="1:3" x14ac:dyDescent="0.25">
      <c r="A1245" t="str">
        <f>"16/07/2014"</f>
        <v>16/07/2014</v>
      </c>
      <c r="B1245" t="str">
        <f>"6.215"</f>
        <v>6.215</v>
      </c>
      <c r="C1245" t="str">
        <f>"6.2225"</f>
        <v>6.2225</v>
      </c>
    </row>
    <row r="1246" spans="1:3" x14ac:dyDescent="0.25">
      <c r="A1246" t="str">
        <f>"17/07/2014"</f>
        <v>17/07/2014</v>
      </c>
      <c r="B1246" t="str">
        <f>"6.2004"</f>
        <v>6.2004</v>
      </c>
      <c r="C1246" t="str">
        <f>"6.2077"</f>
        <v>6.2077</v>
      </c>
    </row>
    <row r="1247" spans="1:3" x14ac:dyDescent="0.25">
      <c r="A1247" t="str">
        <f>"18/07/2014"</f>
        <v>18/07/2014</v>
      </c>
      <c r="B1247" t="str">
        <f>"6.2157"</f>
        <v>6.2157</v>
      </c>
      <c r="C1247" t="str">
        <f>"6.223"</f>
        <v>6.223</v>
      </c>
    </row>
    <row r="1248" spans="1:3" x14ac:dyDescent="0.25">
      <c r="A1248" t="str">
        <f>"21/07/2014"</f>
        <v>21/07/2014</v>
      </c>
      <c r="B1248" t="str">
        <f>"6.1828"</f>
        <v>6.1828</v>
      </c>
      <c r="C1248" t="str">
        <f>"6.1902"</f>
        <v>6.1902</v>
      </c>
    </row>
    <row r="1249" spans="1:3" x14ac:dyDescent="0.25">
      <c r="A1249" t="str">
        <f>"22/07/2014"</f>
        <v>22/07/2014</v>
      </c>
      <c r="B1249" t="str">
        <f>"6.1994"</f>
        <v>6.1994</v>
      </c>
      <c r="C1249" t="str">
        <f>"6.2071"</f>
        <v>6.2071</v>
      </c>
    </row>
    <row r="1250" spans="1:3" x14ac:dyDescent="0.25">
      <c r="A1250" t="str">
        <f>"23/07/2014"</f>
        <v>23/07/2014</v>
      </c>
      <c r="B1250" t="str">
        <f>"6.1919"</f>
        <v>6.1919</v>
      </c>
      <c r="C1250" t="str">
        <f>"6.1993"</f>
        <v>6.1993</v>
      </c>
    </row>
    <row r="1251" spans="1:3" x14ac:dyDescent="0.25">
      <c r="A1251" t="str">
        <f>"24/07/2014"</f>
        <v>24/07/2014</v>
      </c>
      <c r="B1251" t="str">
        <f>"6.1978"</f>
        <v>6.1978</v>
      </c>
      <c r="C1251" t="str">
        <f>"6.2049"</f>
        <v>6.2049</v>
      </c>
    </row>
    <row r="1252" spans="1:3" x14ac:dyDescent="0.25">
      <c r="A1252" t="str">
        <f>"25/07/2014"</f>
        <v>25/07/2014</v>
      </c>
      <c r="B1252" t="str">
        <f>"6.2042"</f>
        <v>6.2042</v>
      </c>
      <c r="C1252" t="str">
        <f>"6.2114"</f>
        <v>6.2114</v>
      </c>
    </row>
    <row r="1253" spans="1:3" x14ac:dyDescent="0.25">
      <c r="A1253" t="str">
        <f>"28/07/2014"</f>
        <v>28/07/2014</v>
      </c>
      <c r="B1253" t="str">
        <f>"6.2264"</f>
        <v>6.2264</v>
      </c>
      <c r="C1253" t="str">
        <f>"6.2336"</f>
        <v>6.2336</v>
      </c>
    </row>
    <row r="1254" spans="1:3" x14ac:dyDescent="0.25">
      <c r="A1254" t="str">
        <f>"30/07/2014"</f>
        <v>30/07/2014</v>
      </c>
      <c r="B1254" t="str">
        <f>"6.2511"</f>
        <v>6.2511</v>
      </c>
      <c r="C1254" t="str">
        <f>"6.2585"</f>
        <v>6.2585</v>
      </c>
    </row>
    <row r="1255" spans="1:3" x14ac:dyDescent="0.25">
      <c r="A1255" t="str">
        <f>"31/07/2014"</f>
        <v>31/07/2014</v>
      </c>
      <c r="B1255" t="str">
        <f>"6.2592"</f>
        <v>6.2592</v>
      </c>
      <c r="C1255" t="str">
        <f>"6.2665"</f>
        <v>6.2665</v>
      </c>
    </row>
    <row r="1256" spans="1:3" x14ac:dyDescent="0.25">
      <c r="A1256" t="str">
        <f>"01/08/2014"</f>
        <v>01/08/2014</v>
      </c>
      <c r="B1256" t="str">
        <f>"6.2868"</f>
        <v>6.2868</v>
      </c>
      <c r="C1256" t="str">
        <f>"6.2939"</f>
        <v>6.2939</v>
      </c>
    </row>
    <row r="1257" spans="1:3" x14ac:dyDescent="0.25">
      <c r="A1257" t="str">
        <f>"04/08/2014"</f>
        <v>04/08/2014</v>
      </c>
      <c r="B1257" t="str">
        <f>"6.2665"</f>
        <v>6.2665</v>
      </c>
      <c r="C1257" t="str">
        <f>"6.2741"</f>
        <v>6.2741</v>
      </c>
    </row>
    <row r="1258" spans="1:3" x14ac:dyDescent="0.25">
      <c r="A1258" t="str">
        <f>"05/08/2014"</f>
        <v>05/08/2014</v>
      </c>
      <c r="B1258" t="str">
        <f>"6.2649"</f>
        <v>6.2649</v>
      </c>
      <c r="C1258" t="str">
        <f>"6.2726"</f>
        <v>6.2726</v>
      </c>
    </row>
    <row r="1259" spans="1:3" x14ac:dyDescent="0.25">
      <c r="A1259" t="str">
        <f>"06/08/2014"</f>
        <v>06/08/2014</v>
      </c>
      <c r="B1259" t="str">
        <f>"6.2839"</f>
        <v>6.2839</v>
      </c>
      <c r="C1259" t="str">
        <f>"6.2911"</f>
        <v>6.2911</v>
      </c>
    </row>
    <row r="1260" spans="1:3" x14ac:dyDescent="0.25">
      <c r="A1260" t="str">
        <f>"07/08/2014"</f>
        <v>07/08/2014</v>
      </c>
      <c r="B1260" t="str">
        <f>"6.2629"</f>
        <v>6.2629</v>
      </c>
      <c r="C1260" t="str">
        <f>"6.2701"</f>
        <v>6.2701</v>
      </c>
    </row>
    <row r="1261" spans="1:3" x14ac:dyDescent="0.25">
      <c r="A1261" t="str">
        <f>"08/08/2014"</f>
        <v>08/08/2014</v>
      </c>
      <c r="B1261" t="str">
        <f>"6.2607"</f>
        <v>6.2607</v>
      </c>
      <c r="C1261" t="str">
        <f>"6.2679"</f>
        <v>6.2679</v>
      </c>
    </row>
    <row r="1262" spans="1:3" x14ac:dyDescent="0.25">
      <c r="A1262" t="str">
        <f>"11/08/2014"</f>
        <v>11/08/2014</v>
      </c>
      <c r="B1262" t="str">
        <f>"6.2342"</f>
        <v>6.2342</v>
      </c>
      <c r="C1262" t="str">
        <f>"6.2418"</f>
        <v>6.2418</v>
      </c>
    </row>
    <row r="1263" spans="1:3" x14ac:dyDescent="0.25">
      <c r="A1263" t="str">
        <f>"12/08/2014"</f>
        <v>12/08/2014</v>
      </c>
      <c r="B1263" t="str">
        <f>"6.1902"</f>
        <v>6.1902</v>
      </c>
      <c r="C1263" t="str">
        <f>"6.1977"</f>
        <v>6.1977</v>
      </c>
    </row>
    <row r="1264" spans="1:3" x14ac:dyDescent="0.25">
      <c r="A1264" t="str">
        <f>"13/08/2014"</f>
        <v>13/08/2014</v>
      </c>
      <c r="B1264" t="str">
        <f>"6.1832"</f>
        <v>6.1832</v>
      </c>
      <c r="C1264" t="str">
        <f>"6.1906"</f>
        <v>6.1906</v>
      </c>
    </row>
    <row r="1265" spans="1:3" x14ac:dyDescent="0.25">
      <c r="A1265" t="str">
        <f>"14/08/2014"</f>
        <v>14/08/2014</v>
      </c>
      <c r="B1265" t="str">
        <f>"6.1603"</f>
        <v>6.1603</v>
      </c>
      <c r="C1265" t="str">
        <f>"6.1673"</f>
        <v>6.1673</v>
      </c>
    </row>
    <row r="1266" spans="1:3" x14ac:dyDescent="0.25">
      <c r="A1266" t="str">
        <f>"19/08/2014"</f>
        <v>19/08/2014</v>
      </c>
      <c r="B1266" t="str">
        <f>"6.163"</f>
        <v>6.163</v>
      </c>
      <c r="C1266" t="str">
        <f>"6.1704"</f>
        <v>6.1704</v>
      </c>
    </row>
    <row r="1267" spans="1:3" x14ac:dyDescent="0.25">
      <c r="A1267" t="str">
        <f>"20/08/2014"</f>
        <v>20/08/2014</v>
      </c>
      <c r="B1267" t="str">
        <f>"6.1762"</f>
        <v>6.1762</v>
      </c>
      <c r="C1267" t="str">
        <f>"6.1833"</f>
        <v>6.1833</v>
      </c>
    </row>
    <row r="1268" spans="1:3" x14ac:dyDescent="0.25">
      <c r="A1268" t="str">
        <f>"21/08/2014"</f>
        <v>21/08/2014</v>
      </c>
      <c r="B1268" t="str">
        <f>"6.1998"</f>
        <v>6.1998</v>
      </c>
      <c r="C1268" t="str">
        <f>"6.2068"</f>
        <v>6.2068</v>
      </c>
    </row>
    <row r="1269" spans="1:3" x14ac:dyDescent="0.25">
      <c r="A1269" t="str">
        <f>"22/08/2014"</f>
        <v>22/08/2014</v>
      </c>
      <c r="B1269" t="str">
        <f>"6.1479"</f>
        <v>6.1479</v>
      </c>
      <c r="C1269" t="str">
        <f>"6.1548"</f>
        <v>6.1548</v>
      </c>
    </row>
    <row r="1270" spans="1:3" x14ac:dyDescent="0.25">
      <c r="A1270" t="str">
        <f>"25/08/2014"</f>
        <v>25/08/2014</v>
      </c>
      <c r="B1270" t="str">
        <f>"6.18"</f>
        <v>6.18</v>
      </c>
      <c r="C1270" t="str">
        <f>"6.1872"</f>
        <v>6.1872</v>
      </c>
    </row>
    <row r="1271" spans="1:3" x14ac:dyDescent="0.25">
      <c r="A1271" t="str">
        <f>"26/08/2014"</f>
        <v>26/08/2014</v>
      </c>
      <c r="B1271" t="str">
        <f>"6.1726"</f>
        <v>6.1726</v>
      </c>
      <c r="C1271" t="str">
        <f>"6.18"</f>
        <v>6.18</v>
      </c>
    </row>
    <row r="1272" spans="1:3" x14ac:dyDescent="0.25">
      <c r="A1272" t="str">
        <f>"27/08/2014"</f>
        <v>27/08/2014</v>
      </c>
      <c r="B1272" t="str">
        <f>"6.1847"</f>
        <v>6.1847</v>
      </c>
      <c r="C1272" t="str">
        <f>"6.1919"</f>
        <v>6.1919</v>
      </c>
    </row>
    <row r="1273" spans="1:3" x14ac:dyDescent="0.25">
      <c r="A1273" t="str">
        <f>"28/08/2014"</f>
        <v>28/08/2014</v>
      </c>
      <c r="B1273" t="str">
        <f>"6.1762"</f>
        <v>6.1762</v>
      </c>
      <c r="C1273" t="str">
        <f>"6.1833"</f>
        <v>6.1833</v>
      </c>
    </row>
    <row r="1274" spans="1:3" x14ac:dyDescent="0.25">
      <c r="A1274" t="str">
        <f>"01/09/2014"</f>
        <v>01/09/2014</v>
      </c>
      <c r="B1274" t="str">
        <f>"6.1995"</f>
        <v>6.1995</v>
      </c>
      <c r="C1274" t="str">
        <f>"6.2062"</f>
        <v>6.2062</v>
      </c>
    </row>
    <row r="1275" spans="1:3" x14ac:dyDescent="0.25">
      <c r="A1275" t="str">
        <f>"02/09/2014"</f>
        <v>02/09/2014</v>
      </c>
      <c r="B1275" t="str">
        <f>"6.1958"</f>
        <v>6.1958</v>
      </c>
      <c r="C1275" t="str">
        <f>"6.2033"</f>
        <v>6.2033</v>
      </c>
    </row>
    <row r="1276" spans="1:3" x14ac:dyDescent="0.25">
      <c r="A1276" t="str">
        <f>"03/09/2014"</f>
        <v>03/09/2014</v>
      </c>
      <c r="B1276" t="str">
        <f>"6.1994"</f>
        <v>6.1994</v>
      </c>
      <c r="C1276" t="str">
        <f>"6.2065"</f>
        <v>6.2065</v>
      </c>
    </row>
    <row r="1277" spans="1:3" x14ac:dyDescent="0.25">
      <c r="A1277" t="str">
        <f>"04/09/2014"</f>
        <v>04/09/2014</v>
      </c>
      <c r="B1277" t="str">
        <f>"6.2206"</f>
        <v>6.2206</v>
      </c>
      <c r="C1277" t="str">
        <f>"6.2273"</f>
        <v>6.2273</v>
      </c>
    </row>
    <row r="1278" spans="1:3" x14ac:dyDescent="0.25">
      <c r="A1278" t="str">
        <f>"05/09/2014"</f>
        <v>05/09/2014</v>
      </c>
      <c r="B1278" t="str">
        <f>"6.2678"</f>
        <v>6.2678</v>
      </c>
      <c r="C1278" t="str">
        <f>"6.2746"</f>
        <v>6.2746</v>
      </c>
    </row>
    <row r="1279" spans="1:3" x14ac:dyDescent="0.25">
      <c r="A1279" t="str">
        <f>"08/09/2014"</f>
        <v>08/09/2014</v>
      </c>
      <c r="B1279" t="str">
        <f>"6.2943"</f>
        <v>6.2943</v>
      </c>
      <c r="C1279" t="str">
        <f>"6.3012"</f>
        <v>6.3012</v>
      </c>
    </row>
    <row r="1280" spans="1:3" x14ac:dyDescent="0.25">
      <c r="A1280" t="str">
        <f>"09/09/2014"</f>
        <v>09/09/2014</v>
      </c>
      <c r="B1280" t="str">
        <f>"6.3464"</f>
        <v>6.3464</v>
      </c>
      <c r="C1280" t="str">
        <f>"6.3537"</f>
        <v>6.3537</v>
      </c>
    </row>
    <row r="1281" spans="1:3" x14ac:dyDescent="0.25">
      <c r="A1281" t="str">
        <f>"10/09/2014"</f>
        <v>10/09/2014</v>
      </c>
      <c r="B1281" t="str">
        <f>"6.353"</f>
        <v>6.353</v>
      </c>
      <c r="C1281" t="str">
        <f>"6.3609"</f>
        <v>6.3609</v>
      </c>
    </row>
    <row r="1282" spans="1:3" x14ac:dyDescent="0.25">
      <c r="A1282" t="str">
        <f>"11/09/2014"</f>
        <v>11/09/2014</v>
      </c>
      <c r="B1282" t="str">
        <f>"6.3458"</f>
        <v>6.3458</v>
      </c>
      <c r="C1282" t="str">
        <f>"6.3536"</f>
        <v>6.3536</v>
      </c>
    </row>
    <row r="1283" spans="1:3" x14ac:dyDescent="0.25">
      <c r="A1283" t="str">
        <f>"12/09/2014"</f>
        <v>12/09/2014</v>
      </c>
      <c r="B1283" t="str">
        <f>"6.3857"</f>
        <v>6.3857</v>
      </c>
      <c r="C1283" t="str">
        <f>"6.3932"</f>
        <v>6.3932</v>
      </c>
    </row>
    <row r="1284" spans="1:3" x14ac:dyDescent="0.25">
      <c r="A1284" t="str">
        <f>"15/09/2014"</f>
        <v>15/09/2014</v>
      </c>
      <c r="B1284" t="str">
        <f>"6.3688"</f>
        <v>6.3688</v>
      </c>
      <c r="C1284" t="str">
        <f>"6.3763"</f>
        <v>6.3763</v>
      </c>
    </row>
    <row r="1285" spans="1:3" x14ac:dyDescent="0.25">
      <c r="A1285" t="str">
        <f>"16/09/2014"</f>
        <v>16/09/2014</v>
      </c>
      <c r="B1285" t="str">
        <f>"6.3988"</f>
        <v>6.3988</v>
      </c>
      <c r="C1285" t="str">
        <f>"6.4064"</f>
        <v>6.4064</v>
      </c>
    </row>
    <row r="1286" spans="1:3" x14ac:dyDescent="0.25">
      <c r="A1286" t="str">
        <f>"17/09/2014"</f>
        <v>17/09/2014</v>
      </c>
      <c r="B1286" t="str">
        <f>"6.4054"</f>
        <v>6.4054</v>
      </c>
      <c r="C1286" t="str">
        <f>"6.4132"</f>
        <v>6.4132</v>
      </c>
    </row>
    <row r="1287" spans="1:3" x14ac:dyDescent="0.25">
      <c r="A1287" t="str">
        <f>"18/09/2014"</f>
        <v>18/09/2014</v>
      </c>
      <c r="B1287" t="str">
        <f>"6.4395"</f>
        <v>6.4395</v>
      </c>
      <c r="C1287" t="str">
        <f>"6.4471"</f>
        <v>6.4471</v>
      </c>
    </row>
    <row r="1288" spans="1:3" x14ac:dyDescent="0.25">
      <c r="A1288" t="str">
        <f>"19/09/2014"</f>
        <v>19/09/2014</v>
      </c>
      <c r="B1288" t="str">
        <f>"6.3259"</f>
        <v>6.3259</v>
      </c>
      <c r="C1288" t="str">
        <f>"6.3335"</f>
        <v>6.3335</v>
      </c>
    </row>
    <row r="1289" spans="1:3" x14ac:dyDescent="0.25">
      <c r="A1289" t="str">
        <f>"22/09/2014"</f>
        <v>22/09/2014</v>
      </c>
      <c r="B1289" t="str">
        <f>"6.3438"</f>
        <v>6.3438</v>
      </c>
      <c r="C1289" t="str">
        <f>"6.3514"</f>
        <v>6.3514</v>
      </c>
    </row>
    <row r="1290" spans="1:3" x14ac:dyDescent="0.25">
      <c r="A1290" t="str">
        <f>"23/09/2014"</f>
        <v>23/09/2014</v>
      </c>
      <c r="B1290" t="str">
        <f>"6.3485"</f>
        <v>6.3485</v>
      </c>
      <c r="C1290" t="str">
        <f>"6.356"</f>
        <v>6.356</v>
      </c>
    </row>
    <row r="1291" spans="1:3" x14ac:dyDescent="0.25">
      <c r="A1291" t="str">
        <f>"24/09/2014"</f>
        <v>24/09/2014</v>
      </c>
      <c r="B1291" t="str">
        <f>"6.3481"</f>
        <v>6.3481</v>
      </c>
      <c r="C1291" t="str">
        <f>"6.3561"</f>
        <v>6.3561</v>
      </c>
    </row>
    <row r="1292" spans="1:3" x14ac:dyDescent="0.25">
      <c r="A1292" t="str">
        <f>"25/09/2014"</f>
        <v>25/09/2014</v>
      </c>
      <c r="B1292" t="str">
        <f>"6.4026"</f>
        <v>6.4026</v>
      </c>
      <c r="C1292" t="str">
        <f>"6.4103"</f>
        <v>6.4103</v>
      </c>
    </row>
    <row r="1293" spans="1:3" x14ac:dyDescent="0.25">
      <c r="A1293" t="str">
        <f>"26/09/2014"</f>
        <v>26/09/2014</v>
      </c>
      <c r="B1293" t="str">
        <f>"6.4021"</f>
        <v>6.4021</v>
      </c>
      <c r="C1293" t="str">
        <f>"6.4098"</f>
        <v>6.4098</v>
      </c>
    </row>
    <row r="1294" spans="1:3" x14ac:dyDescent="0.25">
      <c r="A1294" t="str">
        <f>"29/09/2014"</f>
        <v>29/09/2014</v>
      </c>
      <c r="B1294" t="str">
        <f>"6.4624"</f>
        <v>6.4624</v>
      </c>
      <c r="C1294" t="str">
        <f>"6.474"</f>
        <v>6.474</v>
      </c>
    </row>
    <row r="1295" spans="1:3" x14ac:dyDescent="0.25">
      <c r="A1295" t="str">
        <f>"30/09/2014"</f>
        <v>30/09/2014</v>
      </c>
      <c r="B1295" t="str">
        <f>"6.4395"</f>
        <v>6.4395</v>
      </c>
      <c r="C1295" t="str">
        <f>"6.4519"</f>
        <v>6.4519</v>
      </c>
    </row>
    <row r="1296" spans="1:3" x14ac:dyDescent="0.25">
      <c r="A1296" t="str">
        <f>"01/10/2014"</f>
        <v>01/10/2014</v>
      </c>
      <c r="B1296" t="str">
        <f>"6.4363"</f>
        <v>6.4363</v>
      </c>
      <c r="C1296" t="str">
        <f>"6.4478"</f>
        <v>6.4478</v>
      </c>
    </row>
    <row r="1297" spans="1:3" x14ac:dyDescent="0.25">
      <c r="A1297" t="str">
        <f>"07/10/2014"</f>
        <v>07/10/2014</v>
      </c>
      <c r="B1297" t="str">
        <f>"6.4944"</f>
        <v>6.4944</v>
      </c>
      <c r="C1297" t="str">
        <f>"6.5064"</f>
        <v>6.5064</v>
      </c>
    </row>
    <row r="1298" spans="1:3" x14ac:dyDescent="0.25">
      <c r="A1298" t="str">
        <f>"08/10/2014"</f>
        <v>08/10/2014</v>
      </c>
      <c r="B1298" t="str">
        <f>"6.4764"</f>
        <v>6.4764</v>
      </c>
      <c r="C1298" t="str">
        <f>"6.4851"</f>
        <v>6.4851</v>
      </c>
    </row>
    <row r="1299" spans="1:3" x14ac:dyDescent="0.25">
      <c r="A1299" t="str">
        <f>"09/10/2014"</f>
        <v>09/10/2014</v>
      </c>
      <c r="B1299" t="str">
        <f>"6.4288"</f>
        <v>6.4288</v>
      </c>
      <c r="C1299" t="str">
        <f>"6.4373"</f>
        <v>6.4373</v>
      </c>
    </row>
    <row r="1300" spans="1:3" x14ac:dyDescent="0.25">
      <c r="A1300" t="str">
        <f>"10/10/2014"</f>
        <v>10/10/2014</v>
      </c>
      <c r="B1300" t="str">
        <f>"6.4701"</f>
        <v>6.4701</v>
      </c>
      <c r="C1300" t="str">
        <f>"6.4786"</f>
        <v>6.4786</v>
      </c>
    </row>
    <row r="1301" spans="1:3" x14ac:dyDescent="0.25">
      <c r="A1301" t="str">
        <f>"13/10/2014"</f>
        <v>13/10/2014</v>
      </c>
      <c r="B1301" t="str">
        <f>"6.4962"</f>
        <v>6.4962</v>
      </c>
      <c r="C1301" t="str">
        <f>"6.5055"</f>
        <v>6.5055</v>
      </c>
    </row>
    <row r="1302" spans="1:3" x14ac:dyDescent="0.25">
      <c r="A1302" t="str">
        <f>"14/10/2014"</f>
        <v>14/10/2014</v>
      </c>
      <c r="B1302" t="str">
        <f>"6.4889"</f>
        <v>6.4889</v>
      </c>
      <c r="C1302" t="str">
        <f>"6.4973"</f>
        <v>6.4973</v>
      </c>
    </row>
    <row r="1303" spans="1:3" x14ac:dyDescent="0.25">
      <c r="A1303" t="str">
        <f>"16/10/2014"</f>
        <v>16/10/2014</v>
      </c>
      <c r="B1303" t="str">
        <f>"6.5577"</f>
        <v>6.5577</v>
      </c>
      <c r="C1303" t="str">
        <f>"6.5656"</f>
        <v>6.5656</v>
      </c>
    </row>
    <row r="1304" spans="1:3" x14ac:dyDescent="0.25">
      <c r="A1304" t="str">
        <f>"17/10/2014"</f>
        <v>17/10/2014</v>
      </c>
      <c r="B1304" t="str">
        <f>"6.5486"</f>
        <v>6.5486</v>
      </c>
      <c r="C1304" t="str">
        <f>"6.5565"</f>
        <v>6.5565</v>
      </c>
    </row>
    <row r="1305" spans="1:3" x14ac:dyDescent="0.25">
      <c r="A1305" t="str">
        <f>"20/10/2014"</f>
        <v>20/10/2014</v>
      </c>
      <c r="B1305" t="str">
        <f>"6.5469"</f>
        <v>6.5469</v>
      </c>
      <c r="C1305" t="str">
        <f>"6.5546"</f>
        <v>6.5546</v>
      </c>
    </row>
    <row r="1306" spans="1:3" x14ac:dyDescent="0.25">
      <c r="A1306" t="str">
        <f>"21/10/2014"</f>
        <v>21/10/2014</v>
      </c>
      <c r="B1306" t="str">
        <f>"6.5484"</f>
        <v>6.5484</v>
      </c>
      <c r="C1306" t="str">
        <f>"6.5569"</f>
        <v>6.5569</v>
      </c>
    </row>
    <row r="1307" spans="1:3" x14ac:dyDescent="0.25">
      <c r="A1307" t="str">
        <f>"22/10/2014"</f>
        <v>22/10/2014</v>
      </c>
      <c r="B1307" t="str">
        <f>"6.5675"</f>
        <v>6.5675</v>
      </c>
      <c r="C1307" t="str">
        <f>"6.5752"</f>
        <v>6.5752</v>
      </c>
    </row>
    <row r="1308" spans="1:3" x14ac:dyDescent="0.25">
      <c r="A1308" t="str">
        <f>"27/10/2014"</f>
        <v>27/10/2014</v>
      </c>
      <c r="B1308" t="str">
        <f>"6.5772"</f>
        <v>6.5772</v>
      </c>
      <c r="C1308" t="str">
        <f>"6.5849"</f>
        <v>6.5849</v>
      </c>
    </row>
    <row r="1309" spans="1:3" x14ac:dyDescent="0.25">
      <c r="A1309" t="str">
        <f>"28/10/2014"</f>
        <v>28/10/2014</v>
      </c>
      <c r="B1309" t="str">
        <f>"6.5914"</f>
        <v>6.5914</v>
      </c>
      <c r="C1309" t="str">
        <f>"6.599"</f>
        <v>6.599</v>
      </c>
    </row>
    <row r="1310" spans="1:3" x14ac:dyDescent="0.25">
      <c r="A1310" t="str">
        <f>"29/10/2014"</f>
        <v>29/10/2014</v>
      </c>
      <c r="B1310" t="str">
        <f>"6.6159"</f>
        <v>6.6159</v>
      </c>
      <c r="C1310" t="str">
        <f>"6.6231"</f>
        <v>6.6231</v>
      </c>
    </row>
    <row r="1311" spans="1:3" x14ac:dyDescent="0.25">
      <c r="A1311" t="str">
        <f>"30/10/2014"</f>
        <v>30/10/2014</v>
      </c>
      <c r="B1311" t="str">
        <f>"6.7079"</f>
        <v>6.7079</v>
      </c>
      <c r="C1311" t="str">
        <f>"6.7165"</f>
        <v>6.7165</v>
      </c>
    </row>
    <row r="1312" spans="1:3" x14ac:dyDescent="0.25">
      <c r="A1312" t="str">
        <f>"31/10/2014"</f>
        <v>31/10/2014</v>
      </c>
      <c r="B1312" t="str">
        <f>"6.7108"</f>
        <v>6.7108</v>
      </c>
      <c r="C1312" t="str">
        <f>"6.7184"</f>
        <v>6.7184</v>
      </c>
    </row>
    <row r="1313" spans="1:3" x14ac:dyDescent="0.25">
      <c r="A1313" t="str">
        <f>"03/11/2014"</f>
        <v>03/11/2014</v>
      </c>
      <c r="B1313" t="str">
        <f>"6.7742"</f>
        <v>6.7742</v>
      </c>
      <c r="C1313" t="str">
        <f>"6.7816"</f>
        <v>6.7816</v>
      </c>
    </row>
    <row r="1314" spans="1:3" x14ac:dyDescent="0.25">
      <c r="A1314" t="str">
        <f>"05/11/2014"</f>
        <v>05/11/2014</v>
      </c>
      <c r="B1314" t="str">
        <f>"6.898"</f>
        <v>6.898</v>
      </c>
      <c r="C1314" t="str">
        <f>"6.9063"</f>
        <v>6.9063</v>
      </c>
    </row>
    <row r="1315" spans="1:3" x14ac:dyDescent="0.25">
      <c r="A1315" t="str">
        <f>"07/11/2014"</f>
        <v>07/11/2014</v>
      </c>
      <c r="B1315" t="str">
        <f>"6.8704"</f>
        <v>6.8704</v>
      </c>
      <c r="C1315" t="str">
        <f>"6.8792"</f>
        <v>6.8792</v>
      </c>
    </row>
    <row r="1316" spans="1:3" x14ac:dyDescent="0.25">
      <c r="A1316" t="str">
        <f>"10/11/2014"</f>
        <v>10/11/2014</v>
      </c>
      <c r="B1316" t="str">
        <f>"6.7909"</f>
        <v>6.7909</v>
      </c>
      <c r="C1316" t="str">
        <f>"6.799"</f>
        <v>6.799</v>
      </c>
    </row>
    <row r="1317" spans="1:3" x14ac:dyDescent="0.25">
      <c r="A1317" t="str">
        <f>"11/11/2014"</f>
        <v>11/11/2014</v>
      </c>
      <c r="B1317" t="str">
        <f>"6.8151"</f>
        <v>6.8151</v>
      </c>
      <c r="C1317" t="str">
        <f>"6.8247"</f>
        <v>6.8247</v>
      </c>
    </row>
    <row r="1318" spans="1:3" x14ac:dyDescent="0.25">
      <c r="A1318" t="str">
        <f>"12/11/2014"</f>
        <v>12/11/2014</v>
      </c>
      <c r="B1318" t="str">
        <f>"6.8077"</f>
        <v>6.8077</v>
      </c>
      <c r="C1318" t="str">
        <f>"6.8162"</f>
        <v>6.8162</v>
      </c>
    </row>
    <row r="1319" spans="1:3" x14ac:dyDescent="0.25">
      <c r="A1319" t="str">
        <f>"13/11/2014"</f>
        <v>13/11/2014</v>
      </c>
      <c r="B1319" t="str">
        <f>"6.8055"</f>
        <v>6.8055</v>
      </c>
      <c r="C1319" t="str">
        <f>"6.8142"</f>
        <v>6.8142</v>
      </c>
    </row>
    <row r="1320" spans="1:3" x14ac:dyDescent="0.25">
      <c r="A1320" t="str">
        <f>"14/11/2014"</f>
        <v>14/11/2014</v>
      </c>
      <c r="B1320" t="str">
        <f>"6.8018"</f>
        <v>6.8018</v>
      </c>
      <c r="C1320" t="str">
        <f>"6.8103"</f>
        <v>6.8103</v>
      </c>
    </row>
    <row r="1321" spans="1:3" x14ac:dyDescent="0.25">
      <c r="A1321" t="str">
        <f>"17/11/2014"</f>
        <v>17/11/2014</v>
      </c>
      <c r="B1321" t="str">
        <f>"6.7383"</f>
        <v>6.7383</v>
      </c>
      <c r="C1321" t="str">
        <f>"6.7464"</f>
        <v>6.7464</v>
      </c>
    </row>
    <row r="1322" spans="1:3" x14ac:dyDescent="0.25">
      <c r="A1322" t="str">
        <f>"18/11/2014"</f>
        <v>18/11/2014</v>
      </c>
      <c r="B1322" t="str">
        <f>"6.7794"</f>
        <v>6.7794</v>
      </c>
      <c r="C1322" t="str">
        <f>"6.7875"</f>
        <v>6.7875</v>
      </c>
    </row>
    <row r="1323" spans="1:3" x14ac:dyDescent="0.25">
      <c r="A1323" t="str">
        <f>"19/11/2014"</f>
        <v>19/11/2014</v>
      </c>
      <c r="B1323" t="str">
        <f>"6.7565"</f>
        <v>6.7565</v>
      </c>
      <c r="C1323" t="str">
        <f>"6.7651"</f>
        <v>6.7651</v>
      </c>
    </row>
    <row r="1324" spans="1:3" x14ac:dyDescent="0.25">
      <c r="A1324" t="str">
        <f>"20/11/2014"</f>
        <v>20/11/2014</v>
      </c>
      <c r="B1324" t="str">
        <f>"6.7915"</f>
        <v>6.7915</v>
      </c>
      <c r="C1324" t="str">
        <f>"6.7998"</f>
        <v>6.7998</v>
      </c>
    </row>
    <row r="1325" spans="1:3" x14ac:dyDescent="0.25">
      <c r="A1325" t="str">
        <f>"21/11/2014"</f>
        <v>21/11/2014</v>
      </c>
      <c r="B1325" t="str">
        <f>"6.7621"</f>
        <v>6.7621</v>
      </c>
      <c r="C1325" t="str">
        <f>"6.7716"</f>
        <v>6.7716</v>
      </c>
    </row>
    <row r="1326" spans="1:3" x14ac:dyDescent="0.25">
      <c r="A1326" t="str">
        <f>"24/11/2014"</f>
        <v>24/11/2014</v>
      </c>
      <c r="B1326" t="str">
        <f>"6.7948"</f>
        <v>6.7948</v>
      </c>
      <c r="C1326" t="str">
        <f>"6.8036"</f>
        <v>6.8036</v>
      </c>
    </row>
    <row r="1327" spans="1:3" x14ac:dyDescent="0.25">
      <c r="A1327" t="str">
        <f>"25/11/2014"</f>
        <v>25/11/2014</v>
      </c>
      <c r="B1327" t="str">
        <f>"6.8041"</f>
        <v>6.8041</v>
      </c>
      <c r="C1327" t="str">
        <f>"6.8127"</f>
        <v>6.8127</v>
      </c>
    </row>
    <row r="1328" spans="1:3" x14ac:dyDescent="0.25">
      <c r="A1328" t="str">
        <f>"26/11/2014"</f>
        <v>26/11/2014</v>
      </c>
      <c r="B1328" t="str">
        <f>"6.8141"</f>
        <v>6.8141</v>
      </c>
      <c r="C1328" t="str">
        <f>"6.8227"</f>
        <v>6.8227</v>
      </c>
    </row>
    <row r="1329" spans="1:3" x14ac:dyDescent="0.25">
      <c r="A1329" t="str">
        <f>"27/11/2014"</f>
        <v>27/11/2014</v>
      </c>
      <c r="B1329" t="str">
        <f>"6.8319"</f>
        <v>6.8319</v>
      </c>
      <c r="C1329" t="str">
        <f>"6.8415"</f>
        <v>6.8415</v>
      </c>
    </row>
    <row r="1330" spans="1:3" x14ac:dyDescent="0.25">
      <c r="A1330" t="str">
        <f>"28/11/2014"</f>
        <v>28/11/2014</v>
      </c>
      <c r="B1330" t="str">
        <f>"6.9511"</f>
        <v>6.9511</v>
      </c>
      <c r="C1330" t="str">
        <f>"6.9602"</f>
        <v>6.9602</v>
      </c>
    </row>
    <row r="1331" spans="1:3" x14ac:dyDescent="0.25">
      <c r="A1331" t="str">
        <f>"01/12/2014"</f>
        <v>01/12/2014</v>
      </c>
      <c r="B1331" t="str">
        <f>"7.046"</f>
        <v>7.046</v>
      </c>
      <c r="C1331" t="str">
        <f>"7.0544"</f>
        <v>7.0544</v>
      </c>
    </row>
    <row r="1332" spans="1:3" x14ac:dyDescent="0.25">
      <c r="A1332" t="str">
        <f>"02/12/2014"</f>
        <v>02/12/2014</v>
      </c>
      <c r="B1332" t="str">
        <f>"6.9593"</f>
        <v>6.9593</v>
      </c>
      <c r="C1332" t="str">
        <f>"6.9687"</f>
        <v>6.9687</v>
      </c>
    </row>
    <row r="1333" spans="1:3" x14ac:dyDescent="0.25">
      <c r="A1333" t="str">
        <f>"04/12/2014"</f>
        <v>04/12/2014</v>
      </c>
      <c r="B1333" t="str">
        <f>"7.0479"</f>
        <v>7.0479</v>
      </c>
      <c r="C1333" t="str">
        <f>"7.0567"</f>
        <v>7.0567</v>
      </c>
    </row>
    <row r="1334" spans="1:3" x14ac:dyDescent="0.25">
      <c r="A1334" t="str">
        <f>"05/12/2014"</f>
        <v>05/12/2014</v>
      </c>
      <c r="B1334" t="str">
        <f>"7.0652"</f>
        <v>7.0652</v>
      </c>
      <c r="C1334" t="str">
        <f>"7.0737"</f>
        <v>7.0737</v>
      </c>
    </row>
    <row r="1335" spans="1:3" x14ac:dyDescent="0.25">
      <c r="A1335" t="str">
        <f>"08/12/2014"</f>
        <v>08/12/2014</v>
      </c>
      <c r="B1335" t="str">
        <f>"7.1512"</f>
        <v>7.1512</v>
      </c>
      <c r="C1335" t="str">
        <f>"7.1601"</f>
        <v>7.1601</v>
      </c>
    </row>
    <row r="1336" spans="1:3" x14ac:dyDescent="0.25">
      <c r="A1336" t="str">
        <f>"09/12/2014"</f>
        <v>09/12/2014</v>
      </c>
      <c r="B1336" t="str">
        <f>"7.1777"</f>
        <v>7.1777</v>
      </c>
      <c r="C1336" t="str">
        <f>"7.1874"</f>
        <v>7.1874</v>
      </c>
    </row>
    <row r="1337" spans="1:3" x14ac:dyDescent="0.25">
      <c r="A1337" t="str">
        <f>"10/12/2014"</f>
        <v>10/12/2014</v>
      </c>
      <c r="B1337" t="str">
        <f>"7.1133"</f>
        <v>7.1133</v>
      </c>
      <c r="C1337" t="str">
        <f>"7.1234"</f>
        <v>7.1234</v>
      </c>
    </row>
    <row r="1338" spans="1:3" x14ac:dyDescent="0.25">
      <c r="A1338" t="str">
        <f>"11/12/2014"</f>
        <v>11/12/2014</v>
      </c>
      <c r="B1338" t="str">
        <f>"7.163"</f>
        <v>7.163</v>
      </c>
      <c r="C1338" t="str">
        <f>"7.1725"</f>
        <v>7.1725</v>
      </c>
    </row>
    <row r="1339" spans="1:3" x14ac:dyDescent="0.25">
      <c r="A1339" t="str">
        <f>"12/12/2014"</f>
        <v>12/12/2014</v>
      </c>
      <c r="B1339" t="str">
        <f>"7.3332"</f>
        <v>7.3332</v>
      </c>
      <c r="C1339" t="str">
        <f>"7.3422"</f>
        <v>7.3422</v>
      </c>
    </row>
    <row r="1340" spans="1:3" x14ac:dyDescent="0.25">
      <c r="A1340" t="str">
        <f>"15/12/2014"</f>
        <v>15/12/2014</v>
      </c>
      <c r="B1340" t="str">
        <f>"7.3761"</f>
        <v>7.3761</v>
      </c>
      <c r="C1340" t="str">
        <f>"7.3891"</f>
        <v>7.3891</v>
      </c>
    </row>
    <row r="1341" spans="1:3" x14ac:dyDescent="0.25">
      <c r="A1341" t="str">
        <f>"16/12/2014"</f>
        <v>16/12/2014</v>
      </c>
      <c r="B1341" t="str">
        <f>"7.4548"</f>
        <v>7.4548</v>
      </c>
      <c r="C1341" t="str">
        <f>"7.4669"</f>
        <v>7.4669</v>
      </c>
    </row>
    <row r="1342" spans="1:3" x14ac:dyDescent="0.25">
      <c r="A1342" t="str">
        <f>"17/12/2014"</f>
        <v>17/12/2014</v>
      </c>
      <c r="B1342" t="str">
        <f>"7.5759"</f>
        <v>7.5759</v>
      </c>
      <c r="C1342" t="str">
        <f>"7.5879"</f>
        <v>7.5879</v>
      </c>
    </row>
    <row r="1343" spans="1:3" x14ac:dyDescent="0.25">
      <c r="A1343" t="str">
        <f>"18/12/2014"</f>
        <v>18/12/2014</v>
      </c>
      <c r="B1343" t="str">
        <f>"7.4357"</f>
        <v>7.4357</v>
      </c>
      <c r="C1343" t="str">
        <f>"7.4499"</f>
        <v>7.4499</v>
      </c>
    </row>
    <row r="1344" spans="1:3" x14ac:dyDescent="0.25">
      <c r="A1344" t="str">
        <f>"19/12/2014"</f>
        <v>19/12/2014</v>
      </c>
      <c r="B1344" t="str">
        <f>"7.4115"</f>
        <v>7.4115</v>
      </c>
      <c r="C1344" t="str">
        <f>"7.4227"</f>
        <v>7.4227</v>
      </c>
    </row>
    <row r="1345" spans="1:3" x14ac:dyDescent="0.25">
      <c r="A1345" t="str">
        <f>"22/12/2014"</f>
        <v>22/12/2014</v>
      </c>
      <c r="B1345" t="str">
        <f>"7.3886"</f>
        <v>7.3886</v>
      </c>
      <c r="C1345" t="str">
        <f>"7.3975"</f>
        <v>7.3975</v>
      </c>
    </row>
    <row r="1346" spans="1:3" x14ac:dyDescent="0.25">
      <c r="A1346" t="str">
        <f>"23/12/2014"</f>
        <v>23/12/2014</v>
      </c>
      <c r="B1346" t="str">
        <f>"7.4277"</f>
        <v>7.4277</v>
      </c>
      <c r="C1346" t="str">
        <f>"7.4368"</f>
        <v>7.4368</v>
      </c>
    </row>
    <row r="1347" spans="1:3" x14ac:dyDescent="0.25">
      <c r="A1347" t="str">
        <f>"24/12/2014"</f>
        <v>24/12/2014</v>
      </c>
      <c r="B1347" t="str">
        <f>"7.4436"</f>
        <v>7.4436</v>
      </c>
      <c r="C1347" t="str">
        <f>"7.4529"</f>
        <v>7.4529</v>
      </c>
    </row>
    <row r="1348" spans="1:3" x14ac:dyDescent="0.25">
      <c r="A1348" t="str">
        <f>"26/12/2014"</f>
        <v>26/12/2014</v>
      </c>
      <c r="B1348" t="str">
        <f>"7.4491"</f>
        <v>7.4491</v>
      </c>
      <c r="C1348" t="str">
        <f>"7.4594"</f>
        <v>7.4594</v>
      </c>
    </row>
    <row r="1349" spans="1:3" x14ac:dyDescent="0.25">
      <c r="A1349" t="str">
        <f>"29/12/2014"</f>
        <v>29/12/2014</v>
      </c>
      <c r="B1349" t="str">
        <f>"7.471"</f>
        <v>7.471</v>
      </c>
      <c r="C1349" t="str">
        <f>"7.4799"</f>
        <v>7.4799</v>
      </c>
    </row>
    <row r="1350" spans="1:3" x14ac:dyDescent="0.25">
      <c r="A1350" t="str">
        <f>"30/12/2014"</f>
        <v>30/12/2014</v>
      </c>
      <c r="B1350" t="str">
        <f>"7.4698"</f>
        <v>7.4698</v>
      </c>
      <c r="C1350" t="str">
        <f>"7.4788"</f>
        <v>7.4788</v>
      </c>
    </row>
    <row r="1351" spans="1:3" x14ac:dyDescent="0.25">
      <c r="A1351" t="str">
        <f>"31/12/2014"</f>
        <v>31/12/2014</v>
      </c>
      <c r="B1351" t="str">
        <f>"7.4136"</f>
        <v>7.4136</v>
      </c>
      <c r="C1351" t="str">
        <f>"7.4209"</f>
        <v>7.4209</v>
      </c>
    </row>
    <row r="1352" spans="1:3" x14ac:dyDescent="0.25">
      <c r="A1352" t="str">
        <f>"01/01/2015"</f>
        <v>01/01/2015</v>
      </c>
      <c r="B1352" t="str">
        <f>"7.4941"</f>
        <v>7.4941</v>
      </c>
      <c r="C1352" t="str">
        <f>"7.5007"</f>
        <v>7.5007</v>
      </c>
    </row>
    <row r="1353" spans="1:3" x14ac:dyDescent="0.25">
      <c r="A1353" t="str">
        <f>"02/01/2015"</f>
        <v>02/01/2015</v>
      </c>
      <c r="B1353" t="str">
        <f>"7.4891"</f>
        <v>7.4891</v>
      </c>
      <c r="C1353" t="str">
        <f>"7.4981"</f>
        <v>7.4981</v>
      </c>
    </row>
    <row r="1354" spans="1:3" x14ac:dyDescent="0.25">
      <c r="A1354" t="str">
        <f>"05/01/2015"</f>
        <v>05/01/2015</v>
      </c>
      <c r="B1354" t="str">
        <f>"7.645"</f>
        <v>7.645</v>
      </c>
      <c r="C1354" t="str">
        <f>"7.6526"</f>
        <v>7.6526</v>
      </c>
    </row>
    <row r="1355" spans="1:3" x14ac:dyDescent="0.25">
      <c r="A1355" t="str">
        <f>"06/01/2015"</f>
        <v>06/01/2015</v>
      </c>
      <c r="B1355" t="str">
        <f>"7.6302"</f>
        <v>7.6302</v>
      </c>
      <c r="C1355" t="str">
        <f>"7.6415"</f>
        <v>7.6415</v>
      </c>
    </row>
    <row r="1356" spans="1:3" x14ac:dyDescent="0.25">
      <c r="A1356" t="str">
        <f>"07/01/2015"</f>
        <v>07/01/2015</v>
      </c>
      <c r="B1356" t="str">
        <f>"7.7599"</f>
        <v>7.7599</v>
      </c>
      <c r="C1356" t="str">
        <f>"7.7677"</f>
        <v>7.7677</v>
      </c>
    </row>
    <row r="1357" spans="1:3" x14ac:dyDescent="0.25">
      <c r="A1357" t="str">
        <f>"08/01/2015"</f>
        <v>08/01/2015</v>
      </c>
      <c r="B1357" t="str">
        <f>"7.7026"</f>
        <v>7.7026</v>
      </c>
      <c r="C1357" t="str">
        <f>"7.7106"</f>
        <v>7.7106</v>
      </c>
    </row>
    <row r="1358" spans="1:3" x14ac:dyDescent="0.25">
      <c r="A1358" t="str">
        <f>"09/01/2015"</f>
        <v>09/01/2015</v>
      </c>
      <c r="B1358" t="str">
        <f>"7.6188"</f>
        <v>7.6188</v>
      </c>
      <c r="C1358" t="str">
        <f>"7.6258"</f>
        <v>7.6258</v>
      </c>
    </row>
    <row r="1359" spans="1:3" x14ac:dyDescent="0.25">
      <c r="A1359" t="str">
        <f>"12/01/2015"</f>
        <v>12/01/2015</v>
      </c>
      <c r="B1359" t="str">
        <f>"7.6573"</f>
        <v>7.6573</v>
      </c>
      <c r="C1359" t="str">
        <f>"7.6649"</f>
        <v>7.6649</v>
      </c>
    </row>
    <row r="1360" spans="1:3" x14ac:dyDescent="0.25">
      <c r="A1360" t="str">
        <f>"13/01/2015"</f>
        <v>13/01/2015</v>
      </c>
      <c r="B1360" t="str">
        <f>"7.7341"</f>
        <v>7.7341</v>
      </c>
      <c r="C1360" t="str">
        <f>"7.7416"</f>
        <v>7.7416</v>
      </c>
    </row>
    <row r="1361" spans="1:3" x14ac:dyDescent="0.25">
      <c r="A1361" t="str">
        <f>"14/01/2015"</f>
        <v>14/01/2015</v>
      </c>
      <c r="B1361" t="str">
        <f>"7.7657"</f>
        <v>7.7657</v>
      </c>
      <c r="C1361" t="str">
        <f>"7.7731"</f>
        <v>7.7731</v>
      </c>
    </row>
    <row r="1362" spans="1:3" x14ac:dyDescent="0.25">
      <c r="A1362" t="str">
        <f>"15/01/2015"</f>
        <v>15/01/2015</v>
      </c>
      <c r="B1362" t="str">
        <f>"7.6372"</f>
        <v>7.6372</v>
      </c>
      <c r="C1362" t="str">
        <f>"7.6444"</f>
        <v>7.6444</v>
      </c>
    </row>
    <row r="1363" spans="1:3" x14ac:dyDescent="0.25">
      <c r="A1363" t="str">
        <f>"16/01/2015"</f>
        <v>16/01/2015</v>
      </c>
      <c r="B1363" t="str">
        <f>"7.6529"</f>
        <v>7.6529</v>
      </c>
      <c r="C1363" t="str">
        <f>"7.6601"</f>
        <v>7.6601</v>
      </c>
    </row>
    <row r="1364" spans="1:3" x14ac:dyDescent="0.25">
      <c r="A1364" t="str">
        <f>"19/01/2015"</f>
        <v>19/01/2015</v>
      </c>
      <c r="B1364" t="str">
        <f>"7.5737"</f>
        <v>7.5737</v>
      </c>
      <c r="C1364" t="str">
        <f>"7.5811"</f>
        <v>7.5811</v>
      </c>
    </row>
    <row r="1365" spans="1:3" x14ac:dyDescent="0.25">
      <c r="A1365" t="str">
        <f>"20/01/2015"</f>
        <v>20/01/2015</v>
      </c>
      <c r="B1365" t="str">
        <f>"7.6516"</f>
        <v>7.6516</v>
      </c>
      <c r="C1365" t="str">
        <f>"7.659"</f>
        <v>7.659</v>
      </c>
    </row>
    <row r="1366" spans="1:3" x14ac:dyDescent="0.25">
      <c r="A1366" t="str">
        <f>"21/01/2015"</f>
        <v>21/01/2015</v>
      </c>
      <c r="B1366" t="str">
        <f>"7.6829"</f>
        <v>7.6829</v>
      </c>
      <c r="C1366" t="str">
        <f>"7.6901"</f>
        <v>7.6901</v>
      </c>
    </row>
    <row r="1367" spans="1:3" x14ac:dyDescent="0.25">
      <c r="A1367" t="str">
        <f>"22/01/2015"</f>
        <v>22/01/2015</v>
      </c>
      <c r="B1367" t="str">
        <f>"7.5906"</f>
        <v>7.5906</v>
      </c>
      <c r="C1367" t="str">
        <f>"7.5976"</f>
        <v>7.5976</v>
      </c>
    </row>
    <row r="1368" spans="1:3" x14ac:dyDescent="0.25">
      <c r="A1368" t="str">
        <f>"23/01/2015"</f>
        <v>23/01/2015</v>
      </c>
      <c r="B1368" t="str">
        <f>"7.648"</f>
        <v>7.648</v>
      </c>
      <c r="C1368" t="str">
        <f>"7.6549"</f>
        <v>7.6549</v>
      </c>
    </row>
    <row r="1369" spans="1:3" x14ac:dyDescent="0.25">
      <c r="A1369" t="str">
        <f>"27/01/2015"</f>
        <v>27/01/2015</v>
      </c>
      <c r="B1369" t="str">
        <f>"7.7811"</f>
        <v>7.7811</v>
      </c>
      <c r="C1369" t="str">
        <f>"7.7879"</f>
        <v>7.7879</v>
      </c>
    </row>
    <row r="1370" spans="1:3" x14ac:dyDescent="0.25">
      <c r="A1370" t="str">
        <f>"28/01/2015"</f>
        <v>28/01/2015</v>
      </c>
      <c r="B1370" t="str">
        <f>"7.7735"</f>
        <v>7.7735</v>
      </c>
      <c r="C1370" t="str">
        <f>"7.7801"</f>
        <v>7.7801</v>
      </c>
    </row>
    <row r="1371" spans="1:3" x14ac:dyDescent="0.25">
      <c r="A1371" t="str">
        <f>"29/01/2015"</f>
        <v>29/01/2015</v>
      </c>
      <c r="B1371" t="str">
        <f>"7.8375"</f>
        <v>7.8375</v>
      </c>
      <c r="C1371" t="str">
        <f>"7.8443"</f>
        <v>7.8443</v>
      </c>
    </row>
    <row r="1372" spans="1:3" x14ac:dyDescent="0.25">
      <c r="A1372" t="str">
        <f>"30/01/2015"</f>
        <v>30/01/2015</v>
      </c>
      <c r="B1372" t="str">
        <f>"7.8402"</f>
        <v>7.8402</v>
      </c>
      <c r="C1372" t="str">
        <f>"7.8469"</f>
        <v>7.8469</v>
      </c>
    </row>
    <row r="1373" spans="1:3" x14ac:dyDescent="0.25">
      <c r="A1373" t="str">
        <f>"02/02/2015"</f>
        <v>02/02/2015</v>
      </c>
      <c r="B1373" t="str">
        <f>"7.7408"</f>
        <v>7.7408</v>
      </c>
      <c r="C1373" t="str">
        <f>"7.7472"</f>
        <v>7.7472</v>
      </c>
    </row>
    <row r="1374" spans="1:3" x14ac:dyDescent="0.25">
      <c r="A1374" t="str">
        <f>"03/02/2015"</f>
        <v>03/02/2015</v>
      </c>
      <c r="B1374" t="str">
        <f>"7.6624"</f>
        <v>7.6624</v>
      </c>
      <c r="C1374" t="str">
        <f>"7.6689"</f>
        <v>7.6689</v>
      </c>
    </row>
    <row r="1375" spans="1:3" x14ac:dyDescent="0.25">
      <c r="A1375" t="str">
        <f>"04/02/2015"</f>
        <v>04/02/2015</v>
      </c>
      <c r="B1375" t="str">
        <f>"7.5387"</f>
        <v>7.5387</v>
      </c>
      <c r="C1375" t="str">
        <f>"7.5451"</f>
        <v>7.5451</v>
      </c>
    </row>
    <row r="1376" spans="1:3" x14ac:dyDescent="0.25">
      <c r="A1376" t="str">
        <f>"05/02/2015"</f>
        <v>05/02/2015</v>
      </c>
      <c r="B1376" t="str">
        <f>"7.599"</f>
        <v>7.599</v>
      </c>
      <c r="C1376" t="str">
        <f>"7.6054"</f>
        <v>7.6054</v>
      </c>
    </row>
    <row r="1377" spans="1:3" x14ac:dyDescent="0.25">
      <c r="A1377" t="str">
        <f>"06/02/2015"</f>
        <v>06/02/2015</v>
      </c>
      <c r="B1377" t="str">
        <f>"7.5206"</f>
        <v>7.5206</v>
      </c>
      <c r="C1377" t="str">
        <f>"7.5272"</f>
        <v>7.5272</v>
      </c>
    </row>
    <row r="1378" spans="1:3" x14ac:dyDescent="0.25">
      <c r="A1378" t="str">
        <f>"09/02/2015"</f>
        <v>09/02/2015</v>
      </c>
      <c r="B1378" t="str">
        <f>"7.6144"</f>
        <v>7.6144</v>
      </c>
      <c r="C1378" t="str">
        <f>"7.6207"</f>
        <v>7.6207</v>
      </c>
    </row>
    <row r="1379" spans="1:3" x14ac:dyDescent="0.25">
      <c r="A1379" t="str">
        <f>"10/02/2015"</f>
        <v>10/02/2015</v>
      </c>
      <c r="B1379" t="str">
        <f>"7.597"</f>
        <v>7.597</v>
      </c>
      <c r="C1379" t="str">
        <f>"7.6035"</f>
        <v>7.6035</v>
      </c>
    </row>
    <row r="1380" spans="1:3" x14ac:dyDescent="0.25">
      <c r="A1380" t="str">
        <f>"11/02/2015"</f>
        <v>11/02/2015</v>
      </c>
      <c r="B1380" t="str">
        <f>"7.5869"</f>
        <v>7.5869</v>
      </c>
      <c r="C1380" t="str">
        <f>"7.5931"</f>
        <v>7.5931</v>
      </c>
    </row>
    <row r="1381" spans="1:3" x14ac:dyDescent="0.25">
      <c r="A1381" t="str">
        <f>"12/02/2015"</f>
        <v>12/02/2015</v>
      </c>
      <c r="B1381" t="str">
        <f>"7.6595"</f>
        <v>7.6595</v>
      </c>
      <c r="C1381" t="str">
        <f>"7.6658"</f>
        <v>7.6658</v>
      </c>
    </row>
    <row r="1382" spans="1:3" x14ac:dyDescent="0.25">
      <c r="A1382" t="str">
        <f>"13/02/2015"</f>
        <v>13/02/2015</v>
      </c>
      <c r="B1382" t="str">
        <f>"7.6409"</f>
        <v>7.6409</v>
      </c>
      <c r="C1382" t="str">
        <f>"7.6473"</f>
        <v>7.6473</v>
      </c>
    </row>
    <row r="1383" spans="1:3" x14ac:dyDescent="0.25">
      <c r="A1383" t="str">
        <f>"16/02/2015"</f>
        <v>16/02/2015</v>
      </c>
      <c r="B1383" t="str">
        <f>"7.569"</f>
        <v>7.569</v>
      </c>
      <c r="C1383" t="str">
        <f>"7.5753"</f>
        <v>7.5753</v>
      </c>
    </row>
    <row r="1384" spans="1:3" x14ac:dyDescent="0.25">
      <c r="A1384" t="str">
        <f>"18/02/2015"</f>
        <v>18/02/2015</v>
      </c>
      <c r="B1384" t="str">
        <f>"7.5328"</f>
        <v>7.5328</v>
      </c>
      <c r="C1384" t="str">
        <f>"7.5392"</f>
        <v>7.5392</v>
      </c>
    </row>
    <row r="1385" spans="1:3" x14ac:dyDescent="0.25">
      <c r="A1385" t="str">
        <f>"20/02/2015"</f>
        <v>20/02/2015</v>
      </c>
      <c r="B1385" t="str">
        <f>"7.5512"</f>
        <v>7.5512</v>
      </c>
      <c r="C1385" t="str">
        <f>"7.5576"</f>
        <v>7.5576</v>
      </c>
    </row>
    <row r="1386" spans="1:3" x14ac:dyDescent="0.25">
      <c r="A1386" t="str">
        <f>"23/02/2015"</f>
        <v>23/02/2015</v>
      </c>
      <c r="B1386" t="str">
        <f>"7.6221"</f>
        <v>7.6221</v>
      </c>
      <c r="C1386" t="str">
        <f>"7.6283"</f>
        <v>7.6283</v>
      </c>
    </row>
    <row r="1387" spans="1:3" x14ac:dyDescent="0.25">
      <c r="A1387" t="str">
        <f>"24/02/2015"</f>
        <v>24/02/2015</v>
      </c>
      <c r="B1387" t="str">
        <f>"7.5964"</f>
        <v>7.5964</v>
      </c>
      <c r="C1387" t="str">
        <f>"7.6024"</f>
        <v>7.6024</v>
      </c>
    </row>
    <row r="1388" spans="1:3" x14ac:dyDescent="0.25">
      <c r="A1388" t="str">
        <f>"25/02/2015"</f>
        <v>25/02/2015</v>
      </c>
      <c r="B1388" t="str">
        <f>"7.5492"</f>
        <v>7.5492</v>
      </c>
      <c r="C1388" t="str">
        <f>"7.5555"</f>
        <v>7.5555</v>
      </c>
    </row>
    <row r="1389" spans="1:3" x14ac:dyDescent="0.25">
      <c r="A1389" t="str">
        <f>"26/02/2015"</f>
        <v>26/02/2015</v>
      </c>
      <c r="B1389" t="str">
        <f>"7.6687"</f>
        <v>7.6687</v>
      </c>
      <c r="C1389" t="str">
        <f>"7.6756"</f>
        <v>7.6756</v>
      </c>
    </row>
    <row r="1390" spans="1:3" x14ac:dyDescent="0.25">
      <c r="A1390" t="str">
        <f>"27/02/2015"</f>
        <v>27/02/2015</v>
      </c>
      <c r="B1390" t="str">
        <f>"7.6863"</f>
        <v>7.6863</v>
      </c>
      <c r="C1390" t="str">
        <f>"7.6937"</f>
        <v>7.6937</v>
      </c>
    </row>
    <row r="1391" spans="1:3" x14ac:dyDescent="0.25">
      <c r="A1391" t="str">
        <f>"02/03/2015"</f>
        <v>02/03/2015</v>
      </c>
      <c r="B1391" t="str">
        <f>"7.7101"</f>
        <v>7.7101</v>
      </c>
      <c r="C1391" t="str">
        <f>"7.7173"</f>
        <v>7.7173</v>
      </c>
    </row>
    <row r="1392" spans="1:3" x14ac:dyDescent="0.25">
      <c r="A1392" t="str">
        <f>"03/03/2015"</f>
        <v>03/03/2015</v>
      </c>
      <c r="B1392" t="str">
        <f>"7.7197"</f>
        <v>7.7197</v>
      </c>
      <c r="C1392" t="str">
        <f>"7.7267"</f>
        <v>7.7267</v>
      </c>
    </row>
    <row r="1393" spans="1:3" x14ac:dyDescent="0.25">
      <c r="A1393" t="str">
        <f>"04/03/2015"</f>
        <v>04/03/2015</v>
      </c>
      <c r="B1393" t="str">
        <f>"7.7858"</f>
        <v>7.7858</v>
      </c>
      <c r="C1393" t="str">
        <f>"7.7928"</f>
        <v>7.7928</v>
      </c>
    </row>
    <row r="1394" spans="1:3" x14ac:dyDescent="0.25">
      <c r="A1394" t="str">
        <f>"05/03/2015"</f>
        <v>05/03/2015</v>
      </c>
      <c r="B1394" t="str">
        <f>"7.7289"</f>
        <v>7.7289</v>
      </c>
      <c r="C1394" t="str">
        <f>"7.7357"</f>
        <v>7.7357</v>
      </c>
    </row>
    <row r="1395" spans="1:3" x14ac:dyDescent="0.25">
      <c r="A1395" t="str">
        <f>"09/03/2015"</f>
        <v>09/03/2015</v>
      </c>
      <c r="B1395" t="str">
        <f>"7.9357"</f>
        <v>7.9357</v>
      </c>
      <c r="C1395" t="str">
        <f>"7.9424"</f>
        <v>7.9424</v>
      </c>
    </row>
    <row r="1396" spans="1:3" x14ac:dyDescent="0.25">
      <c r="A1396" t="str">
        <f>"10/03/2015"</f>
        <v>10/03/2015</v>
      </c>
      <c r="B1396" t="str">
        <f>"8.0931"</f>
        <v>8.0931</v>
      </c>
      <c r="C1396" t="str">
        <f>"8.1001"</f>
        <v>8.1001</v>
      </c>
    </row>
    <row r="1397" spans="1:3" x14ac:dyDescent="0.25">
      <c r="A1397" t="str">
        <f>"11/03/2015"</f>
        <v>11/03/2015</v>
      </c>
      <c r="B1397" t="str">
        <f>"8.2129"</f>
        <v>8.2129</v>
      </c>
      <c r="C1397" t="str">
        <f>"8.2196"</f>
        <v>8.2196</v>
      </c>
    </row>
    <row r="1398" spans="1:3" x14ac:dyDescent="0.25">
      <c r="A1398" t="str">
        <f>"12/03/2015"</f>
        <v>12/03/2015</v>
      </c>
      <c r="B1398" t="str">
        <f>"8.1089"</f>
        <v>8.1089</v>
      </c>
      <c r="C1398" t="str">
        <f>"8.1156"</f>
        <v>8.1156</v>
      </c>
    </row>
    <row r="1399" spans="1:3" x14ac:dyDescent="0.25">
      <c r="A1399" t="str">
        <f>"13/03/2015"</f>
        <v>13/03/2015</v>
      </c>
      <c r="B1399" t="str">
        <f>"8.2194"</f>
        <v>8.2194</v>
      </c>
      <c r="C1399" t="str">
        <f>"8.2258"</f>
        <v>8.2258</v>
      </c>
    </row>
    <row r="1400" spans="1:3" x14ac:dyDescent="0.25">
      <c r="A1400" t="str">
        <f>"16/03/2015"</f>
        <v>16/03/2015</v>
      </c>
      <c r="B1400" t="str">
        <f>"8.2759"</f>
        <v>8.2759</v>
      </c>
      <c r="C1400" t="str">
        <f>"8.2826"</f>
        <v>8.2826</v>
      </c>
    </row>
    <row r="1401" spans="1:3" x14ac:dyDescent="0.25">
      <c r="A1401" t="str">
        <f>"17/03/2015"</f>
        <v>17/03/2015</v>
      </c>
      <c r="B1401" t="str">
        <f>"8.318"</f>
        <v>8.318</v>
      </c>
      <c r="C1401" t="str">
        <f>"8.3246"</f>
        <v>8.3246</v>
      </c>
    </row>
    <row r="1402" spans="1:3" x14ac:dyDescent="0.25">
      <c r="A1402" t="str">
        <f>"18/03/2015"</f>
        <v>18/03/2015</v>
      </c>
      <c r="B1402" t="str">
        <f>"8.1746"</f>
        <v>8.1746</v>
      </c>
      <c r="C1402" t="str">
        <f>"8.181"</f>
        <v>8.181</v>
      </c>
    </row>
    <row r="1403" spans="1:3" x14ac:dyDescent="0.25">
      <c r="A1403" t="str">
        <f>"19/03/2015"</f>
        <v>19/03/2015</v>
      </c>
      <c r="B1403" t="str">
        <f>"8.0943"</f>
        <v>8.0943</v>
      </c>
      <c r="C1403" t="str">
        <f>"8.1002"</f>
        <v>8.1002</v>
      </c>
    </row>
    <row r="1404" spans="1:3" x14ac:dyDescent="0.25">
      <c r="A1404" t="str">
        <f>"20/03/2015"</f>
        <v>20/03/2015</v>
      </c>
      <c r="B1404" t="str">
        <f>"8.0427"</f>
        <v>8.0427</v>
      </c>
      <c r="C1404" t="str">
        <f>"8.0503"</f>
        <v>8.0503</v>
      </c>
    </row>
    <row r="1405" spans="1:3" x14ac:dyDescent="0.25">
      <c r="A1405" t="str">
        <f>"23/03/2015"</f>
        <v>23/03/2015</v>
      </c>
      <c r="B1405" t="str">
        <f>"7.8935"</f>
        <v>7.8935</v>
      </c>
      <c r="C1405" t="str">
        <f>"7.9016"</f>
        <v>7.9016</v>
      </c>
    </row>
    <row r="1406" spans="1:3" x14ac:dyDescent="0.25">
      <c r="A1406" t="str">
        <f>"24/03/2015"</f>
        <v>24/03/2015</v>
      </c>
      <c r="B1406" t="str">
        <f>"7.8609"</f>
        <v>7.8609</v>
      </c>
      <c r="C1406" t="str">
        <f>"7.8685"</f>
        <v>7.8685</v>
      </c>
    </row>
    <row r="1407" spans="1:3" x14ac:dyDescent="0.25">
      <c r="A1407" t="str">
        <f>"25/03/2015"</f>
        <v>25/03/2015</v>
      </c>
      <c r="B1407" t="str">
        <f>"7.8466"</f>
        <v>7.8466</v>
      </c>
      <c r="C1407" t="str">
        <f>"7.8542"</f>
        <v>7.8542</v>
      </c>
    </row>
    <row r="1408" spans="1:3" x14ac:dyDescent="0.25">
      <c r="A1408" t="str">
        <f>"26/03/2015"</f>
        <v>26/03/2015</v>
      </c>
      <c r="B1408" t="str">
        <f>"7.9225"</f>
        <v>7.9225</v>
      </c>
      <c r="C1408" t="str">
        <f>"7.9301"</f>
        <v>7.9301</v>
      </c>
    </row>
    <row r="1409" spans="1:3" x14ac:dyDescent="0.25">
      <c r="A1409" t="str">
        <f>"27/03/2015"</f>
        <v>27/03/2015</v>
      </c>
      <c r="B1409" t="str">
        <f>"7.9812"</f>
        <v>7.9812</v>
      </c>
      <c r="C1409" t="str">
        <f>"7.9891"</f>
        <v>7.9891</v>
      </c>
    </row>
    <row r="1410" spans="1:3" x14ac:dyDescent="0.25">
      <c r="A1410" t="str">
        <f>"30/03/2015"</f>
        <v>30/03/2015</v>
      </c>
      <c r="B1410" t="str">
        <f>"8.0219"</f>
        <v>8.0219</v>
      </c>
      <c r="C1410" t="str">
        <f>"8.0294"</f>
        <v>8.0294</v>
      </c>
    </row>
    <row r="1411" spans="1:3" x14ac:dyDescent="0.25">
      <c r="A1411" t="str">
        <f>"31/03/2015"</f>
        <v>31/03/2015</v>
      </c>
      <c r="B1411" t="str">
        <f>"8.0705"</f>
        <v>8.0705</v>
      </c>
      <c r="C1411" t="str">
        <f>"8.0787"</f>
        <v>8.0787</v>
      </c>
    </row>
    <row r="1412" spans="1:3" x14ac:dyDescent="0.25">
      <c r="A1412" t="str">
        <f>"06/04/2015"</f>
        <v>06/04/2015</v>
      </c>
      <c r="B1412" t="str">
        <f>"7.9654"</f>
        <v>7.9654</v>
      </c>
      <c r="C1412" t="str">
        <f>"7.9731"</f>
        <v>7.9731</v>
      </c>
    </row>
    <row r="1413" spans="1:3" x14ac:dyDescent="0.25">
      <c r="A1413" t="str">
        <f>"07/04/2015"</f>
        <v>07/04/2015</v>
      </c>
      <c r="B1413" t="str">
        <f>"8.0922"</f>
        <v>8.0922</v>
      </c>
      <c r="C1413" t="str">
        <f>"8.0998"</f>
        <v>8.0998</v>
      </c>
    </row>
    <row r="1414" spans="1:3" x14ac:dyDescent="0.25">
      <c r="A1414" t="str">
        <f>"08/04/2015"</f>
        <v>08/04/2015</v>
      </c>
      <c r="B1414" t="str">
        <f>"8.0666"</f>
        <v>8.0666</v>
      </c>
      <c r="C1414" t="str">
        <f>"8.0747"</f>
        <v>8.0747</v>
      </c>
    </row>
    <row r="1415" spans="1:3" x14ac:dyDescent="0.25">
      <c r="A1415" t="str">
        <f>"09/04/2015"</f>
        <v>09/04/2015</v>
      </c>
      <c r="B1415" t="str">
        <f>"8.1178"</f>
        <v>8.1178</v>
      </c>
      <c r="C1415" t="str">
        <f>"8.1256"</f>
        <v>8.1256</v>
      </c>
    </row>
    <row r="1416" spans="1:3" x14ac:dyDescent="0.25">
      <c r="A1416" t="str">
        <f>"10/04/2015"</f>
        <v>10/04/2015</v>
      </c>
      <c r="B1416" t="str">
        <f>"8.111"</f>
        <v>8.111</v>
      </c>
      <c r="C1416" t="str">
        <f>"8.1186"</f>
        <v>8.1186</v>
      </c>
    </row>
    <row r="1417" spans="1:3" x14ac:dyDescent="0.25">
      <c r="A1417" t="str">
        <f>"13/04/2015"</f>
        <v>13/04/2015</v>
      </c>
      <c r="B1417" t="str">
        <f>"8.1145"</f>
        <v>8.1145</v>
      </c>
      <c r="C1417" t="str">
        <f>"8.1222"</f>
        <v>8.1222</v>
      </c>
    </row>
    <row r="1418" spans="1:3" x14ac:dyDescent="0.25">
      <c r="A1418" t="str">
        <f>"15/04/2015"</f>
        <v>15/04/2015</v>
      </c>
      <c r="B1418" t="str">
        <f>"7.8392"</f>
        <v>7.8392</v>
      </c>
      <c r="C1418" t="str">
        <f>"7.8471"</f>
        <v>7.8471</v>
      </c>
    </row>
    <row r="1419" spans="1:3" x14ac:dyDescent="0.25">
      <c r="A1419" t="str">
        <f>"16/04/2015"</f>
        <v>16/04/2015</v>
      </c>
      <c r="B1419" t="str">
        <f>"7.7554"</f>
        <v>7.7554</v>
      </c>
      <c r="C1419" t="str">
        <f>"7.763"</f>
        <v>7.763</v>
      </c>
    </row>
    <row r="1420" spans="1:3" x14ac:dyDescent="0.25">
      <c r="A1420" t="str">
        <f>"17/04/2015"</f>
        <v>17/04/2015</v>
      </c>
      <c r="B1420" t="str">
        <f>"7.8513"</f>
        <v>7.8513</v>
      </c>
      <c r="C1420" t="str">
        <f>"7.8584"</f>
        <v>7.8584</v>
      </c>
    </row>
    <row r="1421" spans="1:3" x14ac:dyDescent="0.25">
      <c r="A1421" t="str">
        <f>"20/04/2015"</f>
        <v>20/04/2015</v>
      </c>
      <c r="B1421" t="str">
        <f>"7.8856"</f>
        <v>7.8856</v>
      </c>
      <c r="C1421" t="str">
        <f>"7.8925"</f>
        <v>7.8925</v>
      </c>
    </row>
    <row r="1422" spans="1:3" x14ac:dyDescent="0.25">
      <c r="A1422" t="str">
        <f>"21/04/2015"</f>
        <v>21/04/2015</v>
      </c>
      <c r="B1422" t="str">
        <f>"7.886"</f>
        <v>7.886</v>
      </c>
      <c r="C1422" t="str">
        <f>"7.8927"</f>
        <v>7.8927</v>
      </c>
    </row>
    <row r="1423" spans="1:3" x14ac:dyDescent="0.25">
      <c r="A1423" t="str">
        <f>"22/04/2015"</f>
        <v>22/04/2015</v>
      </c>
      <c r="B1423" t="str">
        <f>"7.92"</f>
        <v>7.92</v>
      </c>
      <c r="C1423" t="str">
        <f>"7.9274"</f>
        <v>7.9274</v>
      </c>
    </row>
    <row r="1424" spans="1:3" x14ac:dyDescent="0.25">
      <c r="A1424" t="str">
        <f>"23/04/2015"</f>
        <v>23/04/2015</v>
      </c>
      <c r="B1424" t="str">
        <f>"7.8432"</f>
        <v>7.8432</v>
      </c>
      <c r="C1424" t="str">
        <f>"7.8505"</f>
        <v>7.8505</v>
      </c>
    </row>
    <row r="1425" spans="1:3" x14ac:dyDescent="0.25">
      <c r="A1425" t="str">
        <f>"24/04/2015"</f>
        <v>24/04/2015</v>
      </c>
      <c r="B1425" t="str">
        <f>"7.7915"</f>
        <v>7.7915</v>
      </c>
      <c r="C1425" t="str">
        <f>"7.7985"</f>
        <v>7.7985</v>
      </c>
    </row>
    <row r="1426" spans="1:3" x14ac:dyDescent="0.25">
      <c r="A1426" t="str">
        <f>"27/04/2015"</f>
        <v>27/04/2015</v>
      </c>
      <c r="B1426" t="str">
        <f>"7.731"</f>
        <v>7.731</v>
      </c>
      <c r="C1426" t="str">
        <f>"7.7381"</f>
        <v>7.7381</v>
      </c>
    </row>
    <row r="1427" spans="1:3" x14ac:dyDescent="0.25">
      <c r="A1427" t="str">
        <f>"28/04/2015"</f>
        <v>28/04/2015</v>
      </c>
      <c r="B1427" t="str">
        <f>"7.6515"</f>
        <v>7.6515</v>
      </c>
      <c r="C1427" t="str">
        <f>"7.6585"</f>
        <v>7.6585</v>
      </c>
    </row>
    <row r="1428" spans="1:3" x14ac:dyDescent="0.25">
      <c r="A1428" t="str">
        <f>"29/04/2015"</f>
        <v>29/04/2015</v>
      </c>
      <c r="B1428" t="str">
        <f>"7.5336"</f>
        <v>7.5336</v>
      </c>
      <c r="C1428" t="str">
        <f>"7.5402"</f>
        <v>7.5402</v>
      </c>
    </row>
    <row r="1429" spans="1:3" x14ac:dyDescent="0.25">
      <c r="A1429" t="str">
        <f>"30/04/2015"</f>
        <v>30/04/2015</v>
      </c>
      <c r="B1429" t="str">
        <f>"7.5458"</f>
        <v>7.5458</v>
      </c>
      <c r="C1429" t="str">
        <f>"7.5529"</f>
        <v>7.5529</v>
      </c>
    </row>
    <row r="1430" spans="1:3" x14ac:dyDescent="0.25">
      <c r="A1430" t="str">
        <f>"05/05/2015"</f>
        <v>05/05/2015</v>
      </c>
      <c r="B1430" t="str">
        <f>"7.5909"</f>
        <v>7.5909</v>
      </c>
      <c r="C1430" t="str">
        <f>"7.5984"</f>
        <v>7.5984</v>
      </c>
    </row>
    <row r="1431" spans="1:3" x14ac:dyDescent="0.25">
      <c r="A1431" t="str">
        <f>"06/05/2015"</f>
        <v>06/05/2015</v>
      </c>
      <c r="B1431" t="str">
        <f>"7.56"</f>
        <v>7.56</v>
      </c>
      <c r="C1431" t="str">
        <f>"7.5673"</f>
        <v>7.5673</v>
      </c>
    </row>
    <row r="1432" spans="1:3" x14ac:dyDescent="0.25">
      <c r="A1432" t="str">
        <f>"07/05/2015"</f>
        <v>07/05/2015</v>
      </c>
      <c r="B1432" t="str">
        <f>"7.4556"</f>
        <v>7.4556</v>
      </c>
      <c r="C1432" t="str">
        <f>"7.4623"</f>
        <v>7.4623</v>
      </c>
    </row>
    <row r="1433" spans="1:3" x14ac:dyDescent="0.25">
      <c r="A1433" t="str">
        <f>"08/05/2015"</f>
        <v>08/05/2015</v>
      </c>
      <c r="B1433" t="str">
        <f>"7.5132"</f>
        <v>7.5132</v>
      </c>
      <c r="C1433" t="str">
        <f>"7.5206"</f>
        <v>7.5206</v>
      </c>
    </row>
    <row r="1434" spans="1:3" x14ac:dyDescent="0.25">
      <c r="A1434" t="str">
        <f>"11/05/2015"</f>
        <v>11/05/2015</v>
      </c>
      <c r="B1434" t="str">
        <f>"7.5726"</f>
        <v>7.5726</v>
      </c>
      <c r="C1434" t="str">
        <f>"7.5801"</f>
        <v>7.5801</v>
      </c>
    </row>
    <row r="1435" spans="1:3" x14ac:dyDescent="0.25">
      <c r="A1435" t="str">
        <f>"12/05/2015"</f>
        <v>12/05/2015</v>
      </c>
      <c r="B1435" t="str">
        <f>"7.4917"</f>
        <v>7.4917</v>
      </c>
      <c r="C1435" t="str">
        <f>"7.4998"</f>
        <v>7.4998</v>
      </c>
    </row>
    <row r="1436" spans="1:3" x14ac:dyDescent="0.25">
      <c r="A1436" t="str">
        <f>"13/05/2015"</f>
        <v>13/05/2015</v>
      </c>
      <c r="B1436" t="str">
        <f>"7.3924"</f>
        <v>7.3924</v>
      </c>
      <c r="C1436" t="str">
        <f>"7.40"</f>
        <v>7.40</v>
      </c>
    </row>
    <row r="1437" spans="1:3" x14ac:dyDescent="0.25">
      <c r="A1437" t="str">
        <f>"14/05/2015"</f>
        <v>14/05/2015</v>
      </c>
      <c r="B1437" t="str">
        <f>"7.3768"</f>
        <v>7.3768</v>
      </c>
      <c r="C1437" t="str">
        <f>"7.3844"</f>
        <v>7.3844</v>
      </c>
    </row>
    <row r="1438" spans="1:3" x14ac:dyDescent="0.25">
      <c r="A1438" t="str">
        <f>"15/05/2015"</f>
        <v>15/05/2015</v>
      </c>
      <c r="B1438" t="str">
        <f>"7.3272"</f>
        <v>7.3272</v>
      </c>
      <c r="C1438" t="str">
        <f>"7.3348"</f>
        <v>7.3348</v>
      </c>
    </row>
    <row r="1439" spans="1:3" x14ac:dyDescent="0.25">
      <c r="A1439" t="str">
        <f>"18/05/2015"</f>
        <v>18/05/2015</v>
      </c>
      <c r="B1439" t="str">
        <f>"7.4123"</f>
        <v>7.4123</v>
      </c>
      <c r="C1439" t="str">
        <f>"7.4201"</f>
        <v>7.4201</v>
      </c>
    </row>
    <row r="1440" spans="1:3" x14ac:dyDescent="0.25">
      <c r="A1440" t="str">
        <f>"19/05/2015"</f>
        <v>19/05/2015</v>
      </c>
      <c r="B1440" t="str">
        <f>"7.547"</f>
        <v>7.547</v>
      </c>
      <c r="C1440" t="str">
        <f>"7.5549"</f>
        <v>7.5549</v>
      </c>
    </row>
    <row r="1441" spans="1:3" x14ac:dyDescent="0.25">
      <c r="A1441" t="str">
        <f>"20/05/2015"</f>
        <v>20/05/2015</v>
      </c>
      <c r="B1441" t="str">
        <f>"7.5784"</f>
        <v>7.5784</v>
      </c>
      <c r="C1441" t="str">
        <f>"7.586"</f>
        <v>7.586</v>
      </c>
    </row>
    <row r="1442" spans="1:3" x14ac:dyDescent="0.25">
      <c r="A1442" t="str">
        <f>"21/05/2015"</f>
        <v>21/05/2015</v>
      </c>
      <c r="B1442" t="str">
        <f>"7.5846"</f>
        <v>7.5846</v>
      </c>
      <c r="C1442" t="str">
        <f>"7.5919"</f>
        <v>7.5919</v>
      </c>
    </row>
    <row r="1443" spans="1:3" x14ac:dyDescent="0.25">
      <c r="A1443" t="str">
        <f>"22/05/2015"</f>
        <v>22/05/2015</v>
      </c>
      <c r="B1443" t="str">
        <f>"7.6549"</f>
        <v>7.6549</v>
      </c>
      <c r="C1443" t="str">
        <f>"7.6622"</f>
        <v>7.6622</v>
      </c>
    </row>
    <row r="1444" spans="1:3" x14ac:dyDescent="0.25">
      <c r="A1444" t="str">
        <f>"25/05/2015"</f>
        <v>25/05/2015</v>
      </c>
      <c r="B1444" t="str">
        <f>"7.653"</f>
        <v>7.653</v>
      </c>
      <c r="C1444" t="str">
        <f>"7.6606"</f>
        <v>7.6606</v>
      </c>
    </row>
    <row r="1445" spans="1:3" x14ac:dyDescent="0.25">
      <c r="A1445" t="str">
        <f>"26/05/2015"</f>
        <v>26/05/2015</v>
      </c>
      <c r="B1445" t="str">
        <f>"7.7609"</f>
        <v>7.7609</v>
      </c>
      <c r="C1445" t="str">
        <f>"7.7685"</f>
        <v>7.7685</v>
      </c>
    </row>
    <row r="1446" spans="1:3" x14ac:dyDescent="0.25">
      <c r="A1446" t="str">
        <f>"27/05/2015"</f>
        <v>27/05/2015</v>
      </c>
      <c r="B1446" t="str">
        <f>"7.7747"</f>
        <v>7.7747</v>
      </c>
      <c r="C1446" t="str">
        <f>"7.782"</f>
        <v>7.782</v>
      </c>
    </row>
    <row r="1447" spans="1:3" x14ac:dyDescent="0.25">
      <c r="A1447" t="str">
        <f>"28/05/2015"</f>
        <v>28/05/2015</v>
      </c>
      <c r="B1447" t="str">
        <f>"7.8098"</f>
        <v>7.8098</v>
      </c>
      <c r="C1447" t="str">
        <f>"7.8171"</f>
        <v>7.8171</v>
      </c>
    </row>
    <row r="1448" spans="1:3" x14ac:dyDescent="0.25">
      <c r="A1448" t="str">
        <f>"29/05/2015"</f>
        <v>29/05/2015</v>
      </c>
      <c r="B1448" t="str">
        <f>"7.7886"</f>
        <v>7.7886</v>
      </c>
      <c r="C1448" t="str">
        <f>"7.7954"</f>
        <v>7.7954</v>
      </c>
    </row>
    <row r="1449" spans="1:3" x14ac:dyDescent="0.25">
      <c r="A1449" t="str">
        <f>"01/06/2015"</f>
        <v>01/06/2015</v>
      </c>
      <c r="B1449" t="str">
        <f>"7.9642"</f>
        <v>7.9642</v>
      </c>
      <c r="C1449" t="str">
        <f>"7.9708"</f>
        <v>7.9708</v>
      </c>
    </row>
    <row r="1450" spans="1:3" x14ac:dyDescent="0.25">
      <c r="A1450" t="str">
        <f>"02/06/2015"</f>
        <v>02/06/2015</v>
      </c>
      <c r="B1450" t="str">
        <f>"7.8393"</f>
        <v>7.8393</v>
      </c>
      <c r="C1450" t="str">
        <f>"7.8461"</f>
        <v>7.8461</v>
      </c>
    </row>
    <row r="1451" spans="1:3" x14ac:dyDescent="0.25">
      <c r="A1451" t="str">
        <f>"03/06/2015"</f>
        <v>03/06/2015</v>
      </c>
      <c r="B1451" t="str">
        <f>"7.7712"</f>
        <v>7.7712</v>
      </c>
      <c r="C1451" t="str">
        <f>"7.7783"</f>
        <v>7.7783</v>
      </c>
    </row>
    <row r="1452" spans="1:3" x14ac:dyDescent="0.25">
      <c r="A1452" t="str">
        <f>"04/06/2015"</f>
        <v>04/06/2015</v>
      </c>
      <c r="B1452" t="str">
        <f>"7.7642"</f>
        <v>7.7642</v>
      </c>
      <c r="C1452" t="str">
        <f>"7.771"</f>
        <v>7.771</v>
      </c>
    </row>
    <row r="1453" spans="1:3" x14ac:dyDescent="0.25">
      <c r="A1453" t="str">
        <f>"05/06/2015"</f>
        <v>05/06/2015</v>
      </c>
      <c r="B1453" t="str">
        <f>"7.956"</f>
        <v>7.956</v>
      </c>
      <c r="C1453" t="str">
        <f>"7.9628"</f>
        <v>7.9628</v>
      </c>
    </row>
    <row r="1454" spans="1:3" x14ac:dyDescent="0.25">
      <c r="A1454" t="str">
        <f>"08/06/2015"</f>
        <v>08/06/2015</v>
      </c>
      <c r="B1454" t="str">
        <f>"7.8196"</f>
        <v>7.8196</v>
      </c>
      <c r="C1454" t="str">
        <f>"7.8263"</f>
        <v>7.8263</v>
      </c>
    </row>
    <row r="1455" spans="1:3" x14ac:dyDescent="0.25">
      <c r="A1455" t="str">
        <f>"09/06/2015"</f>
        <v>09/06/2015</v>
      </c>
      <c r="B1455" t="str">
        <f>"7.7866"</f>
        <v>7.7866</v>
      </c>
      <c r="C1455" t="str">
        <f>"7.793"</f>
        <v>7.793</v>
      </c>
    </row>
    <row r="1456" spans="1:3" x14ac:dyDescent="0.25">
      <c r="A1456" t="str">
        <f>"10/06/2015"</f>
        <v>10/06/2015</v>
      </c>
      <c r="B1456" t="str">
        <f>"7.7685"</f>
        <v>7.7685</v>
      </c>
      <c r="C1456" t="str">
        <f>"7.7752"</f>
        <v>7.7752</v>
      </c>
    </row>
    <row r="1457" spans="1:3" x14ac:dyDescent="0.25">
      <c r="A1457" t="str">
        <f>"11/06/2015"</f>
        <v>11/06/2015</v>
      </c>
      <c r="B1457" t="str">
        <f>"7.8522"</f>
        <v>7.8522</v>
      </c>
      <c r="C1457" t="str">
        <f>"7.8588"</f>
        <v>7.8588</v>
      </c>
    </row>
    <row r="1458" spans="1:3" x14ac:dyDescent="0.25">
      <c r="A1458" t="str">
        <f>"12/06/2015"</f>
        <v>12/06/2015</v>
      </c>
      <c r="B1458" t="str">
        <f>"7.8175"</f>
        <v>7.8175</v>
      </c>
      <c r="C1458" t="str">
        <f>"7.824"</f>
        <v>7.824</v>
      </c>
    </row>
    <row r="1459" spans="1:3" x14ac:dyDescent="0.25">
      <c r="A1459" t="str">
        <f>"15/06/2015"</f>
        <v>15/06/2015</v>
      </c>
      <c r="B1459" t="str">
        <f>"7.7586"</f>
        <v>7.7586</v>
      </c>
      <c r="C1459" t="str">
        <f>"7.7651"</f>
        <v>7.7651</v>
      </c>
    </row>
    <row r="1460" spans="1:3" x14ac:dyDescent="0.25">
      <c r="A1460" t="str">
        <f>"16/06/2015"</f>
        <v>16/06/2015</v>
      </c>
      <c r="B1460" t="str">
        <f>"7.7645"</f>
        <v>7.7645</v>
      </c>
      <c r="C1460" t="str">
        <f>"7.7708"</f>
        <v>7.7708</v>
      </c>
    </row>
    <row r="1461" spans="1:3" x14ac:dyDescent="0.25">
      <c r="A1461" t="str">
        <f>"17/06/2015"</f>
        <v>17/06/2015</v>
      </c>
      <c r="B1461" t="str">
        <f>"7.7626"</f>
        <v>7.7626</v>
      </c>
      <c r="C1461" t="str">
        <f>"7.769"</f>
        <v>7.769</v>
      </c>
    </row>
    <row r="1462" spans="1:3" x14ac:dyDescent="0.25">
      <c r="A1462" t="str">
        <f>"18/06/2015"</f>
        <v>18/06/2015</v>
      </c>
      <c r="B1462" t="str">
        <f>"7.801"</f>
        <v>7.801</v>
      </c>
      <c r="C1462" t="str">
        <f>"7.8071"</f>
        <v>7.8071</v>
      </c>
    </row>
    <row r="1463" spans="1:3" x14ac:dyDescent="0.25">
      <c r="A1463" t="str">
        <f>"19/06/2015"</f>
        <v>19/06/2015</v>
      </c>
      <c r="B1463" t="str">
        <f>"7.7422"</f>
        <v>7.7422</v>
      </c>
      <c r="C1463" t="str">
        <f>"7.748"</f>
        <v>7.748</v>
      </c>
    </row>
    <row r="1464" spans="1:3" x14ac:dyDescent="0.25">
      <c r="A1464" t="str">
        <f>"22/06/2015"</f>
        <v>22/06/2015</v>
      </c>
      <c r="B1464" t="str">
        <f>"7.7601"</f>
        <v>7.7601</v>
      </c>
      <c r="C1464" t="str">
        <f>"7.7657"</f>
        <v>7.7657</v>
      </c>
    </row>
    <row r="1465" spans="1:3" x14ac:dyDescent="0.25">
      <c r="A1465" t="str">
        <f>"23/06/2015"</f>
        <v>23/06/2015</v>
      </c>
      <c r="B1465" t="str">
        <f>"7.8324"</f>
        <v>7.8324</v>
      </c>
      <c r="C1465" t="str">
        <f>"7.8381"</f>
        <v>7.8381</v>
      </c>
    </row>
    <row r="1466" spans="1:3" x14ac:dyDescent="0.25">
      <c r="A1466" t="str">
        <f>"24/06/2015"</f>
        <v>24/06/2015</v>
      </c>
      <c r="B1466" t="str">
        <f>"7.8625"</f>
        <v>7.8625</v>
      </c>
      <c r="C1466" t="str">
        <f>"7.8684"</f>
        <v>7.8684</v>
      </c>
    </row>
    <row r="1467" spans="1:3" x14ac:dyDescent="0.25">
      <c r="A1467" t="str">
        <f>"25/06/2015"</f>
        <v>25/06/2015</v>
      </c>
      <c r="B1467" t="str">
        <f>"7.8183"</f>
        <v>7.8183</v>
      </c>
      <c r="C1467" t="str">
        <f>"7.8241"</f>
        <v>7.8241</v>
      </c>
    </row>
    <row r="1468" spans="1:3" x14ac:dyDescent="0.25">
      <c r="A1468" t="str">
        <f>"26/06/2015"</f>
        <v>26/06/2015</v>
      </c>
      <c r="B1468" t="str">
        <f>"7.8647"</f>
        <v>7.8647</v>
      </c>
      <c r="C1468" t="str">
        <f>"7.8703"</f>
        <v>7.8703</v>
      </c>
    </row>
    <row r="1469" spans="1:3" x14ac:dyDescent="0.25">
      <c r="A1469" t="str">
        <f>"29/06/2015"</f>
        <v>29/06/2015</v>
      </c>
      <c r="B1469" t="str">
        <f>"7.8663"</f>
        <v>7.8663</v>
      </c>
      <c r="C1469" t="str">
        <f>"7.8803"</f>
        <v>7.8803</v>
      </c>
    </row>
    <row r="1470" spans="1:3" x14ac:dyDescent="0.25">
      <c r="A1470" t="str">
        <f>"30/06/2015"</f>
        <v>30/06/2015</v>
      </c>
      <c r="B1470" t="str">
        <f>"7.866"</f>
        <v>7.866</v>
      </c>
      <c r="C1470" t="str">
        <f>"7.8721"</f>
        <v>7.8721</v>
      </c>
    </row>
    <row r="1471" spans="1:3" x14ac:dyDescent="0.25">
      <c r="A1471" t="str">
        <f>"01/07/2015"</f>
        <v>01/07/2015</v>
      </c>
      <c r="B1471" t="str">
        <f>"7.9427"</f>
        <v>7.9427</v>
      </c>
      <c r="C1471" t="str">
        <f>"7.9486"</f>
        <v>7.9486</v>
      </c>
    </row>
    <row r="1472" spans="1:3" x14ac:dyDescent="0.25">
      <c r="A1472" t="str">
        <f>"02/07/2015"</f>
        <v>02/07/2015</v>
      </c>
      <c r="B1472" t="str">
        <f>"7.9699"</f>
        <v>7.9699</v>
      </c>
      <c r="C1472" t="str">
        <f>"7.9756"</f>
        <v>7.9756</v>
      </c>
    </row>
    <row r="1473" spans="1:3" x14ac:dyDescent="0.25">
      <c r="A1473" t="str">
        <f>"03/07/2015"</f>
        <v>03/07/2015</v>
      </c>
      <c r="B1473" t="str">
        <f>"8.0088"</f>
        <v>8.0088</v>
      </c>
      <c r="C1473" t="str">
        <f>"8.0145"</f>
        <v>8.0145</v>
      </c>
    </row>
    <row r="1474" spans="1:3" x14ac:dyDescent="0.25">
      <c r="A1474" t="str">
        <f>"06/07/2015"</f>
        <v>06/07/2015</v>
      </c>
      <c r="B1474" t="str">
        <f>"8.0819"</f>
        <v>8.0819</v>
      </c>
      <c r="C1474" t="str">
        <f>"8.0876"</f>
        <v>8.0876</v>
      </c>
    </row>
    <row r="1475" spans="1:3" x14ac:dyDescent="0.25">
      <c r="A1475" t="str">
        <f>"07/07/2015"</f>
        <v>07/07/2015</v>
      </c>
      <c r="B1475" t="str">
        <f>"8.1646"</f>
        <v>8.1646</v>
      </c>
      <c r="C1475" t="str">
        <f>"8.1706"</f>
        <v>8.1706</v>
      </c>
    </row>
    <row r="1476" spans="1:3" x14ac:dyDescent="0.25">
      <c r="A1476" t="str">
        <f>"08/07/2015"</f>
        <v>08/07/2015</v>
      </c>
      <c r="B1476" t="str">
        <f>"8.2372"</f>
        <v>8.2372</v>
      </c>
      <c r="C1476" t="str">
        <f>"8.2432"</f>
        <v>8.2432</v>
      </c>
    </row>
    <row r="1477" spans="1:3" x14ac:dyDescent="0.25">
      <c r="A1477" t="str">
        <f>"09/07/2015"</f>
        <v>09/07/2015</v>
      </c>
      <c r="B1477" t="str">
        <f>"8.1457"</f>
        <v>8.1457</v>
      </c>
      <c r="C1477" t="str">
        <f>"8.1513"</f>
        <v>8.1513</v>
      </c>
    </row>
    <row r="1478" spans="1:3" x14ac:dyDescent="0.25">
      <c r="A1478" t="str">
        <f>"10/07/2015"</f>
        <v>10/07/2015</v>
      </c>
      <c r="B1478" t="str">
        <f>"8.0722"</f>
        <v>8.0722</v>
      </c>
      <c r="C1478" t="str">
        <f>"8.0779"</f>
        <v>8.0779</v>
      </c>
    </row>
    <row r="1479" spans="1:3" x14ac:dyDescent="0.25">
      <c r="A1479" t="str">
        <f>"13/07/2015"</f>
        <v>13/07/2015</v>
      </c>
      <c r="B1479" t="str">
        <f>"8.0993"</f>
        <v>8.0993</v>
      </c>
      <c r="C1479" t="str">
        <f>"8.1051"</f>
        <v>8.1051</v>
      </c>
    </row>
    <row r="1480" spans="1:3" x14ac:dyDescent="0.25">
      <c r="A1480" t="str">
        <f>"14/07/2015"</f>
        <v>14/07/2015</v>
      </c>
      <c r="B1480" t="str">
        <f>"8.1063"</f>
        <v>8.1063</v>
      </c>
      <c r="C1480" t="str">
        <f>"8.1124"</f>
        <v>8.1124</v>
      </c>
    </row>
    <row r="1481" spans="1:3" x14ac:dyDescent="0.25">
      <c r="A1481" t="str">
        <f>"15/07/2015"</f>
        <v>15/07/2015</v>
      </c>
      <c r="B1481" t="str">
        <f>"8.1655"</f>
        <v>8.1655</v>
      </c>
      <c r="C1481" t="str">
        <f>"8.1715"</f>
        <v>8.1715</v>
      </c>
    </row>
    <row r="1482" spans="1:3" x14ac:dyDescent="0.25">
      <c r="A1482" t="str">
        <f>"16/07/2015"</f>
        <v>16/07/2015</v>
      </c>
      <c r="B1482" t="str">
        <f>"8.1711"</f>
        <v>8.1711</v>
      </c>
      <c r="C1482" t="str">
        <f>"8.177"</f>
        <v>8.177</v>
      </c>
    </row>
    <row r="1483" spans="1:3" x14ac:dyDescent="0.25">
      <c r="A1483" t="str">
        <f>"17/07/2015"</f>
        <v>17/07/2015</v>
      </c>
      <c r="B1483" t="str">
        <f>"8.1844"</f>
        <v>8.1844</v>
      </c>
      <c r="C1483" t="str">
        <f>"8.1901"</f>
        <v>8.1901</v>
      </c>
    </row>
    <row r="1484" spans="1:3" x14ac:dyDescent="0.25">
      <c r="A1484" t="str">
        <f>"20/07/2015"</f>
        <v>20/07/2015</v>
      </c>
      <c r="B1484" t="str">
        <f>"8.2456"</f>
        <v>8.2456</v>
      </c>
      <c r="C1484" t="str">
        <f>"8.2516"</f>
        <v>8.2516</v>
      </c>
    </row>
    <row r="1485" spans="1:3" x14ac:dyDescent="0.25">
      <c r="A1485" t="str">
        <f>"21/07/2015"</f>
        <v>21/07/2015</v>
      </c>
      <c r="B1485" t="str">
        <f>"8.1281"</f>
        <v>8.1281</v>
      </c>
      <c r="C1485" t="str">
        <f>"8.1343"</f>
        <v>8.1343</v>
      </c>
    </row>
    <row r="1486" spans="1:3" x14ac:dyDescent="0.25">
      <c r="A1486" t="str">
        <f>"22/07/2015"</f>
        <v>22/07/2015</v>
      </c>
      <c r="B1486" t="str">
        <f>"8.1683"</f>
        <v>8.1683</v>
      </c>
      <c r="C1486" t="str">
        <f>"8.1742"</f>
        <v>8.1742</v>
      </c>
    </row>
    <row r="1487" spans="1:3" x14ac:dyDescent="0.25">
      <c r="A1487" t="str">
        <f>"23/07/2015"</f>
        <v>23/07/2015</v>
      </c>
      <c r="B1487" t="str">
        <f>"8.1594"</f>
        <v>8.1594</v>
      </c>
      <c r="C1487" t="str">
        <f>"8.165"</f>
        <v>8.165</v>
      </c>
    </row>
    <row r="1488" spans="1:3" x14ac:dyDescent="0.25">
      <c r="A1488" t="str">
        <f>"24/07/2015"</f>
        <v>24/07/2015</v>
      </c>
      <c r="B1488" t="str">
        <f>"8.2033"</f>
        <v>8.2033</v>
      </c>
      <c r="C1488" t="str">
        <f>"8.2089"</f>
        <v>8.2089</v>
      </c>
    </row>
    <row r="1489" spans="1:3" x14ac:dyDescent="0.25">
      <c r="A1489" t="str">
        <f>"27/07/2015"</f>
        <v>27/07/2015</v>
      </c>
      <c r="B1489" t="str">
        <f>"8.1798"</f>
        <v>8.1798</v>
      </c>
      <c r="C1489" t="str">
        <f>"8.1856"</f>
        <v>8.1856</v>
      </c>
    </row>
    <row r="1490" spans="1:3" x14ac:dyDescent="0.25">
      <c r="A1490" t="str">
        <f>"28/07/2015"</f>
        <v>28/07/2015</v>
      </c>
      <c r="B1490" t="str">
        <f>"8.1749"</f>
        <v>8.1749</v>
      </c>
      <c r="C1490" t="str">
        <f>"8.1809"</f>
        <v>8.1809</v>
      </c>
    </row>
    <row r="1491" spans="1:3" x14ac:dyDescent="0.25">
      <c r="A1491" t="str">
        <f>"29/07/2015"</f>
        <v>29/07/2015</v>
      </c>
      <c r="B1491" t="str">
        <f>"8.1723"</f>
        <v>8.1723</v>
      </c>
      <c r="C1491" t="str">
        <f>"8.1782"</f>
        <v>8.1782</v>
      </c>
    </row>
    <row r="1492" spans="1:3" x14ac:dyDescent="0.25">
      <c r="A1492" t="str">
        <f>"30/07/2015"</f>
        <v>30/07/2015</v>
      </c>
      <c r="B1492" t="str">
        <f>"8.1779"</f>
        <v>8.1779</v>
      </c>
      <c r="C1492" t="str">
        <f>"8.1838"</f>
        <v>8.1838</v>
      </c>
    </row>
    <row r="1493" spans="1:3" x14ac:dyDescent="0.25">
      <c r="A1493" t="str">
        <f>"31/07/2015"</f>
        <v>31/07/2015</v>
      </c>
      <c r="B1493" t="str">
        <f>"8.2106"</f>
        <v>8.2106</v>
      </c>
      <c r="C1493" t="str">
        <f>"8.2165"</f>
        <v>8.2165</v>
      </c>
    </row>
    <row r="1494" spans="1:3" x14ac:dyDescent="0.25">
      <c r="A1494" t="str">
        <f>"03/08/2015"</f>
        <v>03/08/2015</v>
      </c>
      <c r="B1494" t="str">
        <f>"8.2579"</f>
        <v>8.2579</v>
      </c>
      <c r="C1494" t="str">
        <f>"8.2637"</f>
        <v>8.2637</v>
      </c>
    </row>
    <row r="1495" spans="1:3" x14ac:dyDescent="0.25">
      <c r="A1495" t="str">
        <f>"04/08/2015"</f>
        <v>04/08/2015</v>
      </c>
      <c r="B1495" t="str">
        <f>"8.2556"</f>
        <v>8.2556</v>
      </c>
      <c r="C1495" t="str">
        <f>"8.2619"</f>
        <v>8.2619</v>
      </c>
    </row>
    <row r="1496" spans="1:3" x14ac:dyDescent="0.25">
      <c r="A1496" t="str">
        <f>"05/08/2015"</f>
        <v>05/08/2015</v>
      </c>
      <c r="B1496" t="str">
        <f>"8.2616"</f>
        <v>8.2616</v>
      </c>
      <c r="C1496" t="str">
        <f>"8.2677"</f>
        <v>8.2677</v>
      </c>
    </row>
    <row r="1497" spans="1:3" x14ac:dyDescent="0.25">
      <c r="A1497" t="str">
        <f>"06/08/2015"</f>
        <v>06/08/2015</v>
      </c>
      <c r="B1497" t="str">
        <f>"8.2861"</f>
        <v>8.2861</v>
      </c>
      <c r="C1497" t="str">
        <f>"8.292"</f>
        <v>8.292</v>
      </c>
    </row>
    <row r="1498" spans="1:3" x14ac:dyDescent="0.25">
      <c r="A1498" t="str">
        <f>"07/08/2015"</f>
        <v>07/08/2015</v>
      </c>
      <c r="B1498" t="str">
        <f>"8.2886"</f>
        <v>8.2886</v>
      </c>
      <c r="C1498" t="str">
        <f>"8.2943"</f>
        <v>8.2943</v>
      </c>
    </row>
    <row r="1499" spans="1:3" x14ac:dyDescent="0.25">
      <c r="A1499" t="str">
        <f>"10/08/2015"</f>
        <v>10/08/2015</v>
      </c>
      <c r="B1499" t="str">
        <f>"8.2082"</f>
        <v>8.2082</v>
      </c>
      <c r="C1499" t="str">
        <f>"8.2142"</f>
        <v>8.2142</v>
      </c>
    </row>
    <row r="1500" spans="1:3" x14ac:dyDescent="0.25">
      <c r="A1500" t="str">
        <f>"11/08/2015"</f>
        <v>11/08/2015</v>
      </c>
      <c r="B1500" t="str">
        <f>"8.2893"</f>
        <v>8.2893</v>
      </c>
      <c r="C1500" t="str">
        <f>"8.2953"</f>
        <v>8.2953</v>
      </c>
    </row>
    <row r="1501" spans="1:3" x14ac:dyDescent="0.25">
      <c r="A1501" t="str">
        <f>"12/08/2015"</f>
        <v>12/08/2015</v>
      </c>
      <c r="B1501" t="str">
        <f>"8.1711"</f>
        <v>8.1711</v>
      </c>
      <c r="C1501" t="str">
        <f>"8.1771"</f>
        <v>8.1771</v>
      </c>
    </row>
    <row r="1502" spans="1:3" x14ac:dyDescent="0.25">
      <c r="A1502" t="str">
        <f>"13/08/2015"</f>
        <v>13/08/2015</v>
      </c>
      <c r="B1502" t="str">
        <f>"8.2295"</f>
        <v>8.2295</v>
      </c>
      <c r="C1502" t="str">
        <f>"8.2351"</f>
        <v>8.2351</v>
      </c>
    </row>
    <row r="1503" spans="1:3" x14ac:dyDescent="0.25">
      <c r="A1503" t="str">
        <f>"14/08/2015"</f>
        <v>14/08/2015</v>
      </c>
      <c r="B1503" t="str">
        <f>"8.3018"</f>
        <v>8.3018</v>
      </c>
      <c r="C1503" t="str">
        <f>"8.3074"</f>
        <v>8.3074</v>
      </c>
    </row>
    <row r="1504" spans="1:3" x14ac:dyDescent="0.25">
      <c r="A1504" t="str">
        <f>"17/08/2015"</f>
        <v>17/08/2015</v>
      </c>
      <c r="B1504" t="str">
        <f>"8.2206"</f>
        <v>8.2206</v>
      </c>
      <c r="C1504" t="str">
        <f>"8.2263"</f>
        <v>8.2263</v>
      </c>
    </row>
    <row r="1505" spans="1:3" x14ac:dyDescent="0.25">
      <c r="A1505" t="str">
        <f>"19/08/2015"</f>
        <v>19/08/2015</v>
      </c>
      <c r="B1505" t="str">
        <f>"8.3141"</f>
        <v>8.3141</v>
      </c>
      <c r="C1505" t="str">
        <f>"8.32"</f>
        <v>8.32</v>
      </c>
    </row>
    <row r="1506" spans="1:3" x14ac:dyDescent="0.25">
      <c r="A1506" t="str">
        <f>"20/08/2015"</f>
        <v>20/08/2015</v>
      </c>
      <c r="B1506" t="str">
        <f>"8.2394"</f>
        <v>8.2394</v>
      </c>
      <c r="C1506" t="str">
        <f>"8.2451"</f>
        <v>8.2451</v>
      </c>
    </row>
    <row r="1507" spans="1:3" x14ac:dyDescent="0.25">
      <c r="A1507" t="str">
        <f>"21/08/2015"</f>
        <v>21/08/2015</v>
      </c>
      <c r="B1507" t="str">
        <f>"8.2215"</f>
        <v>8.2215</v>
      </c>
      <c r="C1507" t="str">
        <f>"8.2273"</f>
        <v>8.2273</v>
      </c>
    </row>
    <row r="1508" spans="1:3" x14ac:dyDescent="0.25">
      <c r="A1508" t="str">
        <f>"25/08/2015"</f>
        <v>25/08/2015</v>
      </c>
      <c r="B1508" t="str">
        <f>"8.2489"</f>
        <v>8.2489</v>
      </c>
      <c r="C1508" t="str">
        <f>"8.2549"</f>
        <v>8.2549</v>
      </c>
    </row>
    <row r="1509" spans="1:3" x14ac:dyDescent="0.25">
      <c r="A1509" t="str">
        <f>"26/08/2015"</f>
        <v>26/08/2015</v>
      </c>
      <c r="B1509" t="str">
        <f>"8.4045"</f>
        <v>8.4045</v>
      </c>
      <c r="C1509" t="str">
        <f>"8.4104"</f>
        <v>8.4104</v>
      </c>
    </row>
    <row r="1510" spans="1:3" x14ac:dyDescent="0.25">
      <c r="A1510" t="str">
        <f>"27/08/2015"</f>
        <v>27/08/2015</v>
      </c>
      <c r="B1510" t="str">
        <f>"8.3054"</f>
        <v>8.3054</v>
      </c>
      <c r="C1510" t="str">
        <f>"8.3112"</f>
        <v>8.3112</v>
      </c>
    </row>
    <row r="1511" spans="1:3" x14ac:dyDescent="0.25">
      <c r="A1511" t="str">
        <f>"28/08/2015"</f>
        <v>28/08/2015</v>
      </c>
      <c r="B1511" t="str">
        <f>"8.3011"</f>
        <v>8.3011</v>
      </c>
      <c r="C1511" t="str">
        <f>"8.3065"</f>
        <v>8.3065</v>
      </c>
    </row>
    <row r="1512" spans="1:3" x14ac:dyDescent="0.25">
      <c r="A1512" t="str">
        <f>"31/08/2015"</f>
        <v>31/08/2015</v>
      </c>
      <c r="B1512" t="str">
        <f>"8.2846"</f>
        <v>8.2846</v>
      </c>
      <c r="C1512" t="str">
        <f>"8.2899"</f>
        <v>8.2899</v>
      </c>
    </row>
    <row r="1513" spans="1:3" x14ac:dyDescent="0.25">
      <c r="A1513" t="str">
        <f>"01/09/2015"</f>
        <v>01/09/2015</v>
      </c>
      <c r="B1513" t="str">
        <f>"8.2978"</f>
        <v>8.2978</v>
      </c>
      <c r="C1513" t="str">
        <f>"8.3029"</f>
        <v>8.3029</v>
      </c>
    </row>
    <row r="1514" spans="1:3" x14ac:dyDescent="0.25">
      <c r="A1514" t="str">
        <f>"02/09/2015"</f>
        <v>02/09/2015</v>
      </c>
      <c r="B1514" t="str">
        <f>"8.2632"</f>
        <v>8.2632</v>
      </c>
      <c r="C1514" t="str">
        <f>"8.2686"</f>
        <v>8.2686</v>
      </c>
    </row>
    <row r="1515" spans="1:3" x14ac:dyDescent="0.25">
      <c r="A1515" t="str">
        <f>"03/09/2015"</f>
        <v>03/09/2015</v>
      </c>
      <c r="B1515" t="str">
        <f>"8.2884"</f>
        <v>8.2884</v>
      </c>
      <c r="C1515" t="str">
        <f>"8.2936"</f>
        <v>8.2936</v>
      </c>
    </row>
    <row r="1516" spans="1:3" x14ac:dyDescent="0.25">
      <c r="A1516" t="str">
        <f>"04/09/2015"</f>
        <v>04/09/2015</v>
      </c>
      <c r="B1516" t="str">
        <f>"8.3324"</f>
        <v>8.3324</v>
      </c>
      <c r="C1516" t="str">
        <f>"8.3375"</f>
        <v>8.3375</v>
      </c>
    </row>
    <row r="1517" spans="1:3" x14ac:dyDescent="0.25">
      <c r="A1517" t="str">
        <f>"07/09/2015"</f>
        <v>07/09/2015</v>
      </c>
      <c r="B1517" t="str">
        <f>"8.3343"</f>
        <v>8.3343</v>
      </c>
      <c r="C1517" t="str">
        <f>"8.3395"</f>
        <v>8.3395</v>
      </c>
    </row>
    <row r="1518" spans="1:3" x14ac:dyDescent="0.25">
      <c r="A1518" t="str">
        <f>"08/09/2015"</f>
        <v>08/09/2015</v>
      </c>
      <c r="B1518" t="str">
        <f>"8.2444"</f>
        <v>8.2444</v>
      </c>
      <c r="C1518" t="str">
        <f>"8.2498"</f>
        <v>8.2498</v>
      </c>
    </row>
    <row r="1519" spans="1:3" x14ac:dyDescent="0.25">
      <c r="A1519" t="str">
        <f>"09/09/2015"</f>
        <v>09/09/2015</v>
      </c>
      <c r="B1519" t="str">
        <f>"8.2253"</f>
        <v>8.2253</v>
      </c>
      <c r="C1519" t="str">
        <f>"8.231"</f>
        <v>8.231</v>
      </c>
    </row>
    <row r="1520" spans="1:3" x14ac:dyDescent="0.25">
      <c r="A1520" t="str">
        <f>"10/09/2015"</f>
        <v>10/09/2015</v>
      </c>
      <c r="B1520" t="str">
        <f>"8.1889"</f>
        <v>8.1889</v>
      </c>
      <c r="C1520" t="str">
        <f>"8.1946"</f>
        <v>8.1946</v>
      </c>
    </row>
    <row r="1521" spans="1:3" x14ac:dyDescent="0.25">
      <c r="A1521" t="str">
        <f>"11/09/2015"</f>
        <v>11/09/2015</v>
      </c>
      <c r="B1521" t="str">
        <f>"8.1913"</f>
        <v>8.1913</v>
      </c>
      <c r="C1521" t="str">
        <f>"8.1963"</f>
        <v>8.1963</v>
      </c>
    </row>
    <row r="1522" spans="1:3" x14ac:dyDescent="0.25">
      <c r="A1522" t="str">
        <f>"14/09/2015"</f>
        <v>14/09/2015</v>
      </c>
      <c r="B1522" t="str">
        <f>"8.1996"</f>
        <v>8.1996</v>
      </c>
      <c r="C1522" t="str">
        <f>"8.2048"</f>
        <v>8.2048</v>
      </c>
    </row>
    <row r="1523" spans="1:3" x14ac:dyDescent="0.25">
      <c r="A1523" t="str">
        <f>"15/09/2015"</f>
        <v>15/09/2015</v>
      </c>
      <c r="B1523" t="str">
        <f>"8.2091"</f>
        <v>8.2091</v>
      </c>
      <c r="C1523" t="str">
        <f>"8.2143"</f>
        <v>8.2143</v>
      </c>
    </row>
    <row r="1524" spans="1:3" x14ac:dyDescent="0.25">
      <c r="A1524" t="str">
        <f>"16/09/2015"</f>
        <v>16/09/2015</v>
      </c>
      <c r="B1524" t="str">
        <f>"8.1589"</f>
        <v>8.1589</v>
      </c>
      <c r="C1524" t="str">
        <f>"8.1646"</f>
        <v>8.1646</v>
      </c>
    </row>
    <row r="1525" spans="1:3" x14ac:dyDescent="0.25">
      <c r="A1525" t="str">
        <f>"18/09/2015"</f>
        <v>18/09/2015</v>
      </c>
      <c r="B1525" t="str">
        <f>"8.1874"</f>
        <v>8.1874</v>
      </c>
      <c r="C1525" t="str">
        <f>"8.1933"</f>
        <v>8.1933</v>
      </c>
    </row>
    <row r="1526" spans="1:3" x14ac:dyDescent="0.25">
      <c r="A1526" t="str">
        <f>"21/09/2015"</f>
        <v>21/09/2015</v>
      </c>
      <c r="B1526" t="str">
        <f>"8.2405"</f>
        <v>8.2405</v>
      </c>
      <c r="C1526" t="str">
        <f>"8.2463"</f>
        <v>8.2463</v>
      </c>
    </row>
    <row r="1527" spans="1:3" x14ac:dyDescent="0.25">
      <c r="A1527" t="str">
        <f>"22/09/2015"</f>
        <v>22/09/2015</v>
      </c>
      <c r="B1527" t="str">
        <f>"8.2945"</f>
        <v>8.2945</v>
      </c>
      <c r="C1527" t="str">
        <f>"8.30"</f>
        <v>8.30</v>
      </c>
    </row>
    <row r="1528" spans="1:3" x14ac:dyDescent="0.25">
      <c r="A1528" t="str">
        <f>"23/09/2015"</f>
        <v>23/09/2015</v>
      </c>
      <c r="B1528" t="str">
        <f>"8.3029"</f>
        <v>8.3029</v>
      </c>
      <c r="C1528" t="str">
        <f>"8.3085"</f>
        <v>8.3085</v>
      </c>
    </row>
    <row r="1529" spans="1:3" x14ac:dyDescent="0.25">
      <c r="A1529" t="str">
        <f>"24/09/2015"</f>
        <v>24/09/2015</v>
      </c>
      <c r="B1529" t="str">
        <f>"8.4635"</f>
        <v>8.4635</v>
      </c>
      <c r="C1529" t="str">
        <f>"8.4692"</f>
        <v>8.4692</v>
      </c>
    </row>
    <row r="1530" spans="1:3" x14ac:dyDescent="0.25">
      <c r="A1530" t="str">
        <f>"28/09/2015"</f>
        <v>28/09/2015</v>
      </c>
      <c r="B1530" t="str">
        <f>"8.5462"</f>
        <v>8.5462</v>
      </c>
      <c r="C1530" t="str">
        <f>"8.5506"</f>
        <v>8.5506</v>
      </c>
    </row>
    <row r="1531" spans="1:3" x14ac:dyDescent="0.25">
      <c r="A1531" t="str">
        <f>"29/09/2015"</f>
        <v>29/09/2015</v>
      </c>
      <c r="B1531" t="str">
        <f>"8.4836"</f>
        <v>8.4836</v>
      </c>
      <c r="C1531" t="str">
        <f>"8.4879"</f>
        <v>8.4879</v>
      </c>
    </row>
    <row r="1532" spans="1:3" x14ac:dyDescent="0.25">
      <c r="A1532" t="str">
        <f>"30/09/2015"</f>
        <v>30/09/2015</v>
      </c>
      <c r="B1532" t="str">
        <f>"8.5204"</f>
        <v>8.5204</v>
      </c>
      <c r="C1532" t="str">
        <f>"8.5251"</f>
        <v>8.5251</v>
      </c>
    </row>
    <row r="1533" spans="1:3" x14ac:dyDescent="0.25">
      <c r="A1533" t="str">
        <f>"01/10/2015"</f>
        <v>01/10/2015</v>
      </c>
      <c r="B1533" t="str">
        <f>"8.4516"</f>
        <v>8.4516</v>
      </c>
      <c r="C1533" t="str">
        <f>"8.4561"</f>
        <v>8.4561</v>
      </c>
    </row>
    <row r="1534" spans="1:3" x14ac:dyDescent="0.25">
      <c r="A1534" t="str">
        <f>"05/10/2015"</f>
        <v>05/10/2015</v>
      </c>
      <c r="B1534" t="str">
        <f>"8.4143"</f>
        <v>8.4143</v>
      </c>
      <c r="C1534" t="str">
        <f>"8.419"</f>
        <v>8.419</v>
      </c>
    </row>
    <row r="1535" spans="1:3" x14ac:dyDescent="0.25">
      <c r="A1535" t="str">
        <f>"06/10/2015"</f>
        <v>06/10/2015</v>
      </c>
      <c r="B1535" t="str">
        <f>"8.2819"</f>
        <v>8.2819</v>
      </c>
      <c r="C1535" t="str">
        <f>"8.2865"</f>
        <v>8.2865</v>
      </c>
    </row>
    <row r="1536" spans="1:3" x14ac:dyDescent="0.25">
      <c r="A1536" t="str">
        <f>"07/10/2015"</f>
        <v>07/10/2015</v>
      </c>
      <c r="B1536" t="str">
        <f>"8.2221"</f>
        <v>8.2221</v>
      </c>
      <c r="C1536" t="str">
        <f>"8.2265"</f>
        <v>8.2265</v>
      </c>
    </row>
    <row r="1537" spans="1:3" x14ac:dyDescent="0.25">
      <c r="A1537" t="str">
        <f>"08/10/2015"</f>
        <v>08/10/2015</v>
      </c>
      <c r="B1537" t="str">
        <f>"8.1567"</f>
        <v>8.1567</v>
      </c>
      <c r="C1537" t="str">
        <f>"8.1611"</f>
        <v>8.1611</v>
      </c>
    </row>
    <row r="1538" spans="1:3" x14ac:dyDescent="0.25">
      <c r="A1538" t="str">
        <f>"09/10/2015"</f>
        <v>09/10/2015</v>
      </c>
      <c r="B1538" t="str">
        <f>"8.1048"</f>
        <v>8.1048</v>
      </c>
      <c r="C1538" t="str">
        <f>"8.1092"</f>
        <v>8.1092</v>
      </c>
    </row>
    <row r="1539" spans="1:3" x14ac:dyDescent="0.25">
      <c r="A1539" t="str">
        <f>"12/10/2015"</f>
        <v>12/10/2015</v>
      </c>
      <c r="B1539" t="str">
        <f>"8.1008"</f>
        <v>8.1008</v>
      </c>
      <c r="C1539" t="str">
        <f>"8.1051"</f>
        <v>8.1051</v>
      </c>
    </row>
    <row r="1540" spans="1:3" x14ac:dyDescent="0.25">
      <c r="A1540" t="str">
        <f>"13/10/2015"</f>
        <v>13/10/2015</v>
      </c>
      <c r="B1540" t="str">
        <f>"8.1617"</f>
        <v>8.1617</v>
      </c>
      <c r="C1540" t="str">
        <f>"8.1663"</f>
        <v>8.1663</v>
      </c>
    </row>
    <row r="1541" spans="1:3" x14ac:dyDescent="0.25">
      <c r="A1541" t="str">
        <f>"14/10/2015"</f>
        <v>14/10/2015</v>
      </c>
      <c r="B1541" t="str">
        <f>"8.0928"</f>
        <v>8.0928</v>
      </c>
      <c r="C1541" t="str">
        <f>"8.0973"</f>
        <v>8.0973</v>
      </c>
    </row>
    <row r="1542" spans="1:3" x14ac:dyDescent="0.25">
      <c r="A1542" t="str">
        <f>"15/10/2015"</f>
        <v>15/10/2015</v>
      </c>
      <c r="B1542" t="str">
        <f>"8.1107"</f>
        <v>8.1107</v>
      </c>
      <c r="C1542" t="str">
        <f>"8.1153"</f>
        <v>8.1153</v>
      </c>
    </row>
    <row r="1543" spans="1:3" x14ac:dyDescent="0.25">
      <c r="A1543" t="str">
        <f>"16/10/2015"</f>
        <v>16/10/2015</v>
      </c>
      <c r="B1543" t="str">
        <f>"8.1202"</f>
        <v>8.1202</v>
      </c>
      <c r="C1543" t="str">
        <f>"8.1247"</f>
        <v>8.1247</v>
      </c>
    </row>
    <row r="1544" spans="1:3" x14ac:dyDescent="0.25">
      <c r="A1544" t="str">
        <f>"19/10/2015"</f>
        <v>19/10/2015</v>
      </c>
      <c r="B1544" t="str">
        <f>"8.1381"</f>
        <v>8.1381</v>
      </c>
      <c r="C1544" t="str">
        <f>"8.1426"</f>
        <v>8.1426</v>
      </c>
    </row>
    <row r="1545" spans="1:3" x14ac:dyDescent="0.25">
      <c r="A1545" t="str">
        <f>"20/10/2015"</f>
        <v>20/10/2015</v>
      </c>
      <c r="B1545" t="str">
        <f>"8.128"</f>
        <v>8.128</v>
      </c>
      <c r="C1545" t="str">
        <f>"8.1328"</f>
        <v>8.1328</v>
      </c>
    </row>
    <row r="1546" spans="1:3" x14ac:dyDescent="0.25">
      <c r="A1546" t="str">
        <f>"21/10/2015"</f>
        <v>21/10/2015</v>
      </c>
      <c r="B1546" t="str">
        <f>"8.1308"</f>
        <v>8.1308</v>
      </c>
      <c r="C1546" t="str">
        <f>"8.1354"</f>
        <v>8.1354</v>
      </c>
    </row>
    <row r="1547" spans="1:3" x14ac:dyDescent="0.25">
      <c r="A1547" t="str">
        <f>"23/10/2015"</f>
        <v>23/10/2015</v>
      </c>
      <c r="B1547" t="str">
        <f>"8.3979"</f>
        <v>8.3979</v>
      </c>
      <c r="C1547" t="str">
        <f>"8.4024"</f>
        <v>8.4024</v>
      </c>
    </row>
    <row r="1548" spans="1:3" x14ac:dyDescent="0.25">
      <c r="A1548" t="str">
        <f>"26/10/2015"</f>
        <v>26/10/2015</v>
      </c>
      <c r="B1548" t="str">
        <f>"8.3386"</f>
        <v>8.3386</v>
      </c>
      <c r="C1548" t="str">
        <f>"8.3432"</f>
        <v>8.3432</v>
      </c>
    </row>
    <row r="1549" spans="1:3" x14ac:dyDescent="0.25">
      <c r="A1549" t="str">
        <f>"27/10/2015"</f>
        <v>27/10/2015</v>
      </c>
      <c r="B1549" t="str">
        <f>"8.4724"</f>
        <v>8.4724</v>
      </c>
      <c r="C1549" t="str">
        <f>"0.1278"</f>
        <v>0.1278</v>
      </c>
    </row>
    <row r="1550" spans="1:3" x14ac:dyDescent="0.25">
      <c r="A1550" t="str">
        <f>"29/10/2015"</f>
        <v>29/10/2015</v>
      </c>
      <c r="B1550" t="str">
        <f>"8.5722"</f>
        <v>8.5722</v>
      </c>
      <c r="C1550" t="str">
        <f>"8.5768"</f>
        <v>8.5768</v>
      </c>
    </row>
    <row r="1551" spans="1:3" x14ac:dyDescent="0.25">
      <c r="A1551" t="str">
        <f>"30/10/2015"</f>
        <v>30/10/2015</v>
      </c>
      <c r="B1551" t="str">
        <f>"8.4961"</f>
        <v>8.4961</v>
      </c>
      <c r="C1551" t="str">
        <f>"8.5006"</f>
        <v>8.5006</v>
      </c>
    </row>
    <row r="1552" spans="1:3" x14ac:dyDescent="0.25">
      <c r="A1552" t="str">
        <f>"02/11/2015"</f>
        <v>02/11/2015</v>
      </c>
      <c r="B1552" t="str">
        <f>"8.4976"</f>
        <v>8.4976</v>
      </c>
      <c r="C1552" t="str">
        <f>"8.5021"</f>
        <v>8.5021</v>
      </c>
    </row>
    <row r="1553" spans="1:3" x14ac:dyDescent="0.25">
      <c r="A1553" t="str">
        <f>"03/11/2015"</f>
        <v>03/11/2015</v>
      </c>
      <c r="B1553" t="str">
        <f>"8.5174"</f>
        <v>8.5174</v>
      </c>
      <c r="C1553" t="str">
        <f>"8.5219"</f>
        <v>8.5219</v>
      </c>
    </row>
    <row r="1554" spans="1:3" x14ac:dyDescent="0.25">
      <c r="A1554" t="str">
        <f>"04/11/2015"</f>
        <v>04/11/2015</v>
      </c>
      <c r="B1554" t="str">
        <f>"8.6593"</f>
        <v>8.6593</v>
      </c>
      <c r="C1554" t="str">
        <f>"8.664"</f>
        <v>8.664</v>
      </c>
    </row>
    <row r="1555" spans="1:3" x14ac:dyDescent="0.25">
      <c r="A1555" t="str">
        <f>"05/11/2015"</f>
        <v>05/11/2015</v>
      </c>
      <c r="B1555" t="str">
        <f>"8.5627"</f>
        <v>8.5627</v>
      </c>
      <c r="C1555" t="str">
        <f>"8.5674"</f>
        <v>8.5674</v>
      </c>
    </row>
    <row r="1556" spans="1:3" x14ac:dyDescent="0.25">
      <c r="A1556" t="str">
        <f>"06/11/2015"</f>
        <v>06/11/2015</v>
      </c>
      <c r="B1556" t="str">
        <f>"8.6996"</f>
        <v>8.6996</v>
      </c>
      <c r="C1556" t="str">
        <f>"8.7044"</f>
        <v>8.7044</v>
      </c>
    </row>
    <row r="1557" spans="1:3" x14ac:dyDescent="0.25">
      <c r="A1557" t="str">
        <f>"09/11/2015"</f>
        <v>09/11/2015</v>
      </c>
      <c r="B1557" t="str">
        <f>"8.6765"</f>
        <v>8.6765</v>
      </c>
      <c r="C1557" t="str">
        <f>"8.6816"</f>
        <v>8.6816</v>
      </c>
    </row>
    <row r="1558" spans="1:3" x14ac:dyDescent="0.25">
      <c r="A1558" t="str">
        <f>"10/11/2015"</f>
        <v>10/11/2015</v>
      </c>
      <c r="B1558" t="str">
        <f>"8.641"</f>
        <v>8.641</v>
      </c>
      <c r="C1558" t="str">
        <f>"8.6465"</f>
        <v>8.6465</v>
      </c>
    </row>
    <row r="1559" spans="1:3" x14ac:dyDescent="0.25">
      <c r="A1559" t="str">
        <f>"13/11/2015"</f>
        <v>13/11/2015</v>
      </c>
      <c r="B1559" t="str">
        <f>"8.6962"</f>
        <v>8.6962</v>
      </c>
      <c r="C1559" t="str">
        <f>"8.7012"</f>
        <v>8.7012</v>
      </c>
    </row>
    <row r="1560" spans="1:3" x14ac:dyDescent="0.25">
      <c r="A1560" t="str">
        <f>"16/11/2015"</f>
        <v>16/11/2015</v>
      </c>
      <c r="B1560" t="str">
        <f>"8.7018"</f>
        <v>8.7018</v>
      </c>
      <c r="C1560" t="str">
        <f>"8.7069"</f>
        <v>8.7069</v>
      </c>
    </row>
    <row r="1561" spans="1:3" x14ac:dyDescent="0.25">
      <c r="A1561" t="str">
        <f>"17/11/2015"</f>
        <v>17/11/2015</v>
      </c>
      <c r="B1561" t="str">
        <f>"8.6941"</f>
        <v>8.6941</v>
      </c>
      <c r="C1561" t="str">
        <f>"8.699"</f>
        <v>8.699</v>
      </c>
    </row>
    <row r="1562" spans="1:3" x14ac:dyDescent="0.25">
      <c r="A1562" t="str">
        <f>"18/11/2015"</f>
        <v>18/11/2015</v>
      </c>
      <c r="B1562" t="str">
        <f>"8.6756"</f>
        <v>8.6756</v>
      </c>
      <c r="C1562" t="str">
        <f>"8.6807"</f>
        <v>8.6807</v>
      </c>
    </row>
    <row r="1563" spans="1:3" x14ac:dyDescent="0.25">
      <c r="A1563" t="str">
        <f>"19/11/2015"</f>
        <v>19/11/2015</v>
      </c>
      <c r="B1563" t="str">
        <f>"8.6189"</f>
        <v>8.6189</v>
      </c>
      <c r="C1563" t="str">
        <f>"8.624"</f>
        <v>8.624</v>
      </c>
    </row>
    <row r="1564" spans="1:3" x14ac:dyDescent="0.25">
      <c r="A1564" t="str">
        <f>"20/11/2015"</f>
        <v>20/11/2015</v>
      </c>
      <c r="B1564" t="str">
        <f>"8.6665"</f>
        <v>8.6665</v>
      </c>
      <c r="C1564" t="str">
        <f>"8.6716"</f>
        <v>8.6716</v>
      </c>
    </row>
    <row r="1565" spans="1:3" x14ac:dyDescent="0.25">
      <c r="A1565" t="str">
        <f>"23/11/2015"</f>
        <v>23/11/2015</v>
      </c>
      <c r="B1565" t="str">
        <f>"8.6587"</f>
        <v>8.6587</v>
      </c>
      <c r="C1565" t="str">
        <f>"8.6645"</f>
        <v>8.6645</v>
      </c>
    </row>
    <row r="1566" spans="1:3" x14ac:dyDescent="0.25">
      <c r="A1566" t="str">
        <f>"24/11/2015"</f>
        <v>24/11/2015</v>
      </c>
      <c r="B1566" t="str">
        <f>"8.6537"</f>
        <v>8.6537</v>
      </c>
      <c r="C1566" t="str">
        <f>"8.6592"</f>
        <v>8.6592</v>
      </c>
    </row>
    <row r="1567" spans="1:3" x14ac:dyDescent="0.25">
      <c r="A1567" t="str">
        <f>"26/11/2015"</f>
        <v>26/11/2015</v>
      </c>
      <c r="B1567" t="str">
        <f>"8.6702"</f>
        <v>8.6702</v>
      </c>
      <c r="C1567" t="str">
        <f>"8.6748"</f>
        <v>8.6748</v>
      </c>
    </row>
    <row r="1568" spans="1:3" x14ac:dyDescent="0.25">
      <c r="A1568" t="str">
        <f>"27/11/2015"</f>
        <v>27/11/2015</v>
      </c>
      <c r="B1568" t="str">
        <f>"8.7221"</f>
        <v>8.7221</v>
      </c>
      <c r="C1568" t="str">
        <f>"8.7263"</f>
        <v>8.7263</v>
      </c>
    </row>
    <row r="1569" spans="1:3" x14ac:dyDescent="0.25">
      <c r="A1569" t="str">
        <f>"30/11/2015"</f>
        <v>30/11/2015</v>
      </c>
      <c r="B1569" t="str">
        <f>"8.7095"</f>
        <v>8.7095</v>
      </c>
      <c r="C1569" t="str">
        <f>"8.7135"</f>
        <v>8.7135</v>
      </c>
    </row>
    <row r="1570" spans="1:3" x14ac:dyDescent="0.25">
      <c r="A1570" t="str">
        <f>"01/12/2015"</f>
        <v>01/12/2015</v>
      </c>
      <c r="B1570" t="str">
        <f>"8.6288"</f>
        <v>8.6288</v>
      </c>
      <c r="C1570" t="str">
        <f>"8.6327"</f>
        <v>8.6327</v>
      </c>
    </row>
    <row r="1571" spans="1:3" x14ac:dyDescent="0.25">
      <c r="A1571" t="str">
        <f>"02/12/2015"</f>
        <v>02/12/2015</v>
      </c>
      <c r="B1571" t="str">
        <f>"8.6604"</f>
        <v>8.6604</v>
      </c>
      <c r="C1571" t="str">
        <f>"8.6638"</f>
        <v>8.6638</v>
      </c>
    </row>
    <row r="1572" spans="1:3" x14ac:dyDescent="0.25">
      <c r="A1572" t="str">
        <f>"03/12/2015"</f>
        <v>03/12/2015</v>
      </c>
      <c r="B1572" t="str">
        <f>"8.495"</f>
        <v>8.495</v>
      </c>
      <c r="C1572" t="str">
        <f>"8.4982"</f>
        <v>8.4982</v>
      </c>
    </row>
    <row r="1573" spans="1:3" x14ac:dyDescent="0.25">
      <c r="A1573" t="str">
        <f>"04/12/2015"</f>
        <v>04/12/2015</v>
      </c>
      <c r="B1573" t="str">
        <f>"8.5861"</f>
        <v>8.5861</v>
      </c>
      <c r="C1573" t="str">
        <f>"8.5895"</f>
        <v>8.5895</v>
      </c>
    </row>
    <row r="1574" spans="1:3" x14ac:dyDescent="0.25">
      <c r="A1574" t="str">
        <f>"07/12/2015"</f>
        <v>07/12/2015</v>
      </c>
      <c r="B1574" t="str">
        <f>"8.6685"</f>
        <v>8.6685</v>
      </c>
      <c r="C1574" t="str">
        <f>"8.672"</f>
        <v>8.672</v>
      </c>
    </row>
    <row r="1575" spans="1:3" x14ac:dyDescent="0.25">
      <c r="A1575" t="str">
        <f>"08/12/2015"</f>
        <v>08/12/2015</v>
      </c>
      <c r="B1575" t="str">
        <f>"8.8138"</f>
        <v>8.8138</v>
      </c>
      <c r="C1575" t="str">
        <f>"8.8171"</f>
        <v>8.8171</v>
      </c>
    </row>
    <row r="1576" spans="1:3" x14ac:dyDescent="0.25">
      <c r="A1576" t="str">
        <f>"09/12/2015"</f>
        <v>09/12/2015</v>
      </c>
      <c r="B1576" t="str">
        <f>"8.6793"</f>
        <v>8.6793</v>
      </c>
      <c r="C1576" t="str">
        <f>"8.6823"</f>
        <v>8.6823</v>
      </c>
    </row>
    <row r="1577" spans="1:3" x14ac:dyDescent="0.25">
      <c r="A1577" t="str">
        <f>"10/12/2015"</f>
        <v>10/12/2015</v>
      </c>
      <c r="B1577" t="str">
        <f>"8.653"</f>
        <v>8.653</v>
      </c>
      <c r="C1577" t="str">
        <f>"8.6557"</f>
        <v>8.6557</v>
      </c>
    </row>
    <row r="1578" spans="1:3" x14ac:dyDescent="0.25">
      <c r="A1578" t="str">
        <f>"11/12/2015"</f>
        <v>11/12/2015</v>
      </c>
      <c r="B1578" t="str">
        <f>"8.723"</f>
        <v>8.723</v>
      </c>
      <c r="C1578" t="str">
        <f>"8.7258"</f>
        <v>8.7258</v>
      </c>
    </row>
    <row r="1579" spans="1:3" x14ac:dyDescent="0.25">
      <c r="A1579" t="str">
        <f>"14/12/2015"</f>
        <v>14/12/2015</v>
      </c>
      <c r="B1579" t="str">
        <f>"8.6765"</f>
        <v>8.6765</v>
      </c>
      <c r="C1579" t="str">
        <f>"8.6793"</f>
        <v>8.6793</v>
      </c>
    </row>
    <row r="1580" spans="1:3" x14ac:dyDescent="0.25">
      <c r="A1580" t="str">
        <f>"15/12/2015"</f>
        <v>15/12/2015</v>
      </c>
      <c r="B1580" t="str">
        <f>"8.711"</f>
        <v>8.711</v>
      </c>
      <c r="C1580" t="str">
        <f>"8.7135"</f>
        <v>8.7135</v>
      </c>
    </row>
    <row r="1581" spans="1:3" x14ac:dyDescent="0.25">
      <c r="A1581" t="str">
        <f>"16/12/2015"</f>
        <v>16/12/2015</v>
      </c>
      <c r="B1581" t="str">
        <f>"8.7782"</f>
        <v>8.7782</v>
      </c>
      <c r="C1581" t="str">
        <f>"8.7804"</f>
        <v>8.7804</v>
      </c>
    </row>
    <row r="1582" spans="1:3" x14ac:dyDescent="0.25">
      <c r="A1582" t="str">
        <f>"17/12/2015"</f>
        <v>17/12/2015</v>
      </c>
      <c r="B1582" t="str">
        <f>"8.7731"</f>
        <v>8.7731</v>
      </c>
      <c r="C1582" t="str">
        <f>"8.7294"</f>
        <v>8.7294</v>
      </c>
    </row>
    <row r="1583" spans="1:3" x14ac:dyDescent="0.25">
      <c r="A1583" t="str">
        <f>"18/12/2015"</f>
        <v>18/12/2015</v>
      </c>
      <c r="B1583" t="str">
        <f>"8.7704"</f>
        <v>8.7704</v>
      </c>
      <c r="C1583" t="str">
        <f>"8.7498"</f>
        <v>8.7498</v>
      </c>
    </row>
    <row r="1584" spans="1:3" x14ac:dyDescent="0.25">
      <c r="A1584" t="str">
        <f>"21/12/2015"</f>
        <v>21/12/2015</v>
      </c>
      <c r="B1584" t="str">
        <f>"8.797"</f>
        <v>8.797</v>
      </c>
      <c r="C1584" t="str">
        <f>"8.7998"</f>
        <v>8.7998</v>
      </c>
    </row>
    <row r="1585" spans="1:3" x14ac:dyDescent="0.25">
      <c r="A1585" t="str">
        <f>"22/12/2015"</f>
        <v>22/12/2015</v>
      </c>
      <c r="B1585" t="str">
        <f>"8.7212"</f>
        <v>8.7212</v>
      </c>
      <c r="C1585" t="str">
        <f>"8.7234"</f>
        <v>8.7234</v>
      </c>
    </row>
    <row r="1586" spans="1:3" x14ac:dyDescent="0.25">
      <c r="A1586" t="str">
        <f>"23/12/2015"</f>
        <v>23/12/2015</v>
      </c>
      <c r="B1586" t="str">
        <f>"8.6952"</f>
        <v>8.6952</v>
      </c>
      <c r="C1586" t="str">
        <f>"8.6977"</f>
        <v>8.6977</v>
      </c>
    </row>
    <row r="1587" spans="1:3" x14ac:dyDescent="0.25">
      <c r="A1587" t="str">
        <f>"28/12/2015"</f>
        <v>28/12/2015</v>
      </c>
      <c r="B1587" t="str">
        <f>"8.6974"</f>
        <v>8.6974</v>
      </c>
      <c r="C1587" t="str">
        <f>"8.70"</f>
        <v>8.70</v>
      </c>
    </row>
    <row r="1588" spans="1:3" x14ac:dyDescent="0.25">
      <c r="A1588" t="str">
        <f>"29/12/2015"</f>
        <v>29/12/2015</v>
      </c>
      <c r="B1588" t="str">
        <f>"8.6927"</f>
        <v>8.6927</v>
      </c>
      <c r="C1588" t="str">
        <f>"8.6954"</f>
        <v>8.6954</v>
      </c>
    </row>
    <row r="1589" spans="1:3" x14ac:dyDescent="0.25">
      <c r="A1589" t="str">
        <f>"30/12/2015"</f>
        <v>30/12/2015</v>
      </c>
      <c r="B1589" t="str">
        <f>"8.751"</f>
        <v>8.751</v>
      </c>
      <c r="C1589" t="str">
        <f>"8.754"</f>
        <v>8.754</v>
      </c>
    </row>
    <row r="1590" spans="1:3" x14ac:dyDescent="0.25">
      <c r="A1590" t="str">
        <f>"31/12/2015"</f>
        <v>31/12/2015</v>
      </c>
      <c r="B1590" t="str">
        <f>"8.8013"</f>
        <v>8.8013</v>
      </c>
      <c r="C1590" t="str">
        <f>"8.8043"</f>
        <v>8.8043</v>
      </c>
    </row>
    <row r="1591" spans="1:3" x14ac:dyDescent="0.25">
      <c r="A1591" t="str">
        <f>"01/01/2016"</f>
        <v>01/01/2016</v>
      </c>
      <c r="B1591" t="str">
        <f>"8.8743"</f>
        <v>8.8743</v>
      </c>
      <c r="C1591" t="str">
        <f>"8.8774"</f>
        <v>8.8774</v>
      </c>
    </row>
    <row r="1592" spans="1:3" x14ac:dyDescent="0.25">
      <c r="A1592" t="str">
        <f>"04/01/2016"</f>
        <v>04/01/2016</v>
      </c>
      <c r="B1592" t="str">
        <f>"8.8442"</f>
        <v>8.8442</v>
      </c>
      <c r="C1592" t="str">
        <f>"8.847"</f>
        <v>8.847</v>
      </c>
    </row>
    <row r="1593" spans="1:3" x14ac:dyDescent="0.25">
      <c r="A1593" t="str">
        <f>"05/01/2016"</f>
        <v>05/01/2016</v>
      </c>
      <c r="B1593" t="str">
        <f>"8.9418"</f>
        <v>8.9418</v>
      </c>
      <c r="C1593" t="str">
        <f>"8.9446"</f>
        <v>8.9446</v>
      </c>
    </row>
    <row r="1594" spans="1:3" x14ac:dyDescent="0.25">
      <c r="A1594" t="str">
        <f>"06/01/2016"</f>
        <v>06/01/2016</v>
      </c>
      <c r="B1594" t="str">
        <f>"8.9667"</f>
        <v>8.9667</v>
      </c>
      <c r="C1594" t="str">
        <f>"8.9695"</f>
        <v>8.9695</v>
      </c>
    </row>
    <row r="1595" spans="1:3" x14ac:dyDescent="0.25">
      <c r="A1595" t="str">
        <f>"07/01/2016"</f>
        <v>07/01/2016</v>
      </c>
      <c r="B1595" t="str">
        <f>"8.9348"</f>
        <v>8.9348</v>
      </c>
      <c r="C1595" t="str">
        <f>"8.9377"</f>
        <v>8.9377</v>
      </c>
    </row>
    <row r="1596" spans="1:3" x14ac:dyDescent="0.25">
      <c r="A1596" t="str">
        <f>"08/01/2016"</f>
        <v>08/01/2016</v>
      </c>
      <c r="B1596" t="str">
        <f>"8.9006"</f>
        <v>8.9006</v>
      </c>
      <c r="C1596" t="str">
        <f>"8.9037"</f>
        <v>8.9037</v>
      </c>
    </row>
    <row r="1597" spans="1:3" x14ac:dyDescent="0.25">
      <c r="A1597" t="str">
        <f>"11/01/2016"</f>
        <v>11/01/2016</v>
      </c>
      <c r="B1597" t="str">
        <f>"8.8835"</f>
        <v>8.8835</v>
      </c>
      <c r="C1597" t="str">
        <f>"8.8867"</f>
        <v>8.8867</v>
      </c>
    </row>
    <row r="1598" spans="1:3" x14ac:dyDescent="0.25">
      <c r="A1598" t="str">
        <f>"12/01/2016"</f>
        <v>12/01/2016</v>
      </c>
      <c r="B1598" t="str">
        <f>"8.9116"</f>
        <v>8.9116</v>
      </c>
      <c r="C1598" t="str">
        <f>"8.9151"</f>
        <v>8.9151</v>
      </c>
    </row>
    <row r="1599" spans="1:3" x14ac:dyDescent="0.25">
      <c r="A1599" t="str">
        <f>"13/01/2016"</f>
        <v>13/01/2016</v>
      </c>
      <c r="B1599" t="str">
        <f>"8.8644"</f>
        <v>8.8644</v>
      </c>
      <c r="C1599" t="str">
        <f>"8.8681"</f>
        <v>8.8681</v>
      </c>
    </row>
    <row r="1600" spans="1:3" x14ac:dyDescent="0.25">
      <c r="A1600" t="str">
        <f>"14/01/2016"</f>
        <v>14/01/2016</v>
      </c>
      <c r="B1600" t="str">
        <f>"8.8177"</f>
        <v>8.8177</v>
      </c>
      <c r="C1600" t="str">
        <f>"8.8214"</f>
        <v>8.8214</v>
      </c>
    </row>
    <row r="1601" spans="1:3" x14ac:dyDescent="0.25">
      <c r="A1601" t="str">
        <f>"15/01/2016"</f>
        <v>15/01/2016</v>
      </c>
      <c r="B1601" t="str">
        <f>"8.8083"</f>
        <v>8.8083</v>
      </c>
      <c r="C1601" t="str">
        <f>"8.8121"</f>
        <v>8.8121</v>
      </c>
    </row>
    <row r="1602" spans="1:3" x14ac:dyDescent="0.25">
      <c r="A1602" t="str">
        <f>"18/01/2016"</f>
        <v>18/01/2016</v>
      </c>
      <c r="B1602" t="str">
        <f>"8.859"</f>
        <v>8.859</v>
      </c>
      <c r="C1602" t="str">
        <f>"8.8631"</f>
        <v>8.8631</v>
      </c>
    </row>
    <row r="1603" spans="1:3" x14ac:dyDescent="0.25">
      <c r="A1603" t="str">
        <f>"19/01/2016"</f>
        <v>19/01/2016</v>
      </c>
      <c r="B1603" t="str">
        <f>"8.8255"</f>
        <v>8.8255</v>
      </c>
      <c r="C1603" t="str">
        <f>"8.8293"</f>
        <v>8.8293</v>
      </c>
    </row>
    <row r="1604" spans="1:3" x14ac:dyDescent="0.25">
      <c r="A1604" t="str">
        <f>"20/01/2016"</f>
        <v>20/01/2016</v>
      </c>
      <c r="B1604" t="str">
        <f>"8.8747"</f>
        <v>8.8747</v>
      </c>
      <c r="C1604" t="str">
        <f>"8.8783"</f>
        <v>8.8783</v>
      </c>
    </row>
    <row r="1605" spans="1:3" x14ac:dyDescent="0.25">
      <c r="A1605" t="str">
        <f>"21/01/2016"</f>
        <v>21/01/2016</v>
      </c>
      <c r="B1605" t="str">
        <f>"8.898"</f>
        <v>8.898</v>
      </c>
      <c r="C1605" t="str">
        <f>"8.9016"</f>
        <v>8.9016</v>
      </c>
    </row>
    <row r="1606" spans="1:3" x14ac:dyDescent="0.25">
      <c r="A1606" t="str">
        <f>"22/01/2016"</f>
        <v>22/01/2016</v>
      </c>
      <c r="B1606" t="str">
        <f>"8.7379"</f>
        <v>8.7379</v>
      </c>
      <c r="C1606" t="str">
        <f>"8.7412"</f>
        <v>8.7412</v>
      </c>
    </row>
    <row r="1607" spans="1:3" x14ac:dyDescent="0.25">
      <c r="A1607" t="str">
        <f>"25/01/2016"</f>
        <v>25/01/2016</v>
      </c>
      <c r="B1607" t="str">
        <f>"8.7605"</f>
        <v>8.7605</v>
      </c>
      <c r="C1607" t="str">
        <f>"8.7641"</f>
        <v>8.7641</v>
      </c>
    </row>
    <row r="1608" spans="1:3" x14ac:dyDescent="0.25">
      <c r="A1608" t="str">
        <f>"27/01/2016"</f>
        <v>27/01/2016</v>
      </c>
      <c r="B1608" t="str">
        <f>"8.7282"</f>
        <v>8.7282</v>
      </c>
      <c r="C1608" t="str">
        <f>"8.7315"</f>
        <v>8.7315</v>
      </c>
    </row>
    <row r="1609" spans="1:3" x14ac:dyDescent="0.25">
      <c r="A1609" t="str">
        <f>"28/01/2016"</f>
        <v>28/01/2016</v>
      </c>
      <c r="B1609" t="str">
        <f>"8.655"</f>
        <v>8.655</v>
      </c>
      <c r="C1609" t="str">
        <f>"8.6578"</f>
        <v>8.6578</v>
      </c>
    </row>
    <row r="1610" spans="1:3" x14ac:dyDescent="0.25">
      <c r="A1610" t="str">
        <f>"29/01/2016"</f>
        <v>29/01/2016</v>
      </c>
      <c r="B1610" t="str">
        <f>"8.6944"</f>
        <v>8.6944</v>
      </c>
      <c r="C1610" t="str">
        <f>"8.6971"</f>
        <v>8.6971</v>
      </c>
    </row>
    <row r="1611" spans="1:3" x14ac:dyDescent="0.25">
      <c r="A1611" t="str">
        <f>"01/02/2016"</f>
        <v>01/02/2016</v>
      </c>
      <c r="B1611" t="str">
        <f>"8.6485"</f>
        <v>8.6485</v>
      </c>
      <c r="C1611" t="str">
        <f>"8.6512"</f>
        <v>8.6512</v>
      </c>
    </row>
    <row r="1612" spans="1:3" x14ac:dyDescent="0.25">
      <c r="A1612" t="str">
        <f>"02/02/2016"</f>
        <v>02/02/2016</v>
      </c>
      <c r="B1612" t="str">
        <f>"8.7109"</f>
        <v>8.7109</v>
      </c>
      <c r="C1612" t="str">
        <f>"8.7134"</f>
        <v>8.7134</v>
      </c>
    </row>
    <row r="1613" spans="1:3" x14ac:dyDescent="0.25">
      <c r="A1613" t="str">
        <f>"03/02/2016"</f>
        <v>03/02/2016</v>
      </c>
      <c r="B1613" t="str">
        <f>"8.6943"</f>
        <v>8.6943</v>
      </c>
      <c r="C1613" t="str">
        <f>"8.6972"</f>
        <v>8.6972</v>
      </c>
    </row>
    <row r="1614" spans="1:3" x14ac:dyDescent="0.25">
      <c r="A1614" t="str">
        <f>"04/02/2016"</f>
        <v>04/02/2016</v>
      </c>
      <c r="B1614" t="str">
        <f>"8.493"</f>
        <v>8.493</v>
      </c>
      <c r="C1614" t="str">
        <f>"8.4955"</f>
        <v>8.4955</v>
      </c>
    </row>
    <row r="1615" spans="1:3" x14ac:dyDescent="0.25">
      <c r="A1615" t="str">
        <f>"05/02/2016"</f>
        <v>05/02/2016</v>
      </c>
      <c r="B1615" t="str">
        <f>"8.5092"</f>
        <v>8.5092</v>
      </c>
      <c r="C1615" t="str">
        <f>"8.5118"</f>
        <v>8.5118</v>
      </c>
    </row>
    <row r="1616" spans="1:3" x14ac:dyDescent="0.25">
      <c r="A1616" t="str">
        <f>"08/02/2016"</f>
        <v>08/02/2016</v>
      </c>
      <c r="B1616" t="str">
        <f>"8.5998"</f>
        <v>8.5998</v>
      </c>
      <c r="C1616" t="str">
        <f>"8.6024"</f>
        <v>8.6024</v>
      </c>
    </row>
    <row r="1617" spans="1:3" x14ac:dyDescent="0.25">
      <c r="A1617" t="str">
        <f>"09/02/2016"</f>
        <v>09/02/2016</v>
      </c>
      <c r="B1617" t="str">
        <f>"8.588"</f>
        <v>8.588</v>
      </c>
      <c r="C1617" t="str">
        <f>"8.5906"</f>
        <v>8.5906</v>
      </c>
    </row>
    <row r="1618" spans="1:3" x14ac:dyDescent="0.25">
      <c r="A1618" t="str">
        <f>"10/02/2016"</f>
        <v>10/02/2016</v>
      </c>
      <c r="B1618" t="str">
        <f>"8.5325"</f>
        <v>8.5325</v>
      </c>
      <c r="C1618" t="str">
        <f>"8.5353"</f>
        <v>8.5353</v>
      </c>
    </row>
    <row r="1619" spans="1:3" x14ac:dyDescent="0.25">
      <c r="A1619" t="str">
        <f>"11/02/2016"</f>
        <v>11/02/2016</v>
      </c>
      <c r="B1619" t="str">
        <f>"8.5562"</f>
        <v>8.5562</v>
      </c>
      <c r="C1619" t="str">
        <f>"8.5588"</f>
        <v>8.5588</v>
      </c>
    </row>
    <row r="1620" spans="1:3" x14ac:dyDescent="0.25">
      <c r="A1620" t="str">
        <f>"12/02/2016"</f>
        <v>12/02/2016</v>
      </c>
      <c r="B1620" t="str">
        <f>"8.5995"</f>
        <v>8.5995</v>
      </c>
      <c r="C1620" t="str">
        <f>"8.6019"</f>
        <v>8.6019</v>
      </c>
    </row>
    <row r="1621" spans="1:3" x14ac:dyDescent="0.25">
      <c r="A1621" t="str">
        <f>"15/02/2016"</f>
        <v>15/02/2016</v>
      </c>
      <c r="B1621" t="str">
        <f>"8.5957"</f>
        <v>8.5957</v>
      </c>
      <c r="C1621" t="str">
        <f>"8.5981"</f>
        <v>8.5981</v>
      </c>
    </row>
    <row r="1622" spans="1:3" x14ac:dyDescent="0.25">
      <c r="A1622" t="str">
        <f>"16/02/2016"</f>
        <v>16/02/2016</v>
      </c>
      <c r="B1622" t="str">
        <f>"8.6103"</f>
        <v>8.6103</v>
      </c>
      <c r="C1622" t="str">
        <f>"8.6127"</f>
        <v>8.6127</v>
      </c>
    </row>
    <row r="1623" spans="1:3" x14ac:dyDescent="0.25">
      <c r="A1623" t="str">
        <f>"17/02/2016"</f>
        <v>17/02/2016</v>
      </c>
      <c r="B1623" t="str">
        <f>"8.627"</f>
        <v>8.627</v>
      </c>
      <c r="C1623" t="str">
        <f>"8.6296"</f>
        <v>8.6296</v>
      </c>
    </row>
    <row r="1624" spans="1:3" x14ac:dyDescent="0.25">
      <c r="A1624" t="str">
        <f>"18/02/2016"</f>
        <v>18/02/2016</v>
      </c>
      <c r="B1624" t="str">
        <f>"8.5757"</f>
        <v>8.5757</v>
      </c>
      <c r="C1624" t="str">
        <f>"8.5778"</f>
        <v>8.5778</v>
      </c>
    </row>
    <row r="1625" spans="1:3" x14ac:dyDescent="0.25">
      <c r="A1625" t="str">
        <f>"22/02/2016"</f>
        <v>22/02/2016</v>
      </c>
      <c r="B1625" t="str">
        <f>"8.6128"</f>
        <v>8.6128</v>
      </c>
      <c r="C1625" t="str">
        <f>"8.6152"</f>
        <v>8.6152</v>
      </c>
    </row>
    <row r="1626" spans="1:3" x14ac:dyDescent="0.25">
      <c r="A1626" t="str">
        <f>"23/02/2016"</f>
        <v>23/02/2016</v>
      </c>
      <c r="B1626" t="str">
        <f>"8.6128"</f>
        <v>8.6128</v>
      </c>
      <c r="C1626" t="str">
        <f>"8.6152"</f>
        <v>8.6152</v>
      </c>
    </row>
    <row r="1627" spans="1:3" x14ac:dyDescent="0.25">
      <c r="A1627" t="str">
        <f>"24/02/2016"</f>
        <v>24/02/2016</v>
      </c>
      <c r="B1627" t="str">
        <f>"8.6177"</f>
        <v>8.6177</v>
      </c>
      <c r="C1627" t="str">
        <f>"8.6202"</f>
        <v>8.6202</v>
      </c>
    </row>
    <row r="1628" spans="1:3" x14ac:dyDescent="0.25">
      <c r="A1628" t="str">
        <f>"25/02/2016"</f>
        <v>25/02/2016</v>
      </c>
      <c r="B1628" t="str">
        <f>"8.6686"</f>
        <v>8.6686</v>
      </c>
      <c r="C1628" t="str">
        <f>"8.6709"</f>
        <v>8.6709</v>
      </c>
    </row>
    <row r="1629" spans="1:3" x14ac:dyDescent="0.25">
      <c r="A1629" t="str">
        <f>"26/02/2016"</f>
        <v>26/02/2016</v>
      </c>
      <c r="B1629" t="str">
        <f>"8.6035"</f>
        <v>8.6035</v>
      </c>
      <c r="C1629" t="str">
        <f>"8.6057"</f>
        <v>8.6057</v>
      </c>
    </row>
    <row r="1630" spans="1:3" x14ac:dyDescent="0.25">
      <c r="A1630" t="str">
        <f>"29/02/2016"</f>
        <v>29/02/2016</v>
      </c>
      <c r="B1630" t="str">
        <f>"8.7244"</f>
        <v>8.7244</v>
      </c>
      <c r="C1630" t="str">
        <f>"8.7264"</f>
        <v>8.7264</v>
      </c>
    </row>
    <row r="1631" spans="1:3" x14ac:dyDescent="0.25">
      <c r="A1631" t="str">
        <f>"01/03/2016"</f>
        <v>01/03/2016</v>
      </c>
      <c r="B1631" t="str">
        <f>"8.666"</f>
        <v>8.666</v>
      </c>
      <c r="C1631" t="str">
        <f>"8.668"</f>
        <v>8.668</v>
      </c>
    </row>
    <row r="1632" spans="1:3" x14ac:dyDescent="0.25">
      <c r="A1632" t="str">
        <f>"02/03/2016"</f>
        <v>02/03/2016</v>
      </c>
      <c r="B1632" t="str">
        <f>"8.6804"</f>
        <v>8.6804</v>
      </c>
      <c r="C1632" t="str">
        <f>"8.6826"</f>
        <v>8.6826</v>
      </c>
    </row>
    <row r="1633" spans="1:3" x14ac:dyDescent="0.25">
      <c r="A1633" t="str">
        <f>"03/03/2016"</f>
        <v>03/03/2016</v>
      </c>
      <c r="B1633" t="str">
        <f>"8.663"</f>
        <v>8.663</v>
      </c>
      <c r="C1633" t="str">
        <f>"8.665"</f>
        <v>8.665</v>
      </c>
    </row>
    <row r="1634" spans="1:3" x14ac:dyDescent="0.25">
      <c r="A1634" t="str">
        <f>"04/03/2016"</f>
        <v>04/03/2016</v>
      </c>
      <c r="B1634" t="str">
        <f>"8.5514"</f>
        <v>8.5514</v>
      </c>
      <c r="C1634" t="str">
        <f>"8.5534"</f>
        <v>8.5534</v>
      </c>
    </row>
    <row r="1635" spans="1:3" x14ac:dyDescent="0.25">
      <c r="A1635" t="str">
        <f>"08/03/2016"</f>
        <v>08/03/2016</v>
      </c>
      <c r="B1635" t="str">
        <f>"8.5044"</f>
        <v>8.5044</v>
      </c>
      <c r="C1635" t="str">
        <f>"8.5065"</f>
        <v>8.5065</v>
      </c>
    </row>
    <row r="1636" spans="1:3" x14ac:dyDescent="0.25">
      <c r="A1636" t="str">
        <f>"09/03/2016"</f>
        <v>09/03/2016</v>
      </c>
      <c r="B1636" t="str">
        <f>"8.5578"</f>
        <v>8.5578</v>
      </c>
      <c r="C1636" t="str">
        <f>"8.5599"</f>
        <v>8.5599</v>
      </c>
    </row>
    <row r="1637" spans="1:3" x14ac:dyDescent="0.25">
      <c r="A1637" t="str">
        <f>"10/03/2016"</f>
        <v>10/03/2016</v>
      </c>
      <c r="B1637" t="str">
        <f>"8.5145"</f>
        <v>8.5145</v>
      </c>
      <c r="C1637" t="str">
        <f>"8.5163"</f>
        <v>8.5163</v>
      </c>
    </row>
    <row r="1638" spans="1:3" x14ac:dyDescent="0.25">
      <c r="A1638" t="str">
        <f>"11/03/2016"</f>
        <v>11/03/2016</v>
      </c>
      <c r="B1638" t="str">
        <f>"8.5365"</f>
        <v>8.5365</v>
      </c>
      <c r="C1638" t="str">
        <f>"8.5384"</f>
        <v>8.5384</v>
      </c>
    </row>
    <row r="1639" spans="1:3" x14ac:dyDescent="0.25">
      <c r="A1639" t="str">
        <f>"14/03/2016"</f>
        <v>14/03/2016</v>
      </c>
      <c r="B1639" t="str">
        <f>"8.4553"</f>
        <v>8.4553</v>
      </c>
      <c r="C1639" t="str">
        <f>"8.4574"</f>
        <v>8.4574</v>
      </c>
    </row>
    <row r="1640" spans="1:3" x14ac:dyDescent="0.25">
      <c r="A1640" t="str">
        <f>"15/03/2016"</f>
        <v>15/03/2016</v>
      </c>
      <c r="B1640" t="str">
        <f>"8.5641"</f>
        <v>8.5641</v>
      </c>
      <c r="C1640" t="str">
        <f>"8.5661"</f>
        <v>8.5661</v>
      </c>
    </row>
    <row r="1641" spans="1:3" x14ac:dyDescent="0.25">
      <c r="A1641" t="str">
        <f>"16/03/2016"</f>
        <v>16/03/2016</v>
      </c>
      <c r="B1641" t="str">
        <f>"8.582"</f>
        <v>8.582</v>
      </c>
      <c r="C1641" t="str">
        <f>"8.5839"</f>
        <v>8.5839</v>
      </c>
    </row>
    <row r="1642" spans="1:3" x14ac:dyDescent="0.25">
      <c r="A1642" t="str">
        <f>"17/03/2016"</f>
        <v>17/03/2016</v>
      </c>
      <c r="B1642" t="str">
        <f>"8.3932"</f>
        <v>8.3932</v>
      </c>
      <c r="C1642" t="str">
        <f>"8.3949"</f>
        <v>8.3949</v>
      </c>
    </row>
    <row r="1643" spans="1:3" x14ac:dyDescent="0.25">
      <c r="A1643" t="str">
        <f>"18/03/2016"</f>
        <v>18/03/2016</v>
      </c>
      <c r="B1643" t="str">
        <f>"8.3202"</f>
        <v>8.3202</v>
      </c>
      <c r="C1643" t="str">
        <f>"8.3215"</f>
        <v>8.3215</v>
      </c>
    </row>
    <row r="1644" spans="1:3" x14ac:dyDescent="0.25">
      <c r="A1644" t="str">
        <f>"21/03/2016"</f>
        <v>21/03/2016</v>
      </c>
      <c r="B1644" t="str">
        <f>"8.3764"</f>
        <v>8.3764</v>
      </c>
      <c r="C1644" t="str">
        <f>"8.3776"</f>
        <v>8.3776</v>
      </c>
    </row>
    <row r="1645" spans="1:3" x14ac:dyDescent="0.25">
      <c r="A1645" t="str">
        <f>"22/03/2016"</f>
        <v>22/03/2016</v>
      </c>
      <c r="B1645" t="str">
        <f>"8.4174"</f>
        <v>8.4174</v>
      </c>
      <c r="C1645" t="str">
        <f>"8.4187"</f>
        <v>8.4187</v>
      </c>
    </row>
    <row r="1646" spans="1:3" x14ac:dyDescent="0.25">
      <c r="A1646" t="str">
        <f>"23/03/2016"</f>
        <v>23/03/2016</v>
      </c>
      <c r="B1646" t="str">
        <f>"8.4369"</f>
        <v>8.4369</v>
      </c>
      <c r="C1646" t="str">
        <f>"8.4382"</f>
        <v>8.4382</v>
      </c>
    </row>
    <row r="1647" spans="1:3" x14ac:dyDescent="0.25">
      <c r="A1647" t="str">
        <f>"28/03/2016"</f>
        <v>28/03/2016</v>
      </c>
      <c r="B1647" t="str">
        <f>"8.4596"</f>
        <v>8.4596</v>
      </c>
      <c r="C1647" t="str">
        <f>"8.4609"</f>
        <v>8.4609</v>
      </c>
    </row>
    <row r="1648" spans="1:3" x14ac:dyDescent="0.25">
      <c r="A1648" t="str">
        <f>"29/03/2016"</f>
        <v>29/03/2016</v>
      </c>
      <c r="B1648" t="str">
        <f>"8.4731"</f>
        <v>8.4731</v>
      </c>
      <c r="C1648" t="str">
        <f>"8.474"</f>
        <v>8.474</v>
      </c>
    </row>
    <row r="1649" spans="1:3" x14ac:dyDescent="0.25">
      <c r="A1649" t="str">
        <f>"30/03/2016"</f>
        <v>30/03/2016</v>
      </c>
      <c r="B1649" t="str">
        <f>"8.3179"</f>
        <v>8.3179</v>
      </c>
      <c r="C1649" t="str">
        <f>"8.3191"</f>
        <v>8.3191</v>
      </c>
    </row>
    <row r="1650" spans="1:3" x14ac:dyDescent="0.25">
      <c r="A1650" t="str">
        <f>"31/03/2016"</f>
        <v>31/03/2016</v>
      </c>
      <c r="B1650" t="str">
        <f>"8.2816"</f>
        <v>8.2816</v>
      </c>
      <c r="C1650" t="str">
        <f>"8.2828"</f>
        <v>8.2828</v>
      </c>
    </row>
    <row r="1651" spans="1:3" x14ac:dyDescent="0.25">
      <c r="A1651" t="str">
        <f>"04/04/2016"</f>
        <v>04/04/2016</v>
      </c>
      <c r="B1651" t="str">
        <f>"8.322"</f>
        <v>8.322</v>
      </c>
      <c r="C1651" t="str">
        <f>"8.3235"</f>
        <v>8.3235</v>
      </c>
    </row>
    <row r="1652" spans="1:3" x14ac:dyDescent="0.25">
      <c r="A1652" t="str">
        <f>"05/04/2016"</f>
        <v>05/04/2016</v>
      </c>
      <c r="B1652" t="str">
        <f>"8.3606"</f>
        <v>8.3606</v>
      </c>
      <c r="C1652" t="str">
        <f>"8.3621"</f>
        <v>8.3621</v>
      </c>
    </row>
    <row r="1653" spans="1:3" x14ac:dyDescent="0.25">
      <c r="A1653" t="str">
        <f>"06/04/2016"</f>
        <v>06/04/2016</v>
      </c>
      <c r="B1653" t="str">
        <f>"8.3601"</f>
        <v>8.3601</v>
      </c>
      <c r="C1653" t="str">
        <f>"8.3616"</f>
        <v>8.3616</v>
      </c>
    </row>
    <row r="1654" spans="1:3" x14ac:dyDescent="0.25">
      <c r="A1654" t="str">
        <f>"07/04/2016"</f>
        <v>07/04/2016</v>
      </c>
      <c r="B1654" t="str">
        <f>"8.3039"</f>
        <v>8.3039</v>
      </c>
      <c r="C1654" t="str">
        <f>"8.3055"</f>
        <v>8.3055</v>
      </c>
    </row>
    <row r="1655" spans="1:3" x14ac:dyDescent="0.25">
      <c r="A1655" t="str">
        <f>"11/04/2016"</f>
        <v>11/04/2016</v>
      </c>
      <c r="B1655" t="str">
        <f>"8.2356"</f>
        <v>8.2356</v>
      </c>
      <c r="C1655" t="str">
        <f>"8.2372"</f>
        <v>8.2372</v>
      </c>
    </row>
    <row r="1656" spans="1:3" x14ac:dyDescent="0.25">
      <c r="A1656" t="str">
        <f>"12/04/2016"</f>
        <v>12/04/2016</v>
      </c>
      <c r="B1656" t="str">
        <f>"8.1706"</f>
        <v>8.1706</v>
      </c>
      <c r="C1656" t="str">
        <f>"8.1723"</f>
        <v>8.1723</v>
      </c>
    </row>
    <row r="1657" spans="1:3" x14ac:dyDescent="0.25">
      <c r="A1657" t="str">
        <f>"13/04/2016"</f>
        <v>13/04/2016</v>
      </c>
      <c r="B1657" t="str">
        <f>"8.1801"</f>
        <v>8.1801</v>
      </c>
      <c r="C1657" t="str">
        <f>"8.1818"</f>
        <v>8.1818</v>
      </c>
    </row>
    <row r="1658" spans="1:3" x14ac:dyDescent="0.25">
      <c r="A1658" t="str">
        <f>"18/04/2016"</f>
        <v>18/04/2016</v>
      </c>
      <c r="B1658" t="str">
        <f>"8.248"</f>
        <v>8.248</v>
      </c>
      <c r="C1658" t="str">
        <f>"8.2491"</f>
        <v>8.2491</v>
      </c>
    </row>
    <row r="1659" spans="1:3" x14ac:dyDescent="0.25">
      <c r="A1659" t="str">
        <f>"20/04/2016"</f>
        <v>20/04/2016</v>
      </c>
      <c r="B1659" t="str">
        <f>"8.1148"</f>
        <v>8.1148</v>
      </c>
      <c r="C1659" t="str">
        <f>"8.1159"</f>
        <v>8.1159</v>
      </c>
    </row>
    <row r="1660" spans="1:3" x14ac:dyDescent="0.25">
      <c r="A1660" t="str">
        <f>"21/04/2016"</f>
        <v>21/04/2016</v>
      </c>
      <c r="B1660" t="str">
        <f>"8.1132"</f>
        <v>8.1132</v>
      </c>
      <c r="C1660" t="str">
        <f>"8.1145"</f>
        <v>8.1145</v>
      </c>
    </row>
    <row r="1661" spans="1:3" x14ac:dyDescent="0.25">
      <c r="A1661" t="str">
        <f>"22/04/2016"</f>
        <v>22/04/2016</v>
      </c>
      <c r="B1661" t="str">
        <f>"8.1947"</f>
        <v>8.1947</v>
      </c>
      <c r="C1661" t="str">
        <f>"8.196"</f>
        <v>8.196</v>
      </c>
    </row>
    <row r="1662" spans="1:3" x14ac:dyDescent="0.25">
      <c r="A1662" t="str">
        <f>"25/04/2016"</f>
        <v>25/04/2016</v>
      </c>
      <c r="B1662" t="str">
        <f>"8.2207"</f>
        <v>8.2207</v>
      </c>
      <c r="C1662" t="str">
        <f>"8.2221"</f>
        <v>8.2221</v>
      </c>
    </row>
    <row r="1663" spans="1:3" x14ac:dyDescent="0.25">
      <c r="A1663" t="str">
        <f>"26/04/2016"</f>
        <v>26/04/2016</v>
      </c>
      <c r="B1663" t="str">
        <f>"8.1841"</f>
        <v>8.1841</v>
      </c>
      <c r="C1663" t="str">
        <f>"8.1854"</f>
        <v>8.1854</v>
      </c>
    </row>
    <row r="1664" spans="1:3" x14ac:dyDescent="0.25">
      <c r="A1664" t="str">
        <f>"27/04/2016"</f>
        <v>27/04/2016</v>
      </c>
      <c r="B1664" t="str">
        <f>"8.1406"</f>
        <v>8.1406</v>
      </c>
      <c r="C1664" t="str">
        <f>"8.1417"</f>
        <v>8.1417</v>
      </c>
    </row>
    <row r="1665" spans="1:3" x14ac:dyDescent="0.25">
      <c r="A1665" t="str">
        <f>"28/04/2016"</f>
        <v>28/04/2016</v>
      </c>
      <c r="B1665" t="str">
        <f>"8.1288"</f>
        <v>8.1288</v>
      </c>
      <c r="C1665" t="str">
        <f>"8.1301"</f>
        <v>8.1301</v>
      </c>
    </row>
    <row r="1666" spans="1:3" x14ac:dyDescent="0.25">
      <c r="A1666" t="str">
        <f>"29/04/2016"</f>
        <v>29/04/2016</v>
      </c>
      <c r="B1666" t="str">
        <f>"8.1085"</f>
        <v>8.1085</v>
      </c>
      <c r="C1666" t="str">
        <f>"8.11"</f>
        <v>8.11</v>
      </c>
    </row>
    <row r="1667" spans="1:3" x14ac:dyDescent="0.25">
      <c r="A1667" t="str">
        <f>"02/05/2016"</f>
        <v>02/05/2016</v>
      </c>
      <c r="B1667" t="str">
        <f>"8.0352"</f>
        <v>8.0352</v>
      </c>
      <c r="C1667" t="str">
        <f>"8.0365"</f>
        <v>8.0365</v>
      </c>
    </row>
    <row r="1668" spans="1:3" x14ac:dyDescent="0.25">
      <c r="A1668" t="str">
        <f>"03/05/2016"</f>
        <v>03/05/2016</v>
      </c>
      <c r="B1668" t="str">
        <f>"8.0176"</f>
        <v>8.0176</v>
      </c>
      <c r="C1668" t="str">
        <f>"8.019"</f>
        <v>8.019</v>
      </c>
    </row>
    <row r="1669" spans="1:3" x14ac:dyDescent="0.25">
      <c r="A1669" t="str">
        <f>"04/05/2016"</f>
        <v>04/05/2016</v>
      </c>
      <c r="B1669" t="str">
        <f>"8.1211"</f>
        <v>8.1211</v>
      </c>
      <c r="C1669" t="str">
        <f>"8.1224"</f>
        <v>8.1224</v>
      </c>
    </row>
    <row r="1670" spans="1:3" x14ac:dyDescent="0.25">
      <c r="A1670" t="str">
        <f>"05/05/2016"</f>
        <v>05/05/2016</v>
      </c>
      <c r="B1670" t="str">
        <f>"8.1364"</f>
        <v>8.1364</v>
      </c>
      <c r="C1670" t="str">
        <f>"8.1377"</f>
        <v>8.1377</v>
      </c>
    </row>
    <row r="1671" spans="1:3" x14ac:dyDescent="0.25">
      <c r="A1671" t="str">
        <f>"06/05/2016"</f>
        <v>06/05/2016</v>
      </c>
      <c r="B1671" t="str">
        <f>"8.2046"</f>
        <v>8.2046</v>
      </c>
      <c r="C1671" t="str">
        <f>"8.2059"</f>
        <v>8.2059</v>
      </c>
    </row>
    <row r="1672" spans="1:3" x14ac:dyDescent="0.25">
      <c r="A1672" t="str">
        <f>"09/05/2016"</f>
        <v>09/05/2016</v>
      </c>
      <c r="B1672" t="str">
        <f>"8.1891"</f>
        <v>8.1891</v>
      </c>
      <c r="C1672" t="str">
        <f>"8.1906"</f>
        <v>8.1906</v>
      </c>
    </row>
    <row r="1673" spans="1:3" x14ac:dyDescent="0.25">
      <c r="A1673" t="str">
        <f>"10/05/2016"</f>
        <v>10/05/2016</v>
      </c>
      <c r="B1673" t="str">
        <f>"8.2386"</f>
        <v>8.2386</v>
      </c>
      <c r="C1673" t="str">
        <f>"8.2402"</f>
        <v>8.2402</v>
      </c>
    </row>
    <row r="1674" spans="1:3" x14ac:dyDescent="0.25">
      <c r="A1674" t="str">
        <f>"11/05/2016"</f>
        <v>11/05/2016</v>
      </c>
      <c r="B1674" t="str">
        <f>"8.1994"</f>
        <v>8.1994</v>
      </c>
      <c r="C1674" t="str">
        <f>"8.2009"</f>
        <v>8.2009</v>
      </c>
    </row>
    <row r="1675" spans="1:3" x14ac:dyDescent="0.25">
      <c r="A1675" t="str">
        <f>"12/05/2016"</f>
        <v>12/05/2016</v>
      </c>
      <c r="B1675" t="str">
        <f>"8.1113"</f>
        <v>8.1113</v>
      </c>
      <c r="C1675" t="str">
        <f>"8.1129"</f>
        <v>8.1129</v>
      </c>
    </row>
    <row r="1676" spans="1:3" x14ac:dyDescent="0.25">
      <c r="A1676" t="str">
        <f>"13/05/2016"</f>
        <v>13/05/2016</v>
      </c>
      <c r="B1676" t="str">
        <f>"8.1948"</f>
        <v>8.1948</v>
      </c>
      <c r="C1676" t="str">
        <f>"8.1967"</f>
        <v>8.1967</v>
      </c>
    </row>
    <row r="1677" spans="1:3" x14ac:dyDescent="0.25">
      <c r="A1677" t="str">
        <f>"16/05/2016"</f>
        <v>16/05/2016</v>
      </c>
      <c r="B1677" t="str">
        <f>"8.1613"</f>
        <v>8.1613</v>
      </c>
      <c r="C1677" t="str">
        <f>"8.1631"</f>
        <v>8.1631</v>
      </c>
    </row>
    <row r="1678" spans="1:3" x14ac:dyDescent="0.25">
      <c r="A1678" t="str">
        <f>"17/05/2016"</f>
        <v>17/05/2016</v>
      </c>
      <c r="B1678" t="str">
        <f>"8.178"</f>
        <v>8.178</v>
      </c>
      <c r="C1678" t="str">
        <f>"8.1798"</f>
        <v>8.1798</v>
      </c>
    </row>
    <row r="1679" spans="1:3" x14ac:dyDescent="0.25">
      <c r="A1679" t="str">
        <f>"18/05/2016"</f>
        <v>18/05/2016</v>
      </c>
      <c r="B1679" t="str">
        <f>"8.2198"</f>
        <v>8.2198</v>
      </c>
      <c r="C1679" t="str">
        <f>"8.2211"</f>
        <v>8.2211</v>
      </c>
    </row>
    <row r="1680" spans="1:3" x14ac:dyDescent="0.25">
      <c r="A1680" t="str">
        <f>"19/05/2016"</f>
        <v>19/05/2016</v>
      </c>
      <c r="B1680" t="str">
        <f>"8.3453"</f>
        <v>8.3453</v>
      </c>
      <c r="C1680" t="str">
        <f>"8.3466"</f>
        <v>8.3466</v>
      </c>
    </row>
    <row r="1681" spans="1:3" x14ac:dyDescent="0.25">
      <c r="A1681" t="str">
        <f>"20/05/2016"</f>
        <v>20/05/2016</v>
      </c>
      <c r="B1681" t="str">
        <f>"8.3278"</f>
        <v>8.3278</v>
      </c>
      <c r="C1681" t="str">
        <f>"8.3292"</f>
        <v>8.3292</v>
      </c>
    </row>
    <row r="1682" spans="1:3" x14ac:dyDescent="0.25">
      <c r="A1682" t="str">
        <f>"23/05/2016"</f>
        <v>23/05/2016</v>
      </c>
      <c r="B1682" t="str">
        <f>"8.3538"</f>
        <v>8.3538</v>
      </c>
      <c r="C1682" t="str">
        <f>"8.3552"</f>
        <v>8.3552</v>
      </c>
    </row>
    <row r="1683" spans="1:3" x14ac:dyDescent="0.25">
      <c r="A1683" t="str">
        <f>"24/05/2016"</f>
        <v>24/05/2016</v>
      </c>
      <c r="B1683" t="str">
        <f>"8.364"</f>
        <v>8.364</v>
      </c>
      <c r="C1683" t="str">
        <f>"8.3655"</f>
        <v>8.3655</v>
      </c>
    </row>
    <row r="1684" spans="1:3" x14ac:dyDescent="0.25">
      <c r="A1684" t="str">
        <f>"25/05/2016"</f>
        <v>25/05/2016</v>
      </c>
      <c r="B1684" t="str">
        <f>"8.3395"</f>
        <v>8.3395</v>
      </c>
      <c r="C1684" t="str">
        <f>"8.3406"</f>
        <v>8.3406</v>
      </c>
    </row>
    <row r="1685" spans="1:3" x14ac:dyDescent="0.25">
      <c r="A1685" t="str">
        <f>"26/05/2016"</f>
        <v>26/05/2016</v>
      </c>
      <c r="B1685" t="str">
        <f>"8.2835"</f>
        <v>8.2835</v>
      </c>
      <c r="C1685" t="str">
        <f>"8.2845"</f>
        <v>8.2845</v>
      </c>
    </row>
    <row r="1686" spans="1:3" x14ac:dyDescent="0.25">
      <c r="A1686" t="str">
        <f>"27/05/2016"</f>
        <v>27/05/2016</v>
      </c>
      <c r="B1686" t="str">
        <f>"8.306"</f>
        <v>8.306</v>
      </c>
      <c r="C1686" t="str">
        <f>"8.307"</f>
        <v>8.307</v>
      </c>
    </row>
    <row r="1687" spans="1:3" x14ac:dyDescent="0.25">
      <c r="A1687" t="str">
        <f>"30/05/2016"</f>
        <v>30/05/2016</v>
      </c>
      <c r="B1687" t="str">
        <f>"8.3563"</f>
        <v>8.3563</v>
      </c>
      <c r="C1687" t="str">
        <f>"8.3569"</f>
        <v>8.3569</v>
      </c>
    </row>
    <row r="1688" spans="1:3" x14ac:dyDescent="0.25">
      <c r="A1688" t="str">
        <f>"31/05/2016"</f>
        <v>31/05/2016</v>
      </c>
      <c r="B1688" t="str">
        <f>"8.3561"</f>
        <v>8.3561</v>
      </c>
      <c r="C1688" t="str">
        <f>"8.3569"</f>
        <v>8.3569</v>
      </c>
    </row>
    <row r="1689" spans="1:3" x14ac:dyDescent="0.25">
      <c r="A1689" t="str">
        <f>"01/06/2016"</f>
        <v>01/06/2016</v>
      </c>
      <c r="B1689" t="str">
        <f>"8.3222"</f>
        <v>8.3222</v>
      </c>
      <c r="C1689" t="str">
        <f>"8.3229"</f>
        <v>8.3229</v>
      </c>
    </row>
    <row r="1690" spans="1:3" x14ac:dyDescent="0.25">
      <c r="A1690" t="str">
        <f>"02/06/2016"</f>
        <v>02/06/2016</v>
      </c>
      <c r="B1690" t="str">
        <f>"8.339"</f>
        <v>8.339</v>
      </c>
      <c r="C1690" t="str">
        <f>"8.3397"</f>
        <v>8.3397</v>
      </c>
    </row>
    <row r="1691" spans="1:3" x14ac:dyDescent="0.25">
      <c r="A1691" t="str">
        <f>"03/06/2016"</f>
        <v>03/06/2016</v>
      </c>
      <c r="B1691" t="str">
        <f>"8.3286"</f>
        <v>8.3286</v>
      </c>
      <c r="C1691" t="str">
        <f>"8.3293"</f>
        <v>8.3293</v>
      </c>
    </row>
    <row r="1692" spans="1:3" x14ac:dyDescent="0.25">
      <c r="A1692" t="str">
        <f>"06/06/2016"</f>
        <v>06/06/2016</v>
      </c>
      <c r="B1692" t="str">
        <f>"8.2121"</f>
        <v>8.2121</v>
      </c>
      <c r="C1692" t="str">
        <f>"8.2129"</f>
        <v>8.2129</v>
      </c>
    </row>
    <row r="1693" spans="1:3" x14ac:dyDescent="0.25">
      <c r="A1693" t="str">
        <f>"07/06/2016"</f>
        <v>07/06/2016</v>
      </c>
      <c r="B1693" t="str">
        <f>"8.1309"</f>
        <v>8.1309</v>
      </c>
      <c r="C1693" t="str">
        <f>"8.1319"</f>
        <v>8.1319</v>
      </c>
    </row>
    <row r="1694" spans="1:3" x14ac:dyDescent="0.25">
      <c r="A1694" t="str">
        <f>"08/06/2016"</f>
        <v>08/06/2016</v>
      </c>
      <c r="B1694" t="str">
        <f>"8.0968"</f>
        <v>8.0968</v>
      </c>
      <c r="C1694" t="str">
        <f>"8.0975"</f>
        <v>8.0975</v>
      </c>
    </row>
    <row r="1695" spans="1:3" x14ac:dyDescent="0.25">
      <c r="A1695" t="str">
        <f>"09/06/2016"</f>
        <v>09/06/2016</v>
      </c>
      <c r="B1695" t="str">
        <f>"8.1668"</f>
        <v>8.1668</v>
      </c>
      <c r="C1695" t="str">
        <f>"8.1674"</f>
        <v>8.1674</v>
      </c>
    </row>
    <row r="1696" spans="1:3" x14ac:dyDescent="0.25">
      <c r="A1696" t="str">
        <f>"10/06/2016"</f>
        <v>10/06/2016</v>
      </c>
      <c r="B1696" t="str">
        <f>"8.2014"</f>
        <v>8.2014</v>
      </c>
      <c r="C1696" t="str">
        <f>"8.202"</f>
        <v>8.202</v>
      </c>
    </row>
    <row r="1697" spans="1:3" x14ac:dyDescent="0.25">
      <c r="A1697" t="str">
        <f>"13/06/2016"</f>
        <v>13/06/2016</v>
      </c>
      <c r="B1697" t="str">
        <f>"8.2748"</f>
        <v>8.2748</v>
      </c>
      <c r="C1697" t="str">
        <f>"8.2754"</f>
        <v>8.2754</v>
      </c>
    </row>
    <row r="1698" spans="1:3" x14ac:dyDescent="0.25">
      <c r="A1698" t="str">
        <f>"14/06/2016"</f>
        <v>14/06/2016</v>
      </c>
      <c r="B1698" t="str">
        <f>"8.3491"</f>
        <v>8.3491</v>
      </c>
      <c r="C1698" t="str">
        <f>"8.3496"</f>
        <v>8.3496</v>
      </c>
    </row>
    <row r="1699" spans="1:3" x14ac:dyDescent="0.25">
      <c r="A1699" t="str">
        <f>"15/06/2016"</f>
        <v>15/06/2016</v>
      </c>
      <c r="B1699" t="str">
        <f>"8.3596"</f>
        <v>8.3596</v>
      </c>
      <c r="C1699" t="str">
        <f>"8.3602"</f>
        <v>8.3602</v>
      </c>
    </row>
    <row r="1700" spans="1:3" x14ac:dyDescent="0.25">
      <c r="A1700" t="str">
        <f>"16/06/2016"</f>
        <v>16/06/2016</v>
      </c>
      <c r="B1700" t="str">
        <f>"8.4017"</f>
        <v>8.4017</v>
      </c>
      <c r="C1700" t="str">
        <f>"8.4024"</f>
        <v>8.4024</v>
      </c>
    </row>
    <row r="1701" spans="1:3" x14ac:dyDescent="0.25">
      <c r="A1701" t="str">
        <f>"17/06/2016"</f>
        <v>17/06/2016</v>
      </c>
      <c r="B1701" t="str">
        <f>"8.3847"</f>
        <v>8.3847</v>
      </c>
      <c r="C1701" t="str">
        <f>"8.3855"</f>
        <v>8.3855</v>
      </c>
    </row>
    <row r="1702" spans="1:3" x14ac:dyDescent="0.25">
      <c r="A1702" t="str">
        <f>"20/06/2016"</f>
        <v>20/06/2016</v>
      </c>
      <c r="B1702" t="str">
        <f>"8.2741"</f>
        <v>8.2741</v>
      </c>
      <c r="C1702" t="str">
        <f>"8.2748"</f>
        <v>8.2748</v>
      </c>
    </row>
    <row r="1703" spans="1:3" x14ac:dyDescent="0.25">
      <c r="A1703" t="str">
        <f>"21/06/2016"</f>
        <v>21/06/2016</v>
      </c>
      <c r="B1703" t="str">
        <f>"8.2882"</f>
        <v>8.2882</v>
      </c>
      <c r="C1703" t="str">
        <f>"8.2889"</f>
        <v>8.2889</v>
      </c>
    </row>
    <row r="1704" spans="1:3" x14ac:dyDescent="0.25">
      <c r="A1704" t="str">
        <f>"22/06/2016"</f>
        <v>22/06/2016</v>
      </c>
      <c r="B1704" t="str">
        <f>"8.2991"</f>
        <v>8.2991</v>
      </c>
      <c r="C1704" t="str">
        <f>"8.2996"</f>
        <v>8.2996</v>
      </c>
    </row>
    <row r="1705" spans="1:3" x14ac:dyDescent="0.25">
      <c r="A1705" t="str">
        <f>"23/06/2016"</f>
        <v>23/06/2016</v>
      </c>
      <c r="B1705" t="str">
        <f>"8.1773"</f>
        <v>8.1773</v>
      </c>
      <c r="C1705" t="str">
        <f>"8.1779"</f>
        <v>8.1779</v>
      </c>
    </row>
    <row r="1706" spans="1:3" x14ac:dyDescent="0.25">
      <c r="A1706" t="str">
        <f>"24/06/2016"</f>
        <v>24/06/2016</v>
      </c>
      <c r="B1706" t="str">
        <f>"8.5627"</f>
        <v>8.5627</v>
      </c>
      <c r="C1706" t="str">
        <f>"8.5634"</f>
        <v>8.5634</v>
      </c>
    </row>
    <row r="1707" spans="1:3" x14ac:dyDescent="0.25">
      <c r="A1707" t="str">
        <f>"27/06/2016"</f>
        <v>27/06/2016</v>
      </c>
      <c r="B1707" t="str">
        <f>"8.5491"</f>
        <v>8.5491</v>
      </c>
      <c r="C1707" t="str">
        <f>"8.55"</f>
        <v>8.55</v>
      </c>
    </row>
    <row r="1708" spans="1:3" x14ac:dyDescent="0.25">
      <c r="A1708" t="str">
        <f>"28/06/2016"</f>
        <v>28/06/2016</v>
      </c>
      <c r="B1708" t="str">
        <f>"8.4806"</f>
        <v>8.4806</v>
      </c>
      <c r="C1708" t="str">
        <f>"8.4813"</f>
        <v>8.4813</v>
      </c>
    </row>
    <row r="1709" spans="1:3" x14ac:dyDescent="0.25">
      <c r="A1709" t="str">
        <f>"29/06/2016"</f>
        <v>29/06/2016</v>
      </c>
      <c r="B1709" t="str">
        <f>"8.4328"</f>
        <v>8.4328</v>
      </c>
      <c r="C1709" t="str">
        <f>"8.4335"</f>
        <v>8.4335</v>
      </c>
    </row>
    <row r="1710" spans="1:3" x14ac:dyDescent="0.25">
      <c r="A1710" t="str">
        <f>"30/06/2016"</f>
        <v>30/06/2016</v>
      </c>
      <c r="B1710" t="str">
        <f>"8.3711"</f>
        <v>8.3711</v>
      </c>
      <c r="C1710" t="str">
        <f>"8.3716"</f>
        <v>8.3716</v>
      </c>
    </row>
    <row r="1711" spans="1:3" x14ac:dyDescent="0.25">
      <c r="A1711" t="str">
        <f>"01/07/2016"</f>
        <v>01/07/2016</v>
      </c>
      <c r="B1711" t="str">
        <f>"8.3633"</f>
        <v>8.3633</v>
      </c>
      <c r="C1711" t="str">
        <f>"8.3638"</f>
        <v>8.3638</v>
      </c>
    </row>
    <row r="1712" spans="1:3" x14ac:dyDescent="0.25">
      <c r="A1712" t="str">
        <f>"04/07/2016"</f>
        <v>04/07/2016</v>
      </c>
      <c r="B1712" t="str">
        <f>"8.3492"</f>
        <v>8.3492</v>
      </c>
      <c r="C1712" t="str">
        <f>"8.35"</f>
        <v>8.35</v>
      </c>
    </row>
    <row r="1713" spans="1:3" x14ac:dyDescent="0.25">
      <c r="A1713" t="str">
        <f>"05/07/2016"</f>
        <v>05/07/2016</v>
      </c>
      <c r="B1713" t="str">
        <f>"8.338"</f>
        <v>8.338</v>
      </c>
      <c r="C1713" t="str">
        <f>"8.3381"</f>
        <v>8.3381</v>
      </c>
    </row>
    <row r="1714" spans="1:3" x14ac:dyDescent="0.25">
      <c r="A1714" t="str">
        <f>"07/07/2016"</f>
        <v>07/07/2016</v>
      </c>
      <c r="B1714" t="str">
        <f>"8.4684"</f>
        <v>8.4684</v>
      </c>
      <c r="C1714" t="str">
        <f>"8.4686"</f>
        <v>8.4686</v>
      </c>
    </row>
    <row r="1715" spans="1:3" x14ac:dyDescent="0.25">
      <c r="A1715" t="str">
        <f>"08/07/2016"</f>
        <v>08/07/2016</v>
      </c>
      <c r="B1715" t="str">
        <f>"8.4956"</f>
        <v>8.4956</v>
      </c>
      <c r="C1715" t="str">
        <f>"8.4958"</f>
        <v>8.4958</v>
      </c>
    </row>
    <row r="1716" spans="1:3" x14ac:dyDescent="0.25">
      <c r="A1716" t="str">
        <f>"11/07/2016"</f>
        <v>11/07/2016</v>
      </c>
      <c r="B1716" t="str">
        <f>"8.5394"</f>
        <v>8.5394</v>
      </c>
      <c r="C1716" t="str">
        <f>"8.5396"</f>
        <v>8.5396</v>
      </c>
    </row>
    <row r="1717" spans="1:3" x14ac:dyDescent="0.25">
      <c r="A1717" t="str">
        <f>"12/07/2016"</f>
        <v>12/07/2016</v>
      </c>
      <c r="B1717" t="str">
        <f>"8.4286"</f>
        <v>8.4286</v>
      </c>
      <c r="C1717" t="str">
        <f>"8.4289"</f>
        <v>8.4289</v>
      </c>
    </row>
    <row r="1718" spans="1:3" x14ac:dyDescent="0.25">
      <c r="A1718" t="str">
        <f>"13/07/2016"</f>
        <v>13/07/2016</v>
      </c>
      <c r="B1718" t="str">
        <f>"8.4069"</f>
        <v>8.4069</v>
      </c>
      <c r="C1718" t="str">
        <f>"8.4072"</f>
        <v>8.4072</v>
      </c>
    </row>
    <row r="1719" spans="1:3" x14ac:dyDescent="0.25">
      <c r="A1719" t="str">
        <f>"14/07/2016"</f>
        <v>14/07/2016</v>
      </c>
      <c r="B1719" t="str">
        <f>"8.3669"</f>
        <v>8.3669</v>
      </c>
      <c r="C1719" t="str">
        <f>"8.367"</f>
        <v>8.367</v>
      </c>
    </row>
    <row r="1720" spans="1:3" x14ac:dyDescent="0.25">
      <c r="A1720" t="str">
        <f>"15/07/2016"</f>
        <v>15/07/2016</v>
      </c>
      <c r="B1720" t="str">
        <f>"8.4136"</f>
        <v>8.4136</v>
      </c>
      <c r="C1720" t="str">
        <f>"8.4137"</f>
        <v>8.4137</v>
      </c>
    </row>
    <row r="1721" spans="1:3" x14ac:dyDescent="0.25">
      <c r="A1721" t="str">
        <f>"18/07/2016"</f>
        <v>18/07/2016</v>
      </c>
      <c r="B1721" t="str">
        <f>"8.4655"</f>
        <v>8.4655</v>
      </c>
      <c r="C1721" t="str">
        <f>"8.4655"</f>
        <v>8.4655</v>
      </c>
    </row>
    <row r="1722" spans="1:3" x14ac:dyDescent="0.25">
      <c r="A1722" t="str">
        <f>"19/07/2016"</f>
        <v>19/07/2016</v>
      </c>
      <c r="B1722" t="str">
        <f>"8.4586"</f>
        <v>8.4586</v>
      </c>
      <c r="C1722" t="str">
        <f>"8.4592"</f>
        <v>8.4592</v>
      </c>
    </row>
    <row r="1723" spans="1:3" x14ac:dyDescent="0.25">
      <c r="A1723" t="str">
        <f>"20/07/2016"</f>
        <v>20/07/2016</v>
      </c>
      <c r="B1723" t="str">
        <f>"8.4962"</f>
        <v>8.4962</v>
      </c>
      <c r="C1723" t="str">
        <f>"8.4962"</f>
        <v>8.4962</v>
      </c>
    </row>
    <row r="1724" spans="1:3" x14ac:dyDescent="0.25">
      <c r="A1724" t="str">
        <f>"21/07/2016"</f>
        <v>21/07/2016</v>
      </c>
      <c r="B1724" t="str">
        <f>"8.4898"</f>
        <v>8.4898</v>
      </c>
      <c r="C1724" t="str">
        <f>"8.4898"</f>
        <v>8.4898</v>
      </c>
    </row>
    <row r="1725" spans="1:3" x14ac:dyDescent="0.25">
      <c r="A1725" t="str">
        <f>"22/07/2016"</f>
        <v>22/07/2016</v>
      </c>
      <c r="B1725" t="str">
        <f>"8.5176"</f>
        <v>8.5176</v>
      </c>
      <c r="C1725" t="str">
        <f>"8.5175"</f>
        <v>8.5175</v>
      </c>
    </row>
    <row r="1726" spans="1:3" x14ac:dyDescent="0.25">
      <c r="A1726" t="str">
        <f>"25/07/2016"</f>
        <v>25/07/2016</v>
      </c>
      <c r="B1726" t="str">
        <f>"8.5796"</f>
        <v>8.5796</v>
      </c>
      <c r="C1726" t="str">
        <f>"8.5794"</f>
        <v>8.5794</v>
      </c>
    </row>
    <row r="1727" spans="1:3" x14ac:dyDescent="0.25">
      <c r="A1727" t="str">
        <f>"26/07/2016"</f>
        <v>26/07/2016</v>
      </c>
      <c r="B1727" t="str">
        <f>"8.5823"</f>
        <v>8.5823</v>
      </c>
      <c r="C1727" t="str">
        <f>"8.5818"</f>
        <v>8.5818</v>
      </c>
    </row>
    <row r="1728" spans="1:3" x14ac:dyDescent="0.25">
      <c r="A1728" t="str">
        <f>"27/07/2016"</f>
        <v>27/07/2016</v>
      </c>
      <c r="B1728" t="str">
        <f>"8.5877"</f>
        <v>8.5877</v>
      </c>
      <c r="C1728" t="str">
        <f>"8.5871"</f>
        <v>8.5871</v>
      </c>
    </row>
    <row r="1729" spans="1:3" x14ac:dyDescent="0.25">
      <c r="A1729" t="str">
        <f>"28/07/2016"</f>
        <v>28/07/2016</v>
      </c>
      <c r="B1729" t="str">
        <f>"8.5339"</f>
        <v>8.5339</v>
      </c>
      <c r="C1729" t="str">
        <f>"8.5336"</f>
        <v>8.5336</v>
      </c>
    </row>
    <row r="1730" spans="1:3" x14ac:dyDescent="0.25">
      <c r="A1730" t="str">
        <f>"29/07/2016"</f>
        <v>29/07/2016</v>
      </c>
      <c r="B1730" t="str">
        <f>"8.5552"</f>
        <v>8.5552</v>
      </c>
      <c r="C1730" t="str">
        <f>"8.5547"</f>
        <v>8.5547</v>
      </c>
    </row>
    <row r="1731" spans="1:3" x14ac:dyDescent="0.25">
      <c r="A1731" t="str">
        <f>"01/08/2016"</f>
        <v>01/08/2016</v>
      </c>
      <c r="B1731" t="str">
        <f>"8.4624"</f>
        <v>8.4624</v>
      </c>
      <c r="C1731" t="str">
        <f>"8.4618"</f>
        <v>8.4618</v>
      </c>
    </row>
    <row r="1732" spans="1:3" x14ac:dyDescent="0.25">
      <c r="A1732" t="str">
        <f>"02/08/2016"</f>
        <v>02/08/2016</v>
      </c>
      <c r="B1732" t="str">
        <f>"8.4526"</f>
        <v>8.4526</v>
      </c>
      <c r="C1732" t="str">
        <f>"8.4525"</f>
        <v>8.4525</v>
      </c>
    </row>
    <row r="1733" spans="1:3" x14ac:dyDescent="0.25">
      <c r="A1733" t="str">
        <f>"03/08/2016"</f>
        <v>03/08/2016</v>
      </c>
      <c r="B1733" t="str">
        <f>"8.435"</f>
        <v>8.435</v>
      </c>
      <c r="C1733" t="str">
        <f>"8.4348"</f>
        <v>8.4348</v>
      </c>
    </row>
    <row r="1734" spans="1:3" x14ac:dyDescent="0.25">
      <c r="A1734" t="str">
        <f>"04/08/2016"</f>
        <v>04/08/2016</v>
      </c>
      <c r="B1734" t="str">
        <f>"8.4587"</f>
        <v>8.4587</v>
      </c>
      <c r="C1734" t="str">
        <f>"8.4585"</f>
        <v>8.4585</v>
      </c>
    </row>
    <row r="1735" spans="1:3" x14ac:dyDescent="0.25">
      <c r="A1735" t="str">
        <f>"05/08/2016"</f>
        <v>05/08/2016</v>
      </c>
      <c r="B1735" t="str">
        <f>"8.4388"</f>
        <v>8.4388</v>
      </c>
      <c r="C1735" t="str">
        <f>"8.4389"</f>
        <v>8.4389</v>
      </c>
    </row>
    <row r="1736" spans="1:3" x14ac:dyDescent="0.25">
      <c r="A1736" t="str">
        <f>"08/08/2016"</f>
        <v>08/08/2016</v>
      </c>
      <c r="B1736" t="str">
        <f>"8.4827"</f>
        <v>8.4827</v>
      </c>
      <c r="C1736" t="str">
        <f>"8.4825"</f>
        <v>8.4825</v>
      </c>
    </row>
    <row r="1737" spans="1:3" x14ac:dyDescent="0.25">
      <c r="A1737" t="str">
        <f>"09/08/2016"</f>
        <v>09/08/2016</v>
      </c>
      <c r="B1737" t="str">
        <f>"8.4599"</f>
        <v>8.4599</v>
      </c>
      <c r="C1737" t="str">
        <f>"8.4596"</f>
        <v>8.4596</v>
      </c>
    </row>
    <row r="1738" spans="1:3" x14ac:dyDescent="0.25">
      <c r="A1738" t="str">
        <f>"10/08/2016"</f>
        <v>10/08/2016</v>
      </c>
      <c r="B1738" t="str">
        <f>"8.2944"</f>
        <v>8.2944</v>
      </c>
      <c r="C1738" t="str">
        <f>"8.2941"</f>
        <v>8.2941</v>
      </c>
    </row>
    <row r="1739" spans="1:3" x14ac:dyDescent="0.25">
      <c r="A1739" t="str">
        <f>"11/08/2016"</f>
        <v>11/08/2016</v>
      </c>
      <c r="B1739" t="str">
        <f>"8.277"</f>
        <v>8.277</v>
      </c>
      <c r="C1739" t="str">
        <f>"8.2768"</f>
        <v>8.2768</v>
      </c>
    </row>
    <row r="1740" spans="1:3" x14ac:dyDescent="0.25">
      <c r="A1740" t="str">
        <f>"12/08/2016"</f>
        <v>12/08/2016</v>
      </c>
      <c r="B1740" t="str">
        <f>"8.2409"</f>
        <v>8.2409</v>
      </c>
      <c r="C1740" t="str">
        <f>"8.2413"</f>
        <v>8.2413</v>
      </c>
    </row>
    <row r="1741" spans="1:3" x14ac:dyDescent="0.25">
      <c r="A1741" t="str">
        <f>"16/08/2016"</f>
        <v>16/08/2016</v>
      </c>
      <c r="B1741" t="str">
        <f>"8.1422"</f>
        <v>8.1422</v>
      </c>
      <c r="C1741" t="str">
        <f>"8.1419"</f>
        <v>8.1419</v>
      </c>
    </row>
    <row r="1742" spans="1:3" x14ac:dyDescent="0.25">
      <c r="A1742" t="str">
        <f>"18/08/2016"</f>
        <v>18/08/2016</v>
      </c>
      <c r="B1742" t="str">
        <f>"8.1638"</f>
        <v>8.1638</v>
      </c>
      <c r="C1742" t="str">
        <f>"8.1635"</f>
        <v>8.1635</v>
      </c>
    </row>
    <row r="1743" spans="1:3" x14ac:dyDescent="0.25">
      <c r="A1743" t="str">
        <f>"19/08/2016"</f>
        <v>19/08/2016</v>
      </c>
      <c r="B1743" t="str">
        <f>"8.2068"</f>
        <v>8.2068</v>
      </c>
      <c r="C1743" t="str">
        <f>"8.2065"</f>
        <v>8.2065</v>
      </c>
    </row>
    <row r="1744" spans="1:3" x14ac:dyDescent="0.25">
      <c r="A1744" t="str">
        <f>"22/08/2016"</f>
        <v>22/08/2016</v>
      </c>
      <c r="B1744" t="str">
        <f>"8.2609"</f>
        <v>8.2609</v>
      </c>
      <c r="C1744" t="str">
        <f>"8.261"</f>
        <v>8.261</v>
      </c>
    </row>
    <row r="1745" spans="1:3" x14ac:dyDescent="0.25">
      <c r="A1745" t="str">
        <f>"23/08/2016"</f>
        <v>23/08/2016</v>
      </c>
      <c r="B1745" t="str">
        <f>"8.2132"</f>
        <v>8.2132</v>
      </c>
      <c r="C1745" t="str">
        <f>"8.2136"</f>
        <v>8.2136</v>
      </c>
    </row>
    <row r="1746" spans="1:3" x14ac:dyDescent="0.25">
      <c r="A1746" t="str">
        <f>"24/08/2016"</f>
        <v>24/08/2016</v>
      </c>
      <c r="B1746" t="str">
        <f>"8.2186"</f>
        <v>8.2186</v>
      </c>
      <c r="C1746" t="str">
        <f>"8.219"</f>
        <v>8.219</v>
      </c>
    </row>
    <row r="1747" spans="1:3" x14ac:dyDescent="0.25">
      <c r="A1747" t="str">
        <f>"25/08/2016"</f>
        <v>25/08/2016</v>
      </c>
      <c r="B1747" t="str">
        <f>"8.2157"</f>
        <v>8.2157</v>
      </c>
      <c r="C1747" t="str">
        <f>"8.2152"</f>
        <v>8.2152</v>
      </c>
    </row>
    <row r="1748" spans="1:3" x14ac:dyDescent="0.25">
      <c r="A1748" t="str">
        <f>"26/08/2016"</f>
        <v>26/08/2016</v>
      </c>
      <c r="B1748" t="str">
        <f>"8.2079"</f>
        <v>8.2079</v>
      </c>
      <c r="C1748" t="str">
        <f>"8.2073"</f>
        <v>8.2073</v>
      </c>
    </row>
    <row r="1749" spans="1:3" x14ac:dyDescent="0.25">
      <c r="A1749" t="str">
        <f>"29/08/2016"</f>
        <v>29/08/2016</v>
      </c>
      <c r="B1749" t="str">
        <f>"8.3108"</f>
        <v>8.3108</v>
      </c>
      <c r="C1749" t="str">
        <f>"8.3104"</f>
        <v>8.3104</v>
      </c>
    </row>
    <row r="1750" spans="1:3" x14ac:dyDescent="0.25">
      <c r="A1750" t="str">
        <f>"30/08/2016"</f>
        <v>30/08/2016</v>
      </c>
      <c r="B1750" t="str">
        <f>"8.3095"</f>
        <v>8.3095</v>
      </c>
      <c r="C1750" t="str">
        <f>"8.309"</f>
        <v>8.309</v>
      </c>
    </row>
    <row r="1751" spans="1:3" x14ac:dyDescent="0.25">
      <c r="A1751" t="str">
        <f>"31/08/2016"</f>
        <v>31/08/2016</v>
      </c>
      <c r="B1751" t="str">
        <f>"8.3266"</f>
        <v>8.3266</v>
      </c>
      <c r="C1751" t="str">
        <f>"8.3262"</f>
        <v>8.3262</v>
      </c>
    </row>
    <row r="1752" spans="1:3" x14ac:dyDescent="0.25">
      <c r="A1752" t="str">
        <f>"01/09/2016"</f>
        <v>01/09/2016</v>
      </c>
      <c r="B1752" t="str">
        <f>"8.3375"</f>
        <v>8.3375</v>
      </c>
      <c r="C1752" t="str">
        <f>"8.3371"</f>
        <v>8.3371</v>
      </c>
    </row>
    <row r="1753" spans="1:3" x14ac:dyDescent="0.25">
      <c r="A1753" t="str">
        <f>"02/09/2016"</f>
        <v>02/09/2016</v>
      </c>
      <c r="B1753" t="str">
        <f>"8.3261"</f>
        <v>8.3261</v>
      </c>
      <c r="C1753" t="str">
        <f>"8.3258"</f>
        <v>8.3258</v>
      </c>
    </row>
    <row r="1754" spans="1:3" x14ac:dyDescent="0.25">
      <c r="A1754" t="str">
        <f>"06/09/2016"</f>
        <v>06/09/2016</v>
      </c>
      <c r="B1754" t="str">
        <f>"8.2472"</f>
        <v>8.2472</v>
      </c>
      <c r="C1754" t="str">
        <f>"8.2469"</f>
        <v>8.2469</v>
      </c>
    </row>
    <row r="1755" spans="1:3" x14ac:dyDescent="0.25">
      <c r="A1755" t="str">
        <f>"07/09/2016"</f>
        <v>07/09/2016</v>
      </c>
      <c r="B1755" t="str">
        <f>"8.1833"</f>
        <v>8.1833</v>
      </c>
      <c r="C1755" t="str">
        <f>"8.183"</f>
        <v>8.183</v>
      </c>
    </row>
    <row r="1756" spans="1:3" x14ac:dyDescent="0.25">
      <c r="A1756" t="str">
        <f>"08/09/2016"</f>
        <v>08/09/2016</v>
      </c>
      <c r="B1756" t="str">
        <f>"8.1728"</f>
        <v>8.1728</v>
      </c>
      <c r="C1756" t="str">
        <f>"8.1732"</f>
        <v>8.1732</v>
      </c>
    </row>
    <row r="1757" spans="1:3" x14ac:dyDescent="0.25">
      <c r="A1757" t="str">
        <f>"09/09/2016"</f>
        <v>09/09/2016</v>
      </c>
      <c r="B1757" t="str">
        <f>"8.1783"</f>
        <v>8.1783</v>
      </c>
      <c r="C1757" t="str">
        <f>"8.1786"</f>
        <v>8.1786</v>
      </c>
    </row>
    <row r="1758" spans="1:3" x14ac:dyDescent="0.25">
      <c r="A1758" t="str">
        <f>"12/09/2016"</f>
        <v>12/09/2016</v>
      </c>
      <c r="B1758" t="str">
        <f>"8.2617"</f>
        <v>8.2617</v>
      </c>
      <c r="C1758" t="str">
        <f>"8.2618"</f>
        <v>8.2618</v>
      </c>
    </row>
    <row r="1759" spans="1:3" x14ac:dyDescent="0.25">
      <c r="A1759" t="str">
        <f>"14/09/2016"</f>
        <v>14/09/2016</v>
      </c>
      <c r="B1759" t="str">
        <f>"8.271"</f>
        <v>8.271</v>
      </c>
      <c r="C1759" t="str">
        <f>"8.2714"</f>
        <v>8.2714</v>
      </c>
    </row>
    <row r="1760" spans="1:3" x14ac:dyDescent="0.25">
      <c r="A1760" t="str">
        <f>"15/09/2016"</f>
        <v>15/09/2016</v>
      </c>
      <c r="B1760" t="str">
        <f>"8.2495"</f>
        <v>8.2495</v>
      </c>
      <c r="C1760" t="str">
        <f>"8.2498"</f>
        <v>8.2498</v>
      </c>
    </row>
    <row r="1761" spans="1:3" x14ac:dyDescent="0.25">
      <c r="A1761" t="str">
        <f>"16/09/2016"</f>
        <v>16/09/2016</v>
      </c>
      <c r="B1761" t="str">
        <f>"8.2589"</f>
        <v>8.2589</v>
      </c>
      <c r="C1761" t="str">
        <f>"8.2584"</f>
        <v>8.2584</v>
      </c>
    </row>
    <row r="1762" spans="1:3" x14ac:dyDescent="0.25">
      <c r="A1762" t="str">
        <f>"19/09/2016"</f>
        <v>19/09/2016</v>
      </c>
      <c r="B1762" t="str">
        <f>"8.2905"</f>
        <v>8.2905</v>
      </c>
      <c r="C1762" t="str">
        <f>"8.29"</f>
        <v>8.29</v>
      </c>
    </row>
    <row r="1763" spans="1:3" x14ac:dyDescent="0.25">
      <c r="A1763" t="str">
        <f>"20/09/2016"</f>
        <v>20/09/2016</v>
      </c>
      <c r="B1763" t="str">
        <f>"8.2979"</f>
        <v>8.2979</v>
      </c>
      <c r="C1763" t="str">
        <f>"8.2974"</f>
        <v>8.2974</v>
      </c>
    </row>
    <row r="1764" spans="1:3" x14ac:dyDescent="0.25">
      <c r="A1764" t="str">
        <f>"21/09/2016"</f>
        <v>21/09/2016</v>
      </c>
      <c r="B1764" t="str">
        <f>"8.29"</f>
        <v>8.29</v>
      </c>
      <c r="C1764" t="str">
        <f>"8.2894"</f>
        <v>8.2894</v>
      </c>
    </row>
    <row r="1765" spans="1:3" x14ac:dyDescent="0.25">
      <c r="A1765" t="str">
        <f>"22/09/2016"</f>
        <v>22/09/2016</v>
      </c>
      <c r="B1765" t="str">
        <f>"8.1194"</f>
        <v>8.1194</v>
      </c>
      <c r="C1765" t="str">
        <f>"8.1187"</f>
        <v>8.1187</v>
      </c>
    </row>
    <row r="1766" spans="1:3" x14ac:dyDescent="0.25">
      <c r="A1766" t="str">
        <f>"23/09/2016"</f>
        <v>23/09/2016</v>
      </c>
      <c r="B1766" t="str">
        <f>"8.1176"</f>
        <v>8.1176</v>
      </c>
      <c r="C1766" t="str">
        <f>"8.1172"</f>
        <v>8.1172</v>
      </c>
    </row>
    <row r="1767" spans="1:3" x14ac:dyDescent="0.25">
      <c r="A1767" t="str">
        <f>"26/09/2016"</f>
        <v>26/09/2016</v>
      </c>
      <c r="B1767" t="str">
        <f>"8.1169"</f>
        <v>8.1169</v>
      </c>
      <c r="C1767" t="str">
        <f>"8.1162"</f>
        <v>8.1162</v>
      </c>
    </row>
    <row r="1768" spans="1:3" x14ac:dyDescent="0.25">
      <c r="A1768" t="str">
        <f>"27/09/2016"</f>
        <v>27/09/2016</v>
      </c>
      <c r="B1768" t="str">
        <f>"8.1083"</f>
        <v>8.1083</v>
      </c>
      <c r="C1768" t="str">
        <f>"8.1074"</f>
        <v>8.1074</v>
      </c>
    </row>
    <row r="1769" spans="1:3" x14ac:dyDescent="0.25">
      <c r="A1769" t="str">
        <f>"28/09/2016"</f>
        <v>28/09/2016</v>
      </c>
      <c r="B1769" t="str">
        <f>"8.1126"</f>
        <v>8.1126</v>
      </c>
      <c r="C1769" t="str">
        <f>"8.1122"</f>
        <v>8.1122</v>
      </c>
    </row>
    <row r="1770" spans="1:3" x14ac:dyDescent="0.25">
      <c r="A1770" t="str">
        <f>"29/09/2016"</f>
        <v>29/09/2016</v>
      </c>
      <c r="B1770" t="str">
        <f>"8.0288"</f>
        <v>8.0288</v>
      </c>
      <c r="C1770" t="str">
        <f>"8.029"</f>
        <v>8.029</v>
      </c>
    </row>
    <row r="1771" spans="1:3" x14ac:dyDescent="0.25">
      <c r="A1771" t="str">
        <f>"30/09/2016"</f>
        <v>30/09/2016</v>
      </c>
      <c r="B1771" t="str">
        <f>"8.0375"</f>
        <v>8.0375</v>
      </c>
      <c r="C1771" t="str">
        <f>"8.037"</f>
        <v>8.037</v>
      </c>
    </row>
    <row r="1772" spans="1:3" x14ac:dyDescent="0.25">
      <c r="A1772" t="str">
        <f>"03/10/2016"</f>
        <v>03/10/2016</v>
      </c>
      <c r="B1772" t="str">
        <f>"7.9704"</f>
        <v>7.9704</v>
      </c>
      <c r="C1772" t="str">
        <f>"7.9698"</f>
        <v>7.9698</v>
      </c>
    </row>
    <row r="1773" spans="1:3" x14ac:dyDescent="0.25">
      <c r="A1773" t="str">
        <f>"04/10/2016"</f>
        <v>04/10/2016</v>
      </c>
      <c r="B1773" t="str">
        <f>"7.9866"</f>
        <v>7.9866</v>
      </c>
      <c r="C1773" t="str">
        <f>"7.986"</f>
        <v>7.986</v>
      </c>
    </row>
    <row r="1774" spans="1:3" x14ac:dyDescent="0.25">
      <c r="A1774" t="str">
        <f>"05/10/2016"</f>
        <v>05/10/2016</v>
      </c>
      <c r="B1774" t="str">
        <f>"8.021"</f>
        <v>8.021</v>
      </c>
      <c r="C1774" t="str">
        <f>"8.0205"</f>
        <v>8.0205</v>
      </c>
    </row>
    <row r="1775" spans="1:3" x14ac:dyDescent="0.25">
      <c r="A1775" t="str">
        <f>"06/10/2016"</f>
        <v>06/10/2016</v>
      </c>
      <c r="B1775" t="str">
        <f>"8.0526"</f>
        <v>8.0526</v>
      </c>
      <c r="C1775" t="str">
        <f>"8.0523"</f>
        <v>8.0523</v>
      </c>
    </row>
    <row r="1776" spans="1:3" x14ac:dyDescent="0.25">
      <c r="A1776" t="str">
        <f>"07/10/2016"</f>
        <v>07/10/2016</v>
      </c>
      <c r="B1776" t="str">
        <f>"8.0796"</f>
        <v>8.0796</v>
      </c>
      <c r="C1776" t="str">
        <f>"8.0794"</f>
        <v>8.0794</v>
      </c>
    </row>
    <row r="1777" spans="1:3" x14ac:dyDescent="0.25">
      <c r="A1777" t="str">
        <f>"10/10/2016"</f>
        <v>10/10/2016</v>
      </c>
      <c r="B1777" t="str">
        <f>"8.1147"</f>
        <v>8.1147</v>
      </c>
      <c r="C1777" t="str">
        <f>"8.1144"</f>
        <v>8.1144</v>
      </c>
    </row>
    <row r="1778" spans="1:3" x14ac:dyDescent="0.25">
      <c r="A1778" t="str">
        <f>"13/10/2016"</f>
        <v>13/10/2016</v>
      </c>
      <c r="B1778" t="str">
        <f>"8.2308"</f>
        <v>8.2308</v>
      </c>
      <c r="C1778" t="str">
        <f>"8.2304"</f>
        <v>8.2304</v>
      </c>
    </row>
    <row r="1779" spans="1:3" x14ac:dyDescent="0.25">
      <c r="A1779" t="str">
        <f>"14/10/2016"</f>
        <v>14/10/2016</v>
      </c>
      <c r="B1779" t="str">
        <f>"8.1936"</f>
        <v>8.1936</v>
      </c>
      <c r="C1779" t="str">
        <f>"8.1931"</f>
        <v>8.1931</v>
      </c>
    </row>
    <row r="1780" spans="1:3" x14ac:dyDescent="0.25">
      <c r="A1780" t="str">
        <f>"17/10/2016"</f>
        <v>17/10/2016</v>
      </c>
      <c r="B1780" t="str">
        <f>"8.2097"</f>
        <v>8.2097</v>
      </c>
      <c r="C1780" t="str">
        <f>"8.2093"</f>
        <v>8.2093</v>
      </c>
    </row>
    <row r="1781" spans="1:3" x14ac:dyDescent="0.25">
      <c r="A1781" t="str">
        <f>"18/10/2016"</f>
        <v>18/10/2016</v>
      </c>
      <c r="B1781" t="str">
        <f>"8.1616"</f>
        <v>8.1616</v>
      </c>
      <c r="C1781" t="str">
        <f>"8.1619"</f>
        <v>8.1619</v>
      </c>
    </row>
    <row r="1782" spans="1:3" x14ac:dyDescent="0.25">
      <c r="A1782" t="str">
        <f>"19/10/2016"</f>
        <v>19/10/2016</v>
      </c>
      <c r="B1782" t="str">
        <f>"8.165"</f>
        <v>8.165</v>
      </c>
      <c r="C1782" t="str">
        <f>"8.1647"</f>
        <v>8.1647</v>
      </c>
    </row>
    <row r="1783" spans="1:3" x14ac:dyDescent="0.25">
      <c r="A1783" t="str">
        <f>"20/10/2016"</f>
        <v>20/10/2016</v>
      </c>
      <c r="B1783" t="str">
        <f>"8.1673"</f>
        <v>8.1673</v>
      </c>
      <c r="C1783" t="str">
        <f>"8.167"</f>
        <v>8.167</v>
      </c>
    </row>
    <row r="1784" spans="1:3" x14ac:dyDescent="0.25">
      <c r="A1784" t="str">
        <f>"21/10/2016"</f>
        <v>21/10/2016</v>
      </c>
      <c r="B1784" t="str">
        <f>"8.2277"</f>
        <v>8.2277</v>
      </c>
      <c r="C1784" t="str">
        <f>"8.2275"</f>
        <v>8.2275</v>
      </c>
    </row>
    <row r="1785" spans="1:3" x14ac:dyDescent="0.25">
      <c r="A1785" t="str">
        <f>"24/10/2016"</f>
        <v>24/10/2016</v>
      </c>
      <c r="B1785" t="str">
        <f>"8.2528"</f>
        <v>8.2528</v>
      </c>
      <c r="C1785" t="str">
        <f>"8.2525"</f>
        <v>8.2525</v>
      </c>
    </row>
    <row r="1786" spans="1:3" x14ac:dyDescent="0.25">
      <c r="A1786" t="str">
        <f>"25/10/2016"</f>
        <v>25/10/2016</v>
      </c>
      <c r="B1786" t="str">
        <f>"8.2612"</f>
        <v>8.2612</v>
      </c>
      <c r="C1786" t="str">
        <f>"8.2609"</f>
        <v>8.2609</v>
      </c>
    </row>
    <row r="1787" spans="1:3" x14ac:dyDescent="0.25">
      <c r="A1787" t="str">
        <f>"26/10/2016"</f>
        <v>26/10/2016</v>
      </c>
      <c r="B1787" t="str">
        <f>"8.281"</f>
        <v>8.281</v>
      </c>
      <c r="C1787" t="str">
        <f>"8.2808"</f>
        <v>8.2808</v>
      </c>
    </row>
    <row r="1788" spans="1:3" x14ac:dyDescent="0.25">
      <c r="A1788" t="str">
        <f>"27/10/2016"</f>
        <v>27/10/2016</v>
      </c>
      <c r="B1788" t="str">
        <f>"8.281"</f>
        <v>8.281</v>
      </c>
      <c r="C1788" t="str">
        <f>"8.2812"</f>
        <v>8.2812</v>
      </c>
    </row>
    <row r="1789" spans="1:3" x14ac:dyDescent="0.25">
      <c r="A1789" t="str">
        <f>"28/10/2016"</f>
        <v>28/10/2016</v>
      </c>
      <c r="B1789" t="str">
        <f>"8.2763"</f>
        <v>8.2763</v>
      </c>
      <c r="C1789" t="str">
        <f>"8.2761"</f>
        <v>8.2761</v>
      </c>
    </row>
    <row r="1790" spans="1:3" x14ac:dyDescent="0.25">
      <c r="A1790" t="str">
        <f>"01/11/2016"</f>
        <v>01/11/2016</v>
      </c>
      <c r="B1790" t="str">
        <f>"8.27"</f>
        <v>8.27</v>
      </c>
      <c r="C1790" t="str">
        <f>"8.2702"</f>
        <v>8.2702</v>
      </c>
    </row>
    <row r="1791" spans="1:3" x14ac:dyDescent="0.25">
      <c r="A1791" t="str">
        <f>"02/11/2016"</f>
        <v>02/11/2016</v>
      </c>
      <c r="B1791" t="str">
        <f>"8.209"</f>
        <v>8.209</v>
      </c>
      <c r="C1791" t="str">
        <f>"8.2091"</f>
        <v>8.2091</v>
      </c>
    </row>
    <row r="1792" spans="1:3" x14ac:dyDescent="0.25">
      <c r="A1792" t="str">
        <f>"03/11/2016"</f>
        <v>03/11/2016</v>
      </c>
      <c r="B1792" t="str">
        <f>"8.1796"</f>
        <v>8.1796</v>
      </c>
      <c r="C1792" t="str">
        <f>"8.18"</f>
        <v>8.18</v>
      </c>
    </row>
    <row r="1793" spans="1:3" x14ac:dyDescent="0.25">
      <c r="A1793" t="str">
        <f>"04/11/2016"</f>
        <v>04/11/2016</v>
      </c>
      <c r="B1793" t="str">
        <f>"8.1905"</f>
        <v>8.1905</v>
      </c>
      <c r="C1793" t="str">
        <f>"8.1902"</f>
        <v>8.1902</v>
      </c>
    </row>
    <row r="1794" spans="1:3" x14ac:dyDescent="0.25">
      <c r="A1794" t="str">
        <f>"07/11/2016"</f>
        <v>07/11/2016</v>
      </c>
      <c r="B1794" t="str">
        <f>"8.2254"</f>
        <v>8.2254</v>
      </c>
      <c r="C1794" t="str">
        <f>"8.2251"</f>
        <v>8.2251</v>
      </c>
    </row>
    <row r="1795" spans="1:3" x14ac:dyDescent="0.25">
      <c r="A1795" t="str">
        <f>"08/11/2016"</f>
        <v>08/11/2016</v>
      </c>
      <c r="B1795" t="str">
        <f>"8.241"</f>
        <v>8.241</v>
      </c>
      <c r="C1795" t="str">
        <f>"8.2408"</f>
        <v>8.2408</v>
      </c>
    </row>
    <row r="1796" spans="1:3" x14ac:dyDescent="0.25">
      <c r="A1796" t="str">
        <f>"09/11/2016"</f>
        <v>09/11/2016</v>
      </c>
      <c r="B1796" t="str">
        <f>"8.2056"</f>
        <v>8.2056</v>
      </c>
      <c r="C1796" t="str">
        <f>"8.2054"</f>
        <v>8.2054</v>
      </c>
    </row>
    <row r="1797" spans="1:3" x14ac:dyDescent="0.25">
      <c r="A1797" t="str">
        <f>"10/11/2016"</f>
        <v>10/11/2016</v>
      </c>
      <c r="B1797" t="str">
        <f>"8.2955"</f>
        <v>8.2955</v>
      </c>
      <c r="C1797" t="str">
        <f>"8.2953"</f>
        <v>8.2953</v>
      </c>
    </row>
    <row r="1798" spans="1:3" x14ac:dyDescent="0.25">
      <c r="A1798" t="str">
        <f>"11/11/2016"</f>
        <v>11/11/2016</v>
      </c>
      <c r="B1798" t="str">
        <f>"8.3729"</f>
        <v>8.3729</v>
      </c>
      <c r="C1798" t="str">
        <f>"8.3728"</f>
        <v>8.3728</v>
      </c>
    </row>
    <row r="1799" spans="1:3" x14ac:dyDescent="0.25">
      <c r="A1799" t="str">
        <f>"15/11/2016"</f>
        <v>15/11/2016</v>
      </c>
      <c r="B1799" t="str">
        <f>"8.4034"</f>
        <v>8.4034</v>
      </c>
      <c r="C1799" t="str">
        <f>"8.4032"</f>
        <v>8.4032</v>
      </c>
    </row>
    <row r="1800" spans="1:3" x14ac:dyDescent="0.25">
      <c r="A1800" t="str">
        <f>"16/11/2016"</f>
        <v>16/11/2016</v>
      </c>
      <c r="B1800" t="str">
        <f>"8.469"</f>
        <v>8.469</v>
      </c>
      <c r="C1800" t="str">
        <f>"8.4689"</f>
        <v>8.4689</v>
      </c>
    </row>
    <row r="1801" spans="1:3" x14ac:dyDescent="0.25">
      <c r="A1801" t="str">
        <f>"17/11/2016"</f>
        <v>17/11/2016</v>
      </c>
      <c r="B1801" t="str">
        <f>"8.4583"</f>
        <v>8.4583</v>
      </c>
      <c r="C1801" t="str">
        <f>"8.4582"</f>
        <v>8.4582</v>
      </c>
    </row>
    <row r="1802" spans="1:3" x14ac:dyDescent="0.25">
      <c r="A1802" t="str">
        <f>"18/11/2016"</f>
        <v>18/11/2016</v>
      </c>
      <c r="B1802" t="str">
        <f>"8.5564"</f>
        <v>8.5564</v>
      </c>
      <c r="C1802" t="str">
        <f>"8.5563"</f>
        <v>8.5563</v>
      </c>
    </row>
    <row r="1803" spans="1:3" x14ac:dyDescent="0.25">
      <c r="A1803" t="str">
        <f>"21/11/2016"</f>
        <v>21/11/2016</v>
      </c>
      <c r="B1803" t="str">
        <f>"8.5943"</f>
        <v>8.5943</v>
      </c>
      <c r="C1803" t="str">
        <f>"8.5941"</f>
        <v>8.5941</v>
      </c>
    </row>
    <row r="1804" spans="1:3" x14ac:dyDescent="0.25">
      <c r="A1804" t="str">
        <f>"22/11/2016"</f>
        <v>22/11/2016</v>
      </c>
      <c r="B1804" t="str">
        <f>"8.5224"</f>
        <v>8.5224</v>
      </c>
      <c r="C1804" t="str">
        <f>"8.522"</f>
        <v>8.522</v>
      </c>
    </row>
    <row r="1805" spans="1:3" x14ac:dyDescent="0.25">
      <c r="A1805" t="str">
        <f>"23/11/2016"</f>
        <v>23/11/2016</v>
      </c>
      <c r="B1805" t="str">
        <f>"8.5188"</f>
        <v>8.5188</v>
      </c>
      <c r="C1805" t="str">
        <f>"8.5189"</f>
        <v>8.5189</v>
      </c>
    </row>
    <row r="1806" spans="1:3" x14ac:dyDescent="0.25">
      <c r="A1806" t="str">
        <f>"24/11/2016"</f>
        <v>24/11/2016</v>
      </c>
      <c r="B1806" t="str">
        <f>"8.5902"</f>
        <v>8.5902</v>
      </c>
      <c r="C1806" t="str">
        <f>"8.5895"</f>
        <v>8.5895</v>
      </c>
    </row>
    <row r="1807" spans="1:3" x14ac:dyDescent="0.25">
      <c r="A1807" t="str">
        <f>"25/11/2016"</f>
        <v>25/11/2016</v>
      </c>
      <c r="B1807" t="str">
        <f>"8.5701"</f>
        <v>8.5701</v>
      </c>
      <c r="C1807" t="str">
        <f>"8.5695"</f>
        <v>8.5695</v>
      </c>
    </row>
    <row r="1808" spans="1:3" x14ac:dyDescent="0.25">
      <c r="A1808" t="str">
        <f>"28/11/2016"</f>
        <v>28/11/2016</v>
      </c>
      <c r="B1808" t="str">
        <f>"8.5878"</f>
        <v>8.5878</v>
      </c>
      <c r="C1808" t="str">
        <f>"8.5871"</f>
        <v>8.5871</v>
      </c>
    </row>
    <row r="1809" spans="1:3" x14ac:dyDescent="0.25">
      <c r="A1809" t="str">
        <f>"29/11/2016"</f>
        <v>29/11/2016</v>
      </c>
      <c r="B1809" t="str">
        <f>"8.565"</f>
        <v>8.565</v>
      </c>
      <c r="C1809" t="str">
        <f>"8.5645"</f>
        <v>8.5645</v>
      </c>
    </row>
    <row r="1810" spans="1:3" x14ac:dyDescent="0.25">
      <c r="A1810" t="str">
        <f>"30/11/2016"</f>
        <v>30/11/2016</v>
      </c>
      <c r="B1810" t="str">
        <f>"8.4802"</f>
        <v>8.4802</v>
      </c>
      <c r="C1810" t="str">
        <f>"8.4788"</f>
        <v>8.4788</v>
      </c>
    </row>
    <row r="1811" spans="1:3" x14ac:dyDescent="0.25">
      <c r="A1811" t="str">
        <f>"01/12/2016"</f>
        <v>01/12/2016</v>
      </c>
      <c r="B1811" t="str">
        <f>"8.5108"</f>
        <v>8.5108</v>
      </c>
      <c r="C1811" t="str">
        <f>"8.5093"</f>
        <v>8.5093</v>
      </c>
    </row>
    <row r="1812" spans="1:3" x14ac:dyDescent="0.25">
      <c r="A1812" t="str">
        <f>"02/12/2016"</f>
        <v>02/12/2016</v>
      </c>
      <c r="B1812" t="str">
        <f>"8.4073"</f>
        <v>8.4073</v>
      </c>
      <c r="C1812" t="str">
        <f>"8.4057"</f>
        <v>8.4057</v>
      </c>
    </row>
    <row r="1813" spans="1:3" x14ac:dyDescent="0.25">
      <c r="A1813" t="str">
        <f>"05/12/2016"</f>
        <v>05/12/2016</v>
      </c>
      <c r="B1813" t="str">
        <f>"8.3928"</f>
        <v>8.3928</v>
      </c>
      <c r="C1813" t="str">
        <f>"8.3911"</f>
        <v>8.3911</v>
      </c>
    </row>
    <row r="1814" spans="1:3" x14ac:dyDescent="0.25">
      <c r="A1814" t="str">
        <f>"06/12/2016"</f>
        <v>06/12/2016</v>
      </c>
      <c r="B1814" t="str">
        <f>"8.3599"</f>
        <v>8.3599</v>
      </c>
      <c r="C1814" t="str">
        <f>"8.3583"</f>
        <v>8.3583</v>
      </c>
    </row>
    <row r="1815" spans="1:3" x14ac:dyDescent="0.25">
      <c r="A1815" t="str">
        <f>"07/12/2016"</f>
        <v>07/12/2016</v>
      </c>
      <c r="B1815" t="str">
        <f>"8.3941"</f>
        <v>8.3941</v>
      </c>
      <c r="C1815" t="str">
        <f>"8.3924"</f>
        <v>8.3924</v>
      </c>
    </row>
    <row r="1816" spans="1:3" x14ac:dyDescent="0.25">
      <c r="A1816" t="str">
        <f>"08/12/2016"</f>
        <v>08/12/2016</v>
      </c>
      <c r="B1816" t="str">
        <f>"8.3767"</f>
        <v>8.3767</v>
      </c>
      <c r="C1816" t="str">
        <f>"8.3753"</f>
        <v>8.3753</v>
      </c>
    </row>
    <row r="1817" spans="1:3" x14ac:dyDescent="0.25">
      <c r="A1817" t="str">
        <f>"09/12/2016"</f>
        <v>09/12/2016</v>
      </c>
      <c r="B1817" t="str">
        <f>"8.4615"</f>
        <v>8.4615</v>
      </c>
      <c r="C1817" t="str">
        <f>"8.4598"</f>
        <v>8.4598</v>
      </c>
    </row>
    <row r="1818" spans="1:3" x14ac:dyDescent="0.25">
      <c r="A1818" t="str">
        <f>"13/12/2016"</f>
        <v>13/12/2016</v>
      </c>
      <c r="B1818" t="str">
        <f>"8.4545"</f>
        <v>8.4545</v>
      </c>
      <c r="C1818" t="str">
        <f>"8.4525"</f>
        <v>8.4525</v>
      </c>
    </row>
    <row r="1819" spans="1:3" x14ac:dyDescent="0.25">
      <c r="A1819" t="str">
        <f>"14/12/2016"</f>
        <v>14/12/2016</v>
      </c>
      <c r="B1819" t="str">
        <f>"8.4256"</f>
        <v>8.4256</v>
      </c>
      <c r="C1819" t="str">
        <f>"8.4238"</f>
        <v>8.4238</v>
      </c>
    </row>
    <row r="1820" spans="1:3" x14ac:dyDescent="0.25">
      <c r="A1820" t="str">
        <f>"15/12/2016"</f>
        <v>15/12/2016</v>
      </c>
      <c r="B1820" t="str">
        <f>"8.5956"</f>
        <v>8.5956</v>
      </c>
      <c r="C1820" t="str">
        <f>"8.5937"</f>
        <v>8.5937</v>
      </c>
    </row>
    <row r="1821" spans="1:3" x14ac:dyDescent="0.25">
      <c r="A1821" t="str">
        <f>"16/12/2016"</f>
        <v>16/12/2016</v>
      </c>
      <c r="B1821" t="str">
        <f>"8.7029"</f>
        <v>8.7029</v>
      </c>
      <c r="C1821" t="str">
        <f>"8.7011"</f>
        <v>8.7011</v>
      </c>
    </row>
    <row r="1822" spans="1:3" x14ac:dyDescent="0.25">
      <c r="A1822" t="str">
        <f>"19/12/2016"</f>
        <v>19/12/2016</v>
      </c>
      <c r="B1822" t="str">
        <f>"8.6716"</f>
        <v>8.6716</v>
      </c>
      <c r="C1822" t="str">
        <f>"8.6695"</f>
        <v>8.6695</v>
      </c>
    </row>
    <row r="1823" spans="1:3" x14ac:dyDescent="0.25">
      <c r="A1823" t="str">
        <f>"20/12/2016"</f>
        <v>20/12/2016</v>
      </c>
      <c r="B1823" t="str">
        <f>"8.7064"</f>
        <v>8.7064</v>
      </c>
      <c r="C1823" t="str">
        <f>"8.7044"</f>
        <v>8.7044</v>
      </c>
    </row>
    <row r="1824" spans="1:3" x14ac:dyDescent="0.25">
      <c r="A1824" t="str">
        <f>"21/12/2016"</f>
        <v>21/12/2016</v>
      </c>
      <c r="B1824" t="str">
        <f>"8.688"</f>
        <v>8.688</v>
      </c>
      <c r="C1824" t="str">
        <f>"8.6863"</f>
        <v>8.6863</v>
      </c>
    </row>
    <row r="1825" spans="1:3" x14ac:dyDescent="0.25">
      <c r="A1825" t="str">
        <f>"22/12/2016"</f>
        <v>22/12/2016</v>
      </c>
      <c r="B1825" t="str">
        <f>"8.6945"</f>
        <v>8.6945</v>
      </c>
      <c r="C1825" t="str">
        <f>"8.6924"</f>
        <v>8.6924</v>
      </c>
    </row>
    <row r="1826" spans="1:3" x14ac:dyDescent="0.25">
      <c r="A1826" t="str">
        <f>"23/12/2016"</f>
        <v>23/12/2016</v>
      </c>
      <c r="B1826" t="str">
        <f>"8.717"</f>
        <v>8.717</v>
      </c>
      <c r="C1826" t="str">
        <f>"8.7149"</f>
        <v>8.7149</v>
      </c>
    </row>
    <row r="1827" spans="1:3" x14ac:dyDescent="0.25">
      <c r="A1827" t="str">
        <f>"26/12/2016"</f>
        <v>26/12/2016</v>
      </c>
      <c r="B1827" t="str">
        <f>"8.7062"</f>
        <v>8.7062</v>
      </c>
      <c r="C1827" t="str">
        <f>"8.7041"</f>
        <v>8.7041</v>
      </c>
    </row>
    <row r="1828" spans="1:3" x14ac:dyDescent="0.25">
      <c r="A1828" t="str">
        <f>"27/12/2016"</f>
        <v>27/12/2016</v>
      </c>
      <c r="B1828" t="str">
        <f>"8.7081"</f>
        <v>8.7081</v>
      </c>
      <c r="C1828" t="str">
        <f>"8.7059"</f>
        <v>8.7059</v>
      </c>
    </row>
    <row r="1829" spans="1:3" x14ac:dyDescent="0.25">
      <c r="A1829" t="str">
        <f>"28/12/2016"</f>
        <v>28/12/2016</v>
      </c>
      <c r="B1829" t="str">
        <f>"8.7279"</f>
        <v>8.7279</v>
      </c>
      <c r="C1829" t="str">
        <f>"8.7257"</f>
        <v>8.7257</v>
      </c>
    </row>
    <row r="1830" spans="1:3" x14ac:dyDescent="0.25">
      <c r="A1830" t="str">
        <f>"29/12/2016"</f>
        <v>29/12/2016</v>
      </c>
      <c r="B1830" t="str">
        <f>"8.6922"</f>
        <v>8.6922</v>
      </c>
      <c r="C1830" t="str">
        <f>"8.6902"</f>
        <v>8.6902</v>
      </c>
    </row>
    <row r="1831" spans="1:3" x14ac:dyDescent="0.25">
      <c r="A1831" t="str">
        <f>"30/12/2016"</f>
        <v>30/12/2016</v>
      </c>
      <c r="B1831" t="str">
        <f>"8.6074"</f>
        <v>8.6074</v>
      </c>
      <c r="C1831" t="str">
        <f>"8.6056"</f>
        <v>8.6056</v>
      </c>
    </row>
    <row r="1832" spans="1:3" x14ac:dyDescent="0.25">
      <c r="A1832" t="str">
        <f>"02/01/2017"</f>
        <v>02/01/2017</v>
      </c>
      <c r="B1832" t="str">
        <f>"8.6404"</f>
        <v>8.6404</v>
      </c>
      <c r="C1832" t="str">
        <f>"8.6393"</f>
        <v>8.6393</v>
      </c>
    </row>
    <row r="1833" spans="1:3" x14ac:dyDescent="0.25">
      <c r="A1833" t="str">
        <f>"03/01/2017"</f>
        <v>03/01/2017</v>
      </c>
      <c r="B1833" t="str">
        <f>"8.6794"</f>
        <v>8.6794</v>
      </c>
      <c r="C1833" t="str">
        <f>"8.6771"</f>
        <v>8.6771</v>
      </c>
    </row>
    <row r="1834" spans="1:3" x14ac:dyDescent="0.25">
      <c r="A1834" t="str">
        <f>"04/01/2017"</f>
        <v>04/01/2017</v>
      </c>
      <c r="B1834" t="str">
        <f>"8.6298"</f>
        <v>8.6298</v>
      </c>
      <c r="C1834" t="str">
        <f>"8.6277"</f>
        <v>8.6277</v>
      </c>
    </row>
    <row r="1835" spans="1:3" x14ac:dyDescent="0.25">
      <c r="A1835" t="str">
        <f>"05/01/2017"</f>
        <v>05/01/2017</v>
      </c>
      <c r="B1835" t="str">
        <f>"8.5866"</f>
        <v>8.5866</v>
      </c>
      <c r="C1835" t="str">
        <f>"8.5845"</f>
        <v>8.5845</v>
      </c>
    </row>
    <row r="1836" spans="1:3" x14ac:dyDescent="0.25">
      <c r="A1836" t="str">
        <f>"06/01/2017"</f>
        <v>06/01/2017</v>
      </c>
      <c r="B1836" t="str">
        <f>"8.492"</f>
        <v>8.492</v>
      </c>
      <c r="C1836" t="str">
        <f>"8.4904"</f>
        <v>8.4904</v>
      </c>
    </row>
    <row r="1837" spans="1:3" x14ac:dyDescent="0.25">
      <c r="A1837" t="str">
        <f>"09/01/2017"</f>
        <v>09/01/2017</v>
      </c>
      <c r="B1837" t="str">
        <f>"8.5615"</f>
        <v>8.5615</v>
      </c>
      <c r="C1837" t="str">
        <f>"8.5597"</f>
        <v>8.5597</v>
      </c>
    </row>
    <row r="1838" spans="1:3" x14ac:dyDescent="0.25">
      <c r="A1838" t="str">
        <f>"10/01/2017"</f>
        <v>10/01/2017</v>
      </c>
      <c r="B1838" t="str">
        <f>"8.5777"</f>
        <v>8.5777</v>
      </c>
      <c r="C1838" t="str">
        <f>"8.576"</f>
        <v>8.576</v>
      </c>
    </row>
    <row r="1839" spans="1:3" x14ac:dyDescent="0.25">
      <c r="A1839" t="str">
        <f>"11/01/2017"</f>
        <v>11/01/2017</v>
      </c>
      <c r="B1839" t="str">
        <f>"8.6322"</f>
        <v>8.6322</v>
      </c>
      <c r="C1839" t="str">
        <f>"8.6302"</f>
        <v>8.6302</v>
      </c>
    </row>
    <row r="1840" spans="1:3" x14ac:dyDescent="0.25">
      <c r="A1840" t="str">
        <f>"12/01/2017"</f>
        <v>12/01/2017</v>
      </c>
      <c r="B1840" t="str">
        <f>"8.5119"</f>
        <v>8.5119</v>
      </c>
      <c r="C1840" t="str">
        <f>"8.5103"</f>
        <v>8.5103</v>
      </c>
    </row>
    <row r="1841" spans="1:3" x14ac:dyDescent="0.25">
      <c r="A1841" t="str">
        <f>"13/01/2017"</f>
        <v>13/01/2017</v>
      </c>
      <c r="B1841" t="str">
        <f>"8.5014"</f>
        <v>8.5014</v>
      </c>
      <c r="C1841" t="str">
        <f>"8.4998"</f>
        <v>8.4998</v>
      </c>
    </row>
    <row r="1842" spans="1:3" x14ac:dyDescent="0.25">
      <c r="A1842" t="str">
        <f>"16/01/2017"</f>
        <v>16/01/2017</v>
      </c>
      <c r="B1842" t="str">
        <f>"8.5226"</f>
        <v>8.5226</v>
      </c>
      <c r="C1842" t="str">
        <f>"8.5211"</f>
        <v>8.5211</v>
      </c>
    </row>
    <row r="1843" spans="1:3" x14ac:dyDescent="0.25">
      <c r="A1843" t="str">
        <f>"17/01/2017"</f>
        <v>17/01/2017</v>
      </c>
      <c r="B1843" t="str">
        <f>"8.4434"</f>
        <v>8.4434</v>
      </c>
      <c r="C1843" t="str">
        <f>"8.4415"</f>
        <v>8.4415</v>
      </c>
    </row>
    <row r="1844" spans="1:3" x14ac:dyDescent="0.25">
      <c r="A1844" t="str">
        <f>"18/01/2017"</f>
        <v>18/01/2017</v>
      </c>
      <c r="B1844" t="str">
        <f>"8.4749"</f>
        <v>8.4749</v>
      </c>
      <c r="C1844" t="str">
        <f>"8.4728"</f>
        <v>8.4728</v>
      </c>
    </row>
    <row r="1845" spans="1:3" x14ac:dyDescent="0.25">
      <c r="A1845" t="str">
        <f>"19/01/2017"</f>
        <v>19/01/2017</v>
      </c>
      <c r="B1845" t="str">
        <f>"8.4959"</f>
        <v>8.4959</v>
      </c>
      <c r="C1845" t="str">
        <f>"8.4942"</f>
        <v>8.4942</v>
      </c>
    </row>
    <row r="1846" spans="1:3" x14ac:dyDescent="0.25">
      <c r="A1846" t="str">
        <f>"20/01/2017"</f>
        <v>20/01/2017</v>
      </c>
      <c r="B1846" t="str">
        <f>"8.4617"</f>
        <v>8.4617</v>
      </c>
      <c r="C1846" t="str">
        <f>"8.4598"</f>
        <v>8.4598</v>
      </c>
    </row>
    <row r="1847" spans="1:3" x14ac:dyDescent="0.25">
      <c r="A1847" t="str">
        <f>"23/01/2017"</f>
        <v>23/01/2017</v>
      </c>
      <c r="B1847" t="str">
        <f>"8.3919"</f>
        <v>8.3919</v>
      </c>
      <c r="C1847" t="str">
        <f>"8.3899"</f>
        <v>8.3899</v>
      </c>
    </row>
    <row r="1848" spans="1:3" x14ac:dyDescent="0.25">
      <c r="A1848" t="str">
        <f>"24/01/2017"</f>
        <v>24/01/2017</v>
      </c>
      <c r="B1848" t="str">
        <f>"8.3564"</f>
        <v>8.3564</v>
      </c>
      <c r="C1848" t="str">
        <f>"8.3543"</f>
        <v>8.3543</v>
      </c>
    </row>
    <row r="1849" spans="1:3" x14ac:dyDescent="0.25">
      <c r="A1849" t="str">
        <f>"25/01/2017"</f>
        <v>25/01/2017</v>
      </c>
      <c r="B1849" t="str">
        <f>"8.3153"</f>
        <v>8.3153</v>
      </c>
      <c r="C1849" t="str">
        <f>"8.3136"</f>
        <v>8.3136</v>
      </c>
    </row>
    <row r="1850" spans="1:3" x14ac:dyDescent="0.25">
      <c r="A1850" t="str">
        <f>"27/01/2017"</f>
        <v>27/01/2017</v>
      </c>
      <c r="B1850" t="str">
        <f>"8.3501"</f>
        <v>8.3501</v>
      </c>
      <c r="C1850" t="str">
        <f>"8.3485"</f>
        <v>8.3485</v>
      </c>
    </row>
    <row r="1851" spans="1:3" x14ac:dyDescent="0.25">
      <c r="A1851" t="str">
        <f>"30/01/2017"</f>
        <v>30/01/2017</v>
      </c>
      <c r="B1851" t="str">
        <f>"8.3154"</f>
        <v>8.3154</v>
      </c>
      <c r="C1851" t="str">
        <f>"8.3141"</f>
        <v>8.3141</v>
      </c>
    </row>
    <row r="1852" spans="1:3" x14ac:dyDescent="0.25">
      <c r="A1852" t="str">
        <f>"31/01/2017"</f>
        <v>31/01/2017</v>
      </c>
      <c r="B1852" t="str">
        <f>"8.3046"</f>
        <v>8.3046</v>
      </c>
      <c r="C1852" t="str">
        <f>"8.3031"</f>
        <v>8.3031</v>
      </c>
    </row>
    <row r="1853" spans="1:3" x14ac:dyDescent="0.25">
      <c r="A1853" t="str">
        <f>"01/02/2017"</f>
        <v>01/02/2017</v>
      </c>
      <c r="B1853" t="str">
        <f>"8.2584"</f>
        <v>8.2584</v>
      </c>
      <c r="C1853" t="str">
        <f>"8.2569"</f>
        <v>8.2569</v>
      </c>
    </row>
    <row r="1854" spans="1:3" x14ac:dyDescent="0.25">
      <c r="A1854" t="str">
        <f>"02/02/2017"</f>
        <v>02/02/2017</v>
      </c>
      <c r="B1854" t="str">
        <f>"8.1952"</f>
        <v>8.1952</v>
      </c>
      <c r="C1854" t="str">
        <f>"8.1935"</f>
        <v>8.1935</v>
      </c>
    </row>
    <row r="1855" spans="1:3" x14ac:dyDescent="0.25">
      <c r="A1855" t="str">
        <f>"03/02/2017"</f>
        <v>03/02/2017</v>
      </c>
      <c r="B1855" t="str">
        <f>"8.261"</f>
        <v>8.261</v>
      </c>
      <c r="C1855" t="str">
        <f>"8.2592"</f>
        <v>8.2592</v>
      </c>
    </row>
    <row r="1856" spans="1:3" x14ac:dyDescent="0.25">
      <c r="A1856" t="str">
        <f>"06/02/2017"</f>
        <v>06/02/2017</v>
      </c>
      <c r="B1856" t="str">
        <f>"8.2529"</f>
        <v>8.2529</v>
      </c>
      <c r="C1856" t="str">
        <f>"8.2512"</f>
        <v>8.2512</v>
      </c>
    </row>
    <row r="1857" spans="1:3" x14ac:dyDescent="0.25">
      <c r="A1857" t="str">
        <f>"07/02/2017"</f>
        <v>07/02/2017</v>
      </c>
      <c r="B1857" t="str">
        <f>"8.3316"</f>
        <v>8.3316</v>
      </c>
      <c r="C1857" t="str">
        <f>"8.3299"</f>
        <v>8.3299</v>
      </c>
    </row>
    <row r="1858" spans="1:3" x14ac:dyDescent="0.25">
      <c r="A1858" t="str">
        <f>"08/02/2017"</f>
        <v>08/02/2017</v>
      </c>
      <c r="B1858" t="str">
        <f>"8.3213"</f>
        <v>8.3213</v>
      </c>
      <c r="C1858" t="str">
        <f>"8.3196"</f>
        <v>8.3196</v>
      </c>
    </row>
    <row r="1859" spans="1:3" x14ac:dyDescent="0.25">
      <c r="A1859" t="str">
        <f>"09/02/2017"</f>
        <v>09/02/2017</v>
      </c>
      <c r="B1859" t="str">
        <f>"8.316"</f>
        <v>8.316</v>
      </c>
      <c r="C1859" t="str">
        <f>"8.3142"</f>
        <v>8.3142</v>
      </c>
    </row>
    <row r="1860" spans="1:3" x14ac:dyDescent="0.25">
      <c r="A1860" t="str">
        <f>"10/02/2017"</f>
        <v>10/02/2017</v>
      </c>
      <c r="B1860" t="str">
        <f>"8.3815"</f>
        <v>8.3815</v>
      </c>
      <c r="C1860" t="str">
        <f>"8.3798"</f>
        <v>8.3798</v>
      </c>
    </row>
    <row r="1861" spans="1:3" x14ac:dyDescent="0.25">
      <c r="A1861" t="str">
        <f>"13/02/2017"</f>
        <v>13/02/2017</v>
      </c>
      <c r="B1861" t="str">
        <f>"8.3682"</f>
        <v>8.3682</v>
      </c>
      <c r="C1861" t="str">
        <f>"8.3667"</f>
        <v>8.3667</v>
      </c>
    </row>
    <row r="1862" spans="1:3" x14ac:dyDescent="0.25">
      <c r="A1862" t="str">
        <f>"14/02/2017"</f>
        <v>14/02/2017</v>
      </c>
      <c r="B1862" t="str">
        <f>"8.359"</f>
        <v>8.359</v>
      </c>
      <c r="C1862" t="str">
        <f>"8.3576"</f>
        <v>8.3576</v>
      </c>
    </row>
    <row r="1863" spans="1:3" x14ac:dyDescent="0.25">
      <c r="A1863" t="str">
        <f>"15/02/2017"</f>
        <v>15/02/2017</v>
      </c>
      <c r="B1863" t="str">
        <f>"8.3978"</f>
        <v>8.3978</v>
      </c>
      <c r="C1863" t="str">
        <f>"8.3964"</f>
        <v>8.3964</v>
      </c>
    </row>
    <row r="1864" spans="1:3" x14ac:dyDescent="0.25">
      <c r="A1864" t="str">
        <f>"16/02/2017"</f>
        <v>16/02/2017</v>
      </c>
      <c r="B1864" t="str">
        <f>"8.3283"</f>
        <v>8.3283</v>
      </c>
      <c r="C1864" t="str">
        <f>"8.3271"</f>
        <v>8.3271</v>
      </c>
    </row>
    <row r="1865" spans="1:3" x14ac:dyDescent="0.25">
      <c r="A1865" t="str">
        <f>"17/02/2017"</f>
        <v>17/02/2017</v>
      </c>
      <c r="B1865" t="str">
        <f>"8.3353"</f>
        <v>8.3353</v>
      </c>
      <c r="C1865" t="str">
        <f>"8.3338"</f>
        <v>8.3338</v>
      </c>
    </row>
    <row r="1866" spans="1:3" x14ac:dyDescent="0.25">
      <c r="A1866" t="str">
        <f>"20/02/2017"</f>
        <v>20/02/2017</v>
      </c>
      <c r="B1866" t="str">
        <f>"8.343"</f>
        <v>8.343</v>
      </c>
      <c r="C1866" t="str">
        <f>"8.3417"</f>
        <v>8.3417</v>
      </c>
    </row>
    <row r="1867" spans="1:3" x14ac:dyDescent="0.25">
      <c r="A1867" t="str">
        <f>"22/02/2017"</f>
        <v>22/02/2017</v>
      </c>
      <c r="B1867" t="str">
        <f>"8.3875"</f>
        <v>8.3875</v>
      </c>
      <c r="C1867" t="str">
        <f>"8.3863"</f>
        <v>8.3863</v>
      </c>
    </row>
    <row r="1868" spans="1:3" x14ac:dyDescent="0.25">
      <c r="A1868" t="str">
        <f>"23/02/2017"</f>
        <v>23/02/2017</v>
      </c>
      <c r="B1868" t="str">
        <f>"8.3466"</f>
        <v>8.3466</v>
      </c>
      <c r="C1868" t="str">
        <f>"8.3453"</f>
        <v>8.3453</v>
      </c>
    </row>
    <row r="1869" spans="1:3" x14ac:dyDescent="0.25">
      <c r="A1869" t="str">
        <f>"27/02/2017"</f>
        <v>27/02/2017</v>
      </c>
      <c r="B1869" t="str">
        <f>"8.3525"</f>
        <v>8.3525</v>
      </c>
      <c r="C1869" t="str">
        <f>"8.3505"</f>
        <v>8.3505</v>
      </c>
    </row>
    <row r="1870" spans="1:3" x14ac:dyDescent="0.25">
      <c r="A1870" t="str">
        <f>"28/02/2017"</f>
        <v>28/02/2017</v>
      </c>
      <c r="B1870" t="str">
        <f>"8.3684"</f>
        <v>8.3684</v>
      </c>
      <c r="C1870" t="str">
        <f>"8.3665"</f>
        <v>8.3665</v>
      </c>
    </row>
    <row r="1871" spans="1:3" x14ac:dyDescent="0.25">
      <c r="A1871" t="str">
        <f>"01/03/2017"</f>
        <v>01/03/2017</v>
      </c>
      <c r="B1871" t="str">
        <f>"8.4165"</f>
        <v>8.4165</v>
      </c>
      <c r="C1871" t="str">
        <f>"8.4142"</f>
        <v>8.4142</v>
      </c>
    </row>
    <row r="1872" spans="1:3" x14ac:dyDescent="0.25">
      <c r="A1872" t="str">
        <f>"02/03/2017"</f>
        <v>02/03/2017</v>
      </c>
      <c r="B1872" t="str">
        <f>"8.435"</f>
        <v>8.435</v>
      </c>
      <c r="C1872" t="str">
        <f>"8.433"</f>
        <v>8.433</v>
      </c>
    </row>
    <row r="1873" spans="1:3" x14ac:dyDescent="0.25">
      <c r="A1873" t="str">
        <f>"03/03/2017"</f>
        <v>03/03/2017</v>
      </c>
      <c r="B1873" t="str">
        <f>"8.4741"</f>
        <v>8.4741</v>
      </c>
      <c r="C1873" t="str">
        <f>"8.4724"</f>
        <v>8.4724</v>
      </c>
    </row>
    <row r="1874" spans="1:3" x14ac:dyDescent="0.25">
      <c r="A1874" t="str">
        <f>"06/03/2017"</f>
        <v>06/03/2017</v>
      </c>
      <c r="B1874" t="str">
        <f>"8.4834"</f>
        <v>8.4834</v>
      </c>
      <c r="C1874" t="str">
        <f>"8.4814"</f>
        <v>8.4814</v>
      </c>
    </row>
    <row r="1875" spans="1:3" x14ac:dyDescent="0.25">
      <c r="A1875" t="str">
        <f>"07/03/2017"</f>
        <v>07/03/2017</v>
      </c>
      <c r="B1875" t="str">
        <f>"8.4625"</f>
        <v>8.4625</v>
      </c>
      <c r="C1875" t="str">
        <f>"8.4604"</f>
        <v>8.4604</v>
      </c>
    </row>
    <row r="1876" spans="1:3" x14ac:dyDescent="0.25">
      <c r="A1876" t="str">
        <f>"08/03/2017"</f>
        <v>08/03/2017</v>
      </c>
      <c r="B1876" t="str">
        <f>"8.4771"</f>
        <v>8.4771</v>
      </c>
      <c r="C1876" t="str">
        <f>"8.4749"</f>
        <v>8.4749</v>
      </c>
    </row>
    <row r="1877" spans="1:3" x14ac:dyDescent="0.25">
      <c r="A1877" t="str">
        <f>"09/03/2017"</f>
        <v>09/03/2017</v>
      </c>
      <c r="B1877" t="str">
        <f>"8.5747"</f>
        <v>8.5747</v>
      </c>
      <c r="C1877" t="str">
        <f>"8.5719"</f>
        <v>8.5719</v>
      </c>
    </row>
    <row r="1878" spans="1:3" x14ac:dyDescent="0.25">
      <c r="A1878" t="str">
        <f>"10/03/2017"</f>
        <v>10/03/2017</v>
      </c>
      <c r="B1878" t="str">
        <f>"8.6224"</f>
        <v>8.6224</v>
      </c>
      <c r="C1878" t="str">
        <f>"8.6195"</f>
        <v>8.6195</v>
      </c>
    </row>
    <row r="1879" spans="1:3" x14ac:dyDescent="0.25">
      <c r="A1879" t="str">
        <f>"14/03/2017"</f>
        <v>14/03/2017</v>
      </c>
      <c r="B1879" t="str">
        <f>"8.5943"</f>
        <v>8.5943</v>
      </c>
      <c r="C1879" t="str">
        <f>"8.5909"</f>
        <v>8.5909</v>
      </c>
    </row>
    <row r="1880" spans="1:3" x14ac:dyDescent="0.25">
      <c r="A1880" t="str">
        <f>"15/03/2017"</f>
        <v>15/03/2017</v>
      </c>
      <c r="B1880" t="str">
        <f>"8.6063"</f>
        <v>8.6063</v>
      </c>
      <c r="C1880" t="str">
        <f>"8.6033"</f>
        <v>8.6033</v>
      </c>
    </row>
    <row r="1881" spans="1:3" x14ac:dyDescent="0.25">
      <c r="A1881" t="str">
        <f>"16/03/2017"</f>
        <v>16/03/2017</v>
      </c>
      <c r="B1881" t="str">
        <f>"8.5393"</f>
        <v>8.5393</v>
      </c>
      <c r="C1881" t="str">
        <f>"8.5362"</f>
        <v>8.5362</v>
      </c>
    </row>
    <row r="1882" spans="1:3" x14ac:dyDescent="0.25">
      <c r="A1882" t="str">
        <f>"17/03/2017"</f>
        <v>17/03/2017</v>
      </c>
      <c r="B1882" t="str">
        <f>"8.4627"</f>
        <v>8.4627</v>
      </c>
      <c r="C1882" t="str">
        <f>"8.4595"</f>
        <v>8.4595</v>
      </c>
    </row>
    <row r="1883" spans="1:3" x14ac:dyDescent="0.25">
      <c r="A1883" t="str">
        <f>"20/03/2017"</f>
        <v>20/03/2017</v>
      </c>
      <c r="B1883" t="str">
        <f>"8.4848"</f>
        <v>8.4848</v>
      </c>
      <c r="C1883" t="str">
        <f>"8.4813"</f>
        <v>8.4813</v>
      </c>
    </row>
    <row r="1884" spans="1:3" x14ac:dyDescent="0.25">
      <c r="A1884" t="str">
        <f>"21/03/2017"</f>
        <v>21/03/2017</v>
      </c>
      <c r="B1884" t="str">
        <f>"8.4427"</f>
        <v>8.4427</v>
      </c>
      <c r="C1884" t="str">
        <f>"8.4393"</f>
        <v>8.4393</v>
      </c>
    </row>
    <row r="1885" spans="1:3" x14ac:dyDescent="0.25">
      <c r="A1885" t="str">
        <f>"22/03/2017"</f>
        <v>22/03/2017</v>
      </c>
      <c r="B1885" t="str">
        <f>"8.4938"</f>
        <v>8.4938</v>
      </c>
      <c r="C1885" t="str">
        <f>"8.4905"</f>
        <v>8.4905</v>
      </c>
    </row>
    <row r="1886" spans="1:3" x14ac:dyDescent="0.25">
      <c r="A1886" t="str">
        <f>"23/03/2017"</f>
        <v>23/03/2017</v>
      </c>
      <c r="B1886" t="str">
        <f>"8.4692"</f>
        <v>8.4692</v>
      </c>
      <c r="C1886" t="str">
        <f>"8.466"</f>
        <v>8.466</v>
      </c>
    </row>
    <row r="1887" spans="1:3" x14ac:dyDescent="0.25">
      <c r="A1887" t="str">
        <f>"24/03/2017"</f>
        <v>24/03/2017</v>
      </c>
      <c r="B1887" t="str">
        <f>"8.4908"</f>
        <v>8.4908</v>
      </c>
      <c r="C1887" t="str">
        <f>"8.4874"</f>
        <v>8.4874</v>
      </c>
    </row>
    <row r="1888" spans="1:3" x14ac:dyDescent="0.25">
      <c r="A1888" t="str">
        <f>"27/03/2017"</f>
        <v>27/03/2017</v>
      </c>
      <c r="B1888" t="str">
        <f>"8.4579"</f>
        <v>8.4579</v>
      </c>
      <c r="C1888" t="str">
        <f>"8.4549"</f>
        <v>8.4549</v>
      </c>
    </row>
    <row r="1889" spans="1:3" x14ac:dyDescent="0.25">
      <c r="A1889" t="str">
        <f>"29/03/2017"</f>
        <v>29/03/2017</v>
      </c>
      <c r="B1889" t="str">
        <f>"8.5487"</f>
        <v>8.5487</v>
      </c>
      <c r="C1889" t="str">
        <f>"8.5461"</f>
        <v>8.5461</v>
      </c>
    </row>
    <row r="1890" spans="1:3" x14ac:dyDescent="0.25">
      <c r="A1890" t="str">
        <f>"30/03/2017"</f>
        <v>30/03/2017</v>
      </c>
      <c r="B1890" t="str">
        <f>"8.5267"</f>
        <v>8.5267</v>
      </c>
      <c r="C1890" t="str">
        <f>"8.5243"</f>
        <v>8.5243</v>
      </c>
    </row>
    <row r="1891" spans="1:3" x14ac:dyDescent="0.25">
      <c r="A1891" t="str">
        <f>"31/03/2017"</f>
        <v>31/03/2017</v>
      </c>
      <c r="B1891" t="str">
        <f>"8.5812"</f>
        <v>8.5812</v>
      </c>
      <c r="C1891" t="str">
        <f>"8.5786"</f>
        <v>8.5786</v>
      </c>
    </row>
    <row r="1892" spans="1:3" x14ac:dyDescent="0.25">
      <c r="A1892" t="str">
        <f>"03/04/2017"</f>
        <v>03/04/2017</v>
      </c>
      <c r="B1892" t="str">
        <f>"8.5756"</f>
        <v>8.5756</v>
      </c>
      <c r="C1892" t="str">
        <f>"8.5731"</f>
        <v>8.5731</v>
      </c>
    </row>
    <row r="1893" spans="1:3" x14ac:dyDescent="0.25">
      <c r="A1893" t="str">
        <f>"05/04/2017"</f>
        <v>05/04/2017</v>
      </c>
      <c r="B1893" t="str">
        <f>"8.5934"</f>
        <v>8.5934</v>
      </c>
      <c r="C1893" t="str">
        <f>"8.5905"</f>
        <v>8.5905</v>
      </c>
    </row>
    <row r="1894" spans="1:3" x14ac:dyDescent="0.25">
      <c r="A1894" t="str">
        <f>"06/04/2017"</f>
        <v>06/04/2017</v>
      </c>
      <c r="B1894" t="str">
        <f>"8.5966"</f>
        <v>8.5966</v>
      </c>
      <c r="C1894" t="str">
        <f>"8.594"</f>
        <v>8.594</v>
      </c>
    </row>
    <row r="1895" spans="1:3" x14ac:dyDescent="0.25">
      <c r="A1895" t="str">
        <f>"07/04/2017"</f>
        <v>07/04/2017</v>
      </c>
      <c r="B1895" t="str">
        <f>"8.6145"</f>
        <v>8.6145</v>
      </c>
      <c r="C1895" t="str">
        <f>"8.612"</f>
        <v>8.612</v>
      </c>
    </row>
    <row r="1896" spans="1:3" x14ac:dyDescent="0.25">
      <c r="A1896" t="str">
        <f>"10/04/2017"</f>
        <v>10/04/2017</v>
      </c>
      <c r="B1896" t="str">
        <f>"8.6688"</f>
        <v>8.6688</v>
      </c>
      <c r="C1896" t="str">
        <f>"8.6665"</f>
        <v>8.6665</v>
      </c>
    </row>
    <row r="1897" spans="1:3" x14ac:dyDescent="0.25">
      <c r="A1897" t="str">
        <f>"11/04/2017"</f>
        <v>11/04/2017</v>
      </c>
      <c r="B1897" t="str">
        <f>"8.5937"</f>
        <v>8.5937</v>
      </c>
      <c r="C1897" t="str">
        <f>"8.5915"</f>
        <v>8.5915</v>
      </c>
    </row>
    <row r="1898" spans="1:3" x14ac:dyDescent="0.25">
      <c r="A1898" t="str">
        <f>"12/04/2017"</f>
        <v>12/04/2017</v>
      </c>
      <c r="B1898" t="str">
        <f>"8.6018"</f>
        <v>8.6018</v>
      </c>
      <c r="C1898" t="str">
        <f>"8.60"</f>
        <v>8.60</v>
      </c>
    </row>
    <row r="1899" spans="1:3" x14ac:dyDescent="0.25">
      <c r="A1899" t="str">
        <f>"13/04/2017"</f>
        <v>13/04/2017</v>
      </c>
      <c r="B1899" t="str">
        <f>"8.558"</f>
        <v>8.558</v>
      </c>
      <c r="C1899" t="str">
        <f>"8.5562"</f>
        <v>8.5562</v>
      </c>
    </row>
    <row r="1900" spans="1:3" x14ac:dyDescent="0.25">
      <c r="A1900" t="str">
        <f>"17/04/2017"</f>
        <v>17/04/2017</v>
      </c>
      <c r="B1900" t="str">
        <f>"8.5571"</f>
        <v>8.5571</v>
      </c>
      <c r="C1900" t="str">
        <f>"8.5552"</f>
        <v>8.5552</v>
      </c>
    </row>
    <row r="1901" spans="1:3" x14ac:dyDescent="0.25">
      <c r="A1901" t="str">
        <f>"18/04/2017"</f>
        <v>18/04/2017</v>
      </c>
      <c r="B1901" t="str">
        <f>"8.5358"</f>
        <v>8.5358</v>
      </c>
      <c r="C1901" t="str">
        <f>"8.5336"</f>
        <v>8.5336</v>
      </c>
    </row>
    <row r="1902" spans="1:3" x14ac:dyDescent="0.25">
      <c r="A1902" t="str">
        <f>"19/04/2017"</f>
        <v>19/04/2017</v>
      </c>
      <c r="B1902" t="str">
        <f>"8.5211"</f>
        <v>8.5211</v>
      </c>
      <c r="C1902" t="str">
        <f>"8.5193"</f>
        <v>8.5193</v>
      </c>
    </row>
    <row r="1903" spans="1:3" x14ac:dyDescent="0.25">
      <c r="A1903" t="str">
        <f>"20/04/2017"</f>
        <v>20/04/2017</v>
      </c>
      <c r="B1903" t="str">
        <f>"8.5766"</f>
        <v>8.5766</v>
      </c>
      <c r="C1903" t="str">
        <f>"8.5745"</f>
        <v>8.5745</v>
      </c>
    </row>
    <row r="1904" spans="1:3" x14ac:dyDescent="0.25">
      <c r="A1904" t="str">
        <f>"21/04/2017"</f>
        <v>21/04/2017</v>
      </c>
      <c r="B1904" t="str">
        <f>"8.644"</f>
        <v>8.644</v>
      </c>
      <c r="C1904" t="str">
        <f>"8.6416"</f>
        <v>8.6416</v>
      </c>
    </row>
    <row r="1905" spans="1:3" x14ac:dyDescent="0.25">
      <c r="A1905" t="str">
        <f>"24/04/2017"</f>
        <v>24/04/2017</v>
      </c>
      <c r="B1905" t="str">
        <f>"8.5155"</f>
        <v>8.5155</v>
      </c>
      <c r="C1905" t="str">
        <f>"8.513"</f>
        <v>8.513</v>
      </c>
    </row>
    <row r="1906" spans="1:3" x14ac:dyDescent="0.25">
      <c r="A1906" t="str">
        <f>"25/04/2017"</f>
        <v>25/04/2017</v>
      </c>
      <c r="B1906" t="str">
        <f>"8.5584"</f>
        <v>8.5584</v>
      </c>
      <c r="C1906" t="str">
        <f>"8.5556"</f>
        <v>8.5556</v>
      </c>
    </row>
    <row r="1907" spans="1:3" x14ac:dyDescent="0.25">
      <c r="A1907" t="str">
        <f>"26/04/2017"</f>
        <v>26/04/2017</v>
      </c>
      <c r="B1907" t="str">
        <f>"8.5786"</f>
        <v>8.5786</v>
      </c>
      <c r="C1907" t="str">
        <f>"8.5755"</f>
        <v>8.5755</v>
      </c>
    </row>
    <row r="1908" spans="1:3" x14ac:dyDescent="0.25">
      <c r="A1908" t="str">
        <f>"27/04/2017"</f>
        <v>27/04/2017</v>
      </c>
      <c r="B1908" t="str">
        <f>"8.565"</f>
        <v>8.565</v>
      </c>
      <c r="C1908" t="str">
        <f>"8.562"</f>
        <v>8.562</v>
      </c>
    </row>
    <row r="1909" spans="1:3" x14ac:dyDescent="0.25">
      <c r="A1909" t="str">
        <f>"28/04/2017"</f>
        <v>28/04/2017</v>
      </c>
      <c r="B1909" t="str">
        <f>"8.536"</f>
        <v>8.536</v>
      </c>
      <c r="C1909" t="str">
        <f>"8.5327"</f>
        <v>8.5327</v>
      </c>
    </row>
    <row r="1910" spans="1:3" x14ac:dyDescent="0.25">
      <c r="A1910" t="str">
        <f>"02/05/2017"</f>
        <v>02/05/2017</v>
      </c>
      <c r="B1910" t="str">
        <f>"8.5944"</f>
        <v>8.5944</v>
      </c>
      <c r="C1910" t="str">
        <f>"8.5912"</f>
        <v>8.5912</v>
      </c>
    </row>
    <row r="1911" spans="1:3" x14ac:dyDescent="0.25">
      <c r="A1911" t="str">
        <f>"03/05/2017"</f>
        <v>03/05/2017</v>
      </c>
      <c r="B1911" t="str">
        <f>"8.6104"</f>
        <v>8.6104</v>
      </c>
      <c r="C1911" t="str">
        <f>"8.607"</f>
        <v>8.607</v>
      </c>
    </row>
    <row r="1912" spans="1:3" x14ac:dyDescent="0.25">
      <c r="A1912" t="str">
        <f>"04/05/2017"</f>
        <v>04/05/2017</v>
      </c>
      <c r="B1912" t="str">
        <f>"8.656"</f>
        <v>8.656</v>
      </c>
      <c r="C1912" t="str">
        <f>"8.6528"</f>
        <v>8.6528</v>
      </c>
    </row>
    <row r="1913" spans="1:3" x14ac:dyDescent="0.25">
      <c r="A1913" t="str">
        <f>"05/05/2017"</f>
        <v>05/05/2017</v>
      </c>
      <c r="B1913" t="str">
        <f>"8.6683"</f>
        <v>8.6683</v>
      </c>
      <c r="C1913" t="str">
        <f>"8.6651"</f>
        <v>8.6651</v>
      </c>
    </row>
    <row r="1914" spans="1:3" x14ac:dyDescent="0.25">
      <c r="A1914" t="str">
        <f>"08/05/2017"</f>
        <v>08/05/2017</v>
      </c>
      <c r="B1914" t="str">
        <f>"8.6264"</f>
        <v>8.6264</v>
      </c>
      <c r="C1914" t="str">
        <f>"8.6231"</f>
        <v>8.6231</v>
      </c>
    </row>
    <row r="1915" spans="1:3" x14ac:dyDescent="0.25">
      <c r="A1915" t="str">
        <f>"09/05/2017"</f>
        <v>09/05/2017</v>
      </c>
      <c r="B1915" t="str">
        <f>"8.6418"</f>
        <v>8.6418</v>
      </c>
      <c r="C1915" t="str">
        <f>"8.6387"</f>
        <v>8.6387</v>
      </c>
    </row>
    <row r="1916" spans="1:3" x14ac:dyDescent="0.25">
      <c r="A1916" t="str">
        <f>"11/05/2017"</f>
        <v>11/05/2017</v>
      </c>
      <c r="B1916" t="str">
        <f>"8.596"</f>
        <v>8.596</v>
      </c>
      <c r="C1916" t="str">
        <f>"8.5927"</f>
        <v>8.5927</v>
      </c>
    </row>
    <row r="1917" spans="1:3" x14ac:dyDescent="0.25">
      <c r="A1917" t="str">
        <f>"12/05/2017"</f>
        <v>12/05/2017</v>
      </c>
      <c r="B1917" t="str">
        <f>"8.603"</f>
        <v>8.603</v>
      </c>
      <c r="C1917" t="str">
        <f>"8.5998"</f>
        <v>8.5998</v>
      </c>
    </row>
    <row r="1918" spans="1:3" x14ac:dyDescent="0.25">
      <c r="A1918" t="str">
        <f>"15/05/2017"</f>
        <v>15/05/2017</v>
      </c>
      <c r="B1918" t="str">
        <f>"8.5044"</f>
        <v>8.5044</v>
      </c>
      <c r="C1918" t="str">
        <f>"8.501"</f>
        <v>8.501</v>
      </c>
    </row>
    <row r="1919" spans="1:3" x14ac:dyDescent="0.25">
      <c r="A1919" t="str">
        <f>"16/05/2017"</f>
        <v>16/05/2017</v>
      </c>
      <c r="B1919" t="str">
        <f>"8.4943"</f>
        <v>8.4943</v>
      </c>
      <c r="C1919" t="str">
        <f>"8.4911"</f>
        <v>8.4911</v>
      </c>
    </row>
    <row r="1920" spans="1:3" x14ac:dyDescent="0.25">
      <c r="A1920" t="str">
        <f>"17/05/2017"</f>
        <v>17/05/2017</v>
      </c>
      <c r="B1920" t="str">
        <f>"8.4423"</f>
        <v>8.4423</v>
      </c>
      <c r="C1920" t="str">
        <f>"8.4392"</f>
        <v>8.4392</v>
      </c>
    </row>
    <row r="1921" spans="1:3" x14ac:dyDescent="0.25">
      <c r="A1921" t="str">
        <f>"18/05/2017"</f>
        <v>18/05/2017</v>
      </c>
      <c r="B1921" t="str">
        <f>"8.4486"</f>
        <v>8.4486</v>
      </c>
      <c r="C1921" t="str">
        <f>"8.4454"</f>
        <v>8.4454</v>
      </c>
    </row>
    <row r="1922" spans="1:3" x14ac:dyDescent="0.25">
      <c r="A1922" t="str">
        <f>"19/05/2017"</f>
        <v>19/05/2017</v>
      </c>
      <c r="B1922" t="str">
        <f>"8.4063"</f>
        <v>8.4063</v>
      </c>
      <c r="C1922" t="str">
        <f>"8.403"</f>
        <v>8.403</v>
      </c>
    </row>
    <row r="1923" spans="1:3" x14ac:dyDescent="0.25">
      <c r="A1923" t="str">
        <f>"22/05/2017"</f>
        <v>22/05/2017</v>
      </c>
      <c r="B1923" t="str">
        <f>"8.3493"</f>
        <v>8.3493</v>
      </c>
      <c r="C1923" t="str">
        <f>"8.3457"</f>
        <v>8.3457</v>
      </c>
    </row>
    <row r="1924" spans="1:3" x14ac:dyDescent="0.25">
      <c r="A1924" t="str">
        <f>"23/05/2017"</f>
        <v>23/05/2017</v>
      </c>
      <c r="B1924" t="str">
        <f>"8.3478"</f>
        <v>8.3478</v>
      </c>
      <c r="C1924" t="str">
        <f>"8.3443"</f>
        <v>8.3443</v>
      </c>
    </row>
    <row r="1925" spans="1:3" x14ac:dyDescent="0.25">
      <c r="A1925" t="str">
        <f>"24/05/2017"</f>
        <v>24/05/2017</v>
      </c>
      <c r="B1925" t="str">
        <f>"8.3887"</f>
        <v>8.3887</v>
      </c>
      <c r="C1925" t="str">
        <f>"8.3851"</f>
        <v>8.3851</v>
      </c>
    </row>
    <row r="1926" spans="1:3" x14ac:dyDescent="0.25">
      <c r="A1926" t="str">
        <f>"25/05/2017"</f>
        <v>25/05/2017</v>
      </c>
      <c r="B1926" t="str">
        <f>"8.3382"</f>
        <v>8.3382</v>
      </c>
      <c r="C1926" t="str">
        <f>"8.3346"</f>
        <v>8.3346</v>
      </c>
    </row>
    <row r="1927" spans="1:3" x14ac:dyDescent="0.25">
      <c r="A1927" t="str">
        <f>"26/05/2017"</f>
        <v>26/05/2017</v>
      </c>
      <c r="B1927" t="str">
        <f>"8.3904"</f>
        <v>8.3904</v>
      </c>
      <c r="C1927" t="str">
        <f>"8.3868"</f>
        <v>8.3868</v>
      </c>
    </row>
    <row r="1928" spans="1:3" x14ac:dyDescent="0.25">
      <c r="A1928" t="str">
        <f>"29/05/2017"</f>
        <v>29/05/2017</v>
      </c>
      <c r="B1928" t="str">
        <f>"8.40"</f>
        <v>8.40</v>
      </c>
      <c r="C1928" t="str">
        <f>"8.3964"</f>
        <v>8.3964</v>
      </c>
    </row>
    <row r="1929" spans="1:3" x14ac:dyDescent="0.25">
      <c r="A1929" t="str">
        <f>"30/05/2017"</f>
        <v>30/05/2017</v>
      </c>
      <c r="B1929" t="str">
        <f>"8.4493"</f>
        <v>8.4493</v>
      </c>
      <c r="C1929" t="str">
        <f>"8.445"</f>
        <v>8.445</v>
      </c>
    </row>
    <row r="1930" spans="1:3" x14ac:dyDescent="0.25">
      <c r="A1930" t="str">
        <f>"31/05/2017"</f>
        <v>31/05/2017</v>
      </c>
      <c r="B1930" t="str">
        <f>"8.4303"</f>
        <v>8.4303</v>
      </c>
      <c r="C1930" t="str">
        <f>"8.4262"</f>
        <v>8.4262</v>
      </c>
    </row>
    <row r="1931" spans="1:3" x14ac:dyDescent="0.25">
      <c r="A1931" t="str">
        <f>"01/06/2017"</f>
        <v>01/06/2017</v>
      </c>
      <c r="B1931" t="str">
        <f>"8.4563"</f>
        <v>8.4563</v>
      </c>
      <c r="C1931" t="str">
        <f>"8.4523"</f>
        <v>8.4523</v>
      </c>
    </row>
    <row r="1932" spans="1:3" x14ac:dyDescent="0.25">
      <c r="A1932" t="str">
        <f>"02/06/2017"</f>
        <v>02/06/2017</v>
      </c>
      <c r="B1932" t="str">
        <f>"8.4738"</f>
        <v>8.4738</v>
      </c>
      <c r="C1932" t="str">
        <f>"8.4698"</f>
        <v>8.4698</v>
      </c>
    </row>
    <row r="1933" spans="1:3" x14ac:dyDescent="0.25">
      <c r="A1933" t="str">
        <f>"05/06/2017"</f>
        <v>05/06/2017</v>
      </c>
      <c r="B1933" t="str">
        <f>"8.4467"</f>
        <v>8.4467</v>
      </c>
      <c r="C1933" t="str">
        <f>"8.4427"</f>
        <v>8.4427</v>
      </c>
    </row>
    <row r="1934" spans="1:3" x14ac:dyDescent="0.25">
      <c r="A1934" t="str">
        <f>"06/06/2017"</f>
        <v>06/06/2017</v>
      </c>
      <c r="B1934" t="str">
        <f>"8.4525"</f>
        <v>8.4525</v>
      </c>
      <c r="C1934" t="str">
        <f>"8.4481"</f>
        <v>8.4481</v>
      </c>
    </row>
    <row r="1935" spans="1:3" x14ac:dyDescent="0.25">
      <c r="A1935" t="str">
        <f>"07/06/2017"</f>
        <v>07/06/2017</v>
      </c>
      <c r="B1935" t="str">
        <f>"8.475"</f>
        <v>8.475</v>
      </c>
      <c r="C1935" t="str">
        <f>"8.4705"</f>
        <v>8.4705</v>
      </c>
    </row>
    <row r="1936" spans="1:3" x14ac:dyDescent="0.25">
      <c r="A1936" t="str">
        <f>"08/06/2017"</f>
        <v>08/06/2017</v>
      </c>
      <c r="B1936" t="str">
        <f>"8.4947"</f>
        <v>8.4947</v>
      </c>
      <c r="C1936" t="str">
        <f>"8.4906"</f>
        <v>8.4906</v>
      </c>
    </row>
    <row r="1937" spans="1:3" x14ac:dyDescent="0.25">
      <c r="A1937" t="str">
        <f>"09/06/2017"</f>
        <v>09/06/2017</v>
      </c>
      <c r="B1937" t="str">
        <f>"8.5164"</f>
        <v>8.5164</v>
      </c>
      <c r="C1937" t="str">
        <f>"8.5118"</f>
        <v>8.5118</v>
      </c>
    </row>
    <row r="1938" spans="1:3" x14ac:dyDescent="0.25">
      <c r="A1938" t="str">
        <f>"12/06/2017"</f>
        <v>12/06/2017</v>
      </c>
      <c r="B1938" t="str">
        <f>"8.4663"</f>
        <v>8.4663</v>
      </c>
      <c r="C1938" t="str">
        <f>"8.4617"</f>
        <v>8.4617</v>
      </c>
    </row>
    <row r="1939" spans="1:3" x14ac:dyDescent="0.25">
      <c r="A1939" t="str">
        <f>"13/06/2017"</f>
        <v>13/06/2017</v>
      </c>
      <c r="B1939" t="str">
        <f>"8.4302"</f>
        <v>8.4302</v>
      </c>
      <c r="C1939" t="str">
        <f>"8.4253"</f>
        <v>8.4253</v>
      </c>
    </row>
    <row r="1940" spans="1:3" x14ac:dyDescent="0.25">
      <c r="A1940" t="str">
        <f>"14/06/2017"</f>
        <v>14/06/2017</v>
      </c>
      <c r="B1940" t="str">
        <f>"8.4049"</f>
        <v>8.4049</v>
      </c>
      <c r="C1940" t="str">
        <f>"8.4001"</f>
        <v>8.4001</v>
      </c>
    </row>
    <row r="1941" spans="1:3" x14ac:dyDescent="0.25">
      <c r="A1941" t="str">
        <f>"15/06/2017"</f>
        <v>15/06/2017</v>
      </c>
      <c r="B1941" t="str">
        <f>"8.4939"</f>
        <v>8.4939</v>
      </c>
      <c r="C1941" t="str">
        <f>"8.4891"</f>
        <v>8.4891</v>
      </c>
    </row>
    <row r="1942" spans="1:3" x14ac:dyDescent="0.25">
      <c r="A1942" t="str">
        <f>"16/06/2017"</f>
        <v>16/06/2017</v>
      </c>
      <c r="B1942" t="str">
        <f>"8.4738"</f>
        <v>8.4738</v>
      </c>
      <c r="C1942" t="str">
        <f>"8.4689"</f>
        <v>8.4689</v>
      </c>
    </row>
    <row r="1943" spans="1:3" x14ac:dyDescent="0.25">
      <c r="A1943" t="str">
        <f>"19/06/2017"</f>
        <v>19/06/2017</v>
      </c>
      <c r="B1943" t="str">
        <f>"8.448"</f>
        <v>8.448</v>
      </c>
      <c r="C1943" t="str">
        <f>"8.4435"</f>
        <v>8.4435</v>
      </c>
    </row>
    <row r="1944" spans="1:3" x14ac:dyDescent="0.25">
      <c r="A1944" t="str">
        <f>"20/06/2017"</f>
        <v>20/06/2017</v>
      </c>
      <c r="B1944" t="str">
        <f>"8.511"</f>
        <v>8.511</v>
      </c>
      <c r="C1944" t="str">
        <f>"8.5057"</f>
        <v>8.5057</v>
      </c>
    </row>
    <row r="1945" spans="1:3" x14ac:dyDescent="0.25">
      <c r="A1945" t="str">
        <f>"21/06/2017"</f>
        <v>21/06/2017</v>
      </c>
      <c r="B1945" t="str">
        <f>"8.5532"</f>
        <v>8.5532</v>
      </c>
      <c r="C1945" t="str">
        <f>"8.548"</f>
        <v>8.548</v>
      </c>
    </row>
    <row r="1946" spans="1:3" x14ac:dyDescent="0.25">
      <c r="A1946" t="str">
        <f>"22/06/2017"</f>
        <v>22/06/2017</v>
      </c>
      <c r="B1946" t="str">
        <f>"8.4963"</f>
        <v>8.4963</v>
      </c>
      <c r="C1946" t="str">
        <f>"8.4911"</f>
        <v>8.4911</v>
      </c>
    </row>
    <row r="1947" spans="1:3" x14ac:dyDescent="0.25">
      <c r="A1947" t="str">
        <f>"23/06/2017"</f>
        <v>23/06/2017</v>
      </c>
      <c r="B1947" t="str">
        <f>"8.4789"</f>
        <v>8.4789</v>
      </c>
      <c r="C1947" t="str">
        <f>"8.4737"</f>
        <v>8.4737</v>
      </c>
    </row>
    <row r="1948" spans="1:3" x14ac:dyDescent="0.25">
      <c r="A1948" t="str">
        <f>"27/06/2017"</f>
        <v>27/06/2017</v>
      </c>
      <c r="B1948" t="str">
        <f>"8.4836"</f>
        <v>8.4836</v>
      </c>
      <c r="C1948" t="str">
        <f>"8.4789"</f>
        <v>8.4789</v>
      </c>
    </row>
    <row r="1949" spans="1:3" x14ac:dyDescent="0.25">
      <c r="A1949" t="str">
        <f>"28/06/2017"</f>
        <v>28/06/2017</v>
      </c>
      <c r="B1949" t="str">
        <f>"8.436"</f>
        <v>8.436</v>
      </c>
      <c r="C1949" t="str">
        <f>"8.4308"</f>
        <v>8.4308</v>
      </c>
    </row>
    <row r="1950" spans="1:3" x14ac:dyDescent="0.25">
      <c r="A1950" t="str">
        <f>"29/06/2017"</f>
        <v>29/06/2017</v>
      </c>
      <c r="B1950" t="str">
        <f>"8.3875"</f>
        <v>8.3875</v>
      </c>
      <c r="C1950" t="str">
        <f>"8.3824"</f>
        <v>8.3824</v>
      </c>
    </row>
    <row r="1951" spans="1:3" x14ac:dyDescent="0.25">
      <c r="A1951" t="str">
        <f>"30/06/2017"</f>
        <v>30/06/2017</v>
      </c>
      <c r="B1951" t="str">
        <f>"8.3835"</f>
        <v>8.3835</v>
      </c>
      <c r="C1951" t="str">
        <f>"8.378"</f>
        <v>8.378</v>
      </c>
    </row>
    <row r="1952" spans="1:3" x14ac:dyDescent="0.25">
      <c r="A1952" t="str">
        <f>"03/07/2017"</f>
        <v>03/07/2017</v>
      </c>
      <c r="B1952" t="str">
        <f>"8.3682"</f>
        <v>8.3682</v>
      </c>
      <c r="C1952" t="str">
        <f>"8.3625"</f>
        <v>8.3625</v>
      </c>
    </row>
    <row r="1953" spans="1:3" x14ac:dyDescent="0.25">
      <c r="A1953" t="str">
        <f>"04/07/2017"</f>
        <v>04/07/2017</v>
      </c>
      <c r="B1953" t="str">
        <f>"8.364"</f>
        <v>8.364</v>
      </c>
      <c r="C1953" t="str">
        <f>"8.3586"</f>
        <v>8.3586</v>
      </c>
    </row>
    <row r="1954" spans="1:3" x14ac:dyDescent="0.25">
      <c r="A1954" t="str">
        <f>"05/07/2017"</f>
        <v>05/07/2017</v>
      </c>
      <c r="B1954" t="str">
        <f>"8.3474"</f>
        <v>8.3474</v>
      </c>
      <c r="C1954" t="str">
        <f>"8.3425"</f>
        <v>8.3425</v>
      </c>
    </row>
    <row r="1955" spans="1:3" x14ac:dyDescent="0.25">
      <c r="A1955" t="str">
        <f>"06/07/2017"</f>
        <v>06/07/2017</v>
      </c>
      <c r="B1955" t="str">
        <f>"8.374"</f>
        <v>8.374</v>
      </c>
      <c r="C1955" t="str">
        <f>"8.3688"</f>
        <v>8.3688</v>
      </c>
    </row>
    <row r="1956" spans="1:3" x14ac:dyDescent="0.25">
      <c r="A1956" t="str">
        <f>"07/07/2017"</f>
        <v>07/07/2017</v>
      </c>
      <c r="B1956" t="str">
        <f>"8.3701"</f>
        <v>8.3701</v>
      </c>
      <c r="C1956" t="str">
        <f>"8.3651"</f>
        <v>8.3651</v>
      </c>
    </row>
    <row r="1957" spans="1:3" x14ac:dyDescent="0.25">
      <c r="A1957" t="str">
        <f>"10/07/2017"</f>
        <v>10/07/2017</v>
      </c>
      <c r="B1957" t="str">
        <f>"8.3628"</f>
        <v>8.3628</v>
      </c>
      <c r="C1957" t="str">
        <f>"8.3573"</f>
        <v>8.3573</v>
      </c>
    </row>
    <row r="1958" spans="1:3" x14ac:dyDescent="0.25">
      <c r="A1958" t="str">
        <f>"11/07/2017"</f>
        <v>11/07/2017</v>
      </c>
      <c r="B1958" t="str">
        <f>"8.353"</f>
        <v>8.353</v>
      </c>
      <c r="C1958" t="str">
        <f>"8.3478"</f>
        <v>8.3478</v>
      </c>
    </row>
    <row r="1959" spans="1:3" x14ac:dyDescent="0.25">
      <c r="A1959" t="str">
        <f>"12/07/2017"</f>
        <v>12/07/2017</v>
      </c>
      <c r="B1959" t="str">
        <f>"8.2629"</f>
        <v>8.2629</v>
      </c>
      <c r="C1959" t="str">
        <f>"8.2579"</f>
        <v>8.2579</v>
      </c>
    </row>
    <row r="1960" spans="1:3" x14ac:dyDescent="0.25">
      <c r="A1960" t="str">
        <f>"13/07/2017"</f>
        <v>13/07/2017</v>
      </c>
      <c r="B1960" t="str">
        <f>"8.2833"</f>
        <v>8.2833</v>
      </c>
      <c r="C1960" t="str">
        <f>"8.2781"</f>
        <v>8.2781</v>
      </c>
    </row>
    <row r="1961" spans="1:3" x14ac:dyDescent="0.25">
      <c r="A1961" t="str">
        <f>"14/07/2017"</f>
        <v>14/07/2017</v>
      </c>
      <c r="B1961" t="str">
        <f>"8.2274"</f>
        <v>8.2274</v>
      </c>
      <c r="C1961" t="str">
        <f>"8.2221"</f>
        <v>8.2221</v>
      </c>
    </row>
    <row r="1962" spans="1:3" x14ac:dyDescent="0.25">
      <c r="A1962" t="str">
        <f>"17/07/2017"</f>
        <v>17/07/2017</v>
      </c>
      <c r="B1962" t="str">
        <f>"8.1724"</f>
        <v>8.1724</v>
      </c>
      <c r="C1962" t="str">
        <f>"8.1669"</f>
        <v>8.1669</v>
      </c>
    </row>
    <row r="1963" spans="1:3" x14ac:dyDescent="0.25">
      <c r="A1963" t="str">
        <f>"18/07/2017"</f>
        <v>18/07/2017</v>
      </c>
      <c r="B1963" t="str">
        <f>"8.0744"</f>
        <v>8.0744</v>
      </c>
      <c r="C1963" t="str">
        <f>"8.0692"</f>
        <v>8.0692</v>
      </c>
    </row>
    <row r="1964" spans="1:3" x14ac:dyDescent="0.25">
      <c r="A1964" t="str">
        <f>"19/07/2017"</f>
        <v>19/07/2017</v>
      </c>
      <c r="B1964" t="str">
        <f>"8.0724"</f>
        <v>8.0724</v>
      </c>
      <c r="C1964" t="str">
        <f>"8.0674"</f>
        <v>8.0674</v>
      </c>
    </row>
    <row r="1965" spans="1:3" x14ac:dyDescent="0.25">
      <c r="A1965" t="str">
        <f>"20/07/2017"</f>
        <v>20/07/2017</v>
      </c>
      <c r="B1965" t="str">
        <f>"8.0801"</f>
        <v>8.0801</v>
      </c>
      <c r="C1965" t="str">
        <f>"8.075"</f>
        <v>8.075</v>
      </c>
    </row>
    <row r="1966" spans="1:3" x14ac:dyDescent="0.25">
      <c r="A1966" t="str">
        <f>"21/07/2017"</f>
        <v>21/07/2017</v>
      </c>
      <c r="B1966" t="str">
        <f>"8.0316"</f>
        <v>8.0316</v>
      </c>
      <c r="C1966" t="str">
        <f>"8.0266"</f>
        <v>8.0266</v>
      </c>
    </row>
    <row r="1967" spans="1:3" x14ac:dyDescent="0.25">
      <c r="A1967" t="str">
        <f>"24/07/2017"</f>
        <v>24/07/2017</v>
      </c>
      <c r="B1967" t="str">
        <f>"8.032"</f>
        <v>8.032</v>
      </c>
      <c r="C1967" t="str">
        <f>"8.0267"</f>
        <v>8.0267</v>
      </c>
    </row>
    <row r="1968" spans="1:3" x14ac:dyDescent="0.25">
      <c r="A1968" t="str">
        <f>"25/07/2017"</f>
        <v>25/07/2017</v>
      </c>
      <c r="B1968" t="str">
        <f>"7.9815"</f>
        <v>7.9815</v>
      </c>
      <c r="C1968" t="str">
        <f>"7.9763"</f>
        <v>7.9763</v>
      </c>
    </row>
    <row r="1969" spans="1:3" x14ac:dyDescent="0.25">
      <c r="A1969" t="str">
        <f>"26/07/2017"</f>
        <v>26/07/2017</v>
      </c>
      <c r="B1969" t="str">
        <f>"7.9807"</f>
        <v>7.9807</v>
      </c>
      <c r="C1969" t="str">
        <f>"7.9756"</f>
        <v>7.9756</v>
      </c>
    </row>
    <row r="1970" spans="1:3" x14ac:dyDescent="0.25">
      <c r="A1970" t="str">
        <f>"27/07/2017"</f>
        <v>27/07/2017</v>
      </c>
      <c r="B1970" t="str">
        <f>"7.9395"</f>
        <v>7.9395</v>
      </c>
      <c r="C1970" t="str">
        <f>"7.9343"</f>
        <v>7.9343</v>
      </c>
    </row>
    <row r="1971" spans="1:3" x14ac:dyDescent="0.25">
      <c r="A1971" t="str">
        <f>"28/07/2017"</f>
        <v>28/07/2017</v>
      </c>
      <c r="B1971" t="str">
        <f>"7.9599"</f>
        <v>7.9599</v>
      </c>
      <c r="C1971" t="str">
        <f>"7.9547"</f>
        <v>7.9547</v>
      </c>
    </row>
    <row r="1972" spans="1:3" x14ac:dyDescent="0.25">
      <c r="A1972" t="str">
        <f>"31/07/2017"</f>
        <v>31/07/2017</v>
      </c>
      <c r="B1972" t="str">
        <f>"7.9458"</f>
        <v>7.9458</v>
      </c>
      <c r="C1972" t="str">
        <f>"7.94"</f>
        <v>7.94</v>
      </c>
    </row>
    <row r="1973" spans="1:3" x14ac:dyDescent="0.25">
      <c r="A1973" t="str">
        <f>"01/08/2017"</f>
        <v>01/08/2017</v>
      </c>
      <c r="B1973" t="str">
        <f>"7.8964"</f>
        <v>7.8964</v>
      </c>
      <c r="C1973" t="str">
        <f>"7.8907"</f>
        <v>7.8907</v>
      </c>
    </row>
    <row r="1974" spans="1:3" x14ac:dyDescent="0.25">
      <c r="A1974" t="str">
        <f>"02/08/2017"</f>
        <v>02/08/2017</v>
      </c>
      <c r="B1974" t="str">
        <f>"7.9174"</f>
        <v>7.9174</v>
      </c>
      <c r="C1974" t="str">
        <f>"7.9117"</f>
        <v>7.9117</v>
      </c>
    </row>
    <row r="1975" spans="1:3" x14ac:dyDescent="0.25">
      <c r="A1975" t="str">
        <f>"03/08/2017"</f>
        <v>03/08/2017</v>
      </c>
      <c r="B1975" t="str">
        <f>"7.9132"</f>
        <v>7.9132</v>
      </c>
      <c r="C1975" t="str">
        <f>"7.9079"</f>
        <v>7.9079</v>
      </c>
    </row>
    <row r="1976" spans="1:3" x14ac:dyDescent="0.25">
      <c r="A1976" t="str">
        <f>"04/08/2017"</f>
        <v>04/08/2017</v>
      </c>
      <c r="B1976" t="str">
        <f>"7.8939"</f>
        <v>7.8939</v>
      </c>
      <c r="C1976" t="str">
        <f>"7.8888"</f>
        <v>7.8888</v>
      </c>
    </row>
    <row r="1977" spans="1:3" x14ac:dyDescent="0.25">
      <c r="A1977" t="str">
        <f>"07/08/2017"</f>
        <v>07/08/2017</v>
      </c>
      <c r="B1977" t="str">
        <f>"7.9468"</f>
        <v>7.9468</v>
      </c>
      <c r="C1977" t="str">
        <f>"7.9414"</f>
        <v>7.9414</v>
      </c>
    </row>
    <row r="1978" spans="1:3" x14ac:dyDescent="0.25">
      <c r="A1978" t="str">
        <f>"08/08/2017"</f>
        <v>08/08/2017</v>
      </c>
      <c r="B1978" t="str">
        <f>"7.9166"</f>
        <v>7.9166</v>
      </c>
      <c r="C1978" t="str">
        <f>"7.9113"</f>
        <v>7.9113</v>
      </c>
    </row>
    <row r="1979" spans="1:3" x14ac:dyDescent="0.25">
      <c r="A1979" t="str">
        <f>"09/08/2017"</f>
        <v>09/08/2017</v>
      </c>
      <c r="B1979" t="str">
        <f>"7.9669"</f>
        <v>7.9669</v>
      </c>
      <c r="C1979" t="str">
        <f>"7.962"</f>
        <v>7.962</v>
      </c>
    </row>
    <row r="1980" spans="1:3" x14ac:dyDescent="0.25">
      <c r="A1980" t="str">
        <f>"10/08/2017"</f>
        <v>10/08/2017</v>
      </c>
      <c r="B1980" t="str">
        <f>"7.9679"</f>
        <v>7.9679</v>
      </c>
      <c r="C1980" t="str">
        <f>"7.9629"</f>
        <v>7.9629</v>
      </c>
    </row>
    <row r="1981" spans="1:3" x14ac:dyDescent="0.25">
      <c r="A1981" t="str">
        <f>"11/08/2017"</f>
        <v>11/08/2017</v>
      </c>
      <c r="B1981" t="str">
        <f>"7.9962"</f>
        <v>7.9962</v>
      </c>
      <c r="C1981" t="str">
        <f>"7.9912"</f>
        <v>7.9912</v>
      </c>
    </row>
    <row r="1982" spans="1:3" x14ac:dyDescent="0.25">
      <c r="A1982" t="str">
        <f>"14/08/2017"</f>
        <v>14/08/2017</v>
      </c>
      <c r="B1982" t="str">
        <f>"7.9297"</f>
        <v>7.9297</v>
      </c>
      <c r="C1982" t="str">
        <f>"7.9244"</f>
        <v>7.9244</v>
      </c>
    </row>
    <row r="1983" spans="1:3" x14ac:dyDescent="0.25">
      <c r="A1983" t="str">
        <f>"16/08/2017"</f>
        <v>16/08/2017</v>
      </c>
      <c r="B1983" t="str">
        <f>"7.9563"</f>
        <v>7.9563</v>
      </c>
      <c r="C1983" t="str">
        <f>"7.9514"</f>
        <v>7.9514</v>
      </c>
    </row>
    <row r="1984" spans="1:3" x14ac:dyDescent="0.25">
      <c r="A1984" t="str">
        <f>"18/08/2017"</f>
        <v>18/08/2017</v>
      </c>
      <c r="B1984" t="str">
        <f>"7.937"</f>
        <v>7.937</v>
      </c>
      <c r="C1984" t="str">
        <f>"7.9318"</f>
        <v>7.9318</v>
      </c>
    </row>
    <row r="1985" spans="1:3" x14ac:dyDescent="0.25">
      <c r="A1985" t="str">
        <f>"21/08/2017"</f>
        <v>21/08/2017</v>
      </c>
      <c r="B1985" t="str">
        <f>"7.8985"</f>
        <v>7.8985</v>
      </c>
      <c r="C1985" t="str">
        <f>"7.893"</f>
        <v>7.893</v>
      </c>
    </row>
    <row r="1986" spans="1:3" x14ac:dyDescent="0.25">
      <c r="A1986" t="str">
        <f>"22/08/2017"</f>
        <v>22/08/2017</v>
      </c>
      <c r="B1986" t="str">
        <f>"7.9159"</f>
        <v>7.9159</v>
      </c>
      <c r="C1986" t="str">
        <f>"7.9106"</f>
        <v>7.9106</v>
      </c>
    </row>
    <row r="1987" spans="1:3" x14ac:dyDescent="0.25">
      <c r="A1987" t="str">
        <f>"23/08/2017"</f>
        <v>23/08/2017</v>
      </c>
      <c r="B1987" t="str">
        <f>"7.8924"</f>
        <v>7.8924</v>
      </c>
      <c r="C1987" t="str">
        <f>"7.8872"</f>
        <v>7.8872</v>
      </c>
    </row>
    <row r="1988" spans="1:3" x14ac:dyDescent="0.25">
      <c r="A1988" t="str">
        <f>"24/08/2017"</f>
        <v>24/08/2017</v>
      </c>
      <c r="B1988" t="str">
        <f>"7.8494"</f>
        <v>7.8494</v>
      </c>
      <c r="C1988" t="str">
        <f>"7.8442"</f>
        <v>7.8442</v>
      </c>
    </row>
    <row r="1989" spans="1:3" x14ac:dyDescent="0.25">
      <c r="A1989" t="str">
        <f>"28/08/2017"</f>
        <v>28/08/2017</v>
      </c>
      <c r="B1989" t="str">
        <f>"7.7726"</f>
        <v>7.7726</v>
      </c>
      <c r="C1989" t="str">
        <f>"7.7676"</f>
        <v>7.7676</v>
      </c>
    </row>
    <row r="1990" spans="1:3" x14ac:dyDescent="0.25">
      <c r="A1990" t="str">
        <f>"29/08/2017"</f>
        <v>29/08/2017</v>
      </c>
      <c r="B1990" t="str">
        <f>"7.7103"</f>
        <v>7.7103</v>
      </c>
      <c r="C1990" t="str">
        <f>"7.7054"</f>
        <v>7.7054</v>
      </c>
    </row>
    <row r="1991" spans="1:3" x14ac:dyDescent="0.25">
      <c r="A1991" t="str">
        <f>"30/08/2017"</f>
        <v>30/08/2017</v>
      </c>
      <c r="B1991" t="str">
        <f>"7.7447"</f>
        <v>7.7447</v>
      </c>
      <c r="C1991" t="str">
        <f>"7.7399"</f>
        <v>7.7399</v>
      </c>
    </row>
    <row r="1992" spans="1:3" x14ac:dyDescent="0.25">
      <c r="A1992" t="str">
        <f>"31/08/2017"</f>
        <v>31/08/2017</v>
      </c>
      <c r="B1992" t="str">
        <f>"7.8367"</f>
        <v>7.8367</v>
      </c>
      <c r="C1992" t="str">
        <f>"7.8315"</f>
        <v>7.8315</v>
      </c>
    </row>
    <row r="1993" spans="1:3" x14ac:dyDescent="0.25">
      <c r="A1993" t="str">
        <f>"01/09/2017"</f>
        <v>01/09/2017</v>
      </c>
      <c r="B1993" t="str">
        <f>"7.7708"</f>
        <v>7.7708</v>
      </c>
      <c r="C1993" t="str">
        <f>"7.7657"</f>
        <v>7.7657</v>
      </c>
    </row>
    <row r="1994" spans="1:3" x14ac:dyDescent="0.25">
      <c r="A1994" t="str">
        <f>"04/09/2017"</f>
        <v>04/09/2017</v>
      </c>
      <c r="B1994" t="str">
        <f>"7.7869"</f>
        <v>7.7869</v>
      </c>
      <c r="C1994" t="str">
        <f>"7.782"</f>
        <v>7.782</v>
      </c>
    </row>
    <row r="1995" spans="1:3" x14ac:dyDescent="0.25">
      <c r="A1995" t="str">
        <f>"05/09/2017"</f>
        <v>05/09/2017</v>
      </c>
      <c r="B1995" t="str">
        <f>"7.8082"</f>
        <v>7.8082</v>
      </c>
      <c r="C1995" t="str">
        <f>"7.8026"</f>
        <v>7.8026</v>
      </c>
    </row>
    <row r="1996" spans="1:3" x14ac:dyDescent="0.25">
      <c r="A1996" t="str">
        <f>"06/09/2017"</f>
        <v>06/09/2017</v>
      </c>
      <c r="B1996" t="str">
        <f>"7.7916"</f>
        <v>7.7916</v>
      </c>
      <c r="C1996" t="str">
        <f>"7.7861"</f>
        <v>7.7861</v>
      </c>
    </row>
    <row r="1997" spans="1:3" x14ac:dyDescent="0.25">
      <c r="A1997" t="str">
        <f>"07/09/2017"</f>
        <v>07/09/2017</v>
      </c>
      <c r="B1997" t="str">
        <f>"7.7633"</f>
        <v>7.7633</v>
      </c>
      <c r="C1997" t="str">
        <f>"7.7582"</f>
        <v>7.7582</v>
      </c>
    </row>
    <row r="1998" spans="1:3" x14ac:dyDescent="0.25">
      <c r="A1998" t="str">
        <f>"08/09/2017"</f>
        <v>08/09/2017</v>
      </c>
      <c r="B1998" t="str">
        <f>"7.7207"</f>
        <v>7.7207</v>
      </c>
      <c r="C1998" t="str">
        <f>"7.7156"</f>
        <v>7.7156</v>
      </c>
    </row>
    <row r="1999" spans="1:3" x14ac:dyDescent="0.25">
      <c r="A1999" t="str">
        <f>"11/09/2017"</f>
        <v>11/09/2017</v>
      </c>
      <c r="B1999" t="str">
        <f>"7.7948"</f>
        <v>7.7948</v>
      </c>
      <c r="C1999" t="str">
        <f>"7.7899"</f>
        <v>7.7899</v>
      </c>
    </row>
    <row r="2000" spans="1:3" x14ac:dyDescent="0.25">
      <c r="A2000" t="str">
        <f>"12/09/2017"</f>
        <v>12/09/2017</v>
      </c>
      <c r="B2000" t="str">
        <f>"7.8586"</f>
        <v>7.8586</v>
      </c>
      <c r="C2000" t="str">
        <f>"7.8534"</f>
        <v>7.8534</v>
      </c>
    </row>
    <row r="2001" spans="1:3" x14ac:dyDescent="0.25">
      <c r="A2001" t="str">
        <f>"13/09/2017"</f>
        <v>13/09/2017</v>
      </c>
      <c r="B2001" t="str">
        <f>"7.852"</f>
        <v>7.852</v>
      </c>
      <c r="C2001" t="str">
        <f>"7.8468"</f>
        <v>7.8468</v>
      </c>
    </row>
    <row r="2002" spans="1:3" x14ac:dyDescent="0.25">
      <c r="A2002" t="str">
        <f>"14/09/2017"</f>
        <v>14/09/2017</v>
      </c>
      <c r="B2002" t="str">
        <f>"7.9012"</f>
        <v>7.9012</v>
      </c>
      <c r="C2002" t="str">
        <f>"7.896"</f>
        <v>7.896</v>
      </c>
    </row>
    <row r="2003" spans="1:3" x14ac:dyDescent="0.25">
      <c r="A2003" t="str">
        <f>"15/09/2017"</f>
        <v>15/09/2017</v>
      </c>
      <c r="B2003" t="str">
        <f>"7.8841"</f>
        <v>7.8841</v>
      </c>
      <c r="C2003" t="str">
        <f>"7.8791"</f>
        <v>7.8791</v>
      </c>
    </row>
    <row r="2004" spans="1:3" x14ac:dyDescent="0.25">
      <c r="A2004" t="str">
        <f>"18/09/2017"</f>
        <v>18/09/2017</v>
      </c>
      <c r="B2004" t="str">
        <f>"7.8185"</f>
        <v>7.8185</v>
      </c>
      <c r="C2004" t="str">
        <f>"7.8135"</f>
        <v>7.8135</v>
      </c>
    </row>
    <row r="2005" spans="1:3" x14ac:dyDescent="0.25">
      <c r="A2005" t="str">
        <f>"19/09/2017"</f>
        <v>19/09/2017</v>
      </c>
      <c r="B2005" t="str">
        <f>"7.8067"</f>
        <v>7.8067</v>
      </c>
      <c r="C2005" t="str">
        <f>"7.8011"</f>
        <v>7.8011</v>
      </c>
    </row>
    <row r="2006" spans="1:3" x14ac:dyDescent="0.25">
      <c r="A2006" t="str">
        <f>"20/09/2017"</f>
        <v>20/09/2017</v>
      </c>
      <c r="B2006" t="str">
        <f>"7.8002"</f>
        <v>7.8002</v>
      </c>
      <c r="C2006" t="str">
        <f>"7.795"</f>
        <v>7.795</v>
      </c>
    </row>
    <row r="2007" spans="1:3" x14ac:dyDescent="0.25">
      <c r="A2007" t="str">
        <f>"21/09/2017"</f>
        <v>21/09/2017</v>
      </c>
      <c r="B2007" t="str">
        <f>"7.8313"</f>
        <v>7.8313</v>
      </c>
      <c r="C2007" t="str">
        <f>"7.8261"</f>
        <v>7.8261</v>
      </c>
    </row>
    <row r="2008" spans="1:3" x14ac:dyDescent="0.25">
      <c r="A2008" t="str">
        <f>"22/09/2017"</f>
        <v>22/09/2017</v>
      </c>
      <c r="B2008" t="str">
        <f>"7.7837"</f>
        <v>7.7837</v>
      </c>
      <c r="C2008" t="str">
        <f>"7.7784"</f>
        <v>7.7784</v>
      </c>
    </row>
    <row r="2009" spans="1:3" x14ac:dyDescent="0.25">
      <c r="A2009" t="str">
        <f>"25/09/2017"</f>
        <v>25/09/2017</v>
      </c>
      <c r="B2009" t="str">
        <f>"7.8181"</f>
        <v>7.8181</v>
      </c>
      <c r="C2009" t="str">
        <f>"7.8124"</f>
        <v>7.8124</v>
      </c>
    </row>
    <row r="2010" spans="1:3" x14ac:dyDescent="0.25">
      <c r="A2010" t="str">
        <f>"26/09/2017"</f>
        <v>26/09/2017</v>
      </c>
      <c r="B2010" t="str">
        <f>"7.8714"</f>
        <v>7.8714</v>
      </c>
      <c r="C2010" t="str">
        <f>"7.8648"</f>
        <v>7.8648</v>
      </c>
    </row>
    <row r="2011" spans="1:3" x14ac:dyDescent="0.25">
      <c r="A2011" t="str">
        <f>"27/09/2017"</f>
        <v>27/09/2017</v>
      </c>
      <c r="B2011" t="str">
        <f>"7.9526"</f>
        <v>7.9526</v>
      </c>
      <c r="C2011" t="str">
        <f>"7.9458"</f>
        <v>7.9458</v>
      </c>
    </row>
    <row r="2012" spans="1:3" x14ac:dyDescent="0.25">
      <c r="A2012" t="str">
        <f>"28/09/2017"</f>
        <v>28/09/2017</v>
      </c>
      <c r="B2012" t="str">
        <f>"7.9661"</f>
        <v>7.9661</v>
      </c>
      <c r="C2012" t="str">
        <f>"7.9596"</f>
        <v>7.9596</v>
      </c>
    </row>
    <row r="2013" spans="1:3" x14ac:dyDescent="0.25">
      <c r="A2013" t="str">
        <f>"29/09/2017"</f>
        <v>29/09/2017</v>
      </c>
      <c r="B2013" t="str">
        <f>"7.9631"</f>
        <v>7.9631</v>
      </c>
      <c r="C2013" t="str">
        <f>"7.9578"</f>
        <v>7.9578</v>
      </c>
    </row>
    <row r="2014" spans="1:3" x14ac:dyDescent="0.25">
      <c r="A2014" t="str">
        <f>"03/10/2017"</f>
        <v>03/10/2017</v>
      </c>
      <c r="B2014" t="str">
        <f>"7.9856"</f>
        <v>7.9856</v>
      </c>
      <c r="C2014" t="str">
        <f>"7.9799"</f>
        <v>7.9799</v>
      </c>
    </row>
    <row r="2015" spans="1:3" x14ac:dyDescent="0.25">
      <c r="A2015" t="str">
        <f>"04/10/2017"</f>
        <v>04/10/2017</v>
      </c>
      <c r="B2015" t="str">
        <f>"7.945"</f>
        <v>7.945</v>
      </c>
      <c r="C2015" t="str">
        <f>"7.9397"</f>
        <v>7.9397</v>
      </c>
    </row>
    <row r="2016" spans="1:3" x14ac:dyDescent="0.25">
      <c r="A2016" t="str">
        <f>"05/10/2017"</f>
        <v>05/10/2017</v>
      </c>
      <c r="B2016" t="str">
        <f>"7.9696"</f>
        <v>7.9696</v>
      </c>
      <c r="C2016" t="str">
        <f>"7.9642"</f>
        <v>7.9642</v>
      </c>
    </row>
    <row r="2017" spans="1:3" x14ac:dyDescent="0.25">
      <c r="A2017" t="str">
        <f>"06/10/2017"</f>
        <v>06/10/2017</v>
      </c>
      <c r="B2017" t="str">
        <f>"8.0021"</f>
        <v>8.0021</v>
      </c>
      <c r="C2017" t="str">
        <f>"7.9966"</f>
        <v>7.9966</v>
      </c>
    </row>
    <row r="2018" spans="1:3" x14ac:dyDescent="0.25">
      <c r="A2018" t="str">
        <f>"09/10/2017"</f>
        <v>09/10/2017</v>
      </c>
      <c r="B2018" t="str">
        <f>"7.9899"</f>
        <v>7.9899</v>
      </c>
      <c r="C2018" t="str">
        <f>"7.9841"</f>
        <v>7.9841</v>
      </c>
    </row>
    <row r="2019" spans="1:3" x14ac:dyDescent="0.25">
      <c r="A2019" t="str">
        <f>"10/10/2017"</f>
        <v>10/10/2017</v>
      </c>
      <c r="B2019" t="str">
        <f>"7.9641"</f>
        <v>7.9641</v>
      </c>
      <c r="C2019" t="str">
        <f>"7.9585"</f>
        <v>7.9585</v>
      </c>
    </row>
    <row r="2020" spans="1:3" x14ac:dyDescent="0.25">
      <c r="A2020" t="str">
        <f>"11/10/2017"</f>
        <v>11/10/2017</v>
      </c>
      <c r="B2020" t="str">
        <f>"7.9365"</f>
        <v>7.9365</v>
      </c>
      <c r="C2020" t="str">
        <f>"7.931"</f>
        <v>7.931</v>
      </c>
    </row>
    <row r="2021" spans="1:3" x14ac:dyDescent="0.25">
      <c r="A2021" t="str">
        <f>"12/10/2017"</f>
        <v>12/10/2017</v>
      </c>
      <c r="B2021" t="str">
        <f>"7.9017"</f>
        <v>7.9017</v>
      </c>
      <c r="C2021" t="str">
        <f>"7.8963"</f>
        <v>7.8963</v>
      </c>
    </row>
    <row r="2022" spans="1:3" x14ac:dyDescent="0.25">
      <c r="A2022" t="str">
        <f>"13/10/2017"</f>
        <v>13/10/2017</v>
      </c>
      <c r="B2022" t="str">
        <f>"7.9051"</f>
        <v>7.9051</v>
      </c>
      <c r="C2022" t="str">
        <f>"7.90"</f>
        <v>7.90</v>
      </c>
    </row>
    <row r="2023" spans="1:3" x14ac:dyDescent="0.25">
      <c r="A2023" t="str">
        <f>"16/10/2017"</f>
        <v>16/10/2017</v>
      </c>
      <c r="B2023" t="str">
        <f>"7.8853"</f>
        <v>7.8853</v>
      </c>
      <c r="C2023" t="str">
        <f>"7.8798"</f>
        <v>7.8798</v>
      </c>
    </row>
    <row r="2024" spans="1:3" x14ac:dyDescent="0.25">
      <c r="A2024" t="str">
        <f>"17/10/2017"</f>
        <v>17/10/2017</v>
      </c>
      <c r="B2024" t="str">
        <f>"7.934"</f>
        <v>7.934</v>
      </c>
      <c r="C2024" t="str">
        <f>"7.9287"</f>
        <v>7.9287</v>
      </c>
    </row>
    <row r="2025" spans="1:3" x14ac:dyDescent="0.25">
      <c r="A2025" t="str">
        <f>"18/10/2017"</f>
        <v>18/10/2017</v>
      </c>
      <c r="B2025" t="str">
        <f>"7.958"</f>
        <v>7.958</v>
      </c>
      <c r="C2025" t="str">
        <f>"7.9529"</f>
        <v>7.9529</v>
      </c>
    </row>
    <row r="2026" spans="1:3" x14ac:dyDescent="0.25">
      <c r="A2026" t="str">
        <f>"23/10/2017"</f>
        <v>23/10/2017</v>
      </c>
      <c r="B2026" t="str">
        <f>"7.9973"</f>
        <v>7.9973</v>
      </c>
      <c r="C2026" t="str">
        <f>"7.9918"</f>
        <v>7.9918</v>
      </c>
    </row>
    <row r="2027" spans="1:3" x14ac:dyDescent="0.25">
      <c r="A2027" t="str">
        <f>"24/10/2017"</f>
        <v>24/10/2017</v>
      </c>
      <c r="B2027" t="str">
        <f>"7.9859"</f>
        <v>7.9859</v>
      </c>
      <c r="C2027" t="str">
        <f>"7.9806"</f>
        <v>7.9806</v>
      </c>
    </row>
    <row r="2028" spans="1:3" x14ac:dyDescent="0.25">
      <c r="A2028" t="str">
        <f>"25/10/2017"</f>
        <v>25/10/2017</v>
      </c>
      <c r="B2028" t="str">
        <f>"8.0144"</f>
        <v>8.0144</v>
      </c>
      <c r="C2028" t="str">
        <f>"8.0092"</f>
        <v>8.0092</v>
      </c>
    </row>
    <row r="2029" spans="1:3" x14ac:dyDescent="0.25">
      <c r="A2029" t="str">
        <f>"26/10/2017"</f>
        <v>26/10/2017</v>
      </c>
      <c r="B2029" t="str">
        <f>"8.0435"</f>
        <v>8.0435</v>
      </c>
      <c r="C2029" t="str">
        <f>"8.0381"</f>
        <v>8.0381</v>
      </c>
    </row>
    <row r="2030" spans="1:3" x14ac:dyDescent="0.25">
      <c r="A2030" t="str">
        <f>"27/10/2017"</f>
        <v>27/10/2017</v>
      </c>
      <c r="B2030" t="str">
        <f>"8.1995"</f>
        <v>8.1995</v>
      </c>
      <c r="C2030" t="str">
        <f>"8.1941"</f>
        <v>8.1941</v>
      </c>
    </row>
    <row r="2031" spans="1:3" x14ac:dyDescent="0.25">
      <c r="A2031" t="str">
        <f>"30/10/2017"</f>
        <v>30/10/2017</v>
      </c>
      <c r="B2031" t="str">
        <f>"8.1631"</f>
        <v>8.1631</v>
      </c>
      <c r="C2031" t="str">
        <f>"8.1577"</f>
        <v>8.1577</v>
      </c>
    </row>
    <row r="2032" spans="1:3" x14ac:dyDescent="0.25">
      <c r="A2032" t="str">
        <f>"31/10/2017"</f>
        <v>31/10/2017</v>
      </c>
      <c r="B2032" t="str">
        <f>"8.1864"</f>
        <v>8.1864</v>
      </c>
      <c r="C2032" t="str">
        <f>"8.1805"</f>
        <v>8.1805</v>
      </c>
    </row>
    <row r="2033" spans="1:3" x14ac:dyDescent="0.25">
      <c r="A2033" t="str">
        <f>"01/11/2017"</f>
        <v>01/11/2017</v>
      </c>
      <c r="B2033" t="str">
        <f>"8.1443"</f>
        <v>8.1443</v>
      </c>
      <c r="C2033" t="str">
        <f>"8.1386"</f>
        <v>8.1386</v>
      </c>
    </row>
    <row r="2034" spans="1:3" x14ac:dyDescent="0.25">
      <c r="A2034" t="str">
        <f>"02/11/2017"</f>
        <v>02/11/2017</v>
      </c>
      <c r="B2034" t="str">
        <f>"8.144"</f>
        <v>8.144</v>
      </c>
      <c r="C2034" t="str">
        <f>"8.1384"</f>
        <v>8.1384</v>
      </c>
    </row>
    <row r="2035" spans="1:3" x14ac:dyDescent="0.25">
      <c r="A2035" t="str">
        <f>"03/11/2017"</f>
        <v>03/11/2017</v>
      </c>
      <c r="B2035" t="str">
        <f>"8.1544"</f>
        <v>8.1544</v>
      </c>
      <c r="C2035" t="str">
        <f>"8.1487"</f>
        <v>8.1487</v>
      </c>
    </row>
    <row r="2036" spans="1:3" x14ac:dyDescent="0.25">
      <c r="A2036" t="str">
        <f>"06/11/2017"</f>
        <v>06/11/2017</v>
      </c>
      <c r="B2036" t="str">
        <f>"8.1598"</f>
        <v>8.1598</v>
      </c>
      <c r="C2036" t="str">
        <f>"8.154"</f>
        <v>8.154</v>
      </c>
    </row>
    <row r="2037" spans="1:3" x14ac:dyDescent="0.25">
      <c r="A2037" t="str">
        <f>"07/11/2017"</f>
        <v>07/11/2017</v>
      </c>
      <c r="B2037" t="str">
        <f>"8.1754"</f>
        <v>8.1754</v>
      </c>
      <c r="C2037" t="str">
        <f>"8.1691"</f>
        <v>8.1691</v>
      </c>
    </row>
    <row r="2038" spans="1:3" x14ac:dyDescent="0.25">
      <c r="A2038" t="str">
        <f>"08/11/2017"</f>
        <v>08/11/2017</v>
      </c>
      <c r="B2038" t="str">
        <f>"8.1697"</f>
        <v>8.1697</v>
      </c>
      <c r="C2038" t="str">
        <f>"8.1637"</f>
        <v>8.1637</v>
      </c>
    </row>
    <row r="2039" spans="1:3" x14ac:dyDescent="0.25">
      <c r="A2039" t="str">
        <f>"09/11/2017"</f>
        <v>09/11/2017</v>
      </c>
      <c r="B2039" t="str">
        <f>"8.1252"</f>
        <v>8.1252</v>
      </c>
      <c r="C2039" t="str">
        <f>"8.1198"</f>
        <v>8.1198</v>
      </c>
    </row>
    <row r="2040" spans="1:3" x14ac:dyDescent="0.25">
      <c r="A2040" t="str">
        <f>"10/11/2017"</f>
        <v>10/11/2017</v>
      </c>
      <c r="B2040" t="str">
        <f>"8.1294"</f>
        <v>8.1294</v>
      </c>
      <c r="C2040" t="str">
        <f>"8.1241"</f>
        <v>8.1241</v>
      </c>
    </row>
    <row r="2041" spans="1:3" x14ac:dyDescent="0.25">
      <c r="A2041" t="str">
        <f>"13/11/2017"</f>
        <v>13/11/2017</v>
      </c>
      <c r="B2041" t="str">
        <f>"8.1425"</f>
        <v>8.1425</v>
      </c>
      <c r="C2041" t="str">
        <f>"8.137"</f>
        <v>8.137</v>
      </c>
    </row>
    <row r="2042" spans="1:3" x14ac:dyDescent="0.25">
      <c r="A2042" t="str">
        <f>"14/11/2017"</f>
        <v>14/11/2017</v>
      </c>
      <c r="B2042" t="str">
        <f>"8.1881"</f>
        <v>8.1881</v>
      </c>
      <c r="C2042" t="str">
        <f>"8.182"</f>
        <v>8.182</v>
      </c>
    </row>
    <row r="2043" spans="1:3" x14ac:dyDescent="0.25">
      <c r="A2043" t="str">
        <f>"15/11/2017"</f>
        <v>15/11/2017</v>
      </c>
      <c r="B2043" t="str">
        <f>"8.2721"</f>
        <v>8.2721</v>
      </c>
      <c r="C2043" t="str">
        <f>"8.2661"</f>
        <v>8.2661</v>
      </c>
    </row>
    <row r="2044" spans="1:3" x14ac:dyDescent="0.25">
      <c r="A2044" t="str">
        <f>"16/11/2017"</f>
        <v>16/11/2017</v>
      </c>
      <c r="B2044" t="str">
        <f>"8.2111"</f>
        <v>8.2111</v>
      </c>
      <c r="C2044" t="str">
        <f>"8.2053"</f>
        <v>8.2053</v>
      </c>
    </row>
    <row r="2045" spans="1:3" x14ac:dyDescent="0.25">
      <c r="A2045" t="str">
        <f>"17/11/2017"</f>
        <v>17/11/2017</v>
      </c>
      <c r="B2045" t="str">
        <f>"8.1926"</f>
        <v>8.1926</v>
      </c>
      <c r="C2045" t="str">
        <f>"8.1871"</f>
        <v>8.1871</v>
      </c>
    </row>
    <row r="2046" spans="1:3" x14ac:dyDescent="0.25">
      <c r="A2046" t="str">
        <f>"20/11/2017"</f>
        <v>20/11/2017</v>
      </c>
      <c r="B2046" t="str">
        <f>"8.2668"</f>
        <v>8.2668</v>
      </c>
      <c r="C2046" t="str">
        <f>"8.2608"</f>
        <v>8.2608</v>
      </c>
    </row>
    <row r="2047" spans="1:3" x14ac:dyDescent="0.25">
      <c r="A2047" t="str">
        <f>"21/11/2017"</f>
        <v>21/11/2017</v>
      </c>
      <c r="B2047" t="str">
        <f>"8.2709"</f>
        <v>8.2709</v>
      </c>
      <c r="C2047" t="str">
        <f>"8.2643"</f>
        <v>8.2643</v>
      </c>
    </row>
    <row r="2048" spans="1:3" x14ac:dyDescent="0.25">
      <c r="A2048" t="str">
        <f>"22/11/2017"</f>
        <v>22/11/2017</v>
      </c>
      <c r="B2048" t="str">
        <f>"8.2189"</f>
        <v>8.2189</v>
      </c>
      <c r="C2048" t="str">
        <f>"8.2124"</f>
        <v>8.2124</v>
      </c>
    </row>
    <row r="2049" spans="1:3" x14ac:dyDescent="0.25">
      <c r="A2049" t="str">
        <f>"23/11/2017"</f>
        <v>23/11/2017</v>
      </c>
      <c r="B2049" t="str">
        <f>"8.1268"</f>
        <v>8.1268</v>
      </c>
      <c r="C2049" t="str">
        <f>"8.1212"</f>
        <v>8.1212</v>
      </c>
    </row>
    <row r="2050" spans="1:3" x14ac:dyDescent="0.25">
      <c r="A2050" t="str">
        <f>"24/11/2017"</f>
        <v>24/11/2017</v>
      </c>
      <c r="B2050" t="str">
        <f>"8.1334"</f>
        <v>8.1334</v>
      </c>
      <c r="C2050" t="str">
        <f>"8.1277"</f>
        <v>8.1277</v>
      </c>
    </row>
    <row r="2051" spans="1:3" x14ac:dyDescent="0.25">
      <c r="A2051" t="str">
        <f>"27/11/2017"</f>
        <v>27/11/2017</v>
      </c>
      <c r="B2051" t="str">
        <f>"8.1554"</f>
        <v>8.1554</v>
      </c>
      <c r="C2051" t="str">
        <f>"8.1496"</f>
        <v>8.1496</v>
      </c>
    </row>
    <row r="2052" spans="1:3" x14ac:dyDescent="0.25">
      <c r="A2052" t="str">
        <f>"28/11/2017"</f>
        <v>28/11/2017</v>
      </c>
      <c r="B2052" t="str">
        <f>"8.1959"</f>
        <v>8.1959</v>
      </c>
      <c r="C2052" t="str">
        <f>"8.1901"</f>
        <v>8.1901</v>
      </c>
    </row>
    <row r="2053" spans="1:3" x14ac:dyDescent="0.25">
      <c r="A2053" t="str">
        <f>"29/11/2017"</f>
        <v>29/11/2017</v>
      </c>
      <c r="B2053" t="str">
        <f>"8.2478"</f>
        <v>8.2478</v>
      </c>
      <c r="C2053" t="str">
        <f>"8.2375"</f>
        <v>8.2375</v>
      </c>
    </row>
    <row r="2054" spans="1:3" x14ac:dyDescent="0.25">
      <c r="A2054" t="str">
        <f>"30/11/2017"</f>
        <v>30/11/2017</v>
      </c>
      <c r="B2054" t="str">
        <f>"8.2935"</f>
        <v>8.2935</v>
      </c>
      <c r="C2054" t="str">
        <f>"8.2838"</f>
        <v>8.2838</v>
      </c>
    </row>
    <row r="2055" spans="1:3" x14ac:dyDescent="0.25">
      <c r="A2055" t="str">
        <f>"04/12/2017"</f>
        <v>04/12/2017</v>
      </c>
      <c r="B2055" t="str">
        <f>"8.2977"</f>
        <v>8.2977</v>
      </c>
      <c r="C2055" t="str">
        <f>"8.2882"</f>
        <v>8.2882</v>
      </c>
    </row>
    <row r="2056" spans="1:3" x14ac:dyDescent="0.25">
      <c r="A2056" t="str">
        <f>"05/12/2017"</f>
        <v>05/12/2017</v>
      </c>
      <c r="B2056" t="str">
        <f>"8.2815"</f>
        <v>8.2815</v>
      </c>
      <c r="C2056" t="str">
        <f>"8.2711"</f>
        <v>8.2711</v>
      </c>
    </row>
    <row r="2057" spans="1:3" x14ac:dyDescent="0.25">
      <c r="A2057" t="str">
        <f>"06/12/2017"</f>
        <v>06/12/2017</v>
      </c>
      <c r="B2057" t="str">
        <f>"8.2838"</f>
        <v>8.2838</v>
      </c>
      <c r="C2057" t="str">
        <f>"8.2734"</f>
        <v>8.2734</v>
      </c>
    </row>
    <row r="2058" spans="1:3" x14ac:dyDescent="0.25">
      <c r="A2058" t="str">
        <f>"07/12/2017"</f>
        <v>07/12/2017</v>
      </c>
      <c r="B2058" t="str">
        <f>"8.2852"</f>
        <v>8.2852</v>
      </c>
      <c r="C2058" t="str">
        <f>"8.2742"</f>
        <v>8.2742</v>
      </c>
    </row>
    <row r="2059" spans="1:3" x14ac:dyDescent="0.25">
      <c r="A2059" t="str">
        <f>"08/12/2017"</f>
        <v>08/12/2017</v>
      </c>
      <c r="B2059" t="str">
        <f>"8.3339"</f>
        <v>8.3339</v>
      </c>
      <c r="C2059" t="str">
        <f>"8.3223"</f>
        <v>8.3223</v>
      </c>
    </row>
    <row r="2060" spans="1:3" x14ac:dyDescent="0.25">
      <c r="A2060" t="str">
        <f>"11/12/2017"</f>
        <v>11/12/2017</v>
      </c>
      <c r="B2060" t="str">
        <f>"8.3904"</f>
        <v>8.3904</v>
      </c>
      <c r="C2060" t="str">
        <f>"8.3785"</f>
        <v>8.3785</v>
      </c>
    </row>
    <row r="2061" spans="1:3" x14ac:dyDescent="0.25">
      <c r="A2061" t="str">
        <f>"12/12/2017"</f>
        <v>12/12/2017</v>
      </c>
      <c r="B2061" t="str">
        <f>"8.3342"</f>
        <v>8.3342</v>
      </c>
      <c r="C2061" t="str">
        <f>"8.3216"</f>
        <v>8.3216</v>
      </c>
    </row>
    <row r="2062" spans="1:3" x14ac:dyDescent="0.25">
      <c r="A2062" t="str">
        <f>"13/12/2017"</f>
        <v>13/12/2017</v>
      </c>
      <c r="B2062" t="str">
        <f>"8.3647"</f>
        <v>8.3647</v>
      </c>
      <c r="C2062" t="str">
        <f>"8.3519"</f>
        <v>8.3519</v>
      </c>
    </row>
    <row r="2063" spans="1:3" x14ac:dyDescent="0.25">
      <c r="A2063" t="str">
        <f>"14/12/2017"</f>
        <v>14/12/2017</v>
      </c>
      <c r="B2063" t="str">
        <f>"8.2537"</f>
        <v>8.2537</v>
      </c>
      <c r="C2063" t="str">
        <f>"8.2401"</f>
        <v>8.2401</v>
      </c>
    </row>
    <row r="2064" spans="1:3" x14ac:dyDescent="0.25">
      <c r="A2064" t="str">
        <f>"15/12/2017"</f>
        <v>15/12/2017</v>
      </c>
      <c r="B2064" t="str">
        <f>"8.2758"</f>
        <v>8.2758</v>
      </c>
      <c r="C2064" t="str">
        <f>"8.2594"</f>
        <v>8.2594</v>
      </c>
    </row>
    <row r="2065" spans="1:3" x14ac:dyDescent="0.25">
      <c r="A2065" t="str">
        <f>"18/12/2017"</f>
        <v>18/12/2017</v>
      </c>
      <c r="B2065" t="str">
        <f>"8.3678"</f>
        <v>8.3678</v>
      </c>
      <c r="C2065" t="str">
        <f>"8.3516"</f>
        <v>8.3516</v>
      </c>
    </row>
    <row r="2066" spans="1:3" x14ac:dyDescent="0.25">
      <c r="A2066" t="str">
        <f>"19/12/2017"</f>
        <v>19/12/2017</v>
      </c>
      <c r="B2066" t="str">
        <f>"8.3639"</f>
        <v>8.3639</v>
      </c>
      <c r="C2066" t="str">
        <f>"8.3494"</f>
        <v>8.3494</v>
      </c>
    </row>
    <row r="2067" spans="1:3" x14ac:dyDescent="0.25">
      <c r="A2067" t="str">
        <f>"20/12/2017"</f>
        <v>20/12/2017</v>
      </c>
      <c r="B2067" t="str">
        <f>"8.3414"</f>
        <v>8.3414</v>
      </c>
      <c r="C2067" t="str">
        <f>"8.3269"</f>
        <v>8.3269</v>
      </c>
    </row>
    <row r="2068" spans="1:3" x14ac:dyDescent="0.25">
      <c r="A2068" t="str">
        <f>"21/12/2017"</f>
        <v>21/12/2017</v>
      </c>
      <c r="B2068" t="str">
        <f>"8.4137"</f>
        <v>8.4137</v>
      </c>
      <c r="C2068" t="str">
        <f>"8.3984"</f>
        <v>8.3984</v>
      </c>
    </row>
    <row r="2069" spans="1:3" x14ac:dyDescent="0.25">
      <c r="A2069" t="str">
        <f>"22/12/2017"</f>
        <v>22/12/2017</v>
      </c>
      <c r="B2069" t="str">
        <f>"8.3653"</f>
        <v>8.3653</v>
      </c>
      <c r="C2069" t="str">
        <f>"8.3493"</f>
        <v>8.3493</v>
      </c>
    </row>
    <row r="2070" spans="1:3" x14ac:dyDescent="0.25">
      <c r="A2070" t="str">
        <f>"26/12/2017"</f>
        <v>26/12/2017</v>
      </c>
      <c r="B2070" t="str">
        <f>"8.3338"</f>
        <v>8.3338</v>
      </c>
      <c r="C2070" t="str">
        <f>"8.3178"</f>
        <v>8.3178</v>
      </c>
    </row>
    <row r="2071" spans="1:3" x14ac:dyDescent="0.25">
      <c r="A2071" t="str">
        <f>"27/12/2017"</f>
        <v>27/12/2017</v>
      </c>
      <c r="B2071" t="str">
        <f>"8.2879"</f>
        <v>8.2879</v>
      </c>
      <c r="C2071" t="str">
        <f>"8.2707"</f>
        <v>8.2707</v>
      </c>
    </row>
    <row r="2072" spans="1:3" x14ac:dyDescent="0.25">
      <c r="A2072" t="str">
        <f>"28/12/2017"</f>
        <v>28/12/2017</v>
      </c>
      <c r="B2072" t="str">
        <f>"8.2688"</f>
        <v>8.2688</v>
      </c>
      <c r="C2072" t="str">
        <f>"8.2614"</f>
        <v>8.2614</v>
      </c>
    </row>
    <row r="2073" spans="1:3" x14ac:dyDescent="0.25">
      <c r="A2073" t="str">
        <f>"29/12/2017"</f>
        <v>29/12/2017</v>
      </c>
      <c r="B2073" t="str">
        <f>"8.1943"</f>
        <v>8.1943</v>
      </c>
      <c r="C2073" t="str">
        <f>"8.1867"</f>
        <v>8.1867</v>
      </c>
    </row>
    <row r="2074" spans="1:3" x14ac:dyDescent="0.25">
      <c r="A2074" t="str">
        <f>"02/01/2018"</f>
        <v>02/01/2018</v>
      </c>
      <c r="B2074" t="str">
        <f>"8.1099"</f>
        <v>8.1099</v>
      </c>
      <c r="C2074" t="str">
        <f>"8.1026"</f>
        <v>8.1026</v>
      </c>
    </row>
    <row r="2075" spans="1:3" x14ac:dyDescent="0.25">
      <c r="A2075" t="str">
        <f>"03/01/2018"</f>
        <v>03/01/2018</v>
      </c>
      <c r="B2075" t="str">
        <f>"8.1109"</f>
        <v>8.1109</v>
      </c>
      <c r="C2075" t="str">
        <f>"8.1036"</f>
        <v>8.1036</v>
      </c>
    </row>
    <row r="2076" spans="1:3" x14ac:dyDescent="0.25">
      <c r="A2076" t="str">
        <f>"04/01/2018"</f>
        <v>04/01/2018</v>
      </c>
      <c r="B2076" t="str">
        <f>"8.1001"</f>
        <v>8.1001</v>
      </c>
      <c r="C2076" t="str">
        <f>"8.0924"</f>
        <v>8.0924</v>
      </c>
    </row>
    <row r="2077" spans="1:3" x14ac:dyDescent="0.25">
      <c r="A2077" t="str">
        <f>"05/01/2018"</f>
        <v>05/01/2018</v>
      </c>
      <c r="B2077" t="str">
        <f>"8.0779"</f>
        <v>8.0779</v>
      </c>
      <c r="C2077" t="str">
        <f>"8.0704"</f>
        <v>8.0704</v>
      </c>
    </row>
    <row r="2078" spans="1:3" x14ac:dyDescent="0.25">
      <c r="A2078" t="str">
        <f>"08/01/2018"</f>
        <v>08/01/2018</v>
      </c>
      <c r="B2078" t="str">
        <f>"8.0643"</f>
        <v>8.0643</v>
      </c>
      <c r="C2078" t="str">
        <f>"8.0568"</f>
        <v>8.0568</v>
      </c>
    </row>
    <row r="2079" spans="1:3" x14ac:dyDescent="0.25">
      <c r="A2079" t="str">
        <f>"09/01/2018"</f>
        <v>09/01/2018</v>
      </c>
      <c r="B2079" t="str">
        <f>"8.1052"</f>
        <v>8.1052</v>
      </c>
      <c r="C2079" t="str">
        <f>"8.0981"</f>
        <v>8.0981</v>
      </c>
    </row>
    <row r="2080" spans="1:3" x14ac:dyDescent="0.25">
      <c r="A2080" t="str">
        <f>"10/01/2018"</f>
        <v>10/01/2018</v>
      </c>
      <c r="B2080" t="str">
        <f>"8.0471"</f>
        <v>8.0471</v>
      </c>
      <c r="C2080" t="str">
        <f>"8.0402"</f>
        <v>8.0402</v>
      </c>
    </row>
    <row r="2081" spans="1:3" x14ac:dyDescent="0.25">
      <c r="A2081" t="str">
        <f>"11/01/2018"</f>
        <v>11/01/2018</v>
      </c>
      <c r="B2081" t="str">
        <f>"8.0639"</f>
        <v>8.0639</v>
      </c>
      <c r="C2081" t="str">
        <f>"8.0568"</f>
        <v>8.0568</v>
      </c>
    </row>
    <row r="2082" spans="1:3" x14ac:dyDescent="0.25">
      <c r="A2082" t="str">
        <f>"12/01/2018"</f>
        <v>12/01/2018</v>
      </c>
      <c r="B2082" t="str">
        <f>"7.9734"</f>
        <v>7.9734</v>
      </c>
      <c r="C2082" t="str">
        <f>"7.9665"</f>
        <v>7.9665</v>
      </c>
    </row>
    <row r="2083" spans="1:3" x14ac:dyDescent="0.25">
      <c r="A2083" t="str">
        <f>"15/01/2018"</f>
        <v>15/01/2018</v>
      </c>
      <c r="B2083" t="str">
        <f>"7.8815"</f>
        <v>7.8815</v>
      </c>
      <c r="C2083" t="str">
        <f>"7.8742"</f>
        <v>7.8742</v>
      </c>
    </row>
    <row r="2084" spans="1:3" x14ac:dyDescent="0.25">
      <c r="A2084" t="str">
        <f>"16/01/2018"</f>
        <v>16/01/2018</v>
      </c>
      <c r="B2084" t="str">
        <f>"7.8867"</f>
        <v>7.8867</v>
      </c>
      <c r="C2084" t="str">
        <f>"7.8798"</f>
        <v>7.8798</v>
      </c>
    </row>
    <row r="2085" spans="1:3" x14ac:dyDescent="0.25">
      <c r="A2085" t="str">
        <f>"17/01/2018"</f>
        <v>17/01/2018</v>
      </c>
      <c r="B2085" t="str">
        <f>"7.8818"</f>
        <v>7.8818</v>
      </c>
      <c r="C2085" t="str">
        <f>"7.8749"</f>
        <v>7.8749</v>
      </c>
    </row>
    <row r="2086" spans="1:3" x14ac:dyDescent="0.25">
      <c r="A2086" t="str">
        <f>"18/01/2018"</f>
        <v>18/01/2018</v>
      </c>
      <c r="B2086" t="str">
        <f>"7.8492"</f>
        <v>7.8492</v>
      </c>
      <c r="C2086" t="str">
        <f>"7.8426"</f>
        <v>7.8426</v>
      </c>
    </row>
    <row r="2087" spans="1:3" x14ac:dyDescent="0.25">
      <c r="A2087" t="str">
        <f>"19/01/2018"</f>
        <v>19/01/2018</v>
      </c>
      <c r="B2087" t="str">
        <f>"7.8448"</f>
        <v>7.8448</v>
      </c>
      <c r="C2087" t="str">
        <f>"7.8381"</f>
        <v>7.8381</v>
      </c>
    </row>
    <row r="2088" spans="1:3" x14ac:dyDescent="0.25">
      <c r="A2088" t="str">
        <f>"22/01/2018"</f>
        <v>22/01/2018</v>
      </c>
      <c r="B2088" t="str">
        <f>"7.8571"</f>
        <v>7.8571</v>
      </c>
      <c r="C2088" t="str">
        <f>"7.8501"</f>
        <v>7.8501</v>
      </c>
    </row>
    <row r="2089" spans="1:3" x14ac:dyDescent="0.25">
      <c r="A2089" t="str">
        <f>"23/01/2018"</f>
        <v>23/01/2018</v>
      </c>
      <c r="B2089" t="str">
        <f>"7.8808"</f>
        <v>7.8808</v>
      </c>
      <c r="C2089" t="str">
        <f>"7.874"</f>
        <v>7.874</v>
      </c>
    </row>
    <row r="2090" spans="1:3" x14ac:dyDescent="0.25">
      <c r="A2090" t="str">
        <f>"24/01/2018"</f>
        <v>24/01/2018</v>
      </c>
      <c r="B2090" t="str">
        <f>"7.8194"</f>
        <v>7.8194</v>
      </c>
      <c r="C2090" t="str">
        <f>"7.8131"</f>
        <v>7.8131</v>
      </c>
    </row>
    <row r="2091" spans="1:3" x14ac:dyDescent="0.25">
      <c r="A2091" t="str">
        <f>"25/01/2018"</f>
        <v>25/01/2018</v>
      </c>
      <c r="B2091" t="str">
        <f>"7.7274"</f>
        <v>7.7274</v>
      </c>
      <c r="C2091" t="str">
        <f>"7.7213"</f>
        <v>7.7213</v>
      </c>
    </row>
    <row r="2092" spans="1:3" x14ac:dyDescent="0.25">
      <c r="A2092" t="str">
        <f>"29/01/2018"</f>
        <v>29/01/2018</v>
      </c>
      <c r="B2092" t="str">
        <f>"7.7104"</f>
        <v>7.7104</v>
      </c>
      <c r="C2092" t="str">
        <f>"7.7044"</f>
        <v>7.7044</v>
      </c>
    </row>
    <row r="2093" spans="1:3" x14ac:dyDescent="0.25">
      <c r="A2093" t="str">
        <f>"30/01/2018"</f>
        <v>30/01/2018</v>
      </c>
      <c r="B2093" t="str">
        <f>"7.6986"</f>
        <v>7.6986</v>
      </c>
      <c r="C2093" t="str">
        <f>"7.6925"</f>
        <v>7.6925</v>
      </c>
    </row>
    <row r="2094" spans="1:3" x14ac:dyDescent="0.25">
      <c r="A2094" t="str">
        <f>"31/01/2018"</f>
        <v>31/01/2018</v>
      </c>
      <c r="B2094" t="str">
        <f>"7.6906"</f>
        <v>7.6906</v>
      </c>
      <c r="C2094" t="str">
        <f>"7.6843"</f>
        <v>7.6843</v>
      </c>
    </row>
    <row r="2095" spans="1:3" x14ac:dyDescent="0.25">
      <c r="A2095" t="str">
        <f>"01/02/2018"</f>
        <v>01/02/2018</v>
      </c>
      <c r="B2095" t="str">
        <f>"7.6979"</f>
        <v>7.6979</v>
      </c>
      <c r="C2095" t="str">
        <f>"7.6916"</f>
        <v>7.6916</v>
      </c>
    </row>
    <row r="2096" spans="1:3" x14ac:dyDescent="0.25">
      <c r="A2096" t="str">
        <f>"02/02/2018"</f>
        <v>02/02/2018</v>
      </c>
      <c r="B2096" t="str">
        <f>"7.6684"</f>
        <v>7.6684</v>
      </c>
      <c r="C2096" t="str">
        <f>"7.6622"</f>
        <v>7.6622</v>
      </c>
    </row>
    <row r="2097" spans="1:3" x14ac:dyDescent="0.25">
      <c r="A2097" t="str">
        <f>"05/02/2018"</f>
        <v>05/02/2018</v>
      </c>
      <c r="B2097" t="str">
        <f>"7.7137"</f>
        <v>7.7137</v>
      </c>
      <c r="C2097" t="str">
        <f>"7.7076"</f>
        <v>7.7076</v>
      </c>
    </row>
    <row r="2098" spans="1:3" x14ac:dyDescent="0.25">
      <c r="A2098" t="str">
        <f>"06/02/2018"</f>
        <v>06/02/2018</v>
      </c>
      <c r="B2098" t="str">
        <f>"7.814"</f>
        <v>7.814</v>
      </c>
      <c r="C2098" t="str">
        <f>"7.8078"</f>
        <v>7.8078</v>
      </c>
    </row>
    <row r="2099" spans="1:3" x14ac:dyDescent="0.25">
      <c r="A2099" t="str">
        <f>"07/02/2018"</f>
        <v>07/02/2018</v>
      </c>
      <c r="B2099" t="str">
        <f>"7.834"</f>
        <v>7.834</v>
      </c>
      <c r="C2099" t="str">
        <f>"7.8278"</f>
        <v>7.8278</v>
      </c>
    </row>
    <row r="2100" spans="1:3" x14ac:dyDescent="0.25">
      <c r="A2100" t="str">
        <f>"08/02/2018"</f>
        <v>08/02/2018</v>
      </c>
      <c r="B2100" t="str">
        <f>"7.9123"</f>
        <v>7.9123</v>
      </c>
      <c r="C2100" t="str">
        <f>"7.906"</f>
        <v>7.906</v>
      </c>
    </row>
    <row r="2101" spans="1:3" x14ac:dyDescent="0.25">
      <c r="A2101" t="str">
        <f>"09/02/2018"</f>
        <v>09/02/2018</v>
      </c>
      <c r="B2101" t="str">
        <f>"8.0182"</f>
        <v>8.0182</v>
      </c>
      <c r="C2101" t="str">
        <f>"8.0117"</f>
        <v>8.0117</v>
      </c>
    </row>
    <row r="2102" spans="1:3" x14ac:dyDescent="0.25">
      <c r="A2102" t="str">
        <f>"12/02/2018"</f>
        <v>12/02/2018</v>
      </c>
      <c r="B2102" t="str">
        <f>"7.9512"</f>
        <v>7.9512</v>
      </c>
      <c r="C2102" t="str">
        <f>"7.9448"</f>
        <v>7.9448</v>
      </c>
    </row>
    <row r="2103" spans="1:3" x14ac:dyDescent="0.25">
      <c r="A2103" t="str">
        <f>"14/02/2018"</f>
        <v>14/02/2018</v>
      </c>
      <c r="B2103" t="str">
        <f>"7.8757"</f>
        <v>7.8757</v>
      </c>
      <c r="C2103" t="str">
        <f>"7.8695"</f>
        <v>7.8695</v>
      </c>
    </row>
    <row r="2104" spans="1:3" x14ac:dyDescent="0.25">
      <c r="A2104" t="str">
        <f>"15/02/2018"</f>
        <v>15/02/2018</v>
      </c>
      <c r="B2104" t="str">
        <f>"7.7941"</f>
        <v>7.7941</v>
      </c>
      <c r="C2104" t="str">
        <f>"7.7884"</f>
        <v>7.7884</v>
      </c>
    </row>
    <row r="2105" spans="1:3" x14ac:dyDescent="0.25">
      <c r="A2105" t="str">
        <f>"16/02/2018"</f>
        <v>16/02/2018</v>
      </c>
      <c r="B2105" t="str">
        <f>"7.7639"</f>
        <v>7.7639</v>
      </c>
      <c r="C2105" t="str">
        <f>"7.7581"</f>
        <v>7.7581</v>
      </c>
    </row>
    <row r="2106" spans="1:3" x14ac:dyDescent="0.25">
      <c r="A2106" t="str">
        <f>"20/02/2018"</f>
        <v>20/02/2018</v>
      </c>
      <c r="B2106" t="str">
        <f>"7.8391"</f>
        <v>7.8391</v>
      </c>
      <c r="C2106" t="str">
        <f>"7.8336"</f>
        <v>7.8336</v>
      </c>
    </row>
    <row r="2107" spans="1:3" x14ac:dyDescent="0.25">
      <c r="A2107" t="str">
        <f>"21/02/2018"</f>
        <v>21/02/2018</v>
      </c>
      <c r="B2107" t="str">
        <f>"7.847"</f>
        <v>7.847</v>
      </c>
      <c r="C2107" t="str">
        <f>"7.8417"</f>
        <v>7.8417</v>
      </c>
    </row>
    <row r="2108" spans="1:3" x14ac:dyDescent="0.25">
      <c r="A2108" t="str">
        <f>"22/02/2018"</f>
        <v>22/02/2018</v>
      </c>
      <c r="B2108" t="str">
        <f>"7.8985"</f>
        <v>7.8985</v>
      </c>
      <c r="C2108" t="str">
        <f>"7.8929"</f>
        <v>7.8929</v>
      </c>
    </row>
    <row r="2109" spans="1:3" x14ac:dyDescent="0.25">
      <c r="A2109" t="str">
        <f>"23/02/2018"</f>
        <v>23/02/2018</v>
      </c>
      <c r="B2109" t="str">
        <f>"7.8683"</f>
        <v>7.8683</v>
      </c>
      <c r="C2109" t="str">
        <f>"7.8627"</f>
        <v>7.8627</v>
      </c>
    </row>
    <row r="2110" spans="1:3" x14ac:dyDescent="0.25">
      <c r="A2110" t="str">
        <f>"26/02/2018"</f>
        <v>26/02/2018</v>
      </c>
      <c r="B2110" t="str">
        <f>"7.8021"</f>
        <v>7.8021</v>
      </c>
      <c r="C2110" t="str">
        <f>"7.7963"</f>
        <v>7.7963</v>
      </c>
    </row>
    <row r="2111" spans="1:3" x14ac:dyDescent="0.25">
      <c r="A2111" t="str">
        <f>"27/02/2018"</f>
        <v>27/02/2018</v>
      </c>
      <c r="B2111" t="str">
        <f>"7.8191"</f>
        <v>7.8191</v>
      </c>
      <c r="C2111" t="str">
        <f>"7.8108"</f>
        <v>7.8108</v>
      </c>
    </row>
    <row r="2112" spans="1:3" x14ac:dyDescent="0.25">
      <c r="A2112" t="str">
        <f>"28/02/2018"</f>
        <v>28/02/2018</v>
      </c>
      <c r="B2112" t="str">
        <f>"7.8725"</f>
        <v>7.8725</v>
      </c>
      <c r="C2112" t="str">
        <f>"7.8641"</f>
        <v>7.8641</v>
      </c>
    </row>
    <row r="2113" spans="1:3" x14ac:dyDescent="0.25">
      <c r="A2113" t="str">
        <f>"01/03/2018"</f>
        <v>01/03/2018</v>
      </c>
      <c r="B2113" t="str">
        <f>"7.9286"</f>
        <v>7.9286</v>
      </c>
      <c r="C2113" t="str">
        <f>"7.92"</f>
        <v>7.92</v>
      </c>
    </row>
    <row r="2114" spans="1:3" x14ac:dyDescent="0.25">
      <c r="A2114" t="str">
        <f>"05/03/2018"</f>
        <v>05/03/2018</v>
      </c>
      <c r="B2114" t="str">
        <f>"7.8243"</f>
        <v>7.8243</v>
      </c>
      <c r="C2114" t="str">
        <f>"7.815"</f>
        <v>7.815</v>
      </c>
    </row>
    <row r="2115" spans="1:3" x14ac:dyDescent="0.25">
      <c r="A2115" t="str">
        <f>"06/03/2018"</f>
        <v>06/03/2018</v>
      </c>
      <c r="B2115" t="str">
        <f>"7.774"</f>
        <v>7.774</v>
      </c>
      <c r="C2115" t="str">
        <f>"7.7645"</f>
        <v>7.7645</v>
      </c>
    </row>
    <row r="2116" spans="1:3" x14ac:dyDescent="0.25">
      <c r="A2116" t="str">
        <f>"07/03/2018"</f>
        <v>07/03/2018</v>
      </c>
      <c r="B2116" t="str">
        <f>"7.7992"</f>
        <v>7.7992</v>
      </c>
      <c r="C2116" t="str">
        <f>"7.7894"</f>
        <v>7.7894</v>
      </c>
    </row>
    <row r="2117" spans="1:3" x14ac:dyDescent="0.25">
      <c r="A2117" t="str">
        <f>"08/03/2018"</f>
        <v>08/03/2018</v>
      </c>
      <c r="B2117" t="str">
        <f>"7.8518"</f>
        <v>7.8518</v>
      </c>
      <c r="C2117" t="str">
        <f>"7.8418"</f>
        <v>7.8418</v>
      </c>
    </row>
    <row r="2118" spans="1:3" x14ac:dyDescent="0.25">
      <c r="A2118" t="str">
        <f>"09/03/2018"</f>
        <v>09/03/2018</v>
      </c>
      <c r="B2118" t="str">
        <f>"7.7951"</f>
        <v>7.7951</v>
      </c>
      <c r="C2118" t="str">
        <f>"7.7852"</f>
        <v>7.7852</v>
      </c>
    </row>
    <row r="2119" spans="1:3" x14ac:dyDescent="0.25">
      <c r="A2119" t="str">
        <f>"12/03/2018"</f>
        <v>12/03/2018</v>
      </c>
      <c r="B2119" t="str">
        <f>"7.7905"</f>
        <v>7.7905</v>
      </c>
      <c r="C2119" t="str">
        <f>"7.78"</f>
        <v>7.78</v>
      </c>
    </row>
    <row r="2120" spans="1:3" x14ac:dyDescent="0.25">
      <c r="A2120" t="str">
        <f>"13/03/2018"</f>
        <v>13/03/2018</v>
      </c>
      <c r="B2120" t="str">
        <f>"7.7543"</f>
        <v>7.7543</v>
      </c>
      <c r="C2120" t="str">
        <f>"7.7441"</f>
        <v>7.7441</v>
      </c>
    </row>
    <row r="2121" spans="1:3" x14ac:dyDescent="0.25">
      <c r="A2121" t="str">
        <f>"14/03/2018"</f>
        <v>14/03/2018</v>
      </c>
      <c r="B2121" t="str">
        <f>"7.7231"</f>
        <v>7.7231</v>
      </c>
      <c r="C2121" t="str">
        <f>"7.7124"</f>
        <v>7.7124</v>
      </c>
    </row>
    <row r="2122" spans="1:3" x14ac:dyDescent="0.25">
      <c r="A2122" t="str">
        <f>"15/03/2018"</f>
        <v>15/03/2018</v>
      </c>
      <c r="B2122" t="str">
        <f>"7.6981"</f>
        <v>7.6981</v>
      </c>
      <c r="C2122" t="str">
        <f>"7.687"</f>
        <v>7.687</v>
      </c>
    </row>
    <row r="2123" spans="1:3" x14ac:dyDescent="0.25">
      <c r="A2123" t="str">
        <f>"16/03/2018"</f>
        <v>16/03/2018</v>
      </c>
      <c r="B2123" t="str">
        <f>"7.7149"</f>
        <v>7.7149</v>
      </c>
      <c r="C2123" t="str">
        <f>"7.7048"</f>
        <v>7.7048</v>
      </c>
    </row>
    <row r="2124" spans="1:3" x14ac:dyDescent="0.25">
      <c r="A2124" t="str">
        <f>"19/03/2018"</f>
        <v>19/03/2018</v>
      </c>
      <c r="B2124" t="str">
        <f>"7.7505"</f>
        <v>7.7505</v>
      </c>
      <c r="C2124" t="str">
        <f>"7.7396"</f>
        <v>7.7396</v>
      </c>
    </row>
    <row r="2125" spans="1:3" x14ac:dyDescent="0.25">
      <c r="A2125" t="str">
        <f>"20/03/2018"</f>
        <v>20/03/2018</v>
      </c>
      <c r="B2125" t="str">
        <f>"7.7164"</f>
        <v>7.7164</v>
      </c>
      <c r="C2125" t="str">
        <f>"7.7061"</f>
        <v>7.7061</v>
      </c>
    </row>
    <row r="2126" spans="1:3" x14ac:dyDescent="0.25">
      <c r="A2126" t="str">
        <f>"21/03/2018"</f>
        <v>21/03/2018</v>
      </c>
      <c r="B2126" t="str">
        <f>"7.7437"</f>
        <v>7.7437</v>
      </c>
      <c r="C2126" t="str">
        <f>"7.7345"</f>
        <v>7.7345</v>
      </c>
    </row>
    <row r="2127" spans="1:3" x14ac:dyDescent="0.25">
      <c r="A2127" t="str">
        <f>"22/03/2018"</f>
        <v>22/03/2018</v>
      </c>
      <c r="B2127" t="str">
        <f>"7.7256"</f>
        <v>7.7256</v>
      </c>
      <c r="C2127" t="str">
        <f>"7.7165"</f>
        <v>7.7165</v>
      </c>
    </row>
    <row r="2128" spans="1:3" x14ac:dyDescent="0.25">
      <c r="A2128" t="str">
        <f>"23/03/2018"</f>
        <v>23/03/2018</v>
      </c>
      <c r="B2128" t="str">
        <f>"7.7691"</f>
        <v>7.7691</v>
      </c>
      <c r="C2128" t="str">
        <f>"7.7602"</f>
        <v>7.7602</v>
      </c>
    </row>
    <row r="2129" spans="1:3" x14ac:dyDescent="0.25">
      <c r="A2129" t="str">
        <f>"26/03/2018"</f>
        <v>26/03/2018</v>
      </c>
      <c r="B2129" t="str">
        <f>"7.7013"</f>
        <v>7.7013</v>
      </c>
      <c r="C2129" t="str">
        <f>"7.6923"</f>
        <v>7.6923</v>
      </c>
    </row>
    <row r="2130" spans="1:3" x14ac:dyDescent="0.25">
      <c r="A2130" t="str">
        <f>"27/03/2018"</f>
        <v>27/03/2018</v>
      </c>
      <c r="B2130" t="str">
        <f>"7.7119"</f>
        <v>7.7119</v>
      </c>
      <c r="C2130" t="str">
        <f>"7.7052"</f>
        <v>7.7052</v>
      </c>
    </row>
    <row r="2131" spans="1:3" x14ac:dyDescent="0.25">
      <c r="A2131" t="str">
        <f>"28/03/2018"</f>
        <v>28/03/2018</v>
      </c>
      <c r="B2131" t="str">
        <f>"7.7647"</f>
        <v>7.7647</v>
      </c>
      <c r="C2131" t="str">
        <f>"7.7578"</f>
        <v>7.7578</v>
      </c>
    </row>
    <row r="2132" spans="1:3" x14ac:dyDescent="0.25">
      <c r="A2132" t="str">
        <f>"03/04/2018"</f>
        <v>03/04/2018</v>
      </c>
      <c r="B2132" t="str">
        <f>"7.8444"</f>
        <v>7.8444</v>
      </c>
      <c r="C2132" t="str">
        <f>"7.8368"</f>
        <v>7.8368</v>
      </c>
    </row>
    <row r="2133" spans="1:3" x14ac:dyDescent="0.25">
      <c r="A2133" t="str">
        <f>"04/04/2018"</f>
        <v>04/04/2018</v>
      </c>
      <c r="B2133" t="str">
        <f>"7.8522"</f>
        <v>7.8522</v>
      </c>
      <c r="C2133" t="str">
        <f>"7.8441"</f>
        <v>7.8441</v>
      </c>
    </row>
    <row r="2134" spans="1:3" x14ac:dyDescent="0.25">
      <c r="A2134" t="str">
        <f>"05/04/2018"</f>
        <v>05/04/2018</v>
      </c>
      <c r="B2134" t="str">
        <f>"7.8139"</f>
        <v>7.8139</v>
      </c>
      <c r="C2134" t="str">
        <f>"7.806"</f>
        <v>7.806</v>
      </c>
    </row>
    <row r="2135" spans="1:3" x14ac:dyDescent="0.25">
      <c r="A2135" t="str">
        <f>"06/04/2018"</f>
        <v>06/04/2018</v>
      </c>
      <c r="B2135" t="str">
        <f>"7.8312"</f>
        <v>7.8312</v>
      </c>
      <c r="C2135" t="str">
        <f>"7.8232"</f>
        <v>7.8232</v>
      </c>
    </row>
    <row r="2136" spans="1:3" x14ac:dyDescent="0.25">
      <c r="A2136" t="str">
        <f>"09/04/2018"</f>
        <v>09/04/2018</v>
      </c>
      <c r="B2136" t="str">
        <f>"7.8316"</f>
        <v>7.8316</v>
      </c>
      <c r="C2136" t="str">
        <f>"7.8241"</f>
        <v>7.8241</v>
      </c>
    </row>
    <row r="2137" spans="1:3" x14ac:dyDescent="0.25">
      <c r="A2137" t="str">
        <f>"10/04/2018"</f>
        <v>10/04/2018</v>
      </c>
      <c r="B2137" t="str">
        <f>"7.8014"</f>
        <v>7.8014</v>
      </c>
      <c r="C2137" t="str">
        <f>"7.7931"</f>
        <v>7.7931</v>
      </c>
    </row>
    <row r="2138" spans="1:3" x14ac:dyDescent="0.25">
      <c r="A2138" t="str">
        <f>"11/04/2018"</f>
        <v>11/04/2018</v>
      </c>
      <c r="B2138" t="str">
        <f>"7.7723"</f>
        <v>7.7723</v>
      </c>
      <c r="C2138" t="str">
        <f>"7.7646"</f>
        <v>7.7646</v>
      </c>
    </row>
    <row r="2139" spans="1:3" x14ac:dyDescent="0.25">
      <c r="A2139" t="str">
        <f>"12/04/2018"</f>
        <v>12/04/2018</v>
      </c>
      <c r="B2139" t="str">
        <f>"7.7712"</f>
        <v>7.7712</v>
      </c>
      <c r="C2139" t="str">
        <f>"7.7636"</f>
        <v>7.7636</v>
      </c>
    </row>
    <row r="2140" spans="1:3" x14ac:dyDescent="0.25">
      <c r="A2140" t="str">
        <f>"13/04/2018"</f>
        <v>13/04/2018</v>
      </c>
      <c r="B2140" t="str">
        <f>"7.7727"</f>
        <v>7.7727</v>
      </c>
      <c r="C2140" t="str">
        <f>"7.7651"</f>
        <v>7.7651</v>
      </c>
    </row>
    <row r="2141" spans="1:3" x14ac:dyDescent="0.25">
      <c r="A2141" t="str">
        <f>"16/04/2018"</f>
        <v>16/04/2018</v>
      </c>
      <c r="B2141" t="str">
        <f>"7.7605"</f>
        <v>7.7605</v>
      </c>
      <c r="C2141" t="str">
        <f>"7.7532"</f>
        <v>7.7532</v>
      </c>
    </row>
    <row r="2142" spans="1:3" x14ac:dyDescent="0.25">
      <c r="A2142" t="str">
        <f>"17/04/2018"</f>
        <v>17/04/2018</v>
      </c>
      <c r="B2142" t="str">
        <f>"7.7649"</f>
        <v>7.7649</v>
      </c>
      <c r="C2142" t="str">
        <f>"7.7569"</f>
        <v>7.7569</v>
      </c>
    </row>
    <row r="2143" spans="1:3" x14ac:dyDescent="0.25">
      <c r="A2143" t="str">
        <f>"18/04/2018"</f>
        <v>18/04/2018</v>
      </c>
      <c r="B2143" t="str">
        <f>"7.7694"</f>
        <v>7.7694</v>
      </c>
      <c r="C2143" t="str">
        <f>"7.7617"</f>
        <v>7.7617</v>
      </c>
    </row>
    <row r="2144" spans="1:3" x14ac:dyDescent="0.25">
      <c r="A2144" t="str">
        <f>"19/04/2018"</f>
        <v>19/04/2018</v>
      </c>
      <c r="B2144" t="str">
        <f>"7.743"</f>
        <v>7.743</v>
      </c>
      <c r="C2144" t="str">
        <f>"7.7358"</f>
        <v>7.7358</v>
      </c>
    </row>
    <row r="2145" spans="1:3" x14ac:dyDescent="0.25">
      <c r="A2145" t="str">
        <f>"20/04/2018"</f>
        <v>20/04/2018</v>
      </c>
      <c r="B2145" t="str">
        <f>"7.8035"</f>
        <v>7.8035</v>
      </c>
      <c r="C2145" t="str">
        <f>"7.7962"</f>
        <v>7.7962</v>
      </c>
    </row>
    <row r="2146" spans="1:3" x14ac:dyDescent="0.25">
      <c r="A2146" t="str">
        <f>"23/04/2018"</f>
        <v>23/04/2018</v>
      </c>
      <c r="B2146" t="str">
        <f>"7.87"</f>
        <v>7.87</v>
      </c>
      <c r="C2146" t="str">
        <f>"7.8624"</f>
        <v>7.8624</v>
      </c>
    </row>
    <row r="2147" spans="1:3" x14ac:dyDescent="0.25">
      <c r="A2147" t="str">
        <f>"24/04/2018"</f>
        <v>24/04/2018</v>
      </c>
      <c r="B2147" t="str">
        <f>"7.889"</f>
        <v>7.889</v>
      </c>
      <c r="C2147" t="str">
        <f>"7.8805"</f>
        <v>7.8805</v>
      </c>
    </row>
    <row r="2148" spans="1:3" x14ac:dyDescent="0.25">
      <c r="A2148" t="str">
        <f>"25/04/2018"</f>
        <v>25/04/2018</v>
      </c>
      <c r="B2148" t="str">
        <f>"7.9571"</f>
        <v>7.9571</v>
      </c>
      <c r="C2148" t="str">
        <f>"7.9488"</f>
        <v>7.9488</v>
      </c>
    </row>
    <row r="2149" spans="1:3" x14ac:dyDescent="0.25">
      <c r="A2149" t="str">
        <f>"26/04/2018"</f>
        <v>26/04/2018</v>
      </c>
      <c r="B2149" t="str">
        <f>"7.9444"</f>
        <v>7.9444</v>
      </c>
      <c r="C2149" t="str">
        <f>"7.9363"</f>
        <v>7.9363</v>
      </c>
    </row>
    <row r="2150" spans="1:3" x14ac:dyDescent="0.25">
      <c r="A2150" t="str">
        <f>"27/04/2018"</f>
        <v>27/04/2018</v>
      </c>
      <c r="B2150" t="str">
        <f>"8.0016"</f>
        <v>8.0016</v>
      </c>
      <c r="C2150" t="str">
        <f>"7.993"</f>
        <v>7.993</v>
      </c>
    </row>
    <row r="2151" spans="1:3" x14ac:dyDescent="0.25">
      <c r="A2151" t="str">
        <f>"02/05/2018"</f>
        <v>02/05/2018</v>
      </c>
      <c r="B2151" t="str">
        <f>"8.0788"</f>
        <v>8.0788</v>
      </c>
      <c r="C2151" t="str">
        <f>"8.071"</f>
        <v>8.071</v>
      </c>
    </row>
    <row r="2152" spans="1:3" x14ac:dyDescent="0.25">
      <c r="A2152" t="str">
        <f>"03/05/2018"</f>
        <v>03/05/2018</v>
      </c>
      <c r="B2152" t="str">
        <f>"8.0566"</f>
        <v>8.0566</v>
      </c>
      <c r="C2152" t="str">
        <f>"8.049"</f>
        <v>8.049</v>
      </c>
    </row>
    <row r="2153" spans="1:3" x14ac:dyDescent="0.25">
      <c r="A2153" t="str">
        <f>"04/05/2018"</f>
        <v>04/05/2018</v>
      </c>
      <c r="B2153" t="str">
        <f>"8.0659"</f>
        <v>8.0659</v>
      </c>
      <c r="C2153" t="str">
        <f>"8.0579"</f>
        <v>8.0579</v>
      </c>
    </row>
    <row r="2154" spans="1:3" x14ac:dyDescent="0.25">
      <c r="A2154" t="str">
        <f>"07/05/2018"</f>
        <v>07/05/2018</v>
      </c>
      <c r="B2154" t="str">
        <f>"8.0779"</f>
        <v>8.0779</v>
      </c>
      <c r="C2154" t="str">
        <f>"8.0693"</f>
        <v>8.0693</v>
      </c>
    </row>
    <row r="2155" spans="1:3" x14ac:dyDescent="0.25">
      <c r="A2155" t="str">
        <f>"08/05/2018"</f>
        <v>08/05/2018</v>
      </c>
      <c r="B2155" t="str">
        <f>"8.1093"</f>
        <v>8.1093</v>
      </c>
      <c r="C2155" t="str">
        <f>"8.1013"</f>
        <v>8.1013</v>
      </c>
    </row>
    <row r="2156" spans="1:3" x14ac:dyDescent="0.25">
      <c r="A2156" t="str">
        <f>"09/05/2018"</f>
        <v>09/05/2018</v>
      </c>
      <c r="B2156" t="str">
        <f>"8.0887"</f>
        <v>8.0887</v>
      </c>
      <c r="C2156" t="str">
        <f>"8.0808"</f>
        <v>8.0808</v>
      </c>
    </row>
    <row r="2157" spans="1:3" x14ac:dyDescent="0.25">
      <c r="A2157" t="str">
        <f>"10/05/2018"</f>
        <v>10/05/2018</v>
      </c>
      <c r="B2157" t="str">
        <f>"8.0448"</f>
        <v>8.0448</v>
      </c>
      <c r="C2157" t="str">
        <f>"8.0369"</f>
        <v>8.0369</v>
      </c>
    </row>
    <row r="2158" spans="1:3" x14ac:dyDescent="0.25">
      <c r="A2158" t="str">
        <f>"11/05/2018"</f>
        <v>11/05/2018</v>
      </c>
      <c r="B2158" t="str">
        <f>"7.9909"</f>
        <v>7.9909</v>
      </c>
      <c r="C2158" t="str">
        <f>"7.9831"</f>
        <v>7.9831</v>
      </c>
    </row>
    <row r="2159" spans="1:3" x14ac:dyDescent="0.25">
      <c r="A2159" t="str">
        <f>"14/05/2018"</f>
        <v>14/05/2018</v>
      </c>
      <c r="B2159" t="str">
        <f>"7.9926"</f>
        <v>7.9926</v>
      </c>
      <c r="C2159" t="str">
        <f>"7.9845"</f>
        <v>7.9845</v>
      </c>
    </row>
    <row r="2160" spans="1:3" x14ac:dyDescent="0.25">
      <c r="A2160" t="str">
        <f>"15/05/2018"</f>
        <v>15/05/2018</v>
      </c>
      <c r="B2160" t="str">
        <f>"8.0503"</f>
        <v>8.0503</v>
      </c>
      <c r="C2160" t="str">
        <f>"8.0424"</f>
        <v>8.0424</v>
      </c>
    </row>
    <row r="2161" spans="1:3" x14ac:dyDescent="0.25">
      <c r="A2161" t="str">
        <f>"16/05/2018"</f>
        <v>16/05/2018</v>
      </c>
      <c r="B2161" t="str">
        <f>"8.1225"</f>
        <v>8.1225</v>
      </c>
      <c r="C2161" t="str">
        <f>"8.1141"</f>
        <v>8.1141</v>
      </c>
    </row>
    <row r="2162" spans="1:3" x14ac:dyDescent="0.25">
      <c r="A2162" t="str">
        <f>"17/05/2018"</f>
        <v>17/05/2018</v>
      </c>
      <c r="B2162" t="str">
        <f>"8.0915"</f>
        <v>8.0915</v>
      </c>
      <c r="C2162" t="str">
        <f>"8.0832"</f>
        <v>8.0832</v>
      </c>
    </row>
    <row r="2163" spans="1:3" x14ac:dyDescent="0.25">
      <c r="A2163" t="str">
        <f>"18/05/2018"</f>
        <v>18/05/2018</v>
      </c>
      <c r="B2163" t="str">
        <f>"8.1335"</f>
        <v>8.1335</v>
      </c>
      <c r="C2163" t="str">
        <f>"8.1246"</f>
        <v>8.1246</v>
      </c>
    </row>
    <row r="2164" spans="1:3" x14ac:dyDescent="0.25">
      <c r="A2164" t="str">
        <f>"21/05/2018"</f>
        <v>21/05/2018</v>
      </c>
      <c r="B2164" t="str">
        <f>"8.0952"</f>
        <v>8.0952</v>
      </c>
      <c r="C2164" t="str">
        <f>"8.0861"</f>
        <v>8.0861</v>
      </c>
    </row>
    <row r="2165" spans="1:3" x14ac:dyDescent="0.25">
      <c r="A2165" t="str">
        <f>"22/05/2018"</f>
        <v>22/05/2018</v>
      </c>
      <c r="B2165" t="str">
        <f>"8.0384"</f>
        <v>8.0384</v>
      </c>
      <c r="C2165" t="str">
        <f>"8.0297"</f>
        <v>8.0297</v>
      </c>
    </row>
    <row r="2166" spans="1:3" x14ac:dyDescent="0.25">
      <c r="A2166" t="str">
        <f>"23/05/2018"</f>
        <v>23/05/2018</v>
      </c>
      <c r="B2166" t="str">
        <f>"8.1178"</f>
        <v>8.1178</v>
      </c>
      <c r="C2166" t="str">
        <f>"8.1091"</f>
        <v>8.1091</v>
      </c>
    </row>
    <row r="2167" spans="1:3" x14ac:dyDescent="0.25">
      <c r="A2167" t="str">
        <f>"24/05/2018"</f>
        <v>24/05/2018</v>
      </c>
      <c r="B2167" t="str">
        <f>"8.0919"</f>
        <v>8.0919</v>
      </c>
      <c r="C2167" t="str">
        <f>"8.0832"</f>
        <v>8.0832</v>
      </c>
    </row>
    <row r="2168" spans="1:3" x14ac:dyDescent="0.25">
      <c r="A2168" t="str">
        <f>"25/05/2018"</f>
        <v>25/05/2018</v>
      </c>
      <c r="B2168" t="str">
        <f>"8.1224"</f>
        <v>8.1224</v>
      </c>
      <c r="C2168" t="str">
        <f>"8.1135"</f>
        <v>8.1135</v>
      </c>
    </row>
    <row r="2169" spans="1:3" x14ac:dyDescent="0.25">
      <c r="A2169" t="str">
        <f>"28/05/2018"</f>
        <v>28/05/2018</v>
      </c>
      <c r="B2169" t="str">
        <f>"8.1841"</f>
        <v>8.1841</v>
      </c>
      <c r="C2169" t="str">
        <f>"8.1754"</f>
        <v>8.1754</v>
      </c>
    </row>
    <row r="2170" spans="1:3" x14ac:dyDescent="0.25">
      <c r="A2170" t="str">
        <f>"29/05/2018"</f>
        <v>29/05/2018</v>
      </c>
      <c r="B2170" t="str">
        <f>"8.303"</f>
        <v>8.303</v>
      </c>
      <c r="C2170" t="str">
        <f>"8.2943"</f>
        <v>8.2943</v>
      </c>
    </row>
    <row r="2171" spans="1:3" x14ac:dyDescent="0.25">
      <c r="A2171" t="str">
        <f>"30/05/2018"</f>
        <v>30/05/2018</v>
      </c>
      <c r="B2171" t="str">
        <f>"8.2936"</f>
        <v>8.2936</v>
      </c>
      <c r="C2171" t="str">
        <f>"8.2845"</f>
        <v>8.2845</v>
      </c>
    </row>
    <row r="2172" spans="1:3" x14ac:dyDescent="0.25">
      <c r="A2172" t="str">
        <f>"31/05/2018"</f>
        <v>31/05/2018</v>
      </c>
      <c r="B2172" t="str">
        <f>"8.1676"</f>
        <v>8.1676</v>
      </c>
      <c r="C2172" t="str">
        <f>"8.1574"</f>
        <v>8.1574</v>
      </c>
    </row>
    <row r="2173" spans="1:3" x14ac:dyDescent="0.25">
      <c r="A2173" t="str">
        <f>"01/06/2018"</f>
        <v>01/06/2018</v>
      </c>
      <c r="B2173" t="str">
        <f>"8.143"</f>
        <v>8.143</v>
      </c>
      <c r="C2173" t="str">
        <f>"8.1332"</f>
        <v>8.1332</v>
      </c>
    </row>
    <row r="2174" spans="1:3" x14ac:dyDescent="0.25">
      <c r="A2174" t="str">
        <f>"04/06/2018"</f>
        <v>04/06/2018</v>
      </c>
      <c r="B2174" t="str">
        <f>"8.1126"</f>
        <v>8.1126</v>
      </c>
      <c r="C2174" t="str">
        <f>"8.1028"</f>
        <v>8.1028</v>
      </c>
    </row>
    <row r="2175" spans="1:3" x14ac:dyDescent="0.25">
      <c r="A2175" t="str">
        <f>"05/06/2018"</f>
        <v>05/06/2018</v>
      </c>
      <c r="B2175" t="str">
        <f>"8.1301"</f>
        <v>8.1301</v>
      </c>
      <c r="C2175" t="str">
        <f>"8.1198"</f>
        <v>8.1198</v>
      </c>
    </row>
    <row r="2176" spans="1:3" x14ac:dyDescent="0.25">
      <c r="A2176" t="str">
        <f>"06/06/2018"</f>
        <v>06/06/2018</v>
      </c>
      <c r="B2176" t="str">
        <f>"8.0945"</f>
        <v>8.0945</v>
      </c>
      <c r="C2176" t="str">
        <f>"8.0846"</f>
        <v>8.0846</v>
      </c>
    </row>
    <row r="2177" spans="1:3" x14ac:dyDescent="0.25">
      <c r="A2177" t="str">
        <f>"07/06/2018"</f>
        <v>07/06/2018</v>
      </c>
      <c r="B2177" t="str">
        <f>"8.0406"</f>
        <v>8.0406</v>
      </c>
      <c r="C2177" t="str">
        <f>"8.0313"</f>
        <v>8.0313</v>
      </c>
    </row>
    <row r="2178" spans="1:3" x14ac:dyDescent="0.25">
      <c r="A2178" t="str">
        <f>"08/06/2018"</f>
        <v>08/06/2018</v>
      </c>
      <c r="B2178" t="str">
        <f>"8.0983"</f>
        <v>8.0983</v>
      </c>
      <c r="C2178" t="str">
        <f>"8.0884"</f>
        <v>8.0884</v>
      </c>
    </row>
    <row r="2179" spans="1:3" x14ac:dyDescent="0.25">
      <c r="A2179" t="str">
        <f>"11/06/2018"</f>
        <v>11/06/2018</v>
      </c>
      <c r="B2179" t="str">
        <f>"8.0548"</f>
        <v>8.0548</v>
      </c>
      <c r="C2179" t="str">
        <f>"8.0448"</f>
        <v>8.0448</v>
      </c>
    </row>
    <row r="2180" spans="1:3" x14ac:dyDescent="0.25">
      <c r="A2180" t="str">
        <f>"12/06/2018"</f>
        <v>12/06/2018</v>
      </c>
      <c r="B2180" t="str">
        <f>"8.0162"</f>
        <v>8.0162</v>
      </c>
      <c r="C2180" t="str">
        <f>"8.0059"</f>
        <v>8.0059</v>
      </c>
    </row>
    <row r="2181" spans="1:3" x14ac:dyDescent="0.25">
      <c r="A2181" t="str">
        <f>"13/06/2018"</f>
        <v>13/06/2018</v>
      </c>
      <c r="B2181" t="str">
        <f>"8.0252"</f>
        <v>8.0252</v>
      </c>
      <c r="C2181" t="str">
        <f>"8.0151"</f>
        <v>8.0151</v>
      </c>
    </row>
    <row r="2182" spans="1:3" x14ac:dyDescent="0.25">
      <c r="A2182" t="str">
        <f>"14/06/2018"</f>
        <v>14/06/2018</v>
      </c>
      <c r="B2182" t="str">
        <f>"7.9989"</f>
        <v>7.9989</v>
      </c>
      <c r="C2182" t="str">
        <f>"7.9894"</f>
        <v>7.9894</v>
      </c>
    </row>
    <row r="2183" spans="1:3" x14ac:dyDescent="0.25">
      <c r="A2183" t="str">
        <f>"15/06/2018"</f>
        <v>15/06/2018</v>
      </c>
      <c r="B2183" t="str">
        <f>"8.1271"</f>
        <v>8.1271</v>
      </c>
      <c r="C2183" t="str">
        <f>"8.1175"</f>
        <v>8.1175</v>
      </c>
    </row>
    <row r="2184" spans="1:3" x14ac:dyDescent="0.25">
      <c r="A2184" t="str">
        <f>"18/06/2018"</f>
        <v>18/06/2018</v>
      </c>
      <c r="B2184" t="str">
        <f>"8.1299"</f>
        <v>8.1299</v>
      </c>
      <c r="C2184" t="str">
        <f>"8.1201"</f>
        <v>8.1201</v>
      </c>
    </row>
    <row r="2185" spans="1:3" x14ac:dyDescent="0.25">
      <c r="A2185" t="str">
        <f>"19/06/2018"</f>
        <v>19/06/2018</v>
      </c>
      <c r="B2185" t="str">
        <f>"8.2251"</f>
        <v>8.2251</v>
      </c>
      <c r="C2185" t="str">
        <f>"8.2145"</f>
        <v>8.2145</v>
      </c>
    </row>
    <row r="2186" spans="1:3" x14ac:dyDescent="0.25">
      <c r="A2186" t="str">
        <f>"20/06/2018"</f>
        <v>20/06/2018</v>
      </c>
      <c r="B2186" t="str">
        <f>"8.1841"</f>
        <v>8.1841</v>
      </c>
      <c r="C2186" t="str">
        <f>"8.1743"</f>
        <v>8.1743</v>
      </c>
    </row>
    <row r="2187" spans="1:3" x14ac:dyDescent="0.25">
      <c r="A2187" t="str">
        <f>"21/06/2018"</f>
        <v>21/06/2018</v>
      </c>
      <c r="B2187" t="str">
        <f>"8.1734"</f>
        <v>8.1734</v>
      </c>
      <c r="C2187" t="str">
        <f>"8.1638"</f>
        <v>8.1638</v>
      </c>
    </row>
    <row r="2188" spans="1:3" x14ac:dyDescent="0.25">
      <c r="A2188" t="str">
        <f>"22/06/2018"</f>
        <v>22/06/2018</v>
      </c>
      <c r="B2188" t="str">
        <f>"8.1117"</f>
        <v>8.1117</v>
      </c>
      <c r="C2188" t="str">
        <f>"8.1018"</f>
        <v>8.1018</v>
      </c>
    </row>
    <row r="2189" spans="1:3" x14ac:dyDescent="0.25">
      <c r="A2189" t="str">
        <f>"25/06/2018"</f>
        <v>25/06/2018</v>
      </c>
      <c r="B2189" t="str">
        <f>"8.111"</f>
        <v>8.111</v>
      </c>
      <c r="C2189" t="str">
        <f>"8.101"</f>
        <v>8.101</v>
      </c>
    </row>
    <row r="2190" spans="1:3" x14ac:dyDescent="0.25">
      <c r="A2190" t="str">
        <f>"26/06/2018"</f>
        <v>26/06/2018</v>
      </c>
      <c r="B2190" t="str">
        <f>"8.1174"</f>
        <v>8.1174</v>
      </c>
      <c r="C2190" t="str">
        <f>"8.1068"</f>
        <v>8.1068</v>
      </c>
    </row>
    <row r="2191" spans="1:3" x14ac:dyDescent="0.25">
      <c r="A2191" t="str">
        <f>"27/06/2018"</f>
        <v>27/06/2018</v>
      </c>
      <c r="B2191" t="str">
        <f>"8.1702"</f>
        <v>8.1702</v>
      </c>
      <c r="C2191" t="str">
        <f>"8.1595"</f>
        <v>8.1595</v>
      </c>
    </row>
    <row r="2192" spans="1:3" x14ac:dyDescent="0.25">
      <c r="A2192" t="str">
        <f>"28/06/2018"</f>
        <v>28/06/2018</v>
      </c>
      <c r="B2192" t="str">
        <f>"8.1742"</f>
        <v>8.1742</v>
      </c>
      <c r="C2192" t="str">
        <f>"8.1642"</f>
        <v>8.1642</v>
      </c>
    </row>
    <row r="2193" spans="1:3" x14ac:dyDescent="0.25">
      <c r="A2193" t="str">
        <f>"29/06/2018"</f>
        <v>29/06/2018</v>
      </c>
      <c r="B2193" t="str">
        <f>"8.1553"</f>
        <v>8.1553</v>
      </c>
      <c r="C2193" t="str">
        <f>"8.1454"</f>
        <v>8.1454</v>
      </c>
    </row>
    <row r="2194" spans="1:3" x14ac:dyDescent="0.25">
      <c r="A2194" t="str">
        <f>"02/07/2018"</f>
        <v>02/07/2018</v>
      </c>
      <c r="B2194" t="str">
        <f>"8.1733"</f>
        <v>8.1733</v>
      </c>
      <c r="C2194" t="str">
        <f>"8.1632"</f>
        <v>8.1632</v>
      </c>
    </row>
    <row r="2195" spans="1:3" x14ac:dyDescent="0.25">
      <c r="A2195" t="str">
        <f>"03/07/2018"</f>
        <v>03/07/2018</v>
      </c>
      <c r="B2195" t="str">
        <f>"8.1214"</f>
        <v>8.1214</v>
      </c>
      <c r="C2195" t="str">
        <f>"8.1114"</f>
        <v>8.1114</v>
      </c>
    </row>
    <row r="2196" spans="1:3" x14ac:dyDescent="0.25">
      <c r="A2196" t="str">
        <f>"04/07/2018"</f>
        <v>04/07/2018</v>
      </c>
      <c r="B2196" t="str">
        <f>"8.1175"</f>
        <v>8.1175</v>
      </c>
      <c r="C2196" t="str">
        <f>"8.1078"</f>
        <v>8.1078</v>
      </c>
    </row>
    <row r="2197" spans="1:3" x14ac:dyDescent="0.25">
      <c r="A2197" t="str">
        <f>"05/07/2018"</f>
        <v>05/07/2018</v>
      </c>
      <c r="B2197" t="str">
        <f>"8.0669"</f>
        <v>8.0669</v>
      </c>
      <c r="C2197" t="str">
        <f>"8.0573"</f>
        <v>8.0573</v>
      </c>
    </row>
    <row r="2198" spans="1:3" x14ac:dyDescent="0.25">
      <c r="A2198" t="str">
        <f>"06/07/2018"</f>
        <v>06/07/2018</v>
      </c>
      <c r="B2198" t="str">
        <f>"8.0589"</f>
        <v>8.0589</v>
      </c>
      <c r="C2198" t="str">
        <f>"8.0493"</f>
        <v>8.0493</v>
      </c>
    </row>
    <row r="2199" spans="1:3" x14ac:dyDescent="0.25">
      <c r="A2199" t="str">
        <f>"09/07/2018"</f>
        <v>09/07/2018</v>
      </c>
      <c r="B2199" t="str">
        <f>"7.9951"</f>
        <v>7.9951</v>
      </c>
      <c r="C2199" t="str">
        <f>"7.9848"</f>
        <v>7.9848</v>
      </c>
    </row>
    <row r="2200" spans="1:3" x14ac:dyDescent="0.25">
      <c r="A2200" t="str">
        <f>"10/07/2018"</f>
        <v>10/07/2018</v>
      </c>
      <c r="B2200" t="str">
        <f>"8.0468"</f>
        <v>8.0468</v>
      </c>
      <c r="C2200" t="str">
        <f>"8.0368"</f>
        <v>8.0368</v>
      </c>
    </row>
    <row r="2201" spans="1:3" x14ac:dyDescent="0.25">
      <c r="A2201" t="str">
        <f>"11/07/2018"</f>
        <v>11/07/2018</v>
      </c>
      <c r="B2201" t="str">
        <f>"8.0592"</f>
        <v>8.0592</v>
      </c>
      <c r="C2201" t="str">
        <f>"8.0495"</f>
        <v>8.0495</v>
      </c>
    </row>
    <row r="2202" spans="1:3" x14ac:dyDescent="0.25">
      <c r="A2202" t="str">
        <f>"12/07/2018"</f>
        <v>12/07/2018</v>
      </c>
      <c r="B2202" t="str">
        <f>"8.1179"</f>
        <v>8.1179</v>
      </c>
      <c r="C2202" t="str">
        <f>"8.1082"</f>
        <v>8.1082</v>
      </c>
    </row>
    <row r="2203" spans="1:3" x14ac:dyDescent="0.25">
      <c r="A2203" t="str">
        <f>"13/07/2018"</f>
        <v>13/07/2018</v>
      </c>
      <c r="B2203" t="str">
        <f>"8.1663"</f>
        <v>8.1663</v>
      </c>
      <c r="C2203" t="str">
        <f>"8.1566"</f>
        <v>8.1566</v>
      </c>
    </row>
    <row r="2204" spans="1:3" x14ac:dyDescent="0.25">
      <c r="A2204" t="str">
        <f>"16/07/2018"</f>
        <v>16/07/2018</v>
      </c>
      <c r="B2204" t="str">
        <f>"8.0867"</f>
        <v>8.0867</v>
      </c>
      <c r="C2204" t="str">
        <f>"8.0766"</f>
        <v>8.0766</v>
      </c>
    </row>
    <row r="2205" spans="1:3" x14ac:dyDescent="0.25">
      <c r="A2205" t="str">
        <f>"17/07/2018"</f>
        <v>17/07/2018</v>
      </c>
      <c r="B2205" t="str">
        <f>"8.0974"</f>
        <v>8.0974</v>
      </c>
      <c r="C2205" t="str">
        <f>"8.0876"</f>
        <v>8.0876</v>
      </c>
    </row>
    <row r="2206" spans="1:3" x14ac:dyDescent="0.25">
      <c r="A2206" t="str">
        <f>"18/07/2018"</f>
        <v>18/07/2018</v>
      </c>
      <c r="B2206" t="str">
        <f>"8.1725"</f>
        <v>8.1725</v>
      </c>
      <c r="C2206" t="str">
        <f>"8.1629"</f>
        <v>8.1629</v>
      </c>
    </row>
    <row r="2207" spans="1:3" x14ac:dyDescent="0.25">
      <c r="A2207" t="str">
        <f>"19/07/2018"</f>
        <v>19/07/2018</v>
      </c>
      <c r="B2207" t="str">
        <f>"8.2495"</f>
        <v>8.2495</v>
      </c>
      <c r="C2207" t="str">
        <f>"8.2398"</f>
        <v>8.2398</v>
      </c>
    </row>
    <row r="2208" spans="1:3" x14ac:dyDescent="0.25">
      <c r="A2208" t="str">
        <f>"20/07/2018"</f>
        <v>20/07/2018</v>
      </c>
      <c r="B2208" t="str">
        <f>"8.2188"</f>
        <v>8.2188</v>
      </c>
      <c r="C2208" t="str">
        <f>"8.2091"</f>
        <v>8.2091</v>
      </c>
    </row>
    <row r="2209" spans="1:3" x14ac:dyDescent="0.25">
      <c r="A2209" t="str">
        <f>"23/07/2018"</f>
        <v>23/07/2018</v>
      </c>
      <c r="B2209" t="str">
        <f>"8.1549"</f>
        <v>8.1549</v>
      </c>
      <c r="C2209" t="str">
        <f>"8.1446"</f>
        <v>8.1446</v>
      </c>
    </row>
    <row r="2210" spans="1:3" x14ac:dyDescent="0.25">
      <c r="A2210" t="str">
        <f>"24/07/2018"</f>
        <v>24/07/2018</v>
      </c>
      <c r="B2210" t="str">
        <f>"8.1706"</f>
        <v>8.1706</v>
      </c>
      <c r="C2210" t="str">
        <f>"8.1606"</f>
        <v>8.1606</v>
      </c>
    </row>
    <row r="2211" spans="1:3" x14ac:dyDescent="0.25">
      <c r="A2211" t="str">
        <f>"25/07/2018"</f>
        <v>25/07/2018</v>
      </c>
      <c r="B2211" t="str">
        <f>"8.172"</f>
        <v>8.172</v>
      </c>
      <c r="C2211" t="str">
        <f>"8.1622"</f>
        <v>8.1622</v>
      </c>
    </row>
    <row r="2212" spans="1:3" x14ac:dyDescent="0.25">
      <c r="A2212" t="str">
        <f>"26/07/2018"</f>
        <v>26/07/2018</v>
      </c>
      <c r="B2212" t="str">
        <f>"8.1488"</f>
        <v>8.1488</v>
      </c>
      <c r="C2212" t="str">
        <f>"8.139"</f>
        <v>8.139</v>
      </c>
    </row>
    <row r="2213" spans="1:3" x14ac:dyDescent="0.25">
      <c r="A2213" t="str">
        <f>"27/07/2018"</f>
        <v>27/07/2018</v>
      </c>
      <c r="B2213" t="str">
        <f>"8.2064"</f>
        <v>8.2064</v>
      </c>
      <c r="C2213" t="str">
        <f>"8.1964"</f>
        <v>8.1964</v>
      </c>
    </row>
    <row r="2214" spans="1:3" x14ac:dyDescent="0.25">
      <c r="A2214" t="str">
        <f>"30/07/2018"</f>
        <v>30/07/2018</v>
      </c>
      <c r="B2214" t="str">
        <f>"8.1549"</f>
        <v>8.1549</v>
      </c>
      <c r="C2214" t="str">
        <f>"8.144"</f>
        <v>8.144</v>
      </c>
    </row>
    <row r="2215" spans="1:3" x14ac:dyDescent="0.25">
      <c r="A2215" t="str">
        <f>"31/07/2018"</f>
        <v>31/07/2018</v>
      </c>
      <c r="B2215" t="str">
        <f>"8.1225"</f>
        <v>8.1225</v>
      </c>
      <c r="C2215" t="str">
        <f>"8.1117"</f>
        <v>8.1117</v>
      </c>
    </row>
    <row r="2216" spans="1:3" x14ac:dyDescent="0.25">
      <c r="A2216" t="str">
        <f>"01/08/2018"</f>
        <v>01/08/2018</v>
      </c>
      <c r="B2216" t="str">
        <f>"8.1612"</f>
        <v>8.1612</v>
      </c>
      <c r="C2216" t="str">
        <f>"8.1508"</f>
        <v>8.1508</v>
      </c>
    </row>
    <row r="2217" spans="1:3" x14ac:dyDescent="0.25">
      <c r="A2217" t="str">
        <f>"02/08/2018"</f>
        <v>02/08/2018</v>
      </c>
      <c r="B2217" t="str">
        <f>"8.2145"</f>
        <v>8.2145</v>
      </c>
      <c r="C2217" t="str">
        <f>"8.2045"</f>
        <v>8.2045</v>
      </c>
    </row>
    <row r="2218" spans="1:3" x14ac:dyDescent="0.25">
      <c r="A2218" t="str">
        <f>"03/08/2018"</f>
        <v>03/08/2018</v>
      </c>
      <c r="B2218" t="str">
        <f>"8.221"</f>
        <v>8.221</v>
      </c>
      <c r="C2218" t="str">
        <f>"8.211"</f>
        <v>8.211</v>
      </c>
    </row>
    <row r="2219" spans="1:3" x14ac:dyDescent="0.25">
      <c r="A2219" t="str">
        <f>"06/08/2018"</f>
        <v>06/08/2018</v>
      </c>
      <c r="B2219" t="str">
        <f>"8.2647"</f>
        <v>8.2647</v>
      </c>
      <c r="C2219" t="str">
        <f>"8.2542"</f>
        <v>8.2542</v>
      </c>
    </row>
    <row r="2220" spans="1:3" x14ac:dyDescent="0.25">
      <c r="A2220" t="str">
        <f>"07/08/2018"</f>
        <v>07/08/2018</v>
      </c>
      <c r="B2220" t="str">
        <f>"8.1966"</f>
        <v>8.1966</v>
      </c>
      <c r="C2220" t="str">
        <f>"8.1865"</f>
        <v>8.1865</v>
      </c>
    </row>
    <row r="2221" spans="1:3" x14ac:dyDescent="0.25">
      <c r="A2221" t="str">
        <f>"08/08/2018"</f>
        <v>08/08/2018</v>
      </c>
      <c r="B2221" t="str">
        <f>"8.2137"</f>
        <v>8.2137</v>
      </c>
      <c r="C2221" t="str">
        <f>"8.2038"</f>
        <v>8.2038</v>
      </c>
    </row>
    <row r="2222" spans="1:3" x14ac:dyDescent="0.25">
      <c r="A2222" t="str">
        <f>"09/08/2018"</f>
        <v>09/08/2018</v>
      </c>
      <c r="B2222" t="str">
        <f>"8.2349"</f>
        <v>8.2349</v>
      </c>
      <c r="C2222" t="str">
        <f>"8.2251"</f>
        <v>8.2251</v>
      </c>
    </row>
    <row r="2223" spans="1:3" x14ac:dyDescent="0.25">
      <c r="A2223" t="str">
        <f>"10/08/2018"</f>
        <v>10/08/2018</v>
      </c>
      <c r="B2223" t="str">
        <f>"8.3319"</f>
        <v>8.3319</v>
      </c>
      <c r="C2223" t="str">
        <f>"8.3219"</f>
        <v>8.3219</v>
      </c>
    </row>
    <row r="2224" spans="1:3" x14ac:dyDescent="0.25">
      <c r="A2224" t="str">
        <f>"13/08/2018"</f>
        <v>13/08/2018</v>
      </c>
      <c r="B2224" t="str">
        <f>"8.3823"</f>
        <v>8.3823</v>
      </c>
      <c r="C2224" t="str">
        <f>"8.3715"</f>
        <v>8.3715</v>
      </c>
    </row>
    <row r="2225" spans="1:3" x14ac:dyDescent="0.25">
      <c r="A2225" t="str">
        <f>"14/08/2018"</f>
        <v>14/08/2018</v>
      </c>
      <c r="B2225" t="str">
        <f>"8.3599"</f>
        <v>8.3599</v>
      </c>
      <c r="C2225" t="str">
        <f>"8.3494"</f>
        <v>8.3494</v>
      </c>
    </row>
    <row r="2226" spans="1:3" x14ac:dyDescent="0.25">
      <c r="A2226" t="str">
        <f>"16/08/2018"</f>
        <v>16/08/2018</v>
      </c>
      <c r="B2226" t="str">
        <f>"8.4526"</f>
        <v>8.4526</v>
      </c>
      <c r="C2226" t="str">
        <f>"8.4424"</f>
        <v>8.4424</v>
      </c>
    </row>
    <row r="2227" spans="1:3" x14ac:dyDescent="0.25">
      <c r="A2227" t="str">
        <f>"20/08/2018"</f>
        <v>20/08/2018</v>
      </c>
      <c r="B2227" t="str">
        <f>"8.4734"</f>
        <v>8.4734</v>
      </c>
      <c r="C2227" t="str">
        <f>"8.4625"</f>
        <v>8.4625</v>
      </c>
    </row>
    <row r="2228" spans="1:3" x14ac:dyDescent="0.25">
      <c r="A2228" t="str">
        <f>"21/08/2018"</f>
        <v>21/08/2018</v>
      </c>
      <c r="B2228" t="str">
        <f>"8.4282"</f>
        <v>8.4282</v>
      </c>
      <c r="C2228" t="str">
        <f>"8.4178"</f>
        <v>8.4178</v>
      </c>
    </row>
    <row r="2229" spans="1:3" x14ac:dyDescent="0.25">
      <c r="A2229" t="str">
        <f>"23/08/2018"</f>
        <v>23/08/2018</v>
      </c>
      <c r="B2229" t="str">
        <f>"8.338"</f>
        <v>8.338</v>
      </c>
      <c r="C2229" t="str">
        <f>"8.328"</f>
        <v>8.328</v>
      </c>
    </row>
    <row r="2230" spans="1:3" x14ac:dyDescent="0.25">
      <c r="A2230" t="str">
        <f>"24/08/2018"</f>
        <v>24/08/2018</v>
      </c>
      <c r="B2230" t="str">
        <f>"8.3648"</f>
        <v>8.3648</v>
      </c>
      <c r="C2230" t="str">
        <f>"8.3548"</f>
        <v>8.3548</v>
      </c>
    </row>
    <row r="2231" spans="1:3" x14ac:dyDescent="0.25">
      <c r="A2231" t="str">
        <f>"27/08/2018"</f>
        <v>27/08/2018</v>
      </c>
      <c r="B2231" t="str">
        <f>"8.3518"</f>
        <v>8.3518</v>
      </c>
      <c r="C2231" t="str">
        <f>"8.3422"</f>
        <v>8.3422</v>
      </c>
    </row>
    <row r="2232" spans="1:3" x14ac:dyDescent="0.25">
      <c r="A2232" t="str">
        <f>"28/08/2018"</f>
        <v>28/08/2018</v>
      </c>
      <c r="B2232" t="str">
        <f>"8.3147"</f>
        <v>8.3147</v>
      </c>
      <c r="C2232" t="str">
        <f>"8.3054"</f>
        <v>8.3054</v>
      </c>
    </row>
    <row r="2233" spans="1:3" x14ac:dyDescent="0.25">
      <c r="A2233" t="str">
        <f>"29/08/2018"</f>
        <v>29/08/2018</v>
      </c>
      <c r="B2233" t="str">
        <f>"8.3575"</f>
        <v>8.3575</v>
      </c>
      <c r="C2233" t="str">
        <f>"8.3486"</f>
        <v>8.3486</v>
      </c>
    </row>
    <row r="2234" spans="1:3" x14ac:dyDescent="0.25">
      <c r="A2234" t="str">
        <f>"30/08/2018"</f>
        <v>30/08/2018</v>
      </c>
      <c r="B2234" t="str">
        <f>"8.3277"</f>
        <v>8.3277</v>
      </c>
      <c r="C2234" t="str">
        <f>"8.3178"</f>
        <v>8.3178</v>
      </c>
    </row>
    <row r="2235" spans="1:3" x14ac:dyDescent="0.25">
      <c r="A2235" t="str">
        <f>"31/08/2018"</f>
        <v>31/08/2018</v>
      </c>
      <c r="B2235" t="str">
        <f>"8.3468"</f>
        <v>8.3468</v>
      </c>
      <c r="C2235" t="str">
        <f>"8.3369"</f>
        <v>8.3369</v>
      </c>
    </row>
    <row r="2236" spans="1:3" x14ac:dyDescent="0.25">
      <c r="A2236" t="str">
        <f>"03/09/2018"</f>
        <v>03/09/2018</v>
      </c>
      <c r="B2236" t="str">
        <f>"8.3576"</f>
        <v>8.3576</v>
      </c>
      <c r="C2236" t="str">
        <f>"8.3477"</f>
        <v>8.3477</v>
      </c>
    </row>
    <row r="2237" spans="1:3" x14ac:dyDescent="0.25">
      <c r="A2237" t="str">
        <f>"04/09/2018"</f>
        <v>04/09/2018</v>
      </c>
      <c r="B2237" t="str">
        <f>"8.4076"</f>
        <v>8.4076</v>
      </c>
      <c r="C2237" t="str">
        <f>"8.3967"</f>
        <v>8.3967</v>
      </c>
    </row>
    <row r="2238" spans="1:3" x14ac:dyDescent="0.25">
      <c r="A2238" t="str">
        <f>"05/09/2018"</f>
        <v>05/09/2018</v>
      </c>
      <c r="B2238" t="str">
        <f>"8.4024"</f>
        <v>8.4024</v>
      </c>
      <c r="C2238" t="str">
        <f>"8.3918"</f>
        <v>8.3918</v>
      </c>
    </row>
    <row r="2239" spans="1:3" x14ac:dyDescent="0.25">
      <c r="A2239" t="str">
        <f>"06/09/2018"</f>
        <v>06/09/2018</v>
      </c>
      <c r="B2239" t="str">
        <f>"8.4029"</f>
        <v>8.4029</v>
      </c>
      <c r="C2239" t="str">
        <f>"8.3929"</f>
        <v>8.3929</v>
      </c>
    </row>
    <row r="2240" spans="1:3" x14ac:dyDescent="0.25">
      <c r="A2240" t="str">
        <f>"07/09/2018"</f>
        <v>07/09/2018</v>
      </c>
      <c r="B2240" t="str">
        <f>"8.4208"</f>
        <v>8.4208</v>
      </c>
      <c r="C2240" t="str">
        <f>"8.4108"</f>
        <v>8.4108</v>
      </c>
    </row>
    <row r="2241" spans="1:3" x14ac:dyDescent="0.25">
      <c r="A2241" t="str">
        <f>"10/09/2018"</f>
        <v>10/09/2018</v>
      </c>
      <c r="B2241" t="str">
        <f>"8.3872"</f>
        <v>8.3872</v>
      </c>
      <c r="C2241" t="str">
        <f>"8.3772"</f>
        <v>8.3772</v>
      </c>
    </row>
    <row r="2242" spans="1:3" x14ac:dyDescent="0.25">
      <c r="A2242" t="str">
        <f>"11/09/2018"</f>
        <v>11/09/2018</v>
      </c>
      <c r="B2242" t="str">
        <f>"8.3854"</f>
        <v>8.3854</v>
      </c>
      <c r="C2242" t="str">
        <f>"8.3755"</f>
        <v>8.3755</v>
      </c>
    </row>
    <row r="2243" spans="1:3" x14ac:dyDescent="0.25">
      <c r="A2243" t="str">
        <f>"12/09/2018"</f>
        <v>12/09/2018</v>
      </c>
      <c r="B2243" t="str">
        <f>"8.3225"</f>
        <v>8.3225</v>
      </c>
      <c r="C2243" t="str">
        <f>"8.3123"</f>
        <v>8.3123</v>
      </c>
    </row>
    <row r="2244" spans="1:3" x14ac:dyDescent="0.25">
      <c r="A2244" t="str">
        <f>"14/09/2018"</f>
        <v>14/09/2018</v>
      </c>
      <c r="B2244" t="str">
        <f>"8.2242"</f>
        <v>8.2242</v>
      </c>
      <c r="C2244" t="str">
        <f>"8.2148"</f>
        <v>8.2148</v>
      </c>
    </row>
    <row r="2245" spans="1:3" x14ac:dyDescent="0.25">
      <c r="A2245" t="str">
        <f>"17/09/2018"</f>
        <v>17/09/2018</v>
      </c>
      <c r="B2245" t="str">
        <f>"8.2064"</f>
        <v>8.2064</v>
      </c>
      <c r="C2245" t="str">
        <f>"8.1971"</f>
        <v>8.1971</v>
      </c>
    </row>
    <row r="2246" spans="1:3" x14ac:dyDescent="0.25">
      <c r="A2246" t="str">
        <f>"18/09/2018"</f>
        <v>18/09/2018</v>
      </c>
      <c r="B2246" t="str">
        <f>"8.1743"</f>
        <v>8.1743</v>
      </c>
      <c r="C2246" t="str">
        <f>"8.1643"</f>
        <v>8.1643</v>
      </c>
    </row>
    <row r="2247" spans="1:3" x14ac:dyDescent="0.25">
      <c r="A2247" t="str">
        <f>"19/09/2018"</f>
        <v>19/09/2018</v>
      </c>
      <c r="B2247" t="str">
        <f>"8.1733"</f>
        <v>8.1733</v>
      </c>
      <c r="C2247" t="str">
        <f>"8.1635"</f>
        <v>8.1635</v>
      </c>
    </row>
    <row r="2248" spans="1:3" x14ac:dyDescent="0.25">
      <c r="A2248" t="str">
        <f>"21/09/2018"</f>
        <v>21/09/2018</v>
      </c>
      <c r="B2248" t="str">
        <f>"8.1467"</f>
        <v>8.1467</v>
      </c>
      <c r="C2248" t="str">
        <f>"8.1373"</f>
        <v>8.1373</v>
      </c>
    </row>
    <row r="2249" spans="1:3" x14ac:dyDescent="0.25">
      <c r="A2249" t="str">
        <f>"24/09/2018"</f>
        <v>24/09/2018</v>
      </c>
      <c r="B2249" t="str">
        <f>"8.1319"</f>
        <v>8.1319</v>
      </c>
      <c r="C2249" t="str">
        <f>"8.1225"</f>
        <v>8.1225</v>
      </c>
    </row>
    <row r="2250" spans="1:3" x14ac:dyDescent="0.25">
      <c r="A2250" t="str">
        <f>"25/09/2018"</f>
        <v>25/09/2018</v>
      </c>
      <c r="B2250" t="str">
        <f>"8.1237"</f>
        <v>8.1237</v>
      </c>
      <c r="C2250" t="str">
        <f>"8.1136"</f>
        <v>8.1136</v>
      </c>
    </row>
    <row r="2251" spans="1:3" x14ac:dyDescent="0.25">
      <c r="A2251" t="str">
        <f>"26/09/2018"</f>
        <v>26/09/2018</v>
      </c>
      <c r="B2251" t="str">
        <f>"8.1239"</f>
        <v>8.1239</v>
      </c>
      <c r="C2251" t="str">
        <f>"8.1133"</f>
        <v>8.1133</v>
      </c>
    </row>
    <row r="2252" spans="1:3" x14ac:dyDescent="0.25">
      <c r="A2252" t="str">
        <f>"27/09/2018"</f>
        <v>27/09/2018</v>
      </c>
      <c r="B2252" t="str">
        <f>"8.1251"</f>
        <v>8.1251</v>
      </c>
      <c r="C2252" t="str">
        <f>"8.1153"</f>
        <v>8.1153</v>
      </c>
    </row>
    <row r="2253" spans="1:3" x14ac:dyDescent="0.25">
      <c r="A2253" t="str">
        <f>"28/09/2018"</f>
        <v>28/09/2018</v>
      </c>
      <c r="B2253" t="str">
        <f>"8.1784"</f>
        <v>8.1784</v>
      </c>
      <c r="C2253" t="str">
        <f>"8.1683"</f>
        <v>8.1683</v>
      </c>
    </row>
    <row r="2254" spans="1:3" x14ac:dyDescent="0.25">
      <c r="A2254" t="str">
        <f>"01/10/2018"</f>
        <v>01/10/2018</v>
      </c>
      <c r="B2254" t="str">
        <f>"8.1417"</f>
        <v>8.1417</v>
      </c>
      <c r="C2254" t="str">
        <f>"8.131"</f>
        <v>8.131</v>
      </c>
    </row>
    <row r="2255" spans="1:3" x14ac:dyDescent="0.25">
      <c r="A2255" t="str">
        <f>"03/10/2018"</f>
        <v>03/10/2018</v>
      </c>
      <c r="B2255" t="str">
        <f>"8.1856"</f>
        <v>8.1856</v>
      </c>
      <c r="C2255" t="str">
        <f>"8.1755"</f>
        <v>8.1755</v>
      </c>
    </row>
    <row r="2256" spans="1:3" x14ac:dyDescent="0.25">
      <c r="A2256" t="str">
        <f>"04/10/2018"</f>
        <v>04/10/2018</v>
      </c>
      <c r="B2256" t="str">
        <f>"8.2211"</f>
        <v>8.2211</v>
      </c>
      <c r="C2256" t="str">
        <f>"8.2109"</f>
        <v>8.2109</v>
      </c>
    </row>
    <row r="2257" spans="1:3" x14ac:dyDescent="0.25">
      <c r="A2257" t="str">
        <f>"05/10/2018"</f>
        <v>05/10/2018</v>
      </c>
      <c r="B2257" t="str">
        <f>"8.2663"</f>
        <v>8.2663</v>
      </c>
      <c r="C2257" t="str">
        <f>"8.2561"</f>
        <v>8.2561</v>
      </c>
    </row>
    <row r="2258" spans="1:3" x14ac:dyDescent="0.25">
      <c r="A2258" t="str">
        <f>"08/10/2018"</f>
        <v>08/10/2018</v>
      </c>
      <c r="B2258" t="str">
        <f>"8.2817"</f>
        <v>8.2817</v>
      </c>
      <c r="C2258" t="str">
        <f>"8.2705"</f>
        <v>8.2705</v>
      </c>
    </row>
    <row r="2259" spans="1:3" x14ac:dyDescent="0.25">
      <c r="A2259" t="str">
        <f>"09/10/2018"</f>
        <v>09/10/2018</v>
      </c>
      <c r="B2259" t="str">
        <f>"8.2923"</f>
        <v>8.2923</v>
      </c>
      <c r="C2259" t="str">
        <f>"8.2814"</f>
        <v>8.2814</v>
      </c>
    </row>
    <row r="2260" spans="1:3" x14ac:dyDescent="0.25">
      <c r="A2260" t="str">
        <f>"10/10/2018"</f>
        <v>10/10/2018</v>
      </c>
      <c r="B2260" t="str">
        <f>"8.2142"</f>
        <v>8.2142</v>
      </c>
      <c r="C2260" t="str">
        <f>"8.2038"</f>
        <v>8.2038</v>
      </c>
    </row>
    <row r="2261" spans="1:3" x14ac:dyDescent="0.25">
      <c r="A2261" t="str">
        <f>"11/10/2018"</f>
        <v>11/10/2018</v>
      </c>
      <c r="B2261" t="str">
        <f>"8.2147"</f>
        <v>8.2147</v>
      </c>
      <c r="C2261" t="str">
        <f>"8.2046"</f>
        <v>8.2046</v>
      </c>
    </row>
    <row r="2262" spans="1:3" x14ac:dyDescent="0.25">
      <c r="A2262" t="str">
        <f>"12/10/2018"</f>
        <v>12/10/2018</v>
      </c>
      <c r="B2262" t="str">
        <f>"8.185"</f>
        <v>8.185</v>
      </c>
      <c r="C2262" t="str">
        <f>"8.1748"</f>
        <v>8.1748</v>
      </c>
    </row>
    <row r="2263" spans="1:3" x14ac:dyDescent="0.25">
      <c r="A2263" t="str">
        <f>"15/10/2018"</f>
        <v>15/10/2018</v>
      </c>
      <c r="B2263" t="str">
        <f>"8.1523"</f>
        <v>8.1523</v>
      </c>
      <c r="C2263" t="str">
        <f>"8.1414"</f>
        <v>8.1414</v>
      </c>
    </row>
    <row r="2264" spans="1:3" x14ac:dyDescent="0.25">
      <c r="A2264" t="str">
        <f>"16/10/2018"</f>
        <v>16/10/2018</v>
      </c>
      <c r="B2264" t="str">
        <f>"8.1412"</f>
        <v>8.1412</v>
      </c>
      <c r="C2264" t="str">
        <f>"8.1307"</f>
        <v>8.1307</v>
      </c>
    </row>
    <row r="2265" spans="1:3" x14ac:dyDescent="0.25">
      <c r="A2265" t="str">
        <f>"17/10/2018"</f>
        <v>17/10/2018</v>
      </c>
      <c r="B2265" t="str">
        <f>"8.174"</f>
        <v>8.174</v>
      </c>
      <c r="C2265" t="str">
        <f>"8.1638"</f>
        <v>8.1638</v>
      </c>
    </row>
    <row r="2266" spans="1:3" x14ac:dyDescent="0.25">
      <c r="A2266" t="str">
        <f>"19/10/2018"</f>
        <v>19/10/2018</v>
      </c>
      <c r="B2266" t="str">
        <f>"8.2322"</f>
        <v>8.2322</v>
      </c>
      <c r="C2266" t="str">
        <f>"8.2218"</f>
        <v>8.2218</v>
      </c>
    </row>
    <row r="2267" spans="1:3" x14ac:dyDescent="0.25">
      <c r="A2267" t="str">
        <f>"22/10/2018"</f>
        <v>22/10/2018</v>
      </c>
      <c r="B2267" t="str">
        <f>"8.2357"</f>
        <v>8.2357</v>
      </c>
      <c r="C2267" t="str">
        <f>"8.2247"</f>
        <v>8.2247</v>
      </c>
    </row>
    <row r="2268" spans="1:3" x14ac:dyDescent="0.25">
      <c r="A2268" t="str">
        <f>"23/10/2018"</f>
        <v>23/10/2018</v>
      </c>
      <c r="B2268" t="str">
        <f>"8.2838"</f>
        <v>8.2838</v>
      </c>
      <c r="C2268" t="str">
        <f>"8.2733"</f>
        <v>8.2733</v>
      </c>
    </row>
    <row r="2269" spans="1:3" x14ac:dyDescent="0.25">
      <c r="A2269" t="str">
        <f>"24/10/2018"</f>
        <v>24/10/2018</v>
      </c>
      <c r="B2269" t="str">
        <f>"8.3211"</f>
        <v>8.3211</v>
      </c>
      <c r="C2269" t="str">
        <f>"8.3108"</f>
        <v>8.3108</v>
      </c>
    </row>
    <row r="2270" spans="1:3" x14ac:dyDescent="0.25">
      <c r="A2270" t="str">
        <f>"25/10/2018"</f>
        <v>25/10/2018</v>
      </c>
      <c r="B2270" t="str">
        <f>"8.32"</f>
        <v>8.32</v>
      </c>
      <c r="C2270" t="str">
        <f>"8.3097"</f>
        <v>8.3097</v>
      </c>
    </row>
    <row r="2271" spans="1:3" x14ac:dyDescent="0.25">
      <c r="A2271" t="str">
        <f>"26/10/2018"</f>
        <v>26/10/2018</v>
      </c>
      <c r="B2271" t="str">
        <f>"8.3856"</f>
        <v>8.3856</v>
      </c>
      <c r="C2271" t="str">
        <f>"8.3752"</f>
        <v>8.3752</v>
      </c>
    </row>
    <row r="2272" spans="1:3" x14ac:dyDescent="0.25">
      <c r="A2272" t="str">
        <f>"29/10/2018"</f>
        <v>29/10/2018</v>
      </c>
      <c r="B2272" t="str">
        <f>"8.3578"</f>
        <v>8.3578</v>
      </c>
      <c r="C2272" t="str">
        <f>"8.3476"</f>
        <v>8.3476</v>
      </c>
    </row>
    <row r="2273" spans="1:3" x14ac:dyDescent="0.25">
      <c r="A2273" t="str">
        <f>"30/10/2018"</f>
        <v>30/10/2018</v>
      </c>
      <c r="B2273" t="str">
        <f>"8.3794"</f>
        <v>8.3794</v>
      </c>
      <c r="C2273" t="str">
        <f>"8.3689"</f>
        <v>8.3689</v>
      </c>
    </row>
    <row r="2274" spans="1:3" x14ac:dyDescent="0.25">
      <c r="A2274" t="str">
        <f>"31/10/2018"</f>
        <v>31/10/2018</v>
      </c>
      <c r="B2274" t="str">
        <f>"8.4186"</f>
        <v>8.4186</v>
      </c>
      <c r="C2274" t="str">
        <f>"8.4082"</f>
        <v>8.4082</v>
      </c>
    </row>
    <row r="2275" spans="1:3" x14ac:dyDescent="0.25">
      <c r="A2275" t="str">
        <f>"01/11/2018"</f>
        <v>01/11/2018</v>
      </c>
      <c r="B2275" t="str">
        <f>"8.3623"</f>
        <v>8.3623</v>
      </c>
      <c r="C2275" t="str">
        <f>"8.3522"</f>
        <v>8.3522</v>
      </c>
    </row>
    <row r="2276" spans="1:3" x14ac:dyDescent="0.25">
      <c r="A2276" t="str">
        <f>"02/11/2018"</f>
        <v>02/11/2018</v>
      </c>
      <c r="B2276" t="str">
        <f>"8.3113"</f>
        <v>8.3113</v>
      </c>
      <c r="C2276" t="str">
        <f>"8.3013"</f>
        <v>8.3013</v>
      </c>
    </row>
    <row r="2277" spans="1:3" x14ac:dyDescent="0.25">
      <c r="A2277" t="str">
        <f>"05/11/2018"</f>
        <v>05/11/2018</v>
      </c>
      <c r="B2277" t="str">
        <f>"8.3767"</f>
        <v>8.3767</v>
      </c>
      <c r="C2277" t="str">
        <f>"8.3666"</f>
        <v>8.3666</v>
      </c>
    </row>
    <row r="2278" spans="1:3" x14ac:dyDescent="0.25">
      <c r="A2278" t="str">
        <f>"06/11/2018"</f>
        <v>06/11/2018</v>
      </c>
      <c r="B2278" t="str">
        <f>"8.3694"</f>
        <v>8.3694</v>
      </c>
      <c r="C2278" t="str">
        <f>"8.3585"</f>
        <v>8.3585</v>
      </c>
    </row>
    <row r="2279" spans="1:3" x14ac:dyDescent="0.25">
      <c r="A2279" t="str">
        <f>"09/11/2018"</f>
        <v>09/11/2018</v>
      </c>
      <c r="B2279" t="str">
        <f>"8.3967"</f>
        <v>8.3967</v>
      </c>
      <c r="C2279" t="str">
        <f>"8.3866"</f>
        <v>8.3866</v>
      </c>
    </row>
    <row r="2280" spans="1:3" x14ac:dyDescent="0.25">
      <c r="A2280" t="str">
        <f>"12/11/2018"</f>
        <v>12/11/2018</v>
      </c>
      <c r="B2280" t="str">
        <f>"8.4677"</f>
        <v>8.4677</v>
      </c>
      <c r="C2280" t="str">
        <f>"8.4577"</f>
        <v>8.4577</v>
      </c>
    </row>
    <row r="2281" spans="1:3" x14ac:dyDescent="0.25">
      <c r="A2281" t="str">
        <f>"13/11/2018"</f>
        <v>13/11/2018</v>
      </c>
      <c r="B2281" t="str">
        <f>"8.4996"</f>
        <v>8.4996</v>
      </c>
      <c r="C2281" t="str">
        <f>"8.4889"</f>
        <v>8.4889</v>
      </c>
    </row>
    <row r="2282" spans="1:3" x14ac:dyDescent="0.25">
      <c r="A2282" t="str">
        <f>"14/11/2018"</f>
        <v>14/11/2018</v>
      </c>
      <c r="B2282" t="str">
        <f>"8.5294"</f>
        <v>8.5294</v>
      </c>
      <c r="C2282" t="str">
        <f>"8.5192"</f>
        <v>8.5192</v>
      </c>
    </row>
    <row r="2283" spans="1:3" x14ac:dyDescent="0.25">
      <c r="A2283" t="str">
        <f>"15/11/2018"</f>
        <v>15/11/2018</v>
      </c>
      <c r="B2283" t="str">
        <f>"8.5009"</f>
        <v>8.5009</v>
      </c>
      <c r="C2283" t="str">
        <f>"8.491"</f>
        <v>8.491</v>
      </c>
    </row>
    <row r="2284" spans="1:3" x14ac:dyDescent="0.25">
      <c r="A2284" t="str">
        <f>"16/11/2018"</f>
        <v>16/11/2018</v>
      </c>
      <c r="B2284" t="str">
        <f>"8.4871"</f>
        <v>8.4871</v>
      </c>
      <c r="C2284" t="str">
        <f>"8.4773"</f>
        <v>8.4773</v>
      </c>
    </row>
    <row r="2285" spans="1:3" x14ac:dyDescent="0.25">
      <c r="A2285" t="str">
        <f>"19/11/2018"</f>
        <v>19/11/2018</v>
      </c>
      <c r="B2285" t="str">
        <f>"8.4495"</f>
        <v>8.4495</v>
      </c>
      <c r="C2285" t="str">
        <f>"8.4397"</f>
        <v>8.4397</v>
      </c>
    </row>
    <row r="2286" spans="1:3" x14ac:dyDescent="0.25">
      <c r="A2286" t="str">
        <f>"20/11/2018"</f>
        <v>20/11/2018</v>
      </c>
      <c r="B2286" t="str">
        <f>"8.4901"</f>
        <v>8.4901</v>
      </c>
      <c r="C2286" t="str">
        <f>"8.4787"</f>
        <v>8.4787</v>
      </c>
    </row>
    <row r="2287" spans="1:3" x14ac:dyDescent="0.25">
      <c r="A2287" t="str">
        <f>"22/11/2018"</f>
        <v>22/11/2018</v>
      </c>
      <c r="B2287" t="str">
        <f>"8.5475"</f>
        <v>8.5475</v>
      </c>
      <c r="C2287" t="str">
        <f>"8.537"</f>
        <v>8.537</v>
      </c>
    </row>
    <row r="2288" spans="1:3" x14ac:dyDescent="0.25">
      <c r="A2288" t="str">
        <f>"26/11/2018"</f>
        <v>26/11/2018</v>
      </c>
      <c r="B2288" t="str">
        <f>"8.5586"</f>
        <v>8.5586</v>
      </c>
      <c r="C2288" t="str">
        <f>"8.5485"</f>
        <v>8.5485</v>
      </c>
    </row>
    <row r="2289" spans="1:3" x14ac:dyDescent="0.25">
      <c r="A2289" t="str">
        <f>"27/11/2018"</f>
        <v>27/11/2018</v>
      </c>
      <c r="B2289" t="str">
        <f>"8.5918"</f>
        <v>8.5918</v>
      </c>
      <c r="C2289" t="str">
        <f>"8.5807"</f>
        <v>8.5807</v>
      </c>
    </row>
    <row r="2290" spans="1:3" x14ac:dyDescent="0.25">
      <c r="A2290" t="str">
        <f>"28/11/2018"</f>
        <v>28/11/2018</v>
      </c>
      <c r="B2290" t="str">
        <f>"8.6074"</f>
        <v>8.6074</v>
      </c>
      <c r="C2290" t="str">
        <f>"8.5965"</f>
        <v>8.5965</v>
      </c>
    </row>
    <row r="2291" spans="1:3" x14ac:dyDescent="0.25">
      <c r="A2291" t="str">
        <f>"29/11/2018"</f>
        <v>29/11/2018</v>
      </c>
      <c r="B2291" t="str">
        <f>"8.5786"</f>
        <v>8.5786</v>
      </c>
      <c r="C2291" t="str">
        <f>"8.5657"</f>
        <v>8.5657</v>
      </c>
    </row>
    <row r="2292" spans="1:3" x14ac:dyDescent="0.25">
      <c r="A2292" t="str">
        <f>"30/11/2018"</f>
        <v>30/11/2018</v>
      </c>
      <c r="B2292" t="str">
        <f>"8.5678"</f>
        <v>8.5678</v>
      </c>
      <c r="C2292" t="str">
        <f>"8.5551"</f>
        <v>8.5551</v>
      </c>
    </row>
    <row r="2293" spans="1:3" x14ac:dyDescent="0.25">
      <c r="A2293" t="str">
        <f>"03/12/2018"</f>
        <v>03/12/2018</v>
      </c>
      <c r="B2293" t="str">
        <f>"8.5506"</f>
        <v>8.5506</v>
      </c>
      <c r="C2293" t="str">
        <f>"8.5361"</f>
        <v>8.5361</v>
      </c>
    </row>
    <row r="2294" spans="1:3" x14ac:dyDescent="0.25">
      <c r="A2294" t="str">
        <f>"04/12/2018"</f>
        <v>04/12/2018</v>
      </c>
      <c r="B2294" t="str">
        <f>"8.4591"</f>
        <v>8.4591</v>
      </c>
      <c r="C2294" t="str">
        <f>"8.4451"</f>
        <v>8.4451</v>
      </c>
    </row>
    <row r="2295" spans="1:3" x14ac:dyDescent="0.25">
      <c r="A2295" t="str">
        <f>"05/12/2018"</f>
        <v>05/12/2018</v>
      </c>
      <c r="B2295" t="str">
        <f>"8.4999"</f>
        <v>8.4999</v>
      </c>
      <c r="C2295" t="str">
        <f>"8.4868"</f>
        <v>8.4868</v>
      </c>
    </row>
    <row r="2296" spans="1:3" x14ac:dyDescent="0.25">
      <c r="A2296" t="str">
        <f>"06/12/2018"</f>
        <v>06/12/2018</v>
      </c>
      <c r="B2296" t="str">
        <f>"8.5531"</f>
        <v>8.5531</v>
      </c>
      <c r="C2296" t="str">
        <f>"8.5404"</f>
        <v>8.5404</v>
      </c>
    </row>
    <row r="2297" spans="1:3" x14ac:dyDescent="0.25">
      <c r="A2297" t="str">
        <f>"07/12/2018"</f>
        <v>07/12/2018</v>
      </c>
      <c r="B2297" t="str">
        <f>"8.5275"</f>
        <v>8.5275</v>
      </c>
      <c r="C2297" t="str">
        <f>"8.515"</f>
        <v>8.515</v>
      </c>
    </row>
    <row r="2298" spans="1:3" x14ac:dyDescent="0.25">
      <c r="A2298" t="str">
        <f>"10/12/2018"</f>
        <v>10/12/2018</v>
      </c>
      <c r="B2298" t="str">
        <f>"8.4713"</f>
        <v>8.4713</v>
      </c>
      <c r="C2298" t="str">
        <f>"8.4581"</f>
        <v>8.4581</v>
      </c>
    </row>
    <row r="2299" spans="1:3" x14ac:dyDescent="0.25">
      <c r="A2299" t="str">
        <f>"11/12/2018"</f>
        <v>11/12/2018</v>
      </c>
      <c r="B2299" t="str">
        <f>"8.5205"</f>
        <v>8.5205</v>
      </c>
      <c r="C2299" t="str">
        <f>"8.5076"</f>
        <v>8.5076</v>
      </c>
    </row>
    <row r="2300" spans="1:3" x14ac:dyDescent="0.25">
      <c r="A2300" t="str">
        <f>"12/12/2018"</f>
        <v>12/12/2018</v>
      </c>
      <c r="B2300" t="str">
        <f>"8.5734"</f>
        <v>8.5734</v>
      </c>
      <c r="C2300" t="str">
        <f>"8.5612"</f>
        <v>8.5612</v>
      </c>
    </row>
    <row r="2301" spans="1:3" x14ac:dyDescent="0.25">
      <c r="A2301" t="str">
        <f>"13/12/2018"</f>
        <v>13/12/2018</v>
      </c>
      <c r="B2301" t="str">
        <f>"8.5567"</f>
        <v>8.5567</v>
      </c>
      <c r="C2301" t="str">
        <f>"8.5449"</f>
        <v>8.5449</v>
      </c>
    </row>
    <row r="2302" spans="1:3" x14ac:dyDescent="0.25">
      <c r="A2302" t="str">
        <f>"14/12/2018"</f>
        <v>14/12/2018</v>
      </c>
      <c r="B2302" t="str">
        <f>"8.6193"</f>
        <v>8.6193</v>
      </c>
      <c r="C2302" t="str">
        <f>"8.6072"</f>
        <v>8.6072</v>
      </c>
    </row>
    <row r="2303" spans="1:3" x14ac:dyDescent="0.25">
      <c r="A2303" t="str">
        <f>"17/12/2018"</f>
        <v>17/12/2018</v>
      </c>
      <c r="B2303" t="str">
        <f>"8.6137"</f>
        <v>8.6137</v>
      </c>
      <c r="C2303" t="str">
        <f>"8.60"</f>
        <v>8.60</v>
      </c>
    </row>
    <row r="2304" spans="1:3" x14ac:dyDescent="0.25">
      <c r="A2304" t="str">
        <f>"18/12/2018"</f>
        <v>18/12/2018</v>
      </c>
      <c r="B2304" t="str">
        <f>"8.6778"</f>
        <v>8.6778</v>
      </c>
      <c r="C2304" t="str">
        <f>"8.6646"</f>
        <v>8.6646</v>
      </c>
    </row>
    <row r="2305" spans="1:3" x14ac:dyDescent="0.25">
      <c r="A2305" t="str">
        <f>"19/12/2018"</f>
        <v>19/12/2018</v>
      </c>
      <c r="B2305" t="str">
        <f>"8.7082"</f>
        <v>8.7082</v>
      </c>
      <c r="C2305" t="str">
        <f>"8.6949"</f>
        <v>8.6949</v>
      </c>
    </row>
    <row r="2306" spans="1:3" x14ac:dyDescent="0.25">
      <c r="A2306" t="str">
        <f>"20/12/2018"</f>
        <v>20/12/2018</v>
      </c>
      <c r="B2306" t="str">
        <f>"8.6222"</f>
        <v>8.6222</v>
      </c>
      <c r="C2306" t="str">
        <f>"8.6088"</f>
        <v>8.6088</v>
      </c>
    </row>
    <row r="2307" spans="1:3" x14ac:dyDescent="0.25">
      <c r="A2307" t="str">
        <f>"21/12/2018"</f>
        <v>21/12/2018</v>
      </c>
      <c r="B2307" t="str">
        <f>"8.6965"</f>
        <v>8.6965</v>
      </c>
      <c r="C2307" t="str">
        <f>"8.6839"</f>
        <v>8.6839</v>
      </c>
    </row>
    <row r="2308" spans="1:3" x14ac:dyDescent="0.25">
      <c r="A2308" t="str">
        <f>"24/12/2018"</f>
        <v>24/12/2018</v>
      </c>
      <c r="B2308" t="str">
        <f>"8.7526"</f>
        <v>8.7526</v>
      </c>
      <c r="C2308" t="str">
        <f>"8.7402"</f>
        <v>8.7402</v>
      </c>
    </row>
    <row r="2309" spans="1:3" x14ac:dyDescent="0.25">
      <c r="A2309" t="str">
        <f>"26/12/2018"</f>
        <v>26/12/2018</v>
      </c>
      <c r="B2309" t="str">
        <f>"8.8066"</f>
        <v>8.8066</v>
      </c>
      <c r="C2309" t="str">
        <f>"8.7945"</f>
        <v>8.7945</v>
      </c>
    </row>
    <row r="2310" spans="1:3" x14ac:dyDescent="0.25">
      <c r="A2310" t="str">
        <f>"27/12/2018"</f>
        <v>27/12/2018</v>
      </c>
      <c r="B2310" t="str">
        <f>"8.7468"</f>
        <v>8.7468</v>
      </c>
      <c r="C2310" t="str">
        <f>"8.7347"</f>
        <v>8.7347</v>
      </c>
    </row>
    <row r="2311" spans="1:3" x14ac:dyDescent="0.25">
      <c r="A2311" t="str">
        <f>"28/12/2018"</f>
        <v>28/12/2018</v>
      </c>
      <c r="B2311" t="str">
        <f>"8.7524"</f>
        <v>8.7524</v>
      </c>
      <c r="C2311" t="str">
        <f>"8.7407"</f>
        <v>8.7407</v>
      </c>
    </row>
    <row r="2312" spans="1:3" x14ac:dyDescent="0.25">
      <c r="A2312" t="str">
        <f>"31/12/2018"</f>
        <v>31/12/2018</v>
      </c>
      <c r="B2312" t="str">
        <f>"8.6781"</f>
        <v>8.6781</v>
      </c>
      <c r="C2312" t="str">
        <f>"8.6658"</f>
        <v>8.6658</v>
      </c>
    </row>
    <row r="2313" spans="1:3" x14ac:dyDescent="0.25">
      <c r="A2313" t="str">
        <f>"01/01/2019"</f>
        <v>01/01/2019</v>
      </c>
      <c r="B2313" t="str">
        <f>"8.7629"</f>
        <v>8.7629</v>
      </c>
      <c r="C2313" t="str">
        <f>"8.7511"</f>
        <v>8.7511</v>
      </c>
    </row>
    <row r="2314" spans="1:3" x14ac:dyDescent="0.25">
      <c r="A2314" t="str">
        <f>"02/01/2019"</f>
        <v>02/01/2019</v>
      </c>
      <c r="B2314" t="str">
        <f>"8.665"</f>
        <v>8.665</v>
      </c>
      <c r="C2314" t="str">
        <f>"8.6529"</f>
        <v>8.6529</v>
      </c>
    </row>
    <row r="2315" spans="1:3" x14ac:dyDescent="0.25">
      <c r="A2315" t="str">
        <f>"03/01/2019"</f>
        <v>03/01/2019</v>
      </c>
      <c r="B2315" t="str">
        <f>"8.7499"</f>
        <v>8.7499</v>
      </c>
      <c r="C2315" t="str">
        <f>"8.7377"</f>
        <v>8.7377</v>
      </c>
    </row>
    <row r="2316" spans="1:3" x14ac:dyDescent="0.25">
      <c r="A2316" t="str">
        <f>"04/01/2019"</f>
        <v>04/01/2019</v>
      </c>
      <c r="B2316" t="str">
        <f>"8.6485"</f>
        <v>8.6485</v>
      </c>
      <c r="C2316" t="str">
        <f>"8.6363"</f>
        <v>8.6363</v>
      </c>
    </row>
    <row r="2317" spans="1:3" x14ac:dyDescent="0.25">
      <c r="A2317" t="str">
        <f>"07/01/2019"</f>
        <v>07/01/2019</v>
      </c>
      <c r="B2317" t="str">
        <f>"8.5857"</f>
        <v>8.5857</v>
      </c>
      <c r="C2317" t="str">
        <f>"8.5728"</f>
        <v>8.5728</v>
      </c>
    </row>
    <row r="2318" spans="1:3" x14ac:dyDescent="0.25">
      <c r="A2318" t="str">
        <f>"08/01/2019"</f>
        <v>08/01/2019</v>
      </c>
      <c r="B2318" t="str">
        <f>"8.5347"</f>
        <v>8.5347</v>
      </c>
      <c r="C2318" t="str">
        <f>"8.5224"</f>
        <v>8.5224</v>
      </c>
    </row>
    <row r="2319" spans="1:3" x14ac:dyDescent="0.25">
      <c r="A2319" t="str">
        <f>"09/01/2019"</f>
        <v>09/01/2019</v>
      </c>
      <c r="B2319" t="str">
        <f>"8.5361"</f>
        <v>8.5361</v>
      </c>
      <c r="C2319" t="str">
        <f>"8.5243"</f>
        <v>8.5243</v>
      </c>
    </row>
    <row r="2320" spans="1:3" x14ac:dyDescent="0.25">
      <c r="A2320" t="str">
        <f>"10/01/2019"</f>
        <v>10/01/2019</v>
      </c>
      <c r="B2320" t="str">
        <f>"8.4662"</f>
        <v>8.4662</v>
      </c>
      <c r="C2320" t="str">
        <f>"8.4545"</f>
        <v>8.4545</v>
      </c>
    </row>
    <row r="2321" spans="1:3" x14ac:dyDescent="0.25">
      <c r="A2321" t="str">
        <f>"11/01/2019"</f>
        <v>11/01/2019</v>
      </c>
      <c r="B2321" t="str">
        <f>"8.4633"</f>
        <v>8.4633</v>
      </c>
      <c r="C2321" t="str">
        <f>"8.4516"</f>
        <v>8.4516</v>
      </c>
    </row>
    <row r="2322" spans="1:3" x14ac:dyDescent="0.25">
      <c r="A2322" t="str">
        <f>"14/01/2019"</f>
        <v>14/01/2019</v>
      </c>
      <c r="B2322" t="str">
        <f>"8.5436"</f>
        <v>8.5436</v>
      </c>
      <c r="C2322" t="str">
        <f>"8.5306"</f>
        <v>8.5306</v>
      </c>
    </row>
    <row r="2323" spans="1:3" x14ac:dyDescent="0.25">
      <c r="A2323" t="str">
        <f>"15/01/2019"</f>
        <v>15/01/2019</v>
      </c>
      <c r="B2323" t="str">
        <f>"8.5419"</f>
        <v>8.5419</v>
      </c>
      <c r="C2323" t="str">
        <f>"8.5294"</f>
        <v>8.5294</v>
      </c>
    </row>
    <row r="2324" spans="1:3" x14ac:dyDescent="0.25">
      <c r="A2324" t="str">
        <f>"16/01/2019"</f>
        <v>16/01/2019</v>
      </c>
      <c r="B2324" t="str">
        <f>"8.5453"</f>
        <v>8.5453</v>
      </c>
      <c r="C2324" t="str">
        <f>"8.5331"</f>
        <v>8.5331</v>
      </c>
    </row>
    <row r="2325" spans="1:3" x14ac:dyDescent="0.25">
      <c r="A2325" t="str">
        <f>"17/01/2019"</f>
        <v>17/01/2019</v>
      </c>
      <c r="B2325" t="str">
        <f>"8.5616"</f>
        <v>8.5616</v>
      </c>
      <c r="C2325" t="str">
        <f>"8.5497"</f>
        <v>8.5497</v>
      </c>
    </row>
    <row r="2326" spans="1:3" x14ac:dyDescent="0.25">
      <c r="A2326" t="str">
        <f>"18/01/2019"</f>
        <v>18/01/2019</v>
      </c>
      <c r="B2326" t="str">
        <f>"8.5299"</f>
        <v>8.5299</v>
      </c>
      <c r="C2326" t="str">
        <f>"8.518"</f>
        <v>8.518</v>
      </c>
    </row>
    <row r="2327" spans="1:3" x14ac:dyDescent="0.25">
      <c r="A2327" t="str">
        <f>"21/01/2019"</f>
        <v>21/01/2019</v>
      </c>
      <c r="B2327" t="str">
        <f>"8.5641"</f>
        <v>8.5641</v>
      </c>
      <c r="C2327" t="str">
        <f>"8.5514"</f>
        <v>8.5514</v>
      </c>
    </row>
    <row r="2328" spans="1:3" x14ac:dyDescent="0.25">
      <c r="A2328" t="str">
        <f>"22/01/2019"</f>
        <v>22/01/2019</v>
      </c>
      <c r="B2328" t="str">
        <f>"8.5957"</f>
        <v>8.5957</v>
      </c>
      <c r="C2328" t="str">
        <f>"8.5832"</f>
        <v>8.5832</v>
      </c>
    </row>
    <row r="2329" spans="1:3" x14ac:dyDescent="0.25">
      <c r="A2329" t="str">
        <f>"23/01/2019"</f>
        <v>23/01/2019</v>
      </c>
      <c r="B2329" t="str">
        <f>"8.5969"</f>
        <v>8.5969</v>
      </c>
      <c r="C2329" t="str">
        <f>"8.5848"</f>
        <v>8.5848</v>
      </c>
    </row>
    <row r="2330" spans="1:3" x14ac:dyDescent="0.25">
      <c r="A2330" t="str">
        <f>"24/01/2019"</f>
        <v>24/01/2019</v>
      </c>
      <c r="B2330" t="str">
        <f>"8.5725"</f>
        <v>8.5725</v>
      </c>
      <c r="C2330" t="str">
        <f>"8.5604"</f>
        <v>8.5604</v>
      </c>
    </row>
    <row r="2331" spans="1:3" x14ac:dyDescent="0.25">
      <c r="A2331" t="str">
        <f>"25/01/2019"</f>
        <v>25/01/2019</v>
      </c>
      <c r="B2331" t="str">
        <f>"8.5568"</f>
        <v>8.5568</v>
      </c>
      <c r="C2331" t="str">
        <f>"8.5451"</f>
        <v>8.5451</v>
      </c>
    </row>
    <row r="2332" spans="1:3" x14ac:dyDescent="0.25">
      <c r="A2332" t="str">
        <f>"28/01/2019"</f>
        <v>28/01/2019</v>
      </c>
      <c r="B2332" t="str">
        <f>"8.5189"</f>
        <v>8.5189</v>
      </c>
      <c r="C2332" t="str">
        <f>"8.5076"</f>
        <v>8.5076</v>
      </c>
    </row>
    <row r="2333" spans="1:3" x14ac:dyDescent="0.25">
      <c r="A2333" t="str">
        <f>"29/01/2019"</f>
        <v>29/01/2019</v>
      </c>
      <c r="B2333" t="str">
        <f>"8.4979"</f>
        <v>8.4979</v>
      </c>
      <c r="C2333" t="str">
        <f>"8.487"</f>
        <v>8.487</v>
      </c>
    </row>
    <row r="2334" spans="1:3" x14ac:dyDescent="0.25">
      <c r="A2334" t="str">
        <f>"30/01/2019"</f>
        <v>30/01/2019</v>
      </c>
      <c r="B2334" t="str">
        <f>"8.4924"</f>
        <v>8.4924</v>
      </c>
      <c r="C2334" t="str">
        <f>"8.4814"</f>
        <v>8.4814</v>
      </c>
    </row>
    <row r="2335" spans="1:3" x14ac:dyDescent="0.25">
      <c r="A2335" t="str">
        <f>"31/01/2019"</f>
        <v>31/01/2019</v>
      </c>
      <c r="B2335" t="str">
        <f>"8.4117"</f>
        <v>8.4117</v>
      </c>
      <c r="C2335" t="str">
        <f>"8.4008"</f>
        <v>8.4008</v>
      </c>
    </row>
    <row r="2336" spans="1:3" x14ac:dyDescent="0.25">
      <c r="A2336" t="str">
        <f>"01/02/2019"</f>
        <v>01/02/2019</v>
      </c>
      <c r="B2336" t="str">
        <f>"8.4278"</f>
        <v>8.4278</v>
      </c>
      <c r="C2336" t="str">
        <f>"8.4168"</f>
        <v>8.4168</v>
      </c>
    </row>
    <row r="2337" spans="1:3" x14ac:dyDescent="0.25">
      <c r="A2337" t="str">
        <f>"04/02/2019"</f>
        <v>04/02/2019</v>
      </c>
      <c r="B2337" t="str">
        <f>"8.4661"</f>
        <v>8.4661</v>
      </c>
      <c r="C2337" t="str">
        <f>"8.4551"</f>
        <v>8.4551</v>
      </c>
    </row>
    <row r="2338" spans="1:3" x14ac:dyDescent="0.25">
      <c r="A2338" t="str">
        <f>"05/02/2019"</f>
        <v>05/02/2019</v>
      </c>
      <c r="B2338" t="str">
        <f>"8.4698"</f>
        <v>8.4698</v>
      </c>
      <c r="C2338" t="str">
        <f>"8.4589"</f>
        <v>8.4589</v>
      </c>
    </row>
    <row r="2339" spans="1:3" x14ac:dyDescent="0.25">
      <c r="A2339" t="str">
        <f>"06/02/2019"</f>
        <v>06/02/2019</v>
      </c>
      <c r="B2339" t="str">
        <f>"8.4915"</f>
        <v>8.4915</v>
      </c>
      <c r="C2339" t="str">
        <f>"8.4806"</f>
        <v>8.4806</v>
      </c>
    </row>
    <row r="2340" spans="1:3" x14ac:dyDescent="0.25">
      <c r="A2340" t="str">
        <f>"07/02/2019"</f>
        <v>07/02/2019</v>
      </c>
      <c r="B2340" t="str">
        <f>"8.5846"</f>
        <v>8.5846</v>
      </c>
      <c r="C2340" t="str">
        <f>"8.5737"</f>
        <v>8.5737</v>
      </c>
    </row>
    <row r="2341" spans="1:3" x14ac:dyDescent="0.25">
      <c r="A2341" t="str">
        <f>"08/02/2019"</f>
        <v>08/02/2019</v>
      </c>
      <c r="B2341" t="str">
        <f>"8.6123"</f>
        <v>8.6123</v>
      </c>
      <c r="C2341" t="str">
        <f>"8.6014"</f>
        <v>8.6014</v>
      </c>
    </row>
    <row r="2342" spans="1:3" x14ac:dyDescent="0.25">
      <c r="A2342" t="str">
        <f>"11/02/2019"</f>
        <v>11/02/2019</v>
      </c>
      <c r="B2342" t="str">
        <f>"8.6735"</f>
        <v>8.6735</v>
      </c>
      <c r="C2342" t="str">
        <f>"8.6626"</f>
        <v>8.6626</v>
      </c>
    </row>
    <row r="2343" spans="1:3" x14ac:dyDescent="0.25">
      <c r="A2343" t="str">
        <f>"12/02/2019"</f>
        <v>12/02/2019</v>
      </c>
      <c r="B2343" t="str">
        <f>"8.7086"</f>
        <v>8.7086</v>
      </c>
      <c r="C2343" t="str">
        <f>"8.6977"</f>
        <v>8.6977</v>
      </c>
    </row>
    <row r="2344" spans="1:3" x14ac:dyDescent="0.25">
      <c r="A2344" t="str">
        <f>"13/02/2019"</f>
        <v>13/02/2019</v>
      </c>
      <c r="B2344" t="str">
        <f>"8.6294"</f>
        <v>8.6294</v>
      </c>
      <c r="C2344" t="str">
        <f>"8.6186"</f>
        <v>8.6186</v>
      </c>
    </row>
    <row r="2345" spans="1:3" x14ac:dyDescent="0.25">
      <c r="A2345" t="str">
        <f>"14/02/2019"</f>
        <v>14/02/2019</v>
      </c>
      <c r="B2345" t="str">
        <f>"8.66"</f>
        <v>8.66</v>
      </c>
      <c r="C2345" t="str">
        <f>"8.6492"</f>
        <v>8.6492</v>
      </c>
    </row>
    <row r="2346" spans="1:3" x14ac:dyDescent="0.25">
      <c r="A2346" t="str">
        <f>"15/02/2019"</f>
        <v>15/02/2019</v>
      </c>
      <c r="B2346" t="str">
        <f>"8.6666"</f>
        <v>8.6666</v>
      </c>
      <c r="C2346" t="str">
        <f>"8.6558"</f>
        <v>8.6558</v>
      </c>
    </row>
    <row r="2347" spans="1:3" x14ac:dyDescent="0.25">
      <c r="A2347" t="str">
        <f>"18/02/2019"</f>
        <v>18/02/2019</v>
      </c>
      <c r="B2347" t="str">
        <f>"8.624"</f>
        <v>8.624</v>
      </c>
      <c r="C2347" t="str">
        <f>"8.6135"</f>
        <v>8.6135</v>
      </c>
    </row>
    <row r="2348" spans="1:3" x14ac:dyDescent="0.25">
      <c r="A2348" t="str">
        <f>"20/02/2019"</f>
        <v>20/02/2019</v>
      </c>
      <c r="B2348" t="str">
        <f>"8.5889"</f>
        <v>8.5889</v>
      </c>
      <c r="C2348" t="str">
        <f>"8.5782"</f>
        <v>8.5782</v>
      </c>
    </row>
    <row r="2349" spans="1:3" x14ac:dyDescent="0.25">
      <c r="A2349" t="str">
        <f>"21/02/2019"</f>
        <v>21/02/2019</v>
      </c>
      <c r="B2349" t="str">
        <f>"8.5892"</f>
        <v>8.5892</v>
      </c>
      <c r="C2349" t="str">
        <f>"8.5788"</f>
        <v>8.5788</v>
      </c>
    </row>
    <row r="2350" spans="1:3" x14ac:dyDescent="0.25">
      <c r="A2350" t="str">
        <f>"22/02/2019"</f>
        <v>22/02/2019</v>
      </c>
      <c r="B2350" t="str">
        <f>"8.6206"</f>
        <v>8.6206</v>
      </c>
      <c r="C2350" t="str">
        <f>"8.6099"</f>
        <v>8.6099</v>
      </c>
    </row>
    <row r="2351" spans="1:3" x14ac:dyDescent="0.25">
      <c r="A2351" t="str">
        <f>"25/02/2019"</f>
        <v>25/02/2019</v>
      </c>
      <c r="B2351" t="str">
        <f>"8.5692"</f>
        <v>8.5692</v>
      </c>
      <c r="C2351" t="str">
        <f>"8.5586"</f>
        <v>8.5586</v>
      </c>
    </row>
    <row r="2352" spans="1:3" x14ac:dyDescent="0.25">
      <c r="A2352" t="str">
        <f>"26/02/2019"</f>
        <v>26/02/2019</v>
      </c>
      <c r="B2352" t="str">
        <f>"8.6066"</f>
        <v>8.6066</v>
      </c>
      <c r="C2352" t="str">
        <f>"8.5957"</f>
        <v>8.5957</v>
      </c>
    </row>
    <row r="2353" spans="1:3" x14ac:dyDescent="0.25">
      <c r="A2353" t="str">
        <f>"27/02/2019"</f>
        <v>27/02/2019</v>
      </c>
      <c r="B2353" t="str">
        <f>"8.5278"</f>
        <v>8.5278</v>
      </c>
      <c r="C2353" t="str">
        <f>"8.5161"</f>
        <v>8.5161</v>
      </c>
    </row>
    <row r="2354" spans="1:3" x14ac:dyDescent="0.25">
      <c r="A2354" t="str">
        <f>"28/02/2019"</f>
        <v>28/02/2019</v>
      </c>
      <c r="B2354" t="str">
        <f>"8.5209"</f>
        <v>8.5209</v>
      </c>
      <c r="C2354" t="str">
        <f>"8.5092"</f>
        <v>8.5092</v>
      </c>
    </row>
    <row r="2355" spans="1:3" x14ac:dyDescent="0.25">
      <c r="A2355" t="str">
        <f>"01/03/2019"</f>
        <v>01/03/2019</v>
      </c>
      <c r="B2355" t="str">
        <f>"8.548"</f>
        <v>8.548</v>
      </c>
      <c r="C2355" t="str">
        <f>"8.5364"</f>
        <v>8.5364</v>
      </c>
    </row>
    <row r="2356" spans="1:3" x14ac:dyDescent="0.25">
      <c r="A2356" t="str">
        <f>"05/03/2019"</f>
        <v>05/03/2019</v>
      </c>
      <c r="B2356" t="str">
        <f>"8.6517"</f>
        <v>8.6517</v>
      </c>
      <c r="C2356" t="str">
        <f>"8.6398"</f>
        <v>8.6398</v>
      </c>
    </row>
    <row r="2357" spans="1:3" x14ac:dyDescent="0.25">
      <c r="A2357" t="str">
        <f>"06/03/2019"</f>
        <v>06/03/2019</v>
      </c>
      <c r="B2357" t="str">
        <f>"8.6862"</f>
        <v>8.6862</v>
      </c>
      <c r="C2357" t="str">
        <f>"8.6746"</f>
        <v>8.6746</v>
      </c>
    </row>
    <row r="2358" spans="1:3" x14ac:dyDescent="0.25">
      <c r="A2358" t="str">
        <f>"07/03/2019"</f>
        <v>07/03/2019</v>
      </c>
      <c r="B2358" t="str">
        <f>"8.6656"</f>
        <v>8.6656</v>
      </c>
      <c r="C2358" t="str">
        <f>"8.6545"</f>
        <v>8.6545</v>
      </c>
    </row>
    <row r="2359" spans="1:3" x14ac:dyDescent="0.25">
      <c r="A2359" t="str">
        <f>"08/03/2019"</f>
        <v>08/03/2019</v>
      </c>
      <c r="B2359" t="str">
        <f>"8.7894"</f>
        <v>8.7894</v>
      </c>
      <c r="C2359" t="str">
        <f>"8.7784"</f>
        <v>8.7784</v>
      </c>
    </row>
    <row r="2360" spans="1:3" x14ac:dyDescent="0.25">
      <c r="A2360" t="str">
        <f>"11/03/2019"</f>
        <v>11/03/2019</v>
      </c>
      <c r="B2360" t="str">
        <f>"8.6905"</f>
        <v>8.6905</v>
      </c>
      <c r="C2360" t="str">
        <f>"8.6789"</f>
        <v>8.6789</v>
      </c>
    </row>
    <row r="2361" spans="1:3" x14ac:dyDescent="0.25">
      <c r="A2361" t="str">
        <f>"12/03/2019"</f>
        <v>12/03/2019</v>
      </c>
      <c r="B2361" t="str">
        <f>"8.6609"</f>
        <v>8.6609</v>
      </c>
      <c r="C2361" t="str">
        <f>"8.6498"</f>
        <v>8.6498</v>
      </c>
    </row>
    <row r="2362" spans="1:3" x14ac:dyDescent="0.25">
      <c r="A2362" t="str">
        <f>"13/03/2019"</f>
        <v>13/03/2019</v>
      </c>
      <c r="B2362" t="str">
        <f>"8.6398"</f>
        <v>8.6398</v>
      </c>
      <c r="C2362" t="str">
        <f>"8.629"</f>
        <v>8.629</v>
      </c>
    </row>
    <row r="2363" spans="1:3" x14ac:dyDescent="0.25">
      <c r="A2363" t="str">
        <f>"14/03/2019"</f>
        <v>14/03/2019</v>
      </c>
      <c r="B2363" t="str">
        <f>"8.6089"</f>
        <v>8.6089</v>
      </c>
      <c r="C2363" t="str">
        <f>"8.5969"</f>
        <v>8.5969</v>
      </c>
    </row>
    <row r="2364" spans="1:3" x14ac:dyDescent="0.25">
      <c r="A2364" t="str">
        <f>"18/03/2019"</f>
        <v>18/03/2019</v>
      </c>
      <c r="B2364" t="str">
        <f>"8.5174"</f>
        <v>8.5174</v>
      </c>
      <c r="C2364" t="str">
        <f>"8.5063"</f>
        <v>8.5063</v>
      </c>
    </row>
    <row r="2365" spans="1:3" x14ac:dyDescent="0.25">
      <c r="A2365" t="str">
        <f>"19/03/2019"</f>
        <v>19/03/2019</v>
      </c>
      <c r="B2365" t="str">
        <f>"8.53"</f>
        <v>8.53</v>
      </c>
      <c r="C2365" t="str">
        <f>"8.5191"</f>
        <v>8.5191</v>
      </c>
    </row>
    <row r="2366" spans="1:3" x14ac:dyDescent="0.25">
      <c r="A2366" t="str">
        <f>"20/03/2019"</f>
        <v>20/03/2019</v>
      </c>
      <c r="B2366" t="str">
        <f>"8.5365"</f>
        <v>8.5365</v>
      </c>
      <c r="C2366" t="str">
        <f>"8.526"</f>
        <v>8.526</v>
      </c>
    </row>
    <row r="2367" spans="1:3" x14ac:dyDescent="0.25">
      <c r="A2367" t="str">
        <f>"22/03/2019"</f>
        <v>22/03/2019</v>
      </c>
      <c r="B2367" t="str">
        <f>"8.5274"</f>
        <v>8.5274</v>
      </c>
      <c r="C2367" t="str">
        <f>"8.517"</f>
        <v>8.517</v>
      </c>
    </row>
    <row r="2368" spans="1:3" x14ac:dyDescent="0.25">
      <c r="A2368" t="str">
        <f>"25/03/2019"</f>
        <v>25/03/2019</v>
      </c>
      <c r="B2368" t="str">
        <f>"8.5389"</f>
        <v>8.5389</v>
      </c>
      <c r="C2368" t="str">
        <f>"8.5279"</f>
        <v>8.5279</v>
      </c>
    </row>
    <row r="2369" spans="1:3" x14ac:dyDescent="0.25">
      <c r="A2369" t="str">
        <f>"26/03/2019"</f>
        <v>26/03/2019</v>
      </c>
      <c r="B2369" t="str">
        <f>"8.5262"</f>
        <v>8.5262</v>
      </c>
      <c r="C2369" t="str">
        <f>"8.5153"</f>
        <v>8.5153</v>
      </c>
    </row>
    <row r="2370" spans="1:3" x14ac:dyDescent="0.25">
      <c r="A2370" t="str">
        <f>"27/03/2019"</f>
        <v>27/03/2019</v>
      </c>
      <c r="B2370" t="str">
        <f>"8.5822"</f>
        <v>8.5822</v>
      </c>
      <c r="C2370" t="str">
        <f>"8.5714"</f>
        <v>8.5714</v>
      </c>
    </row>
    <row r="2371" spans="1:3" x14ac:dyDescent="0.25">
      <c r="A2371" t="str">
        <f>"28/03/2019"</f>
        <v>28/03/2019</v>
      </c>
      <c r="B2371" t="str">
        <f>"8.6699"</f>
        <v>8.6699</v>
      </c>
      <c r="C2371" t="str">
        <f>"8.6595"</f>
        <v>8.6595</v>
      </c>
    </row>
    <row r="2372" spans="1:3" x14ac:dyDescent="0.25">
      <c r="A2372" t="str">
        <f>"29/03/2019"</f>
        <v>29/03/2019</v>
      </c>
      <c r="B2372" t="str">
        <f>"8.624"</f>
        <v>8.624</v>
      </c>
      <c r="C2372" t="str">
        <f>"8.614"</f>
        <v>8.614</v>
      </c>
    </row>
    <row r="2373" spans="1:3" x14ac:dyDescent="0.25">
      <c r="A2373" t="str">
        <f>"02/04/2019"</f>
        <v>02/04/2019</v>
      </c>
      <c r="B2373" t="str">
        <f>"8.6047"</f>
        <v>8.6047</v>
      </c>
      <c r="C2373" t="str">
        <f>"8.594"</f>
        <v>8.594</v>
      </c>
    </row>
    <row r="2374" spans="1:3" x14ac:dyDescent="0.25">
      <c r="A2374" t="str">
        <f>"03/04/2019"</f>
        <v>03/04/2019</v>
      </c>
      <c r="B2374" t="str">
        <f>"8.5554"</f>
        <v>8.5554</v>
      </c>
      <c r="C2374" t="str">
        <f>"8.5451"</f>
        <v>8.5451</v>
      </c>
    </row>
    <row r="2375" spans="1:3" x14ac:dyDescent="0.25">
      <c r="A2375" t="str">
        <f>"04/04/2019"</f>
        <v>04/04/2019</v>
      </c>
      <c r="B2375" t="str">
        <f>"8.5828"</f>
        <v>8.5828</v>
      </c>
      <c r="C2375" t="str">
        <f>"8.573"</f>
        <v>8.573</v>
      </c>
    </row>
    <row r="2376" spans="1:3" x14ac:dyDescent="0.25">
      <c r="A2376" t="str">
        <f>"05/04/2019"</f>
        <v>05/04/2019</v>
      </c>
      <c r="B2376" t="str">
        <f>"8.6063"</f>
        <v>8.6063</v>
      </c>
      <c r="C2376" t="str">
        <f>"8.5963"</f>
        <v>8.5963</v>
      </c>
    </row>
    <row r="2377" spans="1:3" x14ac:dyDescent="0.25">
      <c r="A2377" t="str">
        <f>"08/04/2019"</f>
        <v>08/04/2019</v>
      </c>
      <c r="B2377" t="str">
        <f>"8.5696"</f>
        <v>8.5696</v>
      </c>
      <c r="C2377" t="str">
        <f>"8.5598"</f>
        <v>8.5598</v>
      </c>
    </row>
    <row r="2378" spans="1:3" x14ac:dyDescent="0.25">
      <c r="A2378" t="str">
        <f>"09/04/2019"</f>
        <v>09/04/2019</v>
      </c>
      <c r="B2378" t="str">
        <f>"8.5323"</f>
        <v>8.5323</v>
      </c>
      <c r="C2378" t="str">
        <f>"8.5216"</f>
        <v>8.5216</v>
      </c>
    </row>
    <row r="2379" spans="1:3" x14ac:dyDescent="0.25">
      <c r="A2379" t="str">
        <f>"10/04/2019"</f>
        <v>10/04/2019</v>
      </c>
      <c r="B2379" t="str">
        <f>"8.5057"</f>
        <v>8.5057</v>
      </c>
      <c r="C2379" t="str">
        <f>"8.4957"</f>
        <v>8.4957</v>
      </c>
    </row>
    <row r="2380" spans="1:3" x14ac:dyDescent="0.25">
      <c r="A2380" t="str">
        <f>"11/04/2019"</f>
        <v>11/04/2019</v>
      </c>
      <c r="B2380" t="str">
        <f>"8.508"</f>
        <v>8.508</v>
      </c>
      <c r="C2380" t="str">
        <f>"8.4982"</f>
        <v>8.4982</v>
      </c>
    </row>
    <row r="2381" spans="1:3" x14ac:dyDescent="0.25">
      <c r="A2381" t="str">
        <f>"12/04/2019"</f>
        <v>12/04/2019</v>
      </c>
      <c r="B2381" t="str">
        <f>"8.491"</f>
        <v>8.491</v>
      </c>
      <c r="C2381" t="str">
        <f>"8.4811"</f>
        <v>8.4811</v>
      </c>
    </row>
    <row r="2382" spans="1:3" x14ac:dyDescent="0.25">
      <c r="A2382" t="str">
        <f>"15/04/2019"</f>
        <v>15/04/2019</v>
      </c>
      <c r="B2382" t="str">
        <f>"8.4932"</f>
        <v>8.4932</v>
      </c>
      <c r="C2382" t="str">
        <f>"8.4825"</f>
        <v>8.4825</v>
      </c>
    </row>
    <row r="2383" spans="1:3" x14ac:dyDescent="0.25">
      <c r="A2383" t="str">
        <f>"16/04/2019"</f>
        <v>16/04/2019</v>
      </c>
      <c r="B2383" t="str">
        <f>"8.4902"</f>
        <v>8.4902</v>
      </c>
      <c r="C2383" t="str">
        <f>"8.4809"</f>
        <v>8.4809</v>
      </c>
    </row>
    <row r="2384" spans="1:3" x14ac:dyDescent="0.25">
      <c r="A2384" t="str">
        <f>"18/04/2019"</f>
        <v>18/04/2019</v>
      </c>
      <c r="B2384" t="str">
        <f>"8.5365"</f>
        <v>8.5365</v>
      </c>
      <c r="C2384" t="str">
        <f>"8.5268"</f>
        <v>8.5268</v>
      </c>
    </row>
    <row r="2385" spans="1:3" x14ac:dyDescent="0.25">
      <c r="A2385" t="str">
        <f>"22/04/2019"</f>
        <v>22/04/2019</v>
      </c>
      <c r="B2385" t="str">
        <f>"8.5037"</f>
        <v>8.5037</v>
      </c>
      <c r="C2385" t="str">
        <f>"8.4943"</f>
        <v>8.4943</v>
      </c>
    </row>
    <row r="2386" spans="1:3" x14ac:dyDescent="0.25">
      <c r="A2386" t="str">
        <f>"23/04/2019"</f>
        <v>23/04/2019</v>
      </c>
      <c r="B2386" t="str">
        <f>"8.5198"</f>
        <v>8.5198</v>
      </c>
      <c r="C2386" t="str">
        <f>"8.5089"</f>
        <v>8.5089</v>
      </c>
    </row>
    <row r="2387" spans="1:3" x14ac:dyDescent="0.25">
      <c r="A2387" t="str">
        <f>"24/04/2019"</f>
        <v>24/04/2019</v>
      </c>
      <c r="B2387" t="str">
        <f>"8.5777"</f>
        <v>8.5777</v>
      </c>
      <c r="C2387" t="str">
        <f>"8.5669"</f>
        <v>8.5669</v>
      </c>
    </row>
    <row r="2388" spans="1:3" x14ac:dyDescent="0.25">
      <c r="A2388" t="str">
        <f>"25/04/2019"</f>
        <v>25/04/2019</v>
      </c>
      <c r="B2388" t="str">
        <f>"8.688"</f>
        <v>8.688</v>
      </c>
      <c r="C2388" t="str">
        <f>"8.6776"</f>
        <v>8.6776</v>
      </c>
    </row>
    <row r="2389" spans="1:3" x14ac:dyDescent="0.25">
      <c r="A2389" t="str">
        <f>"26/04/2019"</f>
        <v>26/04/2019</v>
      </c>
      <c r="B2389" t="str">
        <f>"8.6748"</f>
        <v>8.6748</v>
      </c>
      <c r="C2389" t="str">
        <f>"8.664"</f>
        <v>8.664</v>
      </c>
    </row>
    <row r="2390" spans="1:3" x14ac:dyDescent="0.25">
      <c r="A2390" t="str">
        <f>"30/04/2019"</f>
        <v>30/04/2019</v>
      </c>
      <c r="B2390" t="str">
        <f>"8.6228"</f>
        <v>8.6228</v>
      </c>
      <c r="C2390" t="str">
        <f>"8.612"</f>
        <v>8.612</v>
      </c>
    </row>
    <row r="2391" spans="1:3" x14ac:dyDescent="0.25">
      <c r="A2391" t="str">
        <f>"02/05/2019"</f>
        <v>02/05/2019</v>
      </c>
      <c r="B2391" t="str">
        <f>"8.6888"</f>
        <v>8.6888</v>
      </c>
      <c r="C2391" t="str">
        <f>"8.6782"</f>
        <v>8.6782</v>
      </c>
    </row>
    <row r="2392" spans="1:3" x14ac:dyDescent="0.25">
      <c r="A2392" t="str">
        <f>"03/05/2019"</f>
        <v>03/05/2019</v>
      </c>
      <c r="B2392" t="str">
        <f>"8.7792"</f>
        <v>8.7792</v>
      </c>
      <c r="C2392" t="str">
        <f>"8.7687"</f>
        <v>8.7687</v>
      </c>
    </row>
    <row r="2393" spans="1:3" x14ac:dyDescent="0.25">
      <c r="A2393" t="str">
        <f>"06/05/2019"</f>
        <v>06/05/2019</v>
      </c>
      <c r="B2393" t="str">
        <f>"8.7463"</f>
        <v>8.7463</v>
      </c>
      <c r="C2393" t="str">
        <f>"8.7349"</f>
        <v>8.7349</v>
      </c>
    </row>
    <row r="2394" spans="1:3" x14ac:dyDescent="0.25">
      <c r="A2394" t="str">
        <f>"07/05/2019"</f>
        <v>07/05/2019</v>
      </c>
      <c r="B2394" t="str">
        <f>"8.7145"</f>
        <v>8.7145</v>
      </c>
      <c r="C2394" t="str">
        <f>"8.7033"</f>
        <v>8.7033</v>
      </c>
    </row>
    <row r="2395" spans="1:3" x14ac:dyDescent="0.25">
      <c r="A2395" t="str">
        <f>"08/05/2019"</f>
        <v>08/05/2019</v>
      </c>
      <c r="B2395" t="str">
        <f>"8.7734"</f>
        <v>8.7734</v>
      </c>
      <c r="C2395" t="str">
        <f>"8.7627"</f>
        <v>8.7627</v>
      </c>
    </row>
    <row r="2396" spans="1:3" x14ac:dyDescent="0.25">
      <c r="A2396" t="str">
        <f>"09/05/2019"</f>
        <v>09/05/2019</v>
      </c>
      <c r="B2396" t="str">
        <f>"8.7647"</f>
        <v>8.7647</v>
      </c>
      <c r="C2396" t="str">
        <f>"8.7544"</f>
        <v>8.7544</v>
      </c>
    </row>
    <row r="2397" spans="1:3" x14ac:dyDescent="0.25">
      <c r="A2397" t="str">
        <f>"10/05/2019"</f>
        <v>10/05/2019</v>
      </c>
      <c r="B2397" t="str">
        <f>"8.7466"</f>
        <v>8.7466</v>
      </c>
      <c r="C2397" t="str">
        <f>"8.7364"</f>
        <v>8.7364</v>
      </c>
    </row>
    <row r="2398" spans="1:3" x14ac:dyDescent="0.25">
      <c r="A2398" t="str">
        <f>"13/05/2019"</f>
        <v>13/05/2019</v>
      </c>
      <c r="B2398" t="str">
        <f>"8.7324"</f>
        <v>8.7324</v>
      </c>
      <c r="C2398" t="str">
        <f>"8.7219"</f>
        <v>8.7219</v>
      </c>
    </row>
    <row r="2399" spans="1:3" x14ac:dyDescent="0.25">
      <c r="A2399" t="str">
        <f>"14/05/2019"</f>
        <v>14/05/2019</v>
      </c>
      <c r="B2399" t="str">
        <f>"8.7253"</f>
        <v>8.7253</v>
      </c>
      <c r="C2399" t="str">
        <f>"8.7147"</f>
        <v>8.7147</v>
      </c>
    </row>
    <row r="2400" spans="1:3" x14ac:dyDescent="0.25">
      <c r="A2400" t="str">
        <f>"15/05/2019"</f>
        <v>15/05/2019</v>
      </c>
      <c r="B2400" t="str">
        <f>"8.7576"</f>
        <v>8.7576</v>
      </c>
      <c r="C2400" t="str">
        <f>"8.7473"</f>
        <v>8.7473</v>
      </c>
    </row>
    <row r="2401" spans="1:3" x14ac:dyDescent="0.25">
      <c r="A2401" t="str">
        <f>"16/05/2019"</f>
        <v>16/05/2019</v>
      </c>
      <c r="B2401" t="str">
        <f>"8.6977"</f>
        <v>8.6977</v>
      </c>
      <c r="C2401" t="str">
        <f>"8.6875"</f>
        <v>8.6875</v>
      </c>
    </row>
    <row r="2402" spans="1:3" x14ac:dyDescent="0.25">
      <c r="A2402" t="str">
        <f>"17/05/2019"</f>
        <v>17/05/2019</v>
      </c>
      <c r="B2402" t="str">
        <f>"8.7749"</f>
        <v>8.7749</v>
      </c>
      <c r="C2402" t="str">
        <f>"8.7646"</f>
        <v>8.7646</v>
      </c>
    </row>
    <row r="2403" spans="1:3" x14ac:dyDescent="0.25">
      <c r="A2403" t="str">
        <f>"20/05/2019"</f>
        <v>20/05/2019</v>
      </c>
      <c r="B2403" t="str">
        <f>"8.7835"</f>
        <v>8.7835</v>
      </c>
      <c r="C2403" t="str">
        <f>"8.7726"</f>
        <v>8.7726</v>
      </c>
    </row>
    <row r="2404" spans="1:3" x14ac:dyDescent="0.25">
      <c r="A2404" t="str">
        <f>"21/05/2019"</f>
        <v>21/05/2019</v>
      </c>
      <c r="B2404" t="str">
        <f>"8.7881"</f>
        <v>8.7881</v>
      </c>
      <c r="C2404" t="str">
        <f>"8.7775"</f>
        <v>8.7775</v>
      </c>
    </row>
    <row r="2405" spans="1:3" x14ac:dyDescent="0.25">
      <c r="A2405" t="str">
        <f>"22/05/2019"</f>
        <v>22/05/2019</v>
      </c>
      <c r="B2405" t="str">
        <f>"8.7409"</f>
        <v>8.7409</v>
      </c>
      <c r="C2405" t="str">
        <f>"8.7307"</f>
        <v>8.7307</v>
      </c>
    </row>
    <row r="2406" spans="1:3" x14ac:dyDescent="0.25">
      <c r="A2406" t="str">
        <f>"23/05/2019"</f>
        <v>23/05/2019</v>
      </c>
      <c r="B2406" t="str">
        <f>"8.7551"</f>
        <v>8.7551</v>
      </c>
      <c r="C2406" t="str">
        <f>"8.7451"</f>
        <v>8.7451</v>
      </c>
    </row>
    <row r="2407" spans="1:3" x14ac:dyDescent="0.25">
      <c r="A2407" t="str">
        <f>"24/05/2019"</f>
        <v>24/05/2019</v>
      </c>
      <c r="B2407" t="str">
        <f>"8.7201"</f>
        <v>8.7201</v>
      </c>
      <c r="C2407" t="str">
        <f>"8.71"</f>
        <v>8.71</v>
      </c>
    </row>
    <row r="2408" spans="1:3" x14ac:dyDescent="0.25">
      <c r="A2408" t="str">
        <f>"27/05/2019"</f>
        <v>27/05/2019</v>
      </c>
      <c r="B2408" t="str">
        <f>"8.7112"</f>
        <v>8.7112</v>
      </c>
      <c r="C2408" t="str">
        <f>"8.7015"</f>
        <v>8.7015</v>
      </c>
    </row>
    <row r="2409" spans="1:3" x14ac:dyDescent="0.25">
      <c r="A2409" t="str">
        <f>"28/05/2019"</f>
        <v>28/05/2019</v>
      </c>
      <c r="B2409" t="str">
        <f>"8.7121"</f>
        <v>8.7121</v>
      </c>
      <c r="C2409" t="str">
        <f>"8.7032"</f>
        <v>8.7032</v>
      </c>
    </row>
    <row r="2410" spans="1:3" x14ac:dyDescent="0.25">
      <c r="A2410" t="str">
        <f>"29/05/2019"</f>
        <v>29/05/2019</v>
      </c>
      <c r="B2410" t="str">
        <f>"8.7539"</f>
        <v>8.7539</v>
      </c>
      <c r="C2410" t="str">
        <f>"8.744"</f>
        <v>8.744</v>
      </c>
    </row>
    <row r="2411" spans="1:3" x14ac:dyDescent="0.25">
      <c r="A2411" t="str">
        <f>"30/05/2019"</f>
        <v>30/05/2019</v>
      </c>
      <c r="B2411" t="str">
        <f>"8.7603"</f>
        <v>8.7603</v>
      </c>
      <c r="C2411" t="str">
        <f>"8.7504"</f>
        <v>8.7504</v>
      </c>
    </row>
    <row r="2412" spans="1:3" x14ac:dyDescent="0.25">
      <c r="A2412" t="str">
        <f>"31/05/2019"</f>
        <v>31/05/2019</v>
      </c>
      <c r="B2412" t="str">
        <f>"8.7865"</f>
        <v>8.7865</v>
      </c>
      <c r="C2412" t="str">
        <f>"8.7766"</f>
        <v>8.7766</v>
      </c>
    </row>
    <row r="2413" spans="1:3" x14ac:dyDescent="0.25">
      <c r="A2413" t="str">
        <f>"03/06/2019"</f>
        <v>03/06/2019</v>
      </c>
      <c r="B2413" t="str">
        <f>"8.7338"</f>
        <v>8.7338</v>
      </c>
      <c r="C2413" t="str">
        <f>"8.7239"</f>
        <v>8.7239</v>
      </c>
    </row>
    <row r="2414" spans="1:3" x14ac:dyDescent="0.25">
      <c r="A2414" t="str">
        <f>"04/06/2019"</f>
        <v>04/06/2019</v>
      </c>
      <c r="B2414" t="str">
        <f>"8.6861"</f>
        <v>8.6861</v>
      </c>
      <c r="C2414" t="str">
        <f>"8.6761"</f>
        <v>8.6761</v>
      </c>
    </row>
    <row r="2415" spans="1:3" x14ac:dyDescent="0.25">
      <c r="A2415" t="str">
        <f>"06/06/2019"</f>
        <v>06/06/2019</v>
      </c>
      <c r="B2415" t="str">
        <f>"8.7217"</f>
        <v>8.7217</v>
      </c>
      <c r="C2415" t="str">
        <f>"8.7124"</f>
        <v>8.7124</v>
      </c>
    </row>
    <row r="2416" spans="1:3" x14ac:dyDescent="0.25">
      <c r="A2416" t="str">
        <f>"07/06/2019"</f>
        <v>07/06/2019</v>
      </c>
      <c r="B2416" t="str">
        <f>"8.696"</f>
        <v>8.696</v>
      </c>
      <c r="C2416" t="str">
        <f>"8.687"</f>
        <v>8.687</v>
      </c>
    </row>
    <row r="2417" spans="1:3" x14ac:dyDescent="0.25">
      <c r="A2417" t="str">
        <f>"10/06/2019"</f>
        <v>10/06/2019</v>
      </c>
      <c r="B2417" t="str">
        <f>"8.658"</f>
        <v>8.658</v>
      </c>
      <c r="C2417" t="str">
        <f>"8.649"</f>
        <v>8.649</v>
      </c>
    </row>
    <row r="2418" spans="1:3" x14ac:dyDescent="0.25">
      <c r="A2418" t="str">
        <f>"11/06/2019"</f>
        <v>11/06/2019</v>
      </c>
      <c r="B2418" t="str">
        <f>"8.6416"</f>
        <v>8.6416</v>
      </c>
      <c r="C2418" t="str">
        <f>"8.6322"</f>
        <v>8.6322</v>
      </c>
    </row>
    <row r="2419" spans="1:3" x14ac:dyDescent="0.25">
      <c r="A2419" t="str">
        <f>"12/06/2019"</f>
        <v>12/06/2019</v>
      </c>
      <c r="B2419" t="str">
        <f>"8.6402"</f>
        <v>8.6402</v>
      </c>
      <c r="C2419" t="str">
        <f>"8.6311"</f>
        <v>8.6311</v>
      </c>
    </row>
    <row r="2420" spans="1:3" x14ac:dyDescent="0.25">
      <c r="A2420" t="str">
        <f>"13/06/2019"</f>
        <v>13/06/2019</v>
      </c>
      <c r="B2420" t="str">
        <f>"8.6671"</f>
        <v>8.6671</v>
      </c>
      <c r="C2420" t="str">
        <f>"8.6586"</f>
        <v>8.6586</v>
      </c>
    </row>
    <row r="2421" spans="1:3" x14ac:dyDescent="0.25">
      <c r="A2421" t="str">
        <f>"14/06/2019"</f>
        <v>14/06/2019</v>
      </c>
      <c r="B2421" t="str">
        <f>"8.6879"</f>
        <v>8.6879</v>
      </c>
      <c r="C2421" t="str">
        <f>"8.6795"</f>
        <v>8.6795</v>
      </c>
    </row>
    <row r="2422" spans="1:3" x14ac:dyDescent="0.25">
      <c r="A2422" t="str">
        <f>"17/06/2019"</f>
        <v>17/06/2019</v>
      </c>
      <c r="B2422" t="str">
        <f>"8.7231"</f>
        <v>8.7231</v>
      </c>
      <c r="C2422" t="str">
        <f>"8.7143"</f>
        <v>8.7143</v>
      </c>
    </row>
    <row r="2423" spans="1:3" x14ac:dyDescent="0.25">
      <c r="A2423" t="str">
        <f>"18/06/2019"</f>
        <v>18/06/2019</v>
      </c>
      <c r="B2423" t="str">
        <f>"8.7428"</f>
        <v>8.7428</v>
      </c>
      <c r="C2423" t="str">
        <f>"8.7334"</f>
        <v>8.7334</v>
      </c>
    </row>
    <row r="2424" spans="1:3" x14ac:dyDescent="0.25">
      <c r="A2424" t="str">
        <f>"19/06/2019"</f>
        <v>19/06/2019</v>
      </c>
      <c r="B2424" t="str">
        <f>"8.7319"</f>
        <v>8.7319</v>
      </c>
      <c r="C2424" t="str">
        <f>"8.7229"</f>
        <v>8.7229</v>
      </c>
    </row>
    <row r="2425" spans="1:3" x14ac:dyDescent="0.25">
      <c r="A2425" t="str">
        <f>"20/06/2019"</f>
        <v>20/06/2019</v>
      </c>
      <c r="B2425" t="str">
        <f>"8.5523"</f>
        <v>8.5523</v>
      </c>
      <c r="C2425" t="str">
        <f>"8.5439"</f>
        <v>8.5439</v>
      </c>
    </row>
    <row r="2426" spans="1:3" x14ac:dyDescent="0.25">
      <c r="A2426" t="str">
        <f>"21/06/2019"</f>
        <v>21/06/2019</v>
      </c>
      <c r="B2426" t="str">
        <f>"8.5693"</f>
        <v>8.5693</v>
      </c>
      <c r="C2426" t="str">
        <f>"8.5608"</f>
        <v>8.5608</v>
      </c>
    </row>
    <row r="2427" spans="1:3" x14ac:dyDescent="0.25">
      <c r="A2427" t="str">
        <f>"24/06/2019"</f>
        <v>24/06/2019</v>
      </c>
      <c r="B2427" t="str">
        <f>"8.471"</f>
        <v>8.471</v>
      </c>
      <c r="C2427" t="str">
        <f>"8.4626"</f>
        <v>8.4626</v>
      </c>
    </row>
    <row r="2428" spans="1:3" x14ac:dyDescent="0.25">
      <c r="A2428" t="str">
        <f>"25/06/2019"</f>
        <v>25/06/2019</v>
      </c>
      <c r="B2428" t="str">
        <f>"8.5046"</f>
        <v>8.5046</v>
      </c>
      <c r="C2428" t="str">
        <f>"8.4953"</f>
        <v>8.4953</v>
      </c>
    </row>
    <row r="2429" spans="1:3" x14ac:dyDescent="0.25">
      <c r="A2429" t="str">
        <f>"26/06/2019"</f>
        <v>26/06/2019</v>
      </c>
      <c r="B2429" t="str">
        <f>"8.5106"</f>
        <v>8.5106</v>
      </c>
      <c r="C2429" t="str">
        <f>"8.5009"</f>
        <v>8.5009</v>
      </c>
    </row>
    <row r="2430" spans="1:3" x14ac:dyDescent="0.25">
      <c r="A2430" t="str">
        <f>"27/06/2019"</f>
        <v>27/06/2019</v>
      </c>
      <c r="B2430" t="str">
        <f>"8.5134"</f>
        <v>8.5134</v>
      </c>
      <c r="C2430" t="str">
        <f>"8.5046"</f>
        <v>8.5046</v>
      </c>
    </row>
    <row r="2431" spans="1:3" x14ac:dyDescent="0.25">
      <c r="A2431" t="str">
        <f>"28/06/2019"</f>
        <v>28/06/2019</v>
      </c>
      <c r="B2431" t="str">
        <f>"8.5212"</f>
        <v>8.5212</v>
      </c>
      <c r="C2431" t="str">
        <f>"8.5126"</f>
        <v>8.5126</v>
      </c>
    </row>
    <row r="2432" spans="1:3" x14ac:dyDescent="0.25">
      <c r="A2432" t="str">
        <f>"01/07/2019"</f>
        <v>01/07/2019</v>
      </c>
      <c r="B2432" t="str">
        <f>"8.541"</f>
        <v>8.541</v>
      </c>
      <c r="C2432" t="str">
        <f>"8.5317"</f>
        <v>8.5317</v>
      </c>
    </row>
    <row r="2433" spans="1:3" x14ac:dyDescent="0.25">
      <c r="A2433" t="str">
        <f>"02/07/2019"</f>
        <v>02/07/2019</v>
      </c>
      <c r="B2433" t="str">
        <f>"8.5779"</f>
        <v>8.5779</v>
      </c>
      <c r="C2433" t="str">
        <f>"8.5691"</f>
        <v>8.5691</v>
      </c>
    </row>
    <row r="2434" spans="1:3" x14ac:dyDescent="0.25">
      <c r="A2434" t="str">
        <f>"03/07/2019"</f>
        <v>03/07/2019</v>
      </c>
      <c r="B2434" t="str">
        <f>"8.5528"</f>
        <v>8.5528</v>
      </c>
      <c r="C2434" t="str">
        <f>"8.5438"</f>
        <v>8.5438</v>
      </c>
    </row>
    <row r="2435" spans="1:3" x14ac:dyDescent="0.25">
      <c r="A2435" t="str">
        <f>"04/07/2019"</f>
        <v>04/07/2019</v>
      </c>
      <c r="B2435" t="str">
        <f>"8.53"</f>
        <v>8.53</v>
      </c>
      <c r="C2435" t="str">
        <f>"8.5214"</f>
        <v>8.5214</v>
      </c>
    </row>
    <row r="2436" spans="1:3" x14ac:dyDescent="0.25">
      <c r="A2436" t="str">
        <f>"05/07/2019"</f>
        <v>05/07/2019</v>
      </c>
      <c r="B2436" t="str">
        <f>"8.5502"</f>
        <v>8.5502</v>
      </c>
      <c r="C2436" t="str">
        <f>"8.5417"</f>
        <v>8.5417</v>
      </c>
    </row>
    <row r="2437" spans="1:3" x14ac:dyDescent="0.25">
      <c r="A2437" t="str">
        <f>"08/07/2019"</f>
        <v>08/07/2019</v>
      </c>
      <c r="B2437" t="str">
        <f>"8.6171"</f>
        <v>8.6171</v>
      </c>
      <c r="C2437" t="str">
        <f>"8.6082"</f>
        <v>8.6082</v>
      </c>
    </row>
    <row r="2438" spans="1:3" x14ac:dyDescent="0.25">
      <c r="A2438" t="str">
        <f>"09/07/2019"</f>
        <v>09/07/2019</v>
      </c>
      <c r="B2438" t="str">
        <f>"8.6423"</f>
        <v>8.6423</v>
      </c>
      <c r="C2438" t="str">
        <f>"8.6331"</f>
        <v>8.6331</v>
      </c>
    </row>
    <row r="2439" spans="1:3" x14ac:dyDescent="0.25">
      <c r="A2439" t="str">
        <f>"10/07/2019"</f>
        <v>10/07/2019</v>
      </c>
      <c r="B2439" t="str">
        <f>"8.6525"</f>
        <v>8.6525</v>
      </c>
      <c r="C2439" t="str">
        <f>"8.6438"</f>
        <v>8.6438</v>
      </c>
    </row>
    <row r="2440" spans="1:3" x14ac:dyDescent="0.25">
      <c r="A2440" t="str">
        <f>"11/07/2019"</f>
        <v>11/07/2019</v>
      </c>
      <c r="B2440" t="str">
        <f>"8.5405"</f>
        <v>8.5405</v>
      </c>
      <c r="C2440" t="str">
        <f>"8.5323"</f>
        <v>8.5323</v>
      </c>
    </row>
    <row r="2441" spans="1:3" x14ac:dyDescent="0.25">
      <c r="A2441" t="str">
        <f>"12/07/2019"</f>
        <v>12/07/2019</v>
      </c>
      <c r="B2441" t="str">
        <f>"8.5245"</f>
        <v>8.5245</v>
      </c>
      <c r="C2441" t="str">
        <f>"8.5167"</f>
        <v>8.5167</v>
      </c>
    </row>
    <row r="2442" spans="1:3" x14ac:dyDescent="0.25">
      <c r="A2442" t="str">
        <f>"15/07/2019"</f>
        <v>15/07/2019</v>
      </c>
      <c r="B2442" t="str">
        <f>"8.538"</f>
        <v>8.538</v>
      </c>
      <c r="C2442" t="str">
        <f>"8.5293"</f>
        <v>8.5293</v>
      </c>
    </row>
    <row r="2443" spans="1:3" x14ac:dyDescent="0.25">
      <c r="A2443" t="str">
        <f>"16/07/2019"</f>
        <v>16/07/2019</v>
      </c>
      <c r="B2443" t="str">
        <f>"8.551"</f>
        <v>8.551</v>
      </c>
      <c r="C2443" t="str">
        <f>"8.5425"</f>
        <v>8.5425</v>
      </c>
    </row>
    <row r="2444" spans="1:3" x14ac:dyDescent="0.25">
      <c r="A2444" t="str">
        <f>"17/07/2019"</f>
        <v>17/07/2019</v>
      </c>
      <c r="B2444" t="str">
        <f>"8.5791"</f>
        <v>8.5791</v>
      </c>
      <c r="C2444" t="str">
        <f>"8.5707"</f>
        <v>8.5707</v>
      </c>
    </row>
    <row r="2445" spans="1:3" x14ac:dyDescent="0.25">
      <c r="A2445" t="str">
        <f>"18/07/2019"</f>
        <v>18/07/2019</v>
      </c>
      <c r="B2445" t="str">
        <f>"8.5984"</f>
        <v>8.5984</v>
      </c>
      <c r="C2445" t="str">
        <f>"8.5898"</f>
        <v>8.5898</v>
      </c>
    </row>
    <row r="2446" spans="1:3" x14ac:dyDescent="0.25">
      <c r="A2446" t="str">
        <f>"19/07/2019"</f>
        <v>19/07/2019</v>
      </c>
      <c r="B2446" t="str">
        <f>"8.5443"</f>
        <v>8.5443</v>
      </c>
      <c r="C2446" t="str">
        <f>"8.5362"</f>
        <v>8.5362</v>
      </c>
    </row>
    <row r="2447" spans="1:3" x14ac:dyDescent="0.25">
      <c r="A2447" t="str">
        <f>"22/07/2019"</f>
        <v>22/07/2019</v>
      </c>
      <c r="B2447" t="str">
        <f>"8.5748"</f>
        <v>8.5748</v>
      </c>
      <c r="C2447" t="str">
        <f>"8.5666"</f>
        <v>8.5666</v>
      </c>
    </row>
    <row r="2448" spans="1:3" x14ac:dyDescent="0.25">
      <c r="A2448" t="str">
        <f>"23/07/2019"</f>
        <v>23/07/2019</v>
      </c>
      <c r="B2448" t="str">
        <f>"8.6546"</f>
        <v>8.6546</v>
      </c>
      <c r="C2448" t="str">
        <f>"8.6464"</f>
        <v>8.6464</v>
      </c>
    </row>
    <row r="2449" spans="1:3" x14ac:dyDescent="0.25">
      <c r="A2449" t="str">
        <f>"24/07/2019"</f>
        <v>24/07/2019</v>
      </c>
      <c r="B2449" t="str">
        <f>"8.6889"</f>
        <v>8.6889</v>
      </c>
      <c r="C2449" t="str">
        <f>"8.6812"</f>
        <v>8.6812</v>
      </c>
    </row>
    <row r="2450" spans="1:3" x14ac:dyDescent="0.25">
      <c r="A2450" t="str">
        <f>"25/07/2019"</f>
        <v>25/07/2019</v>
      </c>
      <c r="B2450" t="str">
        <f>"8.6573"</f>
        <v>8.6573</v>
      </c>
      <c r="C2450" t="str">
        <f>"8.6493"</f>
        <v>8.6493</v>
      </c>
    </row>
    <row r="2451" spans="1:3" x14ac:dyDescent="0.25">
      <c r="A2451" t="str">
        <f>"26/07/2019"</f>
        <v>26/07/2019</v>
      </c>
      <c r="B2451" t="str">
        <f>"8.7016"</f>
        <v>8.7016</v>
      </c>
      <c r="C2451" t="str">
        <f>"8.6937"</f>
        <v>8.6937</v>
      </c>
    </row>
    <row r="2452" spans="1:3" x14ac:dyDescent="0.25">
      <c r="A2452" t="str">
        <f>"29/07/2019"</f>
        <v>29/07/2019</v>
      </c>
      <c r="B2452" t="str">
        <f>"8.7152"</f>
        <v>8.7152</v>
      </c>
      <c r="C2452" t="str">
        <f>"8.7076"</f>
        <v>8.7076</v>
      </c>
    </row>
    <row r="2453" spans="1:3" x14ac:dyDescent="0.25">
      <c r="A2453" t="str">
        <f>"30/07/2019"</f>
        <v>30/07/2019</v>
      </c>
      <c r="B2453" t="str">
        <f>"8.7392"</f>
        <v>8.7392</v>
      </c>
      <c r="C2453" t="str">
        <f>"8.7309"</f>
        <v>8.7309</v>
      </c>
    </row>
    <row r="2454" spans="1:3" x14ac:dyDescent="0.25">
      <c r="A2454" t="str">
        <f>"31/07/2019"</f>
        <v>31/07/2019</v>
      </c>
      <c r="B2454" t="str">
        <f>"8.7771"</f>
        <v>8.7771</v>
      </c>
      <c r="C2454" t="str">
        <f>"8.7691"</f>
        <v>8.7691</v>
      </c>
    </row>
    <row r="2455" spans="1:3" x14ac:dyDescent="0.25">
      <c r="A2455" t="str">
        <f>"01/08/2019"</f>
        <v>01/08/2019</v>
      </c>
      <c r="B2455" t="str">
        <f>"8.8891"</f>
        <v>8.8891</v>
      </c>
      <c r="C2455" t="str">
        <f>"8.8812"</f>
        <v>8.8812</v>
      </c>
    </row>
    <row r="2456" spans="1:3" x14ac:dyDescent="0.25">
      <c r="A2456" t="str">
        <f>"02/08/2019"</f>
        <v>02/08/2019</v>
      </c>
      <c r="B2456" t="str">
        <f>"8.925"</f>
        <v>8.925</v>
      </c>
      <c r="C2456" t="str">
        <f>"8.9172"</f>
        <v>8.9172</v>
      </c>
    </row>
    <row r="2457" spans="1:3" x14ac:dyDescent="0.25">
      <c r="A2457" t="str">
        <f>"05/08/2019"</f>
        <v>05/08/2019</v>
      </c>
      <c r="B2457" t="str">
        <f>"8.926"</f>
        <v>8.926</v>
      </c>
      <c r="C2457" t="str">
        <f>"8.9178"</f>
        <v>8.9178</v>
      </c>
    </row>
    <row r="2458" spans="1:3" x14ac:dyDescent="0.25">
      <c r="A2458" t="str">
        <f>"06/08/2019"</f>
        <v>06/08/2019</v>
      </c>
      <c r="B2458" t="str">
        <f>"8.902"</f>
        <v>8.902</v>
      </c>
      <c r="C2458" t="str">
        <f>"8.8942"</f>
        <v>8.8942</v>
      </c>
    </row>
    <row r="2459" spans="1:3" x14ac:dyDescent="0.25">
      <c r="A2459" t="str">
        <f>"07/08/2019"</f>
        <v>07/08/2019</v>
      </c>
      <c r="B2459" t="str">
        <f>"8.9127"</f>
        <v>8.9127</v>
      </c>
      <c r="C2459" t="str">
        <f>"8.9054"</f>
        <v>8.9054</v>
      </c>
    </row>
    <row r="2460" spans="1:3" x14ac:dyDescent="0.25">
      <c r="A2460" t="str">
        <f>"08/08/2019"</f>
        <v>08/08/2019</v>
      </c>
      <c r="B2460" t="str">
        <f>"8.954"</f>
        <v>8.954</v>
      </c>
      <c r="C2460" t="str">
        <f>"8.9467"</f>
        <v>8.9467</v>
      </c>
    </row>
    <row r="2461" spans="1:3" x14ac:dyDescent="0.25">
      <c r="A2461" t="str">
        <f>"09/08/2019"</f>
        <v>09/08/2019</v>
      </c>
      <c r="B2461" t="str">
        <f>"8.9024"</f>
        <v>8.9024</v>
      </c>
      <c r="C2461" t="str">
        <f>"8.8948"</f>
        <v>8.8948</v>
      </c>
    </row>
    <row r="2462" spans="1:3" x14ac:dyDescent="0.25">
      <c r="A2462" t="str">
        <f>"13/08/2019"</f>
        <v>13/08/2019</v>
      </c>
      <c r="B2462" t="str">
        <f>"8.9271"</f>
        <v>8.9271</v>
      </c>
      <c r="C2462" t="str">
        <f>"8.9191"</f>
        <v>8.9191</v>
      </c>
    </row>
    <row r="2463" spans="1:3" x14ac:dyDescent="0.25">
      <c r="A2463" t="str">
        <f>"14/08/2019"</f>
        <v>14/08/2019</v>
      </c>
      <c r="B2463" t="str">
        <f>"8.9467"</f>
        <v>8.9467</v>
      </c>
      <c r="C2463" t="str">
        <f>"8.9387"</f>
        <v>8.9387</v>
      </c>
    </row>
    <row r="2464" spans="1:3" x14ac:dyDescent="0.25">
      <c r="A2464" t="str">
        <f>"16/08/2019"</f>
        <v>16/08/2019</v>
      </c>
      <c r="B2464" t="str">
        <f>"9.0308"</f>
        <v>9.0308</v>
      </c>
      <c r="C2464" t="str">
        <f>"9.0231"</f>
        <v>9.0231</v>
      </c>
    </row>
    <row r="2465" spans="1:3" x14ac:dyDescent="0.25">
      <c r="A2465" t="str">
        <f>"19/08/2019"</f>
        <v>19/08/2019</v>
      </c>
      <c r="B2465" t="str">
        <f>"9.0024"</f>
        <v>9.0024</v>
      </c>
      <c r="C2465" t="str">
        <f>"8.9945"</f>
        <v>8.9945</v>
      </c>
    </row>
    <row r="2466" spans="1:3" x14ac:dyDescent="0.25">
      <c r="A2466" t="str">
        <f>"20/08/2019"</f>
        <v>20/08/2019</v>
      </c>
      <c r="B2466" t="str">
        <f>"8.9756"</f>
        <v>8.9756</v>
      </c>
      <c r="C2466" t="str">
        <f>"8.9677"</f>
        <v>8.9677</v>
      </c>
    </row>
    <row r="2467" spans="1:3" x14ac:dyDescent="0.25">
      <c r="A2467" t="str">
        <f>"21/08/2019"</f>
        <v>21/08/2019</v>
      </c>
      <c r="B2467" t="str">
        <f>"8.9905"</f>
        <v>8.9905</v>
      </c>
      <c r="C2467" t="str">
        <f>"8.9832"</f>
        <v>8.9832</v>
      </c>
    </row>
    <row r="2468" spans="1:3" x14ac:dyDescent="0.25">
      <c r="A2468" t="str">
        <f>"22/08/2019"</f>
        <v>22/08/2019</v>
      </c>
      <c r="B2468" t="str">
        <f>"8.9627"</f>
        <v>8.9627</v>
      </c>
      <c r="C2468" t="str">
        <f>"8.9559"</f>
        <v>8.9559</v>
      </c>
    </row>
    <row r="2469" spans="1:3" x14ac:dyDescent="0.25">
      <c r="A2469" t="str">
        <f>"23/08/2019"</f>
        <v>23/08/2019</v>
      </c>
      <c r="B2469" t="str">
        <f>"8.9961"</f>
        <v>8.9961</v>
      </c>
      <c r="C2469" t="str">
        <f>"8.9888"</f>
        <v>8.9888</v>
      </c>
    </row>
    <row r="2470" spans="1:3" x14ac:dyDescent="0.25">
      <c r="A2470" t="str">
        <f>"26/08/2019"</f>
        <v>26/08/2019</v>
      </c>
      <c r="B2470" t="str">
        <f>"8.9997"</f>
        <v>8.9997</v>
      </c>
      <c r="C2470" t="str">
        <f>"8.9927"</f>
        <v>8.9927</v>
      </c>
    </row>
    <row r="2471" spans="1:3" x14ac:dyDescent="0.25">
      <c r="A2471" t="str">
        <f>"27/08/2019"</f>
        <v>27/08/2019</v>
      </c>
      <c r="B2471" t="str">
        <f>"9.024"</f>
        <v>9.024</v>
      </c>
      <c r="C2471" t="str">
        <f>"9.0171"</f>
        <v>9.0171</v>
      </c>
    </row>
    <row r="2472" spans="1:3" x14ac:dyDescent="0.25">
      <c r="A2472" t="str">
        <f>"28/08/2019"</f>
        <v>28/08/2019</v>
      </c>
      <c r="B2472" t="str">
        <f>"9.0313"</f>
        <v>9.0313</v>
      </c>
      <c r="C2472" t="str">
        <f>"9.0242"</f>
        <v>9.0242</v>
      </c>
    </row>
    <row r="2473" spans="1:3" x14ac:dyDescent="0.25">
      <c r="A2473" t="str">
        <f>"29/08/2019"</f>
        <v>29/08/2019</v>
      </c>
      <c r="B2473" t="str">
        <f>"9.0714"</f>
        <v>9.0714</v>
      </c>
      <c r="C2473" t="str">
        <f>"9.0644"</f>
        <v>9.0644</v>
      </c>
    </row>
    <row r="2474" spans="1:3" x14ac:dyDescent="0.25">
      <c r="A2474" t="str">
        <f>"30/08/2019"</f>
        <v>30/08/2019</v>
      </c>
      <c r="B2474" t="str">
        <f>"9.0988"</f>
        <v>9.0988</v>
      </c>
      <c r="C2474" t="str">
        <f>"9.092"</f>
        <v>9.092</v>
      </c>
    </row>
    <row r="2475" spans="1:3" x14ac:dyDescent="0.25">
      <c r="A2475" t="str">
        <f>"03/09/2019"</f>
        <v>03/09/2019</v>
      </c>
      <c r="B2475" t="str">
        <f>"9.1555"</f>
        <v>9.1555</v>
      </c>
      <c r="C2475" t="str">
        <f>"9.1485"</f>
        <v>9.1485</v>
      </c>
    </row>
    <row r="2476" spans="1:3" x14ac:dyDescent="0.25">
      <c r="A2476" t="str">
        <f>"04/09/2019"</f>
        <v>04/09/2019</v>
      </c>
      <c r="B2476" t="str">
        <f>"9.0738"</f>
        <v>9.0738</v>
      </c>
      <c r="C2476" t="str">
        <f>"9.0669"</f>
        <v>9.0669</v>
      </c>
    </row>
    <row r="2477" spans="1:3" x14ac:dyDescent="0.25">
      <c r="A2477" t="str">
        <f>"05/09/2019"</f>
        <v>05/09/2019</v>
      </c>
      <c r="B2477" t="str">
        <f>"8.9771"</f>
        <v>8.9771</v>
      </c>
      <c r="C2477" t="str">
        <f>"8.9707"</f>
        <v>8.9707</v>
      </c>
    </row>
    <row r="2478" spans="1:3" x14ac:dyDescent="0.25">
      <c r="A2478" t="str">
        <f>"06/09/2019"</f>
        <v>06/09/2019</v>
      </c>
      <c r="B2478" t="str">
        <f>"9.0098"</f>
        <v>9.0098</v>
      </c>
      <c r="C2478" t="str">
        <f>"9.0037"</f>
        <v>9.0037</v>
      </c>
    </row>
    <row r="2479" spans="1:3" x14ac:dyDescent="0.25">
      <c r="A2479" t="str">
        <f>"09/09/2019"</f>
        <v>09/09/2019</v>
      </c>
      <c r="B2479" t="str">
        <f>"8.945"</f>
        <v>8.945</v>
      </c>
      <c r="C2479" t="str">
        <f>"8.9388"</f>
        <v>8.9388</v>
      </c>
    </row>
    <row r="2480" spans="1:3" x14ac:dyDescent="0.25">
      <c r="A2480" t="str">
        <f>"11/09/2019"</f>
        <v>11/09/2019</v>
      </c>
      <c r="B2480" t="str">
        <f>"8.975"</f>
        <v>8.975</v>
      </c>
      <c r="C2480" t="str">
        <f>"8.9684"</f>
        <v>8.9684</v>
      </c>
    </row>
    <row r="2481" spans="1:3" x14ac:dyDescent="0.25">
      <c r="A2481" t="str">
        <f>"12/09/2019"</f>
        <v>12/09/2019</v>
      </c>
      <c r="B2481" t="str">
        <f>"8.9544"</f>
        <v>8.9544</v>
      </c>
      <c r="C2481" t="str">
        <f>"8.9485"</f>
        <v>8.9485</v>
      </c>
    </row>
    <row r="2482" spans="1:3" x14ac:dyDescent="0.25">
      <c r="A2482" t="str">
        <f>"16/09/2019"</f>
        <v>16/09/2019</v>
      </c>
      <c r="B2482" t="str">
        <f>"8.9431"</f>
        <v>8.9431</v>
      </c>
      <c r="C2482" t="str">
        <f>"8.9381"</f>
        <v>8.9381</v>
      </c>
    </row>
    <row r="2483" spans="1:3" x14ac:dyDescent="0.25">
      <c r="A2483" t="str">
        <f>"17/09/2019"</f>
        <v>17/09/2019</v>
      </c>
      <c r="B2483" t="str">
        <f>"8.9615"</f>
        <v>8.9615</v>
      </c>
      <c r="C2483" t="str">
        <f>"8.9547"</f>
        <v>8.9547</v>
      </c>
    </row>
    <row r="2484" spans="1:3" x14ac:dyDescent="0.25">
      <c r="A2484" t="str">
        <f>"18/09/2019"</f>
        <v>18/09/2019</v>
      </c>
      <c r="B2484" t="str">
        <f>"8.9425"</f>
        <v>8.9425</v>
      </c>
      <c r="C2484" t="str">
        <f>"8.9363"</f>
        <v>8.9363</v>
      </c>
    </row>
    <row r="2485" spans="1:3" x14ac:dyDescent="0.25">
      <c r="A2485" t="str">
        <f>"19/09/2019"</f>
        <v>19/09/2019</v>
      </c>
      <c r="B2485" t="str">
        <f>"8.9528"</f>
        <v>8.9528</v>
      </c>
      <c r="C2485" t="str">
        <f>"8.9471"</f>
        <v>8.9471</v>
      </c>
    </row>
    <row r="2486" spans="1:3" x14ac:dyDescent="0.25">
      <c r="A2486" t="str">
        <f>"20/09/2019"</f>
        <v>20/09/2019</v>
      </c>
      <c r="B2486" t="str">
        <f>"8.9691"</f>
        <v>8.9691</v>
      </c>
      <c r="C2486" t="str">
        <f>"8.9638"</f>
        <v>8.9638</v>
      </c>
    </row>
    <row r="2487" spans="1:3" x14ac:dyDescent="0.25">
      <c r="A2487" t="str">
        <f>"23/09/2019"</f>
        <v>23/09/2019</v>
      </c>
      <c r="B2487" t="str">
        <f>"9.0733"</f>
        <v>9.0733</v>
      </c>
      <c r="C2487" t="str">
        <f>"9.0686"</f>
        <v>9.0686</v>
      </c>
    </row>
    <row r="2488" spans="1:3" x14ac:dyDescent="0.25">
      <c r="A2488" t="str">
        <f>"24/09/2019"</f>
        <v>24/09/2019</v>
      </c>
      <c r="B2488" t="str">
        <f>"9.0483"</f>
        <v>9.0483</v>
      </c>
      <c r="C2488" t="str">
        <f>"9.0436"</f>
        <v>9.0436</v>
      </c>
    </row>
    <row r="2489" spans="1:3" x14ac:dyDescent="0.25">
      <c r="A2489" t="str">
        <f>"25/09/2019"</f>
        <v>25/09/2019</v>
      </c>
      <c r="B2489" t="str">
        <f>"9.033"</f>
        <v>9.033</v>
      </c>
      <c r="C2489" t="str">
        <f>"9.0265"</f>
        <v>9.0265</v>
      </c>
    </row>
    <row r="2490" spans="1:3" x14ac:dyDescent="0.25">
      <c r="A2490" t="str">
        <f>"26/09/2019"</f>
        <v>26/09/2019</v>
      </c>
      <c r="B2490" t="str">
        <f>"9.0454"</f>
        <v>9.0454</v>
      </c>
      <c r="C2490" t="str">
        <f>"9.0393"</f>
        <v>9.0393</v>
      </c>
    </row>
    <row r="2491" spans="1:3" x14ac:dyDescent="0.25">
      <c r="A2491" t="str">
        <f>"27/09/2019"</f>
        <v>27/09/2019</v>
      </c>
      <c r="B2491" t="str">
        <f>"9.0723"</f>
        <v>9.0723</v>
      </c>
      <c r="C2491" t="str">
        <f>"9.0671"</f>
        <v>9.0671</v>
      </c>
    </row>
    <row r="2492" spans="1:3" x14ac:dyDescent="0.25">
      <c r="A2492" t="str">
        <f>"30/09/2019"</f>
        <v>30/09/2019</v>
      </c>
      <c r="B2492" t="str">
        <f>"9.076"</f>
        <v>9.076</v>
      </c>
      <c r="C2492" t="str">
        <f>"9.071"</f>
        <v>9.071</v>
      </c>
    </row>
    <row r="2493" spans="1:3" x14ac:dyDescent="0.25">
      <c r="A2493" t="str">
        <f>"01/10/2019"</f>
        <v>01/10/2019</v>
      </c>
      <c r="B2493" t="str">
        <f>"9.1178"</f>
        <v>9.1178</v>
      </c>
      <c r="C2493" t="str">
        <f>"9.1129"</f>
        <v>9.1129</v>
      </c>
    </row>
    <row r="2494" spans="1:3" x14ac:dyDescent="0.25">
      <c r="A2494" t="str">
        <f>"03/10/2019"</f>
        <v>03/10/2019</v>
      </c>
      <c r="B2494" t="str">
        <f>"9.1303"</f>
        <v>9.1303</v>
      </c>
      <c r="C2494" t="str">
        <f>"9.1263"</f>
        <v>9.1263</v>
      </c>
    </row>
    <row r="2495" spans="1:3" x14ac:dyDescent="0.25">
      <c r="A2495" t="str">
        <f>"04/10/2019"</f>
        <v>04/10/2019</v>
      </c>
      <c r="B2495" t="str">
        <f>"9.101"</f>
        <v>9.101</v>
      </c>
      <c r="C2495" t="str">
        <f>"9.0971"</f>
        <v>9.0971</v>
      </c>
    </row>
    <row r="2496" spans="1:3" x14ac:dyDescent="0.25">
      <c r="A2496" t="str">
        <f>"07/10/2019"</f>
        <v>07/10/2019</v>
      </c>
      <c r="B2496" t="str">
        <f>"9.1381"</f>
        <v>9.1381</v>
      </c>
      <c r="C2496" t="str">
        <f>"9.1342"</f>
        <v>9.1342</v>
      </c>
    </row>
    <row r="2497" spans="1:3" x14ac:dyDescent="0.25">
      <c r="A2497" t="str">
        <f>"09/10/2019"</f>
        <v>09/10/2019</v>
      </c>
      <c r="B2497" t="str">
        <f>"9.1638"</f>
        <v>9.1638</v>
      </c>
      <c r="C2497" t="str">
        <f>"9.1603"</f>
        <v>9.1603</v>
      </c>
    </row>
    <row r="2498" spans="1:3" x14ac:dyDescent="0.25">
      <c r="A2498" t="str">
        <f>"10/10/2019"</f>
        <v>10/10/2019</v>
      </c>
      <c r="B2498" t="str">
        <f>"9.1172"</f>
        <v>9.1172</v>
      </c>
      <c r="C2498" t="str">
        <f>"9.114"</f>
        <v>9.114</v>
      </c>
    </row>
    <row r="2499" spans="1:3" x14ac:dyDescent="0.25">
      <c r="A2499" t="str">
        <f>"11/10/2019"</f>
        <v>11/10/2019</v>
      </c>
      <c r="B2499" t="str">
        <f>"9.0861"</f>
        <v>9.0861</v>
      </c>
      <c r="C2499" t="str">
        <f>"9.0826"</f>
        <v>9.0826</v>
      </c>
    </row>
    <row r="2500" spans="1:3" x14ac:dyDescent="0.25">
      <c r="A2500" t="str">
        <f>"14/10/2019"</f>
        <v>14/10/2019</v>
      </c>
      <c r="B2500" t="str">
        <f>"9.1143"</f>
        <v>9.1143</v>
      </c>
      <c r="C2500" t="str">
        <f>"9.1114"</f>
        <v>9.1114</v>
      </c>
    </row>
    <row r="2501" spans="1:3" x14ac:dyDescent="0.25">
      <c r="A2501" t="str">
        <f>"15/10/2019"</f>
        <v>15/10/2019</v>
      </c>
      <c r="B2501" t="str">
        <f>"9.1538"</f>
        <v>9.1538</v>
      </c>
      <c r="C2501" t="str">
        <f>"9.1509"</f>
        <v>9.1509</v>
      </c>
    </row>
    <row r="2502" spans="1:3" x14ac:dyDescent="0.25">
      <c r="A2502" t="str">
        <f>"16/10/2019"</f>
        <v>16/10/2019</v>
      </c>
      <c r="B2502" t="str">
        <f>"9.2003"</f>
        <v>9.2003</v>
      </c>
      <c r="C2502" t="str">
        <f>"9.1972"</f>
        <v>9.1972</v>
      </c>
    </row>
    <row r="2503" spans="1:3" x14ac:dyDescent="0.25">
      <c r="A2503" t="str">
        <f>"17/10/2019"</f>
        <v>17/10/2019</v>
      </c>
      <c r="B2503" t="str">
        <f>"9.1578"</f>
        <v>9.1578</v>
      </c>
      <c r="C2503" t="str">
        <f>"9.1547"</f>
        <v>9.1547</v>
      </c>
    </row>
    <row r="2504" spans="1:3" x14ac:dyDescent="0.25">
      <c r="A2504" t="str">
        <f>"18/10/2019"</f>
        <v>18/10/2019</v>
      </c>
      <c r="B2504" t="str">
        <f>"9.1779"</f>
        <v>9.1779</v>
      </c>
      <c r="C2504" t="str">
        <f>"9.1751"</f>
        <v>9.1751</v>
      </c>
    </row>
    <row r="2505" spans="1:3" x14ac:dyDescent="0.25">
      <c r="A2505" t="str">
        <f>"22/10/2019"</f>
        <v>22/10/2019</v>
      </c>
      <c r="B2505" t="str">
        <f>"9.1443"</f>
        <v>9.1443</v>
      </c>
      <c r="C2505" t="str">
        <f>"9.1414"</f>
        <v>9.1414</v>
      </c>
    </row>
    <row r="2506" spans="1:3" x14ac:dyDescent="0.25">
      <c r="A2506" t="str">
        <f>"23/10/2019"</f>
        <v>23/10/2019</v>
      </c>
      <c r="B2506" t="str">
        <f>"9.159"</f>
        <v>9.159</v>
      </c>
      <c r="C2506" t="str">
        <f>"9.1565"</f>
        <v>9.1565</v>
      </c>
    </row>
    <row r="2507" spans="1:3" x14ac:dyDescent="0.25">
      <c r="A2507" t="str">
        <f>"24/10/2019"</f>
        <v>24/10/2019</v>
      </c>
      <c r="B2507" t="str">
        <f>"9.1124"</f>
        <v>9.1124</v>
      </c>
      <c r="C2507" t="str">
        <f>"9.1106"</f>
        <v>9.1106</v>
      </c>
    </row>
    <row r="2508" spans="1:3" x14ac:dyDescent="0.25">
      <c r="A2508" t="str">
        <f>"25/10/2019"</f>
        <v>25/10/2019</v>
      </c>
      <c r="B2508" t="str">
        <f>"9.1505"</f>
        <v>9.1505</v>
      </c>
      <c r="C2508" t="str">
        <f>"9.1489"</f>
        <v>9.1489</v>
      </c>
    </row>
    <row r="2509" spans="1:3" x14ac:dyDescent="0.25">
      <c r="A2509" t="str">
        <f>"29/10/2019"</f>
        <v>29/10/2019</v>
      </c>
      <c r="B2509" t="str">
        <f>"9.2912"</f>
        <v>9.2912</v>
      </c>
      <c r="C2509" t="str">
        <f>"9.2896"</f>
        <v>9.2896</v>
      </c>
    </row>
    <row r="2510" spans="1:3" x14ac:dyDescent="0.25">
      <c r="A2510" t="str">
        <f>"30/10/2019"</f>
        <v>30/10/2019</v>
      </c>
      <c r="B2510" t="str">
        <f>"9.2347"</f>
        <v>9.2347</v>
      </c>
      <c r="C2510" t="str">
        <f>"9.2333"</f>
        <v>9.2333</v>
      </c>
    </row>
    <row r="2511" spans="1:3" x14ac:dyDescent="0.25">
      <c r="A2511" t="str">
        <f>"31/10/2019"</f>
        <v>31/10/2019</v>
      </c>
      <c r="B2511" t="str">
        <f>"9.2014"</f>
        <v>9.2014</v>
      </c>
      <c r="C2511" t="str">
        <f>"9.2001"</f>
        <v>9.2001</v>
      </c>
    </row>
    <row r="2512" spans="1:3" x14ac:dyDescent="0.25">
      <c r="A2512" t="str">
        <f>"01/11/2019"</f>
        <v>01/11/2019</v>
      </c>
      <c r="B2512" t="str">
        <f>"9.1217"</f>
        <v>9.1217</v>
      </c>
      <c r="C2512" t="str">
        <f>"9.1208"</f>
        <v>9.1208</v>
      </c>
    </row>
    <row r="2513" spans="1:3" x14ac:dyDescent="0.25">
      <c r="A2513" t="str">
        <f>"04/11/2019"</f>
        <v>04/11/2019</v>
      </c>
      <c r="B2513" t="str">
        <f>"9.0868"</f>
        <v>9.0868</v>
      </c>
      <c r="C2513" t="str">
        <f>"9.0862"</f>
        <v>9.0862</v>
      </c>
    </row>
    <row r="2514" spans="1:3" x14ac:dyDescent="0.25">
      <c r="A2514" t="str">
        <f>"05/11/2019"</f>
        <v>05/11/2019</v>
      </c>
      <c r="B2514" t="str">
        <f>"9.1427"</f>
        <v>9.1427</v>
      </c>
      <c r="C2514" t="str">
        <f>"9.1418"</f>
        <v>9.1418</v>
      </c>
    </row>
    <row r="2515" spans="1:3" x14ac:dyDescent="0.25">
      <c r="A2515" t="str">
        <f>"06/11/2019"</f>
        <v>06/11/2019</v>
      </c>
      <c r="B2515" t="str">
        <f>"9.1549"</f>
        <v>9.1549</v>
      </c>
      <c r="C2515" t="str">
        <f>"9.1539"</f>
        <v>9.1539</v>
      </c>
    </row>
    <row r="2516" spans="1:3" x14ac:dyDescent="0.25">
      <c r="A2516" t="str">
        <f>"07/11/2019"</f>
        <v>07/11/2019</v>
      </c>
      <c r="B2516" t="str">
        <f>"9.103"</f>
        <v>9.103</v>
      </c>
      <c r="C2516" t="str">
        <f>"9.1022"</f>
        <v>9.1022</v>
      </c>
    </row>
    <row r="2517" spans="1:3" x14ac:dyDescent="0.25">
      <c r="A2517" t="str">
        <f>"08/11/2019"</f>
        <v>08/11/2019</v>
      </c>
      <c r="B2517" t="str">
        <f>"9.1619"</f>
        <v>9.1619</v>
      </c>
      <c r="C2517" t="str">
        <f>"9.1612"</f>
        <v>9.1612</v>
      </c>
    </row>
    <row r="2518" spans="1:3" x14ac:dyDescent="0.25">
      <c r="A2518" t="str">
        <f>"11/11/2019"</f>
        <v>11/11/2019</v>
      </c>
      <c r="B2518" t="str">
        <f>"9.1579"</f>
        <v>9.1579</v>
      </c>
      <c r="C2518" t="str">
        <f>"9.1572"</f>
        <v>9.1572</v>
      </c>
    </row>
    <row r="2519" spans="1:3" x14ac:dyDescent="0.25">
      <c r="A2519" t="str">
        <f>"13/11/2019"</f>
        <v>13/11/2019</v>
      </c>
      <c r="B2519" t="str">
        <f>"9.217"</f>
        <v>9.217</v>
      </c>
      <c r="C2519" t="str">
        <f>"9.2164"</f>
        <v>9.2164</v>
      </c>
    </row>
    <row r="2520" spans="1:3" x14ac:dyDescent="0.25">
      <c r="A2520" t="str">
        <f>"14/11/2019"</f>
        <v>14/11/2019</v>
      </c>
      <c r="B2520" t="str">
        <f>"9.2145"</f>
        <v>9.2145</v>
      </c>
      <c r="C2520" t="str">
        <f>"9.2139"</f>
        <v>9.2139</v>
      </c>
    </row>
    <row r="2521" spans="1:3" x14ac:dyDescent="0.25">
      <c r="A2521" t="str">
        <f>"15/11/2019"</f>
        <v>15/11/2019</v>
      </c>
      <c r="B2521" t="str">
        <f>"9.1336"</f>
        <v>9.1336</v>
      </c>
      <c r="C2521" t="str">
        <f>"9.133"</f>
        <v>9.133</v>
      </c>
    </row>
    <row r="2522" spans="1:3" x14ac:dyDescent="0.25">
      <c r="A2522" t="str">
        <f>"18/11/2019"</f>
        <v>18/11/2019</v>
      </c>
      <c r="B2522" t="str">
        <f>"9.1012"</f>
        <v>9.1012</v>
      </c>
      <c r="C2522" t="str">
        <f>"9.1007"</f>
        <v>9.1007</v>
      </c>
    </row>
    <row r="2523" spans="1:3" x14ac:dyDescent="0.25">
      <c r="A2523" t="str">
        <f>"19/11/2019"</f>
        <v>19/11/2019</v>
      </c>
      <c r="B2523" t="str">
        <f>"9.1191"</f>
        <v>9.1191</v>
      </c>
      <c r="C2523" t="str">
        <f>"9.1186"</f>
        <v>9.1186</v>
      </c>
    </row>
    <row r="2524" spans="1:3" x14ac:dyDescent="0.25">
      <c r="A2524" t="str">
        <f>"20/11/2019"</f>
        <v>20/11/2019</v>
      </c>
      <c r="B2524" t="str">
        <f>"9.1911"</f>
        <v>9.1911</v>
      </c>
      <c r="C2524" t="str">
        <f>"9.1906"</f>
        <v>9.1906</v>
      </c>
    </row>
    <row r="2525" spans="1:3" x14ac:dyDescent="0.25">
      <c r="A2525" t="str">
        <f>"21/11/2019"</f>
        <v>21/11/2019</v>
      </c>
      <c r="B2525" t="str">
        <f>"9.1437"</f>
        <v>9.1437</v>
      </c>
      <c r="C2525" t="str">
        <f>"9.1432"</f>
        <v>9.1432</v>
      </c>
    </row>
    <row r="2526" spans="1:3" x14ac:dyDescent="0.25">
      <c r="A2526" t="str">
        <f>"22/11/2019"</f>
        <v>22/11/2019</v>
      </c>
      <c r="B2526" t="str">
        <f>"9.1455"</f>
        <v>9.1455</v>
      </c>
      <c r="C2526" t="str">
        <f>"9.1449"</f>
        <v>9.1449</v>
      </c>
    </row>
    <row r="2527" spans="1:3" x14ac:dyDescent="0.25">
      <c r="A2527" t="str">
        <f>"25/11/2019"</f>
        <v>25/11/2019</v>
      </c>
      <c r="B2527" t="str">
        <f>"9.1847"</f>
        <v>9.1847</v>
      </c>
      <c r="C2527" t="str">
        <f>"9.1836"</f>
        <v>9.1836</v>
      </c>
    </row>
    <row r="2528" spans="1:3" x14ac:dyDescent="0.25">
      <c r="A2528" t="str">
        <f>"26/11/2019"</f>
        <v>26/11/2019</v>
      </c>
      <c r="B2528" t="str">
        <f>"9.1609"</f>
        <v>9.1609</v>
      </c>
      <c r="C2528" t="str">
        <f>"9.1598"</f>
        <v>9.1598</v>
      </c>
    </row>
    <row r="2529" spans="1:3" x14ac:dyDescent="0.25">
      <c r="A2529" t="str">
        <f>"27/11/2019"</f>
        <v>27/11/2019</v>
      </c>
      <c r="B2529" t="str">
        <f>"9.174"</f>
        <v>9.174</v>
      </c>
      <c r="C2529" t="str">
        <f>"9.1728"</f>
        <v>9.1728</v>
      </c>
    </row>
    <row r="2530" spans="1:3" x14ac:dyDescent="0.25">
      <c r="A2530" t="str">
        <f>"28/11/2019"</f>
        <v>28/11/2019</v>
      </c>
      <c r="B2530" t="str">
        <f>"9.1855"</f>
        <v>9.1855</v>
      </c>
      <c r="C2530" t="str">
        <f>"9.1818"</f>
        <v>9.1818</v>
      </c>
    </row>
    <row r="2531" spans="1:3" x14ac:dyDescent="0.25">
      <c r="A2531" t="str">
        <f>"29/11/2019"</f>
        <v>29/11/2019</v>
      </c>
      <c r="B2531" t="str">
        <f>"9.1665"</f>
        <v>9.1665</v>
      </c>
      <c r="C2531" t="str">
        <f>"9.163"</f>
        <v>9.163</v>
      </c>
    </row>
    <row r="2532" spans="1:3" x14ac:dyDescent="0.25">
      <c r="A2532" t="str">
        <f>"02/12/2019"</f>
        <v>02/12/2019</v>
      </c>
      <c r="B2532" t="str">
        <f>"9.2036"</f>
        <v>9.2036</v>
      </c>
      <c r="C2532" t="str">
        <f>"9.1995"</f>
        <v>9.1995</v>
      </c>
    </row>
    <row r="2533" spans="1:3" x14ac:dyDescent="0.25">
      <c r="A2533" t="str">
        <f>"03/12/2019"</f>
        <v>03/12/2019</v>
      </c>
      <c r="B2533" t="str">
        <f>"9.1601"</f>
        <v>9.1601</v>
      </c>
      <c r="C2533" t="str">
        <f>"9.1562"</f>
        <v>9.1562</v>
      </c>
    </row>
    <row r="2534" spans="1:3" x14ac:dyDescent="0.25">
      <c r="A2534" t="str">
        <f>"04/12/2019"</f>
        <v>04/12/2019</v>
      </c>
      <c r="B2534" t="str">
        <f>"9.2011"</f>
        <v>9.2011</v>
      </c>
      <c r="C2534" t="str">
        <f>"9.1976"</f>
        <v>9.1976</v>
      </c>
    </row>
    <row r="2535" spans="1:3" x14ac:dyDescent="0.25">
      <c r="A2535" t="str">
        <f>"05/12/2019"</f>
        <v>05/12/2019</v>
      </c>
      <c r="B2535" t="str">
        <f>"9.1505"</f>
        <v>9.1505</v>
      </c>
      <c r="C2535" t="str">
        <f>"9.1471"</f>
        <v>9.1471</v>
      </c>
    </row>
    <row r="2536" spans="1:3" x14ac:dyDescent="0.25">
      <c r="A2536" t="str">
        <f>"06/12/2019"</f>
        <v>06/12/2019</v>
      </c>
      <c r="B2536" t="str">
        <f>"9.1371"</f>
        <v>9.1371</v>
      </c>
      <c r="C2536" t="str">
        <f>"9.1336"</f>
        <v>9.1336</v>
      </c>
    </row>
    <row r="2537" spans="1:3" x14ac:dyDescent="0.25">
      <c r="A2537" t="str">
        <f>"09/12/2019"</f>
        <v>09/12/2019</v>
      </c>
      <c r="B2537" t="str">
        <f>"9.1457"</f>
        <v>9.1457</v>
      </c>
      <c r="C2537" t="str">
        <f>"9.1419"</f>
        <v>9.1419</v>
      </c>
    </row>
    <row r="2538" spans="1:3" x14ac:dyDescent="0.25">
      <c r="A2538" t="str">
        <f>"10/12/2019"</f>
        <v>10/12/2019</v>
      </c>
      <c r="B2538" t="str">
        <f>"9.1921"</f>
        <v>9.1921</v>
      </c>
      <c r="C2538" t="str">
        <f>"9.1875"</f>
        <v>9.1875</v>
      </c>
    </row>
    <row r="2539" spans="1:3" x14ac:dyDescent="0.25">
      <c r="A2539" t="str">
        <f>"11/12/2019"</f>
        <v>11/12/2019</v>
      </c>
      <c r="B2539" t="str">
        <f>"9.1543"</f>
        <v>9.1543</v>
      </c>
      <c r="C2539" t="str">
        <f>"9.1493"</f>
        <v>9.1493</v>
      </c>
    </row>
    <row r="2540" spans="1:3" x14ac:dyDescent="0.25">
      <c r="A2540" t="str">
        <f>"12/12/2019"</f>
        <v>12/12/2019</v>
      </c>
      <c r="B2540" t="str">
        <f>"9.0947"</f>
        <v>9.0947</v>
      </c>
      <c r="C2540" t="str">
        <f>"9.09"</f>
        <v>9.09</v>
      </c>
    </row>
    <row r="2541" spans="1:3" x14ac:dyDescent="0.25">
      <c r="A2541" t="str">
        <f>"13/12/2019"</f>
        <v>13/12/2019</v>
      </c>
      <c r="B2541" t="str">
        <f>"9.0383"</f>
        <v>9.0383</v>
      </c>
      <c r="C2541" t="str">
        <f>"9.035"</f>
        <v>9.035</v>
      </c>
    </row>
    <row r="2542" spans="1:3" x14ac:dyDescent="0.25">
      <c r="A2542" t="str">
        <f>"16/12/2019"</f>
        <v>16/12/2019</v>
      </c>
      <c r="B2542" t="str">
        <f>"8.9978"</f>
        <v>8.9978</v>
      </c>
      <c r="C2542" t="str">
        <f>"8.9945"</f>
        <v>8.9945</v>
      </c>
    </row>
    <row r="2543" spans="1:3" x14ac:dyDescent="0.25">
      <c r="A2543" t="str">
        <f>"17/12/2019"</f>
        <v>17/12/2019</v>
      </c>
      <c r="B2543" t="str">
        <f>"9.0233"</f>
        <v>9.0233</v>
      </c>
      <c r="C2543" t="str">
        <f>"9.0202"</f>
        <v>9.0202</v>
      </c>
    </row>
    <row r="2544" spans="1:3" x14ac:dyDescent="0.25">
      <c r="A2544" t="str">
        <f>"18/12/2019"</f>
        <v>18/12/2019</v>
      </c>
      <c r="B2544" t="str">
        <f>"9.0298"</f>
        <v>9.0298</v>
      </c>
      <c r="C2544" t="str">
        <f>"9.0264"</f>
        <v>9.0264</v>
      </c>
    </row>
    <row r="2545" spans="1:3" x14ac:dyDescent="0.25">
      <c r="A2545" t="str">
        <f>"19/12/2019"</f>
        <v>19/12/2019</v>
      </c>
      <c r="B2545" t="str">
        <f>"8.9697"</f>
        <v>8.9697</v>
      </c>
      <c r="C2545" t="str">
        <f>"8.9663"</f>
        <v>8.9663</v>
      </c>
    </row>
    <row r="2546" spans="1:3" x14ac:dyDescent="0.25">
      <c r="A2546" t="str">
        <f>"20/12/2019"</f>
        <v>20/12/2019</v>
      </c>
      <c r="B2546" t="str">
        <f>"8.974"</f>
        <v>8.974</v>
      </c>
      <c r="C2546" t="str">
        <f>"8.9708"</f>
        <v>8.9708</v>
      </c>
    </row>
    <row r="2547" spans="1:3" x14ac:dyDescent="0.25">
      <c r="A2547" t="str">
        <f>"23/12/2019"</f>
        <v>23/12/2019</v>
      </c>
      <c r="B2547" t="str">
        <f>"8.9507"</f>
        <v>8.9507</v>
      </c>
      <c r="C2547" t="str">
        <f>"8.9475"</f>
        <v>8.9475</v>
      </c>
    </row>
    <row r="2548" spans="1:3" x14ac:dyDescent="0.25">
      <c r="A2548" t="str">
        <f>"24/12/2019"</f>
        <v>24/12/2019</v>
      </c>
      <c r="B2548" t="str">
        <f>"8.9509"</f>
        <v>8.9509</v>
      </c>
      <c r="C2548" t="str">
        <f>"8.9476"</f>
        <v>8.9476</v>
      </c>
    </row>
    <row r="2549" spans="1:3" x14ac:dyDescent="0.25">
      <c r="A2549" t="str">
        <f>"26/12/2019"</f>
        <v>26/12/2019</v>
      </c>
      <c r="B2549" t="str">
        <f>"8.8996"</f>
        <v>8.8996</v>
      </c>
      <c r="C2549" t="str">
        <f>"8.8963"</f>
        <v>8.8963</v>
      </c>
    </row>
    <row r="2550" spans="1:3" x14ac:dyDescent="0.25">
      <c r="A2550" t="str">
        <f>"27/12/2019"</f>
        <v>27/12/2019</v>
      </c>
      <c r="B2550" t="str">
        <f>"8.8594"</f>
        <v>8.8594</v>
      </c>
      <c r="C2550" t="str">
        <f>"8.8566"</f>
        <v>8.8566</v>
      </c>
    </row>
    <row r="2551" spans="1:3" x14ac:dyDescent="0.25">
      <c r="A2551" t="str">
        <f>"30/12/2019"</f>
        <v>30/12/2019</v>
      </c>
      <c r="B2551" t="str">
        <f>"8.8092"</f>
        <v>8.8092</v>
      </c>
      <c r="C2551" t="str">
        <f>"8.8089"</f>
        <v>8.8089</v>
      </c>
    </row>
    <row r="2552" spans="1:3" x14ac:dyDescent="0.25">
      <c r="A2552" t="str">
        <f>"31/12/2019"</f>
        <v>31/12/2019</v>
      </c>
      <c r="B2552" t="str">
        <f>"8.7834"</f>
        <v>8.7834</v>
      </c>
      <c r="C2552" t="str">
        <f>"8.7827"</f>
        <v>8.7827</v>
      </c>
    </row>
    <row r="2553" spans="1:3" x14ac:dyDescent="0.25">
      <c r="A2553" t="str">
        <f>"02/01/2020"</f>
        <v>02/01/2020</v>
      </c>
      <c r="B2553" t="str">
        <f>"8.8045"</f>
        <v>8.8045</v>
      </c>
      <c r="C2553" t="str">
        <f>"8.8035"</f>
        <v>8.8035</v>
      </c>
    </row>
    <row r="2554" spans="1:3" x14ac:dyDescent="0.25">
      <c r="A2554" t="str">
        <f>"03/01/2020"</f>
        <v>03/01/2020</v>
      </c>
      <c r="B2554" t="str">
        <f>"8.8422"</f>
        <v>8.8422</v>
      </c>
      <c r="C2554" t="str">
        <f>"8.8413"</f>
        <v>8.8413</v>
      </c>
    </row>
    <row r="2555" spans="1:3" x14ac:dyDescent="0.25">
      <c r="A2555" t="str">
        <f>"06/01/2020"</f>
        <v>06/01/2020</v>
      </c>
      <c r="B2555" t="str">
        <f>"8.8488"</f>
        <v>8.8488</v>
      </c>
      <c r="C2555" t="str">
        <f>"8.8481"</f>
        <v>8.8481</v>
      </c>
    </row>
    <row r="2556" spans="1:3" x14ac:dyDescent="0.25">
      <c r="A2556" t="str">
        <f>"07/01/2020"</f>
        <v>07/01/2020</v>
      </c>
      <c r="B2556" t="str">
        <f>"8.8029"</f>
        <v>8.8029</v>
      </c>
      <c r="C2556" t="str">
        <f>"8.8017"</f>
        <v>8.8017</v>
      </c>
    </row>
    <row r="2557" spans="1:3" x14ac:dyDescent="0.25">
      <c r="A2557" t="str">
        <f>"08/01/2020"</f>
        <v>08/01/2020</v>
      </c>
      <c r="B2557" t="str">
        <f>"8.8582"</f>
        <v>8.8582</v>
      </c>
      <c r="C2557" t="str">
        <f>"8.8574"</f>
        <v>8.8574</v>
      </c>
    </row>
    <row r="2558" spans="1:3" x14ac:dyDescent="0.25">
      <c r="A2558" t="str">
        <f>"09/01/2020"</f>
        <v>09/01/2020</v>
      </c>
      <c r="B2558" t="str">
        <f>"8.8934"</f>
        <v>8.8934</v>
      </c>
      <c r="C2558" t="str">
        <f>"8.8924"</f>
        <v>8.8924</v>
      </c>
    </row>
    <row r="2559" spans="1:3" x14ac:dyDescent="0.25">
      <c r="A2559" t="str">
        <f>"10/01/2020"</f>
        <v>10/01/2020</v>
      </c>
      <c r="B2559" t="str">
        <f>"8.8884"</f>
        <v>8.8884</v>
      </c>
      <c r="C2559" t="str">
        <f>"8.8873"</f>
        <v>8.8873</v>
      </c>
    </row>
    <row r="2560" spans="1:3" x14ac:dyDescent="0.25">
      <c r="A2560" t="str">
        <f>"13/01/2020"</f>
        <v>13/01/2020</v>
      </c>
      <c r="B2560" t="str">
        <f>"8.8775"</f>
        <v>8.8775</v>
      </c>
      <c r="C2560" t="str">
        <f>"8.8767"</f>
        <v>8.8767</v>
      </c>
    </row>
    <row r="2561" spans="1:3" x14ac:dyDescent="0.25">
      <c r="A2561" t="str">
        <f>"14/01/2020"</f>
        <v>14/01/2020</v>
      </c>
      <c r="B2561" t="str">
        <f>"8.8834"</f>
        <v>8.8834</v>
      </c>
      <c r="C2561" t="str">
        <f>"8.8825"</f>
        <v>8.8825</v>
      </c>
    </row>
    <row r="2562" spans="1:3" x14ac:dyDescent="0.25">
      <c r="A2562" t="str">
        <f>"15/01/2020"</f>
        <v>15/01/2020</v>
      </c>
      <c r="B2562" t="str">
        <f>"8.8785"</f>
        <v>8.8785</v>
      </c>
      <c r="C2562" t="str">
        <f>"8.8778"</f>
        <v>8.8778</v>
      </c>
    </row>
    <row r="2563" spans="1:3" x14ac:dyDescent="0.25">
      <c r="A2563" t="str">
        <f>"16/01/2020"</f>
        <v>16/01/2020</v>
      </c>
      <c r="B2563" t="str">
        <f>"8.8695"</f>
        <v>8.8695</v>
      </c>
      <c r="C2563" t="str">
        <f>"8.8687"</f>
        <v>8.8687</v>
      </c>
    </row>
    <row r="2564" spans="1:3" x14ac:dyDescent="0.25">
      <c r="A2564" t="str">
        <f>"17/01/2020"</f>
        <v>17/01/2020</v>
      </c>
      <c r="B2564" t="str">
        <f>"8.9096"</f>
        <v>8.9096</v>
      </c>
      <c r="C2564" t="str">
        <f>"8.9086"</f>
        <v>8.9086</v>
      </c>
    </row>
    <row r="2565" spans="1:3" x14ac:dyDescent="0.25">
      <c r="A2565" t="str">
        <f>"20/01/2020"</f>
        <v>20/01/2020</v>
      </c>
      <c r="B2565" t="str">
        <f>"8.9183"</f>
        <v>8.9183</v>
      </c>
      <c r="C2565" t="str">
        <f>"8.9174"</f>
        <v>8.9174</v>
      </c>
    </row>
    <row r="2566" spans="1:3" x14ac:dyDescent="0.25">
      <c r="A2566" t="str">
        <f>"21/01/2020"</f>
        <v>21/01/2020</v>
      </c>
      <c r="B2566" t="str">
        <f>"8.9404"</f>
        <v>8.9404</v>
      </c>
      <c r="C2566" t="str">
        <f>"8.9394"</f>
        <v>8.9394</v>
      </c>
    </row>
    <row r="2567" spans="1:3" x14ac:dyDescent="0.25">
      <c r="A2567" t="str">
        <f>"22/01/2020"</f>
        <v>22/01/2020</v>
      </c>
      <c r="B2567" t="str">
        <f>"8.9777"</f>
        <v>8.9777</v>
      </c>
      <c r="C2567" t="str">
        <f>"8.9766"</f>
        <v>8.9766</v>
      </c>
    </row>
    <row r="2568" spans="1:3" x14ac:dyDescent="0.25">
      <c r="A2568" t="str">
        <f>"23/01/2020"</f>
        <v>23/01/2020</v>
      </c>
      <c r="B2568" t="str">
        <f>"8.986"</f>
        <v>8.986</v>
      </c>
      <c r="C2568" t="str">
        <f>"8.9848"</f>
        <v>8.9848</v>
      </c>
    </row>
    <row r="2569" spans="1:3" x14ac:dyDescent="0.25">
      <c r="A2569" t="str">
        <f>"24/01/2020"</f>
        <v>24/01/2020</v>
      </c>
      <c r="B2569" t="str">
        <f>"9.0025"</f>
        <v>9.0025</v>
      </c>
      <c r="C2569" t="str">
        <f>"9.0017"</f>
        <v>9.0017</v>
      </c>
    </row>
    <row r="2570" spans="1:3" x14ac:dyDescent="0.25">
      <c r="A2570" t="str">
        <f>"27/01/2020"</f>
        <v>27/01/2020</v>
      </c>
      <c r="B2570" t="str">
        <f>"9.0976"</f>
        <v>9.0976</v>
      </c>
      <c r="C2570" t="str">
        <f>"9.0968"</f>
        <v>9.0968</v>
      </c>
    </row>
    <row r="2571" spans="1:3" x14ac:dyDescent="0.25">
      <c r="A2571" t="str">
        <f>"28/01/2020"</f>
        <v>28/01/2020</v>
      </c>
      <c r="B2571" t="str">
        <f>"9.1759"</f>
        <v>9.1759</v>
      </c>
      <c r="C2571" t="str">
        <f>"9.175"</f>
        <v>9.175</v>
      </c>
    </row>
    <row r="2572" spans="1:3" x14ac:dyDescent="0.25">
      <c r="A2572" t="str">
        <f>"29/01/2020"</f>
        <v>29/01/2020</v>
      </c>
      <c r="B2572" t="str">
        <f>"9.1334"</f>
        <v>9.1334</v>
      </c>
      <c r="C2572" t="str">
        <f>"9.1326"</f>
        <v>9.1326</v>
      </c>
    </row>
    <row r="2573" spans="1:3" x14ac:dyDescent="0.25">
      <c r="A2573" t="str">
        <f>"30/01/2020"</f>
        <v>30/01/2020</v>
      </c>
      <c r="B2573" t="str">
        <f>"9.2324"</f>
        <v>9.2324</v>
      </c>
      <c r="C2573" t="str">
        <f>"9.2314"</f>
        <v>9.2314</v>
      </c>
    </row>
    <row r="2574" spans="1:3" x14ac:dyDescent="0.25">
      <c r="A2574" t="str">
        <f>"31/01/2020"</f>
        <v>31/01/2020</v>
      </c>
      <c r="B2574" t="str">
        <f>"9.1836"</f>
        <v>9.1836</v>
      </c>
      <c r="C2574" t="str">
        <f>"9.1829"</f>
        <v>9.1829</v>
      </c>
    </row>
    <row r="2575" spans="1:3" x14ac:dyDescent="0.25">
      <c r="A2575" t="str">
        <f>"03/02/2020"</f>
        <v>03/02/2020</v>
      </c>
      <c r="B2575" t="str">
        <f>"9.2787"</f>
        <v>9.2787</v>
      </c>
      <c r="C2575" t="str">
        <f>"9.2776"</f>
        <v>9.2776</v>
      </c>
    </row>
    <row r="2576" spans="1:3" x14ac:dyDescent="0.25">
      <c r="A2576" t="str">
        <f>"04/02/2020"</f>
        <v>04/02/2020</v>
      </c>
      <c r="B2576" t="str">
        <f>"9.2365"</f>
        <v>9.2365</v>
      </c>
      <c r="C2576" t="str">
        <f>"9.2353"</f>
        <v>9.2353</v>
      </c>
    </row>
    <row r="2577" spans="1:3" x14ac:dyDescent="0.25">
      <c r="A2577" t="str">
        <f>"05/02/2020"</f>
        <v>05/02/2020</v>
      </c>
      <c r="B2577" t="str">
        <f>"9.1951"</f>
        <v>9.1951</v>
      </c>
      <c r="C2577" t="str">
        <f>"9.194"</f>
        <v>9.194</v>
      </c>
    </row>
    <row r="2578" spans="1:3" x14ac:dyDescent="0.25">
      <c r="A2578" t="str">
        <f>"06/02/2020"</f>
        <v>06/02/2020</v>
      </c>
      <c r="B2578" t="str">
        <f>"9.2222"</f>
        <v>9.2222</v>
      </c>
      <c r="C2578" t="str">
        <f>"9.2215"</f>
        <v>9.2215</v>
      </c>
    </row>
    <row r="2579" spans="1:3" x14ac:dyDescent="0.25">
      <c r="A2579" t="str">
        <f>"07/02/2020"</f>
        <v>07/02/2020</v>
      </c>
      <c r="B2579" t="str">
        <f>"9.2729"</f>
        <v>9.2729</v>
      </c>
      <c r="C2579" t="str">
        <f>"9.2722"</f>
        <v>9.2722</v>
      </c>
    </row>
    <row r="2580" spans="1:3" x14ac:dyDescent="0.25">
      <c r="A2580" t="str">
        <f>"10/02/2020"</f>
        <v>10/02/2020</v>
      </c>
      <c r="B2580" t="str">
        <f>"9.2336"</f>
        <v>9.2336</v>
      </c>
      <c r="C2580" t="str">
        <f>"9.2328"</f>
        <v>9.2328</v>
      </c>
    </row>
    <row r="2581" spans="1:3" x14ac:dyDescent="0.25">
      <c r="A2581" t="str">
        <f>"11/02/2020"</f>
        <v>11/02/2020</v>
      </c>
      <c r="B2581" t="str">
        <f>"9.2525"</f>
        <v>9.2525</v>
      </c>
      <c r="C2581" t="str">
        <f>"9.2517"</f>
        <v>9.2517</v>
      </c>
    </row>
    <row r="2582" spans="1:3" x14ac:dyDescent="0.25">
      <c r="A2582" t="str">
        <f>"12/02/2020"</f>
        <v>12/02/2020</v>
      </c>
      <c r="B2582" t="str">
        <f>"9.2211"</f>
        <v>9.2211</v>
      </c>
      <c r="C2582" t="str">
        <f>"9.22"</f>
        <v>9.22</v>
      </c>
    </row>
    <row r="2583" spans="1:3" x14ac:dyDescent="0.25">
      <c r="A2583" t="str">
        <f>"13/02/2020"</f>
        <v>13/02/2020</v>
      </c>
      <c r="B2583" t="str">
        <f>"9.2574"</f>
        <v>9.2574</v>
      </c>
      <c r="C2583" t="str">
        <f>"9.2566"</f>
        <v>9.2566</v>
      </c>
    </row>
    <row r="2584" spans="1:3" x14ac:dyDescent="0.25">
      <c r="A2584" t="str">
        <f>"14/02/2020"</f>
        <v>14/02/2020</v>
      </c>
      <c r="B2584" t="str">
        <f>"9.2514"</f>
        <v>9.2514</v>
      </c>
      <c r="C2584" t="str">
        <f>"9.2506"</f>
        <v>9.2506</v>
      </c>
    </row>
    <row r="2585" spans="1:3" x14ac:dyDescent="0.25">
      <c r="A2585" t="str">
        <f>"17/02/2020"</f>
        <v>17/02/2020</v>
      </c>
      <c r="B2585" t="str">
        <f>"9.2626"</f>
        <v>9.2626</v>
      </c>
      <c r="C2585" t="str">
        <f>"9.2618"</f>
        <v>9.2618</v>
      </c>
    </row>
    <row r="2586" spans="1:3" x14ac:dyDescent="0.25">
      <c r="A2586" t="str">
        <f>"18/02/2020"</f>
        <v>18/02/2020</v>
      </c>
      <c r="B2586" t="str">
        <f>"9.3134"</f>
        <v>9.3134</v>
      </c>
      <c r="C2586" t="str">
        <f>"9.3125"</f>
        <v>9.3125</v>
      </c>
    </row>
    <row r="2587" spans="1:3" x14ac:dyDescent="0.25">
      <c r="A2587" t="str">
        <f>"20/02/2020"</f>
        <v>20/02/2020</v>
      </c>
      <c r="B2587" t="str">
        <f>"9.3052"</f>
        <v>9.3052</v>
      </c>
      <c r="C2587" t="str">
        <f>"9.3043"</f>
        <v>9.3043</v>
      </c>
    </row>
    <row r="2588" spans="1:3" x14ac:dyDescent="0.25">
      <c r="A2588" t="str">
        <f>"24/02/2020"</f>
        <v>24/02/2020</v>
      </c>
      <c r="B2588" t="str">
        <f>"9.371"</f>
        <v>9.371</v>
      </c>
      <c r="C2588" t="str">
        <f>"9.3703"</f>
        <v>9.3703</v>
      </c>
    </row>
    <row r="2589" spans="1:3" x14ac:dyDescent="0.25">
      <c r="A2589" t="str">
        <f>"25/02/2020"</f>
        <v>25/02/2020</v>
      </c>
      <c r="B2589" t="str">
        <f>"9.3654"</f>
        <v>9.3654</v>
      </c>
      <c r="C2589" t="str">
        <f>"9.3647"</f>
        <v>9.3647</v>
      </c>
    </row>
    <row r="2590" spans="1:3" x14ac:dyDescent="0.25">
      <c r="A2590" t="str">
        <f>"26/02/2020"</f>
        <v>26/02/2020</v>
      </c>
      <c r="B2590" t="str">
        <f>"9.3854"</f>
        <v>9.3854</v>
      </c>
      <c r="C2590" t="str">
        <f>"9.3845"</f>
        <v>9.3845</v>
      </c>
    </row>
    <row r="2591" spans="1:3" x14ac:dyDescent="0.25">
      <c r="A2591" t="str">
        <f>"27/02/2020"</f>
        <v>27/02/2020</v>
      </c>
      <c r="B2591" t="str">
        <f>"9.393"</f>
        <v>9.393</v>
      </c>
      <c r="C2591" t="str">
        <f>"9.392"</f>
        <v>9.392</v>
      </c>
    </row>
    <row r="2592" spans="1:3" x14ac:dyDescent="0.25">
      <c r="A2592" t="str">
        <f>"28/02/2020"</f>
        <v>28/02/2020</v>
      </c>
      <c r="B2592" t="str">
        <f>"9.4643"</f>
        <v>9.4643</v>
      </c>
      <c r="C2592" t="str">
        <f>"9.463"</f>
        <v>9.463</v>
      </c>
    </row>
    <row r="2593" spans="1:3" x14ac:dyDescent="0.25">
      <c r="A2593" t="str">
        <f>"02/03/2020"</f>
        <v>02/03/2020</v>
      </c>
      <c r="B2593" t="str">
        <f>"9.3673"</f>
        <v>9.3673</v>
      </c>
      <c r="C2593" t="str">
        <f>"9.367"</f>
        <v>9.367</v>
      </c>
    </row>
    <row r="2594" spans="1:3" x14ac:dyDescent="0.25">
      <c r="A2594" t="str">
        <f>"03/03/2020"</f>
        <v>03/03/2020</v>
      </c>
      <c r="B2594" t="str">
        <f>"9.2858"</f>
        <v>9.2858</v>
      </c>
      <c r="C2594" t="str">
        <f>"9.2865"</f>
        <v>9.2865</v>
      </c>
    </row>
    <row r="2595" spans="1:3" x14ac:dyDescent="0.25">
      <c r="A2595" t="str">
        <f>"04/03/2020"</f>
        <v>04/03/2020</v>
      </c>
      <c r="B2595" t="str">
        <f>"9.2516"</f>
        <v>9.2516</v>
      </c>
      <c r="C2595" t="str">
        <f>"9.2536"</f>
        <v>9.2536</v>
      </c>
    </row>
    <row r="2596" spans="1:3" x14ac:dyDescent="0.25">
      <c r="A2596" t="str">
        <f>"05/03/2020"</f>
        <v>05/03/2020</v>
      </c>
      <c r="B2596" t="str">
        <f>"9.2796"</f>
        <v>9.2796</v>
      </c>
      <c r="C2596" t="str">
        <f>"9.2818"</f>
        <v>9.2818</v>
      </c>
    </row>
    <row r="2597" spans="1:3" x14ac:dyDescent="0.25">
      <c r="A2597" t="str">
        <f>"06/03/2020"</f>
        <v>06/03/2020</v>
      </c>
      <c r="B2597" t="str">
        <f>"9.237"</f>
        <v>9.237</v>
      </c>
      <c r="C2597" t="str">
        <f>"9.2404"</f>
        <v>9.2404</v>
      </c>
    </row>
    <row r="2598" spans="1:3" x14ac:dyDescent="0.25">
      <c r="A2598" t="str">
        <f>"09/03/2020"</f>
        <v>09/03/2020</v>
      </c>
      <c r="B2598" t="str">
        <f>"9.5265"</f>
        <v>9.5265</v>
      </c>
      <c r="C2598" t="str">
        <f>"9.5315"</f>
        <v>9.5315</v>
      </c>
    </row>
    <row r="2599" spans="1:3" x14ac:dyDescent="0.25">
      <c r="A2599" t="str">
        <f>"11/03/2020"</f>
        <v>11/03/2020</v>
      </c>
      <c r="B2599" t="str">
        <f>"9.5723"</f>
        <v>9.5723</v>
      </c>
      <c r="C2599" t="str">
        <f>"9.5792"</f>
        <v>9.5792</v>
      </c>
    </row>
    <row r="2600" spans="1:3" x14ac:dyDescent="0.25">
      <c r="A2600" t="str">
        <f>"12/03/2020"</f>
        <v>12/03/2020</v>
      </c>
      <c r="B2600" t="str">
        <f>"10.0802"</f>
        <v>10.0802</v>
      </c>
      <c r="C2600" t="str">
        <f>"10.0873"</f>
        <v>10.0873</v>
      </c>
    </row>
    <row r="2601" spans="1:3" x14ac:dyDescent="0.25">
      <c r="A2601" t="str">
        <f>"13/03/2020"</f>
        <v>13/03/2020</v>
      </c>
      <c r="B2601" t="str">
        <f>"9.9779"</f>
        <v>9.9779</v>
      </c>
      <c r="C2601" t="str">
        <f>"9.9828"</f>
        <v>9.9828</v>
      </c>
    </row>
    <row r="2602" spans="1:3" x14ac:dyDescent="0.25">
      <c r="A2602" t="str">
        <f>"16/03/2020"</f>
        <v>16/03/2020</v>
      </c>
      <c r="B2602" t="str">
        <f>"10.2579"</f>
        <v>10.2579</v>
      </c>
      <c r="C2602" t="str">
        <f>"10.2596"</f>
        <v>10.2596</v>
      </c>
    </row>
    <row r="2603" spans="1:3" x14ac:dyDescent="0.25">
      <c r="A2603" t="str">
        <f>"17/03/2020"</f>
        <v>17/03/2020</v>
      </c>
      <c r="B2603" t="str">
        <f>"10.2191"</f>
        <v>10.2191</v>
      </c>
      <c r="C2603" t="str">
        <f>"10.2197"</f>
        <v>10.2197</v>
      </c>
    </row>
    <row r="2604" spans="1:3" x14ac:dyDescent="0.25">
      <c r="A2604" t="str">
        <f>"18/03/2020"</f>
        <v>18/03/2020</v>
      </c>
      <c r="B2604" t="str">
        <f>"10.5213"</f>
        <v>10.5213</v>
      </c>
      <c r="C2604" t="str">
        <f>"10.5224"</f>
        <v>10.5224</v>
      </c>
    </row>
    <row r="2605" spans="1:3" x14ac:dyDescent="0.25">
      <c r="A2605" t="str">
        <f>"19/03/2020"</f>
        <v>19/03/2020</v>
      </c>
      <c r="B2605" t="str">
        <f>"11.5459"</f>
        <v>11.5459</v>
      </c>
      <c r="C2605" t="str">
        <f>"11.5439"</f>
        <v>11.5439</v>
      </c>
    </row>
    <row r="2606" spans="1:3" x14ac:dyDescent="0.25">
      <c r="A2606" t="str">
        <f>"20/03/2020"</f>
        <v>20/03/2020</v>
      </c>
      <c r="B2606" t="str">
        <f>"11.2045"</f>
        <v>11.2045</v>
      </c>
      <c r="C2606" t="str">
        <f>"11.2058"</f>
        <v>11.2058</v>
      </c>
    </row>
    <row r="2607" spans="1:3" x14ac:dyDescent="0.25">
      <c r="A2607" t="str">
        <f>"23/03/2020"</f>
        <v>23/03/2020</v>
      </c>
      <c r="B2607" t="str">
        <f>"11.5058"</f>
        <v>11.5058</v>
      </c>
      <c r="C2607" t="str">
        <f>"11.5034"</f>
        <v>11.5034</v>
      </c>
    </row>
    <row r="2608" spans="1:3" x14ac:dyDescent="0.25">
      <c r="A2608" t="str">
        <f>"24/03/2020"</f>
        <v>24/03/2020</v>
      </c>
      <c r="B2608" t="str">
        <f>"11.402"</f>
        <v>11.402</v>
      </c>
      <c r="C2608" t="str">
        <f>"11.3994"</f>
        <v>11.3994</v>
      </c>
    </row>
    <row r="2609" spans="1:3" x14ac:dyDescent="0.25">
      <c r="A2609" t="str">
        <f>"26/03/2020"</f>
        <v>26/03/2020</v>
      </c>
      <c r="B2609" t="str">
        <f>"10.5901"</f>
        <v>10.5901</v>
      </c>
      <c r="C2609" t="str">
        <f>"10.587"</f>
        <v>10.587</v>
      </c>
    </row>
    <row r="2610" spans="1:3" x14ac:dyDescent="0.25">
      <c r="A2610" t="str">
        <f>"27/03/2020"</f>
        <v>27/03/2020</v>
      </c>
      <c r="B2610" t="str">
        <f>"10.559"</f>
        <v>10.559</v>
      </c>
      <c r="C2610" t="str">
        <f>"10.5548"</f>
        <v>10.5548</v>
      </c>
    </row>
    <row r="2611" spans="1:3" x14ac:dyDescent="0.25">
      <c r="A2611" t="str">
        <f>"30/03/2020"</f>
        <v>30/03/2020</v>
      </c>
      <c r="B2611" t="str">
        <f>"10.6061"</f>
        <v>10.6061</v>
      </c>
      <c r="C2611" t="str">
        <f>"10.6019"</f>
        <v>10.6019</v>
      </c>
    </row>
    <row r="2612" spans="1:3" x14ac:dyDescent="0.25">
      <c r="A2612" t="str">
        <f>"31/03/2020"</f>
        <v>31/03/2020</v>
      </c>
      <c r="B2612" t="str">
        <f>"10.4936"</f>
        <v>10.4936</v>
      </c>
      <c r="C2612" t="str">
        <f>"10.4891"</f>
        <v>10.4891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A64A5-28FD-40B6-8E4E-0D85C2D49DCB}">
  <dimension ref="A2:C2612"/>
  <sheetViews>
    <sheetView workbookViewId="0"/>
  </sheetViews>
  <sheetFormatPr defaultRowHeight="15" x14ac:dyDescent="0.25"/>
  <cols>
    <col min="1" max="1" width="10.7109375" bestFit="1" customWidth="1"/>
  </cols>
  <sheetData>
    <row r="2" spans="1:3" x14ac:dyDescent="0.25">
      <c r="A2" t="str">
        <f>"29/05/2009"</f>
        <v>29/05/2009</v>
      </c>
      <c r="B2" t="str">
        <f>"0.6254"</f>
        <v>0.6254</v>
      </c>
      <c r="C2" t="str">
        <f>"0.6242"</f>
        <v>0.6242</v>
      </c>
    </row>
    <row r="3" spans="1:3" x14ac:dyDescent="0.25">
      <c r="A3" t="str">
        <f>"01/06/2009"</f>
        <v>01/06/2009</v>
      </c>
      <c r="B3" t="str">
        <f>"0.6427"</f>
        <v>0.6427</v>
      </c>
      <c r="C3" t="str">
        <f>"0.6415"</f>
        <v>0.6415</v>
      </c>
    </row>
    <row r="4" spans="1:3" x14ac:dyDescent="0.25">
      <c r="A4" t="str">
        <f>"02/06/2009"</f>
        <v>02/06/2009</v>
      </c>
      <c r="B4" t="str">
        <f>"0.6473"</f>
        <v>0.6473</v>
      </c>
      <c r="C4" t="str">
        <f>"0.6461"</f>
        <v>0.6461</v>
      </c>
    </row>
    <row r="5" spans="1:3" x14ac:dyDescent="0.25">
      <c r="A5" t="str">
        <f>"03/06/2009"</f>
        <v>03/06/2009</v>
      </c>
      <c r="B5" t="str">
        <f>"0.653"</f>
        <v>0.653</v>
      </c>
      <c r="C5" t="str">
        <f>"0.6517"</f>
        <v>0.6517</v>
      </c>
    </row>
    <row r="6" spans="1:3" x14ac:dyDescent="0.25">
      <c r="A6" t="str">
        <f>"04/06/2009"</f>
        <v>04/06/2009</v>
      </c>
      <c r="B6" t="str">
        <f>"0.6318"</f>
        <v>0.6318</v>
      </c>
      <c r="C6" t="str">
        <f>"0.6306"</f>
        <v>0.6306</v>
      </c>
    </row>
    <row r="7" spans="1:3" x14ac:dyDescent="0.25">
      <c r="A7" t="str">
        <f>"05/06/2009"</f>
        <v>05/06/2009</v>
      </c>
      <c r="B7" t="str">
        <f>"0.6357"</f>
        <v>0.6357</v>
      </c>
      <c r="C7" t="str">
        <f>"0.6345"</f>
        <v>0.6345</v>
      </c>
    </row>
    <row r="8" spans="1:3" x14ac:dyDescent="0.25">
      <c r="A8" t="str">
        <f>"08/06/2009"</f>
        <v>08/06/2009</v>
      </c>
      <c r="B8" t="str">
        <f>"0.6192"</f>
        <v>0.6192</v>
      </c>
      <c r="C8" t="str">
        <f>"0.618"</f>
        <v>0.618</v>
      </c>
    </row>
    <row r="9" spans="1:3" x14ac:dyDescent="0.25">
      <c r="A9" t="str">
        <f>"09/06/2009"</f>
        <v>09/06/2009</v>
      </c>
      <c r="B9" t="str">
        <f>"0.6186"</f>
        <v>0.6186</v>
      </c>
      <c r="C9" t="str">
        <f>"0.6175"</f>
        <v>0.6175</v>
      </c>
    </row>
    <row r="10" spans="1:3" x14ac:dyDescent="0.25">
      <c r="A10" t="str">
        <f>"10/06/2009"</f>
        <v>10/06/2009</v>
      </c>
      <c r="B10" t="str">
        <f>"0.6294"</f>
        <v>0.6294</v>
      </c>
      <c r="C10" t="str">
        <f>"0.6281"</f>
        <v>0.6281</v>
      </c>
    </row>
    <row r="11" spans="1:3" x14ac:dyDescent="0.25">
      <c r="A11" t="str">
        <f>"11/06/2009"</f>
        <v>11/06/2009</v>
      </c>
      <c r="B11" t="str">
        <f>"0.6363"</f>
        <v>0.6363</v>
      </c>
      <c r="C11" t="str">
        <f>"0.6351"</f>
        <v>0.6351</v>
      </c>
    </row>
    <row r="12" spans="1:3" x14ac:dyDescent="0.25">
      <c r="A12" t="str">
        <f>"12/06/2009"</f>
        <v>12/06/2009</v>
      </c>
      <c r="B12" t="str">
        <f>"0.6426"</f>
        <v>0.6426</v>
      </c>
      <c r="C12" t="str">
        <f>"0.6413"</f>
        <v>0.6413</v>
      </c>
    </row>
    <row r="13" spans="1:3" x14ac:dyDescent="0.25">
      <c r="A13" t="str">
        <f>"15/06/2009"</f>
        <v>15/06/2009</v>
      </c>
      <c r="B13" t="str">
        <f>"0.6372"</f>
        <v>0.6372</v>
      </c>
      <c r="C13" t="str">
        <f>"0.636"</f>
        <v>0.636</v>
      </c>
    </row>
    <row r="14" spans="1:3" x14ac:dyDescent="0.25">
      <c r="A14" t="str">
        <f>"16/06/2009"</f>
        <v>16/06/2009</v>
      </c>
      <c r="B14" t="str">
        <f>"0.6272"</f>
        <v>0.6272</v>
      </c>
      <c r="C14" t="str">
        <f>"0.6259"</f>
        <v>0.6259</v>
      </c>
    </row>
    <row r="15" spans="1:3" x14ac:dyDescent="0.25">
      <c r="A15" t="str">
        <f>"17/06/2009"</f>
        <v>17/06/2009</v>
      </c>
      <c r="B15" t="str">
        <f>"0.6289"</f>
        <v>0.6289</v>
      </c>
      <c r="C15" t="str">
        <f>"0.6276"</f>
        <v>0.6276</v>
      </c>
    </row>
    <row r="16" spans="1:3" x14ac:dyDescent="0.25">
      <c r="A16" t="str">
        <f>"18/06/2009"</f>
        <v>18/06/2009</v>
      </c>
      <c r="B16" t="str">
        <f>"0.633"</f>
        <v>0.633</v>
      </c>
      <c r="C16" t="str">
        <f>"0.6318"</f>
        <v>0.6318</v>
      </c>
    </row>
    <row r="17" spans="1:3" x14ac:dyDescent="0.25">
      <c r="A17" t="str">
        <f>"19/06/2009"</f>
        <v>19/06/2009</v>
      </c>
      <c r="B17" t="str">
        <f>"0.6394"</f>
        <v>0.6394</v>
      </c>
      <c r="C17" t="str">
        <f>"0.6382"</f>
        <v>0.6382</v>
      </c>
    </row>
    <row r="18" spans="1:3" x14ac:dyDescent="0.25">
      <c r="A18" t="str">
        <f>"22/06/2009"</f>
        <v>22/06/2009</v>
      </c>
      <c r="B18" t="str">
        <f>"0.6384"</f>
        <v>0.6384</v>
      </c>
      <c r="C18" t="str">
        <f>"0.6372"</f>
        <v>0.6372</v>
      </c>
    </row>
    <row r="19" spans="1:3" x14ac:dyDescent="0.25">
      <c r="A19" t="str">
        <f>"23/06/2009"</f>
        <v>23/06/2009</v>
      </c>
      <c r="B19" t="str">
        <f>"0.6266"</f>
        <v>0.6266</v>
      </c>
      <c r="C19" t="str">
        <f>"0.6253"</f>
        <v>0.6253</v>
      </c>
    </row>
    <row r="20" spans="1:3" x14ac:dyDescent="0.25">
      <c r="A20" t="str">
        <f>"24/06/2009"</f>
        <v>24/06/2009</v>
      </c>
      <c r="B20" t="str">
        <f>"0.6395"</f>
        <v>0.6395</v>
      </c>
      <c r="C20" t="str">
        <f>"0.6382"</f>
        <v>0.6382</v>
      </c>
    </row>
    <row r="21" spans="1:3" x14ac:dyDescent="0.25">
      <c r="A21" t="str">
        <f>"25/06/2009"</f>
        <v>25/06/2009</v>
      </c>
      <c r="B21" t="str">
        <f>"0.6396"</f>
        <v>0.6396</v>
      </c>
      <c r="C21" t="str">
        <f>"0.6384"</f>
        <v>0.6384</v>
      </c>
    </row>
    <row r="22" spans="1:3" x14ac:dyDescent="0.25">
      <c r="A22" t="str">
        <f>"26/06/2009"</f>
        <v>26/06/2009</v>
      </c>
      <c r="B22" t="str">
        <f>"0.6438"</f>
        <v>0.6438</v>
      </c>
      <c r="C22" t="str">
        <f>"0.6426"</f>
        <v>0.6426</v>
      </c>
    </row>
    <row r="23" spans="1:3" x14ac:dyDescent="0.25">
      <c r="A23" t="str">
        <f>"29/06/2009"</f>
        <v>29/06/2009</v>
      </c>
      <c r="B23" t="str">
        <f>"0.6434"</f>
        <v>0.6434</v>
      </c>
      <c r="C23" t="str">
        <f>"0.6422"</f>
        <v>0.6422</v>
      </c>
    </row>
    <row r="24" spans="1:3" x14ac:dyDescent="0.25">
      <c r="A24" t="str">
        <f>"30/06/2009"</f>
        <v>30/06/2009</v>
      </c>
      <c r="B24" t="str">
        <f>"0.6532"</f>
        <v>0.6532</v>
      </c>
      <c r="C24" t="str">
        <f>"0.6519"</f>
        <v>0.6519</v>
      </c>
    </row>
    <row r="25" spans="1:3" x14ac:dyDescent="0.25">
      <c r="A25" t="str">
        <f>"01/07/2009"</f>
        <v>01/07/2009</v>
      </c>
      <c r="B25" t="str">
        <f>"0.6455"</f>
        <v>0.6455</v>
      </c>
      <c r="C25" t="str">
        <f>"0.6443"</f>
        <v>0.6443</v>
      </c>
    </row>
    <row r="26" spans="1:3" x14ac:dyDescent="0.25">
      <c r="A26" t="str">
        <f>"03/07/2009"</f>
        <v>03/07/2009</v>
      </c>
      <c r="B26" t="str">
        <f>"0.6296"</f>
        <v>0.6296</v>
      </c>
      <c r="C26" t="str">
        <f>"0.6285"</f>
        <v>0.6285</v>
      </c>
    </row>
    <row r="27" spans="1:3" x14ac:dyDescent="0.25">
      <c r="A27" t="str">
        <f>"06/07/2009"</f>
        <v>06/07/2009</v>
      </c>
      <c r="B27" t="str">
        <f>"0.6262"</f>
        <v>0.6262</v>
      </c>
      <c r="C27" t="str">
        <f>"0.6251"</f>
        <v>0.6251</v>
      </c>
    </row>
    <row r="28" spans="1:3" x14ac:dyDescent="0.25">
      <c r="A28" t="str">
        <f>"07/07/2009"</f>
        <v>07/07/2009</v>
      </c>
      <c r="B28" t="str">
        <f>"0.6356"</f>
        <v>0.6356</v>
      </c>
      <c r="C28" t="str">
        <f>"0.6343"</f>
        <v>0.6343</v>
      </c>
    </row>
    <row r="29" spans="1:3" x14ac:dyDescent="0.25">
      <c r="A29" t="str">
        <f>"08/07/2009"</f>
        <v>08/07/2009</v>
      </c>
      <c r="B29" t="str">
        <f>"0.628"</f>
        <v>0.628</v>
      </c>
      <c r="C29" t="str">
        <f>"0.6267"</f>
        <v>0.6267</v>
      </c>
    </row>
    <row r="30" spans="1:3" x14ac:dyDescent="0.25">
      <c r="A30" t="str">
        <f>"09/07/2009"</f>
        <v>09/07/2009</v>
      </c>
      <c r="B30" t="str">
        <f>"0.626"</f>
        <v>0.626</v>
      </c>
      <c r="C30" t="str">
        <f>"0.6247"</f>
        <v>0.6247</v>
      </c>
    </row>
    <row r="31" spans="1:3" x14ac:dyDescent="0.25">
      <c r="A31" t="str">
        <f>"10/07/2009"</f>
        <v>10/07/2009</v>
      </c>
      <c r="B31" t="str">
        <f>"0.6292"</f>
        <v>0.6292</v>
      </c>
      <c r="C31" t="str">
        <f>"0.6279"</f>
        <v>0.6279</v>
      </c>
    </row>
    <row r="32" spans="1:3" x14ac:dyDescent="0.25">
      <c r="A32" t="str">
        <f>"13/07/2009"</f>
        <v>13/07/2009</v>
      </c>
      <c r="B32" t="str">
        <f>"0.6262"</f>
        <v>0.6262</v>
      </c>
      <c r="C32" t="str">
        <f>"0.6249"</f>
        <v>0.6249</v>
      </c>
    </row>
    <row r="33" spans="1:3" x14ac:dyDescent="0.25">
      <c r="A33" t="str">
        <f>"14/07/2009"</f>
        <v>14/07/2009</v>
      </c>
      <c r="B33" t="str">
        <f>"0.6337"</f>
        <v>0.6337</v>
      </c>
      <c r="C33" t="str">
        <f>"0.6324"</f>
        <v>0.6324</v>
      </c>
    </row>
    <row r="34" spans="1:3" x14ac:dyDescent="0.25">
      <c r="A34" t="str">
        <f>"15/07/2009"</f>
        <v>15/07/2009</v>
      </c>
      <c r="B34" t="str">
        <f>"0.6407"</f>
        <v>0.6407</v>
      </c>
      <c r="C34" t="str">
        <f>"0.6394"</f>
        <v>0.6394</v>
      </c>
    </row>
    <row r="35" spans="1:3" x14ac:dyDescent="0.25">
      <c r="A35" t="str">
        <f>"16/07/2009"</f>
        <v>16/07/2009</v>
      </c>
      <c r="B35" t="str">
        <f>"0.6464"</f>
        <v>0.6464</v>
      </c>
      <c r="C35" t="str">
        <f>"0.6451"</f>
        <v>0.6451</v>
      </c>
    </row>
    <row r="36" spans="1:3" x14ac:dyDescent="0.25">
      <c r="A36" t="str">
        <f>"17/07/2009"</f>
        <v>17/07/2009</v>
      </c>
      <c r="B36" t="str">
        <f>"0.6443"</f>
        <v>0.6443</v>
      </c>
      <c r="C36" t="str">
        <f>"0.643"</f>
        <v>0.643</v>
      </c>
    </row>
    <row r="37" spans="1:3" x14ac:dyDescent="0.25">
      <c r="A37" t="str">
        <f>"20/07/2009"</f>
        <v>20/07/2009</v>
      </c>
      <c r="B37" t="str">
        <f>"0.6478"</f>
        <v>0.6478</v>
      </c>
      <c r="C37" t="str">
        <f>"0.6465"</f>
        <v>0.6465</v>
      </c>
    </row>
    <row r="38" spans="1:3" x14ac:dyDescent="0.25">
      <c r="A38" t="str">
        <f>"21/07/2009"</f>
        <v>21/07/2009</v>
      </c>
      <c r="B38" t="str">
        <f>"0.6544"</f>
        <v>0.6544</v>
      </c>
      <c r="C38" t="str">
        <f>"0.653"</f>
        <v>0.653</v>
      </c>
    </row>
    <row r="39" spans="1:3" x14ac:dyDescent="0.25">
      <c r="A39" t="str">
        <f>"22/07/2009"</f>
        <v>22/07/2009</v>
      </c>
      <c r="B39" t="str">
        <f>"0.6553"</f>
        <v>0.6553</v>
      </c>
      <c r="C39" t="str">
        <f>"0.654"</f>
        <v>0.654</v>
      </c>
    </row>
    <row r="40" spans="1:3" x14ac:dyDescent="0.25">
      <c r="A40" t="str">
        <f>"23/07/2009"</f>
        <v>23/07/2009</v>
      </c>
      <c r="B40" t="str">
        <f>"0.6598"</f>
        <v>0.6598</v>
      </c>
      <c r="C40" t="str">
        <f>"0.6585"</f>
        <v>0.6585</v>
      </c>
    </row>
    <row r="41" spans="1:3" x14ac:dyDescent="0.25">
      <c r="A41" t="str">
        <f>"24/07/2009"</f>
        <v>24/07/2009</v>
      </c>
      <c r="B41" t="str">
        <f>"0.6552"</f>
        <v>0.6552</v>
      </c>
      <c r="C41" t="str">
        <f>"0.6539"</f>
        <v>0.6539</v>
      </c>
    </row>
    <row r="42" spans="1:3" x14ac:dyDescent="0.25">
      <c r="A42" t="str">
        <f>"27/07/2009"</f>
        <v>27/07/2009</v>
      </c>
      <c r="B42" t="str">
        <f>"0.6569"</f>
        <v>0.6569</v>
      </c>
      <c r="C42" t="str">
        <f>"0.6556"</f>
        <v>0.6556</v>
      </c>
    </row>
    <row r="43" spans="1:3" x14ac:dyDescent="0.25">
      <c r="A43" t="str">
        <f>"28/07/2009"</f>
        <v>28/07/2009</v>
      </c>
      <c r="B43" t="str">
        <f>"0.6564"</f>
        <v>0.6564</v>
      </c>
      <c r="C43" t="str">
        <f>"0.6551"</f>
        <v>0.6551</v>
      </c>
    </row>
    <row r="44" spans="1:3" x14ac:dyDescent="0.25">
      <c r="A44" t="str">
        <f>"29/07/2009"</f>
        <v>29/07/2009</v>
      </c>
      <c r="B44" t="str">
        <f>"0.6577"</f>
        <v>0.6577</v>
      </c>
      <c r="C44" t="str">
        <f>"0.6564"</f>
        <v>0.6564</v>
      </c>
    </row>
    <row r="45" spans="1:3" x14ac:dyDescent="0.25">
      <c r="A45" t="str">
        <f>"30/07/2009"</f>
        <v>30/07/2009</v>
      </c>
      <c r="B45" t="str">
        <f>"0.6494"</f>
        <v>0.6494</v>
      </c>
      <c r="C45" t="str">
        <f>"0.6481"</f>
        <v>0.6481</v>
      </c>
    </row>
    <row r="46" spans="1:3" x14ac:dyDescent="0.25">
      <c r="A46" t="str">
        <f>"31/07/2009"</f>
        <v>31/07/2009</v>
      </c>
      <c r="B46" t="str">
        <f>"0.6553"</f>
        <v>0.6553</v>
      </c>
      <c r="C46" t="str">
        <f>"0.654"</f>
        <v>0.654</v>
      </c>
    </row>
    <row r="47" spans="1:3" x14ac:dyDescent="0.25">
      <c r="A47" t="str">
        <f>"03/08/2009"</f>
        <v>03/08/2009</v>
      </c>
      <c r="B47" t="str">
        <f>"0.6623"</f>
        <v>0.6623</v>
      </c>
      <c r="C47" t="str">
        <f>"0.6607"</f>
        <v>0.6607</v>
      </c>
    </row>
    <row r="48" spans="1:3" x14ac:dyDescent="0.25">
      <c r="A48" t="str">
        <f>"04/08/2009"</f>
        <v>04/08/2009</v>
      </c>
      <c r="B48" t="str">
        <f>"0.6684"</f>
        <v>0.6684</v>
      </c>
      <c r="C48" t="str">
        <f>"0.6669"</f>
        <v>0.6669</v>
      </c>
    </row>
    <row r="49" spans="1:3" x14ac:dyDescent="0.25">
      <c r="A49" t="str">
        <f>"05/08/2009"</f>
        <v>05/08/2009</v>
      </c>
      <c r="B49" t="str">
        <f>"0.6726"</f>
        <v>0.6726</v>
      </c>
      <c r="C49" t="str">
        <f>"0.6711"</f>
        <v>0.6711</v>
      </c>
    </row>
    <row r="50" spans="1:3" x14ac:dyDescent="0.25">
      <c r="A50" t="str">
        <f>"06/08/2009"</f>
        <v>06/08/2009</v>
      </c>
      <c r="B50" t="str">
        <f>"0.6696"</f>
        <v>0.6696</v>
      </c>
      <c r="C50" t="str">
        <f>"0.6682"</f>
        <v>0.6682</v>
      </c>
    </row>
    <row r="51" spans="1:3" x14ac:dyDescent="0.25">
      <c r="A51" t="str">
        <f>"07/08/2009"</f>
        <v>07/08/2009</v>
      </c>
      <c r="B51" t="str">
        <f>"0.6709"</f>
        <v>0.6709</v>
      </c>
      <c r="C51" t="str">
        <f>"0.6695"</f>
        <v>0.6695</v>
      </c>
    </row>
    <row r="52" spans="1:3" x14ac:dyDescent="0.25">
      <c r="A52" t="str">
        <f>"10/08/2009"</f>
        <v>10/08/2009</v>
      </c>
      <c r="B52" t="str">
        <f>"0.6728"</f>
        <v>0.6728</v>
      </c>
      <c r="C52" t="str">
        <f>"0.6714"</f>
        <v>0.6714</v>
      </c>
    </row>
    <row r="53" spans="1:3" x14ac:dyDescent="0.25">
      <c r="A53" t="str">
        <f>"11/08/2009"</f>
        <v>11/08/2009</v>
      </c>
      <c r="B53" t="str">
        <f>"0.6744"</f>
        <v>0.6744</v>
      </c>
      <c r="C53" t="str">
        <f>"0.673"</f>
        <v>0.673</v>
      </c>
    </row>
    <row r="54" spans="1:3" x14ac:dyDescent="0.25">
      <c r="A54" t="str">
        <f>"12/08/2009"</f>
        <v>12/08/2009</v>
      </c>
      <c r="B54" t="str">
        <f>"0.6649"</f>
        <v>0.6649</v>
      </c>
      <c r="C54" t="str">
        <f>"0.6636"</f>
        <v>0.6636</v>
      </c>
    </row>
    <row r="55" spans="1:3" x14ac:dyDescent="0.25">
      <c r="A55" t="str">
        <f>"13/08/2009"</f>
        <v>13/08/2009</v>
      </c>
      <c r="B55" t="str">
        <f>"0.6724"</f>
        <v>0.6724</v>
      </c>
      <c r="C55" t="str">
        <f>"0.6711"</f>
        <v>0.6711</v>
      </c>
    </row>
    <row r="56" spans="1:3" x14ac:dyDescent="0.25">
      <c r="A56" t="str">
        <f>"14/08/2009"</f>
        <v>14/08/2009</v>
      </c>
      <c r="B56" t="str">
        <f>"0.6789"</f>
        <v>0.6789</v>
      </c>
      <c r="C56" t="str">
        <f>"0.6776"</f>
        <v>0.6776</v>
      </c>
    </row>
    <row r="57" spans="1:3" x14ac:dyDescent="0.25">
      <c r="A57" t="str">
        <f>"17/08/2009"</f>
        <v>17/08/2009</v>
      </c>
      <c r="B57" t="str">
        <f>"0.6694"</f>
        <v>0.6694</v>
      </c>
      <c r="C57" t="str">
        <f>"0.668"</f>
        <v>0.668</v>
      </c>
    </row>
    <row r="58" spans="1:3" x14ac:dyDescent="0.25">
      <c r="A58" t="str">
        <f>"18/08/2009"</f>
        <v>18/08/2009</v>
      </c>
      <c r="B58" t="str">
        <f>"0.6692"</f>
        <v>0.6692</v>
      </c>
      <c r="C58" t="str">
        <f>"0.6679"</f>
        <v>0.6679</v>
      </c>
    </row>
    <row r="59" spans="1:3" x14ac:dyDescent="0.25">
      <c r="A59" t="str">
        <f>"20/08/2009"</f>
        <v>20/08/2009</v>
      </c>
      <c r="B59" t="str">
        <f>"0.6751"</f>
        <v>0.6751</v>
      </c>
      <c r="C59" t="str">
        <f>"0.6738"</f>
        <v>0.6738</v>
      </c>
    </row>
    <row r="60" spans="1:3" x14ac:dyDescent="0.25">
      <c r="A60" t="str">
        <f>"21/08/2009"</f>
        <v>21/08/2009</v>
      </c>
      <c r="B60" t="str">
        <f>"0.6736"</f>
        <v>0.6736</v>
      </c>
      <c r="C60" t="str">
        <f>"0.6722"</f>
        <v>0.6722</v>
      </c>
    </row>
    <row r="61" spans="1:3" x14ac:dyDescent="0.25">
      <c r="A61" t="str">
        <f>"24/08/2009"</f>
        <v>24/08/2009</v>
      </c>
      <c r="B61" t="str">
        <f>"0.6854"</f>
        <v>0.6854</v>
      </c>
      <c r="C61" t="str">
        <f>"0.684"</f>
        <v>0.684</v>
      </c>
    </row>
    <row r="62" spans="1:3" x14ac:dyDescent="0.25">
      <c r="A62" t="str">
        <f>"25/08/2009"</f>
        <v>25/08/2009</v>
      </c>
      <c r="B62" t="str">
        <f>"0.6851"</f>
        <v>0.6851</v>
      </c>
      <c r="C62" t="str">
        <f>"0.6837"</f>
        <v>0.6837</v>
      </c>
    </row>
    <row r="63" spans="1:3" x14ac:dyDescent="0.25">
      <c r="A63" t="str">
        <f>"26/08/2009"</f>
        <v>26/08/2009</v>
      </c>
      <c r="B63" t="str">
        <f>"0.6862"</f>
        <v>0.6862</v>
      </c>
      <c r="C63" t="str">
        <f>"0.6849"</f>
        <v>0.6849</v>
      </c>
    </row>
    <row r="64" spans="1:3" x14ac:dyDescent="0.25">
      <c r="A64" t="str">
        <f>"27/08/2009"</f>
        <v>27/08/2009</v>
      </c>
      <c r="B64" t="str">
        <f>"0.6789"</f>
        <v>0.6789</v>
      </c>
      <c r="C64" t="str">
        <f>"0.6777"</f>
        <v>0.6777</v>
      </c>
    </row>
    <row r="65" spans="1:3" x14ac:dyDescent="0.25">
      <c r="A65" t="str">
        <f>"28/08/2009"</f>
        <v>28/08/2009</v>
      </c>
      <c r="B65" t="str">
        <f>"0.6861"</f>
        <v>0.6861</v>
      </c>
      <c r="C65" t="str">
        <f>"0.6848"</f>
        <v>0.6848</v>
      </c>
    </row>
    <row r="66" spans="1:3" x14ac:dyDescent="0.25">
      <c r="A66" t="str">
        <f>"31/08/2009"</f>
        <v>31/08/2009</v>
      </c>
      <c r="B66" t="str">
        <f>"0.6815"</f>
        <v>0.6815</v>
      </c>
      <c r="C66" t="str">
        <f>"0.6802"</f>
        <v>0.6802</v>
      </c>
    </row>
    <row r="67" spans="1:3" x14ac:dyDescent="0.25">
      <c r="A67" t="str">
        <f>"01/09/2009"</f>
        <v>01/09/2009</v>
      </c>
      <c r="B67" t="str">
        <f>"0.6872"</f>
        <v>0.6872</v>
      </c>
      <c r="C67" t="str">
        <f>"0.6858"</f>
        <v>0.6858</v>
      </c>
    </row>
    <row r="68" spans="1:3" x14ac:dyDescent="0.25">
      <c r="A68" t="str">
        <f>"02/09/2009"</f>
        <v>02/09/2009</v>
      </c>
      <c r="B68" t="str">
        <f>"0.6745"</f>
        <v>0.6745</v>
      </c>
      <c r="C68" t="str">
        <f>"0.6731"</f>
        <v>0.6731</v>
      </c>
    </row>
    <row r="69" spans="1:3" x14ac:dyDescent="0.25">
      <c r="A69" t="str">
        <f>"03/09/2009"</f>
        <v>03/09/2009</v>
      </c>
      <c r="B69" t="str">
        <f>"0.6755"</f>
        <v>0.6755</v>
      </c>
      <c r="C69" t="str">
        <f>"0.6742"</f>
        <v>0.6742</v>
      </c>
    </row>
    <row r="70" spans="1:3" x14ac:dyDescent="0.25">
      <c r="A70" t="str">
        <f>"04/09/2009"</f>
        <v>04/09/2009</v>
      </c>
      <c r="B70" t="str">
        <f>"0.6793"</f>
        <v>0.6793</v>
      </c>
      <c r="C70" t="str">
        <f>"0.678"</f>
        <v>0.678</v>
      </c>
    </row>
    <row r="71" spans="1:3" x14ac:dyDescent="0.25">
      <c r="A71" t="str">
        <f>"07/09/2009"</f>
        <v>07/09/2009</v>
      </c>
      <c r="B71" t="str">
        <f>"0.6884"</f>
        <v>0.6884</v>
      </c>
      <c r="C71" t="str">
        <f>"0.6871"</f>
        <v>0.6871</v>
      </c>
    </row>
    <row r="72" spans="1:3" x14ac:dyDescent="0.25">
      <c r="A72" t="str">
        <f>"08/09/2009"</f>
        <v>08/09/2009</v>
      </c>
      <c r="B72" t="str">
        <f>"0.6919"</f>
        <v>0.6919</v>
      </c>
      <c r="C72" t="str">
        <f>"0.6904"</f>
        <v>0.6904</v>
      </c>
    </row>
    <row r="73" spans="1:3" x14ac:dyDescent="0.25">
      <c r="A73" t="str">
        <f>"09/09/2009"</f>
        <v>09/09/2009</v>
      </c>
      <c r="B73" t="str">
        <f>"0.6955"</f>
        <v>0.6955</v>
      </c>
      <c r="C73" t="str">
        <f>"0.6941"</f>
        <v>0.6941</v>
      </c>
    </row>
    <row r="74" spans="1:3" x14ac:dyDescent="0.25">
      <c r="A74" t="str">
        <f>"10/09/2009"</f>
        <v>10/09/2009</v>
      </c>
      <c r="B74" t="str">
        <f>"0.6961"</f>
        <v>0.6961</v>
      </c>
      <c r="C74" t="str">
        <f>"0.6947"</f>
        <v>0.6947</v>
      </c>
    </row>
    <row r="75" spans="1:3" x14ac:dyDescent="0.25">
      <c r="A75" t="str">
        <f>"11/09/2009"</f>
        <v>11/09/2009</v>
      </c>
      <c r="B75" t="str">
        <f>"0.7036"</f>
        <v>0.7036</v>
      </c>
      <c r="C75" t="str">
        <f>"0.7022"</f>
        <v>0.7022</v>
      </c>
    </row>
    <row r="76" spans="1:3" x14ac:dyDescent="0.25">
      <c r="A76" t="str">
        <f>"14/09/2009"</f>
        <v>14/09/2009</v>
      </c>
      <c r="B76" t="str">
        <f>"0.6983"</f>
        <v>0.6983</v>
      </c>
      <c r="C76" t="str">
        <f>"0.6969"</f>
        <v>0.6969</v>
      </c>
    </row>
    <row r="77" spans="1:3" x14ac:dyDescent="0.25">
      <c r="A77" t="str">
        <f>"15/09/2009"</f>
        <v>15/09/2009</v>
      </c>
      <c r="B77" t="str">
        <f>"0.7012"</f>
        <v>0.7012</v>
      </c>
      <c r="C77" t="str">
        <f>"0.6996"</f>
        <v>0.6996</v>
      </c>
    </row>
    <row r="78" spans="1:3" x14ac:dyDescent="0.25">
      <c r="A78" t="str">
        <f>"16/09/2009"</f>
        <v>16/09/2009</v>
      </c>
      <c r="B78" t="str">
        <f>"0.7054"</f>
        <v>0.7054</v>
      </c>
      <c r="C78" t="str">
        <f>"0.7039"</f>
        <v>0.7039</v>
      </c>
    </row>
    <row r="79" spans="1:3" x14ac:dyDescent="0.25">
      <c r="A79" t="str">
        <f>"17/09/2009"</f>
        <v>17/09/2009</v>
      </c>
      <c r="B79" t="str">
        <f>"0.7145"</f>
        <v>0.7145</v>
      </c>
      <c r="C79" t="str">
        <f>"0.713"</f>
        <v>0.713</v>
      </c>
    </row>
    <row r="80" spans="1:3" x14ac:dyDescent="0.25">
      <c r="A80" t="str">
        <f>"18/09/2009"</f>
        <v>18/09/2009</v>
      </c>
      <c r="B80" t="str">
        <f>"0.7097"</f>
        <v>0.7097</v>
      </c>
      <c r="C80" t="str">
        <f>"0.7083"</f>
        <v>0.7083</v>
      </c>
    </row>
    <row r="81" spans="1:3" x14ac:dyDescent="0.25">
      <c r="A81" t="str">
        <f>"22/09/2009"</f>
        <v>22/09/2009</v>
      </c>
      <c r="B81" t="str">
        <f>"0.7172"</f>
        <v>0.7172</v>
      </c>
      <c r="C81" t="str">
        <f>"0.7157"</f>
        <v>0.7157</v>
      </c>
    </row>
    <row r="82" spans="1:3" x14ac:dyDescent="0.25">
      <c r="A82" t="str">
        <f>"23/09/2009"</f>
        <v>23/09/2009</v>
      </c>
      <c r="B82" t="str">
        <f>"0.7263"</f>
        <v>0.7263</v>
      </c>
      <c r="C82" t="str">
        <f>"0.7248"</f>
        <v>0.7248</v>
      </c>
    </row>
    <row r="83" spans="1:3" x14ac:dyDescent="0.25">
      <c r="A83" t="str">
        <f>"24/09/2009"</f>
        <v>24/09/2009</v>
      </c>
      <c r="B83" t="str">
        <f>"0.7207"</f>
        <v>0.7207</v>
      </c>
      <c r="C83" t="str">
        <f>"0.7193"</f>
        <v>0.7193</v>
      </c>
    </row>
    <row r="84" spans="1:3" x14ac:dyDescent="0.25">
      <c r="A84" t="str">
        <f>"25/09/2009"</f>
        <v>25/09/2009</v>
      </c>
      <c r="B84" t="str">
        <f>"0.7145"</f>
        <v>0.7145</v>
      </c>
      <c r="C84" t="str">
        <f>"0.713"</f>
        <v>0.713</v>
      </c>
    </row>
    <row r="85" spans="1:3" x14ac:dyDescent="0.25">
      <c r="A85" t="str">
        <f>"29/09/2009"</f>
        <v>29/09/2009</v>
      </c>
      <c r="B85" t="str">
        <f>"0.7204"</f>
        <v>0.7204</v>
      </c>
      <c r="C85" t="str">
        <f>"0.7189"</f>
        <v>0.7189</v>
      </c>
    </row>
    <row r="86" spans="1:3" x14ac:dyDescent="0.25">
      <c r="A86" t="str">
        <f>"01/10/2009"</f>
        <v>01/10/2009</v>
      </c>
      <c r="B86" t="str">
        <f>"0.7219"</f>
        <v>0.7219</v>
      </c>
      <c r="C86" t="str">
        <f>"0.7204"</f>
        <v>0.7204</v>
      </c>
    </row>
    <row r="87" spans="1:3" x14ac:dyDescent="0.25">
      <c r="A87" t="str">
        <f>"05/10/2009"</f>
        <v>05/10/2009</v>
      </c>
      <c r="B87" t="str">
        <f>"0.7199"</f>
        <v>0.7199</v>
      </c>
      <c r="C87" t="str">
        <f>"0.7183"</f>
        <v>0.7183</v>
      </c>
    </row>
    <row r="88" spans="1:3" x14ac:dyDescent="0.25">
      <c r="A88" t="str">
        <f>"06/10/2009"</f>
        <v>06/10/2009</v>
      </c>
      <c r="B88" t="str">
        <f>"0.7323"</f>
        <v>0.7323</v>
      </c>
      <c r="C88" t="str">
        <f>"0.7306"</f>
        <v>0.7306</v>
      </c>
    </row>
    <row r="89" spans="1:3" x14ac:dyDescent="0.25">
      <c r="A89" t="str">
        <f>"07/10/2009"</f>
        <v>07/10/2009</v>
      </c>
      <c r="B89" t="str">
        <f>"0.7338"</f>
        <v>0.7338</v>
      </c>
      <c r="C89" t="str">
        <f>"0.7322"</f>
        <v>0.7322</v>
      </c>
    </row>
    <row r="90" spans="1:3" x14ac:dyDescent="0.25">
      <c r="A90" t="str">
        <f>"08/10/2009"</f>
        <v>08/10/2009</v>
      </c>
      <c r="B90" t="str">
        <f>"0.7404"</f>
        <v>0.7404</v>
      </c>
      <c r="C90" t="str">
        <f>"0.7388"</f>
        <v>0.7388</v>
      </c>
    </row>
    <row r="91" spans="1:3" x14ac:dyDescent="0.25">
      <c r="A91" t="str">
        <f>"09/10/2009"</f>
        <v>09/10/2009</v>
      </c>
      <c r="B91" t="str">
        <f>"0.739"</f>
        <v>0.739</v>
      </c>
      <c r="C91" t="str">
        <f>"0.7373"</f>
        <v>0.7373</v>
      </c>
    </row>
    <row r="92" spans="1:3" x14ac:dyDescent="0.25">
      <c r="A92" t="str">
        <f>"12/10/2009"</f>
        <v>12/10/2009</v>
      </c>
      <c r="B92" t="str">
        <f>"0.7277"</f>
        <v>0.7277</v>
      </c>
      <c r="C92" t="str">
        <f>"0.7259"</f>
        <v>0.7259</v>
      </c>
    </row>
    <row r="93" spans="1:3" x14ac:dyDescent="0.25">
      <c r="A93" t="str">
        <f>"14/10/2009"</f>
        <v>14/10/2009</v>
      </c>
      <c r="B93" t="str">
        <f>"0.7391"</f>
        <v>0.7391</v>
      </c>
      <c r="C93" t="str">
        <f>"0.7375"</f>
        <v>0.7375</v>
      </c>
    </row>
    <row r="94" spans="1:3" x14ac:dyDescent="0.25">
      <c r="A94" t="str">
        <f>"15/10/2009"</f>
        <v>15/10/2009</v>
      </c>
      <c r="B94" t="str">
        <f>"0.7477"</f>
        <v>0.7477</v>
      </c>
      <c r="C94" t="str">
        <f>"0.746"</f>
        <v>0.746</v>
      </c>
    </row>
    <row r="95" spans="1:3" x14ac:dyDescent="0.25">
      <c r="A95" t="str">
        <f>"16/10/2009"</f>
        <v>16/10/2009</v>
      </c>
      <c r="B95" t="str">
        <f>"0.7462"</f>
        <v>0.7462</v>
      </c>
      <c r="C95" t="str">
        <f>"0.7445"</f>
        <v>0.7445</v>
      </c>
    </row>
    <row r="96" spans="1:3" x14ac:dyDescent="0.25">
      <c r="A96" t="str">
        <f>"20/10/2009"</f>
        <v>20/10/2009</v>
      </c>
      <c r="B96" t="str">
        <f>"0.7542"</f>
        <v>0.7542</v>
      </c>
      <c r="C96" t="str">
        <f>"0.7524"</f>
        <v>0.7524</v>
      </c>
    </row>
    <row r="97" spans="1:3" x14ac:dyDescent="0.25">
      <c r="A97" t="str">
        <f>"21/10/2009"</f>
        <v>21/10/2009</v>
      </c>
      <c r="B97" t="str">
        <f>"0.7492"</f>
        <v>0.7492</v>
      </c>
      <c r="C97" t="str">
        <f>"0.7475"</f>
        <v>0.7475</v>
      </c>
    </row>
    <row r="98" spans="1:3" x14ac:dyDescent="0.25">
      <c r="A98" t="str">
        <f>"22/10/2009"</f>
        <v>22/10/2009</v>
      </c>
      <c r="B98" t="str">
        <f>"0.7515"</f>
        <v>0.7515</v>
      </c>
      <c r="C98" t="str">
        <f>"0.7498"</f>
        <v>0.7498</v>
      </c>
    </row>
    <row r="99" spans="1:3" x14ac:dyDescent="0.25">
      <c r="A99" t="str">
        <f>"23/10/2009"</f>
        <v>23/10/2009</v>
      </c>
      <c r="B99" t="str">
        <f>"0.757"</f>
        <v>0.757</v>
      </c>
      <c r="C99" t="str">
        <f>"0.7552"</f>
        <v>0.7552</v>
      </c>
    </row>
    <row r="100" spans="1:3" x14ac:dyDescent="0.25">
      <c r="A100" t="str">
        <f>"26/10/2009"</f>
        <v>26/10/2009</v>
      </c>
      <c r="B100" t="str">
        <f>"0.7538"</f>
        <v>0.7538</v>
      </c>
      <c r="C100" t="str">
        <f>"0.752"</f>
        <v>0.752</v>
      </c>
    </row>
    <row r="101" spans="1:3" x14ac:dyDescent="0.25">
      <c r="A101" t="str">
        <f>"27/10/2009"</f>
        <v>27/10/2009</v>
      </c>
      <c r="B101" t="str">
        <f>"0.7479"</f>
        <v>0.7479</v>
      </c>
      <c r="C101" t="str">
        <f>"0.7462"</f>
        <v>0.7462</v>
      </c>
    </row>
    <row r="102" spans="1:3" x14ac:dyDescent="0.25">
      <c r="A102" t="str">
        <f>"28/10/2009"</f>
        <v>28/10/2009</v>
      </c>
      <c r="B102" t="str">
        <f>"0.7415"</f>
        <v>0.7415</v>
      </c>
      <c r="C102" t="str">
        <f>"0.7399"</f>
        <v>0.7399</v>
      </c>
    </row>
    <row r="103" spans="1:3" x14ac:dyDescent="0.25">
      <c r="A103" t="str">
        <f>"29/10/2009"</f>
        <v>29/10/2009</v>
      </c>
      <c r="B103" t="str">
        <f>"0.718"</f>
        <v>0.718</v>
      </c>
      <c r="C103" t="str">
        <f>"0.7165"</f>
        <v>0.7165</v>
      </c>
    </row>
    <row r="104" spans="1:3" x14ac:dyDescent="0.25">
      <c r="A104" t="str">
        <f>"30/10/2009"</f>
        <v>30/10/2009</v>
      </c>
      <c r="B104" t="str">
        <f>"0.7317"</f>
        <v>0.7317</v>
      </c>
      <c r="C104" t="str">
        <f>"0.7302"</f>
        <v>0.7302</v>
      </c>
    </row>
    <row r="105" spans="1:3" x14ac:dyDescent="0.25">
      <c r="A105" t="str">
        <f>"03/11/2009"</f>
        <v>03/11/2009</v>
      </c>
      <c r="B105" t="str">
        <f>"0.7205"</f>
        <v>0.7205</v>
      </c>
      <c r="C105" t="str">
        <f>"0.7189"</f>
        <v>0.7189</v>
      </c>
    </row>
    <row r="106" spans="1:3" x14ac:dyDescent="0.25">
      <c r="A106" t="str">
        <f>"04/11/2009"</f>
        <v>04/11/2009</v>
      </c>
      <c r="B106" t="str">
        <f>"0.7195"</f>
        <v>0.7195</v>
      </c>
      <c r="C106" t="str">
        <f>"0.7179"</f>
        <v>0.7179</v>
      </c>
    </row>
    <row r="107" spans="1:3" x14ac:dyDescent="0.25">
      <c r="A107" t="str">
        <f>"05/11/2009"</f>
        <v>05/11/2009</v>
      </c>
      <c r="B107" t="str">
        <f>"0.7189"</f>
        <v>0.7189</v>
      </c>
      <c r="C107" t="str">
        <f>"0.7173"</f>
        <v>0.7173</v>
      </c>
    </row>
    <row r="108" spans="1:3" x14ac:dyDescent="0.25">
      <c r="A108" t="str">
        <f>"06/11/2009"</f>
        <v>06/11/2009</v>
      </c>
      <c r="B108" t="str">
        <f>"0.7219"</f>
        <v>0.7219</v>
      </c>
      <c r="C108" t="str">
        <f>"0.7203"</f>
        <v>0.7203</v>
      </c>
    </row>
    <row r="109" spans="1:3" x14ac:dyDescent="0.25">
      <c r="A109" t="str">
        <f>"09/11/2009"</f>
        <v>09/11/2009</v>
      </c>
      <c r="B109" t="str">
        <f>"0.7364"</f>
        <v>0.7364</v>
      </c>
      <c r="C109" t="str">
        <f>"0.7347"</f>
        <v>0.7347</v>
      </c>
    </row>
    <row r="110" spans="1:3" x14ac:dyDescent="0.25">
      <c r="A110" t="str">
        <f>"10/11/2009"</f>
        <v>10/11/2009</v>
      </c>
      <c r="B110" t="str">
        <f>"0.7402"</f>
        <v>0.7402</v>
      </c>
      <c r="C110" t="str">
        <f>"0.7385"</f>
        <v>0.7385</v>
      </c>
    </row>
    <row r="111" spans="1:3" x14ac:dyDescent="0.25">
      <c r="A111" t="str">
        <f>"11/11/2009"</f>
        <v>11/11/2009</v>
      </c>
      <c r="B111" t="str">
        <f>"0.7411"</f>
        <v>0.7411</v>
      </c>
      <c r="C111" t="str">
        <f>"0.7394"</f>
        <v>0.7394</v>
      </c>
    </row>
    <row r="112" spans="1:3" x14ac:dyDescent="0.25">
      <c r="A112" t="str">
        <f>"12/11/2009"</f>
        <v>12/11/2009</v>
      </c>
      <c r="B112" t="str">
        <f>"0.7405"</f>
        <v>0.7405</v>
      </c>
      <c r="C112" t="str">
        <f>"0.7388"</f>
        <v>0.7388</v>
      </c>
    </row>
    <row r="113" spans="1:3" x14ac:dyDescent="0.25">
      <c r="A113" t="str">
        <f>"13/11/2009"</f>
        <v>13/11/2009</v>
      </c>
      <c r="B113" t="str">
        <f>"0.7331"</f>
        <v>0.7331</v>
      </c>
      <c r="C113" t="str">
        <f>"0.7315"</f>
        <v>0.7315</v>
      </c>
    </row>
    <row r="114" spans="1:3" x14ac:dyDescent="0.25">
      <c r="A114" t="str">
        <f>"16/11/2009"</f>
        <v>16/11/2009</v>
      </c>
      <c r="B114" t="str">
        <f>"0.7421"</f>
        <v>0.7421</v>
      </c>
      <c r="C114" t="str">
        <f>"0.7405"</f>
        <v>0.7405</v>
      </c>
    </row>
    <row r="115" spans="1:3" x14ac:dyDescent="0.25">
      <c r="A115" t="str">
        <f>"17/11/2009"</f>
        <v>17/11/2009</v>
      </c>
      <c r="B115" t="str">
        <f>"0.747"</f>
        <v>0.747</v>
      </c>
      <c r="C115" t="str">
        <f>"0.7453"</f>
        <v>0.7453</v>
      </c>
    </row>
    <row r="116" spans="1:3" x14ac:dyDescent="0.25">
      <c r="A116" t="str">
        <f>"18/11/2009"</f>
        <v>18/11/2009</v>
      </c>
      <c r="B116" t="str">
        <f>"0.7436"</f>
        <v>0.7436</v>
      </c>
      <c r="C116" t="str">
        <f>"0.742"</f>
        <v>0.742</v>
      </c>
    </row>
    <row r="117" spans="1:3" x14ac:dyDescent="0.25">
      <c r="A117" t="str">
        <f>"19/11/2009"</f>
        <v>19/11/2009</v>
      </c>
      <c r="B117" t="str">
        <f>"0.7387"</f>
        <v>0.7387</v>
      </c>
      <c r="C117" t="str">
        <f>"0.7371"</f>
        <v>0.7371</v>
      </c>
    </row>
    <row r="118" spans="1:3" x14ac:dyDescent="0.25">
      <c r="A118" t="str">
        <f>"20/11/2009"</f>
        <v>20/11/2009</v>
      </c>
      <c r="B118" t="str">
        <f>"0.7273"</f>
        <v>0.7273</v>
      </c>
      <c r="C118" t="str">
        <f>"0.7257"</f>
        <v>0.7257</v>
      </c>
    </row>
    <row r="119" spans="1:3" x14ac:dyDescent="0.25">
      <c r="A119" t="str">
        <f>"23/11/2009"</f>
        <v>23/11/2009</v>
      </c>
      <c r="B119" t="str">
        <f>"0.725"</f>
        <v>0.725</v>
      </c>
      <c r="C119" t="str">
        <f>"0.7233"</f>
        <v>0.7233</v>
      </c>
    </row>
    <row r="120" spans="1:3" x14ac:dyDescent="0.25">
      <c r="A120" t="str">
        <f>"24/11/2009"</f>
        <v>24/11/2009</v>
      </c>
      <c r="B120" t="str">
        <f>"0.7274"</f>
        <v>0.7274</v>
      </c>
      <c r="C120" t="str">
        <f>"0.7257"</f>
        <v>0.7257</v>
      </c>
    </row>
    <row r="121" spans="1:3" x14ac:dyDescent="0.25">
      <c r="A121" t="str">
        <f>"25/11/2009"</f>
        <v>25/11/2009</v>
      </c>
      <c r="B121" t="str">
        <f>"0.7284"</f>
        <v>0.7284</v>
      </c>
      <c r="C121" t="str">
        <f>"0.7267"</f>
        <v>0.7267</v>
      </c>
    </row>
    <row r="122" spans="1:3" x14ac:dyDescent="0.25">
      <c r="A122" t="str">
        <f>"26/11/2009"</f>
        <v>26/11/2009</v>
      </c>
      <c r="B122" t="str">
        <f>"0.7242"</f>
        <v>0.7242</v>
      </c>
      <c r="C122" t="str">
        <f>"0.7225"</f>
        <v>0.7225</v>
      </c>
    </row>
    <row r="123" spans="1:3" x14ac:dyDescent="0.25">
      <c r="A123" t="str">
        <f>"27/11/2009"</f>
        <v>27/11/2009</v>
      </c>
      <c r="B123" t="str">
        <f>"0.7105"</f>
        <v>0.7105</v>
      </c>
      <c r="C123" t="str">
        <f>"0.7087"</f>
        <v>0.7087</v>
      </c>
    </row>
    <row r="124" spans="1:3" x14ac:dyDescent="0.25">
      <c r="A124" t="str">
        <f>"30/11/2009"</f>
        <v>30/11/2009</v>
      </c>
      <c r="B124" t="str">
        <f>"0.7204"</f>
        <v>0.7204</v>
      </c>
      <c r="C124" t="str">
        <f>"0.7186"</f>
        <v>0.7186</v>
      </c>
    </row>
    <row r="125" spans="1:3" x14ac:dyDescent="0.25">
      <c r="A125" t="str">
        <f>"01/12/2009"</f>
        <v>01/12/2009</v>
      </c>
      <c r="B125" t="str">
        <f>"0.7169"</f>
        <v>0.7169</v>
      </c>
      <c r="C125" t="str">
        <f>"0.7152"</f>
        <v>0.7152</v>
      </c>
    </row>
    <row r="126" spans="1:3" x14ac:dyDescent="0.25">
      <c r="A126" t="str">
        <f>"02/12/2009"</f>
        <v>02/12/2009</v>
      </c>
      <c r="B126" t="str">
        <f>"0.7277"</f>
        <v>0.7277</v>
      </c>
      <c r="C126" t="str">
        <f>"0.7261"</f>
        <v>0.7261</v>
      </c>
    </row>
    <row r="127" spans="1:3" x14ac:dyDescent="0.25">
      <c r="A127" t="str">
        <f>"03/12/2009"</f>
        <v>03/12/2009</v>
      </c>
      <c r="B127" t="str">
        <f>"0.7277"</f>
        <v>0.7277</v>
      </c>
      <c r="C127" t="str">
        <f>"0.7261"</f>
        <v>0.7261</v>
      </c>
    </row>
    <row r="128" spans="1:3" x14ac:dyDescent="0.25">
      <c r="A128" t="str">
        <f>"04/12/2009"</f>
        <v>04/12/2009</v>
      </c>
      <c r="B128" t="str">
        <f>"0.7223"</f>
        <v>0.7223</v>
      </c>
      <c r="C128" t="str">
        <f>"0.7207"</f>
        <v>0.7207</v>
      </c>
    </row>
    <row r="129" spans="1:3" x14ac:dyDescent="0.25">
      <c r="A129" t="str">
        <f>"07/12/2009"</f>
        <v>07/12/2009</v>
      </c>
      <c r="B129" t="str">
        <f>"0.7172"</f>
        <v>0.7172</v>
      </c>
      <c r="C129" t="str">
        <f>"0.7155"</f>
        <v>0.7155</v>
      </c>
    </row>
    <row r="130" spans="1:3" x14ac:dyDescent="0.25">
      <c r="A130" t="str">
        <f>"08/12/2009"</f>
        <v>08/12/2009</v>
      </c>
      <c r="B130" t="str">
        <f>"0.7143"</f>
        <v>0.7143</v>
      </c>
      <c r="C130" t="str">
        <f>"0.7127"</f>
        <v>0.7127</v>
      </c>
    </row>
    <row r="131" spans="1:3" x14ac:dyDescent="0.25">
      <c r="A131" t="str">
        <f>"09/12/2009"</f>
        <v>09/12/2009</v>
      </c>
      <c r="B131" t="str">
        <f>"0.7084"</f>
        <v>0.7084</v>
      </c>
      <c r="C131" t="str">
        <f>"0.7069"</f>
        <v>0.7069</v>
      </c>
    </row>
    <row r="132" spans="1:3" x14ac:dyDescent="0.25">
      <c r="A132" t="str">
        <f>"10/12/2009"</f>
        <v>10/12/2009</v>
      </c>
      <c r="B132" t="str">
        <f>"0.7245"</f>
        <v>0.7245</v>
      </c>
      <c r="C132" t="str">
        <f>"0.7229"</f>
        <v>0.7229</v>
      </c>
    </row>
    <row r="133" spans="1:3" x14ac:dyDescent="0.25">
      <c r="A133" t="str">
        <f>"11/12/2009"</f>
        <v>11/12/2009</v>
      </c>
      <c r="B133" t="str">
        <f>"0.7274"</f>
        <v>0.7274</v>
      </c>
      <c r="C133" t="str">
        <f>"0.7258"</f>
        <v>0.7258</v>
      </c>
    </row>
    <row r="134" spans="1:3" x14ac:dyDescent="0.25">
      <c r="A134" t="str">
        <f>"14/12/2009"</f>
        <v>14/12/2009</v>
      </c>
      <c r="B134" t="str">
        <f>"0.7211"</f>
        <v>0.7211</v>
      </c>
      <c r="C134" t="str">
        <f>"0.7193"</f>
        <v>0.7193</v>
      </c>
    </row>
    <row r="135" spans="1:3" x14ac:dyDescent="0.25">
      <c r="A135" t="str">
        <f>"15/12/2009"</f>
        <v>15/12/2009</v>
      </c>
      <c r="B135" t="str">
        <f>"0.7263"</f>
        <v>0.7263</v>
      </c>
      <c r="C135" t="str">
        <f>"0.7246"</f>
        <v>0.7246</v>
      </c>
    </row>
    <row r="136" spans="1:3" x14ac:dyDescent="0.25">
      <c r="A136" t="str">
        <f>"16/12/2009"</f>
        <v>16/12/2009</v>
      </c>
      <c r="B136" t="str">
        <f>"0.718"</f>
        <v>0.718</v>
      </c>
      <c r="C136" t="str">
        <f>"0.7163"</f>
        <v>0.7163</v>
      </c>
    </row>
    <row r="137" spans="1:3" x14ac:dyDescent="0.25">
      <c r="A137" t="str">
        <f>"17/12/2009"</f>
        <v>17/12/2009</v>
      </c>
      <c r="B137" t="str">
        <f>"0.7139"</f>
        <v>0.7139</v>
      </c>
      <c r="C137" t="str">
        <f>"0.7123"</f>
        <v>0.7123</v>
      </c>
    </row>
    <row r="138" spans="1:3" x14ac:dyDescent="0.25">
      <c r="A138" t="str">
        <f>"18/12/2009"</f>
        <v>18/12/2009</v>
      </c>
      <c r="B138" t="str">
        <f>"0.7115"</f>
        <v>0.7115</v>
      </c>
      <c r="C138" t="str">
        <f>"0.7098"</f>
        <v>0.7098</v>
      </c>
    </row>
    <row r="139" spans="1:3" x14ac:dyDescent="0.25">
      <c r="A139" t="str">
        <f>"21/12/2009"</f>
        <v>21/12/2009</v>
      </c>
      <c r="B139" t="str">
        <f>"0.7106"</f>
        <v>0.7106</v>
      </c>
      <c r="C139" t="str">
        <f>"0.7088"</f>
        <v>0.7088</v>
      </c>
    </row>
    <row r="140" spans="1:3" x14ac:dyDescent="0.25">
      <c r="A140" t="str">
        <f>"22/12/2009"</f>
        <v>22/12/2009</v>
      </c>
      <c r="B140" t="str">
        <f>"0.7034"</f>
        <v>0.7034</v>
      </c>
      <c r="C140" t="str">
        <f>"0.7017"</f>
        <v>0.7017</v>
      </c>
    </row>
    <row r="141" spans="1:3" x14ac:dyDescent="0.25">
      <c r="A141" t="str">
        <f>"23/12/2009"</f>
        <v>23/12/2009</v>
      </c>
      <c r="B141" t="str">
        <f>"0.6989"</f>
        <v>0.6989</v>
      </c>
      <c r="C141" t="str">
        <f>"0.6973"</f>
        <v>0.6973</v>
      </c>
    </row>
    <row r="142" spans="1:3" x14ac:dyDescent="0.25">
      <c r="A142" t="str">
        <f>"24/12/2009"</f>
        <v>24/12/2009</v>
      </c>
      <c r="B142" t="str">
        <f>"0.7056"</f>
        <v>0.7056</v>
      </c>
      <c r="C142" t="str">
        <f>"0.704"</f>
        <v>0.704</v>
      </c>
    </row>
    <row r="143" spans="1:3" x14ac:dyDescent="0.25">
      <c r="A143" t="str">
        <f>"29/12/2009"</f>
        <v>29/12/2009</v>
      </c>
      <c r="B143" t="str">
        <f>"0.707"</f>
        <v>0.707</v>
      </c>
      <c r="C143" t="str">
        <f>"0.7055"</f>
        <v>0.7055</v>
      </c>
    </row>
    <row r="144" spans="1:3" x14ac:dyDescent="0.25">
      <c r="A144" t="str">
        <f>"30/12/2009"</f>
        <v>30/12/2009</v>
      </c>
      <c r="B144" t="str">
        <f>"0.7143"</f>
        <v>0.7143</v>
      </c>
      <c r="C144" t="str">
        <f>"0.7127"</f>
        <v>0.7127</v>
      </c>
    </row>
    <row r="145" spans="1:3" x14ac:dyDescent="0.25">
      <c r="A145" t="str">
        <f>"31/12/2009"</f>
        <v>31/12/2009</v>
      </c>
      <c r="B145" t="str">
        <f>"0.726"</f>
        <v>0.726</v>
      </c>
      <c r="C145" t="str">
        <f>"0.7243"</f>
        <v>0.7243</v>
      </c>
    </row>
    <row r="146" spans="1:3" x14ac:dyDescent="0.25">
      <c r="A146" t="str">
        <f>"01/01/2010"</f>
        <v>01/01/2010</v>
      </c>
      <c r="B146" t="str">
        <f>"0.7227"</f>
        <v>0.7227</v>
      </c>
      <c r="C146" t="str">
        <f>"0.721"</f>
        <v>0.721</v>
      </c>
    </row>
    <row r="147" spans="1:3" x14ac:dyDescent="0.25">
      <c r="A147" t="str">
        <f>"04/01/2010"</f>
        <v>04/01/2010</v>
      </c>
      <c r="B147" t="str">
        <f>"0.7197"</f>
        <v>0.7197</v>
      </c>
      <c r="C147" t="str">
        <f>"0.718"</f>
        <v>0.718</v>
      </c>
    </row>
    <row r="148" spans="1:3" x14ac:dyDescent="0.25">
      <c r="A148" t="str">
        <f>"05/01/2010"</f>
        <v>05/01/2010</v>
      </c>
      <c r="B148" t="str">
        <f>"0.7332"</f>
        <v>0.7332</v>
      </c>
      <c r="C148" t="str">
        <f>"0.7315"</f>
        <v>0.7315</v>
      </c>
    </row>
    <row r="149" spans="1:3" x14ac:dyDescent="0.25">
      <c r="A149" t="str">
        <f>"06/01/2010"</f>
        <v>06/01/2010</v>
      </c>
      <c r="B149" t="str">
        <f>"0.7339"</f>
        <v>0.7339</v>
      </c>
      <c r="C149" t="str">
        <f>"0.7323"</f>
        <v>0.7323</v>
      </c>
    </row>
    <row r="150" spans="1:3" x14ac:dyDescent="0.25">
      <c r="A150" t="str">
        <f>"07/01/2010"</f>
        <v>07/01/2010</v>
      </c>
      <c r="B150" t="str">
        <f>"0.7383"</f>
        <v>0.7383</v>
      </c>
      <c r="C150" t="str">
        <f>"0.7366"</f>
        <v>0.7366</v>
      </c>
    </row>
    <row r="151" spans="1:3" x14ac:dyDescent="0.25">
      <c r="A151" t="str">
        <f>"08/01/2010"</f>
        <v>08/01/2010</v>
      </c>
      <c r="B151" t="str">
        <f>"0.7315"</f>
        <v>0.7315</v>
      </c>
      <c r="C151" t="str">
        <f>"0.7299"</f>
        <v>0.7299</v>
      </c>
    </row>
    <row r="152" spans="1:3" x14ac:dyDescent="0.25">
      <c r="A152" t="str">
        <f>"11/01/2010"</f>
        <v>11/01/2010</v>
      </c>
      <c r="B152" t="str">
        <f>"0.74"</f>
        <v>0.74</v>
      </c>
      <c r="C152" t="str">
        <f>"0.7382"</f>
        <v>0.7382</v>
      </c>
    </row>
    <row r="153" spans="1:3" x14ac:dyDescent="0.25">
      <c r="A153" t="str">
        <f>"12/01/2010"</f>
        <v>12/01/2010</v>
      </c>
      <c r="B153" t="str">
        <f>"0.7398"</f>
        <v>0.7398</v>
      </c>
      <c r="C153" t="str">
        <f>"0.738"</f>
        <v>0.738</v>
      </c>
    </row>
    <row r="154" spans="1:3" x14ac:dyDescent="0.25">
      <c r="A154" t="str">
        <f>"13/01/2010"</f>
        <v>13/01/2010</v>
      </c>
      <c r="B154" t="str">
        <f>"0.7395"</f>
        <v>0.7395</v>
      </c>
      <c r="C154" t="str">
        <f>"0.7378"</f>
        <v>0.7378</v>
      </c>
    </row>
    <row r="155" spans="1:3" x14ac:dyDescent="0.25">
      <c r="A155" t="str">
        <f>"14/01/2010"</f>
        <v>14/01/2010</v>
      </c>
      <c r="B155" t="str">
        <f>"0.7408"</f>
        <v>0.7408</v>
      </c>
      <c r="C155" t="str">
        <f>"0.7392"</f>
        <v>0.7392</v>
      </c>
    </row>
    <row r="156" spans="1:3" x14ac:dyDescent="0.25">
      <c r="A156" t="str">
        <f>"15/01/2010"</f>
        <v>15/01/2010</v>
      </c>
      <c r="B156" t="str">
        <f>"0.7384"</f>
        <v>0.7384</v>
      </c>
      <c r="C156" t="str">
        <f>"0.7368"</f>
        <v>0.7368</v>
      </c>
    </row>
    <row r="157" spans="1:3" x14ac:dyDescent="0.25">
      <c r="A157" t="str">
        <f>"18/01/2010"</f>
        <v>18/01/2010</v>
      </c>
      <c r="B157" t="str">
        <f>"0.7346"</f>
        <v>0.7346</v>
      </c>
      <c r="C157" t="str">
        <f>"0.7329"</f>
        <v>0.7329</v>
      </c>
    </row>
    <row r="158" spans="1:3" x14ac:dyDescent="0.25">
      <c r="A158" t="str">
        <f>"19/01/2010"</f>
        <v>19/01/2010</v>
      </c>
      <c r="B158" t="str">
        <f>"0.7384"</f>
        <v>0.7384</v>
      </c>
      <c r="C158" t="str">
        <f>"0.7367"</f>
        <v>0.7367</v>
      </c>
    </row>
    <row r="159" spans="1:3" x14ac:dyDescent="0.25">
      <c r="A159" t="str">
        <f>"20/01/2010"</f>
        <v>20/01/2010</v>
      </c>
      <c r="B159" t="str">
        <f>"0.7296"</f>
        <v>0.7296</v>
      </c>
      <c r="C159" t="str">
        <f>"0.728"</f>
        <v>0.728</v>
      </c>
    </row>
    <row r="160" spans="1:3" x14ac:dyDescent="0.25">
      <c r="A160" t="str">
        <f>"21/01/2010"</f>
        <v>21/01/2010</v>
      </c>
      <c r="B160" t="str">
        <f>"0.7206"</f>
        <v>0.7206</v>
      </c>
      <c r="C160" t="str">
        <f>"0.7191"</f>
        <v>0.7191</v>
      </c>
    </row>
    <row r="161" spans="1:3" x14ac:dyDescent="0.25">
      <c r="A161" t="str">
        <f>"22/01/2010"</f>
        <v>22/01/2010</v>
      </c>
      <c r="B161" t="str">
        <f>"0.7122"</f>
        <v>0.7122</v>
      </c>
      <c r="C161" t="str">
        <f>"0.7107"</f>
        <v>0.7107</v>
      </c>
    </row>
    <row r="162" spans="1:3" x14ac:dyDescent="0.25">
      <c r="A162" t="str">
        <f>"25/01/2010"</f>
        <v>25/01/2010</v>
      </c>
      <c r="B162" t="str">
        <f>"0.715"</f>
        <v>0.715</v>
      </c>
      <c r="C162" t="str">
        <f>"0.7135"</f>
        <v>0.7135</v>
      </c>
    </row>
    <row r="163" spans="1:3" x14ac:dyDescent="0.25">
      <c r="A163" t="str">
        <f>"27/01/2010"</f>
        <v>27/01/2010</v>
      </c>
      <c r="B163" t="str">
        <f>"0.7087"</f>
        <v>0.7087</v>
      </c>
      <c r="C163" t="str">
        <f>"0.7073"</f>
        <v>0.7073</v>
      </c>
    </row>
    <row r="164" spans="1:3" x14ac:dyDescent="0.25">
      <c r="A164" t="str">
        <f>"28/01/2010"</f>
        <v>28/01/2010</v>
      </c>
      <c r="B164" t="str">
        <f>"0.7082"</f>
        <v>0.7082</v>
      </c>
      <c r="C164" t="str">
        <f>"0.7068"</f>
        <v>0.7068</v>
      </c>
    </row>
    <row r="165" spans="1:3" x14ac:dyDescent="0.25">
      <c r="A165" t="str">
        <f>"29/01/2010"</f>
        <v>29/01/2010</v>
      </c>
      <c r="B165" t="str">
        <f>"0.7053"</f>
        <v>0.7053</v>
      </c>
      <c r="C165" t="str">
        <f>"0.7039"</f>
        <v>0.7039</v>
      </c>
    </row>
    <row r="166" spans="1:3" x14ac:dyDescent="0.25">
      <c r="A166" t="str">
        <f>"01/02/2010"</f>
        <v>01/02/2010</v>
      </c>
      <c r="B166" t="str">
        <f>"0.7011"</f>
        <v>0.7011</v>
      </c>
      <c r="C166" t="str">
        <f>"0.6997"</f>
        <v>0.6997</v>
      </c>
    </row>
    <row r="167" spans="1:3" x14ac:dyDescent="0.25">
      <c r="A167" t="str">
        <f>"02/02/2010"</f>
        <v>02/02/2010</v>
      </c>
      <c r="B167" t="str">
        <f>"0.7061"</f>
        <v>0.7061</v>
      </c>
      <c r="C167" t="str">
        <f>"0.7047"</f>
        <v>0.7047</v>
      </c>
    </row>
    <row r="168" spans="1:3" x14ac:dyDescent="0.25">
      <c r="A168" t="str">
        <f>"03/02/2010"</f>
        <v>03/02/2010</v>
      </c>
      <c r="B168" t="str">
        <f>"0.7109"</f>
        <v>0.7109</v>
      </c>
      <c r="C168" t="str">
        <f>"0.7095"</f>
        <v>0.7095</v>
      </c>
    </row>
    <row r="169" spans="1:3" x14ac:dyDescent="0.25">
      <c r="A169" t="str">
        <f>"04/02/2010"</f>
        <v>04/02/2010</v>
      </c>
      <c r="B169" t="str">
        <f>"0.6984"</f>
        <v>0.6984</v>
      </c>
      <c r="C169" t="str">
        <f>"0.6971"</f>
        <v>0.6971</v>
      </c>
    </row>
    <row r="170" spans="1:3" x14ac:dyDescent="0.25">
      <c r="A170" t="str">
        <f>"05/02/2010"</f>
        <v>05/02/2010</v>
      </c>
      <c r="B170" t="str">
        <f>"0.6893"</f>
        <v>0.6893</v>
      </c>
      <c r="C170" t="str">
        <f>"0.6879"</f>
        <v>0.6879</v>
      </c>
    </row>
    <row r="171" spans="1:3" x14ac:dyDescent="0.25">
      <c r="A171" t="str">
        <f>"08/02/2010"</f>
        <v>08/02/2010</v>
      </c>
      <c r="B171" t="str">
        <f>"0.6871"</f>
        <v>0.6871</v>
      </c>
      <c r="C171" t="str">
        <f>"0.6858"</f>
        <v>0.6858</v>
      </c>
    </row>
    <row r="172" spans="1:3" x14ac:dyDescent="0.25">
      <c r="A172" t="str">
        <f>"09/02/2010"</f>
        <v>09/02/2010</v>
      </c>
      <c r="B172" t="str">
        <f>"0.6846"</f>
        <v>0.6846</v>
      </c>
      <c r="C172" t="str">
        <f>"0.6833"</f>
        <v>0.6833</v>
      </c>
    </row>
    <row r="173" spans="1:3" x14ac:dyDescent="0.25">
      <c r="A173" t="str">
        <f>"10/02/2010"</f>
        <v>10/02/2010</v>
      </c>
      <c r="B173" t="str">
        <f>"0.6932"</f>
        <v>0.6932</v>
      </c>
      <c r="C173" t="str">
        <f>"0.6918"</f>
        <v>0.6918</v>
      </c>
    </row>
    <row r="174" spans="1:3" x14ac:dyDescent="0.25">
      <c r="A174" t="str">
        <f>"11/02/2010"</f>
        <v>11/02/2010</v>
      </c>
      <c r="B174" t="str">
        <f>"0.6977"</f>
        <v>0.6977</v>
      </c>
      <c r="C174" t="str">
        <f>"0.6963"</f>
        <v>0.6963</v>
      </c>
    </row>
    <row r="175" spans="1:3" x14ac:dyDescent="0.25">
      <c r="A175" t="str">
        <f>"15/02/2010"</f>
        <v>15/02/2010</v>
      </c>
      <c r="B175" t="str">
        <f>"0.6974"</f>
        <v>0.6974</v>
      </c>
      <c r="C175" t="str">
        <f>"0.696"</f>
        <v>0.696</v>
      </c>
    </row>
    <row r="176" spans="1:3" x14ac:dyDescent="0.25">
      <c r="A176" t="str">
        <f>"16/02/2010"</f>
        <v>16/02/2010</v>
      </c>
      <c r="B176" t="str">
        <f>"0.6993"</f>
        <v>0.6993</v>
      </c>
      <c r="C176" t="str">
        <f>"0.6979"</f>
        <v>0.6979</v>
      </c>
    </row>
    <row r="177" spans="1:3" x14ac:dyDescent="0.25">
      <c r="A177" t="str">
        <f>"17/02/2010"</f>
        <v>17/02/2010</v>
      </c>
      <c r="B177" t="str">
        <f>"0.7046"</f>
        <v>0.7046</v>
      </c>
      <c r="C177" t="str">
        <f>"0.7032"</f>
        <v>0.7032</v>
      </c>
    </row>
    <row r="178" spans="1:3" x14ac:dyDescent="0.25">
      <c r="A178" t="str">
        <f>"18/02/2010"</f>
        <v>18/02/2010</v>
      </c>
      <c r="B178" t="str">
        <f>"0.7002"</f>
        <v>0.7002</v>
      </c>
      <c r="C178" t="str">
        <f>"0.6988"</f>
        <v>0.6988</v>
      </c>
    </row>
    <row r="179" spans="1:3" x14ac:dyDescent="0.25">
      <c r="A179" t="str">
        <f>"19/02/2010"</f>
        <v>19/02/2010</v>
      </c>
      <c r="B179" t="str">
        <f>"0.6962"</f>
        <v>0.6962</v>
      </c>
      <c r="C179" t="str">
        <f>"0.6949"</f>
        <v>0.6949</v>
      </c>
    </row>
    <row r="180" spans="1:3" x14ac:dyDescent="0.25">
      <c r="A180" t="str">
        <f>"22/02/2010"</f>
        <v>22/02/2010</v>
      </c>
      <c r="B180" t="str">
        <f>"0.703"</f>
        <v>0.703</v>
      </c>
      <c r="C180" t="str">
        <f>"0.7016"</f>
        <v>0.7016</v>
      </c>
    </row>
    <row r="181" spans="1:3" x14ac:dyDescent="0.25">
      <c r="A181" t="str">
        <f>"23/02/2010"</f>
        <v>23/02/2010</v>
      </c>
      <c r="B181" t="str">
        <f>"0.7008"</f>
        <v>0.7008</v>
      </c>
      <c r="C181" t="str">
        <f>"0.6995"</f>
        <v>0.6995</v>
      </c>
    </row>
    <row r="182" spans="1:3" x14ac:dyDescent="0.25">
      <c r="A182" t="str">
        <f>"24/02/2010"</f>
        <v>24/02/2010</v>
      </c>
      <c r="B182" t="str">
        <f>"0.6944"</f>
        <v>0.6944</v>
      </c>
      <c r="C182" t="str">
        <f>"0.6929"</f>
        <v>0.6929</v>
      </c>
    </row>
    <row r="183" spans="1:3" x14ac:dyDescent="0.25">
      <c r="A183" t="str">
        <f>"25/02/2010"</f>
        <v>25/02/2010</v>
      </c>
      <c r="B183" t="str">
        <f>"0.6888"</f>
        <v>0.6888</v>
      </c>
      <c r="C183" t="str">
        <f>"0.6873"</f>
        <v>0.6873</v>
      </c>
    </row>
    <row r="184" spans="1:3" x14ac:dyDescent="0.25">
      <c r="A184" t="str">
        <f>"26/02/2010"</f>
        <v>26/02/2010</v>
      </c>
      <c r="B184" t="str">
        <f>"0.6937"</f>
        <v>0.6937</v>
      </c>
      <c r="C184" t="str">
        <f>"0.6921"</f>
        <v>0.6921</v>
      </c>
    </row>
    <row r="185" spans="1:3" x14ac:dyDescent="0.25">
      <c r="A185" t="str">
        <f>"02/03/2010"</f>
        <v>02/03/2010</v>
      </c>
      <c r="B185" t="str">
        <f>"0.6964"</f>
        <v>0.6964</v>
      </c>
      <c r="C185" t="str">
        <f>"0.6948"</f>
        <v>0.6948</v>
      </c>
    </row>
    <row r="186" spans="1:3" x14ac:dyDescent="0.25">
      <c r="A186" t="str">
        <f>"03/03/2010"</f>
        <v>03/03/2010</v>
      </c>
      <c r="B186" t="str">
        <f>"0.6971"</f>
        <v>0.6971</v>
      </c>
      <c r="C186" t="str">
        <f>"0.6956"</f>
        <v>0.6956</v>
      </c>
    </row>
    <row r="187" spans="1:3" x14ac:dyDescent="0.25">
      <c r="A187" t="str">
        <f>"04/03/2010"</f>
        <v>04/03/2010</v>
      </c>
      <c r="B187" t="str">
        <f>"0.6899"</f>
        <v>0.6899</v>
      </c>
      <c r="C187" t="str">
        <f>"0.6884"</f>
        <v>0.6884</v>
      </c>
    </row>
    <row r="188" spans="1:3" x14ac:dyDescent="0.25">
      <c r="A188" t="str">
        <f>"05/03/2010"</f>
        <v>05/03/2010</v>
      </c>
      <c r="B188" t="str">
        <f>"0.6875"</f>
        <v>0.6875</v>
      </c>
      <c r="C188" t="str">
        <f>"0.6861"</f>
        <v>0.6861</v>
      </c>
    </row>
    <row r="189" spans="1:3" x14ac:dyDescent="0.25">
      <c r="A189" t="str">
        <f>"08/03/2010"</f>
        <v>08/03/2010</v>
      </c>
      <c r="B189" t="str">
        <f>"0.6988"</f>
        <v>0.6988</v>
      </c>
      <c r="C189" t="str">
        <f>"0.6973"</f>
        <v>0.6973</v>
      </c>
    </row>
    <row r="190" spans="1:3" x14ac:dyDescent="0.25">
      <c r="A190" t="str">
        <f>"09/03/2010"</f>
        <v>09/03/2010</v>
      </c>
      <c r="B190" t="str">
        <f>"0.699"</f>
        <v>0.699</v>
      </c>
      <c r="C190" t="str">
        <f>"0.6975"</f>
        <v>0.6975</v>
      </c>
    </row>
    <row r="191" spans="1:3" x14ac:dyDescent="0.25">
      <c r="A191" t="str">
        <f>"10/03/2010"</f>
        <v>10/03/2010</v>
      </c>
      <c r="B191" t="str">
        <f>"0.7061"</f>
        <v>0.7061</v>
      </c>
      <c r="C191" t="str">
        <f>"0.7046"</f>
        <v>0.7046</v>
      </c>
    </row>
    <row r="192" spans="1:3" x14ac:dyDescent="0.25">
      <c r="A192" t="str">
        <f>"11/03/2010"</f>
        <v>11/03/2010</v>
      </c>
      <c r="B192" t="str">
        <f>"0.6982"</f>
        <v>0.6982</v>
      </c>
      <c r="C192" t="str">
        <f>"0.6967"</f>
        <v>0.6967</v>
      </c>
    </row>
    <row r="193" spans="1:3" x14ac:dyDescent="0.25">
      <c r="A193" t="str">
        <f>"12/03/2010"</f>
        <v>12/03/2010</v>
      </c>
      <c r="B193" t="str">
        <f>"0.6996"</f>
        <v>0.6996</v>
      </c>
      <c r="C193" t="str">
        <f>"0.6981"</f>
        <v>0.6981</v>
      </c>
    </row>
    <row r="194" spans="1:3" x14ac:dyDescent="0.25">
      <c r="A194" t="str">
        <f>"15/03/2010"</f>
        <v>15/03/2010</v>
      </c>
      <c r="B194" t="str">
        <f>"0.7016"</f>
        <v>0.7016</v>
      </c>
      <c r="C194" t="str">
        <f>"0.70"</f>
        <v>0.70</v>
      </c>
    </row>
    <row r="195" spans="1:3" x14ac:dyDescent="0.25">
      <c r="A195" t="str">
        <f>"17/03/2010"</f>
        <v>17/03/2010</v>
      </c>
      <c r="B195" t="str">
        <f>"0.7118"</f>
        <v>0.7118</v>
      </c>
      <c r="C195" t="str">
        <f>"0.7103"</f>
        <v>0.7103</v>
      </c>
    </row>
    <row r="196" spans="1:3" x14ac:dyDescent="0.25">
      <c r="A196" t="str">
        <f>"18/03/2010"</f>
        <v>18/03/2010</v>
      </c>
      <c r="B196" t="str">
        <f>"0.7138"</f>
        <v>0.7138</v>
      </c>
      <c r="C196" t="str">
        <f>"0.7123"</f>
        <v>0.7123</v>
      </c>
    </row>
    <row r="197" spans="1:3" x14ac:dyDescent="0.25">
      <c r="A197" t="str">
        <f>"19/03/2010"</f>
        <v>19/03/2010</v>
      </c>
      <c r="B197" t="str">
        <f>"0.7149"</f>
        <v>0.7149</v>
      </c>
      <c r="C197" t="str">
        <f>"0.7134"</f>
        <v>0.7134</v>
      </c>
    </row>
    <row r="198" spans="1:3" x14ac:dyDescent="0.25">
      <c r="A198" t="str">
        <f>"22/03/2010"</f>
        <v>22/03/2010</v>
      </c>
      <c r="B198" t="str">
        <f>"0.7063"</f>
        <v>0.7063</v>
      </c>
      <c r="C198" t="str">
        <f>"0.7048"</f>
        <v>0.7048</v>
      </c>
    </row>
    <row r="199" spans="1:3" x14ac:dyDescent="0.25">
      <c r="A199" t="str">
        <f>"23/03/2010"</f>
        <v>23/03/2010</v>
      </c>
      <c r="B199" t="str">
        <f>"0.7068"</f>
        <v>0.7068</v>
      </c>
      <c r="C199" t="str">
        <f>"0.7053"</f>
        <v>0.7053</v>
      </c>
    </row>
    <row r="200" spans="1:3" x14ac:dyDescent="0.25">
      <c r="A200" t="str">
        <f>"25/03/2010"</f>
        <v>25/03/2010</v>
      </c>
      <c r="B200" t="str">
        <f>"0.703"</f>
        <v>0.703</v>
      </c>
      <c r="C200" t="str">
        <f>"0.7016"</f>
        <v>0.7016</v>
      </c>
    </row>
    <row r="201" spans="1:3" x14ac:dyDescent="0.25">
      <c r="A201" t="str">
        <f>"26/03/2010"</f>
        <v>26/03/2010</v>
      </c>
      <c r="B201" t="str">
        <f>"0.7054"</f>
        <v>0.7054</v>
      </c>
      <c r="C201" t="str">
        <f>"0.704"</f>
        <v>0.704</v>
      </c>
    </row>
    <row r="202" spans="1:3" x14ac:dyDescent="0.25">
      <c r="A202" t="str">
        <f>"29/03/2010"</f>
        <v>29/03/2010</v>
      </c>
      <c r="B202" t="str">
        <f>"0.7071"</f>
        <v>0.7071</v>
      </c>
      <c r="C202" t="str">
        <f>"0.7057"</f>
        <v>0.7057</v>
      </c>
    </row>
    <row r="203" spans="1:3" x14ac:dyDescent="0.25">
      <c r="A203" t="str">
        <f>"30/03/2010"</f>
        <v>30/03/2010</v>
      </c>
      <c r="B203" t="str">
        <f>"0.71"</f>
        <v>0.71</v>
      </c>
      <c r="C203" t="str">
        <f>"0.7085"</f>
        <v>0.7085</v>
      </c>
    </row>
    <row r="204" spans="1:3" x14ac:dyDescent="0.25">
      <c r="A204" t="str">
        <f>"31/03/2010"</f>
        <v>31/03/2010</v>
      </c>
      <c r="B204" t="str">
        <f>"0.7097"</f>
        <v>0.7097</v>
      </c>
      <c r="C204" t="str">
        <f>"0.7082"</f>
        <v>0.7082</v>
      </c>
    </row>
    <row r="205" spans="1:3" x14ac:dyDescent="0.25">
      <c r="A205" t="str">
        <f>"05/04/2010"</f>
        <v>05/04/2010</v>
      </c>
      <c r="B205" t="str">
        <f>"0.7059"</f>
        <v>0.7059</v>
      </c>
      <c r="C205" t="str">
        <f>"0.7044"</f>
        <v>0.7044</v>
      </c>
    </row>
    <row r="206" spans="1:3" x14ac:dyDescent="0.25">
      <c r="A206" t="str">
        <f>"06/04/2010"</f>
        <v>06/04/2010</v>
      </c>
      <c r="B206" t="str">
        <f>"0.702"</f>
        <v>0.702</v>
      </c>
      <c r="C206" t="str">
        <f>"0.7005"</f>
        <v>0.7005</v>
      </c>
    </row>
    <row r="207" spans="1:3" x14ac:dyDescent="0.25">
      <c r="A207" t="str">
        <f>"07/04/2010"</f>
        <v>07/04/2010</v>
      </c>
      <c r="B207" t="str">
        <f>"0.7051"</f>
        <v>0.7051</v>
      </c>
      <c r="C207" t="str">
        <f>"0.7036"</f>
        <v>0.7036</v>
      </c>
    </row>
    <row r="208" spans="1:3" x14ac:dyDescent="0.25">
      <c r="A208" t="str">
        <f>"08/04/2010"</f>
        <v>08/04/2010</v>
      </c>
      <c r="B208" t="str">
        <f>"0.7048"</f>
        <v>0.7048</v>
      </c>
      <c r="C208" t="str">
        <f>"0.7033"</f>
        <v>0.7033</v>
      </c>
    </row>
    <row r="209" spans="1:3" x14ac:dyDescent="0.25">
      <c r="A209" t="str">
        <f>"09/04/2010"</f>
        <v>09/04/2010</v>
      </c>
      <c r="B209" t="str">
        <f>"0.7072"</f>
        <v>0.7072</v>
      </c>
      <c r="C209" t="str">
        <f>"0.7058"</f>
        <v>0.7058</v>
      </c>
    </row>
    <row r="210" spans="1:3" x14ac:dyDescent="0.25">
      <c r="A210" t="str">
        <f>"12/04/2010"</f>
        <v>12/04/2010</v>
      </c>
      <c r="B210" t="str">
        <f>"0.7159"</f>
        <v>0.7159</v>
      </c>
      <c r="C210" t="str">
        <f>"0.7144"</f>
        <v>0.7144</v>
      </c>
    </row>
    <row r="211" spans="1:3" x14ac:dyDescent="0.25">
      <c r="A211" t="str">
        <f>"13/04/2010"</f>
        <v>13/04/2010</v>
      </c>
      <c r="B211" t="str">
        <f>"0.7128"</f>
        <v>0.7128</v>
      </c>
      <c r="C211" t="str">
        <f>"0.7113"</f>
        <v>0.7113</v>
      </c>
    </row>
    <row r="212" spans="1:3" x14ac:dyDescent="0.25">
      <c r="A212" t="str">
        <f>"15/04/2010"</f>
        <v>15/04/2010</v>
      </c>
      <c r="B212" t="str">
        <f>"0.7143"</f>
        <v>0.7143</v>
      </c>
      <c r="C212" t="str">
        <f>"0.7128"</f>
        <v>0.7128</v>
      </c>
    </row>
    <row r="213" spans="1:3" x14ac:dyDescent="0.25">
      <c r="A213" t="str">
        <f>"16/04/2010"</f>
        <v>16/04/2010</v>
      </c>
      <c r="B213" t="str">
        <f>"0.711"</f>
        <v>0.711</v>
      </c>
      <c r="C213" t="str">
        <f>"0.7096"</f>
        <v>0.7096</v>
      </c>
    </row>
    <row r="214" spans="1:3" x14ac:dyDescent="0.25">
      <c r="A214" t="str">
        <f>"19/04/2010"</f>
        <v>19/04/2010</v>
      </c>
      <c r="B214" t="str">
        <f>"0.7077"</f>
        <v>0.7077</v>
      </c>
      <c r="C214" t="str">
        <f>"0.7062"</f>
        <v>0.7062</v>
      </c>
    </row>
    <row r="215" spans="1:3" x14ac:dyDescent="0.25">
      <c r="A215" t="str">
        <f>"20/04/2010"</f>
        <v>20/04/2010</v>
      </c>
      <c r="B215" t="str">
        <f>"0.7093"</f>
        <v>0.7093</v>
      </c>
      <c r="C215" t="str">
        <f>"0.7078"</f>
        <v>0.7078</v>
      </c>
    </row>
    <row r="216" spans="1:3" x14ac:dyDescent="0.25">
      <c r="A216" t="str">
        <f>"21/04/2010"</f>
        <v>21/04/2010</v>
      </c>
      <c r="B216" t="str">
        <f>"0.7106"</f>
        <v>0.7106</v>
      </c>
      <c r="C216" t="str">
        <f>"0.709"</f>
        <v>0.709</v>
      </c>
    </row>
    <row r="217" spans="1:3" x14ac:dyDescent="0.25">
      <c r="A217" t="str">
        <f>"22/04/2010"</f>
        <v>22/04/2010</v>
      </c>
      <c r="B217" t="str">
        <f>"0.7105"</f>
        <v>0.7105</v>
      </c>
      <c r="C217" t="str">
        <f>"0.709"</f>
        <v>0.709</v>
      </c>
    </row>
    <row r="218" spans="1:3" x14ac:dyDescent="0.25">
      <c r="A218" t="str">
        <f>"23/04/2010"</f>
        <v>23/04/2010</v>
      </c>
      <c r="B218" t="str">
        <f>"0.7108"</f>
        <v>0.7108</v>
      </c>
      <c r="C218" t="str">
        <f>"0.7094"</f>
        <v>0.7094</v>
      </c>
    </row>
    <row r="219" spans="1:3" x14ac:dyDescent="0.25">
      <c r="A219" t="str">
        <f>"26/04/2010"</f>
        <v>26/04/2010</v>
      </c>
      <c r="B219" t="str">
        <f>"0.719"</f>
        <v>0.719</v>
      </c>
      <c r="C219" t="str">
        <f>"0.7176"</f>
        <v>0.7176</v>
      </c>
    </row>
    <row r="220" spans="1:3" x14ac:dyDescent="0.25">
      <c r="A220" t="str">
        <f>"27/04/2010"</f>
        <v>27/04/2010</v>
      </c>
      <c r="B220" t="str">
        <f>"0.7207"</f>
        <v>0.7207</v>
      </c>
      <c r="C220" t="str">
        <f>"0.7193"</f>
        <v>0.7193</v>
      </c>
    </row>
    <row r="221" spans="1:3" x14ac:dyDescent="0.25">
      <c r="A221" t="str">
        <f>"28/04/2010"</f>
        <v>28/04/2010</v>
      </c>
      <c r="B221" t="str">
        <f>"0.715"</f>
        <v>0.715</v>
      </c>
      <c r="C221" t="str">
        <f>"0.7136"</f>
        <v>0.7136</v>
      </c>
    </row>
    <row r="222" spans="1:3" x14ac:dyDescent="0.25">
      <c r="A222" t="str">
        <f>"29/04/2010"</f>
        <v>29/04/2010</v>
      </c>
      <c r="B222" t="str">
        <f>"0.7172"</f>
        <v>0.7172</v>
      </c>
      <c r="C222" t="str">
        <f>"0.7157"</f>
        <v>0.7157</v>
      </c>
    </row>
    <row r="223" spans="1:3" x14ac:dyDescent="0.25">
      <c r="A223" t="str">
        <f>"30/04/2010"</f>
        <v>30/04/2010</v>
      </c>
      <c r="B223" t="str">
        <f>"0.7242"</f>
        <v>0.7242</v>
      </c>
      <c r="C223" t="str">
        <f>"0.7227"</f>
        <v>0.7227</v>
      </c>
    </row>
    <row r="224" spans="1:3" x14ac:dyDescent="0.25">
      <c r="A224" t="str">
        <f>"03/05/2010"</f>
        <v>03/05/2010</v>
      </c>
      <c r="B224" t="str">
        <f>"0.7281"</f>
        <v>0.7281</v>
      </c>
      <c r="C224" t="str">
        <f>"0.7265"</f>
        <v>0.7265</v>
      </c>
    </row>
    <row r="225" spans="1:3" x14ac:dyDescent="0.25">
      <c r="A225" t="str">
        <f>"04/05/2010"</f>
        <v>04/05/2010</v>
      </c>
      <c r="B225" t="str">
        <f>"0.7294"</f>
        <v>0.7294</v>
      </c>
      <c r="C225" t="str">
        <f>"0.7277"</f>
        <v>0.7277</v>
      </c>
    </row>
    <row r="226" spans="1:3" x14ac:dyDescent="0.25">
      <c r="A226" t="str">
        <f>"05/05/2010"</f>
        <v>05/05/2010</v>
      </c>
      <c r="B226" t="str">
        <f>"0.7202"</f>
        <v>0.7202</v>
      </c>
      <c r="C226" t="str">
        <f>"0.7185"</f>
        <v>0.7185</v>
      </c>
    </row>
    <row r="227" spans="1:3" x14ac:dyDescent="0.25">
      <c r="A227" t="str">
        <f>"06/05/2010"</f>
        <v>06/05/2010</v>
      </c>
      <c r="B227" t="str">
        <f>"0.7275"</f>
        <v>0.7275</v>
      </c>
      <c r="C227" t="str">
        <f>"0.726"</f>
        <v>0.726</v>
      </c>
    </row>
    <row r="228" spans="1:3" x14ac:dyDescent="0.25">
      <c r="A228" t="str">
        <f>"07/05/2010"</f>
        <v>07/05/2010</v>
      </c>
      <c r="B228" t="str">
        <f>"0.7131"</f>
        <v>0.7131</v>
      </c>
      <c r="C228" t="str">
        <f>"0.7116"</f>
        <v>0.7116</v>
      </c>
    </row>
    <row r="229" spans="1:3" x14ac:dyDescent="0.25">
      <c r="A229" t="str">
        <f>"10/05/2010"</f>
        <v>10/05/2010</v>
      </c>
      <c r="B229" t="str">
        <f>"0.7227"</f>
        <v>0.7227</v>
      </c>
      <c r="C229" t="str">
        <f>"0.7212"</f>
        <v>0.7212</v>
      </c>
    </row>
    <row r="230" spans="1:3" x14ac:dyDescent="0.25">
      <c r="A230" t="str">
        <f>"11/05/2010"</f>
        <v>11/05/2010</v>
      </c>
      <c r="B230" t="str">
        <f>"0.7207"</f>
        <v>0.7207</v>
      </c>
      <c r="C230" t="str">
        <f>"0.7192"</f>
        <v>0.7192</v>
      </c>
    </row>
    <row r="231" spans="1:3" x14ac:dyDescent="0.25">
      <c r="A231" t="str">
        <f>"12/05/2010"</f>
        <v>12/05/2010</v>
      </c>
      <c r="B231" t="str">
        <f>"0.7166"</f>
        <v>0.7166</v>
      </c>
      <c r="C231" t="str">
        <f>"0.7151"</f>
        <v>0.7151</v>
      </c>
    </row>
    <row r="232" spans="1:3" x14ac:dyDescent="0.25">
      <c r="A232" t="str">
        <f>"13/05/2010"</f>
        <v>13/05/2010</v>
      </c>
      <c r="B232" t="str">
        <f>"0.7169"</f>
        <v>0.7169</v>
      </c>
      <c r="C232" t="str">
        <f>"0.7155"</f>
        <v>0.7155</v>
      </c>
    </row>
    <row r="233" spans="1:3" x14ac:dyDescent="0.25">
      <c r="A233" t="str">
        <f>"14/05/2010"</f>
        <v>14/05/2010</v>
      </c>
      <c r="B233" t="str">
        <f>"0.7132"</f>
        <v>0.7132</v>
      </c>
      <c r="C233" t="str">
        <f>"0.7118"</f>
        <v>0.7118</v>
      </c>
    </row>
    <row r="234" spans="1:3" x14ac:dyDescent="0.25">
      <c r="A234" t="str">
        <f>"17/05/2010"</f>
        <v>17/05/2010</v>
      </c>
      <c r="B234" t="str">
        <f>"0.7019"</f>
        <v>0.7019</v>
      </c>
      <c r="C234" t="str">
        <f>"0.7003"</f>
        <v>0.7003</v>
      </c>
    </row>
    <row r="235" spans="1:3" x14ac:dyDescent="0.25">
      <c r="A235" t="str">
        <f>"18/05/2010"</f>
        <v>18/05/2010</v>
      </c>
      <c r="B235" t="str">
        <f>"0.6959"</f>
        <v>0.6959</v>
      </c>
      <c r="C235" t="str">
        <f>"0.6943"</f>
        <v>0.6943</v>
      </c>
    </row>
    <row r="236" spans="1:3" x14ac:dyDescent="0.25">
      <c r="A236" t="str">
        <f>"19/05/2010"</f>
        <v>19/05/2010</v>
      </c>
      <c r="B236" t="str">
        <f>"0.6881"</f>
        <v>0.6881</v>
      </c>
      <c r="C236" t="str">
        <f>"0.6865"</f>
        <v>0.6865</v>
      </c>
    </row>
    <row r="237" spans="1:3" x14ac:dyDescent="0.25">
      <c r="A237" t="str">
        <f>"20/05/2010"</f>
        <v>20/05/2010</v>
      </c>
      <c r="B237" t="str">
        <f>"0.6851"</f>
        <v>0.6851</v>
      </c>
      <c r="C237" t="str">
        <f>"0.6837"</f>
        <v>0.6837</v>
      </c>
    </row>
    <row r="238" spans="1:3" x14ac:dyDescent="0.25">
      <c r="A238" t="str">
        <f>"21/05/2010"</f>
        <v>21/05/2010</v>
      </c>
      <c r="B238" t="str">
        <f>"0.6708"</f>
        <v>0.6708</v>
      </c>
      <c r="C238" t="str">
        <f>"0.6695"</f>
        <v>0.6695</v>
      </c>
    </row>
    <row r="239" spans="1:3" x14ac:dyDescent="0.25">
      <c r="A239" t="str">
        <f>"24/05/2010"</f>
        <v>24/05/2010</v>
      </c>
      <c r="B239" t="str">
        <f>"0.6723"</f>
        <v>0.6723</v>
      </c>
      <c r="C239" t="str">
        <f>"0.6708"</f>
        <v>0.6708</v>
      </c>
    </row>
    <row r="240" spans="1:3" x14ac:dyDescent="0.25">
      <c r="A240" t="str">
        <f>"25/05/2010"</f>
        <v>25/05/2010</v>
      </c>
      <c r="B240" t="str">
        <f>"0.6678"</f>
        <v>0.6678</v>
      </c>
      <c r="C240" t="str">
        <f>"0.6663"</f>
        <v>0.6663</v>
      </c>
    </row>
    <row r="241" spans="1:3" x14ac:dyDescent="0.25">
      <c r="A241" t="str">
        <f>"26/05/2010"</f>
        <v>26/05/2010</v>
      </c>
      <c r="B241" t="str">
        <f>"0.6656"</f>
        <v>0.6656</v>
      </c>
      <c r="C241" t="str">
        <f>"0.6641"</f>
        <v>0.6641</v>
      </c>
    </row>
    <row r="242" spans="1:3" x14ac:dyDescent="0.25">
      <c r="A242" t="str">
        <f>"28/05/2010"</f>
        <v>28/05/2010</v>
      </c>
      <c r="B242" t="str">
        <f>"0.6805"</f>
        <v>0.6805</v>
      </c>
      <c r="C242" t="str">
        <f>"0.6791"</f>
        <v>0.6791</v>
      </c>
    </row>
    <row r="243" spans="1:3" x14ac:dyDescent="0.25">
      <c r="A243" t="str">
        <f>"31/05/2010"</f>
        <v>31/05/2010</v>
      </c>
      <c r="B243" t="str">
        <f>"0.6826"</f>
        <v>0.6826</v>
      </c>
      <c r="C243" t="str">
        <f>"0.6812"</f>
        <v>0.6812</v>
      </c>
    </row>
    <row r="244" spans="1:3" x14ac:dyDescent="0.25">
      <c r="A244" t="str">
        <f>"01/06/2010"</f>
        <v>01/06/2010</v>
      </c>
      <c r="B244" t="str">
        <f>"0.676"</f>
        <v>0.676</v>
      </c>
      <c r="C244" t="str">
        <f>"0.6744"</f>
        <v>0.6744</v>
      </c>
    </row>
    <row r="245" spans="1:3" x14ac:dyDescent="0.25">
      <c r="A245" t="str">
        <f>"02/06/2010"</f>
        <v>02/06/2010</v>
      </c>
      <c r="B245" t="str">
        <f>"0.6739"</f>
        <v>0.6739</v>
      </c>
      <c r="C245" t="str">
        <f>"0.6724"</f>
        <v>0.6724</v>
      </c>
    </row>
    <row r="246" spans="1:3" x14ac:dyDescent="0.25">
      <c r="A246" t="str">
        <f>"03/06/2010"</f>
        <v>03/06/2010</v>
      </c>
      <c r="B246" t="str">
        <f>"0.6842"</f>
        <v>0.6842</v>
      </c>
      <c r="C246" t="str">
        <f>"0.6828"</f>
        <v>0.6828</v>
      </c>
    </row>
    <row r="247" spans="1:3" x14ac:dyDescent="0.25">
      <c r="A247" t="str">
        <f>"04/06/2010"</f>
        <v>04/06/2010</v>
      </c>
      <c r="B247" t="str">
        <f>"0.6834"</f>
        <v>0.6834</v>
      </c>
      <c r="C247" t="str">
        <f>"0.682"</f>
        <v>0.682</v>
      </c>
    </row>
    <row r="248" spans="1:3" x14ac:dyDescent="0.25">
      <c r="A248" t="str">
        <f>"07/06/2010"</f>
        <v>07/06/2010</v>
      </c>
      <c r="B248" t="str">
        <f>"0.6626"</f>
        <v>0.6626</v>
      </c>
      <c r="C248" t="str">
        <f>"0.6611"</f>
        <v>0.6611</v>
      </c>
    </row>
    <row r="249" spans="1:3" x14ac:dyDescent="0.25">
      <c r="A249" t="str">
        <f>"08/06/2010"</f>
        <v>08/06/2010</v>
      </c>
      <c r="B249" t="str">
        <f>"0.6634"</f>
        <v>0.6634</v>
      </c>
      <c r="C249" t="str">
        <f>"0.6619"</f>
        <v>0.6619</v>
      </c>
    </row>
    <row r="250" spans="1:3" x14ac:dyDescent="0.25">
      <c r="A250" t="str">
        <f>"09/06/2010"</f>
        <v>09/06/2010</v>
      </c>
      <c r="B250" t="str">
        <f>"0.6625"</f>
        <v>0.6625</v>
      </c>
      <c r="C250" t="str">
        <f>"0.6611"</f>
        <v>0.6611</v>
      </c>
    </row>
    <row r="251" spans="1:3" x14ac:dyDescent="0.25">
      <c r="A251" t="str">
        <f>"10/06/2010"</f>
        <v>10/06/2010</v>
      </c>
      <c r="B251" t="str">
        <f>"0.6773"</f>
        <v>0.6773</v>
      </c>
      <c r="C251" t="str">
        <f>"0.6758"</f>
        <v>0.6758</v>
      </c>
    </row>
    <row r="252" spans="1:3" x14ac:dyDescent="0.25">
      <c r="A252" t="str">
        <f>"11/06/2010"</f>
        <v>11/06/2010</v>
      </c>
      <c r="B252" t="str">
        <f>"0.6813"</f>
        <v>0.6813</v>
      </c>
      <c r="C252" t="str">
        <f>"0.6798"</f>
        <v>0.6798</v>
      </c>
    </row>
    <row r="253" spans="1:3" x14ac:dyDescent="0.25">
      <c r="A253" t="str">
        <f>"14/06/2010"</f>
        <v>14/06/2010</v>
      </c>
      <c r="B253" t="str">
        <f>"0.6924"</f>
        <v>0.6924</v>
      </c>
      <c r="C253" t="str">
        <f>"0.6909"</f>
        <v>0.6909</v>
      </c>
    </row>
    <row r="254" spans="1:3" x14ac:dyDescent="0.25">
      <c r="A254" t="str">
        <f>"15/06/2010"</f>
        <v>15/06/2010</v>
      </c>
      <c r="B254" t="str">
        <f>"0.6936"</f>
        <v>0.6936</v>
      </c>
      <c r="C254" t="str">
        <f>"0.692"</f>
        <v>0.692</v>
      </c>
    </row>
    <row r="255" spans="1:3" x14ac:dyDescent="0.25">
      <c r="A255" t="str">
        <f>"16/06/2010"</f>
        <v>16/06/2010</v>
      </c>
      <c r="B255" t="str">
        <f>"0.6952"</f>
        <v>0.6952</v>
      </c>
      <c r="C255" t="str">
        <f>"0.6936"</f>
        <v>0.6936</v>
      </c>
    </row>
    <row r="256" spans="1:3" x14ac:dyDescent="0.25">
      <c r="A256" t="str">
        <f>"17/06/2010"</f>
        <v>17/06/2010</v>
      </c>
      <c r="B256" t="str">
        <f>"0.6963"</f>
        <v>0.6963</v>
      </c>
      <c r="C256" t="str">
        <f>"0.6947"</f>
        <v>0.6947</v>
      </c>
    </row>
    <row r="257" spans="1:3" x14ac:dyDescent="0.25">
      <c r="A257" t="str">
        <f>"18/06/2010"</f>
        <v>18/06/2010</v>
      </c>
      <c r="B257" t="str">
        <f>"0.7049"</f>
        <v>0.7049</v>
      </c>
      <c r="C257" t="str">
        <f>"0.7034"</f>
        <v>0.7034</v>
      </c>
    </row>
    <row r="258" spans="1:3" x14ac:dyDescent="0.25">
      <c r="A258" t="str">
        <f>"21/06/2010"</f>
        <v>21/06/2010</v>
      </c>
      <c r="B258" t="str">
        <f>"0.7104"</f>
        <v>0.7104</v>
      </c>
      <c r="C258" t="str">
        <f>"0.7089"</f>
        <v>0.7089</v>
      </c>
    </row>
    <row r="259" spans="1:3" x14ac:dyDescent="0.25">
      <c r="A259" t="str">
        <f>"22/06/2010"</f>
        <v>22/06/2010</v>
      </c>
      <c r="B259" t="str">
        <f>"0.7077"</f>
        <v>0.7077</v>
      </c>
      <c r="C259" t="str">
        <f>"0.7061"</f>
        <v>0.7061</v>
      </c>
    </row>
    <row r="260" spans="1:3" x14ac:dyDescent="0.25">
      <c r="A260" t="str">
        <f>"23/06/2010"</f>
        <v>23/06/2010</v>
      </c>
      <c r="B260" t="str">
        <f>"0.704"</f>
        <v>0.704</v>
      </c>
      <c r="C260" t="str">
        <f>"0.7025"</f>
        <v>0.7025</v>
      </c>
    </row>
    <row r="261" spans="1:3" x14ac:dyDescent="0.25">
      <c r="A261" t="str">
        <f>"24/06/2010"</f>
        <v>24/06/2010</v>
      </c>
      <c r="B261" t="str">
        <f>"0.7122"</f>
        <v>0.7122</v>
      </c>
      <c r="C261" t="str">
        <f>"0.7106"</f>
        <v>0.7106</v>
      </c>
    </row>
    <row r="262" spans="1:3" x14ac:dyDescent="0.25">
      <c r="A262" t="str">
        <f>"25/06/2010"</f>
        <v>25/06/2010</v>
      </c>
      <c r="B262" t="str">
        <f>"0.7042"</f>
        <v>0.7042</v>
      </c>
      <c r="C262" t="str">
        <f>"0.7028"</f>
        <v>0.7028</v>
      </c>
    </row>
    <row r="263" spans="1:3" x14ac:dyDescent="0.25">
      <c r="A263" t="str">
        <f>"28/06/2010"</f>
        <v>28/06/2010</v>
      </c>
      <c r="B263" t="str">
        <f>"0.7108"</f>
        <v>0.7108</v>
      </c>
      <c r="C263" t="str">
        <f>"0.7093"</f>
        <v>0.7093</v>
      </c>
    </row>
    <row r="264" spans="1:3" x14ac:dyDescent="0.25">
      <c r="A264" t="str">
        <f>"29/06/2010"</f>
        <v>29/06/2010</v>
      </c>
      <c r="B264" t="str">
        <f>"0.7037"</f>
        <v>0.7037</v>
      </c>
      <c r="C264" t="str">
        <f>"0.7021"</f>
        <v>0.7021</v>
      </c>
    </row>
    <row r="265" spans="1:3" x14ac:dyDescent="0.25">
      <c r="A265" t="str">
        <f>"30/06/2010"</f>
        <v>30/06/2010</v>
      </c>
      <c r="B265" t="str">
        <f>"0.6932"</f>
        <v>0.6932</v>
      </c>
      <c r="C265" t="str">
        <f>"0.6917"</f>
        <v>0.6917</v>
      </c>
    </row>
    <row r="266" spans="1:3" x14ac:dyDescent="0.25">
      <c r="A266" t="str">
        <f>"01/07/2010"</f>
        <v>01/07/2010</v>
      </c>
      <c r="B266" t="str">
        <f>"0.6818"</f>
        <v>0.6818</v>
      </c>
      <c r="C266" t="str">
        <f>"0.6802"</f>
        <v>0.6802</v>
      </c>
    </row>
    <row r="267" spans="1:3" x14ac:dyDescent="0.25">
      <c r="A267" t="str">
        <f>"02/07/2010"</f>
        <v>02/07/2010</v>
      </c>
      <c r="B267" t="str">
        <f>"0.694"</f>
        <v>0.694</v>
      </c>
      <c r="C267" t="str">
        <f>"0.6925"</f>
        <v>0.6925</v>
      </c>
    </row>
    <row r="268" spans="1:3" x14ac:dyDescent="0.25">
      <c r="A268" t="str">
        <f>"05/07/2010"</f>
        <v>05/07/2010</v>
      </c>
      <c r="B268" t="str">
        <f>"0.6907"</f>
        <v>0.6907</v>
      </c>
      <c r="C268" t="str">
        <f>"0.6891"</f>
        <v>0.6891</v>
      </c>
    </row>
    <row r="269" spans="1:3" x14ac:dyDescent="0.25">
      <c r="A269" t="str">
        <f>"06/07/2010"</f>
        <v>06/07/2010</v>
      </c>
      <c r="B269" t="str">
        <f>"0.6864"</f>
        <v>0.6864</v>
      </c>
      <c r="C269" t="str">
        <f>"0.6849"</f>
        <v>0.6849</v>
      </c>
    </row>
    <row r="270" spans="1:3" x14ac:dyDescent="0.25">
      <c r="A270" t="str">
        <f>"07/07/2010"</f>
        <v>07/07/2010</v>
      </c>
      <c r="B270" t="str">
        <f>"0.6911"</f>
        <v>0.6911</v>
      </c>
      <c r="C270" t="str">
        <f>"0.6895"</f>
        <v>0.6895</v>
      </c>
    </row>
    <row r="271" spans="1:3" x14ac:dyDescent="0.25">
      <c r="A271" t="str">
        <f>"08/07/2010"</f>
        <v>08/07/2010</v>
      </c>
      <c r="B271" t="str">
        <f>"0.7053"</f>
        <v>0.7053</v>
      </c>
      <c r="C271" t="str">
        <f>"0.7037"</f>
        <v>0.7037</v>
      </c>
    </row>
    <row r="272" spans="1:3" x14ac:dyDescent="0.25">
      <c r="A272" t="str">
        <f>"09/07/2010"</f>
        <v>09/07/2010</v>
      </c>
      <c r="B272" t="str">
        <f>"0.7109"</f>
        <v>0.7109</v>
      </c>
      <c r="C272" t="str">
        <f>"0.7093"</f>
        <v>0.7093</v>
      </c>
    </row>
    <row r="273" spans="1:3" x14ac:dyDescent="0.25">
      <c r="A273" t="str">
        <f>"12/07/2010"</f>
        <v>12/07/2010</v>
      </c>
      <c r="B273" t="str">
        <f>"0.7085"</f>
        <v>0.7085</v>
      </c>
      <c r="C273" t="str">
        <f>"0.7067"</f>
        <v>0.7067</v>
      </c>
    </row>
    <row r="274" spans="1:3" x14ac:dyDescent="0.25">
      <c r="A274" t="str">
        <f>"13/07/2010"</f>
        <v>13/07/2010</v>
      </c>
      <c r="B274" t="str">
        <f>"0.7112"</f>
        <v>0.7112</v>
      </c>
      <c r="C274" t="str">
        <f>"0.7094"</f>
        <v>0.7094</v>
      </c>
    </row>
    <row r="275" spans="1:3" x14ac:dyDescent="0.25">
      <c r="A275" t="str">
        <f>"14/07/2010"</f>
        <v>14/07/2010</v>
      </c>
      <c r="B275" t="str">
        <f>"0.717"</f>
        <v>0.717</v>
      </c>
      <c r="C275" t="str">
        <f>"0.7153"</f>
        <v>0.7153</v>
      </c>
    </row>
    <row r="276" spans="1:3" x14ac:dyDescent="0.25">
      <c r="A276" t="str">
        <f>"15/07/2010"</f>
        <v>15/07/2010</v>
      </c>
      <c r="B276" t="str">
        <f>"0.7215"</f>
        <v>0.7215</v>
      </c>
      <c r="C276" t="str">
        <f>"0.7198"</f>
        <v>0.7198</v>
      </c>
    </row>
    <row r="277" spans="1:3" x14ac:dyDescent="0.25">
      <c r="A277" t="str">
        <f>"16/07/2010"</f>
        <v>16/07/2010</v>
      </c>
      <c r="B277" t="str">
        <f>"0.7215"</f>
        <v>0.7215</v>
      </c>
      <c r="C277" t="str">
        <f>"0.7198"</f>
        <v>0.7198</v>
      </c>
    </row>
    <row r="278" spans="1:3" x14ac:dyDescent="0.25">
      <c r="A278" t="str">
        <f>"19/07/2010"</f>
        <v>19/07/2010</v>
      </c>
      <c r="B278" t="str">
        <f>"0.7062"</f>
        <v>0.7062</v>
      </c>
      <c r="C278" t="str">
        <f>"0.7044"</f>
        <v>0.7044</v>
      </c>
    </row>
    <row r="279" spans="1:3" x14ac:dyDescent="0.25">
      <c r="A279" t="str">
        <f>"20/07/2010"</f>
        <v>20/07/2010</v>
      </c>
      <c r="B279" t="str">
        <f>"0.7123"</f>
        <v>0.7123</v>
      </c>
      <c r="C279" t="str">
        <f>"0.7105"</f>
        <v>0.7105</v>
      </c>
    </row>
    <row r="280" spans="1:3" x14ac:dyDescent="0.25">
      <c r="A280" t="str">
        <f>"21/07/2010"</f>
        <v>21/07/2010</v>
      </c>
      <c r="B280" t="str">
        <f>"0.7158"</f>
        <v>0.7158</v>
      </c>
      <c r="C280" t="str">
        <f>"0.714"</f>
        <v>0.714</v>
      </c>
    </row>
    <row r="281" spans="1:3" x14ac:dyDescent="0.25">
      <c r="A281" t="str">
        <f>"22/07/2010"</f>
        <v>22/07/2010</v>
      </c>
      <c r="B281" t="str">
        <f>"0.7112"</f>
        <v>0.7112</v>
      </c>
      <c r="C281" t="str">
        <f>"0.7095"</f>
        <v>0.7095</v>
      </c>
    </row>
    <row r="282" spans="1:3" x14ac:dyDescent="0.25">
      <c r="A282" t="str">
        <f>"23/07/2010"</f>
        <v>23/07/2010</v>
      </c>
      <c r="B282" t="str">
        <f>"0.7245"</f>
        <v>0.7245</v>
      </c>
      <c r="C282" t="str">
        <f>"0.7228"</f>
        <v>0.7228</v>
      </c>
    </row>
    <row r="283" spans="1:3" x14ac:dyDescent="0.25">
      <c r="A283" t="str">
        <f>"26/07/2010"</f>
        <v>26/07/2010</v>
      </c>
      <c r="B283" t="str">
        <f>"0.7275"</f>
        <v>0.7275</v>
      </c>
      <c r="C283" t="str">
        <f>"0.7255"</f>
        <v>0.7255</v>
      </c>
    </row>
    <row r="284" spans="1:3" x14ac:dyDescent="0.25">
      <c r="A284" t="str">
        <f>"27/07/2010"</f>
        <v>27/07/2010</v>
      </c>
      <c r="B284" t="str">
        <f>"0.7335"</f>
        <v>0.7335</v>
      </c>
      <c r="C284" t="str">
        <f>"0.7315"</f>
        <v>0.7315</v>
      </c>
    </row>
    <row r="285" spans="1:3" x14ac:dyDescent="0.25">
      <c r="A285" t="str">
        <f>"28/07/2010"</f>
        <v>28/07/2010</v>
      </c>
      <c r="B285" t="str">
        <f>"0.7291"</f>
        <v>0.7291</v>
      </c>
      <c r="C285" t="str">
        <f>"0.7273"</f>
        <v>0.7273</v>
      </c>
    </row>
    <row r="286" spans="1:3" x14ac:dyDescent="0.25">
      <c r="A286" t="str">
        <f>"29/07/2010"</f>
        <v>29/07/2010</v>
      </c>
      <c r="B286" t="str">
        <f>"0.7238"</f>
        <v>0.7238</v>
      </c>
      <c r="C286" t="str">
        <f>"0.7218"</f>
        <v>0.7218</v>
      </c>
    </row>
    <row r="287" spans="1:3" x14ac:dyDescent="0.25">
      <c r="A287" t="str">
        <f>"30/07/2010"</f>
        <v>30/07/2010</v>
      </c>
      <c r="B287" t="str">
        <f>"0.7216"</f>
        <v>0.7216</v>
      </c>
      <c r="C287" t="str">
        <f>"0.7199"</f>
        <v>0.7199</v>
      </c>
    </row>
    <row r="288" spans="1:3" x14ac:dyDescent="0.25">
      <c r="A288" t="str">
        <f>"02/08/2010"</f>
        <v>02/08/2010</v>
      </c>
      <c r="B288" t="str">
        <f>"0.7281"</f>
        <v>0.7281</v>
      </c>
      <c r="C288" t="str">
        <f>"0.7261"</f>
        <v>0.7261</v>
      </c>
    </row>
    <row r="289" spans="1:3" x14ac:dyDescent="0.25">
      <c r="A289" t="str">
        <f>"03/08/2010"</f>
        <v>03/08/2010</v>
      </c>
      <c r="B289" t="str">
        <f>"0.7323"</f>
        <v>0.7323</v>
      </c>
      <c r="C289" t="str">
        <f>"0.7304"</f>
        <v>0.7304</v>
      </c>
    </row>
    <row r="290" spans="1:3" x14ac:dyDescent="0.25">
      <c r="A290" t="str">
        <f>"04/08/2010"</f>
        <v>04/08/2010</v>
      </c>
      <c r="B290" t="str">
        <f>"0.7341"</f>
        <v>0.7341</v>
      </c>
      <c r="C290" t="str">
        <f>"0.7321"</f>
        <v>0.7321</v>
      </c>
    </row>
    <row r="291" spans="1:3" x14ac:dyDescent="0.25">
      <c r="A291" t="str">
        <f>"05/08/2010"</f>
        <v>05/08/2010</v>
      </c>
      <c r="B291" t="str">
        <f>"0.7293"</f>
        <v>0.7293</v>
      </c>
      <c r="C291" t="str">
        <f>"0.7273"</f>
        <v>0.7273</v>
      </c>
    </row>
    <row r="292" spans="1:3" x14ac:dyDescent="0.25">
      <c r="A292" t="str">
        <f>"06/08/2010"</f>
        <v>06/08/2010</v>
      </c>
      <c r="B292" t="str">
        <f>"0.7281"</f>
        <v>0.7281</v>
      </c>
      <c r="C292" t="str">
        <f>"0.7262"</f>
        <v>0.7262</v>
      </c>
    </row>
    <row r="293" spans="1:3" x14ac:dyDescent="0.25">
      <c r="A293" t="str">
        <f>"09/08/2010"</f>
        <v>09/08/2010</v>
      </c>
      <c r="B293" t="str">
        <f>"0.7318"</f>
        <v>0.7318</v>
      </c>
      <c r="C293" t="str">
        <f>"0.7297"</f>
        <v>0.7297</v>
      </c>
    </row>
    <row r="294" spans="1:3" x14ac:dyDescent="0.25">
      <c r="A294" t="str">
        <f>"10/08/2010"</f>
        <v>10/08/2010</v>
      </c>
      <c r="B294" t="str">
        <f>"0.724"</f>
        <v>0.724</v>
      </c>
      <c r="C294" t="str">
        <f>"0.722"</f>
        <v>0.722</v>
      </c>
    </row>
    <row r="295" spans="1:3" x14ac:dyDescent="0.25">
      <c r="A295" t="str">
        <f>"11/08/2010"</f>
        <v>11/08/2010</v>
      </c>
      <c r="B295" t="str">
        <f>"0.7194"</f>
        <v>0.7194</v>
      </c>
      <c r="C295" t="str">
        <f>"0.7174"</f>
        <v>0.7174</v>
      </c>
    </row>
    <row r="296" spans="1:3" x14ac:dyDescent="0.25">
      <c r="A296" t="str">
        <f>"12/08/2010"</f>
        <v>12/08/2010</v>
      </c>
      <c r="B296" t="str">
        <f>"0.7132"</f>
        <v>0.7132</v>
      </c>
      <c r="C296" t="str">
        <f>"0.7114"</f>
        <v>0.7114</v>
      </c>
    </row>
    <row r="297" spans="1:3" x14ac:dyDescent="0.25">
      <c r="A297" t="str">
        <f>"13/08/2010"</f>
        <v>13/08/2010</v>
      </c>
      <c r="B297" t="str">
        <f>"0.7144"</f>
        <v>0.7144</v>
      </c>
      <c r="C297" t="str">
        <f>"0.7125"</f>
        <v>0.7125</v>
      </c>
    </row>
    <row r="298" spans="1:3" x14ac:dyDescent="0.25">
      <c r="A298" t="str">
        <f>"16/08/2010"</f>
        <v>16/08/2010</v>
      </c>
      <c r="B298" t="str">
        <f>"0.704"</f>
        <v>0.704</v>
      </c>
      <c r="C298" t="str">
        <f>"0.702"</f>
        <v>0.702</v>
      </c>
    </row>
    <row r="299" spans="1:3" x14ac:dyDescent="0.25">
      <c r="A299" t="str">
        <f>"17/08/2010"</f>
        <v>17/08/2010</v>
      </c>
      <c r="B299" t="str">
        <f>"0.7079"</f>
        <v>0.7079</v>
      </c>
      <c r="C299" t="str">
        <f>"0.7059"</f>
        <v>0.7059</v>
      </c>
    </row>
    <row r="300" spans="1:3" x14ac:dyDescent="0.25">
      <c r="A300" t="str">
        <f>"18/08/2010"</f>
        <v>18/08/2010</v>
      </c>
      <c r="B300" t="str">
        <f>"0.7109"</f>
        <v>0.7109</v>
      </c>
      <c r="C300" t="str">
        <f>"0.7091"</f>
        <v>0.7091</v>
      </c>
    </row>
    <row r="301" spans="1:3" x14ac:dyDescent="0.25">
      <c r="A301" t="str">
        <f>"20/08/2010"</f>
        <v>20/08/2010</v>
      </c>
      <c r="B301" t="str">
        <f>"0.7044"</f>
        <v>0.7044</v>
      </c>
      <c r="C301" t="str">
        <f>"0.7026"</f>
        <v>0.7026</v>
      </c>
    </row>
    <row r="302" spans="1:3" x14ac:dyDescent="0.25">
      <c r="A302" t="str">
        <f>"23/08/2010"</f>
        <v>23/08/2010</v>
      </c>
      <c r="B302" t="str">
        <f>"0.7062"</f>
        <v>0.7062</v>
      </c>
      <c r="C302" t="str">
        <f>"0.7041"</f>
        <v>0.7041</v>
      </c>
    </row>
    <row r="303" spans="1:3" x14ac:dyDescent="0.25">
      <c r="A303" t="str">
        <f>"24/08/2010"</f>
        <v>24/08/2010</v>
      </c>
      <c r="B303" t="str">
        <f>"0.7032"</f>
        <v>0.7032</v>
      </c>
      <c r="C303" t="str">
        <f>"0.7013"</f>
        <v>0.7013</v>
      </c>
    </row>
    <row r="304" spans="1:3" x14ac:dyDescent="0.25">
      <c r="A304" t="str">
        <f>"25/08/2010"</f>
        <v>25/08/2010</v>
      </c>
      <c r="B304" t="str">
        <f>"0.7021"</f>
        <v>0.7021</v>
      </c>
      <c r="C304" t="str">
        <f>"0.7003"</f>
        <v>0.7003</v>
      </c>
    </row>
    <row r="305" spans="1:3" x14ac:dyDescent="0.25">
      <c r="A305" t="str">
        <f>"26/08/2010"</f>
        <v>26/08/2010</v>
      </c>
      <c r="B305" t="str">
        <f>"0.7033"</f>
        <v>0.7033</v>
      </c>
      <c r="C305" t="str">
        <f>"0.7015"</f>
        <v>0.7015</v>
      </c>
    </row>
    <row r="306" spans="1:3" x14ac:dyDescent="0.25">
      <c r="A306" t="str">
        <f>"27/08/2010"</f>
        <v>27/08/2010</v>
      </c>
      <c r="B306" t="str">
        <f>"0.7056"</f>
        <v>0.7056</v>
      </c>
      <c r="C306" t="str">
        <f>"0.7039"</f>
        <v>0.7039</v>
      </c>
    </row>
    <row r="307" spans="1:3" x14ac:dyDescent="0.25">
      <c r="A307" t="str">
        <f>"30/08/2010"</f>
        <v>30/08/2010</v>
      </c>
      <c r="B307" t="str">
        <f>"0.71"</f>
        <v>0.71</v>
      </c>
      <c r="C307" t="str">
        <f>"0.7083"</f>
        <v>0.7083</v>
      </c>
    </row>
    <row r="308" spans="1:3" x14ac:dyDescent="0.25">
      <c r="A308" t="str">
        <f>"31/08/2010"</f>
        <v>31/08/2010</v>
      </c>
      <c r="B308" t="str">
        <f>"0.7018"</f>
        <v>0.7018</v>
      </c>
      <c r="C308" t="str">
        <f>"0.7001"</f>
        <v>0.7001</v>
      </c>
    </row>
    <row r="309" spans="1:3" x14ac:dyDescent="0.25">
      <c r="A309" t="str">
        <f>"01/09/2010"</f>
        <v>01/09/2010</v>
      </c>
      <c r="B309" t="str">
        <f>"0.7026"</f>
        <v>0.7026</v>
      </c>
      <c r="C309" t="str">
        <f>"0.7009"</f>
        <v>0.7009</v>
      </c>
    </row>
    <row r="310" spans="1:3" x14ac:dyDescent="0.25">
      <c r="A310" t="str">
        <f>"02/09/2010"</f>
        <v>02/09/2010</v>
      </c>
      <c r="B310" t="str">
        <f>"0.7124"</f>
        <v>0.7124</v>
      </c>
      <c r="C310" t="str">
        <f>"0.7107"</f>
        <v>0.7107</v>
      </c>
    </row>
    <row r="311" spans="1:3" x14ac:dyDescent="0.25">
      <c r="A311" t="str">
        <f>"03/09/2010"</f>
        <v>03/09/2010</v>
      </c>
      <c r="B311" t="str">
        <f>"0.7141"</f>
        <v>0.7141</v>
      </c>
      <c r="C311" t="str">
        <f>"0.7124"</f>
        <v>0.7124</v>
      </c>
    </row>
    <row r="312" spans="1:3" x14ac:dyDescent="0.25">
      <c r="A312" t="str">
        <f>"06/09/2010"</f>
        <v>06/09/2010</v>
      </c>
      <c r="B312" t="str">
        <f>"0.7228"</f>
        <v>0.7228</v>
      </c>
      <c r="C312" t="str">
        <f>"0.7211"</f>
        <v>0.7211</v>
      </c>
    </row>
    <row r="313" spans="1:3" x14ac:dyDescent="0.25">
      <c r="A313" t="str">
        <f>"07/09/2010"</f>
        <v>07/09/2010</v>
      </c>
      <c r="B313" t="str">
        <f>"0.7233"</f>
        <v>0.7233</v>
      </c>
      <c r="C313" t="str">
        <f>"0.7215"</f>
        <v>0.7215</v>
      </c>
    </row>
    <row r="314" spans="1:3" x14ac:dyDescent="0.25">
      <c r="A314" t="str">
        <f>"08/09/2010"</f>
        <v>08/09/2010</v>
      </c>
      <c r="B314" t="str">
        <f>"0.7173"</f>
        <v>0.7173</v>
      </c>
      <c r="C314" t="str">
        <f>"0.7155"</f>
        <v>0.7155</v>
      </c>
    </row>
    <row r="315" spans="1:3" x14ac:dyDescent="0.25">
      <c r="A315" t="str">
        <f>"09/09/2010"</f>
        <v>09/09/2010</v>
      </c>
      <c r="B315" t="str">
        <f>"0.7218"</f>
        <v>0.7218</v>
      </c>
      <c r="C315" t="str">
        <f>"0.72"</f>
        <v>0.72</v>
      </c>
    </row>
    <row r="316" spans="1:3" x14ac:dyDescent="0.25">
      <c r="A316" t="str">
        <f>"13/09/2010"</f>
        <v>13/09/2010</v>
      </c>
      <c r="B316" t="str">
        <f>"0.73"</f>
        <v>0.73</v>
      </c>
      <c r="C316" t="str">
        <f>"0.7282"</f>
        <v>0.7282</v>
      </c>
    </row>
    <row r="317" spans="1:3" x14ac:dyDescent="0.25">
      <c r="A317" t="str">
        <f>"14/09/2010"</f>
        <v>14/09/2010</v>
      </c>
      <c r="B317" t="str">
        <f>"0.7284"</f>
        <v>0.7284</v>
      </c>
      <c r="C317" t="str">
        <f>"0.7266"</f>
        <v>0.7266</v>
      </c>
    </row>
    <row r="318" spans="1:3" x14ac:dyDescent="0.25">
      <c r="A318" t="str">
        <f>"15/09/2010"</f>
        <v>15/09/2010</v>
      </c>
      <c r="B318" t="str">
        <f>"0.731"</f>
        <v>0.731</v>
      </c>
      <c r="C318" t="str">
        <f>"0.7291"</f>
        <v>0.7291</v>
      </c>
    </row>
    <row r="319" spans="1:3" x14ac:dyDescent="0.25">
      <c r="A319" t="str">
        <f>"16/09/2010"</f>
        <v>16/09/2010</v>
      </c>
      <c r="B319" t="str">
        <f>"0.7251"</f>
        <v>0.7251</v>
      </c>
      <c r="C319" t="str">
        <f>"0.7233"</f>
        <v>0.7233</v>
      </c>
    </row>
    <row r="320" spans="1:3" x14ac:dyDescent="0.25">
      <c r="A320" t="str">
        <f>"17/09/2010"</f>
        <v>17/09/2010</v>
      </c>
      <c r="B320" t="str">
        <f>"0.7296"</f>
        <v>0.7296</v>
      </c>
      <c r="C320" t="str">
        <f>"0.7279"</f>
        <v>0.7279</v>
      </c>
    </row>
    <row r="321" spans="1:3" x14ac:dyDescent="0.25">
      <c r="A321" t="str">
        <f>"20/09/2010"</f>
        <v>20/09/2010</v>
      </c>
      <c r="B321" t="str">
        <f>"0.7274"</f>
        <v>0.7274</v>
      </c>
      <c r="C321" t="str">
        <f>"0.7257"</f>
        <v>0.7257</v>
      </c>
    </row>
    <row r="322" spans="1:3" x14ac:dyDescent="0.25">
      <c r="A322" t="str">
        <f>"21/09/2010"</f>
        <v>21/09/2010</v>
      </c>
      <c r="B322" t="str">
        <f>"0.7285"</f>
        <v>0.7285</v>
      </c>
      <c r="C322" t="str">
        <f>"0.7267"</f>
        <v>0.7267</v>
      </c>
    </row>
    <row r="323" spans="1:3" x14ac:dyDescent="0.25">
      <c r="A323" t="str">
        <f>"22/09/2010"</f>
        <v>22/09/2010</v>
      </c>
      <c r="B323" t="str">
        <f>"0.7363"</f>
        <v>0.7363</v>
      </c>
      <c r="C323" t="str">
        <f>"0.7344"</f>
        <v>0.7344</v>
      </c>
    </row>
    <row r="324" spans="1:3" x14ac:dyDescent="0.25">
      <c r="A324" t="str">
        <f>"23/09/2010"</f>
        <v>23/09/2010</v>
      </c>
      <c r="B324" t="str">
        <f>"0.7324"</f>
        <v>0.7324</v>
      </c>
      <c r="C324" t="str">
        <f>"0.7306"</f>
        <v>0.7306</v>
      </c>
    </row>
    <row r="325" spans="1:3" x14ac:dyDescent="0.25">
      <c r="A325" t="str">
        <f>"24/09/2010"</f>
        <v>24/09/2010</v>
      </c>
      <c r="B325" t="str">
        <f>"0.7277"</f>
        <v>0.7277</v>
      </c>
      <c r="C325" t="str">
        <f>"0.7259"</f>
        <v>0.7259</v>
      </c>
    </row>
    <row r="326" spans="1:3" x14ac:dyDescent="0.25">
      <c r="A326" t="str">
        <f>"27/09/2010"</f>
        <v>27/09/2010</v>
      </c>
      <c r="B326" t="str">
        <f>"0.7341"</f>
        <v>0.7341</v>
      </c>
      <c r="C326" t="str">
        <f>"0.7323"</f>
        <v>0.7323</v>
      </c>
    </row>
    <row r="327" spans="1:3" x14ac:dyDescent="0.25">
      <c r="A327" t="str">
        <f>"28/09/2010"</f>
        <v>28/09/2010</v>
      </c>
      <c r="B327" t="str">
        <f>"0.7339"</f>
        <v>0.7339</v>
      </c>
      <c r="C327" t="str">
        <f>"0.7322"</f>
        <v>0.7322</v>
      </c>
    </row>
    <row r="328" spans="1:3" x14ac:dyDescent="0.25">
      <c r="A328" t="str">
        <f>"29/09/2010"</f>
        <v>29/09/2010</v>
      </c>
      <c r="B328" t="str">
        <f>"0.7394"</f>
        <v>0.7394</v>
      </c>
      <c r="C328" t="str">
        <f>"0.7375"</f>
        <v>0.7375</v>
      </c>
    </row>
    <row r="329" spans="1:3" x14ac:dyDescent="0.25">
      <c r="A329" t="str">
        <f>"01/10/2010"</f>
        <v>01/10/2010</v>
      </c>
      <c r="B329" t="str">
        <f>"0.7364"</f>
        <v>0.7364</v>
      </c>
      <c r="C329" t="str">
        <f>"0.7346"</f>
        <v>0.7346</v>
      </c>
    </row>
    <row r="330" spans="1:3" x14ac:dyDescent="0.25">
      <c r="A330" t="str">
        <f>"04/10/2010"</f>
        <v>04/10/2010</v>
      </c>
      <c r="B330" t="str">
        <f>"0.7426"</f>
        <v>0.7426</v>
      </c>
      <c r="C330" t="str">
        <f>"0.7407"</f>
        <v>0.7407</v>
      </c>
    </row>
    <row r="331" spans="1:3" x14ac:dyDescent="0.25">
      <c r="A331" t="str">
        <f>"05/10/2010"</f>
        <v>05/10/2010</v>
      </c>
      <c r="B331" t="str">
        <f>"0.7386"</f>
        <v>0.7386</v>
      </c>
      <c r="C331" t="str">
        <f>"0.7366"</f>
        <v>0.7366</v>
      </c>
    </row>
    <row r="332" spans="1:3" x14ac:dyDescent="0.25">
      <c r="A332" t="str">
        <f>"06/10/2010"</f>
        <v>06/10/2010</v>
      </c>
      <c r="B332" t="str">
        <f>"0.7481"</f>
        <v>0.7481</v>
      </c>
      <c r="C332" t="str">
        <f>"0.7461"</f>
        <v>0.7461</v>
      </c>
    </row>
    <row r="333" spans="1:3" x14ac:dyDescent="0.25">
      <c r="A333" t="str">
        <f>"07/10/2010"</f>
        <v>07/10/2010</v>
      </c>
      <c r="B333" t="str">
        <f>"0.7537"</f>
        <v>0.7537</v>
      </c>
      <c r="C333" t="str">
        <f>"0.7518"</f>
        <v>0.7518</v>
      </c>
    </row>
    <row r="334" spans="1:3" x14ac:dyDescent="0.25">
      <c r="A334" t="str">
        <f>"08/10/2010"</f>
        <v>08/10/2010</v>
      </c>
      <c r="B334" t="str">
        <f>"0.7523"</f>
        <v>0.7523</v>
      </c>
      <c r="C334" t="str">
        <f>"0.7504"</f>
        <v>0.7504</v>
      </c>
    </row>
    <row r="335" spans="1:3" x14ac:dyDescent="0.25">
      <c r="A335" t="str">
        <f>"11/10/2010"</f>
        <v>11/10/2010</v>
      </c>
      <c r="B335" t="str">
        <f>"0.754"</f>
        <v>0.754</v>
      </c>
      <c r="C335" t="str">
        <f>"0.7521"</f>
        <v>0.7521</v>
      </c>
    </row>
    <row r="336" spans="1:3" x14ac:dyDescent="0.25">
      <c r="A336" t="str">
        <f>"12/10/2010"</f>
        <v>12/10/2010</v>
      </c>
      <c r="B336" t="str">
        <f>"0.7492"</f>
        <v>0.7492</v>
      </c>
      <c r="C336" t="str">
        <f>"0.7472"</f>
        <v>0.7472</v>
      </c>
    </row>
    <row r="337" spans="1:3" x14ac:dyDescent="0.25">
      <c r="A337" t="str">
        <f>"13/10/2010"</f>
        <v>13/10/2010</v>
      </c>
      <c r="B337" t="str">
        <f>"0.7572"</f>
        <v>0.7572</v>
      </c>
      <c r="C337" t="str">
        <f>"0.7553"</f>
        <v>0.7553</v>
      </c>
    </row>
    <row r="338" spans="1:3" x14ac:dyDescent="0.25">
      <c r="A338" t="str">
        <f>"14/10/2010"</f>
        <v>14/10/2010</v>
      </c>
      <c r="B338" t="str">
        <f>"0.7608"</f>
        <v>0.7608</v>
      </c>
      <c r="C338" t="str">
        <f>"0.7589"</f>
        <v>0.7589</v>
      </c>
    </row>
    <row r="339" spans="1:3" x14ac:dyDescent="0.25">
      <c r="A339" t="str">
        <f>"15/10/2010"</f>
        <v>15/10/2010</v>
      </c>
      <c r="B339" t="str">
        <f>"0.7576"</f>
        <v>0.7576</v>
      </c>
      <c r="C339" t="str">
        <f>"0.7557"</f>
        <v>0.7557</v>
      </c>
    </row>
    <row r="340" spans="1:3" x14ac:dyDescent="0.25">
      <c r="A340" t="str">
        <f>"18/10/2010"</f>
        <v>18/10/2010</v>
      </c>
      <c r="B340" t="str">
        <f>"0.7525"</f>
        <v>0.7525</v>
      </c>
      <c r="C340" t="str">
        <f>"0.7505"</f>
        <v>0.7505</v>
      </c>
    </row>
    <row r="341" spans="1:3" x14ac:dyDescent="0.25">
      <c r="A341" t="str">
        <f>"19/10/2010"</f>
        <v>19/10/2010</v>
      </c>
      <c r="B341" t="str">
        <f>"0.7545"</f>
        <v>0.7545</v>
      </c>
      <c r="C341" t="str">
        <f>"0.7525"</f>
        <v>0.7525</v>
      </c>
    </row>
    <row r="342" spans="1:3" x14ac:dyDescent="0.25">
      <c r="A342" t="str">
        <f>"20/10/2010"</f>
        <v>20/10/2010</v>
      </c>
      <c r="B342" t="str">
        <f>"0.7461"</f>
        <v>0.7461</v>
      </c>
      <c r="C342" t="str">
        <f>"0.7442"</f>
        <v>0.7442</v>
      </c>
    </row>
    <row r="343" spans="1:3" x14ac:dyDescent="0.25">
      <c r="A343" t="str">
        <f>"21/10/2010"</f>
        <v>21/10/2010</v>
      </c>
      <c r="B343" t="str">
        <f>"0.7498"</f>
        <v>0.7498</v>
      </c>
      <c r="C343" t="str">
        <f>"0.748"</f>
        <v>0.748</v>
      </c>
    </row>
    <row r="344" spans="1:3" x14ac:dyDescent="0.25">
      <c r="A344" t="str">
        <f>"22/10/2010"</f>
        <v>22/10/2010</v>
      </c>
      <c r="B344" t="str">
        <f>"0.7485"</f>
        <v>0.7485</v>
      </c>
      <c r="C344" t="str">
        <f>"0.7465"</f>
        <v>0.7465</v>
      </c>
    </row>
    <row r="345" spans="1:3" x14ac:dyDescent="0.25">
      <c r="A345" t="str">
        <f>"25/10/2010"</f>
        <v>25/10/2010</v>
      </c>
      <c r="B345" t="str">
        <f>"0.753"</f>
        <v>0.753</v>
      </c>
      <c r="C345" t="str">
        <f>"0.751"</f>
        <v>0.751</v>
      </c>
    </row>
    <row r="346" spans="1:3" x14ac:dyDescent="0.25">
      <c r="A346" t="str">
        <f>"26/10/2010"</f>
        <v>26/10/2010</v>
      </c>
      <c r="B346" t="str">
        <f>"0.7528"</f>
        <v>0.7528</v>
      </c>
      <c r="C346" t="str">
        <f>"0.7508"</f>
        <v>0.7508</v>
      </c>
    </row>
    <row r="347" spans="1:3" x14ac:dyDescent="0.25">
      <c r="A347" t="str">
        <f>"27/10/2010"</f>
        <v>27/10/2010</v>
      </c>
      <c r="B347" t="str">
        <f>"0.7475"</f>
        <v>0.7475</v>
      </c>
      <c r="C347" t="str">
        <f>"0.7456"</f>
        <v>0.7456</v>
      </c>
    </row>
    <row r="348" spans="1:3" x14ac:dyDescent="0.25">
      <c r="A348" t="str">
        <f>"28/10/2010"</f>
        <v>28/10/2010</v>
      </c>
      <c r="B348" t="str">
        <f>"0.7483"</f>
        <v>0.7483</v>
      </c>
      <c r="C348" t="str">
        <f>"0.7465"</f>
        <v>0.7465</v>
      </c>
    </row>
    <row r="349" spans="1:3" x14ac:dyDescent="0.25">
      <c r="A349" t="str">
        <f>"29/10/2010"</f>
        <v>29/10/2010</v>
      </c>
      <c r="B349" t="str">
        <f>"0.7539"</f>
        <v>0.7539</v>
      </c>
      <c r="C349" t="str">
        <f>"0.752"</f>
        <v>0.752</v>
      </c>
    </row>
    <row r="350" spans="1:3" x14ac:dyDescent="0.25">
      <c r="A350" t="str">
        <f>"01/11/2010"</f>
        <v>01/11/2010</v>
      </c>
      <c r="B350" t="str">
        <f>"0.7659"</f>
        <v>0.7659</v>
      </c>
      <c r="C350" t="str">
        <f>"0.764"</f>
        <v>0.764</v>
      </c>
    </row>
    <row r="351" spans="1:3" x14ac:dyDescent="0.25">
      <c r="A351" t="str">
        <f>"02/11/2010"</f>
        <v>02/11/2010</v>
      </c>
      <c r="B351" t="str">
        <f>"0.7649"</f>
        <v>0.7649</v>
      </c>
      <c r="C351" t="str">
        <f>"0.763"</f>
        <v>0.763</v>
      </c>
    </row>
    <row r="352" spans="1:3" x14ac:dyDescent="0.25">
      <c r="A352" t="str">
        <f>"03/11/2010"</f>
        <v>03/11/2010</v>
      </c>
      <c r="B352" t="str">
        <f>"0.7713"</f>
        <v>0.7713</v>
      </c>
      <c r="C352" t="str">
        <f>"0.7693"</f>
        <v>0.7693</v>
      </c>
    </row>
    <row r="353" spans="1:3" x14ac:dyDescent="0.25">
      <c r="A353" t="str">
        <f>"04/11/2010"</f>
        <v>04/11/2010</v>
      </c>
      <c r="B353" t="str">
        <f>"0.7851"</f>
        <v>0.7851</v>
      </c>
      <c r="C353" t="str">
        <f>"0.7832"</f>
        <v>0.7832</v>
      </c>
    </row>
    <row r="354" spans="1:3" x14ac:dyDescent="0.25">
      <c r="A354" t="str">
        <f>"08/11/2010"</f>
        <v>08/11/2010</v>
      </c>
      <c r="B354" t="str">
        <f>"0.7895"</f>
        <v>0.7895</v>
      </c>
      <c r="C354" t="str">
        <f>"0.7876"</f>
        <v>0.7876</v>
      </c>
    </row>
    <row r="355" spans="1:3" x14ac:dyDescent="0.25">
      <c r="A355" t="str">
        <f>"09/11/2010"</f>
        <v>09/11/2010</v>
      </c>
      <c r="B355" t="str">
        <f>"0.7851"</f>
        <v>0.7851</v>
      </c>
      <c r="C355" t="str">
        <f>"0.7832"</f>
        <v>0.7832</v>
      </c>
    </row>
    <row r="356" spans="1:3" x14ac:dyDescent="0.25">
      <c r="A356" t="str">
        <f>"10/11/2010"</f>
        <v>10/11/2010</v>
      </c>
      <c r="B356" t="str">
        <f>"0.7781"</f>
        <v>0.7781</v>
      </c>
      <c r="C356" t="str">
        <f>"0.7761"</f>
        <v>0.7761</v>
      </c>
    </row>
    <row r="357" spans="1:3" x14ac:dyDescent="0.25">
      <c r="A357" t="str">
        <f>"11/11/2010"</f>
        <v>11/11/2010</v>
      </c>
      <c r="B357" t="str">
        <f>"0.7859"</f>
        <v>0.7859</v>
      </c>
      <c r="C357" t="str">
        <f>"0.7839"</f>
        <v>0.7839</v>
      </c>
    </row>
    <row r="358" spans="1:3" x14ac:dyDescent="0.25">
      <c r="A358" t="str">
        <f>"12/11/2010"</f>
        <v>12/11/2010</v>
      </c>
      <c r="B358" t="str">
        <f>"0.7757"</f>
        <v>0.7757</v>
      </c>
      <c r="C358" t="str">
        <f>"0.7738"</f>
        <v>0.7738</v>
      </c>
    </row>
    <row r="359" spans="1:3" x14ac:dyDescent="0.25">
      <c r="A359" t="str">
        <f>"15/11/2010"</f>
        <v>15/11/2010</v>
      </c>
      <c r="B359" t="str">
        <f>"0.7695"</f>
        <v>0.7695</v>
      </c>
      <c r="C359" t="str">
        <f>"0.7676"</f>
        <v>0.7676</v>
      </c>
    </row>
    <row r="360" spans="1:3" x14ac:dyDescent="0.25">
      <c r="A360" t="str">
        <f>"16/11/2010"</f>
        <v>16/11/2010</v>
      </c>
      <c r="B360" t="str">
        <f>"0.7733"</f>
        <v>0.7733</v>
      </c>
      <c r="C360" t="str">
        <f>"0.7713"</f>
        <v>0.7713</v>
      </c>
    </row>
    <row r="361" spans="1:3" x14ac:dyDescent="0.25">
      <c r="A361" t="str">
        <f>"18/11/2010"</f>
        <v>18/11/2010</v>
      </c>
      <c r="B361" t="str">
        <f>"0.774"</f>
        <v>0.774</v>
      </c>
      <c r="C361" t="str">
        <f>"0.7721"</f>
        <v>0.7721</v>
      </c>
    </row>
    <row r="362" spans="1:3" x14ac:dyDescent="0.25">
      <c r="A362" t="str">
        <f>"22/11/2010"</f>
        <v>22/11/2010</v>
      </c>
      <c r="B362" t="str">
        <f>"0.7752"</f>
        <v>0.7752</v>
      </c>
      <c r="C362" t="str">
        <f>"0.7733"</f>
        <v>0.7733</v>
      </c>
    </row>
    <row r="363" spans="1:3" x14ac:dyDescent="0.25">
      <c r="A363" t="str">
        <f>"23/11/2010"</f>
        <v>23/11/2010</v>
      </c>
      <c r="B363" t="str">
        <f>"0.7702"</f>
        <v>0.7702</v>
      </c>
      <c r="C363" t="str">
        <f>"0.7682"</f>
        <v>0.7682</v>
      </c>
    </row>
    <row r="364" spans="1:3" x14ac:dyDescent="0.25">
      <c r="A364" t="str">
        <f>"24/11/2010"</f>
        <v>24/11/2010</v>
      </c>
      <c r="B364" t="str">
        <f>"0.7625"</f>
        <v>0.7625</v>
      </c>
      <c r="C364" t="str">
        <f>"0.7605"</f>
        <v>0.7605</v>
      </c>
    </row>
    <row r="365" spans="1:3" x14ac:dyDescent="0.25">
      <c r="A365" t="str">
        <f>"25/11/2010"</f>
        <v>25/11/2010</v>
      </c>
      <c r="B365" t="str">
        <f>"0.7588"</f>
        <v>0.7588</v>
      </c>
      <c r="C365" t="str">
        <f>"0.7568"</f>
        <v>0.7568</v>
      </c>
    </row>
    <row r="366" spans="1:3" x14ac:dyDescent="0.25">
      <c r="A366" t="str">
        <f>"26/11/2010"</f>
        <v>26/11/2010</v>
      </c>
      <c r="B366" t="str">
        <f>"0.7599"</f>
        <v>0.7599</v>
      </c>
      <c r="C366" t="str">
        <f>"0.758"</f>
        <v>0.758</v>
      </c>
    </row>
    <row r="367" spans="1:3" x14ac:dyDescent="0.25">
      <c r="A367" t="str">
        <f>"29/11/2010"</f>
        <v>29/11/2010</v>
      </c>
      <c r="B367" t="str">
        <f>"0.7486"</f>
        <v>0.7486</v>
      </c>
      <c r="C367" t="str">
        <f>"0.7464"</f>
        <v>0.7464</v>
      </c>
    </row>
    <row r="368" spans="1:3" x14ac:dyDescent="0.25">
      <c r="A368" t="str">
        <f>"30/11/2010"</f>
        <v>30/11/2010</v>
      </c>
      <c r="B368" t="str">
        <f>"0.7436"</f>
        <v>0.7436</v>
      </c>
      <c r="C368" t="str">
        <f>"0.7415"</f>
        <v>0.7415</v>
      </c>
    </row>
    <row r="369" spans="1:3" x14ac:dyDescent="0.25">
      <c r="A369" t="str">
        <f>"01/12/2010"</f>
        <v>01/12/2010</v>
      </c>
      <c r="B369" t="str">
        <f>"0.7427"</f>
        <v>0.7427</v>
      </c>
      <c r="C369" t="str">
        <f>"0.7407"</f>
        <v>0.7407</v>
      </c>
    </row>
    <row r="370" spans="1:3" x14ac:dyDescent="0.25">
      <c r="A370" t="str">
        <f>"02/12/2010"</f>
        <v>02/12/2010</v>
      </c>
      <c r="B370" t="str">
        <f>"0.7502"</f>
        <v>0.7502</v>
      </c>
      <c r="C370" t="str">
        <f>"0.7483"</f>
        <v>0.7483</v>
      </c>
    </row>
    <row r="371" spans="1:3" x14ac:dyDescent="0.25">
      <c r="A371" t="str">
        <f>"03/12/2010"</f>
        <v>03/12/2010</v>
      </c>
      <c r="B371" t="str">
        <f>"0.7551"</f>
        <v>0.7551</v>
      </c>
      <c r="C371" t="str">
        <f>"0.7532"</f>
        <v>0.7532</v>
      </c>
    </row>
    <row r="372" spans="1:3" x14ac:dyDescent="0.25">
      <c r="A372" t="str">
        <f>"06/12/2010"</f>
        <v>06/12/2010</v>
      </c>
      <c r="B372" t="str">
        <f>"0.763"</f>
        <v>0.763</v>
      </c>
      <c r="C372" t="str">
        <f>"0.761"</f>
        <v>0.761</v>
      </c>
    </row>
    <row r="373" spans="1:3" x14ac:dyDescent="0.25">
      <c r="A373" t="str">
        <f>"07/12/2010"</f>
        <v>07/12/2010</v>
      </c>
      <c r="B373" t="str">
        <f>"0.7617"</f>
        <v>0.7617</v>
      </c>
      <c r="C373" t="str">
        <f>"0.7597"</f>
        <v>0.7597</v>
      </c>
    </row>
    <row r="374" spans="1:3" x14ac:dyDescent="0.25">
      <c r="A374" t="str">
        <f>"08/12/2010"</f>
        <v>08/12/2010</v>
      </c>
      <c r="B374" t="str">
        <f>"0.753"</f>
        <v>0.753</v>
      </c>
      <c r="C374" t="str">
        <f>"0.7511"</f>
        <v>0.7511</v>
      </c>
    </row>
    <row r="375" spans="1:3" x14ac:dyDescent="0.25">
      <c r="A375" t="str">
        <f>"09/12/2010"</f>
        <v>09/12/2010</v>
      </c>
      <c r="B375" t="str">
        <f>"0.7489"</f>
        <v>0.7489</v>
      </c>
      <c r="C375" t="str">
        <f>"0.7471"</f>
        <v>0.7471</v>
      </c>
    </row>
    <row r="376" spans="1:3" x14ac:dyDescent="0.25">
      <c r="A376" t="str">
        <f>"10/12/2010"</f>
        <v>10/12/2010</v>
      </c>
      <c r="B376" t="str">
        <f>"0.7493"</f>
        <v>0.7493</v>
      </c>
      <c r="C376" t="str">
        <f>"0.7474"</f>
        <v>0.7474</v>
      </c>
    </row>
    <row r="377" spans="1:3" x14ac:dyDescent="0.25">
      <c r="A377" t="str">
        <f>"13/12/2010"</f>
        <v>13/12/2010</v>
      </c>
      <c r="B377" t="str">
        <f>"0.7484"</f>
        <v>0.7484</v>
      </c>
      <c r="C377" t="str">
        <f>"0.7464"</f>
        <v>0.7464</v>
      </c>
    </row>
    <row r="378" spans="1:3" x14ac:dyDescent="0.25">
      <c r="A378" t="str">
        <f>"14/12/2010"</f>
        <v>14/12/2010</v>
      </c>
      <c r="B378" t="str">
        <f>"0.7496"</f>
        <v>0.7496</v>
      </c>
      <c r="C378" t="str">
        <f>"0.7476"</f>
        <v>0.7476</v>
      </c>
    </row>
    <row r="379" spans="1:3" x14ac:dyDescent="0.25">
      <c r="A379" t="str">
        <f>"15/12/2010"</f>
        <v>15/12/2010</v>
      </c>
      <c r="B379" t="str">
        <f>"0.75"</f>
        <v>0.75</v>
      </c>
      <c r="C379" t="str">
        <f>"0.7481"</f>
        <v>0.7481</v>
      </c>
    </row>
    <row r="380" spans="1:3" x14ac:dyDescent="0.25">
      <c r="A380" t="str">
        <f>"16/12/2010"</f>
        <v>16/12/2010</v>
      </c>
      <c r="B380" t="str">
        <f>"0.7386"</f>
        <v>0.7386</v>
      </c>
      <c r="C380" t="str">
        <f>"0.7367"</f>
        <v>0.7367</v>
      </c>
    </row>
    <row r="381" spans="1:3" x14ac:dyDescent="0.25">
      <c r="A381" t="str">
        <f>"20/12/2010"</f>
        <v>20/12/2010</v>
      </c>
      <c r="B381" t="str">
        <f>"0.7382"</f>
        <v>0.7382</v>
      </c>
      <c r="C381" t="str">
        <f>"0.7362"</f>
        <v>0.7362</v>
      </c>
    </row>
    <row r="382" spans="1:3" x14ac:dyDescent="0.25">
      <c r="A382" t="str">
        <f>"21/12/2010"</f>
        <v>21/12/2010</v>
      </c>
      <c r="B382" t="str">
        <f>"0.7452"</f>
        <v>0.7452</v>
      </c>
      <c r="C382" t="str">
        <f>"0.7432"</f>
        <v>0.7432</v>
      </c>
    </row>
    <row r="383" spans="1:3" x14ac:dyDescent="0.25">
      <c r="A383" t="str">
        <f>"22/12/2010"</f>
        <v>22/12/2010</v>
      </c>
      <c r="B383" t="str">
        <f>"0.7424"</f>
        <v>0.7424</v>
      </c>
      <c r="C383" t="str">
        <f>"0.7405"</f>
        <v>0.7405</v>
      </c>
    </row>
    <row r="384" spans="1:3" x14ac:dyDescent="0.25">
      <c r="A384" t="str">
        <f>"23/12/2010"</f>
        <v>23/12/2010</v>
      </c>
      <c r="B384" t="str">
        <f>"0.7438"</f>
        <v>0.7438</v>
      </c>
      <c r="C384" t="str">
        <f>"0.7419"</f>
        <v>0.7419</v>
      </c>
    </row>
    <row r="385" spans="1:3" x14ac:dyDescent="0.25">
      <c r="A385" t="str">
        <f>"24/12/2010"</f>
        <v>24/12/2010</v>
      </c>
      <c r="B385" t="str">
        <f>"0.748"</f>
        <v>0.748</v>
      </c>
      <c r="C385" t="str">
        <f>"0.7461"</f>
        <v>0.7461</v>
      </c>
    </row>
    <row r="386" spans="1:3" x14ac:dyDescent="0.25">
      <c r="A386" t="str">
        <f>"27/12/2010"</f>
        <v>27/12/2010</v>
      </c>
      <c r="B386" t="str">
        <f>"0.7475"</f>
        <v>0.7475</v>
      </c>
      <c r="C386" t="str">
        <f>"0.7457"</f>
        <v>0.7457</v>
      </c>
    </row>
    <row r="387" spans="1:3" x14ac:dyDescent="0.25">
      <c r="A387" t="str">
        <f>"28/12/2010"</f>
        <v>28/12/2010</v>
      </c>
      <c r="B387" t="str">
        <f>"0.7525"</f>
        <v>0.7525</v>
      </c>
      <c r="C387" t="str">
        <f>"0.7507"</f>
        <v>0.7507</v>
      </c>
    </row>
    <row r="388" spans="1:3" x14ac:dyDescent="0.25">
      <c r="A388" t="str">
        <f>"29/12/2010"</f>
        <v>29/12/2010</v>
      </c>
      <c r="B388" t="str">
        <f>"0.7586"</f>
        <v>0.7586</v>
      </c>
      <c r="C388" t="str">
        <f>"0.7568"</f>
        <v>0.7568</v>
      </c>
    </row>
    <row r="389" spans="1:3" x14ac:dyDescent="0.25">
      <c r="A389" t="str">
        <f>"30/12/2010"</f>
        <v>30/12/2010</v>
      </c>
      <c r="B389" t="str">
        <f>"0.767"</f>
        <v>0.767</v>
      </c>
      <c r="C389" t="str">
        <f>"0.7648"</f>
        <v>0.7648</v>
      </c>
    </row>
    <row r="390" spans="1:3" x14ac:dyDescent="0.25">
      <c r="A390" t="str">
        <f>"31/12/2010"</f>
        <v>31/12/2010</v>
      </c>
      <c r="B390" t="str">
        <f>"0.7708"</f>
        <v>0.7708</v>
      </c>
      <c r="C390" t="str">
        <f>"0.7688"</f>
        <v>0.7688</v>
      </c>
    </row>
    <row r="391" spans="1:3" x14ac:dyDescent="0.25">
      <c r="A391" t="str">
        <f>"03/01/2011"</f>
        <v>03/01/2011</v>
      </c>
      <c r="B391" t="str">
        <f>"0.7748"</f>
        <v>0.7748</v>
      </c>
      <c r="C391" t="str">
        <f>"0.7728"</f>
        <v>0.7728</v>
      </c>
    </row>
    <row r="392" spans="1:3" x14ac:dyDescent="0.25">
      <c r="A392" t="str">
        <f>"04/01/2011"</f>
        <v>04/01/2011</v>
      </c>
      <c r="B392" t="str">
        <f>"0.7719"</f>
        <v>0.7719</v>
      </c>
      <c r="C392" t="str">
        <f>"0.7699"</f>
        <v>0.7699</v>
      </c>
    </row>
    <row r="393" spans="1:3" x14ac:dyDescent="0.25">
      <c r="A393" t="str">
        <f>"05/01/2011"</f>
        <v>05/01/2011</v>
      </c>
      <c r="B393" t="str">
        <f>"0.764"</f>
        <v>0.764</v>
      </c>
      <c r="C393" t="str">
        <f>"0.7621"</f>
        <v>0.7621</v>
      </c>
    </row>
    <row r="394" spans="1:3" x14ac:dyDescent="0.25">
      <c r="A394" t="str">
        <f>"06/01/2011"</f>
        <v>06/01/2011</v>
      </c>
      <c r="B394" t="str">
        <f>"0.7565"</f>
        <v>0.7565</v>
      </c>
      <c r="C394" t="str">
        <f>"0.7546"</f>
        <v>0.7546</v>
      </c>
    </row>
    <row r="395" spans="1:3" x14ac:dyDescent="0.25">
      <c r="A395" t="str">
        <f>"07/01/2011"</f>
        <v>07/01/2011</v>
      </c>
      <c r="B395" t="str">
        <f>"0.7579"</f>
        <v>0.7579</v>
      </c>
      <c r="C395" t="str">
        <f>"0.756"</f>
        <v>0.756</v>
      </c>
    </row>
    <row r="396" spans="1:3" x14ac:dyDescent="0.25">
      <c r="A396" t="str">
        <f>"10/01/2011"</f>
        <v>10/01/2011</v>
      </c>
      <c r="B396" t="str">
        <f>"0.7611"</f>
        <v>0.7611</v>
      </c>
      <c r="C396" t="str">
        <f>"0.7591"</f>
        <v>0.7591</v>
      </c>
    </row>
    <row r="397" spans="1:3" x14ac:dyDescent="0.25">
      <c r="A397" t="str">
        <f>"11/01/2011"</f>
        <v>11/01/2011</v>
      </c>
      <c r="B397" t="str">
        <f>"0.7588"</f>
        <v>0.7588</v>
      </c>
      <c r="C397" t="str">
        <f>"0.7568"</f>
        <v>0.7568</v>
      </c>
    </row>
    <row r="398" spans="1:3" x14ac:dyDescent="0.25">
      <c r="A398" t="str">
        <f>"12/01/2011"</f>
        <v>12/01/2011</v>
      </c>
      <c r="B398" t="str">
        <f>"0.7592"</f>
        <v>0.7592</v>
      </c>
      <c r="C398" t="str">
        <f>"0.7573"</f>
        <v>0.7573</v>
      </c>
    </row>
    <row r="399" spans="1:3" x14ac:dyDescent="0.25">
      <c r="A399" t="str">
        <f>"13/01/2011"</f>
        <v>13/01/2011</v>
      </c>
      <c r="B399" t="str">
        <f>"0.7617"</f>
        <v>0.7617</v>
      </c>
      <c r="C399" t="str">
        <f>"0.7599"</f>
        <v>0.7599</v>
      </c>
    </row>
    <row r="400" spans="1:3" x14ac:dyDescent="0.25">
      <c r="A400" t="str">
        <f>"14/01/2011"</f>
        <v>14/01/2011</v>
      </c>
      <c r="B400" t="str">
        <f>"0.7697"</f>
        <v>0.7697</v>
      </c>
      <c r="C400" t="str">
        <f>"0.7678"</f>
        <v>0.7678</v>
      </c>
    </row>
    <row r="401" spans="1:3" x14ac:dyDescent="0.25">
      <c r="A401" t="str">
        <f>"17/01/2011"</f>
        <v>17/01/2011</v>
      </c>
      <c r="B401" t="str">
        <f>"0.7687"</f>
        <v>0.7687</v>
      </c>
      <c r="C401" t="str">
        <f>"0.7667"</f>
        <v>0.7667</v>
      </c>
    </row>
    <row r="402" spans="1:3" x14ac:dyDescent="0.25">
      <c r="A402" t="str">
        <f>"18/01/2011"</f>
        <v>18/01/2011</v>
      </c>
      <c r="B402" t="str">
        <f>"0.7729"</f>
        <v>0.7729</v>
      </c>
      <c r="C402" t="str">
        <f>"0.7709"</f>
        <v>0.7709</v>
      </c>
    </row>
    <row r="403" spans="1:3" x14ac:dyDescent="0.25">
      <c r="A403" t="str">
        <f>"19/01/2011"</f>
        <v>19/01/2011</v>
      </c>
      <c r="B403" t="str">
        <f>"0.7742"</f>
        <v>0.7742</v>
      </c>
      <c r="C403" t="str">
        <f>"0.7722"</f>
        <v>0.7722</v>
      </c>
    </row>
    <row r="404" spans="1:3" x14ac:dyDescent="0.25">
      <c r="A404" t="str">
        <f>"20/01/2011"</f>
        <v>20/01/2011</v>
      </c>
      <c r="B404" t="str">
        <f>"0.7646"</f>
        <v>0.7646</v>
      </c>
      <c r="C404" t="str">
        <f>"0.7628"</f>
        <v>0.7628</v>
      </c>
    </row>
    <row r="405" spans="1:3" x14ac:dyDescent="0.25">
      <c r="A405" t="str">
        <f>"21/01/2011"</f>
        <v>21/01/2011</v>
      </c>
      <c r="B405" t="str">
        <f>"0.7557"</f>
        <v>0.7557</v>
      </c>
      <c r="C405" t="str">
        <f>"0.7537"</f>
        <v>0.7537</v>
      </c>
    </row>
    <row r="406" spans="1:3" x14ac:dyDescent="0.25">
      <c r="A406" t="str">
        <f>"24/01/2011"</f>
        <v>24/01/2011</v>
      </c>
      <c r="B406" t="str">
        <f>"0.7591"</f>
        <v>0.7591</v>
      </c>
      <c r="C406" t="str">
        <f>"0.7571"</f>
        <v>0.7571</v>
      </c>
    </row>
    <row r="407" spans="1:3" x14ac:dyDescent="0.25">
      <c r="A407" t="str">
        <f>"25/01/2011"</f>
        <v>25/01/2011</v>
      </c>
      <c r="B407" t="str">
        <f>"0.765"</f>
        <v>0.765</v>
      </c>
      <c r="C407" t="str">
        <f>"0.763"</f>
        <v>0.763</v>
      </c>
    </row>
    <row r="408" spans="1:3" x14ac:dyDescent="0.25">
      <c r="A408" t="str">
        <f>"27/01/2011"</f>
        <v>27/01/2011</v>
      </c>
      <c r="B408" t="str">
        <f>"0.7725"</f>
        <v>0.7725</v>
      </c>
      <c r="C408" t="str">
        <f>"0.7706"</f>
        <v>0.7706</v>
      </c>
    </row>
    <row r="409" spans="1:3" x14ac:dyDescent="0.25">
      <c r="A409" t="str">
        <f>"28/01/2011"</f>
        <v>28/01/2011</v>
      </c>
      <c r="B409" t="str">
        <f>"0.7736"</f>
        <v>0.7736</v>
      </c>
      <c r="C409" t="str">
        <f>"0.7718"</f>
        <v>0.7718</v>
      </c>
    </row>
    <row r="410" spans="1:3" x14ac:dyDescent="0.25">
      <c r="A410" t="str">
        <f>"31/01/2011"</f>
        <v>31/01/2011</v>
      </c>
      <c r="B410" t="str">
        <f>"0.7718"</f>
        <v>0.7718</v>
      </c>
      <c r="C410" t="str">
        <f>"0.77"</f>
        <v>0.77</v>
      </c>
    </row>
    <row r="411" spans="1:3" x14ac:dyDescent="0.25">
      <c r="A411" t="str">
        <f>"01/02/2011"</f>
        <v>01/02/2011</v>
      </c>
      <c r="B411" t="str">
        <f>"0.7739"</f>
        <v>0.7739</v>
      </c>
      <c r="C411" t="str">
        <f>"0.7722"</f>
        <v>0.7722</v>
      </c>
    </row>
    <row r="412" spans="1:3" x14ac:dyDescent="0.25">
      <c r="A412" t="str">
        <f>"02/02/2011"</f>
        <v>02/02/2011</v>
      </c>
      <c r="B412" t="str">
        <f>"0.7819"</f>
        <v>0.7819</v>
      </c>
      <c r="C412" t="str">
        <f>"0.7802"</f>
        <v>0.7802</v>
      </c>
    </row>
    <row r="413" spans="1:3" x14ac:dyDescent="0.25">
      <c r="A413" t="str">
        <f>"03/02/2011"</f>
        <v>03/02/2011</v>
      </c>
      <c r="B413" t="str">
        <f>"0.7714"</f>
        <v>0.7714</v>
      </c>
      <c r="C413" t="str">
        <f>"0.7697"</f>
        <v>0.7697</v>
      </c>
    </row>
    <row r="414" spans="1:3" x14ac:dyDescent="0.25">
      <c r="A414" t="str">
        <f>"04/02/2011"</f>
        <v>04/02/2011</v>
      </c>
      <c r="B414" t="str">
        <f>"0.7741"</f>
        <v>0.7741</v>
      </c>
      <c r="C414" t="str">
        <f>"0.7724"</f>
        <v>0.7724</v>
      </c>
    </row>
    <row r="415" spans="1:3" x14ac:dyDescent="0.25">
      <c r="A415" t="str">
        <f>"07/02/2011"</f>
        <v>07/02/2011</v>
      </c>
      <c r="B415" t="str">
        <f>"0.7706"</f>
        <v>0.7706</v>
      </c>
      <c r="C415" t="str">
        <f>"0.7688"</f>
        <v>0.7688</v>
      </c>
    </row>
    <row r="416" spans="1:3" x14ac:dyDescent="0.25">
      <c r="A416" t="str">
        <f>"08/02/2011"</f>
        <v>08/02/2011</v>
      </c>
      <c r="B416" t="str">
        <f>"0.7722"</f>
        <v>0.7722</v>
      </c>
      <c r="C416" t="str">
        <f>"0.7704"</f>
        <v>0.7704</v>
      </c>
    </row>
    <row r="417" spans="1:3" x14ac:dyDescent="0.25">
      <c r="A417" t="str">
        <f>"09/02/2011"</f>
        <v>09/02/2011</v>
      </c>
      <c r="B417" t="str">
        <f>"0.7715"</f>
        <v>0.7715</v>
      </c>
      <c r="C417" t="str">
        <f>"0.7698"</f>
        <v>0.7698</v>
      </c>
    </row>
    <row r="418" spans="1:3" x14ac:dyDescent="0.25">
      <c r="A418" t="str">
        <f>"10/02/2011"</f>
        <v>10/02/2011</v>
      </c>
      <c r="B418" t="str">
        <f>"0.7711"</f>
        <v>0.7711</v>
      </c>
      <c r="C418" t="str">
        <f>"0.7694"</f>
        <v>0.7694</v>
      </c>
    </row>
    <row r="419" spans="1:3" x14ac:dyDescent="0.25">
      <c r="A419" t="str">
        <f>"11/02/2011"</f>
        <v>11/02/2011</v>
      </c>
      <c r="B419" t="str">
        <f>"0.7606"</f>
        <v>0.7606</v>
      </c>
      <c r="C419" t="str">
        <f>"0.7589"</f>
        <v>0.7589</v>
      </c>
    </row>
    <row r="420" spans="1:3" x14ac:dyDescent="0.25">
      <c r="A420" t="str">
        <f>"14/02/2011"</f>
        <v>14/02/2011</v>
      </c>
      <c r="B420" t="str">
        <f>"0.7577"</f>
        <v>0.7577</v>
      </c>
      <c r="C420" t="str">
        <f>"0.756"</f>
        <v>0.756</v>
      </c>
    </row>
    <row r="421" spans="1:3" x14ac:dyDescent="0.25">
      <c r="A421" t="str">
        <f>"15/02/2011"</f>
        <v>15/02/2011</v>
      </c>
      <c r="B421" t="str">
        <f>"0.7568"</f>
        <v>0.7568</v>
      </c>
      <c r="C421" t="str">
        <f>"0.7551"</f>
        <v>0.7551</v>
      </c>
    </row>
    <row r="422" spans="1:3" x14ac:dyDescent="0.25">
      <c r="A422" t="str">
        <f>"17/02/2011"</f>
        <v>17/02/2011</v>
      </c>
      <c r="B422" t="str">
        <f>"0.7546"</f>
        <v>0.7546</v>
      </c>
      <c r="C422" t="str">
        <f>"0.7529"</f>
        <v>0.7529</v>
      </c>
    </row>
    <row r="423" spans="1:3" x14ac:dyDescent="0.25">
      <c r="A423" t="str">
        <f>"18/02/2011"</f>
        <v>18/02/2011</v>
      </c>
      <c r="B423" t="str">
        <f>"0.7599"</f>
        <v>0.7599</v>
      </c>
      <c r="C423" t="str">
        <f>"0.7582"</f>
        <v>0.7582</v>
      </c>
    </row>
    <row r="424" spans="1:3" x14ac:dyDescent="0.25">
      <c r="A424" t="str">
        <f>"21/02/2011"</f>
        <v>21/02/2011</v>
      </c>
      <c r="B424" t="str">
        <f>"0.7635"</f>
        <v>0.7635</v>
      </c>
      <c r="C424" t="str">
        <f>"0.7617"</f>
        <v>0.7617</v>
      </c>
    </row>
    <row r="425" spans="1:3" x14ac:dyDescent="0.25">
      <c r="A425" t="str">
        <f>"22/02/2011"</f>
        <v>22/02/2011</v>
      </c>
      <c r="B425" t="str">
        <f>"0.7509"</f>
        <v>0.7509</v>
      </c>
      <c r="C425" t="str">
        <f>"0.7492"</f>
        <v>0.7492</v>
      </c>
    </row>
    <row r="426" spans="1:3" x14ac:dyDescent="0.25">
      <c r="A426" t="str">
        <f>"23/02/2011"</f>
        <v>23/02/2011</v>
      </c>
      <c r="B426" t="str">
        <f>"0.7478"</f>
        <v>0.7478</v>
      </c>
      <c r="C426" t="str">
        <f>"0.7462"</f>
        <v>0.7462</v>
      </c>
    </row>
    <row r="427" spans="1:3" x14ac:dyDescent="0.25">
      <c r="A427" t="str">
        <f>"24/02/2011"</f>
        <v>24/02/2011</v>
      </c>
      <c r="B427" t="str">
        <f>"0.7486"</f>
        <v>0.7486</v>
      </c>
      <c r="C427" t="str">
        <f>"0.7468"</f>
        <v>0.7468</v>
      </c>
    </row>
    <row r="428" spans="1:3" x14ac:dyDescent="0.25">
      <c r="A428" t="str">
        <f>"25/02/2011"</f>
        <v>25/02/2011</v>
      </c>
      <c r="B428" t="str">
        <f>"0.7507"</f>
        <v>0.7507</v>
      </c>
      <c r="C428" t="str">
        <f>"0.749"</f>
        <v>0.749</v>
      </c>
    </row>
    <row r="429" spans="1:3" x14ac:dyDescent="0.25">
      <c r="A429" t="str">
        <f>"28/02/2011"</f>
        <v>28/02/2011</v>
      </c>
      <c r="B429" t="str">
        <f>"0.7516"</f>
        <v>0.7516</v>
      </c>
      <c r="C429" t="str">
        <f>"0.7498"</f>
        <v>0.7498</v>
      </c>
    </row>
    <row r="430" spans="1:3" x14ac:dyDescent="0.25">
      <c r="A430" t="str">
        <f>"01/03/2011"</f>
        <v>01/03/2011</v>
      </c>
      <c r="B430" t="str">
        <f>"0.7522"</f>
        <v>0.7522</v>
      </c>
      <c r="C430" t="str">
        <f>"0.7504"</f>
        <v>0.7504</v>
      </c>
    </row>
    <row r="431" spans="1:3" x14ac:dyDescent="0.25">
      <c r="A431" t="str">
        <f>"03/03/2011"</f>
        <v>03/03/2011</v>
      </c>
      <c r="B431" t="str">
        <f>"0.7445"</f>
        <v>0.7445</v>
      </c>
      <c r="C431" t="str">
        <f>"0.7428"</f>
        <v>0.7428</v>
      </c>
    </row>
    <row r="432" spans="1:3" x14ac:dyDescent="0.25">
      <c r="A432" t="str">
        <f>"04/03/2011"</f>
        <v>04/03/2011</v>
      </c>
      <c r="B432" t="str">
        <f>"0.7381"</f>
        <v>0.7381</v>
      </c>
      <c r="C432" t="str">
        <f>"0.7365"</f>
        <v>0.7365</v>
      </c>
    </row>
    <row r="433" spans="1:3" x14ac:dyDescent="0.25">
      <c r="A433" t="str">
        <f>"07/03/2011"</f>
        <v>07/03/2011</v>
      </c>
      <c r="B433" t="str">
        <f>"0.7377"</f>
        <v>0.7377</v>
      </c>
      <c r="C433" t="str">
        <f>"0.736"</f>
        <v>0.736</v>
      </c>
    </row>
    <row r="434" spans="1:3" x14ac:dyDescent="0.25">
      <c r="A434" t="str">
        <f>"08/03/2011"</f>
        <v>08/03/2011</v>
      </c>
      <c r="B434" t="str">
        <f>"0.7389"</f>
        <v>0.7389</v>
      </c>
      <c r="C434" t="str">
        <f>"0.7373"</f>
        <v>0.7373</v>
      </c>
    </row>
    <row r="435" spans="1:3" x14ac:dyDescent="0.25">
      <c r="A435" t="str">
        <f>"09/03/2011"</f>
        <v>09/03/2011</v>
      </c>
      <c r="B435" t="str">
        <f>"0.7391"</f>
        <v>0.7391</v>
      </c>
      <c r="C435" t="str">
        <f>"0.7374"</f>
        <v>0.7374</v>
      </c>
    </row>
    <row r="436" spans="1:3" x14ac:dyDescent="0.25">
      <c r="A436" t="str">
        <f>"10/03/2011"</f>
        <v>10/03/2011</v>
      </c>
      <c r="B436" t="str">
        <f>"0.7354"</f>
        <v>0.7354</v>
      </c>
      <c r="C436" t="str">
        <f>"0.7338"</f>
        <v>0.7338</v>
      </c>
    </row>
    <row r="437" spans="1:3" x14ac:dyDescent="0.25">
      <c r="A437" t="str">
        <f>"11/03/2011"</f>
        <v>11/03/2011</v>
      </c>
      <c r="B437" t="str">
        <f>"0.7359"</f>
        <v>0.7359</v>
      </c>
      <c r="C437" t="str">
        <f>"0.7343"</f>
        <v>0.7343</v>
      </c>
    </row>
    <row r="438" spans="1:3" x14ac:dyDescent="0.25">
      <c r="A438" t="str">
        <f>"14/03/2011"</f>
        <v>14/03/2011</v>
      </c>
      <c r="B438" t="str">
        <f>"0.7383"</f>
        <v>0.7383</v>
      </c>
      <c r="C438" t="str">
        <f>"0.7367"</f>
        <v>0.7367</v>
      </c>
    </row>
    <row r="439" spans="1:3" x14ac:dyDescent="0.25">
      <c r="A439" t="str">
        <f>"15/03/2011"</f>
        <v>15/03/2011</v>
      </c>
      <c r="B439" t="str">
        <f>"0.7297"</f>
        <v>0.7297</v>
      </c>
      <c r="C439" t="str">
        <f>"0.7282"</f>
        <v>0.7282</v>
      </c>
    </row>
    <row r="440" spans="1:3" x14ac:dyDescent="0.25">
      <c r="A440" t="str">
        <f>"16/03/2011"</f>
        <v>16/03/2011</v>
      </c>
      <c r="B440" t="str">
        <f>"0.7325"</f>
        <v>0.7325</v>
      </c>
      <c r="C440" t="str">
        <f>"0.731"</f>
        <v>0.731</v>
      </c>
    </row>
    <row r="441" spans="1:3" x14ac:dyDescent="0.25">
      <c r="A441" t="str">
        <f>"17/03/2011"</f>
        <v>17/03/2011</v>
      </c>
      <c r="B441" t="str">
        <f>"0.7225"</f>
        <v>0.7225</v>
      </c>
      <c r="C441" t="str">
        <f>"0.721"</f>
        <v>0.721</v>
      </c>
    </row>
    <row r="442" spans="1:3" x14ac:dyDescent="0.25">
      <c r="A442" t="str">
        <f>"18/03/2011"</f>
        <v>18/03/2011</v>
      </c>
      <c r="B442" t="str">
        <f>"0.7293"</f>
        <v>0.7293</v>
      </c>
      <c r="C442" t="str">
        <f>"0.7275"</f>
        <v>0.7275</v>
      </c>
    </row>
    <row r="443" spans="1:3" x14ac:dyDescent="0.25">
      <c r="A443" t="str">
        <f>"21/03/2011"</f>
        <v>21/03/2011</v>
      </c>
      <c r="B443" t="str">
        <f>"0.7332"</f>
        <v>0.7332</v>
      </c>
      <c r="C443" t="str">
        <f>"0.7315"</f>
        <v>0.7315</v>
      </c>
    </row>
    <row r="444" spans="1:3" x14ac:dyDescent="0.25">
      <c r="A444" t="str">
        <f>"22/03/2011"</f>
        <v>22/03/2011</v>
      </c>
      <c r="B444" t="str">
        <f>"0.7375"</f>
        <v>0.7375</v>
      </c>
      <c r="C444" t="str">
        <f>"0.7359"</f>
        <v>0.7359</v>
      </c>
    </row>
    <row r="445" spans="1:3" x14ac:dyDescent="0.25">
      <c r="A445" t="str">
        <f>"23/03/2011"</f>
        <v>23/03/2011</v>
      </c>
      <c r="B445" t="str">
        <f>"0.7417"</f>
        <v>0.7417</v>
      </c>
      <c r="C445" t="str">
        <f>"0.7401"</f>
        <v>0.7401</v>
      </c>
    </row>
    <row r="446" spans="1:3" x14ac:dyDescent="0.25">
      <c r="A446" t="str">
        <f>"24/03/2011"</f>
        <v>24/03/2011</v>
      </c>
      <c r="B446" t="str">
        <f>"0.746"</f>
        <v>0.746</v>
      </c>
      <c r="C446" t="str">
        <f>"0.7445"</f>
        <v>0.7445</v>
      </c>
    </row>
    <row r="447" spans="1:3" x14ac:dyDescent="0.25">
      <c r="A447" t="str">
        <f>"25/03/2011"</f>
        <v>25/03/2011</v>
      </c>
      <c r="B447" t="str">
        <f>"0.7494"</f>
        <v>0.7494</v>
      </c>
      <c r="C447" t="str">
        <f>"0.7478"</f>
        <v>0.7478</v>
      </c>
    </row>
    <row r="448" spans="1:3" x14ac:dyDescent="0.25">
      <c r="A448" t="str">
        <f>"28/03/2011"</f>
        <v>28/03/2011</v>
      </c>
      <c r="B448" t="str">
        <f>"0.7507"</f>
        <v>0.7507</v>
      </c>
      <c r="C448" t="str">
        <f>"0.7492"</f>
        <v>0.7492</v>
      </c>
    </row>
    <row r="449" spans="1:3" x14ac:dyDescent="0.25">
      <c r="A449" t="str">
        <f>"29/03/2011"</f>
        <v>29/03/2011</v>
      </c>
      <c r="B449" t="str">
        <f>"0.7513"</f>
        <v>0.7513</v>
      </c>
      <c r="C449" t="str">
        <f>"0.7499"</f>
        <v>0.7499</v>
      </c>
    </row>
    <row r="450" spans="1:3" x14ac:dyDescent="0.25">
      <c r="A450" t="str">
        <f>"30/03/2011"</f>
        <v>30/03/2011</v>
      </c>
      <c r="B450" t="str">
        <f>"0.7593"</f>
        <v>0.7593</v>
      </c>
      <c r="C450" t="str">
        <f>"0.7577"</f>
        <v>0.7577</v>
      </c>
    </row>
    <row r="451" spans="1:3" x14ac:dyDescent="0.25">
      <c r="A451" t="str">
        <f>"31/03/2011"</f>
        <v>31/03/2011</v>
      </c>
      <c r="B451" t="str">
        <f>"0.7591"</f>
        <v>0.7591</v>
      </c>
      <c r="C451" t="str">
        <f>"0.7576"</f>
        <v>0.7576</v>
      </c>
    </row>
    <row r="452" spans="1:3" x14ac:dyDescent="0.25">
      <c r="A452" t="str">
        <f>"01/04/2011"</f>
        <v>01/04/2011</v>
      </c>
      <c r="B452" t="str">
        <f>"0.7628"</f>
        <v>0.7628</v>
      </c>
      <c r="C452" t="str">
        <f>"0.7613"</f>
        <v>0.7613</v>
      </c>
    </row>
    <row r="453" spans="1:3" x14ac:dyDescent="0.25">
      <c r="A453" t="str">
        <f>"05/04/2011"</f>
        <v>05/04/2011</v>
      </c>
      <c r="B453" t="str">
        <f>"0.7681"</f>
        <v>0.7681</v>
      </c>
      <c r="C453" t="str">
        <f>"0.7665"</f>
        <v>0.7665</v>
      </c>
    </row>
    <row r="454" spans="1:3" x14ac:dyDescent="0.25">
      <c r="A454" t="str">
        <f>"06/04/2011"</f>
        <v>06/04/2011</v>
      </c>
      <c r="B454" t="str">
        <f>"0.7716"</f>
        <v>0.7716</v>
      </c>
      <c r="C454" t="str">
        <f>"0.77"</f>
        <v>0.77</v>
      </c>
    </row>
    <row r="455" spans="1:3" x14ac:dyDescent="0.25">
      <c r="A455" t="str">
        <f>"07/04/2011"</f>
        <v>07/04/2011</v>
      </c>
      <c r="B455" t="str">
        <f>"0.7762"</f>
        <v>0.7762</v>
      </c>
      <c r="C455" t="str">
        <f>"0.7746"</f>
        <v>0.7746</v>
      </c>
    </row>
    <row r="456" spans="1:3" x14ac:dyDescent="0.25">
      <c r="A456" t="str">
        <f>"08/04/2011"</f>
        <v>08/04/2011</v>
      </c>
      <c r="B456" t="str">
        <f>"0.7817"</f>
        <v>0.7817</v>
      </c>
      <c r="C456" t="str">
        <f>"0.7802"</f>
        <v>0.7802</v>
      </c>
    </row>
    <row r="457" spans="1:3" x14ac:dyDescent="0.25">
      <c r="A457" t="str">
        <f>"11/04/2011"</f>
        <v>11/04/2011</v>
      </c>
      <c r="B457" t="str">
        <f>"0.7829"</f>
        <v>0.7829</v>
      </c>
      <c r="C457" t="str">
        <f>"0.7813"</f>
        <v>0.7813</v>
      </c>
    </row>
    <row r="458" spans="1:3" x14ac:dyDescent="0.25">
      <c r="A458" t="str">
        <f>"13/04/2011"</f>
        <v>13/04/2011</v>
      </c>
      <c r="B458" t="str">
        <f>"0.7861"</f>
        <v>0.7861</v>
      </c>
      <c r="C458" t="str">
        <f>"0.7845"</f>
        <v>0.7845</v>
      </c>
    </row>
    <row r="459" spans="1:3" x14ac:dyDescent="0.25">
      <c r="A459" t="str">
        <f>"15/04/2011"</f>
        <v>15/04/2011</v>
      </c>
      <c r="B459" t="str">
        <f>"0.7946"</f>
        <v>0.7946</v>
      </c>
      <c r="C459" t="str">
        <f>"0.793"</f>
        <v>0.793</v>
      </c>
    </row>
    <row r="460" spans="1:3" x14ac:dyDescent="0.25">
      <c r="A460" t="str">
        <f>"18/04/2011"</f>
        <v>18/04/2011</v>
      </c>
      <c r="B460" t="str">
        <f>"0.7945"</f>
        <v>0.7945</v>
      </c>
      <c r="C460" t="str">
        <f>"0.7929"</f>
        <v>0.7929</v>
      </c>
    </row>
    <row r="461" spans="1:3" x14ac:dyDescent="0.25">
      <c r="A461" t="str">
        <f>"19/04/2011"</f>
        <v>19/04/2011</v>
      </c>
      <c r="B461" t="str">
        <f>"0.784"</f>
        <v>0.784</v>
      </c>
      <c r="C461" t="str">
        <f>"0.7823"</f>
        <v>0.7823</v>
      </c>
    </row>
    <row r="462" spans="1:3" x14ac:dyDescent="0.25">
      <c r="A462" t="str">
        <f>"20/04/2011"</f>
        <v>20/04/2011</v>
      </c>
      <c r="B462" t="str">
        <f>"0.7931"</f>
        <v>0.7931</v>
      </c>
      <c r="C462" t="str">
        <f>"0.7915"</f>
        <v>0.7915</v>
      </c>
    </row>
    <row r="463" spans="1:3" x14ac:dyDescent="0.25">
      <c r="A463" t="str">
        <f>"21/04/2011"</f>
        <v>21/04/2011</v>
      </c>
      <c r="B463" t="str">
        <f>"0.7995"</f>
        <v>0.7995</v>
      </c>
      <c r="C463" t="str">
        <f>"0.7978"</f>
        <v>0.7978</v>
      </c>
    </row>
    <row r="464" spans="1:3" x14ac:dyDescent="0.25">
      <c r="A464" t="str">
        <f>"25/04/2011"</f>
        <v>25/04/2011</v>
      </c>
      <c r="B464" t="str">
        <f>"0.8002"</f>
        <v>0.8002</v>
      </c>
      <c r="C464" t="str">
        <f>"0.7986"</f>
        <v>0.7986</v>
      </c>
    </row>
    <row r="465" spans="1:3" x14ac:dyDescent="0.25">
      <c r="A465" t="str">
        <f>"26/04/2011"</f>
        <v>26/04/2011</v>
      </c>
      <c r="B465" t="str">
        <f>"0.7999"</f>
        <v>0.7999</v>
      </c>
      <c r="C465" t="str">
        <f>"0.7983"</f>
        <v>0.7983</v>
      </c>
    </row>
    <row r="466" spans="1:3" x14ac:dyDescent="0.25">
      <c r="A466" t="str">
        <f>"27/04/2011"</f>
        <v>27/04/2011</v>
      </c>
      <c r="B466" t="str">
        <f>"0.8062"</f>
        <v>0.8062</v>
      </c>
      <c r="C466" t="str">
        <f>"0.8045"</f>
        <v>0.8045</v>
      </c>
    </row>
    <row r="467" spans="1:3" x14ac:dyDescent="0.25">
      <c r="A467" t="str">
        <f>"28/04/2011"</f>
        <v>28/04/2011</v>
      </c>
      <c r="B467" t="str">
        <f>"0.8075"</f>
        <v>0.8075</v>
      </c>
      <c r="C467" t="str">
        <f>"0.8058"</f>
        <v>0.8058</v>
      </c>
    </row>
    <row r="468" spans="1:3" x14ac:dyDescent="0.25">
      <c r="A468" t="str">
        <f>"29/04/2011"</f>
        <v>29/04/2011</v>
      </c>
      <c r="B468" t="str">
        <f>"0.8019"</f>
        <v>0.8019</v>
      </c>
      <c r="C468" t="str">
        <f>"0.8002"</f>
        <v>0.8002</v>
      </c>
    </row>
    <row r="469" spans="1:3" x14ac:dyDescent="0.25">
      <c r="A469" t="str">
        <f>"02/05/2011"</f>
        <v>02/05/2011</v>
      </c>
      <c r="B469" t="str">
        <f>"0.8064"</f>
        <v>0.8064</v>
      </c>
      <c r="C469" t="str">
        <f>"0.8045"</f>
        <v>0.8045</v>
      </c>
    </row>
    <row r="470" spans="1:3" x14ac:dyDescent="0.25">
      <c r="A470" t="str">
        <f>"03/05/2011"</f>
        <v>03/05/2011</v>
      </c>
      <c r="B470" t="str">
        <f>"0.8029"</f>
        <v>0.8029</v>
      </c>
      <c r="C470" t="str">
        <f>"0.8011"</f>
        <v>0.8011</v>
      </c>
    </row>
    <row r="471" spans="1:3" x14ac:dyDescent="0.25">
      <c r="A471" t="str">
        <f>"04/05/2011"</f>
        <v>04/05/2011</v>
      </c>
      <c r="B471" t="str">
        <f>"0.7941"</f>
        <v>0.7941</v>
      </c>
      <c r="C471" t="str">
        <f>"0.7924"</f>
        <v>0.7924</v>
      </c>
    </row>
    <row r="472" spans="1:3" x14ac:dyDescent="0.25">
      <c r="A472" t="str">
        <f>"05/05/2011"</f>
        <v>05/05/2011</v>
      </c>
      <c r="B472" t="str">
        <f>"0.7921"</f>
        <v>0.7921</v>
      </c>
      <c r="C472" t="str">
        <f>"0.7904"</f>
        <v>0.7904</v>
      </c>
    </row>
    <row r="473" spans="1:3" x14ac:dyDescent="0.25">
      <c r="A473" t="str">
        <f>"06/05/2011"</f>
        <v>06/05/2011</v>
      </c>
      <c r="B473" t="str">
        <f>"0.7879"</f>
        <v>0.7879</v>
      </c>
      <c r="C473" t="str">
        <f>"0.7863"</f>
        <v>0.7863</v>
      </c>
    </row>
    <row r="474" spans="1:3" x14ac:dyDescent="0.25">
      <c r="A474" t="str">
        <f>"09/05/2011"</f>
        <v>09/05/2011</v>
      </c>
      <c r="B474" t="str">
        <f>"0.7923"</f>
        <v>0.7923</v>
      </c>
      <c r="C474" t="str">
        <f>"0.7906"</f>
        <v>0.7906</v>
      </c>
    </row>
    <row r="475" spans="1:3" x14ac:dyDescent="0.25">
      <c r="A475" t="str">
        <f>"10/05/2011"</f>
        <v>10/05/2011</v>
      </c>
      <c r="B475" t="str">
        <f>"0.7928"</f>
        <v>0.7928</v>
      </c>
      <c r="C475" t="str">
        <f>"0.791"</f>
        <v>0.791</v>
      </c>
    </row>
    <row r="476" spans="1:3" x14ac:dyDescent="0.25">
      <c r="A476" t="str">
        <f>"11/05/2011"</f>
        <v>11/05/2011</v>
      </c>
      <c r="B476" t="str">
        <f>"0.7953"</f>
        <v>0.7953</v>
      </c>
      <c r="C476" t="str">
        <f>"0.7936"</f>
        <v>0.7936</v>
      </c>
    </row>
    <row r="477" spans="1:3" x14ac:dyDescent="0.25">
      <c r="A477" t="str">
        <f>"12/05/2011"</f>
        <v>12/05/2011</v>
      </c>
      <c r="B477" t="str">
        <f>"0.7902"</f>
        <v>0.7902</v>
      </c>
      <c r="C477" t="str">
        <f>"0.7886"</f>
        <v>0.7886</v>
      </c>
    </row>
    <row r="478" spans="1:3" x14ac:dyDescent="0.25">
      <c r="A478" t="str">
        <f>"13/05/2011"</f>
        <v>13/05/2011</v>
      </c>
      <c r="B478" t="str">
        <f>"0.7925"</f>
        <v>0.7925</v>
      </c>
      <c r="C478" t="str">
        <f>"0.7909"</f>
        <v>0.7909</v>
      </c>
    </row>
    <row r="479" spans="1:3" x14ac:dyDescent="0.25">
      <c r="A479" t="str">
        <f>"16/05/2011"</f>
        <v>16/05/2011</v>
      </c>
      <c r="B479" t="str">
        <f>"0.7844"</f>
        <v>0.7844</v>
      </c>
      <c r="C479" t="str">
        <f>"0.7827"</f>
        <v>0.7827</v>
      </c>
    </row>
    <row r="480" spans="1:3" x14ac:dyDescent="0.25">
      <c r="A480" t="str">
        <f>"18/05/2011"</f>
        <v>18/05/2011</v>
      </c>
      <c r="B480" t="str">
        <f>"0.7896"</f>
        <v>0.7896</v>
      </c>
      <c r="C480" t="str">
        <f>"0.788"</f>
        <v>0.788</v>
      </c>
    </row>
    <row r="481" spans="1:3" x14ac:dyDescent="0.25">
      <c r="A481" t="str">
        <f>"19/05/2011"</f>
        <v>19/05/2011</v>
      </c>
      <c r="B481" t="str">
        <f>"0.7924"</f>
        <v>0.7924</v>
      </c>
      <c r="C481" t="str">
        <f>"0.7907"</f>
        <v>0.7907</v>
      </c>
    </row>
    <row r="482" spans="1:3" x14ac:dyDescent="0.25">
      <c r="A482" t="str">
        <f>"20/05/2011"</f>
        <v>20/05/2011</v>
      </c>
      <c r="B482" t="str">
        <f>"0.7916"</f>
        <v>0.7916</v>
      </c>
      <c r="C482" t="str">
        <f>"0.7899"</f>
        <v>0.7899</v>
      </c>
    </row>
    <row r="483" spans="1:3" x14ac:dyDescent="0.25">
      <c r="A483" t="str">
        <f>"23/05/2011"</f>
        <v>23/05/2011</v>
      </c>
      <c r="B483" t="str">
        <f>"0.7902"</f>
        <v>0.7902</v>
      </c>
      <c r="C483" t="str">
        <f>"0.7885"</f>
        <v>0.7885</v>
      </c>
    </row>
    <row r="484" spans="1:3" x14ac:dyDescent="0.25">
      <c r="A484" t="str">
        <f>"24/05/2011"</f>
        <v>24/05/2011</v>
      </c>
      <c r="B484" t="str">
        <f>"0.7958"</f>
        <v>0.7958</v>
      </c>
      <c r="C484" t="str">
        <f>"0.794"</f>
        <v>0.794</v>
      </c>
    </row>
    <row r="485" spans="1:3" x14ac:dyDescent="0.25">
      <c r="A485" t="str">
        <f>"25/05/2011"</f>
        <v>25/05/2011</v>
      </c>
      <c r="B485" t="str">
        <f>"0.7932"</f>
        <v>0.7932</v>
      </c>
      <c r="C485" t="str">
        <f>"0.7915"</f>
        <v>0.7915</v>
      </c>
    </row>
    <row r="486" spans="1:3" x14ac:dyDescent="0.25">
      <c r="A486" t="str">
        <f>"26/05/2011"</f>
        <v>26/05/2011</v>
      </c>
      <c r="B486" t="str">
        <f>"0.8064"</f>
        <v>0.8064</v>
      </c>
      <c r="C486" t="str">
        <f>"0.8048"</f>
        <v>0.8048</v>
      </c>
    </row>
    <row r="487" spans="1:3" x14ac:dyDescent="0.25">
      <c r="A487" t="str">
        <f>"27/05/2011"</f>
        <v>27/05/2011</v>
      </c>
      <c r="B487" t="str">
        <f>"0.818"</f>
        <v>0.818</v>
      </c>
      <c r="C487" t="str">
        <f>"0.8163"</f>
        <v>0.8163</v>
      </c>
    </row>
    <row r="488" spans="1:3" x14ac:dyDescent="0.25">
      <c r="A488" t="str">
        <f>"30/05/2011"</f>
        <v>30/05/2011</v>
      </c>
      <c r="B488" t="str">
        <f>"0.8181"</f>
        <v>0.8181</v>
      </c>
      <c r="C488" t="str">
        <f>"0.8164"</f>
        <v>0.8164</v>
      </c>
    </row>
    <row r="489" spans="1:3" x14ac:dyDescent="0.25">
      <c r="A489" t="str">
        <f>"31/05/2011"</f>
        <v>31/05/2011</v>
      </c>
      <c r="B489" t="str">
        <f>"0.8246"</f>
        <v>0.8246</v>
      </c>
      <c r="C489" t="str">
        <f>"0.8228"</f>
        <v>0.8228</v>
      </c>
    </row>
    <row r="490" spans="1:3" x14ac:dyDescent="0.25">
      <c r="A490" t="str">
        <f>"01/06/2011"</f>
        <v>01/06/2011</v>
      </c>
      <c r="B490" t="str">
        <f>"0.8219"</f>
        <v>0.8219</v>
      </c>
      <c r="C490" t="str">
        <f>"0.8201"</f>
        <v>0.8201</v>
      </c>
    </row>
    <row r="491" spans="1:3" x14ac:dyDescent="0.25">
      <c r="A491" t="str">
        <f>"02/06/2011"</f>
        <v>02/06/2011</v>
      </c>
      <c r="B491" t="str">
        <f>"0.8123"</f>
        <v>0.8123</v>
      </c>
      <c r="C491" t="str">
        <f>"0.8106"</f>
        <v>0.8106</v>
      </c>
    </row>
    <row r="492" spans="1:3" x14ac:dyDescent="0.25">
      <c r="A492" t="str">
        <f>"03/06/2011"</f>
        <v>03/06/2011</v>
      </c>
      <c r="B492" t="str">
        <f>"0.8159"</f>
        <v>0.8159</v>
      </c>
      <c r="C492" t="str">
        <f>"0.8143"</f>
        <v>0.8143</v>
      </c>
    </row>
    <row r="493" spans="1:3" x14ac:dyDescent="0.25">
      <c r="A493" t="str">
        <f>"06/06/2011"</f>
        <v>06/06/2011</v>
      </c>
      <c r="B493" t="str">
        <f>"0.8161"</f>
        <v>0.8161</v>
      </c>
      <c r="C493" t="str">
        <f>"0.8144"</f>
        <v>0.8144</v>
      </c>
    </row>
    <row r="494" spans="1:3" x14ac:dyDescent="0.25">
      <c r="A494" t="str">
        <f>"07/06/2011"</f>
        <v>07/06/2011</v>
      </c>
      <c r="B494" t="str">
        <f>"0.8163"</f>
        <v>0.8163</v>
      </c>
      <c r="C494" t="str">
        <f>"0.8145"</f>
        <v>0.8145</v>
      </c>
    </row>
    <row r="495" spans="1:3" x14ac:dyDescent="0.25">
      <c r="A495" t="str">
        <f>"08/06/2011"</f>
        <v>08/06/2011</v>
      </c>
      <c r="B495" t="str">
        <f>"0.8166"</f>
        <v>0.8166</v>
      </c>
      <c r="C495" t="str">
        <f>"0.8149"</f>
        <v>0.8149</v>
      </c>
    </row>
    <row r="496" spans="1:3" x14ac:dyDescent="0.25">
      <c r="A496" t="str">
        <f>"09/06/2011"</f>
        <v>09/06/2011</v>
      </c>
      <c r="B496" t="str">
        <f>"0.8202"</f>
        <v>0.8202</v>
      </c>
      <c r="C496" t="str">
        <f>"0.8185"</f>
        <v>0.8185</v>
      </c>
    </row>
    <row r="497" spans="1:3" x14ac:dyDescent="0.25">
      <c r="A497" t="str">
        <f>"13/06/2011"</f>
        <v>13/06/2011</v>
      </c>
      <c r="B497" t="str">
        <f>"0.8133"</f>
        <v>0.8133</v>
      </c>
      <c r="C497" t="str">
        <f>"0.8116"</f>
        <v>0.8116</v>
      </c>
    </row>
    <row r="498" spans="1:3" x14ac:dyDescent="0.25">
      <c r="A498" t="str">
        <f>"14/06/2011"</f>
        <v>14/06/2011</v>
      </c>
      <c r="B498" t="str">
        <f>"0.8183"</f>
        <v>0.8183</v>
      </c>
      <c r="C498" t="str">
        <f>"0.8165"</f>
        <v>0.8165</v>
      </c>
    </row>
    <row r="499" spans="1:3" x14ac:dyDescent="0.25">
      <c r="A499" t="str">
        <f>"15/06/2011"</f>
        <v>15/06/2011</v>
      </c>
      <c r="B499" t="str">
        <f>"0.8145"</f>
        <v>0.8145</v>
      </c>
      <c r="C499" t="str">
        <f>"0.8128"</f>
        <v>0.8128</v>
      </c>
    </row>
    <row r="500" spans="1:3" x14ac:dyDescent="0.25">
      <c r="A500" t="str">
        <f>"16/06/2011"</f>
        <v>16/06/2011</v>
      </c>
      <c r="B500" t="str">
        <f>"0.8011"</f>
        <v>0.8011</v>
      </c>
      <c r="C500" t="str">
        <f>"0.7995"</f>
        <v>0.7995</v>
      </c>
    </row>
    <row r="501" spans="1:3" x14ac:dyDescent="0.25">
      <c r="A501" t="str">
        <f>"17/06/2011"</f>
        <v>17/06/2011</v>
      </c>
      <c r="B501" t="str">
        <f>"0.8025"</f>
        <v>0.8025</v>
      </c>
      <c r="C501" t="str">
        <f>"0.8008"</f>
        <v>0.8008</v>
      </c>
    </row>
    <row r="502" spans="1:3" x14ac:dyDescent="0.25">
      <c r="A502" t="str">
        <f>"20/06/2011"</f>
        <v>20/06/2011</v>
      </c>
      <c r="B502" t="str">
        <f>"0.8073"</f>
        <v>0.8073</v>
      </c>
      <c r="C502" t="str">
        <f>"0.8057"</f>
        <v>0.8057</v>
      </c>
    </row>
    <row r="503" spans="1:3" x14ac:dyDescent="0.25">
      <c r="A503" t="str">
        <f>"21/06/2011"</f>
        <v>21/06/2011</v>
      </c>
      <c r="B503" t="str">
        <f>"0.8089"</f>
        <v>0.8089</v>
      </c>
      <c r="C503" t="str">
        <f>"0.8072"</f>
        <v>0.8072</v>
      </c>
    </row>
    <row r="504" spans="1:3" x14ac:dyDescent="0.25">
      <c r="A504" t="str">
        <f>"22/06/2011"</f>
        <v>22/06/2011</v>
      </c>
      <c r="B504" t="str">
        <f>"0.8116"</f>
        <v>0.8116</v>
      </c>
      <c r="C504" t="str">
        <f>"0.8099"</f>
        <v>0.8099</v>
      </c>
    </row>
    <row r="505" spans="1:3" x14ac:dyDescent="0.25">
      <c r="A505" t="str">
        <f>"23/06/2011"</f>
        <v>23/06/2011</v>
      </c>
      <c r="B505" t="str">
        <f>"0.8167"</f>
        <v>0.8167</v>
      </c>
      <c r="C505" t="str">
        <f>"0.8151"</f>
        <v>0.8151</v>
      </c>
    </row>
    <row r="506" spans="1:3" x14ac:dyDescent="0.25">
      <c r="A506" t="str">
        <f>"24/06/2011"</f>
        <v>24/06/2011</v>
      </c>
      <c r="B506" t="str">
        <f>"0.8129"</f>
        <v>0.8129</v>
      </c>
      <c r="C506" t="str">
        <f>"0.8113"</f>
        <v>0.8113</v>
      </c>
    </row>
    <row r="507" spans="1:3" x14ac:dyDescent="0.25">
      <c r="A507" t="str">
        <f>"27/06/2011"</f>
        <v>27/06/2011</v>
      </c>
      <c r="B507" t="str">
        <f>"0.8027"</f>
        <v>0.8027</v>
      </c>
      <c r="C507" t="str">
        <f>"0.8011"</f>
        <v>0.8011</v>
      </c>
    </row>
    <row r="508" spans="1:3" x14ac:dyDescent="0.25">
      <c r="A508" t="str">
        <f>"28/06/2011"</f>
        <v>28/06/2011</v>
      </c>
      <c r="B508" t="str">
        <f>"0.804"</f>
        <v>0.804</v>
      </c>
      <c r="C508" t="str">
        <f>"0.8024"</f>
        <v>0.8024</v>
      </c>
    </row>
    <row r="509" spans="1:3" x14ac:dyDescent="0.25">
      <c r="A509" t="str">
        <f>"29/06/2011"</f>
        <v>29/06/2011</v>
      </c>
      <c r="B509" t="str">
        <f>"0.8117"</f>
        <v>0.8117</v>
      </c>
      <c r="C509" t="str">
        <f>"0.81"</f>
        <v>0.81</v>
      </c>
    </row>
    <row r="510" spans="1:3" x14ac:dyDescent="0.25">
      <c r="A510" t="str">
        <f>"30/06/2011"</f>
        <v>30/06/2011</v>
      </c>
      <c r="B510" t="str">
        <f>"0.8304"</f>
        <v>0.8304</v>
      </c>
      <c r="C510" t="str">
        <f>"0.8286"</f>
        <v>0.8286</v>
      </c>
    </row>
    <row r="511" spans="1:3" x14ac:dyDescent="0.25">
      <c r="A511" t="str">
        <f>"01/07/2011"</f>
        <v>01/07/2011</v>
      </c>
      <c r="B511" t="str">
        <f>"0.8253"</f>
        <v>0.8253</v>
      </c>
      <c r="C511" t="str">
        <f>"0.8236"</f>
        <v>0.8236</v>
      </c>
    </row>
    <row r="512" spans="1:3" x14ac:dyDescent="0.25">
      <c r="A512" t="str">
        <f>"04/07/2011"</f>
        <v>04/07/2011</v>
      </c>
      <c r="B512" t="str">
        <f>"0.8298"</f>
        <v>0.8298</v>
      </c>
      <c r="C512" t="str">
        <f>"0.8281"</f>
        <v>0.8281</v>
      </c>
    </row>
    <row r="513" spans="1:3" x14ac:dyDescent="0.25">
      <c r="A513" t="str">
        <f>"05/07/2011"</f>
        <v>05/07/2011</v>
      </c>
      <c r="B513" t="str">
        <f>"0.8286"</f>
        <v>0.8286</v>
      </c>
      <c r="C513" t="str">
        <f>"0.8268"</f>
        <v>0.8268</v>
      </c>
    </row>
    <row r="514" spans="1:3" x14ac:dyDescent="0.25">
      <c r="A514" t="str">
        <f>"06/07/2011"</f>
        <v>06/07/2011</v>
      </c>
      <c r="B514" t="str">
        <f>"0.8292"</f>
        <v>0.8292</v>
      </c>
      <c r="C514" t="str">
        <f>"0.8275"</f>
        <v>0.8275</v>
      </c>
    </row>
    <row r="515" spans="1:3" x14ac:dyDescent="0.25">
      <c r="A515" t="str">
        <f>"07/07/2011"</f>
        <v>07/07/2011</v>
      </c>
      <c r="B515" t="str">
        <f>"0.827"</f>
        <v>0.827</v>
      </c>
      <c r="C515" t="str">
        <f>"0.8252"</f>
        <v>0.8252</v>
      </c>
    </row>
    <row r="516" spans="1:3" x14ac:dyDescent="0.25">
      <c r="A516" t="str">
        <f>"08/07/2011"</f>
        <v>08/07/2011</v>
      </c>
      <c r="B516" t="str">
        <f>"0.8314"</f>
        <v>0.8314</v>
      </c>
      <c r="C516" t="str">
        <f>"0.8296"</f>
        <v>0.8296</v>
      </c>
    </row>
    <row r="517" spans="1:3" x14ac:dyDescent="0.25">
      <c r="A517" t="str">
        <f>"11/07/2011"</f>
        <v>11/07/2011</v>
      </c>
      <c r="B517" t="str">
        <f>"0.8343"</f>
        <v>0.8343</v>
      </c>
      <c r="C517" t="str">
        <f>"0.8325"</f>
        <v>0.8325</v>
      </c>
    </row>
    <row r="518" spans="1:3" x14ac:dyDescent="0.25">
      <c r="A518" t="str">
        <f>"12/07/2011"</f>
        <v>12/07/2011</v>
      </c>
      <c r="B518" t="str">
        <f>"0.8193"</f>
        <v>0.8193</v>
      </c>
      <c r="C518" t="str">
        <f>"0.8175"</f>
        <v>0.8175</v>
      </c>
    </row>
    <row r="519" spans="1:3" x14ac:dyDescent="0.25">
      <c r="A519" t="str">
        <f>"13/07/2011"</f>
        <v>13/07/2011</v>
      </c>
      <c r="B519" t="str">
        <f>"0.8217"</f>
        <v>0.8217</v>
      </c>
      <c r="C519" t="str">
        <f>"0.82"</f>
        <v>0.82</v>
      </c>
    </row>
    <row r="520" spans="1:3" x14ac:dyDescent="0.25">
      <c r="A520" t="str">
        <f>"14/07/2011"</f>
        <v>14/07/2011</v>
      </c>
      <c r="B520" t="str">
        <f>"0.8428"</f>
        <v>0.8428</v>
      </c>
      <c r="C520" t="str">
        <f>"0.841"</f>
        <v>0.841</v>
      </c>
    </row>
    <row r="521" spans="1:3" x14ac:dyDescent="0.25">
      <c r="A521" t="str">
        <f>"15/07/2011"</f>
        <v>15/07/2011</v>
      </c>
      <c r="B521" t="str">
        <f>"0.8415"</f>
        <v>0.8415</v>
      </c>
      <c r="C521" t="str">
        <f>"0.8397"</f>
        <v>0.8397</v>
      </c>
    </row>
    <row r="522" spans="1:3" x14ac:dyDescent="0.25">
      <c r="A522" t="str">
        <f>"18/07/2011"</f>
        <v>18/07/2011</v>
      </c>
      <c r="B522" t="str">
        <f>"0.8426"</f>
        <v>0.8426</v>
      </c>
      <c r="C522" t="str">
        <f>"0.8407"</f>
        <v>0.8407</v>
      </c>
    </row>
    <row r="523" spans="1:3" x14ac:dyDescent="0.25">
      <c r="A523" t="str">
        <f>"19/07/2011"</f>
        <v>19/07/2011</v>
      </c>
      <c r="B523" t="str">
        <f>"0.8463"</f>
        <v>0.8463</v>
      </c>
      <c r="C523" t="str">
        <f>"0.8444"</f>
        <v>0.8444</v>
      </c>
    </row>
    <row r="524" spans="1:3" x14ac:dyDescent="0.25">
      <c r="A524" t="str">
        <f>"20/07/2011"</f>
        <v>20/07/2011</v>
      </c>
      <c r="B524" t="str">
        <f>"0.8543"</f>
        <v>0.8543</v>
      </c>
      <c r="C524" t="str">
        <f>"0.8524"</f>
        <v>0.8524</v>
      </c>
    </row>
    <row r="525" spans="1:3" x14ac:dyDescent="0.25">
      <c r="A525" t="str">
        <f>"21/07/2011"</f>
        <v>21/07/2011</v>
      </c>
      <c r="B525" t="str">
        <f>"0.8565"</f>
        <v>0.8565</v>
      </c>
      <c r="C525" t="str">
        <f>"0.8546"</f>
        <v>0.8546</v>
      </c>
    </row>
    <row r="526" spans="1:3" x14ac:dyDescent="0.25">
      <c r="A526" t="str">
        <f>"22/07/2011"</f>
        <v>22/07/2011</v>
      </c>
      <c r="B526" t="str">
        <f>"0.861"</f>
        <v>0.861</v>
      </c>
      <c r="C526" t="str">
        <f>"0.8592"</f>
        <v>0.8592</v>
      </c>
    </row>
    <row r="527" spans="1:3" x14ac:dyDescent="0.25">
      <c r="A527" t="str">
        <f>"25/07/2011"</f>
        <v>25/07/2011</v>
      </c>
      <c r="B527" t="str">
        <f>"0.8653"</f>
        <v>0.8653</v>
      </c>
      <c r="C527" t="str">
        <f>"0.8634"</f>
        <v>0.8634</v>
      </c>
    </row>
    <row r="528" spans="1:3" x14ac:dyDescent="0.25">
      <c r="A528" t="str">
        <f>"26/07/2011"</f>
        <v>26/07/2011</v>
      </c>
      <c r="B528" t="str">
        <f>"0.8692"</f>
        <v>0.8692</v>
      </c>
      <c r="C528" t="str">
        <f>"0.8672"</f>
        <v>0.8672</v>
      </c>
    </row>
    <row r="529" spans="1:3" x14ac:dyDescent="0.25">
      <c r="A529" t="str">
        <f>"27/07/2011"</f>
        <v>27/07/2011</v>
      </c>
      <c r="B529" t="str">
        <f>"0.874"</f>
        <v>0.874</v>
      </c>
      <c r="C529" t="str">
        <f>"0.872"</f>
        <v>0.872</v>
      </c>
    </row>
    <row r="530" spans="1:3" x14ac:dyDescent="0.25">
      <c r="A530" t="str">
        <f>"28/07/2011"</f>
        <v>28/07/2011</v>
      </c>
      <c r="B530" t="str">
        <f>"0.8717"</f>
        <v>0.8717</v>
      </c>
      <c r="C530" t="str">
        <f>"0.8699"</f>
        <v>0.8699</v>
      </c>
    </row>
    <row r="531" spans="1:3" x14ac:dyDescent="0.25">
      <c r="A531" t="str">
        <f>"29/07/2011"</f>
        <v>29/07/2011</v>
      </c>
      <c r="B531" t="str">
        <f>"0.8667"</f>
        <v>0.8667</v>
      </c>
      <c r="C531" t="str">
        <f>"0.8648"</f>
        <v>0.8648</v>
      </c>
    </row>
    <row r="532" spans="1:3" x14ac:dyDescent="0.25">
      <c r="A532" t="str">
        <f>"01/08/2011"</f>
        <v>01/08/2011</v>
      </c>
      <c r="B532" t="str">
        <f>"0.8818"</f>
        <v>0.8818</v>
      </c>
      <c r="C532" t="str">
        <f>"0.88"</f>
        <v>0.88</v>
      </c>
    </row>
    <row r="533" spans="1:3" x14ac:dyDescent="0.25">
      <c r="A533" t="str">
        <f>"02/08/2011"</f>
        <v>02/08/2011</v>
      </c>
      <c r="B533" t="str">
        <f>"0.8745"</f>
        <v>0.8745</v>
      </c>
      <c r="C533" t="str">
        <f>"0.8726"</f>
        <v>0.8726</v>
      </c>
    </row>
    <row r="534" spans="1:3" x14ac:dyDescent="0.25">
      <c r="A534" t="str">
        <f>"03/08/2011"</f>
        <v>03/08/2011</v>
      </c>
      <c r="B534" t="str">
        <f>"0.8629"</f>
        <v>0.8629</v>
      </c>
      <c r="C534" t="str">
        <f>"0.861"</f>
        <v>0.861</v>
      </c>
    </row>
    <row r="535" spans="1:3" x14ac:dyDescent="0.25">
      <c r="A535" t="str">
        <f>"04/08/2011"</f>
        <v>04/08/2011</v>
      </c>
      <c r="B535" t="str">
        <f>"0.8533"</f>
        <v>0.8533</v>
      </c>
      <c r="C535" t="str">
        <f>"0.8516"</f>
        <v>0.8516</v>
      </c>
    </row>
    <row r="536" spans="1:3" x14ac:dyDescent="0.25">
      <c r="A536" t="str">
        <f>"09/08/2011"</f>
        <v>09/08/2011</v>
      </c>
      <c r="B536" t="str">
        <f>"0.8128"</f>
        <v>0.8128</v>
      </c>
      <c r="C536" t="str">
        <f>"0.811"</f>
        <v>0.811</v>
      </c>
    </row>
    <row r="537" spans="1:3" x14ac:dyDescent="0.25">
      <c r="A537" t="str">
        <f>"10/08/2011"</f>
        <v>10/08/2011</v>
      </c>
      <c r="B537" t="str">
        <f>"0.8318"</f>
        <v>0.8318</v>
      </c>
      <c r="C537" t="str">
        <f>"0.8299"</f>
        <v>0.8299</v>
      </c>
    </row>
    <row r="538" spans="1:3" x14ac:dyDescent="0.25">
      <c r="A538" t="str">
        <f>"11/08/2011"</f>
        <v>11/08/2011</v>
      </c>
      <c r="B538" t="str">
        <f>"0.8184"</f>
        <v>0.8184</v>
      </c>
      <c r="C538" t="str">
        <f>"0.8166"</f>
        <v>0.8166</v>
      </c>
    </row>
    <row r="539" spans="1:3" x14ac:dyDescent="0.25">
      <c r="A539" t="str">
        <f>"12/08/2011"</f>
        <v>12/08/2011</v>
      </c>
      <c r="B539" t="str">
        <f>"0.8225"</f>
        <v>0.8225</v>
      </c>
      <c r="C539" t="str">
        <f>"0.8207"</f>
        <v>0.8207</v>
      </c>
    </row>
    <row r="540" spans="1:3" x14ac:dyDescent="0.25">
      <c r="A540" t="str">
        <f>"16/08/2011"</f>
        <v>16/08/2011</v>
      </c>
      <c r="B540" t="str">
        <f>"0.832"</f>
        <v>0.832</v>
      </c>
      <c r="C540" t="str">
        <f>"0.8301"</f>
        <v>0.8301</v>
      </c>
    </row>
    <row r="541" spans="1:3" x14ac:dyDescent="0.25">
      <c r="A541" t="str">
        <f>"17/08/2011"</f>
        <v>17/08/2011</v>
      </c>
      <c r="B541" t="str">
        <f>"0.8336"</f>
        <v>0.8336</v>
      </c>
      <c r="C541" t="str">
        <f>"0.8317"</f>
        <v>0.8317</v>
      </c>
    </row>
    <row r="542" spans="1:3" x14ac:dyDescent="0.25">
      <c r="A542" t="str">
        <f>"18/08/2011"</f>
        <v>18/08/2011</v>
      </c>
      <c r="B542" t="str">
        <f>"0.8324"</f>
        <v>0.8324</v>
      </c>
      <c r="C542" t="str">
        <f>"0.8305"</f>
        <v>0.8305</v>
      </c>
    </row>
    <row r="543" spans="1:3" x14ac:dyDescent="0.25">
      <c r="A543" t="str">
        <f>"19/08/2011"</f>
        <v>19/08/2011</v>
      </c>
      <c r="B543" t="str">
        <f>"0.8219"</f>
        <v>0.8219</v>
      </c>
      <c r="C543" t="str">
        <f>"0.8201"</f>
        <v>0.8201</v>
      </c>
    </row>
    <row r="544" spans="1:3" x14ac:dyDescent="0.25">
      <c r="A544" t="str">
        <f>"22/08/2011"</f>
        <v>22/08/2011</v>
      </c>
      <c r="B544" t="str">
        <f>"0.8179"</f>
        <v>0.8179</v>
      </c>
      <c r="C544" t="str">
        <f>"0.8161"</f>
        <v>0.8161</v>
      </c>
    </row>
    <row r="545" spans="1:3" x14ac:dyDescent="0.25">
      <c r="A545" t="str">
        <f>"23/08/2011"</f>
        <v>23/08/2011</v>
      </c>
      <c r="B545" t="str">
        <f>"0.8269"</f>
        <v>0.8269</v>
      </c>
      <c r="C545" t="str">
        <f>"0.825"</f>
        <v>0.825</v>
      </c>
    </row>
    <row r="546" spans="1:3" x14ac:dyDescent="0.25">
      <c r="A546" t="str">
        <f>"24/08/2011"</f>
        <v>24/08/2011</v>
      </c>
      <c r="B546" t="str">
        <f>"0.8295"</f>
        <v>0.8295</v>
      </c>
      <c r="C546" t="str">
        <f>"0.8277"</f>
        <v>0.8277</v>
      </c>
    </row>
    <row r="547" spans="1:3" x14ac:dyDescent="0.25">
      <c r="A547" t="str">
        <f>"25/08/2011"</f>
        <v>25/08/2011</v>
      </c>
      <c r="B547" t="str">
        <f>"0.8296"</f>
        <v>0.8296</v>
      </c>
      <c r="C547" t="str">
        <f>"0.8277"</f>
        <v>0.8277</v>
      </c>
    </row>
    <row r="548" spans="1:3" x14ac:dyDescent="0.25">
      <c r="A548" t="str">
        <f>"26/08/2011"</f>
        <v>26/08/2011</v>
      </c>
      <c r="B548" t="str">
        <f>"0.8311"</f>
        <v>0.8311</v>
      </c>
      <c r="C548" t="str">
        <f>"0.8293"</f>
        <v>0.8293</v>
      </c>
    </row>
    <row r="549" spans="1:3" x14ac:dyDescent="0.25">
      <c r="A549" t="str">
        <f>"29/08/2011"</f>
        <v>29/08/2011</v>
      </c>
      <c r="B549" t="str">
        <f>"0.8455"</f>
        <v>0.8455</v>
      </c>
      <c r="C549" t="str">
        <f>"0.8437"</f>
        <v>0.8437</v>
      </c>
    </row>
    <row r="550" spans="1:3" x14ac:dyDescent="0.25">
      <c r="A550" t="str">
        <f>"30/08/2011"</f>
        <v>30/08/2011</v>
      </c>
      <c r="B550" t="str">
        <f>"0.8516"</f>
        <v>0.8516</v>
      </c>
      <c r="C550" t="str">
        <f>"0.8497"</f>
        <v>0.8497</v>
      </c>
    </row>
    <row r="551" spans="1:3" x14ac:dyDescent="0.25">
      <c r="A551" t="str">
        <f>"02/09/2011"</f>
        <v>02/09/2011</v>
      </c>
      <c r="B551" t="str">
        <f>"0.8502"</f>
        <v>0.8502</v>
      </c>
      <c r="C551" t="str">
        <f>"0.8484"</f>
        <v>0.8484</v>
      </c>
    </row>
    <row r="552" spans="1:3" x14ac:dyDescent="0.25">
      <c r="A552" t="str">
        <f>"05/09/2011"</f>
        <v>05/09/2011</v>
      </c>
      <c r="B552" t="str">
        <f>"0.8444"</f>
        <v>0.8444</v>
      </c>
      <c r="C552" t="str">
        <f>"0.8426"</f>
        <v>0.8426</v>
      </c>
    </row>
    <row r="553" spans="1:3" x14ac:dyDescent="0.25">
      <c r="A553" t="str">
        <f>"06/09/2011"</f>
        <v>06/09/2011</v>
      </c>
      <c r="B553" t="str">
        <f>"0.8291"</f>
        <v>0.8291</v>
      </c>
      <c r="C553" t="str">
        <f>"0.8273"</f>
        <v>0.8273</v>
      </c>
    </row>
    <row r="554" spans="1:3" x14ac:dyDescent="0.25">
      <c r="A554" t="str">
        <f>"07/09/2011"</f>
        <v>07/09/2011</v>
      </c>
      <c r="B554" t="str">
        <f>"0.8265"</f>
        <v>0.8265</v>
      </c>
      <c r="C554" t="str">
        <f>"0.8246"</f>
        <v>0.8246</v>
      </c>
    </row>
    <row r="555" spans="1:3" x14ac:dyDescent="0.25">
      <c r="A555" t="str">
        <f>"08/09/2011"</f>
        <v>08/09/2011</v>
      </c>
      <c r="B555" t="str">
        <f>"0.8324"</f>
        <v>0.8324</v>
      </c>
      <c r="C555" t="str">
        <f>"0.8304"</f>
        <v>0.8304</v>
      </c>
    </row>
    <row r="556" spans="1:3" x14ac:dyDescent="0.25">
      <c r="A556" t="str">
        <f>"09/09/2011"</f>
        <v>09/09/2011</v>
      </c>
      <c r="B556" t="str">
        <f>"0.835"</f>
        <v>0.835</v>
      </c>
      <c r="C556" t="str">
        <f>"0.8332"</f>
        <v>0.8332</v>
      </c>
    </row>
    <row r="557" spans="1:3" x14ac:dyDescent="0.25">
      <c r="A557" t="str">
        <f>"12/09/2011"</f>
        <v>12/09/2011</v>
      </c>
      <c r="B557" t="str">
        <f>"0.8163"</f>
        <v>0.8163</v>
      </c>
      <c r="C557" t="str">
        <f>"0.8146"</f>
        <v>0.8146</v>
      </c>
    </row>
    <row r="558" spans="1:3" x14ac:dyDescent="0.25">
      <c r="A558" t="str">
        <f>"13/09/2011"</f>
        <v>13/09/2011</v>
      </c>
      <c r="B558" t="str">
        <f>"0.8238"</f>
        <v>0.8238</v>
      </c>
      <c r="C558" t="str">
        <f>"0.8219"</f>
        <v>0.8219</v>
      </c>
    </row>
    <row r="559" spans="1:3" x14ac:dyDescent="0.25">
      <c r="A559" t="str">
        <f>"14/09/2011"</f>
        <v>14/09/2011</v>
      </c>
      <c r="B559" t="str">
        <f>"0.8169"</f>
        <v>0.8169</v>
      </c>
      <c r="C559" t="str">
        <f>"0.8152"</f>
        <v>0.8152</v>
      </c>
    </row>
    <row r="560" spans="1:3" x14ac:dyDescent="0.25">
      <c r="A560" t="str">
        <f>"15/09/2011"</f>
        <v>15/09/2011</v>
      </c>
      <c r="B560" t="str">
        <f>"0.8135"</f>
        <v>0.8135</v>
      </c>
      <c r="C560" t="str">
        <f>"0.8118"</f>
        <v>0.8118</v>
      </c>
    </row>
    <row r="561" spans="1:3" x14ac:dyDescent="0.25">
      <c r="A561" t="str">
        <f>"16/09/2011"</f>
        <v>16/09/2011</v>
      </c>
      <c r="B561" t="str">
        <f>"0.8251"</f>
        <v>0.8251</v>
      </c>
      <c r="C561" t="str">
        <f>"0.8233"</f>
        <v>0.8233</v>
      </c>
    </row>
    <row r="562" spans="1:3" x14ac:dyDescent="0.25">
      <c r="A562" t="str">
        <f>"19/09/2011"</f>
        <v>19/09/2011</v>
      </c>
      <c r="B562" t="str">
        <f>"0.8229"</f>
        <v>0.8229</v>
      </c>
      <c r="C562" t="str">
        <f>"0.8211"</f>
        <v>0.8211</v>
      </c>
    </row>
    <row r="563" spans="1:3" x14ac:dyDescent="0.25">
      <c r="A563" t="str">
        <f>"20/09/2011"</f>
        <v>20/09/2011</v>
      </c>
      <c r="B563" t="str">
        <f>"0.8203"</f>
        <v>0.8203</v>
      </c>
      <c r="C563" t="str">
        <f>"0.8183"</f>
        <v>0.8183</v>
      </c>
    </row>
    <row r="564" spans="1:3" x14ac:dyDescent="0.25">
      <c r="A564" t="str">
        <f>"21/09/2011"</f>
        <v>21/09/2011</v>
      </c>
      <c r="B564" t="str">
        <f>"0.8232"</f>
        <v>0.8232</v>
      </c>
      <c r="C564" t="str">
        <f>"0.8213"</f>
        <v>0.8213</v>
      </c>
    </row>
    <row r="565" spans="1:3" x14ac:dyDescent="0.25">
      <c r="A565" t="str">
        <f>"22/09/2011"</f>
        <v>22/09/2011</v>
      </c>
      <c r="B565" t="str">
        <f>"0.7971"</f>
        <v>0.7971</v>
      </c>
      <c r="C565" t="str">
        <f>"0.7954"</f>
        <v>0.7954</v>
      </c>
    </row>
    <row r="566" spans="1:3" x14ac:dyDescent="0.25">
      <c r="A566" t="str">
        <f>"23/09/2011"</f>
        <v>23/09/2011</v>
      </c>
      <c r="B566" t="str">
        <f>"0.7801"</f>
        <v>0.7801</v>
      </c>
      <c r="C566" t="str">
        <f>"0.7785"</f>
        <v>0.7785</v>
      </c>
    </row>
    <row r="567" spans="1:3" x14ac:dyDescent="0.25">
      <c r="A567" t="str">
        <f>"26/09/2011"</f>
        <v>26/09/2011</v>
      </c>
      <c r="B567" t="str">
        <f>"0.7702"</f>
        <v>0.7702</v>
      </c>
      <c r="C567" t="str">
        <f>"0.7686"</f>
        <v>0.7686</v>
      </c>
    </row>
    <row r="568" spans="1:3" x14ac:dyDescent="0.25">
      <c r="A568" t="str">
        <f>"27/09/2011"</f>
        <v>27/09/2011</v>
      </c>
      <c r="B568" t="str">
        <f>"0.7817"</f>
        <v>0.7817</v>
      </c>
      <c r="C568" t="str">
        <f>"0.7799"</f>
        <v>0.7799</v>
      </c>
    </row>
    <row r="569" spans="1:3" x14ac:dyDescent="0.25">
      <c r="A569" t="str">
        <f>"28/09/2011"</f>
        <v>28/09/2011</v>
      </c>
      <c r="B569" t="str">
        <f>"0.7846"</f>
        <v>0.7846</v>
      </c>
      <c r="C569" t="str">
        <f>"0.7829"</f>
        <v>0.7829</v>
      </c>
    </row>
    <row r="570" spans="1:3" x14ac:dyDescent="0.25">
      <c r="A570" t="str">
        <f>"29/09/2011"</f>
        <v>29/09/2011</v>
      </c>
      <c r="B570" t="str">
        <f>"0.7799"</f>
        <v>0.7799</v>
      </c>
      <c r="C570" t="str">
        <f>"0.7782"</f>
        <v>0.7782</v>
      </c>
    </row>
    <row r="571" spans="1:3" x14ac:dyDescent="0.25">
      <c r="A571" t="str">
        <f>"30/09/2011"</f>
        <v>30/09/2011</v>
      </c>
      <c r="B571" t="str">
        <f>"0.765"</f>
        <v>0.765</v>
      </c>
      <c r="C571" t="str">
        <f>"0.7634"</f>
        <v>0.7634</v>
      </c>
    </row>
    <row r="572" spans="1:3" x14ac:dyDescent="0.25">
      <c r="A572" t="str">
        <f>"03/10/2011"</f>
        <v>03/10/2011</v>
      </c>
      <c r="B572" t="str">
        <f>"0.7599"</f>
        <v>0.7599</v>
      </c>
      <c r="C572" t="str">
        <f>"0.7581"</f>
        <v>0.7581</v>
      </c>
    </row>
    <row r="573" spans="1:3" x14ac:dyDescent="0.25">
      <c r="A573" t="str">
        <f>"04/10/2011"</f>
        <v>04/10/2011</v>
      </c>
      <c r="B573" t="str">
        <f>"0.7561"</f>
        <v>0.7561</v>
      </c>
      <c r="C573" t="str">
        <f>"0.7543"</f>
        <v>0.7543</v>
      </c>
    </row>
    <row r="574" spans="1:3" x14ac:dyDescent="0.25">
      <c r="A574" t="str">
        <f>"05/10/2011"</f>
        <v>05/10/2011</v>
      </c>
      <c r="B574" t="str">
        <f>"0.7606"</f>
        <v>0.7606</v>
      </c>
      <c r="C574" t="str">
        <f>"0.7589"</f>
        <v>0.7589</v>
      </c>
    </row>
    <row r="575" spans="1:3" x14ac:dyDescent="0.25">
      <c r="A575" t="str">
        <f>"07/10/2011"</f>
        <v>07/10/2011</v>
      </c>
      <c r="B575" t="str">
        <f>"0.7735"</f>
        <v>0.7735</v>
      </c>
      <c r="C575" t="str">
        <f>"0.7716"</f>
        <v>0.7716</v>
      </c>
    </row>
    <row r="576" spans="1:3" x14ac:dyDescent="0.25">
      <c r="A576" t="str">
        <f>"10/10/2011"</f>
        <v>10/10/2011</v>
      </c>
      <c r="B576" t="str">
        <f>"0.7732"</f>
        <v>0.7732</v>
      </c>
      <c r="C576" t="str">
        <f>"0.7714"</f>
        <v>0.7714</v>
      </c>
    </row>
    <row r="577" spans="1:3" x14ac:dyDescent="0.25">
      <c r="A577" t="str">
        <f>"11/10/2011"</f>
        <v>11/10/2011</v>
      </c>
      <c r="B577" t="str">
        <f>"0.7819"</f>
        <v>0.7819</v>
      </c>
      <c r="C577" t="str">
        <f>"0.7802"</f>
        <v>0.7802</v>
      </c>
    </row>
    <row r="578" spans="1:3" x14ac:dyDescent="0.25">
      <c r="A578" t="str">
        <f>"12/10/2011"</f>
        <v>12/10/2011</v>
      </c>
      <c r="B578" t="str">
        <f>"0.7795"</f>
        <v>0.7795</v>
      </c>
      <c r="C578" t="str">
        <f>"0.7778"</f>
        <v>0.7778</v>
      </c>
    </row>
    <row r="579" spans="1:3" x14ac:dyDescent="0.25">
      <c r="A579" t="str">
        <f>"13/10/2011"</f>
        <v>13/10/2011</v>
      </c>
      <c r="B579" t="str">
        <f>"0.7948"</f>
        <v>0.7948</v>
      </c>
      <c r="C579" t="str">
        <f>"0.7931"</f>
        <v>0.7931</v>
      </c>
    </row>
    <row r="580" spans="1:3" x14ac:dyDescent="0.25">
      <c r="A580" t="str">
        <f>"14/10/2011"</f>
        <v>14/10/2011</v>
      </c>
      <c r="B580" t="str">
        <f>"0.7947"</f>
        <v>0.7947</v>
      </c>
      <c r="C580" t="str">
        <f>"0.793"</f>
        <v>0.793</v>
      </c>
    </row>
    <row r="581" spans="1:3" x14ac:dyDescent="0.25">
      <c r="A581" t="str">
        <f>"17/10/2011"</f>
        <v>17/10/2011</v>
      </c>
      <c r="B581" t="str">
        <f>"0.8021"</f>
        <v>0.8021</v>
      </c>
      <c r="C581" t="str">
        <f>"0.8002"</f>
        <v>0.8002</v>
      </c>
    </row>
    <row r="582" spans="1:3" x14ac:dyDescent="0.25">
      <c r="A582" t="str">
        <f>"18/10/2011"</f>
        <v>18/10/2011</v>
      </c>
      <c r="B582" t="str">
        <f>"0.792"</f>
        <v>0.792</v>
      </c>
      <c r="C582" t="str">
        <f>"0.7903"</f>
        <v>0.7903</v>
      </c>
    </row>
    <row r="583" spans="1:3" x14ac:dyDescent="0.25">
      <c r="A583" t="str">
        <f>"19/10/2011"</f>
        <v>19/10/2011</v>
      </c>
      <c r="B583" t="str">
        <f>"0.7969"</f>
        <v>0.7969</v>
      </c>
      <c r="C583" t="str">
        <f>"0.7952"</f>
        <v>0.7952</v>
      </c>
    </row>
    <row r="584" spans="1:3" x14ac:dyDescent="0.25">
      <c r="A584" t="str">
        <f>"20/10/2011"</f>
        <v>20/10/2011</v>
      </c>
      <c r="B584" t="str">
        <f>"0.7899"</f>
        <v>0.7899</v>
      </c>
      <c r="C584" t="str">
        <f>"0.7882"</f>
        <v>0.7882</v>
      </c>
    </row>
    <row r="585" spans="1:3" x14ac:dyDescent="0.25">
      <c r="A585" t="str">
        <f>"21/10/2011"</f>
        <v>21/10/2011</v>
      </c>
      <c r="B585" t="str">
        <f>"0.7922"</f>
        <v>0.7922</v>
      </c>
      <c r="C585" t="str">
        <f>"0.7903"</f>
        <v>0.7903</v>
      </c>
    </row>
    <row r="586" spans="1:3" x14ac:dyDescent="0.25">
      <c r="A586" t="str">
        <f>"24/10/2011"</f>
        <v>24/10/2011</v>
      </c>
      <c r="B586" t="str">
        <f>"0.8056"</f>
        <v>0.8056</v>
      </c>
      <c r="C586" t="str">
        <f>"0.8038"</f>
        <v>0.8038</v>
      </c>
    </row>
    <row r="587" spans="1:3" x14ac:dyDescent="0.25">
      <c r="A587" t="str">
        <f>"25/10/2011"</f>
        <v>25/10/2011</v>
      </c>
      <c r="B587" t="str">
        <f>"0.8048"</f>
        <v>0.8048</v>
      </c>
      <c r="C587" t="str">
        <f>"0.803"</f>
        <v>0.803</v>
      </c>
    </row>
    <row r="588" spans="1:3" x14ac:dyDescent="0.25">
      <c r="A588" t="str">
        <f>"28/10/2011"</f>
        <v>28/10/2011</v>
      </c>
      <c r="B588" t="str">
        <f>"0.8181"</f>
        <v>0.8181</v>
      </c>
      <c r="C588" t="str">
        <f>"0.8163"</f>
        <v>0.8163</v>
      </c>
    </row>
    <row r="589" spans="1:3" x14ac:dyDescent="0.25">
      <c r="A589" t="str">
        <f>"31/10/2011"</f>
        <v>31/10/2011</v>
      </c>
      <c r="B589" t="str">
        <f>"0.8094"</f>
        <v>0.8094</v>
      </c>
      <c r="C589" t="str">
        <f>"0.8076"</f>
        <v>0.8076</v>
      </c>
    </row>
    <row r="590" spans="1:3" x14ac:dyDescent="0.25">
      <c r="A590" t="str">
        <f>"01/11/2011"</f>
        <v>01/11/2011</v>
      </c>
      <c r="B590" t="str">
        <f>"0.8065"</f>
        <v>0.8065</v>
      </c>
      <c r="C590" t="str">
        <f>"0.8047"</f>
        <v>0.8047</v>
      </c>
    </row>
    <row r="591" spans="1:3" x14ac:dyDescent="0.25">
      <c r="A591" t="str">
        <f>"02/11/2011"</f>
        <v>02/11/2011</v>
      </c>
      <c r="B591" t="str">
        <f>"0.7933"</f>
        <v>0.7933</v>
      </c>
      <c r="C591" t="str">
        <f>"0.7915"</f>
        <v>0.7915</v>
      </c>
    </row>
    <row r="592" spans="1:3" x14ac:dyDescent="0.25">
      <c r="A592" t="str">
        <f>"03/11/2011"</f>
        <v>03/11/2011</v>
      </c>
      <c r="B592" t="str">
        <f>"0.7837"</f>
        <v>0.7837</v>
      </c>
      <c r="C592" t="str">
        <f>"0.782"</f>
        <v>0.782</v>
      </c>
    </row>
    <row r="593" spans="1:3" x14ac:dyDescent="0.25">
      <c r="A593" t="str">
        <f>"04/11/2011"</f>
        <v>04/11/2011</v>
      </c>
      <c r="B593" t="str">
        <f>"0.794"</f>
        <v>0.794</v>
      </c>
      <c r="C593" t="str">
        <f>"0.7923"</f>
        <v>0.7923</v>
      </c>
    </row>
    <row r="594" spans="1:3" x14ac:dyDescent="0.25">
      <c r="A594" t="str">
        <f>"08/11/2011"</f>
        <v>08/11/2011</v>
      </c>
      <c r="B594" t="str">
        <f>"0.7934"</f>
        <v>0.7934</v>
      </c>
      <c r="C594" t="str">
        <f>"0.7916"</f>
        <v>0.7916</v>
      </c>
    </row>
    <row r="595" spans="1:3" x14ac:dyDescent="0.25">
      <c r="A595" t="str">
        <f>"09/11/2011"</f>
        <v>09/11/2011</v>
      </c>
      <c r="B595" t="str">
        <f>"0.7955"</f>
        <v>0.7955</v>
      </c>
      <c r="C595" t="str">
        <f>"0.7938"</f>
        <v>0.7938</v>
      </c>
    </row>
    <row r="596" spans="1:3" x14ac:dyDescent="0.25">
      <c r="A596" t="str">
        <f>"11/11/2011"</f>
        <v>11/11/2011</v>
      </c>
      <c r="B596" t="str">
        <f>"0.7781"</f>
        <v>0.7781</v>
      </c>
      <c r="C596" t="str">
        <f>"0.7765"</f>
        <v>0.7765</v>
      </c>
    </row>
    <row r="597" spans="1:3" x14ac:dyDescent="0.25">
      <c r="A597" t="str">
        <f>"14/11/2011"</f>
        <v>14/11/2011</v>
      </c>
      <c r="B597" t="str">
        <f>"0.7873"</f>
        <v>0.7873</v>
      </c>
      <c r="C597" t="str">
        <f>"0.7857"</f>
        <v>0.7857</v>
      </c>
    </row>
    <row r="598" spans="1:3" x14ac:dyDescent="0.25">
      <c r="A598" t="str">
        <f>"15/11/2011"</f>
        <v>15/11/2011</v>
      </c>
      <c r="B598" t="str">
        <f>"0.7724"</f>
        <v>0.7724</v>
      </c>
      <c r="C598" t="str">
        <f>"0.7706"</f>
        <v>0.7706</v>
      </c>
    </row>
    <row r="599" spans="1:3" x14ac:dyDescent="0.25">
      <c r="A599" t="str">
        <f>"16/11/2011"</f>
        <v>16/11/2011</v>
      </c>
      <c r="B599" t="str">
        <f>"0.7658"</f>
        <v>0.7658</v>
      </c>
      <c r="C599" t="str">
        <f>"0.7641"</f>
        <v>0.7641</v>
      </c>
    </row>
    <row r="600" spans="1:3" x14ac:dyDescent="0.25">
      <c r="A600" t="str">
        <f>"17/11/2011"</f>
        <v>17/11/2011</v>
      </c>
      <c r="B600" t="str">
        <f>"0.7665"</f>
        <v>0.7665</v>
      </c>
      <c r="C600" t="str">
        <f>"0.7649"</f>
        <v>0.7649</v>
      </c>
    </row>
    <row r="601" spans="1:3" x14ac:dyDescent="0.25">
      <c r="A601" t="str">
        <f>"18/11/2011"</f>
        <v>18/11/2011</v>
      </c>
      <c r="B601" t="str">
        <f>"0.7593"</f>
        <v>0.7593</v>
      </c>
      <c r="C601" t="str">
        <f>"0.7577"</f>
        <v>0.7577</v>
      </c>
    </row>
    <row r="602" spans="1:3" x14ac:dyDescent="0.25">
      <c r="A602" t="str">
        <f>"21/11/2011"</f>
        <v>21/11/2011</v>
      </c>
      <c r="B602" t="str">
        <f>"0.7568"</f>
        <v>0.7568</v>
      </c>
      <c r="C602" t="str">
        <f>"0.7552"</f>
        <v>0.7552</v>
      </c>
    </row>
    <row r="603" spans="1:3" x14ac:dyDescent="0.25">
      <c r="A603" t="str">
        <f>"22/11/2011"</f>
        <v>22/11/2011</v>
      </c>
      <c r="B603" t="str">
        <f>"0.7475"</f>
        <v>0.7475</v>
      </c>
      <c r="C603" t="str">
        <f>"0.7457"</f>
        <v>0.7457</v>
      </c>
    </row>
    <row r="604" spans="1:3" x14ac:dyDescent="0.25">
      <c r="A604" t="str">
        <f>"23/11/2011"</f>
        <v>23/11/2011</v>
      </c>
      <c r="B604" t="str">
        <f>"0.7448"</f>
        <v>0.7448</v>
      </c>
      <c r="C604" t="str">
        <f>"0.743"</f>
        <v>0.743</v>
      </c>
    </row>
    <row r="605" spans="1:3" x14ac:dyDescent="0.25">
      <c r="A605" t="str">
        <f>"24/11/2011"</f>
        <v>24/11/2011</v>
      </c>
      <c r="B605" t="str">
        <f>"0.7446"</f>
        <v>0.7446</v>
      </c>
      <c r="C605" t="str">
        <f>"0.743"</f>
        <v>0.743</v>
      </c>
    </row>
    <row r="606" spans="1:3" x14ac:dyDescent="0.25">
      <c r="A606" t="str">
        <f>"25/11/2011"</f>
        <v>25/11/2011</v>
      </c>
      <c r="B606" t="str">
        <f>"0.7398"</f>
        <v>0.7398</v>
      </c>
      <c r="C606" t="str">
        <f>"0.7382"</f>
        <v>0.7382</v>
      </c>
    </row>
    <row r="607" spans="1:3" x14ac:dyDescent="0.25">
      <c r="A607" t="str">
        <f>"28/11/2011"</f>
        <v>28/11/2011</v>
      </c>
      <c r="B607" t="str">
        <f>"0.7559"</f>
        <v>0.7559</v>
      </c>
      <c r="C607" t="str">
        <f>"0.7543"</f>
        <v>0.7543</v>
      </c>
    </row>
    <row r="608" spans="1:3" x14ac:dyDescent="0.25">
      <c r="A608" t="str">
        <f>"29/11/2011"</f>
        <v>29/11/2011</v>
      </c>
      <c r="B608" t="str">
        <f>"0.7639"</f>
        <v>0.7639</v>
      </c>
      <c r="C608" t="str">
        <f>"0.7621"</f>
        <v>0.7621</v>
      </c>
    </row>
    <row r="609" spans="1:3" x14ac:dyDescent="0.25">
      <c r="A609" t="str">
        <f>"30/11/2011"</f>
        <v>30/11/2011</v>
      </c>
      <c r="B609" t="str">
        <f>"0.7595"</f>
        <v>0.7595</v>
      </c>
      <c r="C609" t="str">
        <f>"0.7577"</f>
        <v>0.7577</v>
      </c>
    </row>
    <row r="610" spans="1:3" x14ac:dyDescent="0.25">
      <c r="A610" t="str">
        <f>"01/12/2011"</f>
        <v>01/12/2011</v>
      </c>
      <c r="B610" t="str">
        <f>"0.7784"</f>
        <v>0.7784</v>
      </c>
      <c r="C610" t="str">
        <f>"0.7767"</f>
        <v>0.7767</v>
      </c>
    </row>
    <row r="611" spans="1:3" x14ac:dyDescent="0.25">
      <c r="A611" t="str">
        <f>"02/12/2011"</f>
        <v>02/12/2011</v>
      </c>
      <c r="B611" t="str">
        <f>"0.781"</f>
        <v>0.781</v>
      </c>
      <c r="C611" t="str">
        <f>"0.7792"</f>
        <v>0.7792</v>
      </c>
    </row>
    <row r="612" spans="1:3" x14ac:dyDescent="0.25">
      <c r="A612" t="str">
        <f>"05/12/2011"</f>
        <v>05/12/2011</v>
      </c>
      <c r="B612" t="str">
        <f>"0.7814"</f>
        <v>0.7814</v>
      </c>
      <c r="C612" t="str">
        <f>"0.7796"</f>
        <v>0.7796</v>
      </c>
    </row>
    <row r="613" spans="1:3" x14ac:dyDescent="0.25">
      <c r="A613" t="str">
        <f>"07/12/2011"</f>
        <v>07/12/2011</v>
      </c>
      <c r="B613" t="str">
        <f>"0.7803"</f>
        <v>0.7803</v>
      </c>
      <c r="C613" t="str">
        <f>"0.7786"</f>
        <v>0.7786</v>
      </c>
    </row>
    <row r="614" spans="1:3" x14ac:dyDescent="0.25">
      <c r="A614" t="str">
        <f>"08/12/2011"</f>
        <v>08/12/2011</v>
      </c>
      <c r="B614" t="str">
        <f>"0.7811"</f>
        <v>0.7811</v>
      </c>
      <c r="C614" t="str">
        <f>"0.7794"</f>
        <v>0.7794</v>
      </c>
    </row>
    <row r="615" spans="1:3" x14ac:dyDescent="0.25">
      <c r="A615" t="str">
        <f>"09/12/2011"</f>
        <v>09/12/2011</v>
      </c>
      <c r="B615" t="str">
        <f>"0.7678"</f>
        <v>0.7678</v>
      </c>
      <c r="C615" t="str">
        <f>"0.7661"</f>
        <v>0.7661</v>
      </c>
    </row>
    <row r="616" spans="1:3" x14ac:dyDescent="0.25">
      <c r="A616" t="str">
        <f>"12/12/2011"</f>
        <v>12/12/2011</v>
      </c>
      <c r="B616" t="str">
        <f>"0.7666"</f>
        <v>0.7666</v>
      </c>
      <c r="C616" t="str">
        <f>"0.7648"</f>
        <v>0.7648</v>
      </c>
    </row>
    <row r="617" spans="1:3" x14ac:dyDescent="0.25">
      <c r="A617" t="str">
        <f>"13/12/2011"</f>
        <v>13/12/2011</v>
      </c>
      <c r="B617" t="str">
        <f>"0.7645"</f>
        <v>0.7645</v>
      </c>
      <c r="C617" t="str">
        <f>"0.7627"</f>
        <v>0.7627</v>
      </c>
    </row>
    <row r="618" spans="1:3" x14ac:dyDescent="0.25">
      <c r="A618" t="str">
        <f>"14/12/2011"</f>
        <v>14/12/2011</v>
      </c>
      <c r="B618" t="str">
        <f>"0.755"</f>
        <v>0.755</v>
      </c>
      <c r="C618" t="str">
        <f>"0.7533"</f>
        <v>0.7533</v>
      </c>
    </row>
    <row r="619" spans="1:3" x14ac:dyDescent="0.25">
      <c r="A619" t="str">
        <f>"15/12/2011"</f>
        <v>15/12/2011</v>
      </c>
      <c r="B619" t="str">
        <f>"0.7485"</f>
        <v>0.7485</v>
      </c>
      <c r="C619" t="str">
        <f>"0.7469"</f>
        <v>0.7469</v>
      </c>
    </row>
    <row r="620" spans="1:3" x14ac:dyDescent="0.25">
      <c r="A620" t="str">
        <f>"16/12/2011"</f>
        <v>16/12/2011</v>
      </c>
      <c r="B620" t="str">
        <f>"0.7597"</f>
        <v>0.7597</v>
      </c>
      <c r="C620" t="str">
        <f>"0.7581"</f>
        <v>0.7581</v>
      </c>
    </row>
    <row r="621" spans="1:3" x14ac:dyDescent="0.25">
      <c r="A621" t="str">
        <f>"19/12/2011"</f>
        <v>19/12/2011</v>
      </c>
      <c r="B621" t="str">
        <f>"0.7622"</f>
        <v>0.7622</v>
      </c>
      <c r="C621" t="str">
        <f>"0.7604"</f>
        <v>0.7604</v>
      </c>
    </row>
    <row r="622" spans="1:3" x14ac:dyDescent="0.25">
      <c r="A622" t="str">
        <f>"20/12/2011"</f>
        <v>20/12/2011</v>
      </c>
      <c r="B622" t="str">
        <f>"0.7622"</f>
        <v>0.7622</v>
      </c>
      <c r="C622" t="str">
        <f>"0.7604"</f>
        <v>0.7604</v>
      </c>
    </row>
    <row r="623" spans="1:3" x14ac:dyDescent="0.25">
      <c r="A623" t="str">
        <f>"21/12/2011"</f>
        <v>21/12/2011</v>
      </c>
      <c r="B623" t="str">
        <f>"0.7711"</f>
        <v>0.7711</v>
      </c>
      <c r="C623" t="str">
        <f>"0.7694"</f>
        <v>0.7694</v>
      </c>
    </row>
    <row r="624" spans="1:3" x14ac:dyDescent="0.25">
      <c r="A624" t="str">
        <f>"22/12/2011"</f>
        <v>22/12/2011</v>
      </c>
      <c r="B624" t="str">
        <f>"0.7698"</f>
        <v>0.7698</v>
      </c>
      <c r="C624" t="str">
        <f>"0.768"</f>
        <v>0.768</v>
      </c>
    </row>
    <row r="625" spans="1:3" x14ac:dyDescent="0.25">
      <c r="A625" t="str">
        <f>"23/12/2011"</f>
        <v>23/12/2011</v>
      </c>
      <c r="B625" t="str">
        <f>"0.774"</f>
        <v>0.774</v>
      </c>
      <c r="C625" t="str">
        <f>"0.7722"</f>
        <v>0.7722</v>
      </c>
    </row>
    <row r="626" spans="1:3" x14ac:dyDescent="0.25">
      <c r="A626" t="str">
        <f>"26/12/2011"</f>
        <v>26/12/2011</v>
      </c>
      <c r="B626" t="str">
        <f>"0.7736"</f>
        <v>0.7736</v>
      </c>
      <c r="C626" t="str">
        <f>"0.7718"</f>
        <v>0.7718</v>
      </c>
    </row>
    <row r="627" spans="1:3" x14ac:dyDescent="0.25">
      <c r="A627" t="str">
        <f>"27/12/2011"</f>
        <v>27/12/2011</v>
      </c>
      <c r="B627" t="str">
        <f>"0.7736"</f>
        <v>0.7736</v>
      </c>
      <c r="C627" t="str">
        <f>"0.7718"</f>
        <v>0.7718</v>
      </c>
    </row>
    <row r="628" spans="1:3" x14ac:dyDescent="0.25">
      <c r="A628" t="str">
        <f>"28/12/2011"</f>
        <v>28/12/2011</v>
      </c>
      <c r="B628" t="str">
        <f>"0.7736"</f>
        <v>0.7736</v>
      </c>
      <c r="C628" t="str">
        <f>"0.7718"</f>
        <v>0.7718</v>
      </c>
    </row>
    <row r="629" spans="1:3" x14ac:dyDescent="0.25">
      <c r="A629" t="str">
        <f>"29/12/2011"</f>
        <v>29/12/2011</v>
      </c>
      <c r="B629" t="str">
        <f>"0.7687"</f>
        <v>0.7687</v>
      </c>
      <c r="C629" t="str">
        <f>"0.7669"</f>
        <v>0.7669</v>
      </c>
    </row>
    <row r="630" spans="1:3" x14ac:dyDescent="0.25">
      <c r="A630" t="str">
        <f>"30/12/2011"</f>
        <v>30/12/2011</v>
      </c>
      <c r="B630" t="str">
        <f>"0.7723"</f>
        <v>0.7723</v>
      </c>
      <c r="C630" t="str">
        <f>"0.7706"</f>
        <v>0.7706</v>
      </c>
    </row>
    <row r="631" spans="1:3" x14ac:dyDescent="0.25">
      <c r="A631" t="str">
        <f>"02/01/2012"</f>
        <v>02/01/2012</v>
      </c>
      <c r="B631" t="str">
        <f>"0.7765"</f>
        <v>0.7765</v>
      </c>
      <c r="C631" t="str">
        <f>"0.7747"</f>
        <v>0.7747</v>
      </c>
    </row>
    <row r="632" spans="1:3" x14ac:dyDescent="0.25">
      <c r="A632" t="str">
        <f>"03/01/2012"</f>
        <v>03/01/2012</v>
      </c>
      <c r="B632" t="str">
        <f>"0.7834"</f>
        <v>0.7834</v>
      </c>
      <c r="C632" t="str">
        <f>"0.7816"</f>
        <v>0.7816</v>
      </c>
    </row>
    <row r="633" spans="1:3" x14ac:dyDescent="0.25">
      <c r="A633" t="str">
        <f>"04/01/2012"</f>
        <v>04/01/2012</v>
      </c>
      <c r="B633" t="str">
        <f>"0.7888"</f>
        <v>0.7888</v>
      </c>
      <c r="C633" t="str">
        <f>"0.787"</f>
        <v>0.787</v>
      </c>
    </row>
    <row r="634" spans="1:3" x14ac:dyDescent="0.25">
      <c r="A634" t="str">
        <f>"05/01/2012"</f>
        <v>05/01/2012</v>
      </c>
      <c r="B634" t="str">
        <f>"0.7864"</f>
        <v>0.7864</v>
      </c>
      <c r="C634" t="str">
        <f>"0.7847"</f>
        <v>0.7847</v>
      </c>
    </row>
    <row r="635" spans="1:3" x14ac:dyDescent="0.25">
      <c r="A635" t="str">
        <f>"06/01/2012"</f>
        <v>06/01/2012</v>
      </c>
      <c r="B635" t="str">
        <f>"0.7806"</f>
        <v>0.7806</v>
      </c>
      <c r="C635" t="str">
        <f>"0.7793"</f>
        <v>0.7793</v>
      </c>
    </row>
    <row r="636" spans="1:3" x14ac:dyDescent="0.25">
      <c r="A636" t="str">
        <f>"09/01/2012"</f>
        <v>09/01/2012</v>
      </c>
      <c r="B636" t="str">
        <f>"0.7812"</f>
        <v>0.7812</v>
      </c>
      <c r="C636" t="str">
        <f>"0.7794"</f>
        <v>0.7794</v>
      </c>
    </row>
    <row r="637" spans="1:3" x14ac:dyDescent="0.25">
      <c r="A637" t="str">
        <f>"10/01/2012"</f>
        <v>10/01/2012</v>
      </c>
      <c r="B637" t="str">
        <f>"0.7952"</f>
        <v>0.7952</v>
      </c>
      <c r="C637" t="str">
        <f>"0.7935"</f>
        <v>0.7935</v>
      </c>
    </row>
    <row r="638" spans="1:3" x14ac:dyDescent="0.25">
      <c r="A638" t="str">
        <f>"11/01/2012"</f>
        <v>11/01/2012</v>
      </c>
      <c r="B638" t="str">
        <f>"0.7953"</f>
        <v>0.7953</v>
      </c>
      <c r="C638" t="str">
        <f>"0.7937"</f>
        <v>0.7937</v>
      </c>
    </row>
    <row r="639" spans="1:3" x14ac:dyDescent="0.25">
      <c r="A639" t="str">
        <f>"12/01/2012"</f>
        <v>12/01/2012</v>
      </c>
      <c r="B639" t="str">
        <f>"0.796"</f>
        <v>0.796</v>
      </c>
      <c r="C639" t="str">
        <f>"0.7943"</f>
        <v>0.7943</v>
      </c>
    </row>
    <row r="640" spans="1:3" x14ac:dyDescent="0.25">
      <c r="A640" t="str">
        <f>"13/01/2012"</f>
        <v>13/01/2012</v>
      </c>
      <c r="B640" t="str">
        <f>"0.7911"</f>
        <v>0.7911</v>
      </c>
      <c r="C640" t="str">
        <f>"0.7894"</f>
        <v>0.7894</v>
      </c>
    </row>
    <row r="641" spans="1:3" x14ac:dyDescent="0.25">
      <c r="A641" t="str">
        <f>"16/01/2012"</f>
        <v>16/01/2012</v>
      </c>
      <c r="B641" t="str">
        <f>"0.7925"</f>
        <v>0.7925</v>
      </c>
      <c r="C641" t="str">
        <f>"0.7907"</f>
        <v>0.7907</v>
      </c>
    </row>
    <row r="642" spans="1:3" x14ac:dyDescent="0.25">
      <c r="A642" t="str">
        <f>"17/01/2012"</f>
        <v>17/01/2012</v>
      </c>
      <c r="B642" t="str">
        <f>"0.7985"</f>
        <v>0.7985</v>
      </c>
      <c r="C642" t="str">
        <f>"0.7967"</f>
        <v>0.7967</v>
      </c>
    </row>
    <row r="643" spans="1:3" x14ac:dyDescent="0.25">
      <c r="A643" t="str">
        <f>"18/01/2012"</f>
        <v>18/01/2012</v>
      </c>
      <c r="B643" t="str">
        <f>"0.8018"</f>
        <v>0.8018</v>
      </c>
      <c r="C643" t="str">
        <f>"0.80"</f>
        <v>0.80</v>
      </c>
    </row>
    <row r="644" spans="1:3" x14ac:dyDescent="0.25">
      <c r="A644" t="str">
        <f>"19/01/2012"</f>
        <v>19/01/2012</v>
      </c>
      <c r="B644" t="str">
        <f>"0.8005"</f>
        <v>0.8005</v>
      </c>
      <c r="C644" t="str">
        <f>"0.7989"</f>
        <v>0.7989</v>
      </c>
    </row>
    <row r="645" spans="1:3" x14ac:dyDescent="0.25">
      <c r="A645" t="str">
        <f>"20/01/2012"</f>
        <v>20/01/2012</v>
      </c>
      <c r="B645" t="str">
        <f>"0.8017"</f>
        <v>0.8017</v>
      </c>
      <c r="C645" t="str">
        <f>"0.80"</f>
        <v>0.80</v>
      </c>
    </row>
    <row r="646" spans="1:3" x14ac:dyDescent="0.25">
      <c r="A646" t="str">
        <f>"23/01/2012"</f>
        <v>23/01/2012</v>
      </c>
      <c r="B646" t="str">
        <f>"0.8084"</f>
        <v>0.8084</v>
      </c>
      <c r="C646" t="str">
        <f>"0.8066"</f>
        <v>0.8066</v>
      </c>
    </row>
    <row r="647" spans="1:3" x14ac:dyDescent="0.25">
      <c r="A647" t="str">
        <f>"24/01/2012"</f>
        <v>24/01/2012</v>
      </c>
      <c r="B647" t="str">
        <f>"0.8087"</f>
        <v>0.8087</v>
      </c>
      <c r="C647" t="str">
        <f>"0.807"</f>
        <v>0.807</v>
      </c>
    </row>
    <row r="648" spans="1:3" x14ac:dyDescent="0.25">
      <c r="A648" t="str">
        <f>"25/01/2012"</f>
        <v>25/01/2012</v>
      </c>
      <c r="B648" t="str">
        <f>"0.8079"</f>
        <v>0.8079</v>
      </c>
      <c r="C648" t="str">
        <f>"0.8062"</f>
        <v>0.8062</v>
      </c>
    </row>
    <row r="649" spans="1:3" x14ac:dyDescent="0.25">
      <c r="A649" t="str">
        <f>"27/01/2012"</f>
        <v>27/01/2012</v>
      </c>
      <c r="B649" t="str">
        <f>"0.824"</f>
        <v>0.824</v>
      </c>
      <c r="C649" t="str">
        <f>"0.8224"</f>
        <v>0.8224</v>
      </c>
    </row>
    <row r="650" spans="1:3" x14ac:dyDescent="0.25">
      <c r="A650" t="str">
        <f>"30/01/2012"</f>
        <v>30/01/2012</v>
      </c>
      <c r="B650" t="str">
        <f>"0.8186"</f>
        <v>0.8186</v>
      </c>
      <c r="C650" t="str">
        <f>"0.817"</f>
        <v>0.817</v>
      </c>
    </row>
    <row r="651" spans="1:3" x14ac:dyDescent="0.25">
      <c r="A651" t="str">
        <f>"31/01/2012"</f>
        <v>31/01/2012</v>
      </c>
      <c r="B651" t="str">
        <f>"0.8236"</f>
        <v>0.8236</v>
      </c>
      <c r="C651" t="str">
        <f>"0.822"</f>
        <v>0.822</v>
      </c>
    </row>
    <row r="652" spans="1:3" x14ac:dyDescent="0.25">
      <c r="A652" t="str">
        <f>"01/02/2012"</f>
        <v>01/02/2012</v>
      </c>
      <c r="B652" t="str">
        <f>"0.8235"</f>
        <v>0.8235</v>
      </c>
      <c r="C652" t="str">
        <f>"0.8218"</f>
        <v>0.8218</v>
      </c>
    </row>
    <row r="653" spans="1:3" x14ac:dyDescent="0.25">
      <c r="A653" t="str">
        <f>"02/02/2012"</f>
        <v>02/02/2012</v>
      </c>
      <c r="B653" t="str">
        <f>"0.8337"</f>
        <v>0.8337</v>
      </c>
      <c r="C653" t="str">
        <f>"0.8321"</f>
        <v>0.8321</v>
      </c>
    </row>
    <row r="654" spans="1:3" x14ac:dyDescent="0.25">
      <c r="A654" t="str">
        <f>"03/02/2012"</f>
        <v>03/02/2012</v>
      </c>
      <c r="B654" t="str">
        <f>"0.831"</f>
        <v>0.831</v>
      </c>
      <c r="C654" t="str">
        <f>"0.8293"</f>
        <v>0.8293</v>
      </c>
    </row>
    <row r="655" spans="1:3" x14ac:dyDescent="0.25">
      <c r="A655" t="str">
        <f>"06/02/2012"</f>
        <v>06/02/2012</v>
      </c>
      <c r="B655" t="str">
        <f>"0.8313"</f>
        <v>0.8313</v>
      </c>
      <c r="C655" t="str">
        <f>"0.8297"</f>
        <v>0.8297</v>
      </c>
    </row>
    <row r="656" spans="1:3" x14ac:dyDescent="0.25">
      <c r="A656" t="str">
        <f>"07/02/2012"</f>
        <v>07/02/2012</v>
      </c>
      <c r="B656" t="str">
        <f>"0.8332"</f>
        <v>0.8332</v>
      </c>
      <c r="C656" t="str">
        <f>"0.8315"</f>
        <v>0.8315</v>
      </c>
    </row>
    <row r="657" spans="1:3" x14ac:dyDescent="0.25">
      <c r="A657" t="str">
        <f>"08/02/2012"</f>
        <v>08/02/2012</v>
      </c>
      <c r="B657" t="str">
        <f>"0.8352"</f>
        <v>0.8352</v>
      </c>
      <c r="C657" t="str">
        <f>"0.8334"</f>
        <v>0.8334</v>
      </c>
    </row>
    <row r="658" spans="1:3" x14ac:dyDescent="0.25">
      <c r="A658" t="str">
        <f>"09/02/2012"</f>
        <v>09/02/2012</v>
      </c>
      <c r="B658" t="str">
        <f>"0.8347"</f>
        <v>0.8347</v>
      </c>
      <c r="C658" t="str">
        <f>"0.833"</f>
        <v>0.833</v>
      </c>
    </row>
    <row r="659" spans="1:3" x14ac:dyDescent="0.25">
      <c r="A659" t="str">
        <f>"10/02/2012"</f>
        <v>10/02/2012</v>
      </c>
      <c r="B659" t="str">
        <f>"0.8312"</f>
        <v>0.8312</v>
      </c>
      <c r="C659" t="str">
        <f>"0.8295"</f>
        <v>0.8295</v>
      </c>
    </row>
    <row r="660" spans="1:3" x14ac:dyDescent="0.25">
      <c r="A660" t="str">
        <f>"13/02/2012"</f>
        <v>13/02/2012</v>
      </c>
      <c r="B660" t="str">
        <f>"0.8357"</f>
        <v>0.8357</v>
      </c>
      <c r="C660" t="str">
        <f>"0.8339"</f>
        <v>0.8339</v>
      </c>
    </row>
    <row r="661" spans="1:3" x14ac:dyDescent="0.25">
      <c r="A661" t="str">
        <f>"14/02/2012"</f>
        <v>14/02/2012</v>
      </c>
      <c r="B661" t="str">
        <f>"0.831"</f>
        <v>0.831</v>
      </c>
      <c r="C661" t="str">
        <f>"0.8293"</f>
        <v>0.8293</v>
      </c>
    </row>
    <row r="662" spans="1:3" x14ac:dyDescent="0.25">
      <c r="A662" t="str">
        <f>"15/02/2012"</f>
        <v>15/02/2012</v>
      </c>
      <c r="B662" t="str">
        <f>"0.8381"</f>
        <v>0.8381</v>
      </c>
      <c r="C662" t="str">
        <f>"0.8363"</f>
        <v>0.8363</v>
      </c>
    </row>
    <row r="663" spans="1:3" x14ac:dyDescent="0.25">
      <c r="A663" t="str">
        <f>"16/02/2012"</f>
        <v>16/02/2012</v>
      </c>
      <c r="B663" t="str">
        <f>"0.8279"</f>
        <v>0.8279</v>
      </c>
      <c r="C663" t="str">
        <f>"0.8262"</f>
        <v>0.8262</v>
      </c>
    </row>
    <row r="664" spans="1:3" x14ac:dyDescent="0.25">
      <c r="A664" t="str">
        <f>"17/02/2012"</f>
        <v>17/02/2012</v>
      </c>
      <c r="B664" t="str">
        <f>"0.8367"</f>
        <v>0.8367</v>
      </c>
      <c r="C664" t="str">
        <f>"0.835"</f>
        <v>0.835</v>
      </c>
    </row>
    <row r="665" spans="1:3" x14ac:dyDescent="0.25">
      <c r="A665" t="str">
        <f>"21/02/2012"</f>
        <v>21/02/2012</v>
      </c>
      <c r="B665" t="str">
        <f>"0.835"</f>
        <v>0.835</v>
      </c>
      <c r="C665" t="str">
        <f>"0.8333"</f>
        <v>0.8333</v>
      </c>
    </row>
    <row r="666" spans="1:3" x14ac:dyDescent="0.25">
      <c r="A666" t="str">
        <f>"22/02/2012"</f>
        <v>22/02/2012</v>
      </c>
      <c r="B666" t="str">
        <f>"0.8338"</f>
        <v>0.8338</v>
      </c>
      <c r="C666" t="str">
        <f>"0.832"</f>
        <v>0.832</v>
      </c>
    </row>
    <row r="667" spans="1:3" x14ac:dyDescent="0.25">
      <c r="A667" t="str">
        <f>"23/02/2012"</f>
        <v>23/02/2012</v>
      </c>
      <c r="B667" t="str">
        <f>"0.8322"</f>
        <v>0.8322</v>
      </c>
      <c r="C667" t="str">
        <f>"0.8305"</f>
        <v>0.8305</v>
      </c>
    </row>
    <row r="668" spans="1:3" x14ac:dyDescent="0.25">
      <c r="A668" t="str">
        <f>"24/02/2012"</f>
        <v>24/02/2012</v>
      </c>
      <c r="B668" t="str">
        <f>"0.839"</f>
        <v>0.839</v>
      </c>
      <c r="C668" t="str">
        <f>"0.8373"</f>
        <v>0.8373</v>
      </c>
    </row>
    <row r="669" spans="1:3" x14ac:dyDescent="0.25">
      <c r="A669" t="str">
        <f>"27/02/2012"</f>
        <v>27/02/2012</v>
      </c>
      <c r="B669" t="str">
        <f>"0.8334"</f>
        <v>0.8334</v>
      </c>
      <c r="C669" t="str">
        <f>"0.8317"</f>
        <v>0.8317</v>
      </c>
    </row>
    <row r="670" spans="1:3" x14ac:dyDescent="0.25">
      <c r="A670" t="str">
        <f>"28/02/2012"</f>
        <v>28/02/2012</v>
      </c>
      <c r="B670" t="str">
        <f>"0.8399"</f>
        <v>0.8399</v>
      </c>
      <c r="C670" t="str">
        <f>"0.8381"</f>
        <v>0.8381</v>
      </c>
    </row>
    <row r="671" spans="1:3" x14ac:dyDescent="0.25">
      <c r="A671" t="str">
        <f t="shared" ref="A671" si="0">"29/02/2012"</f>
        <v>29/02/2012</v>
      </c>
      <c r="B671" t="str">
        <f>"0.8434"</f>
        <v>0.8434</v>
      </c>
      <c r="C671" t="str">
        <f>"0.8416"</f>
        <v>0.8416</v>
      </c>
    </row>
    <row r="672" spans="1:3" x14ac:dyDescent="0.25">
      <c r="A672" t="str">
        <f>"01/03/2012"</f>
        <v>01/03/2012</v>
      </c>
      <c r="B672" t="str">
        <f>"0.8367"</f>
        <v>0.8367</v>
      </c>
      <c r="C672" t="str">
        <f>"0.8349"</f>
        <v>0.8349</v>
      </c>
    </row>
    <row r="673" spans="1:3" x14ac:dyDescent="0.25">
      <c r="A673" t="str">
        <f>"02/03/2012"</f>
        <v>02/03/2012</v>
      </c>
      <c r="B673" t="str">
        <f>"0.8367"</f>
        <v>0.8367</v>
      </c>
      <c r="C673" t="str">
        <f>"0.8347"</f>
        <v>0.8347</v>
      </c>
    </row>
    <row r="674" spans="1:3" x14ac:dyDescent="0.25">
      <c r="A674" t="str">
        <f>"05/03/2012"</f>
        <v>05/03/2012</v>
      </c>
      <c r="B674" t="str">
        <f>"0.8238"</f>
        <v>0.8238</v>
      </c>
      <c r="C674" t="str">
        <f>"0.8219"</f>
        <v>0.8219</v>
      </c>
    </row>
    <row r="675" spans="1:3" x14ac:dyDescent="0.25">
      <c r="A675" t="str">
        <f>"06/03/2012"</f>
        <v>06/03/2012</v>
      </c>
      <c r="B675" t="str">
        <f>"0.8141"</f>
        <v>0.8141</v>
      </c>
      <c r="C675" t="str">
        <f>"0.8123"</f>
        <v>0.8123</v>
      </c>
    </row>
    <row r="676" spans="1:3" x14ac:dyDescent="0.25">
      <c r="A676" t="str">
        <f>"07/03/2012"</f>
        <v>07/03/2012</v>
      </c>
      <c r="B676" t="str">
        <f>"0.8187"</f>
        <v>0.8187</v>
      </c>
      <c r="C676" t="str">
        <f>"0.8169"</f>
        <v>0.8169</v>
      </c>
    </row>
    <row r="677" spans="1:3" x14ac:dyDescent="0.25">
      <c r="A677" t="str">
        <f>"09/03/2012"</f>
        <v>09/03/2012</v>
      </c>
      <c r="B677" t="str">
        <f>"0.8238"</f>
        <v>0.8238</v>
      </c>
      <c r="C677" t="str">
        <f>"0.8221"</f>
        <v>0.8221</v>
      </c>
    </row>
    <row r="678" spans="1:3" x14ac:dyDescent="0.25">
      <c r="A678" t="str">
        <f>"12/03/2012"</f>
        <v>12/03/2012</v>
      </c>
      <c r="B678" t="str">
        <f>"0.8179"</f>
        <v>0.8179</v>
      </c>
      <c r="C678" t="str">
        <f>"0.816"</f>
        <v>0.816</v>
      </c>
    </row>
    <row r="679" spans="1:3" x14ac:dyDescent="0.25">
      <c r="A679" t="str">
        <f>"13/03/2012"</f>
        <v>13/03/2012</v>
      </c>
      <c r="B679" t="str">
        <f>"0.8231"</f>
        <v>0.8231</v>
      </c>
      <c r="C679" t="str">
        <f>"0.8213"</f>
        <v>0.8213</v>
      </c>
    </row>
    <row r="680" spans="1:3" x14ac:dyDescent="0.25">
      <c r="A680" t="str">
        <f>"14/03/2012"</f>
        <v>14/03/2012</v>
      </c>
      <c r="B680" t="str">
        <f>"0.8182"</f>
        <v>0.8182</v>
      </c>
      <c r="C680" t="str">
        <f>"0.8165"</f>
        <v>0.8165</v>
      </c>
    </row>
    <row r="681" spans="1:3" x14ac:dyDescent="0.25">
      <c r="A681" t="str">
        <f>"15/03/2012"</f>
        <v>15/03/2012</v>
      </c>
      <c r="B681" t="str">
        <f>"0.812"</f>
        <v>0.812</v>
      </c>
      <c r="C681" t="str">
        <f>"0.8103"</f>
        <v>0.8103</v>
      </c>
    </row>
    <row r="682" spans="1:3" x14ac:dyDescent="0.25">
      <c r="A682" t="str">
        <f>"16/03/2012"</f>
        <v>16/03/2012</v>
      </c>
      <c r="B682" t="str">
        <f>"0.8211"</f>
        <v>0.8211</v>
      </c>
      <c r="C682" t="str">
        <f>"0.8193"</f>
        <v>0.8193</v>
      </c>
    </row>
    <row r="683" spans="1:3" x14ac:dyDescent="0.25">
      <c r="A683" t="str">
        <f>"19/03/2012"</f>
        <v>19/03/2012</v>
      </c>
      <c r="B683" t="str">
        <f>"0.8257"</f>
        <v>0.8257</v>
      </c>
      <c r="C683" t="str">
        <f>"0.8238"</f>
        <v>0.8238</v>
      </c>
    </row>
    <row r="684" spans="1:3" x14ac:dyDescent="0.25">
      <c r="A684" t="str">
        <f>"20/03/2012"</f>
        <v>20/03/2012</v>
      </c>
      <c r="B684" t="str">
        <f>"0.8243"</f>
        <v>0.8243</v>
      </c>
      <c r="C684" t="str">
        <f>"0.8225"</f>
        <v>0.8225</v>
      </c>
    </row>
    <row r="685" spans="1:3" x14ac:dyDescent="0.25">
      <c r="A685" t="str">
        <f>"21/03/2012"</f>
        <v>21/03/2012</v>
      </c>
      <c r="B685" t="str">
        <f>"0.8183"</f>
        <v>0.8183</v>
      </c>
      <c r="C685" t="str">
        <f>"0.8166"</f>
        <v>0.8166</v>
      </c>
    </row>
    <row r="686" spans="1:3" x14ac:dyDescent="0.25">
      <c r="A686" t="str">
        <f>"22/03/2012"</f>
        <v>22/03/2012</v>
      </c>
      <c r="B686" t="str">
        <f>"0.8084"</f>
        <v>0.8084</v>
      </c>
      <c r="C686" t="str">
        <f>"0.8067"</f>
        <v>0.8067</v>
      </c>
    </row>
    <row r="687" spans="1:3" x14ac:dyDescent="0.25">
      <c r="A687" t="str">
        <f>"26/03/2012"</f>
        <v>26/03/2012</v>
      </c>
      <c r="B687" t="str">
        <f>"0.8176"</f>
        <v>0.8176</v>
      </c>
      <c r="C687" t="str">
        <f>"0.8158"</f>
        <v>0.8158</v>
      </c>
    </row>
    <row r="688" spans="1:3" x14ac:dyDescent="0.25">
      <c r="A688" t="str">
        <f>"27/03/2012"</f>
        <v>27/03/2012</v>
      </c>
      <c r="B688" t="str">
        <f>"0.8215"</f>
        <v>0.8215</v>
      </c>
      <c r="C688" t="str">
        <f>"0.8197"</f>
        <v>0.8197</v>
      </c>
    </row>
    <row r="689" spans="1:3" x14ac:dyDescent="0.25">
      <c r="A689" t="str">
        <f>"28/03/2012"</f>
        <v>28/03/2012</v>
      </c>
      <c r="B689" t="str">
        <f>"0.8203"</f>
        <v>0.8203</v>
      </c>
      <c r="C689" t="str">
        <f>"0.8186"</f>
        <v>0.8186</v>
      </c>
    </row>
    <row r="690" spans="1:3" x14ac:dyDescent="0.25">
      <c r="A690" t="str">
        <f>"29/03/2012"</f>
        <v>29/03/2012</v>
      </c>
      <c r="B690" t="str">
        <f>"0.8155"</f>
        <v>0.8155</v>
      </c>
      <c r="C690" t="str">
        <f>"0.8139"</f>
        <v>0.8139</v>
      </c>
    </row>
    <row r="691" spans="1:3" x14ac:dyDescent="0.25">
      <c r="A691" t="str">
        <f>"30/03/2012"</f>
        <v>30/03/2012</v>
      </c>
      <c r="B691" t="str">
        <f>"0.8217"</f>
        <v>0.8217</v>
      </c>
      <c r="C691" t="str">
        <f>"0.82"</f>
        <v>0.82</v>
      </c>
    </row>
    <row r="692" spans="1:3" x14ac:dyDescent="0.25">
      <c r="A692" t="str">
        <f>"03/04/2012"</f>
        <v>03/04/2012</v>
      </c>
      <c r="B692" t="str">
        <f>"0.8225"</f>
        <v>0.8225</v>
      </c>
      <c r="C692" t="str">
        <f>"0.8207"</f>
        <v>0.8207</v>
      </c>
    </row>
    <row r="693" spans="1:3" x14ac:dyDescent="0.25">
      <c r="A693" t="str">
        <f>"04/04/2012"</f>
        <v>04/04/2012</v>
      </c>
      <c r="B693" t="str">
        <f>"0.8142"</f>
        <v>0.8142</v>
      </c>
      <c r="C693" t="str">
        <f>"0.8125"</f>
        <v>0.8125</v>
      </c>
    </row>
    <row r="694" spans="1:3" x14ac:dyDescent="0.25">
      <c r="A694" t="str">
        <f>"10/04/2012"</f>
        <v>10/04/2012</v>
      </c>
      <c r="B694" t="str">
        <f>"0.8206"</f>
        <v>0.8206</v>
      </c>
      <c r="C694" t="str">
        <f>"0.8188"</f>
        <v>0.8188</v>
      </c>
    </row>
    <row r="695" spans="1:3" x14ac:dyDescent="0.25">
      <c r="A695" t="str">
        <f>"11/04/2012"</f>
        <v>11/04/2012</v>
      </c>
      <c r="B695" t="str">
        <f>"0.8191"</f>
        <v>0.8191</v>
      </c>
      <c r="C695" t="str">
        <f>"0.8174"</f>
        <v>0.8174</v>
      </c>
    </row>
    <row r="696" spans="1:3" x14ac:dyDescent="0.25">
      <c r="A696" t="str">
        <f>"12/04/2012"</f>
        <v>12/04/2012</v>
      </c>
      <c r="B696" t="str">
        <f>"0.8195"</f>
        <v>0.8195</v>
      </c>
      <c r="C696" t="str">
        <f>"0.8178"</f>
        <v>0.8178</v>
      </c>
    </row>
    <row r="697" spans="1:3" x14ac:dyDescent="0.25">
      <c r="A697" t="str">
        <f>"13/04/2012"</f>
        <v>13/04/2012</v>
      </c>
      <c r="B697" t="str">
        <f>"0.8291"</f>
        <v>0.8291</v>
      </c>
      <c r="C697" t="str">
        <f>"0.8274"</f>
        <v>0.8274</v>
      </c>
    </row>
    <row r="698" spans="1:3" x14ac:dyDescent="0.25">
      <c r="A698" t="str">
        <f>"16/04/2012"</f>
        <v>16/04/2012</v>
      </c>
      <c r="B698" t="str">
        <f>"0.8197"</f>
        <v>0.8197</v>
      </c>
      <c r="C698" t="str">
        <f>"0.818"</f>
        <v>0.818</v>
      </c>
    </row>
    <row r="699" spans="1:3" x14ac:dyDescent="0.25">
      <c r="A699" t="str">
        <f>"17/04/2012"</f>
        <v>17/04/2012</v>
      </c>
      <c r="B699" t="str">
        <f>"0.8167"</f>
        <v>0.8167</v>
      </c>
      <c r="C699" t="str">
        <f>"0.8149"</f>
        <v>0.8149</v>
      </c>
    </row>
    <row r="700" spans="1:3" x14ac:dyDescent="0.25">
      <c r="A700" t="str">
        <f>"18/04/2012"</f>
        <v>18/04/2012</v>
      </c>
      <c r="B700" t="str">
        <f>"0.8194"</f>
        <v>0.8194</v>
      </c>
      <c r="C700" t="str">
        <f>"0.8176"</f>
        <v>0.8176</v>
      </c>
    </row>
    <row r="701" spans="1:3" x14ac:dyDescent="0.25">
      <c r="A701" t="str">
        <f>"19/04/2012"</f>
        <v>19/04/2012</v>
      </c>
      <c r="B701" t="str">
        <f>"0.818"</f>
        <v>0.818</v>
      </c>
      <c r="C701" t="str">
        <f>"0.8164"</f>
        <v>0.8164</v>
      </c>
    </row>
    <row r="702" spans="1:3" x14ac:dyDescent="0.25">
      <c r="A702" t="str">
        <f>"20/04/2012"</f>
        <v>20/04/2012</v>
      </c>
      <c r="B702" t="str">
        <f>"0.8135"</f>
        <v>0.8135</v>
      </c>
      <c r="C702" t="str">
        <f>"0.8119"</f>
        <v>0.8119</v>
      </c>
    </row>
    <row r="703" spans="1:3" x14ac:dyDescent="0.25">
      <c r="A703" t="str">
        <f>"23/04/2012"</f>
        <v>23/04/2012</v>
      </c>
      <c r="B703" t="str">
        <f>"0.8152"</f>
        <v>0.8152</v>
      </c>
      <c r="C703" t="str">
        <f>"0.8134"</f>
        <v>0.8134</v>
      </c>
    </row>
    <row r="704" spans="1:3" x14ac:dyDescent="0.25">
      <c r="A704" t="str">
        <f>"24/04/2012"</f>
        <v>24/04/2012</v>
      </c>
      <c r="B704" t="str">
        <f>"0.813"</f>
        <v>0.813</v>
      </c>
      <c r="C704" t="str">
        <f>"0.8113"</f>
        <v>0.8113</v>
      </c>
    </row>
    <row r="705" spans="1:3" x14ac:dyDescent="0.25">
      <c r="A705" t="str">
        <f>"25/04/2012"</f>
        <v>25/04/2012</v>
      </c>
      <c r="B705" t="str">
        <f>"0.8122"</f>
        <v>0.8122</v>
      </c>
      <c r="C705" t="str">
        <f>"0.8105"</f>
        <v>0.8105</v>
      </c>
    </row>
    <row r="706" spans="1:3" x14ac:dyDescent="0.25">
      <c r="A706" t="str">
        <f>"26/04/2012"</f>
        <v>26/04/2012</v>
      </c>
      <c r="B706" t="str">
        <f>"0.8158"</f>
        <v>0.8158</v>
      </c>
      <c r="C706" t="str">
        <f>"0.8141"</f>
        <v>0.8141</v>
      </c>
    </row>
    <row r="707" spans="1:3" x14ac:dyDescent="0.25">
      <c r="A707" t="str">
        <f>"27/04/2012"</f>
        <v>27/04/2012</v>
      </c>
      <c r="B707" t="str">
        <f>"0.8136"</f>
        <v>0.8136</v>
      </c>
      <c r="C707" t="str">
        <f>"0.8119"</f>
        <v>0.8119</v>
      </c>
    </row>
    <row r="708" spans="1:3" x14ac:dyDescent="0.25">
      <c r="A708" t="str">
        <f>"30/04/2012"</f>
        <v>30/04/2012</v>
      </c>
      <c r="B708" t="str">
        <f>"0.8222"</f>
        <v>0.8222</v>
      </c>
      <c r="C708" t="str">
        <f>"0.8203"</f>
        <v>0.8203</v>
      </c>
    </row>
    <row r="709" spans="1:3" x14ac:dyDescent="0.25">
      <c r="A709" t="str">
        <f>"02/05/2012"</f>
        <v>02/05/2012</v>
      </c>
      <c r="B709" t="str">
        <f>"0.8127"</f>
        <v>0.8127</v>
      </c>
      <c r="C709" t="str">
        <f>"0.811"</f>
        <v>0.811</v>
      </c>
    </row>
    <row r="710" spans="1:3" x14ac:dyDescent="0.25">
      <c r="A710" t="str">
        <f>"03/05/2012"</f>
        <v>03/05/2012</v>
      </c>
      <c r="B710" t="str">
        <f>"0.8038"</f>
        <v>0.8038</v>
      </c>
      <c r="C710" t="str">
        <f>"0.8021"</f>
        <v>0.8021</v>
      </c>
    </row>
    <row r="711" spans="1:3" x14ac:dyDescent="0.25">
      <c r="A711" t="str">
        <f>"04/05/2012"</f>
        <v>04/05/2012</v>
      </c>
      <c r="B711" t="str">
        <f>"0.8001"</f>
        <v>0.8001</v>
      </c>
      <c r="C711" t="str">
        <f>"0.7984"</f>
        <v>0.7984</v>
      </c>
    </row>
    <row r="712" spans="1:3" x14ac:dyDescent="0.25">
      <c r="A712" t="str">
        <f>"07/05/2012"</f>
        <v>07/05/2012</v>
      </c>
      <c r="B712" t="str">
        <f>"0.7957"</f>
        <v>0.7957</v>
      </c>
      <c r="C712" t="str">
        <f>"0.7939"</f>
        <v>0.7939</v>
      </c>
    </row>
    <row r="713" spans="1:3" x14ac:dyDescent="0.25">
      <c r="A713" t="str">
        <f>"08/05/2012"</f>
        <v>08/05/2012</v>
      </c>
      <c r="B713" t="str">
        <f>"0.7926"</f>
        <v>0.7926</v>
      </c>
      <c r="C713" t="str">
        <f>"0.7909"</f>
        <v>0.7909</v>
      </c>
    </row>
    <row r="714" spans="1:3" x14ac:dyDescent="0.25">
      <c r="A714" t="str">
        <f>"09/05/2012"</f>
        <v>09/05/2012</v>
      </c>
      <c r="B714" t="str">
        <f>"0.7853"</f>
        <v>0.7853</v>
      </c>
      <c r="C714" t="str">
        <f>"0.7836"</f>
        <v>0.7836</v>
      </c>
    </row>
    <row r="715" spans="1:3" x14ac:dyDescent="0.25">
      <c r="A715" t="str">
        <f>"10/05/2012"</f>
        <v>10/05/2012</v>
      </c>
      <c r="B715" t="str">
        <f>"0.7844"</f>
        <v>0.7844</v>
      </c>
      <c r="C715" t="str">
        <f>"0.7827"</f>
        <v>0.7827</v>
      </c>
    </row>
    <row r="716" spans="1:3" x14ac:dyDescent="0.25">
      <c r="A716" t="str">
        <f>"11/05/2012"</f>
        <v>11/05/2012</v>
      </c>
      <c r="B716" t="str">
        <f>"0.7841"</f>
        <v>0.7841</v>
      </c>
      <c r="C716" t="str">
        <f>"0.7825"</f>
        <v>0.7825</v>
      </c>
    </row>
    <row r="717" spans="1:3" x14ac:dyDescent="0.25">
      <c r="A717" t="str">
        <f>"14/05/2012"</f>
        <v>14/05/2012</v>
      </c>
      <c r="B717" t="str">
        <f>"0.7771"</f>
        <v>0.7771</v>
      </c>
      <c r="C717" t="str">
        <f>"0.7753"</f>
        <v>0.7753</v>
      </c>
    </row>
    <row r="718" spans="1:3" x14ac:dyDescent="0.25">
      <c r="A718" t="str">
        <f>"15/05/2012"</f>
        <v>15/05/2012</v>
      </c>
      <c r="B718" t="str">
        <f>"0.7786"</f>
        <v>0.7786</v>
      </c>
      <c r="C718" t="str">
        <f>"0.7769"</f>
        <v>0.7769</v>
      </c>
    </row>
    <row r="719" spans="1:3" x14ac:dyDescent="0.25">
      <c r="A719" t="str">
        <f>"16/05/2012"</f>
        <v>16/05/2012</v>
      </c>
      <c r="B719" t="str">
        <f>"0.7658"</f>
        <v>0.7658</v>
      </c>
      <c r="C719" t="str">
        <f>"0.7641"</f>
        <v>0.7641</v>
      </c>
    </row>
    <row r="720" spans="1:3" x14ac:dyDescent="0.25">
      <c r="A720" t="str">
        <f>"17/05/2012"</f>
        <v>17/05/2012</v>
      </c>
      <c r="B720" t="str">
        <f>"0.7676"</f>
        <v>0.7676</v>
      </c>
      <c r="C720" t="str">
        <f>"0.7659"</f>
        <v>0.7659</v>
      </c>
    </row>
    <row r="721" spans="1:3" x14ac:dyDescent="0.25">
      <c r="A721" t="str">
        <f>"18/05/2012"</f>
        <v>18/05/2012</v>
      </c>
      <c r="B721" t="str">
        <f>"0.7581"</f>
        <v>0.7581</v>
      </c>
      <c r="C721" t="str">
        <f>"0.7564"</f>
        <v>0.7564</v>
      </c>
    </row>
    <row r="722" spans="1:3" x14ac:dyDescent="0.25">
      <c r="A722" t="str">
        <f>"21/05/2012"</f>
        <v>21/05/2012</v>
      </c>
      <c r="B722" t="str">
        <f>"0.7577"</f>
        <v>0.7577</v>
      </c>
      <c r="C722" t="str">
        <f>"0.7559"</f>
        <v>0.7559</v>
      </c>
    </row>
    <row r="723" spans="1:3" x14ac:dyDescent="0.25">
      <c r="A723" t="str">
        <f>"22/05/2012"</f>
        <v>22/05/2012</v>
      </c>
      <c r="B723" t="str">
        <f>"0.7607"</f>
        <v>0.7607</v>
      </c>
      <c r="C723" t="str">
        <f>"0.759"</f>
        <v>0.759</v>
      </c>
    </row>
    <row r="724" spans="1:3" x14ac:dyDescent="0.25">
      <c r="A724" t="str">
        <f>"23/05/2012"</f>
        <v>23/05/2012</v>
      </c>
      <c r="B724" t="str">
        <f>"0.7516"</f>
        <v>0.7516</v>
      </c>
      <c r="C724" t="str">
        <f>"0.7499"</f>
        <v>0.7499</v>
      </c>
    </row>
    <row r="725" spans="1:3" x14ac:dyDescent="0.25">
      <c r="A725" t="str">
        <f>"24/05/2012"</f>
        <v>24/05/2012</v>
      </c>
      <c r="B725" t="str">
        <f>"0.7519"</f>
        <v>0.7519</v>
      </c>
      <c r="C725" t="str">
        <f>"0.7504"</f>
        <v>0.7504</v>
      </c>
    </row>
    <row r="726" spans="1:3" x14ac:dyDescent="0.25">
      <c r="A726" t="str">
        <f>"25/05/2012"</f>
        <v>25/05/2012</v>
      </c>
      <c r="B726" t="str">
        <f>"0.7527"</f>
        <v>0.7527</v>
      </c>
      <c r="C726" t="str">
        <f>"0.7511"</f>
        <v>0.7511</v>
      </c>
    </row>
    <row r="727" spans="1:3" x14ac:dyDescent="0.25">
      <c r="A727" t="str">
        <f>"28/05/2012"</f>
        <v>28/05/2012</v>
      </c>
      <c r="B727" t="str">
        <f>"0.7634"</f>
        <v>0.7634</v>
      </c>
      <c r="C727" t="str">
        <f>"0.7619"</f>
        <v>0.7619</v>
      </c>
    </row>
    <row r="728" spans="1:3" x14ac:dyDescent="0.25">
      <c r="A728" t="str">
        <f>"29/05/2012"</f>
        <v>29/05/2012</v>
      </c>
      <c r="B728" t="str">
        <f>"0.7612"</f>
        <v>0.7612</v>
      </c>
      <c r="C728" t="str">
        <f>"0.7597"</f>
        <v>0.7597</v>
      </c>
    </row>
    <row r="729" spans="1:3" x14ac:dyDescent="0.25">
      <c r="A729" t="str">
        <f>"30/05/2012"</f>
        <v>30/05/2012</v>
      </c>
      <c r="B729" t="str">
        <f>"0.7608"</f>
        <v>0.7608</v>
      </c>
      <c r="C729" t="str">
        <f>"0.7592"</f>
        <v>0.7592</v>
      </c>
    </row>
    <row r="730" spans="1:3" x14ac:dyDescent="0.25">
      <c r="A730" t="str">
        <f>"31/05/2012"</f>
        <v>31/05/2012</v>
      </c>
      <c r="B730" t="str">
        <f>"0.7527"</f>
        <v>0.7527</v>
      </c>
      <c r="C730" t="str">
        <f>"0.7512"</f>
        <v>0.7512</v>
      </c>
    </row>
    <row r="731" spans="1:3" x14ac:dyDescent="0.25">
      <c r="A731" t="str">
        <f>"01/06/2012"</f>
        <v>01/06/2012</v>
      </c>
      <c r="B731" t="str">
        <f>"0.7485"</f>
        <v>0.7485</v>
      </c>
      <c r="C731" t="str">
        <f>"0.747"</f>
        <v>0.747</v>
      </c>
    </row>
    <row r="732" spans="1:3" x14ac:dyDescent="0.25">
      <c r="A732" t="str">
        <f>"04/06/2012"</f>
        <v>04/06/2012</v>
      </c>
      <c r="B732" t="str">
        <f>"0.7565"</f>
        <v>0.7565</v>
      </c>
      <c r="C732" t="str">
        <f>"0.755"</f>
        <v>0.755</v>
      </c>
    </row>
    <row r="733" spans="1:3" x14ac:dyDescent="0.25">
      <c r="A733" t="str">
        <f>"05/06/2012"</f>
        <v>05/06/2012</v>
      </c>
      <c r="B733" t="str">
        <f>"0.7537"</f>
        <v>0.7537</v>
      </c>
      <c r="C733" t="str">
        <f>"0.7521"</f>
        <v>0.7521</v>
      </c>
    </row>
    <row r="734" spans="1:3" x14ac:dyDescent="0.25">
      <c r="A734" t="str">
        <f>"06/06/2012"</f>
        <v>06/06/2012</v>
      </c>
      <c r="B734" t="str">
        <f>"0.7627"</f>
        <v>0.7627</v>
      </c>
      <c r="C734" t="str">
        <f>"0.7611"</f>
        <v>0.7611</v>
      </c>
    </row>
    <row r="735" spans="1:3" x14ac:dyDescent="0.25">
      <c r="A735" t="str">
        <f>"07/06/2012"</f>
        <v>07/06/2012</v>
      </c>
      <c r="B735" t="str">
        <f>"0.7698"</f>
        <v>0.7698</v>
      </c>
      <c r="C735" t="str">
        <f>"0.7682"</f>
        <v>0.7682</v>
      </c>
    </row>
    <row r="736" spans="1:3" x14ac:dyDescent="0.25">
      <c r="A736" t="str">
        <f>"08/06/2012"</f>
        <v>08/06/2012</v>
      </c>
      <c r="B736" t="str">
        <f>"0.7636"</f>
        <v>0.7636</v>
      </c>
      <c r="C736" t="str">
        <f>"0.762"</f>
        <v>0.762</v>
      </c>
    </row>
    <row r="737" spans="1:3" x14ac:dyDescent="0.25">
      <c r="A737" t="str">
        <f>"11/06/2012"</f>
        <v>11/06/2012</v>
      </c>
      <c r="B737" t="str">
        <f>"0.7769"</f>
        <v>0.7769</v>
      </c>
      <c r="C737" t="str">
        <f>"0.7752"</f>
        <v>0.7752</v>
      </c>
    </row>
    <row r="738" spans="1:3" x14ac:dyDescent="0.25">
      <c r="A738" t="str">
        <f>"12/06/2012"</f>
        <v>12/06/2012</v>
      </c>
      <c r="B738" t="str">
        <f>"0.7752"</f>
        <v>0.7752</v>
      </c>
      <c r="C738" t="str">
        <f>"0.7735"</f>
        <v>0.7735</v>
      </c>
    </row>
    <row r="739" spans="1:3" x14ac:dyDescent="0.25">
      <c r="A739" t="str">
        <f>"13/06/2012"</f>
        <v>13/06/2012</v>
      </c>
      <c r="B739" t="str">
        <f>"0.776"</f>
        <v>0.776</v>
      </c>
      <c r="C739" t="str">
        <f>"0.7744"</f>
        <v>0.7744</v>
      </c>
    </row>
    <row r="740" spans="1:3" x14ac:dyDescent="0.25">
      <c r="A740" t="str">
        <f>"14/06/2012"</f>
        <v>14/06/2012</v>
      </c>
      <c r="B740" t="str">
        <f>"0.7779"</f>
        <v>0.7779</v>
      </c>
      <c r="C740" t="str">
        <f>"0.7763"</f>
        <v>0.7763</v>
      </c>
    </row>
    <row r="741" spans="1:3" x14ac:dyDescent="0.25">
      <c r="A741" t="str">
        <f>"15/06/2012"</f>
        <v>15/06/2012</v>
      </c>
      <c r="B741" t="str">
        <f>"0.7849"</f>
        <v>0.7849</v>
      </c>
      <c r="C741" t="str">
        <f>"0.7833"</f>
        <v>0.7833</v>
      </c>
    </row>
    <row r="742" spans="1:3" x14ac:dyDescent="0.25">
      <c r="A742" t="str">
        <f>"18/06/2012"</f>
        <v>18/06/2012</v>
      </c>
      <c r="B742" t="str">
        <f>"0.7933"</f>
        <v>0.7933</v>
      </c>
      <c r="C742" t="str">
        <f>"0.7917"</f>
        <v>0.7917</v>
      </c>
    </row>
    <row r="743" spans="1:3" x14ac:dyDescent="0.25">
      <c r="A743" t="str">
        <f>"19/06/2012"</f>
        <v>19/06/2012</v>
      </c>
      <c r="B743" t="str">
        <f>"0.7915"</f>
        <v>0.7915</v>
      </c>
      <c r="C743" t="str">
        <f>"0.7898"</f>
        <v>0.7898</v>
      </c>
    </row>
    <row r="744" spans="1:3" x14ac:dyDescent="0.25">
      <c r="A744" t="str">
        <f>"20/06/2012"</f>
        <v>20/06/2012</v>
      </c>
      <c r="B744" t="str">
        <f>"0.7971"</f>
        <v>0.7971</v>
      </c>
      <c r="C744" t="str">
        <f>"0.7955"</f>
        <v>0.7955</v>
      </c>
    </row>
    <row r="745" spans="1:3" x14ac:dyDescent="0.25">
      <c r="A745" t="str">
        <f>"21/06/2012"</f>
        <v>21/06/2012</v>
      </c>
      <c r="B745" t="str">
        <f>"0.7985"</f>
        <v>0.7985</v>
      </c>
      <c r="C745" t="str">
        <f>"0.7969"</f>
        <v>0.7969</v>
      </c>
    </row>
    <row r="746" spans="1:3" x14ac:dyDescent="0.25">
      <c r="A746" t="str">
        <f>"22/06/2012"</f>
        <v>22/06/2012</v>
      </c>
      <c r="B746" t="str">
        <f>"0.788"</f>
        <v>0.788</v>
      </c>
      <c r="C746" t="str">
        <f>"0.7864"</f>
        <v>0.7864</v>
      </c>
    </row>
    <row r="747" spans="1:3" x14ac:dyDescent="0.25">
      <c r="A747" t="str">
        <f>"25/06/2012"</f>
        <v>25/06/2012</v>
      </c>
      <c r="B747" t="str">
        <f>"0.7853"</f>
        <v>0.7853</v>
      </c>
      <c r="C747" t="str">
        <f>"0.7838"</f>
        <v>0.7838</v>
      </c>
    </row>
    <row r="748" spans="1:3" x14ac:dyDescent="0.25">
      <c r="A748" t="str">
        <f>"26/06/2012"</f>
        <v>26/06/2012</v>
      </c>
      <c r="B748" t="str">
        <f>"0.7887"</f>
        <v>0.7887</v>
      </c>
      <c r="C748" t="str">
        <f>"0.787"</f>
        <v>0.787</v>
      </c>
    </row>
    <row r="749" spans="1:3" x14ac:dyDescent="0.25">
      <c r="A749" t="str">
        <f>"27/06/2012"</f>
        <v>27/06/2012</v>
      </c>
      <c r="B749" t="str">
        <f>"0.7887"</f>
        <v>0.7887</v>
      </c>
      <c r="C749" t="str">
        <f>"0.787"</f>
        <v>0.787</v>
      </c>
    </row>
    <row r="750" spans="1:3" x14ac:dyDescent="0.25">
      <c r="A750" t="str">
        <f>"28/06/2012"</f>
        <v>28/06/2012</v>
      </c>
      <c r="B750" t="str">
        <f>"0.7959"</f>
        <v>0.7959</v>
      </c>
      <c r="C750" t="str">
        <f>"0.7942"</f>
        <v>0.7942</v>
      </c>
    </row>
    <row r="751" spans="1:3" x14ac:dyDescent="0.25">
      <c r="A751" t="str">
        <f>"29/06/2012"</f>
        <v>29/06/2012</v>
      </c>
      <c r="B751" t="str">
        <f>"0.7993"</f>
        <v>0.7993</v>
      </c>
      <c r="C751" t="str">
        <f>"0.7976"</f>
        <v>0.7976</v>
      </c>
    </row>
    <row r="752" spans="1:3" x14ac:dyDescent="0.25">
      <c r="A752" t="str">
        <f>"02/07/2012"</f>
        <v>02/07/2012</v>
      </c>
      <c r="B752" t="str">
        <f>"0.8032"</f>
        <v>0.8032</v>
      </c>
      <c r="C752" t="str">
        <f>"0.8015"</f>
        <v>0.8015</v>
      </c>
    </row>
    <row r="753" spans="1:3" x14ac:dyDescent="0.25">
      <c r="A753" t="str">
        <f>"03/07/2012"</f>
        <v>03/07/2012</v>
      </c>
      <c r="B753" t="str">
        <f>"0.8033"</f>
        <v>0.8033</v>
      </c>
      <c r="C753" t="str">
        <f>"0.8015"</f>
        <v>0.8015</v>
      </c>
    </row>
    <row r="754" spans="1:3" x14ac:dyDescent="0.25">
      <c r="A754" t="str">
        <f>"04/07/2012"</f>
        <v>04/07/2012</v>
      </c>
      <c r="B754" t="str">
        <f>"0.8034"</f>
        <v>0.8034</v>
      </c>
      <c r="C754" t="str">
        <f>"0.8016"</f>
        <v>0.8016</v>
      </c>
    </row>
    <row r="755" spans="1:3" x14ac:dyDescent="0.25">
      <c r="A755" t="str">
        <f>"05/07/2012"</f>
        <v>05/07/2012</v>
      </c>
      <c r="B755" t="str">
        <f>"0.8038"</f>
        <v>0.8038</v>
      </c>
      <c r="C755" t="str">
        <f>"0.8021"</f>
        <v>0.8021</v>
      </c>
    </row>
    <row r="756" spans="1:3" x14ac:dyDescent="0.25">
      <c r="A756" t="str">
        <f>"06/07/2012"</f>
        <v>06/07/2012</v>
      </c>
      <c r="B756" t="str">
        <f>"0.8029"</f>
        <v>0.8029</v>
      </c>
      <c r="C756" t="str">
        <f>"0.8013"</f>
        <v>0.8013</v>
      </c>
    </row>
    <row r="757" spans="1:3" x14ac:dyDescent="0.25">
      <c r="A757" t="str">
        <f>"09/07/2012"</f>
        <v>09/07/2012</v>
      </c>
      <c r="B757" t="str">
        <f>"0.7958"</f>
        <v>0.7958</v>
      </c>
      <c r="C757" t="str">
        <f>"0.7941"</f>
        <v>0.7941</v>
      </c>
    </row>
    <row r="758" spans="1:3" x14ac:dyDescent="0.25">
      <c r="A758" t="str">
        <f>"10/07/2012"</f>
        <v>10/07/2012</v>
      </c>
      <c r="B758" t="str">
        <f>"0.7976"</f>
        <v>0.7976</v>
      </c>
      <c r="C758" t="str">
        <f>"0.7959"</f>
        <v>0.7959</v>
      </c>
    </row>
    <row r="759" spans="1:3" x14ac:dyDescent="0.25">
      <c r="A759" t="str">
        <f>"11/07/2012"</f>
        <v>11/07/2012</v>
      </c>
      <c r="B759" t="str">
        <f>"0.7987"</f>
        <v>0.7987</v>
      </c>
      <c r="C759" t="str">
        <f>"0.797"</f>
        <v>0.797</v>
      </c>
    </row>
    <row r="760" spans="1:3" x14ac:dyDescent="0.25">
      <c r="A760" t="str">
        <f>"12/07/2012"</f>
        <v>12/07/2012</v>
      </c>
      <c r="B760" t="str">
        <f>"0.7932"</f>
        <v>0.7932</v>
      </c>
      <c r="C760" t="str">
        <f>"0.7915"</f>
        <v>0.7915</v>
      </c>
    </row>
    <row r="761" spans="1:3" x14ac:dyDescent="0.25">
      <c r="A761" t="str">
        <f>"13/07/2012"</f>
        <v>13/07/2012</v>
      </c>
      <c r="B761" t="str">
        <f>"0.7922"</f>
        <v>0.7922</v>
      </c>
      <c r="C761" t="str">
        <f>"0.7905"</f>
        <v>0.7905</v>
      </c>
    </row>
    <row r="762" spans="1:3" x14ac:dyDescent="0.25">
      <c r="A762" t="str">
        <f>"16/07/2012"</f>
        <v>16/07/2012</v>
      </c>
      <c r="B762" t="str">
        <f>"0.7947"</f>
        <v>0.7947</v>
      </c>
      <c r="C762" t="str">
        <f>"0.7929"</f>
        <v>0.7929</v>
      </c>
    </row>
    <row r="763" spans="1:3" x14ac:dyDescent="0.25">
      <c r="A763" t="str">
        <f>"17/07/2012"</f>
        <v>17/07/2012</v>
      </c>
      <c r="B763" t="str">
        <f>"0.7982"</f>
        <v>0.7982</v>
      </c>
      <c r="C763" t="str">
        <f>"0.7965"</f>
        <v>0.7965</v>
      </c>
    </row>
    <row r="764" spans="1:3" x14ac:dyDescent="0.25">
      <c r="A764" t="str">
        <f>"18/07/2012"</f>
        <v>18/07/2012</v>
      </c>
      <c r="B764" t="str">
        <f>"0.7962"</f>
        <v>0.7962</v>
      </c>
      <c r="C764" t="str">
        <f>"0.7945"</f>
        <v>0.7945</v>
      </c>
    </row>
    <row r="765" spans="1:3" x14ac:dyDescent="0.25">
      <c r="A765" t="str">
        <f>"19/07/2012"</f>
        <v>19/07/2012</v>
      </c>
      <c r="B765" t="str">
        <f>"0.8045"</f>
        <v>0.8045</v>
      </c>
      <c r="C765" t="str">
        <f>"0.8028"</f>
        <v>0.8028</v>
      </c>
    </row>
    <row r="766" spans="1:3" x14ac:dyDescent="0.25">
      <c r="A766" t="str">
        <f>"20/07/2012"</f>
        <v>20/07/2012</v>
      </c>
      <c r="B766" t="str">
        <f>"0.8014"</f>
        <v>0.8014</v>
      </c>
      <c r="C766" t="str">
        <f>"0.7997"</f>
        <v>0.7997</v>
      </c>
    </row>
    <row r="767" spans="1:3" x14ac:dyDescent="0.25">
      <c r="A767" t="str">
        <f>"23/07/2012"</f>
        <v>23/07/2012</v>
      </c>
      <c r="B767" t="str">
        <f>"0.7916"</f>
        <v>0.7916</v>
      </c>
      <c r="C767" t="str">
        <f>"0.7898"</f>
        <v>0.7898</v>
      </c>
    </row>
    <row r="768" spans="1:3" x14ac:dyDescent="0.25">
      <c r="A768" t="str">
        <f>"24/07/2012"</f>
        <v>24/07/2012</v>
      </c>
      <c r="B768" t="str">
        <f>"0.7902"</f>
        <v>0.7902</v>
      </c>
      <c r="C768" t="str">
        <f>"0.7885"</f>
        <v>0.7885</v>
      </c>
    </row>
    <row r="769" spans="1:3" x14ac:dyDescent="0.25">
      <c r="A769" t="str">
        <f>"25/07/2012"</f>
        <v>25/07/2012</v>
      </c>
      <c r="B769" t="str">
        <f>"0.7855"</f>
        <v>0.7855</v>
      </c>
      <c r="C769" t="str">
        <f>"0.7839"</f>
        <v>0.7839</v>
      </c>
    </row>
    <row r="770" spans="1:3" x14ac:dyDescent="0.25">
      <c r="A770" t="str">
        <f>"26/07/2012"</f>
        <v>26/07/2012</v>
      </c>
      <c r="B770" t="str">
        <f>"0.795"</f>
        <v>0.795</v>
      </c>
      <c r="C770" t="str">
        <f>"0.7933"</f>
        <v>0.7933</v>
      </c>
    </row>
    <row r="771" spans="1:3" x14ac:dyDescent="0.25">
      <c r="A771" t="str">
        <f>"27/07/2012"</f>
        <v>27/07/2012</v>
      </c>
      <c r="B771" t="str">
        <f>"0.8021"</f>
        <v>0.8021</v>
      </c>
      <c r="C771" t="str">
        <f>"0.8005"</f>
        <v>0.8005</v>
      </c>
    </row>
    <row r="772" spans="1:3" x14ac:dyDescent="0.25">
      <c r="A772" t="str">
        <f>"30/07/2012"</f>
        <v>30/07/2012</v>
      </c>
      <c r="B772" t="str">
        <f>"0.8092"</f>
        <v>0.8092</v>
      </c>
      <c r="C772" t="str">
        <f>"0.8073"</f>
        <v>0.8073</v>
      </c>
    </row>
    <row r="773" spans="1:3" x14ac:dyDescent="0.25">
      <c r="A773" t="str">
        <f>"31/07/2012"</f>
        <v>31/07/2012</v>
      </c>
      <c r="B773" t="str">
        <f>"0.8093"</f>
        <v>0.8093</v>
      </c>
      <c r="C773" t="str">
        <f>"0.8075"</f>
        <v>0.8075</v>
      </c>
    </row>
    <row r="774" spans="1:3" x14ac:dyDescent="0.25">
      <c r="A774" t="str">
        <f>"01/08/2012"</f>
        <v>01/08/2012</v>
      </c>
      <c r="B774" t="str">
        <f>"0.8118"</f>
        <v>0.8118</v>
      </c>
      <c r="C774" t="str">
        <f>"0.8101"</f>
        <v>0.8101</v>
      </c>
    </row>
    <row r="775" spans="1:3" x14ac:dyDescent="0.25">
      <c r="A775" t="str">
        <f>"02/08/2012"</f>
        <v>02/08/2012</v>
      </c>
      <c r="B775" t="str">
        <f>"0.8122"</f>
        <v>0.8122</v>
      </c>
      <c r="C775" t="str">
        <f>"0.8104"</f>
        <v>0.8104</v>
      </c>
    </row>
    <row r="776" spans="1:3" x14ac:dyDescent="0.25">
      <c r="A776" t="str">
        <f>"03/08/2012"</f>
        <v>03/08/2012</v>
      </c>
      <c r="B776" t="str">
        <f>"0.8144"</f>
        <v>0.8144</v>
      </c>
      <c r="C776" t="str">
        <f>"0.8127"</f>
        <v>0.8127</v>
      </c>
    </row>
    <row r="777" spans="1:3" x14ac:dyDescent="0.25">
      <c r="A777" t="str">
        <f>"06/08/2012"</f>
        <v>06/08/2012</v>
      </c>
      <c r="B777" t="str">
        <f>"0.8172"</f>
        <v>0.8172</v>
      </c>
      <c r="C777" t="str">
        <f>"0.8154"</f>
        <v>0.8154</v>
      </c>
    </row>
    <row r="778" spans="1:3" x14ac:dyDescent="0.25">
      <c r="A778" t="str">
        <f>"07/08/2012"</f>
        <v>07/08/2012</v>
      </c>
      <c r="B778" t="str">
        <f>"0.8207"</f>
        <v>0.8207</v>
      </c>
      <c r="C778" t="str">
        <f>"0.8189"</f>
        <v>0.8189</v>
      </c>
    </row>
    <row r="779" spans="1:3" x14ac:dyDescent="0.25">
      <c r="A779" t="str">
        <f>"08/08/2012"</f>
        <v>08/08/2012</v>
      </c>
      <c r="B779" t="str">
        <f>"0.8154"</f>
        <v>0.8154</v>
      </c>
      <c r="C779" t="str">
        <f>"0.8137"</f>
        <v>0.8137</v>
      </c>
    </row>
    <row r="780" spans="1:3" x14ac:dyDescent="0.25">
      <c r="A780" t="str">
        <f>"09/08/2012"</f>
        <v>09/08/2012</v>
      </c>
      <c r="B780" t="str">
        <f>"0.8124"</f>
        <v>0.8124</v>
      </c>
      <c r="C780" t="str">
        <f>"0.8107"</f>
        <v>0.8107</v>
      </c>
    </row>
    <row r="781" spans="1:3" x14ac:dyDescent="0.25">
      <c r="A781" t="str">
        <f>"10/08/2012"</f>
        <v>10/08/2012</v>
      </c>
      <c r="B781" t="str">
        <f>"0.8104"</f>
        <v>0.8104</v>
      </c>
      <c r="C781" t="str">
        <f>"0.8087"</f>
        <v>0.8087</v>
      </c>
    </row>
    <row r="782" spans="1:3" x14ac:dyDescent="0.25">
      <c r="A782" t="str">
        <f>"13/08/2012"</f>
        <v>13/08/2012</v>
      </c>
      <c r="B782" t="str">
        <f>"0.8103"</f>
        <v>0.8103</v>
      </c>
      <c r="C782" t="str">
        <f>"0.8085"</f>
        <v>0.8085</v>
      </c>
    </row>
    <row r="783" spans="1:3" x14ac:dyDescent="0.25">
      <c r="A783" t="str">
        <f>"14/08/2012"</f>
        <v>14/08/2012</v>
      </c>
      <c r="B783" t="str">
        <f>"0.8098"</f>
        <v>0.8098</v>
      </c>
      <c r="C783" t="str">
        <f>"0.8081"</f>
        <v>0.8081</v>
      </c>
    </row>
    <row r="784" spans="1:3" x14ac:dyDescent="0.25">
      <c r="A784" t="str">
        <f>"16/08/2012"</f>
        <v>16/08/2012</v>
      </c>
      <c r="B784" t="str">
        <f>"0.8073"</f>
        <v>0.8073</v>
      </c>
      <c r="C784" t="str">
        <f>"0.8056"</f>
        <v>0.8056</v>
      </c>
    </row>
    <row r="785" spans="1:3" x14ac:dyDescent="0.25">
      <c r="A785" t="str">
        <f>"17/08/2012"</f>
        <v>17/08/2012</v>
      </c>
      <c r="B785" t="str">
        <f>"0.8079"</f>
        <v>0.8079</v>
      </c>
      <c r="C785" t="str">
        <f>"0.8063"</f>
        <v>0.8063</v>
      </c>
    </row>
    <row r="786" spans="1:3" x14ac:dyDescent="0.25">
      <c r="A786" t="str">
        <f>"21/08/2012"</f>
        <v>21/08/2012</v>
      </c>
      <c r="B786" t="str">
        <f>"0.8104"</f>
        <v>0.8104</v>
      </c>
      <c r="C786" t="str">
        <f>"0.8087"</f>
        <v>0.8087</v>
      </c>
    </row>
    <row r="787" spans="1:3" x14ac:dyDescent="0.25">
      <c r="A787" t="str">
        <f>"22/08/2012"</f>
        <v>22/08/2012</v>
      </c>
      <c r="B787" t="str">
        <f>"0.8091"</f>
        <v>0.8091</v>
      </c>
      <c r="C787" t="str">
        <f>"0.8074"</f>
        <v>0.8074</v>
      </c>
    </row>
    <row r="788" spans="1:3" x14ac:dyDescent="0.25">
      <c r="A788" t="str">
        <f>"23/08/2012"</f>
        <v>23/08/2012</v>
      </c>
      <c r="B788" t="str">
        <f>"0.8161"</f>
        <v>0.8161</v>
      </c>
      <c r="C788" t="str">
        <f>"0.8144"</f>
        <v>0.8144</v>
      </c>
    </row>
    <row r="789" spans="1:3" x14ac:dyDescent="0.25">
      <c r="A789" t="str">
        <f>"24/08/2012"</f>
        <v>24/08/2012</v>
      </c>
      <c r="B789" t="str">
        <f>"0.8097"</f>
        <v>0.8097</v>
      </c>
      <c r="C789" t="str">
        <f>"0.808"</f>
        <v>0.808</v>
      </c>
    </row>
    <row r="790" spans="1:3" x14ac:dyDescent="0.25">
      <c r="A790" t="str">
        <f>"27/08/2012"</f>
        <v>27/08/2012</v>
      </c>
      <c r="B790" t="str">
        <f>"0.8103"</f>
        <v>0.8103</v>
      </c>
      <c r="C790" t="str">
        <f>"0.8087"</f>
        <v>0.8087</v>
      </c>
    </row>
    <row r="791" spans="1:3" x14ac:dyDescent="0.25">
      <c r="A791" t="str">
        <f>"28/08/2012"</f>
        <v>28/08/2012</v>
      </c>
      <c r="B791" t="str">
        <f>"0.8077"</f>
        <v>0.8077</v>
      </c>
      <c r="C791" t="str">
        <f>"0.8061"</f>
        <v>0.8061</v>
      </c>
    </row>
    <row r="792" spans="1:3" x14ac:dyDescent="0.25">
      <c r="A792" t="str">
        <f>"29/08/2012"</f>
        <v>29/08/2012</v>
      </c>
      <c r="B792" t="str">
        <f>"0.8047"</f>
        <v>0.8047</v>
      </c>
      <c r="C792" t="str">
        <f>"0.8032"</f>
        <v>0.8032</v>
      </c>
    </row>
    <row r="793" spans="1:3" x14ac:dyDescent="0.25">
      <c r="A793" t="str">
        <f>"30/08/2012"</f>
        <v>30/08/2012</v>
      </c>
      <c r="B793" t="str">
        <f>"0.8013"</f>
        <v>0.8013</v>
      </c>
      <c r="C793" t="str">
        <f>"0.7997"</f>
        <v>0.7997</v>
      </c>
    </row>
    <row r="794" spans="1:3" x14ac:dyDescent="0.25">
      <c r="A794" t="str">
        <f>"31/08/2012"</f>
        <v>31/08/2012</v>
      </c>
      <c r="B794" t="str">
        <f>"0.8014"</f>
        <v>0.8014</v>
      </c>
      <c r="C794" t="str">
        <f>"0.7998"</f>
        <v>0.7998</v>
      </c>
    </row>
    <row r="795" spans="1:3" x14ac:dyDescent="0.25">
      <c r="A795" t="str">
        <f>"03/09/2012"</f>
        <v>03/09/2012</v>
      </c>
      <c r="B795" t="str">
        <f>"0.7992"</f>
        <v>0.7992</v>
      </c>
      <c r="C795" t="str">
        <f>"0.7976"</f>
        <v>0.7976</v>
      </c>
    </row>
    <row r="796" spans="1:3" x14ac:dyDescent="0.25">
      <c r="A796" t="str">
        <f>"04/09/2012"</f>
        <v>04/09/2012</v>
      </c>
      <c r="B796" t="str">
        <f>"0.7977"</f>
        <v>0.7977</v>
      </c>
      <c r="C796" t="str">
        <f>"0.796"</f>
        <v>0.796</v>
      </c>
    </row>
    <row r="797" spans="1:3" x14ac:dyDescent="0.25">
      <c r="A797" t="str">
        <f>"05/09/2012"</f>
        <v>05/09/2012</v>
      </c>
      <c r="B797" t="str">
        <f>"0.7942"</f>
        <v>0.7942</v>
      </c>
      <c r="C797" t="str">
        <f>"0.7925"</f>
        <v>0.7925</v>
      </c>
    </row>
    <row r="798" spans="1:3" x14ac:dyDescent="0.25">
      <c r="A798" t="str">
        <f>"06/09/2012"</f>
        <v>06/09/2012</v>
      </c>
      <c r="B798" t="str">
        <f>"0.7967"</f>
        <v>0.7967</v>
      </c>
      <c r="C798" t="str">
        <f>"0.7951"</f>
        <v>0.7951</v>
      </c>
    </row>
    <row r="799" spans="1:3" x14ac:dyDescent="0.25">
      <c r="A799" t="str">
        <f>"07/09/2012"</f>
        <v>07/09/2012</v>
      </c>
      <c r="B799" t="str">
        <f>"0.8044"</f>
        <v>0.8044</v>
      </c>
      <c r="C799" t="str">
        <f>"0.8028"</f>
        <v>0.8028</v>
      </c>
    </row>
    <row r="800" spans="1:3" x14ac:dyDescent="0.25">
      <c r="A800" t="str">
        <f>"10/09/2012"</f>
        <v>10/09/2012</v>
      </c>
      <c r="B800" t="str">
        <f>"0.8105"</f>
        <v>0.8105</v>
      </c>
      <c r="C800" t="str">
        <f>"0.8088"</f>
        <v>0.8088</v>
      </c>
    </row>
    <row r="801" spans="1:3" x14ac:dyDescent="0.25">
      <c r="A801" t="str">
        <f>"11/09/2012"</f>
        <v>11/09/2012</v>
      </c>
      <c r="B801" t="str">
        <f>"0.8095"</f>
        <v>0.8095</v>
      </c>
      <c r="C801" t="str">
        <f>"0.8077"</f>
        <v>0.8077</v>
      </c>
    </row>
    <row r="802" spans="1:3" x14ac:dyDescent="0.25">
      <c r="A802" t="str">
        <f>"12/09/2012"</f>
        <v>12/09/2012</v>
      </c>
      <c r="B802" t="str">
        <f>"0.82"</f>
        <v>0.82</v>
      </c>
      <c r="C802" t="str">
        <f>"0.8183"</f>
        <v>0.8183</v>
      </c>
    </row>
    <row r="803" spans="1:3" x14ac:dyDescent="0.25">
      <c r="A803" t="str">
        <f>"13/09/2012"</f>
        <v>13/09/2012</v>
      </c>
      <c r="B803" t="str">
        <f>"0.821"</f>
        <v>0.821</v>
      </c>
      <c r="C803" t="str">
        <f>"0.8194"</f>
        <v>0.8194</v>
      </c>
    </row>
    <row r="804" spans="1:3" x14ac:dyDescent="0.25">
      <c r="A804" t="str">
        <f>"14/09/2012"</f>
        <v>14/09/2012</v>
      </c>
      <c r="B804" t="str">
        <f>"0.8347"</f>
        <v>0.8347</v>
      </c>
      <c r="C804" t="str">
        <f>"0.833"</f>
        <v>0.833</v>
      </c>
    </row>
    <row r="805" spans="1:3" x14ac:dyDescent="0.25">
      <c r="A805" t="str">
        <f>"17/09/2012"</f>
        <v>17/09/2012</v>
      </c>
      <c r="B805" t="str">
        <f>"0.8275"</f>
        <v>0.8275</v>
      </c>
      <c r="C805" t="str">
        <f>"0.8258"</f>
        <v>0.8258</v>
      </c>
    </row>
    <row r="806" spans="1:3" x14ac:dyDescent="0.25">
      <c r="A806" t="str">
        <f>"18/09/2012"</f>
        <v>18/09/2012</v>
      </c>
      <c r="B806" t="str">
        <f>"0.8267"</f>
        <v>0.8267</v>
      </c>
      <c r="C806" t="str">
        <f>"0.8249"</f>
        <v>0.8249</v>
      </c>
    </row>
    <row r="807" spans="1:3" x14ac:dyDescent="0.25">
      <c r="A807" t="str">
        <f>"20/09/2012"</f>
        <v>20/09/2012</v>
      </c>
      <c r="B807" t="str">
        <f>"0.8229"</f>
        <v>0.8229</v>
      </c>
      <c r="C807" t="str">
        <f>"0.8212"</f>
        <v>0.8212</v>
      </c>
    </row>
    <row r="808" spans="1:3" x14ac:dyDescent="0.25">
      <c r="A808" t="str">
        <f>"21/09/2012"</f>
        <v>21/09/2012</v>
      </c>
      <c r="B808" t="str">
        <f>"0.8325"</f>
        <v>0.8325</v>
      </c>
      <c r="C808" t="str">
        <f>"0.8309"</f>
        <v>0.8309</v>
      </c>
    </row>
    <row r="809" spans="1:3" x14ac:dyDescent="0.25">
      <c r="A809" t="str">
        <f>"24/09/2012"</f>
        <v>24/09/2012</v>
      </c>
      <c r="B809" t="str">
        <f>"0.8215"</f>
        <v>0.8215</v>
      </c>
      <c r="C809" t="str">
        <f>"0.8199"</f>
        <v>0.8199</v>
      </c>
    </row>
    <row r="810" spans="1:3" x14ac:dyDescent="0.25">
      <c r="A810" t="str">
        <f>"25/09/2012"</f>
        <v>25/09/2012</v>
      </c>
      <c r="B810" t="str">
        <f>"0.8226"</f>
        <v>0.8226</v>
      </c>
      <c r="C810" t="str">
        <f>"0.8209"</f>
        <v>0.8209</v>
      </c>
    </row>
    <row r="811" spans="1:3" x14ac:dyDescent="0.25">
      <c r="A811" t="str">
        <f>"26/09/2012"</f>
        <v>26/09/2012</v>
      </c>
      <c r="B811" t="str">
        <f>"0.8197"</f>
        <v>0.8197</v>
      </c>
      <c r="C811" t="str">
        <f>"0.8179"</f>
        <v>0.8179</v>
      </c>
    </row>
    <row r="812" spans="1:3" x14ac:dyDescent="0.25">
      <c r="A812" t="str">
        <f>"27/09/2012"</f>
        <v>27/09/2012</v>
      </c>
      <c r="B812" t="str">
        <f>"0.8256"</f>
        <v>0.8256</v>
      </c>
      <c r="C812" t="str">
        <f>"0.8239"</f>
        <v>0.8239</v>
      </c>
    </row>
    <row r="813" spans="1:3" x14ac:dyDescent="0.25">
      <c r="A813" t="str">
        <f>"28/09/2012"</f>
        <v>28/09/2012</v>
      </c>
      <c r="B813" t="str">
        <f>"0.8347"</f>
        <v>0.8347</v>
      </c>
      <c r="C813" t="str">
        <f>"0.833"</f>
        <v>0.833</v>
      </c>
    </row>
    <row r="814" spans="1:3" x14ac:dyDescent="0.25">
      <c r="A814" t="str">
        <f>"01/10/2012"</f>
        <v>01/10/2012</v>
      </c>
      <c r="B814" t="str">
        <f>"0.8302"</f>
        <v>0.8302</v>
      </c>
      <c r="C814" t="str">
        <f>"0.8283"</f>
        <v>0.8283</v>
      </c>
    </row>
    <row r="815" spans="1:3" x14ac:dyDescent="0.25">
      <c r="A815" t="str">
        <f>"03/10/2012"</f>
        <v>03/10/2012</v>
      </c>
      <c r="B815" t="str">
        <f>"0.8221"</f>
        <v>0.8221</v>
      </c>
      <c r="C815" t="str">
        <f>"0.8204"</f>
        <v>0.8204</v>
      </c>
    </row>
    <row r="816" spans="1:3" x14ac:dyDescent="0.25">
      <c r="A816" t="str">
        <f>"04/10/2012"</f>
        <v>04/10/2012</v>
      </c>
      <c r="B816" t="str">
        <f>"0.8207"</f>
        <v>0.8207</v>
      </c>
      <c r="C816" t="str">
        <f>"0.819"</f>
        <v>0.819</v>
      </c>
    </row>
    <row r="817" spans="1:3" x14ac:dyDescent="0.25">
      <c r="A817" t="str">
        <f>"05/10/2012"</f>
        <v>05/10/2012</v>
      </c>
      <c r="B817" t="str">
        <f>"0.8243"</f>
        <v>0.8243</v>
      </c>
      <c r="C817" t="str">
        <f>"0.8227"</f>
        <v>0.8227</v>
      </c>
    </row>
    <row r="818" spans="1:3" x14ac:dyDescent="0.25">
      <c r="A818" t="str">
        <f>"08/10/2012"</f>
        <v>08/10/2012</v>
      </c>
      <c r="B818" t="str">
        <f>"0.8173"</f>
        <v>0.8173</v>
      </c>
      <c r="C818" t="str">
        <f>"0.8155"</f>
        <v>0.8155</v>
      </c>
    </row>
    <row r="819" spans="1:3" x14ac:dyDescent="0.25">
      <c r="A819" t="str">
        <f>"09/10/2012"</f>
        <v>09/10/2012</v>
      </c>
      <c r="B819" t="str">
        <f>"0.8192"</f>
        <v>0.8192</v>
      </c>
      <c r="C819" t="str">
        <f>"0.8175"</f>
        <v>0.8175</v>
      </c>
    </row>
    <row r="820" spans="1:3" x14ac:dyDescent="0.25">
      <c r="A820" t="str">
        <f>"10/10/2012"</f>
        <v>10/10/2012</v>
      </c>
      <c r="B820" t="str">
        <f>"0.8165"</f>
        <v>0.8165</v>
      </c>
      <c r="C820" t="str">
        <f>"0.8148"</f>
        <v>0.8148</v>
      </c>
    </row>
    <row r="821" spans="1:3" x14ac:dyDescent="0.25">
      <c r="A821" t="str">
        <f>"11/10/2012"</f>
        <v>11/10/2012</v>
      </c>
      <c r="B821" t="str">
        <f>"0.8178"</f>
        <v>0.8178</v>
      </c>
      <c r="C821" t="str">
        <f>"0.8162"</f>
        <v>0.8162</v>
      </c>
    </row>
    <row r="822" spans="1:3" x14ac:dyDescent="0.25">
      <c r="A822" t="str">
        <f>"12/10/2012"</f>
        <v>12/10/2012</v>
      </c>
      <c r="B822" t="str">
        <f>"0.8193"</f>
        <v>0.8193</v>
      </c>
      <c r="C822" t="str">
        <f>"0.8176"</f>
        <v>0.8176</v>
      </c>
    </row>
    <row r="823" spans="1:3" x14ac:dyDescent="0.25">
      <c r="A823" t="str">
        <f>"15/10/2012"</f>
        <v>15/10/2012</v>
      </c>
      <c r="B823" t="str">
        <f>"0.8161"</f>
        <v>0.8161</v>
      </c>
      <c r="C823" t="str">
        <f>"0.8143"</f>
        <v>0.8143</v>
      </c>
    </row>
    <row r="824" spans="1:3" x14ac:dyDescent="0.25">
      <c r="A824" t="str">
        <f>"16/10/2012"</f>
        <v>16/10/2012</v>
      </c>
      <c r="B824" t="str">
        <f>"0.8169"</f>
        <v>0.8169</v>
      </c>
      <c r="C824" t="str">
        <f>"0.8152"</f>
        <v>0.8152</v>
      </c>
    </row>
    <row r="825" spans="1:3" x14ac:dyDescent="0.25">
      <c r="A825" t="str">
        <f>"17/10/2012"</f>
        <v>17/10/2012</v>
      </c>
      <c r="B825" t="str">
        <f>"0.8177"</f>
        <v>0.8177</v>
      </c>
      <c r="C825" t="str">
        <f>"0.816"</f>
        <v>0.816</v>
      </c>
    </row>
    <row r="826" spans="1:3" x14ac:dyDescent="0.25">
      <c r="A826" t="str">
        <f>"18/10/2012"</f>
        <v>18/10/2012</v>
      </c>
      <c r="B826" t="str">
        <f>"0.8208"</f>
        <v>0.8208</v>
      </c>
      <c r="C826" t="str">
        <f>"0.8192"</f>
        <v>0.8192</v>
      </c>
    </row>
    <row r="827" spans="1:3" x14ac:dyDescent="0.25">
      <c r="A827" t="str">
        <f>"19/10/2012"</f>
        <v>19/10/2012</v>
      </c>
      <c r="B827" t="str">
        <f>"0.8189"</f>
        <v>0.8189</v>
      </c>
      <c r="C827" t="str">
        <f>"0.8171"</f>
        <v>0.8171</v>
      </c>
    </row>
    <row r="828" spans="1:3" x14ac:dyDescent="0.25">
      <c r="A828" t="str">
        <f>"22/10/2012"</f>
        <v>22/10/2012</v>
      </c>
      <c r="B828" t="str">
        <f>"0.8184"</f>
        <v>0.8184</v>
      </c>
      <c r="C828" t="str">
        <f>"0.8166"</f>
        <v>0.8166</v>
      </c>
    </row>
    <row r="829" spans="1:3" x14ac:dyDescent="0.25">
      <c r="A829" t="str">
        <f>"23/10/2012"</f>
        <v>23/10/2012</v>
      </c>
      <c r="B829" t="str">
        <f>"0.8166"</f>
        <v>0.8166</v>
      </c>
      <c r="C829" t="str">
        <f>"0.8148"</f>
        <v>0.8148</v>
      </c>
    </row>
    <row r="830" spans="1:3" x14ac:dyDescent="0.25">
      <c r="A830" t="str">
        <f>"25/10/2012"</f>
        <v>25/10/2012</v>
      </c>
      <c r="B830" t="str">
        <f>"0.8235"</f>
        <v>0.8235</v>
      </c>
      <c r="C830" t="str">
        <f>"0.8218"</f>
        <v>0.8218</v>
      </c>
    </row>
    <row r="831" spans="1:3" x14ac:dyDescent="0.25">
      <c r="A831" t="str">
        <f>"26/10/2012"</f>
        <v>26/10/2012</v>
      </c>
      <c r="B831" t="str">
        <f>"0.8189"</f>
        <v>0.8189</v>
      </c>
      <c r="C831" t="str">
        <f>"0.8172"</f>
        <v>0.8172</v>
      </c>
    </row>
    <row r="832" spans="1:3" x14ac:dyDescent="0.25">
      <c r="A832" t="str">
        <f>"29/10/2012"</f>
        <v>29/10/2012</v>
      </c>
      <c r="B832" t="str">
        <f>"0.8212"</f>
        <v>0.8212</v>
      </c>
      <c r="C832" t="str">
        <f>"0.8195"</f>
        <v>0.8195</v>
      </c>
    </row>
    <row r="833" spans="1:3" x14ac:dyDescent="0.25">
      <c r="A833" t="str">
        <f>"30/10/2012"</f>
        <v>30/10/2012</v>
      </c>
      <c r="B833" t="str">
        <f>"0.8224"</f>
        <v>0.8224</v>
      </c>
      <c r="C833" t="str">
        <f>"0.8207"</f>
        <v>0.8207</v>
      </c>
    </row>
    <row r="834" spans="1:3" x14ac:dyDescent="0.25">
      <c r="A834" t="str">
        <f>"31/10/2012"</f>
        <v>31/10/2012</v>
      </c>
      <c r="B834" t="str">
        <f>"0.8226"</f>
        <v>0.8226</v>
      </c>
      <c r="C834" t="str">
        <f>"0.821"</f>
        <v>0.821</v>
      </c>
    </row>
    <row r="835" spans="1:3" x14ac:dyDescent="0.25">
      <c r="A835" t="str">
        <f>"01/11/2012"</f>
        <v>01/11/2012</v>
      </c>
      <c r="B835" t="str">
        <f>"0.822"</f>
        <v>0.822</v>
      </c>
      <c r="C835" t="str">
        <f>"0.8204"</f>
        <v>0.8204</v>
      </c>
    </row>
    <row r="836" spans="1:3" x14ac:dyDescent="0.25">
      <c r="A836" t="str">
        <f>"02/11/2012"</f>
        <v>02/11/2012</v>
      </c>
      <c r="B836" t="str">
        <f>"0.8262"</f>
        <v>0.8262</v>
      </c>
      <c r="C836" t="str">
        <f>"0.8245"</f>
        <v>0.8245</v>
      </c>
    </row>
    <row r="837" spans="1:3" x14ac:dyDescent="0.25">
      <c r="A837" t="str">
        <f>"05/11/2012"</f>
        <v>05/11/2012</v>
      </c>
      <c r="B837" t="str">
        <f>"0.8258"</f>
        <v>0.8258</v>
      </c>
      <c r="C837" t="str">
        <f>"0.8242"</f>
        <v>0.8242</v>
      </c>
    </row>
    <row r="838" spans="1:3" x14ac:dyDescent="0.25">
      <c r="A838" t="str">
        <f>"06/11/2012"</f>
        <v>06/11/2012</v>
      </c>
      <c r="B838" t="str">
        <f>"0.8269"</f>
        <v>0.8269</v>
      </c>
      <c r="C838" t="str">
        <f>"0.8252"</f>
        <v>0.8252</v>
      </c>
    </row>
    <row r="839" spans="1:3" x14ac:dyDescent="0.25">
      <c r="A839" t="str">
        <f>"07/11/2012"</f>
        <v>07/11/2012</v>
      </c>
      <c r="B839" t="str">
        <f>"0.8286"</f>
        <v>0.8286</v>
      </c>
      <c r="C839" t="str">
        <f>"0.827"</f>
        <v>0.827</v>
      </c>
    </row>
    <row r="840" spans="1:3" x14ac:dyDescent="0.25">
      <c r="A840" t="str">
        <f>"08/11/2012"</f>
        <v>08/11/2012</v>
      </c>
      <c r="B840" t="str">
        <f>"0.8175"</f>
        <v>0.8175</v>
      </c>
      <c r="C840" t="str">
        <f>"0.8159"</f>
        <v>0.8159</v>
      </c>
    </row>
    <row r="841" spans="1:3" x14ac:dyDescent="0.25">
      <c r="A841" t="str">
        <f>"09/11/2012"</f>
        <v>09/11/2012</v>
      </c>
      <c r="B841" t="str">
        <f>"0.8162"</f>
        <v>0.8162</v>
      </c>
      <c r="C841" t="str">
        <f>"0.8146"</f>
        <v>0.8146</v>
      </c>
    </row>
    <row r="842" spans="1:3" x14ac:dyDescent="0.25">
      <c r="A842" t="str">
        <f>"12/11/2012"</f>
        <v>12/11/2012</v>
      </c>
      <c r="B842" t="str">
        <f>"0.8163"</f>
        <v>0.8163</v>
      </c>
      <c r="C842" t="str">
        <f>"0.8147"</f>
        <v>0.8147</v>
      </c>
    </row>
    <row r="843" spans="1:3" x14ac:dyDescent="0.25">
      <c r="A843" t="str">
        <f>"15/11/2012"</f>
        <v>15/11/2012</v>
      </c>
      <c r="B843" t="str">
        <f>"0.812"</f>
        <v>0.812</v>
      </c>
      <c r="C843" t="str">
        <f>"0.8104"</f>
        <v>0.8104</v>
      </c>
    </row>
    <row r="844" spans="1:3" x14ac:dyDescent="0.25">
      <c r="A844" t="str">
        <f>"16/11/2012"</f>
        <v>16/11/2012</v>
      </c>
      <c r="B844" t="str">
        <f>"0.8106"</f>
        <v>0.8106</v>
      </c>
      <c r="C844" t="str">
        <f>"0.809"</f>
        <v>0.809</v>
      </c>
    </row>
    <row r="845" spans="1:3" x14ac:dyDescent="0.25">
      <c r="A845" t="str">
        <f>"19/11/2012"</f>
        <v>19/11/2012</v>
      </c>
      <c r="B845" t="str">
        <f>"0.8174"</f>
        <v>0.8174</v>
      </c>
      <c r="C845" t="str">
        <f>"0.8157"</f>
        <v>0.8157</v>
      </c>
    </row>
    <row r="846" spans="1:3" x14ac:dyDescent="0.25">
      <c r="A846" t="str">
        <f>"20/11/2012"</f>
        <v>20/11/2012</v>
      </c>
      <c r="B846" t="str">
        <f>"0.8184"</f>
        <v>0.8184</v>
      </c>
      <c r="C846" t="str">
        <f>"0.8167"</f>
        <v>0.8167</v>
      </c>
    </row>
    <row r="847" spans="1:3" x14ac:dyDescent="0.25">
      <c r="A847" t="str">
        <f>"21/11/2012"</f>
        <v>21/11/2012</v>
      </c>
      <c r="B847" t="str">
        <f>"0.8133"</f>
        <v>0.8133</v>
      </c>
      <c r="C847" t="str">
        <f>"0.8116"</f>
        <v>0.8116</v>
      </c>
    </row>
    <row r="848" spans="1:3" x14ac:dyDescent="0.25">
      <c r="A848" t="str">
        <f>"22/11/2012"</f>
        <v>22/11/2012</v>
      </c>
      <c r="B848" t="str">
        <f>"0.8139"</f>
        <v>0.8139</v>
      </c>
      <c r="C848" t="str">
        <f>"0.8122"</f>
        <v>0.8122</v>
      </c>
    </row>
    <row r="849" spans="1:3" x14ac:dyDescent="0.25">
      <c r="A849" t="str">
        <f>"23/11/2012"</f>
        <v>23/11/2012</v>
      </c>
      <c r="B849" t="str">
        <f>"0.8173"</f>
        <v>0.8173</v>
      </c>
      <c r="C849" t="str">
        <f>"0.8157"</f>
        <v>0.8157</v>
      </c>
    </row>
    <row r="850" spans="1:3" x14ac:dyDescent="0.25">
      <c r="A850" t="str">
        <f>"26/11/2012"</f>
        <v>26/11/2012</v>
      </c>
      <c r="B850" t="str">
        <f>"0.8237"</f>
        <v>0.8237</v>
      </c>
      <c r="C850" t="str">
        <f>"0.8221"</f>
        <v>0.8221</v>
      </c>
    </row>
    <row r="851" spans="1:3" x14ac:dyDescent="0.25">
      <c r="A851" t="str">
        <f>"27/11/2012"</f>
        <v>27/11/2012</v>
      </c>
      <c r="B851" t="str">
        <f>"0.8228"</f>
        <v>0.8228</v>
      </c>
      <c r="C851" t="str">
        <f>"0.8211"</f>
        <v>0.8211</v>
      </c>
    </row>
    <row r="852" spans="1:3" x14ac:dyDescent="0.25">
      <c r="A852" t="str">
        <f>"29/11/2012"</f>
        <v>29/11/2012</v>
      </c>
      <c r="B852" t="str">
        <f>"0.8245"</f>
        <v>0.8245</v>
      </c>
      <c r="C852" t="str">
        <f>"0.8228"</f>
        <v>0.8228</v>
      </c>
    </row>
    <row r="853" spans="1:3" x14ac:dyDescent="0.25">
      <c r="A853" t="str">
        <f>"30/11/2012"</f>
        <v>30/11/2012</v>
      </c>
      <c r="B853" t="str">
        <f>"0.8227"</f>
        <v>0.8227</v>
      </c>
      <c r="C853" t="str">
        <f>"0.821"</f>
        <v>0.821</v>
      </c>
    </row>
    <row r="854" spans="1:3" x14ac:dyDescent="0.25">
      <c r="A854" t="str">
        <f>"03/12/2012"</f>
        <v>03/12/2012</v>
      </c>
      <c r="B854" t="str">
        <f>"0.8202"</f>
        <v>0.8202</v>
      </c>
      <c r="C854" t="str">
        <f>"0.8185"</f>
        <v>0.8185</v>
      </c>
    </row>
    <row r="855" spans="1:3" x14ac:dyDescent="0.25">
      <c r="A855" t="str">
        <f>"04/12/2012"</f>
        <v>04/12/2012</v>
      </c>
      <c r="B855" t="str">
        <f>"0.8228"</f>
        <v>0.8228</v>
      </c>
      <c r="C855" t="str">
        <f>"0.8211"</f>
        <v>0.8211</v>
      </c>
    </row>
    <row r="856" spans="1:3" x14ac:dyDescent="0.25">
      <c r="A856" t="str">
        <f>"05/12/2012"</f>
        <v>05/12/2012</v>
      </c>
      <c r="B856" t="str">
        <f>"0.8249"</f>
        <v>0.8249</v>
      </c>
      <c r="C856" t="str">
        <f>"0.8233"</f>
        <v>0.8233</v>
      </c>
    </row>
    <row r="857" spans="1:3" x14ac:dyDescent="0.25">
      <c r="A857" t="str">
        <f>"06/12/2012"</f>
        <v>06/12/2012</v>
      </c>
      <c r="B857" t="str">
        <f>"0.8289"</f>
        <v>0.8289</v>
      </c>
      <c r="C857" t="str">
        <f>"0.8273"</f>
        <v>0.8273</v>
      </c>
    </row>
    <row r="858" spans="1:3" x14ac:dyDescent="0.25">
      <c r="A858" t="str">
        <f>"07/12/2012"</f>
        <v>07/12/2012</v>
      </c>
      <c r="B858" t="str">
        <f>"0.8318"</f>
        <v>0.8318</v>
      </c>
      <c r="C858" t="str">
        <f>"0.8301"</f>
        <v>0.8301</v>
      </c>
    </row>
    <row r="859" spans="1:3" x14ac:dyDescent="0.25">
      <c r="A859" t="str">
        <f>"10/12/2012"</f>
        <v>10/12/2012</v>
      </c>
      <c r="B859" t="str">
        <f>"0.8326"</f>
        <v>0.8326</v>
      </c>
      <c r="C859" t="str">
        <f>"0.8308"</f>
        <v>0.8308</v>
      </c>
    </row>
    <row r="860" spans="1:3" x14ac:dyDescent="0.25">
      <c r="A860" t="str">
        <f>"11/12/2012"</f>
        <v>11/12/2012</v>
      </c>
      <c r="B860" t="str">
        <f>"0.8349"</f>
        <v>0.8349</v>
      </c>
      <c r="C860" t="str">
        <f>"0.8332"</f>
        <v>0.8332</v>
      </c>
    </row>
    <row r="861" spans="1:3" x14ac:dyDescent="0.25">
      <c r="A861" t="str">
        <f>"12/12/2012"</f>
        <v>12/12/2012</v>
      </c>
      <c r="B861" t="str">
        <f>"0.8394"</f>
        <v>0.8394</v>
      </c>
      <c r="C861" t="str">
        <f>"0.8377"</f>
        <v>0.8377</v>
      </c>
    </row>
    <row r="862" spans="1:3" x14ac:dyDescent="0.25">
      <c r="A862" t="str">
        <f>"13/12/2012"</f>
        <v>13/12/2012</v>
      </c>
      <c r="B862" t="str">
        <f>"0.8443"</f>
        <v>0.8443</v>
      </c>
      <c r="C862" t="str">
        <f>"0.8426"</f>
        <v>0.8426</v>
      </c>
    </row>
    <row r="863" spans="1:3" x14ac:dyDescent="0.25">
      <c r="A863" t="str">
        <f>"14/12/2012"</f>
        <v>14/12/2012</v>
      </c>
      <c r="B863" t="str">
        <f>"0.8433"</f>
        <v>0.8433</v>
      </c>
      <c r="C863" t="str">
        <f>"0.8416"</f>
        <v>0.8416</v>
      </c>
    </row>
    <row r="864" spans="1:3" x14ac:dyDescent="0.25">
      <c r="A864" t="str">
        <f>"17/12/2012"</f>
        <v>17/12/2012</v>
      </c>
      <c r="B864" t="str">
        <f>"0.844"</f>
        <v>0.844</v>
      </c>
      <c r="C864" t="str">
        <f>"0.8421"</f>
        <v>0.8421</v>
      </c>
    </row>
    <row r="865" spans="1:3" x14ac:dyDescent="0.25">
      <c r="A865" t="str">
        <f>"18/12/2012"</f>
        <v>18/12/2012</v>
      </c>
      <c r="B865" t="str">
        <f>"0.8441"</f>
        <v>0.8441</v>
      </c>
      <c r="C865" t="str">
        <f>"0.8423"</f>
        <v>0.8423</v>
      </c>
    </row>
    <row r="866" spans="1:3" x14ac:dyDescent="0.25">
      <c r="A866" t="str">
        <f>"19/12/2012"</f>
        <v>19/12/2012</v>
      </c>
      <c r="B866" t="str">
        <f>"0.8394"</f>
        <v>0.8394</v>
      </c>
      <c r="C866" t="str">
        <f>"0.8376"</f>
        <v>0.8376</v>
      </c>
    </row>
    <row r="867" spans="1:3" x14ac:dyDescent="0.25">
      <c r="A867" t="str">
        <f>"20/12/2012"</f>
        <v>20/12/2012</v>
      </c>
      <c r="B867" t="str">
        <f>"0.8351"</f>
        <v>0.8351</v>
      </c>
      <c r="C867" t="str">
        <f>"0.8334"</f>
        <v>0.8334</v>
      </c>
    </row>
    <row r="868" spans="1:3" x14ac:dyDescent="0.25">
      <c r="A868" t="str">
        <f>"21/12/2012"</f>
        <v>21/12/2012</v>
      </c>
      <c r="B868" t="str">
        <f>"0.828"</f>
        <v>0.828</v>
      </c>
      <c r="C868" t="str">
        <f>"0.8263"</f>
        <v>0.8263</v>
      </c>
    </row>
    <row r="869" spans="1:3" x14ac:dyDescent="0.25">
      <c r="A869" t="str">
        <f>"24/12/2012"</f>
        <v>24/12/2012</v>
      </c>
      <c r="B869" t="str">
        <f>"0.8217"</f>
        <v>0.8217</v>
      </c>
      <c r="C869" t="str">
        <f>"0.82"</f>
        <v>0.82</v>
      </c>
    </row>
    <row r="870" spans="1:3" x14ac:dyDescent="0.25">
      <c r="A870" t="str">
        <f>"26/12/2012"</f>
        <v>26/12/2012</v>
      </c>
      <c r="B870" t="str">
        <f>"0.8211"</f>
        <v>0.8211</v>
      </c>
      <c r="C870" t="str">
        <f>"0.8194"</f>
        <v>0.8194</v>
      </c>
    </row>
    <row r="871" spans="1:3" x14ac:dyDescent="0.25">
      <c r="A871" t="str">
        <f>"27/12/2012"</f>
        <v>27/12/2012</v>
      </c>
      <c r="B871" t="str">
        <f>"0.82"</f>
        <v>0.82</v>
      </c>
      <c r="C871" t="str">
        <f>"0.8183"</f>
        <v>0.8183</v>
      </c>
    </row>
    <row r="872" spans="1:3" x14ac:dyDescent="0.25">
      <c r="A872" t="str">
        <f>"28/12/2012"</f>
        <v>28/12/2012</v>
      </c>
      <c r="B872" t="str">
        <f>"0.8204"</f>
        <v>0.8204</v>
      </c>
      <c r="C872" t="str">
        <f>"0.8187"</f>
        <v>0.8187</v>
      </c>
    </row>
    <row r="873" spans="1:3" x14ac:dyDescent="0.25">
      <c r="A873" t="str">
        <f>"31/12/2012"</f>
        <v>31/12/2012</v>
      </c>
      <c r="B873" t="str">
        <f>"0.8241"</f>
        <v>0.8241</v>
      </c>
      <c r="C873" t="str">
        <f>"0.8224"</f>
        <v>0.8224</v>
      </c>
    </row>
    <row r="874" spans="1:3" x14ac:dyDescent="0.25">
      <c r="A874" t="str">
        <f>"01/01/2013"</f>
        <v>01/01/2013</v>
      </c>
      <c r="B874" t="str">
        <f>"0.8256"</f>
        <v>0.8256</v>
      </c>
      <c r="C874" t="str">
        <f>"0.8239"</f>
        <v>0.8239</v>
      </c>
    </row>
    <row r="875" spans="1:3" x14ac:dyDescent="0.25">
      <c r="A875" t="str">
        <f>"02/01/2013"</f>
        <v>02/01/2013</v>
      </c>
      <c r="B875" t="str">
        <f>"0.8362"</f>
        <v>0.8362</v>
      </c>
      <c r="C875" t="str">
        <f>"0.8344"</f>
        <v>0.8344</v>
      </c>
    </row>
    <row r="876" spans="1:3" x14ac:dyDescent="0.25">
      <c r="A876" t="str">
        <f>"03/01/2013"</f>
        <v>03/01/2013</v>
      </c>
      <c r="B876" t="str">
        <f>"0.8324"</f>
        <v>0.8324</v>
      </c>
      <c r="C876" t="str">
        <f>"0.8307"</f>
        <v>0.8307</v>
      </c>
    </row>
    <row r="877" spans="1:3" x14ac:dyDescent="0.25">
      <c r="A877" t="str">
        <f>"04/01/2013"</f>
        <v>04/01/2013</v>
      </c>
      <c r="B877" t="str">
        <f>"0.8246"</f>
        <v>0.8246</v>
      </c>
      <c r="C877" t="str">
        <f>"0.8229"</f>
        <v>0.8229</v>
      </c>
    </row>
    <row r="878" spans="1:3" x14ac:dyDescent="0.25">
      <c r="A878" t="str">
        <f>"07/01/2013"</f>
        <v>07/01/2013</v>
      </c>
      <c r="B878" t="str">
        <f>"0.8308"</f>
        <v>0.8308</v>
      </c>
      <c r="C878" t="str">
        <f>"0.829"</f>
        <v>0.829</v>
      </c>
    </row>
    <row r="879" spans="1:3" x14ac:dyDescent="0.25">
      <c r="A879" t="str">
        <f>"08/01/2013"</f>
        <v>08/01/2013</v>
      </c>
      <c r="B879" t="str">
        <f>"0.8355"</f>
        <v>0.8355</v>
      </c>
      <c r="C879" t="str">
        <f>"0.8337"</f>
        <v>0.8337</v>
      </c>
    </row>
    <row r="880" spans="1:3" x14ac:dyDescent="0.25">
      <c r="A880" t="str">
        <f>"09/01/2013"</f>
        <v>09/01/2013</v>
      </c>
      <c r="B880" t="str">
        <f>"0.838"</f>
        <v>0.838</v>
      </c>
      <c r="C880" t="str">
        <f>"0.8363"</f>
        <v>0.8363</v>
      </c>
    </row>
    <row r="881" spans="1:3" x14ac:dyDescent="0.25">
      <c r="A881" t="str">
        <f>"10/01/2013"</f>
        <v>10/01/2013</v>
      </c>
      <c r="B881" t="str">
        <f>"0.8401"</f>
        <v>0.8401</v>
      </c>
      <c r="C881" t="str">
        <f>"0.8383"</f>
        <v>0.8383</v>
      </c>
    </row>
    <row r="882" spans="1:3" x14ac:dyDescent="0.25">
      <c r="A882" t="str">
        <f>"11/01/2013"</f>
        <v>11/01/2013</v>
      </c>
      <c r="B882" t="str">
        <f>"0.8426"</f>
        <v>0.8426</v>
      </c>
      <c r="C882" t="str">
        <f>"0.8409"</f>
        <v>0.8409</v>
      </c>
    </row>
    <row r="883" spans="1:3" x14ac:dyDescent="0.25">
      <c r="A883" t="str">
        <f>"14/01/2013"</f>
        <v>14/01/2013</v>
      </c>
      <c r="B883" t="str">
        <f>"0.84"</f>
        <v>0.84</v>
      </c>
      <c r="C883" t="str">
        <f>"0.8381"</f>
        <v>0.8381</v>
      </c>
    </row>
    <row r="884" spans="1:3" x14ac:dyDescent="0.25">
      <c r="A884" t="str">
        <f>"15/01/2013"</f>
        <v>15/01/2013</v>
      </c>
      <c r="B884" t="str">
        <f>"0.8398"</f>
        <v>0.8398</v>
      </c>
      <c r="C884" t="str">
        <f>"0.838"</f>
        <v>0.838</v>
      </c>
    </row>
    <row r="885" spans="1:3" x14ac:dyDescent="0.25">
      <c r="A885" t="str">
        <f>"16/01/2013"</f>
        <v>16/01/2013</v>
      </c>
      <c r="B885" t="str">
        <f>"0.8401"</f>
        <v>0.8401</v>
      </c>
      <c r="C885" t="str">
        <f>"0.8383"</f>
        <v>0.8383</v>
      </c>
    </row>
    <row r="886" spans="1:3" x14ac:dyDescent="0.25">
      <c r="A886" t="str">
        <f>"17/01/2013"</f>
        <v>17/01/2013</v>
      </c>
      <c r="B886" t="str">
        <f>"0.839"</f>
        <v>0.839</v>
      </c>
      <c r="C886" t="str">
        <f>"0.8373"</f>
        <v>0.8373</v>
      </c>
    </row>
    <row r="887" spans="1:3" x14ac:dyDescent="0.25">
      <c r="A887" t="str">
        <f>"18/01/2013"</f>
        <v>18/01/2013</v>
      </c>
      <c r="B887" t="str">
        <f>"0.8349"</f>
        <v>0.8349</v>
      </c>
      <c r="C887" t="str">
        <f>"0.833"</f>
        <v>0.833</v>
      </c>
    </row>
    <row r="888" spans="1:3" x14ac:dyDescent="0.25">
      <c r="A888" t="str">
        <f>"21/01/2013"</f>
        <v>21/01/2013</v>
      </c>
      <c r="B888" t="str">
        <f>"0.8357"</f>
        <v>0.8357</v>
      </c>
      <c r="C888" t="str">
        <f>"0.8339"</f>
        <v>0.8339</v>
      </c>
    </row>
    <row r="889" spans="1:3" x14ac:dyDescent="0.25">
      <c r="A889" t="str">
        <f>"22/01/2013"</f>
        <v>22/01/2013</v>
      </c>
      <c r="B889" t="str">
        <f>"0.8404"</f>
        <v>0.8404</v>
      </c>
      <c r="C889" t="str">
        <f>"0.8386"</f>
        <v>0.8386</v>
      </c>
    </row>
    <row r="890" spans="1:3" x14ac:dyDescent="0.25">
      <c r="A890" t="str">
        <f>"23/01/2013"</f>
        <v>23/01/2013</v>
      </c>
      <c r="B890" t="str">
        <f>"0.8422"</f>
        <v>0.8422</v>
      </c>
      <c r="C890" t="str">
        <f>"0.8405"</f>
        <v>0.8405</v>
      </c>
    </row>
    <row r="891" spans="1:3" x14ac:dyDescent="0.25">
      <c r="A891" t="str">
        <f>"24/01/2013"</f>
        <v>24/01/2013</v>
      </c>
      <c r="B891" t="str">
        <f>"0.8434"</f>
        <v>0.8434</v>
      </c>
      <c r="C891" t="str">
        <f>"0.8416"</f>
        <v>0.8416</v>
      </c>
    </row>
    <row r="892" spans="1:3" x14ac:dyDescent="0.25">
      <c r="A892" t="str">
        <f>"28/01/2013"</f>
        <v>28/01/2013</v>
      </c>
      <c r="B892" t="str">
        <f>"0.8356"</f>
        <v>0.8356</v>
      </c>
      <c r="C892" t="str">
        <f>"0.8339"</f>
        <v>0.8339</v>
      </c>
    </row>
    <row r="893" spans="1:3" x14ac:dyDescent="0.25">
      <c r="A893" t="str">
        <f>"29/01/2013"</f>
        <v>29/01/2013</v>
      </c>
      <c r="B893" t="str">
        <f>"0.8364"</f>
        <v>0.8364</v>
      </c>
      <c r="C893" t="str">
        <f>"0.8349"</f>
        <v>0.8349</v>
      </c>
    </row>
    <row r="894" spans="1:3" x14ac:dyDescent="0.25">
      <c r="A894" t="str">
        <f>"30/01/2013"</f>
        <v>30/01/2013</v>
      </c>
      <c r="B894" t="str">
        <f>"0.837"</f>
        <v>0.837</v>
      </c>
      <c r="C894" t="str">
        <f>"0.8354"</f>
        <v>0.8354</v>
      </c>
    </row>
    <row r="895" spans="1:3" x14ac:dyDescent="0.25">
      <c r="A895" t="str">
        <f>"31/01/2013"</f>
        <v>31/01/2013</v>
      </c>
      <c r="B895" t="str">
        <f>"0.8347"</f>
        <v>0.8347</v>
      </c>
      <c r="C895" t="str">
        <f>"0.8331"</f>
        <v>0.8331</v>
      </c>
    </row>
    <row r="896" spans="1:3" x14ac:dyDescent="0.25">
      <c r="A896" t="str">
        <f>"01/02/2013"</f>
        <v>01/02/2013</v>
      </c>
      <c r="B896" t="str">
        <f>"0.8406"</f>
        <v>0.8406</v>
      </c>
      <c r="C896" t="str">
        <f>"0.839"</f>
        <v>0.839</v>
      </c>
    </row>
    <row r="897" spans="1:3" x14ac:dyDescent="0.25">
      <c r="A897" t="str">
        <f>"04/02/2013"</f>
        <v>04/02/2013</v>
      </c>
      <c r="B897" t="str">
        <f>"0.8455"</f>
        <v>0.8455</v>
      </c>
      <c r="C897" t="str">
        <f>"0.844"</f>
        <v>0.844</v>
      </c>
    </row>
    <row r="898" spans="1:3" x14ac:dyDescent="0.25">
      <c r="A898" t="str">
        <f>"05/02/2013"</f>
        <v>05/02/2013</v>
      </c>
      <c r="B898" t="str">
        <f>"0.8418"</f>
        <v>0.8418</v>
      </c>
      <c r="C898" t="str">
        <f>"0.8403"</f>
        <v>0.8403</v>
      </c>
    </row>
    <row r="899" spans="1:3" x14ac:dyDescent="0.25">
      <c r="A899" t="str">
        <f>"06/02/2013"</f>
        <v>06/02/2013</v>
      </c>
      <c r="B899" t="str">
        <f>"0.8448"</f>
        <v>0.8448</v>
      </c>
      <c r="C899" t="str">
        <f>"0.8432"</f>
        <v>0.8432</v>
      </c>
    </row>
    <row r="900" spans="1:3" x14ac:dyDescent="0.25">
      <c r="A900" t="str">
        <f>"07/02/2013"</f>
        <v>07/02/2013</v>
      </c>
      <c r="B900" t="str">
        <f>"0.836"</f>
        <v>0.836</v>
      </c>
      <c r="C900" t="str">
        <f>"0.8345"</f>
        <v>0.8345</v>
      </c>
    </row>
    <row r="901" spans="1:3" x14ac:dyDescent="0.25">
      <c r="A901" t="str">
        <f>"08/02/2013"</f>
        <v>08/02/2013</v>
      </c>
      <c r="B901" t="str">
        <f>"0.8354"</f>
        <v>0.8354</v>
      </c>
      <c r="C901" t="str">
        <f>"0.8338"</f>
        <v>0.8338</v>
      </c>
    </row>
    <row r="902" spans="1:3" x14ac:dyDescent="0.25">
      <c r="A902" t="str">
        <f>"11/02/2013"</f>
        <v>11/02/2013</v>
      </c>
      <c r="B902" t="str">
        <f>"0.8331"</f>
        <v>0.8331</v>
      </c>
      <c r="C902" t="str">
        <f>"0.8315"</f>
        <v>0.8315</v>
      </c>
    </row>
    <row r="903" spans="1:3" x14ac:dyDescent="0.25">
      <c r="A903" t="str">
        <f>"12/02/2013"</f>
        <v>12/02/2013</v>
      </c>
      <c r="B903" t="str">
        <f>"0.835"</f>
        <v>0.835</v>
      </c>
      <c r="C903" t="str">
        <f>"0.8335"</f>
        <v>0.8335</v>
      </c>
    </row>
    <row r="904" spans="1:3" x14ac:dyDescent="0.25">
      <c r="A904" t="str">
        <f>"13/02/2013"</f>
        <v>13/02/2013</v>
      </c>
      <c r="B904" t="str">
        <f>"0.8424"</f>
        <v>0.8424</v>
      </c>
      <c r="C904" t="str">
        <f>"0.8408"</f>
        <v>0.8408</v>
      </c>
    </row>
    <row r="905" spans="1:3" x14ac:dyDescent="0.25">
      <c r="A905" t="str">
        <f>"14/02/2013"</f>
        <v>14/02/2013</v>
      </c>
      <c r="B905" t="str">
        <f>"0.8491"</f>
        <v>0.8491</v>
      </c>
      <c r="C905" t="str">
        <f>"0.8475"</f>
        <v>0.8475</v>
      </c>
    </row>
    <row r="906" spans="1:3" x14ac:dyDescent="0.25">
      <c r="A906" t="str">
        <f>"15/02/2013"</f>
        <v>15/02/2013</v>
      </c>
      <c r="B906" t="str">
        <f>"0.851"</f>
        <v>0.851</v>
      </c>
      <c r="C906" t="str">
        <f>"0.8494"</f>
        <v>0.8494</v>
      </c>
    </row>
    <row r="907" spans="1:3" x14ac:dyDescent="0.25">
      <c r="A907" t="str">
        <f>"18/02/2013"</f>
        <v>18/02/2013</v>
      </c>
      <c r="B907" t="str">
        <f>"0.8426"</f>
        <v>0.8426</v>
      </c>
      <c r="C907" t="str">
        <f>"0.841"</f>
        <v>0.841</v>
      </c>
    </row>
    <row r="908" spans="1:3" x14ac:dyDescent="0.25">
      <c r="A908" t="str">
        <f>"20/02/2013"</f>
        <v>20/02/2013</v>
      </c>
      <c r="B908" t="str">
        <f>"0.8415"</f>
        <v>0.8415</v>
      </c>
      <c r="C908" t="str">
        <f>"0.8399"</f>
        <v>0.8399</v>
      </c>
    </row>
    <row r="909" spans="1:3" x14ac:dyDescent="0.25">
      <c r="A909" t="str">
        <f>"21/02/2013"</f>
        <v>21/02/2013</v>
      </c>
      <c r="B909" t="str">
        <f>"0.8338"</f>
        <v>0.8338</v>
      </c>
      <c r="C909" t="str">
        <f>"0.8322"</f>
        <v>0.8322</v>
      </c>
    </row>
    <row r="910" spans="1:3" x14ac:dyDescent="0.25">
      <c r="A910" t="str">
        <f>"22/02/2013"</f>
        <v>22/02/2013</v>
      </c>
      <c r="B910" t="str">
        <f>"0.8382"</f>
        <v>0.8382</v>
      </c>
      <c r="C910" t="str">
        <f>"0.8366"</f>
        <v>0.8366</v>
      </c>
    </row>
    <row r="911" spans="1:3" x14ac:dyDescent="0.25">
      <c r="A911" t="str">
        <f>"25/02/2013"</f>
        <v>25/02/2013</v>
      </c>
      <c r="B911" t="str">
        <f>"0.8368"</f>
        <v>0.8368</v>
      </c>
      <c r="C911" t="str">
        <f>"0.8352"</f>
        <v>0.8352</v>
      </c>
    </row>
    <row r="912" spans="1:3" x14ac:dyDescent="0.25">
      <c r="A912" t="str">
        <f>"26/02/2013"</f>
        <v>26/02/2013</v>
      </c>
      <c r="B912" t="str">
        <f>"0.834"</f>
        <v>0.834</v>
      </c>
      <c r="C912" t="str">
        <f>"0.8324"</f>
        <v>0.8324</v>
      </c>
    </row>
    <row r="913" spans="1:3" x14ac:dyDescent="0.25">
      <c r="A913" t="str">
        <f>"27/02/2013"</f>
        <v>27/02/2013</v>
      </c>
      <c r="B913" t="str">
        <f>"0.825"</f>
        <v>0.825</v>
      </c>
      <c r="C913" t="str">
        <f>"0.8232"</f>
        <v>0.8232</v>
      </c>
    </row>
    <row r="914" spans="1:3" x14ac:dyDescent="0.25">
      <c r="A914" t="str">
        <f>"28/02/2013"</f>
        <v>28/02/2013</v>
      </c>
      <c r="B914" t="str">
        <f>"0.8316"</f>
        <v>0.8316</v>
      </c>
      <c r="C914" t="str">
        <f>"0.8299"</f>
        <v>0.8299</v>
      </c>
    </row>
    <row r="915" spans="1:3" x14ac:dyDescent="0.25">
      <c r="A915" t="str">
        <f>"01/03/2013"</f>
        <v>01/03/2013</v>
      </c>
      <c r="B915" t="str">
        <f>"0.8267"</f>
        <v>0.8267</v>
      </c>
      <c r="C915" t="str">
        <f>"0.825"</f>
        <v>0.825</v>
      </c>
    </row>
    <row r="916" spans="1:3" x14ac:dyDescent="0.25">
      <c r="A916" t="str">
        <f>"04/03/2013"</f>
        <v>04/03/2013</v>
      </c>
      <c r="B916" t="str">
        <f>"0.8203"</f>
        <v>0.8203</v>
      </c>
      <c r="C916" t="str">
        <f>"0.8185"</f>
        <v>0.8185</v>
      </c>
    </row>
    <row r="917" spans="1:3" x14ac:dyDescent="0.25">
      <c r="A917" t="str">
        <f>"05/03/2013"</f>
        <v>05/03/2013</v>
      </c>
      <c r="B917" t="str">
        <f>"0.8293"</f>
        <v>0.8293</v>
      </c>
      <c r="C917" t="str">
        <f>"0.8275"</f>
        <v>0.8275</v>
      </c>
    </row>
    <row r="918" spans="1:3" x14ac:dyDescent="0.25">
      <c r="A918" t="str">
        <f>"06/03/2013"</f>
        <v>06/03/2013</v>
      </c>
      <c r="B918" t="str">
        <f>"0.833"</f>
        <v>0.833</v>
      </c>
      <c r="C918" t="str">
        <f>"0.8313"</f>
        <v>0.8313</v>
      </c>
    </row>
    <row r="919" spans="1:3" x14ac:dyDescent="0.25">
      <c r="A919" t="str">
        <f>"07/03/2013"</f>
        <v>07/03/2013</v>
      </c>
      <c r="B919" t="str">
        <f>"0.8273"</f>
        <v>0.8273</v>
      </c>
      <c r="C919" t="str">
        <f>"0.8255"</f>
        <v>0.8255</v>
      </c>
    </row>
    <row r="920" spans="1:3" x14ac:dyDescent="0.25">
      <c r="A920" t="str">
        <f>"08/03/2013"</f>
        <v>08/03/2013</v>
      </c>
      <c r="B920" t="str">
        <f>"0.8261"</f>
        <v>0.8261</v>
      </c>
      <c r="C920" t="str">
        <f>"0.8243"</f>
        <v>0.8243</v>
      </c>
    </row>
    <row r="921" spans="1:3" x14ac:dyDescent="0.25">
      <c r="A921" t="str">
        <f>"11/03/2013"</f>
        <v>11/03/2013</v>
      </c>
      <c r="B921" t="str">
        <f>"0.8208"</f>
        <v>0.8208</v>
      </c>
      <c r="C921" t="str">
        <f>"0.8189"</f>
        <v>0.8189</v>
      </c>
    </row>
    <row r="922" spans="1:3" x14ac:dyDescent="0.25">
      <c r="A922" t="str">
        <f>"12/03/2013"</f>
        <v>12/03/2013</v>
      </c>
      <c r="B922" t="str">
        <f>"0.8245"</f>
        <v>0.8245</v>
      </c>
      <c r="C922" t="str">
        <f>"0.8227"</f>
        <v>0.8227</v>
      </c>
    </row>
    <row r="923" spans="1:3" x14ac:dyDescent="0.25">
      <c r="A923" t="str">
        <f>"13/03/2013"</f>
        <v>13/03/2013</v>
      </c>
      <c r="B923" t="str">
        <f>"0.8253"</f>
        <v>0.8253</v>
      </c>
      <c r="C923" t="str">
        <f>"0.8235"</f>
        <v>0.8235</v>
      </c>
    </row>
    <row r="924" spans="1:3" x14ac:dyDescent="0.25">
      <c r="A924" t="str">
        <f>"14/03/2013"</f>
        <v>14/03/2013</v>
      </c>
      <c r="B924" t="str">
        <f>"0.8182"</f>
        <v>0.8182</v>
      </c>
      <c r="C924" t="str">
        <f>"0.8164"</f>
        <v>0.8164</v>
      </c>
    </row>
    <row r="925" spans="1:3" x14ac:dyDescent="0.25">
      <c r="A925" t="str">
        <f>"15/03/2013"</f>
        <v>15/03/2013</v>
      </c>
      <c r="B925" t="str">
        <f>"0.8211"</f>
        <v>0.8211</v>
      </c>
      <c r="C925" t="str">
        <f>"0.8194"</f>
        <v>0.8194</v>
      </c>
    </row>
    <row r="926" spans="1:3" x14ac:dyDescent="0.25">
      <c r="A926" t="str">
        <f>"18/03/2013"</f>
        <v>18/03/2013</v>
      </c>
      <c r="B926" t="str">
        <f>"0.8237"</f>
        <v>0.8237</v>
      </c>
      <c r="C926" t="str">
        <f>"0.8219"</f>
        <v>0.8219</v>
      </c>
    </row>
    <row r="927" spans="1:3" x14ac:dyDescent="0.25">
      <c r="A927" t="str">
        <f>"19/03/2013"</f>
        <v>19/03/2013</v>
      </c>
      <c r="B927" t="str">
        <f>"0.8253"</f>
        <v>0.8253</v>
      </c>
      <c r="C927" t="str">
        <f>"0.8235"</f>
        <v>0.8235</v>
      </c>
    </row>
    <row r="928" spans="1:3" x14ac:dyDescent="0.25">
      <c r="A928" t="str">
        <f>"20/03/2013"</f>
        <v>20/03/2013</v>
      </c>
      <c r="B928" t="str">
        <f>"0.8228"</f>
        <v>0.8228</v>
      </c>
      <c r="C928" t="str">
        <f>"0.8211"</f>
        <v>0.8211</v>
      </c>
    </row>
    <row r="929" spans="1:3" x14ac:dyDescent="0.25">
      <c r="A929" t="str">
        <f>"21/03/2013"</f>
        <v>21/03/2013</v>
      </c>
      <c r="B929" t="str">
        <f>"0.8268"</f>
        <v>0.8268</v>
      </c>
      <c r="C929" t="str">
        <f>"0.825"</f>
        <v>0.825</v>
      </c>
    </row>
    <row r="930" spans="1:3" x14ac:dyDescent="0.25">
      <c r="A930" t="str">
        <f>"22/03/2013"</f>
        <v>22/03/2013</v>
      </c>
      <c r="B930" t="str">
        <f>"0.8331"</f>
        <v>0.8331</v>
      </c>
      <c r="C930" t="str">
        <f>"0.8313"</f>
        <v>0.8313</v>
      </c>
    </row>
    <row r="931" spans="1:3" x14ac:dyDescent="0.25">
      <c r="A931" t="str">
        <f>"25/03/2013"</f>
        <v>25/03/2013</v>
      </c>
      <c r="B931" t="str">
        <f>"0.8346"</f>
        <v>0.8346</v>
      </c>
      <c r="C931" t="str">
        <f>"0.8328"</f>
        <v>0.8328</v>
      </c>
    </row>
    <row r="932" spans="1:3" x14ac:dyDescent="0.25">
      <c r="A932" t="str">
        <f>"26/03/2013"</f>
        <v>26/03/2013</v>
      </c>
      <c r="B932" t="str">
        <f>"0.8345"</f>
        <v>0.8345</v>
      </c>
      <c r="C932" t="str">
        <f>"0.8327"</f>
        <v>0.8327</v>
      </c>
    </row>
    <row r="933" spans="1:3" x14ac:dyDescent="0.25">
      <c r="A933" t="str">
        <f>"28/03/2013"</f>
        <v>28/03/2013</v>
      </c>
      <c r="B933" t="str">
        <f>"0.836"</f>
        <v>0.836</v>
      </c>
      <c r="C933" t="str">
        <f>"0.8344"</f>
        <v>0.8344</v>
      </c>
    </row>
    <row r="934" spans="1:3" x14ac:dyDescent="0.25">
      <c r="A934" t="str">
        <f>"02/04/2013"</f>
        <v>02/04/2013</v>
      </c>
      <c r="B934" t="str">
        <f>"0.8402"</f>
        <v>0.8402</v>
      </c>
      <c r="C934" t="str">
        <f>"0.8384"</f>
        <v>0.8384</v>
      </c>
    </row>
    <row r="935" spans="1:3" x14ac:dyDescent="0.25">
      <c r="A935" t="str">
        <f>"03/04/2013"</f>
        <v>03/04/2013</v>
      </c>
      <c r="B935" t="str">
        <f>"0.8432"</f>
        <v>0.8432</v>
      </c>
      <c r="C935" t="str">
        <f>"0.8414"</f>
        <v>0.8414</v>
      </c>
    </row>
    <row r="936" spans="1:3" x14ac:dyDescent="0.25">
      <c r="A936" t="str">
        <f>"04/04/2013"</f>
        <v>04/04/2013</v>
      </c>
      <c r="B936" t="str">
        <f>"0.8407"</f>
        <v>0.8407</v>
      </c>
      <c r="C936" t="str">
        <f>"0.839"</f>
        <v>0.839</v>
      </c>
    </row>
    <row r="937" spans="1:3" x14ac:dyDescent="0.25">
      <c r="A937" t="str">
        <f>"05/04/2013"</f>
        <v>05/04/2013</v>
      </c>
      <c r="B937" t="str">
        <f>"0.8412"</f>
        <v>0.8412</v>
      </c>
      <c r="C937" t="str">
        <f>"0.8395"</f>
        <v>0.8395</v>
      </c>
    </row>
    <row r="938" spans="1:3" x14ac:dyDescent="0.25">
      <c r="A938" t="str">
        <f>"08/04/2013"</f>
        <v>08/04/2013</v>
      </c>
      <c r="B938" t="str">
        <f>"0.8419"</f>
        <v>0.8419</v>
      </c>
      <c r="C938" t="str">
        <f>"0.8401"</f>
        <v>0.8401</v>
      </c>
    </row>
    <row r="939" spans="1:3" x14ac:dyDescent="0.25">
      <c r="A939" t="str">
        <f>"09/04/2013"</f>
        <v>09/04/2013</v>
      </c>
      <c r="B939" t="str">
        <f>"0.8486"</f>
        <v>0.8486</v>
      </c>
      <c r="C939" t="str">
        <f>"0.8468"</f>
        <v>0.8468</v>
      </c>
    </row>
    <row r="940" spans="1:3" x14ac:dyDescent="0.25">
      <c r="A940" t="str">
        <f>"10/04/2013"</f>
        <v>10/04/2013</v>
      </c>
      <c r="B940" t="str">
        <f>"0.8529"</f>
        <v>0.8529</v>
      </c>
      <c r="C940" t="str">
        <f>"0.8511"</f>
        <v>0.8511</v>
      </c>
    </row>
    <row r="941" spans="1:3" x14ac:dyDescent="0.25">
      <c r="A941" t="str">
        <f>"12/04/2013"</f>
        <v>12/04/2013</v>
      </c>
      <c r="B941" t="str">
        <f>"0.8628"</f>
        <v>0.8628</v>
      </c>
      <c r="C941" t="str">
        <f>"0.8611"</f>
        <v>0.8611</v>
      </c>
    </row>
    <row r="942" spans="1:3" x14ac:dyDescent="0.25">
      <c r="A942" t="str">
        <f>"15/04/2013"</f>
        <v>15/04/2013</v>
      </c>
      <c r="B942" t="str">
        <f>"0.8494"</f>
        <v>0.8494</v>
      </c>
      <c r="C942" t="str">
        <f>"0.8476"</f>
        <v>0.8476</v>
      </c>
    </row>
    <row r="943" spans="1:3" x14ac:dyDescent="0.25">
      <c r="A943" t="str">
        <f>"16/04/2013"</f>
        <v>16/04/2013</v>
      </c>
      <c r="B943" t="str">
        <f>"0.8479"</f>
        <v>0.8479</v>
      </c>
      <c r="C943" t="str">
        <f>"0.846"</f>
        <v>0.846</v>
      </c>
    </row>
    <row r="944" spans="1:3" x14ac:dyDescent="0.25">
      <c r="A944" t="str">
        <f>"17/04/2013"</f>
        <v>17/04/2013</v>
      </c>
      <c r="B944" t="str">
        <f>"0.846"</f>
        <v>0.846</v>
      </c>
      <c r="C944" t="str">
        <f>"0.8442"</f>
        <v>0.8442</v>
      </c>
    </row>
    <row r="945" spans="1:3" x14ac:dyDescent="0.25">
      <c r="A945" t="str">
        <f>"18/04/2013"</f>
        <v>18/04/2013</v>
      </c>
      <c r="B945" t="str">
        <f>"0.8454"</f>
        <v>0.8454</v>
      </c>
      <c r="C945" t="str">
        <f>"0.8437"</f>
        <v>0.8437</v>
      </c>
    </row>
    <row r="946" spans="1:3" x14ac:dyDescent="0.25">
      <c r="A946" t="str">
        <f>"22/04/2013"</f>
        <v>22/04/2013</v>
      </c>
      <c r="B946" t="str">
        <f>"0.8437"</f>
        <v>0.8437</v>
      </c>
      <c r="C946" t="str">
        <f>"0.842"</f>
        <v>0.842</v>
      </c>
    </row>
    <row r="947" spans="1:3" x14ac:dyDescent="0.25">
      <c r="A947" t="str">
        <f>"23/04/2013"</f>
        <v>23/04/2013</v>
      </c>
      <c r="B947" t="str">
        <f>"0.839"</f>
        <v>0.839</v>
      </c>
      <c r="C947" t="str">
        <f>"0.8371"</f>
        <v>0.8371</v>
      </c>
    </row>
    <row r="948" spans="1:3" x14ac:dyDescent="0.25">
      <c r="A948" t="str">
        <f>"25/04/2013"</f>
        <v>25/04/2013</v>
      </c>
      <c r="B948" t="str">
        <f>"0.853"</f>
        <v>0.853</v>
      </c>
      <c r="C948" t="str">
        <f>"0.8512"</f>
        <v>0.8512</v>
      </c>
    </row>
    <row r="949" spans="1:3" x14ac:dyDescent="0.25">
      <c r="A949" t="str">
        <f>"26/04/2013"</f>
        <v>26/04/2013</v>
      </c>
      <c r="B949" t="str">
        <f>"0.8529"</f>
        <v>0.8529</v>
      </c>
      <c r="C949" t="str">
        <f>"0.8511"</f>
        <v>0.8511</v>
      </c>
    </row>
    <row r="950" spans="1:3" x14ac:dyDescent="0.25">
      <c r="A950" t="str">
        <f>"29/04/2013"</f>
        <v>29/04/2013</v>
      </c>
      <c r="B950" t="str">
        <f>"0.8527"</f>
        <v>0.8527</v>
      </c>
      <c r="C950" t="str">
        <f>"0.8507"</f>
        <v>0.8507</v>
      </c>
    </row>
    <row r="951" spans="1:3" x14ac:dyDescent="0.25">
      <c r="A951" t="str">
        <f>"30/04/2013"</f>
        <v>30/04/2013</v>
      </c>
      <c r="B951" t="str">
        <f>"0.8559"</f>
        <v>0.8559</v>
      </c>
      <c r="C951" t="str">
        <f>"0.854"</f>
        <v>0.854</v>
      </c>
    </row>
    <row r="952" spans="1:3" x14ac:dyDescent="0.25">
      <c r="A952" t="str">
        <f>"02/05/2013"</f>
        <v>02/05/2013</v>
      </c>
      <c r="B952" t="str">
        <f>"0.8495"</f>
        <v>0.8495</v>
      </c>
      <c r="C952" t="str">
        <f>"0.8477"</f>
        <v>0.8477</v>
      </c>
    </row>
    <row r="953" spans="1:3" x14ac:dyDescent="0.25">
      <c r="A953" t="str">
        <f>"03/05/2013"</f>
        <v>03/05/2013</v>
      </c>
      <c r="B953" t="str">
        <f>"0.8527"</f>
        <v>0.8527</v>
      </c>
      <c r="C953" t="str">
        <f>"0.8509"</f>
        <v>0.8509</v>
      </c>
    </row>
    <row r="954" spans="1:3" x14ac:dyDescent="0.25">
      <c r="A954" t="str">
        <f>"06/05/2013"</f>
        <v>06/05/2013</v>
      </c>
      <c r="B954" t="str">
        <f>"0.8543"</f>
        <v>0.8543</v>
      </c>
      <c r="C954" t="str">
        <f>"0.8524"</f>
        <v>0.8524</v>
      </c>
    </row>
    <row r="955" spans="1:3" x14ac:dyDescent="0.25">
      <c r="A955" t="str">
        <f>"07/05/2013"</f>
        <v>07/05/2013</v>
      </c>
      <c r="B955" t="str">
        <f>"0.8506"</f>
        <v>0.8506</v>
      </c>
      <c r="C955" t="str">
        <f>"0.8488"</f>
        <v>0.8488</v>
      </c>
    </row>
    <row r="956" spans="1:3" x14ac:dyDescent="0.25">
      <c r="A956" t="str">
        <f>"08/05/2013"</f>
        <v>08/05/2013</v>
      </c>
      <c r="B956" t="str">
        <f>"0.8396"</f>
        <v>0.8396</v>
      </c>
      <c r="C956" t="str">
        <f>"0.8379"</f>
        <v>0.8379</v>
      </c>
    </row>
    <row r="957" spans="1:3" x14ac:dyDescent="0.25">
      <c r="A957" t="str">
        <f>"09/05/2013"</f>
        <v>09/05/2013</v>
      </c>
      <c r="B957" t="str">
        <f>"0.8448"</f>
        <v>0.8448</v>
      </c>
      <c r="C957" t="str">
        <f>"0.8431"</f>
        <v>0.8431</v>
      </c>
    </row>
    <row r="958" spans="1:3" x14ac:dyDescent="0.25">
      <c r="A958" t="str">
        <f>"10/05/2013"</f>
        <v>10/05/2013</v>
      </c>
      <c r="B958" t="str">
        <f>"0.8378"</f>
        <v>0.8378</v>
      </c>
      <c r="C958" t="str">
        <f>"0.8361"</f>
        <v>0.8361</v>
      </c>
    </row>
    <row r="959" spans="1:3" x14ac:dyDescent="0.25">
      <c r="A959" t="str">
        <f>"13/05/2013"</f>
        <v>13/05/2013</v>
      </c>
      <c r="B959" t="str">
        <f>"0.8299"</f>
        <v>0.8299</v>
      </c>
      <c r="C959" t="str">
        <f>"0.828"</f>
        <v>0.828</v>
      </c>
    </row>
    <row r="960" spans="1:3" x14ac:dyDescent="0.25">
      <c r="A960" t="str">
        <f>"14/05/2013"</f>
        <v>14/05/2013</v>
      </c>
      <c r="B960" t="str">
        <f>"0.8287"</f>
        <v>0.8287</v>
      </c>
      <c r="C960" t="str">
        <f>"0.8269"</f>
        <v>0.8269</v>
      </c>
    </row>
    <row r="961" spans="1:3" x14ac:dyDescent="0.25">
      <c r="A961" t="str">
        <f>"15/05/2013"</f>
        <v>15/05/2013</v>
      </c>
      <c r="B961" t="str">
        <f>"0.8215"</f>
        <v>0.8215</v>
      </c>
      <c r="C961" t="str">
        <f>"0.8197"</f>
        <v>0.8197</v>
      </c>
    </row>
    <row r="962" spans="1:3" x14ac:dyDescent="0.25">
      <c r="A962" t="str">
        <f>"16/05/2013"</f>
        <v>16/05/2013</v>
      </c>
      <c r="B962" t="str">
        <f>"0.8211"</f>
        <v>0.8211</v>
      </c>
      <c r="C962" t="str">
        <f>"0.8193"</f>
        <v>0.8193</v>
      </c>
    </row>
    <row r="963" spans="1:3" x14ac:dyDescent="0.25">
      <c r="A963" t="str">
        <f>"17/05/2013"</f>
        <v>17/05/2013</v>
      </c>
      <c r="B963" t="str">
        <f>"0.8096"</f>
        <v>0.8096</v>
      </c>
      <c r="C963" t="str">
        <f>"0.8079"</f>
        <v>0.8079</v>
      </c>
    </row>
    <row r="964" spans="1:3" x14ac:dyDescent="0.25">
      <c r="A964" t="str">
        <f>"20/05/2013"</f>
        <v>20/05/2013</v>
      </c>
      <c r="B964" t="str">
        <f>"0.8117"</f>
        <v>0.8117</v>
      </c>
      <c r="C964" t="str">
        <f>"0.8098"</f>
        <v>0.8098</v>
      </c>
    </row>
    <row r="965" spans="1:3" x14ac:dyDescent="0.25">
      <c r="A965" t="str">
        <f>"21/05/2013"</f>
        <v>21/05/2013</v>
      </c>
      <c r="B965" t="str">
        <f>"0.8181"</f>
        <v>0.8181</v>
      </c>
      <c r="C965" t="str">
        <f>"0.8163"</f>
        <v>0.8163</v>
      </c>
    </row>
    <row r="966" spans="1:3" x14ac:dyDescent="0.25">
      <c r="A966" t="str">
        <f>"22/05/2013"</f>
        <v>22/05/2013</v>
      </c>
      <c r="B966" t="str">
        <f>"0.8151"</f>
        <v>0.8151</v>
      </c>
      <c r="C966" t="str">
        <f>"0.8133"</f>
        <v>0.8133</v>
      </c>
    </row>
    <row r="967" spans="1:3" x14ac:dyDescent="0.25">
      <c r="A967" t="str">
        <f>"23/05/2013"</f>
        <v>23/05/2013</v>
      </c>
      <c r="B967" t="str">
        <f>"0.8024"</f>
        <v>0.8024</v>
      </c>
      <c r="C967" t="str">
        <f>"0.8007"</f>
        <v>0.8007</v>
      </c>
    </row>
    <row r="968" spans="1:3" x14ac:dyDescent="0.25">
      <c r="A968" t="str">
        <f>"24/05/2013"</f>
        <v>24/05/2013</v>
      </c>
      <c r="B968" t="str">
        <f>"0.8098"</f>
        <v>0.8098</v>
      </c>
      <c r="C968" t="str">
        <f>"0.808"</f>
        <v>0.808</v>
      </c>
    </row>
    <row r="969" spans="1:3" x14ac:dyDescent="0.25">
      <c r="A969" t="str">
        <f>"27/05/2013"</f>
        <v>27/05/2013</v>
      </c>
      <c r="B969" t="str">
        <f>"0.8077"</f>
        <v>0.8077</v>
      </c>
      <c r="C969" t="str">
        <f>"0.806"</f>
        <v>0.806</v>
      </c>
    </row>
    <row r="970" spans="1:3" x14ac:dyDescent="0.25">
      <c r="A970" t="str">
        <f>"28/05/2013"</f>
        <v>28/05/2013</v>
      </c>
      <c r="B970" t="str">
        <f>"0.8083"</f>
        <v>0.8083</v>
      </c>
      <c r="C970" t="str">
        <f>"0.8067"</f>
        <v>0.8067</v>
      </c>
    </row>
    <row r="971" spans="1:3" x14ac:dyDescent="0.25">
      <c r="A971" t="str">
        <f>"29/05/2013"</f>
        <v>29/05/2013</v>
      </c>
      <c r="B971" t="str">
        <f>"0.8077"</f>
        <v>0.8077</v>
      </c>
      <c r="C971" t="str">
        <f>"0.8061"</f>
        <v>0.8061</v>
      </c>
    </row>
    <row r="972" spans="1:3" x14ac:dyDescent="0.25">
      <c r="A972" t="str">
        <f>"30/05/2013"</f>
        <v>30/05/2013</v>
      </c>
      <c r="B972" t="str">
        <f>"0.8107"</f>
        <v>0.8107</v>
      </c>
      <c r="C972" t="str">
        <f>"0.809"</f>
        <v>0.809</v>
      </c>
    </row>
    <row r="973" spans="1:3" x14ac:dyDescent="0.25">
      <c r="A973" t="str">
        <f>"31/05/2013"</f>
        <v>31/05/2013</v>
      </c>
      <c r="B973" t="str">
        <f>"0.8078"</f>
        <v>0.8078</v>
      </c>
      <c r="C973" t="str">
        <f>"0.8061"</f>
        <v>0.8061</v>
      </c>
    </row>
    <row r="974" spans="1:3" x14ac:dyDescent="0.25">
      <c r="A974" t="str">
        <f>"03/06/2013"</f>
        <v>03/06/2013</v>
      </c>
      <c r="B974" t="str">
        <f>"0.7967"</f>
        <v>0.7967</v>
      </c>
      <c r="C974" t="str">
        <f>"0.795"</f>
        <v>0.795</v>
      </c>
    </row>
    <row r="975" spans="1:3" x14ac:dyDescent="0.25">
      <c r="A975" t="str">
        <f>"04/06/2013"</f>
        <v>04/06/2013</v>
      </c>
      <c r="B975" t="str">
        <f>"0.8057"</f>
        <v>0.8057</v>
      </c>
      <c r="C975" t="str">
        <f>"0.8039"</f>
        <v>0.8039</v>
      </c>
    </row>
    <row r="976" spans="1:3" x14ac:dyDescent="0.25">
      <c r="A976" t="str">
        <f>"05/06/2013"</f>
        <v>05/06/2013</v>
      </c>
      <c r="B976" t="str">
        <f>"0.805"</f>
        <v>0.805</v>
      </c>
      <c r="C976" t="str">
        <f>"0.8032"</f>
        <v>0.8032</v>
      </c>
    </row>
    <row r="977" spans="1:3" x14ac:dyDescent="0.25">
      <c r="A977" t="str">
        <f>"06/06/2013"</f>
        <v>06/06/2013</v>
      </c>
      <c r="B977" t="str">
        <f>"0.7908"</f>
        <v>0.7908</v>
      </c>
      <c r="C977" t="str">
        <f>"0.7892"</f>
        <v>0.7892</v>
      </c>
    </row>
    <row r="978" spans="1:3" x14ac:dyDescent="0.25">
      <c r="A978" t="str">
        <f>"07/06/2013"</f>
        <v>07/06/2013</v>
      </c>
      <c r="B978" t="str">
        <f>"0.7972"</f>
        <v>0.7972</v>
      </c>
      <c r="C978" t="str">
        <f>"0.7955"</f>
        <v>0.7955</v>
      </c>
    </row>
    <row r="979" spans="1:3" x14ac:dyDescent="0.25">
      <c r="A979" t="str">
        <f>"10/06/2013"</f>
        <v>10/06/2013</v>
      </c>
      <c r="B979" t="str">
        <f>"0.784"</f>
        <v>0.784</v>
      </c>
      <c r="C979" t="str">
        <f>"0.7824"</f>
        <v>0.7824</v>
      </c>
    </row>
    <row r="980" spans="1:3" x14ac:dyDescent="0.25">
      <c r="A980" t="str">
        <f>"11/06/2013"</f>
        <v>11/06/2013</v>
      </c>
      <c r="B980" t="str">
        <f>"0.7887"</f>
        <v>0.7887</v>
      </c>
      <c r="C980" t="str">
        <f>"0.7869"</f>
        <v>0.7869</v>
      </c>
    </row>
    <row r="981" spans="1:3" x14ac:dyDescent="0.25">
      <c r="A981" t="str">
        <f>"12/06/2013"</f>
        <v>12/06/2013</v>
      </c>
      <c r="B981" t="str">
        <f>"0.7879"</f>
        <v>0.7879</v>
      </c>
      <c r="C981" t="str">
        <f>"0.7862"</f>
        <v>0.7862</v>
      </c>
    </row>
    <row r="982" spans="1:3" x14ac:dyDescent="0.25">
      <c r="A982" t="str">
        <f>"13/06/2013"</f>
        <v>13/06/2013</v>
      </c>
      <c r="B982" t="str">
        <f>"0.7923"</f>
        <v>0.7923</v>
      </c>
      <c r="C982" t="str">
        <f>"0.7907"</f>
        <v>0.7907</v>
      </c>
    </row>
    <row r="983" spans="1:3" x14ac:dyDescent="0.25">
      <c r="A983" t="str">
        <f>"14/06/2013"</f>
        <v>14/06/2013</v>
      </c>
      <c r="B983" t="str">
        <f>"0.8046"</f>
        <v>0.8046</v>
      </c>
      <c r="C983" t="str">
        <f>"0.8028"</f>
        <v>0.8028</v>
      </c>
    </row>
    <row r="984" spans="1:3" x14ac:dyDescent="0.25">
      <c r="A984" t="str">
        <f>"17/06/2013"</f>
        <v>17/06/2013</v>
      </c>
      <c r="B984" t="str">
        <f>"0.8076"</f>
        <v>0.8076</v>
      </c>
      <c r="C984" t="str">
        <f>"0.8059"</f>
        <v>0.8059</v>
      </c>
    </row>
    <row r="985" spans="1:3" x14ac:dyDescent="0.25">
      <c r="A985" t="str">
        <f>"18/06/2013"</f>
        <v>18/06/2013</v>
      </c>
      <c r="B985" t="str">
        <f>"0.7987"</f>
        <v>0.7987</v>
      </c>
      <c r="C985" t="str">
        <f>"0.7968"</f>
        <v>0.7968</v>
      </c>
    </row>
    <row r="986" spans="1:3" x14ac:dyDescent="0.25">
      <c r="A986" t="str">
        <f>"19/06/2013"</f>
        <v>19/06/2013</v>
      </c>
      <c r="B986" t="str">
        <f>"0.7981"</f>
        <v>0.7981</v>
      </c>
      <c r="C986" t="str">
        <f>"0.7964"</f>
        <v>0.7964</v>
      </c>
    </row>
    <row r="987" spans="1:3" x14ac:dyDescent="0.25">
      <c r="A987" t="str">
        <f>"20/06/2013"</f>
        <v>20/06/2013</v>
      </c>
      <c r="B987" t="str">
        <f>"0.7856"</f>
        <v>0.7856</v>
      </c>
      <c r="C987" t="str">
        <f>"0.7839"</f>
        <v>0.7839</v>
      </c>
    </row>
    <row r="988" spans="1:3" x14ac:dyDescent="0.25">
      <c r="A988" t="str">
        <f>"21/06/2013"</f>
        <v>21/06/2013</v>
      </c>
      <c r="B988" t="str">
        <f>"0.7779"</f>
        <v>0.7779</v>
      </c>
      <c r="C988" t="str">
        <f>"0.7762"</f>
        <v>0.7762</v>
      </c>
    </row>
    <row r="989" spans="1:3" x14ac:dyDescent="0.25">
      <c r="A989" t="str">
        <f>"24/06/2013"</f>
        <v>24/06/2013</v>
      </c>
      <c r="B989" t="str">
        <f>"0.7741"</f>
        <v>0.7741</v>
      </c>
      <c r="C989" t="str">
        <f>"0.7724"</f>
        <v>0.7724</v>
      </c>
    </row>
    <row r="990" spans="1:3" x14ac:dyDescent="0.25">
      <c r="A990" t="str">
        <f>"25/06/2013"</f>
        <v>25/06/2013</v>
      </c>
      <c r="B990" t="str">
        <f>"0.7721"</f>
        <v>0.7721</v>
      </c>
      <c r="C990" t="str">
        <f>"0.7703"</f>
        <v>0.7703</v>
      </c>
    </row>
    <row r="991" spans="1:3" x14ac:dyDescent="0.25">
      <c r="A991" t="str">
        <f>"26/06/2013"</f>
        <v>26/06/2013</v>
      </c>
      <c r="B991" t="str">
        <f>"0.773"</f>
        <v>0.773</v>
      </c>
      <c r="C991" t="str">
        <f>"0.7712"</f>
        <v>0.7712</v>
      </c>
    </row>
    <row r="992" spans="1:3" x14ac:dyDescent="0.25">
      <c r="A992" t="str">
        <f>"27/06/2013"</f>
        <v>27/06/2013</v>
      </c>
      <c r="B992" t="str">
        <f>"0.7821"</f>
        <v>0.7821</v>
      </c>
      <c r="C992" t="str">
        <f>"0.7804"</f>
        <v>0.7804</v>
      </c>
    </row>
    <row r="993" spans="1:3" x14ac:dyDescent="0.25">
      <c r="A993" t="str">
        <f>"28/06/2013"</f>
        <v>28/06/2013</v>
      </c>
      <c r="B993" t="str">
        <f>"0.78"</f>
        <v>0.78</v>
      </c>
      <c r="C993" t="str">
        <f>"0.7783"</f>
        <v>0.7783</v>
      </c>
    </row>
    <row r="994" spans="1:3" x14ac:dyDescent="0.25">
      <c r="A994" t="str">
        <f>"01/07/2013"</f>
        <v>01/07/2013</v>
      </c>
      <c r="B994" t="str">
        <f>"0.777"</f>
        <v>0.777</v>
      </c>
      <c r="C994" t="str">
        <f>"0.7752"</f>
        <v>0.7752</v>
      </c>
    </row>
    <row r="995" spans="1:3" x14ac:dyDescent="0.25">
      <c r="A995" t="str">
        <f>"02/07/2013"</f>
        <v>02/07/2013</v>
      </c>
      <c r="B995" t="str">
        <f>"0.7801"</f>
        <v>0.7801</v>
      </c>
      <c r="C995" t="str">
        <f>"0.7783"</f>
        <v>0.7783</v>
      </c>
    </row>
    <row r="996" spans="1:3" x14ac:dyDescent="0.25">
      <c r="A996" t="str">
        <f>"03/07/2013"</f>
        <v>03/07/2013</v>
      </c>
      <c r="B996" t="str">
        <f>"0.7772"</f>
        <v>0.7772</v>
      </c>
      <c r="C996" t="str">
        <f>"0.7755"</f>
        <v>0.7755</v>
      </c>
    </row>
    <row r="997" spans="1:3" x14ac:dyDescent="0.25">
      <c r="A997" t="str">
        <f>"04/07/2013"</f>
        <v>04/07/2013</v>
      </c>
      <c r="B997" t="str">
        <f>"0.7784"</f>
        <v>0.7784</v>
      </c>
      <c r="C997" t="str">
        <f>"0.7766"</f>
        <v>0.7766</v>
      </c>
    </row>
    <row r="998" spans="1:3" x14ac:dyDescent="0.25">
      <c r="A998" t="str">
        <f>"05/07/2013"</f>
        <v>05/07/2013</v>
      </c>
      <c r="B998" t="str">
        <f>"0.7813"</f>
        <v>0.7813</v>
      </c>
      <c r="C998" t="str">
        <f>"0.7795"</f>
        <v>0.7795</v>
      </c>
    </row>
    <row r="999" spans="1:3" x14ac:dyDescent="0.25">
      <c r="A999" t="str">
        <f>"08/07/2013"</f>
        <v>08/07/2013</v>
      </c>
      <c r="B999" t="str">
        <f>"0.7726"</f>
        <v>0.7726</v>
      </c>
      <c r="C999" t="str">
        <f>"0.7707"</f>
        <v>0.7707</v>
      </c>
    </row>
    <row r="1000" spans="1:3" x14ac:dyDescent="0.25">
      <c r="A1000" t="str">
        <f>"09/07/2013"</f>
        <v>09/07/2013</v>
      </c>
      <c r="B1000" t="str">
        <f>"0.7806"</f>
        <v>0.7806</v>
      </c>
      <c r="C1000" t="str">
        <f>"0.7788"</f>
        <v>0.7788</v>
      </c>
    </row>
    <row r="1001" spans="1:3" x14ac:dyDescent="0.25">
      <c r="A1001" t="str">
        <f>"10/07/2013"</f>
        <v>10/07/2013</v>
      </c>
      <c r="B1001" t="str">
        <f>"0.7848"</f>
        <v>0.7848</v>
      </c>
      <c r="C1001" t="str">
        <f>"0.783"</f>
        <v>0.783</v>
      </c>
    </row>
    <row r="1002" spans="1:3" x14ac:dyDescent="0.25">
      <c r="A1002" t="str">
        <f>"11/07/2013"</f>
        <v>11/07/2013</v>
      </c>
      <c r="B1002" t="str">
        <f>"0.7948"</f>
        <v>0.7948</v>
      </c>
      <c r="C1002" t="str">
        <f>"0.7931"</f>
        <v>0.7931</v>
      </c>
    </row>
    <row r="1003" spans="1:3" x14ac:dyDescent="0.25">
      <c r="A1003" t="str">
        <f>"12/07/2013"</f>
        <v>12/07/2013</v>
      </c>
      <c r="B1003" t="str">
        <f>"0.7867"</f>
        <v>0.7867</v>
      </c>
      <c r="C1003" t="str">
        <f>"0.7849"</f>
        <v>0.7849</v>
      </c>
    </row>
    <row r="1004" spans="1:3" x14ac:dyDescent="0.25">
      <c r="A1004" t="str">
        <f>"15/07/2013"</f>
        <v>15/07/2013</v>
      </c>
      <c r="B1004" t="str">
        <f>"0.7805"</f>
        <v>0.7805</v>
      </c>
      <c r="C1004" t="str">
        <f>"0.7785"</f>
        <v>0.7785</v>
      </c>
    </row>
    <row r="1005" spans="1:3" x14ac:dyDescent="0.25">
      <c r="A1005" t="str">
        <f>"16/07/2013"</f>
        <v>16/07/2013</v>
      </c>
      <c r="B1005" t="str">
        <f>"0.7822"</f>
        <v>0.7822</v>
      </c>
      <c r="C1005" t="str">
        <f>"0.7803"</f>
        <v>0.7803</v>
      </c>
    </row>
    <row r="1006" spans="1:3" x14ac:dyDescent="0.25">
      <c r="A1006" t="str">
        <f>"17/07/2013"</f>
        <v>17/07/2013</v>
      </c>
      <c r="B1006" t="str">
        <f>"0.7879"</f>
        <v>0.7879</v>
      </c>
      <c r="C1006" t="str">
        <f>"0.7861"</f>
        <v>0.7861</v>
      </c>
    </row>
    <row r="1007" spans="1:3" x14ac:dyDescent="0.25">
      <c r="A1007" t="str">
        <f>"18/07/2013"</f>
        <v>18/07/2013</v>
      </c>
      <c r="B1007" t="str">
        <f>"0.7861"</f>
        <v>0.7861</v>
      </c>
      <c r="C1007" t="str">
        <f>"0.7843"</f>
        <v>0.7843</v>
      </c>
    </row>
    <row r="1008" spans="1:3" x14ac:dyDescent="0.25">
      <c r="A1008" t="str">
        <f>"19/07/2013"</f>
        <v>19/07/2013</v>
      </c>
      <c r="B1008" t="str">
        <f>"0.7907"</f>
        <v>0.7907</v>
      </c>
      <c r="C1008" t="str">
        <f>"0.7889"</f>
        <v>0.7889</v>
      </c>
    </row>
    <row r="1009" spans="1:3" x14ac:dyDescent="0.25">
      <c r="A1009" t="str">
        <f>"22/07/2013"</f>
        <v>22/07/2013</v>
      </c>
      <c r="B1009" t="str">
        <f>"0.7935"</f>
        <v>0.7935</v>
      </c>
      <c r="C1009" t="str">
        <f>"0.7915"</f>
        <v>0.7915</v>
      </c>
    </row>
    <row r="1010" spans="1:3" x14ac:dyDescent="0.25">
      <c r="A1010" t="str">
        <f>"23/07/2013"</f>
        <v>23/07/2013</v>
      </c>
      <c r="B1010" t="str">
        <f>"0.7996"</f>
        <v>0.7996</v>
      </c>
      <c r="C1010" t="str">
        <f>"0.7977"</f>
        <v>0.7977</v>
      </c>
    </row>
    <row r="1011" spans="1:3" x14ac:dyDescent="0.25">
      <c r="A1011" t="str">
        <f>"24/07/2013"</f>
        <v>24/07/2013</v>
      </c>
      <c r="B1011" t="str">
        <f>"0.7973"</f>
        <v>0.7973</v>
      </c>
      <c r="C1011" t="str">
        <f>"0.7954"</f>
        <v>0.7954</v>
      </c>
    </row>
    <row r="1012" spans="1:3" x14ac:dyDescent="0.25">
      <c r="A1012" t="str">
        <f>"25/07/2013"</f>
        <v>25/07/2013</v>
      </c>
      <c r="B1012" t="str">
        <f>"0.7986"</f>
        <v>0.7986</v>
      </c>
      <c r="C1012" t="str">
        <f>"0.7968"</f>
        <v>0.7968</v>
      </c>
    </row>
    <row r="1013" spans="1:3" x14ac:dyDescent="0.25">
      <c r="A1013" t="str">
        <f>"26/07/2013"</f>
        <v>26/07/2013</v>
      </c>
      <c r="B1013" t="str">
        <f>"0.808"</f>
        <v>0.808</v>
      </c>
      <c r="C1013" t="str">
        <f>"0.8063"</f>
        <v>0.8063</v>
      </c>
    </row>
    <row r="1014" spans="1:3" x14ac:dyDescent="0.25">
      <c r="A1014" t="str">
        <f>"29/07/2013"</f>
        <v>29/07/2013</v>
      </c>
      <c r="B1014" t="str">
        <f>"0.8086"</f>
        <v>0.8086</v>
      </c>
      <c r="C1014" t="str">
        <f>"0.8069"</f>
        <v>0.8069</v>
      </c>
    </row>
    <row r="1015" spans="1:3" x14ac:dyDescent="0.25">
      <c r="A1015" t="str">
        <f>"30/07/2013"</f>
        <v>30/07/2013</v>
      </c>
      <c r="B1015" t="str">
        <f>"0.7991"</f>
        <v>0.7991</v>
      </c>
      <c r="C1015" t="str">
        <f>"0.7973"</f>
        <v>0.7973</v>
      </c>
    </row>
    <row r="1016" spans="1:3" x14ac:dyDescent="0.25">
      <c r="A1016" t="str">
        <f>"31/07/2013"</f>
        <v>31/07/2013</v>
      </c>
      <c r="B1016" t="str">
        <f>"0.7976"</f>
        <v>0.7976</v>
      </c>
      <c r="C1016" t="str">
        <f>"0.7958"</f>
        <v>0.7958</v>
      </c>
    </row>
    <row r="1017" spans="1:3" x14ac:dyDescent="0.25">
      <c r="A1017" t="str">
        <f>"01/08/2013"</f>
        <v>01/08/2013</v>
      </c>
      <c r="B1017" t="str">
        <f>"0.7967"</f>
        <v>0.7967</v>
      </c>
      <c r="C1017" t="str">
        <f>"0.7949"</f>
        <v>0.7949</v>
      </c>
    </row>
    <row r="1018" spans="1:3" x14ac:dyDescent="0.25">
      <c r="A1018" t="str">
        <f>"02/08/2013"</f>
        <v>02/08/2013</v>
      </c>
      <c r="B1018" t="str">
        <f>"0.7894"</f>
        <v>0.7894</v>
      </c>
      <c r="C1018" t="str">
        <f>"0.7877"</f>
        <v>0.7877</v>
      </c>
    </row>
    <row r="1019" spans="1:3" x14ac:dyDescent="0.25">
      <c r="A1019" t="str">
        <f>"05/08/2013"</f>
        <v>05/08/2013</v>
      </c>
      <c r="B1019" t="str">
        <f>"0.7764"</f>
        <v>0.7764</v>
      </c>
      <c r="C1019" t="str">
        <f>"0.7746"</f>
        <v>0.7746</v>
      </c>
    </row>
    <row r="1020" spans="1:3" x14ac:dyDescent="0.25">
      <c r="A1020" t="str">
        <f>"06/08/2013"</f>
        <v>06/08/2013</v>
      </c>
      <c r="B1020" t="str">
        <f>"0.7847"</f>
        <v>0.7847</v>
      </c>
      <c r="C1020" t="str">
        <f>"0.7829"</f>
        <v>0.7829</v>
      </c>
    </row>
    <row r="1021" spans="1:3" x14ac:dyDescent="0.25">
      <c r="A1021" t="str">
        <f>"07/08/2013"</f>
        <v>07/08/2013</v>
      </c>
      <c r="B1021" t="str">
        <f>"0.7899"</f>
        <v>0.7899</v>
      </c>
      <c r="C1021" t="str">
        <f>"0.7882"</f>
        <v>0.7882</v>
      </c>
    </row>
    <row r="1022" spans="1:3" x14ac:dyDescent="0.25">
      <c r="A1022" t="str">
        <f>"08/08/2013"</f>
        <v>08/08/2013</v>
      </c>
      <c r="B1022" t="str">
        <f>"0.7955"</f>
        <v>0.7955</v>
      </c>
      <c r="C1022" t="str">
        <f>"0.7938"</f>
        <v>0.7938</v>
      </c>
    </row>
    <row r="1023" spans="1:3" x14ac:dyDescent="0.25">
      <c r="A1023" t="str">
        <f>"12/08/2013"</f>
        <v>12/08/2013</v>
      </c>
      <c r="B1023" t="str">
        <f>"0.8037"</f>
        <v>0.8037</v>
      </c>
      <c r="C1023" t="str">
        <f>"0.8019"</f>
        <v>0.8019</v>
      </c>
    </row>
    <row r="1024" spans="1:3" x14ac:dyDescent="0.25">
      <c r="A1024" t="str">
        <f>"13/08/2013"</f>
        <v>13/08/2013</v>
      </c>
      <c r="B1024" t="str">
        <f>"0.7993"</f>
        <v>0.7993</v>
      </c>
      <c r="C1024" t="str">
        <f>"0.7975"</f>
        <v>0.7975</v>
      </c>
    </row>
    <row r="1025" spans="1:3" x14ac:dyDescent="0.25">
      <c r="A1025" t="str">
        <f>"14/08/2013"</f>
        <v>14/08/2013</v>
      </c>
      <c r="B1025" t="str">
        <f>"0.798"</f>
        <v>0.798</v>
      </c>
      <c r="C1025" t="str">
        <f>"0.7962"</f>
        <v>0.7962</v>
      </c>
    </row>
    <row r="1026" spans="1:3" x14ac:dyDescent="0.25">
      <c r="A1026" t="str">
        <f>"16/08/2013"</f>
        <v>16/08/2013</v>
      </c>
      <c r="B1026" t="str">
        <f>"0.8073"</f>
        <v>0.8073</v>
      </c>
      <c r="C1026" t="str">
        <f>"0.8056"</f>
        <v>0.8056</v>
      </c>
    </row>
    <row r="1027" spans="1:3" x14ac:dyDescent="0.25">
      <c r="A1027" t="str">
        <f>"19/08/2013"</f>
        <v>19/08/2013</v>
      </c>
      <c r="B1027" t="str">
        <f>"0.8119"</f>
        <v>0.8119</v>
      </c>
      <c r="C1027" t="str">
        <f>"0.8101"</f>
        <v>0.8101</v>
      </c>
    </row>
    <row r="1028" spans="1:3" x14ac:dyDescent="0.25">
      <c r="A1028" t="str">
        <f>"20/08/2013"</f>
        <v>20/08/2013</v>
      </c>
      <c r="B1028" t="str">
        <f>"0.7984"</f>
        <v>0.7984</v>
      </c>
      <c r="C1028" t="str">
        <f>"0.7966"</f>
        <v>0.7966</v>
      </c>
    </row>
    <row r="1029" spans="1:3" x14ac:dyDescent="0.25">
      <c r="A1029" t="str">
        <f>"21/08/2013"</f>
        <v>21/08/2013</v>
      </c>
      <c r="B1029" t="str">
        <f>"0.7935"</f>
        <v>0.7935</v>
      </c>
      <c r="C1029" t="str">
        <f>"0.7918"</f>
        <v>0.7918</v>
      </c>
    </row>
    <row r="1030" spans="1:3" x14ac:dyDescent="0.25">
      <c r="A1030" t="str">
        <f>"22/08/2013"</f>
        <v>22/08/2013</v>
      </c>
      <c r="B1030" t="str">
        <f>"0.783"</f>
        <v>0.783</v>
      </c>
      <c r="C1030" t="str">
        <f>"0.7813"</f>
        <v>0.7813</v>
      </c>
    </row>
    <row r="1031" spans="1:3" x14ac:dyDescent="0.25">
      <c r="A1031" t="str">
        <f>"23/08/2013"</f>
        <v>23/08/2013</v>
      </c>
      <c r="B1031" t="str">
        <f>"0.7832"</f>
        <v>0.7832</v>
      </c>
      <c r="C1031" t="str">
        <f>"0.7816"</f>
        <v>0.7816</v>
      </c>
    </row>
    <row r="1032" spans="1:3" x14ac:dyDescent="0.25">
      <c r="A1032" t="str">
        <f>"26/08/2013"</f>
        <v>26/08/2013</v>
      </c>
      <c r="B1032" t="str">
        <f>"0.782"</f>
        <v>0.782</v>
      </c>
      <c r="C1032" t="str">
        <f>"0.7802"</f>
        <v>0.7802</v>
      </c>
    </row>
    <row r="1033" spans="1:3" x14ac:dyDescent="0.25">
      <c r="A1033" t="str">
        <f>"27/08/2013"</f>
        <v>27/08/2013</v>
      </c>
      <c r="B1033" t="str">
        <f>"0.7824"</f>
        <v>0.7824</v>
      </c>
      <c r="C1033" t="str">
        <f>"0.7806"</f>
        <v>0.7806</v>
      </c>
    </row>
    <row r="1034" spans="1:3" x14ac:dyDescent="0.25">
      <c r="A1034" t="str">
        <f>"28/08/2013"</f>
        <v>28/08/2013</v>
      </c>
      <c r="B1034" t="str">
        <f>"0.7769"</f>
        <v>0.7769</v>
      </c>
      <c r="C1034" t="str">
        <f>"0.7752"</f>
        <v>0.7752</v>
      </c>
    </row>
    <row r="1035" spans="1:3" x14ac:dyDescent="0.25">
      <c r="A1035" t="str">
        <f>"29/08/2013"</f>
        <v>29/08/2013</v>
      </c>
      <c r="B1035" t="str">
        <f>"0.7835"</f>
        <v>0.7835</v>
      </c>
      <c r="C1035" t="str">
        <f>"0.7819"</f>
        <v>0.7819</v>
      </c>
    </row>
    <row r="1036" spans="1:3" x14ac:dyDescent="0.25">
      <c r="A1036" t="str">
        <f>"30/08/2013"</f>
        <v>30/08/2013</v>
      </c>
      <c r="B1036" t="str">
        <f>"0.7773"</f>
        <v>0.7773</v>
      </c>
      <c r="C1036" t="str">
        <f>"0.7757"</f>
        <v>0.7757</v>
      </c>
    </row>
    <row r="1037" spans="1:3" x14ac:dyDescent="0.25">
      <c r="A1037" t="str">
        <f>"02/09/2013"</f>
        <v>02/09/2013</v>
      </c>
      <c r="B1037" t="str">
        <f>"0.779"</f>
        <v>0.779</v>
      </c>
      <c r="C1037" t="str">
        <f>"0.7774"</f>
        <v>0.7774</v>
      </c>
    </row>
    <row r="1038" spans="1:3" x14ac:dyDescent="0.25">
      <c r="A1038" t="str">
        <f>"03/09/2013"</f>
        <v>03/09/2013</v>
      </c>
      <c r="B1038" t="str">
        <f>"0.7817"</f>
        <v>0.7817</v>
      </c>
      <c r="C1038" t="str">
        <f>"0.78"</f>
        <v>0.78</v>
      </c>
    </row>
    <row r="1039" spans="1:3" x14ac:dyDescent="0.25">
      <c r="A1039" t="str">
        <f>"04/09/2013"</f>
        <v>04/09/2013</v>
      </c>
      <c r="B1039" t="str">
        <f>"0.7808"</f>
        <v>0.7808</v>
      </c>
      <c r="C1039" t="str">
        <f>"0.7791"</f>
        <v>0.7791</v>
      </c>
    </row>
    <row r="1040" spans="1:3" x14ac:dyDescent="0.25">
      <c r="A1040" t="str">
        <f>"05/09/2013"</f>
        <v>05/09/2013</v>
      </c>
      <c r="B1040" t="str">
        <f>"0.7902"</f>
        <v>0.7902</v>
      </c>
      <c r="C1040" t="str">
        <f>"0.7886"</f>
        <v>0.7886</v>
      </c>
    </row>
    <row r="1041" spans="1:3" x14ac:dyDescent="0.25">
      <c r="A1041" t="str">
        <f>"06/09/2013"</f>
        <v>06/09/2013</v>
      </c>
      <c r="B1041" t="str">
        <f>"0.7907"</f>
        <v>0.7907</v>
      </c>
      <c r="C1041" t="str">
        <f>"0.789"</f>
        <v>0.789</v>
      </c>
    </row>
    <row r="1042" spans="1:3" x14ac:dyDescent="0.25">
      <c r="A1042" t="str">
        <f>"10/09/2013"</f>
        <v>10/09/2013</v>
      </c>
      <c r="B1042" t="str">
        <f>"0.8046"</f>
        <v>0.8046</v>
      </c>
      <c r="C1042" t="str">
        <f>"0.8027"</f>
        <v>0.8027</v>
      </c>
    </row>
    <row r="1043" spans="1:3" x14ac:dyDescent="0.25">
      <c r="A1043" t="str">
        <f>"11/09/2013"</f>
        <v>11/09/2013</v>
      </c>
      <c r="B1043" t="str">
        <f>"0.8041"</f>
        <v>0.8041</v>
      </c>
      <c r="C1043" t="str">
        <f>"0.8024"</f>
        <v>0.8024</v>
      </c>
    </row>
    <row r="1044" spans="1:3" x14ac:dyDescent="0.25">
      <c r="A1044" t="str">
        <f>"12/09/2013"</f>
        <v>12/09/2013</v>
      </c>
      <c r="B1044" t="str">
        <f>"0.8125"</f>
        <v>0.8125</v>
      </c>
      <c r="C1044" t="str">
        <f>"0.8108"</f>
        <v>0.8108</v>
      </c>
    </row>
    <row r="1045" spans="1:3" x14ac:dyDescent="0.25">
      <c r="A1045" t="str">
        <f>"13/09/2013"</f>
        <v>13/09/2013</v>
      </c>
      <c r="B1045" t="str">
        <f>"0.8114"</f>
        <v>0.8114</v>
      </c>
      <c r="C1045" t="str">
        <f>"0.8097"</f>
        <v>0.8097</v>
      </c>
    </row>
    <row r="1046" spans="1:3" x14ac:dyDescent="0.25">
      <c r="A1046" t="str">
        <f>"16/09/2013"</f>
        <v>16/09/2013</v>
      </c>
      <c r="B1046" t="str">
        <f>"0.8189"</f>
        <v>0.8189</v>
      </c>
      <c r="C1046" t="str">
        <f>"0.8172"</f>
        <v>0.8172</v>
      </c>
    </row>
    <row r="1047" spans="1:3" x14ac:dyDescent="0.25">
      <c r="A1047" t="str">
        <f>"17/09/2013"</f>
        <v>17/09/2013</v>
      </c>
      <c r="B1047" t="str">
        <f>"0.8164"</f>
        <v>0.8164</v>
      </c>
      <c r="C1047" t="str">
        <f>"0.8146"</f>
        <v>0.8146</v>
      </c>
    </row>
    <row r="1048" spans="1:3" x14ac:dyDescent="0.25">
      <c r="A1048" t="str">
        <f>"18/09/2013"</f>
        <v>18/09/2013</v>
      </c>
      <c r="B1048" t="str">
        <f>"0.8225"</f>
        <v>0.8225</v>
      </c>
      <c r="C1048" t="str">
        <f>"0.8207"</f>
        <v>0.8207</v>
      </c>
    </row>
    <row r="1049" spans="1:3" x14ac:dyDescent="0.25">
      <c r="A1049" t="str">
        <f>"19/09/2013"</f>
        <v>19/09/2013</v>
      </c>
      <c r="B1049" t="str">
        <f>"0.8393"</f>
        <v>0.8393</v>
      </c>
      <c r="C1049" t="str">
        <f>"0.8376"</f>
        <v>0.8376</v>
      </c>
    </row>
    <row r="1050" spans="1:3" x14ac:dyDescent="0.25">
      <c r="A1050" t="str">
        <f>"20/09/2013"</f>
        <v>20/09/2013</v>
      </c>
      <c r="B1050" t="str">
        <f>"0.8378"</f>
        <v>0.8378</v>
      </c>
      <c r="C1050" t="str">
        <f>"0.8361"</f>
        <v>0.8361</v>
      </c>
    </row>
    <row r="1051" spans="1:3" x14ac:dyDescent="0.25">
      <c r="A1051" t="str">
        <f>"23/09/2013"</f>
        <v>23/09/2013</v>
      </c>
      <c r="B1051" t="str">
        <f>"0.8363"</f>
        <v>0.8363</v>
      </c>
      <c r="C1051" t="str">
        <f>"0.8345"</f>
        <v>0.8345</v>
      </c>
    </row>
    <row r="1052" spans="1:3" x14ac:dyDescent="0.25">
      <c r="A1052" t="str">
        <f>"24/09/2013"</f>
        <v>24/09/2013</v>
      </c>
      <c r="B1052" t="str">
        <f>"0.8331"</f>
        <v>0.8331</v>
      </c>
      <c r="C1052" t="str">
        <f>"0.8312"</f>
        <v>0.8312</v>
      </c>
    </row>
    <row r="1053" spans="1:3" x14ac:dyDescent="0.25">
      <c r="A1053" t="str">
        <f>"25/09/2013"</f>
        <v>25/09/2013</v>
      </c>
      <c r="B1053" t="str">
        <f>"0.8232"</f>
        <v>0.8232</v>
      </c>
      <c r="C1053" t="str">
        <f>"0.8213"</f>
        <v>0.8213</v>
      </c>
    </row>
    <row r="1054" spans="1:3" x14ac:dyDescent="0.25">
      <c r="A1054" t="str">
        <f>"26/09/2013"</f>
        <v>26/09/2013</v>
      </c>
      <c r="B1054" t="str">
        <f>"0.8257"</f>
        <v>0.8257</v>
      </c>
      <c r="C1054" t="str">
        <f>"0.8239"</f>
        <v>0.8239</v>
      </c>
    </row>
    <row r="1055" spans="1:3" x14ac:dyDescent="0.25">
      <c r="A1055" t="str">
        <f>"27/09/2013"</f>
        <v>27/09/2013</v>
      </c>
      <c r="B1055" t="str">
        <f>"0.8288"</f>
        <v>0.8288</v>
      </c>
      <c r="C1055" t="str">
        <f>"0.827"</f>
        <v>0.827</v>
      </c>
    </row>
    <row r="1056" spans="1:3" x14ac:dyDescent="0.25">
      <c r="A1056" t="str">
        <f>"30/09/2013"</f>
        <v>30/09/2013</v>
      </c>
      <c r="B1056" t="str">
        <f>"0.8281"</f>
        <v>0.8281</v>
      </c>
      <c r="C1056" t="str">
        <f>"0.8262"</f>
        <v>0.8262</v>
      </c>
    </row>
    <row r="1057" spans="1:3" x14ac:dyDescent="0.25">
      <c r="A1057" t="str">
        <f>"01/10/2013"</f>
        <v>01/10/2013</v>
      </c>
      <c r="B1057" t="str">
        <f>"0.8315"</f>
        <v>0.8315</v>
      </c>
      <c r="C1057" t="str">
        <f>"0.8296"</f>
        <v>0.8296</v>
      </c>
    </row>
    <row r="1058" spans="1:3" x14ac:dyDescent="0.25">
      <c r="A1058" t="str">
        <f>"03/10/2013"</f>
        <v>03/10/2013</v>
      </c>
      <c r="B1058" t="str">
        <f>"0.831"</f>
        <v>0.831</v>
      </c>
      <c r="C1058" t="str">
        <f>"0.8292"</f>
        <v>0.8292</v>
      </c>
    </row>
    <row r="1059" spans="1:3" x14ac:dyDescent="0.25">
      <c r="A1059" t="str">
        <f>"04/10/2013"</f>
        <v>04/10/2013</v>
      </c>
      <c r="B1059" t="str">
        <f>"0.8297"</f>
        <v>0.8297</v>
      </c>
      <c r="C1059" t="str">
        <f>"0.8279"</f>
        <v>0.8279</v>
      </c>
    </row>
    <row r="1060" spans="1:3" x14ac:dyDescent="0.25">
      <c r="A1060" t="str">
        <f>"07/10/2013"</f>
        <v>07/10/2013</v>
      </c>
      <c r="B1060" t="str">
        <f>"0.8294"</f>
        <v>0.8294</v>
      </c>
      <c r="C1060" t="str">
        <f>"0.8274"</f>
        <v>0.8274</v>
      </c>
    </row>
    <row r="1061" spans="1:3" x14ac:dyDescent="0.25">
      <c r="A1061" t="str">
        <f>"08/10/2013"</f>
        <v>08/10/2013</v>
      </c>
      <c r="B1061" t="str">
        <f>"0.8302"</f>
        <v>0.8302</v>
      </c>
      <c r="C1061" t="str">
        <f>"0.8283"</f>
        <v>0.8283</v>
      </c>
    </row>
    <row r="1062" spans="1:3" x14ac:dyDescent="0.25">
      <c r="A1062" t="str">
        <f>"09/10/2013"</f>
        <v>09/10/2013</v>
      </c>
      <c r="B1062" t="str">
        <f>"0.8288"</f>
        <v>0.8288</v>
      </c>
      <c r="C1062" t="str">
        <f>"0.827"</f>
        <v>0.827</v>
      </c>
    </row>
    <row r="1063" spans="1:3" x14ac:dyDescent="0.25">
      <c r="A1063" t="str">
        <f>"10/10/2013"</f>
        <v>10/10/2013</v>
      </c>
      <c r="B1063" t="str">
        <f>"0.8242"</f>
        <v>0.8242</v>
      </c>
      <c r="C1063" t="str">
        <f>"0.8225"</f>
        <v>0.8225</v>
      </c>
    </row>
    <row r="1064" spans="1:3" x14ac:dyDescent="0.25">
      <c r="A1064" t="str">
        <f>"11/10/2013"</f>
        <v>11/10/2013</v>
      </c>
      <c r="B1064" t="str">
        <f>"0.8302"</f>
        <v>0.8302</v>
      </c>
      <c r="C1064" t="str">
        <f>"0.8284"</f>
        <v>0.8284</v>
      </c>
    </row>
    <row r="1065" spans="1:3" x14ac:dyDescent="0.25">
      <c r="A1065" t="str">
        <f>"14/10/2013"</f>
        <v>14/10/2013</v>
      </c>
      <c r="B1065" t="str">
        <f>"0.8334"</f>
        <v>0.8334</v>
      </c>
      <c r="C1065" t="str">
        <f>"0.8315"</f>
        <v>0.8315</v>
      </c>
    </row>
    <row r="1066" spans="1:3" x14ac:dyDescent="0.25">
      <c r="A1066" t="str">
        <f>"15/10/2013"</f>
        <v>15/10/2013</v>
      </c>
      <c r="B1066" t="str">
        <f>"0.8393"</f>
        <v>0.8393</v>
      </c>
      <c r="C1066" t="str">
        <f>"0.8374"</f>
        <v>0.8374</v>
      </c>
    </row>
    <row r="1067" spans="1:3" x14ac:dyDescent="0.25">
      <c r="A1067" t="str">
        <f>"17/10/2013"</f>
        <v>17/10/2013</v>
      </c>
      <c r="B1067" t="str">
        <f>"0.8432"</f>
        <v>0.8432</v>
      </c>
      <c r="C1067" t="str">
        <f>"0.8413"</f>
        <v>0.8413</v>
      </c>
    </row>
    <row r="1068" spans="1:3" x14ac:dyDescent="0.25">
      <c r="A1068" t="str">
        <f>"18/10/2013"</f>
        <v>18/10/2013</v>
      </c>
      <c r="B1068" t="str">
        <f>"0.8455"</f>
        <v>0.8455</v>
      </c>
      <c r="C1068" t="str">
        <f>"0.8437"</f>
        <v>0.8437</v>
      </c>
    </row>
    <row r="1069" spans="1:3" x14ac:dyDescent="0.25">
      <c r="A1069" t="str">
        <f>"21/10/2013"</f>
        <v>21/10/2013</v>
      </c>
      <c r="B1069" t="str">
        <f>"0.8492"</f>
        <v>0.8492</v>
      </c>
      <c r="C1069" t="str">
        <f>"0.8472"</f>
        <v>0.8472</v>
      </c>
    </row>
    <row r="1070" spans="1:3" x14ac:dyDescent="0.25">
      <c r="A1070" t="str">
        <f>"22/10/2013"</f>
        <v>22/10/2013</v>
      </c>
      <c r="B1070" t="str">
        <f>"0.8441"</f>
        <v>0.8441</v>
      </c>
      <c r="C1070" t="str">
        <f>"0.8422"</f>
        <v>0.8422</v>
      </c>
    </row>
    <row r="1071" spans="1:3" x14ac:dyDescent="0.25">
      <c r="A1071" t="str">
        <f>"23/10/2013"</f>
        <v>23/10/2013</v>
      </c>
      <c r="B1071" t="str">
        <f>"0.8396"</f>
        <v>0.8396</v>
      </c>
      <c r="C1071" t="str">
        <f>"0.8377"</f>
        <v>0.8377</v>
      </c>
    </row>
    <row r="1072" spans="1:3" x14ac:dyDescent="0.25">
      <c r="A1072" t="str">
        <f>"24/10/2013"</f>
        <v>24/10/2013</v>
      </c>
      <c r="B1072" t="str">
        <f>"0.8414"</f>
        <v>0.8414</v>
      </c>
      <c r="C1072" t="str">
        <f>"0.8396"</f>
        <v>0.8396</v>
      </c>
    </row>
    <row r="1073" spans="1:3" x14ac:dyDescent="0.25">
      <c r="A1073" t="str">
        <f>"25/10/2013"</f>
        <v>25/10/2013</v>
      </c>
      <c r="B1073" t="str">
        <f>"0.8325"</f>
        <v>0.8325</v>
      </c>
      <c r="C1073" t="str">
        <f>"0.8308"</f>
        <v>0.8308</v>
      </c>
    </row>
    <row r="1074" spans="1:3" x14ac:dyDescent="0.25">
      <c r="A1074" t="str">
        <f>"28/10/2013"</f>
        <v>28/10/2013</v>
      </c>
      <c r="B1074" t="str">
        <f>"0.831"</f>
        <v>0.831</v>
      </c>
      <c r="C1074" t="str">
        <f>"0.8292"</f>
        <v>0.8292</v>
      </c>
    </row>
    <row r="1075" spans="1:3" x14ac:dyDescent="0.25">
      <c r="A1075" t="str">
        <f>"29/10/2013"</f>
        <v>29/10/2013</v>
      </c>
      <c r="B1075" t="str">
        <f>"0.8267"</f>
        <v>0.8267</v>
      </c>
      <c r="C1075" t="str">
        <f>"0.825"</f>
        <v>0.825</v>
      </c>
    </row>
    <row r="1076" spans="1:3" x14ac:dyDescent="0.25">
      <c r="A1076" t="str">
        <f>"30/10/2013"</f>
        <v>30/10/2013</v>
      </c>
      <c r="B1076" t="str">
        <f>"0.8249"</f>
        <v>0.8249</v>
      </c>
      <c r="C1076" t="str">
        <f>"0.8231"</f>
        <v>0.8231</v>
      </c>
    </row>
    <row r="1077" spans="1:3" x14ac:dyDescent="0.25">
      <c r="A1077" t="str">
        <f>"31/10/2013"</f>
        <v>31/10/2013</v>
      </c>
      <c r="B1077" t="str">
        <f>"0.8251"</f>
        <v>0.8251</v>
      </c>
      <c r="C1077" t="str">
        <f>"0.8234"</f>
        <v>0.8234</v>
      </c>
    </row>
    <row r="1078" spans="1:3" x14ac:dyDescent="0.25">
      <c r="A1078" t="str">
        <f>"01/11/2013"</f>
        <v>01/11/2013</v>
      </c>
      <c r="B1078" t="str">
        <f>"0.826"</f>
        <v>0.826</v>
      </c>
      <c r="C1078" t="str">
        <f>"0.8243"</f>
        <v>0.8243</v>
      </c>
    </row>
    <row r="1079" spans="1:3" x14ac:dyDescent="0.25">
      <c r="A1079" t="str">
        <f>"05/11/2013"</f>
        <v>05/11/2013</v>
      </c>
      <c r="B1079" t="str">
        <f>"0.8275"</f>
        <v>0.8275</v>
      </c>
      <c r="C1079" t="str">
        <f>"0.8257"</f>
        <v>0.8257</v>
      </c>
    </row>
    <row r="1080" spans="1:3" x14ac:dyDescent="0.25">
      <c r="A1080" t="str">
        <f>"06/11/2013"</f>
        <v>06/11/2013</v>
      </c>
      <c r="B1080" t="str">
        <f>"0.8393"</f>
        <v>0.8393</v>
      </c>
      <c r="C1080" t="str">
        <f>"0.8375"</f>
        <v>0.8375</v>
      </c>
    </row>
    <row r="1081" spans="1:3" x14ac:dyDescent="0.25">
      <c r="A1081" t="str">
        <f>"07/11/2013"</f>
        <v>07/11/2013</v>
      </c>
      <c r="B1081" t="str">
        <f>"0.8358"</f>
        <v>0.8358</v>
      </c>
      <c r="C1081" t="str">
        <f>"0.8341"</f>
        <v>0.8341</v>
      </c>
    </row>
    <row r="1082" spans="1:3" x14ac:dyDescent="0.25">
      <c r="A1082" t="str">
        <f>"08/11/2013"</f>
        <v>08/11/2013</v>
      </c>
      <c r="B1082" t="str">
        <f>"0.8328"</f>
        <v>0.8328</v>
      </c>
      <c r="C1082" t="str">
        <f>"0.8311"</f>
        <v>0.8311</v>
      </c>
    </row>
    <row r="1083" spans="1:3" x14ac:dyDescent="0.25">
      <c r="A1083" t="str">
        <f>"11/11/2013"</f>
        <v>11/11/2013</v>
      </c>
      <c r="B1083" t="str">
        <f>"0.8282"</f>
        <v>0.8282</v>
      </c>
      <c r="C1083" t="str">
        <f>"0.8265"</f>
        <v>0.8265</v>
      </c>
    </row>
    <row r="1084" spans="1:3" x14ac:dyDescent="0.25">
      <c r="A1084" t="str">
        <f>"12/11/2013"</f>
        <v>12/11/2013</v>
      </c>
      <c r="B1084" t="str">
        <f>"0.8236"</f>
        <v>0.8236</v>
      </c>
      <c r="C1084" t="str">
        <f>"0.8217"</f>
        <v>0.8217</v>
      </c>
    </row>
    <row r="1085" spans="1:3" x14ac:dyDescent="0.25">
      <c r="A1085" t="str">
        <f>"13/11/2013"</f>
        <v>13/11/2013</v>
      </c>
      <c r="B1085" t="str">
        <f>"0.8227"</f>
        <v>0.8227</v>
      </c>
      <c r="C1085" t="str">
        <f>"0.821"</f>
        <v>0.821</v>
      </c>
    </row>
    <row r="1086" spans="1:3" x14ac:dyDescent="0.25">
      <c r="A1086" t="str">
        <f>"14/11/2013"</f>
        <v>14/11/2013</v>
      </c>
      <c r="B1086" t="str">
        <f>"0.8286"</f>
        <v>0.8286</v>
      </c>
      <c r="C1086" t="str">
        <f>"0.8268"</f>
        <v>0.8268</v>
      </c>
    </row>
    <row r="1087" spans="1:3" x14ac:dyDescent="0.25">
      <c r="A1087" t="str">
        <f>"18/11/2013"</f>
        <v>18/11/2013</v>
      </c>
      <c r="B1087" t="str">
        <f>"0.8351"</f>
        <v>0.8351</v>
      </c>
      <c r="C1087" t="str">
        <f>"0.8334"</f>
        <v>0.8334</v>
      </c>
    </row>
    <row r="1088" spans="1:3" x14ac:dyDescent="0.25">
      <c r="A1088" t="str">
        <f>"19/11/2013"</f>
        <v>19/11/2013</v>
      </c>
      <c r="B1088" t="str">
        <f>"0.8322"</f>
        <v>0.8322</v>
      </c>
      <c r="C1088" t="str">
        <f>"0.8303"</f>
        <v>0.8303</v>
      </c>
    </row>
    <row r="1089" spans="1:3" x14ac:dyDescent="0.25">
      <c r="A1089" t="str">
        <f>"20/11/2013"</f>
        <v>20/11/2013</v>
      </c>
      <c r="B1089" t="str">
        <f>"0.8346"</f>
        <v>0.8346</v>
      </c>
      <c r="C1089" t="str">
        <f>"0.8329"</f>
        <v>0.8329</v>
      </c>
    </row>
    <row r="1090" spans="1:3" x14ac:dyDescent="0.25">
      <c r="A1090" t="str">
        <f>"21/11/2013"</f>
        <v>21/11/2013</v>
      </c>
      <c r="B1090" t="str">
        <f>"0.8248"</f>
        <v>0.8248</v>
      </c>
      <c r="C1090" t="str">
        <f>"0.823"</f>
        <v>0.823</v>
      </c>
    </row>
    <row r="1091" spans="1:3" x14ac:dyDescent="0.25">
      <c r="A1091" t="str">
        <f>"22/11/2013"</f>
        <v>22/11/2013</v>
      </c>
      <c r="B1091" t="str">
        <f>"0.8202"</f>
        <v>0.8202</v>
      </c>
      <c r="C1091" t="str">
        <f>"0.8184"</f>
        <v>0.8184</v>
      </c>
    </row>
    <row r="1092" spans="1:3" x14ac:dyDescent="0.25">
      <c r="A1092" t="str">
        <f>"25/11/2013"</f>
        <v>25/11/2013</v>
      </c>
      <c r="B1092" t="str">
        <f>"0.8219"</f>
        <v>0.8219</v>
      </c>
      <c r="C1092" t="str">
        <f>"0.8202"</f>
        <v>0.8202</v>
      </c>
    </row>
    <row r="1093" spans="1:3" x14ac:dyDescent="0.25">
      <c r="A1093" t="str">
        <f>"26/11/2013"</f>
        <v>26/11/2013</v>
      </c>
      <c r="B1093" t="str">
        <f>"0.8249"</f>
        <v>0.8249</v>
      </c>
      <c r="C1093" t="str">
        <f>"0.8231"</f>
        <v>0.8231</v>
      </c>
    </row>
    <row r="1094" spans="1:3" x14ac:dyDescent="0.25">
      <c r="A1094" t="str">
        <f>"27/11/2013"</f>
        <v>27/11/2013</v>
      </c>
      <c r="B1094" t="str">
        <f>"0.8192"</f>
        <v>0.8192</v>
      </c>
      <c r="C1094" t="str">
        <f>"0.8174"</f>
        <v>0.8174</v>
      </c>
    </row>
    <row r="1095" spans="1:3" x14ac:dyDescent="0.25">
      <c r="A1095" t="str">
        <f>"28/11/2013"</f>
        <v>28/11/2013</v>
      </c>
      <c r="B1095" t="str">
        <f>"0.8166"</f>
        <v>0.8166</v>
      </c>
      <c r="C1095" t="str">
        <f>"0.8148"</f>
        <v>0.8148</v>
      </c>
    </row>
    <row r="1096" spans="1:3" x14ac:dyDescent="0.25">
      <c r="A1096" t="str">
        <f>"29/11/2013"</f>
        <v>29/11/2013</v>
      </c>
      <c r="B1096" t="str">
        <f>"0.8103"</f>
        <v>0.8103</v>
      </c>
      <c r="C1096" t="str">
        <f>"0.8086"</f>
        <v>0.8086</v>
      </c>
    </row>
    <row r="1097" spans="1:3" x14ac:dyDescent="0.25">
      <c r="A1097" t="str">
        <f>"02/12/2013"</f>
        <v>02/12/2013</v>
      </c>
      <c r="B1097" t="str">
        <f>"0.8197"</f>
        <v>0.8197</v>
      </c>
      <c r="C1097" t="str">
        <f>"0.8178"</f>
        <v>0.8178</v>
      </c>
    </row>
    <row r="1098" spans="1:3" x14ac:dyDescent="0.25">
      <c r="A1098" t="str">
        <f>"03/12/2013"</f>
        <v>03/12/2013</v>
      </c>
      <c r="B1098" t="str">
        <f>"0.8167"</f>
        <v>0.8167</v>
      </c>
      <c r="C1098" t="str">
        <f>"0.8149"</f>
        <v>0.8149</v>
      </c>
    </row>
    <row r="1099" spans="1:3" x14ac:dyDescent="0.25">
      <c r="A1099" t="str">
        <f>"04/12/2013"</f>
        <v>04/12/2013</v>
      </c>
      <c r="B1099" t="str">
        <f>"0.8195"</f>
        <v>0.8195</v>
      </c>
      <c r="C1099" t="str">
        <f>"0.8177"</f>
        <v>0.8177</v>
      </c>
    </row>
    <row r="1100" spans="1:3" x14ac:dyDescent="0.25">
      <c r="A1100" t="str">
        <f>"05/12/2013"</f>
        <v>05/12/2013</v>
      </c>
      <c r="B1100" t="str">
        <f>"0.8206"</f>
        <v>0.8206</v>
      </c>
      <c r="C1100" t="str">
        <f>"0.8188"</f>
        <v>0.8188</v>
      </c>
    </row>
    <row r="1101" spans="1:3" x14ac:dyDescent="0.25">
      <c r="A1101" t="str">
        <f>"06/12/2013"</f>
        <v>06/12/2013</v>
      </c>
      <c r="B1101" t="str">
        <f>"0.8202"</f>
        <v>0.8202</v>
      </c>
      <c r="C1101" t="str">
        <f>"0.8184"</f>
        <v>0.8184</v>
      </c>
    </row>
    <row r="1102" spans="1:3" x14ac:dyDescent="0.25">
      <c r="A1102" t="str">
        <f>"09/12/2013"</f>
        <v>09/12/2013</v>
      </c>
      <c r="B1102" t="str">
        <f>"0.8295"</f>
        <v>0.8295</v>
      </c>
      <c r="C1102" t="str">
        <f>"0.8276"</f>
        <v>0.8276</v>
      </c>
    </row>
    <row r="1103" spans="1:3" x14ac:dyDescent="0.25">
      <c r="A1103" t="str">
        <f>"10/12/2013"</f>
        <v>10/12/2013</v>
      </c>
      <c r="B1103" t="str">
        <f>"0.8294"</f>
        <v>0.8294</v>
      </c>
      <c r="C1103" t="str">
        <f>"0.8275"</f>
        <v>0.8275</v>
      </c>
    </row>
    <row r="1104" spans="1:3" x14ac:dyDescent="0.25">
      <c r="A1104" t="str">
        <f>"11/12/2013"</f>
        <v>11/12/2013</v>
      </c>
      <c r="B1104" t="str">
        <f>"0.8283"</f>
        <v>0.8283</v>
      </c>
      <c r="C1104" t="str">
        <f>"0.8265"</f>
        <v>0.8265</v>
      </c>
    </row>
    <row r="1105" spans="1:3" x14ac:dyDescent="0.25">
      <c r="A1105" t="str">
        <f>"12/12/2013"</f>
        <v>12/12/2013</v>
      </c>
      <c r="B1105" t="str">
        <f>"0.8275"</f>
        <v>0.8275</v>
      </c>
      <c r="C1105" t="str">
        <f>"0.8257"</f>
        <v>0.8257</v>
      </c>
    </row>
    <row r="1106" spans="1:3" x14ac:dyDescent="0.25">
      <c r="A1106" t="str">
        <f>"13/12/2013"</f>
        <v>13/12/2013</v>
      </c>
      <c r="B1106" t="str">
        <f>"0.822"</f>
        <v>0.822</v>
      </c>
      <c r="C1106" t="str">
        <f>"0.8202"</f>
        <v>0.8202</v>
      </c>
    </row>
    <row r="1107" spans="1:3" x14ac:dyDescent="0.25">
      <c r="A1107" t="str">
        <f>"16/12/2013"</f>
        <v>16/12/2013</v>
      </c>
      <c r="B1107" t="str">
        <f>"0.8278"</f>
        <v>0.8278</v>
      </c>
      <c r="C1107" t="str">
        <f>"0.8258"</f>
        <v>0.8258</v>
      </c>
    </row>
    <row r="1108" spans="1:3" x14ac:dyDescent="0.25">
      <c r="A1108" t="str">
        <f>"17/12/2013"</f>
        <v>17/12/2013</v>
      </c>
      <c r="B1108" t="str">
        <f>"0.8281"</f>
        <v>0.8281</v>
      </c>
      <c r="C1108" t="str">
        <f>"0.8262"</f>
        <v>0.8262</v>
      </c>
    </row>
    <row r="1109" spans="1:3" x14ac:dyDescent="0.25">
      <c r="A1109" t="str">
        <f>"18/12/2013"</f>
        <v>18/12/2013</v>
      </c>
      <c r="B1109" t="str">
        <f>"0.8249"</f>
        <v>0.8249</v>
      </c>
      <c r="C1109" t="str">
        <f>"0.823"</f>
        <v>0.823</v>
      </c>
    </row>
    <row r="1110" spans="1:3" x14ac:dyDescent="0.25">
      <c r="A1110" t="str">
        <f>"19/12/2013"</f>
        <v>19/12/2013</v>
      </c>
      <c r="B1110" t="str">
        <f>"0.8183"</f>
        <v>0.8183</v>
      </c>
      <c r="C1110" t="str">
        <f>"0.8165"</f>
        <v>0.8165</v>
      </c>
    </row>
    <row r="1111" spans="1:3" x14ac:dyDescent="0.25">
      <c r="A1111" t="str">
        <f>"20/12/2013"</f>
        <v>20/12/2013</v>
      </c>
      <c r="B1111" t="str">
        <f>"0.8199"</f>
        <v>0.8199</v>
      </c>
      <c r="C1111" t="str">
        <f>"0.8181"</f>
        <v>0.8181</v>
      </c>
    </row>
    <row r="1112" spans="1:3" x14ac:dyDescent="0.25">
      <c r="A1112" t="str">
        <f>"23/12/2013"</f>
        <v>23/12/2013</v>
      </c>
      <c r="B1112" t="str">
        <f>"0.8198"</f>
        <v>0.8198</v>
      </c>
      <c r="C1112" t="str">
        <f>"0.818"</f>
        <v>0.818</v>
      </c>
    </row>
    <row r="1113" spans="1:3" x14ac:dyDescent="0.25">
      <c r="A1113" t="str">
        <f>"24/12/2013"</f>
        <v>24/12/2013</v>
      </c>
      <c r="B1113" t="str">
        <f>"0.8181"</f>
        <v>0.8181</v>
      </c>
      <c r="C1113" t="str">
        <f>"0.8163"</f>
        <v>0.8163</v>
      </c>
    </row>
    <row r="1114" spans="1:3" x14ac:dyDescent="0.25">
      <c r="A1114" t="str">
        <f>"26/12/2013"</f>
        <v>26/12/2013</v>
      </c>
      <c r="B1114" t="str">
        <f>"0.8163"</f>
        <v>0.8163</v>
      </c>
      <c r="C1114" t="str">
        <f>"0.8145"</f>
        <v>0.8145</v>
      </c>
    </row>
    <row r="1115" spans="1:3" x14ac:dyDescent="0.25">
      <c r="A1115" t="str">
        <f>"27/12/2013"</f>
        <v>27/12/2013</v>
      </c>
      <c r="B1115" t="str">
        <f>"0.8157"</f>
        <v>0.8157</v>
      </c>
      <c r="C1115" t="str">
        <f>"0.8139"</f>
        <v>0.8139</v>
      </c>
    </row>
    <row r="1116" spans="1:3" x14ac:dyDescent="0.25">
      <c r="A1116" t="str">
        <f>"30/12/2013"</f>
        <v>30/12/2013</v>
      </c>
      <c r="B1116" t="str">
        <f>"0.8137"</f>
        <v>0.8137</v>
      </c>
      <c r="C1116" t="str">
        <f>"0.8119"</f>
        <v>0.8119</v>
      </c>
    </row>
    <row r="1117" spans="1:3" x14ac:dyDescent="0.25">
      <c r="A1117" t="str">
        <f>"31/12/2013"</f>
        <v>31/12/2013</v>
      </c>
      <c r="B1117" t="str">
        <f>"0.8218"</f>
        <v>0.8218</v>
      </c>
      <c r="C1117" t="str">
        <f>"0.8199"</f>
        <v>0.8199</v>
      </c>
    </row>
    <row r="1118" spans="1:3" x14ac:dyDescent="0.25">
      <c r="A1118" t="str">
        <f>"01/01/2014"</f>
        <v>01/01/2014</v>
      </c>
      <c r="B1118" t="str">
        <f>"0.8201"</f>
        <v>0.8201</v>
      </c>
      <c r="C1118" t="str">
        <f>"0.8183"</f>
        <v>0.8183</v>
      </c>
    </row>
    <row r="1119" spans="1:3" x14ac:dyDescent="0.25">
      <c r="A1119" t="str">
        <f>"02/01/2014"</f>
        <v>02/01/2014</v>
      </c>
      <c r="B1119" t="str">
        <f>"0.8227"</f>
        <v>0.8227</v>
      </c>
      <c r="C1119" t="str">
        <f>"0.8208"</f>
        <v>0.8208</v>
      </c>
    </row>
    <row r="1120" spans="1:3" x14ac:dyDescent="0.25">
      <c r="A1120" t="str">
        <f>"03/01/2014"</f>
        <v>03/01/2014</v>
      </c>
      <c r="B1120" t="str">
        <f>"0.8228"</f>
        <v>0.8228</v>
      </c>
      <c r="C1120" t="str">
        <f>"0.8209"</f>
        <v>0.8209</v>
      </c>
    </row>
    <row r="1121" spans="1:3" x14ac:dyDescent="0.25">
      <c r="A1121" t="str">
        <f>"06/01/2014"</f>
        <v>06/01/2014</v>
      </c>
      <c r="B1121" t="str">
        <f>"0.8253"</f>
        <v>0.8253</v>
      </c>
      <c r="C1121" t="str">
        <f>"0.8234"</f>
        <v>0.8234</v>
      </c>
    </row>
    <row r="1122" spans="1:3" x14ac:dyDescent="0.25">
      <c r="A1122" t="str">
        <f>"07/01/2014"</f>
        <v>07/01/2014</v>
      </c>
      <c r="B1122" t="str">
        <f>"0.8267"</f>
        <v>0.8267</v>
      </c>
      <c r="C1122" t="str">
        <f>"0.8247"</f>
        <v>0.8247</v>
      </c>
    </row>
    <row r="1123" spans="1:3" x14ac:dyDescent="0.25">
      <c r="A1123" t="str">
        <f>"08/01/2014"</f>
        <v>08/01/2014</v>
      </c>
      <c r="B1123" t="str">
        <f>"0.8296"</f>
        <v>0.8296</v>
      </c>
      <c r="C1123" t="str">
        <f>"0.8278"</f>
        <v>0.8278</v>
      </c>
    </row>
    <row r="1124" spans="1:3" x14ac:dyDescent="0.25">
      <c r="A1124" t="str">
        <f>"09/01/2014"</f>
        <v>09/01/2014</v>
      </c>
      <c r="B1124" t="str">
        <f>"0.8249"</f>
        <v>0.8249</v>
      </c>
      <c r="C1124" t="str">
        <f>"0.8231"</f>
        <v>0.8231</v>
      </c>
    </row>
    <row r="1125" spans="1:3" x14ac:dyDescent="0.25">
      <c r="A1125" t="str">
        <f>"10/01/2014"</f>
        <v>10/01/2014</v>
      </c>
      <c r="B1125" t="str">
        <f>"0.8241"</f>
        <v>0.8241</v>
      </c>
      <c r="C1125" t="str">
        <f>"0.8223"</f>
        <v>0.8223</v>
      </c>
    </row>
    <row r="1126" spans="1:3" x14ac:dyDescent="0.25">
      <c r="A1126" t="str">
        <f>"16/01/2014"</f>
        <v>16/01/2014</v>
      </c>
      <c r="B1126" t="str">
        <f>"0.8328"</f>
        <v>0.8328</v>
      </c>
      <c r="C1126" t="str">
        <f>"0.831"</f>
        <v>0.831</v>
      </c>
    </row>
    <row r="1127" spans="1:3" x14ac:dyDescent="0.25">
      <c r="A1127" t="str">
        <f>"17/01/2014"</f>
        <v>17/01/2014</v>
      </c>
      <c r="B1127" t="str">
        <f>"0.8305"</f>
        <v>0.8305</v>
      </c>
      <c r="C1127" t="str">
        <f>"0.8286"</f>
        <v>0.8286</v>
      </c>
    </row>
    <row r="1128" spans="1:3" x14ac:dyDescent="0.25">
      <c r="A1128" t="str">
        <f>"20/01/2014"</f>
        <v>20/01/2014</v>
      </c>
      <c r="B1128" t="str">
        <f>"0.825"</f>
        <v>0.825</v>
      </c>
      <c r="C1128" t="str">
        <f>"0.8231"</f>
        <v>0.8231</v>
      </c>
    </row>
    <row r="1129" spans="1:3" x14ac:dyDescent="0.25">
      <c r="A1129" t="str">
        <f>"21/01/2014"</f>
        <v>21/01/2014</v>
      </c>
      <c r="B1129" t="str">
        <f>"0.832"</f>
        <v>0.832</v>
      </c>
      <c r="C1129" t="str">
        <f>"0.8301"</f>
        <v>0.8301</v>
      </c>
    </row>
    <row r="1130" spans="1:3" x14ac:dyDescent="0.25">
      <c r="A1130" t="str">
        <f>"22/01/2014"</f>
        <v>22/01/2014</v>
      </c>
      <c r="B1130" t="str">
        <f>"0.8314"</f>
        <v>0.8314</v>
      </c>
      <c r="C1130" t="str">
        <f>"0.8295"</f>
        <v>0.8295</v>
      </c>
    </row>
    <row r="1131" spans="1:3" x14ac:dyDescent="0.25">
      <c r="A1131" t="str">
        <f>"23/01/2014"</f>
        <v>23/01/2014</v>
      </c>
      <c r="B1131" t="str">
        <f>"0.8275"</f>
        <v>0.8275</v>
      </c>
      <c r="C1131" t="str">
        <f>"0.8257"</f>
        <v>0.8257</v>
      </c>
    </row>
    <row r="1132" spans="1:3" x14ac:dyDescent="0.25">
      <c r="A1132" t="str">
        <f>"24/01/2014"</f>
        <v>24/01/2014</v>
      </c>
      <c r="B1132" t="str">
        <f>"0.8282"</f>
        <v>0.8282</v>
      </c>
      <c r="C1132" t="str">
        <f>"0.8264"</f>
        <v>0.8264</v>
      </c>
    </row>
    <row r="1133" spans="1:3" x14ac:dyDescent="0.25">
      <c r="A1133" t="str">
        <f>"27/01/2014"</f>
        <v>27/01/2014</v>
      </c>
      <c r="B1133" t="str">
        <f>"0.8228"</f>
        <v>0.8228</v>
      </c>
      <c r="C1133" t="str">
        <f>"0.821"</f>
        <v>0.821</v>
      </c>
    </row>
    <row r="1134" spans="1:3" x14ac:dyDescent="0.25">
      <c r="A1134" t="str">
        <f>"28/01/2014"</f>
        <v>28/01/2014</v>
      </c>
      <c r="B1134" t="str">
        <f>"0.8268"</f>
        <v>0.8268</v>
      </c>
      <c r="C1134" t="str">
        <f>"0.8251"</f>
        <v>0.8251</v>
      </c>
    </row>
    <row r="1135" spans="1:3" x14ac:dyDescent="0.25">
      <c r="A1135" t="str">
        <f>"29/01/2014"</f>
        <v>29/01/2014</v>
      </c>
      <c r="B1135" t="str">
        <f>"0.8277"</f>
        <v>0.8277</v>
      </c>
      <c r="C1135" t="str">
        <f>"0.8261"</f>
        <v>0.8261</v>
      </c>
    </row>
    <row r="1136" spans="1:3" x14ac:dyDescent="0.25">
      <c r="A1136" t="str">
        <f>"30/01/2014"</f>
        <v>30/01/2014</v>
      </c>
      <c r="B1136" t="str">
        <f>"0.8173"</f>
        <v>0.8173</v>
      </c>
      <c r="C1136" t="str">
        <f>"0.8157"</f>
        <v>0.8157</v>
      </c>
    </row>
    <row r="1137" spans="1:3" x14ac:dyDescent="0.25">
      <c r="A1137" t="str">
        <f>"31/01/2014"</f>
        <v>31/01/2014</v>
      </c>
      <c r="B1137" t="str">
        <f>"0.8129"</f>
        <v>0.8129</v>
      </c>
      <c r="C1137" t="str">
        <f>"0.8114"</f>
        <v>0.8114</v>
      </c>
    </row>
    <row r="1138" spans="1:3" x14ac:dyDescent="0.25">
      <c r="A1138" t="str">
        <f>"03/02/2014"</f>
        <v>03/02/2014</v>
      </c>
      <c r="B1138" t="str">
        <f>"0.8117"</f>
        <v>0.8117</v>
      </c>
      <c r="C1138" t="str">
        <f>"0.8101"</f>
        <v>0.8101</v>
      </c>
    </row>
    <row r="1139" spans="1:3" x14ac:dyDescent="0.25">
      <c r="A1139" t="str">
        <f>"04/02/2014"</f>
        <v>04/02/2014</v>
      </c>
      <c r="B1139" t="str">
        <f>"0.8117"</f>
        <v>0.8117</v>
      </c>
      <c r="C1139" t="str">
        <f>"0.8101"</f>
        <v>0.8101</v>
      </c>
    </row>
    <row r="1140" spans="1:3" x14ac:dyDescent="0.25">
      <c r="A1140" t="str">
        <f>"05/02/2014"</f>
        <v>05/02/2014</v>
      </c>
      <c r="B1140" t="str">
        <f>"0.8206"</f>
        <v>0.8206</v>
      </c>
      <c r="C1140" t="str">
        <f>"0.819"</f>
        <v>0.819</v>
      </c>
    </row>
    <row r="1141" spans="1:3" x14ac:dyDescent="0.25">
      <c r="A1141" t="str">
        <f>"06/02/2014"</f>
        <v>06/02/2014</v>
      </c>
      <c r="B1141" t="str">
        <f>"0.8234"</f>
        <v>0.8234</v>
      </c>
      <c r="C1141" t="str">
        <f>"0.8218"</f>
        <v>0.8218</v>
      </c>
    </row>
    <row r="1142" spans="1:3" x14ac:dyDescent="0.25">
      <c r="A1142" t="str">
        <f>"07/02/2014"</f>
        <v>07/02/2014</v>
      </c>
      <c r="B1142" t="str">
        <f>"0.8234"</f>
        <v>0.8234</v>
      </c>
      <c r="C1142" t="str">
        <f>"0.8217"</f>
        <v>0.8217</v>
      </c>
    </row>
    <row r="1143" spans="1:3" x14ac:dyDescent="0.25">
      <c r="A1143" t="str">
        <f>"10/02/2014"</f>
        <v>10/02/2014</v>
      </c>
      <c r="B1143" t="str">
        <f>"0.8276"</f>
        <v>0.8276</v>
      </c>
      <c r="C1143" t="str">
        <f>"0.8259"</f>
        <v>0.8259</v>
      </c>
    </row>
    <row r="1144" spans="1:3" x14ac:dyDescent="0.25">
      <c r="A1144" t="str">
        <f>"11/02/2014"</f>
        <v>11/02/2014</v>
      </c>
      <c r="B1144" t="str">
        <f>"0.8304"</f>
        <v>0.8304</v>
      </c>
      <c r="C1144" t="str">
        <f>"0.8288"</f>
        <v>0.8288</v>
      </c>
    </row>
    <row r="1145" spans="1:3" x14ac:dyDescent="0.25">
      <c r="A1145" t="str">
        <f>"12/02/2014"</f>
        <v>12/02/2014</v>
      </c>
      <c r="B1145" t="str">
        <f>"0.8344"</f>
        <v>0.8344</v>
      </c>
      <c r="C1145" t="str">
        <f>"0.8327"</f>
        <v>0.8327</v>
      </c>
    </row>
    <row r="1146" spans="1:3" x14ac:dyDescent="0.25">
      <c r="A1146" t="str">
        <f>"13/02/2014"</f>
        <v>13/02/2014</v>
      </c>
      <c r="B1146" t="str">
        <f>"0.8309"</f>
        <v>0.8309</v>
      </c>
      <c r="C1146" t="str">
        <f>"0.8293"</f>
        <v>0.8293</v>
      </c>
    </row>
    <row r="1147" spans="1:3" x14ac:dyDescent="0.25">
      <c r="A1147" t="str">
        <f>"14/02/2014"</f>
        <v>14/02/2014</v>
      </c>
      <c r="B1147" t="str">
        <f>"0.8337"</f>
        <v>0.8337</v>
      </c>
      <c r="C1147" t="str">
        <f>"0.8321"</f>
        <v>0.8321</v>
      </c>
    </row>
    <row r="1148" spans="1:3" x14ac:dyDescent="0.25">
      <c r="A1148" t="str">
        <f>"17/02/2014"</f>
        <v>17/02/2014</v>
      </c>
      <c r="B1148" t="str">
        <f>"0.837"</f>
        <v>0.837</v>
      </c>
      <c r="C1148" t="str">
        <f>"0.8354"</f>
        <v>0.8354</v>
      </c>
    </row>
    <row r="1149" spans="1:3" x14ac:dyDescent="0.25">
      <c r="A1149" t="str">
        <f>"18/02/2014"</f>
        <v>18/02/2014</v>
      </c>
      <c r="B1149" t="str">
        <f>"0.8353"</f>
        <v>0.8353</v>
      </c>
      <c r="C1149" t="str">
        <f>"0.8336"</f>
        <v>0.8336</v>
      </c>
    </row>
    <row r="1150" spans="1:3" x14ac:dyDescent="0.25">
      <c r="A1150" t="str">
        <f>"19/02/2014"</f>
        <v>19/02/2014</v>
      </c>
      <c r="B1150" t="str">
        <f>"0.8302"</f>
        <v>0.8302</v>
      </c>
      <c r="C1150" t="str">
        <f>"0.8285"</f>
        <v>0.8285</v>
      </c>
    </row>
    <row r="1151" spans="1:3" x14ac:dyDescent="0.25">
      <c r="A1151" t="str">
        <f>"20/02/2014"</f>
        <v>20/02/2014</v>
      </c>
      <c r="B1151" t="str">
        <f>"0.825"</f>
        <v>0.825</v>
      </c>
      <c r="C1151" t="str">
        <f>"0.8234"</f>
        <v>0.8234</v>
      </c>
    </row>
    <row r="1152" spans="1:3" x14ac:dyDescent="0.25">
      <c r="A1152" t="str">
        <f>"21/02/2014"</f>
        <v>21/02/2014</v>
      </c>
      <c r="B1152" t="str">
        <f>"0.8305"</f>
        <v>0.8305</v>
      </c>
      <c r="C1152" t="str">
        <f>"0.8288"</f>
        <v>0.8288</v>
      </c>
    </row>
    <row r="1153" spans="1:3" x14ac:dyDescent="0.25">
      <c r="A1153" t="str">
        <f>"24/02/2014"</f>
        <v>24/02/2014</v>
      </c>
      <c r="B1153" t="str">
        <f>"0.8284"</f>
        <v>0.8284</v>
      </c>
      <c r="C1153" t="str">
        <f>"0.8267"</f>
        <v>0.8267</v>
      </c>
    </row>
    <row r="1154" spans="1:3" x14ac:dyDescent="0.25">
      <c r="A1154" t="str">
        <f>"25/02/2014"</f>
        <v>25/02/2014</v>
      </c>
      <c r="B1154" t="str">
        <f>"0.8336"</f>
        <v>0.8336</v>
      </c>
      <c r="C1154" t="str">
        <f>"0.8319"</f>
        <v>0.8319</v>
      </c>
    </row>
    <row r="1155" spans="1:3" x14ac:dyDescent="0.25">
      <c r="A1155" t="str">
        <f>"26/02/2014"</f>
        <v>26/02/2014</v>
      </c>
      <c r="B1155" t="str">
        <f>"0.8333"</f>
        <v>0.8333</v>
      </c>
      <c r="C1155" t="str">
        <f>"0.8314"</f>
        <v>0.8314</v>
      </c>
    </row>
    <row r="1156" spans="1:3" x14ac:dyDescent="0.25">
      <c r="A1156" t="str">
        <f>"28/02/2014"</f>
        <v>28/02/2014</v>
      </c>
      <c r="B1156" t="str">
        <f>"0.8391"</f>
        <v>0.8391</v>
      </c>
      <c r="C1156" t="str">
        <f>"0.8372"</f>
        <v>0.8372</v>
      </c>
    </row>
    <row r="1157" spans="1:3" x14ac:dyDescent="0.25">
      <c r="A1157" t="str">
        <f>"03/03/2014"</f>
        <v>03/03/2014</v>
      </c>
      <c r="B1157" t="str">
        <f>"0.8353"</f>
        <v>0.8353</v>
      </c>
      <c r="C1157" t="str">
        <f>"0.8333"</f>
        <v>0.8333</v>
      </c>
    </row>
    <row r="1158" spans="1:3" x14ac:dyDescent="0.25">
      <c r="A1158" t="str">
        <f>"04/03/2014"</f>
        <v>04/03/2014</v>
      </c>
      <c r="B1158" t="str">
        <f>"0.8371"</f>
        <v>0.8371</v>
      </c>
      <c r="C1158" t="str">
        <f>"0.8352"</f>
        <v>0.8352</v>
      </c>
    </row>
    <row r="1159" spans="1:3" x14ac:dyDescent="0.25">
      <c r="A1159" t="str">
        <f>"05/03/2014"</f>
        <v>05/03/2014</v>
      </c>
      <c r="B1159" t="str">
        <f>"0.8393"</f>
        <v>0.8393</v>
      </c>
      <c r="C1159" t="str">
        <f>"0.8373"</f>
        <v>0.8373</v>
      </c>
    </row>
    <row r="1160" spans="1:3" x14ac:dyDescent="0.25">
      <c r="A1160" t="str">
        <f>"06/03/2014"</f>
        <v>06/03/2014</v>
      </c>
      <c r="B1160" t="str">
        <f>"0.8426"</f>
        <v>0.8426</v>
      </c>
      <c r="C1160" t="str">
        <f>"0.8406"</f>
        <v>0.8406</v>
      </c>
    </row>
    <row r="1161" spans="1:3" x14ac:dyDescent="0.25">
      <c r="A1161" t="str">
        <f>"07/03/2014"</f>
        <v>07/03/2014</v>
      </c>
      <c r="B1161" t="str">
        <f>"0.8479"</f>
        <v>0.8479</v>
      </c>
      <c r="C1161" t="str">
        <f>"0.846"</f>
        <v>0.846</v>
      </c>
    </row>
    <row r="1162" spans="1:3" x14ac:dyDescent="0.25">
      <c r="A1162" t="str">
        <f>"10/03/2014"</f>
        <v>10/03/2014</v>
      </c>
      <c r="B1162" t="str">
        <f>"0.8461"</f>
        <v>0.8461</v>
      </c>
      <c r="C1162" t="str">
        <f>"0.844"</f>
        <v>0.844</v>
      </c>
    </row>
    <row r="1163" spans="1:3" x14ac:dyDescent="0.25">
      <c r="A1163" t="str">
        <f>"11/03/2014"</f>
        <v>11/03/2014</v>
      </c>
      <c r="B1163" t="str">
        <f>"0.8483"</f>
        <v>0.8483</v>
      </c>
      <c r="C1163" t="str">
        <f>"0.8462"</f>
        <v>0.8462</v>
      </c>
    </row>
    <row r="1164" spans="1:3" x14ac:dyDescent="0.25">
      <c r="A1164" t="str">
        <f>"12/03/2014"</f>
        <v>12/03/2014</v>
      </c>
      <c r="B1164" t="str">
        <f>"0.8474"</f>
        <v>0.8474</v>
      </c>
      <c r="C1164" t="str">
        <f>"0.8454"</f>
        <v>0.8454</v>
      </c>
    </row>
    <row r="1165" spans="1:3" x14ac:dyDescent="0.25">
      <c r="A1165" t="str">
        <f>"13/03/2014"</f>
        <v>13/03/2014</v>
      </c>
      <c r="B1165" t="str">
        <f>"0.8563"</f>
        <v>0.8563</v>
      </c>
      <c r="C1165" t="str">
        <f>"0.8543"</f>
        <v>0.8543</v>
      </c>
    </row>
    <row r="1166" spans="1:3" x14ac:dyDescent="0.25">
      <c r="A1166" t="str">
        <f>"14/03/2014"</f>
        <v>14/03/2014</v>
      </c>
      <c r="B1166" t="str">
        <f>"0.8538"</f>
        <v>0.8538</v>
      </c>
      <c r="C1166" t="str">
        <f>"0.8515"</f>
        <v>0.8515</v>
      </c>
    </row>
    <row r="1167" spans="1:3" x14ac:dyDescent="0.25">
      <c r="A1167" t="str">
        <f>"18/03/2014"</f>
        <v>18/03/2014</v>
      </c>
      <c r="B1167" t="str">
        <f>"0.8558"</f>
        <v>0.8558</v>
      </c>
      <c r="C1167" t="str">
        <f>"0.8536"</f>
        <v>0.8536</v>
      </c>
    </row>
    <row r="1168" spans="1:3" x14ac:dyDescent="0.25">
      <c r="A1168" t="str">
        <f>"19/03/2014"</f>
        <v>19/03/2014</v>
      </c>
      <c r="B1168" t="str">
        <f>"0.8611"</f>
        <v>0.8611</v>
      </c>
      <c r="C1168" t="str">
        <f>"0.859"</f>
        <v>0.859</v>
      </c>
    </row>
    <row r="1169" spans="1:3" x14ac:dyDescent="0.25">
      <c r="A1169" t="str">
        <f>"20/03/2014"</f>
        <v>20/03/2014</v>
      </c>
      <c r="B1169" t="str">
        <f>"0.8528"</f>
        <v>0.8528</v>
      </c>
      <c r="C1169" t="str">
        <f>"0.8508"</f>
        <v>0.8508</v>
      </c>
    </row>
    <row r="1170" spans="1:3" x14ac:dyDescent="0.25">
      <c r="A1170" t="str">
        <f>"21/03/2014"</f>
        <v>21/03/2014</v>
      </c>
      <c r="B1170" t="str">
        <f>"0.8537"</f>
        <v>0.8537</v>
      </c>
      <c r="C1170" t="str">
        <f>"0.8515"</f>
        <v>0.8515</v>
      </c>
    </row>
    <row r="1171" spans="1:3" x14ac:dyDescent="0.25">
      <c r="A1171" t="str">
        <f>"24/03/2014"</f>
        <v>24/03/2014</v>
      </c>
      <c r="B1171" t="str">
        <f>"0.8533"</f>
        <v>0.8533</v>
      </c>
      <c r="C1171" t="str">
        <f>"0.8512"</f>
        <v>0.8512</v>
      </c>
    </row>
    <row r="1172" spans="1:3" x14ac:dyDescent="0.25">
      <c r="A1172" t="str">
        <f>"25/03/2014"</f>
        <v>25/03/2014</v>
      </c>
      <c r="B1172" t="str">
        <f>"0.8551"</f>
        <v>0.8551</v>
      </c>
      <c r="C1172" t="str">
        <f>"0.853"</f>
        <v>0.853</v>
      </c>
    </row>
    <row r="1173" spans="1:3" x14ac:dyDescent="0.25">
      <c r="A1173" t="str">
        <f>"26/03/2014"</f>
        <v>26/03/2014</v>
      </c>
      <c r="B1173" t="str">
        <f>"0.8595"</f>
        <v>0.8595</v>
      </c>
      <c r="C1173" t="str">
        <f>"0.8574"</f>
        <v>0.8574</v>
      </c>
    </row>
    <row r="1174" spans="1:3" x14ac:dyDescent="0.25">
      <c r="A1174" t="str">
        <f>"27/03/2014"</f>
        <v>27/03/2014</v>
      </c>
      <c r="B1174" t="str">
        <f>"0.8629"</f>
        <v>0.8629</v>
      </c>
      <c r="C1174" t="str">
        <f>"0.8609"</f>
        <v>0.8609</v>
      </c>
    </row>
    <row r="1175" spans="1:3" x14ac:dyDescent="0.25">
      <c r="A1175" t="str">
        <f>"28/03/2014"</f>
        <v>28/03/2014</v>
      </c>
      <c r="B1175" t="str">
        <f>"0.8676"</f>
        <v>0.8676</v>
      </c>
      <c r="C1175" t="str">
        <f>"0.8656"</f>
        <v>0.8656</v>
      </c>
    </row>
    <row r="1176" spans="1:3" x14ac:dyDescent="0.25">
      <c r="A1176" t="str">
        <f>"02/04/2014"</f>
        <v>02/04/2014</v>
      </c>
      <c r="B1176" t="str">
        <f>"0.8596"</f>
        <v>0.8596</v>
      </c>
      <c r="C1176" t="str">
        <f>"0.8575"</f>
        <v>0.8575</v>
      </c>
    </row>
    <row r="1177" spans="1:3" x14ac:dyDescent="0.25">
      <c r="A1177" t="str">
        <f>"03/04/2014"</f>
        <v>03/04/2014</v>
      </c>
      <c r="B1177" t="str">
        <f>"0.8546"</f>
        <v>0.8546</v>
      </c>
      <c r="C1177" t="str">
        <f>"0.8526"</f>
        <v>0.8526</v>
      </c>
    </row>
    <row r="1178" spans="1:3" x14ac:dyDescent="0.25">
      <c r="A1178" t="str">
        <f>"04/04/2014"</f>
        <v>04/04/2014</v>
      </c>
      <c r="B1178" t="str">
        <f>"0.8555"</f>
        <v>0.8555</v>
      </c>
      <c r="C1178" t="str">
        <f>"0.8535"</f>
        <v>0.8535</v>
      </c>
    </row>
    <row r="1179" spans="1:3" x14ac:dyDescent="0.25">
      <c r="A1179" t="str">
        <f>"07/04/2014"</f>
        <v>07/04/2014</v>
      </c>
      <c r="B1179" t="str">
        <f>"0.8597"</f>
        <v>0.8597</v>
      </c>
      <c r="C1179" t="str">
        <f>"0.8577"</f>
        <v>0.8577</v>
      </c>
    </row>
    <row r="1180" spans="1:3" x14ac:dyDescent="0.25">
      <c r="A1180" t="str">
        <f>"09/04/2014"</f>
        <v>09/04/2014</v>
      </c>
      <c r="B1180" t="str">
        <f>"0.87"</f>
        <v>0.87</v>
      </c>
      <c r="C1180" t="str">
        <f>"0.8679"</f>
        <v>0.8679</v>
      </c>
    </row>
    <row r="1181" spans="1:3" x14ac:dyDescent="0.25">
      <c r="A1181" t="str">
        <f>"10/04/2014"</f>
        <v>10/04/2014</v>
      </c>
      <c r="B1181" t="str">
        <f>"0.8718"</f>
        <v>0.8718</v>
      </c>
      <c r="C1181" t="str">
        <f>"0.8697"</f>
        <v>0.8697</v>
      </c>
    </row>
    <row r="1182" spans="1:3" x14ac:dyDescent="0.25">
      <c r="A1182" t="str">
        <f>"11/04/2014"</f>
        <v>11/04/2014</v>
      </c>
      <c r="B1182" t="str">
        <f>"0.8642"</f>
        <v>0.8642</v>
      </c>
      <c r="C1182" t="str">
        <f>"0.8621"</f>
        <v>0.8621</v>
      </c>
    </row>
    <row r="1183" spans="1:3" x14ac:dyDescent="0.25">
      <c r="A1183" t="str">
        <f>"15/04/2014"</f>
        <v>15/04/2014</v>
      </c>
      <c r="B1183" t="str">
        <f>"0.8658"</f>
        <v>0.8658</v>
      </c>
      <c r="C1183" t="str">
        <f>"0.8636"</f>
        <v>0.8636</v>
      </c>
    </row>
    <row r="1184" spans="1:3" x14ac:dyDescent="0.25">
      <c r="A1184" t="str">
        <f>"16/04/2014"</f>
        <v>16/04/2014</v>
      </c>
      <c r="B1184" t="str">
        <f>"0.8588"</f>
        <v>0.8588</v>
      </c>
      <c r="C1184" t="str">
        <f>"0.8567"</f>
        <v>0.8567</v>
      </c>
    </row>
    <row r="1185" spans="1:3" x14ac:dyDescent="0.25">
      <c r="A1185" t="str">
        <f>"17/04/2014"</f>
        <v>17/04/2014</v>
      </c>
      <c r="B1185" t="str">
        <f>"0.8611"</f>
        <v>0.8611</v>
      </c>
      <c r="C1185" t="str">
        <f>"0.859"</f>
        <v>0.859</v>
      </c>
    </row>
    <row r="1186" spans="1:3" x14ac:dyDescent="0.25">
      <c r="A1186" t="str">
        <f>"21/04/2014"</f>
        <v>21/04/2014</v>
      </c>
      <c r="B1186" t="str">
        <f>"0.8568"</f>
        <v>0.8568</v>
      </c>
      <c r="C1186" t="str">
        <f>"0.8546"</f>
        <v>0.8546</v>
      </c>
    </row>
    <row r="1187" spans="1:3" x14ac:dyDescent="0.25">
      <c r="A1187" t="str">
        <f>"22/04/2014"</f>
        <v>22/04/2014</v>
      </c>
      <c r="B1187" t="str">
        <f>"0.8583"</f>
        <v>0.8583</v>
      </c>
      <c r="C1187" t="str">
        <f>"0.856"</f>
        <v>0.856</v>
      </c>
    </row>
    <row r="1188" spans="1:3" x14ac:dyDescent="0.25">
      <c r="A1188" t="str">
        <f>"23/04/2014"</f>
        <v>23/04/2014</v>
      </c>
      <c r="B1188" t="str">
        <f>"0.8599"</f>
        <v>0.8599</v>
      </c>
      <c r="C1188" t="str">
        <f>"0.8578"</f>
        <v>0.8578</v>
      </c>
    </row>
    <row r="1189" spans="1:3" x14ac:dyDescent="0.25">
      <c r="A1189" t="str">
        <f>"25/04/2014"</f>
        <v>25/04/2014</v>
      </c>
      <c r="B1189" t="str">
        <f>"0.8571"</f>
        <v>0.8571</v>
      </c>
      <c r="C1189" t="str">
        <f>"0.855"</f>
        <v>0.855</v>
      </c>
    </row>
    <row r="1190" spans="1:3" x14ac:dyDescent="0.25">
      <c r="A1190" t="str">
        <f>"28/04/2014"</f>
        <v>28/04/2014</v>
      </c>
      <c r="B1190" t="str">
        <f>"0.8576"</f>
        <v>0.8576</v>
      </c>
      <c r="C1190" t="str">
        <f>"0.8555"</f>
        <v>0.8555</v>
      </c>
    </row>
    <row r="1191" spans="1:3" x14ac:dyDescent="0.25">
      <c r="A1191" t="str">
        <f>"29/04/2014"</f>
        <v>29/04/2014</v>
      </c>
      <c r="B1191" t="str">
        <f>"0.8532"</f>
        <v>0.8532</v>
      </c>
      <c r="C1191" t="str">
        <f>"0.8508"</f>
        <v>0.8508</v>
      </c>
    </row>
    <row r="1192" spans="1:3" x14ac:dyDescent="0.25">
      <c r="A1192" t="str">
        <f>"30/04/2014"</f>
        <v>30/04/2014</v>
      </c>
      <c r="B1192" t="str">
        <f>"0.8564"</f>
        <v>0.8564</v>
      </c>
      <c r="C1192" t="str">
        <f>"0.8541"</f>
        <v>0.8541</v>
      </c>
    </row>
    <row r="1193" spans="1:3" x14ac:dyDescent="0.25">
      <c r="A1193" t="str">
        <f>"02/05/2014"</f>
        <v>02/05/2014</v>
      </c>
      <c r="B1193" t="str">
        <f>"0.8631"</f>
        <v>0.8631</v>
      </c>
      <c r="C1193" t="str">
        <f>"0.8609"</f>
        <v>0.8609</v>
      </c>
    </row>
    <row r="1194" spans="1:3" x14ac:dyDescent="0.25">
      <c r="A1194" t="str">
        <f>"05/05/2014"</f>
        <v>05/05/2014</v>
      </c>
      <c r="B1194" t="str">
        <f>"0.8656"</f>
        <v>0.8656</v>
      </c>
      <c r="C1194" t="str">
        <f>"0.8633"</f>
        <v>0.8633</v>
      </c>
    </row>
    <row r="1195" spans="1:3" x14ac:dyDescent="0.25">
      <c r="A1195" t="str">
        <f>"06/05/2014"</f>
        <v>06/05/2014</v>
      </c>
      <c r="B1195" t="str">
        <f>"0.8697"</f>
        <v>0.8697</v>
      </c>
      <c r="C1195" t="str">
        <f>"0.8674"</f>
        <v>0.8674</v>
      </c>
    </row>
    <row r="1196" spans="1:3" x14ac:dyDescent="0.25">
      <c r="A1196" t="str">
        <f>"07/05/2014"</f>
        <v>07/05/2014</v>
      </c>
      <c r="B1196" t="str">
        <f>"0.8695"</f>
        <v>0.8695</v>
      </c>
      <c r="C1196" t="str">
        <f>"0.8673"</f>
        <v>0.8673</v>
      </c>
    </row>
    <row r="1197" spans="1:3" x14ac:dyDescent="0.25">
      <c r="A1197" t="str">
        <f>"08/05/2014"</f>
        <v>08/05/2014</v>
      </c>
      <c r="B1197" t="str">
        <f>"0.8658"</f>
        <v>0.8658</v>
      </c>
      <c r="C1197" t="str">
        <f>"0.8636"</f>
        <v>0.8636</v>
      </c>
    </row>
    <row r="1198" spans="1:3" x14ac:dyDescent="0.25">
      <c r="A1198" t="str">
        <f>"09/05/2014"</f>
        <v>09/05/2014</v>
      </c>
      <c r="B1198" t="str">
        <f>"0.8639"</f>
        <v>0.8639</v>
      </c>
      <c r="C1198" t="str">
        <f>"0.8617"</f>
        <v>0.8617</v>
      </c>
    </row>
    <row r="1199" spans="1:3" x14ac:dyDescent="0.25">
      <c r="A1199" t="str">
        <f>"12/05/2014"</f>
        <v>12/05/2014</v>
      </c>
      <c r="B1199" t="str">
        <f>"0.8624"</f>
        <v>0.8624</v>
      </c>
      <c r="C1199" t="str">
        <f>"0.86"</f>
        <v>0.86</v>
      </c>
    </row>
    <row r="1200" spans="1:3" x14ac:dyDescent="0.25">
      <c r="A1200" t="str">
        <f>"13/05/2014"</f>
        <v>13/05/2014</v>
      </c>
      <c r="B1200" t="str">
        <f>"0.8627"</f>
        <v>0.8627</v>
      </c>
      <c r="C1200" t="str">
        <f>"0.8604"</f>
        <v>0.8604</v>
      </c>
    </row>
    <row r="1201" spans="1:3" x14ac:dyDescent="0.25">
      <c r="A1201" t="str">
        <f>"15/05/2014"</f>
        <v>15/05/2014</v>
      </c>
      <c r="B1201" t="str">
        <f>"0.8685"</f>
        <v>0.8685</v>
      </c>
      <c r="C1201" t="str">
        <f>"0.8663"</f>
        <v>0.8663</v>
      </c>
    </row>
    <row r="1202" spans="1:3" x14ac:dyDescent="0.25">
      <c r="A1202" t="str">
        <f>"16/05/2014"</f>
        <v>16/05/2014</v>
      </c>
      <c r="B1202" t="str">
        <f>"0.8644"</f>
        <v>0.8644</v>
      </c>
      <c r="C1202" t="str">
        <f>"0.8622"</f>
        <v>0.8622</v>
      </c>
    </row>
    <row r="1203" spans="1:3" x14ac:dyDescent="0.25">
      <c r="A1203" t="str">
        <f>"19/05/2014"</f>
        <v>19/05/2014</v>
      </c>
      <c r="B1203" t="str">
        <f>"0.8636"</f>
        <v>0.8636</v>
      </c>
      <c r="C1203" t="str">
        <f>"0.8612"</f>
        <v>0.8612</v>
      </c>
    </row>
    <row r="1204" spans="1:3" x14ac:dyDescent="0.25">
      <c r="A1204" t="str">
        <f>"20/05/2014"</f>
        <v>20/05/2014</v>
      </c>
      <c r="B1204" t="str">
        <f>"0.8574"</f>
        <v>0.8574</v>
      </c>
      <c r="C1204" t="str">
        <f>"0.855"</f>
        <v>0.855</v>
      </c>
    </row>
    <row r="1205" spans="1:3" x14ac:dyDescent="0.25">
      <c r="A1205" t="str">
        <f>"21/05/2014"</f>
        <v>21/05/2014</v>
      </c>
      <c r="B1205" t="str">
        <f>"0.856"</f>
        <v>0.856</v>
      </c>
      <c r="C1205" t="str">
        <f>"0.8537"</f>
        <v>0.8537</v>
      </c>
    </row>
    <row r="1206" spans="1:3" x14ac:dyDescent="0.25">
      <c r="A1206" t="str">
        <f>"22/05/2014"</f>
        <v>22/05/2014</v>
      </c>
      <c r="B1206" t="str">
        <f>"0.8579"</f>
        <v>0.8579</v>
      </c>
      <c r="C1206" t="str">
        <f>"0.8556"</f>
        <v>0.8556</v>
      </c>
    </row>
    <row r="1207" spans="1:3" x14ac:dyDescent="0.25">
      <c r="A1207" t="str">
        <f>"23/05/2014"</f>
        <v>23/05/2014</v>
      </c>
      <c r="B1207" t="str">
        <f>"0.8565"</f>
        <v>0.8565</v>
      </c>
      <c r="C1207" t="str">
        <f>"0.8542"</f>
        <v>0.8542</v>
      </c>
    </row>
    <row r="1208" spans="1:3" x14ac:dyDescent="0.25">
      <c r="A1208" t="str">
        <f>"26/05/2014"</f>
        <v>26/05/2014</v>
      </c>
      <c r="B1208" t="str">
        <f>"0.8534"</f>
        <v>0.8534</v>
      </c>
      <c r="C1208" t="str">
        <f>"0.851"</f>
        <v>0.851</v>
      </c>
    </row>
    <row r="1209" spans="1:3" x14ac:dyDescent="0.25">
      <c r="A1209" t="str">
        <f>"27/05/2014"</f>
        <v>27/05/2014</v>
      </c>
      <c r="B1209" t="str">
        <f>"0.8558"</f>
        <v>0.8558</v>
      </c>
      <c r="C1209" t="str">
        <f>"0.8535"</f>
        <v>0.8535</v>
      </c>
    </row>
    <row r="1210" spans="1:3" x14ac:dyDescent="0.25">
      <c r="A1210" t="str">
        <f>"28/05/2014"</f>
        <v>28/05/2014</v>
      </c>
      <c r="B1210" t="str">
        <f>"0.8539"</f>
        <v>0.8539</v>
      </c>
      <c r="C1210" t="str">
        <f>"0.8516"</f>
        <v>0.8516</v>
      </c>
    </row>
    <row r="1211" spans="1:3" x14ac:dyDescent="0.25">
      <c r="A1211" t="str">
        <f>"29/05/2014"</f>
        <v>29/05/2014</v>
      </c>
      <c r="B1211" t="str">
        <f>"0.8482"</f>
        <v>0.8482</v>
      </c>
      <c r="C1211" t="str">
        <f>"0.846"</f>
        <v>0.846</v>
      </c>
    </row>
    <row r="1212" spans="1:3" x14ac:dyDescent="0.25">
      <c r="A1212" t="str">
        <f>"30/05/2014"</f>
        <v>30/05/2014</v>
      </c>
      <c r="B1212" t="str">
        <f>"0.8506"</f>
        <v>0.8506</v>
      </c>
      <c r="C1212" t="str">
        <f>"0.8482"</f>
        <v>0.8482</v>
      </c>
    </row>
    <row r="1213" spans="1:3" x14ac:dyDescent="0.25">
      <c r="A1213" t="str">
        <f>"02/06/2014"</f>
        <v>02/06/2014</v>
      </c>
      <c r="B1213" t="str">
        <f>"0.8475"</f>
        <v>0.8475</v>
      </c>
      <c r="C1213" t="str">
        <f>"0.845"</f>
        <v>0.845</v>
      </c>
    </row>
    <row r="1214" spans="1:3" x14ac:dyDescent="0.25">
      <c r="A1214" t="str">
        <f>"03/06/2014"</f>
        <v>03/06/2014</v>
      </c>
      <c r="B1214" t="str">
        <f>"0.846"</f>
        <v>0.846</v>
      </c>
      <c r="C1214" t="str">
        <f>"0.8436"</f>
        <v>0.8436</v>
      </c>
    </row>
    <row r="1215" spans="1:3" x14ac:dyDescent="0.25">
      <c r="A1215" t="str">
        <f>"04/06/2014"</f>
        <v>04/06/2014</v>
      </c>
      <c r="B1215" t="str">
        <f>"0.8415"</f>
        <v>0.8415</v>
      </c>
      <c r="C1215" t="str">
        <f>"0.8392"</f>
        <v>0.8392</v>
      </c>
    </row>
    <row r="1216" spans="1:3" x14ac:dyDescent="0.25">
      <c r="A1216" t="str">
        <f>"05/06/2014"</f>
        <v>05/06/2014</v>
      </c>
      <c r="B1216" t="str">
        <f>"0.8447"</f>
        <v>0.8447</v>
      </c>
      <c r="C1216" t="str">
        <f>"0.8424"</f>
        <v>0.8424</v>
      </c>
    </row>
    <row r="1217" spans="1:3" x14ac:dyDescent="0.25">
      <c r="A1217" t="str">
        <f>"06/06/2014"</f>
        <v>06/06/2014</v>
      </c>
      <c r="B1217" t="str">
        <f>"0.8483"</f>
        <v>0.8483</v>
      </c>
      <c r="C1217" t="str">
        <f>"0.846"</f>
        <v>0.846</v>
      </c>
    </row>
    <row r="1218" spans="1:3" x14ac:dyDescent="0.25">
      <c r="A1218" t="str">
        <f>"09/06/2014"</f>
        <v>09/06/2014</v>
      </c>
      <c r="B1218" t="str">
        <f>"0.8513"</f>
        <v>0.8513</v>
      </c>
      <c r="C1218" t="str">
        <f>"0.8491"</f>
        <v>0.8491</v>
      </c>
    </row>
    <row r="1219" spans="1:3" x14ac:dyDescent="0.25">
      <c r="A1219" t="str">
        <f>"10/06/2014"</f>
        <v>10/06/2014</v>
      </c>
      <c r="B1219" t="str">
        <f>"0.8504"</f>
        <v>0.8504</v>
      </c>
      <c r="C1219" t="str">
        <f>"0.848"</f>
        <v>0.848</v>
      </c>
    </row>
    <row r="1220" spans="1:3" x14ac:dyDescent="0.25">
      <c r="A1220" t="str">
        <f>"11/06/2014"</f>
        <v>11/06/2014</v>
      </c>
      <c r="B1220" t="str">
        <f>"0.8549"</f>
        <v>0.8549</v>
      </c>
      <c r="C1220" t="str">
        <f>"0.8525"</f>
        <v>0.8525</v>
      </c>
    </row>
    <row r="1221" spans="1:3" x14ac:dyDescent="0.25">
      <c r="A1221" t="str">
        <f>"12/06/2014"</f>
        <v>12/06/2014</v>
      </c>
      <c r="B1221" t="str">
        <f>"0.865"</f>
        <v>0.865</v>
      </c>
      <c r="C1221" t="str">
        <f>"0.8627"</f>
        <v>0.8627</v>
      </c>
    </row>
    <row r="1222" spans="1:3" x14ac:dyDescent="0.25">
      <c r="A1222" t="str">
        <f>"13/06/2014"</f>
        <v>13/06/2014</v>
      </c>
      <c r="B1222" t="str">
        <f>"0.8667"</f>
        <v>0.8667</v>
      </c>
      <c r="C1222" t="str">
        <f>"0.8643"</f>
        <v>0.8643</v>
      </c>
    </row>
    <row r="1223" spans="1:3" x14ac:dyDescent="0.25">
      <c r="A1223" t="str">
        <f>"16/06/2014"</f>
        <v>16/06/2014</v>
      </c>
      <c r="B1223" t="str">
        <f>"0.8685"</f>
        <v>0.8685</v>
      </c>
      <c r="C1223" t="str">
        <f>"0.8662"</f>
        <v>0.8662</v>
      </c>
    </row>
    <row r="1224" spans="1:3" x14ac:dyDescent="0.25">
      <c r="A1224" t="str">
        <f>"17/06/2014"</f>
        <v>17/06/2014</v>
      </c>
      <c r="B1224" t="str">
        <f>"0.866"</f>
        <v>0.866</v>
      </c>
      <c r="C1224" t="str">
        <f>"0.8635"</f>
        <v>0.8635</v>
      </c>
    </row>
    <row r="1225" spans="1:3" x14ac:dyDescent="0.25">
      <c r="A1225" t="str">
        <f>"18/06/2014"</f>
        <v>18/06/2014</v>
      </c>
      <c r="B1225" t="str">
        <f>"0.8659"</f>
        <v>0.8659</v>
      </c>
      <c r="C1225" t="str">
        <f>"0.8635"</f>
        <v>0.8635</v>
      </c>
    </row>
    <row r="1226" spans="1:3" x14ac:dyDescent="0.25">
      <c r="A1226" t="str">
        <f>"19/06/2014"</f>
        <v>19/06/2014</v>
      </c>
      <c r="B1226" t="str">
        <f>"0.8714"</f>
        <v>0.8714</v>
      </c>
      <c r="C1226" t="str">
        <f>"0.8691"</f>
        <v>0.8691</v>
      </c>
    </row>
    <row r="1227" spans="1:3" x14ac:dyDescent="0.25">
      <c r="A1227" t="str">
        <f>"20/06/2014"</f>
        <v>20/06/2014</v>
      </c>
      <c r="B1227" t="str">
        <f>"0.8721"</f>
        <v>0.8721</v>
      </c>
      <c r="C1227" t="str">
        <f>"0.8697"</f>
        <v>0.8697</v>
      </c>
    </row>
    <row r="1228" spans="1:3" x14ac:dyDescent="0.25">
      <c r="A1228" t="str">
        <f>"23/06/2014"</f>
        <v>23/06/2014</v>
      </c>
      <c r="B1228" t="str">
        <f>"0.8733"</f>
        <v>0.8733</v>
      </c>
      <c r="C1228" t="str">
        <f>"0.871"</f>
        <v>0.871</v>
      </c>
    </row>
    <row r="1229" spans="1:3" x14ac:dyDescent="0.25">
      <c r="A1229" t="str">
        <f>"24/06/2014"</f>
        <v>24/06/2014</v>
      </c>
      <c r="B1229" t="str">
        <f>"0.8718"</f>
        <v>0.8718</v>
      </c>
      <c r="C1229" t="str">
        <f>"0.8693"</f>
        <v>0.8693</v>
      </c>
    </row>
    <row r="1230" spans="1:3" x14ac:dyDescent="0.25">
      <c r="A1230" t="str">
        <f>"25/06/2014"</f>
        <v>25/06/2014</v>
      </c>
      <c r="B1230" t="str">
        <f>"0.8677"</f>
        <v>0.8677</v>
      </c>
      <c r="C1230" t="str">
        <f>"0.8653"</f>
        <v>0.8653</v>
      </c>
    </row>
    <row r="1231" spans="1:3" x14ac:dyDescent="0.25">
      <c r="A1231" t="str">
        <f>"26/06/2014"</f>
        <v>26/06/2014</v>
      </c>
      <c r="B1231" t="str">
        <f>"0.8759"</f>
        <v>0.8759</v>
      </c>
      <c r="C1231" t="str">
        <f>"0.8734"</f>
        <v>0.8734</v>
      </c>
    </row>
    <row r="1232" spans="1:3" x14ac:dyDescent="0.25">
      <c r="A1232" t="str">
        <f>"27/06/2014"</f>
        <v>27/06/2014</v>
      </c>
      <c r="B1232" t="str">
        <f>"0.8781"</f>
        <v>0.8781</v>
      </c>
      <c r="C1232" t="str">
        <f>"0.8756"</f>
        <v>0.8756</v>
      </c>
    </row>
    <row r="1233" spans="1:3" x14ac:dyDescent="0.25">
      <c r="A1233" t="str">
        <f>"30/06/2014"</f>
        <v>30/06/2014</v>
      </c>
      <c r="B1233" t="str">
        <f>"0.8758"</f>
        <v>0.8758</v>
      </c>
      <c r="C1233" t="str">
        <f>"0.8731"</f>
        <v>0.8731</v>
      </c>
    </row>
    <row r="1234" spans="1:3" x14ac:dyDescent="0.25">
      <c r="A1234" t="str">
        <f>"01/07/2014"</f>
        <v>01/07/2014</v>
      </c>
      <c r="B1234" t="str">
        <f>"0.8763"</f>
        <v>0.8763</v>
      </c>
      <c r="C1234" t="str">
        <f>"0.8738"</f>
        <v>0.8738</v>
      </c>
    </row>
    <row r="1235" spans="1:3" x14ac:dyDescent="0.25">
      <c r="A1235" t="str">
        <f>"02/07/2014"</f>
        <v>02/07/2014</v>
      </c>
      <c r="B1235" t="str">
        <f>"0.8754"</f>
        <v>0.8754</v>
      </c>
      <c r="C1235" t="str">
        <f>"0.8729"</f>
        <v>0.8729</v>
      </c>
    </row>
    <row r="1236" spans="1:3" x14ac:dyDescent="0.25">
      <c r="A1236" t="str">
        <f>"03/07/2014"</f>
        <v>03/07/2014</v>
      </c>
      <c r="B1236" t="str">
        <f>"0.8766"</f>
        <v>0.8766</v>
      </c>
      <c r="C1236" t="str">
        <f>"0.8741"</f>
        <v>0.8741</v>
      </c>
    </row>
    <row r="1237" spans="1:3" x14ac:dyDescent="0.25">
      <c r="A1237" t="str">
        <f>"04/07/2014"</f>
        <v>04/07/2014</v>
      </c>
      <c r="B1237" t="str">
        <f>"0.8752"</f>
        <v>0.8752</v>
      </c>
      <c r="C1237" t="str">
        <f>"0.8728"</f>
        <v>0.8728</v>
      </c>
    </row>
    <row r="1238" spans="1:3" x14ac:dyDescent="0.25">
      <c r="A1238" t="str">
        <f>"07/07/2014"</f>
        <v>07/07/2014</v>
      </c>
      <c r="B1238" t="str">
        <f>"0.8722"</f>
        <v>0.8722</v>
      </c>
      <c r="C1238" t="str">
        <f>"0.8695"</f>
        <v>0.8695</v>
      </c>
    </row>
    <row r="1239" spans="1:3" x14ac:dyDescent="0.25">
      <c r="A1239" t="str">
        <f>"08/07/2014"</f>
        <v>08/07/2014</v>
      </c>
      <c r="B1239" t="str">
        <f>"0.8797"</f>
        <v>0.8797</v>
      </c>
      <c r="C1239" t="str">
        <f>"0.8771"</f>
        <v>0.8771</v>
      </c>
    </row>
    <row r="1240" spans="1:3" x14ac:dyDescent="0.25">
      <c r="A1240" t="str">
        <f>"09/07/2014"</f>
        <v>09/07/2014</v>
      </c>
      <c r="B1240" t="str">
        <f>"0.8791"</f>
        <v>0.8791</v>
      </c>
      <c r="C1240" t="str">
        <f>"0.8765"</f>
        <v>0.8765</v>
      </c>
    </row>
    <row r="1241" spans="1:3" x14ac:dyDescent="0.25">
      <c r="A1241" t="str">
        <f>"10/07/2014"</f>
        <v>10/07/2014</v>
      </c>
      <c r="B1241" t="str">
        <f>"0.8823"</f>
        <v>0.8823</v>
      </c>
      <c r="C1241" t="str">
        <f>"0.8797"</f>
        <v>0.8797</v>
      </c>
    </row>
    <row r="1242" spans="1:3" x14ac:dyDescent="0.25">
      <c r="A1242" t="str">
        <f>"11/07/2014"</f>
        <v>11/07/2014</v>
      </c>
      <c r="B1242" t="str">
        <f>"0.8811"</f>
        <v>0.8811</v>
      </c>
      <c r="C1242" t="str">
        <f>"0.8786"</f>
        <v>0.8786</v>
      </c>
    </row>
    <row r="1243" spans="1:3" x14ac:dyDescent="0.25">
      <c r="A1243" t="str">
        <f>"14/07/2014"</f>
        <v>14/07/2014</v>
      </c>
      <c r="B1243" t="str">
        <f>"0.8816"</f>
        <v>0.8816</v>
      </c>
      <c r="C1243" t="str">
        <f>"0.8788"</f>
        <v>0.8788</v>
      </c>
    </row>
    <row r="1244" spans="1:3" x14ac:dyDescent="0.25">
      <c r="A1244" t="str">
        <f>"15/07/2014"</f>
        <v>15/07/2014</v>
      </c>
      <c r="B1244" t="str">
        <f>"0.8805"</f>
        <v>0.8805</v>
      </c>
      <c r="C1244" t="str">
        <f>"0.8779"</f>
        <v>0.8779</v>
      </c>
    </row>
    <row r="1245" spans="1:3" x14ac:dyDescent="0.25">
      <c r="A1245" t="str">
        <f>"16/07/2014"</f>
        <v>16/07/2014</v>
      </c>
      <c r="B1245" t="str">
        <f>"0.8698"</f>
        <v>0.8698</v>
      </c>
      <c r="C1245" t="str">
        <f>"0.8673"</f>
        <v>0.8673</v>
      </c>
    </row>
    <row r="1246" spans="1:3" x14ac:dyDescent="0.25">
      <c r="A1246" t="str">
        <f>"17/07/2014"</f>
        <v>17/07/2014</v>
      </c>
      <c r="B1246" t="str">
        <f>"0.8691"</f>
        <v>0.8691</v>
      </c>
      <c r="C1246" t="str">
        <f>"0.8665"</f>
        <v>0.8665</v>
      </c>
    </row>
    <row r="1247" spans="1:3" x14ac:dyDescent="0.25">
      <c r="A1247" t="str">
        <f>"18/07/2014"</f>
        <v>18/07/2014</v>
      </c>
      <c r="B1247" t="str">
        <f>"0.8677"</f>
        <v>0.8677</v>
      </c>
      <c r="C1247" t="str">
        <f>"0.8651"</f>
        <v>0.8651</v>
      </c>
    </row>
    <row r="1248" spans="1:3" x14ac:dyDescent="0.25">
      <c r="A1248" t="str">
        <f>"21/07/2014"</f>
        <v>21/07/2014</v>
      </c>
      <c r="B1248" t="str">
        <f>"0.8716"</f>
        <v>0.8716</v>
      </c>
      <c r="C1248" t="str">
        <f>"0.8688"</f>
        <v>0.8688</v>
      </c>
    </row>
    <row r="1249" spans="1:3" x14ac:dyDescent="0.25">
      <c r="A1249" t="str">
        <f>"22/07/2014"</f>
        <v>22/07/2014</v>
      </c>
      <c r="B1249" t="str">
        <f>"0.8676"</f>
        <v>0.8676</v>
      </c>
      <c r="C1249" t="str">
        <f>"0.8649"</f>
        <v>0.8649</v>
      </c>
    </row>
    <row r="1250" spans="1:3" x14ac:dyDescent="0.25">
      <c r="A1250" t="str">
        <f>"23/07/2014"</f>
        <v>23/07/2014</v>
      </c>
      <c r="B1250" t="str">
        <f>"0.8678"</f>
        <v>0.8678</v>
      </c>
      <c r="C1250" t="str">
        <f>"0.8652"</f>
        <v>0.8652</v>
      </c>
    </row>
    <row r="1251" spans="1:3" x14ac:dyDescent="0.25">
      <c r="A1251" t="str">
        <f>"24/07/2014"</f>
        <v>24/07/2014</v>
      </c>
      <c r="B1251" t="str">
        <f>"0.8593"</f>
        <v>0.8593</v>
      </c>
      <c r="C1251" t="str">
        <f>"0.8567"</f>
        <v>0.8567</v>
      </c>
    </row>
    <row r="1252" spans="1:3" x14ac:dyDescent="0.25">
      <c r="A1252" t="str">
        <f>"25/07/2014"</f>
        <v>25/07/2014</v>
      </c>
      <c r="B1252" t="str">
        <f>"0.8576"</f>
        <v>0.8576</v>
      </c>
      <c r="C1252" t="str">
        <f>"0.8551"</f>
        <v>0.8551</v>
      </c>
    </row>
    <row r="1253" spans="1:3" x14ac:dyDescent="0.25">
      <c r="A1253" t="str">
        <f>"28/07/2014"</f>
        <v>28/07/2014</v>
      </c>
      <c r="B1253" t="str">
        <f>"0.8536"</f>
        <v>0.8536</v>
      </c>
      <c r="C1253" t="str">
        <f>"0.8511"</f>
        <v>0.8511</v>
      </c>
    </row>
    <row r="1254" spans="1:3" x14ac:dyDescent="0.25">
      <c r="A1254" t="str">
        <f>"30/07/2014"</f>
        <v>30/07/2014</v>
      </c>
      <c r="B1254" t="str">
        <f>"0.8511"</f>
        <v>0.8511</v>
      </c>
      <c r="C1254" t="str">
        <f>"0.8484"</f>
        <v>0.8484</v>
      </c>
    </row>
    <row r="1255" spans="1:3" x14ac:dyDescent="0.25">
      <c r="A1255" t="str">
        <f>"31/07/2014"</f>
        <v>31/07/2014</v>
      </c>
      <c r="B1255" t="str">
        <f>"0.8503"</f>
        <v>0.8503</v>
      </c>
      <c r="C1255" t="str">
        <f>"0.8477"</f>
        <v>0.8477</v>
      </c>
    </row>
    <row r="1256" spans="1:3" x14ac:dyDescent="0.25">
      <c r="A1256" t="str">
        <f>"01/08/2014"</f>
        <v>01/08/2014</v>
      </c>
      <c r="B1256" t="str">
        <f>"0.8497"</f>
        <v>0.8497</v>
      </c>
      <c r="C1256" t="str">
        <f>"0.8471"</f>
        <v>0.8471</v>
      </c>
    </row>
    <row r="1257" spans="1:3" x14ac:dyDescent="0.25">
      <c r="A1257" t="str">
        <f>"04/08/2014"</f>
        <v>04/08/2014</v>
      </c>
      <c r="B1257" t="str">
        <f>"0.8511"</f>
        <v>0.8511</v>
      </c>
      <c r="C1257" t="str">
        <f>"0.8484"</f>
        <v>0.8484</v>
      </c>
    </row>
    <row r="1258" spans="1:3" x14ac:dyDescent="0.25">
      <c r="A1258" t="str">
        <f>"05/08/2014"</f>
        <v>05/08/2014</v>
      </c>
      <c r="B1258" t="str">
        <f>"0.852"</f>
        <v>0.852</v>
      </c>
      <c r="C1258" t="str">
        <f>"0.8493"</f>
        <v>0.8493</v>
      </c>
    </row>
    <row r="1259" spans="1:3" x14ac:dyDescent="0.25">
      <c r="A1259" t="str">
        <f>"06/08/2014"</f>
        <v>06/08/2014</v>
      </c>
      <c r="B1259" t="str">
        <f>"0.8434"</f>
        <v>0.8434</v>
      </c>
      <c r="C1259" t="str">
        <f>"0.8409"</f>
        <v>0.8409</v>
      </c>
    </row>
    <row r="1260" spans="1:3" x14ac:dyDescent="0.25">
      <c r="A1260" t="str">
        <f>"07/08/2014"</f>
        <v>07/08/2014</v>
      </c>
      <c r="B1260" t="str">
        <f>"0.8473"</f>
        <v>0.8473</v>
      </c>
      <c r="C1260" t="str">
        <f>"0.8447"</f>
        <v>0.8447</v>
      </c>
    </row>
    <row r="1261" spans="1:3" x14ac:dyDescent="0.25">
      <c r="A1261" t="str">
        <f>"08/08/2014"</f>
        <v>08/08/2014</v>
      </c>
      <c r="B1261" t="str">
        <f>"0.8442"</f>
        <v>0.8442</v>
      </c>
      <c r="C1261" t="str">
        <f>"0.8416"</f>
        <v>0.8416</v>
      </c>
    </row>
    <row r="1262" spans="1:3" x14ac:dyDescent="0.25">
      <c r="A1262" t="str">
        <f>"11/08/2014"</f>
        <v>11/08/2014</v>
      </c>
      <c r="B1262" t="str">
        <f>"0.847"</f>
        <v>0.847</v>
      </c>
      <c r="C1262" t="str">
        <f>"0.8443"</f>
        <v>0.8443</v>
      </c>
    </row>
    <row r="1263" spans="1:3" x14ac:dyDescent="0.25">
      <c r="A1263" t="str">
        <f>"12/08/2014"</f>
        <v>12/08/2014</v>
      </c>
      <c r="B1263" t="str">
        <f>"0.8415"</f>
        <v>0.8415</v>
      </c>
      <c r="C1263" t="str">
        <f>"0.8389"</f>
        <v>0.8389</v>
      </c>
    </row>
    <row r="1264" spans="1:3" x14ac:dyDescent="0.25">
      <c r="A1264" t="str">
        <f>"13/08/2014"</f>
        <v>13/08/2014</v>
      </c>
      <c r="B1264" t="str">
        <f>"0.8428"</f>
        <v>0.8428</v>
      </c>
      <c r="C1264" t="str">
        <f>"0.8402"</f>
        <v>0.8402</v>
      </c>
    </row>
    <row r="1265" spans="1:3" x14ac:dyDescent="0.25">
      <c r="A1265" t="str">
        <f>"14/08/2014"</f>
        <v>14/08/2014</v>
      </c>
      <c r="B1265" t="str">
        <f>"0.847"</f>
        <v>0.847</v>
      </c>
      <c r="C1265" t="str">
        <f>"0.8444"</f>
        <v>0.8444</v>
      </c>
    </row>
    <row r="1266" spans="1:3" x14ac:dyDescent="0.25">
      <c r="A1266" t="str">
        <f>"19/08/2014"</f>
        <v>19/08/2014</v>
      </c>
      <c r="B1266" t="str">
        <f>"0.8446"</f>
        <v>0.8446</v>
      </c>
      <c r="C1266" t="str">
        <f>"0.8419"</f>
        <v>0.8419</v>
      </c>
    </row>
    <row r="1267" spans="1:3" x14ac:dyDescent="0.25">
      <c r="A1267" t="str">
        <f>"20/08/2014"</f>
        <v>20/08/2014</v>
      </c>
      <c r="B1267" t="str">
        <f>"0.8388"</f>
        <v>0.8388</v>
      </c>
      <c r="C1267" t="str">
        <f>"0.8363"</f>
        <v>0.8363</v>
      </c>
    </row>
    <row r="1268" spans="1:3" x14ac:dyDescent="0.25">
      <c r="A1268" t="str">
        <f>"21/08/2014"</f>
        <v>21/08/2014</v>
      </c>
      <c r="B1268" t="str">
        <f>"0.8356"</f>
        <v>0.8356</v>
      </c>
      <c r="C1268" t="str">
        <f>"0.833"</f>
        <v>0.833</v>
      </c>
    </row>
    <row r="1269" spans="1:3" x14ac:dyDescent="0.25">
      <c r="A1269" t="str">
        <f>"22/08/2014"</f>
        <v>22/08/2014</v>
      </c>
      <c r="B1269" t="str">
        <f>"0.8407"</f>
        <v>0.8407</v>
      </c>
      <c r="C1269" t="str">
        <f>"0.8381"</f>
        <v>0.8381</v>
      </c>
    </row>
    <row r="1270" spans="1:3" x14ac:dyDescent="0.25">
      <c r="A1270" t="str">
        <f>"25/08/2014"</f>
        <v>25/08/2014</v>
      </c>
      <c r="B1270" t="str">
        <f>"0.8349"</f>
        <v>0.8349</v>
      </c>
      <c r="C1270" t="str">
        <f>"0.8323"</f>
        <v>0.8323</v>
      </c>
    </row>
    <row r="1271" spans="1:3" x14ac:dyDescent="0.25">
      <c r="A1271" t="str">
        <f>"26/08/2014"</f>
        <v>26/08/2014</v>
      </c>
      <c r="B1271" t="str">
        <f>"0.8345"</f>
        <v>0.8345</v>
      </c>
      <c r="C1271" t="str">
        <f>"0.8319"</f>
        <v>0.8319</v>
      </c>
    </row>
    <row r="1272" spans="1:3" x14ac:dyDescent="0.25">
      <c r="A1272" t="str">
        <f>"27/08/2014"</f>
        <v>27/08/2014</v>
      </c>
      <c r="B1272" t="str">
        <f>"0.836"</f>
        <v>0.836</v>
      </c>
      <c r="C1272" t="str">
        <f>"0.8334"</f>
        <v>0.8334</v>
      </c>
    </row>
    <row r="1273" spans="1:3" x14ac:dyDescent="0.25">
      <c r="A1273" t="str">
        <f>"28/08/2014"</f>
        <v>28/08/2014</v>
      </c>
      <c r="B1273" t="str">
        <f>"0.8392"</f>
        <v>0.8392</v>
      </c>
      <c r="C1273" t="str">
        <f>"0.8368"</f>
        <v>0.8368</v>
      </c>
    </row>
    <row r="1274" spans="1:3" x14ac:dyDescent="0.25">
      <c r="A1274" t="str">
        <f>"01/09/2014"</f>
        <v>01/09/2014</v>
      </c>
      <c r="B1274" t="str">
        <f>"0.8375"</f>
        <v>0.8375</v>
      </c>
      <c r="C1274" t="str">
        <f>"0.8351"</f>
        <v>0.8351</v>
      </c>
    </row>
    <row r="1275" spans="1:3" x14ac:dyDescent="0.25">
      <c r="A1275" t="str">
        <f>"02/09/2014"</f>
        <v>02/09/2014</v>
      </c>
      <c r="B1275" t="str">
        <f>"0.8347"</f>
        <v>0.8347</v>
      </c>
      <c r="C1275" t="str">
        <f>"0.8321"</f>
        <v>0.8321</v>
      </c>
    </row>
    <row r="1276" spans="1:3" x14ac:dyDescent="0.25">
      <c r="A1276" t="str">
        <f>"03/09/2014"</f>
        <v>03/09/2014</v>
      </c>
      <c r="B1276" t="str">
        <f>"0.8296"</f>
        <v>0.8296</v>
      </c>
      <c r="C1276" t="str">
        <f>"0.8271"</f>
        <v>0.8271</v>
      </c>
    </row>
    <row r="1277" spans="1:3" x14ac:dyDescent="0.25">
      <c r="A1277" t="str">
        <f>"04/09/2014"</f>
        <v>04/09/2014</v>
      </c>
      <c r="B1277" t="str">
        <f>"0.8323"</f>
        <v>0.8323</v>
      </c>
      <c r="C1277" t="str">
        <f>"0.8299"</f>
        <v>0.8299</v>
      </c>
    </row>
    <row r="1278" spans="1:3" x14ac:dyDescent="0.25">
      <c r="A1278" t="str">
        <f>"05/09/2014"</f>
        <v>05/09/2014</v>
      </c>
      <c r="B1278" t="str">
        <f>"0.8286"</f>
        <v>0.8286</v>
      </c>
      <c r="C1278" t="str">
        <f>"0.8262"</f>
        <v>0.8262</v>
      </c>
    </row>
    <row r="1279" spans="1:3" x14ac:dyDescent="0.25">
      <c r="A1279" t="str">
        <f>"08/09/2014"</f>
        <v>08/09/2014</v>
      </c>
      <c r="B1279" t="str">
        <f>"0.8319"</f>
        <v>0.8319</v>
      </c>
      <c r="C1279" t="str">
        <f>"0.8294"</f>
        <v>0.8294</v>
      </c>
    </row>
    <row r="1280" spans="1:3" x14ac:dyDescent="0.25">
      <c r="A1280" t="str">
        <f>"09/09/2014"</f>
        <v>09/09/2014</v>
      </c>
      <c r="B1280" t="str">
        <f>"0.8256"</f>
        <v>0.8256</v>
      </c>
      <c r="C1280" t="str">
        <f>"0.823"</f>
        <v>0.823</v>
      </c>
    </row>
    <row r="1281" spans="1:3" x14ac:dyDescent="0.25">
      <c r="A1281" t="str">
        <f>"10/09/2014"</f>
        <v>10/09/2014</v>
      </c>
      <c r="B1281" t="str">
        <f>"0.8242"</f>
        <v>0.8242</v>
      </c>
      <c r="C1281" t="str">
        <f>"0.8216"</f>
        <v>0.8216</v>
      </c>
    </row>
    <row r="1282" spans="1:3" x14ac:dyDescent="0.25">
      <c r="A1282" t="str">
        <f>"11/09/2014"</f>
        <v>11/09/2014</v>
      </c>
      <c r="B1282" t="str">
        <f>"0.819"</f>
        <v>0.819</v>
      </c>
      <c r="C1282" t="str">
        <f>"0.8165"</f>
        <v>0.8165</v>
      </c>
    </row>
    <row r="1283" spans="1:3" x14ac:dyDescent="0.25">
      <c r="A1283" t="str">
        <f>"12/09/2014"</f>
        <v>12/09/2014</v>
      </c>
      <c r="B1283" t="str">
        <f>"0.8161"</f>
        <v>0.8161</v>
      </c>
      <c r="C1283" t="str">
        <f>"0.8137"</f>
        <v>0.8137</v>
      </c>
    </row>
    <row r="1284" spans="1:3" x14ac:dyDescent="0.25">
      <c r="A1284" t="str">
        <f>"15/09/2014"</f>
        <v>15/09/2014</v>
      </c>
      <c r="B1284" t="str">
        <f>"0.8133"</f>
        <v>0.8133</v>
      </c>
      <c r="C1284" t="str">
        <f>"0.8109"</f>
        <v>0.8109</v>
      </c>
    </row>
    <row r="1285" spans="1:3" x14ac:dyDescent="0.25">
      <c r="A1285" t="str">
        <f>"16/09/2014"</f>
        <v>16/09/2014</v>
      </c>
      <c r="B1285" t="str">
        <f>"0.8167"</f>
        <v>0.8167</v>
      </c>
      <c r="C1285" t="str">
        <f>"0.8141"</f>
        <v>0.8141</v>
      </c>
    </row>
    <row r="1286" spans="1:3" x14ac:dyDescent="0.25">
      <c r="A1286" t="str">
        <f>"17/09/2014"</f>
        <v>17/09/2014</v>
      </c>
      <c r="B1286" t="str">
        <f>"0.8184"</f>
        <v>0.8184</v>
      </c>
      <c r="C1286" t="str">
        <f>"0.8159"</f>
        <v>0.8159</v>
      </c>
    </row>
    <row r="1287" spans="1:3" x14ac:dyDescent="0.25">
      <c r="A1287" t="str">
        <f>"18/09/2014"</f>
        <v>18/09/2014</v>
      </c>
      <c r="B1287" t="str">
        <f>"0.8111"</f>
        <v>0.8111</v>
      </c>
      <c r="C1287" t="str">
        <f>"0.8087"</f>
        <v>0.8087</v>
      </c>
    </row>
    <row r="1288" spans="1:3" x14ac:dyDescent="0.25">
      <c r="A1288" t="str">
        <f>"19/09/2014"</f>
        <v>19/09/2014</v>
      </c>
      <c r="B1288" t="str">
        <f>"0.8134"</f>
        <v>0.8134</v>
      </c>
      <c r="C1288" t="str">
        <f>"0.811"</f>
        <v>0.811</v>
      </c>
    </row>
    <row r="1289" spans="1:3" x14ac:dyDescent="0.25">
      <c r="A1289" t="str">
        <f>"22/09/2014"</f>
        <v>22/09/2014</v>
      </c>
      <c r="B1289" t="str">
        <f>"0.8162"</f>
        <v>0.8162</v>
      </c>
      <c r="C1289" t="str">
        <f>"0.8138"</f>
        <v>0.8138</v>
      </c>
    </row>
    <row r="1290" spans="1:3" x14ac:dyDescent="0.25">
      <c r="A1290" t="str">
        <f>"23/09/2014"</f>
        <v>23/09/2014</v>
      </c>
      <c r="B1290" t="str">
        <f>"0.8127"</f>
        <v>0.8127</v>
      </c>
      <c r="C1290" t="str">
        <f>"0.81"</f>
        <v>0.81</v>
      </c>
    </row>
    <row r="1291" spans="1:3" x14ac:dyDescent="0.25">
      <c r="A1291" t="str">
        <f>"24/09/2014"</f>
        <v>24/09/2014</v>
      </c>
      <c r="B1291" t="str">
        <f>"0.808"</f>
        <v>0.808</v>
      </c>
      <c r="C1291" t="str">
        <f>"0.8054"</f>
        <v>0.8054</v>
      </c>
    </row>
    <row r="1292" spans="1:3" x14ac:dyDescent="0.25">
      <c r="A1292" t="str">
        <f>"25/09/2014"</f>
        <v>25/09/2014</v>
      </c>
      <c r="B1292" t="str">
        <f>"0.7991"</f>
        <v>0.7991</v>
      </c>
      <c r="C1292" t="str">
        <f>"0.7968"</f>
        <v>0.7968</v>
      </c>
    </row>
    <row r="1293" spans="1:3" x14ac:dyDescent="0.25">
      <c r="A1293" t="str">
        <f>"26/09/2014"</f>
        <v>26/09/2014</v>
      </c>
      <c r="B1293" t="str">
        <f>"0.7915"</f>
        <v>0.7915</v>
      </c>
      <c r="C1293" t="str">
        <f>"0.7891"</f>
        <v>0.7891</v>
      </c>
    </row>
    <row r="1294" spans="1:3" x14ac:dyDescent="0.25">
      <c r="A1294" t="str">
        <f>"29/09/2014"</f>
        <v>29/09/2014</v>
      </c>
      <c r="B1294" t="str">
        <f>"0.7765"</f>
        <v>0.7765</v>
      </c>
      <c r="C1294" t="str">
        <f>"0.7739"</f>
        <v>0.7739</v>
      </c>
    </row>
    <row r="1295" spans="1:3" x14ac:dyDescent="0.25">
      <c r="A1295" t="str">
        <f>"30/09/2014"</f>
        <v>30/09/2014</v>
      </c>
      <c r="B1295" t="str">
        <f>"0.781"</f>
        <v>0.781</v>
      </c>
      <c r="C1295" t="str">
        <f>"0.7786"</f>
        <v>0.7786</v>
      </c>
    </row>
    <row r="1296" spans="1:3" x14ac:dyDescent="0.25">
      <c r="A1296" t="str">
        <f>"01/10/2014"</f>
        <v>01/10/2014</v>
      </c>
      <c r="B1296" t="str">
        <f>"0.777"</f>
        <v>0.777</v>
      </c>
      <c r="C1296" t="str">
        <f>"0.7746"</f>
        <v>0.7746</v>
      </c>
    </row>
    <row r="1297" spans="1:3" x14ac:dyDescent="0.25">
      <c r="A1297" t="str">
        <f>"07/10/2014"</f>
        <v>07/10/2014</v>
      </c>
      <c r="B1297" t="str">
        <f>"0.78"</f>
        <v>0.78</v>
      </c>
      <c r="C1297" t="str">
        <f>"0.7775"</f>
        <v>0.7775</v>
      </c>
    </row>
    <row r="1298" spans="1:3" x14ac:dyDescent="0.25">
      <c r="A1298" t="str">
        <f>"08/10/2014"</f>
        <v>08/10/2014</v>
      </c>
      <c r="B1298" t="str">
        <f>"0.7798"</f>
        <v>0.7798</v>
      </c>
      <c r="C1298" t="str">
        <f>"0.7774"</f>
        <v>0.7774</v>
      </c>
    </row>
    <row r="1299" spans="1:3" x14ac:dyDescent="0.25">
      <c r="A1299" t="str">
        <f>"09/10/2014"</f>
        <v>09/10/2014</v>
      </c>
      <c r="B1299" t="str">
        <f>"0.7943"</f>
        <v>0.7943</v>
      </c>
      <c r="C1299" t="str">
        <f>"0.7918"</f>
        <v>0.7918</v>
      </c>
    </row>
    <row r="1300" spans="1:3" x14ac:dyDescent="0.25">
      <c r="A1300" t="str">
        <f>"10/10/2014"</f>
        <v>10/10/2014</v>
      </c>
      <c r="B1300" t="str">
        <f>"0.7871"</f>
        <v>0.7871</v>
      </c>
      <c r="C1300" t="str">
        <f>"0.7847"</f>
        <v>0.7847</v>
      </c>
    </row>
    <row r="1301" spans="1:3" x14ac:dyDescent="0.25">
      <c r="A1301" t="str">
        <f>"13/10/2014"</f>
        <v>13/10/2014</v>
      </c>
      <c r="B1301" t="str">
        <f>"0.787"</f>
        <v>0.787</v>
      </c>
      <c r="C1301" t="str">
        <f>"0.7844"</f>
        <v>0.7844</v>
      </c>
    </row>
    <row r="1302" spans="1:3" x14ac:dyDescent="0.25">
      <c r="A1302" t="str">
        <f>"14/10/2014"</f>
        <v>14/10/2014</v>
      </c>
      <c r="B1302" t="str">
        <f>"0.7894"</f>
        <v>0.7894</v>
      </c>
      <c r="C1302" t="str">
        <f>"0.7869"</f>
        <v>0.7869</v>
      </c>
    </row>
    <row r="1303" spans="1:3" x14ac:dyDescent="0.25">
      <c r="A1303" t="str">
        <f>"16/10/2014"</f>
        <v>16/10/2014</v>
      </c>
      <c r="B1303" t="str">
        <f>"0.7973"</f>
        <v>0.7973</v>
      </c>
      <c r="C1303" t="str">
        <f>"0.7948"</f>
        <v>0.7948</v>
      </c>
    </row>
    <row r="1304" spans="1:3" x14ac:dyDescent="0.25">
      <c r="A1304" t="str">
        <f>"17/10/2014"</f>
        <v>17/10/2014</v>
      </c>
      <c r="B1304" t="str">
        <f>"0.7934"</f>
        <v>0.7934</v>
      </c>
      <c r="C1304" t="str">
        <f>"0.791"</f>
        <v>0.791</v>
      </c>
    </row>
    <row r="1305" spans="1:3" x14ac:dyDescent="0.25">
      <c r="A1305" t="str">
        <f>"20/10/2014"</f>
        <v>20/10/2014</v>
      </c>
      <c r="B1305" t="str">
        <f>"0.7946"</f>
        <v>0.7946</v>
      </c>
      <c r="C1305" t="str">
        <f>"0.792"</f>
        <v>0.792</v>
      </c>
    </row>
    <row r="1306" spans="1:3" x14ac:dyDescent="0.25">
      <c r="A1306" t="str">
        <f>"21/10/2014"</f>
        <v>21/10/2014</v>
      </c>
      <c r="B1306" t="str">
        <f>"0.8004"</f>
        <v>0.8004</v>
      </c>
      <c r="C1306" t="str">
        <f>"0.7978"</f>
        <v>0.7978</v>
      </c>
    </row>
    <row r="1307" spans="1:3" x14ac:dyDescent="0.25">
      <c r="A1307" t="str">
        <f>"22/10/2014"</f>
        <v>22/10/2014</v>
      </c>
      <c r="B1307" t="str">
        <f>"0.7976"</f>
        <v>0.7976</v>
      </c>
      <c r="C1307" t="str">
        <f>"0.7952"</f>
        <v>0.7952</v>
      </c>
    </row>
    <row r="1308" spans="1:3" x14ac:dyDescent="0.25">
      <c r="A1308" t="str">
        <f>"27/10/2014"</f>
        <v>27/10/2014</v>
      </c>
      <c r="B1308" t="str">
        <f>"0.7872"</f>
        <v>0.7872</v>
      </c>
      <c r="C1308" t="str">
        <f>"0.7849"</f>
        <v>0.7849</v>
      </c>
    </row>
    <row r="1309" spans="1:3" x14ac:dyDescent="0.25">
      <c r="A1309" t="str">
        <f>"28/10/2014"</f>
        <v>28/10/2014</v>
      </c>
      <c r="B1309" t="str">
        <f>"0.7896"</f>
        <v>0.7896</v>
      </c>
      <c r="C1309" t="str">
        <f>"0.7873"</f>
        <v>0.7873</v>
      </c>
    </row>
    <row r="1310" spans="1:3" x14ac:dyDescent="0.25">
      <c r="A1310" t="str">
        <f>"29/10/2014"</f>
        <v>29/10/2014</v>
      </c>
      <c r="B1310" t="str">
        <f>"0.7928"</f>
        <v>0.7928</v>
      </c>
      <c r="C1310" t="str">
        <f>"0.7906"</f>
        <v>0.7906</v>
      </c>
    </row>
    <row r="1311" spans="1:3" x14ac:dyDescent="0.25">
      <c r="A1311" t="str">
        <f>"30/10/2014"</f>
        <v>30/10/2014</v>
      </c>
      <c r="B1311" t="str">
        <f>"0.7796"</f>
        <v>0.7796</v>
      </c>
      <c r="C1311" t="str">
        <f>"0.7773"</f>
        <v>0.7773</v>
      </c>
    </row>
    <row r="1312" spans="1:3" x14ac:dyDescent="0.25">
      <c r="A1312" t="str">
        <f>"31/10/2014"</f>
        <v>31/10/2014</v>
      </c>
      <c r="B1312" t="str">
        <f>"0.7843"</f>
        <v>0.7843</v>
      </c>
      <c r="C1312" t="str">
        <f>"0.782"</f>
        <v>0.782</v>
      </c>
    </row>
    <row r="1313" spans="1:3" x14ac:dyDescent="0.25">
      <c r="A1313" t="str">
        <f>"03/11/2014"</f>
        <v>03/11/2014</v>
      </c>
      <c r="B1313" t="str">
        <f>"0.7766"</f>
        <v>0.7766</v>
      </c>
      <c r="C1313" t="str">
        <f>"0.7743"</f>
        <v>0.7743</v>
      </c>
    </row>
    <row r="1314" spans="1:3" x14ac:dyDescent="0.25">
      <c r="A1314" t="str">
        <f>"05/11/2014"</f>
        <v>05/11/2014</v>
      </c>
      <c r="B1314" t="str">
        <f>"0.782"</f>
        <v>0.782</v>
      </c>
      <c r="C1314" t="str">
        <f>"0.7796"</f>
        <v>0.7796</v>
      </c>
    </row>
    <row r="1315" spans="1:3" x14ac:dyDescent="0.25">
      <c r="A1315" t="str">
        <f>"07/11/2014"</f>
        <v>07/11/2014</v>
      </c>
      <c r="B1315" t="str">
        <f>"0.7663"</f>
        <v>0.7663</v>
      </c>
      <c r="C1315" t="str">
        <f>"0.764"</f>
        <v>0.764</v>
      </c>
    </row>
    <row r="1316" spans="1:3" x14ac:dyDescent="0.25">
      <c r="A1316" t="str">
        <f>"10/11/2014"</f>
        <v>10/11/2014</v>
      </c>
      <c r="B1316" t="str">
        <f>"0.7791"</f>
        <v>0.7791</v>
      </c>
      <c r="C1316" t="str">
        <f>"0.7768"</f>
        <v>0.7768</v>
      </c>
    </row>
    <row r="1317" spans="1:3" x14ac:dyDescent="0.25">
      <c r="A1317" t="str">
        <f>"11/11/2014"</f>
        <v>11/11/2014</v>
      </c>
      <c r="B1317" t="str">
        <f>"0.7747"</f>
        <v>0.7747</v>
      </c>
      <c r="C1317" t="str">
        <f>"0.7723"</f>
        <v>0.7723</v>
      </c>
    </row>
    <row r="1318" spans="1:3" x14ac:dyDescent="0.25">
      <c r="A1318" t="str">
        <f>"12/11/2014"</f>
        <v>12/11/2014</v>
      </c>
      <c r="B1318" t="str">
        <f>"0.7823"</f>
        <v>0.7823</v>
      </c>
      <c r="C1318" t="str">
        <f>"0.7799"</f>
        <v>0.7799</v>
      </c>
    </row>
    <row r="1319" spans="1:3" x14ac:dyDescent="0.25">
      <c r="A1319" t="str">
        <f>"13/11/2014"</f>
        <v>13/11/2014</v>
      </c>
      <c r="B1319" t="str">
        <f>"0.7868"</f>
        <v>0.7868</v>
      </c>
      <c r="C1319" t="str">
        <f>"0.7845"</f>
        <v>0.7845</v>
      </c>
    </row>
    <row r="1320" spans="1:3" x14ac:dyDescent="0.25">
      <c r="A1320" t="str">
        <f>"14/11/2014"</f>
        <v>14/11/2014</v>
      </c>
      <c r="B1320" t="str">
        <f>"0.785"</f>
        <v>0.785</v>
      </c>
      <c r="C1320" t="str">
        <f>"0.7827"</f>
        <v>0.7827</v>
      </c>
    </row>
    <row r="1321" spans="1:3" x14ac:dyDescent="0.25">
      <c r="A1321" t="str">
        <f>"17/11/2014"</f>
        <v>17/11/2014</v>
      </c>
      <c r="B1321" t="str">
        <f>"0.7969"</f>
        <v>0.7969</v>
      </c>
      <c r="C1321" t="str">
        <f>"0.7945"</f>
        <v>0.7945</v>
      </c>
    </row>
    <row r="1322" spans="1:3" x14ac:dyDescent="0.25">
      <c r="A1322" t="str">
        <f>"18/11/2014"</f>
        <v>18/11/2014</v>
      </c>
      <c r="B1322" t="str">
        <f>"0.7936"</f>
        <v>0.7936</v>
      </c>
      <c r="C1322" t="str">
        <f>"0.7911"</f>
        <v>0.7911</v>
      </c>
    </row>
    <row r="1323" spans="1:3" x14ac:dyDescent="0.25">
      <c r="A1323" t="str">
        <f>"19/11/2014"</f>
        <v>19/11/2014</v>
      </c>
      <c r="B1323" t="str">
        <f>"0.7869"</f>
        <v>0.7869</v>
      </c>
      <c r="C1323" t="str">
        <f>"0.7845"</f>
        <v>0.7845</v>
      </c>
    </row>
    <row r="1324" spans="1:3" x14ac:dyDescent="0.25">
      <c r="A1324" t="str">
        <f>"20/11/2014"</f>
        <v>20/11/2014</v>
      </c>
      <c r="B1324" t="str">
        <f>"0.7842"</f>
        <v>0.7842</v>
      </c>
      <c r="C1324" t="str">
        <f>"0.7819"</f>
        <v>0.7819</v>
      </c>
    </row>
    <row r="1325" spans="1:3" x14ac:dyDescent="0.25">
      <c r="A1325" t="str">
        <f>"21/11/2014"</f>
        <v>21/11/2014</v>
      </c>
      <c r="B1325" t="str">
        <f>"0.7889"</f>
        <v>0.7889</v>
      </c>
      <c r="C1325" t="str">
        <f>"0.7863"</f>
        <v>0.7863</v>
      </c>
    </row>
    <row r="1326" spans="1:3" x14ac:dyDescent="0.25">
      <c r="A1326" t="str">
        <f>"24/11/2014"</f>
        <v>24/11/2014</v>
      </c>
      <c r="B1326" t="str">
        <f>"0.7896"</f>
        <v>0.7896</v>
      </c>
      <c r="C1326" t="str">
        <f>"0.787"</f>
        <v>0.787</v>
      </c>
    </row>
    <row r="1327" spans="1:3" x14ac:dyDescent="0.25">
      <c r="A1327" t="str">
        <f>"25/11/2014"</f>
        <v>25/11/2014</v>
      </c>
      <c r="B1327" t="str">
        <f>"0.7824"</f>
        <v>0.7824</v>
      </c>
      <c r="C1327" t="str">
        <f>"0.7799"</f>
        <v>0.7799</v>
      </c>
    </row>
    <row r="1328" spans="1:3" x14ac:dyDescent="0.25">
      <c r="A1328" t="str">
        <f>"26/11/2014"</f>
        <v>26/11/2014</v>
      </c>
      <c r="B1328" t="str">
        <f>"0.7814"</f>
        <v>0.7814</v>
      </c>
      <c r="C1328" t="str">
        <f>"0.7789"</f>
        <v>0.7789</v>
      </c>
    </row>
    <row r="1329" spans="1:3" x14ac:dyDescent="0.25">
      <c r="A1329" t="str">
        <f>"27/11/2014"</f>
        <v>27/11/2014</v>
      </c>
      <c r="B1329" t="str">
        <f>"0.7908"</f>
        <v>0.7908</v>
      </c>
      <c r="C1329" t="str">
        <f>"0.7881"</f>
        <v>0.7881</v>
      </c>
    </row>
    <row r="1330" spans="1:3" x14ac:dyDescent="0.25">
      <c r="A1330" t="str">
        <f>"28/11/2014"</f>
        <v>28/11/2014</v>
      </c>
      <c r="B1330" t="str">
        <f>"0.7837"</f>
        <v>0.7837</v>
      </c>
      <c r="C1330" t="str">
        <f>"0.7811"</f>
        <v>0.7811</v>
      </c>
    </row>
    <row r="1331" spans="1:3" x14ac:dyDescent="0.25">
      <c r="A1331" t="str">
        <f>"01/12/2014"</f>
        <v>01/12/2014</v>
      </c>
      <c r="B1331" t="str">
        <f>"0.7817"</f>
        <v>0.7817</v>
      </c>
      <c r="C1331" t="str">
        <f>"0.7792"</f>
        <v>0.7792</v>
      </c>
    </row>
    <row r="1332" spans="1:3" x14ac:dyDescent="0.25">
      <c r="A1332" t="str">
        <f>"02/12/2014"</f>
        <v>02/12/2014</v>
      </c>
      <c r="B1332" t="str">
        <f>"0.7877"</f>
        <v>0.7877</v>
      </c>
      <c r="C1332" t="str">
        <f>"0.7852"</f>
        <v>0.7852</v>
      </c>
    </row>
    <row r="1333" spans="1:3" x14ac:dyDescent="0.25">
      <c r="A1333" t="str">
        <f>"04/12/2014"</f>
        <v>04/12/2014</v>
      </c>
      <c r="B1333" t="str">
        <f>"0.7744"</f>
        <v>0.7744</v>
      </c>
      <c r="C1333" t="str">
        <f>"0.772"</f>
        <v>0.772</v>
      </c>
    </row>
    <row r="1334" spans="1:3" x14ac:dyDescent="0.25">
      <c r="A1334" t="str">
        <f>"05/12/2014"</f>
        <v>05/12/2014</v>
      </c>
      <c r="B1334" t="str">
        <f>"0.7762"</f>
        <v>0.7762</v>
      </c>
      <c r="C1334" t="str">
        <f>"0.7738"</f>
        <v>0.7738</v>
      </c>
    </row>
    <row r="1335" spans="1:3" x14ac:dyDescent="0.25">
      <c r="A1335" t="str">
        <f>"08/12/2014"</f>
        <v>08/12/2014</v>
      </c>
      <c r="B1335" t="str">
        <f>"0.7646"</f>
        <v>0.7646</v>
      </c>
      <c r="C1335" t="str">
        <f>"0.7621"</f>
        <v>0.7621</v>
      </c>
    </row>
    <row r="1336" spans="1:3" x14ac:dyDescent="0.25">
      <c r="A1336" t="str">
        <f>"09/12/2014"</f>
        <v>09/12/2014</v>
      </c>
      <c r="B1336" t="str">
        <f>"0.763"</f>
        <v>0.763</v>
      </c>
      <c r="C1336" t="str">
        <f>"0.7606"</f>
        <v>0.7606</v>
      </c>
    </row>
    <row r="1337" spans="1:3" x14ac:dyDescent="0.25">
      <c r="A1337" t="str">
        <f>"10/12/2014"</f>
        <v>10/12/2014</v>
      </c>
      <c r="B1337" t="str">
        <f>"0.7697"</f>
        <v>0.7697</v>
      </c>
      <c r="C1337" t="str">
        <f>"0.7673"</f>
        <v>0.7673</v>
      </c>
    </row>
    <row r="1338" spans="1:3" x14ac:dyDescent="0.25">
      <c r="A1338" t="str">
        <f>"11/12/2014"</f>
        <v>11/12/2014</v>
      </c>
      <c r="B1338" t="str">
        <f>"0.7808"</f>
        <v>0.7808</v>
      </c>
      <c r="C1338" t="str">
        <f>"0.7783"</f>
        <v>0.7783</v>
      </c>
    </row>
    <row r="1339" spans="1:3" x14ac:dyDescent="0.25">
      <c r="A1339" t="str">
        <f>"12/12/2014"</f>
        <v>12/12/2014</v>
      </c>
      <c r="B1339" t="str">
        <f>"0.7797"</f>
        <v>0.7797</v>
      </c>
      <c r="C1339" t="str">
        <f>"0.7772"</f>
        <v>0.7772</v>
      </c>
    </row>
    <row r="1340" spans="1:3" x14ac:dyDescent="0.25">
      <c r="A1340" t="str">
        <f>"15/12/2014"</f>
        <v>15/12/2014</v>
      </c>
      <c r="B1340" t="str">
        <f>"0.7745"</f>
        <v>0.7745</v>
      </c>
      <c r="C1340" t="str">
        <f>"0.7719"</f>
        <v>0.7719</v>
      </c>
    </row>
    <row r="1341" spans="1:3" x14ac:dyDescent="0.25">
      <c r="A1341" t="str">
        <f>"16/12/2014"</f>
        <v>16/12/2014</v>
      </c>
      <c r="B1341" t="str">
        <f>"0.7751"</f>
        <v>0.7751</v>
      </c>
      <c r="C1341" t="str">
        <f>"0.7726"</f>
        <v>0.7726</v>
      </c>
    </row>
    <row r="1342" spans="1:3" x14ac:dyDescent="0.25">
      <c r="A1342" t="str">
        <f>"17/12/2014"</f>
        <v>17/12/2014</v>
      </c>
      <c r="B1342" t="str">
        <f>"0.7733"</f>
        <v>0.7733</v>
      </c>
      <c r="C1342" t="str">
        <f>"0.7708"</f>
        <v>0.7708</v>
      </c>
    </row>
    <row r="1343" spans="1:3" x14ac:dyDescent="0.25">
      <c r="A1343" t="str">
        <f>"18/12/2014"</f>
        <v>18/12/2014</v>
      </c>
      <c r="B1343" t="str">
        <f>"0.7711"</f>
        <v>0.7711</v>
      </c>
      <c r="C1343" t="str">
        <f>"0.7687"</f>
        <v>0.7687</v>
      </c>
    </row>
    <row r="1344" spans="1:3" x14ac:dyDescent="0.25">
      <c r="A1344" t="str">
        <f>"19/12/2014"</f>
        <v>19/12/2014</v>
      </c>
      <c r="B1344" t="str">
        <f>"0.7782"</f>
        <v>0.7782</v>
      </c>
      <c r="C1344" t="str">
        <f>"0.7758"</f>
        <v>0.7758</v>
      </c>
    </row>
    <row r="1345" spans="1:3" x14ac:dyDescent="0.25">
      <c r="A1345" t="str">
        <f>"22/12/2014"</f>
        <v>22/12/2014</v>
      </c>
      <c r="B1345" t="str">
        <f>"0.7748"</f>
        <v>0.7748</v>
      </c>
      <c r="C1345" t="str">
        <f>"0.7722"</f>
        <v>0.7722</v>
      </c>
    </row>
    <row r="1346" spans="1:3" x14ac:dyDescent="0.25">
      <c r="A1346" t="str">
        <f>"23/12/2014"</f>
        <v>23/12/2014</v>
      </c>
      <c r="B1346" t="str">
        <f>"0.7738"</f>
        <v>0.7738</v>
      </c>
      <c r="C1346" t="str">
        <f>"0.7714"</f>
        <v>0.7714</v>
      </c>
    </row>
    <row r="1347" spans="1:3" x14ac:dyDescent="0.25">
      <c r="A1347" t="str">
        <f>"24/12/2014"</f>
        <v>24/12/2014</v>
      </c>
      <c r="B1347" t="str">
        <f>"0.7725"</f>
        <v>0.7725</v>
      </c>
      <c r="C1347" t="str">
        <f>"0.7701"</f>
        <v>0.7701</v>
      </c>
    </row>
    <row r="1348" spans="1:3" x14ac:dyDescent="0.25">
      <c r="A1348" t="str">
        <f>"26/12/2014"</f>
        <v>26/12/2014</v>
      </c>
      <c r="B1348" t="str">
        <f>"0.774"</f>
        <v>0.774</v>
      </c>
      <c r="C1348" t="str">
        <f>"0.7716"</f>
        <v>0.7716</v>
      </c>
    </row>
    <row r="1349" spans="1:3" x14ac:dyDescent="0.25">
      <c r="A1349" t="str">
        <f>"29/12/2014"</f>
        <v>29/12/2014</v>
      </c>
      <c r="B1349" t="str">
        <f>"0.7766"</f>
        <v>0.7766</v>
      </c>
      <c r="C1349" t="str">
        <f>"0.7743"</f>
        <v>0.7743</v>
      </c>
    </row>
    <row r="1350" spans="1:3" x14ac:dyDescent="0.25">
      <c r="A1350" t="str">
        <f>"30/12/2014"</f>
        <v>30/12/2014</v>
      </c>
      <c r="B1350" t="str">
        <f>"0.7778"</f>
        <v>0.7778</v>
      </c>
      <c r="C1350" t="str">
        <f>"0.7754"</f>
        <v>0.7754</v>
      </c>
    </row>
    <row r="1351" spans="1:3" x14ac:dyDescent="0.25">
      <c r="A1351" t="str">
        <f>"31/12/2014"</f>
        <v>31/12/2014</v>
      </c>
      <c r="B1351" t="str">
        <f>"0.783"</f>
        <v>0.783</v>
      </c>
      <c r="C1351" t="str">
        <f>"0.7804"</f>
        <v>0.7804</v>
      </c>
    </row>
    <row r="1352" spans="1:3" x14ac:dyDescent="0.25">
      <c r="A1352" t="str">
        <f>"01/01/2015"</f>
        <v>01/01/2015</v>
      </c>
      <c r="B1352" t="str">
        <f>"0.7784"</f>
        <v>0.7784</v>
      </c>
      <c r="C1352" t="str">
        <f>"0.7758"</f>
        <v>0.7758</v>
      </c>
    </row>
    <row r="1353" spans="1:3" x14ac:dyDescent="0.25">
      <c r="A1353" t="str">
        <f>"02/01/2015"</f>
        <v>02/01/2015</v>
      </c>
      <c r="B1353" t="str">
        <f>"0.7752"</f>
        <v>0.7752</v>
      </c>
      <c r="C1353" t="str">
        <f>"0.7726"</f>
        <v>0.7726</v>
      </c>
    </row>
    <row r="1354" spans="1:3" x14ac:dyDescent="0.25">
      <c r="A1354" t="str">
        <f>"05/01/2015"</f>
        <v>05/01/2015</v>
      </c>
      <c r="B1354" t="str">
        <f>"0.7629"</f>
        <v>0.7629</v>
      </c>
      <c r="C1354" t="str">
        <f>"0.7604"</f>
        <v>0.7604</v>
      </c>
    </row>
    <row r="1355" spans="1:3" x14ac:dyDescent="0.25">
      <c r="A1355" t="str">
        <f>"06/01/2015"</f>
        <v>06/01/2015</v>
      </c>
      <c r="B1355" t="str">
        <f>"0.7725"</f>
        <v>0.7725</v>
      </c>
      <c r="C1355" t="str">
        <f>"0.77"</f>
        <v>0.77</v>
      </c>
    </row>
    <row r="1356" spans="1:3" x14ac:dyDescent="0.25">
      <c r="A1356" t="str">
        <f>"07/01/2015"</f>
        <v>07/01/2015</v>
      </c>
      <c r="B1356" t="str">
        <f>"0.7754"</f>
        <v>0.7754</v>
      </c>
      <c r="C1356" t="str">
        <f>"0.773"</f>
        <v>0.773</v>
      </c>
    </row>
    <row r="1357" spans="1:3" x14ac:dyDescent="0.25">
      <c r="A1357" t="str">
        <f>"08/01/2015"</f>
        <v>08/01/2015</v>
      </c>
      <c r="B1357" t="str">
        <f>"0.7789"</f>
        <v>0.7789</v>
      </c>
      <c r="C1357" t="str">
        <f>"0.7764"</f>
        <v>0.7764</v>
      </c>
    </row>
    <row r="1358" spans="1:3" x14ac:dyDescent="0.25">
      <c r="A1358" t="str">
        <f>"09/01/2015"</f>
        <v>09/01/2015</v>
      </c>
      <c r="B1358" t="str">
        <f>"0.7843"</f>
        <v>0.7843</v>
      </c>
      <c r="C1358" t="str">
        <f>"0.7819"</f>
        <v>0.7819</v>
      </c>
    </row>
    <row r="1359" spans="1:3" x14ac:dyDescent="0.25">
      <c r="A1359" t="str">
        <f>"12/01/2015"</f>
        <v>12/01/2015</v>
      </c>
      <c r="B1359" t="str">
        <f>"0.785"</f>
        <v>0.785</v>
      </c>
      <c r="C1359" t="str">
        <f>"0.7824"</f>
        <v>0.7824</v>
      </c>
    </row>
    <row r="1360" spans="1:3" x14ac:dyDescent="0.25">
      <c r="A1360" t="str">
        <f>"13/01/2015"</f>
        <v>13/01/2015</v>
      </c>
      <c r="B1360" t="str">
        <f>"0.7781"</f>
        <v>0.7781</v>
      </c>
      <c r="C1360" t="str">
        <f>"0.7755"</f>
        <v>0.7755</v>
      </c>
    </row>
    <row r="1361" spans="1:3" x14ac:dyDescent="0.25">
      <c r="A1361" t="str">
        <f>"14/01/2015"</f>
        <v>14/01/2015</v>
      </c>
      <c r="B1361" t="str">
        <f>"0.7714"</f>
        <v>0.7714</v>
      </c>
      <c r="C1361" t="str">
        <f>"0.7689"</f>
        <v>0.7689</v>
      </c>
    </row>
    <row r="1362" spans="1:3" x14ac:dyDescent="0.25">
      <c r="A1362" t="str">
        <f>"15/01/2015"</f>
        <v>15/01/2015</v>
      </c>
      <c r="B1362" t="str">
        <f>"0.7731"</f>
        <v>0.7731</v>
      </c>
      <c r="C1362" t="str">
        <f>"0.7708"</f>
        <v>0.7708</v>
      </c>
    </row>
    <row r="1363" spans="1:3" x14ac:dyDescent="0.25">
      <c r="A1363" t="str">
        <f>"16/01/2015"</f>
        <v>16/01/2015</v>
      </c>
      <c r="B1363" t="str">
        <f>"0.7845"</f>
        <v>0.7845</v>
      </c>
      <c r="C1363" t="str">
        <f>"0.7819"</f>
        <v>0.7819</v>
      </c>
    </row>
    <row r="1364" spans="1:3" x14ac:dyDescent="0.25">
      <c r="A1364" t="str">
        <f>"19/01/2015"</f>
        <v>19/01/2015</v>
      </c>
      <c r="B1364" t="str">
        <f>"0.7788"</f>
        <v>0.7788</v>
      </c>
      <c r="C1364" t="str">
        <f>"0.7763"</f>
        <v>0.7763</v>
      </c>
    </row>
    <row r="1365" spans="1:3" x14ac:dyDescent="0.25">
      <c r="A1365" t="str">
        <f>"20/01/2015"</f>
        <v>20/01/2015</v>
      </c>
      <c r="B1365" t="str">
        <f>"0.7723"</f>
        <v>0.7723</v>
      </c>
      <c r="C1365" t="str">
        <f>"0.7698"</f>
        <v>0.7698</v>
      </c>
    </row>
    <row r="1366" spans="1:3" x14ac:dyDescent="0.25">
      <c r="A1366" t="str">
        <f>"21/01/2015"</f>
        <v>21/01/2015</v>
      </c>
      <c r="B1366" t="str">
        <f>"0.7658"</f>
        <v>0.7658</v>
      </c>
      <c r="C1366" t="str">
        <f>"0.7634"</f>
        <v>0.7634</v>
      </c>
    </row>
    <row r="1367" spans="1:3" x14ac:dyDescent="0.25">
      <c r="A1367" t="str">
        <f>"22/01/2015"</f>
        <v>22/01/2015</v>
      </c>
      <c r="B1367" t="str">
        <f>"0.7518"</f>
        <v>0.7518</v>
      </c>
      <c r="C1367" t="str">
        <f>"0.7495"</f>
        <v>0.7495</v>
      </c>
    </row>
    <row r="1368" spans="1:3" x14ac:dyDescent="0.25">
      <c r="A1368" t="str">
        <f>"23/01/2015"</f>
        <v>23/01/2015</v>
      </c>
      <c r="B1368" t="str">
        <f>"0.7512"</f>
        <v>0.7512</v>
      </c>
      <c r="C1368" t="str">
        <f>"0.7489"</f>
        <v>0.7489</v>
      </c>
    </row>
    <row r="1369" spans="1:3" x14ac:dyDescent="0.25">
      <c r="A1369" t="str">
        <f>"27/01/2015"</f>
        <v>27/01/2015</v>
      </c>
      <c r="B1369" t="str">
        <f>"0.7436"</f>
        <v>0.7436</v>
      </c>
      <c r="C1369" t="str">
        <f>"0.7414"</f>
        <v>0.7414</v>
      </c>
    </row>
    <row r="1370" spans="1:3" x14ac:dyDescent="0.25">
      <c r="A1370" t="str">
        <f>"28/01/2015"</f>
        <v>28/01/2015</v>
      </c>
      <c r="B1370" t="str">
        <f>"0.7446"</f>
        <v>0.7446</v>
      </c>
      <c r="C1370" t="str">
        <f>"0.7425"</f>
        <v>0.7425</v>
      </c>
    </row>
    <row r="1371" spans="1:3" x14ac:dyDescent="0.25">
      <c r="A1371" t="str">
        <f>"29/01/2015"</f>
        <v>29/01/2015</v>
      </c>
      <c r="B1371" t="str">
        <f>"0.7324"</f>
        <v>0.7324</v>
      </c>
      <c r="C1371" t="str">
        <f>"0.7303"</f>
        <v>0.7303</v>
      </c>
    </row>
    <row r="1372" spans="1:3" x14ac:dyDescent="0.25">
      <c r="A1372" t="str">
        <f>"30/01/2015"</f>
        <v>30/01/2015</v>
      </c>
      <c r="B1372" t="str">
        <f>"0.7285"</f>
        <v>0.7285</v>
      </c>
      <c r="C1372" t="str">
        <f>"0.7264"</f>
        <v>0.7264</v>
      </c>
    </row>
    <row r="1373" spans="1:3" x14ac:dyDescent="0.25">
      <c r="A1373" t="str">
        <f>"02/02/2015"</f>
        <v>02/02/2015</v>
      </c>
      <c r="B1373" t="str">
        <f>"0.7269"</f>
        <v>0.7269</v>
      </c>
      <c r="C1373" t="str">
        <f>"0.7248"</f>
        <v>0.7248</v>
      </c>
    </row>
    <row r="1374" spans="1:3" x14ac:dyDescent="0.25">
      <c r="A1374" t="str">
        <f>"03/02/2015"</f>
        <v>03/02/2015</v>
      </c>
      <c r="B1374" t="str">
        <f>"0.7203"</f>
        <v>0.7203</v>
      </c>
      <c r="C1374" t="str">
        <f>"0.7183"</f>
        <v>0.7183</v>
      </c>
    </row>
    <row r="1375" spans="1:3" x14ac:dyDescent="0.25">
      <c r="A1375" t="str">
        <f>"04/02/2015"</f>
        <v>04/02/2015</v>
      </c>
      <c r="B1375" t="str">
        <f>"0.741"</f>
        <v>0.741</v>
      </c>
      <c r="C1375" t="str">
        <f>"0.739"</f>
        <v>0.739</v>
      </c>
    </row>
    <row r="1376" spans="1:3" x14ac:dyDescent="0.25">
      <c r="A1376" t="str">
        <f>"05/02/2015"</f>
        <v>05/02/2015</v>
      </c>
      <c r="B1376" t="str">
        <f>"0.7377"</f>
        <v>0.7377</v>
      </c>
      <c r="C1376" t="str">
        <f>"0.7356"</f>
        <v>0.7356</v>
      </c>
    </row>
    <row r="1377" spans="1:3" x14ac:dyDescent="0.25">
      <c r="A1377" t="str">
        <f>"06/02/2015"</f>
        <v>06/02/2015</v>
      </c>
      <c r="B1377" t="str">
        <f>"0.7425"</f>
        <v>0.7425</v>
      </c>
      <c r="C1377" t="str">
        <f>"0.7405"</f>
        <v>0.7405</v>
      </c>
    </row>
    <row r="1378" spans="1:3" x14ac:dyDescent="0.25">
      <c r="A1378" t="str">
        <f>"09/02/2015"</f>
        <v>09/02/2015</v>
      </c>
      <c r="B1378" t="str">
        <f>"0.737"</f>
        <v>0.737</v>
      </c>
      <c r="C1378" t="str">
        <f>"0.735"</f>
        <v>0.735</v>
      </c>
    </row>
    <row r="1379" spans="1:3" x14ac:dyDescent="0.25">
      <c r="A1379" t="str">
        <f>"10/02/2015"</f>
        <v>10/02/2015</v>
      </c>
      <c r="B1379" t="str">
        <f>"0.7432"</f>
        <v>0.7432</v>
      </c>
      <c r="C1379" t="str">
        <f>"0.7411"</f>
        <v>0.7411</v>
      </c>
    </row>
    <row r="1380" spans="1:3" x14ac:dyDescent="0.25">
      <c r="A1380" t="str">
        <f>"11/02/2015"</f>
        <v>11/02/2015</v>
      </c>
      <c r="B1380" t="str">
        <f>"0.7417"</f>
        <v>0.7417</v>
      </c>
      <c r="C1380" t="str">
        <f>"0.7397"</f>
        <v>0.7397</v>
      </c>
    </row>
    <row r="1381" spans="1:3" x14ac:dyDescent="0.25">
      <c r="A1381" t="str">
        <f>"12/02/2015"</f>
        <v>12/02/2015</v>
      </c>
      <c r="B1381" t="str">
        <f>"0.7336"</f>
        <v>0.7336</v>
      </c>
      <c r="C1381" t="str">
        <f>"0.7316"</f>
        <v>0.7316</v>
      </c>
    </row>
    <row r="1382" spans="1:3" x14ac:dyDescent="0.25">
      <c r="A1382" t="str">
        <f>"13/02/2015"</f>
        <v>13/02/2015</v>
      </c>
      <c r="B1382" t="str">
        <f>"0.7448"</f>
        <v>0.7448</v>
      </c>
      <c r="C1382" t="str">
        <f>"0.7427"</f>
        <v>0.7427</v>
      </c>
    </row>
    <row r="1383" spans="1:3" x14ac:dyDescent="0.25">
      <c r="A1383" t="str">
        <f>"16/02/2015"</f>
        <v>16/02/2015</v>
      </c>
      <c r="B1383" t="str">
        <f>"0.7508"</f>
        <v>0.7508</v>
      </c>
      <c r="C1383" t="str">
        <f>"0.7487"</f>
        <v>0.7487</v>
      </c>
    </row>
    <row r="1384" spans="1:3" x14ac:dyDescent="0.25">
      <c r="A1384" t="str">
        <f>"18/02/2015"</f>
        <v>18/02/2015</v>
      </c>
      <c r="B1384" t="str">
        <f>"0.7535"</f>
        <v>0.7535</v>
      </c>
      <c r="C1384" t="str">
        <f>"0.7514"</f>
        <v>0.7514</v>
      </c>
    </row>
    <row r="1385" spans="1:3" x14ac:dyDescent="0.25">
      <c r="A1385" t="str">
        <f>"20/02/2015"</f>
        <v>20/02/2015</v>
      </c>
      <c r="B1385" t="str">
        <f>"0.7517"</f>
        <v>0.7517</v>
      </c>
      <c r="C1385" t="str">
        <f>"0.7496"</f>
        <v>0.7496</v>
      </c>
    </row>
    <row r="1386" spans="1:3" x14ac:dyDescent="0.25">
      <c r="A1386" t="str">
        <f>"23/02/2015"</f>
        <v>23/02/2015</v>
      </c>
      <c r="B1386" t="str">
        <f>"0.752"</f>
        <v>0.752</v>
      </c>
      <c r="C1386" t="str">
        <f>"0.7499"</f>
        <v>0.7499</v>
      </c>
    </row>
    <row r="1387" spans="1:3" x14ac:dyDescent="0.25">
      <c r="A1387" t="str">
        <f>"24/02/2015"</f>
        <v>24/02/2015</v>
      </c>
      <c r="B1387" t="str">
        <f>"0.7489"</f>
        <v>0.7489</v>
      </c>
      <c r="C1387" t="str">
        <f>"0.7469"</f>
        <v>0.7469</v>
      </c>
    </row>
    <row r="1388" spans="1:3" x14ac:dyDescent="0.25">
      <c r="A1388" t="str">
        <f>"25/02/2015"</f>
        <v>25/02/2015</v>
      </c>
      <c r="B1388" t="str">
        <f>"0.7552"</f>
        <v>0.7552</v>
      </c>
      <c r="C1388" t="str">
        <f>"0.7528"</f>
        <v>0.7528</v>
      </c>
    </row>
    <row r="1389" spans="1:3" x14ac:dyDescent="0.25">
      <c r="A1389" t="str">
        <f>"26/02/2015"</f>
        <v>26/02/2015</v>
      </c>
      <c r="B1389" t="str">
        <f>"0.7531"</f>
        <v>0.7531</v>
      </c>
      <c r="C1389" t="str">
        <f>"0.7508"</f>
        <v>0.7508</v>
      </c>
    </row>
    <row r="1390" spans="1:3" x14ac:dyDescent="0.25">
      <c r="A1390" t="str">
        <f>"27/02/2015"</f>
        <v>27/02/2015</v>
      </c>
      <c r="B1390" t="str">
        <f>"0.7554"</f>
        <v>0.7554</v>
      </c>
      <c r="C1390" t="str">
        <f>"0.7528"</f>
        <v>0.7528</v>
      </c>
    </row>
    <row r="1391" spans="1:3" x14ac:dyDescent="0.25">
      <c r="A1391" t="str">
        <f>"02/03/2015"</f>
        <v>02/03/2015</v>
      </c>
      <c r="B1391" t="str">
        <f>"0.7506"</f>
        <v>0.7506</v>
      </c>
      <c r="C1391" t="str">
        <f>"0.7481"</f>
        <v>0.7481</v>
      </c>
    </row>
    <row r="1392" spans="1:3" x14ac:dyDescent="0.25">
      <c r="A1392" t="str">
        <f>"03/03/2015"</f>
        <v>03/03/2015</v>
      </c>
      <c r="B1392" t="str">
        <f>"0.7545"</f>
        <v>0.7545</v>
      </c>
      <c r="C1392" t="str">
        <f>"0.7521"</f>
        <v>0.7521</v>
      </c>
    </row>
    <row r="1393" spans="1:3" x14ac:dyDescent="0.25">
      <c r="A1393" t="str">
        <f>"04/03/2015"</f>
        <v>04/03/2015</v>
      </c>
      <c r="B1393" t="str">
        <f>"0.7585"</f>
        <v>0.7585</v>
      </c>
      <c r="C1393" t="str">
        <f>"0.7562"</f>
        <v>0.7562</v>
      </c>
    </row>
    <row r="1394" spans="1:3" x14ac:dyDescent="0.25">
      <c r="A1394" t="str">
        <f>"05/03/2015"</f>
        <v>05/03/2015</v>
      </c>
      <c r="B1394" t="str">
        <f>"0.7475"</f>
        <v>0.7475</v>
      </c>
      <c r="C1394" t="str">
        <f>"0.7452"</f>
        <v>0.7452</v>
      </c>
    </row>
    <row r="1395" spans="1:3" x14ac:dyDescent="0.25">
      <c r="A1395" t="str">
        <f>"09/03/2015"</f>
        <v>09/03/2015</v>
      </c>
      <c r="B1395" t="str">
        <f>"0.7352"</f>
        <v>0.7352</v>
      </c>
      <c r="C1395" t="str">
        <f>"0.7328"</f>
        <v>0.7328</v>
      </c>
    </row>
    <row r="1396" spans="1:3" x14ac:dyDescent="0.25">
      <c r="A1396" t="str">
        <f>"10/03/2015"</f>
        <v>10/03/2015</v>
      </c>
      <c r="B1396" t="str">
        <f>"0.7272"</f>
        <v>0.7272</v>
      </c>
      <c r="C1396" t="str">
        <f>"0.7249"</f>
        <v>0.7249</v>
      </c>
    </row>
    <row r="1397" spans="1:3" x14ac:dyDescent="0.25">
      <c r="A1397" t="str">
        <f>"11/03/2015"</f>
        <v>11/03/2015</v>
      </c>
      <c r="B1397" t="str">
        <f>"0.729"</f>
        <v>0.729</v>
      </c>
      <c r="C1397" t="str">
        <f>"0.7268"</f>
        <v>0.7268</v>
      </c>
    </row>
    <row r="1398" spans="1:3" x14ac:dyDescent="0.25">
      <c r="A1398" t="str">
        <f>"12/03/2015"</f>
        <v>12/03/2015</v>
      </c>
      <c r="B1398" t="str">
        <f>"0.7384"</f>
        <v>0.7384</v>
      </c>
      <c r="C1398" t="str">
        <f>"0.7362"</f>
        <v>0.7362</v>
      </c>
    </row>
    <row r="1399" spans="1:3" x14ac:dyDescent="0.25">
      <c r="A1399" t="str">
        <f>"13/03/2015"</f>
        <v>13/03/2015</v>
      </c>
      <c r="B1399" t="str">
        <f>"0.7313"</f>
        <v>0.7313</v>
      </c>
      <c r="C1399" t="str">
        <f>"0.7291"</f>
        <v>0.7291</v>
      </c>
    </row>
    <row r="1400" spans="1:3" x14ac:dyDescent="0.25">
      <c r="A1400" t="str">
        <f>"16/03/2015"</f>
        <v>16/03/2015</v>
      </c>
      <c r="B1400" t="str">
        <f>"0.7365"</f>
        <v>0.7365</v>
      </c>
      <c r="C1400" t="str">
        <f>"0.7341"</f>
        <v>0.7341</v>
      </c>
    </row>
    <row r="1401" spans="1:3" x14ac:dyDescent="0.25">
      <c r="A1401" t="str">
        <f>"17/03/2015"</f>
        <v>17/03/2015</v>
      </c>
      <c r="B1401" t="str">
        <f>"0.7304"</f>
        <v>0.7304</v>
      </c>
      <c r="C1401" t="str">
        <f>"0.7281"</f>
        <v>0.7281</v>
      </c>
    </row>
    <row r="1402" spans="1:3" x14ac:dyDescent="0.25">
      <c r="A1402" t="str">
        <f>"18/03/2015"</f>
        <v>18/03/2015</v>
      </c>
      <c r="B1402" t="str">
        <f>"0.7481"</f>
        <v>0.7481</v>
      </c>
      <c r="C1402" t="str">
        <f>"0.7459"</f>
        <v>0.7459</v>
      </c>
    </row>
    <row r="1403" spans="1:3" x14ac:dyDescent="0.25">
      <c r="A1403" t="str">
        <f>"19/03/2015"</f>
        <v>19/03/2015</v>
      </c>
      <c r="B1403" t="str">
        <f>"0.741"</f>
        <v>0.741</v>
      </c>
      <c r="C1403" t="str">
        <f>"0.7388"</f>
        <v>0.7388</v>
      </c>
    </row>
    <row r="1404" spans="1:3" x14ac:dyDescent="0.25">
      <c r="A1404" t="str">
        <f>"20/03/2015"</f>
        <v>20/03/2015</v>
      </c>
      <c r="B1404" t="str">
        <f>"0.7559"</f>
        <v>0.7559</v>
      </c>
      <c r="C1404" t="str">
        <f>"0.7537"</f>
        <v>0.7537</v>
      </c>
    </row>
    <row r="1405" spans="1:3" x14ac:dyDescent="0.25">
      <c r="A1405" t="str">
        <f>"23/03/2015"</f>
        <v>23/03/2015</v>
      </c>
      <c r="B1405" t="str">
        <f>"0.7652"</f>
        <v>0.7652</v>
      </c>
      <c r="C1405" t="str">
        <f>"0.7627"</f>
        <v>0.7627</v>
      </c>
    </row>
    <row r="1406" spans="1:3" x14ac:dyDescent="0.25">
      <c r="A1406" t="str">
        <f>"24/03/2015"</f>
        <v>24/03/2015</v>
      </c>
      <c r="B1406" t="str">
        <f>"0.7651"</f>
        <v>0.7651</v>
      </c>
      <c r="C1406" t="str">
        <f>"0.7626"</f>
        <v>0.7626</v>
      </c>
    </row>
    <row r="1407" spans="1:3" x14ac:dyDescent="0.25">
      <c r="A1407" t="str">
        <f>"25/03/2015"</f>
        <v>25/03/2015</v>
      </c>
      <c r="B1407" t="str">
        <f>"0.7604"</f>
        <v>0.7604</v>
      </c>
      <c r="C1407" t="str">
        <f>"0.758"</f>
        <v>0.758</v>
      </c>
    </row>
    <row r="1408" spans="1:3" x14ac:dyDescent="0.25">
      <c r="A1408" t="str">
        <f>"26/03/2015"</f>
        <v>26/03/2015</v>
      </c>
      <c r="B1408" t="str">
        <f>"0.7594"</f>
        <v>0.7594</v>
      </c>
      <c r="C1408" t="str">
        <f>"0.7571"</f>
        <v>0.7571</v>
      </c>
    </row>
    <row r="1409" spans="1:3" x14ac:dyDescent="0.25">
      <c r="A1409" t="str">
        <f>"27/03/2015"</f>
        <v>27/03/2015</v>
      </c>
      <c r="B1409" t="str">
        <f>"0.7561"</f>
        <v>0.7561</v>
      </c>
      <c r="C1409" t="str">
        <f>"0.7539"</f>
        <v>0.7539</v>
      </c>
    </row>
    <row r="1410" spans="1:3" x14ac:dyDescent="0.25">
      <c r="A1410" t="str">
        <f>"30/03/2015"</f>
        <v>30/03/2015</v>
      </c>
      <c r="B1410" t="str">
        <f>"0.7496"</f>
        <v>0.7496</v>
      </c>
      <c r="C1410" t="str">
        <f>"0.7474"</f>
        <v>0.7474</v>
      </c>
    </row>
    <row r="1411" spans="1:3" x14ac:dyDescent="0.25">
      <c r="A1411" t="str">
        <f>"31/03/2015"</f>
        <v>31/03/2015</v>
      </c>
      <c r="B1411" t="str">
        <f>"0.7465"</f>
        <v>0.7465</v>
      </c>
      <c r="C1411" t="str">
        <f>"0.7442"</f>
        <v>0.7442</v>
      </c>
    </row>
    <row r="1412" spans="1:3" x14ac:dyDescent="0.25">
      <c r="A1412" t="str">
        <f>"06/04/2015"</f>
        <v>06/04/2015</v>
      </c>
      <c r="B1412" t="str">
        <f>"0.7539"</f>
        <v>0.7539</v>
      </c>
      <c r="C1412" t="str">
        <f>"0.7517"</f>
        <v>0.7517</v>
      </c>
    </row>
    <row r="1413" spans="1:3" x14ac:dyDescent="0.25">
      <c r="A1413" t="str">
        <f>"07/04/2015"</f>
        <v>07/04/2015</v>
      </c>
      <c r="B1413" t="str">
        <f>"0.7491"</f>
        <v>0.7491</v>
      </c>
      <c r="C1413" t="str">
        <f>"0.7467"</f>
        <v>0.7467</v>
      </c>
    </row>
    <row r="1414" spans="1:3" x14ac:dyDescent="0.25">
      <c r="A1414" t="str">
        <f>"08/04/2015"</f>
        <v>08/04/2015</v>
      </c>
      <c r="B1414" t="str">
        <f>"0.7549"</f>
        <v>0.7549</v>
      </c>
      <c r="C1414" t="str">
        <f>"0.7526"</f>
        <v>0.7526</v>
      </c>
    </row>
    <row r="1415" spans="1:3" x14ac:dyDescent="0.25">
      <c r="A1415" t="str">
        <f>"09/04/2015"</f>
        <v>09/04/2015</v>
      </c>
      <c r="B1415" t="str">
        <f>"0.7564"</f>
        <v>0.7564</v>
      </c>
      <c r="C1415" t="str">
        <f>"0.7542"</f>
        <v>0.7542</v>
      </c>
    </row>
    <row r="1416" spans="1:3" x14ac:dyDescent="0.25">
      <c r="A1416" t="str">
        <f>"10/04/2015"</f>
        <v>10/04/2015</v>
      </c>
      <c r="B1416" t="str">
        <f>"0.7523"</f>
        <v>0.7523</v>
      </c>
      <c r="C1416" t="str">
        <f>"0.7501"</f>
        <v>0.7501</v>
      </c>
    </row>
    <row r="1417" spans="1:3" x14ac:dyDescent="0.25">
      <c r="A1417" t="str">
        <f>"13/04/2015"</f>
        <v>13/04/2015</v>
      </c>
      <c r="B1417" t="str">
        <f>"0.7452"</f>
        <v>0.7452</v>
      </c>
      <c r="C1417" t="str">
        <f>"0.743"</f>
        <v>0.743</v>
      </c>
    </row>
    <row r="1418" spans="1:3" x14ac:dyDescent="0.25">
      <c r="A1418" t="str">
        <f>"15/04/2015"</f>
        <v>15/04/2015</v>
      </c>
      <c r="B1418" t="str">
        <f>"0.7585"</f>
        <v>0.7585</v>
      </c>
      <c r="C1418" t="str">
        <f>"0.7562"</f>
        <v>0.7562</v>
      </c>
    </row>
    <row r="1419" spans="1:3" x14ac:dyDescent="0.25">
      <c r="A1419" t="str">
        <f>"16/04/2015"</f>
        <v>16/04/2015</v>
      </c>
      <c r="B1419" t="str">
        <f>"0.7665"</f>
        <v>0.7665</v>
      </c>
      <c r="C1419" t="str">
        <f>"0.7642"</f>
        <v>0.7642</v>
      </c>
    </row>
    <row r="1420" spans="1:3" x14ac:dyDescent="0.25">
      <c r="A1420" t="str">
        <f>"17/04/2015"</f>
        <v>17/04/2015</v>
      </c>
      <c r="B1420" t="str">
        <f>"0.7657"</f>
        <v>0.7657</v>
      </c>
      <c r="C1420" t="str">
        <f>"0.7634"</f>
        <v>0.7634</v>
      </c>
    </row>
    <row r="1421" spans="1:3" x14ac:dyDescent="0.25">
      <c r="A1421" t="str">
        <f>"20/04/2015"</f>
        <v>20/04/2015</v>
      </c>
      <c r="B1421" t="str">
        <f>"0.7657"</f>
        <v>0.7657</v>
      </c>
      <c r="C1421" t="str">
        <f>"0.7634"</f>
        <v>0.7634</v>
      </c>
    </row>
    <row r="1422" spans="1:3" x14ac:dyDescent="0.25">
      <c r="A1422" t="str">
        <f>"21/04/2015"</f>
        <v>21/04/2015</v>
      </c>
      <c r="B1422" t="str">
        <f>"0.7667"</f>
        <v>0.7667</v>
      </c>
      <c r="C1422" t="str">
        <f>"0.7642"</f>
        <v>0.7642</v>
      </c>
    </row>
    <row r="1423" spans="1:3" x14ac:dyDescent="0.25">
      <c r="A1423" t="str">
        <f>"22/04/2015"</f>
        <v>22/04/2015</v>
      </c>
      <c r="B1423" t="str">
        <f>"0.7663"</f>
        <v>0.7663</v>
      </c>
      <c r="C1423" t="str">
        <f>"0.7639"</f>
        <v>0.7639</v>
      </c>
    </row>
    <row r="1424" spans="1:3" x14ac:dyDescent="0.25">
      <c r="A1424" t="str">
        <f>"23/04/2015"</f>
        <v>23/04/2015</v>
      </c>
      <c r="B1424" t="str">
        <f>"0.7591"</f>
        <v>0.7591</v>
      </c>
      <c r="C1424" t="str">
        <f>"0.7569"</f>
        <v>0.7569</v>
      </c>
    </row>
    <row r="1425" spans="1:3" x14ac:dyDescent="0.25">
      <c r="A1425" t="str">
        <f>"24/04/2015"</f>
        <v>24/04/2015</v>
      </c>
      <c r="B1425" t="str">
        <f>"0.7583"</f>
        <v>0.7583</v>
      </c>
      <c r="C1425" t="str">
        <f>"0.7561"</f>
        <v>0.7561</v>
      </c>
    </row>
    <row r="1426" spans="1:3" x14ac:dyDescent="0.25">
      <c r="A1426" t="str">
        <f>"27/04/2015"</f>
        <v>27/04/2015</v>
      </c>
      <c r="B1426" t="str">
        <f>"0.764"</f>
        <v>0.764</v>
      </c>
      <c r="C1426" t="str">
        <f>"0.7618"</f>
        <v>0.7618</v>
      </c>
    </row>
    <row r="1427" spans="1:3" x14ac:dyDescent="0.25">
      <c r="A1427" t="str">
        <f>"28/04/2015"</f>
        <v>28/04/2015</v>
      </c>
      <c r="B1427" t="str">
        <f>"0.7711"</f>
        <v>0.7711</v>
      </c>
      <c r="C1427" t="str">
        <f>"0.7689"</f>
        <v>0.7689</v>
      </c>
    </row>
    <row r="1428" spans="1:3" x14ac:dyDescent="0.25">
      <c r="A1428" t="str">
        <f>"29/04/2015"</f>
        <v>29/04/2015</v>
      </c>
      <c r="B1428" t="str">
        <f>"0.7665"</f>
        <v>0.7665</v>
      </c>
      <c r="C1428" t="str">
        <f>"0.7641"</f>
        <v>0.7641</v>
      </c>
    </row>
    <row r="1429" spans="1:3" x14ac:dyDescent="0.25">
      <c r="A1429" t="str">
        <f>"30/04/2015"</f>
        <v>30/04/2015</v>
      </c>
      <c r="B1429" t="str">
        <f>"0.7614"</f>
        <v>0.7614</v>
      </c>
      <c r="C1429" t="str">
        <f>"0.7591"</f>
        <v>0.7591</v>
      </c>
    </row>
    <row r="1430" spans="1:3" x14ac:dyDescent="0.25">
      <c r="A1430" t="str">
        <f>"05/05/2015"</f>
        <v>05/05/2015</v>
      </c>
      <c r="B1430" t="str">
        <f>"0.7556"</f>
        <v>0.7556</v>
      </c>
      <c r="C1430" t="str">
        <f>"0.7532"</f>
        <v>0.7532</v>
      </c>
    </row>
    <row r="1431" spans="1:3" x14ac:dyDescent="0.25">
      <c r="A1431" t="str">
        <f>"06/05/2015"</f>
        <v>06/05/2015</v>
      </c>
      <c r="B1431" t="str">
        <f>"0.7482"</f>
        <v>0.7482</v>
      </c>
      <c r="C1431" t="str">
        <f>"0.7459"</f>
        <v>0.7459</v>
      </c>
    </row>
    <row r="1432" spans="1:3" x14ac:dyDescent="0.25">
      <c r="A1432" t="str">
        <f>"07/05/2015"</f>
        <v>07/05/2015</v>
      </c>
      <c r="B1432" t="str">
        <f>"0.7446"</f>
        <v>0.7446</v>
      </c>
      <c r="C1432" t="str">
        <f>"0.7423"</f>
        <v>0.7423</v>
      </c>
    </row>
    <row r="1433" spans="1:3" x14ac:dyDescent="0.25">
      <c r="A1433" t="str">
        <f>"08/05/2015"</f>
        <v>08/05/2015</v>
      </c>
      <c r="B1433" t="str">
        <f>"0.7479"</f>
        <v>0.7479</v>
      </c>
      <c r="C1433" t="str">
        <f>"0.7457"</f>
        <v>0.7457</v>
      </c>
    </row>
    <row r="1434" spans="1:3" x14ac:dyDescent="0.25">
      <c r="A1434" t="str">
        <f>"11/05/2015"</f>
        <v>11/05/2015</v>
      </c>
      <c r="B1434" t="str">
        <f>"0.7332"</f>
        <v>0.7332</v>
      </c>
      <c r="C1434" t="str">
        <f>"0.7308"</f>
        <v>0.7308</v>
      </c>
    </row>
    <row r="1435" spans="1:3" x14ac:dyDescent="0.25">
      <c r="A1435" t="str">
        <f>"12/05/2015"</f>
        <v>12/05/2015</v>
      </c>
      <c r="B1435" t="str">
        <f>"0.7359"</f>
        <v>0.7359</v>
      </c>
      <c r="C1435" t="str">
        <f>"0.7336"</f>
        <v>0.7336</v>
      </c>
    </row>
    <row r="1436" spans="1:3" x14ac:dyDescent="0.25">
      <c r="A1436" t="str">
        <f>"13/05/2015"</f>
        <v>13/05/2015</v>
      </c>
      <c r="B1436" t="str">
        <f>"0.7481"</f>
        <v>0.7481</v>
      </c>
      <c r="C1436" t="str">
        <f>"0.7459"</f>
        <v>0.7459</v>
      </c>
    </row>
    <row r="1437" spans="1:3" x14ac:dyDescent="0.25">
      <c r="A1437" t="str">
        <f>"14/05/2015"</f>
        <v>14/05/2015</v>
      </c>
      <c r="B1437" t="str">
        <f>"0.7495"</f>
        <v>0.7495</v>
      </c>
      <c r="C1437" t="str">
        <f>"0.7473"</f>
        <v>0.7473</v>
      </c>
    </row>
    <row r="1438" spans="1:3" x14ac:dyDescent="0.25">
      <c r="A1438" t="str">
        <f>"15/05/2015"</f>
        <v>15/05/2015</v>
      </c>
      <c r="B1438" t="str">
        <f>"0.7469"</f>
        <v>0.7469</v>
      </c>
      <c r="C1438" t="str">
        <f>"0.7447"</f>
        <v>0.7447</v>
      </c>
    </row>
    <row r="1439" spans="1:3" x14ac:dyDescent="0.25">
      <c r="A1439" t="str">
        <f>"18/05/2015"</f>
        <v>18/05/2015</v>
      </c>
      <c r="B1439" t="str">
        <f>"0.7386"</f>
        <v>0.7386</v>
      </c>
      <c r="C1439" t="str">
        <f>"0.7362"</f>
        <v>0.7362</v>
      </c>
    </row>
    <row r="1440" spans="1:3" x14ac:dyDescent="0.25">
      <c r="A1440" t="str">
        <f>"19/05/2015"</f>
        <v>19/05/2015</v>
      </c>
      <c r="B1440" t="str">
        <f>"0.7342"</f>
        <v>0.7342</v>
      </c>
      <c r="C1440" t="str">
        <f>"0.7319"</f>
        <v>0.7319</v>
      </c>
    </row>
    <row r="1441" spans="1:3" x14ac:dyDescent="0.25">
      <c r="A1441" t="str">
        <f>"20/05/2015"</f>
        <v>20/05/2015</v>
      </c>
      <c r="B1441" t="str">
        <f>"0.7304"</f>
        <v>0.7304</v>
      </c>
      <c r="C1441" t="str">
        <f>"0.7282"</f>
        <v>0.7282</v>
      </c>
    </row>
    <row r="1442" spans="1:3" x14ac:dyDescent="0.25">
      <c r="A1442" t="str">
        <f>"21/05/2015"</f>
        <v>21/05/2015</v>
      </c>
      <c r="B1442" t="str">
        <f>"0.7345"</f>
        <v>0.7345</v>
      </c>
      <c r="C1442" t="str">
        <f>"0.7323"</f>
        <v>0.7323</v>
      </c>
    </row>
    <row r="1443" spans="1:3" x14ac:dyDescent="0.25">
      <c r="A1443" t="str">
        <f>"22/05/2015"</f>
        <v>22/05/2015</v>
      </c>
      <c r="B1443" t="str">
        <f>"0.7288"</f>
        <v>0.7288</v>
      </c>
      <c r="C1443" t="str">
        <f>"0.7266"</f>
        <v>0.7266</v>
      </c>
    </row>
    <row r="1444" spans="1:3" x14ac:dyDescent="0.25">
      <c r="A1444" t="str">
        <f>"25/05/2015"</f>
        <v>25/05/2015</v>
      </c>
      <c r="B1444" t="str">
        <f>"0.7307"</f>
        <v>0.7307</v>
      </c>
      <c r="C1444" t="str">
        <f>"0.7284"</f>
        <v>0.7284</v>
      </c>
    </row>
    <row r="1445" spans="1:3" x14ac:dyDescent="0.25">
      <c r="A1445" t="str">
        <f>"26/05/2015"</f>
        <v>26/05/2015</v>
      </c>
      <c r="B1445" t="str">
        <f>"0.7224"</f>
        <v>0.7224</v>
      </c>
      <c r="C1445" t="str">
        <f>"0.7202"</f>
        <v>0.7202</v>
      </c>
    </row>
    <row r="1446" spans="1:3" x14ac:dyDescent="0.25">
      <c r="A1446" t="str">
        <f>"27/05/2015"</f>
        <v>27/05/2015</v>
      </c>
      <c r="B1446" t="str">
        <f>"0.7263"</f>
        <v>0.7263</v>
      </c>
      <c r="C1446" t="str">
        <f>"0.7241"</f>
        <v>0.7241</v>
      </c>
    </row>
    <row r="1447" spans="1:3" x14ac:dyDescent="0.25">
      <c r="A1447" t="str">
        <f>"28/05/2015"</f>
        <v>28/05/2015</v>
      </c>
      <c r="B1447" t="str">
        <f>"0.7174"</f>
        <v>0.7174</v>
      </c>
      <c r="C1447" t="str">
        <f>"0.7153"</f>
        <v>0.7153</v>
      </c>
    </row>
    <row r="1448" spans="1:3" x14ac:dyDescent="0.25">
      <c r="A1448" t="str">
        <f>"29/05/2015"</f>
        <v>29/05/2015</v>
      </c>
      <c r="B1448" t="str">
        <f>"0.7096"</f>
        <v>0.7096</v>
      </c>
      <c r="C1448" t="str">
        <f>"0.7076"</f>
        <v>0.7076</v>
      </c>
    </row>
    <row r="1449" spans="1:3" x14ac:dyDescent="0.25">
      <c r="A1449" t="str">
        <f>"01/06/2015"</f>
        <v>01/06/2015</v>
      </c>
      <c r="B1449" t="str">
        <f>"0.7085"</f>
        <v>0.7085</v>
      </c>
      <c r="C1449" t="str">
        <f>"0.7065"</f>
        <v>0.7065</v>
      </c>
    </row>
    <row r="1450" spans="1:3" x14ac:dyDescent="0.25">
      <c r="A1450" t="str">
        <f>"02/06/2015"</f>
        <v>02/06/2015</v>
      </c>
      <c r="B1450" t="str">
        <f>"0.718"</f>
        <v>0.718</v>
      </c>
      <c r="C1450" t="str">
        <f>"0.7159"</f>
        <v>0.7159</v>
      </c>
    </row>
    <row r="1451" spans="1:3" x14ac:dyDescent="0.25">
      <c r="A1451" t="str">
        <f>"03/06/2015"</f>
        <v>03/06/2015</v>
      </c>
      <c r="B1451" t="str">
        <f>"0.7148"</f>
        <v>0.7148</v>
      </c>
      <c r="C1451" t="str">
        <f>"0.7127"</f>
        <v>0.7127</v>
      </c>
    </row>
    <row r="1452" spans="1:3" x14ac:dyDescent="0.25">
      <c r="A1452" t="str">
        <f>"04/06/2015"</f>
        <v>04/06/2015</v>
      </c>
      <c r="B1452" t="str">
        <f>"0.7128"</f>
        <v>0.7128</v>
      </c>
      <c r="C1452" t="str">
        <f>"0.7108"</f>
        <v>0.7108</v>
      </c>
    </row>
    <row r="1453" spans="1:3" x14ac:dyDescent="0.25">
      <c r="A1453" t="str">
        <f>"05/06/2015"</f>
        <v>05/06/2015</v>
      </c>
      <c r="B1453" t="str">
        <f>"0.7041"</f>
        <v>0.7041</v>
      </c>
      <c r="C1453" t="str">
        <f>"0.7021"</f>
        <v>0.7021</v>
      </c>
    </row>
    <row r="1454" spans="1:3" x14ac:dyDescent="0.25">
      <c r="A1454" t="str">
        <f>"08/06/2015"</f>
        <v>08/06/2015</v>
      </c>
      <c r="B1454" t="str">
        <f>"0.7137"</f>
        <v>0.7137</v>
      </c>
      <c r="C1454" t="str">
        <f>"0.7117"</f>
        <v>0.7117</v>
      </c>
    </row>
    <row r="1455" spans="1:3" x14ac:dyDescent="0.25">
      <c r="A1455" t="str">
        <f>"09/06/2015"</f>
        <v>09/06/2015</v>
      </c>
      <c r="B1455" t="str">
        <f>"0.713"</f>
        <v>0.713</v>
      </c>
      <c r="C1455" t="str">
        <f>"0.7108"</f>
        <v>0.7108</v>
      </c>
    </row>
    <row r="1456" spans="1:3" x14ac:dyDescent="0.25">
      <c r="A1456" t="str">
        <f>"10/06/2015"</f>
        <v>10/06/2015</v>
      </c>
      <c r="B1456" t="str">
        <f>"0.7179"</f>
        <v>0.7179</v>
      </c>
      <c r="C1456" t="str">
        <f>"0.7158"</f>
        <v>0.7158</v>
      </c>
    </row>
    <row r="1457" spans="1:3" x14ac:dyDescent="0.25">
      <c r="A1457" t="str">
        <f>"11/06/2015"</f>
        <v>11/06/2015</v>
      </c>
      <c r="B1457" t="str">
        <f>"0.701"</f>
        <v>0.701</v>
      </c>
      <c r="C1457" t="str">
        <f>"0.6991"</f>
        <v>0.6991</v>
      </c>
    </row>
    <row r="1458" spans="1:3" x14ac:dyDescent="0.25">
      <c r="A1458" t="str">
        <f>"12/06/2015"</f>
        <v>12/06/2015</v>
      </c>
      <c r="B1458" t="str">
        <f>"0.6969"</f>
        <v>0.6969</v>
      </c>
      <c r="C1458" t="str">
        <f>"0.695"</f>
        <v>0.695</v>
      </c>
    </row>
    <row r="1459" spans="1:3" x14ac:dyDescent="0.25">
      <c r="A1459" t="str">
        <f>"15/06/2015"</f>
        <v>15/06/2015</v>
      </c>
      <c r="B1459" t="str">
        <f>"0.6997"</f>
        <v>0.6997</v>
      </c>
      <c r="C1459" t="str">
        <f>"0.6978"</f>
        <v>0.6978</v>
      </c>
    </row>
    <row r="1460" spans="1:3" x14ac:dyDescent="0.25">
      <c r="A1460" t="str">
        <f>"16/06/2015"</f>
        <v>16/06/2015</v>
      </c>
      <c r="B1460" t="str">
        <f>"0.6985"</f>
        <v>0.6985</v>
      </c>
      <c r="C1460" t="str">
        <f>"0.6964"</f>
        <v>0.6964</v>
      </c>
    </row>
    <row r="1461" spans="1:3" x14ac:dyDescent="0.25">
      <c r="A1461" t="str">
        <f>"17/06/2015"</f>
        <v>17/06/2015</v>
      </c>
      <c r="B1461" t="str">
        <f>"0.6969"</f>
        <v>0.6969</v>
      </c>
      <c r="C1461" t="str">
        <f>"0.6949"</f>
        <v>0.6949</v>
      </c>
    </row>
    <row r="1462" spans="1:3" x14ac:dyDescent="0.25">
      <c r="A1462" t="str">
        <f>"18/06/2015"</f>
        <v>18/06/2015</v>
      </c>
      <c r="B1462" t="str">
        <f>"0.6924"</f>
        <v>0.6924</v>
      </c>
      <c r="C1462" t="str">
        <f>"0.6905"</f>
        <v>0.6905</v>
      </c>
    </row>
    <row r="1463" spans="1:3" x14ac:dyDescent="0.25">
      <c r="A1463" t="str">
        <f>"19/06/2015"</f>
        <v>19/06/2015</v>
      </c>
      <c r="B1463" t="str">
        <f>"0.6901"</f>
        <v>0.6901</v>
      </c>
      <c r="C1463" t="str">
        <f>"0.6882"</f>
        <v>0.6882</v>
      </c>
    </row>
    <row r="1464" spans="1:3" x14ac:dyDescent="0.25">
      <c r="A1464" t="str">
        <f>"22/06/2015"</f>
        <v>22/06/2015</v>
      </c>
      <c r="B1464" t="str">
        <f>"0.6862"</f>
        <v>0.6862</v>
      </c>
      <c r="C1464" t="str">
        <f>"0.6843"</f>
        <v>0.6843</v>
      </c>
    </row>
    <row r="1465" spans="1:3" x14ac:dyDescent="0.25">
      <c r="A1465" t="str">
        <f>"23/06/2015"</f>
        <v>23/06/2015</v>
      </c>
      <c r="B1465" t="str">
        <f>"0.6852"</f>
        <v>0.6852</v>
      </c>
      <c r="C1465" t="str">
        <f>"0.6833"</f>
        <v>0.6833</v>
      </c>
    </row>
    <row r="1466" spans="1:3" x14ac:dyDescent="0.25">
      <c r="A1466" t="str">
        <f>"24/06/2015"</f>
        <v>24/06/2015</v>
      </c>
      <c r="B1466" t="str">
        <f>"0.6886"</f>
        <v>0.6886</v>
      </c>
      <c r="C1466" t="str">
        <f>"0.6867"</f>
        <v>0.6867</v>
      </c>
    </row>
    <row r="1467" spans="1:3" x14ac:dyDescent="0.25">
      <c r="A1467" t="str">
        <f>"25/06/2015"</f>
        <v>25/06/2015</v>
      </c>
      <c r="B1467" t="str">
        <f>"0.69"</f>
        <v>0.69</v>
      </c>
      <c r="C1467" t="str">
        <f>"0.6881"</f>
        <v>0.6881</v>
      </c>
    </row>
    <row r="1468" spans="1:3" x14ac:dyDescent="0.25">
      <c r="A1468" t="str">
        <f>"26/06/2015"</f>
        <v>26/06/2015</v>
      </c>
      <c r="B1468" t="str">
        <f>"0.6823"</f>
        <v>0.6823</v>
      </c>
      <c r="C1468" t="str">
        <f>"0.6804"</f>
        <v>0.6804</v>
      </c>
    </row>
    <row r="1469" spans="1:3" x14ac:dyDescent="0.25">
      <c r="A1469" t="str">
        <f>"29/06/2015"</f>
        <v>29/06/2015</v>
      </c>
      <c r="B1469" t="str">
        <f>"0.6849"</f>
        <v>0.6849</v>
      </c>
      <c r="C1469" t="str">
        <f>"0.6829"</f>
        <v>0.6829</v>
      </c>
    </row>
    <row r="1470" spans="1:3" x14ac:dyDescent="0.25">
      <c r="A1470" t="str">
        <f>"30/06/2015"</f>
        <v>30/06/2015</v>
      </c>
      <c r="B1470" t="str">
        <f>"0.6762"</f>
        <v>0.6762</v>
      </c>
      <c r="C1470" t="str">
        <f>"0.6743"</f>
        <v>0.6743</v>
      </c>
    </row>
    <row r="1471" spans="1:3" x14ac:dyDescent="0.25">
      <c r="A1471" t="str">
        <f>"01/07/2015"</f>
        <v>01/07/2015</v>
      </c>
      <c r="B1471" t="str">
        <f>"0.6731"</f>
        <v>0.6731</v>
      </c>
      <c r="C1471" t="str">
        <f>"0.6712"</f>
        <v>0.6712</v>
      </c>
    </row>
    <row r="1472" spans="1:3" x14ac:dyDescent="0.25">
      <c r="A1472" t="str">
        <f>"02/07/2015"</f>
        <v>02/07/2015</v>
      </c>
      <c r="B1472" t="str">
        <f>"0.6718"</f>
        <v>0.6718</v>
      </c>
      <c r="C1472" t="str">
        <f>"0.67"</f>
        <v>0.67</v>
      </c>
    </row>
    <row r="1473" spans="1:3" x14ac:dyDescent="0.25">
      <c r="A1473" t="str">
        <f>"03/07/2015"</f>
        <v>03/07/2015</v>
      </c>
      <c r="B1473" t="str">
        <f>"0.6677"</f>
        <v>0.6677</v>
      </c>
      <c r="C1473" t="str">
        <f>"0.6659"</f>
        <v>0.6659</v>
      </c>
    </row>
    <row r="1474" spans="1:3" x14ac:dyDescent="0.25">
      <c r="A1474" t="str">
        <f>"06/07/2015"</f>
        <v>06/07/2015</v>
      </c>
      <c r="B1474" t="str">
        <f>"0.6686"</f>
        <v>0.6686</v>
      </c>
      <c r="C1474" t="str">
        <f>"0.6667"</f>
        <v>0.6667</v>
      </c>
    </row>
    <row r="1475" spans="1:3" x14ac:dyDescent="0.25">
      <c r="A1475" t="str">
        <f>"07/07/2015"</f>
        <v>07/07/2015</v>
      </c>
      <c r="B1475" t="str">
        <f>"0.6647"</f>
        <v>0.6647</v>
      </c>
      <c r="C1475" t="str">
        <f>"0.6628"</f>
        <v>0.6628</v>
      </c>
    </row>
    <row r="1476" spans="1:3" x14ac:dyDescent="0.25">
      <c r="A1476" t="str">
        <f>"08/07/2015"</f>
        <v>08/07/2015</v>
      </c>
      <c r="B1476" t="str">
        <f>"0.6727"</f>
        <v>0.6727</v>
      </c>
      <c r="C1476" t="str">
        <f>"0.6709"</f>
        <v>0.6709</v>
      </c>
    </row>
    <row r="1477" spans="1:3" x14ac:dyDescent="0.25">
      <c r="A1477" t="str">
        <f>"09/07/2015"</f>
        <v>09/07/2015</v>
      </c>
      <c r="B1477" t="str">
        <f>"0.6738"</f>
        <v>0.6738</v>
      </c>
      <c r="C1477" t="str">
        <f>"0.672"</f>
        <v>0.672</v>
      </c>
    </row>
    <row r="1478" spans="1:3" x14ac:dyDescent="0.25">
      <c r="A1478" t="str">
        <f>"10/07/2015"</f>
        <v>10/07/2015</v>
      </c>
      <c r="B1478" t="str">
        <f>"0.6712"</f>
        <v>0.6712</v>
      </c>
      <c r="C1478" t="str">
        <f>"0.6694"</f>
        <v>0.6694</v>
      </c>
    </row>
    <row r="1479" spans="1:3" x14ac:dyDescent="0.25">
      <c r="A1479" t="str">
        <f>"13/07/2015"</f>
        <v>13/07/2015</v>
      </c>
      <c r="B1479" t="str">
        <f>"0.669"</f>
        <v>0.669</v>
      </c>
      <c r="C1479" t="str">
        <f>"0.6671"</f>
        <v>0.6671</v>
      </c>
    </row>
    <row r="1480" spans="1:3" x14ac:dyDescent="0.25">
      <c r="A1480" t="str">
        <f>"14/07/2015"</f>
        <v>14/07/2015</v>
      </c>
      <c r="B1480" t="str">
        <f>"0.6707"</f>
        <v>0.6707</v>
      </c>
      <c r="C1480" t="str">
        <f>"0.6688"</f>
        <v>0.6688</v>
      </c>
    </row>
    <row r="1481" spans="1:3" x14ac:dyDescent="0.25">
      <c r="A1481" t="str">
        <f>"15/07/2015"</f>
        <v>15/07/2015</v>
      </c>
      <c r="B1481" t="str">
        <f>"0.6589"</f>
        <v>0.6589</v>
      </c>
      <c r="C1481" t="str">
        <f>"0.6571"</f>
        <v>0.6571</v>
      </c>
    </row>
    <row r="1482" spans="1:3" x14ac:dyDescent="0.25">
      <c r="A1482" t="str">
        <f>"16/07/2015"</f>
        <v>16/07/2015</v>
      </c>
      <c r="B1482" t="str">
        <f>"0.651"</f>
        <v>0.651</v>
      </c>
      <c r="C1482" t="str">
        <f>"0.6493"</f>
        <v>0.6493</v>
      </c>
    </row>
    <row r="1483" spans="1:3" x14ac:dyDescent="0.25">
      <c r="A1483" t="str">
        <f>"17/07/2015"</f>
        <v>17/07/2015</v>
      </c>
      <c r="B1483" t="str">
        <f>"0.6507"</f>
        <v>0.6507</v>
      </c>
      <c r="C1483" t="str">
        <f>"0.649"</f>
        <v>0.649</v>
      </c>
    </row>
    <row r="1484" spans="1:3" x14ac:dyDescent="0.25">
      <c r="A1484" t="str">
        <f>"20/07/2015"</f>
        <v>20/07/2015</v>
      </c>
      <c r="B1484" t="str">
        <f>"0.656"</f>
        <v>0.656</v>
      </c>
      <c r="C1484" t="str">
        <f>"0.6542"</f>
        <v>0.6542</v>
      </c>
    </row>
    <row r="1485" spans="1:3" x14ac:dyDescent="0.25">
      <c r="A1485" t="str">
        <f>"21/07/2015"</f>
        <v>21/07/2015</v>
      </c>
      <c r="B1485" t="str">
        <f>"0.6619"</f>
        <v>0.6619</v>
      </c>
      <c r="C1485" t="str">
        <f>"0.6602"</f>
        <v>0.6602</v>
      </c>
    </row>
    <row r="1486" spans="1:3" x14ac:dyDescent="0.25">
      <c r="A1486" t="str">
        <f>"22/07/2015"</f>
        <v>22/07/2015</v>
      </c>
      <c r="B1486" t="str">
        <f>"0.6558"</f>
        <v>0.6558</v>
      </c>
      <c r="C1486" t="str">
        <f>"0.6541"</f>
        <v>0.6541</v>
      </c>
    </row>
    <row r="1487" spans="1:3" x14ac:dyDescent="0.25">
      <c r="A1487" t="str">
        <f>"23/07/2015"</f>
        <v>23/07/2015</v>
      </c>
      <c r="B1487" t="str">
        <f>"0.663"</f>
        <v>0.663</v>
      </c>
      <c r="C1487" t="str">
        <f>"0.6612"</f>
        <v>0.6612</v>
      </c>
    </row>
    <row r="1488" spans="1:3" x14ac:dyDescent="0.25">
      <c r="A1488" t="str">
        <f>"24/07/2015"</f>
        <v>24/07/2015</v>
      </c>
      <c r="B1488" t="str">
        <f>"0.6587"</f>
        <v>0.6587</v>
      </c>
      <c r="C1488" t="str">
        <f>"0.657"</f>
        <v>0.657</v>
      </c>
    </row>
    <row r="1489" spans="1:3" x14ac:dyDescent="0.25">
      <c r="A1489" t="str">
        <f>"27/07/2015"</f>
        <v>27/07/2015</v>
      </c>
      <c r="B1489" t="str">
        <f>"0.6602"</f>
        <v>0.6602</v>
      </c>
      <c r="C1489" t="str">
        <f>"0.6584"</f>
        <v>0.6584</v>
      </c>
    </row>
    <row r="1490" spans="1:3" x14ac:dyDescent="0.25">
      <c r="A1490" t="str">
        <f>"28/07/2015"</f>
        <v>28/07/2015</v>
      </c>
      <c r="B1490" t="str">
        <f>"0.6676"</f>
        <v>0.6676</v>
      </c>
      <c r="C1490" t="str">
        <f>"0.6658"</f>
        <v>0.6658</v>
      </c>
    </row>
    <row r="1491" spans="1:3" x14ac:dyDescent="0.25">
      <c r="A1491" t="str">
        <f>"29/07/2015"</f>
        <v>29/07/2015</v>
      </c>
      <c r="B1491" t="str">
        <f>"0.671"</f>
        <v>0.671</v>
      </c>
      <c r="C1491" t="str">
        <f>"0.6693"</f>
        <v>0.6693</v>
      </c>
    </row>
    <row r="1492" spans="1:3" x14ac:dyDescent="0.25">
      <c r="A1492" t="str">
        <f>"30/07/2015"</f>
        <v>30/07/2015</v>
      </c>
      <c r="B1492" t="str">
        <f>"0.6599"</f>
        <v>0.6599</v>
      </c>
      <c r="C1492" t="str">
        <f>"0.6582"</f>
        <v>0.6582</v>
      </c>
    </row>
    <row r="1493" spans="1:3" x14ac:dyDescent="0.25">
      <c r="A1493" t="str">
        <f>"31/07/2015"</f>
        <v>31/07/2015</v>
      </c>
      <c r="B1493" t="str">
        <f>"0.6578"</f>
        <v>0.6578</v>
      </c>
      <c r="C1493" t="str">
        <f>"0.6561"</f>
        <v>0.6561</v>
      </c>
    </row>
    <row r="1494" spans="1:3" x14ac:dyDescent="0.25">
      <c r="A1494" t="str">
        <f>"03/08/2015"</f>
        <v>03/08/2015</v>
      </c>
      <c r="B1494" t="str">
        <f>"0.656"</f>
        <v>0.656</v>
      </c>
      <c r="C1494" t="str">
        <f>"0.6542"</f>
        <v>0.6542</v>
      </c>
    </row>
    <row r="1495" spans="1:3" x14ac:dyDescent="0.25">
      <c r="A1495" t="str">
        <f>"04/08/2015"</f>
        <v>04/08/2015</v>
      </c>
      <c r="B1495" t="str">
        <f>"0.6561"</f>
        <v>0.6561</v>
      </c>
      <c r="C1495" t="str">
        <f>"0.6543"</f>
        <v>0.6543</v>
      </c>
    </row>
    <row r="1496" spans="1:3" x14ac:dyDescent="0.25">
      <c r="A1496" t="str">
        <f>"05/08/2015"</f>
        <v>05/08/2015</v>
      </c>
      <c r="B1496" t="str">
        <f>"0.6508"</f>
        <v>0.6508</v>
      </c>
      <c r="C1496" t="str">
        <f>"0.6491"</f>
        <v>0.6491</v>
      </c>
    </row>
    <row r="1497" spans="1:3" x14ac:dyDescent="0.25">
      <c r="A1497" t="str">
        <f>"06/08/2015"</f>
        <v>06/08/2015</v>
      </c>
      <c r="B1497" t="str">
        <f>"0.655"</f>
        <v>0.655</v>
      </c>
      <c r="C1497" t="str">
        <f>"0.6533"</f>
        <v>0.6533</v>
      </c>
    </row>
    <row r="1498" spans="1:3" x14ac:dyDescent="0.25">
      <c r="A1498" t="str">
        <f>"07/08/2015"</f>
        <v>07/08/2015</v>
      </c>
      <c r="B1498" t="str">
        <f>"0.6606"</f>
        <v>0.6606</v>
      </c>
      <c r="C1498" t="str">
        <f>"0.6589"</f>
        <v>0.6589</v>
      </c>
    </row>
    <row r="1499" spans="1:3" x14ac:dyDescent="0.25">
      <c r="A1499" t="str">
        <f>"10/08/2015"</f>
        <v>10/08/2015</v>
      </c>
      <c r="B1499" t="str">
        <f>"0.6613"</f>
        <v>0.6613</v>
      </c>
      <c r="C1499" t="str">
        <f>"0.6595"</f>
        <v>0.6595</v>
      </c>
    </row>
    <row r="1500" spans="1:3" x14ac:dyDescent="0.25">
      <c r="A1500" t="str">
        <f>"11/08/2015"</f>
        <v>11/08/2015</v>
      </c>
      <c r="B1500" t="str">
        <f>"0.6533"</f>
        <v>0.6533</v>
      </c>
      <c r="C1500" t="str">
        <f>"0.6516"</f>
        <v>0.6516</v>
      </c>
    </row>
    <row r="1501" spans="1:3" x14ac:dyDescent="0.25">
      <c r="A1501" t="str">
        <f>"12/08/2015"</f>
        <v>12/08/2015</v>
      </c>
      <c r="B1501" t="str">
        <f>"0.6616"</f>
        <v>0.6616</v>
      </c>
      <c r="C1501" t="str">
        <f>"0.6599"</f>
        <v>0.6599</v>
      </c>
    </row>
    <row r="1502" spans="1:3" x14ac:dyDescent="0.25">
      <c r="A1502" t="str">
        <f>"13/08/2015"</f>
        <v>13/08/2015</v>
      </c>
      <c r="B1502" t="str">
        <f>"0.6567"</f>
        <v>0.6567</v>
      </c>
      <c r="C1502" t="str">
        <f>"0.655"</f>
        <v>0.655</v>
      </c>
    </row>
    <row r="1503" spans="1:3" x14ac:dyDescent="0.25">
      <c r="A1503" t="str">
        <f>"14/08/2015"</f>
        <v>14/08/2015</v>
      </c>
      <c r="B1503" t="str">
        <f>"0.6517"</f>
        <v>0.6517</v>
      </c>
      <c r="C1503" t="str">
        <f>"0.65"</f>
        <v>0.65</v>
      </c>
    </row>
    <row r="1504" spans="1:3" x14ac:dyDescent="0.25">
      <c r="A1504" t="str">
        <f>"17/08/2015"</f>
        <v>17/08/2015</v>
      </c>
      <c r="B1504" t="str">
        <f>"0.657"</f>
        <v>0.657</v>
      </c>
      <c r="C1504" t="str">
        <f>"0.6553"</f>
        <v>0.6553</v>
      </c>
    </row>
    <row r="1505" spans="1:3" x14ac:dyDescent="0.25">
      <c r="A1505" t="str">
        <f>"19/08/2015"</f>
        <v>19/08/2015</v>
      </c>
      <c r="B1505" t="str">
        <f>"0.6598"</f>
        <v>0.6598</v>
      </c>
      <c r="C1505" t="str">
        <f>"0.6581"</f>
        <v>0.6581</v>
      </c>
    </row>
    <row r="1506" spans="1:3" x14ac:dyDescent="0.25">
      <c r="A1506" t="str">
        <f>"20/08/2015"</f>
        <v>20/08/2015</v>
      </c>
      <c r="B1506" t="str">
        <f>"0.6626"</f>
        <v>0.6626</v>
      </c>
      <c r="C1506" t="str">
        <f>"0.661"</f>
        <v>0.661</v>
      </c>
    </row>
    <row r="1507" spans="1:3" x14ac:dyDescent="0.25">
      <c r="A1507" t="str">
        <f>"21/08/2015"</f>
        <v>21/08/2015</v>
      </c>
      <c r="B1507" t="str">
        <f>"0.6617"</f>
        <v>0.6617</v>
      </c>
      <c r="C1507" t="str">
        <f>"0.66"</f>
        <v>0.66</v>
      </c>
    </row>
    <row r="1508" spans="1:3" x14ac:dyDescent="0.25">
      <c r="A1508" t="str">
        <f>"25/08/2015"</f>
        <v>25/08/2015</v>
      </c>
      <c r="B1508" t="str">
        <f>"0.647"</f>
        <v>0.647</v>
      </c>
      <c r="C1508" t="str">
        <f>"0.6453"</f>
        <v>0.6453</v>
      </c>
    </row>
    <row r="1509" spans="1:3" x14ac:dyDescent="0.25">
      <c r="A1509" t="str">
        <f>"26/08/2015"</f>
        <v>26/08/2015</v>
      </c>
      <c r="B1509" t="str">
        <f>"0.6433"</f>
        <v>0.6433</v>
      </c>
      <c r="C1509" t="str">
        <f>"0.6417"</f>
        <v>0.6417</v>
      </c>
    </row>
    <row r="1510" spans="1:3" x14ac:dyDescent="0.25">
      <c r="A1510" t="str">
        <f>"27/08/2015"</f>
        <v>27/08/2015</v>
      </c>
      <c r="B1510" t="str">
        <f>"0.6465"</f>
        <v>0.6465</v>
      </c>
      <c r="C1510" t="str">
        <f>"0.645"</f>
        <v>0.645</v>
      </c>
    </row>
    <row r="1511" spans="1:3" x14ac:dyDescent="0.25">
      <c r="A1511" t="str">
        <f>"28/08/2015"</f>
        <v>28/08/2015</v>
      </c>
      <c r="B1511" t="str">
        <f>"0.6429"</f>
        <v>0.6429</v>
      </c>
      <c r="C1511" t="str">
        <f>"0.6414"</f>
        <v>0.6414</v>
      </c>
    </row>
    <row r="1512" spans="1:3" x14ac:dyDescent="0.25">
      <c r="A1512" t="str">
        <f>"31/08/2015"</f>
        <v>31/08/2015</v>
      </c>
      <c r="B1512" t="str">
        <f>"0.6337"</f>
        <v>0.6337</v>
      </c>
      <c r="C1512" t="str">
        <f>"0.6322"</f>
        <v>0.6322</v>
      </c>
    </row>
    <row r="1513" spans="1:3" x14ac:dyDescent="0.25">
      <c r="A1513" t="str">
        <f>"01/09/2015"</f>
        <v>01/09/2015</v>
      </c>
      <c r="B1513" t="str">
        <f>"0.6328"</f>
        <v>0.6328</v>
      </c>
      <c r="C1513" t="str">
        <f>"0.6312"</f>
        <v>0.6312</v>
      </c>
    </row>
    <row r="1514" spans="1:3" x14ac:dyDescent="0.25">
      <c r="A1514" t="str">
        <f>"02/09/2015"</f>
        <v>02/09/2015</v>
      </c>
      <c r="B1514" t="str">
        <f>"0.6343"</f>
        <v>0.6343</v>
      </c>
      <c r="C1514" t="str">
        <f>"0.6328"</f>
        <v>0.6328</v>
      </c>
    </row>
    <row r="1515" spans="1:3" x14ac:dyDescent="0.25">
      <c r="A1515" t="str">
        <f>"03/09/2015"</f>
        <v>03/09/2015</v>
      </c>
      <c r="B1515" t="str">
        <f>"0.6396"</f>
        <v>0.6396</v>
      </c>
      <c r="C1515" t="str">
        <f>"0.6381"</f>
        <v>0.6381</v>
      </c>
    </row>
    <row r="1516" spans="1:3" x14ac:dyDescent="0.25">
      <c r="A1516" t="str">
        <f>"04/09/2015"</f>
        <v>04/09/2015</v>
      </c>
      <c r="B1516" t="str">
        <f>"0.6266"</f>
        <v>0.6266</v>
      </c>
      <c r="C1516" t="str">
        <f>"0.6252"</f>
        <v>0.6252</v>
      </c>
    </row>
    <row r="1517" spans="1:3" x14ac:dyDescent="0.25">
      <c r="A1517" t="str">
        <f>"07/09/2015"</f>
        <v>07/09/2015</v>
      </c>
      <c r="B1517" t="str">
        <f>"0.6257"</f>
        <v>0.6257</v>
      </c>
      <c r="C1517" t="str">
        <f>"0.6243"</f>
        <v>0.6243</v>
      </c>
    </row>
    <row r="1518" spans="1:3" x14ac:dyDescent="0.25">
      <c r="A1518" t="str">
        <f>"08/09/2015"</f>
        <v>08/09/2015</v>
      </c>
      <c r="B1518" t="str">
        <f>"0.6339"</f>
        <v>0.6339</v>
      </c>
      <c r="C1518" t="str">
        <f>"0.6323"</f>
        <v>0.6323</v>
      </c>
    </row>
    <row r="1519" spans="1:3" x14ac:dyDescent="0.25">
      <c r="A1519" t="str">
        <f>"09/09/2015"</f>
        <v>09/09/2015</v>
      </c>
      <c r="B1519" t="str">
        <f>"0.6381"</f>
        <v>0.6381</v>
      </c>
      <c r="C1519" t="str">
        <f>"0.6366"</f>
        <v>0.6366</v>
      </c>
    </row>
    <row r="1520" spans="1:3" x14ac:dyDescent="0.25">
      <c r="A1520" t="str">
        <f>"10/09/2015"</f>
        <v>10/09/2015</v>
      </c>
      <c r="B1520" t="str">
        <f>"0.6287"</f>
        <v>0.6287</v>
      </c>
      <c r="C1520" t="str">
        <f>"0.6273"</f>
        <v>0.6273</v>
      </c>
    </row>
    <row r="1521" spans="1:3" x14ac:dyDescent="0.25">
      <c r="A1521" t="str">
        <f>"11/09/2015"</f>
        <v>11/09/2015</v>
      </c>
      <c r="B1521" t="str">
        <f>"0.6306"</f>
        <v>0.6306</v>
      </c>
      <c r="C1521" t="str">
        <f>"0.6292"</f>
        <v>0.6292</v>
      </c>
    </row>
    <row r="1522" spans="1:3" x14ac:dyDescent="0.25">
      <c r="A1522" t="str">
        <f>"14/09/2015"</f>
        <v>14/09/2015</v>
      </c>
      <c r="B1522" t="str">
        <f>"0.6327"</f>
        <v>0.6327</v>
      </c>
      <c r="C1522" t="str">
        <f>"0.6313"</f>
        <v>0.6313</v>
      </c>
    </row>
    <row r="1523" spans="1:3" x14ac:dyDescent="0.25">
      <c r="A1523" t="str">
        <f>"15/09/2015"</f>
        <v>15/09/2015</v>
      </c>
      <c r="B1523" t="str">
        <f>"0.6353"</f>
        <v>0.6353</v>
      </c>
      <c r="C1523" t="str">
        <f>"0.6338"</f>
        <v>0.6338</v>
      </c>
    </row>
    <row r="1524" spans="1:3" x14ac:dyDescent="0.25">
      <c r="A1524" t="str">
        <f>"16/09/2015"</f>
        <v>16/09/2015</v>
      </c>
      <c r="B1524" t="str">
        <f>"0.6364"</f>
        <v>0.6364</v>
      </c>
      <c r="C1524" t="str">
        <f>"0.6349"</f>
        <v>0.6349</v>
      </c>
    </row>
    <row r="1525" spans="1:3" x14ac:dyDescent="0.25">
      <c r="A1525" t="str">
        <f>"18/09/2015"</f>
        <v>18/09/2015</v>
      </c>
      <c r="B1525" t="str">
        <f>"0.6387"</f>
        <v>0.6387</v>
      </c>
      <c r="C1525" t="str">
        <f>"0.6373"</f>
        <v>0.6373</v>
      </c>
    </row>
    <row r="1526" spans="1:3" x14ac:dyDescent="0.25">
      <c r="A1526" t="str">
        <f>"21/09/2015"</f>
        <v>21/09/2015</v>
      </c>
      <c r="B1526" t="str">
        <f>"0.6314"</f>
        <v>0.6314</v>
      </c>
      <c r="C1526" t="str">
        <f>"0.6299"</f>
        <v>0.6299</v>
      </c>
    </row>
    <row r="1527" spans="1:3" x14ac:dyDescent="0.25">
      <c r="A1527" t="str">
        <f>"22/09/2015"</f>
        <v>22/09/2015</v>
      </c>
      <c r="B1527" t="str">
        <f>"0.629"</f>
        <v>0.629</v>
      </c>
      <c r="C1527" t="str">
        <f>"0.6274"</f>
        <v>0.6274</v>
      </c>
    </row>
    <row r="1528" spans="1:3" x14ac:dyDescent="0.25">
      <c r="A1528" t="str">
        <f>"23/09/2015"</f>
        <v>23/09/2015</v>
      </c>
      <c r="B1528" t="str">
        <f>"0.6272"</f>
        <v>0.6272</v>
      </c>
      <c r="C1528" t="str">
        <f>"0.6257"</f>
        <v>0.6257</v>
      </c>
    </row>
    <row r="1529" spans="1:3" x14ac:dyDescent="0.25">
      <c r="A1529" t="str">
        <f>"24/09/2015"</f>
        <v>24/09/2015</v>
      </c>
      <c r="B1529" t="str">
        <f>"0.6351"</f>
        <v>0.6351</v>
      </c>
      <c r="C1529" t="str">
        <f>"0.6337"</f>
        <v>0.6337</v>
      </c>
    </row>
    <row r="1530" spans="1:3" x14ac:dyDescent="0.25">
      <c r="A1530" t="str">
        <f>"28/09/2015"</f>
        <v>28/09/2015</v>
      </c>
      <c r="B1530" t="str">
        <f>"0.6327"</f>
        <v>0.6327</v>
      </c>
      <c r="C1530" t="str">
        <f>"0.6313"</f>
        <v>0.6313</v>
      </c>
    </row>
    <row r="1531" spans="1:3" x14ac:dyDescent="0.25">
      <c r="A1531" t="str">
        <f>"29/09/2015"</f>
        <v>29/09/2015</v>
      </c>
      <c r="B1531" t="str">
        <f>"0.6344"</f>
        <v>0.6344</v>
      </c>
      <c r="C1531" t="str">
        <f>"0.6329"</f>
        <v>0.6329</v>
      </c>
    </row>
    <row r="1532" spans="1:3" x14ac:dyDescent="0.25">
      <c r="A1532" t="str">
        <f>"30/09/2015"</f>
        <v>30/09/2015</v>
      </c>
      <c r="B1532" t="str">
        <f>"0.6396"</f>
        <v>0.6396</v>
      </c>
      <c r="C1532" t="str">
        <f>"0.6381"</f>
        <v>0.6381</v>
      </c>
    </row>
    <row r="1533" spans="1:3" x14ac:dyDescent="0.25">
      <c r="A1533" t="str">
        <f>"01/10/2015"</f>
        <v>01/10/2015</v>
      </c>
      <c r="B1533" t="str">
        <f>"0.6394"</f>
        <v>0.6394</v>
      </c>
      <c r="C1533" t="str">
        <f>"0.6379"</f>
        <v>0.6379</v>
      </c>
    </row>
    <row r="1534" spans="1:3" x14ac:dyDescent="0.25">
      <c r="A1534" t="str">
        <f>"05/10/2015"</f>
        <v>05/10/2015</v>
      </c>
      <c r="B1534" t="str">
        <f>"0.6485"</f>
        <v>0.6485</v>
      </c>
      <c r="C1534" t="str">
        <f>"0.6469"</f>
        <v>0.6469</v>
      </c>
    </row>
    <row r="1535" spans="1:3" x14ac:dyDescent="0.25">
      <c r="A1535" t="str">
        <f>"06/10/2015"</f>
        <v>06/10/2015</v>
      </c>
      <c r="B1535" t="str">
        <f>"0.6541"</f>
        <v>0.6541</v>
      </c>
      <c r="C1535" t="str">
        <f>"0.6525"</f>
        <v>0.6525</v>
      </c>
    </row>
    <row r="1536" spans="1:3" x14ac:dyDescent="0.25">
      <c r="A1536" t="str">
        <f>"07/10/2015"</f>
        <v>07/10/2015</v>
      </c>
      <c r="B1536" t="str">
        <f>"0.6607"</f>
        <v>0.6607</v>
      </c>
      <c r="C1536" t="str">
        <f>"0.6592"</f>
        <v>0.6592</v>
      </c>
    </row>
    <row r="1537" spans="1:3" x14ac:dyDescent="0.25">
      <c r="A1537" t="str">
        <f>"08/10/2015"</f>
        <v>08/10/2015</v>
      </c>
      <c r="B1537" t="str">
        <f>"0.6663"</f>
        <v>0.6663</v>
      </c>
      <c r="C1537" t="str">
        <f>"0.6648"</f>
        <v>0.6648</v>
      </c>
    </row>
    <row r="1538" spans="1:3" x14ac:dyDescent="0.25">
      <c r="A1538" t="str">
        <f>"09/10/2015"</f>
        <v>09/10/2015</v>
      </c>
      <c r="B1538" t="str">
        <f>"0.6659"</f>
        <v>0.6659</v>
      </c>
      <c r="C1538" t="str">
        <f>"0.6644"</f>
        <v>0.6644</v>
      </c>
    </row>
    <row r="1539" spans="1:3" x14ac:dyDescent="0.25">
      <c r="A1539" t="str">
        <f>"12/10/2015"</f>
        <v>12/10/2015</v>
      </c>
      <c r="B1539" t="str">
        <f>"0.6715"</f>
        <v>0.6715</v>
      </c>
      <c r="C1539" t="str">
        <f>"0.6698"</f>
        <v>0.6698</v>
      </c>
    </row>
    <row r="1540" spans="1:3" x14ac:dyDescent="0.25">
      <c r="A1540" t="str">
        <f>"13/10/2015"</f>
        <v>13/10/2015</v>
      </c>
      <c r="B1540" t="str">
        <f>"0.6639"</f>
        <v>0.6639</v>
      </c>
      <c r="C1540" t="str">
        <f>"0.6623"</f>
        <v>0.6623</v>
      </c>
    </row>
    <row r="1541" spans="1:3" x14ac:dyDescent="0.25">
      <c r="A1541" t="str">
        <f>"14/10/2015"</f>
        <v>14/10/2015</v>
      </c>
      <c r="B1541" t="str">
        <f>"0.6785"</f>
        <v>0.6785</v>
      </c>
      <c r="C1541" t="str">
        <f>"0.677"</f>
        <v>0.677</v>
      </c>
    </row>
    <row r="1542" spans="1:3" x14ac:dyDescent="0.25">
      <c r="A1542" t="str">
        <f>"15/10/2015"</f>
        <v>15/10/2015</v>
      </c>
      <c r="B1542" t="str">
        <f>"0.6849"</f>
        <v>0.6849</v>
      </c>
      <c r="C1542" t="str">
        <f>"0.6833"</f>
        <v>0.6833</v>
      </c>
    </row>
    <row r="1543" spans="1:3" x14ac:dyDescent="0.25">
      <c r="A1543" t="str">
        <f>"16/10/2015"</f>
        <v>16/10/2015</v>
      </c>
      <c r="B1543" t="str">
        <f>"0.6777"</f>
        <v>0.6777</v>
      </c>
      <c r="C1543" t="str">
        <f>"0.6761"</f>
        <v>0.6761</v>
      </c>
    </row>
    <row r="1544" spans="1:3" x14ac:dyDescent="0.25">
      <c r="A1544" t="str">
        <f>"19/10/2015"</f>
        <v>19/10/2015</v>
      </c>
      <c r="B1544" t="str">
        <f>"0.6787"</f>
        <v>0.6787</v>
      </c>
      <c r="C1544" t="str">
        <f>"0.677"</f>
        <v>0.677</v>
      </c>
    </row>
    <row r="1545" spans="1:3" x14ac:dyDescent="0.25">
      <c r="A1545" t="str">
        <f>"20/10/2015"</f>
        <v>20/10/2015</v>
      </c>
      <c r="B1545" t="str">
        <f>"0.6751"</f>
        <v>0.6751</v>
      </c>
      <c r="C1545" t="str">
        <f>"0.6735"</f>
        <v>0.6735</v>
      </c>
    </row>
    <row r="1546" spans="1:3" x14ac:dyDescent="0.25">
      <c r="A1546" t="str">
        <f>"21/10/2015"</f>
        <v>21/10/2015</v>
      </c>
      <c r="B1546" t="str">
        <f>"0.6751"</f>
        <v>0.6751</v>
      </c>
      <c r="C1546" t="str">
        <f>"0.6735"</f>
        <v>0.6735</v>
      </c>
    </row>
    <row r="1547" spans="1:3" x14ac:dyDescent="0.25">
      <c r="A1547" t="str">
        <f>"23/10/2015"</f>
        <v>23/10/2015</v>
      </c>
      <c r="B1547" t="str">
        <f>"0.6729"</f>
        <v>0.6729</v>
      </c>
      <c r="C1547" t="str">
        <f>"0.6712"</f>
        <v>0.6712</v>
      </c>
    </row>
    <row r="1548" spans="1:3" x14ac:dyDescent="0.25">
      <c r="A1548" t="str">
        <f>"26/10/2015"</f>
        <v>26/10/2015</v>
      </c>
      <c r="B1548" t="str">
        <f>"0.6786"</f>
        <v>0.6786</v>
      </c>
      <c r="C1548" t="str">
        <f>"0.677"</f>
        <v>0.677</v>
      </c>
    </row>
    <row r="1549" spans="1:3" x14ac:dyDescent="0.25">
      <c r="A1549" t="str">
        <f>"27/10/2015"</f>
        <v>27/10/2015</v>
      </c>
      <c r="B1549" t="str">
        <f>"0.6761"</f>
        <v>0.6761</v>
      </c>
      <c r="C1549" t="str">
        <f>"0.6745"</f>
        <v>0.6745</v>
      </c>
    </row>
    <row r="1550" spans="1:3" x14ac:dyDescent="0.25">
      <c r="A1550" t="str">
        <f>"29/10/2015"</f>
        <v>29/10/2015</v>
      </c>
      <c r="B1550" t="str">
        <f>"0.6691"</f>
        <v>0.6691</v>
      </c>
      <c r="C1550" t="str">
        <f>"0.6676"</f>
        <v>0.6676</v>
      </c>
    </row>
    <row r="1551" spans="1:3" x14ac:dyDescent="0.25">
      <c r="A1551" t="str">
        <f>"30/10/2015"</f>
        <v>30/10/2015</v>
      </c>
      <c r="B1551" t="str">
        <f>"0.677"</f>
        <v>0.677</v>
      </c>
      <c r="C1551" t="str">
        <f>"0.6755"</f>
        <v>0.6755</v>
      </c>
    </row>
    <row r="1552" spans="1:3" x14ac:dyDescent="0.25">
      <c r="A1552" t="str">
        <f>"02/11/2015"</f>
        <v>02/11/2015</v>
      </c>
      <c r="B1552" t="str">
        <f>"0.674"</f>
        <v>0.674</v>
      </c>
      <c r="C1552" t="str">
        <f>"0.6725"</f>
        <v>0.6725</v>
      </c>
    </row>
    <row r="1553" spans="1:3" x14ac:dyDescent="0.25">
      <c r="A1553" t="str">
        <f>"03/11/2015"</f>
        <v>03/11/2015</v>
      </c>
      <c r="B1553" t="str">
        <f>"0.6662"</f>
        <v>0.6662</v>
      </c>
      <c r="C1553" t="str">
        <f>"0.6646"</f>
        <v>0.6646</v>
      </c>
    </row>
    <row r="1554" spans="1:3" x14ac:dyDescent="0.25">
      <c r="A1554" t="str">
        <f>"04/11/2015"</f>
        <v>04/11/2015</v>
      </c>
      <c r="B1554" t="str">
        <f>"0.659"</f>
        <v>0.659</v>
      </c>
      <c r="C1554" t="str">
        <f>"0.6574"</f>
        <v>0.6574</v>
      </c>
    </row>
    <row r="1555" spans="1:3" x14ac:dyDescent="0.25">
      <c r="A1555" t="str">
        <f>"05/11/2015"</f>
        <v>05/11/2015</v>
      </c>
      <c r="B1555" t="str">
        <f>"0.661"</f>
        <v>0.661</v>
      </c>
      <c r="C1555" t="str">
        <f>"0.6595"</f>
        <v>0.6595</v>
      </c>
    </row>
    <row r="1556" spans="1:3" x14ac:dyDescent="0.25">
      <c r="A1556" t="str">
        <f>"06/11/2015"</f>
        <v>06/11/2015</v>
      </c>
      <c r="B1556" t="str">
        <f>"0.651"</f>
        <v>0.651</v>
      </c>
      <c r="C1556" t="str">
        <f>"0.6495"</f>
        <v>0.6495</v>
      </c>
    </row>
    <row r="1557" spans="1:3" x14ac:dyDescent="0.25">
      <c r="A1557" t="str">
        <f>"09/11/2015"</f>
        <v>09/11/2015</v>
      </c>
      <c r="B1557" t="str">
        <f>"0.6531"</f>
        <v>0.6531</v>
      </c>
      <c r="C1557" t="str">
        <f>"0.6515"</f>
        <v>0.6515</v>
      </c>
    </row>
    <row r="1558" spans="1:3" x14ac:dyDescent="0.25">
      <c r="A1558" t="str">
        <f>"10/11/2015"</f>
        <v>10/11/2015</v>
      </c>
      <c r="B1558" t="str">
        <f>"0.6527"</f>
        <v>0.6527</v>
      </c>
      <c r="C1558" t="str">
        <f>"0.6511"</f>
        <v>0.6511</v>
      </c>
    </row>
    <row r="1559" spans="1:3" x14ac:dyDescent="0.25">
      <c r="A1559" t="str">
        <f>"13/11/2015"</f>
        <v>13/11/2015</v>
      </c>
      <c r="B1559" t="str">
        <f>"0.6522"</f>
        <v>0.6522</v>
      </c>
      <c r="C1559" t="str">
        <f>"0.6507"</f>
        <v>0.6507</v>
      </c>
    </row>
    <row r="1560" spans="1:3" x14ac:dyDescent="0.25">
      <c r="A1560" t="str">
        <f>"16/11/2015"</f>
        <v>16/11/2015</v>
      </c>
      <c r="B1560" t="str">
        <f>"0.649"</f>
        <v>0.649</v>
      </c>
      <c r="C1560" t="str">
        <f>"0.6475"</f>
        <v>0.6475</v>
      </c>
    </row>
    <row r="1561" spans="1:3" x14ac:dyDescent="0.25">
      <c r="A1561" t="str">
        <f>"17/11/2015"</f>
        <v>17/11/2015</v>
      </c>
      <c r="B1561" t="str">
        <f>"0.6468"</f>
        <v>0.6468</v>
      </c>
      <c r="C1561" t="str">
        <f>"0.6453"</f>
        <v>0.6453</v>
      </c>
    </row>
    <row r="1562" spans="1:3" x14ac:dyDescent="0.25">
      <c r="A1562" t="str">
        <f>"18/11/2015"</f>
        <v>18/11/2015</v>
      </c>
      <c r="B1562" t="str">
        <f>"0.647"</f>
        <v>0.647</v>
      </c>
      <c r="C1562" t="str">
        <f>"0.6455"</f>
        <v>0.6455</v>
      </c>
    </row>
    <row r="1563" spans="1:3" x14ac:dyDescent="0.25">
      <c r="A1563" t="str">
        <f>"19/11/2015"</f>
        <v>19/11/2015</v>
      </c>
      <c r="B1563" t="str">
        <f>"0.6564"</f>
        <v>0.6564</v>
      </c>
      <c r="C1563" t="str">
        <f>"0.655"</f>
        <v>0.655</v>
      </c>
    </row>
    <row r="1564" spans="1:3" x14ac:dyDescent="0.25">
      <c r="A1564" t="str">
        <f>"20/11/2015"</f>
        <v>20/11/2015</v>
      </c>
      <c r="B1564" t="str">
        <f>"0.6549"</f>
        <v>0.6549</v>
      </c>
      <c r="C1564" t="str">
        <f>"0.6535"</f>
        <v>0.6535</v>
      </c>
    </row>
    <row r="1565" spans="1:3" x14ac:dyDescent="0.25">
      <c r="A1565" t="str">
        <f>"23/11/2015"</f>
        <v>23/11/2015</v>
      </c>
      <c r="B1565" t="str">
        <f>"0.6517"</f>
        <v>0.6517</v>
      </c>
      <c r="C1565" t="str">
        <f>"0.6501"</f>
        <v>0.6501</v>
      </c>
    </row>
    <row r="1566" spans="1:3" x14ac:dyDescent="0.25">
      <c r="A1566" t="str">
        <f>"24/11/2015"</f>
        <v>24/11/2015</v>
      </c>
      <c r="B1566" t="str">
        <f>"0.6553"</f>
        <v>0.6553</v>
      </c>
      <c r="C1566" t="str">
        <f>"0.6538"</f>
        <v>0.6538</v>
      </c>
    </row>
    <row r="1567" spans="1:3" x14ac:dyDescent="0.25">
      <c r="A1567" t="str">
        <f>"26/11/2015"</f>
        <v>26/11/2015</v>
      </c>
      <c r="B1567" t="str">
        <f>"0.6567"</f>
        <v>0.6567</v>
      </c>
      <c r="C1567" t="str">
        <f>"0.6553"</f>
        <v>0.6553</v>
      </c>
    </row>
    <row r="1568" spans="1:3" x14ac:dyDescent="0.25">
      <c r="A1568" t="str">
        <f>"27/11/2015"</f>
        <v>27/11/2015</v>
      </c>
      <c r="B1568" t="str">
        <f>"0.6522"</f>
        <v>0.6522</v>
      </c>
      <c r="C1568" t="str">
        <f>"0.6506"</f>
        <v>0.6506</v>
      </c>
    </row>
    <row r="1569" spans="1:3" x14ac:dyDescent="0.25">
      <c r="A1569" t="str">
        <f>"30/11/2015"</f>
        <v>30/11/2015</v>
      </c>
      <c r="B1569" t="str">
        <f>"0.658"</f>
        <v>0.658</v>
      </c>
      <c r="C1569" t="str">
        <f>"0.6565"</f>
        <v>0.6565</v>
      </c>
    </row>
    <row r="1570" spans="1:3" x14ac:dyDescent="0.25">
      <c r="A1570" t="str">
        <f>"01/12/2015"</f>
        <v>01/12/2015</v>
      </c>
      <c r="B1570" t="str">
        <f>"0.6673"</f>
        <v>0.6673</v>
      </c>
      <c r="C1570" t="str">
        <f>"0.6658"</f>
        <v>0.6658</v>
      </c>
    </row>
    <row r="1571" spans="1:3" x14ac:dyDescent="0.25">
      <c r="A1571" t="str">
        <f>"02/12/2015"</f>
        <v>02/12/2015</v>
      </c>
      <c r="B1571" t="str">
        <f>"0.6635"</f>
        <v>0.6635</v>
      </c>
      <c r="C1571" t="str">
        <f>"0.662"</f>
        <v>0.662</v>
      </c>
    </row>
    <row r="1572" spans="1:3" x14ac:dyDescent="0.25">
      <c r="A1572" t="str">
        <f>"03/12/2015"</f>
        <v>03/12/2015</v>
      </c>
      <c r="B1572" t="str">
        <f>"0.6685"</f>
        <v>0.6685</v>
      </c>
      <c r="C1572" t="str">
        <f>"0.6671"</f>
        <v>0.6671</v>
      </c>
    </row>
    <row r="1573" spans="1:3" x14ac:dyDescent="0.25">
      <c r="A1573" t="str">
        <f>"04/12/2015"</f>
        <v>04/12/2015</v>
      </c>
      <c r="B1573" t="str">
        <f>"0.6737"</f>
        <v>0.6737</v>
      </c>
      <c r="C1573" t="str">
        <f>"0.6723"</f>
        <v>0.6723</v>
      </c>
    </row>
    <row r="1574" spans="1:3" x14ac:dyDescent="0.25">
      <c r="A1574" t="str">
        <f>"07/12/2015"</f>
        <v>07/12/2015</v>
      </c>
      <c r="B1574" t="str">
        <f>"0.6642"</f>
        <v>0.6642</v>
      </c>
      <c r="C1574" t="str">
        <f>"0.6627"</f>
        <v>0.6627</v>
      </c>
    </row>
    <row r="1575" spans="1:3" x14ac:dyDescent="0.25">
      <c r="A1575" t="str">
        <f>"08/12/2015"</f>
        <v>08/12/2015</v>
      </c>
      <c r="B1575" t="str">
        <f>"0.6641"</f>
        <v>0.6641</v>
      </c>
      <c r="C1575" t="str">
        <f>"0.6627"</f>
        <v>0.6627</v>
      </c>
    </row>
    <row r="1576" spans="1:3" x14ac:dyDescent="0.25">
      <c r="A1576" t="str">
        <f>"09/12/2015"</f>
        <v>09/12/2015</v>
      </c>
      <c r="B1576" t="str">
        <f>"0.6717"</f>
        <v>0.6717</v>
      </c>
      <c r="C1576" t="str">
        <f>"0.6703"</f>
        <v>0.6703</v>
      </c>
    </row>
    <row r="1577" spans="1:3" x14ac:dyDescent="0.25">
      <c r="A1577" t="str">
        <f>"10/12/2015"</f>
        <v>10/12/2015</v>
      </c>
      <c r="B1577" t="str">
        <f>"0.6752"</f>
        <v>0.6752</v>
      </c>
      <c r="C1577" t="str">
        <f>"0.6739"</f>
        <v>0.6739</v>
      </c>
    </row>
    <row r="1578" spans="1:3" x14ac:dyDescent="0.25">
      <c r="A1578" t="str">
        <f>"11/12/2015"</f>
        <v>11/12/2015</v>
      </c>
      <c r="B1578" t="str">
        <f>"0.6695"</f>
        <v>0.6695</v>
      </c>
      <c r="C1578" t="str">
        <f>"0.6682"</f>
        <v>0.6682</v>
      </c>
    </row>
    <row r="1579" spans="1:3" x14ac:dyDescent="0.25">
      <c r="A1579" t="str">
        <f>"14/12/2015"</f>
        <v>14/12/2015</v>
      </c>
      <c r="B1579" t="str">
        <f>"0.6754"</f>
        <v>0.6754</v>
      </c>
      <c r="C1579" t="str">
        <f>"0.6739"</f>
        <v>0.6739</v>
      </c>
    </row>
    <row r="1580" spans="1:3" x14ac:dyDescent="0.25">
      <c r="A1580" t="str">
        <f>"15/12/2015"</f>
        <v>15/12/2015</v>
      </c>
      <c r="B1580" t="str">
        <f>"0.6762"</f>
        <v>0.6762</v>
      </c>
      <c r="C1580" t="str">
        <f>"0.6748"</f>
        <v>0.6748</v>
      </c>
    </row>
    <row r="1581" spans="1:3" x14ac:dyDescent="0.25">
      <c r="A1581" t="str">
        <f>"16/12/2015"</f>
        <v>16/12/2015</v>
      </c>
      <c r="B1581" t="str">
        <f>"0.6792"</f>
        <v>0.6792</v>
      </c>
      <c r="C1581" t="str">
        <f>"0.6778"</f>
        <v>0.6778</v>
      </c>
    </row>
    <row r="1582" spans="1:3" x14ac:dyDescent="0.25">
      <c r="A1582" t="str">
        <f>"17/12/2015"</f>
        <v>17/12/2015</v>
      </c>
      <c r="B1582" t="str">
        <f>"0.6696"</f>
        <v>0.6696</v>
      </c>
      <c r="C1582" t="str">
        <f>"0.6648"</f>
        <v>0.6648</v>
      </c>
    </row>
    <row r="1583" spans="1:3" x14ac:dyDescent="0.25">
      <c r="A1583" t="str">
        <f>"18/12/2015"</f>
        <v>18/12/2015</v>
      </c>
      <c r="B1583" t="str">
        <f>"0.6719"</f>
        <v>0.6719</v>
      </c>
      <c r="C1583" t="str">
        <f>"0.6722"</f>
        <v>0.6722</v>
      </c>
    </row>
    <row r="1584" spans="1:3" x14ac:dyDescent="0.25">
      <c r="A1584" t="str">
        <f>"21/12/2015"</f>
        <v>21/12/2015</v>
      </c>
      <c r="B1584" t="str">
        <f>"0.6746"</f>
        <v>0.6746</v>
      </c>
      <c r="C1584" t="str">
        <f>"0.6732"</f>
        <v>0.6732</v>
      </c>
    </row>
    <row r="1585" spans="1:3" x14ac:dyDescent="0.25">
      <c r="A1585" t="str">
        <f>"22/12/2015"</f>
        <v>22/12/2015</v>
      </c>
      <c r="B1585" t="str">
        <f>"0.6818"</f>
        <v>0.6818</v>
      </c>
      <c r="C1585" t="str">
        <f>"0.6804"</f>
        <v>0.6804</v>
      </c>
    </row>
    <row r="1586" spans="1:3" x14ac:dyDescent="0.25">
      <c r="A1586" t="str">
        <f>"23/12/2015"</f>
        <v>23/12/2015</v>
      </c>
      <c r="B1586" t="str">
        <f>"0.6788"</f>
        <v>0.6788</v>
      </c>
      <c r="C1586" t="str">
        <f>"0.6775"</f>
        <v>0.6775</v>
      </c>
    </row>
    <row r="1587" spans="1:3" x14ac:dyDescent="0.25">
      <c r="A1587" t="str">
        <f>"28/12/2015"</f>
        <v>28/12/2015</v>
      </c>
      <c r="B1587" t="str">
        <f>"0.6835"</f>
        <v>0.6835</v>
      </c>
      <c r="C1587" t="str">
        <f>"0.6822"</f>
        <v>0.6822</v>
      </c>
    </row>
    <row r="1588" spans="1:3" x14ac:dyDescent="0.25">
      <c r="A1588" t="str">
        <f>"29/12/2015"</f>
        <v>29/12/2015</v>
      </c>
      <c r="B1588" t="str">
        <f>"0.6865"</f>
        <v>0.6865</v>
      </c>
      <c r="C1588" t="str">
        <f>"0.6852"</f>
        <v>0.6852</v>
      </c>
    </row>
    <row r="1589" spans="1:3" x14ac:dyDescent="0.25">
      <c r="A1589" t="str">
        <f>"30/12/2015"</f>
        <v>30/12/2015</v>
      </c>
      <c r="B1589" t="str">
        <f>"0.6858"</f>
        <v>0.6858</v>
      </c>
      <c r="C1589" t="str">
        <f>"0.6845"</f>
        <v>0.6845</v>
      </c>
    </row>
    <row r="1590" spans="1:3" x14ac:dyDescent="0.25">
      <c r="A1590" t="str">
        <f>"31/12/2015"</f>
        <v>31/12/2015</v>
      </c>
      <c r="B1590" t="str">
        <f>"0.6846"</f>
        <v>0.6846</v>
      </c>
      <c r="C1590" t="str">
        <f>"0.6831"</f>
        <v>0.6831</v>
      </c>
    </row>
    <row r="1591" spans="1:3" x14ac:dyDescent="0.25">
      <c r="A1591" t="str">
        <f>"01/01/2016"</f>
        <v>01/01/2016</v>
      </c>
      <c r="B1591" t="str">
        <f>"0.6836"</f>
        <v>0.6836</v>
      </c>
      <c r="C1591" t="str">
        <f>"0.6821"</f>
        <v>0.6821</v>
      </c>
    </row>
    <row r="1592" spans="1:3" x14ac:dyDescent="0.25">
      <c r="A1592" t="str">
        <f>"04/01/2016"</f>
        <v>04/01/2016</v>
      </c>
      <c r="B1592" t="str">
        <f>"0.676"</f>
        <v>0.676</v>
      </c>
      <c r="C1592" t="str">
        <f>"0.6746"</f>
        <v>0.6746</v>
      </c>
    </row>
    <row r="1593" spans="1:3" x14ac:dyDescent="0.25">
      <c r="A1593" t="str">
        <f>"05/01/2016"</f>
        <v>05/01/2016</v>
      </c>
      <c r="B1593" t="str">
        <f>"0.6711"</f>
        <v>0.6711</v>
      </c>
      <c r="C1593" t="str">
        <f>"0.6697"</f>
        <v>0.6697</v>
      </c>
    </row>
    <row r="1594" spans="1:3" x14ac:dyDescent="0.25">
      <c r="A1594" t="str">
        <f>"06/01/2016"</f>
        <v>06/01/2016</v>
      </c>
      <c r="B1594" t="str">
        <f>"0.6651"</f>
        <v>0.6651</v>
      </c>
      <c r="C1594" t="str">
        <f>"0.6638"</f>
        <v>0.6638</v>
      </c>
    </row>
    <row r="1595" spans="1:3" x14ac:dyDescent="0.25">
      <c r="A1595" t="str">
        <f>"07/01/2016"</f>
        <v>07/01/2016</v>
      </c>
      <c r="B1595" t="str">
        <f>"0.6635"</f>
        <v>0.6635</v>
      </c>
      <c r="C1595" t="str">
        <f>"0.6622"</f>
        <v>0.6622</v>
      </c>
    </row>
    <row r="1596" spans="1:3" x14ac:dyDescent="0.25">
      <c r="A1596" t="str">
        <f>"08/01/2016"</f>
        <v>08/01/2016</v>
      </c>
      <c r="B1596" t="str">
        <f>"0.6647"</f>
        <v>0.6647</v>
      </c>
      <c r="C1596" t="str">
        <f>"0.6634"</f>
        <v>0.6634</v>
      </c>
    </row>
    <row r="1597" spans="1:3" x14ac:dyDescent="0.25">
      <c r="A1597" t="str">
        <f>"11/01/2016"</f>
        <v>11/01/2016</v>
      </c>
      <c r="B1597" t="str">
        <f>"0.6532"</f>
        <v>0.6532</v>
      </c>
      <c r="C1597" t="str">
        <f>"0.6518"</f>
        <v>0.6518</v>
      </c>
    </row>
    <row r="1598" spans="1:3" x14ac:dyDescent="0.25">
      <c r="A1598" t="str">
        <f>"12/01/2016"</f>
        <v>12/01/2016</v>
      </c>
      <c r="B1598" t="str">
        <f>"0.6542"</f>
        <v>0.6542</v>
      </c>
      <c r="C1598" t="str">
        <f>"0.6529"</f>
        <v>0.6529</v>
      </c>
    </row>
    <row r="1599" spans="1:3" x14ac:dyDescent="0.25">
      <c r="A1599" t="str">
        <f>"13/01/2016"</f>
        <v>13/01/2016</v>
      </c>
      <c r="B1599" t="str">
        <f>"0.6556"</f>
        <v>0.6556</v>
      </c>
      <c r="C1599" t="str">
        <f>"0.6543"</f>
        <v>0.6543</v>
      </c>
    </row>
    <row r="1600" spans="1:3" x14ac:dyDescent="0.25">
      <c r="A1600" t="str">
        <f>"14/01/2016"</f>
        <v>14/01/2016</v>
      </c>
      <c r="B1600" t="str">
        <f>"0.6441"</f>
        <v>0.6441</v>
      </c>
      <c r="C1600" t="str">
        <f>"0.6428"</f>
        <v>0.6428</v>
      </c>
    </row>
    <row r="1601" spans="1:3" x14ac:dyDescent="0.25">
      <c r="A1601" t="str">
        <f>"15/01/2016"</f>
        <v>15/01/2016</v>
      </c>
      <c r="B1601" t="str">
        <f>"0.6396"</f>
        <v>0.6396</v>
      </c>
      <c r="C1601" t="str">
        <f>"0.6383"</f>
        <v>0.6383</v>
      </c>
    </row>
    <row r="1602" spans="1:3" x14ac:dyDescent="0.25">
      <c r="A1602" t="str">
        <f>"18/01/2016"</f>
        <v>18/01/2016</v>
      </c>
      <c r="B1602" t="str">
        <f>"0.6465"</f>
        <v>0.6465</v>
      </c>
      <c r="C1602" t="str">
        <f>"0.6452"</f>
        <v>0.6452</v>
      </c>
    </row>
    <row r="1603" spans="1:3" x14ac:dyDescent="0.25">
      <c r="A1603" t="str">
        <f>"19/01/2016"</f>
        <v>19/01/2016</v>
      </c>
      <c r="B1603" t="str">
        <f>"0.6492"</f>
        <v>0.6492</v>
      </c>
      <c r="C1603" t="str">
        <f>"0.6479"</f>
        <v>0.6479</v>
      </c>
    </row>
    <row r="1604" spans="1:3" x14ac:dyDescent="0.25">
      <c r="A1604" t="str">
        <f>"20/01/2016"</f>
        <v>20/01/2016</v>
      </c>
      <c r="B1604" t="str">
        <f>"0.6367"</f>
        <v>0.6367</v>
      </c>
      <c r="C1604" t="str">
        <f>"0.6355"</f>
        <v>0.6355</v>
      </c>
    </row>
    <row r="1605" spans="1:3" x14ac:dyDescent="0.25">
      <c r="A1605" t="str">
        <f>"21/01/2016"</f>
        <v>21/01/2016</v>
      </c>
      <c r="B1605" t="str">
        <f>"0.6425"</f>
        <v>0.6425</v>
      </c>
      <c r="C1605" t="str">
        <f>"0.6413"</f>
        <v>0.6413</v>
      </c>
    </row>
    <row r="1606" spans="1:3" x14ac:dyDescent="0.25">
      <c r="A1606" t="str">
        <f>"22/01/2016"</f>
        <v>22/01/2016</v>
      </c>
      <c r="B1606" t="str">
        <f>"0.6495"</f>
        <v>0.6495</v>
      </c>
      <c r="C1606" t="str">
        <f>"0.6482"</f>
        <v>0.6482</v>
      </c>
    </row>
    <row r="1607" spans="1:3" x14ac:dyDescent="0.25">
      <c r="A1607" t="str">
        <f>"25/01/2016"</f>
        <v>25/01/2016</v>
      </c>
      <c r="B1607" t="str">
        <f>"0.6481"</f>
        <v>0.6481</v>
      </c>
      <c r="C1607" t="str">
        <f>"0.6468"</f>
        <v>0.6468</v>
      </c>
    </row>
    <row r="1608" spans="1:3" x14ac:dyDescent="0.25">
      <c r="A1608" t="str">
        <f>"27/01/2016"</f>
        <v>27/01/2016</v>
      </c>
      <c r="B1608" t="str">
        <f>"0.6487"</f>
        <v>0.6487</v>
      </c>
      <c r="C1608" t="str">
        <f>"0.6475"</f>
        <v>0.6475</v>
      </c>
    </row>
    <row r="1609" spans="1:3" x14ac:dyDescent="0.25">
      <c r="A1609" t="str">
        <f>"28/01/2016"</f>
        <v>28/01/2016</v>
      </c>
      <c r="B1609" t="str">
        <f>"0.6455"</f>
        <v>0.6455</v>
      </c>
      <c r="C1609" t="str">
        <f>"0.6443"</f>
        <v>0.6443</v>
      </c>
    </row>
    <row r="1610" spans="1:3" x14ac:dyDescent="0.25">
      <c r="A1610" t="str">
        <f>"29/01/2016"</f>
        <v>29/01/2016</v>
      </c>
      <c r="B1610" t="str">
        <f>"0.6483"</f>
        <v>0.6483</v>
      </c>
      <c r="C1610" t="str">
        <f>"0.6471"</f>
        <v>0.6471</v>
      </c>
    </row>
    <row r="1611" spans="1:3" x14ac:dyDescent="0.25">
      <c r="A1611" t="str">
        <f>"01/02/2016"</f>
        <v>01/02/2016</v>
      </c>
      <c r="B1611" t="str">
        <f>"0.6465"</f>
        <v>0.6465</v>
      </c>
      <c r="C1611" t="str">
        <f>"0.6454"</f>
        <v>0.6454</v>
      </c>
    </row>
    <row r="1612" spans="1:3" x14ac:dyDescent="0.25">
      <c r="A1612" t="str">
        <f>"02/02/2016"</f>
        <v>02/02/2016</v>
      </c>
      <c r="B1612" t="str">
        <f>"0.649"</f>
        <v>0.649</v>
      </c>
      <c r="C1612" t="str">
        <f>"0.6479"</f>
        <v>0.6479</v>
      </c>
    </row>
    <row r="1613" spans="1:3" x14ac:dyDescent="0.25">
      <c r="A1613" t="str">
        <f>"03/02/2016"</f>
        <v>03/02/2016</v>
      </c>
      <c r="B1613" t="str">
        <f>"0.6592"</f>
        <v>0.6592</v>
      </c>
      <c r="C1613" t="str">
        <f>"0.658"</f>
        <v>0.658</v>
      </c>
    </row>
    <row r="1614" spans="1:3" x14ac:dyDescent="0.25">
      <c r="A1614" t="str">
        <f>"04/02/2016"</f>
        <v>04/02/2016</v>
      </c>
      <c r="B1614" t="str">
        <f>"0.6723"</f>
        <v>0.6723</v>
      </c>
      <c r="C1614" t="str">
        <f>"0.6711"</f>
        <v>0.6711</v>
      </c>
    </row>
    <row r="1615" spans="1:3" x14ac:dyDescent="0.25">
      <c r="A1615" t="str">
        <f>"05/02/2016"</f>
        <v>05/02/2016</v>
      </c>
      <c r="B1615" t="str">
        <f>"0.6691"</f>
        <v>0.6691</v>
      </c>
      <c r="C1615" t="str">
        <f>"0.6679"</f>
        <v>0.6679</v>
      </c>
    </row>
    <row r="1616" spans="1:3" x14ac:dyDescent="0.25">
      <c r="A1616" t="str">
        <f>"08/02/2016"</f>
        <v>08/02/2016</v>
      </c>
      <c r="B1616" t="str">
        <f>"0.6631"</f>
        <v>0.6631</v>
      </c>
      <c r="C1616" t="str">
        <f>"0.6619"</f>
        <v>0.6619</v>
      </c>
    </row>
    <row r="1617" spans="1:3" x14ac:dyDescent="0.25">
      <c r="A1617" t="str">
        <f>"09/02/2016"</f>
        <v>09/02/2016</v>
      </c>
      <c r="B1617" t="str">
        <f>"0.6607"</f>
        <v>0.6607</v>
      </c>
      <c r="C1617" t="str">
        <f>"0.6595"</f>
        <v>0.6595</v>
      </c>
    </row>
    <row r="1618" spans="1:3" x14ac:dyDescent="0.25">
      <c r="A1618" t="str">
        <f>"10/02/2016"</f>
        <v>10/02/2016</v>
      </c>
      <c r="B1618" t="str">
        <f>"0.6653"</f>
        <v>0.6653</v>
      </c>
      <c r="C1618" t="str">
        <f>"0.664"</f>
        <v>0.664</v>
      </c>
    </row>
    <row r="1619" spans="1:3" x14ac:dyDescent="0.25">
      <c r="A1619" t="str">
        <f>"11/02/2016"</f>
        <v>11/02/2016</v>
      </c>
      <c r="B1619" t="str">
        <f>"0.6647"</f>
        <v>0.6647</v>
      </c>
      <c r="C1619" t="str">
        <f>"0.6635"</f>
        <v>0.6635</v>
      </c>
    </row>
    <row r="1620" spans="1:3" x14ac:dyDescent="0.25">
      <c r="A1620" t="str">
        <f>"12/02/2016"</f>
        <v>12/02/2016</v>
      </c>
      <c r="B1620" t="str">
        <f>"0.667"</f>
        <v>0.667</v>
      </c>
      <c r="C1620" t="str">
        <f>"0.6658"</f>
        <v>0.6658</v>
      </c>
    </row>
    <row r="1621" spans="1:3" x14ac:dyDescent="0.25">
      <c r="A1621" t="str">
        <f>"15/02/2016"</f>
        <v>15/02/2016</v>
      </c>
      <c r="B1621" t="str">
        <f>"0.6654"</f>
        <v>0.6654</v>
      </c>
      <c r="C1621" t="str">
        <f>"0.6642"</f>
        <v>0.6642</v>
      </c>
    </row>
    <row r="1622" spans="1:3" x14ac:dyDescent="0.25">
      <c r="A1622" t="str">
        <f>"16/02/2016"</f>
        <v>16/02/2016</v>
      </c>
      <c r="B1622" t="str">
        <f>"0.6586"</f>
        <v>0.6586</v>
      </c>
      <c r="C1622" t="str">
        <f>"0.6574"</f>
        <v>0.6574</v>
      </c>
    </row>
    <row r="1623" spans="1:3" x14ac:dyDescent="0.25">
      <c r="A1623" t="str">
        <f>"17/02/2016"</f>
        <v>17/02/2016</v>
      </c>
      <c r="B1623" t="str">
        <f>"0.6593"</f>
        <v>0.6593</v>
      </c>
      <c r="C1623" t="str">
        <f>"0.658"</f>
        <v>0.658</v>
      </c>
    </row>
    <row r="1624" spans="1:3" x14ac:dyDescent="0.25">
      <c r="A1624" t="str">
        <f>"18/02/2016"</f>
        <v>18/02/2016</v>
      </c>
      <c r="B1624" t="str">
        <f>"0.6627"</f>
        <v>0.6627</v>
      </c>
      <c r="C1624" t="str">
        <f>"0.6615"</f>
        <v>0.6615</v>
      </c>
    </row>
    <row r="1625" spans="1:3" x14ac:dyDescent="0.25">
      <c r="A1625" t="str">
        <f>"22/02/2016"</f>
        <v>22/02/2016</v>
      </c>
      <c r="B1625" t="str">
        <f>"0.6663"</f>
        <v>0.6663</v>
      </c>
      <c r="C1625" t="str">
        <f>"0.6651"</f>
        <v>0.6651</v>
      </c>
    </row>
    <row r="1626" spans="1:3" x14ac:dyDescent="0.25">
      <c r="A1626" t="str">
        <f>"23/02/2016"</f>
        <v>23/02/2016</v>
      </c>
      <c r="B1626" t="str">
        <f>"0.6696"</f>
        <v>0.6696</v>
      </c>
      <c r="C1626" t="str">
        <f>"0.6683"</f>
        <v>0.6683</v>
      </c>
    </row>
    <row r="1627" spans="1:3" x14ac:dyDescent="0.25">
      <c r="A1627" t="str">
        <f>"24/02/2016"</f>
        <v>24/02/2016</v>
      </c>
      <c r="B1627" t="str">
        <f>"0.6619"</f>
        <v>0.6619</v>
      </c>
      <c r="C1627" t="str">
        <f>"0.6606"</f>
        <v>0.6606</v>
      </c>
    </row>
    <row r="1628" spans="1:3" x14ac:dyDescent="0.25">
      <c r="A1628" t="str">
        <f>"25/02/2016"</f>
        <v>25/02/2016</v>
      </c>
      <c r="B1628" t="str">
        <f>"0.6649"</f>
        <v>0.6649</v>
      </c>
      <c r="C1628" t="str">
        <f>"0.6637"</f>
        <v>0.6637</v>
      </c>
    </row>
    <row r="1629" spans="1:3" x14ac:dyDescent="0.25">
      <c r="A1629" t="str">
        <f>"26/02/2016"</f>
        <v>26/02/2016</v>
      </c>
      <c r="B1629" t="str">
        <f>"0.6767"</f>
        <v>0.6767</v>
      </c>
      <c r="C1629" t="str">
        <f>"0.6754"</f>
        <v>0.6754</v>
      </c>
    </row>
    <row r="1630" spans="1:3" x14ac:dyDescent="0.25">
      <c r="A1630" t="str">
        <f>"29/02/2016"</f>
        <v>29/02/2016</v>
      </c>
      <c r="B1630" t="str">
        <f>"0.6602"</f>
        <v>0.6602</v>
      </c>
      <c r="C1630" t="str">
        <f>"0.6589"</f>
        <v>0.6589</v>
      </c>
    </row>
    <row r="1631" spans="1:3" x14ac:dyDescent="0.25">
      <c r="A1631" t="str">
        <f>"01/03/2016"</f>
        <v>01/03/2016</v>
      </c>
      <c r="B1631" t="str">
        <f>"0.6601"</f>
        <v>0.6601</v>
      </c>
      <c r="C1631" t="str">
        <f>"0.6588"</f>
        <v>0.6588</v>
      </c>
    </row>
    <row r="1632" spans="1:3" x14ac:dyDescent="0.25">
      <c r="A1632" t="str">
        <f>"02/03/2016"</f>
        <v>02/03/2016</v>
      </c>
      <c r="B1632" t="str">
        <f>"0.6605"</f>
        <v>0.6605</v>
      </c>
      <c r="C1632" t="str">
        <f>"0.6593"</f>
        <v>0.6593</v>
      </c>
    </row>
    <row r="1633" spans="1:3" x14ac:dyDescent="0.25">
      <c r="A1633" t="str">
        <f>"03/03/2016"</f>
        <v>03/03/2016</v>
      </c>
      <c r="B1633" t="str">
        <f>"0.6694"</f>
        <v>0.6694</v>
      </c>
      <c r="C1633" t="str">
        <f>"0.6682"</f>
        <v>0.6682</v>
      </c>
    </row>
    <row r="1634" spans="1:3" x14ac:dyDescent="0.25">
      <c r="A1634" t="str">
        <f>"04/03/2016"</f>
        <v>04/03/2016</v>
      </c>
      <c r="B1634" t="str">
        <f>"0.6753"</f>
        <v>0.6753</v>
      </c>
      <c r="C1634" t="str">
        <f>"0.6741"</f>
        <v>0.6741</v>
      </c>
    </row>
    <row r="1635" spans="1:3" x14ac:dyDescent="0.25">
      <c r="A1635" t="str">
        <f>"08/03/2016"</f>
        <v>08/03/2016</v>
      </c>
      <c r="B1635" t="str">
        <f>"0.6768"</f>
        <v>0.6768</v>
      </c>
      <c r="C1635" t="str">
        <f>"0.6755"</f>
        <v>0.6755</v>
      </c>
    </row>
    <row r="1636" spans="1:3" x14ac:dyDescent="0.25">
      <c r="A1636" t="str">
        <f>"09/03/2016"</f>
        <v>09/03/2016</v>
      </c>
      <c r="B1636" t="str">
        <f>"0.6774"</f>
        <v>0.6774</v>
      </c>
      <c r="C1636" t="str">
        <f>"0.6761"</f>
        <v>0.6761</v>
      </c>
    </row>
    <row r="1637" spans="1:3" x14ac:dyDescent="0.25">
      <c r="A1637" t="str">
        <f>"10/03/2016"</f>
        <v>10/03/2016</v>
      </c>
      <c r="B1637" t="str">
        <f>"0.6663"</f>
        <v>0.6663</v>
      </c>
      <c r="C1637" t="str">
        <f>"0.6652"</f>
        <v>0.6652</v>
      </c>
    </row>
    <row r="1638" spans="1:3" x14ac:dyDescent="0.25">
      <c r="A1638" t="str">
        <f>"11/03/2016"</f>
        <v>11/03/2016</v>
      </c>
      <c r="B1638" t="str">
        <f>"0.6685"</f>
        <v>0.6685</v>
      </c>
      <c r="C1638" t="str">
        <f>"0.6673"</f>
        <v>0.6673</v>
      </c>
    </row>
    <row r="1639" spans="1:3" x14ac:dyDescent="0.25">
      <c r="A1639" t="str">
        <f>"14/03/2016"</f>
        <v>14/03/2016</v>
      </c>
      <c r="B1639" t="str">
        <f>"0.6707"</f>
        <v>0.6707</v>
      </c>
      <c r="C1639" t="str">
        <f>"0.6695"</f>
        <v>0.6695</v>
      </c>
    </row>
    <row r="1640" spans="1:3" x14ac:dyDescent="0.25">
      <c r="A1640" t="str">
        <f>"15/03/2016"</f>
        <v>15/03/2016</v>
      </c>
      <c r="B1640" t="str">
        <f>"0.665"</f>
        <v>0.665</v>
      </c>
      <c r="C1640" t="str">
        <f>"0.6638"</f>
        <v>0.6638</v>
      </c>
    </row>
    <row r="1641" spans="1:3" x14ac:dyDescent="0.25">
      <c r="A1641" t="str">
        <f>"16/03/2016"</f>
        <v>16/03/2016</v>
      </c>
      <c r="B1641" t="str">
        <f>"0.6613"</f>
        <v>0.6613</v>
      </c>
      <c r="C1641" t="str">
        <f>"0.6602"</f>
        <v>0.6602</v>
      </c>
    </row>
    <row r="1642" spans="1:3" x14ac:dyDescent="0.25">
      <c r="A1642" t="str">
        <f>"17/03/2016"</f>
        <v>17/03/2016</v>
      </c>
      <c r="B1642" t="str">
        <f>"0.6824"</f>
        <v>0.6824</v>
      </c>
      <c r="C1642" t="str">
        <f>"0.6812"</f>
        <v>0.6812</v>
      </c>
    </row>
    <row r="1643" spans="1:3" x14ac:dyDescent="0.25">
      <c r="A1643" t="str">
        <f>"18/03/2016"</f>
        <v>18/03/2016</v>
      </c>
      <c r="B1643" t="str">
        <f>"0.6804"</f>
        <v>0.6804</v>
      </c>
      <c r="C1643" t="str">
        <f>"0.6792"</f>
        <v>0.6792</v>
      </c>
    </row>
    <row r="1644" spans="1:3" x14ac:dyDescent="0.25">
      <c r="A1644" t="str">
        <f>"21/03/2016"</f>
        <v>21/03/2016</v>
      </c>
      <c r="B1644" t="str">
        <f>"0.6785"</f>
        <v>0.6785</v>
      </c>
      <c r="C1644" t="str">
        <f>"0.6772"</f>
        <v>0.6772</v>
      </c>
    </row>
    <row r="1645" spans="1:3" x14ac:dyDescent="0.25">
      <c r="A1645" t="str">
        <f>"22/03/2016"</f>
        <v>22/03/2016</v>
      </c>
      <c r="B1645" t="str">
        <f>"0.6746"</f>
        <v>0.6746</v>
      </c>
      <c r="C1645" t="str">
        <f>"0.6734"</f>
        <v>0.6734</v>
      </c>
    </row>
    <row r="1646" spans="1:3" x14ac:dyDescent="0.25">
      <c r="A1646" t="str">
        <f>"23/03/2016"</f>
        <v>23/03/2016</v>
      </c>
      <c r="B1646" t="str">
        <f>"0.672"</f>
        <v>0.672</v>
      </c>
      <c r="C1646" t="str">
        <f>"0.6709"</f>
        <v>0.6709</v>
      </c>
    </row>
    <row r="1647" spans="1:3" x14ac:dyDescent="0.25">
      <c r="A1647" t="str">
        <f>"28/03/2016"</f>
        <v>28/03/2016</v>
      </c>
      <c r="B1647" t="str">
        <f>"0.67"</f>
        <v>0.67</v>
      </c>
      <c r="C1647" t="str">
        <f>"0.6689"</f>
        <v>0.6689</v>
      </c>
    </row>
    <row r="1648" spans="1:3" x14ac:dyDescent="0.25">
      <c r="A1648" t="str">
        <f>"29/03/2016"</f>
        <v>29/03/2016</v>
      </c>
      <c r="B1648" t="str">
        <f>"0.6747"</f>
        <v>0.6747</v>
      </c>
      <c r="C1648" t="str">
        <f>"0.6736"</f>
        <v>0.6736</v>
      </c>
    </row>
    <row r="1649" spans="1:3" x14ac:dyDescent="0.25">
      <c r="A1649" t="str">
        <f>"30/03/2016"</f>
        <v>30/03/2016</v>
      </c>
      <c r="B1649" t="str">
        <f>"0.693"</f>
        <v>0.693</v>
      </c>
      <c r="C1649" t="str">
        <f>"0.6919"</f>
        <v>0.6919</v>
      </c>
    </row>
    <row r="1650" spans="1:3" x14ac:dyDescent="0.25">
      <c r="A1650" t="str">
        <f>"31/03/2016"</f>
        <v>31/03/2016</v>
      </c>
      <c r="B1650" t="str">
        <f>"0.6941"</f>
        <v>0.6941</v>
      </c>
      <c r="C1650" t="str">
        <f>"0.693"</f>
        <v>0.693</v>
      </c>
    </row>
    <row r="1651" spans="1:3" x14ac:dyDescent="0.25">
      <c r="A1651" t="str">
        <f>"04/04/2016"</f>
        <v>04/04/2016</v>
      </c>
      <c r="B1651" t="str">
        <f>"0.6848"</f>
        <v>0.6848</v>
      </c>
      <c r="C1651" t="str">
        <f>"0.6837"</f>
        <v>0.6837</v>
      </c>
    </row>
    <row r="1652" spans="1:3" x14ac:dyDescent="0.25">
      <c r="A1652" t="str">
        <f>"05/04/2016"</f>
        <v>05/04/2016</v>
      </c>
      <c r="B1652" t="str">
        <f>"0.6766"</f>
        <v>0.6766</v>
      </c>
      <c r="C1652" t="str">
        <f>"0.6754"</f>
        <v>0.6754</v>
      </c>
    </row>
    <row r="1653" spans="1:3" x14ac:dyDescent="0.25">
      <c r="A1653" t="str">
        <f>"06/04/2016"</f>
        <v>06/04/2016</v>
      </c>
      <c r="B1653" t="str">
        <f>"0.6779"</f>
        <v>0.6779</v>
      </c>
      <c r="C1653" t="str">
        <f>"0.6768"</f>
        <v>0.6768</v>
      </c>
    </row>
    <row r="1654" spans="1:3" x14ac:dyDescent="0.25">
      <c r="A1654" t="str">
        <f>"07/04/2016"</f>
        <v>07/04/2016</v>
      </c>
      <c r="B1654" t="str">
        <f>"0.6844"</f>
        <v>0.6844</v>
      </c>
      <c r="C1654" t="str">
        <f>"0.6833"</f>
        <v>0.6833</v>
      </c>
    </row>
    <row r="1655" spans="1:3" x14ac:dyDescent="0.25">
      <c r="A1655" t="str">
        <f>"11/04/2016"</f>
        <v>11/04/2016</v>
      </c>
      <c r="B1655" t="str">
        <f>"0.6835"</f>
        <v>0.6835</v>
      </c>
      <c r="C1655" t="str">
        <f>"0.6824"</f>
        <v>0.6824</v>
      </c>
    </row>
    <row r="1656" spans="1:3" x14ac:dyDescent="0.25">
      <c r="A1656" t="str">
        <f>"12/04/2016"</f>
        <v>12/04/2016</v>
      </c>
      <c r="B1656" t="str">
        <f>"0.6883"</f>
        <v>0.6883</v>
      </c>
      <c r="C1656" t="str">
        <f>"0.6871"</f>
        <v>0.6871</v>
      </c>
    </row>
    <row r="1657" spans="1:3" x14ac:dyDescent="0.25">
      <c r="A1657" t="str">
        <f>"13/04/2016"</f>
        <v>13/04/2016</v>
      </c>
      <c r="B1657" t="str">
        <f>"0.6939"</f>
        <v>0.6939</v>
      </c>
      <c r="C1657" t="str">
        <f>"0.6928"</f>
        <v>0.6928</v>
      </c>
    </row>
    <row r="1658" spans="1:3" x14ac:dyDescent="0.25">
      <c r="A1658" t="str">
        <f>"18/04/2016"</f>
        <v>18/04/2016</v>
      </c>
      <c r="B1658" t="str">
        <f>"0.694"</f>
        <v>0.694</v>
      </c>
      <c r="C1658" t="str">
        <f>"0.6929"</f>
        <v>0.6929</v>
      </c>
    </row>
    <row r="1659" spans="1:3" x14ac:dyDescent="0.25">
      <c r="A1659" t="str">
        <f>"20/04/2016"</f>
        <v>20/04/2016</v>
      </c>
      <c r="B1659" t="str">
        <f>"0.7011"</f>
        <v>0.7011</v>
      </c>
      <c r="C1659" t="str">
        <f>"0.6999"</f>
        <v>0.6999</v>
      </c>
    </row>
    <row r="1660" spans="1:3" x14ac:dyDescent="0.25">
      <c r="A1660" t="str">
        <f>"21/04/2016"</f>
        <v>21/04/2016</v>
      </c>
      <c r="B1660" t="str">
        <f>"0.6973"</f>
        <v>0.6973</v>
      </c>
      <c r="C1660" t="str">
        <f>"0.6962"</f>
        <v>0.6962</v>
      </c>
    </row>
    <row r="1661" spans="1:3" x14ac:dyDescent="0.25">
      <c r="A1661" t="str">
        <f>"22/04/2016"</f>
        <v>22/04/2016</v>
      </c>
      <c r="B1661" t="str">
        <f>"0.6888"</f>
        <v>0.6888</v>
      </c>
      <c r="C1661" t="str">
        <f>"0.6877"</f>
        <v>0.6877</v>
      </c>
    </row>
    <row r="1662" spans="1:3" x14ac:dyDescent="0.25">
      <c r="A1662" t="str">
        <f>"25/04/2016"</f>
        <v>25/04/2016</v>
      </c>
      <c r="B1662" t="str">
        <f>"0.6874"</f>
        <v>0.6874</v>
      </c>
      <c r="C1662" t="str">
        <f>"0.6863"</f>
        <v>0.6863</v>
      </c>
    </row>
    <row r="1663" spans="1:3" x14ac:dyDescent="0.25">
      <c r="A1663" t="str">
        <f>"26/04/2016"</f>
        <v>26/04/2016</v>
      </c>
      <c r="B1663" t="str">
        <f>"0.6879"</f>
        <v>0.6879</v>
      </c>
      <c r="C1663" t="str">
        <f>"0.6867"</f>
        <v>0.6867</v>
      </c>
    </row>
    <row r="1664" spans="1:3" x14ac:dyDescent="0.25">
      <c r="A1664" t="str">
        <f>"27/04/2016"</f>
        <v>27/04/2016</v>
      </c>
      <c r="B1664" t="str">
        <f>"0.685"</f>
        <v>0.685</v>
      </c>
      <c r="C1664" t="str">
        <f>"0.6839"</f>
        <v>0.6839</v>
      </c>
    </row>
    <row r="1665" spans="1:3" x14ac:dyDescent="0.25">
      <c r="A1665" t="str">
        <f>"28/04/2016"</f>
        <v>28/04/2016</v>
      </c>
      <c r="B1665" t="str">
        <f>"0.6956"</f>
        <v>0.6956</v>
      </c>
      <c r="C1665" t="str">
        <f>"0.6944"</f>
        <v>0.6944</v>
      </c>
    </row>
    <row r="1666" spans="1:3" x14ac:dyDescent="0.25">
      <c r="A1666" t="str">
        <f>"29/04/2016"</f>
        <v>29/04/2016</v>
      </c>
      <c r="B1666" t="str">
        <f>"0.6968"</f>
        <v>0.6968</v>
      </c>
      <c r="C1666" t="str">
        <f>"0.6956"</f>
        <v>0.6956</v>
      </c>
    </row>
    <row r="1667" spans="1:3" x14ac:dyDescent="0.25">
      <c r="A1667" t="str">
        <f>"02/05/2016"</f>
        <v>02/05/2016</v>
      </c>
      <c r="B1667" t="str">
        <f>"0.7016"</f>
        <v>0.7016</v>
      </c>
      <c r="C1667" t="str">
        <f>"0.7003"</f>
        <v>0.7003</v>
      </c>
    </row>
    <row r="1668" spans="1:3" x14ac:dyDescent="0.25">
      <c r="A1668" t="str">
        <f>"03/05/2016"</f>
        <v>03/05/2016</v>
      </c>
      <c r="B1668" t="str">
        <f>"0.7016"</f>
        <v>0.7016</v>
      </c>
      <c r="C1668" t="str">
        <f>"0.7004"</f>
        <v>0.7004</v>
      </c>
    </row>
    <row r="1669" spans="1:3" x14ac:dyDescent="0.25">
      <c r="A1669" t="str">
        <f>"04/05/2016"</f>
        <v>04/05/2016</v>
      </c>
      <c r="B1669" t="str">
        <f>"0.6907"</f>
        <v>0.6907</v>
      </c>
      <c r="C1669" t="str">
        <f>"0.6895"</f>
        <v>0.6895</v>
      </c>
    </row>
    <row r="1670" spans="1:3" x14ac:dyDescent="0.25">
      <c r="A1670" t="str">
        <f>"05/05/2016"</f>
        <v>05/05/2016</v>
      </c>
      <c r="B1670" t="str">
        <f>"0.6892"</f>
        <v>0.6892</v>
      </c>
      <c r="C1670" t="str">
        <f>"0.6881"</f>
        <v>0.6881</v>
      </c>
    </row>
    <row r="1671" spans="1:3" x14ac:dyDescent="0.25">
      <c r="A1671" t="str">
        <f>"06/05/2016"</f>
        <v>06/05/2016</v>
      </c>
      <c r="B1671" t="str">
        <f>"0.6838"</f>
        <v>0.6838</v>
      </c>
      <c r="C1671" t="str">
        <f>"0.6827"</f>
        <v>0.6827</v>
      </c>
    </row>
    <row r="1672" spans="1:3" x14ac:dyDescent="0.25">
      <c r="A1672" t="str">
        <f>"09/05/2016"</f>
        <v>09/05/2016</v>
      </c>
      <c r="B1672" t="str">
        <f>"0.6818"</f>
        <v>0.6818</v>
      </c>
      <c r="C1672" t="str">
        <f>"0.6806"</f>
        <v>0.6806</v>
      </c>
    </row>
    <row r="1673" spans="1:3" x14ac:dyDescent="0.25">
      <c r="A1673" t="str">
        <f>"10/05/2016"</f>
        <v>10/05/2016</v>
      </c>
      <c r="B1673" t="str">
        <f>"0.6716"</f>
        <v>0.6716</v>
      </c>
      <c r="C1673" t="str">
        <f>"0.6704"</f>
        <v>0.6704</v>
      </c>
    </row>
    <row r="1674" spans="1:3" x14ac:dyDescent="0.25">
      <c r="A1674" t="str">
        <f>"11/05/2016"</f>
        <v>11/05/2016</v>
      </c>
      <c r="B1674" t="str">
        <f>"0.6804"</f>
        <v>0.6804</v>
      </c>
      <c r="C1674" t="str">
        <f>"0.6793"</f>
        <v>0.6793</v>
      </c>
    </row>
    <row r="1675" spans="1:3" x14ac:dyDescent="0.25">
      <c r="A1675" t="str">
        <f>"12/05/2016"</f>
        <v>12/05/2016</v>
      </c>
      <c r="B1675" t="str">
        <f>"0.6812"</f>
        <v>0.6812</v>
      </c>
      <c r="C1675" t="str">
        <f>"0.6801"</f>
        <v>0.6801</v>
      </c>
    </row>
    <row r="1676" spans="1:3" x14ac:dyDescent="0.25">
      <c r="A1676" t="str">
        <f>"13/05/2016"</f>
        <v>13/05/2016</v>
      </c>
      <c r="B1676" t="str">
        <f>"0.6784"</f>
        <v>0.6784</v>
      </c>
      <c r="C1676" t="str">
        <f>"0.6773"</f>
        <v>0.6773</v>
      </c>
    </row>
    <row r="1677" spans="1:3" x14ac:dyDescent="0.25">
      <c r="A1677" t="str">
        <f>"16/05/2016"</f>
        <v>16/05/2016</v>
      </c>
      <c r="B1677" t="str">
        <f>"0.6801"</f>
        <v>0.6801</v>
      </c>
      <c r="C1677" t="str">
        <f>"0.6789"</f>
        <v>0.6789</v>
      </c>
    </row>
    <row r="1678" spans="1:3" x14ac:dyDescent="0.25">
      <c r="A1678" t="str">
        <f>"17/05/2016"</f>
        <v>17/05/2016</v>
      </c>
      <c r="B1678" t="str">
        <f>"0.6797"</f>
        <v>0.6797</v>
      </c>
      <c r="C1678" t="str">
        <f>"0.6785"</f>
        <v>0.6785</v>
      </c>
    </row>
    <row r="1679" spans="1:3" x14ac:dyDescent="0.25">
      <c r="A1679" t="str">
        <f>"18/05/2016"</f>
        <v>18/05/2016</v>
      </c>
      <c r="B1679" t="str">
        <f>"0.6784"</f>
        <v>0.6784</v>
      </c>
      <c r="C1679" t="str">
        <f>"0.6773"</f>
        <v>0.6773</v>
      </c>
    </row>
    <row r="1680" spans="1:3" x14ac:dyDescent="0.25">
      <c r="A1680" t="str">
        <f>"19/05/2016"</f>
        <v>19/05/2016</v>
      </c>
      <c r="B1680" t="str">
        <f>"0.6761"</f>
        <v>0.6761</v>
      </c>
      <c r="C1680" t="str">
        <f>"0.675"</f>
        <v>0.675</v>
      </c>
    </row>
    <row r="1681" spans="1:3" x14ac:dyDescent="0.25">
      <c r="A1681" t="str">
        <f>"20/05/2016"</f>
        <v>20/05/2016</v>
      </c>
      <c r="B1681" t="str">
        <f>"0.6758"</f>
        <v>0.6758</v>
      </c>
      <c r="C1681" t="str">
        <f>"0.6747"</f>
        <v>0.6747</v>
      </c>
    </row>
    <row r="1682" spans="1:3" x14ac:dyDescent="0.25">
      <c r="A1682" t="str">
        <f>"23/05/2016"</f>
        <v>23/05/2016</v>
      </c>
      <c r="B1682" t="str">
        <f>"0.678"</f>
        <v>0.678</v>
      </c>
      <c r="C1682" t="str">
        <f>"0.6768"</f>
        <v>0.6768</v>
      </c>
    </row>
    <row r="1683" spans="1:3" x14ac:dyDescent="0.25">
      <c r="A1683" t="str">
        <f>"24/05/2016"</f>
        <v>24/05/2016</v>
      </c>
      <c r="B1683" t="str">
        <f>"0.6718"</f>
        <v>0.6718</v>
      </c>
      <c r="C1683" t="str">
        <f>"0.6707"</f>
        <v>0.6707</v>
      </c>
    </row>
    <row r="1684" spans="1:3" x14ac:dyDescent="0.25">
      <c r="A1684" t="str">
        <f>"25/05/2016"</f>
        <v>25/05/2016</v>
      </c>
      <c r="B1684" t="str">
        <f>"0.6759"</f>
        <v>0.6759</v>
      </c>
      <c r="C1684" t="str">
        <f>"0.6748"</f>
        <v>0.6748</v>
      </c>
    </row>
    <row r="1685" spans="1:3" x14ac:dyDescent="0.25">
      <c r="A1685" t="str">
        <f>"26/05/2016"</f>
        <v>26/05/2016</v>
      </c>
      <c r="B1685" t="str">
        <f>"0.6737"</f>
        <v>0.6737</v>
      </c>
      <c r="C1685" t="str">
        <f>"0.6727"</f>
        <v>0.6727</v>
      </c>
    </row>
    <row r="1686" spans="1:3" x14ac:dyDescent="0.25">
      <c r="A1686" t="str">
        <f>"27/05/2016"</f>
        <v>27/05/2016</v>
      </c>
      <c r="B1686" t="str">
        <f>"0.6733"</f>
        <v>0.6733</v>
      </c>
      <c r="C1686" t="str">
        <f>"0.6723"</f>
        <v>0.6723</v>
      </c>
    </row>
    <row r="1687" spans="1:3" x14ac:dyDescent="0.25">
      <c r="A1687" t="str">
        <f>"30/05/2016"</f>
        <v>30/05/2016</v>
      </c>
      <c r="B1687" t="str">
        <f>"0.6701"</f>
        <v>0.6701</v>
      </c>
      <c r="C1687" t="str">
        <f>"0.6691"</f>
        <v>0.6691</v>
      </c>
    </row>
    <row r="1688" spans="1:3" x14ac:dyDescent="0.25">
      <c r="A1688" t="str">
        <f>"31/05/2016"</f>
        <v>31/05/2016</v>
      </c>
      <c r="B1688" t="str">
        <f>"0.6754"</f>
        <v>0.6754</v>
      </c>
      <c r="C1688" t="str">
        <f>"0.6742"</f>
        <v>0.6742</v>
      </c>
    </row>
    <row r="1689" spans="1:3" x14ac:dyDescent="0.25">
      <c r="A1689" t="str">
        <f>"01/06/2016"</f>
        <v>01/06/2016</v>
      </c>
      <c r="B1689" t="str">
        <f>"0.6828"</f>
        <v>0.6828</v>
      </c>
      <c r="C1689" t="str">
        <f>"0.6817"</f>
        <v>0.6817</v>
      </c>
    </row>
    <row r="1690" spans="1:3" x14ac:dyDescent="0.25">
      <c r="A1690" t="str">
        <f>"02/06/2016"</f>
        <v>02/06/2016</v>
      </c>
      <c r="B1690" t="str">
        <f>"0.6799"</f>
        <v>0.6799</v>
      </c>
      <c r="C1690" t="str">
        <f>"0.6788"</f>
        <v>0.6788</v>
      </c>
    </row>
    <row r="1691" spans="1:3" x14ac:dyDescent="0.25">
      <c r="A1691" t="str">
        <f>"03/06/2016"</f>
        <v>03/06/2016</v>
      </c>
      <c r="B1691" t="str">
        <f>"0.6847"</f>
        <v>0.6847</v>
      </c>
      <c r="C1691" t="str">
        <f>"0.6836"</f>
        <v>0.6836</v>
      </c>
    </row>
    <row r="1692" spans="1:3" x14ac:dyDescent="0.25">
      <c r="A1692" t="str">
        <f>"06/06/2016"</f>
        <v>06/06/2016</v>
      </c>
      <c r="B1692" t="str">
        <f>"0.6926"</f>
        <v>0.6926</v>
      </c>
      <c r="C1692" t="str">
        <f>"0.6915"</f>
        <v>0.6915</v>
      </c>
    </row>
    <row r="1693" spans="1:3" x14ac:dyDescent="0.25">
      <c r="A1693" t="str">
        <f>"07/06/2016"</f>
        <v>07/06/2016</v>
      </c>
      <c r="B1693" t="str">
        <f>"0.6957"</f>
        <v>0.6957</v>
      </c>
      <c r="C1693" t="str">
        <f>"0.6945"</f>
        <v>0.6945</v>
      </c>
    </row>
    <row r="1694" spans="1:3" x14ac:dyDescent="0.25">
      <c r="A1694" t="str">
        <f>"08/06/2016"</f>
        <v>08/06/2016</v>
      </c>
      <c r="B1694" t="str">
        <f>"0.7002"</f>
        <v>0.7002</v>
      </c>
      <c r="C1694" t="str">
        <f>"0.699"</f>
        <v>0.699</v>
      </c>
    </row>
    <row r="1695" spans="1:3" x14ac:dyDescent="0.25">
      <c r="A1695" t="str">
        <f>"09/06/2016"</f>
        <v>09/06/2016</v>
      </c>
      <c r="B1695" t="str">
        <f>"0.7106"</f>
        <v>0.7106</v>
      </c>
      <c r="C1695" t="str">
        <f>"0.7094"</f>
        <v>0.7094</v>
      </c>
    </row>
    <row r="1696" spans="1:3" x14ac:dyDescent="0.25">
      <c r="A1696" t="str">
        <f>"10/06/2016"</f>
        <v>10/06/2016</v>
      </c>
      <c r="B1696" t="str">
        <f>"0.709"</f>
        <v>0.709</v>
      </c>
      <c r="C1696" t="str">
        <f>"0.7079"</f>
        <v>0.7079</v>
      </c>
    </row>
    <row r="1697" spans="1:3" x14ac:dyDescent="0.25">
      <c r="A1697" t="str">
        <f>"13/06/2016"</f>
        <v>13/06/2016</v>
      </c>
      <c r="B1697" t="str">
        <f>"0.7072"</f>
        <v>0.7072</v>
      </c>
      <c r="C1697" t="str">
        <f>"0.7061"</f>
        <v>0.7061</v>
      </c>
    </row>
    <row r="1698" spans="1:3" x14ac:dyDescent="0.25">
      <c r="A1698" t="str">
        <f>"14/06/2016"</f>
        <v>14/06/2016</v>
      </c>
      <c r="B1698" t="str">
        <f>"0.7006"</f>
        <v>0.7006</v>
      </c>
      <c r="C1698" t="str">
        <f>"0.6994"</f>
        <v>0.6994</v>
      </c>
    </row>
    <row r="1699" spans="1:3" x14ac:dyDescent="0.25">
      <c r="A1699" t="str">
        <f>"15/06/2016"</f>
        <v>15/06/2016</v>
      </c>
      <c r="B1699" t="str">
        <f>"0.7019"</f>
        <v>0.7019</v>
      </c>
      <c r="C1699" t="str">
        <f>"0.7007"</f>
        <v>0.7007</v>
      </c>
    </row>
    <row r="1700" spans="1:3" x14ac:dyDescent="0.25">
      <c r="A1700" t="str">
        <f>"16/06/2016"</f>
        <v>16/06/2016</v>
      </c>
      <c r="B1700" t="str">
        <f>"0.7026"</f>
        <v>0.7026</v>
      </c>
      <c r="C1700" t="str">
        <f>"0.7015"</f>
        <v>0.7015</v>
      </c>
    </row>
    <row r="1701" spans="1:3" x14ac:dyDescent="0.25">
      <c r="A1701" t="str">
        <f>"17/06/2016"</f>
        <v>17/06/2016</v>
      </c>
      <c r="B1701" t="str">
        <f>"0.7049"</f>
        <v>0.7049</v>
      </c>
      <c r="C1701" t="str">
        <f>"0.7038"</f>
        <v>0.7038</v>
      </c>
    </row>
    <row r="1702" spans="1:3" x14ac:dyDescent="0.25">
      <c r="A1702" t="str">
        <f>"20/06/2016"</f>
        <v>20/06/2016</v>
      </c>
      <c r="B1702" t="str">
        <f>"0.7106"</f>
        <v>0.7106</v>
      </c>
      <c r="C1702" t="str">
        <f>"0.7095"</f>
        <v>0.7095</v>
      </c>
    </row>
    <row r="1703" spans="1:3" x14ac:dyDescent="0.25">
      <c r="A1703" t="str">
        <f>"21/06/2016"</f>
        <v>21/06/2016</v>
      </c>
      <c r="B1703" t="str">
        <f>"0.7148"</f>
        <v>0.7148</v>
      </c>
      <c r="C1703" t="str">
        <f>"0.7136"</f>
        <v>0.7136</v>
      </c>
    </row>
    <row r="1704" spans="1:3" x14ac:dyDescent="0.25">
      <c r="A1704" t="str">
        <f>"22/06/2016"</f>
        <v>22/06/2016</v>
      </c>
      <c r="B1704" t="str">
        <f>"0.7174"</f>
        <v>0.7174</v>
      </c>
      <c r="C1704" t="str">
        <f>"0.7162"</f>
        <v>0.7162</v>
      </c>
    </row>
    <row r="1705" spans="1:3" x14ac:dyDescent="0.25">
      <c r="A1705" t="str">
        <f>"23/06/2016"</f>
        <v>23/06/2016</v>
      </c>
      <c r="B1705" t="str">
        <f>"0.7221"</f>
        <v>0.7221</v>
      </c>
      <c r="C1705" t="str">
        <f>"0.7209"</f>
        <v>0.7209</v>
      </c>
    </row>
    <row r="1706" spans="1:3" x14ac:dyDescent="0.25">
      <c r="A1706" t="str">
        <f>"24/06/2016"</f>
        <v>24/06/2016</v>
      </c>
      <c r="B1706" t="str">
        <f>"0.7087"</f>
        <v>0.7087</v>
      </c>
      <c r="C1706" t="str">
        <f>"0.7075"</f>
        <v>0.7075</v>
      </c>
    </row>
    <row r="1707" spans="1:3" x14ac:dyDescent="0.25">
      <c r="A1707" t="str">
        <f>"27/06/2016"</f>
        <v>27/06/2016</v>
      </c>
      <c r="B1707" t="str">
        <f>"0.7057"</f>
        <v>0.7057</v>
      </c>
      <c r="C1707" t="str">
        <f>"0.7045"</f>
        <v>0.7045</v>
      </c>
    </row>
    <row r="1708" spans="1:3" x14ac:dyDescent="0.25">
      <c r="A1708" t="str">
        <f>"28/06/2016"</f>
        <v>28/06/2016</v>
      </c>
      <c r="B1708" t="str">
        <f>"0.706"</f>
        <v>0.706</v>
      </c>
      <c r="C1708" t="str">
        <f>"0.7049"</f>
        <v>0.7049</v>
      </c>
    </row>
    <row r="1709" spans="1:3" x14ac:dyDescent="0.25">
      <c r="A1709" t="str">
        <f>"29/06/2016"</f>
        <v>29/06/2016</v>
      </c>
      <c r="B1709" t="str">
        <f>"0.712"</f>
        <v>0.712</v>
      </c>
      <c r="C1709" t="str">
        <f>"0.7109"</f>
        <v>0.7109</v>
      </c>
    </row>
    <row r="1710" spans="1:3" x14ac:dyDescent="0.25">
      <c r="A1710" t="str">
        <f>"30/06/2016"</f>
        <v>30/06/2016</v>
      </c>
      <c r="B1710" t="str">
        <f>"0.7117"</f>
        <v>0.7117</v>
      </c>
      <c r="C1710" t="str">
        <f>"0.7106"</f>
        <v>0.7106</v>
      </c>
    </row>
    <row r="1711" spans="1:3" x14ac:dyDescent="0.25">
      <c r="A1711" t="str">
        <f>"01/07/2016"</f>
        <v>01/07/2016</v>
      </c>
      <c r="B1711" t="str">
        <f>"0.7177"</f>
        <v>0.7177</v>
      </c>
      <c r="C1711" t="str">
        <f>"0.7165"</f>
        <v>0.7165</v>
      </c>
    </row>
    <row r="1712" spans="1:3" x14ac:dyDescent="0.25">
      <c r="A1712" t="str">
        <f>"04/07/2016"</f>
        <v>04/07/2016</v>
      </c>
      <c r="B1712" t="str">
        <f>"0.7178"</f>
        <v>0.7178</v>
      </c>
      <c r="C1712" t="str">
        <f>"0.7166"</f>
        <v>0.7166</v>
      </c>
    </row>
    <row r="1713" spans="1:3" x14ac:dyDescent="0.25">
      <c r="A1713" t="str">
        <f>"05/07/2016"</f>
        <v>05/07/2016</v>
      </c>
      <c r="B1713" t="str">
        <f>"0.7189"</f>
        <v>0.7189</v>
      </c>
      <c r="C1713" t="str">
        <f>"0.7177"</f>
        <v>0.7177</v>
      </c>
    </row>
    <row r="1714" spans="1:3" x14ac:dyDescent="0.25">
      <c r="A1714" t="str">
        <f>"07/07/2016"</f>
        <v>07/07/2016</v>
      </c>
      <c r="B1714" t="str">
        <f>"0.7216"</f>
        <v>0.7216</v>
      </c>
      <c r="C1714" t="str">
        <f>"0.7205"</f>
        <v>0.7205</v>
      </c>
    </row>
    <row r="1715" spans="1:3" x14ac:dyDescent="0.25">
      <c r="A1715" t="str">
        <f>"08/07/2016"</f>
        <v>08/07/2016</v>
      </c>
      <c r="B1715" t="str">
        <f>"0.7276"</f>
        <v>0.7276</v>
      </c>
      <c r="C1715" t="str">
        <f>"0.7264"</f>
        <v>0.7264</v>
      </c>
    </row>
    <row r="1716" spans="1:3" x14ac:dyDescent="0.25">
      <c r="A1716" t="str">
        <f>"11/07/2016"</f>
        <v>11/07/2016</v>
      </c>
      <c r="B1716" t="str">
        <f>"0.725"</f>
        <v>0.725</v>
      </c>
      <c r="C1716" t="str">
        <f>"0.7238"</f>
        <v>0.7238</v>
      </c>
    </row>
    <row r="1717" spans="1:3" x14ac:dyDescent="0.25">
      <c r="A1717" t="str">
        <f>"12/07/2016"</f>
        <v>12/07/2016</v>
      </c>
      <c r="B1717" t="str">
        <f>"0.7304"</f>
        <v>0.7304</v>
      </c>
      <c r="C1717" t="str">
        <f>"0.7292"</f>
        <v>0.7292</v>
      </c>
    </row>
    <row r="1718" spans="1:3" x14ac:dyDescent="0.25">
      <c r="A1718" t="str">
        <f>"13/07/2016"</f>
        <v>13/07/2016</v>
      </c>
      <c r="B1718" t="str">
        <f>"0.7299"</f>
        <v>0.7299</v>
      </c>
      <c r="C1718" t="str">
        <f>"0.7287"</f>
        <v>0.7287</v>
      </c>
    </row>
    <row r="1719" spans="1:3" x14ac:dyDescent="0.25">
      <c r="A1719" t="str">
        <f>"14/07/2016"</f>
        <v>14/07/2016</v>
      </c>
      <c r="B1719" t="str">
        <f>"0.7207"</f>
        <v>0.7207</v>
      </c>
      <c r="C1719" t="str">
        <f>"0.7196"</f>
        <v>0.7196</v>
      </c>
    </row>
    <row r="1720" spans="1:3" x14ac:dyDescent="0.25">
      <c r="A1720" t="str">
        <f>"15/07/2016"</f>
        <v>15/07/2016</v>
      </c>
      <c r="B1720" t="str">
        <f>"0.714"</f>
        <v>0.714</v>
      </c>
      <c r="C1720" t="str">
        <f>"0.7129"</f>
        <v>0.7129</v>
      </c>
    </row>
    <row r="1721" spans="1:3" x14ac:dyDescent="0.25">
      <c r="A1721" t="str">
        <f>"18/07/2016"</f>
        <v>18/07/2016</v>
      </c>
      <c r="B1721" t="str">
        <f>"0.7099"</f>
        <v>0.7099</v>
      </c>
      <c r="C1721" t="str">
        <f>"0.7087"</f>
        <v>0.7087</v>
      </c>
    </row>
    <row r="1722" spans="1:3" x14ac:dyDescent="0.25">
      <c r="A1722" t="str">
        <f>"19/07/2016"</f>
        <v>19/07/2016</v>
      </c>
      <c r="B1722" t="str">
        <f>"0.7029"</f>
        <v>0.7029</v>
      </c>
      <c r="C1722" t="str">
        <f>"0.7018"</f>
        <v>0.7018</v>
      </c>
    </row>
    <row r="1723" spans="1:3" x14ac:dyDescent="0.25">
      <c r="A1723" t="str">
        <f>"20/07/2016"</f>
        <v>20/07/2016</v>
      </c>
      <c r="B1723" t="str">
        <f>"0.7027"</f>
        <v>0.7027</v>
      </c>
      <c r="C1723" t="str">
        <f>"0.7016"</f>
        <v>0.7016</v>
      </c>
    </row>
    <row r="1724" spans="1:3" x14ac:dyDescent="0.25">
      <c r="A1724" t="str">
        <f>"21/07/2016"</f>
        <v>21/07/2016</v>
      </c>
      <c r="B1724" t="str">
        <f>"0.6971"</f>
        <v>0.6971</v>
      </c>
      <c r="C1724" t="str">
        <f>"0.696"</f>
        <v>0.696</v>
      </c>
    </row>
    <row r="1725" spans="1:3" x14ac:dyDescent="0.25">
      <c r="A1725" t="str">
        <f>"22/07/2016"</f>
        <v>22/07/2016</v>
      </c>
      <c r="B1725" t="str">
        <f>"0.6987"</f>
        <v>0.6987</v>
      </c>
      <c r="C1725" t="str">
        <f>"0.6976"</f>
        <v>0.6976</v>
      </c>
    </row>
    <row r="1726" spans="1:3" x14ac:dyDescent="0.25">
      <c r="A1726" t="str">
        <f>"25/07/2016"</f>
        <v>25/07/2016</v>
      </c>
      <c r="B1726" t="str">
        <f>"0.6988"</f>
        <v>0.6988</v>
      </c>
      <c r="C1726" t="str">
        <f>"0.6977"</f>
        <v>0.6977</v>
      </c>
    </row>
    <row r="1727" spans="1:3" x14ac:dyDescent="0.25">
      <c r="A1727" t="str">
        <f>"26/07/2016"</f>
        <v>26/07/2016</v>
      </c>
      <c r="B1727" t="str">
        <f>"0.7064"</f>
        <v>0.7064</v>
      </c>
      <c r="C1727" t="str">
        <f>"0.7053"</f>
        <v>0.7053</v>
      </c>
    </row>
    <row r="1728" spans="1:3" x14ac:dyDescent="0.25">
      <c r="A1728" t="str">
        <f>"27/07/2016"</f>
        <v>27/07/2016</v>
      </c>
      <c r="B1728" t="str">
        <f>"0.7032"</f>
        <v>0.7032</v>
      </c>
      <c r="C1728" t="str">
        <f>"0.7021"</f>
        <v>0.7021</v>
      </c>
    </row>
    <row r="1729" spans="1:3" x14ac:dyDescent="0.25">
      <c r="A1729" t="str">
        <f>"28/07/2016"</f>
        <v>28/07/2016</v>
      </c>
      <c r="B1729" t="str">
        <f>"0.7115"</f>
        <v>0.7115</v>
      </c>
      <c r="C1729" t="str">
        <f>"0.7104"</f>
        <v>0.7104</v>
      </c>
    </row>
    <row r="1730" spans="1:3" x14ac:dyDescent="0.25">
      <c r="A1730" t="str">
        <f>"29/07/2016"</f>
        <v>29/07/2016</v>
      </c>
      <c r="B1730" t="str">
        <f>"0.7121"</f>
        <v>0.7121</v>
      </c>
      <c r="C1730" t="str">
        <f>"0.7111"</f>
        <v>0.7111</v>
      </c>
    </row>
    <row r="1731" spans="1:3" x14ac:dyDescent="0.25">
      <c r="A1731" t="str">
        <f>"01/08/2016"</f>
        <v>01/08/2016</v>
      </c>
      <c r="B1731" t="str">
        <f>"0.7185"</f>
        <v>0.7185</v>
      </c>
      <c r="C1731" t="str">
        <f>"0.7174"</f>
        <v>0.7174</v>
      </c>
    </row>
    <row r="1732" spans="1:3" x14ac:dyDescent="0.25">
      <c r="A1732" t="str">
        <f>"02/08/2016"</f>
        <v>02/08/2016</v>
      </c>
      <c r="B1732" t="str">
        <f>"0.7197"</f>
        <v>0.7197</v>
      </c>
      <c r="C1732" t="str">
        <f>"0.7186"</f>
        <v>0.7186</v>
      </c>
    </row>
    <row r="1733" spans="1:3" x14ac:dyDescent="0.25">
      <c r="A1733" t="str">
        <f>"03/08/2016"</f>
        <v>03/08/2016</v>
      </c>
      <c r="B1733" t="str">
        <f>"0.7181"</f>
        <v>0.7181</v>
      </c>
      <c r="C1733" t="str">
        <f>"0.717"</f>
        <v>0.717</v>
      </c>
    </row>
    <row r="1734" spans="1:3" x14ac:dyDescent="0.25">
      <c r="A1734" t="str">
        <f>"04/08/2016"</f>
        <v>04/08/2016</v>
      </c>
      <c r="B1734" t="str">
        <f>"0.7189"</f>
        <v>0.7189</v>
      </c>
      <c r="C1734" t="str">
        <f>"0.7179"</f>
        <v>0.7179</v>
      </c>
    </row>
    <row r="1735" spans="1:3" x14ac:dyDescent="0.25">
      <c r="A1735" t="str">
        <f>"05/08/2016"</f>
        <v>05/08/2016</v>
      </c>
      <c r="B1735" t="str">
        <f>"0.7196"</f>
        <v>0.7196</v>
      </c>
      <c r="C1735" t="str">
        <f>"0.7186"</f>
        <v>0.7186</v>
      </c>
    </row>
    <row r="1736" spans="1:3" x14ac:dyDescent="0.25">
      <c r="A1736" t="str">
        <f>"08/08/2016"</f>
        <v>08/08/2016</v>
      </c>
      <c r="B1736" t="str">
        <f>"0.7126"</f>
        <v>0.7126</v>
      </c>
      <c r="C1736" t="str">
        <f>"0.7115"</f>
        <v>0.7115</v>
      </c>
    </row>
    <row r="1737" spans="1:3" x14ac:dyDescent="0.25">
      <c r="A1737" t="str">
        <f>"09/08/2016"</f>
        <v>09/08/2016</v>
      </c>
      <c r="B1737" t="str">
        <f>"0.714"</f>
        <v>0.714</v>
      </c>
      <c r="C1737" t="str">
        <f>"0.713"</f>
        <v>0.713</v>
      </c>
    </row>
    <row r="1738" spans="1:3" x14ac:dyDescent="0.25">
      <c r="A1738" t="str">
        <f>"10/08/2016"</f>
        <v>10/08/2016</v>
      </c>
      <c r="B1738" t="str">
        <f>"0.7247"</f>
        <v>0.7247</v>
      </c>
      <c r="C1738" t="str">
        <f>"0.7237"</f>
        <v>0.7237</v>
      </c>
    </row>
    <row r="1739" spans="1:3" x14ac:dyDescent="0.25">
      <c r="A1739" t="str">
        <f>"11/08/2016"</f>
        <v>11/08/2016</v>
      </c>
      <c r="B1739" t="str">
        <f>"0.7251"</f>
        <v>0.7251</v>
      </c>
      <c r="C1739" t="str">
        <f>"0.7241"</f>
        <v>0.7241</v>
      </c>
    </row>
    <row r="1740" spans="1:3" x14ac:dyDescent="0.25">
      <c r="A1740" t="str">
        <f>"12/08/2016"</f>
        <v>12/08/2016</v>
      </c>
      <c r="B1740" t="str">
        <f>"0.7191"</f>
        <v>0.7191</v>
      </c>
      <c r="C1740" t="str">
        <f>"0.7181"</f>
        <v>0.7181</v>
      </c>
    </row>
    <row r="1741" spans="1:3" x14ac:dyDescent="0.25">
      <c r="A1741" t="str">
        <f>"16/08/2016"</f>
        <v>16/08/2016</v>
      </c>
      <c r="B1741" t="str">
        <f>"0.7301"</f>
        <v>0.7301</v>
      </c>
      <c r="C1741" t="str">
        <f>"0.729"</f>
        <v>0.729</v>
      </c>
    </row>
    <row r="1742" spans="1:3" x14ac:dyDescent="0.25">
      <c r="A1742" t="str">
        <f>"18/08/2016"</f>
        <v>18/08/2016</v>
      </c>
      <c r="B1742" t="str">
        <f>"0.7285"</f>
        <v>0.7285</v>
      </c>
      <c r="C1742" t="str">
        <f>"0.7275"</f>
        <v>0.7275</v>
      </c>
    </row>
    <row r="1743" spans="1:3" x14ac:dyDescent="0.25">
      <c r="A1743" t="str">
        <f>"19/08/2016"</f>
        <v>19/08/2016</v>
      </c>
      <c r="B1743" t="str">
        <f>"0.7254"</f>
        <v>0.7254</v>
      </c>
      <c r="C1743" t="str">
        <f>"0.7244"</f>
        <v>0.7244</v>
      </c>
    </row>
    <row r="1744" spans="1:3" x14ac:dyDescent="0.25">
      <c r="A1744" t="str">
        <f>"22/08/2016"</f>
        <v>22/08/2016</v>
      </c>
      <c r="B1744" t="str">
        <f>"0.7221"</f>
        <v>0.7221</v>
      </c>
      <c r="C1744" t="str">
        <f>"0.721"</f>
        <v>0.721</v>
      </c>
    </row>
    <row r="1745" spans="1:3" x14ac:dyDescent="0.25">
      <c r="A1745" t="str">
        <f>"23/08/2016"</f>
        <v>23/08/2016</v>
      </c>
      <c r="B1745" t="str">
        <f>"0.7326"</f>
        <v>0.7326</v>
      </c>
      <c r="C1745" t="str">
        <f>"0.7315"</f>
        <v>0.7315</v>
      </c>
    </row>
    <row r="1746" spans="1:3" x14ac:dyDescent="0.25">
      <c r="A1746" t="str">
        <f>"24/08/2016"</f>
        <v>24/08/2016</v>
      </c>
      <c r="B1746" t="str">
        <f>"0.7279"</f>
        <v>0.7279</v>
      </c>
      <c r="C1746" t="str">
        <f>"0.7269"</f>
        <v>0.7269</v>
      </c>
    </row>
    <row r="1747" spans="1:3" x14ac:dyDescent="0.25">
      <c r="A1747" t="str">
        <f>"25/08/2016"</f>
        <v>25/08/2016</v>
      </c>
      <c r="B1747" t="str">
        <f>"0.7307"</f>
        <v>0.7307</v>
      </c>
      <c r="C1747" t="str">
        <f>"0.7297"</f>
        <v>0.7297</v>
      </c>
    </row>
    <row r="1748" spans="1:3" x14ac:dyDescent="0.25">
      <c r="A1748" t="str">
        <f>"26/08/2016"</f>
        <v>26/08/2016</v>
      </c>
      <c r="B1748" t="str">
        <f>"0.7317"</f>
        <v>0.7317</v>
      </c>
      <c r="C1748" t="str">
        <f>"0.7307"</f>
        <v>0.7307</v>
      </c>
    </row>
    <row r="1749" spans="1:3" x14ac:dyDescent="0.25">
      <c r="A1749" t="str">
        <f>"29/08/2016"</f>
        <v>29/08/2016</v>
      </c>
      <c r="B1749" t="str">
        <f>"0.7234"</f>
        <v>0.7234</v>
      </c>
      <c r="C1749" t="str">
        <f>"0.7225"</f>
        <v>0.7225</v>
      </c>
    </row>
    <row r="1750" spans="1:3" x14ac:dyDescent="0.25">
      <c r="A1750" t="str">
        <f>"30/08/2016"</f>
        <v>30/08/2016</v>
      </c>
      <c r="B1750" t="str">
        <f>"0.7246"</f>
        <v>0.7246</v>
      </c>
      <c r="C1750" t="str">
        <f>"0.7236"</f>
        <v>0.7236</v>
      </c>
    </row>
    <row r="1751" spans="1:3" x14ac:dyDescent="0.25">
      <c r="A1751" t="str">
        <f>"31/08/2016"</f>
        <v>31/08/2016</v>
      </c>
      <c r="B1751" t="str">
        <f>"0.7249"</f>
        <v>0.7249</v>
      </c>
      <c r="C1751" t="str">
        <f>"0.7239"</f>
        <v>0.7239</v>
      </c>
    </row>
    <row r="1752" spans="1:3" x14ac:dyDescent="0.25">
      <c r="A1752" t="str">
        <f>"01/09/2016"</f>
        <v>01/09/2016</v>
      </c>
      <c r="B1752" t="str">
        <f>"0.7262"</f>
        <v>0.7262</v>
      </c>
      <c r="C1752" t="str">
        <f>"0.7252"</f>
        <v>0.7252</v>
      </c>
    </row>
    <row r="1753" spans="1:3" x14ac:dyDescent="0.25">
      <c r="A1753" t="str">
        <f>"02/09/2016"</f>
        <v>02/09/2016</v>
      </c>
      <c r="B1753" t="str">
        <f>"0.7302"</f>
        <v>0.7302</v>
      </c>
      <c r="C1753" t="str">
        <f>"0.7292"</f>
        <v>0.7292</v>
      </c>
    </row>
    <row r="1754" spans="1:3" x14ac:dyDescent="0.25">
      <c r="A1754" t="str">
        <f>"06/09/2016"</f>
        <v>06/09/2016</v>
      </c>
      <c r="B1754" t="str">
        <f>"0.7339"</f>
        <v>0.7339</v>
      </c>
      <c r="C1754" t="str">
        <f>"0.7329"</f>
        <v>0.7329</v>
      </c>
    </row>
    <row r="1755" spans="1:3" x14ac:dyDescent="0.25">
      <c r="A1755" t="str">
        <f>"07/09/2016"</f>
        <v>07/09/2016</v>
      </c>
      <c r="B1755" t="str">
        <f>"0.7464"</f>
        <v>0.7464</v>
      </c>
      <c r="C1755" t="str">
        <f>"0.7454"</f>
        <v>0.7454</v>
      </c>
    </row>
    <row r="1756" spans="1:3" x14ac:dyDescent="0.25">
      <c r="A1756" t="str">
        <f>"08/09/2016"</f>
        <v>08/09/2016</v>
      </c>
      <c r="B1756" t="str">
        <f>"0.7465"</f>
        <v>0.7465</v>
      </c>
      <c r="C1756" t="str">
        <f>"0.7456"</f>
        <v>0.7456</v>
      </c>
    </row>
    <row r="1757" spans="1:3" x14ac:dyDescent="0.25">
      <c r="A1757" t="str">
        <f>"09/09/2016"</f>
        <v>09/09/2016</v>
      </c>
      <c r="B1757" t="str">
        <f>"0.7402"</f>
        <v>0.7402</v>
      </c>
      <c r="C1757" t="str">
        <f>"0.7393"</f>
        <v>0.7393</v>
      </c>
    </row>
    <row r="1758" spans="1:3" x14ac:dyDescent="0.25">
      <c r="A1758" t="str">
        <f>"12/09/2016"</f>
        <v>12/09/2016</v>
      </c>
      <c r="B1758" t="str">
        <f>"0.7318"</f>
        <v>0.7318</v>
      </c>
      <c r="C1758" t="str">
        <f>"0.7309"</f>
        <v>0.7309</v>
      </c>
    </row>
    <row r="1759" spans="1:3" x14ac:dyDescent="0.25">
      <c r="A1759" t="str">
        <f>"14/09/2016"</f>
        <v>14/09/2016</v>
      </c>
      <c r="B1759" t="str">
        <f>"0.7263"</f>
        <v>0.7263</v>
      </c>
      <c r="C1759" t="str">
        <f>"0.7253"</f>
        <v>0.7253</v>
      </c>
    </row>
    <row r="1760" spans="1:3" x14ac:dyDescent="0.25">
      <c r="A1760" t="str">
        <f>"15/09/2016"</f>
        <v>15/09/2016</v>
      </c>
      <c r="B1760" t="str">
        <f>"0.7265"</f>
        <v>0.7265</v>
      </c>
      <c r="C1760" t="str">
        <f>"0.7256"</f>
        <v>0.7256</v>
      </c>
    </row>
    <row r="1761" spans="1:3" x14ac:dyDescent="0.25">
      <c r="A1761" t="str">
        <f>"16/09/2016"</f>
        <v>16/09/2016</v>
      </c>
      <c r="B1761" t="str">
        <f>"0.7302"</f>
        <v>0.7302</v>
      </c>
      <c r="C1761" t="str">
        <f>"0.7292"</f>
        <v>0.7292</v>
      </c>
    </row>
    <row r="1762" spans="1:3" x14ac:dyDescent="0.25">
      <c r="A1762" t="str">
        <f>"19/09/2016"</f>
        <v>19/09/2016</v>
      </c>
      <c r="B1762" t="str">
        <f>"0.7312"</f>
        <v>0.7312</v>
      </c>
      <c r="C1762" t="str">
        <f>"0.7303"</f>
        <v>0.7303</v>
      </c>
    </row>
    <row r="1763" spans="1:3" x14ac:dyDescent="0.25">
      <c r="A1763" t="str">
        <f>"20/09/2016"</f>
        <v>20/09/2016</v>
      </c>
      <c r="B1763" t="str">
        <f>"0.7344"</f>
        <v>0.7344</v>
      </c>
      <c r="C1763" t="str">
        <f>"0.7334"</f>
        <v>0.7334</v>
      </c>
    </row>
    <row r="1764" spans="1:3" x14ac:dyDescent="0.25">
      <c r="A1764" t="str">
        <f>"21/09/2016"</f>
        <v>21/09/2016</v>
      </c>
      <c r="B1764" t="str">
        <f>"0.7329"</f>
        <v>0.7329</v>
      </c>
      <c r="C1764" t="str">
        <f>"0.7319"</f>
        <v>0.7319</v>
      </c>
    </row>
    <row r="1765" spans="1:3" x14ac:dyDescent="0.25">
      <c r="A1765" t="str">
        <f>"22/09/2016"</f>
        <v>22/09/2016</v>
      </c>
      <c r="B1765" t="str">
        <f>"0.7325"</f>
        <v>0.7325</v>
      </c>
      <c r="C1765" t="str">
        <f>"0.7316"</f>
        <v>0.7316</v>
      </c>
    </row>
    <row r="1766" spans="1:3" x14ac:dyDescent="0.25">
      <c r="A1766" t="str">
        <f>"23/09/2016"</f>
        <v>23/09/2016</v>
      </c>
      <c r="B1766" t="str">
        <f>"0.7261"</f>
        <v>0.7261</v>
      </c>
      <c r="C1766" t="str">
        <f>"0.7252"</f>
        <v>0.7252</v>
      </c>
    </row>
    <row r="1767" spans="1:3" x14ac:dyDescent="0.25">
      <c r="A1767" t="str">
        <f>"26/09/2016"</f>
        <v>26/09/2016</v>
      </c>
      <c r="B1767" t="str">
        <f>"0.726"</f>
        <v>0.726</v>
      </c>
      <c r="C1767" t="str">
        <f>"0.7251"</f>
        <v>0.7251</v>
      </c>
    </row>
    <row r="1768" spans="1:3" x14ac:dyDescent="0.25">
      <c r="A1768" t="str">
        <f>"27/09/2016"</f>
        <v>27/09/2016</v>
      </c>
      <c r="B1768" t="str">
        <f>"0.7301"</f>
        <v>0.7301</v>
      </c>
      <c r="C1768" t="str">
        <f>"0.7291"</f>
        <v>0.7291</v>
      </c>
    </row>
    <row r="1769" spans="1:3" x14ac:dyDescent="0.25">
      <c r="A1769" t="str">
        <f>"28/09/2016"</f>
        <v>28/09/2016</v>
      </c>
      <c r="B1769" t="str">
        <f>"0.7245"</f>
        <v>0.7245</v>
      </c>
      <c r="C1769" t="str">
        <f>"0.7235"</f>
        <v>0.7235</v>
      </c>
    </row>
    <row r="1770" spans="1:3" x14ac:dyDescent="0.25">
      <c r="A1770" t="str">
        <f>"29/09/2016"</f>
        <v>29/09/2016</v>
      </c>
      <c r="B1770" t="str">
        <f>"0.7297"</f>
        <v>0.7297</v>
      </c>
      <c r="C1770" t="str">
        <f>"0.7287"</f>
        <v>0.7287</v>
      </c>
    </row>
    <row r="1771" spans="1:3" x14ac:dyDescent="0.25">
      <c r="A1771" t="str">
        <f>"30/09/2016"</f>
        <v>30/09/2016</v>
      </c>
      <c r="B1771" t="str">
        <f>"0.7274"</f>
        <v>0.7274</v>
      </c>
      <c r="C1771" t="str">
        <f>"0.7265"</f>
        <v>0.7265</v>
      </c>
    </row>
    <row r="1772" spans="1:3" x14ac:dyDescent="0.25">
      <c r="A1772" t="str">
        <f>"03/10/2016"</f>
        <v>03/10/2016</v>
      </c>
      <c r="B1772" t="str">
        <f>"0.7275"</f>
        <v>0.7275</v>
      </c>
      <c r="C1772" t="str">
        <f>"0.7265"</f>
        <v>0.7265</v>
      </c>
    </row>
    <row r="1773" spans="1:3" x14ac:dyDescent="0.25">
      <c r="A1773" t="str">
        <f>"04/10/2016"</f>
        <v>04/10/2016</v>
      </c>
      <c r="B1773" t="str">
        <f>"0.7281"</f>
        <v>0.7281</v>
      </c>
      <c r="C1773" t="str">
        <f>"0.7271"</f>
        <v>0.7271</v>
      </c>
    </row>
    <row r="1774" spans="1:3" x14ac:dyDescent="0.25">
      <c r="A1774" t="str">
        <f>"05/10/2016"</f>
        <v>05/10/2016</v>
      </c>
      <c r="B1774" t="str">
        <f>"0.7182"</f>
        <v>0.7182</v>
      </c>
      <c r="C1774" t="str">
        <f>"0.7172"</f>
        <v>0.7172</v>
      </c>
    </row>
    <row r="1775" spans="1:3" x14ac:dyDescent="0.25">
      <c r="A1775" t="str">
        <f>"06/10/2016"</f>
        <v>06/10/2016</v>
      </c>
      <c r="B1775" t="str">
        <f>"0.7147"</f>
        <v>0.7147</v>
      </c>
      <c r="C1775" t="str">
        <f>"0.7137"</f>
        <v>0.7137</v>
      </c>
    </row>
    <row r="1776" spans="1:3" x14ac:dyDescent="0.25">
      <c r="A1776" t="str">
        <f>"07/10/2016"</f>
        <v>07/10/2016</v>
      </c>
      <c r="B1776" t="str">
        <f>"0.7136"</f>
        <v>0.7136</v>
      </c>
      <c r="C1776" t="str">
        <f>"0.7126"</f>
        <v>0.7126</v>
      </c>
    </row>
    <row r="1777" spans="1:3" x14ac:dyDescent="0.25">
      <c r="A1777" t="str">
        <f>"10/10/2016"</f>
        <v>10/10/2016</v>
      </c>
      <c r="B1777" t="str">
        <f>"0.7138"</f>
        <v>0.7138</v>
      </c>
      <c r="C1777" t="str">
        <f>"0.7128"</f>
        <v>0.7128</v>
      </c>
    </row>
    <row r="1778" spans="1:3" x14ac:dyDescent="0.25">
      <c r="A1778" t="str">
        <f>"13/10/2016"</f>
        <v>13/10/2016</v>
      </c>
      <c r="B1778" t="str">
        <f>"0.7066"</f>
        <v>0.7066</v>
      </c>
      <c r="C1778" t="str">
        <f>"0.7056"</f>
        <v>0.7056</v>
      </c>
    </row>
    <row r="1779" spans="1:3" x14ac:dyDescent="0.25">
      <c r="A1779" t="str">
        <f>"14/10/2016"</f>
        <v>14/10/2016</v>
      </c>
      <c r="B1779" t="str">
        <f>"0.7098"</f>
        <v>0.7098</v>
      </c>
      <c r="C1779" t="str">
        <f>"0.7088"</f>
        <v>0.7088</v>
      </c>
    </row>
    <row r="1780" spans="1:3" x14ac:dyDescent="0.25">
      <c r="A1780" t="str">
        <f>"17/10/2016"</f>
        <v>17/10/2016</v>
      </c>
      <c r="B1780" t="str">
        <f>"0.7122"</f>
        <v>0.7122</v>
      </c>
      <c r="C1780" t="str">
        <f>"0.7112"</f>
        <v>0.7112</v>
      </c>
    </row>
    <row r="1781" spans="1:3" x14ac:dyDescent="0.25">
      <c r="A1781" t="str">
        <f>"18/10/2016"</f>
        <v>18/10/2016</v>
      </c>
      <c r="B1781" t="str">
        <f>"0.7181"</f>
        <v>0.7181</v>
      </c>
      <c r="C1781" t="str">
        <f>"0.7171"</f>
        <v>0.7171</v>
      </c>
    </row>
    <row r="1782" spans="1:3" x14ac:dyDescent="0.25">
      <c r="A1782" t="str">
        <f>"19/10/2016"</f>
        <v>19/10/2016</v>
      </c>
      <c r="B1782" t="str">
        <f>"0.7199"</f>
        <v>0.7199</v>
      </c>
      <c r="C1782" t="str">
        <f>"0.7189"</f>
        <v>0.7189</v>
      </c>
    </row>
    <row r="1783" spans="1:3" x14ac:dyDescent="0.25">
      <c r="A1783" t="str">
        <f>"20/10/2016"</f>
        <v>20/10/2016</v>
      </c>
      <c r="B1783" t="str">
        <f>"0.7232"</f>
        <v>0.7232</v>
      </c>
      <c r="C1783" t="str">
        <f>"0.7223"</f>
        <v>0.7223</v>
      </c>
    </row>
    <row r="1784" spans="1:3" x14ac:dyDescent="0.25">
      <c r="A1784" t="str">
        <f>"21/10/2016"</f>
        <v>21/10/2016</v>
      </c>
      <c r="B1784" t="str">
        <f>"0.7169"</f>
        <v>0.7169</v>
      </c>
      <c r="C1784" t="str">
        <f>"0.7159"</f>
        <v>0.7159</v>
      </c>
    </row>
    <row r="1785" spans="1:3" x14ac:dyDescent="0.25">
      <c r="A1785" t="str">
        <f>"24/10/2016"</f>
        <v>24/10/2016</v>
      </c>
      <c r="B1785" t="str">
        <f>"0.7157"</f>
        <v>0.7157</v>
      </c>
      <c r="C1785" t="str">
        <f>"0.7148"</f>
        <v>0.7148</v>
      </c>
    </row>
    <row r="1786" spans="1:3" x14ac:dyDescent="0.25">
      <c r="A1786" t="str">
        <f>"25/10/2016"</f>
        <v>25/10/2016</v>
      </c>
      <c r="B1786" t="str">
        <f>"0.7147"</f>
        <v>0.7147</v>
      </c>
      <c r="C1786" t="str">
        <f>"0.7138"</f>
        <v>0.7138</v>
      </c>
    </row>
    <row r="1787" spans="1:3" x14ac:dyDescent="0.25">
      <c r="A1787" t="str">
        <f>"26/10/2016"</f>
        <v>26/10/2016</v>
      </c>
      <c r="B1787" t="str">
        <f>"0.7164"</f>
        <v>0.7164</v>
      </c>
      <c r="C1787" t="str">
        <f>"0.7155"</f>
        <v>0.7155</v>
      </c>
    </row>
    <row r="1788" spans="1:3" x14ac:dyDescent="0.25">
      <c r="A1788" t="str">
        <f>"27/10/2016"</f>
        <v>27/10/2016</v>
      </c>
      <c r="B1788" t="str">
        <f>"0.7153"</f>
        <v>0.7153</v>
      </c>
      <c r="C1788" t="str">
        <f>"0.7145"</f>
        <v>0.7145</v>
      </c>
    </row>
    <row r="1789" spans="1:3" x14ac:dyDescent="0.25">
      <c r="A1789" t="str">
        <f>"28/10/2016"</f>
        <v>28/10/2016</v>
      </c>
      <c r="B1789" t="str">
        <f>"0.7138"</f>
        <v>0.7138</v>
      </c>
      <c r="C1789" t="str">
        <f>"0.713"</f>
        <v>0.713</v>
      </c>
    </row>
    <row r="1790" spans="1:3" x14ac:dyDescent="0.25">
      <c r="A1790" t="str">
        <f>"01/11/2016"</f>
        <v>01/11/2016</v>
      </c>
      <c r="B1790" t="str">
        <f>"0.716"</f>
        <v>0.716</v>
      </c>
      <c r="C1790" t="str">
        <f>"0.7151"</f>
        <v>0.7151</v>
      </c>
    </row>
    <row r="1791" spans="1:3" x14ac:dyDescent="0.25">
      <c r="A1791" t="str">
        <f>"02/11/2016"</f>
        <v>02/11/2016</v>
      </c>
      <c r="B1791" t="str">
        <f>"0.723"</f>
        <v>0.723</v>
      </c>
      <c r="C1791" t="str">
        <f>"0.7221"</f>
        <v>0.7221</v>
      </c>
    </row>
    <row r="1792" spans="1:3" x14ac:dyDescent="0.25">
      <c r="A1792" t="str">
        <f>"03/11/2016"</f>
        <v>03/11/2016</v>
      </c>
      <c r="B1792" t="str">
        <f>"0.7306"</f>
        <v>0.7306</v>
      </c>
      <c r="C1792" t="str">
        <f>"0.7297"</f>
        <v>0.7297</v>
      </c>
    </row>
    <row r="1793" spans="1:3" x14ac:dyDescent="0.25">
      <c r="A1793" t="str">
        <f>"04/11/2016"</f>
        <v>04/11/2016</v>
      </c>
      <c r="B1793" t="str">
        <f>"0.7315"</f>
        <v>0.7315</v>
      </c>
      <c r="C1793" t="str">
        <f>"0.7306"</f>
        <v>0.7306</v>
      </c>
    </row>
    <row r="1794" spans="1:3" x14ac:dyDescent="0.25">
      <c r="A1794" t="str">
        <f>"07/11/2016"</f>
        <v>07/11/2016</v>
      </c>
      <c r="B1794" t="str">
        <f>"0.7309"</f>
        <v>0.7309</v>
      </c>
      <c r="C1794" t="str">
        <f>"0.73"</f>
        <v>0.73</v>
      </c>
    </row>
    <row r="1795" spans="1:3" x14ac:dyDescent="0.25">
      <c r="A1795" t="str">
        <f>"08/11/2016"</f>
        <v>08/11/2016</v>
      </c>
      <c r="B1795" t="str">
        <f>"0.7328"</f>
        <v>0.7328</v>
      </c>
      <c r="C1795" t="str">
        <f>"0.7319"</f>
        <v>0.7319</v>
      </c>
    </row>
    <row r="1796" spans="1:3" x14ac:dyDescent="0.25">
      <c r="A1796" t="str">
        <f>"09/11/2016"</f>
        <v>09/11/2016</v>
      </c>
      <c r="B1796" t="str">
        <f>"0.7306"</f>
        <v>0.7306</v>
      </c>
      <c r="C1796" t="str">
        <f>"0.7297"</f>
        <v>0.7297</v>
      </c>
    </row>
    <row r="1797" spans="1:3" x14ac:dyDescent="0.25">
      <c r="A1797" t="str">
        <f>"10/11/2016"</f>
        <v>10/11/2016</v>
      </c>
      <c r="B1797" t="str">
        <f>"0.7257"</f>
        <v>0.7257</v>
      </c>
      <c r="C1797" t="str">
        <f>"0.7249"</f>
        <v>0.7249</v>
      </c>
    </row>
    <row r="1798" spans="1:3" x14ac:dyDescent="0.25">
      <c r="A1798" t="str">
        <f>"11/11/2016"</f>
        <v>11/11/2016</v>
      </c>
      <c r="B1798" t="str">
        <f>"0.7216"</f>
        <v>0.7216</v>
      </c>
      <c r="C1798" t="str">
        <f>"0.7208"</f>
        <v>0.7208</v>
      </c>
    </row>
    <row r="1799" spans="1:3" x14ac:dyDescent="0.25">
      <c r="A1799" t="str">
        <f>"15/11/2016"</f>
        <v>15/11/2016</v>
      </c>
      <c r="B1799" t="str">
        <f>"0.7116"</f>
        <v>0.7116</v>
      </c>
      <c r="C1799" t="str">
        <f>"0.7107"</f>
        <v>0.7107</v>
      </c>
    </row>
    <row r="1800" spans="1:3" x14ac:dyDescent="0.25">
      <c r="A1800" t="str">
        <f>"16/11/2016"</f>
        <v>16/11/2016</v>
      </c>
      <c r="B1800" t="str">
        <f>"0.7055"</f>
        <v>0.7055</v>
      </c>
      <c r="C1800" t="str">
        <f>"0.7046"</f>
        <v>0.7046</v>
      </c>
    </row>
    <row r="1801" spans="1:3" x14ac:dyDescent="0.25">
      <c r="A1801" t="str">
        <f>"17/11/2016"</f>
        <v>17/11/2016</v>
      </c>
      <c r="B1801" t="str">
        <f>"0.7095"</f>
        <v>0.7095</v>
      </c>
      <c r="C1801" t="str">
        <f>"0.7087"</f>
        <v>0.7087</v>
      </c>
    </row>
    <row r="1802" spans="1:3" x14ac:dyDescent="0.25">
      <c r="A1802" t="str">
        <f>"18/11/2016"</f>
        <v>18/11/2016</v>
      </c>
      <c r="B1802" t="str">
        <f>"0.7046"</f>
        <v>0.7046</v>
      </c>
      <c r="C1802" t="str">
        <f>"0.7038"</f>
        <v>0.7038</v>
      </c>
    </row>
    <row r="1803" spans="1:3" x14ac:dyDescent="0.25">
      <c r="A1803" t="str">
        <f>"21/11/2016"</f>
        <v>21/11/2016</v>
      </c>
      <c r="B1803" t="str">
        <f>"0.7002"</f>
        <v>0.7002</v>
      </c>
      <c r="C1803" t="str">
        <f>"0.6994"</f>
        <v>0.6994</v>
      </c>
    </row>
    <row r="1804" spans="1:3" x14ac:dyDescent="0.25">
      <c r="A1804" t="str">
        <f>"22/11/2016"</f>
        <v>22/11/2016</v>
      </c>
      <c r="B1804" t="str">
        <f>"0.7063"</f>
        <v>0.7063</v>
      </c>
      <c r="C1804" t="str">
        <f>"0.7055"</f>
        <v>0.7055</v>
      </c>
    </row>
    <row r="1805" spans="1:3" x14ac:dyDescent="0.25">
      <c r="A1805" t="str">
        <f>"23/11/2016"</f>
        <v>23/11/2016</v>
      </c>
      <c r="B1805" t="str">
        <f>"0.7062"</f>
        <v>0.7062</v>
      </c>
      <c r="C1805" t="str">
        <f>"0.7054"</f>
        <v>0.7054</v>
      </c>
    </row>
    <row r="1806" spans="1:3" x14ac:dyDescent="0.25">
      <c r="A1806" t="str">
        <f>"24/11/2016"</f>
        <v>24/11/2016</v>
      </c>
      <c r="B1806" t="str">
        <f>"0.7003"</f>
        <v>0.7003</v>
      </c>
      <c r="C1806" t="str">
        <f>"0.6996"</f>
        <v>0.6996</v>
      </c>
    </row>
    <row r="1807" spans="1:3" x14ac:dyDescent="0.25">
      <c r="A1807" t="str">
        <f>"25/11/2016"</f>
        <v>25/11/2016</v>
      </c>
      <c r="B1807" t="str">
        <f>"0.7043"</f>
        <v>0.7043</v>
      </c>
      <c r="C1807" t="str">
        <f>"0.7035"</f>
        <v>0.7035</v>
      </c>
    </row>
    <row r="1808" spans="1:3" x14ac:dyDescent="0.25">
      <c r="A1808" t="str">
        <f>"28/11/2016"</f>
        <v>28/11/2016</v>
      </c>
      <c r="B1808" t="str">
        <f>"0.7056"</f>
        <v>0.7056</v>
      </c>
      <c r="C1808" t="str">
        <f>"0.7049"</f>
        <v>0.7049</v>
      </c>
    </row>
    <row r="1809" spans="1:3" x14ac:dyDescent="0.25">
      <c r="A1809" t="str">
        <f>"29/11/2016"</f>
        <v>29/11/2016</v>
      </c>
      <c r="B1809" t="str">
        <f>"0.7073"</f>
        <v>0.7073</v>
      </c>
      <c r="C1809" t="str">
        <f>"0.7065"</f>
        <v>0.7065</v>
      </c>
    </row>
    <row r="1810" spans="1:3" x14ac:dyDescent="0.25">
      <c r="A1810" t="str">
        <f>"30/11/2016"</f>
        <v>30/11/2016</v>
      </c>
      <c r="B1810" t="str">
        <f>"0.7142"</f>
        <v>0.7142</v>
      </c>
      <c r="C1810" t="str">
        <f>"0.7134"</f>
        <v>0.7134</v>
      </c>
    </row>
    <row r="1811" spans="1:3" x14ac:dyDescent="0.25">
      <c r="A1811" t="str">
        <f>"01/12/2016"</f>
        <v>01/12/2016</v>
      </c>
      <c r="B1811" t="str">
        <f>"0.709"</f>
        <v>0.709</v>
      </c>
      <c r="C1811" t="str">
        <f>"0.7082"</f>
        <v>0.7082</v>
      </c>
    </row>
    <row r="1812" spans="1:3" x14ac:dyDescent="0.25">
      <c r="A1812" t="str">
        <f>"02/12/2016"</f>
        <v>02/12/2016</v>
      </c>
      <c r="B1812" t="str">
        <f>"0.7096"</f>
        <v>0.7096</v>
      </c>
      <c r="C1812" t="str">
        <f>"0.7088"</f>
        <v>0.7088</v>
      </c>
    </row>
    <row r="1813" spans="1:3" x14ac:dyDescent="0.25">
      <c r="A1813" t="str">
        <f>"05/12/2016"</f>
        <v>05/12/2016</v>
      </c>
      <c r="B1813" t="str">
        <f>"0.7085"</f>
        <v>0.7085</v>
      </c>
      <c r="C1813" t="str">
        <f>"0.7077"</f>
        <v>0.7077</v>
      </c>
    </row>
    <row r="1814" spans="1:3" x14ac:dyDescent="0.25">
      <c r="A1814" t="str">
        <f>"06/12/2016"</f>
        <v>06/12/2016</v>
      </c>
      <c r="B1814" t="str">
        <f>"0.7127"</f>
        <v>0.7127</v>
      </c>
      <c r="C1814" t="str">
        <f>"0.7119"</f>
        <v>0.7119</v>
      </c>
    </row>
    <row r="1815" spans="1:3" x14ac:dyDescent="0.25">
      <c r="A1815" t="str">
        <f>"07/12/2016"</f>
        <v>07/12/2016</v>
      </c>
      <c r="B1815" t="str">
        <f>"0.7131"</f>
        <v>0.7131</v>
      </c>
      <c r="C1815" t="str">
        <f>"0.7124"</f>
        <v>0.7124</v>
      </c>
    </row>
    <row r="1816" spans="1:3" x14ac:dyDescent="0.25">
      <c r="A1816" t="str">
        <f>"08/12/2016"</f>
        <v>08/12/2016</v>
      </c>
      <c r="B1816" t="str">
        <f>"0.7203"</f>
        <v>0.7203</v>
      </c>
      <c r="C1816" t="str">
        <f>"0.7196"</f>
        <v>0.7196</v>
      </c>
    </row>
    <row r="1817" spans="1:3" x14ac:dyDescent="0.25">
      <c r="A1817" t="str">
        <f>"09/12/2016"</f>
        <v>09/12/2016</v>
      </c>
      <c r="B1817" t="str">
        <f>"0.7183"</f>
        <v>0.7183</v>
      </c>
      <c r="C1817" t="str">
        <f>"0.7176"</f>
        <v>0.7176</v>
      </c>
    </row>
    <row r="1818" spans="1:3" x14ac:dyDescent="0.25">
      <c r="A1818" t="str">
        <f>"13/12/2016"</f>
        <v>13/12/2016</v>
      </c>
      <c r="B1818" t="str">
        <f>"0.719"</f>
        <v>0.719</v>
      </c>
      <c r="C1818" t="str">
        <f>"0.7182"</f>
        <v>0.7182</v>
      </c>
    </row>
    <row r="1819" spans="1:3" x14ac:dyDescent="0.25">
      <c r="A1819" t="str">
        <f>"14/12/2016"</f>
        <v>14/12/2016</v>
      </c>
      <c r="B1819" t="str">
        <f>"0.7212"</f>
        <v>0.7212</v>
      </c>
      <c r="C1819" t="str">
        <f>"0.7204"</f>
        <v>0.7204</v>
      </c>
    </row>
    <row r="1820" spans="1:3" x14ac:dyDescent="0.25">
      <c r="A1820" t="str">
        <f>"15/12/2016"</f>
        <v>15/12/2016</v>
      </c>
      <c r="B1820" t="str">
        <f>"0.7103"</f>
        <v>0.7103</v>
      </c>
      <c r="C1820" t="str">
        <f>"0.7096"</f>
        <v>0.7096</v>
      </c>
    </row>
    <row r="1821" spans="1:3" x14ac:dyDescent="0.25">
      <c r="A1821" t="str">
        <f>"16/12/2016"</f>
        <v>16/12/2016</v>
      </c>
      <c r="B1821" t="str">
        <f>"0.7027"</f>
        <v>0.7027</v>
      </c>
      <c r="C1821" t="str">
        <f>"0.702"</f>
        <v>0.702</v>
      </c>
    </row>
    <row r="1822" spans="1:3" x14ac:dyDescent="0.25">
      <c r="A1822" t="str">
        <f>"19/12/2016"</f>
        <v>19/12/2016</v>
      </c>
      <c r="B1822" t="str">
        <f>"0.6939"</f>
        <v>0.6939</v>
      </c>
      <c r="C1822" t="str">
        <f>"0.6931"</f>
        <v>0.6931</v>
      </c>
    </row>
    <row r="1823" spans="1:3" x14ac:dyDescent="0.25">
      <c r="A1823" t="str">
        <f>"20/12/2016"</f>
        <v>20/12/2016</v>
      </c>
      <c r="B1823" t="str">
        <f>"0.6899"</f>
        <v>0.6899</v>
      </c>
      <c r="C1823" t="str">
        <f>"0.6891"</f>
        <v>0.6891</v>
      </c>
    </row>
    <row r="1824" spans="1:3" x14ac:dyDescent="0.25">
      <c r="A1824" t="str">
        <f>"21/12/2016"</f>
        <v>21/12/2016</v>
      </c>
      <c r="B1824" t="str">
        <f>"0.6925"</f>
        <v>0.6925</v>
      </c>
      <c r="C1824" t="str">
        <f>"0.6917"</f>
        <v>0.6917</v>
      </c>
    </row>
    <row r="1825" spans="1:3" x14ac:dyDescent="0.25">
      <c r="A1825" t="str">
        <f>"22/12/2016"</f>
        <v>22/12/2016</v>
      </c>
      <c r="B1825" t="str">
        <f>"0.6892"</f>
        <v>0.6892</v>
      </c>
      <c r="C1825" t="str">
        <f>"0.6884"</f>
        <v>0.6884</v>
      </c>
    </row>
    <row r="1826" spans="1:3" x14ac:dyDescent="0.25">
      <c r="A1826" t="str">
        <f>"23/12/2016"</f>
        <v>23/12/2016</v>
      </c>
      <c r="B1826" t="str">
        <f>"0.6907"</f>
        <v>0.6907</v>
      </c>
      <c r="C1826" t="str">
        <f>"0.6899"</f>
        <v>0.6899</v>
      </c>
    </row>
    <row r="1827" spans="1:3" x14ac:dyDescent="0.25">
      <c r="A1827" t="str">
        <f>"26/12/2016"</f>
        <v>26/12/2016</v>
      </c>
      <c r="B1827" t="str">
        <f>"0.6901"</f>
        <v>0.6901</v>
      </c>
      <c r="C1827" t="str">
        <f>"0.6893"</f>
        <v>0.6893</v>
      </c>
    </row>
    <row r="1828" spans="1:3" x14ac:dyDescent="0.25">
      <c r="A1828" t="str">
        <f>"27/12/2016"</f>
        <v>27/12/2016</v>
      </c>
      <c r="B1828" t="str">
        <f>"0.6888"</f>
        <v>0.6888</v>
      </c>
      <c r="C1828" t="str">
        <f>"0.688"</f>
        <v>0.688</v>
      </c>
    </row>
    <row r="1829" spans="1:3" x14ac:dyDescent="0.25">
      <c r="A1829" t="str">
        <f>"28/12/2016"</f>
        <v>28/12/2016</v>
      </c>
      <c r="B1829" t="str">
        <f>"0.6906"</f>
        <v>0.6906</v>
      </c>
      <c r="C1829" t="str">
        <f>"0.6898"</f>
        <v>0.6898</v>
      </c>
    </row>
    <row r="1830" spans="1:3" x14ac:dyDescent="0.25">
      <c r="A1830" t="str">
        <f>"29/12/2016"</f>
        <v>29/12/2016</v>
      </c>
      <c r="B1830" t="str">
        <f>"0.6956"</f>
        <v>0.6956</v>
      </c>
      <c r="C1830" t="str">
        <f>"0.6948"</f>
        <v>0.6948</v>
      </c>
    </row>
    <row r="1831" spans="1:3" x14ac:dyDescent="0.25">
      <c r="A1831" t="str">
        <f>"30/12/2016"</f>
        <v>30/12/2016</v>
      </c>
      <c r="B1831" t="str">
        <f>"0.6962"</f>
        <v>0.6962</v>
      </c>
      <c r="C1831" t="str">
        <f>"0.6954"</f>
        <v>0.6954</v>
      </c>
    </row>
    <row r="1832" spans="1:3" x14ac:dyDescent="0.25">
      <c r="A1832" t="str">
        <f>"02/01/2017"</f>
        <v>02/01/2017</v>
      </c>
      <c r="B1832" t="str">
        <f>"0.6922"</f>
        <v>0.6922</v>
      </c>
      <c r="C1832" t="str">
        <f>"0.6914"</f>
        <v>0.6914</v>
      </c>
    </row>
    <row r="1833" spans="1:3" x14ac:dyDescent="0.25">
      <c r="A1833" t="str">
        <f>"03/01/2017"</f>
        <v>03/01/2017</v>
      </c>
      <c r="B1833" t="str">
        <f>"0.6909"</f>
        <v>0.6909</v>
      </c>
      <c r="C1833" t="str">
        <f>"0.6901"</f>
        <v>0.6901</v>
      </c>
    </row>
    <row r="1834" spans="1:3" x14ac:dyDescent="0.25">
      <c r="A1834" t="str">
        <f>"04/01/2017"</f>
        <v>04/01/2017</v>
      </c>
      <c r="B1834" t="str">
        <f>"0.6945"</f>
        <v>0.6945</v>
      </c>
      <c r="C1834" t="str">
        <f>"0.6937"</f>
        <v>0.6937</v>
      </c>
    </row>
    <row r="1835" spans="1:3" x14ac:dyDescent="0.25">
      <c r="A1835" t="str">
        <f>"05/01/2017"</f>
        <v>05/01/2017</v>
      </c>
      <c r="B1835" t="str">
        <f>"0.6961"</f>
        <v>0.6961</v>
      </c>
      <c r="C1835" t="str">
        <f>"0.6954"</f>
        <v>0.6954</v>
      </c>
    </row>
    <row r="1836" spans="1:3" x14ac:dyDescent="0.25">
      <c r="A1836" t="str">
        <f>"06/01/2017"</f>
        <v>06/01/2017</v>
      </c>
      <c r="B1836" t="str">
        <f>"0.7024"</f>
        <v>0.7024</v>
      </c>
      <c r="C1836" t="str">
        <f>"0.7017"</f>
        <v>0.7017</v>
      </c>
    </row>
    <row r="1837" spans="1:3" x14ac:dyDescent="0.25">
      <c r="A1837" t="str">
        <f>"09/01/2017"</f>
        <v>09/01/2017</v>
      </c>
      <c r="B1837" t="str">
        <f>"0.698"</f>
        <v>0.698</v>
      </c>
      <c r="C1837" t="str">
        <f>"0.6972"</f>
        <v>0.6972</v>
      </c>
    </row>
    <row r="1838" spans="1:3" x14ac:dyDescent="0.25">
      <c r="A1838" t="str">
        <f>"10/01/2017"</f>
        <v>10/01/2017</v>
      </c>
      <c r="B1838" t="str">
        <f>"0.6997"</f>
        <v>0.6997</v>
      </c>
      <c r="C1838" t="str">
        <f>"0.6989"</f>
        <v>0.6989</v>
      </c>
    </row>
    <row r="1839" spans="1:3" x14ac:dyDescent="0.25">
      <c r="A1839" t="str">
        <f>"11/01/2017"</f>
        <v>11/01/2017</v>
      </c>
      <c r="B1839" t="str">
        <f>"0.6991"</f>
        <v>0.6991</v>
      </c>
      <c r="C1839" t="str">
        <f>"0.6984"</f>
        <v>0.6984</v>
      </c>
    </row>
    <row r="1840" spans="1:3" x14ac:dyDescent="0.25">
      <c r="A1840" t="str">
        <f>"12/01/2017"</f>
        <v>12/01/2017</v>
      </c>
      <c r="B1840" t="str">
        <f>"0.7111"</f>
        <v>0.7111</v>
      </c>
      <c r="C1840" t="str">
        <f>"0.7104"</f>
        <v>0.7104</v>
      </c>
    </row>
    <row r="1841" spans="1:3" x14ac:dyDescent="0.25">
      <c r="A1841" t="str">
        <f>"13/01/2017"</f>
        <v>13/01/2017</v>
      </c>
      <c r="B1841" t="str">
        <f>"0.7129"</f>
        <v>0.7129</v>
      </c>
      <c r="C1841" t="str">
        <f>"0.7122"</f>
        <v>0.7122</v>
      </c>
    </row>
    <row r="1842" spans="1:3" x14ac:dyDescent="0.25">
      <c r="A1842" t="str">
        <f>"16/01/2017"</f>
        <v>16/01/2017</v>
      </c>
      <c r="B1842" t="str">
        <f>"0.7096"</f>
        <v>0.7096</v>
      </c>
      <c r="C1842" t="str">
        <f>"0.7088"</f>
        <v>0.7088</v>
      </c>
    </row>
    <row r="1843" spans="1:3" x14ac:dyDescent="0.25">
      <c r="A1843" t="str">
        <f>"17/01/2017"</f>
        <v>17/01/2017</v>
      </c>
      <c r="B1843" t="str">
        <f>"0.7194"</f>
        <v>0.7194</v>
      </c>
      <c r="C1843" t="str">
        <f>"0.7186"</f>
        <v>0.7186</v>
      </c>
    </row>
    <row r="1844" spans="1:3" x14ac:dyDescent="0.25">
      <c r="A1844" t="str">
        <f>"18/01/2017"</f>
        <v>18/01/2017</v>
      </c>
      <c r="B1844" t="str">
        <f>"0.7187"</f>
        <v>0.7187</v>
      </c>
      <c r="C1844" t="str">
        <f>"0.718"</f>
        <v>0.718</v>
      </c>
    </row>
    <row r="1845" spans="1:3" x14ac:dyDescent="0.25">
      <c r="A1845" t="str">
        <f>"19/01/2017"</f>
        <v>19/01/2017</v>
      </c>
      <c r="B1845" t="str">
        <f>"0.714"</f>
        <v>0.714</v>
      </c>
      <c r="C1845" t="str">
        <f>"0.7133"</f>
        <v>0.7133</v>
      </c>
    </row>
    <row r="1846" spans="1:3" x14ac:dyDescent="0.25">
      <c r="A1846" t="str">
        <f>"20/01/2017"</f>
        <v>20/01/2017</v>
      </c>
      <c r="B1846" t="str">
        <f>"0.713"</f>
        <v>0.713</v>
      </c>
      <c r="C1846" t="str">
        <f>"0.7123"</f>
        <v>0.7123</v>
      </c>
    </row>
    <row r="1847" spans="1:3" x14ac:dyDescent="0.25">
      <c r="A1847" t="str">
        <f>"23/01/2017"</f>
        <v>23/01/2017</v>
      </c>
      <c r="B1847" t="str">
        <f>"0.7183"</f>
        <v>0.7183</v>
      </c>
      <c r="C1847" t="str">
        <f>"0.7175"</f>
        <v>0.7175</v>
      </c>
    </row>
    <row r="1848" spans="1:3" x14ac:dyDescent="0.25">
      <c r="A1848" t="str">
        <f>"24/01/2017"</f>
        <v>24/01/2017</v>
      </c>
      <c r="B1848" t="str">
        <f>"0.7235"</f>
        <v>0.7235</v>
      </c>
      <c r="C1848" t="str">
        <f>"0.7228"</f>
        <v>0.7228</v>
      </c>
    </row>
    <row r="1849" spans="1:3" x14ac:dyDescent="0.25">
      <c r="A1849" t="str">
        <f>"25/01/2017"</f>
        <v>25/01/2017</v>
      </c>
      <c r="B1849" t="str">
        <f>"0.7254"</f>
        <v>0.7254</v>
      </c>
      <c r="C1849" t="str">
        <f>"0.7247"</f>
        <v>0.7247</v>
      </c>
    </row>
    <row r="1850" spans="1:3" x14ac:dyDescent="0.25">
      <c r="A1850" t="str">
        <f>"27/01/2017"</f>
        <v>27/01/2017</v>
      </c>
      <c r="B1850" t="str">
        <f>"0.7251"</f>
        <v>0.7251</v>
      </c>
      <c r="C1850" t="str">
        <f>"0.7244"</f>
        <v>0.7244</v>
      </c>
    </row>
    <row r="1851" spans="1:3" x14ac:dyDescent="0.25">
      <c r="A1851" t="str">
        <f>"30/01/2017"</f>
        <v>30/01/2017</v>
      </c>
      <c r="B1851" t="str">
        <f>"0.7263"</f>
        <v>0.7263</v>
      </c>
      <c r="C1851" t="str">
        <f>"0.7256"</f>
        <v>0.7256</v>
      </c>
    </row>
    <row r="1852" spans="1:3" x14ac:dyDescent="0.25">
      <c r="A1852" t="str">
        <f>"31/01/2017"</f>
        <v>31/01/2017</v>
      </c>
      <c r="B1852" t="str">
        <f>"0.7277"</f>
        <v>0.7277</v>
      </c>
      <c r="C1852" t="str">
        <f>"0.727"</f>
        <v>0.727</v>
      </c>
    </row>
    <row r="1853" spans="1:3" x14ac:dyDescent="0.25">
      <c r="A1853" t="str">
        <f>"01/02/2017"</f>
        <v>01/02/2017</v>
      </c>
      <c r="B1853" t="str">
        <f>"0.7272"</f>
        <v>0.7272</v>
      </c>
      <c r="C1853" t="str">
        <f>"0.7265"</f>
        <v>0.7265</v>
      </c>
    </row>
    <row r="1854" spans="1:3" x14ac:dyDescent="0.25">
      <c r="A1854" t="str">
        <f>"02/02/2017"</f>
        <v>02/02/2017</v>
      </c>
      <c r="B1854" t="str">
        <f>"0.7316"</f>
        <v>0.7316</v>
      </c>
      <c r="C1854" t="str">
        <f>"0.731"</f>
        <v>0.731</v>
      </c>
    </row>
    <row r="1855" spans="1:3" x14ac:dyDescent="0.25">
      <c r="A1855" t="str">
        <f>"03/02/2017"</f>
        <v>03/02/2017</v>
      </c>
      <c r="B1855" t="str">
        <f>"0.7265"</f>
        <v>0.7265</v>
      </c>
      <c r="C1855" t="str">
        <f>"0.7259"</f>
        <v>0.7259</v>
      </c>
    </row>
    <row r="1856" spans="1:3" x14ac:dyDescent="0.25">
      <c r="A1856" t="str">
        <f>"06/02/2017"</f>
        <v>06/02/2017</v>
      </c>
      <c r="B1856" t="str">
        <f>"0.7313"</f>
        <v>0.7313</v>
      </c>
      <c r="C1856" t="str">
        <f>"0.7307"</f>
        <v>0.7307</v>
      </c>
    </row>
    <row r="1857" spans="1:3" x14ac:dyDescent="0.25">
      <c r="A1857" t="str">
        <f>"07/02/2017"</f>
        <v>07/02/2017</v>
      </c>
      <c r="B1857" t="str">
        <f>"0.729"</f>
        <v>0.729</v>
      </c>
      <c r="C1857" t="str">
        <f>"0.7283"</f>
        <v>0.7283</v>
      </c>
    </row>
    <row r="1858" spans="1:3" x14ac:dyDescent="0.25">
      <c r="A1858" t="str">
        <f>"08/02/2017"</f>
        <v>08/02/2017</v>
      </c>
      <c r="B1858" t="str">
        <f>"0.7296"</f>
        <v>0.7296</v>
      </c>
      <c r="C1858" t="str">
        <f>"0.729"</f>
        <v>0.729</v>
      </c>
    </row>
    <row r="1859" spans="1:3" x14ac:dyDescent="0.25">
      <c r="A1859" t="str">
        <f>"09/02/2017"</f>
        <v>09/02/2017</v>
      </c>
      <c r="B1859" t="str">
        <f>"0.7202"</f>
        <v>0.7202</v>
      </c>
      <c r="C1859" t="str">
        <f>"0.7196"</f>
        <v>0.7196</v>
      </c>
    </row>
    <row r="1860" spans="1:3" x14ac:dyDescent="0.25">
      <c r="A1860" t="str">
        <f>"10/02/2017"</f>
        <v>10/02/2017</v>
      </c>
      <c r="B1860" t="str">
        <f>"0.7181"</f>
        <v>0.7181</v>
      </c>
      <c r="C1860" t="str">
        <f>"0.7175"</f>
        <v>0.7175</v>
      </c>
    </row>
    <row r="1861" spans="1:3" x14ac:dyDescent="0.25">
      <c r="A1861" t="str">
        <f>"13/02/2017"</f>
        <v>13/02/2017</v>
      </c>
      <c r="B1861" t="str">
        <f>"0.7188"</f>
        <v>0.7188</v>
      </c>
      <c r="C1861" t="str">
        <f>"0.7182"</f>
        <v>0.7182</v>
      </c>
    </row>
    <row r="1862" spans="1:3" x14ac:dyDescent="0.25">
      <c r="A1862" t="str">
        <f>"14/02/2017"</f>
        <v>14/02/2017</v>
      </c>
      <c r="B1862" t="str">
        <f>"0.719"</f>
        <v>0.719</v>
      </c>
      <c r="C1862" t="str">
        <f>"0.7183"</f>
        <v>0.7183</v>
      </c>
    </row>
    <row r="1863" spans="1:3" x14ac:dyDescent="0.25">
      <c r="A1863" t="str">
        <f>"15/02/2017"</f>
        <v>15/02/2017</v>
      </c>
      <c r="B1863" t="str">
        <f>"0.7174"</f>
        <v>0.7174</v>
      </c>
      <c r="C1863" t="str">
        <f>"0.7167"</f>
        <v>0.7167</v>
      </c>
    </row>
    <row r="1864" spans="1:3" x14ac:dyDescent="0.25">
      <c r="A1864" t="str">
        <f>"16/02/2017"</f>
        <v>16/02/2017</v>
      </c>
      <c r="B1864" t="str">
        <f>"0.7224"</f>
        <v>0.7224</v>
      </c>
      <c r="C1864" t="str">
        <f>"0.7217"</f>
        <v>0.7217</v>
      </c>
    </row>
    <row r="1865" spans="1:3" x14ac:dyDescent="0.25">
      <c r="A1865" t="str">
        <f>"17/02/2017"</f>
        <v>17/02/2017</v>
      </c>
      <c r="B1865" t="str">
        <f>"0.7187"</f>
        <v>0.7187</v>
      </c>
      <c r="C1865" t="str">
        <f>"0.718"</f>
        <v>0.718</v>
      </c>
    </row>
    <row r="1866" spans="1:3" x14ac:dyDescent="0.25">
      <c r="A1866" t="str">
        <f>"20/02/2017"</f>
        <v>20/02/2017</v>
      </c>
      <c r="B1866" t="str">
        <f>"0.7185"</f>
        <v>0.7185</v>
      </c>
      <c r="C1866" t="str">
        <f>"0.7178"</f>
        <v>0.7178</v>
      </c>
    </row>
    <row r="1867" spans="1:3" x14ac:dyDescent="0.25">
      <c r="A1867" t="str">
        <f>"22/02/2017"</f>
        <v>22/02/2017</v>
      </c>
      <c r="B1867" t="str">
        <f>"0.7167"</f>
        <v>0.7167</v>
      </c>
      <c r="C1867" t="str">
        <f>"0.716"</f>
        <v>0.716</v>
      </c>
    </row>
    <row r="1868" spans="1:3" x14ac:dyDescent="0.25">
      <c r="A1868" t="str">
        <f>"23/02/2017"</f>
        <v>23/02/2017</v>
      </c>
      <c r="B1868" t="str">
        <f>"0.7201"</f>
        <v>0.7201</v>
      </c>
      <c r="C1868" t="str">
        <f>"0.7194"</f>
        <v>0.7194</v>
      </c>
    </row>
    <row r="1869" spans="1:3" x14ac:dyDescent="0.25">
      <c r="A1869" t="str">
        <f>"27/02/2017"</f>
        <v>27/02/2017</v>
      </c>
      <c r="B1869" t="str">
        <f>"0.7191"</f>
        <v>0.7191</v>
      </c>
      <c r="C1869" t="str">
        <f>"0.7183"</f>
        <v>0.7183</v>
      </c>
    </row>
    <row r="1870" spans="1:3" x14ac:dyDescent="0.25">
      <c r="A1870" t="str">
        <f>"28/02/2017"</f>
        <v>28/02/2017</v>
      </c>
      <c r="B1870" t="str">
        <f>"0.72"</f>
        <v>0.72</v>
      </c>
      <c r="C1870" t="str">
        <f>"0.7193"</f>
        <v>0.7193</v>
      </c>
    </row>
    <row r="1871" spans="1:3" x14ac:dyDescent="0.25">
      <c r="A1871" t="str">
        <f>"01/03/2017"</f>
        <v>01/03/2017</v>
      </c>
      <c r="B1871" t="str">
        <f>"0.7112"</f>
        <v>0.7112</v>
      </c>
      <c r="C1871" t="str">
        <f>"0.7105"</f>
        <v>0.7105</v>
      </c>
    </row>
    <row r="1872" spans="1:3" x14ac:dyDescent="0.25">
      <c r="A1872" t="str">
        <f>"02/03/2017"</f>
        <v>02/03/2017</v>
      </c>
      <c r="B1872" t="str">
        <f>"0.7102"</f>
        <v>0.7102</v>
      </c>
      <c r="C1872" t="str">
        <f>"0.7095"</f>
        <v>0.7095</v>
      </c>
    </row>
    <row r="1873" spans="1:3" x14ac:dyDescent="0.25">
      <c r="A1873" t="str">
        <f>"03/03/2017"</f>
        <v>03/03/2017</v>
      </c>
      <c r="B1873" t="str">
        <f>"0.7041"</f>
        <v>0.7041</v>
      </c>
      <c r="C1873" t="str">
        <f>"0.7034"</f>
        <v>0.7034</v>
      </c>
    </row>
    <row r="1874" spans="1:3" x14ac:dyDescent="0.25">
      <c r="A1874" t="str">
        <f>"06/03/2017"</f>
        <v>06/03/2017</v>
      </c>
      <c r="B1874" t="str">
        <f>"0.7019"</f>
        <v>0.7019</v>
      </c>
      <c r="C1874" t="str">
        <f>"0.7012"</f>
        <v>0.7012</v>
      </c>
    </row>
    <row r="1875" spans="1:3" x14ac:dyDescent="0.25">
      <c r="A1875" t="str">
        <f>"07/03/2017"</f>
        <v>07/03/2017</v>
      </c>
      <c r="B1875" t="str">
        <f>"0.6989"</f>
        <v>0.6989</v>
      </c>
      <c r="C1875" t="str">
        <f>"0.6983"</f>
        <v>0.6983</v>
      </c>
    </row>
    <row r="1876" spans="1:3" x14ac:dyDescent="0.25">
      <c r="A1876" t="str">
        <f>"08/03/2017"</f>
        <v>08/03/2017</v>
      </c>
      <c r="B1876" t="str">
        <f>"0.6942"</f>
        <v>0.6942</v>
      </c>
      <c r="C1876" t="str">
        <f>"0.6936"</f>
        <v>0.6936</v>
      </c>
    </row>
    <row r="1877" spans="1:3" x14ac:dyDescent="0.25">
      <c r="A1877" t="str">
        <f>"09/03/2017"</f>
        <v>09/03/2017</v>
      </c>
      <c r="B1877" t="str">
        <f>"0.6899"</f>
        <v>0.6899</v>
      </c>
      <c r="C1877" t="str">
        <f>"0.6893"</f>
        <v>0.6893</v>
      </c>
    </row>
    <row r="1878" spans="1:3" x14ac:dyDescent="0.25">
      <c r="A1878" t="str">
        <f>"10/03/2017"</f>
        <v>10/03/2017</v>
      </c>
      <c r="B1878" t="str">
        <f>"0.6917"</f>
        <v>0.6917</v>
      </c>
      <c r="C1878" t="str">
        <f>"0.691"</f>
        <v>0.691</v>
      </c>
    </row>
    <row r="1879" spans="1:3" x14ac:dyDescent="0.25">
      <c r="A1879" t="str">
        <f>"14/03/2017"</f>
        <v>14/03/2017</v>
      </c>
      <c r="B1879" t="str">
        <f>"0.6908"</f>
        <v>0.6908</v>
      </c>
      <c r="C1879" t="str">
        <f>"0.6902"</f>
        <v>0.6902</v>
      </c>
    </row>
    <row r="1880" spans="1:3" x14ac:dyDescent="0.25">
      <c r="A1880" t="str">
        <f>"15/03/2017"</f>
        <v>15/03/2017</v>
      </c>
      <c r="B1880" t="str">
        <f>"0.6936"</f>
        <v>0.6936</v>
      </c>
      <c r="C1880" t="str">
        <f>"0.693"</f>
        <v>0.693</v>
      </c>
    </row>
    <row r="1881" spans="1:3" x14ac:dyDescent="0.25">
      <c r="A1881" t="str">
        <f>"16/03/2017"</f>
        <v>16/03/2017</v>
      </c>
      <c r="B1881" t="str">
        <f>"0.6994"</f>
        <v>0.6994</v>
      </c>
      <c r="C1881" t="str">
        <f>"0.6988"</f>
        <v>0.6988</v>
      </c>
    </row>
    <row r="1882" spans="1:3" x14ac:dyDescent="0.25">
      <c r="A1882" t="str">
        <f>"17/03/2017"</f>
        <v>17/03/2017</v>
      </c>
      <c r="B1882" t="str">
        <f>"0.7015"</f>
        <v>0.7015</v>
      </c>
      <c r="C1882" t="str">
        <f>"0.7009"</f>
        <v>0.7009</v>
      </c>
    </row>
    <row r="1883" spans="1:3" x14ac:dyDescent="0.25">
      <c r="A1883" t="str">
        <f>"20/03/2017"</f>
        <v>20/03/2017</v>
      </c>
      <c r="B1883" t="str">
        <f>"0.7035"</f>
        <v>0.7035</v>
      </c>
      <c r="C1883" t="str">
        <f>"0.7029"</f>
        <v>0.7029</v>
      </c>
    </row>
    <row r="1884" spans="1:3" x14ac:dyDescent="0.25">
      <c r="A1884" t="str">
        <f>"21/03/2017"</f>
        <v>21/03/2017</v>
      </c>
      <c r="B1884" t="str">
        <f>"0.7053"</f>
        <v>0.7053</v>
      </c>
      <c r="C1884" t="str">
        <f>"0.7047"</f>
        <v>0.7047</v>
      </c>
    </row>
    <row r="1885" spans="1:3" x14ac:dyDescent="0.25">
      <c r="A1885" t="str">
        <f>"22/03/2017"</f>
        <v>22/03/2017</v>
      </c>
      <c r="B1885" t="str">
        <f>"0.7029"</f>
        <v>0.7029</v>
      </c>
      <c r="C1885" t="str">
        <f>"0.7023"</f>
        <v>0.7023</v>
      </c>
    </row>
    <row r="1886" spans="1:3" x14ac:dyDescent="0.25">
      <c r="A1886" t="str">
        <f>"23/03/2017"</f>
        <v>23/03/2017</v>
      </c>
      <c r="B1886" t="str">
        <f>"0.7043"</f>
        <v>0.7043</v>
      </c>
      <c r="C1886" t="str">
        <f>"0.7037"</f>
        <v>0.7037</v>
      </c>
    </row>
    <row r="1887" spans="1:3" x14ac:dyDescent="0.25">
      <c r="A1887" t="str">
        <f>"24/03/2017"</f>
        <v>24/03/2017</v>
      </c>
      <c r="B1887" t="str">
        <f>"0.7014"</f>
        <v>0.7014</v>
      </c>
      <c r="C1887" t="str">
        <f>"0.7008"</f>
        <v>0.7008</v>
      </c>
    </row>
    <row r="1888" spans="1:3" x14ac:dyDescent="0.25">
      <c r="A1888" t="str">
        <f>"27/03/2017"</f>
        <v>27/03/2017</v>
      </c>
      <c r="B1888" t="str">
        <f>"0.7063"</f>
        <v>0.7063</v>
      </c>
      <c r="C1888" t="str">
        <f>"0.7057"</f>
        <v>0.7057</v>
      </c>
    </row>
    <row r="1889" spans="1:3" x14ac:dyDescent="0.25">
      <c r="A1889" t="str">
        <f>"29/03/2017"</f>
        <v>29/03/2017</v>
      </c>
      <c r="B1889" t="str">
        <f>"0.7022"</f>
        <v>0.7022</v>
      </c>
      <c r="C1889" t="str">
        <f>"0.7017"</f>
        <v>0.7017</v>
      </c>
    </row>
    <row r="1890" spans="1:3" x14ac:dyDescent="0.25">
      <c r="A1890" t="str">
        <f>"30/03/2017"</f>
        <v>30/03/2017</v>
      </c>
      <c r="B1890" t="str">
        <f>"0.7016"</f>
        <v>0.7016</v>
      </c>
      <c r="C1890" t="str">
        <f>"0.701"</f>
        <v>0.701</v>
      </c>
    </row>
    <row r="1891" spans="1:3" x14ac:dyDescent="0.25">
      <c r="A1891" t="str">
        <f>"31/03/2017"</f>
        <v>31/03/2017</v>
      </c>
      <c r="B1891" t="str">
        <f>"0.6985"</f>
        <v>0.6985</v>
      </c>
      <c r="C1891" t="str">
        <f>"0.6979"</f>
        <v>0.6979</v>
      </c>
    </row>
    <row r="1892" spans="1:3" x14ac:dyDescent="0.25">
      <c r="A1892" t="str">
        <f>"03/04/2017"</f>
        <v>03/04/2017</v>
      </c>
      <c r="B1892" t="str">
        <f>"0.7003"</f>
        <v>0.7003</v>
      </c>
      <c r="C1892" t="str">
        <f>"0.6997"</f>
        <v>0.6997</v>
      </c>
    </row>
    <row r="1893" spans="1:3" x14ac:dyDescent="0.25">
      <c r="A1893" t="str">
        <f>"05/04/2017"</f>
        <v>05/04/2017</v>
      </c>
      <c r="B1893" t="str">
        <f>"0.6974"</f>
        <v>0.6974</v>
      </c>
      <c r="C1893" t="str">
        <f>"0.6968"</f>
        <v>0.6968</v>
      </c>
    </row>
    <row r="1894" spans="1:3" x14ac:dyDescent="0.25">
      <c r="A1894" t="str">
        <f>"06/04/2017"</f>
        <v>06/04/2017</v>
      </c>
      <c r="B1894" t="str">
        <f>"0.6975"</f>
        <v>0.6975</v>
      </c>
      <c r="C1894" t="str">
        <f>"0.6969"</f>
        <v>0.6969</v>
      </c>
    </row>
    <row r="1895" spans="1:3" x14ac:dyDescent="0.25">
      <c r="A1895" t="str">
        <f>"07/04/2017"</f>
        <v>07/04/2017</v>
      </c>
      <c r="B1895" t="str">
        <f>"0.6962"</f>
        <v>0.6962</v>
      </c>
      <c r="C1895" t="str">
        <f>"0.6956"</f>
        <v>0.6956</v>
      </c>
    </row>
    <row r="1896" spans="1:3" x14ac:dyDescent="0.25">
      <c r="A1896" t="str">
        <f>"10/04/2017"</f>
        <v>10/04/2017</v>
      </c>
      <c r="B1896" t="str">
        <f>"0.6936"</f>
        <v>0.6936</v>
      </c>
      <c r="C1896" t="str">
        <f>"0.693"</f>
        <v>0.693</v>
      </c>
    </row>
    <row r="1897" spans="1:3" x14ac:dyDescent="0.25">
      <c r="A1897" t="str">
        <f>"11/04/2017"</f>
        <v>11/04/2017</v>
      </c>
      <c r="B1897" t="str">
        <f>"0.6943"</f>
        <v>0.6943</v>
      </c>
      <c r="C1897" t="str">
        <f>"0.6937"</f>
        <v>0.6937</v>
      </c>
    </row>
    <row r="1898" spans="1:3" x14ac:dyDescent="0.25">
      <c r="A1898" t="str">
        <f>"12/04/2017"</f>
        <v>12/04/2017</v>
      </c>
      <c r="B1898" t="str">
        <f>"0.6946"</f>
        <v>0.6946</v>
      </c>
      <c r="C1898" t="str">
        <f>"0.694"</f>
        <v>0.694</v>
      </c>
    </row>
    <row r="1899" spans="1:3" x14ac:dyDescent="0.25">
      <c r="A1899" t="str">
        <f>"13/04/2017"</f>
        <v>13/04/2017</v>
      </c>
      <c r="B1899" t="str">
        <f>"0.70"</f>
        <v>0.70</v>
      </c>
      <c r="C1899" t="str">
        <f>"0.6994"</f>
        <v>0.6994</v>
      </c>
    </row>
    <row r="1900" spans="1:3" x14ac:dyDescent="0.25">
      <c r="A1900" t="str">
        <f>"17/04/2017"</f>
        <v>17/04/2017</v>
      </c>
      <c r="B1900" t="str">
        <f>"0.7022"</f>
        <v>0.7022</v>
      </c>
      <c r="C1900" t="str">
        <f>"0.7016"</f>
        <v>0.7016</v>
      </c>
    </row>
    <row r="1901" spans="1:3" x14ac:dyDescent="0.25">
      <c r="A1901" t="str">
        <f>"18/04/2017"</f>
        <v>18/04/2017</v>
      </c>
      <c r="B1901" t="str">
        <f>"0.7033"</f>
        <v>0.7033</v>
      </c>
      <c r="C1901" t="str">
        <f>"0.7027"</f>
        <v>0.7027</v>
      </c>
    </row>
    <row r="1902" spans="1:3" x14ac:dyDescent="0.25">
      <c r="A1902" t="str">
        <f>"19/04/2017"</f>
        <v>19/04/2017</v>
      </c>
      <c r="B1902" t="str">
        <f>"0.7043"</f>
        <v>0.7043</v>
      </c>
      <c r="C1902" t="str">
        <f>"0.7037"</f>
        <v>0.7037</v>
      </c>
    </row>
    <row r="1903" spans="1:3" x14ac:dyDescent="0.25">
      <c r="A1903" t="str">
        <f>"20/04/2017"</f>
        <v>20/04/2017</v>
      </c>
      <c r="B1903" t="str">
        <f>"0.7023"</f>
        <v>0.7023</v>
      </c>
      <c r="C1903" t="str">
        <f>"0.7017"</f>
        <v>0.7017</v>
      </c>
    </row>
    <row r="1904" spans="1:3" x14ac:dyDescent="0.25">
      <c r="A1904" t="str">
        <f>"21/04/2017"</f>
        <v>21/04/2017</v>
      </c>
      <c r="B1904" t="str">
        <f>"0.7005"</f>
        <v>0.7005</v>
      </c>
      <c r="C1904" t="str">
        <f>"0.6999"</f>
        <v>0.6999</v>
      </c>
    </row>
    <row r="1905" spans="1:3" x14ac:dyDescent="0.25">
      <c r="A1905" t="str">
        <f>"24/04/2017"</f>
        <v>24/04/2017</v>
      </c>
      <c r="B1905" t="str">
        <f>"0.7026"</f>
        <v>0.7026</v>
      </c>
      <c r="C1905" t="str">
        <f>"0.702"</f>
        <v>0.702</v>
      </c>
    </row>
    <row r="1906" spans="1:3" x14ac:dyDescent="0.25">
      <c r="A1906" t="str">
        <f>"25/04/2017"</f>
        <v>25/04/2017</v>
      </c>
      <c r="B1906" t="str">
        <f>"0.6964"</f>
        <v>0.6964</v>
      </c>
      <c r="C1906" t="str">
        <f>"0.6958"</f>
        <v>0.6958</v>
      </c>
    </row>
    <row r="1907" spans="1:3" x14ac:dyDescent="0.25">
      <c r="A1907" t="str">
        <f>"26/04/2017"</f>
        <v>26/04/2017</v>
      </c>
      <c r="B1907" t="str">
        <f>"0.6901"</f>
        <v>0.6901</v>
      </c>
      <c r="C1907" t="str">
        <f>"0.6895"</f>
        <v>0.6895</v>
      </c>
    </row>
    <row r="1908" spans="1:3" x14ac:dyDescent="0.25">
      <c r="A1908" t="str">
        <f>"27/04/2017"</f>
        <v>27/04/2017</v>
      </c>
      <c r="B1908" t="str">
        <f>"0.6881"</f>
        <v>0.6881</v>
      </c>
      <c r="C1908" t="str">
        <f>"0.6875"</f>
        <v>0.6875</v>
      </c>
    </row>
    <row r="1909" spans="1:3" x14ac:dyDescent="0.25">
      <c r="A1909" t="str">
        <f>"28/04/2017"</f>
        <v>28/04/2017</v>
      </c>
      <c r="B1909" t="str">
        <f>"0.6872"</f>
        <v>0.6872</v>
      </c>
      <c r="C1909" t="str">
        <f>"0.6866"</f>
        <v>0.6866</v>
      </c>
    </row>
    <row r="1910" spans="1:3" x14ac:dyDescent="0.25">
      <c r="A1910" t="str">
        <f>"02/05/2017"</f>
        <v>02/05/2017</v>
      </c>
      <c r="B1910" t="str">
        <f>"0.6915"</f>
        <v>0.6915</v>
      </c>
      <c r="C1910" t="str">
        <f>"0.6909"</f>
        <v>0.6909</v>
      </c>
    </row>
    <row r="1911" spans="1:3" x14ac:dyDescent="0.25">
      <c r="A1911" t="str">
        <f>"03/05/2017"</f>
        <v>03/05/2017</v>
      </c>
      <c r="B1911" t="str">
        <f>"0.692"</f>
        <v>0.692</v>
      </c>
      <c r="C1911" t="str">
        <f>"0.6914"</f>
        <v>0.6914</v>
      </c>
    </row>
    <row r="1912" spans="1:3" x14ac:dyDescent="0.25">
      <c r="A1912" t="str">
        <f>"04/05/2017"</f>
        <v>04/05/2017</v>
      </c>
      <c r="B1912" t="str">
        <f>"0.6883"</f>
        <v>0.6883</v>
      </c>
      <c r="C1912" t="str">
        <f>"0.6878"</f>
        <v>0.6878</v>
      </c>
    </row>
    <row r="1913" spans="1:3" x14ac:dyDescent="0.25">
      <c r="A1913" t="str">
        <f>"05/05/2017"</f>
        <v>05/05/2017</v>
      </c>
      <c r="B1913" t="str">
        <f>"0.6889"</f>
        <v>0.6889</v>
      </c>
      <c r="C1913" t="str">
        <f>"0.6883"</f>
        <v>0.6883</v>
      </c>
    </row>
    <row r="1914" spans="1:3" x14ac:dyDescent="0.25">
      <c r="A1914" t="str">
        <f>"08/05/2017"</f>
        <v>08/05/2017</v>
      </c>
      <c r="B1914" t="str">
        <f>"0.693"</f>
        <v>0.693</v>
      </c>
      <c r="C1914" t="str">
        <f>"0.6924"</f>
        <v>0.6924</v>
      </c>
    </row>
    <row r="1915" spans="1:3" x14ac:dyDescent="0.25">
      <c r="A1915" t="str">
        <f>"09/05/2017"</f>
        <v>09/05/2017</v>
      </c>
      <c r="B1915" t="str">
        <f>"0.6902"</f>
        <v>0.6902</v>
      </c>
      <c r="C1915" t="str">
        <f>"0.6896"</f>
        <v>0.6896</v>
      </c>
    </row>
    <row r="1916" spans="1:3" x14ac:dyDescent="0.25">
      <c r="A1916" t="str">
        <f>"11/05/2017"</f>
        <v>11/05/2017</v>
      </c>
      <c r="B1916" t="str">
        <f>"0.684"</f>
        <v>0.684</v>
      </c>
      <c r="C1916" t="str">
        <f>"0.6835"</f>
        <v>0.6835</v>
      </c>
    </row>
    <row r="1917" spans="1:3" x14ac:dyDescent="0.25">
      <c r="A1917" t="str">
        <f>"12/05/2017"</f>
        <v>12/05/2017</v>
      </c>
      <c r="B1917" t="str">
        <f>"0.6843"</f>
        <v>0.6843</v>
      </c>
      <c r="C1917" t="str">
        <f>"0.6838"</f>
        <v>0.6838</v>
      </c>
    </row>
    <row r="1918" spans="1:3" x14ac:dyDescent="0.25">
      <c r="A1918" t="str">
        <f>"15/05/2017"</f>
        <v>15/05/2017</v>
      </c>
      <c r="B1918" t="str">
        <f>"0.6907"</f>
        <v>0.6907</v>
      </c>
      <c r="C1918" t="str">
        <f>"0.6901"</f>
        <v>0.6901</v>
      </c>
    </row>
    <row r="1919" spans="1:3" x14ac:dyDescent="0.25">
      <c r="A1919" t="str">
        <f>"16/05/2017"</f>
        <v>16/05/2017</v>
      </c>
      <c r="B1919" t="str">
        <f>"0.6871"</f>
        <v>0.6871</v>
      </c>
      <c r="C1919" t="str">
        <f>"0.6865"</f>
        <v>0.6865</v>
      </c>
    </row>
    <row r="1920" spans="1:3" x14ac:dyDescent="0.25">
      <c r="A1920" t="str">
        <f>"17/05/2017"</f>
        <v>17/05/2017</v>
      </c>
      <c r="B1920" t="str">
        <f>"0.689"</f>
        <v>0.689</v>
      </c>
      <c r="C1920" t="str">
        <f>"0.6885"</f>
        <v>0.6885</v>
      </c>
    </row>
    <row r="1921" spans="1:3" x14ac:dyDescent="0.25">
      <c r="A1921" t="str">
        <f>"18/05/2017"</f>
        <v>18/05/2017</v>
      </c>
      <c r="B1921" t="str">
        <f>"0.6928"</f>
        <v>0.6928</v>
      </c>
      <c r="C1921" t="str">
        <f>"0.6923"</f>
        <v>0.6923</v>
      </c>
    </row>
    <row r="1922" spans="1:3" x14ac:dyDescent="0.25">
      <c r="A1922" t="str">
        <f>"19/05/2017"</f>
        <v>19/05/2017</v>
      </c>
      <c r="B1922" t="str">
        <f>"0.6891"</f>
        <v>0.6891</v>
      </c>
      <c r="C1922" t="str">
        <f>"0.6886"</f>
        <v>0.6886</v>
      </c>
    </row>
    <row r="1923" spans="1:3" x14ac:dyDescent="0.25">
      <c r="A1923" t="str">
        <f>"22/05/2017"</f>
        <v>22/05/2017</v>
      </c>
      <c r="B1923" t="str">
        <f>"0.6969"</f>
        <v>0.6969</v>
      </c>
      <c r="C1923" t="str">
        <f>"0.6964"</f>
        <v>0.6964</v>
      </c>
    </row>
    <row r="1924" spans="1:3" x14ac:dyDescent="0.25">
      <c r="A1924" t="str">
        <f>"23/05/2017"</f>
        <v>23/05/2017</v>
      </c>
      <c r="B1924" t="str">
        <f>"0.7042"</f>
        <v>0.7042</v>
      </c>
      <c r="C1924" t="str">
        <f>"0.7037"</f>
        <v>0.7037</v>
      </c>
    </row>
    <row r="1925" spans="1:3" x14ac:dyDescent="0.25">
      <c r="A1925" t="str">
        <f>"24/05/2017"</f>
        <v>24/05/2017</v>
      </c>
      <c r="B1925" t="str">
        <f>"0.7033"</f>
        <v>0.7033</v>
      </c>
      <c r="C1925" t="str">
        <f>"0.7028"</f>
        <v>0.7028</v>
      </c>
    </row>
    <row r="1926" spans="1:3" x14ac:dyDescent="0.25">
      <c r="A1926" t="str">
        <f>"25/05/2017"</f>
        <v>25/05/2017</v>
      </c>
      <c r="B1926" t="str">
        <f>"0.7027"</f>
        <v>0.7027</v>
      </c>
      <c r="C1926" t="str">
        <f>"0.7022"</f>
        <v>0.7022</v>
      </c>
    </row>
    <row r="1927" spans="1:3" x14ac:dyDescent="0.25">
      <c r="A1927" t="str">
        <f>"26/05/2017"</f>
        <v>26/05/2017</v>
      </c>
      <c r="B1927" t="str">
        <f>"0.7062"</f>
        <v>0.7062</v>
      </c>
      <c r="C1927" t="str">
        <f>"0.7057"</f>
        <v>0.7057</v>
      </c>
    </row>
    <row r="1928" spans="1:3" x14ac:dyDescent="0.25">
      <c r="A1928" t="str">
        <f>"29/05/2017"</f>
        <v>29/05/2017</v>
      </c>
      <c r="B1928" t="str">
        <f>"0.7087"</f>
        <v>0.7087</v>
      </c>
      <c r="C1928" t="str">
        <f>"0.7082"</f>
        <v>0.7082</v>
      </c>
    </row>
    <row r="1929" spans="1:3" x14ac:dyDescent="0.25">
      <c r="A1929" t="str">
        <f>"30/05/2017"</f>
        <v>30/05/2017</v>
      </c>
      <c r="B1929" t="str">
        <f>"0.7067"</f>
        <v>0.7067</v>
      </c>
      <c r="C1929" t="str">
        <f>"0.7062"</f>
        <v>0.7062</v>
      </c>
    </row>
    <row r="1930" spans="1:3" x14ac:dyDescent="0.25">
      <c r="A1930" t="str">
        <f>"31/05/2017"</f>
        <v>31/05/2017</v>
      </c>
      <c r="B1930" t="str">
        <f>"0.7107"</f>
        <v>0.7107</v>
      </c>
      <c r="C1930" t="str">
        <f>"0.7102"</f>
        <v>0.7102</v>
      </c>
    </row>
    <row r="1931" spans="1:3" x14ac:dyDescent="0.25">
      <c r="A1931" t="str">
        <f>"01/06/2017"</f>
        <v>01/06/2017</v>
      </c>
      <c r="B1931" t="str">
        <f>"0.7073"</f>
        <v>0.7073</v>
      </c>
      <c r="C1931" t="str">
        <f>"0.7068"</f>
        <v>0.7068</v>
      </c>
    </row>
    <row r="1932" spans="1:3" x14ac:dyDescent="0.25">
      <c r="A1932" t="str">
        <f>"02/06/2017"</f>
        <v>02/06/2017</v>
      </c>
      <c r="B1932" t="str">
        <f>"0.7088"</f>
        <v>0.7088</v>
      </c>
      <c r="C1932" t="str">
        <f>"0.7083"</f>
        <v>0.7083</v>
      </c>
    </row>
    <row r="1933" spans="1:3" x14ac:dyDescent="0.25">
      <c r="A1933" t="str">
        <f>"05/06/2017"</f>
        <v>05/06/2017</v>
      </c>
      <c r="B1933" t="str">
        <f>"0.7128"</f>
        <v>0.7128</v>
      </c>
      <c r="C1933" t="str">
        <f>"0.7123"</f>
        <v>0.7123</v>
      </c>
    </row>
    <row r="1934" spans="1:3" x14ac:dyDescent="0.25">
      <c r="A1934" t="str">
        <f>"06/06/2017"</f>
        <v>06/06/2017</v>
      </c>
      <c r="B1934" t="str">
        <f>"0.7178"</f>
        <v>0.7178</v>
      </c>
      <c r="C1934" t="str">
        <f>"0.7173"</f>
        <v>0.7173</v>
      </c>
    </row>
    <row r="1935" spans="1:3" x14ac:dyDescent="0.25">
      <c r="A1935" t="str">
        <f>"07/06/2017"</f>
        <v>07/06/2017</v>
      </c>
      <c r="B1935" t="str">
        <f>"0.7198"</f>
        <v>0.7198</v>
      </c>
      <c r="C1935" t="str">
        <f>"0.7193"</f>
        <v>0.7193</v>
      </c>
    </row>
    <row r="1936" spans="1:3" x14ac:dyDescent="0.25">
      <c r="A1936" t="str">
        <f>"08/06/2017"</f>
        <v>08/06/2017</v>
      </c>
      <c r="B1936" t="str">
        <f>"0.7196"</f>
        <v>0.7196</v>
      </c>
      <c r="C1936" t="str">
        <f>"0.7192"</f>
        <v>0.7192</v>
      </c>
    </row>
    <row r="1937" spans="1:3" x14ac:dyDescent="0.25">
      <c r="A1937" t="str">
        <f>"09/06/2017"</f>
        <v>09/06/2017</v>
      </c>
      <c r="B1937" t="str">
        <f>"0.7206"</f>
        <v>0.7206</v>
      </c>
      <c r="C1937" t="str">
        <f>"0.7202"</f>
        <v>0.7202</v>
      </c>
    </row>
    <row r="1938" spans="1:3" x14ac:dyDescent="0.25">
      <c r="A1938" t="str">
        <f>"12/06/2017"</f>
        <v>12/06/2017</v>
      </c>
      <c r="B1938" t="str">
        <f>"0.7198"</f>
        <v>0.7198</v>
      </c>
      <c r="C1938" t="str">
        <f>"0.7194"</f>
        <v>0.7194</v>
      </c>
    </row>
    <row r="1939" spans="1:3" x14ac:dyDescent="0.25">
      <c r="A1939" t="str">
        <f>"13/06/2017"</f>
        <v>13/06/2017</v>
      </c>
      <c r="B1939" t="str">
        <f>"0.7219"</f>
        <v>0.7219</v>
      </c>
      <c r="C1939" t="str">
        <f>"0.7215"</f>
        <v>0.7215</v>
      </c>
    </row>
    <row r="1940" spans="1:3" x14ac:dyDescent="0.25">
      <c r="A1940" t="str">
        <f>"14/06/2017"</f>
        <v>14/06/2017</v>
      </c>
      <c r="B1940" t="str">
        <f>"0.7245"</f>
        <v>0.7245</v>
      </c>
      <c r="C1940" t="str">
        <f>"0.7241"</f>
        <v>0.7241</v>
      </c>
    </row>
    <row r="1941" spans="1:3" x14ac:dyDescent="0.25">
      <c r="A1941" t="str">
        <f>"15/06/2017"</f>
        <v>15/06/2017</v>
      </c>
      <c r="B1941" t="str">
        <f>"0.7204"</f>
        <v>0.7204</v>
      </c>
      <c r="C1941" t="str">
        <f>"0.72"</f>
        <v>0.72</v>
      </c>
    </row>
    <row r="1942" spans="1:3" x14ac:dyDescent="0.25">
      <c r="A1942" t="str">
        <f>"16/06/2017"</f>
        <v>16/06/2017</v>
      </c>
      <c r="B1942" t="str">
        <f>"0.7237"</f>
        <v>0.7237</v>
      </c>
      <c r="C1942" t="str">
        <f>"0.7233"</f>
        <v>0.7233</v>
      </c>
    </row>
    <row r="1943" spans="1:3" x14ac:dyDescent="0.25">
      <c r="A1943" t="str">
        <f>"19/06/2017"</f>
        <v>19/06/2017</v>
      </c>
      <c r="B1943" t="str">
        <f>"0.728"</f>
        <v>0.728</v>
      </c>
      <c r="C1943" t="str">
        <f>"0.7276"</f>
        <v>0.7276</v>
      </c>
    </row>
    <row r="1944" spans="1:3" x14ac:dyDescent="0.25">
      <c r="A1944" t="str">
        <f>"20/06/2017"</f>
        <v>20/06/2017</v>
      </c>
      <c r="B1944" t="str">
        <f>"0.7244"</f>
        <v>0.7244</v>
      </c>
      <c r="C1944" t="str">
        <f>"0.724"</f>
        <v>0.724</v>
      </c>
    </row>
    <row r="1945" spans="1:3" x14ac:dyDescent="0.25">
      <c r="A1945" t="str">
        <f>"21/06/2017"</f>
        <v>21/06/2017</v>
      </c>
      <c r="B1945" t="str">
        <f>"0.7235"</f>
        <v>0.7235</v>
      </c>
      <c r="C1945" t="str">
        <f>"0.7231"</f>
        <v>0.7231</v>
      </c>
    </row>
    <row r="1946" spans="1:3" x14ac:dyDescent="0.25">
      <c r="A1946" t="str">
        <f>"22/06/2017"</f>
        <v>22/06/2017</v>
      </c>
      <c r="B1946" t="str">
        <f>"0.7247"</f>
        <v>0.7247</v>
      </c>
      <c r="C1946" t="str">
        <f>"0.7243"</f>
        <v>0.7243</v>
      </c>
    </row>
    <row r="1947" spans="1:3" x14ac:dyDescent="0.25">
      <c r="A1947" t="str">
        <f>"23/06/2017"</f>
        <v>23/06/2017</v>
      </c>
      <c r="B1947" t="str">
        <f>"0.7283"</f>
        <v>0.7283</v>
      </c>
      <c r="C1947" t="str">
        <f>"0.7279"</f>
        <v>0.7279</v>
      </c>
    </row>
    <row r="1948" spans="1:3" x14ac:dyDescent="0.25">
      <c r="A1948" t="str">
        <f>"27/06/2017"</f>
        <v>27/06/2017</v>
      </c>
      <c r="B1948" t="str">
        <f>"0.7301"</f>
        <v>0.7301</v>
      </c>
      <c r="C1948" t="str">
        <f>"0.7297"</f>
        <v>0.7297</v>
      </c>
    </row>
    <row r="1949" spans="1:3" x14ac:dyDescent="0.25">
      <c r="A1949" t="str">
        <f>"28/06/2017"</f>
        <v>28/06/2017</v>
      </c>
      <c r="B1949" t="str">
        <f>"0.7268"</f>
        <v>0.7268</v>
      </c>
      <c r="C1949" t="str">
        <f>"0.7264"</f>
        <v>0.7264</v>
      </c>
    </row>
    <row r="1950" spans="1:3" x14ac:dyDescent="0.25">
      <c r="A1950" t="str">
        <f>"29/06/2017"</f>
        <v>29/06/2017</v>
      </c>
      <c r="B1950" t="str">
        <f>"0.7293"</f>
        <v>0.7293</v>
      </c>
      <c r="C1950" t="str">
        <f>"0.7289"</f>
        <v>0.7289</v>
      </c>
    </row>
    <row r="1951" spans="1:3" x14ac:dyDescent="0.25">
      <c r="A1951" t="str">
        <f>"30/06/2017"</f>
        <v>30/06/2017</v>
      </c>
      <c r="B1951" t="str">
        <f>"0.7339"</f>
        <v>0.7339</v>
      </c>
      <c r="C1951" t="str">
        <f>"0.7335"</f>
        <v>0.7335</v>
      </c>
    </row>
    <row r="1952" spans="1:3" x14ac:dyDescent="0.25">
      <c r="A1952" t="str">
        <f>"03/07/2017"</f>
        <v>03/07/2017</v>
      </c>
      <c r="B1952" t="str">
        <f>"0.7295"</f>
        <v>0.7295</v>
      </c>
      <c r="C1952" t="str">
        <f>"0.7291"</f>
        <v>0.7291</v>
      </c>
    </row>
    <row r="1953" spans="1:3" x14ac:dyDescent="0.25">
      <c r="A1953" t="str">
        <f>"04/07/2017"</f>
        <v>04/07/2017</v>
      </c>
      <c r="B1953" t="str">
        <f>"0.728"</f>
        <v>0.728</v>
      </c>
      <c r="C1953" t="str">
        <f>"0.7276"</f>
        <v>0.7276</v>
      </c>
    </row>
    <row r="1954" spans="1:3" x14ac:dyDescent="0.25">
      <c r="A1954" t="str">
        <f>"05/07/2017"</f>
        <v>05/07/2017</v>
      </c>
      <c r="B1954" t="str">
        <f>"0.7284"</f>
        <v>0.7284</v>
      </c>
      <c r="C1954" t="str">
        <f>"0.728"</f>
        <v>0.728</v>
      </c>
    </row>
    <row r="1955" spans="1:3" x14ac:dyDescent="0.25">
      <c r="A1955" t="str">
        <f>"06/07/2017"</f>
        <v>06/07/2017</v>
      </c>
      <c r="B1955" t="str">
        <f>"0.7266"</f>
        <v>0.7266</v>
      </c>
      <c r="C1955" t="str">
        <f>"0.7262"</f>
        <v>0.7262</v>
      </c>
    </row>
    <row r="1956" spans="1:3" x14ac:dyDescent="0.25">
      <c r="A1956" t="str">
        <f>"07/07/2017"</f>
        <v>07/07/2017</v>
      </c>
      <c r="B1956" t="str">
        <f>"0.7275"</f>
        <v>0.7275</v>
      </c>
      <c r="C1956" t="str">
        <f>"0.7271"</f>
        <v>0.7271</v>
      </c>
    </row>
    <row r="1957" spans="1:3" x14ac:dyDescent="0.25">
      <c r="A1957" t="str">
        <f>"10/07/2017"</f>
        <v>10/07/2017</v>
      </c>
      <c r="B1957" t="str">
        <f>"0.727"</f>
        <v>0.727</v>
      </c>
      <c r="C1957" t="str">
        <f>"0.7266"</f>
        <v>0.7266</v>
      </c>
    </row>
    <row r="1958" spans="1:3" x14ac:dyDescent="0.25">
      <c r="A1958" t="str">
        <f>"11/07/2017"</f>
        <v>11/07/2017</v>
      </c>
      <c r="B1958" t="str">
        <f>"0.7216"</f>
        <v>0.7216</v>
      </c>
      <c r="C1958" t="str">
        <f>"0.7212"</f>
        <v>0.7212</v>
      </c>
    </row>
    <row r="1959" spans="1:3" x14ac:dyDescent="0.25">
      <c r="A1959" t="str">
        <f>"12/07/2017"</f>
        <v>12/07/2017</v>
      </c>
      <c r="B1959" t="str">
        <f>"0.7239"</f>
        <v>0.7239</v>
      </c>
      <c r="C1959" t="str">
        <f>"0.7235"</f>
        <v>0.7235</v>
      </c>
    </row>
    <row r="1960" spans="1:3" x14ac:dyDescent="0.25">
      <c r="A1960" t="str">
        <f>"13/07/2017"</f>
        <v>13/07/2017</v>
      </c>
      <c r="B1960" t="str">
        <f>"0.734"</f>
        <v>0.734</v>
      </c>
      <c r="C1960" t="str">
        <f>"0.7336"</f>
        <v>0.7336</v>
      </c>
    </row>
    <row r="1961" spans="1:3" x14ac:dyDescent="0.25">
      <c r="A1961" t="str">
        <f>"14/07/2017"</f>
        <v>14/07/2017</v>
      </c>
      <c r="B1961" t="str">
        <f>"0.7307"</f>
        <v>0.7307</v>
      </c>
      <c r="C1961" t="str">
        <f>"0.7303"</f>
        <v>0.7303</v>
      </c>
    </row>
    <row r="1962" spans="1:3" x14ac:dyDescent="0.25">
      <c r="A1962" t="str">
        <f>"17/07/2017"</f>
        <v>17/07/2017</v>
      </c>
      <c r="B1962" t="str">
        <f>"0.7335"</f>
        <v>0.7335</v>
      </c>
      <c r="C1962" t="str">
        <f>"0.7331"</f>
        <v>0.7331</v>
      </c>
    </row>
    <row r="1963" spans="1:3" x14ac:dyDescent="0.25">
      <c r="A1963" t="str">
        <f>"18/07/2017"</f>
        <v>18/07/2017</v>
      </c>
      <c r="B1963" t="str">
        <f>"0.7355"</f>
        <v>0.7355</v>
      </c>
      <c r="C1963" t="str">
        <f>"0.7351"</f>
        <v>0.7351</v>
      </c>
    </row>
    <row r="1964" spans="1:3" x14ac:dyDescent="0.25">
      <c r="A1964" t="str">
        <f>"19/07/2017"</f>
        <v>19/07/2017</v>
      </c>
      <c r="B1964" t="str">
        <f>"0.7368"</f>
        <v>0.7368</v>
      </c>
      <c r="C1964" t="str">
        <f>"0.7364"</f>
        <v>0.7364</v>
      </c>
    </row>
    <row r="1965" spans="1:3" x14ac:dyDescent="0.25">
      <c r="A1965" t="str">
        <f>"20/07/2017"</f>
        <v>20/07/2017</v>
      </c>
      <c r="B1965" t="str">
        <f>"0.7347"</f>
        <v>0.7347</v>
      </c>
      <c r="C1965" t="str">
        <f>"0.7343"</f>
        <v>0.7343</v>
      </c>
    </row>
    <row r="1966" spans="1:3" x14ac:dyDescent="0.25">
      <c r="A1966" t="str">
        <f>"21/07/2017"</f>
        <v>21/07/2017</v>
      </c>
      <c r="B1966" t="str">
        <f>"0.7436"</f>
        <v>0.7436</v>
      </c>
      <c r="C1966" t="str">
        <f>"0.7432"</f>
        <v>0.7432</v>
      </c>
    </row>
    <row r="1967" spans="1:3" x14ac:dyDescent="0.25">
      <c r="A1967" t="str">
        <f>"24/07/2017"</f>
        <v>24/07/2017</v>
      </c>
      <c r="B1967" t="str">
        <f>"0.7437"</f>
        <v>0.7437</v>
      </c>
      <c r="C1967" t="str">
        <f>"0.7432"</f>
        <v>0.7432</v>
      </c>
    </row>
    <row r="1968" spans="1:3" x14ac:dyDescent="0.25">
      <c r="A1968" t="str">
        <f>"25/07/2017"</f>
        <v>25/07/2017</v>
      </c>
      <c r="B1968" t="str">
        <f>"0.7425"</f>
        <v>0.7425</v>
      </c>
      <c r="C1968" t="str">
        <f>"0.7421"</f>
        <v>0.7421</v>
      </c>
    </row>
    <row r="1969" spans="1:3" x14ac:dyDescent="0.25">
      <c r="A1969" t="str">
        <f>"26/07/2017"</f>
        <v>26/07/2017</v>
      </c>
      <c r="B1969" t="str">
        <f>"0.7428"</f>
        <v>0.7428</v>
      </c>
      <c r="C1969" t="str">
        <f>"0.7424"</f>
        <v>0.7424</v>
      </c>
    </row>
    <row r="1970" spans="1:3" x14ac:dyDescent="0.25">
      <c r="A1970" t="str">
        <f>"27/07/2017"</f>
        <v>27/07/2017</v>
      </c>
      <c r="B1970" t="str">
        <f>"0.7532"</f>
        <v>0.7532</v>
      </c>
      <c r="C1970" t="str">
        <f>"0.7528"</f>
        <v>0.7528</v>
      </c>
    </row>
    <row r="1971" spans="1:3" x14ac:dyDescent="0.25">
      <c r="A1971" t="str">
        <f>"28/07/2017"</f>
        <v>28/07/2017</v>
      </c>
      <c r="B1971" t="str">
        <f>"0.7465"</f>
        <v>0.7465</v>
      </c>
      <c r="C1971" t="str">
        <f>"0.7461"</f>
        <v>0.7461</v>
      </c>
    </row>
    <row r="1972" spans="1:3" x14ac:dyDescent="0.25">
      <c r="A1972" t="str">
        <f>"31/07/2017"</f>
        <v>31/07/2017</v>
      </c>
      <c r="B1972" t="str">
        <f>"0.7491"</f>
        <v>0.7491</v>
      </c>
      <c r="C1972" t="str">
        <f>"0.7486"</f>
        <v>0.7486</v>
      </c>
    </row>
    <row r="1973" spans="1:3" x14ac:dyDescent="0.25">
      <c r="A1973" t="str">
        <f>"01/08/2017"</f>
        <v>01/08/2017</v>
      </c>
      <c r="B1973" t="str">
        <f>"0.7473"</f>
        <v>0.7473</v>
      </c>
      <c r="C1973" t="str">
        <f>"0.7469"</f>
        <v>0.7469</v>
      </c>
    </row>
    <row r="1974" spans="1:3" x14ac:dyDescent="0.25">
      <c r="A1974" t="str">
        <f>"02/08/2017"</f>
        <v>02/08/2017</v>
      </c>
      <c r="B1974" t="str">
        <f>"0.7419"</f>
        <v>0.7419</v>
      </c>
      <c r="C1974" t="str">
        <f>"0.7415"</f>
        <v>0.7415</v>
      </c>
    </row>
    <row r="1975" spans="1:3" x14ac:dyDescent="0.25">
      <c r="A1975" t="str">
        <f>"03/08/2017"</f>
        <v>03/08/2017</v>
      </c>
      <c r="B1975" t="str">
        <f>"0.7414"</f>
        <v>0.7414</v>
      </c>
      <c r="C1975" t="str">
        <f>"0.741"</f>
        <v>0.741</v>
      </c>
    </row>
    <row r="1976" spans="1:3" x14ac:dyDescent="0.25">
      <c r="A1976" t="str">
        <f>"04/08/2017"</f>
        <v>04/08/2017</v>
      </c>
      <c r="B1976" t="str">
        <f>"0.7454"</f>
        <v>0.7454</v>
      </c>
      <c r="C1976" t="str">
        <f>"0.745"</f>
        <v>0.745</v>
      </c>
    </row>
    <row r="1977" spans="1:3" x14ac:dyDescent="0.25">
      <c r="A1977" t="str">
        <f>"07/08/2017"</f>
        <v>07/08/2017</v>
      </c>
      <c r="B1977" t="str">
        <f>"0.736"</f>
        <v>0.736</v>
      </c>
      <c r="C1977" t="str">
        <f>"0.7355"</f>
        <v>0.7355</v>
      </c>
    </row>
    <row r="1978" spans="1:3" x14ac:dyDescent="0.25">
      <c r="A1978" t="str">
        <f>"08/08/2017"</f>
        <v>08/08/2017</v>
      </c>
      <c r="B1978" t="str">
        <f>"0.7358"</f>
        <v>0.7358</v>
      </c>
      <c r="C1978" t="str">
        <f>"0.7353"</f>
        <v>0.7353</v>
      </c>
    </row>
    <row r="1979" spans="1:3" x14ac:dyDescent="0.25">
      <c r="A1979" t="str">
        <f>"09/08/2017"</f>
        <v>09/08/2017</v>
      </c>
      <c r="B1979" t="str">
        <f>"0.7326"</f>
        <v>0.7326</v>
      </c>
      <c r="C1979" t="str">
        <f>"0.7322"</f>
        <v>0.7322</v>
      </c>
    </row>
    <row r="1980" spans="1:3" x14ac:dyDescent="0.25">
      <c r="A1980" t="str">
        <f>"10/08/2017"</f>
        <v>10/08/2017</v>
      </c>
      <c r="B1980" t="str">
        <f>"0.7268"</f>
        <v>0.7268</v>
      </c>
      <c r="C1980" t="str">
        <f>"0.7263"</f>
        <v>0.7263</v>
      </c>
    </row>
    <row r="1981" spans="1:3" x14ac:dyDescent="0.25">
      <c r="A1981" t="str">
        <f>"11/08/2017"</f>
        <v>11/08/2017</v>
      </c>
      <c r="B1981" t="str">
        <f>"0.7284"</f>
        <v>0.7284</v>
      </c>
      <c r="C1981" t="str">
        <f>"0.728"</f>
        <v>0.728</v>
      </c>
    </row>
    <row r="1982" spans="1:3" x14ac:dyDescent="0.25">
      <c r="A1982" t="str">
        <f>"14/08/2017"</f>
        <v>14/08/2017</v>
      </c>
      <c r="B1982" t="str">
        <f>"0.7293"</f>
        <v>0.7293</v>
      </c>
      <c r="C1982" t="str">
        <f>"0.7288"</f>
        <v>0.7288</v>
      </c>
    </row>
    <row r="1983" spans="1:3" x14ac:dyDescent="0.25">
      <c r="A1983" t="str">
        <f>"16/08/2017"</f>
        <v>16/08/2017</v>
      </c>
      <c r="B1983" t="str">
        <f>"0.7232"</f>
        <v>0.7232</v>
      </c>
      <c r="C1983" t="str">
        <f>"0.7227"</f>
        <v>0.7227</v>
      </c>
    </row>
    <row r="1984" spans="1:3" x14ac:dyDescent="0.25">
      <c r="A1984" t="str">
        <f>"18/08/2017"</f>
        <v>18/08/2017</v>
      </c>
      <c r="B1984" t="str">
        <f>"0.7323"</f>
        <v>0.7323</v>
      </c>
      <c r="C1984" t="str">
        <f>"0.7318"</f>
        <v>0.7318</v>
      </c>
    </row>
    <row r="1985" spans="1:3" x14ac:dyDescent="0.25">
      <c r="A1985" t="str">
        <f>"21/08/2017"</f>
        <v>21/08/2017</v>
      </c>
      <c r="B1985" t="str">
        <f>"0.7315"</f>
        <v>0.7315</v>
      </c>
      <c r="C1985" t="str">
        <f>"0.731"</f>
        <v>0.731</v>
      </c>
    </row>
    <row r="1986" spans="1:3" x14ac:dyDescent="0.25">
      <c r="A1986" t="str">
        <f>"22/08/2017"</f>
        <v>22/08/2017</v>
      </c>
      <c r="B1986" t="str">
        <f>"0.7278"</f>
        <v>0.7278</v>
      </c>
      <c r="C1986" t="str">
        <f>"0.7273"</f>
        <v>0.7273</v>
      </c>
    </row>
    <row r="1987" spans="1:3" x14ac:dyDescent="0.25">
      <c r="A1987" t="str">
        <f>"23/08/2017"</f>
        <v>23/08/2017</v>
      </c>
      <c r="B1987" t="str">
        <f>"0.7233"</f>
        <v>0.7233</v>
      </c>
      <c r="C1987" t="str">
        <f>"0.7228"</f>
        <v>0.7228</v>
      </c>
    </row>
    <row r="1988" spans="1:3" x14ac:dyDescent="0.25">
      <c r="A1988" t="str">
        <f>"24/08/2017"</f>
        <v>24/08/2017</v>
      </c>
      <c r="B1988" t="str">
        <f>"0.721"</f>
        <v>0.721</v>
      </c>
      <c r="C1988" t="str">
        <f>"0.7205"</f>
        <v>0.7205</v>
      </c>
    </row>
    <row r="1989" spans="1:3" x14ac:dyDescent="0.25">
      <c r="A1989" t="str">
        <f>"28/08/2017"</f>
        <v>28/08/2017</v>
      </c>
      <c r="B1989" t="str">
        <f>"0.7244"</f>
        <v>0.7244</v>
      </c>
      <c r="C1989" t="str">
        <f>"0.724"</f>
        <v>0.724</v>
      </c>
    </row>
    <row r="1990" spans="1:3" x14ac:dyDescent="0.25">
      <c r="A1990" t="str">
        <f>"29/08/2017"</f>
        <v>29/08/2017</v>
      </c>
      <c r="B1990" t="str">
        <f>"0.729"</f>
        <v>0.729</v>
      </c>
      <c r="C1990" t="str">
        <f>"0.7286"</f>
        <v>0.7286</v>
      </c>
    </row>
    <row r="1991" spans="1:3" x14ac:dyDescent="0.25">
      <c r="A1991" t="str">
        <f>"30/08/2017"</f>
        <v>30/08/2017</v>
      </c>
      <c r="B1991" t="str">
        <f>"0.7273"</f>
        <v>0.7273</v>
      </c>
      <c r="C1991" t="str">
        <f>"0.7269"</f>
        <v>0.7269</v>
      </c>
    </row>
    <row r="1992" spans="1:3" x14ac:dyDescent="0.25">
      <c r="A1992" t="str">
        <f>"31/08/2017"</f>
        <v>31/08/2017</v>
      </c>
      <c r="B1992" t="str">
        <f>"0.7136"</f>
        <v>0.7136</v>
      </c>
      <c r="C1992" t="str">
        <f>"0.7132"</f>
        <v>0.7132</v>
      </c>
    </row>
    <row r="1993" spans="1:3" x14ac:dyDescent="0.25">
      <c r="A1993" t="str">
        <f>"01/09/2017"</f>
        <v>01/09/2017</v>
      </c>
      <c r="B1993" t="str">
        <f>"0.7162"</f>
        <v>0.7162</v>
      </c>
      <c r="C1993" t="str">
        <f>"0.7158"</f>
        <v>0.7158</v>
      </c>
    </row>
    <row r="1994" spans="1:3" x14ac:dyDescent="0.25">
      <c r="A1994" t="str">
        <f>"04/09/2017"</f>
        <v>04/09/2017</v>
      </c>
      <c r="B1994" t="str">
        <f>"0.7176"</f>
        <v>0.7176</v>
      </c>
      <c r="C1994" t="str">
        <f>"0.7172"</f>
        <v>0.7172</v>
      </c>
    </row>
    <row r="1995" spans="1:3" x14ac:dyDescent="0.25">
      <c r="A1995" t="str">
        <f>"05/09/2017"</f>
        <v>05/09/2017</v>
      </c>
      <c r="B1995" t="str">
        <f>"0.7183"</f>
        <v>0.7183</v>
      </c>
      <c r="C1995" t="str">
        <f>"0.7178"</f>
        <v>0.7178</v>
      </c>
    </row>
    <row r="1996" spans="1:3" x14ac:dyDescent="0.25">
      <c r="A1996" t="str">
        <f>"06/09/2017"</f>
        <v>06/09/2017</v>
      </c>
      <c r="B1996" t="str">
        <f>"0.7213"</f>
        <v>0.7213</v>
      </c>
      <c r="C1996" t="str">
        <f>"0.7208"</f>
        <v>0.7208</v>
      </c>
    </row>
    <row r="1997" spans="1:3" x14ac:dyDescent="0.25">
      <c r="A1997" t="str">
        <f>"07/09/2017"</f>
        <v>07/09/2017</v>
      </c>
      <c r="B1997" t="str">
        <f>"0.7207"</f>
        <v>0.7207</v>
      </c>
      <c r="C1997" t="str">
        <f>"0.7203"</f>
        <v>0.7203</v>
      </c>
    </row>
    <row r="1998" spans="1:3" x14ac:dyDescent="0.25">
      <c r="A1998" t="str">
        <f>"08/09/2017"</f>
        <v>08/09/2017</v>
      </c>
      <c r="B1998" t="str">
        <f>"0.7308"</f>
        <v>0.7308</v>
      </c>
      <c r="C1998" t="str">
        <f>"0.7304"</f>
        <v>0.7304</v>
      </c>
    </row>
    <row r="1999" spans="1:3" x14ac:dyDescent="0.25">
      <c r="A1999" t="str">
        <f>"11/09/2017"</f>
        <v>11/09/2017</v>
      </c>
      <c r="B1999" t="str">
        <f>"0.7272"</f>
        <v>0.7272</v>
      </c>
      <c r="C1999" t="str">
        <f>"0.7268"</f>
        <v>0.7268</v>
      </c>
    </row>
    <row r="2000" spans="1:3" x14ac:dyDescent="0.25">
      <c r="A2000" t="str">
        <f>"12/09/2017"</f>
        <v>12/09/2017</v>
      </c>
      <c r="B2000" t="str">
        <f>"0.7292"</f>
        <v>0.7292</v>
      </c>
      <c r="C2000" t="str">
        <f>"0.7287"</f>
        <v>0.7287</v>
      </c>
    </row>
    <row r="2001" spans="1:3" x14ac:dyDescent="0.25">
      <c r="A2001" t="str">
        <f>"13/09/2017"</f>
        <v>13/09/2017</v>
      </c>
      <c r="B2001" t="str">
        <f>"0.7284"</f>
        <v>0.7284</v>
      </c>
      <c r="C2001" t="str">
        <f>"0.7279"</f>
        <v>0.7279</v>
      </c>
    </row>
    <row r="2002" spans="1:3" x14ac:dyDescent="0.25">
      <c r="A2002" t="str">
        <f>"14/09/2017"</f>
        <v>14/09/2017</v>
      </c>
      <c r="B2002" t="str">
        <f>"0.7221"</f>
        <v>0.7221</v>
      </c>
      <c r="C2002" t="str">
        <f>"0.7217"</f>
        <v>0.7217</v>
      </c>
    </row>
    <row r="2003" spans="1:3" x14ac:dyDescent="0.25">
      <c r="A2003" t="str">
        <f>"15/09/2017"</f>
        <v>15/09/2017</v>
      </c>
      <c r="B2003" t="str">
        <f>"0.7236"</f>
        <v>0.7236</v>
      </c>
      <c r="C2003" t="str">
        <f>"0.7232"</f>
        <v>0.7232</v>
      </c>
    </row>
    <row r="2004" spans="1:3" x14ac:dyDescent="0.25">
      <c r="A2004" t="str">
        <f>"18/09/2017"</f>
        <v>18/09/2017</v>
      </c>
      <c r="B2004" t="str">
        <f>"0.7291"</f>
        <v>0.7291</v>
      </c>
      <c r="C2004" t="str">
        <f>"0.7287"</f>
        <v>0.7287</v>
      </c>
    </row>
    <row r="2005" spans="1:3" x14ac:dyDescent="0.25">
      <c r="A2005" t="str">
        <f>"19/09/2017"</f>
        <v>19/09/2017</v>
      </c>
      <c r="B2005" t="str">
        <f>"0.73"</f>
        <v>0.73</v>
      </c>
      <c r="C2005" t="str">
        <f>"0.7295"</f>
        <v>0.7295</v>
      </c>
    </row>
    <row r="2006" spans="1:3" x14ac:dyDescent="0.25">
      <c r="A2006" t="str">
        <f>"20/09/2017"</f>
        <v>20/09/2017</v>
      </c>
      <c r="B2006" t="str">
        <f>"0.7308"</f>
        <v>0.7308</v>
      </c>
      <c r="C2006" t="str">
        <f>"0.7303"</f>
        <v>0.7303</v>
      </c>
    </row>
    <row r="2007" spans="1:3" x14ac:dyDescent="0.25">
      <c r="A2007" t="str">
        <f>"21/09/2017"</f>
        <v>21/09/2017</v>
      </c>
      <c r="B2007" t="str">
        <f>"0.7308"</f>
        <v>0.7308</v>
      </c>
      <c r="C2007" t="str">
        <f>"0.7303"</f>
        <v>0.7303</v>
      </c>
    </row>
    <row r="2008" spans="1:3" x14ac:dyDescent="0.25">
      <c r="A2008" t="str">
        <f>"22/09/2017"</f>
        <v>22/09/2017</v>
      </c>
      <c r="B2008" t="str">
        <f>"0.732"</f>
        <v>0.732</v>
      </c>
      <c r="C2008" t="str">
        <f>"0.7315"</f>
        <v>0.7315</v>
      </c>
    </row>
    <row r="2009" spans="1:3" x14ac:dyDescent="0.25">
      <c r="A2009" t="str">
        <f>"25/09/2017"</f>
        <v>25/09/2017</v>
      </c>
      <c r="B2009" t="str">
        <f>"0.7277"</f>
        <v>0.7277</v>
      </c>
      <c r="C2009" t="str">
        <f>"0.7273"</f>
        <v>0.7273</v>
      </c>
    </row>
    <row r="2010" spans="1:3" x14ac:dyDescent="0.25">
      <c r="A2010" t="str">
        <f>"26/09/2017"</f>
        <v>26/09/2017</v>
      </c>
      <c r="B2010" t="str">
        <f>"0.7207"</f>
        <v>0.7207</v>
      </c>
      <c r="C2010" t="str">
        <f>"0.7203"</f>
        <v>0.7203</v>
      </c>
    </row>
    <row r="2011" spans="1:3" x14ac:dyDescent="0.25">
      <c r="A2011" t="str">
        <f>"27/09/2017"</f>
        <v>27/09/2017</v>
      </c>
      <c r="B2011" t="str">
        <f>"0.7207"</f>
        <v>0.7207</v>
      </c>
      <c r="C2011" t="str">
        <f>"0.7203"</f>
        <v>0.7203</v>
      </c>
    </row>
    <row r="2012" spans="1:3" x14ac:dyDescent="0.25">
      <c r="A2012" t="str">
        <f>"28/09/2017"</f>
        <v>28/09/2017</v>
      </c>
      <c r="B2012" t="str">
        <f>"0.719"</f>
        <v>0.719</v>
      </c>
      <c r="C2012" t="str">
        <f>"0.7186"</f>
        <v>0.7186</v>
      </c>
    </row>
    <row r="2013" spans="1:3" x14ac:dyDescent="0.25">
      <c r="A2013" t="str">
        <f>"29/09/2017"</f>
        <v>29/09/2017</v>
      </c>
      <c r="B2013" t="str">
        <f>"0.7222"</f>
        <v>0.7222</v>
      </c>
      <c r="C2013" t="str">
        <f>"0.7217"</f>
        <v>0.7217</v>
      </c>
    </row>
    <row r="2014" spans="1:3" x14ac:dyDescent="0.25">
      <c r="A2014" t="str">
        <f>"03/10/2017"</f>
        <v>03/10/2017</v>
      </c>
      <c r="B2014" t="str">
        <f>"0.7177"</f>
        <v>0.7177</v>
      </c>
      <c r="C2014" t="str">
        <f>"0.7172"</f>
        <v>0.7172</v>
      </c>
    </row>
    <row r="2015" spans="1:3" x14ac:dyDescent="0.25">
      <c r="A2015" t="str">
        <f>"04/10/2017"</f>
        <v>04/10/2017</v>
      </c>
      <c r="B2015" t="str">
        <f>"0.7176"</f>
        <v>0.7176</v>
      </c>
      <c r="C2015" t="str">
        <f>"0.7172"</f>
        <v>0.7172</v>
      </c>
    </row>
    <row r="2016" spans="1:3" x14ac:dyDescent="0.25">
      <c r="A2016" t="str">
        <f>"05/10/2017"</f>
        <v>05/10/2017</v>
      </c>
      <c r="B2016" t="str">
        <f>"0.7148"</f>
        <v>0.7148</v>
      </c>
      <c r="C2016" t="str">
        <f>"0.7144"</f>
        <v>0.7144</v>
      </c>
    </row>
    <row r="2017" spans="1:3" x14ac:dyDescent="0.25">
      <c r="A2017" t="str">
        <f>"06/10/2017"</f>
        <v>06/10/2017</v>
      </c>
      <c r="B2017" t="str">
        <f>"0.7088"</f>
        <v>0.7088</v>
      </c>
      <c r="C2017" t="str">
        <f>"0.7084"</f>
        <v>0.7084</v>
      </c>
    </row>
    <row r="2018" spans="1:3" x14ac:dyDescent="0.25">
      <c r="A2018" t="str">
        <f>"09/10/2017"</f>
        <v>09/10/2017</v>
      </c>
      <c r="B2018" t="str">
        <f>"0.7077"</f>
        <v>0.7077</v>
      </c>
      <c r="C2018" t="str">
        <f>"0.7072"</f>
        <v>0.7072</v>
      </c>
    </row>
    <row r="2019" spans="1:3" x14ac:dyDescent="0.25">
      <c r="A2019" t="str">
        <f>"10/10/2017"</f>
        <v>10/10/2017</v>
      </c>
      <c r="B2019" t="str">
        <f>"0.7066"</f>
        <v>0.7066</v>
      </c>
      <c r="C2019" t="str">
        <f>"0.7061"</f>
        <v>0.7061</v>
      </c>
    </row>
    <row r="2020" spans="1:3" x14ac:dyDescent="0.25">
      <c r="A2020" t="str">
        <f>"11/10/2017"</f>
        <v>11/10/2017</v>
      </c>
      <c r="B2020" t="str">
        <f>"0.7065"</f>
        <v>0.7065</v>
      </c>
      <c r="C2020" t="str">
        <f>"0.7061"</f>
        <v>0.7061</v>
      </c>
    </row>
    <row r="2021" spans="1:3" x14ac:dyDescent="0.25">
      <c r="A2021" t="str">
        <f>"12/10/2017"</f>
        <v>12/10/2017</v>
      </c>
      <c r="B2021" t="str">
        <f>"0.7113"</f>
        <v>0.7113</v>
      </c>
      <c r="C2021" t="str">
        <f>"0.7109"</f>
        <v>0.7109</v>
      </c>
    </row>
    <row r="2022" spans="1:3" x14ac:dyDescent="0.25">
      <c r="A2022" t="str">
        <f>"13/10/2017"</f>
        <v>13/10/2017</v>
      </c>
      <c r="B2022" t="str">
        <f>"0.7146"</f>
        <v>0.7146</v>
      </c>
      <c r="C2022" t="str">
        <f>"0.7142"</f>
        <v>0.7142</v>
      </c>
    </row>
    <row r="2023" spans="1:3" x14ac:dyDescent="0.25">
      <c r="A2023" t="str">
        <f>"16/10/2017"</f>
        <v>16/10/2017</v>
      </c>
      <c r="B2023" t="str">
        <f>"0.7189"</f>
        <v>0.7189</v>
      </c>
      <c r="C2023" t="str">
        <f>"0.7184"</f>
        <v>0.7184</v>
      </c>
    </row>
    <row r="2024" spans="1:3" x14ac:dyDescent="0.25">
      <c r="A2024" t="str">
        <f>"17/10/2017"</f>
        <v>17/10/2017</v>
      </c>
      <c r="B2024" t="str">
        <f>"0.7178"</f>
        <v>0.7178</v>
      </c>
      <c r="C2024" t="str">
        <f>"0.7173"</f>
        <v>0.7173</v>
      </c>
    </row>
    <row r="2025" spans="1:3" x14ac:dyDescent="0.25">
      <c r="A2025" t="str">
        <f>"18/10/2017"</f>
        <v>18/10/2017</v>
      </c>
      <c r="B2025" t="str">
        <f>"0.7133"</f>
        <v>0.7133</v>
      </c>
      <c r="C2025" t="str">
        <f>"0.7128"</f>
        <v>0.7128</v>
      </c>
    </row>
    <row r="2026" spans="1:3" x14ac:dyDescent="0.25">
      <c r="A2026" t="str">
        <f>"23/10/2017"</f>
        <v>23/10/2017</v>
      </c>
      <c r="B2026" t="str">
        <f>"0.6962"</f>
        <v>0.6962</v>
      </c>
      <c r="C2026" t="str">
        <f>"0.6957"</f>
        <v>0.6957</v>
      </c>
    </row>
    <row r="2027" spans="1:3" x14ac:dyDescent="0.25">
      <c r="A2027" t="str">
        <f>"24/10/2017"</f>
        <v>24/10/2017</v>
      </c>
      <c r="B2027" t="str">
        <f>"0.692"</f>
        <v>0.692</v>
      </c>
      <c r="C2027" t="str">
        <f>"0.6915"</f>
        <v>0.6915</v>
      </c>
    </row>
    <row r="2028" spans="1:3" x14ac:dyDescent="0.25">
      <c r="A2028" t="str">
        <f>"25/10/2017"</f>
        <v>25/10/2017</v>
      </c>
      <c r="B2028" t="str">
        <f>"0.6876"</f>
        <v>0.6876</v>
      </c>
      <c r="C2028" t="str">
        <f>"0.6871"</f>
        <v>0.6871</v>
      </c>
    </row>
    <row r="2029" spans="1:3" x14ac:dyDescent="0.25">
      <c r="A2029" t="str">
        <f>"26/10/2017"</f>
        <v>26/10/2017</v>
      </c>
      <c r="B2029" t="str">
        <f>"0.6867"</f>
        <v>0.6867</v>
      </c>
      <c r="C2029" t="str">
        <f>"0.6863"</f>
        <v>0.6863</v>
      </c>
    </row>
    <row r="2030" spans="1:3" x14ac:dyDescent="0.25">
      <c r="A2030" t="str">
        <f>"27/10/2017"</f>
        <v>27/10/2017</v>
      </c>
      <c r="B2030" t="str">
        <f>"0.6842"</f>
        <v>0.6842</v>
      </c>
      <c r="C2030" t="str">
        <f>"0.6838"</f>
        <v>0.6838</v>
      </c>
    </row>
    <row r="2031" spans="1:3" x14ac:dyDescent="0.25">
      <c r="A2031" t="str">
        <f>"30/10/2017"</f>
        <v>30/10/2017</v>
      </c>
      <c r="B2031" t="str">
        <f>"0.6851"</f>
        <v>0.6851</v>
      </c>
      <c r="C2031" t="str">
        <f>"0.6847"</f>
        <v>0.6847</v>
      </c>
    </row>
    <row r="2032" spans="1:3" x14ac:dyDescent="0.25">
      <c r="A2032" t="str">
        <f>"31/10/2017"</f>
        <v>31/10/2017</v>
      </c>
      <c r="B2032" t="str">
        <f>"0.6842"</f>
        <v>0.6842</v>
      </c>
      <c r="C2032" t="str">
        <f>"0.6838"</f>
        <v>0.6838</v>
      </c>
    </row>
    <row r="2033" spans="1:3" x14ac:dyDescent="0.25">
      <c r="A2033" t="str">
        <f>"01/11/2017"</f>
        <v>01/11/2017</v>
      </c>
      <c r="B2033" t="str">
        <f>"0.6905"</f>
        <v>0.6905</v>
      </c>
      <c r="C2033" t="str">
        <f>"0.6901"</f>
        <v>0.6901</v>
      </c>
    </row>
    <row r="2034" spans="1:3" x14ac:dyDescent="0.25">
      <c r="A2034" t="str">
        <f>"02/11/2017"</f>
        <v>02/11/2017</v>
      </c>
      <c r="B2034" t="str">
        <f>"0.6894"</f>
        <v>0.6894</v>
      </c>
      <c r="C2034" t="str">
        <f>"0.689"</f>
        <v>0.689</v>
      </c>
    </row>
    <row r="2035" spans="1:3" x14ac:dyDescent="0.25">
      <c r="A2035" t="str">
        <f>"03/11/2017"</f>
        <v>03/11/2017</v>
      </c>
      <c r="B2035" t="str">
        <f>"0.6915"</f>
        <v>0.6915</v>
      </c>
      <c r="C2035" t="str">
        <f>"0.6911"</f>
        <v>0.6911</v>
      </c>
    </row>
    <row r="2036" spans="1:3" x14ac:dyDescent="0.25">
      <c r="A2036" t="str">
        <f>"06/11/2017"</f>
        <v>06/11/2017</v>
      </c>
      <c r="B2036" t="str">
        <f>"0.6894"</f>
        <v>0.6894</v>
      </c>
      <c r="C2036" t="str">
        <f>"0.689"</f>
        <v>0.689</v>
      </c>
    </row>
    <row r="2037" spans="1:3" x14ac:dyDescent="0.25">
      <c r="A2037" t="str">
        <f>"07/11/2017"</f>
        <v>07/11/2017</v>
      </c>
      <c r="B2037" t="str">
        <f>"0.6925"</f>
        <v>0.6925</v>
      </c>
      <c r="C2037" t="str">
        <f>"0.692"</f>
        <v>0.692</v>
      </c>
    </row>
    <row r="2038" spans="1:3" x14ac:dyDescent="0.25">
      <c r="A2038" t="str">
        <f>"08/11/2017"</f>
        <v>08/11/2017</v>
      </c>
      <c r="B2038" t="str">
        <f>"0.6931"</f>
        <v>0.6931</v>
      </c>
      <c r="C2038" t="str">
        <f>"0.6927"</f>
        <v>0.6927</v>
      </c>
    </row>
    <row r="2039" spans="1:3" x14ac:dyDescent="0.25">
      <c r="A2039" t="str">
        <f>"09/11/2017"</f>
        <v>09/11/2017</v>
      </c>
      <c r="B2039" t="str">
        <f>"0.6977"</f>
        <v>0.6977</v>
      </c>
      <c r="C2039" t="str">
        <f>"0.6973"</f>
        <v>0.6973</v>
      </c>
    </row>
    <row r="2040" spans="1:3" x14ac:dyDescent="0.25">
      <c r="A2040" t="str">
        <f>"10/11/2017"</f>
        <v>10/11/2017</v>
      </c>
      <c r="B2040" t="str">
        <f>"0.6934"</f>
        <v>0.6934</v>
      </c>
      <c r="C2040" t="str">
        <f>"0.693"</f>
        <v>0.693</v>
      </c>
    </row>
    <row r="2041" spans="1:3" x14ac:dyDescent="0.25">
      <c r="A2041" t="str">
        <f>"13/11/2017"</f>
        <v>13/11/2017</v>
      </c>
      <c r="B2041" t="str">
        <f>"0.6913"</f>
        <v>0.6913</v>
      </c>
      <c r="C2041" t="str">
        <f>"0.6909"</f>
        <v>0.6909</v>
      </c>
    </row>
    <row r="2042" spans="1:3" x14ac:dyDescent="0.25">
      <c r="A2042" t="str">
        <f>"14/11/2017"</f>
        <v>14/11/2017</v>
      </c>
      <c r="B2042" t="str">
        <f>"0.6869"</f>
        <v>0.6869</v>
      </c>
      <c r="C2042" t="str">
        <f>"0.6864"</f>
        <v>0.6864</v>
      </c>
    </row>
    <row r="2043" spans="1:3" x14ac:dyDescent="0.25">
      <c r="A2043" t="str">
        <f>"15/11/2017"</f>
        <v>15/11/2017</v>
      </c>
      <c r="B2043" t="str">
        <f>"0.6909"</f>
        <v>0.6909</v>
      </c>
      <c r="C2043" t="str">
        <f>"0.6904"</f>
        <v>0.6904</v>
      </c>
    </row>
    <row r="2044" spans="1:3" x14ac:dyDescent="0.25">
      <c r="A2044" t="str">
        <f>"16/11/2017"</f>
        <v>16/11/2017</v>
      </c>
      <c r="B2044" t="str">
        <f>"0.6842"</f>
        <v>0.6842</v>
      </c>
      <c r="C2044" t="str">
        <f>"0.6838"</f>
        <v>0.6838</v>
      </c>
    </row>
    <row r="2045" spans="1:3" x14ac:dyDescent="0.25">
      <c r="A2045" t="str">
        <f>"17/11/2017"</f>
        <v>17/11/2017</v>
      </c>
      <c r="B2045" t="str">
        <f>"0.6845"</f>
        <v>0.6845</v>
      </c>
      <c r="C2045" t="str">
        <f>"0.6841"</f>
        <v>0.6841</v>
      </c>
    </row>
    <row r="2046" spans="1:3" x14ac:dyDescent="0.25">
      <c r="A2046" t="str">
        <f>"20/11/2017"</f>
        <v>20/11/2017</v>
      </c>
      <c r="B2046" t="str">
        <f>"0.683"</f>
        <v>0.683</v>
      </c>
      <c r="C2046" t="str">
        <f>"0.6826"</f>
        <v>0.6826</v>
      </c>
    </row>
    <row r="2047" spans="1:3" x14ac:dyDescent="0.25">
      <c r="A2047" t="str">
        <f>"21/11/2017"</f>
        <v>21/11/2017</v>
      </c>
      <c r="B2047" t="str">
        <f>"0.6815"</f>
        <v>0.6815</v>
      </c>
      <c r="C2047" t="str">
        <f>"0.6811"</f>
        <v>0.6811</v>
      </c>
    </row>
    <row r="2048" spans="1:3" x14ac:dyDescent="0.25">
      <c r="A2048" t="str">
        <f>"22/11/2017"</f>
        <v>22/11/2017</v>
      </c>
      <c r="B2048" t="str">
        <f>"0.6828"</f>
        <v>0.6828</v>
      </c>
      <c r="C2048" t="str">
        <f>"0.6824"</f>
        <v>0.6824</v>
      </c>
    </row>
    <row r="2049" spans="1:3" x14ac:dyDescent="0.25">
      <c r="A2049" t="str">
        <f>"23/11/2017"</f>
        <v>23/11/2017</v>
      </c>
      <c r="B2049" t="str">
        <f>"0.6903"</f>
        <v>0.6903</v>
      </c>
      <c r="C2049" t="str">
        <f>"0.6899"</f>
        <v>0.6899</v>
      </c>
    </row>
    <row r="2050" spans="1:3" x14ac:dyDescent="0.25">
      <c r="A2050" t="str">
        <f>"24/11/2017"</f>
        <v>24/11/2017</v>
      </c>
      <c r="B2050" t="str">
        <f>"0.687"</f>
        <v>0.687</v>
      </c>
      <c r="C2050" t="str">
        <f>"0.6866"</f>
        <v>0.6866</v>
      </c>
    </row>
    <row r="2051" spans="1:3" x14ac:dyDescent="0.25">
      <c r="A2051" t="str">
        <f>"27/11/2017"</f>
        <v>27/11/2017</v>
      </c>
      <c r="B2051" t="str">
        <f>"0.6902"</f>
        <v>0.6902</v>
      </c>
      <c r="C2051" t="str">
        <f>"0.6898"</f>
        <v>0.6898</v>
      </c>
    </row>
    <row r="2052" spans="1:3" x14ac:dyDescent="0.25">
      <c r="A2052" t="str">
        <f>"28/11/2017"</f>
        <v>28/11/2017</v>
      </c>
      <c r="B2052" t="str">
        <f>"0.6925"</f>
        <v>0.6925</v>
      </c>
      <c r="C2052" t="str">
        <f>"0.6922"</f>
        <v>0.6922</v>
      </c>
    </row>
    <row r="2053" spans="1:3" x14ac:dyDescent="0.25">
      <c r="A2053" t="str">
        <f>"29/11/2017"</f>
        <v>29/11/2017</v>
      </c>
      <c r="B2053" t="str">
        <f>"0.6921"</f>
        <v>0.6921</v>
      </c>
      <c r="C2053" t="str">
        <f>"0.6917"</f>
        <v>0.6917</v>
      </c>
    </row>
    <row r="2054" spans="1:3" x14ac:dyDescent="0.25">
      <c r="A2054" t="str">
        <f>"30/11/2017"</f>
        <v>30/11/2017</v>
      </c>
      <c r="B2054" t="str">
        <f>"0.6842"</f>
        <v>0.6842</v>
      </c>
      <c r="C2054" t="str">
        <f>"0.6839"</f>
        <v>0.6839</v>
      </c>
    </row>
    <row r="2055" spans="1:3" x14ac:dyDescent="0.25">
      <c r="A2055" t="str">
        <f>"04/12/2017"</f>
        <v>04/12/2017</v>
      </c>
      <c r="B2055" t="str">
        <f>"0.6855"</f>
        <v>0.6855</v>
      </c>
      <c r="C2055" t="str">
        <f>"0.6852"</f>
        <v>0.6852</v>
      </c>
    </row>
    <row r="2056" spans="1:3" x14ac:dyDescent="0.25">
      <c r="A2056" t="str">
        <f>"05/12/2017"</f>
        <v>05/12/2017</v>
      </c>
      <c r="B2056" t="str">
        <f>"0.6898"</f>
        <v>0.6898</v>
      </c>
      <c r="C2056" t="str">
        <f>"0.6894"</f>
        <v>0.6894</v>
      </c>
    </row>
    <row r="2057" spans="1:3" x14ac:dyDescent="0.25">
      <c r="A2057" t="str">
        <f>"06/12/2017"</f>
        <v>06/12/2017</v>
      </c>
      <c r="B2057" t="str">
        <f>"0.6894"</f>
        <v>0.6894</v>
      </c>
      <c r="C2057" t="str">
        <f>"0.6891"</f>
        <v>0.6891</v>
      </c>
    </row>
    <row r="2058" spans="1:3" x14ac:dyDescent="0.25">
      <c r="A2058" t="str">
        <f>"07/12/2017"</f>
        <v>07/12/2017</v>
      </c>
      <c r="B2058" t="str">
        <f>"0.6831"</f>
        <v>0.6831</v>
      </c>
      <c r="C2058" t="str">
        <f>"0.6828"</f>
        <v>0.6828</v>
      </c>
    </row>
    <row r="2059" spans="1:3" x14ac:dyDescent="0.25">
      <c r="A2059" t="str">
        <f>"08/12/2017"</f>
        <v>08/12/2017</v>
      </c>
      <c r="B2059" t="str">
        <f>"0.6839"</f>
        <v>0.6839</v>
      </c>
      <c r="C2059" t="str">
        <f>"0.6836"</f>
        <v>0.6836</v>
      </c>
    </row>
    <row r="2060" spans="1:3" x14ac:dyDescent="0.25">
      <c r="A2060" t="str">
        <f>"11/12/2017"</f>
        <v>11/12/2017</v>
      </c>
      <c r="B2060" t="str">
        <f>"0.6915"</f>
        <v>0.6915</v>
      </c>
      <c r="C2060" t="str">
        <f>"0.6912"</f>
        <v>0.6912</v>
      </c>
    </row>
    <row r="2061" spans="1:3" x14ac:dyDescent="0.25">
      <c r="A2061" t="str">
        <f>"12/12/2017"</f>
        <v>12/12/2017</v>
      </c>
      <c r="B2061" t="str">
        <f>"0.6949"</f>
        <v>0.6949</v>
      </c>
      <c r="C2061" t="str">
        <f>"0.6946"</f>
        <v>0.6946</v>
      </c>
    </row>
    <row r="2062" spans="1:3" x14ac:dyDescent="0.25">
      <c r="A2062" t="str">
        <f>"13/12/2017"</f>
        <v>13/12/2017</v>
      </c>
      <c r="B2062" t="str">
        <f>"0.6943"</f>
        <v>0.6943</v>
      </c>
      <c r="C2062" t="str">
        <f>"0.694"</f>
        <v>0.694</v>
      </c>
    </row>
    <row r="2063" spans="1:3" x14ac:dyDescent="0.25">
      <c r="A2063" t="str">
        <f>"14/12/2017"</f>
        <v>14/12/2017</v>
      </c>
      <c r="B2063" t="str">
        <f>"0.6996"</f>
        <v>0.6996</v>
      </c>
      <c r="C2063" t="str">
        <f>"0.6993"</f>
        <v>0.6993</v>
      </c>
    </row>
    <row r="2064" spans="1:3" x14ac:dyDescent="0.25">
      <c r="A2064" t="str">
        <f>"15/12/2017"</f>
        <v>15/12/2017</v>
      </c>
      <c r="B2064" t="str">
        <f>"0.7026"</f>
        <v>0.7026</v>
      </c>
      <c r="C2064" t="str">
        <f>"0.7023"</f>
        <v>0.7023</v>
      </c>
    </row>
    <row r="2065" spans="1:3" x14ac:dyDescent="0.25">
      <c r="A2065" t="str">
        <f>"18/12/2017"</f>
        <v>18/12/2017</v>
      </c>
      <c r="B2065" t="str">
        <f>"0.7006"</f>
        <v>0.7006</v>
      </c>
      <c r="C2065" t="str">
        <f>"0.7002"</f>
        <v>0.7002</v>
      </c>
    </row>
    <row r="2066" spans="1:3" x14ac:dyDescent="0.25">
      <c r="A2066" t="str">
        <f>"19/12/2017"</f>
        <v>19/12/2017</v>
      </c>
      <c r="B2066" t="str">
        <f>"0.7014"</f>
        <v>0.7014</v>
      </c>
      <c r="C2066" t="str">
        <f>"0.7011"</f>
        <v>0.7011</v>
      </c>
    </row>
    <row r="2067" spans="1:3" x14ac:dyDescent="0.25">
      <c r="A2067" t="str">
        <f>"20/12/2017"</f>
        <v>20/12/2017</v>
      </c>
      <c r="B2067" t="str">
        <f>"0.6979"</f>
        <v>0.6979</v>
      </c>
      <c r="C2067" t="str">
        <f>"0.6976"</f>
        <v>0.6976</v>
      </c>
    </row>
    <row r="2068" spans="1:3" x14ac:dyDescent="0.25">
      <c r="A2068" t="str">
        <f>"21/12/2017"</f>
        <v>21/12/2017</v>
      </c>
      <c r="B2068" t="str">
        <f>"0.699"</f>
        <v>0.699</v>
      </c>
      <c r="C2068" t="str">
        <f>"0.6987"</f>
        <v>0.6987</v>
      </c>
    </row>
    <row r="2069" spans="1:3" x14ac:dyDescent="0.25">
      <c r="A2069" t="str">
        <f>"22/12/2017"</f>
        <v>22/12/2017</v>
      </c>
      <c r="B2069" t="str">
        <f>"0.7017"</f>
        <v>0.7017</v>
      </c>
      <c r="C2069" t="str">
        <f>"0.7013"</f>
        <v>0.7013</v>
      </c>
    </row>
    <row r="2070" spans="1:3" x14ac:dyDescent="0.25">
      <c r="A2070" t="str">
        <f>"26/12/2017"</f>
        <v>26/12/2017</v>
      </c>
      <c r="B2070" t="str">
        <f>"0.7016"</f>
        <v>0.7016</v>
      </c>
      <c r="C2070" t="str">
        <f>"0.7012"</f>
        <v>0.7012</v>
      </c>
    </row>
    <row r="2071" spans="1:3" x14ac:dyDescent="0.25">
      <c r="A2071" t="str">
        <f>"27/12/2017"</f>
        <v>27/12/2017</v>
      </c>
      <c r="B2071" t="str">
        <f>"0.7072"</f>
        <v>0.7072</v>
      </c>
      <c r="C2071" t="str">
        <f>"0.7068"</f>
        <v>0.7068</v>
      </c>
    </row>
    <row r="2072" spans="1:3" x14ac:dyDescent="0.25">
      <c r="A2072" t="str">
        <f>"28/12/2017"</f>
        <v>28/12/2017</v>
      </c>
      <c r="B2072" t="str">
        <f>"0.7082"</f>
        <v>0.7082</v>
      </c>
      <c r="C2072" t="str">
        <f>"0.7079"</f>
        <v>0.7079</v>
      </c>
    </row>
    <row r="2073" spans="1:3" x14ac:dyDescent="0.25">
      <c r="A2073" t="str">
        <f>"29/12/2017"</f>
        <v>29/12/2017</v>
      </c>
      <c r="B2073" t="str">
        <f>"0.7119"</f>
        <v>0.7119</v>
      </c>
      <c r="C2073" t="str">
        <f>"0.7116"</f>
        <v>0.7116</v>
      </c>
    </row>
    <row r="2074" spans="1:3" x14ac:dyDescent="0.25">
      <c r="A2074" t="str">
        <f>"02/01/2018"</f>
        <v>02/01/2018</v>
      </c>
      <c r="B2074" t="str">
        <f>"0.7114"</f>
        <v>0.7114</v>
      </c>
      <c r="C2074" t="str">
        <f>"0.7111"</f>
        <v>0.7111</v>
      </c>
    </row>
    <row r="2075" spans="1:3" x14ac:dyDescent="0.25">
      <c r="A2075" t="str">
        <f>"03/01/2018"</f>
        <v>03/01/2018</v>
      </c>
      <c r="B2075" t="str">
        <f>"0.7105"</f>
        <v>0.7105</v>
      </c>
      <c r="C2075" t="str">
        <f>"0.7102"</f>
        <v>0.7102</v>
      </c>
    </row>
    <row r="2076" spans="1:3" x14ac:dyDescent="0.25">
      <c r="A2076" t="str">
        <f>"04/01/2018"</f>
        <v>04/01/2018</v>
      </c>
      <c r="B2076" t="str">
        <f>"0.7124"</f>
        <v>0.7124</v>
      </c>
      <c r="C2076" t="str">
        <f>"0.7121"</f>
        <v>0.7121</v>
      </c>
    </row>
    <row r="2077" spans="1:3" x14ac:dyDescent="0.25">
      <c r="A2077" t="str">
        <f>"05/01/2018"</f>
        <v>05/01/2018</v>
      </c>
      <c r="B2077" t="str">
        <f>"0.7153"</f>
        <v>0.7153</v>
      </c>
      <c r="C2077" t="str">
        <f>"0.715"</f>
        <v>0.715</v>
      </c>
    </row>
    <row r="2078" spans="1:3" x14ac:dyDescent="0.25">
      <c r="A2078" t="str">
        <f>"08/01/2018"</f>
        <v>08/01/2018</v>
      </c>
      <c r="B2078" t="str">
        <f>"0.7181"</f>
        <v>0.7181</v>
      </c>
      <c r="C2078" t="str">
        <f>"0.7178"</f>
        <v>0.7178</v>
      </c>
    </row>
    <row r="2079" spans="1:3" x14ac:dyDescent="0.25">
      <c r="A2079" t="str">
        <f>"09/01/2018"</f>
        <v>09/01/2018</v>
      </c>
      <c r="B2079" t="str">
        <f>"0.7174"</f>
        <v>0.7174</v>
      </c>
      <c r="C2079" t="str">
        <f>"0.7171"</f>
        <v>0.7171</v>
      </c>
    </row>
    <row r="2080" spans="1:3" x14ac:dyDescent="0.25">
      <c r="A2080" t="str">
        <f>"10/01/2018"</f>
        <v>10/01/2018</v>
      </c>
      <c r="B2080" t="str">
        <f>"0.7213"</f>
        <v>0.7213</v>
      </c>
      <c r="C2080" t="str">
        <f>"0.721"</f>
        <v>0.721</v>
      </c>
    </row>
    <row r="2081" spans="1:3" x14ac:dyDescent="0.25">
      <c r="A2081" t="str">
        <f>"11/01/2018"</f>
        <v>11/01/2018</v>
      </c>
      <c r="B2081" t="str">
        <f>"0.7222"</f>
        <v>0.7222</v>
      </c>
      <c r="C2081" t="str">
        <f>"0.7219"</f>
        <v>0.7219</v>
      </c>
    </row>
    <row r="2082" spans="1:3" x14ac:dyDescent="0.25">
      <c r="A2082" t="str">
        <f>"12/01/2018"</f>
        <v>12/01/2018</v>
      </c>
      <c r="B2082" t="str">
        <f>"0.7253"</f>
        <v>0.7253</v>
      </c>
      <c r="C2082" t="str">
        <f>"0.725"</f>
        <v>0.725</v>
      </c>
    </row>
    <row r="2083" spans="1:3" x14ac:dyDescent="0.25">
      <c r="A2083" t="str">
        <f>"15/01/2018"</f>
        <v>15/01/2018</v>
      </c>
      <c r="B2083" t="str">
        <f>"0.7287"</f>
        <v>0.7287</v>
      </c>
      <c r="C2083" t="str">
        <f>"0.7284"</f>
        <v>0.7284</v>
      </c>
    </row>
    <row r="2084" spans="1:3" x14ac:dyDescent="0.25">
      <c r="A2084" t="str">
        <f>"16/01/2018"</f>
        <v>16/01/2018</v>
      </c>
      <c r="B2084" t="str">
        <f>"0.7271"</f>
        <v>0.7271</v>
      </c>
      <c r="C2084" t="str">
        <f>"0.7268"</f>
        <v>0.7268</v>
      </c>
    </row>
    <row r="2085" spans="1:3" x14ac:dyDescent="0.25">
      <c r="A2085" t="str">
        <f>"17/01/2018"</f>
        <v>17/01/2018</v>
      </c>
      <c r="B2085" t="str">
        <f>"0.7272"</f>
        <v>0.7272</v>
      </c>
      <c r="C2085" t="str">
        <f>"0.7269"</f>
        <v>0.7269</v>
      </c>
    </row>
    <row r="2086" spans="1:3" x14ac:dyDescent="0.25">
      <c r="A2086" t="str">
        <f>"18/01/2018"</f>
        <v>18/01/2018</v>
      </c>
      <c r="B2086" t="str">
        <f>"0.729"</f>
        <v>0.729</v>
      </c>
      <c r="C2086" t="str">
        <f>"0.7287"</f>
        <v>0.7287</v>
      </c>
    </row>
    <row r="2087" spans="1:3" x14ac:dyDescent="0.25">
      <c r="A2087" t="str">
        <f>"19/01/2018"</f>
        <v>19/01/2018</v>
      </c>
      <c r="B2087" t="str">
        <f>"0.7291"</f>
        <v>0.7291</v>
      </c>
      <c r="C2087" t="str">
        <f>"0.7288"</f>
        <v>0.7288</v>
      </c>
    </row>
    <row r="2088" spans="1:3" x14ac:dyDescent="0.25">
      <c r="A2088" t="str">
        <f>"22/01/2018"</f>
        <v>22/01/2018</v>
      </c>
      <c r="B2088" t="str">
        <f>"0.7308"</f>
        <v>0.7308</v>
      </c>
      <c r="C2088" t="str">
        <f>"0.7305"</f>
        <v>0.7305</v>
      </c>
    </row>
    <row r="2089" spans="1:3" x14ac:dyDescent="0.25">
      <c r="A2089" t="str">
        <f>"23/01/2018"</f>
        <v>23/01/2018</v>
      </c>
      <c r="B2089" t="str">
        <f>"0.7317"</f>
        <v>0.7317</v>
      </c>
      <c r="C2089" t="str">
        <f>"0.7314"</f>
        <v>0.7314</v>
      </c>
    </row>
    <row r="2090" spans="1:3" x14ac:dyDescent="0.25">
      <c r="A2090" t="str">
        <f>"24/01/2018"</f>
        <v>24/01/2018</v>
      </c>
      <c r="B2090" t="str">
        <f>"0.7404"</f>
        <v>0.7404</v>
      </c>
      <c r="C2090" t="str">
        <f>"0.7401"</f>
        <v>0.7401</v>
      </c>
    </row>
    <row r="2091" spans="1:3" x14ac:dyDescent="0.25">
      <c r="A2091" t="str">
        <f>"25/01/2018"</f>
        <v>25/01/2018</v>
      </c>
      <c r="B2091" t="str">
        <f>"0.7364"</f>
        <v>0.7364</v>
      </c>
      <c r="C2091" t="str">
        <f>"0.7362"</f>
        <v>0.7362</v>
      </c>
    </row>
    <row r="2092" spans="1:3" x14ac:dyDescent="0.25">
      <c r="A2092" t="str">
        <f>"29/01/2018"</f>
        <v>29/01/2018</v>
      </c>
      <c r="B2092" t="str">
        <f>"0.7331"</f>
        <v>0.7331</v>
      </c>
      <c r="C2092" t="str">
        <f>"0.7329"</f>
        <v>0.7329</v>
      </c>
    </row>
    <row r="2093" spans="1:3" x14ac:dyDescent="0.25">
      <c r="A2093" t="str">
        <f>"30/01/2018"</f>
        <v>30/01/2018</v>
      </c>
      <c r="B2093" t="str">
        <f>"0.734"</f>
        <v>0.734</v>
      </c>
      <c r="C2093" t="str">
        <f>"0.7338"</f>
        <v>0.7338</v>
      </c>
    </row>
    <row r="2094" spans="1:3" x14ac:dyDescent="0.25">
      <c r="A2094" t="str">
        <f>"31/01/2018"</f>
        <v>31/01/2018</v>
      </c>
      <c r="B2094" t="str">
        <f>"0.7402"</f>
        <v>0.7402</v>
      </c>
      <c r="C2094" t="str">
        <f>"0.7399"</f>
        <v>0.7399</v>
      </c>
    </row>
    <row r="2095" spans="1:3" x14ac:dyDescent="0.25">
      <c r="A2095" t="str">
        <f>"01/02/2018"</f>
        <v>01/02/2018</v>
      </c>
      <c r="B2095" t="str">
        <f>"0.7341"</f>
        <v>0.7341</v>
      </c>
      <c r="C2095" t="str">
        <f>"0.7338"</f>
        <v>0.7338</v>
      </c>
    </row>
    <row r="2096" spans="1:3" x14ac:dyDescent="0.25">
      <c r="A2096" t="str">
        <f>"02/02/2018"</f>
        <v>02/02/2018</v>
      </c>
      <c r="B2096" t="str">
        <f>"0.7353"</f>
        <v>0.7353</v>
      </c>
      <c r="C2096" t="str">
        <f>"0.735"</f>
        <v>0.735</v>
      </c>
    </row>
    <row r="2097" spans="1:3" x14ac:dyDescent="0.25">
      <c r="A2097" t="str">
        <f>"05/02/2018"</f>
        <v>05/02/2018</v>
      </c>
      <c r="B2097" t="str">
        <f>"0.7308"</f>
        <v>0.7308</v>
      </c>
      <c r="C2097" t="str">
        <f>"0.7305"</f>
        <v>0.7305</v>
      </c>
    </row>
    <row r="2098" spans="1:3" x14ac:dyDescent="0.25">
      <c r="A2098" t="str">
        <f>"06/02/2018"</f>
        <v>06/02/2018</v>
      </c>
      <c r="B2098" t="str">
        <f>"0.7307"</f>
        <v>0.7307</v>
      </c>
      <c r="C2098" t="str">
        <f>"0.7304"</f>
        <v>0.7304</v>
      </c>
    </row>
    <row r="2099" spans="1:3" x14ac:dyDescent="0.25">
      <c r="A2099" t="str">
        <f>"07/02/2018"</f>
        <v>07/02/2018</v>
      </c>
      <c r="B2099" t="str">
        <f>"0.7313"</f>
        <v>0.7313</v>
      </c>
      <c r="C2099" t="str">
        <f>"0.731"</f>
        <v>0.731</v>
      </c>
    </row>
    <row r="2100" spans="1:3" x14ac:dyDescent="0.25">
      <c r="A2100" t="str">
        <f>"08/02/2018"</f>
        <v>08/02/2018</v>
      </c>
      <c r="B2100" t="str">
        <f>"0.7213"</f>
        <v>0.7213</v>
      </c>
      <c r="C2100" t="str">
        <f>"0.721"</f>
        <v>0.721</v>
      </c>
    </row>
    <row r="2101" spans="1:3" x14ac:dyDescent="0.25">
      <c r="A2101" t="str">
        <f>"09/02/2018"</f>
        <v>09/02/2018</v>
      </c>
      <c r="B2101" t="str">
        <f>"0.7222"</f>
        <v>0.7222</v>
      </c>
      <c r="C2101" t="str">
        <f>"0.7219"</f>
        <v>0.7219</v>
      </c>
    </row>
    <row r="2102" spans="1:3" x14ac:dyDescent="0.25">
      <c r="A2102" t="str">
        <f>"12/02/2018"</f>
        <v>12/02/2018</v>
      </c>
      <c r="B2102" t="str">
        <f>"0.7248"</f>
        <v>0.7248</v>
      </c>
      <c r="C2102" t="str">
        <f>"0.7245"</f>
        <v>0.7245</v>
      </c>
    </row>
    <row r="2103" spans="1:3" x14ac:dyDescent="0.25">
      <c r="A2103" t="str">
        <f>"14/02/2018"</f>
        <v>14/02/2018</v>
      </c>
      <c r="B2103" t="str">
        <f>"0.731"</f>
        <v>0.731</v>
      </c>
      <c r="C2103" t="str">
        <f>"0.7308"</f>
        <v>0.7308</v>
      </c>
    </row>
    <row r="2104" spans="1:3" x14ac:dyDescent="0.25">
      <c r="A2104" t="str">
        <f>"15/02/2018"</f>
        <v>15/02/2018</v>
      </c>
      <c r="B2104" t="str">
        <f>"0.7385"</f>
        <v>0.7385</v>
      </c>
      <c r="C2104" t="str">
        <f>"0.7383"</f>
        <v>0.7383</v>
      </c>
    </row>
    <row r="2105" spans="1:3" x14ac:dyDescent="0.25">
      <c r="A2105" t="str">
        <f>"16/02/2018"</f>
        <v>16/02/2018</v>
      </c>
      <c r="B2105" t="str">
        <f>"0.7411"</f>
        <v>0.7411</v>
      </c>
      <c r="C2105" t="str">
        <f>"0.7409"</f>
        <v>0.7409</v>
      </c>
    </row>
    <row r="2106" spans="1:3" x14ac:dyDescent="0.25">
      <c r="A2106" t="str">
        <f>"20/02/2018"</f>
        <v>20/02/2018</v>
      </c>
      <c r="B2106" t="str">
        <f>"0.7361"</f>
        <v>0.7361</v>
      </c>
      <c r="C2106" t="str">
        <f>"0.7358"</f>
        <v>0.7358</v>
      </c>
    </row>
    <row r="2107" spans="1:3" x14ac:dyDescent="0.25">
      <c r="A2107" t="str">
        <f>"21/02/2018"</f>
        <v>21/02/2018</v>
      </c>
      <c r="B2107" t="str">
        <f>"0.7342"</f>
        <v>0.7342</v>
      </c>
      <c r="C2107" t="str">
        <f>"0.7339"</f>
        <v>0.7339</v>
      </c>
    </row>
    <row r="2108" spans="1:3" x14ac:dyDescent="0.25">
      <c r="A2108" t="str">
        <f>"22/02/2018"</f>
        <v>22/02/2018</v>
      </c>
      <c r="B2108" t="str">
        <f>"0.7332"</f>
        <v>0.7332</v>
      </c>
      <c r="C2108" t="str">
        <f>"0.7329"</f>
        <v>0.7329</v>
      </c>
    </row>
    <row r="2109" spans="1:3" x14ac:dyDescent="0.25">
      <c r="A2109" t="str">
        <f>"23/02/2018"</f>
        <v>23/02/2018</v>
      </c>
      <c r="B2109" t="str">
        <f>"0.7291"</f>
        <v>0.7291</v>
      </c>
      <c r="C2109" t="str">
        <f>"0.7289"</f>
        <v>0.7289</v>
      </c>
    </row>
    <row r="2110" spans="1:3" x14ac:dyDescent="0.25">
      <c r="A2110" t="str">
        <f>"26/02/2018"</f>
        <v>26/02/2018</v>
      </c>
      <c r="B2110" t="str">
        <f>"0.733"</f>
        <v>0.733</v>
      </c>
      <c r="C2110" t="str">
        <f>"0.7328"</f>
        <v>0.7328</v>
      </c>
    </row>
    <row r="2111" spans="1:3" x14ac:dyDescent="0.25">
      <c r="A2111" t="str">
        <f>"27/02/2018"</f>
        <v>27/02/2018</v>
      </c>
      <c r="B2111" t="str">
        <f>"0.7283"</f>
        <v>0.7283</v>
      </c>
      <c r="C2111" t="str">
        <f>"0.7281"</f>
        <v>0.7281</v>
      </c>
    </row>
    <row r="2112" spans="1:3" x14ac:dyDescent="0.25">
      <c r="A2112" t="str">
        <f>"28/02/2018"</f>
        <v>28/02/2018</v>
      </c>
      <c r="B2112" t="str">
        <f>"0.7212"</f>
        <v>0.7212</v>
      </c>
      <c r="C2112" t="str">
        <f>"0.721"</f>
        <v>0.721</v>
      </c>
    </row>
    <row r="2113" spans="1:3" x14ac:dyDescent="0.25">
      <c r="A2113" t="str">
        <f>"01/03/2018"</f>
        <v>01/03/2018</v>
      </c>
      <c r="B2113" t="str">
        <f>"0.7219"</f>
        <v>0.7219</v>
      </c>
      <c r="C2113" t="str">
        <f>"0.7217"</f>
        <v>0.7217</v>
      </c>
    </row>
    <row r="2114" spans="1:3" x14ac:dyDescent="0.25">
      <c r="A2114" t="str">
        <f>"05/03/2018"</f>
        <v>05/03/2018</v>
      </c>
      <c r="B2114" t="str">
        <f>"0.7231"</f>
        <v>0.7231</v>
      </c>
      <c r="C2114" t="str">
        <f>"0.7229"</f>
        <v>0.7229</v>
      </c>
    </row>
    <row r="2115" spans="1:3" x14ac:dyDescent="0.25">
      <c r="A2115" t="str">
        <f>"06/03/2018"</f>
        <v>06/03/2018</v>
      </c>
      <c r="B2115" t="str">
        <f>"0.7268"</f>
        <v>0.7268</v>
      </c>
      <c r="C2115" t="str">
        <f>"0.7266"</f>
        <v>0.7266</v>
      </c>
    </row>
    <row r="2116" spans="1:3" x14ac:dyDescent="0.25">
      <c r="A2116" t="str">
        <f>"07/03/2018"</f>
        <v>07/03/2018</v>
      </c>
      <c r="B2116" t="str">
        <f>"0.7282"</f>
        <v>0.7282</v>
      </c>
      <c r="C2116" t="str">
        <f>"0.728"</f>
        <v>0.728</v>
      </c>
    </row>
    <row r="2117" spans="1:3" x14ac:dyDescent="0.25">
      <c r="A2117" t="str">
        <f>"08/03/2018"</f>
        <v>08/03/2018</v>
      </c>
      <c r="B2117" t="str">
        <f>"0.7258"</f>
        <v>0.7258</v>
      </c>
      <c r="C2117" t="str">
        <f>"0.7256"</f>
        <v>0.7256</v>
      </c>
    </row>
    <row r="2118" spans="1:3" x14ac:dyDescent="0.25">
      <c r="A2118" t="str">
        <f>"09/03/2018"</f>
        <v>09/03/2018</v>
      </c>
      <c r="B2118" t="str">
        <f>"0.7278"</f>
        <v>0.7278</v>
      </c>
      <c r="C2118" t="str">
        <f>"0.7276"</f>
        <v>0.7276</v>
      </c>
    </row>
    <row r="2119" spans="1:3" x14ac:dyDescent="0.25">
      <c r="A2119" t="str">
        <f>"12/03/2018"</f>
        <v>12/03/2018</v>
      </c>
      <c r="B2119" t="str">
        <f>"0.7302"</f>
        <v>0.7302</v>
      </c>
      <c r="C2119" t="str">
        <f>"0.73"</f>
        <v>0.73</v>
      </c>
    </row>
    <row r="2120" spans="1:3" x14ac:dyDescent="0.25">
      <c r="A2120" t="str">
        <f>"13/03/2018"</f>
        <v>13/03/2018</v>
      </c>
      <c r="B2120" t="str">
        <f>"0.7321"</f>
        <v>0.7321</v>
      </c>
      <c r="C2120" t="str">
        <f>"0.7319"</f>
        <v>0.7319</v>
      </c>
    </row>
    <row r="2121" spans="1:3" x14ac:dyDescent="0.25">
      <c r="A2121" t="str">
        <f>"14/03/2018"</f>
        <v>14/03/2018</v>
      </c>
      <c r="B2121" t="str">
        <f>"0.7332"</f>
        <v>0.7332</v>
      </c>
      <c r="C2121" t="str">
        <f>"0.7331"</f>
        <v>0.7331</v>
      </c>
    </row>
    <row r="2122" spans="1:3" x14ac:dyDescent="0.25">
      <c r="A2122" t="str">
        <f>"15/03/2018"</f>
        <v>15/03/2018</v>
      </c>
      <c r="B2122" t="str">
        <f>"0.7291"</f>
        <v>0.7291</v>
      </c>
      <c r="C2122" t="str">
        <f>"0.729"</f>
        <v>0.729</v>
      </c>
    </row>
    <row r="2123" spans="1:3" x14ac:dyDescent="0.25">
      <c r="A2123" t="str">
        <f>"16/03/2018"</f>
        <v>16/03/2018</v>
      </c>
      <c r="B2123" t="str">
        <f>"0.7238"</f>
        <v>0.7238</v>
      </c>
      <c r="C2123" t="str">
        <f>"0.7237"</f>
        <v>0.7237</v>
      </c>
    </row>
    <row r="2124" spans="1:3" x14ac:dyDescent="0.25">
      <c r="A2124" t="str">
        <f>"19/03/2018"</f>
        <v>19/03/2018</v>
      </c>
      <c r="B2124" t="str">
        <f>"0.7213"</f>
        <v>0.7213</v>
      </c>
      <c r="C2124" t="str">
        <f>"0.7212"</f>
        <v>0.7212</v>
      </c>
    </row>
    <row r="2125" spans="1:3" x14ac:dyDescent="0.25">
      <c r="A2125" t="str">
        <f>"20/03/2018"</f>
        <v>20/03/2018</v>
      </c>
      <c r="B2125" t="str">
        <f>"0.7216"</f>
        <v>0.7216</v>
      </c>
      <c r="C2125" t="str">
        <f>"0.7215"</f>
        <v>0.7215</v>
      </c>
    </row>
    <row r="2126" spans="1:3" x14ac:dyDescent="0.25">
      <c r="A2126" t="str">
        <f>"21/03/2018"</f>
        <v>21/03/2018</v>
      </c>
      <c r="B2126" t="str">
        <f>"0.7162"</f>
        <v>0.7162</v>
      </c>
      <c r="C2126" t="str">
        <f>"0.7161"</f>
        <v>0.7161</v>
      </c>
    </row>
    <row r="2127" spans="1:3" x14ac:dyDescent="0.25">
      <c r="A2127" t="str">
        <f>"22/03/2018"</f>
        <v>22/03/2018</v>
      </c>
      <c r="B2127" t="str">
        <f>"0.7241"</f>
        <v>0.7241</v>
      </c>
      <c r="C2127" t="str">
        <f>"0.724"</f>
        <v>0.724</v>
      </c>
    </row>
    <row r="2128" spans="1:3" x14ac:dyDescent="0.25">
      <c r="A2128" t="str">
        <f>"23/03/2018"</f>
        <v>23/03/2018</v>
      </c>
      <c r="B2128" t="str">
        <f>"0.7244"</f>
        <v>0.7244</v>
      </c>
      <c r="C2128" t="str">
        <f>"0.7243"</f>
        <v>0.7243</v>
      </c>
    </row>
    <row r="2129" spans="1:3" x14ac:dyDescent="0.25">
      <c r="A2129" t="str">
        <f>"26/03/2018"</f>
        <v>26/03/2018</v>
      </c>
      <c r="B2129" t="str">
        <f>"0.7286"</f>
        <v>0.7286</v>
      </c>
      <c r="C2129" t="str">
        <f>"0.7285"</f>
        <v>0.7285</v>
      </c>
    </row>
    <row r="2130" spans="1:3" x14ac:dyDescent="0.25">
      <c r="A2130" t="str">
        <f>"27/03/2018"</f>
        <v>27/03/2018</v>
      </c>
      <c r="B2130" t="str">
        <f>"0.7268"</f>
        <v>0.7268</v>
      </c>
      <c r="C2130" t="str">
        <f>"0.7266"</f>
        <v>0.7266</v>
      </c>
    </row>
    <row r="2131" spans="1:3" x14ac:dyDescent="0.25">
      <c r="A2131" t="str">
        <f>"28/03/2018"</f>
        <v>28/03/2018</v>
      </c>
      <c r="B2131" t="str">
        <f>"0.726"</f>
        <v>0.726</v>
      </c>
      <c r="C2131" t="str">
        <f>"0.7259"</f>
        <v>0.7259</v>
      </c>
    </row>
    <row r="2132" spans="1:3" x14ac:dyDescent="0.25">
      <c r="A2132" t="str">
        <f>"03/04/2018"</f>
        <v>03/04/2018</v>
      </c>
      <c r="B2132" t="str">
        <f>"0.7244"</f>
        <v>0.7244</v>
      </c>
      <c r="C2132" t="str">
        <f>"0.7243"</f>
        <v>0.7243</v>
      </c>
    </row>
    <row r="2133" spans="1:3" x14ac:dyDescent="0.25">
      <c r="A2133" t="str">
        <f>"04/04/2018"</f>
        <v>04/04/2018</v>
      </c>
      <c r="B2133" t="str">
        <f>"0.7282"</f>
        <v>0.7282</v>
      </c>
      <c r="C2133" t="str">
        <f>"0.7281"</f>
        <v>0.7281</v>
      </c>
    </row>
    <row r="2134" spans="1:3" x14ac:dyDescent="0.25">
      <c r="A2134" t="str">
        <f>"05/04/2018"</f>
        <v>05/04/2018</v>
      </c>
      <c r="B2134" t="str">
        <f>"0.7288"</f>
        <v>0.7288</v>
      </c>
      <c r="C2134" t="str">
        <f>"0.7287"</f>
        <v>0.7287</v>
      </c>
    </row>
    <row r="2135" spans="1:3" x14ac:dyDescent="0.25">
      <c r="A2135" t="str">
        <f>"06/04/2018"</f>
        <v>06/04/2018</v>
      </c>
      <c r="B2135" t="str">
        <f>"0.7245"</f>
        <v>0.7245</v>
      </c>
      <c r="C2135" t="str">
        <f>"0.7244"</f>
        <v>0.7244</v>
      </c>
    </row>
    <row r="2136" spans="1:3" x14ac:dyDescent="0.25">
      <c r="A2136" t="str">
        <f>"09/04/2018"</f>
        <v>09/04/2018</v>
      </c>
      <c r="B2136" t="str">
        <f>"0.7297"</f>
        <v>0.7297</v>
      </c>
      <c r="C2136" t="str">
        <f>"0.7296"</f>
        <v>0.7296</v>
      </c>
    </row>
    <row r="2137" spans="1:3" x14ac:dyDescent="0.25">
      <c r="A2137" t="str">
        <f>"10/04/2018"</f>
        <v>10/04/2018</v>
      </c>
      <c r="B2137" t="str">
        <f>"0.7353"</f>
        <v>0.7353</v>
      </c>
      <c r="C2137" t="str">
        <f>"0.7352"</f>
        <v>0.7352</v>
      </c>
    </row>
    <row r="2138" spans="1:3" x14ac:dyDescent="0.25">
      <c r="A2138" t="str">
        <f>"11/04/2018"</f>
        <v>11/04/2018</v>
      </c>
      <c r="B2138" t="str">
        <f>"0.7366"</f>
        <v>0.7366</v>
      </c>
      <c r="C2138" t="str">
        <f>"0.7365"</f>
        <v>0.7365</v>
      </c>
    </row>
    <row r="2139" spans="1:3" x14ac:dyDescent="0.25">
      <c r="A2139" t="str">
        <f>"12/04/2018"</f>
        <v>12/04/2018</v>
      </c>
      <c r="B2139" t="str">
        <f>"0.7382"</f>
        <v>0.7382</v>
      </c>
      <c r="C2139" t="str">
        <f>"0.7381"</f>
        <v>0.7381</v>
      </c>
    </row>
    <row r="2140" spans="1:3" x14ac:dyDescent="0.25">
      <c r="A2140" t="str">
        <f>"13/04/2018"</f>
        <v>13/04/2018</v>
      </c>
      <c r="B2140" t="str">
        <f>"0.7382"</f>
        <v>0.7382</v>
      </c>
      <c r="C2140" t="str">
        <f>"0.7381"</f>
        <v>0.7381</v>
      </c>
    </row>
    <row r="2141" spans="1:3" x14ac:dyDescent="0.25">
      <c r="A2141" t="str">
        <f>"16/04/2018"</f>
        <v>16/04/2018</v>
      </c>
      <c r="B2141" t="str">
        <f>"0.7338"</f>
        <v>0.7338</v>
      </c>
      <c r="C2141" t="str">
        <f>"0.7337"</f>
        <v>0.7337</v>
      </c>
    </row>
    <row r="2142" spans="1:3" x14ac:dyDescent="0.25">
      <c r="A2142" t="str">
        <f>"17/04/2018"</f>
        <v>17/04/2018</v>
      </c>
      <c r="B2142" t="str">
        <f>"0.7341"</f>
        <v>0.7341</v>
      </c>
      <c r="C2142" t="str">
        <f>"0.734"</f>
        <v>0.734</v>
      </c>
    </row>
    <row r="2143" spans="1:3" x14ac:dyDescent="0.25">
      <c r="A2143" t="str">
        <f>"18/04/2018"</f>
        <v>18/04/2018</v>
      </c>
      <c r="B2143" t="str">
        <f>"0.7319"</f>
        <v>0.7319</v>
      </c>
      <c r="C2143" t="str">
        <f>"0.7318"</f>
        <v>0.7318</v>
      </c>
    </row>
    <row r="2144" spans="1:3" x14ac:dyDescent="0.25">
      <c r="A2144" t="str">
        <f>"19/04/2018"</f>
        <v>19/04/2018</v>
      </c>
      <c r="B2144" t="str">
        <f>"0.7304"</f>
        <v>0.7304</v>
      </c>
      <c r="C2144" t="str">
        <f>"0.7303"</f>
        <v>0.7303</v>
      </c>
    </row>
    <row r="2145" spans="1:3" x14ac:dyDescent="0.25">
      <c r="A2145" t="str">
        <f>"20/04/2018"</f>
        <v>20/04/2018</v>
      </c>
      <c r="B2145" t="str">
        <f>"0.7226"</f>
        <v>0.7226</v>
      </c>
      <c r="C2145" t="str">
        <f>"0.7225"</f>
        <v>0.7225</v>
      </c>
    </row>
    <row r="2146" spans="1:3" x14ac:dyDescent="0.25">
      <c r="A2146" t="str">
        <f>"23/04/2018"</f>
        <v>23/04/2018</v>
      </c>
      <c r="B2146" t="str">
        <f>"0.7175"</f>
        <v>0.7175</v>
      </c>
      <c r="C2146" t="str">
        <f>"0.7174"</f>
        <v>0.7174</v>
      </c>
    </row>
    <row r="2147" spans="1:3" x14ac:dyDescent="0.25">
      <c r="A2147" t="str">
        <f>"24/04/2018"</f>
        <v>24/04/2018</v>
      </c>
      <c r="B2147" t="str">
        <f>"0.7123"</f>
        <v>0.7123</v>
      </c>
      <c r="C2147" t="str">
        <f>"0.7122"</f>
        <v>0.7122</v>
      </c>
    </row>
    <row r="2148" spans="1:3" x14ac:dyDescent="0.25">
      <c r="A2148" t="str">
        <f>"25/04/2018"</f>
        <v>25/04/2018</v>
      </c>
      <c r="B2148" t="str">
        <f>"0.7081"</f>
        <v>0.7081</v>
      </c>
      <c r="C2148" t="str">
        <f>"0.708"</f>
        <v>0.708</v>
      </c>
    </row>
    <row r="2149" spans="1:3" x14ac:dyDescent="0.25">
      <c r="A2149" t="str">
        <f>"26/04/2018"</f>
        <v>26/04/2018</v>
      </c>
      <c r="B2149" t="str">
        <f>"0.7081"</f>
        <v>0.7081</v>
      </c>
      <c r="C2149" t="str">
        <f>"0.708"</f>
        <v>0.708</v>
      </c>
    </row>
    <row r="2150" spans="1:3" x14ac:dyDescent="0.25">
      <c r="A2150" t="str">
        <f>"27/04/2018"</f>
        <v>27/04/2018</v>
      </c>
      <c r="B2150" t="str">
        <f>"0.7056"</f>
        <v>0.7056</v>
      </c>
      <c r="C2150" t="str">
        <f>"0.7055"</f>
        <v>0.7055</v>
      </c>
    </row>
    <row r="2151" spans="1:3" x14ac:dyDescent="0.25">
      <c r="A2151" t="str">
        <f>"02/05/2018"</f>
        <v>02/05/2018</v>
      </c>
      <c r="B2151" t="str">
        <f>"0.7017"</f>
        <v>0.7017</v>
      </c>
      <c r="C2151" t="str">
        <f>"0.7016"</f>
        <v>0.7016</v>
      </c>
    </row>
    <row r="2152" spans="1:3" x14ac:dyDescent="0.25">
      <c r="A2152" t="str">
        <f>"03/05/2018"</f>
        <v>03/05/2018</v>
      </c>
      <c r="B2152" t="str">
        <f>"0.7031"</f>
        <v>0.7031</v>
      </c>
      <c r="C2152" t="str">
        <f>"0.703"</f>
        <v>0.703</v>
      </c>
    </row>
    <row r="2153" spans="1:3" x14ac:dyDescent="0.25">
      <c r="A2153" t="str">
        <f>"04/05/2018"</f>
        <v>04/05/2018</v>
      </c>
      <c r="B2153" t="str">
        <f>"0.7012"</f>
        <v>0.7012</v>
      </c>
      <c r="C2153" t="str">
        <f>"0.7012"</f>
        <v>0.7012</v>
      </c>
    </row>
    <row r="2154" spans="1:3" x14ac:dyDescent="0.25">
      <c r="A2154" t="str">
        <f>"07/05/2018"</f>
        <v>07/05/2018</v>
      </c>
      <c r="B2154" t="str">
        <f>"0.7002"</f>
        <v>0.7002</v>
      </c>
      <c r="C2154" t="str">
        <f>"0.7001"</f>
        <v>0.7001</v>
      </c>
    </row>
    <row r="2155" spans="1:3" x14ac:dyDescent="0.25">
      <c r="A2155" t="str">
        <f>"08/05/2018"</f>
        <v>08/05/2018</v>
      </c>
      <c r="B2155" t="str">
        <f>"0.6976"</f>
        <v>0.6976</v>
      </c>
      <c r="C2155" t="str">
        <f>"0.6975"</f>
        <v>0.6975</v>
      </c>
    </row>
    <row r="2156" spans="1:3" x14ac:dyDescent="0.25">
      <c r="A2156" t="str">
        <f>"09/05/2018"</f>
        <v>09/05/2018</v>
      </c>
      <c r="B2156" t="str">
        <f>"0.6989"</f>
        <v>0.6989</v>
      </c>
      <c r="C2156" t="str">
        <f>"0.6988"</f>
        <v>0.6988</v>
      </c>
    </row>
    <row r="2157" spans="1:3" x14ac:dyDescent="0.25">
      <c r="A2157" t="str">
        <f>"10/05/2018"</f>
        <v>10/05/2018</v>
      </c>
      <c r="B2157" t="str">
        <f>"0.6931"</f>
        <v>0.6931</v>
      </c>
      <c r="C2157" t="str">
        <f>"0.693"</f>
        <v>0.693</v>
      </c>
    </row>
    <row r="2158" spans="1:3" x14ac:dyDescent="0.25">
      <c r="A2158" t="str">
        <f>"11/05/2018"</f>
        <v>11/05/2018</v>
      </c>
      <c r="B2158" t="str">
        <f>"0.6975"</f>
        <v>0.6975</v>
      </c>
      <c r="C2158" t="str">
        <f>"0.6974"</f>
        <v>0.6974</v>
      </c>
    </row>
    <row r="2159" spans="1:3" x14ac:dyDescent="0.25">
      <c r="A2159" t="str">
        <f>"14/05/2018"</f>
        <v>14/05/2018</v>
      </c>
      <c r="B2159" t="str">
        <f>"0.6946"</f>
        <v>0.6946</v>
      </c>
      <c r="C2159" t="str">
        <f>"0.6945"</f>
        <v>0.6945</v>
      </c>
    </row>
    <row r="2160" spans="1:3" x14ac:dyDescent="0.25">
      <c r="A2160" t="str">
        <f>"15/05/2018"</f>
        <v>15/05/2018</v>
      </c>
      <c r="B2160" t="str">
        <f>"0.6899"</f>
        <v>0.6899</v>
      </c>
      <c r="C2160" t="str">
        <f>"0.6898"</f>
        <v>0.6898</v>
      </c>
    </row>
    <row r="2161" spans="1:3" x14ac:dyDescent="0.25">
      <c r="A2161" t="str">
        <f>"16/05/2018"</f>
        <v>16/05/2018</v>
      </c>
      <c r="B2161" t="str">
        <f>"0.688"</f>
        <v>0.688</v>
      </c>
      <c r="C2161" t="str">
        <f>"0.6879"</f>
        <v>0.6879</v>
      </c>
    </row>
    <row r="2162" spans="1:3" x14ac:dyDescent="0.25">
      <c r="A2162" t="str">
        <f>"17/05/2018"</f>
        <v>17/05/2018</v>
      </c>
      <c r="B2162" t="str">
        <f>"0.6889"</f>
        <v>0.6889</v>
      </c>
      <c r="C2162" t="str">
        <f>"0.6888"</f>
        <v>0.6888</v>
      </c>
    </row>
    <row r="2163" spans="1:3" x14ac:dyDescent="0.25">
      <c r="A2163" t="str">
        <f>"18/05/2018"</f>
        <v>18/05/2018</v>
      </c>
      <c r="B2163" t="str">
        <f>"0.6913"</f>
        <v>0.6913</v>
      </c>
      <c r="C2163" t="str">
        <f>"0.6912"</f>
        <v>0.6912</v>
      </c>
    </row>
    <row r="2164" spans="1:3" x14ac:dyDescent="0.25">
      <c r="A2164" t="str">
        <f>"21/05/2018"</f>
        <v>21/05/2018</v>
      </c>
      <c r="B2164" t="str">
        <f>"0.6903"</f>
        <v>0.6903</v>
      </c>
      <c r="C2164" t="str">
        <f>"0.6902"</f>
        <v>0.6902</v>
      </c>
    </row>
    <row r="2165" spans="1:3" x14ac:dyDescent="0.25">
      <c r="A2165" t="str">
        <f>"22/05/2018"</f>
        <v>22/05/2018</v>
      </c>
      <c r="B2165" t="str">
        <f>"0.6949"</f>
        <v>0.6949</v>
      </c>
      <c r="C2165" t="str">
        <f>"0.6948"</f>
        <v>0.6948</v>
      </c>
    </row>
    <row r="2166" spans="1:3" x14ac:dyDescent="0.25">
      <c r="A2166" t="str">
        <f>"23/05/2018"</f>
        <v>23/05/2018</v>
      </c>
      <c r="B2166" t="str">
        <f>"0.69"</f>
        <v>0.69</v>
      </c>
      <c r="C2166" t="str">
        <f>"0.6899"</f>
        <v>0.6899</v>
      </c>
    </row>
    <row r="2167" spans="1:3" x14ac:dyDescent="0.25">
      <c r="A2167" t="str">
        <f>"24/05/2018"</f>
        <v>24/05/2018</v>
      </c>
      <c r="B2167" t="str">
        <f>"0.6921"</f>
        <v>0.6921</v>
      </c>
      <c r="C2167" t="str">
        <f>"0.6921"</f>
        <v>0.6921</v>
      </c>
    </row>
    <row r="2168" spans="1:3" x14ac:dyDescent="0.25">
      <c r="A2168" t="str">
        <f>"25/05/2018"</f>
        <v>25/05/2018</v>
      </c>
      <c r="B2168" t="str">
        <f>"0.6916"</f>
        <v>0.6916</v>
      </c>
      <c r="C2168" t="str">
        <f>"0.6916"</f>
        <v>0.6916</v>
      </c>
    </row>
    <row r="2169" spans="1:3" x14ac:dyDescent="0.25">
      <c r="A2169" t="str">
        <f>"28/05/2018"</f>
        <v>28/05/2018</v>
      </c>
      <c r="B2169" t="str">
        <f>"0.6953"</f>
        <v>0.6953</v>
      </c>
      <c r="C2169" t="str">
        <f>"0.6953"</f>
        <v>0.6953</v>
      </c>
    </row>
    <row r="2170" spans="1:3" x14ac:dyDescent="0.25">
      <c r="A2170" t="str">
        <f>"29/05/2018"</f>
        <v>29/05/2018</v>
      </c>
      <c r="B2170" t="str">
        <f>"0.692"</f>
        <v>0.692</v>
      </c>
      <c r="C2170" t="str">
        <f>"0.692"</f>
        <v>0.692</v>
      </c>
    </row>
    <row r="2171" spans="1:3" x14ac:dyDescent="0.25">
      <c r="A2171" t="str">
        <f>"30/05/2018"</f>
        <v>30/05/2018</v>
      </c>
      <c r="B2171" t="str">
        <f>"0.6911"</f>
        <v>0.6911</v>
      </c>
      <c r="C2171" t="str">
        <f>"0.6911"</f>
        <v>0.6911</v>
      </c>
    </row>
    <row r="2172" spans="1:3" x14ac:dyDescent="0.25">
      <c r="A2172" t="str">
        <f>"31/05/2018"</f>
        <v>31/05/2018</v>
      </c>
      <c r="B2172" t="str">
        <f>"0.7013"</f>
        <v>0.7013</v>
      </c>
      <c r="C2172" t="str">
        <f>"0.7013"</f>
        <v>0.7013</v>
      </c>
    </row>
    <row r="2173" spans="1:3" x14ac:dyDescent="0.25">
      <c r="A2173" t="str">
        <f>"01/06/2018"</f>
        <v>01/06/2018</v>
      </c>
      <c r="B2173" t="str">
        <f>"0.6981"</f>
        <v>0.6981</v>
      </c>
      <c r="C2173" t="str">
        <f>"0.6981"</f>
        <v>0.6981</v>
      </c>
    </row>
    <row r="2174" spans="1:3" x14ac:dyDescent="0.25">
      <c r="A2174" t="str">
        <f>"04/06/2018"</f>
        <v>04/06/2018</v>
      </c>
      <c r="B2174" t="str">
        <f>"0.7041"</f>
        <v>0.7041</v>
      </c>
      <c r="C2174" t="str">
        <f>"0.7041"</f>
        <v>0.7041</v>
      </c>
    </row>
    <row r="2175" spans="1:3" x14ac:dyDescent="0.25">
      <c r="A2175" t="str">
        <f>"05/06/2018"</f>
        <v>05/06/2018</v>
      </c>
      <c r="B2175" t="str">
        <f>"0.702"</f>
        <v>0.702</v>
      </c>
      <c r="C2175" t="str">
        <f>"0.702"</f>
        <v>0.702</v>
      </c>
    </row>
    <row r="2176" spans="1:3" x14ac:dyDescent="0.25">
      <c r="A2176" t="str">
        <f>"06/06/2018"</f>
        <v>06/06/2018</v>
      </c>
      <c r="B2176" t="str">
        <f>"0.7044"</f>
        <v>0.7044</v>
      </c>
      <c r="C2176" t="str">
        <f>"0.7044"</f>
        <v>0.7044</v>
      </c>
    </row>
    <row r="2177" spans="1:3" x14ac:dyDescent="0.25">
      <c r="A2177" t="str">
        <f>"07/06/2018"</f>
        <v>07/06/2018</v>
      </c>
      <c r="B2177" t="str">
        <f>"0.7039"</f>
        <v>0.7039</v>
      </c>
      <c r="C2177" t="str">
        <f>"0.7039"</f>
        <v>0.7039</v>
      </c>
    </row>
    <row r="2178" spans="1:3" x14ac:dyDescent="0.25">
      <c r="A2178" t="str">
        <f>"08/06/2018"</f>
        <v>08/06/2018</v>
      </c>
      <c r="B2178" t="str">
        <f>"0.7017"</f>
        <v>0.7017</v>
      </c>
      <c r="C2178" t="str">
        <f>"0.7017"</f>
        <v>0.7017</v>
      </c>
    </row>
    <row r="2179" spans="1:3" x14ac:dyDescent="0.25">
      <c r="A2179" t="str">
        <f>"11/06/2018"</f>
        <v>11/06/2018</v>
      </c>
      <c r="B2179" t="str">
        <f>"0.7046"</f>
        <v>0.7046</v>
      </c>
      <c r="C2179" t="str">
        <f>"0.7046"</f>
        <v>0.7046</v>
      </c>
    </row>
    <row r="2180" spans="1:3" x14ac:dyDescent="0.25">
      <c r="A2180" t="str">
        <f>"12/06/2018"</f>
        <v>12/06/2018</v>
      </c>
      <c r="B2180" t="str">
        <f>"0.7027"</f>
        <v>0.7027</v>
      </c>
      <c r="C2180" t="str">
        <f>"0.7027"</f>
        <v>0.7027</v>
      </c>
    </row>
    <row r="2181" spans="1:3" x14ac:dyDescent="0.25">
      <c r="A2181" t="str">
        <f>"13/06/2018"</f>
        <v>13/06/2018</v>
      </c>
      <c r="B2181" t="str">
        <f>"0.7033"</f>
        <v>0.7033</v>
      </c>
      <c r="C2181" t="str">
        <f>"0.7033"</f>
        <v>0.7033</v>
      </c>
    </row>
    <row r="2182" spans="1:3" x14ac:dyDescent="0.25">
      <c r="A2182" t="str">
        <f>"14/06/2018"</f>
        <v>14/06/2018</v>
      </c>
      <c r="B2182" t="str">
        <f>"0.7033"</f>
        <v>0.7033</v>
      </c>
      <c r="C2182" t="str">
        <f>"0.7033"</f>
        <v>0.7033</v>
      </c>
    </row>
    <row r="2183" spans="1:3" x14ac:dyDescent="0.25">
      <c r="A2183" t="str">
        <f>"15/06/2018"</f>
        <v>15/06/2018</v>
      </c>
      <c r="B2183" t="str">
        <f>"0.6953"</f>
        <v>0.6953</v>
      </c>
      <c r="C2183" t="str">
        <f>"0.6953"</f>
        <v>0.6953</v>
      </c>
    </row>
    <row r="2184" spans="1:3" x14ac:dyDescent="0.25">
      <c r="A2184" t="str">
        <f>"18/06/2018"</f>
        <v>18/06/2018</v>
      </c>
      <c r="B2184" t="str">
        <f>"0.6949"</f>
        <v>0.6949</v>
      </c>
      <c r="C2184" t="str">
        <f>"0.6949"</f>
        <v>0.6949</v>
      </c>
    </row>
    <row r="2185" spans="1:3" x14ac:dyDescent="0.25">
      <c r="A2185" t="str">
        <f>"19/06/2018"</f>
        <v>19/06/2018</v>
      </c>
      <c r="B2185" t="str">
        <f>"0.6888"</f>
        <v>0.6888</v>
      </c>
      <c r="C2185" t="str">
        <f>"0.6888"</f>
        <v>0.6888</v>
      </c>
    </row>
    <row r="2186" spans="1:3" x14ac:dyDescent="0.25">
      <c r="A2186" t="str">
        <f>"20/06/2018"</f>
        <v>20/06/2018</v>
      </c>
      <c r="B2186" t="str">
        <f>"0.6884"</f>
        <v>0.6884</v>
      </c>
      <c r="C2186" t="str">
        <f>"0.6883"</f>
        <v>0.6883</v>
      </c>
    </row>
    <row r="2187" spans="1:3" x14ac:dyDescent="0.25">
      <c r="A2187" t="str">
        <f>"21/06/2018"</f>
        <v>21/06/2018</v>
      </c>
      <c r="B2187" t="str">
        <f>"0.6854"</f>
        <v>0.6854</v>
      </c>
      <c r="C2187" t="str">
        <f>"0.6854"</f>
        <v>0.6854</v>
      </c>
    </row>
    <row r="2188" spans="1:3" x14ac:dyDescent="0.25">
      <c r="A2188" t="str">
        <f>"22/06/2018"</f>
        <v>22/06/2018</v>
      </c>
      <c r="B2188" t="str">
        <f>"0.6896"</f>
        <v>0.6896</v>
      </c>
      <c r="C2188" t="str">
        <f>"0.6896"</f>
        <v>0.6896</v>
      </c>
    </row>
    <row r="2189" spans="1:3" x14ac:dyDescent="0.25">
      <c r="A2189" t="str">
        <f>"25/06/2018"</f>
        <v>25/06/2018</v>
      </c>
      <c r="B2189" t="str">
        <f>"0.69"</f>
        <v>0.69</v>
      </c>
      <c r="C2189" t="str">
        <f>"0.69"</f>
        <v>0.69</v>
      </c>
    </row>
    <row r="2190" spans="1:3" x14ac:dyDescent="0.25">
      <c r="A2190" t="str">
        <f>"26/06/2018"</f>
        <v>26/06/2018</v>
      </c>
      <c r="B2190" t="str">
        <f>"0.6868"</f>
        <v>0.6868</v>
      </c>
      <c r="C2190" t="str">
        <f>"0.6868"</f>
        <v>0.6868</v>
      </c>
    </row>
    <row r="2191" spans="1:3" x14ac:dyDescent="0.25">
      <c r="A2191" t="str">
        <f>"27/06/2018"</f>
        <v>27/06/2018</v>
      </c>
      <c r="B2191" t="str">
        <f>"0.681"</f>
        <v>0.681</v>
      </c>
      <c r="C2191" t="str">
        <f>"0.681"</f>
        <v>0.681</v>
      </c>
    </row>
    <row r="2192" spans="1:3" x14ac:dyDescent="0.25">
      <c r="A2192" t="str">
        <f>"28/06/2018"</f>
        <v>28/06/2018</v>
      </c>
      <c r="B2192" t="str">
        <f>"0.6761"</f>
        <v>0.6761</v>
      </c>
      <c r="C2192" t="str">
        <f>"0.6761"</f>
        <v>0.6761</v>
      </c>
    </row>
    <row r="2193" spans="1:3" x14ac:dyDescent="0.25">
      <c r="A2193" t="str">
        <f>"29/06/2018"</f>
        <v>29/06/2018</v>
      </c>
      <c r="B2193" t="str">
        <f>"0.6758"</f>
        <v>0.6758</v>
      </c>
      <c r="C2193" t="str">
        <f>"0.6758"</f>
        <v>0.6758</v>
      </c>
    </row>
    <row r="2194" spans="1:3" x14ac:dyDescent="0.25">
      <c r="A2194" t="str">
        <f>"02/07/2018"</f>
        <v>02/07/2018</v>
      </c>
      <c r="B2194" t="str">
        <f>"0.6724"</f>
        <v>0.6724</v>
      </c>
      <c r="C2194" t="str">
        <f>"0.6724"</f>
        <v>0.6724</v>
      </c>
    </row>
    <row r="2195" spans="1:3" x14ac:dyDescent="0.25">
      <c r="A2195" t="str">
        <f>"03/07/2018"</f>
        <v>03/07/2018</v>
      </c>
      <c r="B2195" t="str">
        <f>"0.6736"</f>
        <v>0.6736</v>
      </c>
      <c r="C2195" t="str">
        <f>"0.6735"</f>
        <v>0.6735</v>
      </c>
    </row>
    <row r="2196" spans="1:3" x14ac:dyDescent="0.25">
      <c r="A2196" t="str">
        <f>"04/07/2018"</f>
        <v>04/07/2018</v>
      </c>
      <c r="B2196" t="str">
        <f>"0.6761"</f>
        <v>0.6761</v>
      </c>
      <c r="C2196" t="str">
        <f>"0.676"</f>
        <v>0.676</v>
      </c>
    </row>
    <row r="2197" spans="1:3" x14ac:dyDescent="0.25">
      <c r="A2197" t="str">
        <f>"05/07/2018"</f>
        <v>05/07/2018</v>
      </c>
      <c r="B2197" t="str">
        <f>"0.6782"</f>
        <v>0.6782</v>
      </c>
      <c r="C2197" t="str">
        <f>"0.6782"</f>
        <v>0.6782</v>
      </c>
    </row>
    <row r="2198" spans="1:3" x14ac:dyDescent="0.25">
      <c r="A2198" t="str">
        <f>"06/07/2018"</f>
        <v>06/07/2018</v>
      </c>
      <c r="B2198" t="str">
        <f>"0.6821"</f>
        <v>0.6821</v>
      </c>
      <c r="C2198" t="str">
        <f>"0.6821"</f>
        <v>0.6821</v>
      </c>
    </row>
    <row r="2199" spans="1:3" x14ac:dyDescent="0.25">
      <c r="A2199" t="str">
        <f>"09/07/2018"</f>
        <v>09/07/2018</v>
      </c>
      <c r="B2199" t="str">
        <f>"0.6855"</f>
        <v>0.6855</v>
      </c>
      <c r="C2199" t="str">
        <f>"0.6855"</f>
        <v>0.6855</v>
      </c>
    </row>
    <row r="2200" spans="1:3" x14ac:dyDescent="0.25">
      <c r="A2200" t="str">
        <f>"10/07/2018"</f>
        <v>10/07/2018</v>
      </c>
      <c r="B2200" t="str">
        <f>"0.681"</f>
        <v>0.681</v>
      </c>
      <c r="C2200" t="str">
        <f>"0.681"</f>
        <v>0.681</v>
      </c>
    </row>
    <row r="2201" spans="1:3" x14ac:dyDescent="0.25">
      <c r="A2201" t="str">
        <f>"11/07/2018"</f>
        <v>11/07/2018</v>
      </c>
      <c r="B2201" t="str">
        <f>"0.6795"</f>
        <v>0.6795</v>
      </c>
      <c r="C2201" t="str">
        <f>"0.6795"</f>
        <v>0.6795</v>
      </c>
    </row>
    <row r="2202" spans="1:3" x14ac:dyDescent="0.25">
      <c r="A2202" t="str">
        <f>"12/07/2018"</f>
        <v>12/07/2018</v>
      </c>
      <c r="B2202" t="str">
        <f>"0.6752"</f>
        <v>0.6752</v>
      </c>
      <c r="C2202" t="str">
        <f>"0.6752"</f>
        <v>0.6752</v>
      </c>
    </row>
    <row r="2203" spans="1:3" x14ac:dyDescent="0.25">
      <c r="A2203" t="str">
        <f>"13/07/2018"</f>
        <v>13/07/2018</v>
      </c>
      <c r="B2203" t="str">
        <f>"0.6728"</f>
        <v>0.6728</v>
      </c>
      <c r="C2203" t="str">
        <f>"0.6727"</f>
        <v>0.6727</v>
      </c>
    </row>
    <row r="2204" spans="1:3" x14ac:dyDescent="0.25">
      <c r="A2204" t="str">
        <f>"16/07/2018"</f>
        <v>16/07/2018</v>
      </c>
      <c r="B2204" t="str">
        <f>"0.6785"</f>
        <v>0.6785</v>
      </c>
      <c r="C2204" t="str">
        <f>"0.6784"</f>
        <v>0.6784</v>
      </c>
    </row>
    <row r="2205" spans="1:3" x14ac:dyDescent="0.25">
      <c r="A2205" t="str">
        <f>"17/07/2018"</f>
        <v>17/07/2018</v>
      </c>
      <c r="B2205" t="str">
        <f>"0.6813"</f>
        <v>0.6813</v>
      </c>
      <c r="C2205" t="str">
        <f>"0.6812"</f>
        <v>0.6812</v>
      </c>
    </row>
    <row r="2206" spans="1:3" x14ac:dyDescent="0.25">
      <c r="A2206" t="str">
        <f>"18/07/2018"</f>
        <v>18/07/2018</v>
      </c>
      <c r="B2206" t="str">
        <f>"0.6761"</f>
        <v>0.6761</v>
      </c>
      <c r="C2206" t="str">
        <f>"0.676"</f>
        <v>0.676</v>
      </c>
    </row>
    <row r="2207" spans="1:3" x14ac:dyDescent="0.25">
      <c r="A2207" t="str">
        <f>"19/07/2018"</f>
        <v>19/07/2018</v>
      </c>
      <c r="B2207" t="str">
        <f>"0.6731"</f>
        <v>0.6731</v>
      </c>
      <c r="C2207" t="str">
        <f>"0.673"</f>
        <v>0.673</v>
      </c>
    </row>
    <row r="2208" spans="1:3" x14ac:dyDescent="0.25">
      <c r="A2208" t="str">
        <f>"20/07/2018"</f>
        <v>20/07/2018</v>
      </c>
      <c r="B2208" t="str">
        <f>"0.676"</f>
        <v>0.676</v>
      </c>
      <c r="C2208" t="str">
        <f>"0.6759"</f>
        <v>0.6759</v>
      </c>
    </row>
    <row r="2209" spans="1:3" x14ac:dyDescent="0.25">
      <c r="A2209" t="str">
        <f>"23/07/2018"</f>
        <v>23/07/2018</v>
      </c>
      <c r="B2209" t="str">
        <f>"0.681"</f>
        <v>0.681</v>
      </c>
      <c r="C2209" t="str">
        <f>"0.6809"</f>
        <v>0.6809</v>
      </c>
    </row>
    <row r="2210" spans="1:3" x14ac:dyDescent="0.25">
      <c r="A2210" t="str">
        <f>"24/07/2018"</f>
        <v>24/07/2018</v>
      </c>
      <c r="B2210" t="str">
        <f>"0.6804"</f>
        <v>0.6804</v>
      </c>
      <c r="C2210" t="str">
        <f>"0.6804"</f>
        <v>0.6804</v>
      </c>
    </row>
    <row r="2211" spans="1:3" x14ac:dyDescent="0.25">
      <c r="A2211" t="str">
        <f>"25/07/2018"</f>
        <v>25/07/2018</v>
      </c>
      <c r="B2211" t="str">
        <f>"0.6808"</f>
        <v>0.6808</v>
      </c>
      <c r="C2211" t="str">
        <f>"0.6808"</f>
        <v>0.6808</v>
      </c>
    </row>
    <row r="2212" spans="1:3" x14ac:dyDescent="0.25">
      <c r="A2212" t="str">
        <f>"26/07/2018"</f>
        <v>26/07/2018</v>
      </c>
      <c r="B2212" t="str">
        <f>"0.6816"</f>
        <v>0.6816</v>
      </c>
      <c r="C2212" t="str">
        <f>"0.6816"</f>
        <v>0.6816</v>
      </c>
    </row>
    <row r="2213" spans="1:3" x14ac:dyDescent="0.25">
      <c r="A2213" t="str">
        <f>"27/07/2018"</f>
        <v>27/07/2018</v>
      </c>
      <c r="B2213" t="str">
        <f>"0.6767"</f>
        <v>0.6767</v>
      </c>
      <c r="C2213" t="str">
        <f>"0.6767"</f>
        <v>0.6767</v>
      </c>
    </row>
    <row r="2214" spans="1:3" x14ac:dyDescent="0.25">
      <c r="A2214" t="str">
        <f>"30/07/2018"</f>
        <v>30/07/2018</v>
      </c>
      <c r="B2214" t="str">
        <f>"0.6808"</f>
        <v>0.6808</v>
      </c>
      <c r="C2214" t="str">
        <f>"0.6808"</f>
        <v>0.6808</v>
      </c>
    </row>
    <row r="2215" spans="1:3" x14ac:dyDescent="0.25">
      <c r="A2215" t="str">
        <f>"31/07/2018"</f>
        <v>31/07/2018</v>
      </c>
      <c r="B2215" t="str">
        <f>"0.6819"</f>
        <v>0.6819</v>
      </c>
      <c r="C2215" t="str">
        <f>"0.6818"</f>
        <v>0.6818</v>
      </c>
    </row>
    <row r="2216" spans="1:3" x14ac:dyDescent="0.25">
      <c r="A2216" t="str">
        <f>"01/08/2018"</f>
        <v>01/08/2018</v>
      </c>
      <c r="B2216" t="str">
        <f>"0.6807"</f>
        <v>0.6807</v>
      </c>
      <c r="C2216" t="str">
        <f>"0.6806"</f>
        <v>0.6806</v>
      </c>
    </row>
    <row r="2217" spans="1:3" x14ac:dyDescent="0.25">
      <c r="A2217" t="str">
        <f>"02/08/2018"</f>
        <v>02/08/2018</v>
      </c>
      <c r="B2217" t="str">
        <f>"0.6758"</f>
        <v>0.6758</v>
      </c>
      <c r="C2217" t="str">
        <f>"0.6757"</f>
        <v>0.6757</v>
      </c>
    </row>
    <row r="2218" spans="1:3" x14ac:dyDescent="0.25">
      <c r="A2218" t="str">
        <f>"03/08/2018"</f>
        <v>03/08/2018</v>
      </c>
      <c r="B2218" t="str">
        <f>"0.6761"</f>
        <v>0.6761</v>
      </c>
      <c r="C2218" t="str">
        <f>"0.676"</f>
        <v>0.676</v>
      </c>
    </row>
    <row r="2219" spans="1:3" x14ac:dyDescent="0.25">
      <c r="A2219" t="str">
        <f>"06/08/2018"</f>
        <v>06/08/2018</v>
      </c>
      <c r="B2219" t="str">
        <f>"0.6726"</f>
        <v>0.6726</v>
      </c>
      <c r="C2219" t="str">
        <f>"0.6725"</f>
        <v>0.6725</v>
      </c>
    </row>
    <row r="2220" spans="1:3" x14ac:dyDescent="0.25">
      <c r="A2220" t="str">
        <f>"07/08/2018"</f>
        <v>07/08/2018</v>
      </c>
      <c r="B2220" t="str">
        <f>"0.6747"</f>
        <v>0.6747</v>
      </c>
      <c r="C2220" t="str">
        <f>"0.6746"</f>
        <v>0.6746</v>
      </c>
    </row>
    <row r="2221" spans="1:3" x14ac:dyDescent="0.25">
      <c r="A2221" t="str">
        <f>"08/08/2018"</f>
        <v>08/08/2018</v>
      </c>
      <c r="B2221" t="str">
        <f>"0.674"</f>
        <v>0.674</v>
      </c>
      <c r="C2221" t="str">
        <f>"0.6739"</f>
        <v>0.6739</v>
      </c>
    </row>
    <row r="2222" spans="1:3" x14ac:dyDescent="0.25">
      <c r="A2222" t="str">
        <f>"09/08/2018"</f>
        <v>09/08/2018</v>
      </c>
      <c r="B2222" t="str">
        <f>"0.6649"</f>
        <v>0.6649</v>
      </c>
      <c r="C2222" t="str">
        <f>"0.6648"</f>
        <v>0.6648</v>
      </c>
    </row>
    <row r="2223" spans="1:3" x14ac:dyDescent="0.25">
      <c r="A2223" t="str">
        <f>"10/08/2018"</f>
        <v>10/08/2018</v>
      </c>
      <c r="B2223" t="str">
        <f>"0.6598"</f>
        <v>0.6598</v>
      </c>
      <c r="C2223" t="str">
        <f>"0.6597"</f>
        <v>0.6597</v>
      </c>
    </row>
    <row r="2224" spans="1:3" x14ac:dyDescent="0.25">
      <c r="A2224" t="str">
        <f>"13/08/2018"</f>
        <v>13/08/2018</v>
      </c>
      <c r="B2224" t="str">
        <f>"0.6571"</f>
        <v>0.6571</v>
      </c>
      <c r="C2224" t="str">
        <f>"0.657"</f>
        <v>0.657</v>
      </c>
    </row>
    <row r="2225" spans="1:3" x14ac:dyDescent="0.25">
      <c r="A2225" t="str">
        <f>"14/08/2018"</f>
        <v>14/08/2018</v>
      </c>
      <c r="B2225" t="str">
        <f>"0.6596"</f>
        <v>0.6596</v>
      </c>
      <c r="C2225" t="str">
        <f>"0.6595"</f>
        <v>0.6595</v>
      </c>
    </row>
    <row r="2226" spans="1:3" x14ac:dyDescent="0.25">
      <c r="A2226" t="str">
        <f>"16/08/2018"</f>
        <v>16/08/2018</v>
      </c>
      <c r="B2226" t="str">
        <f>"0.6587"</f>
        <v>0.6587</v>
      </c>
      <c r="C2226" t="str">
        <f>"0.6586"</f>
        <v>0.6586</v>
      </c>
    </row>
    <row r="2227" spans="1:3" x14ac:dyDescent="0.25">
      <c r="A2227" t="str">
        <f>"20/08/2018"</f>
        <v>20/08/2018</v>
      </c>
      <c r="B2227" t="str">
        <f>"0.6618"</f>
        <v>0.6618</v>
      </c>
      <c r="C2227" t="str">
        <f>"0.6617"</f>
        <v>0.6617</v>
      </c>
    </row>
    <row r="2228" spans="1:3" x14ac:dyDescent="0.25">
      <c r="A2228" t="str">
        <f>"21/08/2018"</f>
        <v>21/08/2018</v>
      </c>
      <c r="B2228" t="str">
        <f>"0.6666"</f>
        <v>0.6666</v>
      </c>
      <c r="C2228" t="str">
        <f>"0.6665"</f>
        <v>0.6665</v>
      </c>
    </row>
    <row r="2229" spans="1:3" x14ac:dyDescent="0.25">
      <c r="A2229" t="str">
        <f>"23/08/2018"</f>
        <v>23/08/2018</v>
      </c>
      <c r="B2229" t="str">
        <f>"0.6676"</f>
        <v>0.6676</v>
      </c>
      <c r="C2229" t="str">
        <f>"0.6675"</f>
        <v>0.6675</v>
      </c>
    </row>
    <row r="2230" spans="1:3" x14ac:dyDescent="0.25">
      <c r="A2230" t="str">
        <f>"24/08/2018"</f>
        <v>24/08/2018</v>
      </c>
      <c r="B2230" t="str">
        <f>"0.6665"</f>
        <v>0.6665</v>
      </c>
      <c r="C2230" t="str">
        <f>"0.6665"</f>
        <v>0.6665</v>
      </c>
    </row>
    <row r="2231" spans="1:3" x14ac:dyDescent="0.25">
      <c r="A2231" t="str">
        <f>"27/08/2018"</f>
        <v>27/08/2018</v>
      </c>
      <c r="B2231" t="str">
        <f>"0.6675"</f>
        <v>0.6675</v>
      </c>
      <c r="C2231" t="str">
        <f>"0.6675"</f>
        <v>0.6675</v>
      </c>
    </row>
    <row r="2232" spans="1:3" x14ac:dyDescent="0.25">
      <c r="A2232" t="str">
        <f>"28/08/2018"</f>
        <v>28/08/2018</v>
      </c>
      <c r="B2232" t="str">
        <f>"0.6706"</f>
        <v>0.6706</v>
      </c>
      <c r="C2232" t="str">
        <f>"0.6706"</f>
        <v>0.6706</v>
      </c>
    </row>
    <row r="2233" spans="1:3" x14ac:dyDescent="0.25">
      <c r="A2233" t="str">
        <f>"29/08/2018"</f>
        <v>29/08/2018</v>
      </c>
      <c r="B2233" t="str">
        <f>"0.6701"</f>
        <v>0.6701</v>
      </c>
      <c r="C2233" t="str">
        <f>"0.6701"</f>
        <v>0.6701</v>
      </c>
    </row>
    <row r="2234" spans="1:3" x14ac:dyDescent="0.25">
      <c r="A2234" t="str">
        <f>"30/08/2018"</f>
        <v>30/08/2018</v>
      </c>
      <c r="B2234" t="str">
        <f>"0.6662"</f>
        <v>0.6662</v>
      </c>
      <c r="C2234" t="str">
        <f>"0.6662"</f>
        <v>0.6662</v>
      </c>
    </row>
    <row r="2235" spans="1:3" x14ac:dyDescent="0.25">
      <c r="A2235" t="str">
        <f>"31/08/2018"</f>
        <v>31/08/2018</v>
      </c>
      <c r="B2235" t="str">
        <f>"0.6634"</f>
        <v>0.6634</v>
      </c>
      <c r="C2235" t="str">
        <f>"0.6634"</f>
        <v>0.6634</v>
      </c>
    </row>
    <row r="2236" spans="1:3" x14ac:dyDescent="0.25">
      <c r="A2236" t="str">
        <f>"03/09/2018"</f>
        <v>03/09/2018</v>
      </c>
      <c r="B2236" t="str">
        <f>"0.6609"</f>
        <v>0.6609</v>
      </c>
      <c r="C2236" t="str">
        <f>"0.6609"</f>
        <v>0.6609</v>
      </c>
    </row>
    <row r="2237" spans="1:3" x14ac:dyDescent="0.25">
      <c r="A2237" t="str">
        <f>"04/09/2018"</f>
        <v>04/09/2018</v>
      </c>
      <c r="B2237" t="str">
        <f>"0.6551"</f>
        <v>0.6551</v>
      </c>
      <c r="C2237" t="str">
        <f>"0.6551"</f>
        <v>0.6551</v>
      </c>
    </row>
    <row r="2238" spans="1:3" x14ac:dyDescent="0.25">
      <c r="A2238" t="str">
        <f>"05/09/2018"</f>
        <v>05/09/2018</v>
      </c>
      <c r="B2238" t="str">
        <f>"0.6565"</f>
        <v>0.6565</v>
      </c>
      <c r="C2238" t="str">
        <f>"0.6565"</f>
        <v>0.6565</v>
      </c>
    </row>
    <row r="2239" spans="1:3" x14ac:dyDescent="0.25">
      <c r="A2239" t="str">
        <f>"06/09/2018"</f>
        <v>06/09/2018</v>
      </c>
      <c r="B2239" t="str">
        <f>"0.6595"</f>
        <v>0.6595</v>
      </c>
      <c r="C2239" t="str">
        <f>"0.6595"</f>
        <v>0.6595</v>
      </c>
    </row>
    <row r="2240" spans="1:3" x14ac:dyDescent="0.25">
      <c r="A2240" t="str">
        <f>"07/09/2018"</f>
        <v>07/09/2018</v>
      </c>
      <c r="B2240" t="str">
        <f>"0.6577"</f>
        <v>0.6577</v>
      </c>
      <c r="C2240" t="str">
        <f>"0.6577"</f>
        <v>0.6577</v>
      </c>
    </row>
    <row r="2241" spans="1:3" x14ac:dyDescent="0.25">
      <c r="A2241" t="str">
        <f>"10/09/2018"</f>
        <v>10/09/2018</v>
      </c>
      <c r="B2241" t="str">
        <f>"0.6535"</f>
        <v>0.6535</v>
      </c>
      <c r="C2241" t="str">
        <f>"0.6535"</f>
        <v>0.6535</v>
      </c>
    </row>
    <row r="2242" spans="1:3" x14ac:dyDescent="0.25">
      <c r="A2242" t="str">
        <f>"11/09/2018"</f>
        <v>11/09/2018</v>
      </c>
      <c r="B2242" t="str">
        <f>"0.6529"</f>
        <v>0.6529</v>
      </c>
      <c r="C2242" t="str">
        <f>"0.6529"</f>
        <v>0.6529</v>
      </c>
    </row>
    <row r="2243" spans="1:3" x14ac:dyDescent="0.25">
      <c r="A2243" t="str">
        <f>"12/09/2018"</f>
        <v>12/09/2018</v>
      </c>
      <c r="B2243" t="str">
        <f>"0.6513"</f>
        <v>0.6513</v>
      </c>
      <c r="C2243" t="str">
        <f>"0.6513"</f>
        <v>0.6513</v>
      </c>
    </row>
    <row r="2244" spans="1:3" x14ac:dyDescent="0.25">
      <c r="A2244" t="str">
        <f>"14/09/2018"</f>
        <v>14/09/2018</v>
      </c>
      <c r="B2244" t="str">
        <f>"0.6579"</f>
        <v>0.6579</v>
      </c>
      <c r="C2244" t="str">
        <f>"0.6579"</f>
        <v>0.6579</v>
      </c>
    </row>
    <row r="2245" spans="1:3" x14ac:dyDescent="0.25">
      <c r="A2245" t="str">
        <f>"17/09/2018"</f>
        <v>17/09/2018</v>
      </c>
      <c r="B2245" t="str">
        <f>"0.6568"</f>
        <v>0.6568</v>
      </c>
      <c r="C2245" t="str">
        <f>"0.6568"</f>
        <v>0.6568</v>
      </c>
    </row>
    <row r="2246" spans="1:3" x14ac:dyDescent="0.25">
      <c r="A2246" t="str">
        <f>"18/09/2018"</f>
        <v>18/09/2018</v>
      </c>
      <c r="B2246" t="str">
        <f>"0.6587"</f>
        <v>0.6587</v>
      </c>
      <c r="C2246" t="str">
        <f>"0.6587"</f>
        <v>0.6587</v>
      </c>
    </row>
    <row r="2247" spans="1:3" x14ac:dyDescent="0.25">
      <c r="A2247" t="str">
        <f>"19/09/2018"</f>
        <v>19/09/2018</v>
      </c>
      <c r="B2247" t="str">
        <f>"0.6602"</f>
        <v>0.6602</v>
      </c>
      <c r="C2247" t="str">
        <f>"0.6602"</f>
        <v>0.6602</v>
      </c>
    </row>
    <row r="2248" spans="1:3" x14ac:dyDescent="0.25">
      <c r="A2248" t="str">
        <f>"21/09/2018"</f>
        <v>21/09/2018</v>
      </c>
      <c r="B2248" t="str">
        <f>"0.6683"</f>
        <v>0.6683</v>
      </c>
      <c r="C2248" t="str">
        <f>"0.6683"</f>
        <v>0.6683</v>
      </c>
    </row>
    <row r="2249" spans="1:3" x14ac:dyDescent="0.25">
      <c r="A2249" t="str">
        <f>"24/09/2018"</f>
        <v>24/09/2018</v>
      </c>
      <c r="B2249" t="str">
        <f>"0.6672"</f>
        <v>0.6672</v>
      </c>
      <c r="C2249" t="str">
        <f>"0.6672"</f>
        <v>0.6672</v>
      </c>
    </row>
    <row r="2250" spans="1:3" x14ac:dyDescent="0.25">
      <c r="A2250" t="str">
        <f>"25/09/2018"</f>
        <v>25/09/2018</v>
      </c>
      <c r="B2250" t="str">
        <f>"0.6652"</f>
        <v>0.6652</v>
      </c>
      <c r="C2250" t="str">
        <f>"0.6652"</f>
        <v>0.6652</v>
      </c>
    </row>
    <row r="2251" spans="1:3" x14ac:dyDescent="0.25">
      <c r="A2251" t="str">
        <f>"26/09/2018"</f>
        <v>26/09/2018</v>
      </c>
      <c r="B2251" t="str">
        <f>"0.6651"</f>
        <v>0.6651</v>
      </c>
      <c r="C2251" t="str">
        <f>"0.6652"</f>
        <v>0.6652</v>
      </c>
    </row>
    <row r="2252" spans="1:3" x14ac:dyDescent="0.25">
      <c r="A2252" t="str">
        <f>"27/09/2018"</f>
        <v>27/09/2018</v>
      </c>
      <c r="B2252" t="str">
        <f>"0.6641"</f>
        <v>0.6641</v>
      </c>
      <c r="C2252" t="str">
        <f>"0.6642"</f>
        <v>0.6642</v>
      </c>
    </row>
    <row r="2253" spans="1:3" x14ac:dyDescent="0.25">
      <c r="A2253" t="str">
        <f>"28/09/2018"</f>
        <v>28/09/2018</v>
      </c>
      <c r="B2253" t="str">
        <f>"0.6612"</f>
        <v>0.6612</v>
      </c>
      <c r="C2253" t="str">
        <f>"0.6613"</f>
        <v>0.6613</v>
      </c>
    </row>
    <row r="2254" spans="1:3" x14ac:dyDescent="0.25">
      <c r="A2254" t="str">
        <f>"01/10/2018"</f>
        <v>01/10/2018</v>
      </c>
      <c r="B2254" t="str">
        <f>"0.6604"</f>
        <v>0.6604</v>
      </c>
      <c r="C2254" t="str">
        <f>"0.6605"</f>
        <v>0.6605</v>
      </c>
    </row>
    <row r="2255" spans="1:3" x14ac:dyDescent="0.25">
      <c r="A2255" t="str">
        <f>"03/10/2018"</f>
        <v>03/10/2018</v>
      </c>
      <c r="B2255" t="str">
        <f>"0.6553"</f>
        <v>0.6553</v>
      </c>
      <c r="C2255" t="str">
        <f>"0.6555"</f>
        <v>0.6555</v>
      </c>
    </row>
    <row r="2256" spans="1:3" x14ac:dyDescent="0.25">
      <c r="A2256" t="str">
        <f>"04/10/2018"</f>
        <v>04/10/2018</v>
      </c>
      <c r="B2256" t="str">
        <f>"0.6492"</f>
        <v>0.6492</v>
      </c>
      <c r="C2256" t="str">
        <f>"0.6494"</f>
        <v>0.6494</v>
      </c>
    </row>
    <row r="2257" spans="1:3" x14ac:dyDescent="0.25">
      <c r="A2257" t="str">
        <f>"05/10/2018"</f>
        <v>05/10/2018</v>
      </c>
      <c r="B2257" t="str">
        <f>"0.6469"</f>
        <v>0.6469</v>
      </c>
      <c r="C2257" t="str">
        <f>"0.647"</f>
        <v>0.647</v>
      </c>
    </row>
    <row r="2258" spans="1:3" x14ac:dyDescent="0.25">
      <c r="A2258" t="str">
        <f>"08/10/2018"</f>
        <v>08/10/2018</v>
      </c>
      <c r="B2258" t="str">
        <f>"0.6451"</f>
        <v>0.6451</v>
      </c>
      <c r="C2258" t="str">
        <f>"0.6453"</f>
        <v>0.6453</v>
      </c>
    </row>
    <row r="2259" spans="1:3" x14ac:dyDescent="0.25">
      <c r="A2259" t="str">
        <f>"09/10/2018"</f>
        <v>09/10/2018</v>
      </c>
      <c r="B2259" t="str">
        <f>"0.643"</f>
        <v>0.643</v>
      </c>
      <c r="C2259" t="str">
        <f>"0.6432"</f>
        <v>0.6432</v>
      </c>
    </row>
    <row r="2260" spans="1:3" x14ac:dyDescent="0.25">
      <c r="A2260" t="str">
        <f>"10/10/2018"</f>
        <v>10/10/2018</v>
      </c>
      <c r="B2260" t="str">
        <f>"0.6464"</f>
        <v>0.6464</v>
      </c>
      <c r="C2260" t="str">
        <f>"0.6466"</f>
        <v>0.6466</v>
      </c>
    </row>
    <row r="2261" spans="1:3" x14ac:dyDescent="0.25">
      <c r="A2261" t="str">
        <f>"11/10/2018"</f>
        <v>11/10/2018</v>
      </c>
      <c r="B2261" t="str">
        <f>"0.6488"</f>
        <v>0.6488</v>
      </c>
      <c r="C2261" t="str">
        <f>"0.649"</f>
        <v>0.649</v>
      </c>
    </row>
    <row r="2262" spans="1:3" x14ac:dyDescent="0.25">
      <c r="A2262" t="str">
        <f>"12/10/2018"</f>
        <v>12/10/2018</v>
      </c>
      <c r="B2262" t="str">
        <f>"0.6512"</f>
        <v>0.6512</v>
      </c>
      <c r="C2262" t="str">
        <f>"0.6514"</f>
        <v>0.6514</v>
      </c>
    </row>
    <row r="2263" spans="1:3" x14ac:dyDescent="0.25">
      <c r="A2263" t="str">
        <f>"15/10/2018"</f>
        <v>15/10/2018</v>
      </c>
      <c r="B2263" t="str">
        <f>"0.6535"</f>
        <v>0.6535</v>
      </c>
      <c r="C2263" t="str">
        <f>"0.6537"</f>
        <v>0.6537</v>
      </c>
    </row>
    <row r="2264" spans="1:3" x14ac:dyDescent="0.25">
      <c r="A2264" t="str">
        <f>"16/10/2018"</f>
        <v>16/10/2018</v>
      </c>
      <c r="B2264" t="str">
        <f>"0.6579"</f>
        <v>0.6579</v>
      </c>
      <c r="C2264" t="str">
        <f>"0.6581"</f>
        <v>0.6581</v>
      </c>
    </row>
    <row r="2265" spans="1:3" x14ac:dyDescent="0.25">
      <c r="A2265" t="str">
        <f>"17/10/2018"</f>
        <v>17/10/2018</v>
      </c>
      <c r="B2265" t="str">
        <f>"0.6566"</f>
        <v>0.6566</v>
      </c>
      <c r="C2265" t="str">
        <f>"0.6568"</f>
        <v>0.6568</v>
      </c>
    </row>
    <row r="2266" spans="1:3" x14ac:dyDescent="0.25">
      <c r="A2266" t="str">
        <f>"19/10/2018"</f>
        <v>19/10/2018</v>
      </c>
      <c r="B2266" t="str">
        <f>"0.6597"</f>
        <v>0.6597</v>
      </c>
      <c r="C2266" t="str">
        <f>"0.6599"</f>
        <v>0.6599</v>
      </c>
    </row>
    <row r="2267" spans="1:3" x14ac:dyDescent="0.25">
      <c r="A2267" t="str">
        <f>"22/10/2018"</f>
        <v>22/10/2018</v>
      </c>
      <c r="B2267" t="str">
        <f>"0.6576"</f>
        <v>0.6576</v>
      </c>
      <c r="C2267" t="str">
        <f>"0.6578"</f>
        <v>0.6578</v>
      </c>
    </row>
    <row r="2268" spans="1:3" x14ac:dyDescent="0.25">
      <c r="A2268" t="str">
        <f>"23/10/2018"</f>
        <v>23/10/2018</v>
      </c>
      <c r="B2268" t="str">
        <f>"0.6553"</f>
        <v>0.6553</v>
      </c>
      <c r="C2268" t="str">
        <f>"0.6555"</f>
        <v>0.6555</v>
      </c>
    </row>
    <row r="2269" spans="1:3" x14ac:dyDescent="0.25">
      <c r="A2269" t="str">
        <f>"24/10/2018"</f>
        <v>24/10/2018</v>
      </c>
      <c r="B2269" t="str">
        <f>"0.6547"</f>
        <v>0.6547</v>
      </c>
      <c r="C2269" t="str">
        <f>"0.6549"</f>
        <v>0.6549</v>
      </c>
    </row>
    <row r="2270" spans="1:3" x14ac:dyDescent="0.25">
      <c r="A2270" t="str">
        <f>"25/10/2018"</f>
        <v>25/10/2018</v>
      </c>
      <c r="B2270" t="str">
        <f>"0.6527"</f>
        <v>0.6527</v>
      </c>
      <c r="C2270" t="str">
        <f>"0.6529"</f>
        <v>0.6529</v>
      </c>
    </row>
    <row r="2271" spans="1:3" x14ac:dyDescent="0.25">
      <c r="A2271" t="str">
        <f>"26/10/2018"</f>
        <v>26/10/2018</v>
      </c>
      <c r="B2271" t="str">
        <f>"0.6473"</f>
        <v>0.6473</v>
      </c>
      <c r="C2271" t="str">
        <f>"0.6475"</f>
        <v>0.6475</v>
      </c>
    </row>
    <row r="2272" spans="1:3" x14ac:dyDescent="0.25">
      <c r="A2272" t="str">
        <f>"29/10/2018"</f>
        <v>29/10/2018</v>
      </c>
      <c r="B2272" t="str">
        <f>"0.6531"</f>
        <v>0.6531</v>
      </c>
      <c r="C2272" t="str">
        <f>"0.6533"</f>
        <v>0.6533</v>
      </c>
    </row>
    <row r="2273" spans="1:3" x14ac:dyDescent="0.25">
      <c r="A2273" t="str">
        <f>"30/10/2018"</f>
        <v>30/10/2018</v>
      </c>
      <c r="B2273" t="str">
        <f>"0.6545"</f>
        <v>0.6545</v>
      </c>
      <c r="C2273" t="str">
        <f>"0.6547"</f>
        <v>0.6547</v>
      </c>
    </row>
    <row r="2274" spans="1:3" x14ac:dyDescent="0.25">
      <c r="A2274" t="str">
        <f>"31/10/2018"</f>
        <v>31/10/2018</v>
      </c>
      <c r="B2274" t="str">
        <f>"0.6547"</f>
        <v>0.6547</v>
      </c>
      <c r="C2274" t="str">
        <f>"0.6549"</f>
        <v>0.6549</v>
      </c>
    </row>
    <row r="2275" spans="1:3" x14ac:dyDescent="0.25">
      <c r="A2275" t="str">
        <f>"01/11/2018"</f>
        <v>01/11/2018</v>
      </c>
      <c r="B2275" t="str">
        <f>"0.6609"</f>
        <v>0.6609</v>
      </c>
      <c r="C2275" t="str">
        <f>"0.6611"</f>
        <v>0.6611</v>
      </c>
    </row>
    <row r="2276" spans="1:3" x14ac:dyDescent="0.25">
      <c r="A2276" t="str">
        <f>"02/11/2018"</f>
        <v>02/11/2018</v>
      </c>
      <c r="B2276" t="str">
        <f>"0.6681"</f>
        <v>0.6681</v>
      </c>
      <c r="C2276" t="str">
        <f>"0.6683"</f>
        <v>0.6683</v>
      </c>
    </row>
    <row r="2277" spans="1:3" x14ac:dyDescent="0.25">
      <c r="A2277" t="str">
        <f>"05/11/2018"</f>
        <v>05/11/2018</v>
      </c>
      <c r="B2277" t="str">
        <f>"0.6659"</f>
        <v>0.6659</v>
      </c>
      <c r="C2277" t="str">
        <f>"0.6661"</f>
        <v>0.6661</v>
      </c>
    </row>
    <row r="2278" spans="1:3" x14ac:dyDescent="0.25">
      <c r="A2278" t="str">
        <f>"06/11/2018"</f>
        <v>06/11/2018</v>
      </c>
      <c r="B2278" t="str">
        <f>"0.6672"</f>
        <v>0.6672</v>
      </c>
      <c r="C2278" t="str">
        <f>"0.6674"</f>
        <v>0.6674</v>
      </c>
    </row>
    <row r="2279" spans="1:3" x14ac:dyDescent="0.25">
      <c r="A2279" t="str">
        <f>"09/11/2018"</f>
        <v>09/11/2018</v>
      </c>
      <c r="B2279" t="str">
        <f>"0.674"</f>
        <v>0.674</v>
      </c>
      <c r="C2279" t="str">
        <f>"0.6743"</f>
        <v>0.6743</v>
      </c>
    </row>
    <row r="2280" spans="1:3" x14ac:dyDescent="0.25">
      <c r="A2280" t="str">
        <f>"12/11/2018"</f>
        <v>12/11/2018</v>
      </c>
      <c r="B2280" t="str">
        <f>"0.6729"</f>
        <v>0.6729</v>
      </c>
      <c r="C2280" t="str">
        <f>"0.6732"</f>
        <v>0.6732</v>
      </c>
    </row>
    <row r="2281" spans="1:3" x14ac:dyDescent="0.25">
      <c r="A2281" t="str">
        <f>"13/11/2018"</f>
        <v>13/11/2018</v>
      </c>
      <c r="B2281" t="str">
        <f>"0.6745"</f>
        <v>0.6745</v>
      </c>
      <c r="C2281" t="str">
        <f>"0.6748"</f>
        <v>0.6748</v>
      </c>
    </row>
    <row r="2282" spans="1:3" x14ac:dyDescent="0.25">
      <c r="A2282" t="str">
        <f>"14/11/2018"</f>
        <v>14/11/2018</v>
      </c>
      <c r="B2282" t="str">
        <f>"0.6773"</f>
        <v>0.6773</v>
      </c>
      <c r="C2282" t="str">
        <f>"0.6775"</f>
        <v>0.6775</v>
      </c>
    </row>
    <row r="2283" spans="1:3" x14ac:dyDescent="0.25">
      <c r="A2283" t="str">
        <f>"15/11/2018"</f>
        <v>15/11/2018</v>
      </c>
      <c r="B2283" t="str">
        <f>"0.6805"</f>
        <v>0.6805</v>
      </c>
      <c r="C2283" t="str">
        <f>"0.6807"</f>
        <v>0.6807</v>
      </c>
    </row>
    <row r="2284" spans="1:3" x14ac:dyDescent="0.25">
      <c r="A2284" t="str">
        <f>"16/11/2018"</f>
        <v>16/11/2018</v>
      </c>
      <c r="B2284" t="str">
        <f>"0.6804"</f>
        <v>0.6804</v>
      </c>
      <c r="C2284" t="str">
        <f>"0.6806"</f>
        <v>0.6806</v>
      </c>
    </row>
    <row r="2285" spans="1:3" x14ac:dyDescent="0.25">
      <c r="A2285" t="str">
        <f>"19/11/2018"</f>
        <v>19/11/2018</v>
      </c>
      <c r="B2285" t="str">
        <f>"0.683"</f>
        <v>0.683</v>
      </c>
      <c r="C2285" t="str">
        <f>"0.6832"</f>
        <v>0.6832</v>
      </c>
    </row>
    <row r="2286" spans="1:3" x14ac:dyDescent="0.25">
      <c r="A2286" t="str">
        <f>"20/11/2018"</f>
        <v>20/11/2018</v>
      </c>
      <c r="B2286" t="str">
        <f>"0.6854"</f>
        <v>0.6854</v>
      </c>
      <c r="C2286" t="str">
        <f>"0.6857"</f>
        <v>0.6857</v>
      </c>
    </row>
    <row r="2287" spans="1:3" x14ac:dyDescent="0.25">
      <c r="A2287" t="str">
        <f>"22/11/2018"</f>
        <v>22/11/2018</v>
      </c>
      <c r="B2287" t="str">
        <f>"0.6809"</f>
        <v>0.6809</v>
      </c>
      <c r="C2287" t="str">
        <f>"0.6812"</f>
        <v>0.6812</v>
      </c>
    </row>
    <row r="2288" spans="1:3" x14ac:dyDescent="0.25">
      <c r="A2288" t="str">
        <f>"26/11/2018"</f>
        <v>26/11/2018</v>
      </c>
      <c r="B2288" t="str">
        <f>"0.6804"</f>
        <v>0.6804</v>
      </c>
      <c r="C2288" t="str">
        <f>"0.6807"</f>
        <v>0.6807</v>
      </c>
    </row>
    <row r="2289" spans="1:3" x14ac:dyDescent="0.25">
      <c r="A2289" t="str">
        <f>"27/11/2018"</f>
        <v>27/11/2018</v>
      </c>
      <c r="B2289" t="str">
        <f>"0.6796"</f>
        <v>0.6796</v>
      </c>
      <c r="C2289" t="str">
        <f>"0.6799"</f>
        <v>0.6799</v>
      </c>
    </row>
    <row r="2290" spans="1:3" x14ac:dyDescent="0.25">
      <c r="A2290" t="str">
        <f>"28/11/2018"</f>
        <v>28/11/2018</v>
      </c>
      <c r="B2290" t="str">
        <f>"0.6793"</f>
        <v>0.6793</v>
      </c>
      <c r="C2290" t="str">
        <f>"0.6796"</f>
        <v>0.6796</v>
      </c>
    </row>
    <row r="2291" spans="1:3" x14ac:dyDescent="0.25">
      <c r="A2291" t="str">
        <f>"29/11/2018"</f>
        <v>29/11/2018</v>
      </c>
      <c r="B2291" t="str">
        <f>"0.6858"</f>
        <v>0.6858</v>
      </c>
      <c r="C2291" t="str">
        <f>"0.6861"</f>
        <v>0.6861</v>
      </c>
    </row>
    <row r="2292" spans="1:3" x14ac:dyDescent="0.25">
      <c r="A2292" t="str">
        <f>"30/11/2018"</f>
        <v>30/11/2018</v>
      </c>
      <c r="B2292" t="str">
        <f>"0.6862"</f>
        <v>0.6862</v>
      </c>
      <c r="C2292" t="str">
        <f>"0.6865"</f>
        <v>0.6865</v>
      </c>
    </row>
    <row r="2293" spans="1:3" x14ac:dyDescent="0.25">
      <c r="A2293" t="str">
        <f>"03/12/2018"</f>
        <v>03/12/2018</v>
      </c>
      <c r="B2293" t="str">
        <f>"0.6913"</f>
        <v>0.6913</v>
      </c>
      <c r="C2293" t="str">
        <f>"0.6916"</f>
        <v>0.6916</v>
      </c>
    </row>
    <row r="2294" spans="1:3" x14ac:dyDescent="0.25">
      <c r="A2294" t="str">
        <f>"04/12/2018"</f>
        <v>04/12/2018</v>
      </c>
      <c r="B2294" t="str">
        <f>"0.6956"</f>
        <v>0.6956</v>
      </c>
      <c r="C2294" t="str">
        <f>"0.6959"</f>
        <v>0.6959</v>
      </c>
    </row>
    <row r="2295" spans="1:3" x14ac:dyDescent="0.25">
      <c r="A2295" t="str">
        <f>"05/12/2018"</f>
        <v>05/12/2018</v>
      </c>
      <c r="B2295" t="str">
        <f>"0.6915"</f>
        <v>0.6915</v>
      </c>
      <c r="C2295" t="str">
        <f>"0.6918"</f>
        <v>0.6918</v>
      </c>
    </row>
    <row r="2296" spans="1:3" x14ac:dyDescent="0.25">
      <c r="A2296" t="str">
        <f>"06/12/2018"</f>
        <v>06/12/2018</v>
      </c>
      <c r="B2296" t="str">
        <f>"0.6859"</f>
        <v>0.6859</v>
      </c>
      <c r="C2296" t="str">
        <f>"0.6862"</f>
        <v>0.6862</v>
      </c>
    </row>
    <row r="2297" spans="1:3" x14ac:dyDescent="0.25">
      <c r="A2297" t="str">
        <f>"07/12/2018"</f>
        <v>07/12/2018</v>
      </c>
      <c r="B2297" t="str">
        <f>"0.688"</f>
        <v>0.688</v>
      </c>
      <c r="C2297" t="str">
        <f>"0.6883"</f>
        <v>0.6883</v>
      </c>
    </row>
    <row r="2298" spans="1:3" x14ac:dyDescent="0.25">
      <c r="A2298" t="str">
        <f>"10/12/2018"</f>
        <v>10/12/2018</v>
      </c>
      <c r="B2298" t="str">
        <f>"0.6895"</f>
        <v>0.6895</v>
      </c>
      <c r="C2298" t="str">
        <f>"0.6898"</f>
        <v>0.6898</v>
      </c>
    </row>
    <row r="2299" spans="1:3" x14ac:dyDescent="0.25">
      <c r="A2299" t="str">
        <f>"11/12/2018"</f>
        <v>11/12/2018</v>
      </c>
      <c r="B2299" t="str">
        <f>"0.6876"</f>
        <v>0.6876</v>
      </c>
      <c r="C2299" t="str">
        <f>"0.6879"</f>
        <v>0.6879</v>
      </c>
    </row>
    <row r="2300" spans="1:3" x14ac:dyDescent="0.25">
      <c r="A2300" t="str">
        <f>"12/12/2018"</f>
        <v>12/12/2018</v>
      </c>
      <c r="B2300" t="str">
        <f>"0.6887"</f>
        <v>0.6887</v>
      </c>
      <c r="C2300" t="str">
        <f>"0.689"</f>
        <v>0.689</v>
      </c>
    </row>
    <row r="2301" spans="1:3" x14ac:dyDescent="0.25">
      <c r="A2301" t="str">
        <f>"13/12/2018"</f>
        <v>13/12/2018</v>
      </c>
      <c r="B2301" t="str">
        <f>"0.6864"</f>
        <v>0.6864</v>
      </c>
      <c r="C2301" t="str">
        <f>"0.6866"</f>
        <v>0.6866</v>
      </c>
    </row>
    <row r="2302" spans="1:3" x14ac:dyDescent="0.25">
      <c r="A2302" t="str">
        <f>"14/12/2018"</f>
        <v>14/12/2018</v>
      </c>
      <c r="B2302" t="str">
        <f>"0.6791"</f>
        <v>0.6791</v>
      </c>
      <c r="C2302" t="str">
        <f>"0.6793"</f>
        <v>0.6793</v>
      </c>
    </row>
    <row r="2303" spans="1:3" x14ac:dyDescent="0.25">
      <c r="A2303" t="str">
        <f>"17/12/2018"</f>
        <v>17/12/2018</v>
      </c>
      <c r="B2303" t="str">
        <f>"0.6808"</f>
        <v>0.6808</v>
      </c>
      <c r="C2303" t="str">
        <f>"0.6811"</f>
        <v>0.6811</v>
      </c>
    </row>
    <row r="2304" spans="1:3" x14ac:dyDescent="0.25">
      <c r="A2304" t="str">
        <f>"18/12/2018"</f>
        <v>18/12/2018</v>
      </c>
      <c r="B2304" t="str">
        <f>"0.687"</f>
        <v>0.687</v>
      </c>
      <c r="C2304" t="str">
        <f>"0.6873"</f>
        <v>0.6873</v>
      </c>
    </row>
    <row r="2305" spans="1:3" x14ac:dyDescent="0.25">
      <c r="A2305" t="str">
        <f>"19/12/2018"</f>
        <v>19/12/2018</v>
      </c>
      <c r="B2305" t="str">
        <f>"0.6858"</f>
        <v>0.6858</v>
      </c>
      <c r="C2305" t="str">
        <f>"0.6862"</f>
        <v>0.6862</v>
      </c>
    </row>
    <row r="2306" spans="1:3" x14ac:dyDescent="0.25">
      <c r="A2306" t="str">
        <f>"20/12/2018"</f>
        <v>20/12/2018</v>
      </c>
      <c r="B2306" t="str">
        <f>"0.6784"</f>
        <v>0.6784</v>
      </c>
      <c r="C2306" t="str">
        <f>"0.6787"</f>
        <v>0.6787</v>
      </c>
    </row>
    <row r="2307" spans="1:3" x14ac:dyDescent="0.25">
      <c r="A2307" t="str">
        <f>"21/12/2018"</f>
        <v>21/12/2018</v>
      </c>
      <c r="B2307" t="str">
        <f>"0.6736"</f>
        <v>0.6736</v>
      </c>
      <c r="C2307" t="str">
        <f>"0.674"</f>
        <v>0.674</v>
      </c>
    </row>
    <row r="2308" spans="1:3" x14ac:dyDescent="0.25">
      <c r="A2308" t="str">
        <f>"24/12/2018"</f>
        <v>24/12/2018</v>
      </c>
      <c r="B2308" t="str">
        <f>"0.673"</f>
        <v>0.673</v>
      </c>
      <c r="C2308" t="str">
        <f>"0.6734"</f>
        <v>0.6734</v>
      </c>
    </row>
    <row r="2309" spans="1:3" x14ac:dyDescent="0.25">
      <c r="A2309" t="str">
        <f>"26/12/2018"</f>
        <v>26/12/2018</v>
      </c>
      <c r="B2309" t="str">
        <f>"0.673"</f>
        <v>0.673</v>
      </c>
      <c r="C2309" t="str">
        <f>"0.6734"</f>
        <v>0.6734</v>
      </c>
    </row>
    <row r="2310" spans="1:3" x14ac:dyDescent="0.25">
      <c r="A2310" t="str">
        <f>"27/12/2018"</f>
        <v>27/12/2018</v>
      </c>
      <c r="B2310" t="str">
        <f>"0.6711"</f>
        <v>0.6711</v>
      </c>
      <c r="C2310" t="str">
        <f>"0.6714"</f>
        <v>0.6714</v>
      </c>
    </row>
    <row r="2311" spans="1:3" x14ac:dyDescent="0.25">
      <c r="A2311" t="str">
        <f>"28/12/2018"</f>
        <v>28/12/2018</v>
      </c>
      <c r="B2311" t="str">
        <f>"0.6709"</f>
        <v>0.6709</v>
      </c>
      <c r="C2311" t="str">
        <f>"0.6712"</f>
        <v>0.6712</v>
      </c>
    </row>
    <row r="2312" spans="1:3" x14ac:dyDescent="0.25">
      <c r="A2312" t="str">
        <f>"31/12/2018"</f>
        <v>31/12/2018</v>
      </c>
      <c r="B2312" t="str">
        <f>"0.6715"</f>
        <v>0.6715</v>
      </c>
      <c r="C2312" t="str">
        <f>"0.6719"</f>
        <v>0.6719</v>
      </c>
    </row>
    <row r="2313" spans="1:3" x14ac:dyDescent="0.25">
      <c r="A2313" t="str">
        <f>"01/01/2019"</f>
        <v>01/01/2019</v>
      </c>
      <c r="B2313" t="str">
        <f>"0.668"</f>
        <v>0.668</v>
      </c>
      <c r="C2313" t="str">
        <f>"0.6684"</f>
        <v>0.6684</v>
      </c>
    </row>
    <row r="2314" spans="1:3" x14ac:dyDescent="0.25">
      <c r="A2314" t="str">
        <f>"02/01/2019"</f>
        <v>02/01/2019</v>
      </c>
      <c r="B2314" t="str">
        <f>"0.6704"</f>
        <v>0.6704</v>
      </c>
      <c r="C2314" t="str">
        <f>"0.6708"</f>
        <v>0.6708</v>
      </c>
    </row>
    <row r="2315" spans="1:3" x14ac:dyDescent="0.25">
      <c r="A2315" t="str">
        <f>"03/01/2019"</f>
        <v>03/01/2019</v>
      </c>
      <c r="B2315" t="str">
        <f>"0.6632"</f>
        <v>0.6632</v>
      </c>
      <c r="C2315" t="str">
        <f>"0.6636"</f>
        <v>0.6636</v>
      </c>
    </row>
    <row r="2316" spans="1:3" x14ac:dyDescent="0.25">
      <c r="A2316" t="str">
        <f>"04/01/2019"</f>
        <v>04/01/2019</v>
      </c>
      <c r="B2316" t="str">
        <f>"0.6694"</f>
        <v>0.6694</v>
      </c>
      <c r="C2316" t="str">
        <f>"0.6698"</f>
        <v>0.6698</v>
      </c>
    </row>
    <row r="2317" spans="1:3" x14ac:dyDescent="0.25">
      <c r="A2317" t="str">
        <f>"07/01/2019"</f>
        <v>07/01/2019</v>
      </c>
      <c r="B2317" t="str">
        <f>"0.6756"</f>
        <v>0.6756</v>
      </c>
      <c r="C2317" t="str">
        <f>"0.676"</f>
        <v>0.676</v>
      </c>
    </row>
    <row r="2318" spans="1:3" x14ac:dyDescent="0.25">
      <c r="A2318" t="str">
        <f>"08/01/2019"</f>
        <v>08/01/2019</v>
      </c>
      <c r="B2318" t="str">
        <f>"0.6736"</f>
        <v>0.6736</v>
      </c>
      <c r="C2318" t="str">
        <f>"0.674"</f>
        <v>0.674</v>
      </c>
    </row>
    <row r="2319" spans="1:3" x14ac:dyDescent="0.25">
      <c r="A2319" t="str">
        <f>"09/01/2019"</f>
        <v>09/01/2019</v>
      </c>
      <c r="B2319" t="str">
        <f>"0.6773"</f>
        <v>0.6773</v>
      </c>
      <c r="C2319" t="str">
        <f>"0.6777"</f>
        <v>0.6777</v>
      </c>
    </row>
    <row r="2320" spans="1:3" x14ac:dyDescent="0.25">
      <c r="A2320" t="str">
        <f>"10/01/2019"</f>
        <v>10/01/2019</v>
      </c>
      <c r="B2320" t="str">
        <f>"0.6783"</f>
        <v>0.6783</v>
      </c>
      <c r="C2320" t="str">
        <f>"0.6787"</f>
        <v>0.6787</v>
      </c>
    </row>
    <row r="2321" spans="1:3" x14ac:dyDescent="0.25">
      <c r="A2321" t="str">
        <f>"11/01/2019"</f>
        <v>11/01/2019</v>
      </c>
      <c r="B2321" t="str">
        <f>"0.6834"</f>
        <v>0.6834</v>
      </c>
      <c r="C2321" t="str">
        <f>"0.6838"</f>
        <v>0.6838</v>
      </c>
    </row>
    <row r="2322" spans="1:3" x14ac:dyDescent="0.25">
      <c r="A2322" t="str">
        <f>"14/01/2019"</f>
        <v>14/01/2019</v>
      </c>
      <c r="B2322" t="str">
        <f>"0.682"</f>
        <v>0.682</v>
      </c>
      <c r="C2322" t="str">
        <f>"0.6824"</f>
        <v>0.6824</v>
      </c>
    </row>
    <row r="2323" spans="1:3" x14ac:dyDescent="0.25">
      <c r="A2323" t="str">
        <f>"15/01/2019"</f>
        <v>15/01/2019</v>
      </c>
      <c r="B2323" t="str">
        <f>"0.6824"</f>
        <v>0.6824</v>
      </c>
      <c r="C2323" t="str">
        <f>"0.6828"</f>
        <v>0.6828</v>
      </c>
    </row>
    <row r="2324" spans="1:3" x14ac:dyDescent="0.25">
      <c r="A2324" t="str">
        <f>"16/01/2019"</f>
        <v>16/01/2019</v>
      </c>
      <c r="B2324" t="str">
        <f>"0.6759"</f>
        <v>0.6759</v>
      </c>
      <c r="C2324" t="str">
        <f>"0.6763"</f>
        <v>0.6763</v>
      </c>
    </row>
    <row r="2325" spans="1:3" x14ac:dyDescent="0.25">
      <c r="A2325" t="str">
        <f>"17/01/2019"</f>
        <v>17/01/2019</v>
      </c>
      <c r="B2325" t="str">
        <f>"0.6738"</f>
        <v>0.6738</v>
      </c>
      <c r="C2325" t="str">
        <f>"0.6742"</f>
        <v>0.6742</v>
      </c>
    </row>
    <row r="2326" spans="1:3" x14ac:dyDescent="0.25">
      <c r="A2326" t="str">
        <f>"18/01/2019"</f>
        <v>18/01/2019</v>
      </c>
      <c r="B2326" t="str">
        <f>"0.6769"</f>
        <v>0.6769</v>
      </c>
      <c r="C2326" t="str">
        <f>"0.6773"</f>
        <v>0.6773</v>
      </c>
    </row>
    <row r="2327" spans="1:3" x14ac:dyDescent="0.25">
      <c r="A2327" t="str">
        <f>"21/01/2019"</f>
        <v>21/01/2019</v>
      </c>
      <c r="B2327" t="str">
        <f>"0.6726"</f>
        <v>0.6726</v>
      </c>
      <c r="C2327" t="str">
        <f>"0.673"</f>
        <v>0.673</v>
      </c>
    </row>
    <row r="2328" spans="1:3" x14ac:dyDescent="0.25">
      <c r="A2328" t="str">
        <f>"22/01/2019"</f>
        <v>22/01/2019</v>
      </c>
      <c r="B2328" t="str">
        <f>"0.6712"</f>
        <v>0.6712</v>
      </c>
      <c r="C2328" t="str">
        <f>"0.6716"</f>
        <v>0.6716</v>
      </c>
    </row>
    <row r="2329" spans="1:3" x14ac:dyDescent="0.25">
      <c r="A2329" t="str">
        <f>"23/01/2019"</f>
        <v>23/01/2019</v>
      </c>
      <c r="B2329" t="str">
        <f>"0.6793"</f>
        <v>0.6793</v>
      </c>
      <c r="C2329" t="str">
        <f>"0.6797"</f>
        <v>0.6797</v>
      </c>
    </row>
    <row r="2330" spans="1:3" x14ac:dyDescent="0.25">
      <c r="A2330" t="str">
        <f>"24/01/2019"</f>
        <v>24/01/2019</v>
      </c>
      <c r="B2330" t="str">
        <f>"0.6768"</f>
        <v>0.6768</v>
      </c>
      <c r="C2330" t="str">
        <f>"0.6772"</f>
        <v>0.6772</v>
      </c>
    </row>
    <row r="2331" spans="1:3" x14ac:dyDescent="0.25">
      <c r="A2331" t="str">
        <f>"25/01/2019"</f>
        <v>25/01/2019</v>
      </c>
      <c r="B2331" t="str">
        <f>"0.6775"</f>
        <v>0.6775</v>
      </c>
      <c r="C2331" t="str">
        <f>"0.6779"</f>
        <v>0.6779</v>
      </c>
    </row>
    <row r="2332" spans="1:3" x14ac:dyDescent="0.25">
      <c r="A2332" t="str">
        <f>"28/01/2019"</f>
        <v>28/01/2019</v>
      </c>
      <c r="B2332" t="str">
        <f>"0.6848"</f>
        <v>0.6848</v>
      </c>
      <c r="C2332" t="str">
        <f>"0.6852"</f>
        <v>0.6852</v>
      </c>
    </row>
    <row r="2333" spans="1:3" x14ac:dyDescent="0.25">
      <c r="A2333" t="str">
        <f>"29/01/2019"</f>
        <v>29/01/2019</v>
      </c>
      <c r="B2333" t="str">
        <f>"0.6841"</f>
        <v>0.6841</v>
      </c>
      <c r="C2333" t="str">
        <f>"0.6845"</f>
        <v>0.6845</v>
      </c>
    </row>
    <row r="2334" spans="1:3" x14ac:dyDescent="0.25">
      <c r="A2334" t="str">
        <f>"30/01/2019"</f>
        <v>30/01/2019</v>
      </c>
      <c r="B2334" t="str">
        <f>"0.6841"</f>
        <v>0.6841</v>
      </c>
      <c r="C2334" t="str">
        <f>"0.6845"</f>
        <v>0.6845</v>
      </c>
    </row>
    <row r="2335" spans="1:3" x14ac:dyDescent="0.25">
      <c r="A2335" t="str">
        <f>"31/01/2019"</f>
        <v>31/01/2019</v>
      </c>
      <c r="B2335" t="str">
        <f>"0.6912"</f>
        <v>0.6912</v>
      </c>
      <c r="C2335" t="str">
        <f>"0.6916"</f>
        <v>0.6916</v>
      </c>
    </row>
    <row r="2336" spans="1:3" x14ac:dyDescent="0.25">
      <c r="A2336" t="str">
        <f>"01/02/2019"</f>
        <v>01/02/2019</v>
      </c>
      <c r="B2336" t="str">
        <f>"0.6923"</f>
        <v>0.6923</v>
      </c>
      <c r="C2336" t="str">
        <f>"0.6927"</f>
        <v>0.6927</v>
      </c>
    </row>
    <row r="2337" spans="1:3" x14ac:dyDescent="0.25">
      <c r="A2337" t="str">
        <f>"04/02/2019"</f>
        <v>04/02/2019</v>
      </c>
      <c r="B2337" t="str">
        <f>"0.6886"</f>
        <v>0.6886</v>
      </c>
      <c r="C2337" t="str">
        <f>"0.689"</f>
        <v>0.689</v>
      </c>
    </row>
    <row r="2338" spans="1:3" x14ac:dyDescent="0.25">
      <c r="A2338" t="str">
        <f>"05/02/2019"</f>
        <v>05/02/2019</v>
      </c>
      <c r="B2338" t="str">
        <f>"0.6894"</f>
        <v>0.6894</v>
      </c>
      <c r="C2338" t="str">
        <f>"0.6898"</f>
        <v>0.6898</v>
      </c>
    </row>
    <row r="2339" spans="1:3" x14ac:dyDescent="0.25">
      <c r="A2339" t="str">
        <f>"06/02/2019"</f>
        <v>06/02/2019</v>
      </c>
      <c r="B2339" t="str">
        <f>"0.6868"</f>
        <v>0.6868</v>
      </c>
      <c r="C2339" t="str">
        <f>"0.6872"</f>
        <v>0.6872</v>
      </c>
    </row>
    <row r="2340" spans="1:3" x14ac:dyDescent="0.25">
      <c r="A2340" t="str">
        <f>"07/02/2019"</f>
        <v>07/02/2019</v>
      </c>
      <c r="B2340" t="str">
        <f>"0.6753"</f>
        <v>0.6753</v>
      </c>
      <c r="C2340" t="str">
        <f>"0.6757"</f>
        <v>0.6757</v>
      </c>
    </row>
    <row r="2341" spans="1:3" x14ac:dyDescent="0.25">
      <c r="A2341" t="str">
        <f>"08/02/2019"</f>
        <v>08/02/2019</v>
      </c>
      <c r="B2341" t="str">
        <f>"0.6748"</f>
        <v>0.6748</v>
      </c>
      <c r="C2341" t="str">
        <f>"0.6752"</f>
        <v>0.6752</v>
      </c>
    </row>
    <row r="2342" spans="1:3" x14ac:dyDescent="0.25">
      <c r="A2342" t="str">
        <f>"11/02/2019"</f>
        <v>11/02/2019</v>
      </c>
      <c r="B2342" t="str">
        <f>"0.675"</f>
        <v>0.675</v>
      </c>
      <c r="C2342" t="str">
        <f>"0.6754"</f>
        <v>0.6754</v>
      </c>
    </row>
    <row r="2343" spans="1:3" x14ac:dyDescent="0.25">
      <c r="A2343" t="str">
        <f>"12/02/2019"</f>
        <v>12/02/2019</v>
      </c>
      <c r="B2343" t="str">
        <f>"0.6725"</f>
        <v>0.6725</v>
      </c>
      <c r="C2343" t="str">
        <f>"0.6729"</f>
        <v>0.6729</v>
      </c>
    </row>
    <row r="2344" spans="1:3" x14ac:dyDescent="0.25">
      <c r="A2344" t="str">
        <f>"13/02/2019"</f>
        <v>13/02/2019</v>
      </c>
      <c r="B2344" t="str">
        <f>"0.6814"</f>
        <v>0.6814</v>
      </c>
      <c r="C2344" t="str">
        <f>"0.6818"</f>
        <v>0.6818</v>
      </c>
    </row>
    <row r="2345" spans="1:3" x14ac:dyDescent="0.25">
      <c r="A2345" t="str">
        <f>"14/02/2019"</f>
        <v>14/02/2019</v>
      </c>
      <c r="B2345" t="str">
        <f>"0.6829"</f>
        <v>0.6829</v>
      </c>
      <c r="C2345" t="str">
        <f>"0.6833"</f>
        <v>0.6833</v>
      </c>
    </row>
    <row r="2346" spans="1:3" x14ac:dyDescent="0.25">
      <c r="A2346" t="str">
        <f>"15/02/2019"</f>
        <v>15/02/2019</v>
      </c>
      <c r="B2346" t="str">
        <f>"0.6853"</f>
        <v>0.6853</v>
      </c>
      <c r="C2346" t="str">
        <f>"0.6857"</f>
        <v>0.6857</v>
      </c>
    </row>
    <row r="2347" spans="1:3" x14ac:dyDescent="0.25">
      <c r="A2347" t="str">
        <f>"18/02/2019"</f>
        <v>18/02/2019</v>
      </c>
      <c r="B2347" t="str">
        <f>"0.6884"</f>
        <v>0.6884</v>
      </c>
      <c r="C2347" t="str">
        <f>"0.6888"</f>
        <v>0.6888</v>
      </c>
    </row>
    <row r="2348" spans="1:3" x14ac:dyDescent="0.25">
      <c r="A2348" t="str">
        <f>"20/02/2019"</f>
        <v>20/02/2019</v>
      </c>
      <c r="B2348" t="str">
        <f>"0.686"</f>
        <v>0.686</v>
      </c>
      <c r="C2348" t="str">
        <f>"0.6864"</f>
        <v>0.6864</v>
      </c>
    </row>
    <row r="2349" spans="1:3" x14ac:dyDescent="0.25">
      <c r="A2349" t="str">
        <f>"21/02/2019"</f>
        <v>21/02/2019</v>
      </c>
      <c r="B2349" t="str">
        <f>"0.6848"</f>
        <v>0.6848</v>
      </c>
      <c r="C2349" t="str">
        <f>"0.6852"</f>
        <v>0.6852</v>
      </c>
    </row>
    <row r="2350" spans="1:3" x14ac:dyDescent="0.25">
      <c r="A2350" t="str">
        <f>"22/02/2019"</f>
        <v>22/02/2019</v>
      </c>
      <c r="B2350" t="str">
        <f>"0.6807"</f>
        <v>0.6807</v>
      </c>
      <c r="C2350" t="str">
        <f>"0.681"</f>
        <v>0.681</v>
      </c>
    </row>
    <row r="2351" spans="1:3" x14ac:dyDescent="0.25">
      <c r="A2351" t="str">
        <f>"25/02/2019"</f>
        <v>25/02/2019</v>
      </c>
      <c r="B2351" t="str">
        <f>"0.6899"</f>
        <v>0.6899</v>
      </c>
      <c r="C2351" t="str">
        <f>"0.6902"</f>
        <v>0.6902</v>
      </c>
    </row>
    <row r="2352" spans="1:3" x14ac:dyDescent="0.25">
      <c r="A2352" t="str">
        <f>"26/02/2019"</f>
        <v>26/02/2019</v>
      </c>
      <c r="B2352" t="str">
        <f>"0.6878"</f>
        <v>0.6878</v>
      </c>
      <c r="C2352" t="str">
        <f>"0.6881"</f>
        <v>0.6881</v>
      </c>
    </row>
    <row r="2353" spans="1:3" x14ac:dyDescent="0.25">
      <c r="A2353" t="str">
        <f>"27/02/2019"</f>
        <v>27/02/2019</v>
      </c>
      <c r="B2353" t="str">
        <f>"0.6864"</f>
        <v>0.6864</v>
      </c>
      <c r="C2353" t="str">
        <f>"0.6868"</f>
        <v>0.6868</v>
      </c>
    </row>
    <row r="2354" spans="1:3" x14ac:dyDescent="0.25">
      <c r="A2354" t="str">
        <f>"28/02/2019"</f>
        <v>28/02/2019</v>
      </c>
      <c r="B2354" t="str">
        <f>"0.6839"</f>
        <v>0.6839</v>
      </c>
      <c r="C2354" t="str">
        <f>"0.6843"</f>
        <v>0.6843</v>
      </c>
    </row>
    <row r="2355" spans="1:3" x14ac:dyDescent="0.25">
      <c r="A2355" t="str">
        <f>"01/03/2019"</f>
        <v>01/03/2019</v>
      </c>
      <c r="B2355" t="str">
        <f>"0.683"</f>
        <v>0.683</v>
      </c>
      <c r="C2355" t="str">
        <f>"0.6834"</f>
        <v>0.6834</v>
      </c>
    </row>
    <row r="2356" spans="1:3" x14ac:dyDescent="0.25">
      <c r="A2356" t="str">
        <f>"05/03/2019"</f>
        <v>05/03/2019</v>
      </c>
      <c r="B2356" t="str">
        <f>"0.6795"</f>
        <v>0.6795</v>
      </c>
      <c r="C2356" t="str">
        <f>"0.6799"</f>
        <v>0.6799</v>
      </c>
    </row>
    <row r="2357" spans="1:3" x14ac:dyDescent="0.25">
      <c r="A2357" t="str">
        <f>"06/03/2019"</f>
        <v>06/03/2019</v>
      </c>
      <c r="B2357" t="str">
        <f>"0.6764"</f>
        <v>0.6764</v>
      </c>
      <c r="C2357" t="str">
        <f>"0.6768"</f>
        <v>0.6768</v>
      </c>
    </row>
    <row r="2358" spans="1:3" x14ac:dyDescent="0.25">
      <c r="A2358" t="str">
        <f>"07/03/2019"</f>
        <v>07/03/2019</v>
      </c>
      <c r="B2358" t="str">
        <f>"0.6784"</f>
        <v>0.6784</v>
      </c>
      <c r="C2358" t="str">
        <f>"0.6788"</f>
        <v>0.6788</v>
      </c>
    </row>
    <row r="2359" spans="1:3" x14ac:dyDescent="0.25">
      <c r="A2359" t="str">
        <f>"08/03/2019"</f>
        <v>08/03/2019</v>
      </c>
      <c r="B2359" t="str">
        <f>"0.6788"</f>
        <v>0.6788</v>
      </c>
      <c r="C2359" t="str">
        <f>"0.6792"</f>
        <v>0.6792</v>
      </c>
    </row>
    <row r="2360" spans="1:3" x14ac:dyDescent="0.25">
      <c r="A2360" t="str">
        <f>"11/03/2019"</f>
        <v>11/03/2019</v>
      </c>
      <c r="B2360" t="str">
        <f>"0.6808"</f>
        <v>0.6808</v>
      </c>
      <c r="C2360" t="str">
        <f>"0.6812"</f>
        <v>0.6812</v>
      </c>
    </row>
    <row r="2361" spans="1:3" x14ac:dyDescent="0.25">
      <c r="A2361" t="str">
        <f>"12/03/2019"</f>
        <v>12/03/2019</v>
      </c>
      <c r="B2361" t="str">
        <f>"0.6838"</f>
        <v>0.6838</v>
      </c>
      <c r="C2361" t="str">
        <f>"0.6842"</f>
        <v>0.6842</v>
      </c>
    </row>
    <row r="2362" spans="1:3" x14ac:dyDescent="0.25">
      <c r="A2362" t="str">
        <f>"13/03/2019"</f>
        <v>13/03/2019</v>
      </c>
      <c r="B2362" t="str">
        <f>"0.6841"</f>
        <v>0.6841</v>
      </c>
      <c r="C2362" t="str">
        <f>"0.6844"</f>
        <v>0.6844</v>
      </c>
    </row>
    <row r="2363" spans="1:3" x14ac:dyDescent="0.25">
      <c r="A2363" t="str">
        <f>"14/03/2019"</f>
        <v>14/03/2019</v>
      </c>
      <c r="B2363" t="str">
        <f>"0.6817"</f>
        <v>0.6817</v>
      </c>
      <c r="C2363" t="str">
        <f>"0.6821"</f>
        <v>0.6821</v>
      </c>
    </row>
    <row r="2364" spans="1:3" x14ac:dyDescent="0.25">
      <c r="A2364" t="str">
        <f>"18/03/2019"</f>
        <v>18/03/2019</v>
      </c>
      <c r="B2364" t="str">
        <f>"0.6869"</f>
        <v>0.6869</v>
      </c>
      <c r="C2364" t="str">
        <f>"0.6873"</f>
        <v>0.6873</v>
      </c>
    </row>
    <row r="2365" spans="1:3" x14ac:dyDescent="0.25">
      <c r="A2365" t="str">
        <f>"19/03/2019"</f>
        <v>19/03/2019</v>
      </c>
      <c r="B2365" t="str">
        <f>"0.686"</f>
        <v>0.686</v>
      </c>
      <c r="C2365" t="str">
        <f>"0.6863"</f>
        <v>0.6863</v>
      </c>
    </row>
    <row r="2366" spans="1:3" x14ac:dyDescent="0.25">
      <c r="A2366" t="str">
        <f>"20/03/2019"</f>
        <v>20/03/2019</v>
      </c>
      <c r="B2366" t="str">
        <f>"0.6846"</f>
        <v>0.6846</v>
      </c>
      <c r="C2366" t="str">
        <f>"0.6849"</f>
        <v>0.6849</v>
      </c>
    </row>
    <row r="2367" spans="1:3" x14ac:dyDescent="0.25">
      <c r="A2367" t="str">
        <f>"22/03/2019"</f>
        <v>22/03/2019</v>
      </c>
      <c r="B2367" t="str">
        <f>"0.6871"</f>
        <v>0.6871</v>
      </c>
      <c r="C2367" t="str">
        <f>"0.6874"</f>
        <v>0.6874</v>
      </c>
    </row>
    <row r="2368" spans="1:3" x14ac:dyDescent="0.25">
      <c r="A2368" t="str">
        <f>"25/03/2019"</f>
        <v>25/03/2019</v>
      </c>
      <c r="B2368" t="str">
        <f>"0.6879"</f>
        <v>0.6879</v>
      </c>
      <c r="C2368" t="str">
        <f>"0.6882"</f>
        <v>0.6882</v>
      </c>
    </row>
    <row r="2369" spans="1:3" x14ac:dyDescent="0.25">
      <c r="A2369" t="str">
        <f>"26/03/2019"</f>
        <v>26/03/2019</v>
      </c>
      <c r="B2369" t="str">
        <f>"0.6902"</f>
        <v>0.6902</v>
      </c>
      <c r="C2369" t="str">
        <f>"0.6905"</f>
        <v>0.6905</v>
      </c>
    </row>
    <row r="2370" spans="1:3" x14ac:dyDescent="0.25">
      <c r="A2370" t="str">
        <f>"27/03/2019"</f>
        <v>27/03/2019</v>
      </c>
      <c r="B2370" t="str">
        <f>"0.6807"</f>
        <v>0.6807</v>
      </c>
      <c r="C2370" t="str">
        <f>"0.681"</f>
        <v>0.681</v>
      </c>
    </row>
    <row r="2371" spans="1:3" x14ac:dyDescent="0.25">
      <c r="A2371" t="str">
        <f>"28/03/2019"</f>
        <v>28/03/2019</v>
      </c>
      <c r="B2371" t="str">
        <f>"0.6804"</f>
        <v>0.6804</v>
      </c>
      <c r="C2371" t="str">
        <f>"0.6808"</f>
        <v>0.6808</v>
      </c>
    </row>
    <row r="2372" spans="1:3" x14ac:dyDescent="0.25">
      <c r="A2372" t="str">
        <f>"29/03/2019"</f>
        <v>29/03/2019</v>
      </c>
      <c r="B2372" t="str">
        <f>"0.6797"</f>
        <v>0.6797</v>
      </c>
      <c r="C2372" t="str">
        <f>"0.6801"</f>
        <v>0.6801</v>
      </c>
    </row>
    <row r="2373" spans="1:3" x14ac:dyDescent="0.25">
      <c r="A2373" t="str">
        <f>"02/04/2019"</f>
        <v>02/04/2019</v>
      </c>
      <c r="B2373" t="str">
        <f>"0.6773"</f>
        <v>0.6773</v>
      </c>
      <c r="C2373" t="str">
        <f>"0.6776"</f>
        <v>0.6776</v>
      </c>
    </row>
    <row r="2374" spans="1:3" x14ac:dyDescent="0.25">
      <c r="A2374" t="str">
        <f>"03/04/2019"</f>
        <v>03/04/2019</v>
      </c>
      <c r="B2374" t="str">
        <f>"0.6793"</f>
        <v>0.6793</v>
      </c>
      <c r="C2374" t="str">
        <f>"0.6796"</f>
        <v>0.6796</v>
      </c>
    </row>
    <row r="2375" spans="1:3" x14ac:dyDescent="0.25">
      <c r="A2375" t="str">
        <f>"04/04/2019"</f>
        <v>04/04/2019</v>
      </c>
      <c r="B2375" t="str">
        <f>"0.6767"</f>
        <v>0.6767</v>
      </c>
      <c r="C2375" t="str">
        <f>"0.6771"</f>
        <v>0.6771</v>
      </c>
    </row>
    <row r="2376" spans="1:3" x14ac:dyDescent="0.25">
      <c r="A2376" t="str">
        <f>"05/04/2019"</f>
        <v>05/04/2019</v>
      </c>
      <c r="B2376" t="str">
        <f>"0.674"</f>
        <v>0.674</v>
      </c>
      <c r="C2376" t="str">
        <f>"0.6744"</f>
        <v>0.6744</v>
      </c>
    </row>
    <row r="2377" spans="1:3" x14ac:dyDescent="0.25">
      <c r="A2377" t="str">
        <f>"08/04/2019"</f>
        <v>08/04/2019</v>
      </c>
      <c r="B2377" t="str">
        <f>"0.6737"</f>
        <v>0.6737</v>
      </c>
      <c r="C2377" t="str">
        <f>"0.6741"</f>
        <v>0.6741</v>
      </c>
    </row>
    <row r="2378" spans="1:3" x14ac:dyDescent="0.25">
      <c r="A2378" t="str">
        <f>"09/04/2019"</f>
        <v>09/04/2019</v>
      </c>
      <c r="B2378" t="str">
        <f>"0.6742"</f>
        <v>0.6742</v>
      </c>
      <c r="C2378" t="str">
        <f>"0.6746"</f>
        <v>0.6746</v>
      </c>
    </row>
    <row r="2379" spans="1:3" x14ac:dyDescent="0.25">
      <c r="A2379" t="str">
        <f>"10/04/2019"</f>
        <v>10/04/2019</v>
      </c>
      <c r="B2379" t="str">
        <f>"0.6755"</f>
        <v>0.6755</v>
      </c>
      <c r="C2379" t="str">
        <f>"0.6758"</f>
        <v>0.6758</v>
      </c>
    </row>
    <row r="2380" spans="1:3" x14ac:dyDescent="0.25">
      <c r="A2380" t="str">
        <f>"11/04/2019"</f>
        <v>11/04/2019</v>
      </c>
      <c r="B2380" t="str">
        <f>"0.675"</f>
        <v>0.675</v>
      </c>
      <c r="C2380" t="str">
        <f>"0.6753"</f>
        <v>0.6753</v>
      </c>
    </row>
    <row r="2381" spans="1:3" x14ac:dyDescent="0.25">
      <c r="A2381" t="str">
        <f>"12/04/2019"</f>
        <v>12/04/2019</v>
      </c>
      <c r="B2381" t="str">
        <f>"0.6755"</f>
        <v>0.6755</v>
      </c>
      <c r="C2381" t="str">
        <f>"0.6758"</f>
        <v>0.6758</v>
      </c>
    </row>
    <row r="2382" spans="1:3" x14ac:dyDescent="0.25">
      <c r="A2382" t="str">
        <f>"15/04/2019"</f>
        <v>15/04/2019</v>
      </c>
      <c r="B2382" t="str">
        <f>"0.6763"</f>
        <v>0.6763</v>
      </c>
      <c r="C2382" t="str">
        <f>"0.6766"</f>
        <v>0.6766</v>
      </c>
    </row>
    <row r="2383" spans="1:3" x14ac:dyDescent="0.25">
      <c r="A2383" t="str">
        <f>"16/04/2019"</f>
        <v>16/04/2019</v>
      </c>
      <c r="B2383" t="str">
        <f>"0.6754"</f>
        <v>0.6754</v>
      </c>
      <c r="C2383" t="str">
        <f>"0.6758"</f>
        <v>0.6758</v>
      </c>
    </row>
    <row r="2384" spans="1:3" x14ac:dyDescent="0.25">
      <c r="A2384" t="str">
        <f>"18/04/2019"</f>
        <v>18/04/2019</v>
      </c>
      <c r="B2384" t="str">
        <f>"0.6693"</f>
        <v>0.6693</v>
      </c>
      <c r="C2384" t="str">
        <f>"0.6697"</f>
        <v>0.6697</v>
      </c>
    </row>
    <row r="2385" spans="1:3" x14ac:dyDescent="0.25">
      <c r="A2385" t="str">
        <f>"22/04/2019"</f>
        <v>22/04/2019</v>
      </c>
      <c r="B2385" t="str">
        <f>"0.6675"</f>
        <v>0.6675</v>
      </c>
      <c r="C2385" t="str">
        <f>"0.6679"</f>
        <v>0.6679</v>
      </c>
    </row>
    <row r="2386" spans="1:3" x14ac:dyDescent="0.25">
      <c r="A2386" t="str">
        <f>"23/04/2019"</f>
        <v>23/04/2019</v>
      </c>
      <c r="B2386" t="str">
        <f>"0.6659"</f>
        <v>0.6659</v>
      </c>
      <c r="C2386" t="str">
        <f>"0.6663"</f>
        <v>0.6663</v>
      </c>
    </row>
    <row r="2387" spans="1:3" x14ac:dyDescent="0.25">
      <c r="A2387" t="str">
        <f>"24/04/2019"</f>
        <v>24/04/2019</v>
      </c>
      <c r="B2387" t="str">
        <f>"0.6617"</f>
        <v>0.6617</v>
      </c>
      <c r="C2387" t="str">
        <f>"0.6621"</f>
        <v>0.6621</v>
      </c>
    </row>
    <row r="2388" spans="1:3" x14ac:dyDescent="0.25">
      <c r="A2388" t="str">
        <f>"25/04/2019"</f>
        <v>25/04/2019</v>
      </c>
      <c r="B2388" t="str">
        <f>"0.6591"</f>
        <v>0.6591</v>
      </c>
      <c r="C2388" t="str">
        <f>"0.6595"</f>
        <v>0.6595</v>
      </c>
    </row>
    <row r="2389" spans="1:3" x14ac:dyDescent="0.25">
      <c r="A2389" t="str">
        <f>"26/04/2019"</f>
        <v>26/04/2019</v>
      </c>
      <c r="B2389" t="str">
        <f>"0.6651"</f>
        <v>0.6651</v>
      </c>
      <c r="C2389" t="str">
        <f>"0.6654"</f>
        <v>0.6654</v>
      </c>
    </row>
    <row r="2390" spans="1:3" x14ac:dyDescent="0.25">
      <c r="A2390" t="str">
        <f>"30/04/2019"</f>
        <v>30/04/2019</v>
      </c>
      <c r="B2390" t="str">
        <f>"0.6676"</f>
        <v>0.6676</v>
      </c>
      <c r="C2390" t="str">
        <f>"0.668"</f>
        <v>0.668</v>
      </c>
    </row>
    <row r="2391" spans="1:3" x14ac:dyDescent="0.25">
      <c r="A2391" t="str">
        <f>"02/05/2019"</f>
        <v>02/05/2019</v>
      </c>
      <c r="B2391" t="str">
        <f>"0.663"</f>
        <v>0.663</v>
      </c>
      <c r="C2391" t="str">
        <f>"0.6634"</f>
        <v>0.6634</v>
      </c>
    </row>
    <row r="2392" spans="1:3" x14ac:dyDescent="0.25">
      <c r="A2392" t="str">
        <f>"03/05/2019"</f>
        <v>03/05/2019</v>
      </c>
      <c r="B2392" t="str">
        <f>"0.6615"</f>
        <v>0.6615</v>
      </c>
      <c r="C2392" t="str">
        <f>"0.6619"</f>
        <v>0.6619</v>
      </c>
    </row>
    <row r="2393" spans="1:3" x14ac:dyDescent="0.25">
      <c r="A2393" t="str">
        <f>"06/05/2019"</f>
        <v>06/05/2019</v>
      </c>
      <c r="B2393" t="str">
        <f>"0.6613"</f>
        <v>0.6613</v>
      </c>
      <c r="C2393" t="str">
        <f>"0.6617"</f>
        <v>0.6617</v>
      </c>
    </row>
    <row r="2394" spans="1:3" x14ac:dyDescent="0.25">
      <c r="A2394" t="str">
        <f>"07/05/2019"</f>
        <v>07/05/2019</v>
      </c>
      <c r="B2394" t="str">
        <f>"0.6594"</f>
        <v>0.6594</v>
      </c>
      <c r="C2394" t="str">
        <f>"0.6598"</f>
        <v>0.6598</v>
      </c>
    </row>
    <row r="2395" spans="1:3" x14ac:dyDescent="0.25">
      <c r="A2395" t="str">
        <f>"08/05/2019"</f>
        <v>08/05/2019</v>
      </c>
      <c r="B2395" t="str">
        <f>"0.6588"</f>
        <v>0.6588</v>
      </c>
      <c r="C2395" t="str">
        <f>"0.6592"</f>
        <v>0.6592</v>
      </c>
    </row>
    <row r="2396" spans="1:3" x14ac:dyDescent="0.25">
      <c r="A2396" t="str">
        <f>"09/05/2019"</f>
        <v>09/05/2019</v>
      </c>
      <c r="B2396" t="str">
        <f>"0.6572"</f>
        <v>0.6572</v>
      </c>
      <c r="C2396" t="str">
        <f>"0.6577"</f>
        <v>0.6577</v>
      </c>
    </row>
    <row r="2397" spans="1:3" x14ac:dyDescent="0.25">
      <c r="A2397" t="str">
        <f>"10/05/2019"</f>
        <v>10/05/2019</v>
      </c>
      <c r="B2397" t="str">
        <f>"0.6597"</f>
        <v>0.6597</v>
      </c>
      <c r="C2397" t="str">
        <f>"0.6602"</f>
        <v>0.6602</v>
      </c>
    </row>
    <row r="2398" spans="1:3" x14ac:dyDescent="0.25">
      <c r="A2398" t="str">
        <f>"13/05/2019"</f>
        <v>13/05/2019</v>
      </c>
      <c r="B2398" t="str">
        <f>"0.6582"</f>
        <v>0.6582</v>
      </c>
      <c r="C2398" t="str">
        <f>"0.6587"</f>
        <v>0.6587</v>
      </c>
    </row>
    <row r="2399" spans="1:3" x14ac:dyDescent="0.25">
      <c r="A2399" t="str">
        <f>"14/05/2019"</f>
        <v>14/05/2019</v>
      </c>
      <c r="B2399" t="str">
        <f>"0.6579"</f>
        <v>0.6579</v>
      </c>
      <c r="C2399" t="str">
        <f>"0.6583"</f>
        <v>0.6583</v>
      </c>
    </row>
    <row r="2400" spans="1:3" x14ac:dyDescent="0.25">
      <c r="A2400" t="str">
        <f>"15/05/2019"</f>
        <v>15/05/2019</v>
      </c>
      <c r="B2400" t="str">
        <f>"0.6555"</f>
        <v>0.6555</v>
      </c>
      <c r="C2400" t="str">
        <f>"0.6559"</f>
        <v>0.6559</v>
      </c>
    </row>
    <row r="2401" spans="1:3" x14ac:dyDescent="0.25">
      <c r="A2401" t="str">
        <f>"16/05/2019"</f>
        <v>16/05/2019</v>
      </c>
      <c r="B2401" t="str">
        <f>"0.6573"</f>
        <v>0.6573</v>
      </c>
      <c r="C2401" t="str">
        <f>"0.6577"</f>
        <v>0.6577</v>
      </c>
    </row>
    <row r="2402" spans="1:3" x14ac:dyDescent="0.25">
      <c r="A2402" t="str">
        <f>"17/05/2019"</f>
        <v>17/05/2019</v>
      </c>
      <c r="B2402" t="str">
        <f>"0.6529"</f>
        <v>0.6529</v>
      </c>
      <c r="C2402" t="str">
        <f>"0.6533"</f>
        <v>0.6533</v>
      </c>
    </row>
    <row r="2403" spans="1:3" x14ac:dyDescent="0.25">
      <c r="A2403" t="str">
        <f>"20/05/2019"</f>
        <v>20/05/2019</v>
      </c>
      <c r="B2403" t="str">
        <f>"0.6538"</f>
        <v>0.6538</v>
      </c>
      <c r="C2403" t="str">
        <f>"0.6543"</f>
        <v>0.6543</v>
      </c>
    </row>
    <row r="2404" spans="1:3" x14ac:dyDescent="0.25">
      <c r="A2404" t="str">
        <f>"21/05/2019"</f>
        <v>21/05/2019</v>
      </c>
      <c r="B2404" t="str">
        <f>"0.6503"</f>
        <v>0.6503</v>
      </c>
      <c r="C2404" t="str">
        <f>"0.6508"</f>
        <v>0.6508</v>
      </c>
    </row>
    <row r="2405" spans="1:3" x14ac:dyDescent="0.25">
      <c r="A2405" t="str">
        <f>"22/05/2019"</f>
        <v>22/05/2019</v>
      </c>
      <c r="B2405" t="str">
        <f>"0.6502"</f>
        <v>0.6502</v>
      </c>
      <c r="C2405" t="str">
        <f>"0.6507"</f>
        <v>0.6507</v>
      </c>
    </row>
    <row r="2406" spans="1:3" x14ac:dyDescent="0.25">
      <c r="A2406" t="str">
        <f>"23/05/2019"</f>
        <v>23/05/2019</v>
      </c>
      <c r="B2406" t="str">
        <f>"0.6491"</f>
        <v>0.6491</v>
      </c>
      <c r="C2406" t="str">
        <f>"0.6495"</f>
        <v>0.6495</v>
      </c>
    </row>
    <row r="2407" spans="1:3" x14ac:dyDescent="0.25">
      <c r="A2407" t="str">
        <f>"24/05/2019"</f>
        <v>24/05/2019</v>
      </c>
      <c r="B2407" t="str">
        <f>"0.654"</f>
        <v>0.654</v>
      </c>
      <c r="C2407" t="str">
        <f>"0.6544"</f>
        <v>0.6544</v>
      </c>
    </row>
    <row r="2408" spans="1:3" x14ac:dyDescent="0.25">
      <c r="A2408" t="str">
        <f>"27/05/2019"</f>
        <v>27/05/2019</v>
      </c>
      <c r="B2408" t="str">
        <f>"0.6546"</f>
        <v>0.6546</v>
      </c>
      <c r="C2408" t="str">
        <f>"0.655"</f>
        <v>0.655</v>
      </c>
    </row>
    <row r="2409" spans="1:3" x14ac:dyDescent="0.25">
      <c r="A2409" t="str">
        <f>"28/05/2019"</f>
        <v>28/05/2019</v>
      </c>
      <c r="B2409" t="str">
        <f>"0.655"</f>
        <v>0.655</v>
      </c>
      <c r="C2409" t="str">
        <f>"0.6554"</f>
        <v>0.6554</v>
      </c>
    </row>
    <row r="2410" spans="1:3" x14ac:dyDescent="0.25">
      <c r="A2410" t="str">
        <f>"29/05/2019"</f>
        <v>29/05/2019</v>
      </c>
      <c r="B2410" t="str">
        <f>"0.652"</f>
        <v>0.652</v>
      </c>
      <c r="C2410" t="str">
        <f>"0.6524"</f>
        <v>0.6524</v>
      </c>
    </row>
    <row r="2411" spans="1:3" x14ac:dyDescent="0.25">
      <c r="A2411" t="str">
        <f>"30/05/2019"</f>
        <v>30/05/2019</v>
      </c>
      <c r="B2411" t="str">
        <f>"0.6515"</f>
        <v>0.6515</v>
      </c>
      <c r="C2411" t="str">
        <f>"0.6519"</f>
        <v>0.6519</v>
      </c>
    </row>
    <row r="2412" spans="1:3" x14ac:dyDescent="0.25">
      <c r="A2412" t="str">
        <f>"31/05/2019"</f>
        <v>31/05/2019</v>
      </c>
      <c r="B2412" t="str">
        <f>"0.651"</f>
        <v>0.651</v>
      </c>
      <c r="C2412" t="str">
        <f>"0.6514"</f>
        <v>0.6514</v>
      </c>
    </row>
    <row r="2413" spans="1:3" x14ac:dyDescent="0.25">
      <c r="A2413" t="str">
        <f>"03/06/2019"</f>
        <v>03/06/2019</v>
      </c>
      <c r="B2413" t="str">
        <f>"0.6565"</f>
        <v>0.6565</v>
      </c>
      <c r="C2413" t="str">
        <f>"0.6569"</f>
        <v>0.6569</v>
      </c>
    </row>
    <row r="2414" spans="1:3" x14ac:dyDescent="0.25">
      <c r="A2414" t="str">
        <f>"04/06/2019"</f>
        <v>04/06/2019</v>
      </c>
      <c r="B2414" t="str">
        <f>"0.6588"</f>
        <v>0.6588</v>
      </c>
      <c r="C2414" t="str">
        <f>"0.6592"</f>
        <v>0.6592</v>
      </c>
    </row>
    <row r="2415" spans="1:3" x14ac:dyDescent="0.25">
      <c r="A2415" t="str">
        <f>"06/06/2019"</f>
        <v>06/06/2019</v>
      </c>
      <c r="B2415" t="str">
        <f>"0.6624"</f>
        <v>0.6624</v>
      </c>
      <c r="C2415" t="str">
        <f>"0.6628"</f>
        <v>0.6628</v>
      </c>
    </row>
    <row r="2416" spans="1:3" x14ac:dyDescent="0.25">
      <c r="A2416" t="str">
        <f>"07/06/2019"</f>
        <v>07/06/2019</v>
      </c>
      <c r="B2416" t="str">
        <f>"0.6625"</f>
        <v>0.6625</v>
      </c>
      <c r="C2416" t="str">
        <f>"0.6629"</f>
        <v>0.6629</v>
      </c>
    </row>
    <row r="2417" spans="1:3" x14ac:dyDescent="0.25">
      <c r="A2417" t="str">
        <f>"10/06/2019"</f>
        <v>10/06/2019</v>
      </c>
      <c r="B2417" t="str">
        <f>"0.6617"</f>
        <v>0.6617</v>
      </c>
      <c r="C2417" t="str">
        <f>"0.6621"</f>
        <v>0.6621</v>
      </c>
    </row>
    <row r="2418" spans="1:3" x14ac:dyDescent="0.25">
      <c r="A2418" t="str">
        <f>"11/06/2019"</f>
        <v>11/06/2019</v>
      </c>
      <c r="B2418" t="str">
        <f>"0.6583"</f>
        <v>0.6583</v>
      </c>
      <c r="C2418" t="str">
        <f>"0.6587"</f>
        <v>0.6587</v>
      </c>
    </row>
    <row r="2419" spans="1:3" x14ac:dyDescent="0.25">
      <c r="A2419" t="str">
        <f>"12/06/2019"</f>
        <v>12/06/2019</v>
      </c>
      <c r="B2419" t="str">
        <f>"0.6577"</f>
        <v>0.6577</v>
      </c>
      <c r="C2419" t="str">
        <f>"0.6581"</f>
        <v>0.6581</v>
      </c>
    </row>
    <row r="2420" spans="1:3" x14ac:dyDescent="0.25">
      <c r="A2420" t="str">
        <f>"13/06/2019"</f>
        <v>13/06/2019</v>
      </c>
      <c r="B2420" t="str">
        <f>"0.6568"</f>
        <v>0.6568</v>
      </c>
      <c r="C2420" t="str">
        <f>"0.6572"</f>
        <v>0.6572</v>
      </c>
    </row>
    <row r="2421" spans="1:3" x14ac:dyDescent="0.25">
      <c r="A2421" t="str">
        <f>"14/06/2019"</f>
        <v>14/06/2019</v>
      </c>
      <c r="B2421" t="str">
        <f>"0.6533"</f>
        <v>0.6533</v>
      </c>
      <c r="C2421" t="str">
        <f>"0.6537"</f>
        <v>0.6537</v>
      </c>
    </row>
    <row r="2422" spans="1:3" x14ac:dyDescent="0.25">
      <c r="A2422" t="str">
        <f>"17/06/2019"</f>
        <v>17/06/2019</v>
      </c>
      <c r="B2422" t="str">
        <f>"0.6509"</f>
        <v>0.6509</v>
      </c>
      <c r="C2422" t="str">
        <f>"0.6513"</f>
        <v>0.6513</v>
      </c>
    </row>
    <row r="2423" spans="1:3" x14ac:dyDescent="0.25">
      <c r="A2423" t="str">
        <f>"18/06/2019"</f>
        <v>18/06/2019</v>
      </c>
      <c r="B2423" t="str">
        <f>"0.6507"</f>
        <v>0.6507</v>
      </c>
      <c r="C2423" t="str">
        <f>"0.6511"</f>
        <v>0.6511</v>
      </c>
    </row>
    <row r="2424" spans="1:3" x14ac:dyDescent="0.25">
      <c r="A2424" t="str">
        <f>"19/06/2019"</f>
        <v>19/06/2019</v>
      </c>
      <c r="B2424" t="str">
        <f>"0.6526"</f>
        <v>0.6526</v>
      </c>
      <c r="C2424" t="str">
        <f>"0.653"</f>
        <v>0.653</v>
      </c>
    </row>
    <row r="2425" spans="1:3" x14ac:dyDescent="0.25">
      <c r="A2425" t="str">
        <f>"20/06/2019"</f>
        <v>20/06/2019</v>
      </c>
      <c r="B2425" t="str">
        <f>"0.6591"</f>
        <v>0.6591</v>
      </c>
      <c r="C2425" t="str">
        <f>"0.6595"</f>
        <v>0.6595</v>
      </c>
    </row>
    <row r="2426" spans="1:3" x14ac:dyDescent="0.25">
      <c r="A2426" t="str">
        <f>"21/06/2019"</f>
        <v>21/06/2019</v>
      </c>
      <c r="B2426" t="str">
        <f>"0.6556"</f>
        <v>0.6556</v>
      </c>
      <c r="C2426" t="str">
        <f>"0.656"</f>
        <v>0.656</v>
      </c>
    </row>
    <row r="2427" spans="1:3" x14ac:dyDescent="0.25">
      <c r="A2427" t="str">
        <f>"24/06/2019"</f>
        <v>24/06/2019</v>
      </c>
      <c r="B2427" t="str">
        <f>"0.6611"</f>
        <v>0.6611</v>
      </c>
      <c r="C2427" t="str">
        <f>"0.6615"</f>
        <v>0.6615</v>
      </c>
    </row>
    <row r="2428" spans="1:3" x14ac:dyDescent="0.25">
      <c r="A2428" t="str">
        <f>"25/06/2019"</f>
        <v>25/06/2019</v>
      </c>
      <c r="B2428" t="str">
        <f>"0.6646"</f>
        <v>0.6646</v>
      </c>
      <c r="C2428" t="str">
        <f>"0.665"</f>
        <v>0.665</v>
      </c>
    </row>
    <row r="2429" spans="1:3" x14ac:dyDescent="0.25">
      <c r="A2429" t="str">
        <f>"26/06/2019"</f>
        <v>26/06/2019</v>
      </c>
      <c r="B2429" t="str">
        <f>"0.6683"</f>
        <v>0.6683</v>
      </c>
      <c r="C2429" t="str">
        <f>"0.6688"</f>
        <v>0.6688</v>
      </c>
    </row>
    <row r="2430" spans="1:3" x14ac:dyDescent="0.25">
      <c r="A2430" t="str">
        <f>"27/06/2019"</f>
        <v>27/06/2019</v>
      </c>
      <c r="B2430" t="str">
        <f>"0.6689"</f>
        <v>0.6689</v>
      </c>
      <c r="C2430" t="str">
        <f>"0.6694"</f>
        <v>0.6694</v>
      </c>
    </row>
    <row r="2431" spans="1:3" x14ac:dyDescent="0.25">
      <c r="A2431" t="str">
        <f>"28/06/2019"</f>
        <v>28/06/2019</v>
      </c>
      <c r="B2431" t="str">
        <f>"0.6707"</f>
        <v>0.6707</v>
      </c>
      <c r="C2431" t="str">
        <f>"0.6712"</f>
        <v>0.6712</v>
      </c>
    </row>
    <row r="2432" spans="1:3" x14ac:dyDescent="0.25">
      <c r="A2432" t="str">
        <f>"01/07/2019"</f>
        <v>01/07/2019</v>
      </c>
      <c r="B2432" t="str">
        <f>"0.6701"</f>
        <v>0.6701</v>
      </c>
      <c r="C2432" t="str">
        <f>"0.6706"</f>
        <v>0.6706</v>
      </c>
    </row>
    <row r="2433" spans="1:3" x14ac:dyDescent="0.25">
      <c r="A2433" t="str">
        <f>"02/07/2019"</f>
        <v>02/07/2019</v>
      </c>
      <c r="B2433" t="str">
        <f>"0.6676"</f>
        <v>0.6676</v>
      </c>
      <c r="C2433" t="str">
        <f>"0.6681"</f>
        <v>0.6681</v>
      </c>
    </row>
    <row r="2434" spans="1:3" x14ac:dyDescent="0.25">
      <c r="A2434" t="str">
        <f>"03/07/2019"</f>
        <v>03/07/2019</v>
      </c>
      <c r="B2434" t="str">
        <f>"0.669"</f>
        <v>0.669</v>
      </c>
      <c r="C2434" t="str">
        <f>"0.6695"</f>
        <v>0.6695</v>
      </c>
    </row>
    <row r="2435" spans="1:3" x14ac:dyDescent="0.25">
      <c r="A2435" t="str">
        <f>"04/07/2019"</f>
        <v>04/07/2019</v>
      </c>
      <c r="B2435" t="str">
        <f>"0.6706"</f>
        <v>0.6706</v>
      </c>
      <c r="C2435" t="str">
        <f>"0.671"</f>
        <v>0.671</v>
      </c>
    </row>
    <row r="2436" spans="1:3" x14ac:dyDescent="0.25">
      <c r="A2436" t="str">
        <f>"05/07/2019"</f>
        <v>05/07/2019</v>
      </c>
      <c r="B2436" t="str">
        <f>"0.6661"</f>
        <v>0.6661</v>
      </c>
      <c r="C2436" t="str">
        <f>"0.6665"</f>
        <v>0.6665</v>
      </c>
    </row>
    <row r="2437" spans="1:3" x14ac:dyDescent="0.25">
      <c r="A2437" t="str">
        <f>"08/07/2019"</f>
        <v>08/07/2019</v>
      </c>
      <c r="B2437" t="str">
        <f>"0.664"</f>
        <v>0.664</v>
      </c>
      <c r="C2437" t="str">
        <f>"0.6645"</f>
        <v>0.6645</v>
      </c>
    </row>
    <row r="2438" spans="1:3" x14ac:dyDescent="0.25">
      <c r="A2438" t="str">
        <f>"09/07/2019"</f>
        <v>09/07/2019</v>
      </c>
      <c r="B2438" t="str">
        <f>"0.6629"</f>
        <v>0.6629</v>
      </c>
      <c r="C2438" t="str">
        <f>"0.6634"</f>
        <v>0.6634</v>
      </c>
    </row>
    <row r="2439" spans="1:3" x14ac:dyDescent="0.25">
      <c r="A2439" t="str">
        <f>"10/07/2019"</f>
        <v>10/07/2019</v>
      </c>
      <c r="B2439" t="str">
        <f>"0.6597"</f>
        <v>0.6597</v>
      </c>
      <c r="C2439" t="str">
        <f>"0.6601"</f>
        <v>0.6601</v>
      </c>
    </row>
    <row r="2440" spans="1:3" x14ac:dyDescent="0.25">
      <c r="A2440" t="str">
        <f>"11/07/2019"</f>
        <v>11/07/2019</v>
      </c>
      <c r="B2440" t="str">
        <f>"0.6685"</f>
        <v>0.6685</v>
      </c>
      <c r="C2440" t="str">
        <f>"0.6689"</f>
        <v>0.6689</v>
      </c>
    </row>
    <row r="2441" spans="1:3" x14ac:dyDescent="0.25">
      <c r="A2441" t="str">
        <f>"12/07/2019"</f>
        <v>12/07/2019</v>
      </c>
      <c r="B2441" t="str">
        <f>"0.6682"</f>
        <v>0.6682</v>
      </c>
      <c r="C2441" t="str">
        <f>"0.6686"</f>
        <v>0.6686</v>
      </c>
    </row>
    <row r="2442" spans="1:3" x14ac:dyDescent="0.25">
      <c r="A2442" t="str">
        <f>"15/07/2019"</f>
        <v>15/07/2019</v>
      </c>
      <c r="B2442" t="str">
        <f>"0.6726"</f>
        <v>0.6726</v>
      </c>
      <c r="C2442" t="str">
        <f>"0.673"</f>
        <v>0.673</v>
      </c>
    </row>
    <row r="2443" spans="1:3" x14ac:dyDescent="0.25">
      <c r="A2443" t="str">
        <f>"16/07/2019"</f>
        <v>16/07/2019</v>
      </c>
      <c r="B2443" t="str">
        <f>"0.6722"</f>
        <v>0.6722</v>
      </c>
      <c r="C2443" t="str">
        <f>"0.6726"</f>
        <v>0.6726</v>
      </c>
    </row>
    <row r="2444" spans="1:3" x14ac:dyDescent="0.25">
      <c r="A2444" t="str">
        <f>"17/07/2019"</f>
        <v>17/07/2019</v>
      </c>
      <c r="B2444" t="str">
        <f>"0.6725"</f>
        <v>0.6725</v>
      </c>
      <c r="C2444" t="str">
        <f>"0.6729"</f>
        <v>0.6729</v>
      </c>
    </row>
    <row r="2445" spans="1:3" x14ac:dyDescent="0.25">
      <c r="A2445" t="str">
        <f>"18/07/2019"</f>
        <v>18/07/2019</v>
      </c>
      <c r="B2445" t="str">
        <f>"0.674"</f>
        <v>0.674</v>
      </c>
      <c r="C2445" t="str">
        <f>"0.6744"</f>
        <v>0.6744</v>
      </c>
    </row>
    <row r="2446" spans="1:3" x14ac:dyDescent="0.25">
      <c r="A2446" t="str">
        <f>"19/07/2019"</f>
        <v>19/07/2019</v>
      </c>
      <c r="B2446" t="str">
        <f>"0.678"</f>
        <v>0.678</v>
      </c>
      <c r="C2446" t="str">
        <f>"0.6784"</f>
        <v>0.6784</v>
      </c>
    </row>
    <row r="2447" spans="1:3" x14ac:dyDescent="0.25">
      <c r="A2447" t="str">
        <f>"22/07/2019"</f>
        <v>22/07/2019</v>
      </c>
      <c r="B2447" t="str">
        <f>"0.6777"</f>
        <v>0.6777</v>
      </c>
      <c r="C2447" t="str">
        <f>"0.6781"</f>
        <v>0.6781</v>
      </c>
    </row>
    <row r="2448" spans="1:3" x14ac:dyDescent="0.25">
      <c r="A2448" t="str">
        <f>"23/07/2019"</f>
        <v>23/07/2019</v>
      </c>
      <c r="B2448" t="str">
        <f>"0.6735"</f>
        <v>0.6735</v>
      </c>
      <c r="C2448" t="str">
        <f>"0.6739"</f>
        <v>0.6739</v>
      </c>
    </row>
    <row r="2449" spans="1:3" x14ac:dyDescent="0.25">
      <c r="A2449" t="str">
        <f>"24/07/2019"</f>
        <v>24/07/2019</v>
      </c>
      <c r="B2449" t="str">
        <f>"0.6696"</f>
        <v>0.6696</v>
      </c>
      <c r="C2449" t="str">
        <f>"0.67"</f>
        <v>0.67</v>
      </c>
    </row>
    <row r="2450" spans="1:3" x14ac:dyDescent="0.25">
      <c r="A2450" t="str">
        <f>"25/07/2019"</f>
        <v>25/07/2019</v>
      </c>
      <c r="B2450" t="str">
        <f>"0.6693"</f>
        <v>0.6693</v>
      </c>
      <c r="C2450" t="str">
        <f>"0.6697"</f>
        <v>0.6697</v>
      </c>
    </row>
    <row r="2451" spans="1:3" x14ac:dyDescent="0.25">
      <c r="A2451" t="str">
        <f>"26/07/2019"</f>
        <v>26/07/2019</v>
      </c>
      <c r="B2451" t="str">
        <f>"0.6643"</f>
        <v>0.6643</v>
      </c>
      <c r="C2451" t="str">
        <f>"0.6647"</f>
        <v>0.6647</v>
      </c>
    </row>
    <row r="2452" spans="1:3" x14ac:dyDescent="0.25">
      <c r="A2452" t="str">
        <f>"29/07/2019"</f>
        <v>29/07/2019</v>
      </c>
      <c r="B2452" t="str">
        <f>"0.6622"</f>
        <v>0.6622</v>
      </c>
      <c r="C2452" t="str">
        <f>"0.6626"</f>
        <v>0.6626</v>
      </c>
    </row>
    <row r="2453" spans="1:3" x14ac:dyDescent="0.25">
      <c r="A2453" t="str">
        <f>"30/07/2019"</f>
        <v>30/07/2019</v>
      </c>
      <c r="B2453" t="str">
        <f>"0.6615"</f>
        <v>0.6615</v>
      </c>
      <c r="C2453" t="str">
        <f>"0.6619"</f>
        <v>0.6619</v>
      </c>
    </row>
    <row r="2454" spans="1:3" x14ac:dyDescent="0.25">
      <c r="A2454" t="str">
        <f>"31/07/2019"</f>
        <v>31/07/2019</v>
      </c>
      <c r="B2454" t="str">
        <f>"0.6607"</f>
        <v>0.6607</v>
      </c>
      <c r="C2454" t="str">
        <f>"0.6611"</f>
        <v>0.6611</v>
      </c>
    </row>
    <row r="2455" spans="1:3" x14ac:dyDescent="0.25">
      <c r="A2455" t="str">
        <f>"01/08/2019"</f>
        <v>01/08/2019</v>
      </c>
      <c r="B2455" t="str">
        <f>"0.6551"</f>
        <v>0.6551</v>
      </c>
      <c r="C2455" t="str">
        <f>"0.6555"</f>
        <v>0.6555</v>
      </c>
    </row>
    <row r="2456" spans="1:3" x14ac:dyDescent="0.25">
      <c r="A2456" t="str">
        <f>"02/08/2019"</f>
        <v>02/08/2019</v>
      </c>
      <c r="B2456" t="str">
        <f>"0.6523"</f>
        <v>0.6523</v>
      </c>
      <c r="C2456" t="str">
        <f>"0.6527"</f>
        <v>0.6527</v>
      </c>
    </row>
    <row r="2457" spans="1:3" x14ac:dyDescent="0.25">
      <c r="A2457" t="str">
        <f>"05/08/2019"</f>
        <v>05/08/2019</v>
      </c>
      <c r="B2457" t="str">
        <f>"0.6518"</f>
        <v>0.6518</v>
      </c>
      <c r="C2457" t="str">
        <f>"0.6523"</f>
        <v>0.6523</v>
      </c>
    </row>
    <row r="2458" spans="1:3" x14ac:dyDescent="0.25">
      <c r="A2458" t="str">
        <f>"06/08/2019"</f>
        <v>06/08/2019</v>
      </c>
      <c r="B2458" t="str">
        <f>"0.655"</f>
        <v>0.655</v>
      </c>
      <c r="C2458" t="str">
        <f>"0.6555"</f>
        <v>0.6555</v>
      </c>
    </row>
    <row r="2459" spans="1:3" x14ac:dyDescent="0.25">
      <c r="A2459" t="str">
        <f>"07/08/2019"</f>
        <v>07/08/2019</v>
      </c>
      <c r="B2459" t="str">
        <f>"0.6398"</f>
        <v>0.6398</v>
      </c>
      <c r="C2459" t="str">
        <f>"0.6404"</f>
        <v>0.6404</v>
      </c>
    </row>
    <row r="2460" spans="1:3" x14ac:dyDescent="0.25">
      <c r="A2460" t="str">
        <f>"08/08/2019"</f>
        <v>08/08/2019</v>
      </c>
      <c r="B2460" t="str">
        <f>"0.645"</f>
        <v>0.645</v>
      </c>
      <c r="C2460" t="str">
        <f>"0.6456"</f>
        <v>0.6456</v>
      </c>
    </row>
    <row r="2461" spans="1:3" x14ac:dyDescent="0.25">
      <c r="A2461" t="str">
        <f>"09/08/2019"</f>
        <v>09/08/2019</v>
      </c>
      <c r="B2461" t="str">
        <f>"0.6489"</f>
        <v>0.6489</v>
      </c>
      <c r="C2461" t="str">
        <f>"0.6495"</f>
        <v>0.6495</v>
      </c>
    </row>
    <row r="2462" spans="1:3" x14ac:dyDescent="0.25">
      <c r="A2462" t="str">
        <f>"13/08/2019"</f>
        <v>13/08/2019</v>
      </c>
      <c r="B2462" t="str">
        <f>"0.6447"</f>
        <v>0.6447</v>
      </c>
      <c r="C2462" t="str">
        <f>"0.6453"</f>
        <v>0.6453</v>
      </c>
    </row>
    <row r="2463" spans="1:3" x14ac:dyDescent="0.25">
      <c r="A2463" t="str">
        <f>"14/08/2019"</f>
        <v>14/08/2019</v>
      </c>
      <c r="B2463" t="str">
        <f>"0.6427"</f>
        <v>0.6427</v>
      </c>
      <c r="C2463" t="str">
        <f>"0.6433"</f>
        <v>0.6433</v>
      </c>
    </row>
    <row r="2464" spans="1:3" x14ac:dyDescent="0.25">
      <c r="A2464" t="str">
        <f>"16/08/2019"</f>
        <v>16/08/2019</v>
      </c>
      <c r="B2464" t="str">
        <f>"0.6438"</f>
        <v>0.6438</v>
      </c>
      <c r="C2464" t="str">
        <f>"0.6444"</f>
        <v>0.6444</v>
      </c>
    </row>
    <row r="2465" spans="1:3" x14ac:dyDescent="0.25">
      <c r="A2465" t="str">
        <f>"19/08/2019"</f>
        <v>19/08/2019</v>
      </c>
      <c r="B2465" t="str">
        <f>"0.6419"</f>
        <v>0.6419</v>
      </c>
      <c r="C2465" t="str">
        <f>"0.6425"</f>
        <v>0.6425</v>
      </c>
    </row>
    <row r="2466" spans="1:3" x14ac:dyDescent="0.25">
      <c r="A2466" t="str">
        <f>"20/08/2019"</f>
        <v>20/08/2019</v>
      </c>
      <c r="B2466" t="str">
        <f>"0.642"</f>
        <v>0.642</v>
      </c>
      <c r="C2466" t="str">
        <f>"0.6426"</f>
        <v>0.6426</v>
      </c>
    </row>
    <row r="2467" spans="1:3" x14ac:dyDescent="0.25">
      <c r="A2467" t="str">
        <f>"21/08/2019"</f>
        <v>21/08/2019</v>
      </c>
      <c r="B2467" t="str">
        <f>"0.6409"</f>
        <v>0.6409</v>
      </c>
      <c r="C2467" t="str">
        <f>"0.6415"</f>
        <v>0.6415</v>
      </c>
    </row>
    <row r="2468" spans="1:3" x14ac:dyDescent="0.25">
      <c r="A2468" t="str">
        <f>"22/08/2019"</f>
        <v>22/08/2019</v>
      </c>
      <c r="B2468" t="str">
        <f>"0.6371"</f>
        <v>0.6371</v>
      </c>
      <c r="C2468" t="str">
        <f>"0.6377"</f>
        <v>0.6377</v>
      </c>
    </row>
    <row r="2469" spans="1:3" x14ac:dyDescent="0.25">
      <c r="A2469" t="str">
        <f>"23/08/2019"</f>
        <v>23/08/2019</v>
      </c>
      <c r="B2469" t="str">
        <f>"0.6375"</f>
        <v>0.6375</v>
      </c>
      <c r="C2469" t="str">
        <f>"0.6381"</f>
        <v>0.6381</v>
      </c>
    </row>
    <row r="2470" spans="1:3" x14ac:dyDescent="0.25">
      <c r="A2470" t="str">
        <f>"26/08/2019"</f>
        <v>26/08/2019</v>
      </c>
      <c r="B2470" t="str">
        <f>"0.6376"</f>
        <v>0.6376</v>
      </c>
      <c r="C2470" t="str">
        <f>"0.6382"</f>
        <v>0.6382</v>
      </c>
    </row>
    <row r="2471" spans="1:3" x14ac:dyDescent="0.25">
      <c r="A2471" t="str">
        <f>"27/08/2019"</f>
        <v>27/08/2019</v>
      </c>
      <c r="B2471" t="str">
        <f>"0.6368"</f>
        <v>0.6368</v>
      </c>
      <c r="C2471" t="str">
        <f>"0.6374"</f>
        <v>0.6374</v>
      </c>
    </row>
    <row r="2472" spans="1:3" x14ac:dyDescent="0.25">
      <c r="A2472" t="str">
        <f>"28/08/2019"</f>
        <v>28/08/2019</v>
      </c>
      <c r="B2472" t="str">
        <f>"0.6351"</f>
        <v>0.6351</v>
      </c>
      <c r="C2472" t="str">
        <f>"0.6357"</f>
        <v>0.6357</v>
      </c>
    </row>
    <row r="2473" spans="1:3" x14ac:dyDescent="0.25">
      <c r="A2473" t="str">
        <f>"29/08/2019"</f>
        <v>29/08/2019</v>
      </c>
      <c r="B2473" t="str">
        <f>"0.6344"</f>
        <v>0.6344</v>
      </c>
      <c r="C2473" t="str">
        <f>"0.6349"</f>
        <v>0.6349</v>
      </c>
    </row>
    <row r="2474" spans="1:3" x14ac:dyDescent="0.25">
      <c r="A2474" t="str">
        <f>"30/08/2019"</f>
        <v>30/08/2019</v>
      </c>
      <c r="B2474" t="str">
        <f>"0.6307"</f>
        <v>0.6307</v>
      </c>
      <c r="C2474" t="str">
        <f>"0.6312"</f>
        <v>0.6312</v>
      </c>
    </row>
    <row r="2475" spans="1:3" x14ac:dyDescent="0.25">
      <c r="A2475" t="str">
        <f>"03/09/2019"</f>
        <v>03/09/2019</v>
      </c>
      <c r="B2475" t="str">
        <f>"0.6292"</f>
        <v>0.6292</v>
      </c>
      <c r="C2475" t="str">
        <f>"0.6297"</f>
        <v>0.6297</v>
      </c>
    </row>
    <row r="2476" spans="1:3" x14ac:dyDescent="0.25">
      <c r="A2476" t="str">
        <f>"04/09/2019"</f>
        <v>04/09/2019</v>
      </c>
      <c r="B2476" t="str">
        <f>"0.635"</f>
        <v>0.635</v>
      </c>
      <c r="C2476" t="str">
        <f>"0.6356"</f>
        <v>0.6356</v>
      </c>
    </row>
    <row r="2477" spans="1:3" x14ac:dyDescent="0.25">
      <c r="A2477" t="str">
        <f>"05/09/2019"</f>
        <v>05/09/2019</v>
      </c>
      <c r="B2477" t="str">
        <f>"0.6395"</f>
        <v>0.6395</v>
      </c>
      <c r="C2477" t="str">
        <f>"0.64"</f>
        <v>0.64</v>
      </c>
    </row>
    <row r="2478" spans="1:3" x14ac:dyDescent="0.25">
      <c r="A2478" t="str">
        <f>"06/09/2019"</f>
        <v>06/09/2019</v>
      </c>
      <c r="B2478" t="str">
        <f>"0.6385"</f>
        <v>0.6385</v>
      </c>
      <c r="C2478" t="str">
        <f>"0.639"</f>
        <v>0.639</v>
      </c>
    </row>
    <row r="2479" spans="1:3" x14ac:dyDescent="0.25">
      <c r="A2479" t="str">
        <f>"09/09/2019"</f>
        <v>09/09/2019</v>
      </c>
      <c r="B2479" t="str">
        <f>"0.6441"</f>
        <v>0.6441</v>
      </c>
      <c r="C2479" t="str">
        <f>"0.6446"</f>
        <v>0.6446</v>
      </c>
    </row>
    <row r="2480" spans="1:3" x14ac:dyDescent="0.25">
      <c r="A2480" t="str">
        <f>"11/09/2019"</f>
        <v>11/09/2019</v>
      </c>
      <c r="B2480" t="str">
        <f>"0.6416"</f>
        <v>0.6416</v>
      </c>
      <c r="C2480" t="str">
        <f>"0.6421"</f>
        <v>0.6421</v>
      </c>
    </row>
    <row r="2481" spans="1:3" x14ac:dyDescent="0.25">
      <c r="A2481" t="str">
        <f>"12/09/2019"</f>
        <v>12/09/2019</v>
      </c>
      <c r="B2481" t="str">
        <f>"0.6435"</f>
        <v>0.6435</v>
      </c>
      <c r="C2481" t="str">
        <f>"0.644"</f>
        <v>0.644</v>
      </c>
    </row>
    <row r="2482" spans="1:3" x14ac:dyDescent="0.25">
      <c r="A2482" t="str">
        <f>"16/09/2019"</f>
        <v>16/09/2019</v>
      </c>
      <c r="B2482" t="str">
        <f>"0.6389"</f>
        <v>0.6389</v>
      </c>
      <c r="C2482" t="str">
        <f>"0.6394"</f>
        <v>0.6394</v>
      </c>
    </row>
    <row r="2483" spans="1:3" x14ac:dyDescent="0.25">
      <c r="A2483" t="str">
        <f>"17/09/2019"</f>
        <v>17/09/2019</v>
      </c>
      <c r="B2483" t="str">
        <f>"0.6328"</f>
        <v>0.6328</v>
      </c>
      <c r="C2483" t="str">
        <f>"0.6333"</f>
        <v>0.6333</v>
      </c>
    </row>
    <row r="2484" spans="1:3" x14ac:dyDescent="0.25">
      <c r="A2484" t="str">
        <f>"18/09/2019"</f>
        <v>18/09/2019</v>
      </c>
      <c r="B2484" t="str">
        <f>"0.6337"</f>
        <v>0.6337</v>
      </c>
      <c r="C2484" t="str">
        <f>"0.6342"</f>
        <v>0.6342</v>
      </c>
    </row>
    <row r="2485" spans="1:3" x14ac:dyDescent="0.25">
      <c r="A2485" t="str">
        <f>"19/09/2019"</f>
        <v>19/09/2019</v>
      </c>
      <c r="B2485" t="str">
        <f>"0.631"</f>
        <v>0.631</v>
      </c>
      <c r="C2485" t="str">
        <f>"0.6314"</f>
        <v>0.6314</v>
      </c>
    </row>
    <row r="2486" spans="1:3" x14ac:dyDescent="0.25">
      <c r="A2486" t="str">
        <f>"20/09/2019"</f>
        <v>20/09/2019</v>
      </c>
      <c r="B2486" t="str">
        <f>"0.6295"</f>
        <v>0.6295</v>
      </c>
      <c r="C2486" t="str">
        <f>"0.63"</f>
        <v>0.63</v>
      </c>
    </row>
    <row r="2487" spans="1:3" x14ac:dyDescent="0.25">
      <c r="A2487" t="str">
        <f>"23/09/2019"</f>
        <v>23/09/2019</v>
      </c>
      <c r="B2487" t="str">
        <f>"0.627"</f>
        <v>0.627</v>
      </c>
      <c r="C2487" t="str">
        <f>"0.6274"</f>
        <v>0.6274</v>
      </c>
    </row>
    <row r="2488" spans="1:3" x14ac:dyDescent="0.25">
      <c r="A2488" t="str">
        <f>"24/09/2019"</f>
        <v>24/09/2019</v>
      </c>
      <c r="B2488" t="str">
        <f>"0.6299"</f>
        <v>0.6299</v>
      </c>
      <c r="C2488" t="str">
        <f>"0.6304"</f>
        <v>0.6304</v>
      </c>
    </row>
    <row r="2489" spans="1:3" x14ac:dyDescent="0.25">
      <c r="A2489" t="str">
        <f>"25/09/2019"</f>
        <v>25/09/2019</v>
      </c>
      <c r="B2489" t="str">
        <f>"0.6307"</f>
        <v>0.6307</v>
      </c>
      <c r="C2489" t="str">
        <f>"0.6311"</f>
        <v>0.6311</v>
      </c>
    </row>
    <row r="2490" spans="1:3" x14ac:dyDescent="0.25">
      <c r="A2490" t="str">
        <f>"26/09/2019"</f>
        <v>26/09/2019</v>
      </c>
      <c r="B2490" t="str">
        <f>"0.6307"</f>
        <v>0.6307</v>
      </c>
      <c r="C2490" t="str">
        <f>"0.6311"</f>
        <v>0.6311</v>
      </c>
    </row>
    <row r="2491" spans="1:3" x14ac:dyDescent="0.25">
      <c r="A2491" t="str">
        <f>"27/09/2019"</f>
        <v>27/09/2019</v>
      </c>
      <c r="B2491" t="str">
        <f>"0.6293"</f>
        <v>0.6293</v>
      </c>
      <c r="C2491" t="str">
        <f>"0.6297"</f>
        <v>0.6297</v>
      </c>
    </row>
    <row r="2492" spans="1:3" x14ac:dyDescent="0.25">
      <c r="A2492" t="str">
        <f>"30/09/2019"</f>
        <v>30/09/2019</v>
      </c>
      <c r="B2492" t="str">
        <f>"0.6266"</f>
        <v>0.6266</v>
      </c>
      <c r="C2492" t="str">
        <f>"0.6271"</f>
        <v>0.6271</v>
      </c>
    </row>
    <row r="2493" spans="1:3" x14ac:dyDescent="0.25">
      <c r="A2493" t="str">
        <f>"01/10/2019"</f>
        <v>01/10/2019</v>
      </c>
      <c r="B2493" t="str">
        <f>"0.6222"</f>
        <v>0.6222</v>
      </c>
      <c r="C2493" t="str">
        <f>"0.6226"</f>
        <v>0.6226</v>
      </c>
    </row>
    <row r="2494" spans="1:3" x14ac:dyDescent="0.25">
      <c r="A2494" t="str">
        <f>"03/10/2019"</f>
        <v>03/10/2019</v>
      </c>
      <c r="B2494" t="str">
        <f>"0.6267"</f>
        <v>0.6267</v>
      </c>
      <c r="C2494" t="str">
        <f>"0.6271"</f>
        <v>0.6271</v>
      </c>
    </row>
    <row r="2495" spans="1:3" x14ac:dyDescent="0.25">
      <c r="A2495" t="str">
        <f>"04/10/2019"</f>
        <v>04/10/2019</v>
      </c>
      <c r="B2495" t="str">
        <f>"0.6329"</f>
        <v>0.6329</v>
      </c>
      <c r="C2495" t="str">
        <f>"0.6333"</f>
        <v>0.6333</v>
      </c>
    </row>
    <row r="2496" spans="1:3" x14ac:dyDescent="0.25">
      <c r="A2496" t="str">
        <f>"07/10/2019"</f>
        <v>07/10/2019</v>
      </c>
      <c r="B2496" t="str">
        <f>"0.6289"</f>
        <v>0.6289</v>
      </c>
      <c r="C2496" t="str">
        <f>"0.6294"</f>
        <v>0.6294</v>
      </c>
    </row>
    <row r="2497" spans="1:3" x14ac:dyDescent="0.25">
      <c r="A2497" t="str">
        <f>"09/10/2019"</f>
        <v>09/10/2019</v>
      </c>
      <c r="B2497" t="str">
        <f>"0.6316"</f>
        <v>0.6316</v>
      </c>
      <c r="C2497" t="str">
        <f>"0.6321"</f>
        <v>0.6321</v>
      </c>
    </row>
    <row r="2498" spans="1:3" x14ac:dyDescent="0.25">
      <c r="A2498" t="str">
        <f>"10/10/2019"</f>
        <v>10/10/2019</v>
      </c>
      <c r="B2498" t="str">
        <f>"0.6328"</f>
        <v>0.6328</v>
      </c>
      <c r="C2498" t="str">
        <f>"0.6332"</f>
        <v>0.6332</v>
      </c>
    </row>
    <row r="2499" spans="1:3" x14ac:dyDescent="0.25">
      <c r="A2499" t="str">
        <f>"11/10/2019"</f>
        <v>11/10/2019</v>
      </c>
      <c r="B2499" t="str">
        <f>"0.6341"</f>
        <v>0.6341</v>
      </c>
      <c r="C2499" t="str">
        <f>"0.6345"</f>
        <v>0.6345</v>
      </c>
    </row>
    <row r="2500" spans="1:3" x14ac:dyDescent="0.25">
      <c r="A2500" t="str">
        <f>"14/10/2019"</f>
        <v>14/10/2019</v>
      </c>
      <c r="B2500" t="str">
        <f>"0.6287"</f>
        <v>0.6287</v>
      </c>
      <c r="C2500" t="str">
        <f>"0.6292"</f>
        <v>0.6292</v>
      </c>
    </row>
    <row r="2501" spans="1:3" x14ac:dyDescent="0.25">
      <c r="A2501" t="str">
        <f>"15/10/2019"</f>
        <v>15/10/2019</v>
      </c>
      <c r="B2501" t="str">
        <f>"0.6268"</f>
        <v>0.6268</v>
      </c>
      <c r="C2501" t="str">
        <f>"0.6273"</f>
        <v>0.6273</v>
      </c>
    </row>
    <row r="2502" spans="1:3" x14ac:dyDescent="0.25">
      <c r="A2502" t="str">
        <f>"16/10/2019"</f>
        <v>16/10/2019</v>
      </c>
      <c r="B2502" t="str">
        <f>"0.6251"</f>
        <v>0.6251</v>
      </c>
      <c r="C2502" t="str">
        <f>"0.6256"</f>
        <v>0.6256</v>
      </c>
    </row>
    <row r="2503" spans="1:3" x14ac:dyDescent="0.25">
      <c r="A2503" t="str">
        <f>"17/10/2019"</f>
        <v>17/10/2019</v>
      </c>
      <c r="B2503" t="str">
        <f>"0.6331"</f>
        <v>0.6331</v>
      </c>
      <c r="C2503" t="str">
        <f>"0.6336"</f>
        <v>0.6336</v>
      </c>
    </row>
    <row r="2504" spans="1:3" x14ac:dyDescent="0.25">
      <c r="A2504" t="str">
        <f>"18/10/2019"</f>
        <v>18/10/2019</v>
      </c>
      <c r="B2504" t="str">
        <f>"0.6368"</f>
        <v>0.6368</v>
      </c>
      <c r="C2504" t="str">
        <f>"0.6372"</f>
        <v>0.6372</v>
      </c>
    </row>
    <row r="2505" spans="1:3" x14ac:dyDescent="0.25">
      <c r="A2505" t="str">
        <f>"22/10/2019"</f>
        <v>22/10/2019</v>
      </c>
      <c r="B2505" t="str">
        <f>"0.6413"</f>
        <v>0.6413</v>
      </c>
      <c r="C2505" t="str">
        <f>"0.6418"</f>
        <v>0.6418</v>
      </c>
    </row>
    <row r="2506" spans="1:3" x14ac:dyDescent="0.25">
      <c r="A2506" t="str">
        <f>"23/10/2019"</f>
        <v>23/10/2019</v>
      </c>
      <c r="B2506" t="str">
        <f>"0.6407"</f>
        <v>0.6407</v>
      </c>
      <c r="C2506" t="str">
        <f>"0.6412"</f>
        <v>0.6412</v>
      </c>
    </row>
    <row r="2507" spans="1:3" x14ac:dyDescent="0.25">
      <c r="A2507" t="str">
        <f>"24/10/2019"</f>
        <v>24/10/2019</v>
      </c>
      <c r="B2507" t="str">
        <f>"0.6395"</f>
        <v>0.6395</v>
      </c>
      <c r="C2507" t="str">
        <f>"0.6399"</f>
        <v>0.6399</v>
      </c>
    </row>
    <row r="2508" spans="1:3" x14ac:dyDescent="0.25">
      <c r="A2508" t="str">
        <f>"25/10/2019"</f>
        <v>25/10/2019</v>
      </c>
      <c r="B2508" t="str">
        <f>"0.6369"</f>
        <v>0.6369</v>
      </c>
      <c r="C2508" t="str">
        <f>"0.6373"</f>
        <v>0.6373</v>
      </c>
    </row>
    <row r="2509" spans="1:3" x14ac:dyDescent="0.25">
      <c r="A2509" t="str">
        <f>"29/10/2019"</f>
        <v>29/10/2019</v>
      </c>
      <c r="B2509" t="str">
        <f>"0.6346"</f>
        <v>0.6346</v>
      </c>
      <c r="C2509" t="str">
        <f>"0.635"</f>
        <v>0.635</v>
      </c>
    </row>
    <row r="2510" spans="1:3" x14ac:dyDescent="0.25">
      <c r="A2510" t="str">
        <f>"30/10/2019"</f>
        <v>30/10/2019</v>
      </c>
      <c r="B2510" t="str">
        <f>"0.6349"</f>
        <v>0.6349</v>
      </c>
      <c r="C2510" t="str">
        <f>"0.6353"</f>
        <v>0.6353</v>
      </c>
    </row>
    <row r="2511" spans="1:3" x14ac:dyDescent="0.25">
      <c r="A2511" t="str">
        <f>"31/10/2019"</f>
        <v>31/10/2019</v>
      </c>
      <c r="B2511" t="str">
        <f>"0.641"</f>
        <v>0.641</v>
      </c>
      <c r="C2511" t="str">
        <f>"0.6413"</f>
        <v>0.6413</v>
      </c>
    </row>
    <row r="2512" spans="1:3" x14ac:dyDescent="0.25">
      <c r="A2512" t="str">
        <f>"01/11/2019"</f>
        <v>01/11/2019</v>
      </c>
      <c r="B2512" t="str">
        <f>"0.6428"</f>
        <v>0.6428</v>
      </c>
      <c r="C2512" t="str">
        <f>"0.6431"</f>
        <v>0.6431</v>
      </c>
    </row>
    <row r="2513" spans="1:3" x14ac:dyDescent="0.25">
      <c r="A2513" t="str">
        <f>"04/11/2019"</f>
        <v>04/11/2019</v>
      </c>
      <c r="B2513" t="str">
        <f>"0.6457"</f>
        <v>0.6457</v>
      </c>
      <c r="C2513" t="str">
        <f>"0.646"</f>
        <v>0.646</v>
      </c>
    </row>
    <row r="2514" spans="1:3" x14ac:dyDescent="0.25">
      <c r="A2514" t="str">
        <f>"05/11/2019"</f>
        <v>05/11/2019</v>
      </c>
      <c r="B2514" t="str">
        <f>"0.6408"</f>
        <v>0.6408</v>
      </c>
      <c r="C2514" t="str">
        <f>"0.6412"</f>
        <v>0.6412</v>
      </c>
    </row>
    <row r="2515" spans="1:3" x14ac:dyDescent="0.25">
      <c r="A2515" t="str">
        <f>"06/11/2019"</f>
        <v>06/11/2019</v>
      </c>
      <c r="B2515" t="str">
        <f>"0.6372"</f>
        <v>0.6372</v>
      </c>
      <c r="C2515" t="str">
        <f>"0.6376"</f>
        <v>0.6376</v>
      </c>
    </row>
    <row r="2516" spans="1:3" x14ac:dyDescent="0.25">
      <c r="A2516" t="str">
        <f>"07/11/2019"</f>
        <v>07/11/2019</v>
      </c>
      <c r="B2516" t="str">
        <f>"0.6369"</f>
        <v>0.6369</v>
      </c>
      <c r="C2516" t="str">
        <f>"0.6373"</f>
        <v>0.6373</v>
      </c>
    </row>
    <row r="2517" spans="1:3" x14ac:dyDescent="0.25">
      <c r="A2517" t="str">
        <f>"08/11/2019"</f>
        <v>08/11/2019</v>
      </c>
      <c r="B2517" t="str">
        <f>"0.6336"</f>
        <v>0.6336</v>
      </c>
      <c r="C2517" t="str">
        <f>"0.6339"</f>
        <v>0.6339</v>
      </c>
    </row>
    <row r="2518" spans="1:3" x14ac:dyDescent="0.25">
      <c r="A2518" t="str">
        <f>"11/11/2019"</f>
        <v>11/11/2019</v>
      </c>
      <c r="B2518" t="str">
        <f>"0.6363"</f>
        <v>0.6363</v>
      </c>
      <c r="C2518" t="str">
        <f>"0.6366"</f>
        <v>0.6366</v>
      </c>
    </row>
    <row r="2519" spans="1:3" x14ac:dyDescent="0.25">
      <c r="A2519" t="str">
        <f>"13/11/2019"</f>
        <v>13/11/2019</v>
      </c>
      <c r="B2519" t="str">
        <f>"0.639"</f>
        <v>0.639</v>
      </c>
      <c r="C2519" t="str">
        <f>"0.6393"</f>
        <v>0.6393</v>
      </c>
    </row>
    <row r="2520" spans="1:3" x14ac:dyDescent="0.25">
      <c r="A2520" t="str">
        <f>"14/11/2019"</f>
        <v>14/11/2019</v>
      </c>
      <c r="B2520" t="str">
        <f>"0.6392"</f>
        <v>0.6392</v>
      </c>
      <c r="C2520" t="str">
        <f>"0.6395"</f>
        <v>0.6395</v>
      </c>
    </row>
    <row r="2521" spans="1:3" x14ac:dyDescent="0.25">
      <c r="A2521" t="str">
        <f>"15/11/2019"</f>
        <v>15/11/2019</v>
      </c>
      <c r="B2521" t="str">
        <f>"0.6387"</f>
        <v>0.6387</v>
      </c>
      <c r="C2521" t="str">
        <f>"0.639"</f>
        <v>0.639</v>
      </c>
    </row>
    <row r="2522" spans="1:3" x14ac:dyDescent="0.25">
      <c r="A2522" t="str">
        <f>"18/11/2019"</f>
        <v>18/11/2019</v>
      </c>
      <c r="B2522" t="str">
        <f>"0.6405"</f>
        <v>0.6405</v>
      </c>
      <c r="C2522" t="str">
        <f>"0.6408"</f>
        <v>0.6408</v>
      </c>
    </row>
    <row r="2523" spans="1:3" x14ac:dyDescent="0.25">
      <c r="A2523" t="str">
        <f>"19/11/2019"</f>
        <v>19/11/2019</v>
      </c>
      <c r="B2523" t="str">
        <f>"0.6411"</f>
        <v>0.6411</v>
      </c>
      <c r="C2523" t="str">
        <f>"0.6414"</f>
        <v>0.6414</v>
      </c>
    </row>
    <row r="2524" spans="1:3" x14ac:dyDescent="0.25">
      <c r="A2524" t="str">
        <f>"20/11/2019"</f>
        <v>20/11/2019</v>
      </c>
      <c r="B2524" t="str">
        <f>"0.6423"</f>
        <v>0.6423</v>
      </c>
      <c r="C2524" t="str">
        <f>"0.6426"</f>
        <v>0.6426</v>
      </c>
    </row>
    <row r="2525" spans="1:3" x14ac:dyDescent="0.25">
      <c r="A2525" t="str">
        <f>"21/11/2019"</f>
        <v>21/11/2019</v>
      </c>
      <c r="B2525" t="str">
        <f>"0.6409"</f>
        <v>0.6409</v>
      </c>
      <c r="C2525" t="str">
        <f>"0.6412"</f>
        <v>0.6412</v>
      </c>
    </row>
    <row r="2526" spans="1:3" x14ac:dyDescent="0.25">
      <c r="A2526" t="str">
        <f>"22/11/2019"</f>
        <v>22/11/2019</v>
      </c>
      <c r="B2526" t="str">
        <f>"0.6404"</f>
        <v>0.6404</v>
      </c>
      <c r="C2526" t="str">
        <f>"0.6407"</f>
        <v>0.6407</v>
      </c>
    </row>
    <row r="2527" spans="1:3" x14ac:dyDescent="0.25">
      <c r="A2527" t="str">
        <f>"25/11/2019"</f>
        <v>25/11/2019</v>
      </c>
      <c r="B2527" t="str">
        <f>"0.6412"</f>
        <v>0.6412</v>
      </c>
      <c r="C2527" t="str">
        <f>"0.6415"</f>
        <v>0.6415</v>
      </c>
    </row>
    <row r="2528" spans="1:3" x14ac:dyDescent="0.25">
      <c r="A2528" t="str">
        <f>"26/11/2019"</f>
        <v>26/11/2019</v>
      </c>
      <c r="B2528" t="str">
        <f>"0.6417"</f>
        <v>0.6417</v>
      </c>
      <c r="C2528" t="str">
        <f>"0.642"</f>
        <v>0.642</v>
      </c>
    </row>
    <row r="2529" spans="1:3" x14ac:dyDescent="0.25">
      <c r="A2529" t="str">
        <f>"27/11/2019"</f>
        <v>27/11/2019</v>
      </c>
      <c r="B2529" t="str">
        <f>"0.6426"</f>
        <v>0.6426</v>
      </c>
      <c r="C2529" t="str">
        <f>"0.6429"</f>
        <v>0.6429</v>
      </c>
    </row>
    <row r="2530" spans="1:3" x14ac:dyDescent="0.25">
      <c r="A2530" t="str">
        <f>"28/11/2019"</f>
        <v>28/11/2019</v>
      </c>
      <c r="B2530" t="str">
        <f>"0.6424"</f>
        <v>0.6424</v>
      </c>
      <c r="C2530" t="str">
        <f>"0.6427"</f>
        <v>0.6427</v>
      </c>
    </row>
    <row r="2531" spans="1:3" x14ac:dyDescent="0.25">
      <c r="A2531" t="str">
        <f>"29/11/2019"</f>
        <v>29/11/2019</v>
      </c>
      <c r="B2531" t="str">
        <f>"0.6424"</f>
        <v>0.6424</v>
      </c>
      <c r="C2531" t="str">
        <f>"0.6427"</f>
        <v>0.6427</v>
      </c>
    </row>
    <row r="2532" spans="1:3" x14ac:dyDescent="0.25">
      <c r="A2532" t="str">
        <f>"02/12/2019"</f>
        <v>02/12/2019</v>
      </c>
      <c r="B2532" t="str">
        <f>"0.6469"</f>
        <v>0.6469</v>
      </c>
      <c r="C2532" t="str">
        <f>"0.6472"</f>
        <v>0.6472</v>
      </c>
    </row>
    <row r="2533" spans="1:3" x14ac:dyDescent="0.25">
      <c r="A2533" t="str">
        <f>"03/12/2019"</f>
        <v>03/12/2019</v>
      </c>
      <c r="B2533" t="str">
        <f>"0.6523"</f>
        <v>0.6523</v>
      </c>
      <c r="C2533" t="str">
        <f>"0.6526"</f>
        <v>0.6526</v>
      </c>
    </row>
    <row r="2534" spans="1:3" x14ac:dyDescent="0.25">
      <c r="A2534" t="str">
        <f>"04/12/2019"</f>
        <v>04/12/2019</v>
      </c>
      <c r="B2534" t="str">
        <f>"0.6511"</f>
        <v>0.6511</v>
      </c>
      <c r="C2534" t="str">
        <f>"0.6514"</f>
        <v>0.6514</v>
      </c>
    </row>
    <row r="2535" spans="1:3" x14ac:dyDescent="0.25">
      <c r="A2535" t="str">
        <f>"05/12/2019"</f>
        <v>05/12/2019</v>
      </c>
      <c r="B2535" t="str">
        <f>"0.6527"</f>
        <v>0.6527</v>
      </c>
      <c r="C2535" t="str">
        <f>"0.653"</f>
        <v>0.653</v>
      </c>
    </row>
    <row r="2536" spans="1:3" x14ac:dyDescent="0.25">
      <c r="A2536" t="str">
        <f>"06/12/2019"</f>
        <v>06/12/2019</v>
      </c>
      <c r="B2536" t="str">
        <f>"0.657"</f>
        <v>0.657</v>
      </c>
      <c r="C2536" t="str">
        <f>"0.6573"</f>
        <v>0.6573</v>
      </c>
    </row>
    <row r="2537" spans="1:3" x14ac:dyDescent="0.25">
      <c r="A2537" t="str">
        <f>"09/12/2019"</f>
        <v>09/12/2019</v>
      </c>
      <c r="B2537" t="str">
        <f>"0.6557"</f>
        <v>0.6557</v>
      </c>
      <c r="C2537" t="str">
        <f>"0.6561"</f>
        <v>0.6561</v>
      </c>
    </row>
    <row r="2538" spans="1:3" x14ac:dyDescent="0.25">
      <c r="A2538" t="str">
        <f>"10/12/2019"</f>
        <v>10/12/2019</v>
      </c>
      <c r="B2538" t="str">
        <f>"0.6545"</f>
        <v>0.6545</v>
      </c>
      <c r="C2538" t="str">
        <f>"0.6548"</f>
        <v>0.6548</v>
      </c>
    </row>
    <row r="2539" spans="1:3" x14ac:dyDescent="0.25">
      <c r="A2539" t="str">
        <f>"11/12/2019"</f>
        <v>11/12/2019</v>
      </c>
      <c r="B2539" t="str">
        <f>"0.6548"</f>
        <v>0.6548</v>
      </c>
      <c r="C2539" t="str">
        <f>"0.6551"</f>
        <v>0.6551</v>
      </c>
    </row>
    <row r="2540" spans="1:3" x14ac:dyDescent="0.25">
      <c r="A2540" t="str">
        <f>"12/12/2019"</f>
        <v>12/12/2019</v>
      </c>
      <c r="B2540" t="str">
        <f>"0.6589"</f>
        <v>0.6589</v>
      </c>
      <c r="C2540" t="str">
        <f>"0.6592"</f>
        <v>0.6592</v>
      </c>
    </row>
    <row r="2541" spans="1:3" x14ac:dyDescent="0.25">
      <c r="A2541" t="str">
        <f>"13/12/2019"</f>
        <v>13/12/2019</v>
      </c>
      <c r="B2541" t="str">
        <f>"0.6616"</f>
        <v>0.6616</v>
      </c>
      <c r="C2541" t="str">
        <f>"0.6619"</f>
        <v>0.6619</v>
      </c>
    </row>
    <row r="2542" spans="1:3" x14ac:dyDescent="0.25">
      <c r="A2542" t="str">
        <f>"16/12/2019"</f>
        <v>16/12/2019</v>
      </c>
      <c r="B2542" t="str">
        <f>"0.6613"</f>
        <v>0.6613</v>
      </c>
      <c r="C2542" t="str">
        <f>"0.6617"</f>
        <v>0.6617</v>
      </c>
    </row>
    <row r="2543" spans="1:3" x14ac:dyDescent="0.25">
      <c r="A2543" t="str">
        <f>"17/12/2019"</f>
        <v>17/12/2019</v>
      </c>
      <c r="B2543" t="str">
        <f>"0.6599"</f>
        <v>0.6599</v>
      </c>
      <c r="C2543" t="str">
        <f>"0.6602"</f>
        <v>0.6602</v>
      </c>
    </row>
    <row r="2544" spans="1:3" x14ac:dyDescent="0.25">
      <c r="A2544" t="str">
        <f>"18/12/2019"</f>
        <v>18/12/2019</v>
      </c>
      <c r="B2544" t="str">
        <f>"0.6567"</f>
        <v>0.6567</v>
      </c>
      <c r="C2544" t="str">
        <f>"0.657"</f>
        <v>0.657</v>
      </c>
    </row>
    <row r="2545" spans="1:3" x14ac:dyDescent="0.25">
      <c r="A2545" t="str">
        <f>"19/12/2019"</f>
        <v>19/12/2019</v>
      </c>
      <c r="B2545" t="str">
        <f>"0.6579"</f>
        <v>0.6579</v>
      </c>
      <c r="C2545" t="str">
        <f>"0.6582"</f>
        <v>0.6582</v>
      </c>
    </row>
    <row r="2546" spans="1:3" x14ac:dyDescent="0.25">
      <c r="A2546" t="str">
        <f>"20/12/2019"</f>
        <v>20/12/2019</v>
      </c>
      <c r="B2546" t="str">
        <f>"0.6604"</f>
        <v>0.6604</v>
      </c>
      <c r="C2546" t="str">
        <f>"0.6607"</f>
        <v>0.6607</v>
      </c>
    </row>
    <row r="2547" spans="1:3" x14ac:dyDescent="0.25">
      <c r="A2547" t="str">
        <f>"23/12/2019"</f>
        <v>23/12/2019</v>
      </c>
      <c r="B2547" t="str">
        <f>"0.6619"</f>
        <v>0.6619</v>
      </c>
      <c r="C2547" t="str">
        <f>"0.6622"</f>
        <v>0.6622</v>
      </c>
    </row>
    <row r="2548" spans="1:3" x14ac:dyDescent="0.25">
      <c r="A2548" t="str">
        <f>"24/12/2019"</f>
        <v>24/12/2019</v>
      </c>
      <c r="B2548" t="str">
        <f>"0.6635"</f>
        <v>0.6635</v>
      </c>
      <c r="C2548" t="str">
        <f>"0.6637"</f>
        <v>0.6637</v>
      </c>
    </row>
    <row r="2549" spans="1:3" x14ac:dyDescent="0.25">
      <c r="A2549" t="str">
        <f>"26/12/2019"</f>
        <v>26/12/2019</v>
      </c>
      <c r="B2549" t="str">
        <f>"0.6646"</f>
        <v>0.6646</v>
      </c>
      <c r="C2549" t="str">
        <f>"0.6648"</f>
        <v>0.6648</v>
      </c>
    </row>
    <row r="2550" spans="1:3" x14ac:dyDescent="0.25">
      <c r="A2550" t="str">
        <f>"27/12/2019"</f>
        <v>27/12/2019</v>
      </c>
      <c r="B2550" t="str">
        <f>"0.6703"</f>
        <v>0.6703</v>
      </c>
      <c r="C2550" t="str">
        <f>"0.6706"</f>
        <v>0.6706</v>
      </c>
    </row>
    <row r="2551" spans="1:3" x14ac:dyDescent="0.25">
      <c r="A2551" t="str">
        <f>"30/12/2019"</f>
        <v>30/12/2019</v>
      </c>
      <c r="B2551" t="str">
        <f>"0.6722"</f>
        <v>0.6722</v>
      </c>
      <c r="C2551" t="str">
        <f>"0.6724"</f>
        <v>0.6724</v>
      </c>
    </row>
    <row r="2552" spans="1:3" x14ac:dyDescent="0.25">
      <c r="A2552" t="str">
        <f>"31/12/2019"</f>
        <v>31/12/2019</v>
      </c>
      <c r="B2552" t="str">
        <f>"0.6743"</f>
        <v>0.6743</v>
      </c>
      <c r="C2552" t="str">
        <f>"0.6746"</f>
        <v>0.6746</v>
      </c>
    </row>
    <row r="2553" spans="1:3" x14ac:dyDescent="0.25">
      <c r="A2553" t="str">
        <f>"02/01/2020"</f>
        <v>02/01/2020</v>
      </c>
      <c r="B2553" t="str">
        <f>"0.6687"</f>
        <v>0.6687</v>
      </c>
      <c r="C2553" t="str">
        <f>"0.669"</f>
        <v>0.669</v>
      </c>
    </row>
    <row r="2554" spans="1:3" x14ac:dyDescent="0.25">
      <c r="A2554" t="str">
        <f>"03/01/2020"</f>
        <v>03/01/2020</v>
      </c>
      <c r="B2554" t="str">
        <f>"0.6651"</f>
        <v>0.6651</v>
      </c>
      <c r="C2554" t="str">
        <f>"0.6654"</f>
        <v>0.6654</v>
      </c>
    </row>
    <row r="2555" spans="1:3" x14ac:dyDescent="0.25">
      <c r="A2555" t="str">
        <f>"06/01/2020"</f>
        <v>06/01/2020</v>
      </c>
      <c r="B2555" t="str">
        <f>"0.6653"</f>
        <v>0.6653</v>
      </c>
      <c r="C2555" t="str">
        <f>"0.6656"</f>
        <v>0.6656</v>
      </c>
    </row>
    <row r="2556" spans="1:3" x14ac:dyDescent="0.25">
      <c r="A2556" t="str">
        <f>"07/01/2020"</f>
        <v>07/01/2020</v>
      </c>
      <c r="B2556" t="str">
        <f>"0.6643"</f>
        <v>0.6643</v>
      </c>
      <c r="C2556" t="str">
        <f>"0.6646"</f>
        <v>0.6646</v>
      </c>
    </row>
    <row r="2557" spans="1:3" x14ac:dyDescent="0.25">
      <c r="A2557" t="str">
        <f>"08/01/2020"</f>
        <v>08/01/2020</v>
      </c>
      <c r="B2557" t="str">
        <f>"0.6647"</f>
        <v>0.6647</v>
      </c>
      <c r="C2557" t="str">
        <f>"0.665"</f>
        <v>0.665</v>
      </c>
    </row>
    <row r="2558" spans="1:3" x14ac:dyDescent="0.25">
      <c r="A2558" t="str">
        <f>"09/01/2020"</f>
        <v>09/01/2020</v>
      </c>
      <c r="B2558" t="str">
        <f>"0.6616"</f>
        <v>0.6616</v>
      </c>
      <c r="C2558" t="str">
        <f>"0.6619"</f>
        <v>0.6619</v>
      </c>
    </row>
    <row r="2559" spans="1:3" x14ac:dyDescent="0.25">
      <c r="A2559" t="str">
        <f>"10/01/2020"</f>
        <v>10/01/2020</v>
      </c>
      <c r="B2559" t="str">
        <f>"0.6624"</f>
        <v>0.6624</v>
      </c>
      <c r="C2559" t="str">
        <f>"0.6627"</f>
        <v>0.6627</v>
      </c>
    </row>
    <row r="2560" spans="1:3" x14ac:dyDescent="0.25">
      <c r="A2560" t="str">
        <f>"13/01/2020"</f>
        <v>13/01/2020</v>
      </c>
      <c r="B2560" t="str">
        <f>"0.6649"</f>
        <v>0.6649</v>
      </c>
      <c r="C2560" t="str">
        <f>"0.6652"</f>
        <v>0.6652</v>
      </c>
    </row>
    <row r="2561" spans="1:3" x14ac:dyDescent="0.25">
      <c r="A2561" t="str">
        <f>"14/01/2020"</f>
        <v>14/01/2020</v>
      </c>
      <c r="B2561" t="str">
        <f>"0.6628"</f>
        <v>0.6628</v>
      </c>
      <c r="C2561" t="str">
        <f>"0.6631"</f>
        <v>0.6631</v>
      </c>
    </row>
    <row r="2562" spans="1:3" x14ac:dyDescent="0.25">
      <c r="A2562" t="str">
        <f>"15/01/2020"</f>
        <v>15/01/2020</v>
      </c>
      <c r="B2562" t="str">
        <f>"0.6611"</f>
        <v>0.6611</v>
      </c>
      <c r="C2562" t="str">
        <f>"0.6614"</f>
        <v>0.6614</v>
      </c>
    </row>
    <row r="2563" spans="1:3" x14ac:dyDescent="0.25">
      <c r="A2563" t="str">
        <f>"16/01/2020"</f>
        <v>16/01/2020</v>
      </c>
      <c r="B2563" t="str">
        <f>"0.6651"</f>
        <v>0.6651</v>
      </c>
      <c r="C2563" t="str">
        <f>"0.6654"</f>
        <v>0.6654</v>
      </c>
    </row>
    <row r="2564" spans="1:3" x14ac:dyDescent="0.25">
      <c r="A2564" t="str">
        <f>"17/01/2020"</f>
        <v>17/01/2020</v>
      </c>
      <c r="B2564" t="str">
        <f>"0.6625"</f>
        <v>0.6625</v>
      </c>
      <c r="C2564" t="str">
        <f>"0.6628"</f>
        <v>0.6628</v>
      </c>
    </row>
    <row r="2565" spans="1:3" x14ac:dyDescent="0.25">
      <c r="A2565" t="str">
        <f>"20/01/2020"</f>
        <v>20/01/2020</v>
      </c>
      <c r="B2565" t="str">
        <f>"0.6602"</f>
        <v>0.6602</v>
      </c>
      <c r="C2565" t="str">
        <f>"0.6605"</f>
        <v>0.6605</v>
      </c>
    </row>
    <row r="2566" spans="1:3" x14ac:dyDescent="0.25">
      <c r="A2566" t="str">
        <f>"21/01/2020"</f>
        <v>21/01/2020</v>
      </c>
      <c r="B2566" t="str">
        <f>"0.6604"</f>
        <v>0.6604</v>
      </c>
      <c r="C2566" t="str">
        <f>"0.6607"</f>
        <v>0.6607</v>
      </c>
    </row>
    <row r="2567" spans="1:3" x14ac:dyDescent="0.25">
      <c r="A2567" t="str">
        <f>"22/01/2020"</f>
        <v>22/01/2020</v>
      </c>
      <c r="B2567" t="str">
        <f>"0.6597"</f>
        <v>0.6597</v>
      </c>
      <c r="C2567" t="str">
        <f>"0.66"</f>
        <v>0.66</v>
      </c>
    </row>
    <row r="2568" spans="1:3" x14ac:dyDescent="0.25">
      <c r="A2568" t="str">
        <f>"23/01/2020"</f>
        <v>23/01/2020</v>
      </c>
      <c r="B2568" t="str">
        <f>"0.6597"</f>
        <v>0.6597</v>
      </c>
      <c r="C2568" t="str">
        <f>"0.66"</f>
        <v>0.66</v>
      </c>
    </row>
    <row r="2569" spans="1:3" x14ac:dyDescent="0.25">
      <c r="A2569" t="str">
        <f>"24/01/2020"</f>
        <v>24/01/2020</v>
      </c>
      <c r="B2569" t="str">
        <f>"0.6616"</f>
        <v>0.6616</v>
      </c>
      <c r="C2569" t="str">
        <f>"0.6619"</f>
        <v>0.6619</v>
      </c>
    </row>
    <row r="2570" spans="1:3" x14ac:dyDescent="0.25">
      <c r="A2570" t="str">
        <f>"27/01/2020"</f>
        <v>27/01/2020</v>
      </c>
      <c r="B2570" t="str">
        <f>"0.6562"</f>
        <v>0.6562</v>
      </c>
      <c r="C2570" t="str">
        <f>"0.6564"</f>
        <v>0.6564</v>
      </c>
    </row>
    <row r="2571" spans="1:3" x14ac:dyDescent="0.25">
      <c r="A2571" t="str">
        <f>"28/01/2020"</f>
        <v>28/01/2020</v>
      </c>
      <c r="B2571" t="str">
        <f>"0.653"</f>
        <v>0.653</v>
      </c>
      <c r="C2571" t="str">
        <f>"0.6532"</f>
        <v>0.6532</v>
      </c>
    </row>
    <row r="2572" spans="1:3" x14ac:dyDescent="0.25">
      <c r="A2572" t="str">
        <f>"29/01/2020"</f>
        <v>29/01/2020</v>
      </c>
      <c r="B2572" t="str">
        <f>"0.6519"</f>
        <v>0.6519</v>
      </c>
      <c r="C2572" t="str">
        <f>"0.6522"</f>
        <v>0.6522</v>
      </c>
    </row>
    <row r="2573" spans="1:3" x14ac:dyDescent="0.25">
      <c r="A2573" t="str">
        <f>"30/01/2020"</f>
        <v>30/01/2020</v>
      </c>
      <c r="B2573" t="str">
        <f>"0.6504"</f>
        <v>0.6504</v>
      </c>
      <c r="C2573" t="str">
        <f>"0.6506"</f>
        <v>0.6506</v>
      </c>
    </row>
    <row r="2574" spans="1:3" x14ac:dyDescent="0.25">
      <c r="A2574" t="str">
        <f>"31/01/2020"</f>
        <v>31/01/2020</v>
      </c>
      <c r="B2574" t="str">
        <f>"0.6482"</f>
        <v>0.6482</v>
      </c>
      <c r="C2574" t="str">
        <f>"0.6484"</f>
        <v>0.6484</v>
      </c>
    </row>
    <row r="2575" spans="1:3" x14ac:dyDescent="0.25">
      <c r="A2575" t="str">
        <f>"03/02/2020"</f>
        <v>03/02/2020</v>
      </c>
      <c r="B2575" t="str">
        <f>"0.6467"</f>
        <v>0.6467</v>
      </c>
      <c r="C2575" t="str">
        <f>"0.6469"</f>
        <v>0.6469</v>
      </c>
    </row>
    <row r="2576" spans="1:3" x14ac:dyDescent="0.25">
      <c r="A2576" t="str">
        <f>"04/02/2020"</f>
        <v>04/02/2020</v>
      </c>
      <c r="B2576" t="str">
        <f>"0.6461"</f>
        <v>0.6461</v>
      </c>
      <c r="C2576" t="str">
        <f>"0.6464"</f>
        <v>0.6464</v>
      </c>
    </row>
    <row r="2577" spans="1:3" x14ac:dyDescent="0.25">
      <c r="A2577" t="str">
        <f>"05/02/2020"</f>
        <v>05/02/2020</v>
      </c>
      <c r="B2577" t="str">
        <f>"0.6489"</f>
        <v>0.6489</v>
      </c>
      <c r="C2577" t="str">
        <f>"0.6492"</f>
        <v>0.6492</v>
      </c>
    </row>
    <row r="2578" spans="1:3" x14ac:dyDescent="0.25">
      <c r="A2578" t="str">
        <f>"06/02/2020"</f>
        <v>06/02/2020</v>
      </c>
      <c r="B2578" t="str">
        <f>"0.647"</f>
        <v>0.647</v>
      </c>
      <c r="C2578" t="str">
        <f>"0.6472"</f>
        <v>0.6472</v>
      </c>
    </row>
    <row r="2579" spans="1:3" x14ac:dyDescent="0.25">
      <c r="A2579" t="str">
        <f>"07/02/2020"</f>
        <v>07/02/2020</v>
      </c>
      <c r="B2579" t="str">
        <f>"0.6419"</f>
        <v>0.6419</v>
      </c>
      <c r="C2579" t="str">
        <f>"0.6421"</f>
        <v>0.6421</v>
      </c>
    </row>
    <row r="2580" spans="1:3" x14ac:dyDescent="0.25">
      <c r="A2580" t="str">
        <f>"10/02/2020"</f>
        <v>10/02/2020</v>
      </c>
      <c r="B2580" t="str">
        <f>"0.641"</f>
        <v>0.641</v>
      </c>
      <c r="C2580" t="str">
        <f>"0.6412"</f>
        <v>0.6412</v>
      </c>
    </row>
    <row r="2581" spans="1:3" x14ac:dyDescent="0.25">
      <c r="A2581" t="str">
        <f>"11/02/2020"</f>
        <v>11/02/2020</v>
      </c>
      <c r="B2581" t="str">
        <f>"0.6394"</f>
        <v>0.6394</v>
      </c>
      <c r="C2581" t="str">
        <f>"0.6396"</f>
        <v>0.6396</v>
      </c>
    </row>
    <row r="2582" spans="1:3" x14ac:dyDescent="0.25">
      <c r="A2582" t="str">
        <f>"12/02/2020"</f>
        <v>12/02/2020</v>
      </c>
      <c r="B2582" t="str">
        <f>"0.6481"</f>
        <v>0.6481</v>
      </c>
      <c r="C2582" t="str">
        <f>"0.6483"</f>
        <v>0.6483</v>
      </c>
    </row>
    <row r="2583" spans="1:3" x14ac:dyDescent="0.25">
      <c r="A2583" t="str">
        <f>"13/02/2020"</f>
        <v>13/02/2020</v>
      </c>
      <c r="B2583" t="str">
        <f>"0.6448"</f>
        <v>0.6448</v>
      </c>
      <c r="C2583" t="str">
        <f>"0.645"</f>
        <v>0.645</v>
      </c>
    </row>
    <row r="2584" spans="1:3" x14ac:dyDescent="0.25">
      <c r="A2584" t="str">
        <f>"14/02/2020"</f>
        <v>14/02/2020</v>
      </c>
      <c r="B2584" t="str">
        <f>"0.6429"</f>
        <v>0.6429</v>
      </c>
      <c r="C2584" t="str">
        <f>"0.6431"</f>
        <v>0.6431</v>
      </c>
    </row>
    <row r="2585" spans="1:3" x14ac:dyDescent="0.25">
      <c r="A2585" t="str">
        <f>"17/02/2020"</f>
        <v>17/02/2020</v>
      </c>
      <c r="B2585" t="str">
        <f>"0.6428"</f>
        <v>0.6428</v>
      </c>
      <c r="C2585" t="str">
        <f>"0.643"</f>
        <v>0.643</v>
      </c>
    </row>
    <row r="2586" spans="1:3" x14ac:dyDescent="0.25">
      <c r="A2586" t="str">
        <f>"18/02/2020"</f>
        <v>18/02/2020</v>
      </c>
      <c r="B2586" t="str">
        <f>"0.6396"</f>
        <v>0.6396</v>
      </c>
      <c r="C2586" t="str">
        <f>"0.6398"</f>
        <v>0.6398</v>
      </c>
    </row>
    <row r="2587" spans="1:3" x14ac:dyDescent="0.25">
      <c r="A2587" t="str">
        <f>"20/02/2020"</f>
        <v>20/02/2020</v>
      </c>
      <c r="B2587" t="str">
        <f>"0.6335"</f>
        <v>0.6335</v>
      </c>
      <c r="C2587" t="str">
        <f>"0.6337"</f>
        <v>0.6337</v>
      </c>
    </row>
    <row r="2588" spans="1:3" x14ac:dyDescent="0.25">
      <c r="A2588" t="str">
        <f>"24/02/2020"</f>
        <v>24/02/2020</v>
      </c>
      <c r="B2588" t="str">
        <f>"0.6324"</f>
        <v>0.6324</v>
      </c>
      <c r="C2588" t="str">
        <f>"0.6326"</f>
        <v>0.6326</v>
      </c>
    </row>
    <row r="2589" spans="1:3" x14ac:dyDescent="0.25">
      <c r="A2589" t="str">
        <f>"25/02/2020"</f>
        <v>25/02/2020</v>
      </c>
      <c r="B2589" t="str">
        <f>"0.6324"</f>
        <v>0.6324</v>
      </c>
      <c r="C2589" t="str">
        <f>"0.6326"</f>
        <v>0.6326</v>
      </c>
    </row>
    <row r="2590" spans="1:3" x14ac:dyDescent="0.25">
      <c r="A2590" t="str">
        <f>"26/02/2020"</f>
        <v>26/02/2020</v>
      </c>
      <c r="B2590" t="str">
        <f>"0.6297"</f>
        <v>0.6297</v>
      </c>
      <c r="C2590" t="str">
        <f>"0.6299"</f>
        <v>0.6299</v>
      </c>
    </row>
    <row r="2591" spans="1:3" x14ac:dyDescent="0.25">
      <c r="A2591" t="str">
        <f>"27/02/2020"</f>
        <v>27/02/2020</v>
      </c>
      <c r="B2591" t="str">
        <f>"0.6315"</f>
        <v>0.6315</v>
      </c>
      <c r="C2591" t="str">
        <f>"0.6317"</f>
        <v>0.6317</v>
      </c>
    </row>
    <row r="2592" spans="1:3" x14ac:dyDescent="0.25">
      <c r="A2592" t="str">
        <f>"28/02/2020"</f>
        <v>28/02/2020</v>
      </c>
      <c r="B2592" t="str">
        <f>"0.6232"</f>
        <v>0.6232</v>
      </c>
      <c r="C2592" t="str">
        <f>"0.6234"</f>
        <v>0.6234</v>
      </c>
    </row>
    <row r="2593" spans="1:3" x14ac:dyDescent="0.25">
      <c r="A2593" t="str">
        <f>"02/03/2020"</f>
        <v>02/03/2020</v>
      </c>
      <c r="B2593" t="str">
        <f>"0.6261"</f>
        <v>0.6261</v>
      </c>
      <c r="C2593" t="str">
        <f>"0.6262"</f>
        <v>0.6262</v>
      </c>
    </row>
    <row r="2594" spans="1:3" x14ac:dyDescent="0.25">
      <c r="A2594" t="str">
        <f>"03/03/2020"</f>
        <v>03/03/2020</v>
      </c>
      <c r="B2594" t="str">
        <f>"0.6267"</f>
        <v>0.6267</v>
      </c>
      <c r="C2594" t="str">
        <f>"0.6268"</f>
        <v>0.6268</v>
      </c>
    </row>
    <row r="2595" spans="1:3" x14ac:dyDescent="0.25">
      <c r="A2595" t="str">
        <f>"04/03/2020"</f>
        <v>04/03/2020</v>
      </c>
      <c r="B2595" t="str">
        <f>"0.6301"</f>
        <v>0.6301</v>
      </c>
      <c r="C2595" t="str">
        <f>"0.63"</f>
        <v>0.63</v>
      </c>
    </row>
    <row r="2596" spans="1:3" x14ac:dyDescent="0.25">
      <c r="A2596" t="str">
        <f>"05/03/2020"</f>
        <v>05/03/2020</v>
      </c>
      <c r="B2596" t="str">
        <f>"0.6316"</f>
        <v>0.6316</v>
      </c>
      <c r="C2596" t="str">
        <f>"0.6315"</f>
        <v>0.6315</v>
      </c>
    </row>
    <row r="2597" spans="1:3" x14ac:dyDescent="0.25">
      <c r="A2597" t="str">
        <f>"06/03/2020"</f>
        <v>06/03/2020</v>
      </c>
      <c r="B2597" t="str">
        <f>"0.6363"</f>
        <v>0.6363</v>
      </c>
      <c r="C2597" t="str">
        <f>"0.6359"</f>
        <v>0.6359</v>
      </c>
    </row>
    <row r="2598" spans="1:3" x14ac:dyDescent="0.25">
      <c r="A2598" t="str">
        <f>"09/03/2020"</f>
        <v>09/03/2020</v>
      </c>
      <c r="B2598" t="str">
        <f>"0.625"</f>
        <v>0.625</v>
      </c>
      <c r="C2598" t="str">
        <f>"0.6245"</f>
        <v>0.6245</v>
      </c>
    </row>
    <row r="2599" spans="1:3" x14ac:dyDescent="0.25">
      <c r="A2599" t="str">
        <f>"11/03/2020"</f>
        <v>11/03/2020</v>
      </c>
      <c r="B2599" t="str">
        <f>"0.6324"</f>
        <v>0.6324</v>
      </c>
      <c r="C2599" t="str">
        <f>"0.6321"</f>
        <v>0.6321</v>
      </c>
    </row>
    <row r="2600" spans="1:3" x14ac:dyDescent="0.25">
      <c r="A2600" t="str">
        <f>"12/03/2020"</f>
        <v>12/03/2020</v>
      </c>
      <c r="B2600" t="str">
        <f>"0.6201"</f>
        <v>0.6201</v>
      </c>
      <c r="C2600" t="str">
        <f>"0.6198"</f>
        <v>0.6198</v>
      </c>
    </row>
    <row r="2601" spans="1:3" x14ac:dyDescent="0.25">
      <c r="A2601" t="str">
        <f>"13/03/2020"</f>
        <v>13/03/2020</v>
      </c>
      <c r="B2601" t="str">
        <f>"0.6151"</f>
        <v>0.6151</v>
      </c>
      <c r="C2601" t="str">
        <f>"0.6147"</f>
        <v>0.6147</v>
      </c>
    </row>
    <row r="2602" spans="1:3" x14ac:dyDescent="0.25">
      <c r="A2602" t="str">
        <f>"16/03/2020"</f>
        <v>16/03/2020</v>
      </c>
      <c r="B2602" t="str">
        <f>"0.6048"</f>
        <v>0.6048</v>
      </c>
      <c r="C2602" t="str">
        <f>"0.6044"</f>
        <v>0.6044</v>
      </c>
    </row>
    <row r="2603" spans="1:3" x14ac:dyDescent="0.25">
      <c r="A2603" t="str">
        <f>"17/03/2020"</f>
        <v>17/03/2020</v>
      </c>
      <c r="B2603" t="str">
        <f>"0.6058"</f>
        <v>0.6058</v>
      </c>
      <c r="C2603" t="str">
        <f>"0.6054"</f>
        <v>0.6054</v>
      </c>
    </row>
    <row r="2604" spans="1:3" x14ac:dyDescent="0.25">
      <c r="A2604" t="str">
        <f>"18/03/2020"</f>
        <v>18/03/2020</v>
      </c>
      <c r="B2604" t="str">
        <f>"0.586"</f>
        <v>0.586</v>
      </c>
      <c r="C2604" t="str">
        <f>"0.5857"</f>
        <v>0.5857</v>
      </c>
    </row>
    <row r="2605" spans="1:3" x14ac:dyDescent="0.25">
      <c r="A2605" t="str">
        <f>"19/03/2020"</f>
        <v>19/03/2020</v>
      </c>
      <c r="B2605" t="str">
        <f>"0.5666"</f>
        <v>0.5666</v>
      </c>
      <c r="C2605" t="str">
        <f>"0.5661"</f>
        <v>0.5661</v>
      </c>
    </row>
    <row r="2606" spans="1:3" x14ac:dyDescent="0.25">
      <c r="A2606" t="str">
        <f>"20/03/2020"</f>
        <v>20/03/2020</v>
      </c>
      <c r="B2606" t="str">
        <f>"0.5753"</f>
        <v>0.5753</v>
      </c>
      <c r="C2606" t="str">
        <f>"0.5747"</f>
        <v>0.5747</v>
      </c>
    </row>
    <row r="2607" spans="1:3" x14ac:dyDescent="0.25">
      <c r="A2607" t="str">
        <f>"23/03/2020"</f>
        <v>23/03/2020</v>
      </c>
      <c r="B2607" t="str">
        <f>"0.5623"</f>
        <v>0.5623</v>
      </c>
      <c r="C2607" t="str">
        <f>"0.5618"</f>
        <v>0.5618</v>
      </c>
    </row>
    <row r="2608" spans="1:3" x14ac:dyDescent="0.25">
      <c r="A2608" t="str">
        <f>"24/03/2020"</f>
        <v>24/03/2020</v>
      </c>
      <c r="B2608" t="str">
        <f>"0.5787"</f>
        <v>0.5787</v>
      </c>
      <c r="C2608" t="str">
        <f>"0.5783"</f>
        <v>0.5783</v>
      </c>
    </row>
    <row r="2609" spans="1:3" x14ac:dyDescent="0.25">
      <c r="A2609" t="str">
        <f>"26/03/2020"</f>
        <v>26/03/2020</v>
      </c>
      <c r="B2609" t="str">
        <f>"0.5893"</f>
        <v>0.5893</v>
      </c>
      <c r="C2609" t="str">
        <f>"0.5892"</f>
        <v>0.5892</v>
      </c>
    </row>
    <row r="2610" spans="1:3" x14ac:dyDescent="0.25">
      <c r="A2610" t="str">
        <f>"27/03/2020"</f>
        <v>27/03/2020</v>
      </c>
      <c r="B2610" t="str">
        <f>"0.5942"</f>
        <v>0.5942</v>
      </c>
      <c r="C2610" t="str">
        <f>"0.5941"</f>
        <v>0.5941</v>
      </c>
    </row>
    <row r="2611" spans="1:3" x14ac:dyDescent="0.25">
      <c r="A2611" t="str">
        <f>"30/03/2020"</f>
        <v>30/03/2020</v>
      </c>
      <c r="B2611" t="str">
        <f>"0.6003"</f>
        <v>0.6003</v>
      </c>
      <c r="C2611" t="str">
        <f>"0.6001"</f>
        <v>0.6001</v>
      </c>
    </row>
    <row r="2612" spans="1:3" x14ac:dyDescent="0.25">
      <c r="A2612" t="str">
        <f>"31/03/2020"</f>
        <v>31/03/2020</v>
      </c>
      <c r="B2612" t="str">
        <f>"0.6025"</f>
        <v>0.6025</v>
      </c>
      <c r="C2612" t="str">
        <f>"0.6023"</f>
        <v>0.6023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76FE4-4D12-48FC-873E-477B70559765}">
  <dimension ref="A2:C2612"/>
  <sheetViews>
    <sheetView topLeftCell="A4" workbookViewId="0">
      <selection activeCell="C2612" sqref="C2612"/>
    </sheetView>
  </sheetViews>
  <sheetFormatPr defaultRowHeight="15" x14ac:dyDescent="0.25"/>
  <cols>
    <col min="1" max="1" width="10.7109375" bestFit="1" customWidth="1"/>
    <col min="2" max="3" width="7.5703125" bestFit="1" customWidth="1"/>
  </cols>
  <sheetData>
    <row r="2" spans="1:3" x14ac:dyDescent="0.25">
      <c r="A2" t="str">
        <f>"29/05/2009"</f>
        <v>29/05/2009</v>
      </c>
      <c r="B2" t="str">
        <f>"47.5475"</f>
        <v>47.5475</v>
      </c>
      <c r="C2" t="str">
        <f>"47.5475"</f>
        <v>47.5475</v>
      </c>
    </row>
    <row r="3" spans="1:3" x14ac:dyDescent="0.25">
      <c r="A3" t="str">
        <f>"01/06/2009"</f>
        <v>01/06/2009</v>
      </c>
      <c r="B3" t="str">
        <f>"47.19"</f>
        <v>47.19</v>
      </c>
      <c r="C3" t="str">
        <f>"47.19"</f>
        <v>47.19</v>
      </c>
    </row>
    <row r="4" spans="1:3" x14ac:dyDescent="0.25">
      <c r="A4" t="str">
        <f>"02/06/2009"</f>
        <v>02/06/2009</v>
      </c>
      <c r="B4" t="str">
        <f>"47.165"</f>
        <v>47.165</v>
      </c>
      <c r="C4" t="str">
        <f>"47.165"</f>
        <v>47.165</v>
      </c>
    </row>
    <row r="5" spans="1:3" x14ac:dyDescent="0.25">
      <c r="A5" t="str">
        <f>"03/06/2009"</f>
        <v>03/06/2009</v>
      </c>
      <c r="B5" t="str">
        <f>"47.25"</f>
        <v>47.25</v>
      </c>
      <c r="C5" t="str">
        <f>"47.25"</f>
        <v>47.25</v>
      </c>
    </row>
    <row r="6" spans="1:3" x14ac:dyDescent="0.25">
      <c r="A6" t="str">
        <f>"04/06/2009"</f>
        <v>04/06/2009</v>
      </c>
      <c r="B6" t="str">
        <f>"47.345"</f>
        <v>47.345</v>
      </c>
      <c r="C6" t="str">
        <f>"47.345"</f>
        <v>47.345</v>
      </c>
    </row>
    <row r="7" spans="1:3" x14ac:dyDescent="0.25">
      <c r="A7" t="str">
        <f>"05/06/2009"</f>
        <v>05/06/2009</v>
      </c>
      <c r="B7" t="str">
        <f>"47.29"</f>
        <v>47.29</v>
      </c>
      <c r="C7" t="str">
        <f>"47.29"</f>
        <v>47.29</v>
      </c>
    </row>
    <row r="8" spans="1:3" x14ac:dyDescent="0.25">
      <c r="A8" t="str">
        <f>"08/06/2009"</f>
        <v>08/06/2009</v>
      </c>
      <c r="B8" t="str">
        <f>"47.47"</f>
        <v>47.47</v>
      </c>
      <c r="C8" t="str">
        <f>"47.47"</f>
        <v>47.47</v>
      </c>
    </row>
    <row r="9" spans="1:3" x14ac:dyDescent="0.25">
      <c r="A9" t="str">
        <f>"09/06/2009"</f>
        <v>09/06/2009</v>
      </c>
      <c r="B9" t="str">
        <f>"47.71"</f>
        <v>47.71</v>
      </c>
      <c r="C9" t="str">
        <f>"47.71"</f>
        <v>47.71</v>
      </c>
    </row>
    <row r="10" spans="1:3" x14ac:dyDescent="0.25">
      <c r="A10" t="str">
        <f>"10/06/2009"</f>
        <v>10/06/2009</v>
      </c>
      <c r="B10" t="str">
        <f>"47.545"</f>
        <v>47.545</v>
      </c>
      <c r="C10" t="str">
        <f>"47.545"</f>
        <v>47.545</v>
      </c>
    </row>
    <row r="11" spans="1:3" x14ac:dyDescent="0.25">
      <c r="A11" t="str">
        <f>"11/06/2009"</f>
        <v>11/06/2009</v>
      </c>
      <c r="B11" t="str">
        <f>"47.70"</f>
        <v>47.70</v>
      </c>
      <c r="C11" t="str">
        <f>"47.70"</f>
        <v>47.70</v>
      </c>
    </row>
    <row r="12" spans="1:3" x14ac:dyDescent="0.25">
      <c r="A12" t="str">
        <f>"12/06/2009"</f>
        <v>12/06/2009</v>
      </c>
      <c r="B12" t="str">
        <f>"47.89"</f>
        <v>47.89</v>
      </c>
      <c r="C12" t="str">
        <f>"47.89"</f>
        <v>47.89</v>
      </c>
    </row>
    <row r="13" spans="1:3" x14ac:dyDescent="0.25">
      <c r="A13" t="str">
        <f>"15/06/2009"</f>
        <v>15/06/2009</v>
      </c>
      <c r="B13" t="str">
        <f>"48.20"</f>
        <v>48.20</v>
      </c>
      <c r="C13" t="str">
        <f>"48.20"</f>
        <v>48.20</v>
      </c>
    </row>
    <row r="14" spans="1:3" x14ac:dyDescent="0.25">
      <c r="A14" t="str">
        <f>"16/06/2009"</f>
        <v>16/06/2009</v>
      </c>
      <c r="B14" t="str">
        <f>"48.43"</f>
        <v>48.43</v>
      </c>
      <c r="C14" t="str">
        <f>"48.43"</f>
        <v>48.43</v>
      </c>
    </row>
    <row r="15" spans="1:3" x14ac:dyDescent="0.25">
      <c r="A15" t="str">
        <f>"17/06/2009"</f>
        <v>17/06/2009</v>
      </c>
      <c r="B15" t="str">
        <f>"48.43"</f>
        <v>48.43</v>
      </c>
      <c r="C15" t="str">
        <f>"48.43"</f>
        <v>48.43</v>
      </c>
    </row>
    <row r="16" spans="1:3" x14ac:dyDescent="0.25">
      <c r="A16" t="str">
        <f>"18/06/2009"</f>
        <v>18/06/2009</v>
      </c>
      <c r="B16" t="str">
        <f>"48.50"</f>
        <v>48.50</v>
      </c>
      <c r="C16" t="str">
        <f>"48.50"</f>
        <v>48.50</v>
      </c>
    </row>
    <row r="17" spans="1:3" x14ac:dyDescent="0.25">
      <c r="A17" t="str">
        <f>"19/06/2009"</f>
        <v>19/06/2009</v>
      </c>
      <c r="B17" t="str">
        <f>"48.46"</f>
        <v>48.46</v>
      </c>
      <c r="C17" t="str">
        <f>"48.61"</f>
        <v>48.61</v>
      </c>
    </row>
    <row r="18" spans="1:3" x14ac:dyDescent="0.25">
      <c r="A18" t="str">
        <f>"22/06/2009"</f>
        <v>22/06/2009</v>
      </c>
      <c r="B18" t="str">
        <f>"48.395"</f>
        <v>48.395</v>
      </c>
      <c r="C18" t="str">
        <f>"48.535"</f>
        <v>48.535</v>
      </c>
    </row>
    <row r="19" spans="1:3" x14ac:dyDescent="0.25">
      <c r="A19" t="str">
        <f>"23/06/2009"</f>
        <v>23/06/2009</v>
      </c>
      <c r="B19" t="str">
        <f>"48.61"</f>
        <v>48.61</v>
      </c>
      <c r="C19" t="str">
        <f>"48.748"</f>
        <v>48.748</v>
      </c>
    </row>
    <row r="20" spans="1:3" x14ac:dyDescent="0.25">
      <c r="A20" t="str">
        <f>"24/06/2009"</f>
        <v>24/06/2009</v>
      </c>
      <c r="B20" t="str">
        <f>"48.22"</f>
        <v>48.22</v>
      </c>
      <c r="C20" t="str">
        <f>"48.365"</f>
        <v>48.365</v>
      </c>
    </row>
    <row r="21" spans="1:3" x14ac:dyDescent="0.25">
      <c r="A21" t="str">
        <f>"25/06/2009"</f>
        <v>25/06/2009</v>
      </c>
      <c r="B21" t="str">
        <f>"48.26"</f>
        <v>48.26</v>
      </c>
      <c r="C21" t="str">
        <f>"48.405"</f>
        <v>48.405</v>
      </c>
    </row>
    <row r="22" spans="1:3" x14ac:dyDescent="0.25">
      <c r="A22" t="str">
        <f>"26/06/2009"</f>
        <v>26/06/2009</v>
      </c>
      <c r="B22" t="str">
        <f>"48.30"</f>
        <v>48.30</v>
      </c>
      <c r="C22" t="str">
        <f>"48.44"</f>
        <v>48.44</v>
      </c>
    </row>
    <row r="23" spans="1:3" x14ac:dyDescent="0.25">
      <c r="A23" t="str">
        <f>"29/06/2009"</f>
        <v>29/06/2009</v>
      </c>
      <c r="B23" t="str">
        <f>"48.29"</f>
        <v>48.29</v>
      </c>
      <c r="C23" t="str">
        <f>"48.433"</f>
        <v>48.433</v>
      </c>
    </row>
    <row r="24" spans="1:3" x14ac:dyDescent="0.25">
      <c r="A24" t="str">
        <f>"30/06/2009"</f>
        <v>30/06/2009</v>
      </c>
      <c r="B24" t="str">
        <f>"48.195"</f>
        <v>48.195</v>
      </c>
      <c r="C24" t="str">
        <f>"48.34"</f>
        <v>48.34</v>
      </c>
    </row>
    <row r="25" spans="1:3" x14ac:dyDescent="0.25">
      <c r="A25" t="str">
        <f>"01/07/2009"</f>
        <v>01/07/2009</v>
      </c>
      <c r="B25" t="str">
        <f>"48.195"</f>
        <v>48.195</v>
      </c>
      <c r="C25" t="str">
        <f>"48.342"</f>
        <v>48.342</v>
      </c>
    </row>
    <row r="26" spans="1:3" x14ac:dyDescent="0.25">
      <c r="A26" t="str">
        <f>"03/07/2009"</f>
        <v>03/07/2009</v>
      </c>
      <c r="B26" t="str">
        <f>"48.21"</f>
        <v>48.21</v>
      </c>
      <c r="C26" t="str">
        <f>"48.357"</f>
        <v>48.357</v>
      </c>
    </row>
    <row r="27" spans="1:3" x14ac:dyDescent="0.25">
      <c r="A27" t="str">
        <f>"06/07/2009"</f>
        <v>06/07/2009</v>
      </c>
      <c r="B27" t="str">
        <f>"48.15"</f>
        <v>48.15</v>
      </c>
      <c r="C27" t="str">
        <f>"48.33"</f>
        <v>48.33</v>
      </c>
    </row>
    <row r="28" spans="1:3" x14ac:dyDescent="0.25">
      <c r="A28" t="str">
        <f>"07/07/2009"</f>
        <v>07/07/2009</v>
      </c>
      <c r="B28" t="str">
        <f>"48.22"</f>
        <v>48.22</v>
      </c>
      <c r="C28" t="str">
        <f>"48.375"</f>
        <v>48.375</v>
      </c>
    </row>
    <row r="29" spans="1:3" x14ac:dyDescent="0.25">
      <c r="A29" t="str">
        <f>"08/07/2009"</f>
        <v>08/07/2009</v>
      </c>
      <c r="B29" t="str">
        <f>"48.35"</f>
        <v>48.35</v>
      </c>
      <c r="C29" t="str">
        <f>"48.498"</f>
        <v>48.498</v>
      </c>
    </row>
    <row r="30" spans="1:3" x14ac:dyDescent="0.25">
      <c r="A30" t="str">
        <f>"09/07/2009"</f>
        <v>09/07/2009</v>
      </c>
      <c r="B30" t="str">
        <f>"48.25"</f>
        <v>48.25</v>
      </c>
      <c r="C30" t="str">
        <f>"48.395"</f>
        <v>48.395</v>
      </c>
    </row>
    <row r="31" spans="1:3" x14ac:dyDescent="0.25">
      <c r="A31" t="str">
        <f>"10/07/2009"</f>
        <v>10/07/2009</v>
      </c>
      <c r="B31" t="str">
        <f>"48.19"</f>
        <v>48.19</v>
      </c>
      <c r="C31" t="str">
        <f>"48.34"</f>
        <v>48.34</v>
      </c>
    </row>
    <row r="32" spans="1:3" x14ac:dyDescent="0.25">
      <c r="A32" t="str">
        <f>"13/07/2009"</f>
        <v>13/07/2009</v>
      </c>
      <c r="B32" t="str">
        <f>"48.2475"</f>
        <v>48.2475</v>
      </c>
      <c r="C32" t="str">
        <f>"48.3975"</f>
        <v>48.3975</v>
      </c>
    </row>
    <row r="33" spans="1:3" x14ac:dyDescent="0.25">
      <c r="A33" t="str">
        <f>"14/07/2009"</f>
        <v>14/07/2009</v>
      </c>
      <c r="B33" t="str">
        <f>"48.29"</f>
        <v>48.29</v>
      </c>
      <c r="C33" t="str">
        <f>"48.45"</f>
        <v>48.45</v>
      </c>
    </row>
    <row r="34" spans="1:3" x14ac:dyDescent="0.25">
      <c r="A34" t="str">
        <f>"15/07/2009"</f>
        <v>15/07/2009</v>
      </c>
      <c r="B34" t="str">
        <f>"48.16"</f>
        <v>48.16</v>
      </c>
      <c r="C34" t="str">
        <f>"48.315"</f>
        <v>48.315</v>
      </c>
    </row>
    <row r="35" spans="1:3" x14ac:dyDescent="0.25">
      <c r="A35" t="str">
        <f>"16/07/2009"</f>
        <v>16/07/2009</v>
      </c>
      <c r="B35" t="str">
        <f>"48.035"</f>
        <v>48.035</v>
      </c>
      <c r="C35" t="str">
        <f>"48.19"</f>
        <v>48.19</v>
      </c>
    </row>
    <row r="36" spans="1:3" x14ac:dyDescent="0.25">
      <c r="A36" t="str">
        <f>"17/07/2009"</f>
        <v>17/07/2009</v>
      </c>
      <c r="B36" t="str">
        <f>"48.08"</f>
        <v>48.08</v>
      </c>
      <c r="C36" t="str">
        <f>"48.235"</f>
        <v>48.235</v>
      </c>
    </row>
    <row r="37" spans="1:3" x14ac:dyDescent="0.25">
      <c r="A37" t="str">
        <f>"20/07/2009"</f>
        <v>20/07/2009</v>
      </c>
      <c r="B37" t="str">
        <f>"47.98"</f>
        <v>47.98</v>
      </c>
      <c r="C37" t="str">
        <f>"48.148"</f>
        <v>48.148</v>
      </c>
    </row>
    <row r="38" spans="1:3" x14ac:dyDescent="0.25">
      <c r="A38" t="str">
        <f>"21/07/2009"</f>
        <v>21/07/2009</v>
      </c>
      <c r="B38" t="str">
        <f>"48.105"</f>
        <v>48.105</v>
      </c>
      <c r="C38" t="str">
        <f>"48.27"</f>
        <v>48.27</v>
      </c>
    </row>
    <row r="39" spans="1:3" x14ac:dyDescent="0.25">
      <c r="A39" t="str">
        <f>"22/07/2009"</f>
        <v>22/07/2009</v>
      </c>
      <c r="B39" t="str">
        <f>"48.125"</f>
        <v>48.125</v>
      </c>
      <c r="C39" t="str">
        <f>"48.29"</f>
        <v>48.29</v>
      </c>
    </row>
    <row r="40" spans="1:3" x14ac:dyDescent="0.25">
      <c r="A40" t="str">
        <f>"23/07/2009"</f>
        <v>23/07/2009</v>
      </c>
      <c r="B40" t="str">
        <f>"48.15"</f>
        <v>48.15</v>
      </c>
      <c r="C40" t="str">
        <f>"48.305"</f>
        <v>48.305</v>
      </c>
    </row>
    <row r="41" spans="1:3" x14ac:dyDescent="0.25">
      <c r="A41" t="str">
        <f>"24/07/2009"</f>
        <v>24/07/2009</v>
      </c>
      <c r="B41" t="str">
        <f>"48.125"</f>
        <v>48.125</v>
      </c>
      <c r="C41" t="str">
        <f>"48.282"</f>
        <v>48.282</v>
      </c>
    </row>
    <row r="42" spans="1:3" x14ac:dyDescent="0.25">
      <c r="A42" t="str">
        <f>"27/07/2009"</f>
        <v>27/07/2009</v>
      </c>
      <c r="B42" t="str">
        <f>"48.0775"</f>
        <v>48.0775</v>
      </c>
      <c r="C42" t="str">
        <f>"48.3575"</f>
        <v>48.3575</v>
      </c>
    </row>
    <row r="43" spans="1:3" x14ac:dyDescent="0.25">
      <c r="A43" t="str">
        <f>"28/07/2009"</f>
        <v>28/07/2009</v>
      </c>
      <c r="B43" t="str">
        <f>"48.11"</f>
        <v>48.11</v>
      </c>
      <c r="C43" t="str">
        <f>"48.27"</f>
        <v>48.27</v>
      </c>
    </row>
    <row r="44" spans="1:3" x14ac:dyDescent="0.25">
      <c r="A44" t="str">
        <f>"29/07/2009"</f>
        <v>29/07/2009</v>
      </c>
      <c r="B44" t="str">
        <f>"48.09"</f>
        <v>48.09</v>
      </c>
      <c r="C44" t="str">
        <f>"48.378"</f>
        <v>48.378</v>
      </c>
    </row>
    <row r="45" spans="1:3" x14ac:dyDescent="0.25">
      <c r="A45" t="str">
        <f>"30/07/2009"</f>
        <v>30/07/2009</v>
      </c>
      <c r="B45" t="str">
        <f>"48.16"</f>
        <v>48.16</v>
      </c>
      <c r="C45" t="str">
        <f>"48.30"</f>
        <v>48.30</v>
      </c>
    </row>
    <row r="46" spans="1:3" x14ac:dyDescent="0.25">
      <c r="A46" t="str">
        <f>"31/07/2009"</f>
        <v>31/07/2009</v>
      </c>
      <c r="B46" t="str">
        <f>"48.065"</f>
        <v>48.065</v>
      </c>
      <c r="C46" t="str">
        <f>"48.218"</f>
        <v>48.218</v>
      </c>
    </row>
    <row r="47" spans="1:3" x14ac:dyDescent="0.25">
      <c r="A47" t="str">
        <f>"03/08/2009"</f>
        <v>03/08/2009</v>
      </c>
      <c r="B47" t="str">
        <f>"48.065"</f>
        <v>48.065</v>
      </c>
      <c r="C47" t="str">
        <f>"48.22"</f>
        <v>48.22</v>
      </c>
    </row>
    <row r="48" spans="1:3" x14ac:dyDescent="0.25">
      <c r="A48" t="str">
        <f>"04/08/2009"</f>
        <v>04/08/2009</v>
      </c>
      <c r="B48" t="str">
        <f>"47.905"</f>
        <v>47.905</v>
      </c>
      <c r="C48" t="str">
        <f>"48.069"</f>
        <v>48.069</v>
      </c>
    </row>
    <row r="49" spans="1:3" x14ac:dyDescent="0.25">
      <c r="A49" t="str">
        <f>"05/08/2009"</f>
        <v>05/08/2009</v>
      </c>
      <c r="B49" t="str">
        <f>"47.86"</f>
        <v>47.86</v>
      </c>
      <c r="C49" t="str">
        <f>"48.06"</f>
        <v>48.06</v>
      </c>
    </row>
    <row r="50" spans="1:3" x14ac:dyDescent="0.25">
      <c r="A50" t="str">
        <f>"06/08/2009"</f>
        <v>06/08/2009</v>
      </c>
      <c r="B50" t="str">
        <f>"47.77"</f>
        <v>47.77</v>
      </c>
      <c r="C50" t="str">
        <f>"47.929"</f>
        <v>47.929</v>
      </c>
    </row>
    <row r="51" spans="1:3" x14ac:dyDescent="0.25">
      <c r="A51" t="str">
        <f>"07/08/2009"</f>
        <v>07/08/2009</v>
      </c>
      <c r="B51" t="str">
        <f>"47.81"</f>
        <v>47.81</v>
      </c>
      <c r="C51" t="str">
        <f>"47.965"</f>
        <v>47.965</v>
      </c>
    </row>
    <row r="52" spans="1:3" x14ac:dyDescent="0.25">
      <c r="A52" t="str">
        <f>"10/08/2009"</f>
        <v>10/08/2009</v>
      </c>
      <c r="B52" t="str">
        <f>"47.71"</f>
        <v>47.71</v>
      </c>
      <c r="C52" t="str">
        <f>"47.865"</f>
        <v>47.865</v>
      </c>
    </row>
    <row r="53" spans="1:3" x14ac:dyDescent="0.25">
      <c r="A53" t="str">
        <f>"11/08/2009"</f>
        <v>11/08/2009</v>
      </c>
      <c r="B53" t="str">
        <f>"47.77"</f>
        <v>47.77</v>
      </c>
      <c r="C53" t="str">
        <f>"47.94"</f>
        <v>47.94</v>
      </c>
    </row>
    <row r="54" spans="1:3" x14ac:dyDescent="0.25">
      <c r="A54" t="str">
        <f>"12/08/2009"</f>
        <v>12/08/2009</v>
      </c>
      <c r="B54" t="str">
        <f>"47.90"</f>
        <v>47.90</v>
      </c>
      <c r="C54" t="str">
        <f>"48.10"</f>
        <v>48.10</v>
      </c>
    </row>
    <row r="55" spans="1:3" x14ac:dyDescent="0.25">
      <c r="A55" t="str">
        <f>"13/08/2009"</f>
        <v>13/08/2009</v>
      </c>
      <c r="B55" t="str">
        <f>"47.96"</f>
        <v>47.96</v>
      </c>
      <c r="C55" t="str">
        <f>"48.122"</f>
        <v>48.122</v>
      </c>
    </row>
    <row r="56" spans="1:3" x14ac:dyDescent="0.25">
      <c r="A56" t="str">
        <f>"14/08/2009"</f>
        <v>14/08/2009</v>
      </c>
      <c r="B56" t="str">
        <f>"47.97"</f>
        <v>47.97</v>
      </c>
      <c r="C56" t="str">
        <f>"48.13"</f>
        <v>48.13</v>
      </c>
    </row>
    <row r="57" spans="1:3" x14ac:dyDescent="0.25">
      <c r="A57" t="str">
        <f>"17/08/2009"</f>
        <v>17/08/2009</v>
      </c>
      <c r="B57" t="str">
        <f>"48.3275"</f>
        <v>48.3275</v>
      </c>
      <c r="C57" t="str">
        <f>"48.4855"</f>
        <v>48.4855</v>
      </c>
    </row>
    <row r="58" spans="1:3" x14ac:dyDescent="0.25">
      <c r="A58" t="str">
        <f>"18/08/2009"</f>
        <v>18/08/2009</v>
      </c>
      <c r="B58" t="str">
        <f>"48.36"</f>
        <v>48.36</v>
      </c>
      <c r="C58" t="str">
        <f>"48.53"</f>
        <v>48.53</v>
      </c>
    </row>
    <row r="59" spans="1:3" x14ac:dyDescent="0.25">
      <c r="A59" t="str">
        <f>"20/08/2009"</f>
        <v>20/08/2009</v>
      </c>
      <c r="B59" t="str">
        <f>"48.51"</f>
        <v>48.51</v>
      </c>
      <c r="C59" t="str">
        <f>"48.667"</f>
        <v>48.667</v>
      </c>
    </row>
    <row r="60" spans="1:3" x14ac:dyDescent="0.25">
      <c r="A60" t="str">
        <f>"21/08/2009"</f>
        <v>21/08/2009</v>
      </c>
      <c r="B60" t="str">
        <f>"48.42"</f>
        <v>48.42</v>
      </c>
      <c r="C60" t="str">
        <f>"48.542"</f>
        <v>48.542</v>
      </c>
    </row>
    <row r="61" spans="1:3" x14ac:dyDescent="0.25">
      <c r="A61" t="str">
        <f>"24/08/2009"</f>
        <v>24/08/2009</v>
      </c>
      <c r="B61" t="str">
        <f>"48.33"</f>
        <v>48.33</v>
      </c>
      <c r="C61" t="str">
        <f>"48.487"</f>
        <v>48.487</v>
      </c>
    </row>
    <row r="62" spans="1:3" x14ac:dyDescent="0.25">
      <c r="A62" t="str">
        <f>"25/08/2009"</f>
        <v>25/08/2009</v>
      </c>
      <c r="B62" t="str">
        <f>"48.60"</f>
        <v>48.60</v>
      </c>
      <c r="C62" t="str">
        <f>"48.768"</f>
        <v>48.768</v>
      </c>
    </row>
    <row r="63" spans="1:3" x14ac:dyDescent="0.25">
      <c r="A63" t="str">
        <f>"26/08/2009"</f>
        <v>26/08/2009</v>
      </c>
      <c r="B63" t="str">
        <f>"48.72"</f>
        <v>48.72</v>
      </c>
      <c r="C63" t="str">
        <f>"48.884"</f>
        <v>48.884</v>
      </c>
    </row>
    <row r="64" spans="1:3" x14ac:dyDescent="0.25">
      <c r="A64" t="str">
        <f>"27/08/2009"</f>
        <v>27/08/2009</v>
      </c>
      <c r="B64" t="str">
        <f>"48.92"</f>
        <v>48.92</v>
      </c>
      <c r="C64" t="str">
        <f>"49.082"</f>
        <v>49.082</v>
      </c>
    </row>
    <row r="65" spans="1:3" x14ac:dyDescent="0.25">
      <c r="A65" t="str">
        <f>"28/08/2009"</f>
        <v>28/08/2009</v>
      </c>
      <c r="B65" t="str">
        <f>"48.83"</f>
        <v>48.83</v>
      </c>
      <c r="C65" t="str">
        <f>"48.979"</f>
        <v>48.979</v>
      </c>
    </row>
    <row r="66" spans="1:3" x14ac:dyDescent="0.25">
      <c r="A66" t="str">
        <f>"31/08/2009"</f>
        <v>31/08/2009</v>
      </c>
      <c r="B66" t="str">
        <f>"48.805"</f>
        <v>48.805</v>
      </c>
      <c r="C66" t="str">
        <f>"48.96"</f>
        <v>48.96</v>
      </c>
    </row>
    <row r="67" spans="1:3" x14ac:dyDescent="0.25">
      <c r="A67" t="str">
        <f>"01/09/2009"</f>
        <v>01/09/2009</v>
      </c>
      <c r="B67" t="str">
        <f>"48.86"</f>
        <v>48.86</v>
      </c>
      <c r="C67" t="str">
        <f>"49.021"</f>
        <v>49.021</v>
      </c>
    </row>
    <row r="68" spans="1:3" x14ac:dyDescent="0.25">
      <c r="A68" t="str">
        <f>"02/09/2009"</f>
        <v>02/09/2009</v>
      </c>
      <c r="B68" t="str">
        <f>"48.905"</f>
        <v>48.905</v>
      </c>
      <c r="C68" t="str">
        <f>"49.068"</f>
        <v>49.068</v>
      </c>
    </row>
    <row r="69" spans="1:3" x14ac:dyDescent="0.25">
      <c r="A69" t="str">
        <f>"03/09/2009"</f>
        <v>03/09/2009</v>
      </c>
      <c r="B69" t="str">
        <f>"48.805"</f>
        <v>48.805</v>
      </c>
      <c r="C69" t="str">
        <f>"48.965"</f>
        <v>48.965</v>
      </c>
    </row>
    <row r="70" spans="1:3" x14ac:dyDescent="0.25">
      <c r="A70" t="str">
        <f>"04/09/2009"</f>
        <v>04/09/2009</v>
      </c>
      <c r="B70" t="str">
        <f>"48.695"</f>
        <v>48.695</v>
      </c>
      <c r="C70" t="str">
        <f>"48.853"</f>
        <v>48.853</v>
      </c>
    </row>
    <row r="71" spans="1:3" x14ac:dyDescent="0.25">
      <c r="A71" t="str">
        <f>"07/09/2009"</f>
        <v>07/09/2009</v>
      </c>
      <c r="B71" t="str">
        <f>"48.62"</f>
        <v>48.62</v>
      </c>
      <c r="C71" t="str">
        <f>"48.80"</f>
        <v>48.80</v>
      </c>
    </row>
    <row r="72" spans="1:3" x14ac:dyDescent="0.25">
      <c r="A72" t="str">
        <f>"08/09/2009"</f>
        <v>08/09/2009</v>
      </c>
      <c r="B72" t="str">
        <f>"48.43"</f>
        <v>48.43</v>
      </c>
      <c r="C72" t="str">
        <f>"48.59"</f>
        <v>48.59</v>
      </c>
    </row>
    <row r="73" spans="1:3" x14ac:dyDescent="0.25">
      <c r="A73" t="str">
        <f>"09/09/2009"</f>
        <v>09/09/2009</v>
      </c>
      <c r="B73" t="str">
        <f>"48.295"</f>
        <v>48.295</v>
      </c>
      <c r="C73" t="str">
        <f>"48.466"</f>
        <v>48.466</v>
      </c>
    </row>
    <row r="74" spans="1:3" x14ac:dyDescent="0.25">
      <c r="A74" t="str">
        <f>"10/09/2009"</f>
        <v>10/09/2009</v>
      </c>
      <c r="B74" t="str">
        <f>"48.31"</f>
        <v>48.31</v>
      </c>
      <c r="C74" t="str">
        <f>"48.475"</f>
        <v>48.475</v>
      </c>
    </row>
    <row r="75" spans="1:3" x14ac:dyDescent="0.25">
      <c r="A75" t="str">
        <f>"11/09/2009"</f>
        <v>11/09/2009</v>
      </c>
      <c r="B75" t="str">
        <f>"48.28"</f>
        <v>48.28</v>
      </c>
      <c r="C75" t="str">
        <f>"48.435"</f>
        <v>48.435</v>
      </c>
    </row>
    <row r="76" spans="1:3" x14ac:dyDescent="0.25">
      <c r="A76" t="str">
        <f>"14/09/2009"</f>
        <v>14/09/2009</v>
      </c>
      <c r="B76" t="str">
        <f>"48.42"</f>
        <v>48.42</v>
      </c>
      <c r="C76" t="str">
        <f>"48.575"</f>
        <v>48.575</v>
      </c>
    </row>
    <row r="77" spans="1:3" x14ac:dyDescent="0.25">
      <c r="A77" t="str">
        <f>"15/09/2009"</f>
        <v>15/09/2009</v>
      </c>
      <c r="B77" t="str">
        <f>"48.37"</f>
        <v>48.37</v>
      </c>
      <c r="C77" t="str">
        <f>"48.524"</f>
        <v>48.524</v>
      </c>
    </row>
    <row r="78" spans="1:3" x14ac:dyDescent="0.25">
      <c r="A78" t="str">
        <f>"16/09/2009"</f>
        <v>16/09/2009</v>
      </c>
      <c r="B78" t="str">
        <f>"48.13"</f>
        <v>48.13</v>
      </c>
      <c r="C78" t="str">
        <f>"48.293"</f>
        <v>48.293</v>
      </c>
    </row>
    <row r="79" spans="1:3" x14ac:dyDescent="0.25">
      <c r="A79" t="str">
        <f>"17/09/2009"</f>
        <v>17/09/2009</v>
      </c>
      <c r="B79" t="str">
        <f>"47.775"</f>
        <v>47.775</v>
      </c>
      <c r="C79" t="str">
        <f>"47.93"</f>
        <v>47.93</v>
      </c>
    </row>
    <row r="80" spans="1:3" x14ac:dyDescent="0.25">
      <c r="A80" t="str">
        <f>"18/09/2009"</f>
        <v>18/09/2009</v>
      </c>
      <c r="B80" t="str">
        <f>"47.64"</f>
        <v>47.64</v>
      </c>
      <c r="C80" t="str">
        <f>"47.793"</f>
        <v>47.793</v>
      </c>
    </row>
    <row r="81" spans="1:3" x14ac:dyDescent="0.25">
      <c r="A81" t="str">
        <f>"22/09/2009"</f>
        <v>22/09/2009</v>
      </c>
      <c r="B81" t="str">
        <f>"47.6225"</f>
        <v>47.6225</v>
      </c>
      <c r="C81" t="str">
        <f>"47.7765"</f>
        <v>47.7765</v>
      </c>
    </row>
    <row r="82" spans="1:3" x14ac:dyDescent="0.25">
      <c r="A82" t="str">
        <f>"23/09/2009"</f>
        <v>23/09/2009</v>
      </c>
      <c r="B82" t="str">
        <f>"47.345"</f>
        <v>47.345</v>
      </c>
      <c r="C82" t="str">
        <f>"47.51"</f>
        <v>47.51</v>
      </c>
    </row>
    <row r="83" spans="1:3" x14ac:dyDescent="0.25">
      <c r="A83" t="str">
        <f>"24/09/2009"</f>
        <v>24/09/2009</v>
      </c>
      <c r="B83" t="str">
        <f>"47.54"</f>
        <v>47.54</v>
      </c>
      <c r="C83" t="str">
        <f>"47.70"</f>
        <v>47.70</v>
      </c>
    </row>
    <row r="84" spans="1:3" x14ac:dyDescent="0.25">
      <c r="A84" t="str">
        <f>"25/09/2009"</f>
        <v>25/09/2009</v>
      </c>
      <c r="B84" t="str">
        <f>"47.37"</f>
        <v>47.37</v>
      </c>
      <c r="C84" t="str">
        <f>"47.53"</f>
        <v>47.53</v>
      </c>
    </row>
    <row r="85" spans="1:3" x14ac:dyDescent="0.25">
      <c r="A85" t="str">
        <f>"29/09/2009"</f>
        <v>29/09/2009</v>
      </c>
      <c r="B85" t="str">
        <f>"47.56"</f>
        <v>47.56</v>
      </c>
      <c r="C85" t="str">
        <f>"47.727"</f>
        <v>47.727</v>
      </c>
    </row>
    <row r="86" spans="1:3" x14ac:dyDescent="0.25">
      <c r="A86" t="str">
        <f>"01/10/2009"</f>
        <v>01/10/2009</v>
      </c>
      <c r="B86" t="str">
        <f>"47.21"</f>
        <v>47.21</v>
      </c>
      <c r="C86" t="str">
        <f>"47.385"</f>
        <v>47.385</v>
      </c>
    </row>
    <row r="87" spans="1:3" x14ac:dyDescent="0.25">
      <c r="A87" t="str">
        <f>"05/10/2009"</f>
        <v>05/10/2009</v>
      </c>
      <c r="B87" t="str">
        <f>"46.79"</f>
        <v>46.79</v>
      </c>
      <c r="C87" t="str">
        <f>"46.955"</f>
        <v>46.955</v>
      </c>
    </row>
    <row r="88" spans="1:3" x14ac:dyDescent="0.25">
      <c r="A88" t="str">
        <f>"06/10/2009"</f>
        <v>06/10/2009</v>
      </c>
      <c r="B88" t="str">
        <f>"46.52"</f>
        <v>46.52</v>
      </c>
      <c r="C88" t="str">
        <f>"46.68"</f>
        <v>46.68</v>
      </c>
    </row>
    <row r="89" spans="1:3" x14ac:dyDescent="0.25">
      <c r="A89" t="str">
        <f>"07/10/2009"</f>
        <v>07/10/2009</v>
      </c>
      <c r="B89" t="str">
        <f>"46.69"</f>
        <v>46.69</v>
      </c>
      <c r="C89" t="str">
        <f>"46.83"</f>
        <v>46.83</v>
      </c>
    </row>
    <row r="90" spans="1:3" x14ac:dyDescent="0.25">
      <c r="A90" t="str">
        <f>"08/10/2009"</f>
        <v>08/10/2009</v>
      </c>
      <c r="B90" t="str">
        <f>"46.475"</f>
        <v>46.475</v>
      </c>
      <c r="C90" t="str">
        <f>"46.623"</f>
        <v>46.623</v>
      </c>
    </row>
    <row r="91" spans="1:3" x14ac:dyDescent="0.25">
      <c r="A91" t="str">
        <f>"09/10/2009"</f>
        <v>09/10/2009</v>
      </c>
      <c r="B91" t="str">
        <f>"46.57"</f>
        <v>46.57</v>
      </c>
      <c r="C91" t="str">
        <f>"46.71"</f>
        <v>46.71</v>
      </c>
    </row>
    <row r="92" spans="1:3" x14ac:dyDescent="0.25">
      <c r="A92" t="str">
        <f>"12/10/2009"</f>
        <v>12/10/2009</v>
      </c>
      <c r="B92" t="str">
        <f>"46.535"</f>
        <v>46.535</v>
      </c>
      <c r="C92" t="str">
        <f>"46.685"</f>
        <v>46.685</v>
      </c>
    </row>
    <row r="93" spans="1:3" x14ac:dyDescent="0.25">
      <c r="A93" t="str">
        <f>"14/10/2009"</f>
        <v>14/10/2009</v>
      </c>
      <c r="B93" t="str">
        <f>"46.46"</f>
        <v>46.46</v>
      </c>
      <c r="C93" t="str">
        <f>"46.618"</f>
        <v>46.618</v>
      </c>
    </row>
    <row r="94" spans="1:3" x14ac:dyDescent="0.25">
      <c r="A94" t="str">
        <f>"15/10/2009"</f>
        <v>15/10/2009</v>
      </c>
      <c r="B94" t="str">
        <f>"46.255"</f>
        <v>46.255</v>
      </c>
      <c r="C94" t="str">
        <f>"46.40"</f>
        <v>46.40</v>
      </c>
    </row>
    <row r="95" spans="1:3" x14ac:dyDescent="0.25">
      <c r="A95" t="str">
        <f>"16/10/2009"</f>
        <v>16/10/2009</v>
      </c>
      <c r="B95" t="str">
        <f>"46.36"</f>
        <v>46.36</v>
      </c>
      <c r="C95" t="str">
        <f>"46.513"</f>
        <v>46.513</v>
      </c>
    </row>
    <row r="96" spans="1:3" x14ac:dyDescent="0.25">
      <c r="A96" t="str">
        <f>"20/10/2009"</f>
        <v>20/10/2009</v>
      </c>
      <c r="B96" t="str">
        <f>"46.52"</f>
        <v>46.52</v>
      </c>
      <c r="C96" t="str">
        <f>"46.687"</f>
        <v>46.687</v>
      </c>
    </row>
    <row r="97" spans="1:3" x14ac:dyDescent="0.25">
      <c r="A97" t="str">
        <f>"21/10/2009"</f>
        <v>21/10/2009</v>
      </c>
      <c r="B97" t="str">
        <f>"46.99"</f>
        <v>46.99</v>
      </c>
      <c r="C97" t="str">
        <f>"47.15"</f>
        <v>47.15</v>
      </c>
    </row>
    <row r="98" spans="1:3" x14ac:dyDescent="0.25">
      <c r="A98" t="str">
        <f>"22/10/2009"</f>
        <v>22/10/2009</v>
      </c>
      <c r="B98" t="str">
        <f>"47.10"</f>
        <v>47.10</v>
      </c>
      <c r="C98" t="str">
        <f>"47.253"</f>
        <v>47.253</v>
      </c>
    </row>
    <row r="99" spans="1:3" x14ac:dyDescent="0.25">
      <c r="A99" t="str">
        <f>"23/10/2009"</f>
        <v>23/10/2009</v>
      </c>
      <c r="B99" t="str">
        <f>"47.11"</f>
        <v>47.11</v>
      </c>
      <c r="C99" t="str">
        <f>"47.263"</f>
        <v>47.263</v>
      </c>
    </row>
    <row r="100" spans="1:3" x14ac:dyDescent="0.25">
      <c r="A100" t="str">
        <f>"26/10/2009"</f>
        <v>26/10/2009</v>
      </c>
      <c r="B100" t="str">
        <f>"46.98"</f>
        <v>46.98</v>
      </c>
      <c r="C100" t="str">
        <f>"47.13"</f>
        <v>47.13</v>
      </c>
    </row>
    <row r="101" spans="1:3" x14ac:dyDescent="0.25">
      <c r="A101" t="str">
        <f>"27/10/2009"</f>
        <v>27/10/2009</v>
      </c>
      <c r="B101" t="str">
        <f>"47.17"</f>
        <v>47.17</v>
      </c>
      <c r="C101" t="str">
        <f>"47.318"</f>
        <v>47.318</v>
      </c>
    </row>
    <row r="102" spans="1:3" x14ac:dyDescent="0.25">
      <c r="A102" t="str">
        <f>"28/10/2009"</f>
        <v>28/10/2009</v>
      </c>
      <c r="B102" t="str">
        <f>"47.38"</f>
        <v>47.38</v>
      </c>
      <c r="C102" t="str">
        <f>"47.522"</f>
        <v>47.522</v>
      </c>
    </row>
    <row r="103" spans="1:3" x14ac:dyDescent="0.25">
      <c r="A103" t="str">
        <f>"29/10/2009"</f>
        <v>29/10/2009</v>
      </c>
      <c r="B103" t="str">
        <f>"47.80"</f>
        <v>47.80</v>
      </c>
      <c r="C103" t="str">
        <f>"47.939"</f>
        <v>47.939</v>
      </c>
    </row>
    <row r="104" spans="1:3" x14ac:dyDescent="0.25">
      <c r="A104" t="str">
        <f>"30/10/2009"</f>
        <v>30/10/2009</v>
      </c>
      <c r="B104" t="str">
        <f>"47.50"</f>
        <v>47.50</v>
      </c>
      <c r="C104" t="str">
        <f>"47.658"</f>
        <v>47.658</v>
      </c>
    </row>
    <row r="105" spans="1:3" x14ac:dyDescent="0.25">
      <c r="A105" t="str">
        <f>"03/11/2009"</f>
        <v>03/11/2009</v>
      </c>
      <c r="B105" t="str">
        <f>"47.62"</f>
        <v>47.62</v>
      </c>
      <c r="C105" t="str">
        <f>"47.787"</f>
        <v>47.787</v>
      </c>
    </row>
    <row r="106" spans="1:3" x14ac:dyDescent="0.25">
      <c r="A106" t="str">
        <f>"04/11/2009"</f>
        <v>04/11/2009</v>
      </c>
      <c r="B106" t="str">
        <f>"47.73"</f>
        <v>47.73</v>
      </c>
      <c r="C106" t="str">
        <f>"47.91"</f>
        <v>47.91</v>
      </c>
    </row>
    <row r="107" spans="1:3" x14ac:dyDescent="0.25">
      <c r="A107" t="str">
        <f>"05/11/2009"</f>
        <v>05/11/2009</v>
      </c>
      <c r="B107" t="str">
        <f>"47.59"</f>
        <v>47.59</v>
      </c>
      <c r="C107" t="str">
        <f>"47.76"</f>
        <v>47.76</v>
      </c>
    </row>
    <row r="108" spans="1:3" x14ac:dyDescent="0.25">
      <c r="A108" t="str">
        <f>"06/11/2009"</f>
        <v>06/11/2009</v>
      </c>
      <c r="B108" t="str">
        <f>"47.34"</f>
        <v>47.34</v>
      </c>
      <c r="C108" t="str">
        <f>"47.498"</f>
        <v>47.498</v>
      </c>
    </row>
    <row r="109" spans="1:3" x14ac:dyDescent="0.25">
      <c r="A109" t="str">
        <f>"09/11/2009"</f>
        <v>09/11/2009</v>
      </c>
      <c r="B109" t="str">
        <f>"47.01"</f>
        <v>47.01</v>
      </c>
      <c r="C109" t="str">
        <f>"47.163"</f>
        <v>47.163</v>
      </c>
    </row>
    <row r="110" spans="1:3" x14ac:dyDescent="0.25">
      <c r="A110" t="str">
        <f>"10/11/2009"</f>
        <v>10/11/2009</v>
      </c>
      <c r="B110" t="str">
        <f>"46.80"</f>
        <v>46.80</v>
      </c>
      <c r="C110" t="str">
        <f>"46.963"</f>
        <v>46.963</v>
      </c>
    </row>
    <row r="111" spans="1:3" x14ac:dyDescent="0.25">
      <c r="A111" t="str">
        <f>"11/11/2009"</f>
        <v>11/11/2009</v>
      </c>
      <c r="B111" t="str">
        <f>"46.90"</f>
        <v>46.90</v>
      </c>
      <c r="C111" t="str">
        <f>"47.08"</f>
        <v>47.08</v>
      </c>
    </row>
    <row r="112" spans="1:3" x14ac:dyDescent="0.25">
      <c r="A112" t="str">
        <f>"12/11/2009"</f>
        <v>12/11/2009</v>
      </c>
      <c r="B112" t="str">
        <f>"46.67"</f>
        <v>46.67</v>
      </c>
      <c r="C112" t="str">
        <f>"46.785"</f>
        <v>46.785</v>
      </c>
    </row>
    <row r="113" spans="1:3" x14ac:dyDescent="0.25">
      <c r="A113" t="str">
        <f>"13/11/2009"</f>
        <v>13/11/2009</v>
      </c>
      <c r="B113" t="str">
        <f>"46.80"</f>
        <v>46.80</v>
      </c>
      <c r="C113" t="str">
        <f>"46.961"</f>
        <v>46.961</v>
      </c>
    </row>
    <row r="114" spans="1:3" x14ac:dyDescent="0.25">
      <c r="A114" t="str">
        <f>"16/11/2009"</f>
        <v>16/11/2009</v>
      </c>
      <c r="B114" t="str">
        <f>"46.54"</f>
        <v>46.54</v>
      </c>
      <c r="C114" t="str">
        <f>"46.697"</f>
        <v>46.697</v>
      </c>
    </row>
    <row r="115" spans="1:3" x14ac:dyDescent="0.25">
      <c r="A115" t="str">
        <f>"17/11/2009"</f>
        <v>17/11/2009</v>
      </c>
      <c r="B115" t="str">
        <f>"46.67"</f>
        <v>46.67</v>
      </c>
      <c r="C115" t="str">
        <f>"46.825"</f>
        <v>46.825</v>
      </c>
    </row>
    <row r="116" spans="1:3" x14ac:dyDescent="0.25">
      <c r="A116" t="str">
        <f>"18/11/2009"</f>
        <v>18/11/2009</v>
      </c>
      <c r="B116" t="str">
        <f>"46.72"</f>
        <v>46.72</v>
      </c>
      <c r="C116" t="str">
        <f>"46.88"</f>
        <v>46.88</v>
      </c>
    </row>
    <row r="117" spans="1:3" x14ac:dyDescent="0.25">
      <c r="A117" t="str">
        <f>"19/11/2009"</f>
        <v>19/11/2009</v>
      </c>
      <c r="B117" t="str">
        <f>"46.87"</f>
        <v>46.87</v>
      </c>
      <c r="C117" t="str">
        <f>"47.028"</f>
        <v>47.028</v>
      </c>
    </row>
    <row r="118" spans="1:3" x14ac:dyDescent="0.25">
      <c r="A118" t="str">
        <f>"20/11/2009"</f>
        <v>20/11/2009</v>
      </c>
      <c r="B118" t="str">
        <f>"47.18"</f>
        <v>47.18</v>
      </c>
      <c r="C118" t="str">
        <f>"47.334"</f>
        <v>47.334</v>
      </c>
    </row>
    <row r="119" spans="1:3" x14ac:dyDescent="0.25">
      <c r="A119" t="str">
        <f>"23/11/2009"</f>
        <v>23/11/2009</v>
      </c>
      <c r="B119" t="str">
        <f>"47.01"</f>
        <v>47.01</v>
      </c>
      <c r="C119" t="str">
        <f>"47.183"</f>
        <v>47.183</v>
      </c>
    </row>
    <row r="120" spans="1:3" x14ac:dyDescent="0.25">
      <c r="A120" t="str">
        <f>"24/11/2009"</f>
        <v>24/11/2009</v>
      </c>
      <c r="B120" t="str">
        <f>"47.085"</f>
        <v>47.085</v>
      </c>
      <c r="C120" t="str">
        <f>"47.255"</f>
        <v>47.255</v>
      </c>
    </row>
    <row r="121" spans="1:3" x14ac:dyDescent="0.25">
      <c r="A121" t="str">
        <f>"25/11/2009"</f>
        <v>25/11/2009</v>
      </c>
      <c r="B121" t="str">
        <f>"46.78"</f>
        <v>46.78</v>
      </c>
      <c r="C121" t="str">
        <f>"46.948"</f>
        <v>46.948</v>
      </c>
    </row>
    <row r="122" spans="1:3" x14ac:dyDescent="0.25">
      <c r="A122" t="str">
        <f>"26/11/2009"</f>
        <v>26/11/2009</v>
      </c>
      <c r="B122" t="str">
        <f>"46.74"</f>
        <v>46.74</v>
      </c>
      <c r="C122" t="str">
        <f>"46.914"</f>
        <v>46.914</v>
      </c>
    </row>
    <row r="123" spans="1:3" x14ac:dyDescent="0.25">
      <c r="A123" t="str">
        <f>"27/11/2009"</f>
        <v>27/11/2009</v>
      </c>
      <c r="B123" t="str">
        <f>"47.1625"</f>
        <v>47.1625</v>
      </c>
      <c r="C123" t="str">
        <f>"47.3525"</f>
        <v>47.3525</v>
      </c>
    </row>
    <row r="124" spans="1:3" x14ac:dyDescent="0.25">
      <c r="A124" t="str">
        <f>"30/11/2009"</f>
        <v>30/11/2009</v>
      </c>
      <c r="B124" t="str">
        <f>"47.22"</f>
        <v>47.22</v>
      </c>
      <c r="C124" t="str">
        <f>"47.415"</f>
        <v>47.415</v>
      </c>
    </row>
    <row r="125" spans="1:3" x14ac:dyDescent="0.25">
      <c r="A125" t="str">
        <f>"01/12/2009"</f>
        <v>01/12/2009</v>
      </c>
      <c r="B125" t="str">
        <f>"47.00"</f>
        <v>47.00</v>
      </c>
      <c r="C125" t="str">
        <f>"47.23"</f>
        <v>47.23</v>
      </c>
    </row>
    <row r="126" spans="1:3" x14ac:dyDescent="0.25">
      <c r="A126" t="str">
        <f>"02/12/2009"</f>
        <v>02/12/2009</v>
      </c>
      <c r="B126" t="str">
        <f>"46.53"</f>
        <v>46.53</v>
      </c>
      <c r="C126" t="str">
        <f>"46.74"</f>
        <v>46.74</v>
      </c>
    </row>
    <row r="127" spans="1:3" x14ac:dyDescent="0.25">
      <c r="A127" t="str">
        <f>"03/12/2009"</f>
        <v>03/12/2009</v>
      </c>
      <c r="B127" t="str">
        <f>"46.545"</f>
        <v>46.545</v>
      </c>
      <c r="C127" t="str">
        <f>"46.74"</f>
        <v>46.74</v>
      </c>
    </row>
    <row r="128" spans="1:3" x14ac:dyDescent="0.25">
      <c r="A128" t="str">
        <f>"04/12/2009"</f>
        <v>04/12/2009</v>
      </c>
      <c r="B128" t="str">
        <f>"46.4345"</f>
        <v>46.4345</v>
      </c>
      <c r="C128" t="str">
        <f>"46.6395"</f>
        <v>46.6395</v>
      </c>
    </row>
    <row r="129" spans="1:3" x14ac:dyDescent="0.25">
      <c r="A129" t="str">
        <f>"07/12/2009"</f>
        <v>07/12/2009</v>
      </c>
      <c r="B129" t="str">
        <f>"46.075"</f>
        <v>46.075</v>
      </c>
      <c r="C129" t="str">
        <f>"46.275"</f>
        <v>46.275</v>
      </c>
    </row>
    <row r="130" spans="1:3" x14ac:dyDescent="0.25">
      <c r="A130" t="str">
        <f>"08/12/2009"</f>
        <v>08/12/2009</v>
      </c>
      <c r="B130" t="str">
        <f>"46.0655"</f>
        <v>46.0655</v>
      </c>
      <c r="C130" t="str">
        <f>"46.2605"</f>
        <v>46.2605</v>
      </c>
    </row>
    <row r="131" spans="1:3" x14ac:dyDescent="0.25">
      <c r="A131" t="str">
        <f>"09/12/2009"</f>
        <v>09/12/2009</v>
      </c>
      <c r="B131" t="str">
        <f>"46.33"</f>
        <v>46.33</v>
      </c>
      <c r="C131" t="str">
        <f>"46.51"</f>
        <v>46.51</v>
      </c>
    </row>
    <row r="132" spans="1:3" x14ac:dyDescent="0.25">
      <c r="A132" t="str">
        <f>"10/12/2009"</f>
        <v>10/12/2009</v>
      </c>
      <c r="B132" t="str">
        <f>"46.1965"</f>
        <v>46.1965</v>
      </c>
      <c r="C132" t="str">
        <f>"46.3795"</f>
        <v>46.3795</v>
      </c>
    </row>
    <row r="133" spans="1:3" x14ac:dyDescent="0.25">
      <c r="A133" t="str">
        <f>"11/12/2009"</f>
        <v>11/12/2009</v>
      </c>
      <c r="B133" t="str">
        <f>"46.13"</f>
        <v>46.13</v>
      </c>
      <c r="C133" t="str">
        <f>"46.31"</f>
        <v>46.31</v>
      </c>
    </row>
    <row r="134" spans="1:3" x14ac:dyDescent="0.25">
      <c r="A134" t="str">
        <f>"14/12/2009"</f>
        <v>14/12/2009</v>
      </c>
      <c r="B134" t="str">
        <f>"46.35"</f>
        <v>46.35</v>
      </c>
      <c r="C134" t="str">
        <f>"46.528"</f>
        <v>46.528</v>
      </c>
    </row>
    <row r="135" spans="1:3" x14ac:dyDescent="0.25">
      <c r="A135" t="str">
        <f>"15/12/2009"</f>
        <v>15/12/2009</v>
      </c>
      <c r="B135" t="str">
        <f>"46.12"</f>
        <v>46.12</v>
      </c>
      <c r="C135" t="str">
        <f>"46.313"</f>
        <v>46.313</v>
      </c>
    </row>
    <row r="136" spans="1:3" x14ac:dyDescent="0.25">
      <c r="A136" t="str">
        <f>"16/12/2009"</f>
        <v>16/12/2009</v>
      </c>
      <c r="B136" t="str">
        <f>"46.34"</f>
        <v>46.34</v>
      </c>
      <c r="C136" t="str">
        <f>"46.54"</f>
        <v>46.54</v>
      </c>
    </row>
    <row r="137" spans="1:3" x14ac:dyDescent="0.25">
      <c r="A137" t="str">
        <f>"17/12/2009"</f>
        <v>17/12/2009</v>
      </c>
      <c r="B137" t="str">
        <f>"46.48"</f>
        <v>46.48</v>
      </c>
      <c r="C137" t="str">
        <f>"46.675"</f>
        <v>46.675</v>
      </c>
    </row>
    <row r="138" spans="1:3" x14ac:dyDescent="0.25">
      <c r="A138" t="str">
        <f>"18/12/2009"</f>
        <v>18/12/2009</v>
      </c>
      <c r="B138" t="str">
        <f>"46.67"</f>
        <v>46.67</v>
      </c>
      <c r="C138" t="str">
        <f>"46.845"</f>
        <v>46.845</v>
      </c>
    </row>
    <row r="139" spans="1:3" x14ac:dyDescent="0.25">
      <c r="A139" t="str">
        <f>"21/12/2009"</f>
        <v>21/12/2009</v>
      </c>
      <c r="B139" t="str">
        <f>"46.66"</f>
        <v>46.66</v>
      </c>
      <c r="C139" t="str">
        <f>"46.85"</f>
        <v>46.85</v>
      </c>
    </row>
    <row r="140" spans="1:3" x14ac:dyDescent="0.25">
      <c r="A140" t="str">
        <f>"22/12/2009"</f>
        <v>22/12/2009</v>
      </c>
      <c r="B140" t="str">
        <f>"46.62"</f>
        <v>46.62</v>
      </c>
      <c r="C140" t="str">
        <f>"46.82"</f>
        <v>46.82</v>
      </c>
    </row>
    <row r="141" spans="1:3" x14ac:dyDescent="0.25">
      <c r="A141" t="str">
        <f>"23/12/2009"</f>
        <v>23/12/2009</v>
      </c>
      <c r="B141" t="str">
        <f>"46.545"</f>
        <v>46.545</v>
      </c>
      <c r="C141" t="str">
        <f>"46.735"</f>
        <v>46.735</v>
      </c>
    </row>
    <row r="142" spans="1:3" x14ac:dyDescent="0.25">
      <c r="A142" t="str">
        <f>"24/12/2009"</f>
        <v>24/12/2009</v>
      </c>
      <c r="B142" t="str">
        <f>"46.51"</f>
        <v>46.51</v>
      </c>
      <c r="C142" t="str">
        <f>"46.70"</f>
        <v>46.70</v>
      </c>
    </row>
    <row r="143" spans="1:3" x14ac:dyDescent="0.25">
      <c r="A143" t="str">
        <f>"29/12/2009"</f>
        <v>29/12/2009</v>
      </c>
      <c r="B143" t="str">
        <f>"46.54"</f>
        <v>46.54</v>
      </c>
      <c r="C143" t="str">
        <f>"46.725"</f>
        <v>46.725</v>
      </c>
    </row>
    <row r="144" spans="1:3" x14ac:dyDescent="0.25">
      <c r="A144" t="str">
        <f>"30/12/2009"</f>
        <v>30/12/2009</v>
      </c>
      <c r="B144" t="str">
        <f>"46.21"</f>
        <v>46.21</v>
      </c>
      <c r="C144" t="str">
        <f>"46.40"</f>
        <v>46.40</v>
      </c>
    </row>
    <row r="145" spans="1:3" x14ac:dyDescent="0.25">
      <c r="A145" t="str">
        <f>"31/12/2009"</f>
        <v>31/12/2009</v>
      </c>
      <c r="B145" t="str">
        <f>"46.21"</f>
        <v>46.21</v>
      </c>
      <c r="C145" t="str">
        <f>"46.40"</f>
        <v>46.40</v>
      </c>
    </row>
    <row r="146" spans="1:3" x14ac:dyDescent="0.25">
      <c r="A146" t="str">
        <f>"01/01/2010"</f>
        <v>01/01/2010</v>
      </c>
      <c r="B146" t="str">
        <f>"46.50"</f>
        <v>46.50</v>
      </c>
      <c r="C146" t="str">
        <f>"46.685"</f>
        <v>46.685</v>
      </c>
    </row>
    <row r="147" spans="1:3" x14ac:dyDescent="0.25">
      <c r="A147" t="str">
        <f>"04/01/2010"</f>
        <v>04/01/2010</v>
      </c>
      <c r="B147" t="str">
        <f>"46.11"</f>
        <v>46.11</v>
      </c>
      <c r="C147" t="str">
        <f>"46.28"</f>
        <v>46.28</v>
      </c>
    </row>
    <row r="148" spans="1:3" x14ac:dyDescent="0.25">
      <c r="A148" t="str">
        <f>"05/01/2010"</f>
        <v>05/01/2010</v>
      </c>
      <c r="B148" t="str">
        <f>"45.84"</f>
        <v>45.84</v>
      </c>
      <c r="C148" t="str">
        <f>"46.015"</f>
        <v>46.015</v>
      </c>
    </row>
    <row r="149" spans="1:3" x14ac:dyDescent="0.25">
      <c r="A149" t="str">
        <f>"06/01/2010"</f>
        <v>06/01/2010</v>
      </c>
      <c r="B149" t="str">
        <f>"46.01"</f>
        <v>46.01</v>
      </c>
      <c r="C149" t="str">
        <f>"46.19"</f>
        <v>46.19</v>
      </c>
    </row>
    <row r="150" spans="1:3" x14ac:dyDescent="0.25">
      <c r="A150" t="str">
        <f>"07/01/2010"</f>
        <v>07/01/2010</v>
      </c>
      <c r="B150" t="str">
        <f>"45.85"</f>
        <v>45.85</v>
      </c>
      <c r="C150" t="str">
        <f>"46.03"</f>
        <v>46.03</v>
      </c>
    </row>
    <row r="151" spans="1:3" x14ac:dyDescent="0.25">
      <c r="A151" t="str">
        <f>"08/01/2010"</f>
        <v>08/01/2010</v>
      </c>
      <c r="B151" t="str">
        <f>"45.865"</f>
        <v>45.865</v>
      </c>
      <c r="C151" t="str">
        <f>"46.045"</f>
        <v>46.045</v>
      </c>
    </row>
    <row r="152" spans="1:3" x14ac:dyDescent="0.25">
      <c r="A152" t="str">
        <f>"11/01/2010"</f>
        <v>11/01/2010</v>
      </c>
      <c r="B152" t="str">
        <f>"45.51"</f>
        <v>45.51</v>
      </c>
      <c r="C152" t="str">
        <f>"45.69"</f>
        <v>45.69</v>
      </c>
    </row>
    <row r="153" spans="1:3" x14ac:dyDescent="0.25">
      <c r="A153" t="str">
        <f>"12/01/2010"</f>
        <v>12/01/2010</v>
      </c>
      <c r="B153" t="str">
        <f>"45.73"</f>
        <v>45.73</v>
      </c>
      <c r="C153" t="str">
        <f>"45.915"</f>
        <v>45.915</v>
      </c>
    </row>
    <row r="154" spans="1:3" x14ac:dyDescent="0.25">
      <c r="A154" t="str">
        <f>"13/01/2010"</f>
        <v>13/01/2010</v>
      </c>
      <c r="B154" t="str">
        <f>"45.78"</f>
        <v>45.78</v>
      </c>
      <c r="C154" t="str">
        <f>"45.965"</f>
        <v>45.965</v>
      </c>
    </row>
    <row r="155" spans="1:3" x14ac:dyDescent="0.25">
      <c r="A155" t="str">
        <f>"14/01/2010"</f>
        <v>14/01/2010</v>
      </c>
      <c r="B155" t="str">
        <f>"45.77"</f>
        <v>45.77</v>
      </c>
      <c r="C155" t="str">
        <f>"45.94"</f>
        <v>45.94</v>
      </c>
    </row>
    <row r="156" spans="1:3" x14ac:dyDescent="0.25">
      <c r="A156" t="str">
        <f>"15/01/2010"</f>
        <v>15/01/2010</v>
      </c>
      <c r="B156" t="str">
        <f>"45.835"</f>
        <v>45.835</v>
      </c>
      <c r="C156" t="str">
        <f>"46.01"</f>
        <v>46.01</v>
      </c>
    </row>
    <row r="157" spans="1:3" x14ac:dyDescent="0.25">
      <c r="A157" t="str">
        <f>"18/01/2010"</f>
        <v>18/01/2010</v>
      </c>
      <c r="B157" t="str">
        <f>"45.94"</f>
        <v>45.94</v>
      </c>
      <c r="C157" t="str">
        <f>"46.108"</f>
        <v>46.108</v>
      </c>
    </row>
    <row r="158" spans="1:3" x14ac:dyDescent="0.25">
      <c r="A158" t="str">
        <f>"19/01/2010"</f>
        <v>19/01/2010</v>
      </c>
      <c r="B158" t="str">
        <f>"45.8675"</f>
        <v>45.8675</v>
      </c>
      <c r="C158" t="str">
        <f>"46.0475"</f>
        <v>46.0475</v>
      </c>
    </row>
    <row r="159" spans="1:3" x14ac:dyDescent="0.25">
      <c r="A159" t="str">
        <f>"20/01/2010"</f>
        <v>20/01/2010</v>
      </c>
      <c r="B159" t="str">
        <f>"45.95"</f>
        <v>45.95</v>
      </c>
      <c r="C159" t="str">
        <f>"46.125"</f>
        <v>46.125</v>
      </c>
    </row>
    <row r="160" spans="1:3" x14ac:dyDescent="0.25">
      <c r="A160" t="str">
        <f>"21/01/2010"</f>
        <v>21/01/2010</v>
      </c>
      <c r="B160" t="str">
        <f>"46.06"</f>
        <v>46.06</v>
      </c>
      <c r="C160" t="str">
        <f>"46.225"</f>
        <v>46.225</v>
      </c>
    </row>
    <row r="161" spans="1:3" x14ac:dyDescent="0.25">
      <c r="A161" t="str">
        <f>"22/01/2010"</f>
        <v>22/01/2010</v>
      </c>
      <c r="B161" t="str">
        <f>"46.30"</f>
        <v>46.30</v>
      </c>
      <c r="C161" t="str">
        <f>"46.47"</f>
        <v>46.47</v>
      </c>
    </row>
    <row r="162" spans="1:3" x14ac:dyDescent="0.25">
      <c r="A162" t="str">
        <f>"25/01/2010"</f>
        <v>25/01/2010</v>
      </c>
      <c r="B162" t="str">
        <f>"46.185"</f>
        <v>46.185</v>
      </c>
      <c r="C162" t="str">
        <f>"46.57"</f>
        <v>46.57</v>
      </c>
    </row>
    <row r="163" spans="1:3" x14ac:dyDescent="0.25">
      <c r="A163" t="str">
        <f>"27/01/2010"</f>
        <v>27/01/2010</v>
      </c>
      <c r="B163" t="str">
        <f>"46.62"</f>
        <v>46.62</v>
      </c>
      <c r="C163" t="str">
        <f>"46.785"</f>
        <v>46.785</v>
      </c>
    </row>
    <row r="164" spans="1:3" x14ac:dyDescent="0.25">
      <c r="A164" t="str">
        <f>"28/01/2010"</f>
        <v>28/01/2010</v>
      </c>
      <c r="B164" t="str">
        <f>"46.70"</f>
        <v>46.70</v>
      </c>
      <c r="C164" t="str">
        <f>"46.859"</f>
        <v>46.859</v>
      </c>
    </row>
    <row r="165" spans="1:3" x14ac:dyDescent="0.25">
      <c r="A165" t="str">
        <f>"29/01/2010"</f>
        <v>29/01/2010</v>
      </c>
      <c r="B165" t="str">
        <f>"46.66"</f>
        <v>46.66</v>
      </c>
      <c r="C165" t="str">
        <f>"46.82"</f>
        <v>46.82</v>
      </c>
    </row>
    <row r="166" spans="1:3" x14ac:dyDescent="0.25">
      <c r="A166" t="str">
        <f>"01/02/2010"</f>
        <v>01/02/2010</v>
      </c>
      <c r="B166" t="str">
        <f>"46.715"</f>
        <v>46.715</v>
      </c>
      <c r="C166" t="str">
        <f>"46.878"</f>
        <v>46.878</v>
      </c>
    </row>
    <row r="167" spans="1:3" x14ac:dyDescent="0.25">
      <c r="A167" t="str">
        <f>"02/02/2010"</f>
        <v>02/02/2010</v>
      </c>
      <c r="B167" t="str">
        <f>"46.54"</f>
        <v>46.54</v>
      </c>
      <c r="C167" t="str">
        <f>"46.695"</f>
        <v>46.695</v>
      </c>
    </row>
    <row r="168" spans="1:3" x14ac:dyDescent="0.25">
      <c r="A168" t="str">
        <f>"03/02/2010"</f>
        <v>03/02/2010</v>
      </c>
      <c r="B168" t="str">
        <f>"46.27"</f>
        <v>46.27</v>
      </c>
      <c r="C168" t="str">
        <f>"46.415"</f>
        <v>46.415</v>
      </c>
    </row>
    <row r="169" spans="1:3" x14ac:dyDescent="0.25">
      <c r="A169" t="str">
        <f>"04/02/2010"</f>
        <v>04/02/2010</v>
      </c>
      <c r="B169" t="str">
        <f>"46.125"</f>
        <v>46.125</v>
      </c>
      <c r="C169" t="str">
        <f>"46.27"</f>
        <v>46.27</v>
      </c>
    </row>
    <row r="170" spans="1:3" x14ac:dyDescent="0.25">
      <c r="A170" t="str">
        <f>"05/02/2010"</f>
        <v>05/02/2010</v>
      </c>
      <c r="B170" t="str">
        <f>"46.4875"</f>
        <v>46.4875</v>
      </c>
      <c r="C170" t="str">
        <f>"46.6375"</f>
        <v>46.6375</v>
      </c>
    </row>
    <row r="171" spans="1:3" x14ac:dyDescent="0.25">
      <c r="A171" t="str">
        <f>"08/02/2010"</f>
        <v>08/02/2010</v>
      </c>
      <c r="B171" t="str">
        <f>"46.49"</f>
        <v>46.49</v>
      </c>
      <c r="C171" t="str">
        <f>"46.635"</f>
        <v>46.635</v>
      </c>
    </row>
    <row r="172" spans="1:3" x14ac:dyDescent="0.25">
      <c r="A172" t="str">
        <f>"09/02/2010"</f>
        <v>09/02/2010</v>
      </c>
      <c r="B172" t="str">
        <f>"46.65"</f>
        <v>46.65</v>
      </c>
      <c r="C172" t="str">
        <f>"46.81"</f>
        <v>46.81</v>
      </c>
    </row>
    <row r="173" spans="1:3" x14ac:dyDescent="0.25">
      <c r="A173" t="str">
        <f>"10/02/2010"</f>
        <v>10/02/2010</v>
      </c>
      <c r="B173" t="str">
        <f>"46.38"</f>
        <v>46.38</v>
      </c>
      <c r="C173" t="str">
        <f>"46.517"</f>
        <v>46.517</v>
      </c>
    </row>
    <row r="174" spans="1:3" x14ac:dyDescent="0.25">
      <c r="A174" t="str">
        <f>"11/02/2010"</f>
        <v>11/02/2010</v>
      </c>
      <c r="B174" t="str">
        <f>"46.38"</f>
        <v>46.38</v>
      </c>
      <c r="C174" t="str">
        <f>"46.517"</f>
        <v>46.517</v>
      </c>
    </row>
    <row r="175" spans="1:3" x14ac:dyDescent="0.25">
      <c r="A175" t="str">
        <f>"15/02/2010"</f>
        <v>15/02/2010</v>
      </c>
      <c r="B175" t="str">
        <f>"46.3165"</f>
        <v>46.3165</v>
      </c>
      <c r="C175" t="str">
        <f>"46.4535"</f>
        <v>46.4535</v>
      </c>
    </row>
    <row r="176" spans="1:3" x14ac:dyDescent="0.25">
      <c r="A176" t="str">
        <f>"16/02/2010"</f>
        <v>16/02/2010</v>
      </c>
      <c r="B176" t="str">
        <f>"46.17"</f>
        <v>46.17</v>
      </c>
      <c r="C176" t="str">
        <f>"46.313"</f>
        <v>46.313</v>
      </c>
    </row>
    <row r="177" spans="1:3" x14ac:dyDescent="0.25">
      <c r="A177" t="str">
        <f>"17/02/2010"</f>
        <v>17/02/2010</v>
      </c>
      <c r="B177" t="str">
        <f>"45.96"</f>
        <v>45.96</v>
      </c>
      <c r="C177" t="str">
        <f>"46.095"</f>
        <v>46.095</v>
      </c>
    </row>
    <row r="178" spans="1:3" x14ac:dyDescent="0.25">
      <c r="A178" t="str">
        <f>"18/02/2010"</f>
        <v>18/02/2010</v>
      </c>
      <c r="B178" t="str">
        <f>"46.125"</f>
        <v>46.125</v>
      </c>
      <c r="C178" t="str">
        <f>"46.262"</f>
        <v>46.262</v>
      </c>
    </row>
    <row r="179" spans="1:3" x14ac:dyDescent="0.25">
      <c r="A179" t="str">
        <f>"19/02/2010"</f>
        <v>19/02/2010</v>
      </c>
      <c r="B179" t="str">
        <f>"46.315"</f>
        <v>46.315</v>
      </c>
      <c r="C179" t="str">
        <f>"46.454"</f>
        <v>46.454</v>
      </c>
    </row>
    <row r="180" spans="1:3" x14ac:dyDescent="0.25">
      <c r="A180" t="str">
        <f>"22/02/2010"</f>
        <v>22/02/2010</v>
      </c>
      <c r="B180" t="str">
        <f>"46.12"</f>
        <v>46.12</v>
      </c>
      <c r="C180" t="str">
        <f>"46.255"</f>
        <v>46.255</v>
      </c>
    </row>
    <row r="181" spans="1:3" x14ac:dyDescent="0.25">
      <c r="A181" t="str">
        <f>"23/02/2010"</f>
        <v>23/02/2010</v>
      </c>
      <c r="B181" t="str">
        <f>"46.195"</f>
        <v>46.195</v>
      </c>
      <c r="C181" t="str">
        <f>"46.327"</f>
        <v>46.327</v>
      </c>
    </row>
    <row r="182" spans="1:3" x14ac:dyDescent="0.25">
      <c r="A182" t="str">
        <f>"24/02/2010"</f>
        <v>24/02/2010</v>
      </c>
      <c r="B182" t="str">
        <f>"46.14"</f>
        <v>46.14</v>
      </c>
      <c r="C182" t="str">
        <f>"46.27"</f>
        <v>46.27</v>
      </c>
    </row>
    <row r="183" spans="1:3" x14ac:dyDescent="0.25">
      <c r="A183" t="str">
        <f>"25/02/2010"</f>
        <v>25/02/2010</v>
      </c>
      <c r="B183" t="str">
        <f>"46.2125"</f>
        <v>46.2125</v>
      </c>
      <c r="C183" t="str">
        <f>"46.3675"</f>
        <v>46.3675</v>
      </c>
    </row>
    <row r="184" spans="1:3" x14ac:dyDescent="0.25">
      <c r="A184" t="str">
        <f>"26/02/2010"</f>
        <v>26/02/2010</v>
      </c>
      <c r="B184" t="str">
        <f>"46.18"</f>
        <v>46.18</v>
      </c>
      <c r="C184" t="str">
        <f>"46.34"</f>
        <v>46.34</v>
      </c>
    </row>
    <row r="185" spans="1:3" x14ac:dyDescent="0.25">
      <c r="A185" t="str">
        <f>"02/03/2010"</f>
        <v>02/03/2010</v>
      </c>
      <c r="B185" t="str">
        <f>"46.10"</f>
        <v>46.10</v>
      </c>
      <c r="C185" t="str">
        <f>"46.25"</f>
        <v>46.25</v>
      </c>
    </row>
    <row r="186" spans="1:3" x14ac:dyDescent="0.25">
      <c r="A186" t="str">
        <f>"03/03/2010"</f>
        <v>03/03/2010</v>
      </c>
      <c r="B186" t="str">
        <f>"46.035"</f>
        <v>46.035</v>
      </c>
      <c r="C186" t="str">
        <f>"46.18"</f>
        <v>46.18</v>
      </c>
    </row>
    <row r="187" spans="1:3" x14ac:dyDescent="0.25">
      <c r="A187" t="str">
        <f>"04/03/2010"</f>
        <v>04/03/2010</v>
      </c>
      <c r="B187" t="str">
        <f>"46.015"</f>
        <v>46.015</v>
      </c>
      <c r="C187" t="str">
        <f>"46.16"</f>
        <v>46.16</v>
      </c>
    </row>
    <row r="188" spans="1:3" x14ac:dyDescent="0.25">
      <c r="A188" t="str">
        <f>"05/03/2010"</f>
        <v>05/03/2010</v>
      </c>
      <c r="B188" t="str">
        <f>"46.06"</f>
        <v>46.06</v>
      </c>
      <c r="C188" t="str">
        <f>"46.205"</f>
        <v>46.205</v>
      </c>
    </row>
    <row r="189" spans="1:3" x14ac:dyDescent="0.25">
      <c r="A189" t="str">
        <f>"08/03/2010"</f>
        <v>08/03/2010</v>
      </c>
      <c r="B189" t="str">
        <f>"45.935"</f>
        <v>45.935</v>
      </c>
      <c r="C189" t="str">
        <f>"46.095"</f>
        <v>46.095</v>
      </c>
    </row>
    <row r="190" spans="1:3" x14ac:dyDescent="0.25">
      <c r="A190" t="str">
        <f>"09/03/2010"</f>
        <v>09/03/2010</v>
      </c>
      <c r="B190" t="str">
        <f>"45.77"</f>
        <v>45.77</v>
      </c>
      <c r="C190" t="str">
        <f>"45.925"</f>
        <v>45.925</v>
      </c>
    </row>
    <row r="191" spans="1:3" x14ac:dyDescent="0.25">
      <c r="A191" t="str">
        <f>"10/03/2010"</f>
        <v>10/03/2010</v>
      </c>
      <c r="B191" t="str">
        <f>"45.64"</f>
        <v>45.64</v>
      </c>
      <c r="C191" t="str">
        <f>"45.875"</f>
        <v>45.875</v>
      </c>
    </row>
    <row r="192" spans="1:3" x14ac:dyDescent="0.25">
      <c r="A192" t="str">
        <f>"11/03/2010"</f>
        <v>11/03/2010</v>
      </c>
      <c r="B192" t="str">
        <f>"45.71"</f>
        <v>45.71</v>
      </c>
      <c r="C192" t="str">
        <f>"45.857"</f>
        <v>45.857</v>
      </c>
    </row>
    <row r="193" spans="1:3" x14ac:dyDescent="0.25">
      <c r="A193" t="str">
        <f>"12/03/2010"</f>
        <v>12/03/2010</v>
      </c>
      <c r="B193" t="str">
        <f>"45.69"</f>
        <v>45.69</v>
      </c>
      <c r="C193" t="str">
        <f>"45.92"</f>
        <v>45.92</v>
      </c>
    </row>
    <row r="194" spans="1:3" x14ac:dyDescent="0.25">
      <c r="A194" t="str">
        <f>"15/03/2010"</f>
        <v>15/03/2010</v>
      </c>
      <c r="B194" t="str">
        <f>"45.77"</f>
        <v>45.77</v>
      </c>
      <c r="C194" t="str">
        <f>"45.925"</f>
        <v>45.925</v>
      </c>
    </row>
    <row r="195" spans="1:3" x14ac:dyDescent="0.25">
      <c r="A195" t="str">
        <f>"17/03/2010"</f>
        <v>17/03/2010</v>
      </c>
      <c r="B195" t="str">
        <f>"45.62"</f>
        <v>45.62</v>
      </c>
      <c r="C195" t="str">
        <f>"45.777"</f>
        <v>45.777</v>
      </c>
    </row>
    <row r="196" spans="1:3" x14ac:dyDescent="0.25">
      <c r="A196" t="str">
        <f>"18/03/2010"</f>
        <v>18/03/2010</v>
      </c>
      <c r="B196" t="str">
        <f>"45.64"</f>
        <v>45.64</v>
      </c>
      <c r="C196" t="str">
        <f>"45.795"</f>
        <v>45.795</v>
      </c>
    </row>
    <row r="197" spans="1:3" x14ac:dyDescent="0.25">
      <c r="A197" t="str">
        <f>"19/03/2010"</f>
        <v>19/03/2010</v>
      </c>
      <c r="B197" t="str">
        <f>"45.5825"</f>
        <v>45.5825</v>
      </c>
      <c r="C197" t="str">
        <f>"45.7325"</f>
        <v>45.7325</v>
      </c>
    </row>
    <row r="198" spans="1:3" x14ac:dyDescent="0.25">
      <c r="A198" t="str">
        <f>"22/03/2010"</f>
        <v>22/03/2010</v>
      </c>
      <c r="B198" t="str">
        <f>"45.665"</f>
        <v>45.665</v>
      </c>
      <c r="C198" t="str">
        <f>"45.815"</f>
        <v>45.815</v>
      </c>
    </row>
    <row r="199" spans="1:3" x14ac:dyDescent="0.25">
      <c r="A199" t="str">
        <f>"23/03/2010"</f>
        <v>23/03/2010</v>
      </c>
      <c r="B199" t="str">
        <f>"45.53"</f>
        <v>45.53</v>
      </c>
      <c r="C199" t="str">
        <f>"45.69"</f>
        <v>45.69</v>
      </c>
    </row>
    <row r="200" spans="1:3" x14ac:dyDescent="0.25">
      <c r="A200" t="str">
        <f>"25/03/2010"</f>
        <v>25/03/2010</v>
      </c>
      <c r="B200" t="str">
        <f>"45.64"</f>
        <v>45.64</v>
      </c>
      <c r="C200" t="str">
        <f>"45.793"</f>
        <v>45.793</v>
      </c>
    </row>
    <row r="201" spans="1:3" x14ac:dyDescent="0.25">
      <c r="A201" t="str">
        <f>"26/03/2010"</f>
        <v>26/03/2010</v>
      </c>
      <c r="B201" t="str">
        <f>"45.545"</f>
        <v>45.545</v>
      </c>
      <c r="C201" t="str">
        <f>"45.701"</f>
        <v>45.701</v>
      </c>
    </row>
    <row r="202" spans="1:3" x14ac:dyDescent="0.25">
      <c r="A202" t="str">
        <f>"29/03/2010"</f>
        <v>29/03/2010</v>
      </c>
      <c r="B202" t="str">
        <f>"45.34"</f>
        <v>45.34</v>
      </c>
      <c r="C202" t="str">
        <f>"45.498"</f>
        <v>45.498</v>
      </c>
    </row>
    <row r="203" spans="1:3" x14ac:dyDescent="0.25">
      <c r="A203" t="str">
        <f>"30/03/2010"</f>
        <v>30/03/2010</v>
      </c>
      <c r="B203" t="str">
        <f>"45.225"</f>
        <v>45.225</v>
      </c>
      <c r="C203" t="str">
        <f>"45.38"</f>
        <v>45.38</v>
      </c>
    </row>
    <row r="204" spans="1:3" x14ac:dyDescent="0.25">
      <c r="A204" t="str">
        <f>"31/03/2010"</f>
        <v>31/03/2010</v>
      </c>
      <c r="B204" t="str">
        <f>"45.31"</f>
        <v>45.31</v>
      </c>
      <c r="C204" t="str">
        <f>"45.465"</f>
        <v>45.465</v>
      </c>
    </row>
    <row r="205" spans="1:3" x14ac:dyDescent="0.25">
      <c r="A205" t="str">
        <f>"05/04/2010"</f>
        <v>05/04/2010</v>
      </c>
      <c r="B205" t="str">
        <f>"45.0675"</f>
        <v>45.0675</v>
      </c>
      <c r="C205" t="str">
        <f>"45.2195"</f>
        <v>45.2195</v>
      </c>
    </row>
    <row r="206" spans="1:3" x14ac:dyDescent="0.25">
      <c r="A206" t="str">
        <f>"06/04/2010"</f>
        <v>06/04/2010</v>
      </c>
      <c r="B206" t="str">
        <f>"44.9275"</f>
        <v>44.9275</v>
      </c>
      <c r="C206" t="str">
        <f>"45.0775"</f>
        <v>45.0775</v>
      </c>
    </row>
    <row r="207" spans="1:3" x14ac:dyDescent="0.25">
      <c r="A207" t="str">
        <f>"07/04/2010"</f>
        <v>07/04/2010</v>
      </c>
      <c r="B207" t="str">
        <f>"44.78"</f>
        <v>44.78</v>
      </c>
      <c r="C207" t="str">
        <f>"44.942"</f>
        <v>44.942</v>
      </c>
    </row>
    <row r="208" spans="1:3" x14ac:dyDescent="0.25">
      <c r="A208" t="str">
        <f>"08/04/2010"</f>
        <v>08/04/2010</v>
      </c>
      <c r="B208" t="str">
        <f>"44.81"</f>
        <v>44.81</v>
      </c>
      <c r="C208" t="str">
        <f>"44.958"</f>
        <v>44.958</v>
      </c>
    </row>
    <row r="209" spans="1:3" x14ac:dyDescent="0.25">
      <c r="A209" t="str">
        <f>"09/04/2010"</f>
        <v>09/04/2010</v>
      </c>
      <c r="B209" t="str">
        <f>"44.83"</f>
        <v>44.83</v>
      </c>
      <c r="C209" t="str">
        <f>"44.976"</f>
        <v>44.976</v>
      </c>
    </row>
    <row r="210" spans="1:3" x14ac:dyDescent="0.25">
      <c r="A210" t="str">
        <f>"12/04/2010"</f>
        <v>12/04/2010</v>
      </c>
      <c r="B210" t="str">
        <f>"44.8525"</f>
        <v>44.8525</v>
      </c>
      <c r="C210" t="str">
        <f>"44.9985"</f>
        <v>44.9985</v>
      </c>
    </row>
    <row r="211" spans="1:3" x14ac:dyDescent="0.25">
      <c r="A211" t="str">
        <f>"13/04/2010"</f>
        <v>13/04/2010</v>
      </c>
      <c r="B211" t="str">
        <f>"44.78"</f>
        <v>44.78</v>
      </c>
      <c r="C211" t="str">
        <f>"44.927"</f>
        <v>44.927</v>
      </c>
    </row>
    <row r="212" spans="1:3" x14ac:dyDescent="0.25">
      <c r="A212" t="str">
        <f>"15/04/2010"</f>
        <v>15/04/2010</v>
      </c>
      <c r="B212" t="str">
        <f>"44.34"</f>
        <v>44.34</v>
      </c>
      <c r="C212" t="str">
        <f>"44.492"</f>
        <v>44.492</v>
      </c>
    </row>
    <row r="213" spans="1:3" x14ac:dyDescent="0.25">
      <c r="A213" t="str">
        <f>"16/04/2010"</f>
        <v>16/04/2010</v>
      </c>
      <c r="B213" t="str">
        <f>"44.47"</f>
        <v>44.47</v>
      </c>
      <c r="C213" t="str">
        <f>"44.615"</f>
        <v>44.615</v>
      </c>
    </row>
    <row r="214" spans="1:3" x14ac:dyDescent="0.25">
      <c r="A214" t="str">
        <f>"19/04/2010"</f>
        <v>19/04/2010</v>
      </c>
      <c r="B214" t="str">
        <f>"44.60"</f>
        <v>44.60</v>
      </c>
      <c r="C214" t="str">
        <f>"44.748"</f>
        <v>44.748</v>
      </c>
    </row>
    <row r="215" spans="1:3" x14ac:dyDescent="0.25">
      <c r="A215" t="str">
        <f>"20/04/2010"</f>
        <v>20/04/2010</v>
      </c>
      <c r="B215" t="str">
        <f>"44.6075"</f>
        <v>44.6075</v>
      </c>
      <c r="C215" t="str">
        <f>"44.7575"</f>
        <v>44.7575</v>
      </c>
    </row>
    <row r="216" spans="1:3" x14ac:dyDescent="0.25">
      <c r="A216" t="str">
        <f>"21/04/2010"</f>
        <v>21/04/2010</v>
      </c>
      <c r="B216" t="str">
        <f>"44.45"</f>
        <v>44.45</v>
      </c>
      <c r="C216" t="str">
        <f>"44.608"</f>
        <v>44.608</v>
      </c>
    </row>
    <row r="217" spans="1:3" x14ac:dyDescent="0.25">
      <c r="A217" t="str">
        <f>"22/04/2010"</f>
        <v>22/04/2010</v>
      </c>
      <c r="B217" t="str">
        <f>"44.40"</f>
        <v>44.40</v>
      </c>
      <c r="C217" t="str">
        <f>"44.552"</f>
        <v>44.552</v>
      </c>
    </row>
    <row r="218" spans="1:3" x14ac:dyDescent="0.25">
      <c r="A218" t="str">
        <f>"23/04/2010"</f>
        <v>23/04/2010</v>
      </c>
      <c r="B218" t="str">
        <f>"44.425"</f>
        <v>44.425</v>
      </c>
      <c r="C218" t="str">
        <f>"44.584"</f>
        <v>44.584</v>
      </c>
    </row>
    <row r="219" spans="1:3" x14ac:dyDescent="0.25">
      <c r="A219" t="str">
        <f>"26/04/2010"</f>
        <v>26/04/2010</v>
      </c>
      <c r="B219" t="str">
        <f>"44.2175"</f>
        <v>44.2175</v>
      </c>
      <c r="C219" t="str">
        <f>"44.3675"</f>
        <v>44.3675</v>
      </c>
    </row>
    <row r="220" spans="1:3" x14ac:dyDescent="0.25">
      <c r="A220" t="str">
        <f>"27/04/2010"</f>
        <v>27/04/2010</v>
      </c>
      <c r="B220" t="str">
        <f>"44.305"</f>
        <v>44.305</v>
      </c>
      <c r="C220" t="str">
        <f>"44.455"</f>
        <v>44.455</v>
      </c>
    </row>
    <row r="221" spans="1:3" x14ac:dyDescent="0.25">
      <c r="A221" t="str">
        <f>"28/04/2010"</f>
        <v>28/04/2010</v>
      </c>
      <c r="B221" t="str">
        <f>"44.615"</f>
        <v>44.615</v>
      </c>
      <c r="C221" t="str">
        <f>"44.765"</f>
        <v>44.765</v>
      </c>
    </row>
    <row r="222" spans="1:3" x14ac:dyDescent="0.25">
      <c r="A222" t="str">
        <f>"29/04/2010"</f>
        <v>29/04/2010</v>
      </c>
      <c r="B222" t="str">
        <f>"44.65"</f>
        <v>44.65</v>
      </c>
      <c r="C222" t="str">
        <f>"44.793"</f>
        <v>44.793</v>
      </c>
    </row>
    <row r="223" spans="1:3" x14ac:dyDescent="0.25">
      <c r="A223" t="str">
        <f>"30/04/2010"</f>
        <v>30/04/2010</v>
      </c>
      <c r="B223" t="str">
        <f>"44.57"</f>
        <v>44.57</v>
      </c>
      <c r="C223" t="str">
        <f>"44.728"</f>
        <v>44.728</v>
      </c>
    </row>
    <row r="224" spans="1:3" x14ac:dyDescent="0.25">
      <c r="A224" t="str">
        <f>"03/05/2010"</f>
        <v>03/05/2010</v>
      </c>
      <c r="B224" t="str">
        <f>"44.61"</f>
        <v>44.61</v>
      </c>
      <c r="C224" t="str">
        <f>"44.766"</f>
        <v>44.766</v>
      </c>
    </row>
    <row r="225" spans="1:3" x14ac:dyDescent="0.25">
      <c r="A225" t="str">
        <f>"04/05/2010"</f>
        <v>04/05/2010</v>
      </c>
      <c r="B225" t="str">
        <f>"44.51"</f>
        <v>44.51</v>
      </c>
      <c r="C225" t="str">
        <f>"44.679"</f>
        <v>44.679</v>
      </c>
    </row>
    <row r="226" spans="1:3" x14ac:dyDescent="0.25">
      <c r="A226" t="str">
        <f>"05/05/2010"</f>
        <v>05/05/2010</v>
      </c>
      <c r="B226" t="str">
        <f>"45.04"</f>
        <v>45.04</v>
      </c>
      <c r="C226" t="str">
        <f>"45.203"</f>
        <v>45.203</v>
      </c>
    </row>
    <row r="227" spans="1:3" x14ac:dyDescent="0.25">
      <c r="A227" t="str">
        <f>"06/05/2010"</f>
        <v>06/05/2010</v>
      </c>
      <c r="B227" t="str">
        <f>"45.305"</f>
        <v>45.305</v>
      </c>
      <c r="C227" t="str">
        <f>"45.458"</f>
        <v>45.458</v>
      </c>
    </row>
    <row r="228" spans="1:3" x14ac:dyDescent="0.25">
      <c r="A228" t="str">
        <f>"07/05/2010"</f>
        <v>07/05/2010</v>
      </c>
      <c r="B228" t="str">
        <f>"45.73"</f>
        <v>45.73</v>
      </c>
      <c r="C228" t="str">
        <f>"45.887"</f>
        <v>45.887</v>
      </c>
    </row>
    <row r="229" spans="1:3" x14ac:dyDescent="0.25">
      <c r="A229" t="str">
        <f>"10/05/2010"</f>
        <v>10/05/2010</v>
      </c>
      <c r="B229" t="str">
        <f>"45.41"</f>
        <v>45.41</v>
      </c>
      <c r="C229" t="str">
        <f>"45.563"</f>
        <v>45.563</v>
      </c>
    </row>
    <row r="230" spans="1:3" x14ac:dyDescent="0.25">
      <c r="A230" t="str">
        <f>"11/05/2010"</f>
        <v>11/05/2010</v>
      </c>
      <c r="B230" t="str">
        <f>"45.0225"</f>
        <v>45.0225</v>
      </c>
      <c r="C230" t="str">
        <f>"45.1995"</f>
        <v>45.1995</v>
      </c>
    </row>
    <row r="231" spans="1:3" x14ac:dyDescent="0.25">
      <c r="A231" t="str">
        <f>"12/05/2010"</f>
        <v>12/05/2010</v>
      </c>
      <c r="B231" t="str">
        <f>"45.105"</f>
        <v>45.105</v>
      </c>
      <c r="C231" t="str">
        <f>"45.255"</f>
        <v>45.255</v>
      </c>
    </row>
    <row r="232" spans="1:3" x14ac:dyDescent="0.25">
      <c r="A232" t="str">
        <f>"13/05/2010"</f>
        <v>13/05/2010</v>
      </c>
      <c r="B232" t="str">
        <f>"44.8325"</f>
        <v>44.8325</v>
      </c>
      <c r="C232" t="str">
        <f>"44.9805"</f>
        <v>44.9805</v>
      </c>
    </row>
    <row r="233" spans="1:3" x14ac:dyDescent="0.25">
      <c r="A233" t="str">
        <f>"14/05/2010"</f>
        <v>14/05/2010</v>
      </c>
      <c r="B233" t="str">
        <f>"44.805"</f>
        <v>44.805</v>
      </c>
      <c r="C233" t="str">
        <f>"44.951"</f>
        <v>44.951</v>
      </c>
    </row>
    <row r="234" spans="1:3" x14ac:dyDescent="0.25">
      <c r="A234" t="str">
        <f>"17/05/2010"</f>
        <v>17/05/2010</v>
      </c>
      <c r="B234" t="str">
        <f>"45.18"</f>
        <v>45.18</v>
      </c>
      <c r="C234" t="str">
        <f>"45.328"</f>
        <v>45.328</v>
      </c>
    </row>
    <row r="235" spans="1:3" x14ac:dyDescent="0.25">
      <c r="A235" t="str">
        <f>"18/05/2010"</f>
        <v>18/05/2010</v>
      </c>
      <c r="B235" t="str">
        <f>"45.295"</f>
        <v>45.295</v>
      </c>
      <c r="C235" t="str">
        <f>"45.455"</f>
        <v>45.455</v>
      </c>
    </row>
    <row r="236" spans="1:3" x14ac:dyDescent="0.25">
      <c r="A236" t="str">
        <f>"19/05/2010"</f>
        <v>19/05/2010</v>
      </c>
      <c r="B236" t="str">
        <f>"45.52"</f>
        <v>45.52</v>
      </c>
      <c r="C236" t="str">
        <f>"45.675"</f>
        <v>45.675</v>
      </c>
    </row>
    <row r="237" spans="1:3" x14ac:dyDescent="0.25">
      <c r="A237" t="str">
        <f>"20/05/2010"</f>
        <v>20/05/2010</v>
      </c>
      <c r="B237" t="str">
        <f>"45.95"</f>
        <v>45.95</v>
      </c>
      <c r="C237" t="str">
        <f>"46.10"</f>
        <v>46.10</v>
      </c>
    </row>
    <row r="238" spans="1:3" x14ac:dyDescent="0.25">
      <c r="A238" t="str">
        <f>"21/05/2010"</f>
        <v>21/05/2010</v>
      </c>
      <c r="B238" t="str">
        <f>"46.50"</f>
        <v>46.50</v>
      </c>
      <c r="C238" t="str">
        <f>"46.65"</f>
        <v>46.65</v>
      </c>
    </row>
    <row r="239" spans="1:3" x14ac:dyDescent="0.25">
      <c r="A239" t="str">
        <f>"24/05/2010"</f>
        <v>24/05/2010</v>
      </c>
      <c r="B239" t="str">
        <f>"46.6325"</f>
        <v>46.6325</v>
      </c>
      <c r="C239" t="str">
        <f>"46.7875"</f>
        <v>46.7875</v>
      </c>
    </row>
    <row r="240" spans="1:3" x14ac:dyDescent="0.25">
      <c r="A240" t="str">
        <f>"25/05/2010"</f>
        <v>25/05/2010</v>
      </c>
      <c r="B240" t="str">
        <f>"46.985"</f>
        <v>46.985</v>
      </c>
      <c r="C240" t="str">
        <f>"47.152"</f>
        <v>47.152</v>
      </c>
    </row>
    <row r="241" spans="1:3" x14ac:dyDescent="0.25">
      <c r="A241" t="str">
        <f>"26/05/2010"</f>
        <v>26/05/2010</v>
      </c>
      <c r="B241" t="str">
        <f>"46.855"</f>
        <v>46.855</v>
      </c>
      <c r="C241" t="str">
        <f>"47.02"</f>
        <v>47.02</v>
      </c>
    </row>
    <row r="242" spans="1:3" x14ac:dyDescent="0.25">
      <c r="A242" t="str">
        <f>"28/05/2010"</f>
        <v>28/05/2010</v>
      </c>
      <c r="B242" t="str">
        <f>"46.23"</f>
        <v>46.23</v>
      </c>
      <c r="C242" t="str">
        <f>"46.38"</f>
        <v>46.38</v>
      </c>
    </row>
    <row r="243" spans="1:3" x14ac:dyDescent="0.25">
      <c r="A243" t="str">
        <f>"31/05/2010"</f>
        <v>31/05/2010</v>
      </c>
      <c r="B243" t="str">
        <f>"46.25"</f>
        <v>46.25</v>
      </c>
      <c r="C243" t="str">
        <f>"46.395"</f>
        <v>46.395</v>
      </c>
    </row>
    <row r="244" spans="1:3" x14ac:dyDescent="0.25">
      <c r="A244" t="str">
        <f>"01/06/2010"</f>
        <v>01/06/2010</v>
      </c>
      <c r="B244" t="str">
        <f>"46.4425"</f>
        <v>46.4425</v>
      </c>
      <c r="C244" t="str">
        <f>"46.5925"</f>
        <v>46.5925</v>
      </c>
    </row>
    <row r="245" spans="1:3" x14ac:dyDescent="0.25">
      <c r="A245" t="str">
        <f>"02/06/2010"</f>
        <v>02/06/2010</v>
      </c>
      <c r="B245" t="str">
        <f>"46.74"</f>
        <v>46.74</v>
      </c>
      <c r="C245" t="str">
        <f>"46.895"</f>
        <v>46.895</v>
      </c>
    </row>
    <row r="246" spans="1:3" x14ac:dyDescent="0.25">
      <c r="A246" t="str">
        <f>"03/06/2010"</f>
        <v>03/06/2010</v>
      </c>
      <c r="B246" t="str">
        <f>"46.405"</f>
        <v>46.405</v>
      </c>
      <c r="C246" t="str">
        <f>"46.56"</f>
        <v>46.56</v>
      </c>
    </row>
    <row r="247" spans="1:3" x14ac:dyDescent="0.25">
      <c r="A247" t="str">
        <f>"04/06/2010"</f>
        <v>04/06/2010</v>
      </c>
      <c r="B247" t="str">
        <f>"46.44"</f>
        <v>46.44</v>
      </c>
      <c r="C247" t="str">
        <f>"46.588"</f>
        <v>46.588</v>
      </c>
    </row>
    <row r="248" spans="1:3" x14ac:dyDescent="0.25">
      <c r="A248" t="str">
        <f>"07/06/2010"</f>
        <v>07/06/2010</v>
      </c>
      <c r="B248" t="str">
        <f>"46.845"</f>
        <v>46.845</v>
      </c>
      <c r="C248" t="str">
        <f>"46.987"</f>
        <v>46.987</v>
      </c>
    </row>
    <row r="249" spans="1:3" x14ac:dyDescent="0.25">
      <c r="A249" t="str">
        <f>"08/06/2010"</f>
        <v>08/06/2010</v>
      </c>
      <c r="B249" t="str">
        <f>"46.70"</f>
        <v>46.70</v>
      </c>
      <c r="C249" t="str">
        <f>"46.842"</f>
        <v>46.842</v>
      </c>
    </row>
    <row r="250" spans="1:3" x14ac:dyDescent="0.25">
      <c r="A250" t="str">
        <f>"09/06/2010"</f>
        <v>09/06/2010</v>
      </c>
      <c r="B250" t="str">
        <f>"46.6325"</f>
        <v>46.6325</v>
      </c>
      <c r="C250" t="str">
        <f>"46.7875"</f>
        <v>46.7875</v>
      </c>
    </row>
    <row r="251" spans="1:3" x14ac:dyDescent="0.25">
      <c r="A251" t="str">
        <f>"10/06/2010"</f>
        <v>10/06/2010</v>
      </c>
      <c r="B251" t="str">
        <f>"46.65"</f>
        <v>46.65</v>
      </c>
      <c r="C251" t="str">
        <f>"46.797"</f>
        <v>46.797</v>
      </c>
    </row>
    <row r="252" spans="1:3" x14ac:dyDescent="0.25">
      <c r="A252" t="str">
        <f>"11/06/2010"</f>
        <v>11/06/2010</v>
      </c>
      <c r="B252" t="str">
        <f>"46.47"</f>
        <v>46.47</v>
      </c>
      <c r="C252" t="str">
        <f>"46.62"</f>
        <v>46.62</v>
      </c>
    </row>
    <row r="253" spans="1:3" x14ac:dyDescent="0.25">
      <c r="A253" t="str">
        <f>"14/06/2010"</f>
        <v>14/06/2010</v>
      </c>
      <c r="B253" t="str">
        <f>"46.45"</f>
        <v>46.45</v>
      </c>
      <c r="C253" t="str">
        <f>"46.593"</f>
        <v>46.593</v>
      </c>
    </row>
    <row r="254" spans="1:3" x14ac:dyDescent="0.25">
      <c r="A254" t="str">
        <f>"15/06/2010"</f>
        <v>15/06/2010</v>
      </c>
      <c r="B254" t="str">
        <f>"46.385"</f>
        <v>46.385</v>
      </c>
      <c r="C254" t="str">
        <f>"46.529"</f>
        <v>46.529</v>
      </c>
    </row>
    <row r="255" spans="1:3" x14ac:dyDescent="0.25">
      <c r="A255" t="str">
        <f>"16/06/2010"</f>
        <v>16/06/2010</v>
      </c>
      <c r="B255" t="str">
        <f>"46.16"</f>
        <v>46.16</v>
      </c>
      <c r="C255" t="str">
        <f>"46.315"</f>
        <v>46.315</v>
      </c>
    </row>
    <row r="256" spans="1:3" x14ac:dyDescent="0.25">
      <c r="A256" t="str">
        <f>"17/06/2010"</f>
        <v>17/06/2010</v>
      </c>
      <c r="B256" t="str">
        <f>"46.20"</f>
        <v>46.20</v>
      </c>
      <c r="C256" t="str">
        <f>"46.35"</f>
        <v>46.35</v>
      </c>
    </row>
    <row r="257" spans="1:3" x14ac:dyDescent="0.25">
      <c r="A257" t="str">
        <f>"18/06/2010"</f>
        <v>18/06/2010</v>
      </c>
      <c r="B257" t="str">
        <f>"45.89"</f>
        <v>45.89</v>
      </c>
      <c r="C257" t="str">
        <f>"46.035"</f>
        <v>46.035</v>
      </c>
    </row>
    <row r="258" spans="1:3" x14ac:dyDescent="0.25">
      <c r="A258" t="str">
        <f>"21/06/2010"</f>
        <v>21/06/2010</v>
      </c>
      <c r="B258" t="str">
        <f>"45.51"</f>
        <v>45.51</v>
      </c>
      <c r="C258" t="str">
        <f>"45.655"</f>
        <v>45.655</v>
      </c>
    </row>
    <row r="259" spans="1:3" x14ac:dyDescent="0.25">
      <c r="A259" t="str">
        <f>"22/06/2010"</f>
        <v>22/06/2010</v>
      </c>
      <c r="B259" t="str">
        <f>"45.55"</f>
        <v>45.55</v>
      </c>
      <c r="C259" t="str">
        <f>"45.695"</f>
        <v>45.695</v>
      </c>
    </row>
    <row r="260" spans="1:3" x14ac:dyDescent="0.25">
      <c r="A260" t="str">
        <f>"23/06/2010"</f>
        <v>23/06/2010</v>
      </c>
      <c r="B260" t="str">
        <f>"45.87"</f>
        <v>45.87</v>
      </c>
      <c r="C260" t="str">
        <f>"46.025"</f>
        <v>46.025</v>
      </c>
    </row>
    <row r="261" spans="1:3" x14ac:dyDescent="0.25">
      <c r="A261" t="str">
        <f>"24/06/2010"</f>
        <v>24/06/2010</v>
      </c>
      <c r="B261" t="str">
        <f>"46.04"</f>
        <v>46.04</v>
      </c>
      <c r="C261" t="str">
        <f>"46.19"</f>
        <v>46.19</v>
      </c>
    </row>
    <row r="262" spans="1:3" x14ac:dyDescent="0.25">
      <c r="A262" t="str">
        <f>"25/06/2010"</f>
        <v>25/06/2010</v>
      </c>
      <c r="B262" t="str">
        <f>"46.49"</f>
        <v>46.49</v>
      </c>
      <c r="C262" t="str">
        <f>"46.637"</f>
        <v>46.637</v>
      </c>
    </row>
    <row r="263" spans="1:3" x14ac:dyDescent="0.25">
      <c r="A263" t="str">
        <f>"28/06/2010"</f>
        <v>28/06/2010</v>
      </c>
      <c r="B263" t="str">
        <f>"46.26"</f>
        <v>46.26</v>
      </c>
      <c r="C263" t="str">
        <f>"46.415"</f>
        <v>46.415</v>
      </c>
    </row>
    <row r="264" spans="1:3" x14ac:dyDescent="0.25">
      <c r="A264" t="str">
        <f>"29/06/2010"</f>
        <v>29/06/2010</v>
      </c>
      <c r="B264" t="str">
        <f>"46.44"</f>
        <v>46.44</v>
      </c>
      <c r="C264" t="str">
        <f>"46.60"</f>
        <v>46.60</v>
      </c>
    </row>
    <row r="265" spans="1:3" x14ac:dyDescent="0.25">
      <c r="A265" t="str">
        <f>"30/06/2010"</f>
        <v>30/06/2010</v>
      </c>
      <c r="B265" t="str">
        <f>"46.425"</f>
        <v>46.425</v>
      </c>
      <c r="C265" t="str">
        <f>"46.585"</f>
        <v>46.585</v>
      </c>
    </row>
    <row r="266" spans="1:3" x14ac:dyDescent="0.25">
      <c r="A266" t="str">
        <f>"01/07/2010"</f>
        <v>01/07/2010</v>
      </c>
      <c r="B266" t="str">
        <f>"46.61"</f>
        <v>46.61</v>
      </c>
      <c r="C266" t="str">
        <f>"46.763"</f>
        <v>46.763</v>
      </c>
    </row>
    <row r="267" spans="1:3" x14ac:dyDescent="0.25">
      <c r="A267" t="str">
        <f>"02/07/2010"</f>
        <v>02/07/2010</v>
      </c>
      <c r="B267" t="str">
        <f>"46.43"</f>
        <v>46.43</v>
      </c>
      <c r="C267" t="str">
        <f>"46.585"</f>
        <v>46.585</v>
      </c>
    </row>
    <row r="268" spans="1:3" x14ac:dyDescent="0.25">
      <c r="A268" t="str">
        <f>"05/07/2010"</f>
        <v>05/07/2010</v>
      </c>
      <c r="B268" t="str">
        <f>"46.49"</f>
        <v>46.49</v>
      </c>
      <c r="C268" t="str">
        <f>"46.645"</f>
        <v>46.645</v>
      </c>
    </row>
    <row r="269" spans="1:3" x14ac:dyDescent="0.25">
      <c r="A269" t="str">
        <f>"06/07/2010"</f>
        <v>06/07/2010</v>
      </c>
      <c r="B269" t="str">
        <f>"46.46"</f>
        <v>46.46</v>
      </c>
      <c r="C269" t="str">
        <f>"46.625"</f>
        <v>46.625</v>
      </c>
    </row>
    <row r="270" spans="1:3" x14ac:dyDescent="0.25">
      <c r="A270" t="str">
        <f>"07/07/2010"</f>
        <v>07/07/2010</v>
      </c>
      <c r="B270" t="str">
        <f>"46.51"</f>
        <v>46.51</v>
      </c>
      <c r="C270" t="str">
        <f>"46.67"</f>
        <v>46.67</v>
      </c>
    </row>
    <row r="271" spans="1:3" x14ac:dyDescent="0.25">
      <c r="A271" t="str">
        <f>"08/07/2010"</f>
        <v>08/07/2010</v>
      </c>
      <c r="B271" t="str">
        <f>"46.35"</f>
        <v>46.35</v>
      </c>
      <c r="C271" t="str">
        <f>"46.505"</f>
        <v>46.505</v>
      </c>
    </row>
    <row r="272" spans="1:3" x14ac:dyDescent="0.25">
      <c r="A272" t="str">
        <f>"09/07/2010"</f>
        <v>09/07/2010</v>
      </c>
      <c r="B272" t="str">
        <f>"46.23"</f>
        <v>46.23</v>
      </c>
      <c r="C272" t="str">
        <f>"46.385"</f>
        <v>46.385</v>
      </c>
    </row>
    <row r="273" spans="1:3" x14ac:dyDescent="0.25">
      <c r="A273" t="str">
        <f>"12/07/2010"</f>
        <v>12/07/2010</v>
      </c>
      <c r="B273" t="str">
        <f>"46.22"</f>
        <v>46.22</v>
      </c>
      <c r="C273" t="str">
        <f>"104.22"</f>
        <v>104.22</v>
      </c>
    </row>
    <row r="274" spans="1:3" x14ac:dyDescent="0.25">
      <c r="A274" t="str">
        <f>"13/07/2010"</f>
        <v>13/07/2010</v>
      </c>
      <c r="B274" t="str">
        <f>"46.32"</f>
        <v>46.32</v>
      </c>
      <c r="C274" t="str">
        <f>"46.48"</f>
        <v>46.48</v>
      </c>
    </row>
    <row r="275" spans="1:3" x14ac:dyDescent="0.25">
      <c r="A275" t="str">
        <f>"14/07/2010"</f>
        <v>14/07/2010</v>
      </c>
      <c r="B275" t="str">
        <f>"46.295"</f>
        <v>46.295</v>
      </c>
      <c r="C275" t="str">
        <f>"46.455"</f>
        <v>46.455</v>
      </c>
    </row>
    <row r="276" spans="1:3" x14ac:dyDescent="0.25">
      <c r="A276" t="str">
        <f>"15/07/2010"</f>
        <v>15/07/2010</v>
      </c>
      <c r="B276" t="str">
        <f>"46.32"</f>
        <v>46.32</v>
      </c>
      <c r="C276" t="str">
        <f>"46.48"</f>
        <v>46.48</v>
      </c>
    </row>
    <row r="277" spans="1:3" x14ac:dyDescent="0.25">
      <c r="A277" t="str">
        <f>"16/07/2010"</f>
        <v>16/07/2010</v>
      </c>
      <c r="B277" t="str">
        <f>"46.32"</f>
        <v>46.32</v>
      </c>
      <c r="C277" t="str">
        <f>"46.48"</f>
        <v>46.48</v>
      </c>
    </row>
    <row r="278" spans="1:3" x14ac:dyDescent="0.25">
      <c r="A278" t="str">
        <f>"19/07/2010"</f>
        <v>19/07/2010</v>
      </c>
      <c r="B278" t="str">
        <f>"46.465"</f>
        <v>46.465</v>
      </c>
      <c r="C278" t="str">
        <f>"46.625"</f>
        <v>46.625</v>
      </c>
    </row>
    <row r="279" spans="1:3" x14ac:dyDescent="0.25">
      <c r="A279" t="str">
        <f>"20/07/2010"</f>
        <v>20/07/2010</v>
      </c>
      <c r="B279" t="str">
        <f>"46.41"</f>
        <v>46.41</v>
      </c>
      <c r="C279" t="str">
        <f>"46.57"</f>
        <v>46.57</v>
      </c>
    </row>
    <row r="280" spans="1:3" x14ac:dyDescent="0.25">
      <c r="A280" t="str">
        <f>"21/07/2010"</f>
        <v>21/07/2010</v>
      </c>
      <c r="B280" t="str">
        <f>"46.53"</f>
        <v>46.53</v>
      </c>
      <c r="C280" t="str">
        <f>"46.69"</f>
        <v>46.69</v>
      </c>
    </row>
    <row r="281" spans="1:3" x14ac:dyDescent="0.25">
      <c r="A281" t="str">
        <f>"22/07/2010"</f>
        <v>22/07/2010</v>
      </c>
      <c r="B281" t="str">
        <f>"46.63"</f>
        <v>46.63</v>
      </c>
      <c r="C281" t="str">
        <f>"46.79"</f>
        <v>46.79</v>
      </c>
    </row>
    <row r="282" spans="1:3" x14ac:dyDescent="0.25">
      <c r="A282" t="str">
        <f>"23/07/2010"</f>
        <v>23/07/2010</v>
      </c>
      <c r="B282" t="str">
        <f>"46.40"</f>
        <v>46.40</v>
      </c>
      <c r="C282" t="str">
        <f>"46.56"</f>
        <v>46.56</v>
      </c>
    </row>
    <row r="283" spans="1:3" x14ac:dyDescent="0.25">
      <c r="A283" t="str">
        <f>"26/07/2010"</f>
        <v>26/07/2010</v>
      </c>
      <c r="B283" t="str">
        <f>"46.23"</f>
        <v>46.23</v>
      </c>
      <c r="C283" t="str">
        <f>"46.39"</f>
        <v>46.39</v>
      </c>
    </row>
    <row r="284" spans="1:3" x14ac:dyDescent="0.25">
      <c r="A284" t="str">
        <f>"27/07/2010"</f>
        <v>27/07/2010</v>
      </c>
      <c r="B284" t="str">
        <f>"45.95"</f>
        <v>45.95</v>
      </c>
      <c r="C284" t="str">
        <f>"46.115"</f>
        <v>46.115</v>
      </c>
    </row>
    <row r="285" spans="1:3" x14ac:dyDescent="0.25">
      <c r="A285" t="str">
        <f>"28/07/2010"</f>
        <v>28/07/2010</v>
      </c>
      <c r="B285" t="str">
        <f>"45.89"</f>
        <v>45.89</v>
      </c>
      <c r="C285" t="str">
        <f>"46.0511"</f>
        <v>46.0511</v>
      </c>
    </row>
    <row r="286" spans="1:3" x14ac:dyDescent="0.25">
      <c r="A286" t="str">
        <f>"29/07/2010"</f>
        <v>29/07/2010</v>
      </c>
      <c r="B286" t="str">
        <f>"45.79"</f>
        <v>45.79</v>
      </c>
      <c r="C286" t="str">
        <f>"45.9467"</f>
        <v>45.9467</v>
      </c>
    </row>
    <row r="287" spans="1:3" x14ac:dyDescent="0.25">
      <c r="A287" t="str">
        <f>"30/07/2010"</f>
        <v>30/07/2010</v>
      </c>
      <c r="B287" t="str">
        <f>"45.595"</f>
        <v>45.595</v>
      </c>
      <c r="C287" t="str">
        <f>"45.7527"</f>
        <v>45.7527</v>
      </c>
    </row>
    <row r="288" spans="1:3" x14ac:dyDescent="0.25">
      <c r="A288" t="str">
        <f>"02/08/2010"</f>
        <v>02/08/2010</v>
      </c>
      <c r="B288" t="str">
        <f>"45.33"</f>
        <v>45.33</v>
      </c>
      <c r="C288" t="str">
        <f>"45.4881"</f>
        <v>45.4881</v>
      </c>
    </row>
    <row r="289" spans="1:3" x14ac:dyDescent="0.25">
      <c r="A289" t="str">
        <f>"03/08/2010"</f>
        <v>03/08/2010</v>
      </c>
      <c r="B289" t="str">
        <f>"45.22"</f>
        <v>45.22</v>
      </c>
      <c r="C289" t="str">
        <f>"45.3911"</f>
        <v>45.3911</v>
      </c>
    </row>
    <row r="290" spans="1:3" x14ac:dyDescent="0.25">
      <c r="A290" t="str">
        <f>"04/08/2010"</f>
        <v>04/08/2010</v>
      </c>
      <c r="B290" t="str">
        <f>"45.195"</f>
        <v>45.195</v>
      </c>
      <c r="C290" t="str">
        <f>"45.3638"</f>
        <v>45.3638</v>
      </c>
    </row>
    <row r="291" spans="1:3" x14ac:dyDescent="0.25">
      <c r="A291" t="str">
        <f>"05/08/2010"</f>
        <v>05/08/2010</v>
      </c>
      <c r="B291" t="str">
        <f>"45.2275"</f>
        <v>45.2275</v>
      </c>
      <c r="C291" t="str">
        <f>"45.3884"</f>
        <v>45.3884</v>
      </c>
    </row>
    <row r="292" spans="1:3" x14ac:dyDescent="0.25">
      <c r="A292" t="str">
        <f>"06/08/2010"</f>
        <v>06/08/2010</v>
      </c>
      <c r="B292" t="str">
        <f>"44.875"</f>
        <v>44.875</v>
      </c>
      <c r="C292" t="str">
        <f>"45.031"</f>
        <v>45.031</v>
      </c>
    </row>
    <row r="293" spans="1:3" x14ac:dyDescent="0.25">
      <c r="A293" t="str">
        <f>"09/08/2010"</f>
        <v>09/08/2010</v>
      </c>
      <c r="B293" t="str">
        <f>"44.91"</f>
        <v>44.91</v>
      </c>
      <c r="C293" t="str">
        <f>"45.0839"</f>
        <v>45.0839</v>
      </c>
    </row>
    <row r="294" spans="1:3" x14ac:dyDescent="0.25">
      <c r="A294" t="str">
        <f>"10/08/2010"</f>
        <v>10/08/2010</v>
      </c>
      <c r="B294" t="str">
        <f>"45.06"</f>
        <v>45.06</v>
      </c>
      <c r="C294" t="str">
        <f>"45.223"</f>
        <v>45.223</v>
      </c>
    </row>
    <row r="295" spans="1:3" x14ac:dyDescent="0.25">
      <c r="A295" t="str">
        <f>"11/08/2010"</f>
        <v>11/08/2010</v>
      </c>
      <c r="B295" t="str">
        <f>"45.00"</f>
        <v>45.00</v>
      </c>
      <c r="C295" t="str">
        <f>"45.1621"</f>
        <v>45.1621</v>
      </c>
    </row>
    <row r="296" spans="1:3" x14ac:dyDescent="0.25">
      <c r="A296" t="str">
        <f>"12/08/2010"</f>
        <v>12/08/2010</v>
      </c>
      <c r="B296" t="str">
        <f>"45.45"</f>
        <v>45.45</v>
      </c>
      <c r="C296" t="str">
        <f>"45.6176"</f>
        <v>45.6176</v>
      </c>
    </row>
    <row r="297" spans="1:3" x14ac:dyDescent="0.25">
      <c r="A297" t="str">
        <f>"13/08/2010"</f>
        <v>13/08/2010</v>
      </c>
      <c r="B297" t="str">
        <f>"45.21"</f>
        <v>45.21</v>
      </c>
      <c r="C297" t="str">
        <f>"45.3675"</f>
        <v>45.3675</v>
      </c>
    </row>
    <row r="298" spans="1:3" x14ac:dyDescent="0.25">
      <c r="A298" t="str">
        <f>"16/08/2010"</f>
        <v>16/08/2010</v>
      </c>
      <c r="B298" t="str">
        <f>"45.46"</f>
        <v>45.46</v>
      </c>
      <c r="C298" t="str">
        <f>"45.6139"</f>
        <v>45.6139</v>
      </c>
    </row>
    <row r="299" spans="1:3" x14ac:dyDescent="0.25">
      <c r="A299" t="str">
        <f>"17/08/2010"</f>
        <v>17/08/2010</v>
      </c>
      <c r="B299" t="str">
        <f>"45.18"</f>
        <v>45.18</v>
      </c>
      <c r="C299" t="str">
        <f>"45.3425"</f>
        <v>45.3425</v>
      </c>
    </row>
    <row r="300" spans="1:3" x14ac:dyDescent="0.25">
      <c r="A300" t="str">
        <f>"18/08/2010"</f>
        <v>18/08/2010</v>
      </c>
      <c r="B300" t="str">
        <f>"45.22"</f>
        <v>45.22</v>
      </c>
      <c r="C300" t="str">
        <f>"45.381"</f>
        <v>45.381</v>
      </c>
    </row>
    <row r="301" spans="1:3" x14ac:dyDescent="0.25">
      <c r="A301" t="str">
        <f>"20/08/2010"</f>
        <v>20/08/2010</v>
      </c>
      <c r="B301" t="str">
        <f>"44.98"</f>
        <v>44.98</v>
      </c>
      <c r="C301" t="str">
        <f>"45.1351"</f>
        <v>45.1351</v>
      </c>
    </row>
    <row r="302" spans="1:3" x14ac:dyDescent="0.25">
      <c r="A302" t="str">
        <f>"23/08/2010"</f>
        <v>23/08/2010</v>
      </c>
      <c r="B302" t="str">
        <f>"45.03"</f>
        <v>45.03</v>
      </c>
      <c r="C302" t="str">
        <f>"45.1825"</f>
        <v>45.1825</v>
      </c>
    </row>
    <row r="303" spans="1:3" x14ac:dyDescent="0.25">
      <c r="A303" t="str">
        <f>"24/08/2010"</f>
        <v>24/08/2010</v>
      </c>
      <c r="B303" t="str">
        <f>"45.33"</f>
        <v>45.33</v>
      </c>
      <c r="C303" t="str">
        <f>"45.4961"</f>
        <v>45.4961</v>
      </c>
    </row>
    <row r="304" spans="1:3" x14ac:dyDescent="0.25">
      <c r="A304" t="str">
        <f>"25/08/2010"</f>
        <v>25/08/2010</v>
      </c>
      <c r="B304" t="str">
        <f>"45.315"</f>
        <v>45.315</v>
      </c>
      <c r="C304" t="str">
        <f>"45.4768"</f>
        <v>45.4768</v>
      </c>
    </row>
    <row r="305" spans="1:3" x14ac:dyDescent="0.25">
      <c r="A305" t="str">
        <f>"26/08/2010"</f>
        <v>26/08/2010</v>
      </c>
      <c r="B305" t="str">
        <f>"45.12"</f>
        <v>45.12</v>
      </c>
      <c r="C305" t="str">
        <f>"45.2704"</f>
        <v>45.2704</v>
      </c>
    </row>
    <row r="306" spans="1:3" x14ac:dyDescent="0.25">
      <c r="A306" t="str">
        <f>"27/08/2010"</f>
        <v>27/08/2010</v>
      </c>
      <c r="B306" t="str">
        <f>"45.21"</f>
        <v>45.21</v>
      </c>
      <c r="C306" t="str">
        <f>"45.3644"</f>
        <v>45.3644</v>
      </c>
    </row>
    <row r="307" spans="1:3" x14ac:dyDescent="0.25">
      <c r="A307" t="str">
        <f>"30/08/2010"</f>
        <v>30/08/2010</v>
      </c>
      <c r="B307" t="str">
        <f>"45.06"</f>
        <v>45.06</v>
      </c>
      <c r="C307" t="str">
        <f>"45.2135"</f>
        <v>45.2135</v>
      </c>
    </row>
    <row r="308" spans="1:3" x14ac:dyDescent="0.25">
      <c r="A308" t="str">
        <f>"31/08/2010"</f>
        <v>31/08/2010</v>
      </c>
      <c r="B308" t="str">
        <f>"45.305"</f>
        <v>45.305</v>
      </c>
      <c r="C308" t="str">
        <f>"45.4557"</f>
        <v>45.4557</v>
      </c>
    </row>
    <row r="309" spans="1:3" x14ac:dyDescent="0.25">
      <c r="A309" t="str">
        <f>"01/09/2010"</f>
        <v>01/09/2010</v>
      </c>
      <c r="B309" t="str">
        <f>"45.11"</f>
        <v>45.11</v>
      </c>
      <c r="C309" t="str">
        <f>"45.2721"</f>
        <v>45.2721</v>
      </c>
    </row>
    <row r="310" spans="1:3" x14ac:dyDescent="0.25">
      <c r="A310" t="str">
        <f>"02/09/2010"</f>
        <v>02/09/2010</v>
      </c>
      <c r="B310" t="str">
        <f>"45.06"</f>
        <v>45.06</v>
      </c>
      <c r="C310" t="str">
        <f>"45.2154"</f>
        <v>45.2154</v>
      </c>
    </row>
    <row r="311" spans="1:3" x14ac:dyDescent="0.25">
      <c r="A311" t="str">
        <f>"03/09/2010"</f>
        <v>03/09/2010</v>
      </c>
      <c r="B311" t="str">
        <f>"44.775"</f>
        <v>44.775</v>
      </c>
      <c r="C311" t="str">
        <f>"44.9269"</f>
        <v>44.9269</v>
      </c>
    </row>
    <row r="312" spans="1:3" x14ac:dyDescent="0.25">
      <c r="A312" t="str">
        <f>"06/09/2010"</f>
        <v>06/09/2010</v>
      </c>
      <c r="B312" t="str">
        <f>"44.41"</f>
        <v>44.41</v>
      </c>
      <c r="C312" t="str">
        <f>"44.5581"</f>
        <v>44.5581</v>
      </c>
    </row>
    <row r="313" spans="1:3" x14ac:dyDescent="0.25">
      <c r="A313" t="str">
        <f>"07/09/2010"</f>
        <v>07/09/2010</v>
      </c>
      <c r="B313" t="str">
        <f>"44.39"</f>
        <v>44.39</v>
      </c>
      <c r="C313" t="str">
        <f>"44.5382"</f>
        <v>44.5382</v>
      </c>
    </row>
    <row r="314" spans="1:3" x14ac:dyDescent="0.25">
      <c r="A314" t="str">
        <f>"08/09/2010"</f>
        <v>08/09/2010</v>
      </c>
      <c r="B314" t="str">
        <f>"44.47"</f>
        <v>44.47</v>
      </c>
      <c r="C314" t="str">
        <f>"44.6276"</f>
        <v>44.6276</v>
      </c>
    </row>
    <row r="315" spans="1:3" x14ac:dyDescent="0.25">
      <c r="A315" t="str">
        <f>"09/09/2010"</f>
        <v>09/09/2010</v>
      </c>
      <c r="B315" t="str">
        <f>"44.105"</f>
        <v>44.105</v>
      </c>
      <c r="C315" t="str">
        <f>"44.2602"</f>
        <v>44.2602</v>
      </c>
    </row>
    <row r="316" spans="1:3" x14ac:dyDescent="0.25">
      <c r="A316" t="str">
        <f>"13/09/2010"</f>
        <v>13/09/2010</v>
      </c>
      <c r="B316" t="str">
        <f>"43.93"</f>
        <v>43.93</v>
      </c>
      <c r="C316" t="str">
        <f>"44.079"</f>
        <v>44.079</v>
      </c>
    </row>
    <row r="317" spans="1:3" x14ac:dyDescent="0.25">
      <c r="A317" t="str">
        <f>"14/09/2010"</f>
        <v>14/09/2010</v>
      </c>
      <c r="B317" t="str">
        <f>"44.19"</f>
        <v>44.19</v>
      </c>
      <c r="C317" t="str">
        <f>"44.3381"</f>
        <v>44.3381</v>
      </c>
    </row>
    <row r="318" spans="1:3" x14ac:dyDescent="0.25">
      <c r="A318" t="str">
        <f>"15/09/2010"</f>
        <v>15/09/2010</v>
      </c>
      <c r="B318" t="str">
        <f>"44.375"</f>
        <v>44.375</v>
      </c>
      <c r="C318" t="str">
        <f>"44.5346"</f>
        <v>44.5346</v>
      </c>
    </row>
    <row r="319" spans="1:3" x14ac:dyDescent="0.25">
      <c r="A319" t="str">
        <f>"16/09/2010"</f>
        <v>16/09/2010</v>
      </c>
      <c r="B319" t="str">
        <f>"44.37"</f>
        <v>44.37</v>
      </c>
      <c r="C319" t="str">
        <f>"44.5273"</f>
        <v>44.5273</v>
      </c>
    </row>
    <row r="320" spans="1:3" x14ac:dyDescent="0.25">
      <c r="A320" t="str">
        <f>"17/09/2010"</f>
        <v>17/09/2010</v>
      </c>
      <c r="B320" t="str">
        <f>"44.18"</f>
        <v>44.18</v>
      </c>
      <c r="C320" t="str">
        <f>"44.3254"</f>
        <v>44.3254</v>
      </c>
    </row>
    <row r="321" spans="1:3" x14ac:dyDescent="0.25">
      <c r="A321" t="str">
        <f>"20/09/2010"</f>
        <v>20/09/2010</v>
      </c>
      <c r="B321" t="str">
        <f>"44.18"</f>
        <v>44.18</v>
      </c>
      <c r="C321" t="str">
        <f>"44.3261"</f>
        <v>44.3261</v>
      </c>
    </row>
    <row r="322" spans="1:3" x14ac:dyDescent="0.25">
      <c r="A322" t="str">
        <f>"21/09/2010"</f>
        <v>21/09/2010</v>
      </c>
      <c r="B322" t="str">
        <f>"44.00"</f>
        <v>44.00</v>
      </c>
      <c r="C322" t="str">
        <f>"44.1484"</f>
        <v>44.1484</v>
      </c>
    </row>
    <row r="323" spans="1:3" x14ac:dyDescent="0.25">
      <c r="A323" t="str">
        <f>"22/09/2010"</f>
        <v>22/09/2010</v>
      </c>
      <c r="B323" t="str">
        <f>"43.88"</f>
        <v>43.88</v>
      </c>
      <c r="C323" t="str">
        <f>"44.0346"</f>
        <v>44.0346</v>
      </c>
    </row>
    <row r="324" spans="1:3" x14ac:dyDescent="0.25">
      <c r="A324" t="str">
        <f>"23/09/2010"</f>
        <v>23/09/2010</v>
      </c>
      <c r="B324" t="str">
        <f>"43.99"</f>
        <v>43.99</v>
      </c>
      <c r="C324" t="str">
        <f>"44.1392"</f>
        <v>44.1392</v>
      </c>
    </row>
    <row r="325" spans="1:3" x14ac:dyDescent="0.25">
      <c r="A325" t="str">
        <f>"24/09/2010"</f>
        <v>24/09/2010</v>
      </c>
      <c r="B325" t="str">
        <f>"44.04"</f>
        <v>44.04</v>
      </c>
      <c r="C325" t="str">
        <f>"44.1849"</f>
        <v>44.1849</v>
      </c>
    </row>
    <row r="326" spans="1:3" x14ac:dyDescent="0.25">
      <c r="A326" t="str">
        <f>"27/09/2010"</f>
        <v>27/09/2010</v>
      </c>
      <c r="B326" t="str">
        <f>"43.93"</f>
        <v>43.93</v>
      </c>
      <c r="C326" t="str">
        <f>"44.0708"</f>
        <v>44.0708</v>
      </c>
    </row>
    <row r="327" spans="1:3" x14ac:dyDescent="0.25">
      <c r="A327" t="str">
        <f>"28/09/2010"</f>
        <v>28/09/2010</v>
      </c>
      <c r="B327" t="str">
        <f>"43.94"</f>
        <v>43.94</v>
      </c>
      <c r="C327" t="str">
        <f>"44.0807"</f>
        <v>44.0807</v>
      </c>
    </row>
    <row r="328" spans="1:3" x14ac:dyDescent="0.25">
      <c r="A328" t="str">
        <f>"29/09/2010"</f>
        <v>29/09/2010</v>
      </c>
      <c r="B328" t="str">
        <f>"43.87"</f>
        <v>43.87</v>
      </c>
      <c r="C328" t="str">
        <f>"44.012"</f>
        <v>44.012</v>
      </c>
    </row>
    <row r="329" spans="1:3" x14ac:dyDescent="0.25">
      <c r="A329" t="str">
        <f>"01/10/2010"</f>
        <v>01/10/2010</v>
      </c>
      <c r="B329" t="str">
        <f>"43.86"</f>
        <v>43.86</v>
      </c>
      <c r="C329" t="str">
        <f>"43.9981"</f>
        <v>43.9981</v>
      </c>
    </row>
    <row r="330" spans="1:3" x14ac:dyDescent="0.25">
      <c r="A330" t="str">
        <f>"04/10/2010"</f>
        <v>04/10/2010</v>
      </c>
      <c r="B330" t="str">
        <f>"43.70"</f>
        <v>43.70</v>
      </c>
      <c r="C330" t="str">
        <f>"43.8397"</f>
        <v>43.8397</v>
      </c>
    </row>
    <row r="331" spans="1:3" x14ac:dyDescent="0.25">
      <c r="A331" t="str">
        <f>"05/10/2010"</f>
        <v>05/10/2010</v>
      </c>
      <c r="B331" t="str">
        <f>"43.85"</f>
        <v>43.85</v>
      </c>
      <c r="C331" t="str">
        <f>"43.9823"</f>
        <v>43.9823</v>
      </c>
    </row>
    <row r="332" spans="1:3" x14ac:dyDescent="0.25">
      <c r="A332" t="str">
        <f>"06/10/2010"</f>
        <v>06/10/2010</v>
      </c>
      <c r="B332" t="str">
        <f>"43.50"</f>
        <v>43.50</v>
      </c>
      <c r="C332" t="str">
        <f>"43.6234"</f>
        <v>43.6234</v>
      </c>
    </row>
    <row r="333" spans="1:3" x14ac:dyDescent="0.25">
      <c r="A333" t="str">
        <f>"07/10/2010"</f>
        <v>07/10/2010</v>
      </c>
      <c r="B333" t="str">
        <f>"43.47"</f>
        <v>43.47</v>
      </c>
      <c r="C333" t="str">
        <f>"43.5364"</f>
        <v>43.5364</v>
      </c>
    </row>
    <row r="334" spans="1:3" x14ac:dyDescent="0.25">
      <c r="A334" t="str">
        <f>"08/10/2010"</f>
        <v>08/10/2010</v>
      </c>
      <c r="B334" t="str">
        <f>"43.30"</f>
        <v>43.30</v>
      </c>
      <c r="C334" t="str">
        <f>"43.4049"</f>
        <v>43.4049</v>
      </c>
    </row>
    <row r="335" spans="1:3" x14ac:dyDescent="0.25">
      <c r="A335" t="str">
        <f>"11/10/2010"</f>
        <v>11/10/2010</v>
      </c>
      <c r="B335" t="str">
        <f>"43.49"</f>
        <v>43.49</v>
      </c>
      <c r="C335" t="str">
        <f>"43.6144"</f>
        <v>43.6144</v>
      </c>
    </row>
    <row r="336" spans="1:3" x14ac:dyDescent="0.25">
      <c r="A336" t="str">
        <f>"12/10/2010"</f>
        <v>12/10/2010</v>
      </c>
      <c r="B336" t="str">
        <f>"43.63"</f>
        <v>43.63</v>
      </c>
      <c r="C336" t="str">
        <f>"43.7513"</f>
        <v>43.7513</v>
      </c>
    </row>
    <row r="337" spans="1:3" x14ac:dyDescent="0.25">
      <c r="A337" t="str">
        <f>"13/10/2010"</f>
        <v>13/10/2010</v>
      </c>
      <c r="B337" t="str">
        <f>"43.47"</f>
        <v>43.47</v>
      </c>
      <c r="C337" t="str">
        <f>"43.5976"</f>
        <v>43.5976</v>
      </c>
    </row>
    <row r="338" spans="1:3" x14ac:dyDescent="0.25">
      <c r="A338" t="str">
        <f>"14/10/2010"</f>
        <v>14/10/2010</v>
      </c>
      <c r="B338" t="str">
        <f>"43.22"</f>
        <v>43.22</v>
      </c>
      <c r="C338" t="str">
        <f>"43.3475"</f>
        <v>43.3475</v>
      </c>
    </row>
    <row r="339" spans="1:3" x14ac:dyDescent="0.25">
      <c r="A339" t="str">
        <f>"15/10/2010"</f>
        <v>15/10/2010</v>
      </c>
      <c r="B339" t="str">
        <f>"43.21"</f>
        <v>43.21</v>
      </c>
      <c r="C339" t="str">
        <f>"43.3482"</f>
        <v>43.3482</v>
      </c>
    </row>
    <row r="340" spans="1:3" x14ac:dyDescent="0.25">
      <c r="A340" t="str">
        <f>"18/10/2010"</f>
        <v>18/10/2010</v>
      </c>
      <c r="B340" t="str">
        <f>"43.24"</f>
        <v>43.24</v>
      </c>
      <c r="C340" t="str">
        <f>"43.3831"</f>
        <v>43.3831</v>
      </c>
    </row>
    <row r="341" spans="1:3" x14ac:dyDescent="0.25">
      <c r="A341" t="str">
        <f>"19/10/2010"</f>
        <v>19/10/2010</v>
      </c>
      <c r="B341" t="str">
        <f>"43.46"</f>
        <v>43.46</v>
      </c>
      <c r="C341" t="str">
        <f>"43.6022"</f>
        <v>43.6022</v>
      </c>
    </row>
    <row r="342" spans="1:3" x14ac:dyDescent="0.25">
      <c r="A342" t="str">
        <f>"20/10/2010"</f>
        <v>20/10/2010</v>
      </c>
      <c r="B342" t="str">
        <f>"43.50"</f>
        <v>43.50</v>
      </c>
      <c r="C342" t="str">
        <f>"43.6489"</f>
        <v>43.6489</v>
      </c>
    </row>
    <row r="343" spans="1:3" x14ac:dyDescent="0.25">
      <c r="A343" t="str">
        <f>"21/10/2010"</f>
        <v>21/10/2010</v>
      </c>
      <c r="B343" t="str">
        <f>"43.31"</f>
        <v>43.31</v>
      </c>
      <c r="C343" t="str">
        <f>"43.4495"</f>
        <v>43.4495</v>
      </c>
    </row>
    <row r="344" spans="1:3" x14ac:dyDescent="0.25">
      <c r="A344" t="str">
        <f>"22/10/2010"</f>
        <v>22/10/2010</v>
      </c>
      <c r="B344" t="str">
        <f>"43.30"</f>
        <v>43.30</v>
      </c>
      <c r="C344" t="str">
        <f>"43.4109"</f>
        <v>43.4109</v>
      </c>
    </row>
    <row r="345" spans="1:3" x14ac:dyDescent="0.25">
      <c r="A345" t="str">
        <f>"25/10/2010"</f>
        <v>25/10/2010</v>
      </c>
      <c r="B345" t="str">
        <f>"43.09"</f>
        <v>43.09</v>
      </c>
      <c r="C345" t="str">
        <f>"43.1991"</f>
        <v>43.1991</v>
      </c>
    </row>
    <row r="346" spans="1:3" x14ac:dyDescent="0.25">
      <c r="A346" t="str">
        <f>"26/10/2010"</f>
        <v>26/10/2010</v>
      </c>
      <c r="B346" t="str">
        <f>"43.17"</f>
        <v>43.17</v>
      </c>
      <c r="C346" t="str">
        <f>"43.2905"</f>
        <v>43.2905</v>
      </c>
    </row>
    <row r="347" spans="1:3" x14ac:dyDescent="0.25">
      <c r="A347" t="str">
        <f>"27/10/2010"</f>
        <v>27/10/2010</v>
      </c>
      <c r="B347" t="str">
        <f>"43.23"</f>
        <v>43.23</v>
      </c>
      <c r="C347" t="str">
        <f>"43.3222"</f>
        <v>43.3222</v>
      </c>
    </row>
    <row r="348" spans="1:3" x14ac:dyDescent="0.25">
      <c r="A348" t="str">
        <f>"28/10/2010"</f>
        <v>28/10/2010</v>
      </c>
      <c r="B348" t="str">
        <f>"43.1175"</f>
        <v>43.1175</v>
      </c>
      <c r="C348" t="str">
        <f>"43.216"</f>
        <v>43.216</v>
      </c>
    </row>
    <row r="349" spans="1:3" x14ac:dyDescent="0.25">
      <c r="A349" t="str">
        <f>"29/10/2010"</f>
        <v>29/10/2010</v>
      </c>
      <c r="B349" t="str">
        <f>"43.065"</f>
        <v>43.065</v>
      </c>
      <c r="C349" t="str">
        <f>"43.1514"</f>
        <v>43.1514</v>
      </c>
    </row>
    <row r="350" spans="1:3" x14ac:dyDescent="0.25">
      <c r="A350" t="str">
        <f>"01/11/2010"</f>
        <v>01/11/2010</v>
      </c>
      <c r="B350" t="str">
        <f>"42.84"</f>
        <v>42.84</v>
      </c>
      <c r="C350" t="str">
        <f>"42.9252"</f>
        <v>42.9252</v>
      </c>
    </row>
    <row r="351" spans="1:3" x14ac:dyDescent="0.25">
      <c r="A351" t="str">
        <f>"02/11/2010"</f>
        <v>02/11/2010</v>
      </c>
      <c r="B351" t="str">
        <f>"42.77"</f>
        <v>42.77</v>
      </c>
      <c r="C351" t="str">
        <f>"42.8538"</f>
        <v>42.8538</v>
      </c>
    </row>
    <row r="352" spans="1:3" x14ac:dyDescent="0.25">
      <c r="A352" t="str">
        <f>"03/11/2010"</f>
        <v>03/11/2010</v>
      </c>
      <c r="B352" t="str">
        <f>"42.54"</f>
        <v>42.54</v>
      </c>
      <c r="C352" t="str">
        <f>"42.6372"</f>
        <v>42.6372</v>
      </c>
    </row>
    <row r="353" spans="1:3" x14ac:dyDescent="0.25">
      <c r="A353" t="str">
        <f>"04/11/2010"</f>
        <v>04/11/2010</v>
      </c>
      <c r="B353" t="str">
        <f>"42.50"</f>
        <v>42.50</v>
      </c>
      <c r="C353" t="str">
        <f>"42.52"</f>
        <v>42.52</v>
      </c>
    </row>
    <row r="354" spans="1:3" x14ac:dyDescent="0.25">
      <c r="A354" t="str">
        <f>"08/11/2010"</f>
        <v>08/11/2010</v>
      </c>
      <c r="B354" t="str">
        <f>"42.93"</f>
        <v>42.93</v>
      </c>
      <c r="C354" t="str">
        <f>"43.0343"</f>
        <v>43.0343</v>
      </c>
    </row>
    <row r="355" spans="1:3" x14ac:dyDescent="0.25">
      <c r="A355" t="str">
        <f>"09/11/2010"</f>
        <v>09/11/2010</v>
      </c>
      <c r="B355" t="str">
        <f>"43.30"</f>
        <v>43.30</v>
      </c>
      <c r="C355" t="str">
        <f>"43.3261"</f>
        <v>43.3261</v>
      </c>
    </row>
    <row r="356" spans="1:3" x14ac:dyDescent="0.25">
      <c r="A356" t="str">
        <f>"10/11/2010"</f>
        <v>10/11/2010</v>
      </c>
      <c r="B356" t="str">
        <f>"43.42"</f>
        <v>43.42</v>
      </c>
      <c r="C356" t="str">
        <f>"43.401"</f>
        <v>43.401</v>
      </c>
    </row>
    <row r="357" spans="1:3" x14ac:dyDescent="0.25">
      <c r="A357" t="str">
        <f>"11/11/2010"</f>
        <v>11/11/2010</v>
      </c>
      <c r="B357" t="str">
        <f>"43.70"</f>
        <v>43.70</v>
      </c>
      <c r="C357" t="str">
        <f>"43.5826"</f>
        <v>43.5826</v>
      </c>
    </row>
    <row r="358" spans="1:3" x14ac:dyDescent="0.25">
      <c r="A358" t="str">
        <f>"12/11/2010"</f>
        <v>12/11/2010</v>
      </c>
      <c r="B358" t="str">
        <f>"43.95"</f>
        <v>43.95</v>
      </c>
      <c r="C358" t="str">
        <f>"44.009"</f>
        <v>44.009</v>
      </c>
    </row>
    <row r="359" spans="1:3" x14ac:dyDescent="0.25">
      <c r="A359" t="str">
        <f>"15/11/2010"</f>
        <v>15/11/2010</v>
      </c>
      <c r="B359" t="str">
        <f>"43.93"</f>
        <v>43.93</v>
      </c>
      <c r="C359" t="str">
        <f>"43.9854"</f>
        <v>43.9854</v>
      </c>
    </row>
    <row r="360" spans="1:3" x14ac:dyDescent="0.25">
      <c r="A360" t="str">
        <f>"16/11/2010"</f>
        <v>16/11/2010</v>
      </c>
      <c r="B360" t="str">
        <f>"43.55"</f>
        <v>43.55</v>
      </c>
      <c r="C360" t="str">
        <f>"43.7296"</f>
        <v>43.7296</v>
      </c>
    </row>
    <row r="361" spans="1:3" x14ac:dyDescent="0.25">
      <c r="A361" t="str">
        <f>"18/11/2010"</f>
        <v>18/11/2010</v>
      </c>
      <c r="B361" t="str">
        <f>"43.70"</f>
        <v>43.70</v>
      </c>
      <c r="C361" t="str">
        <f>"43.7582"</f>
        <v>43.7582</v>
      </c>
    </row>
    <row r="362" spans="1:3" x14ac:dyDescent="0.25">
      <c r="A362" t="str">
        <f>"22/11/2010"</f>
        <v>22/11/2010</v>
      </c>
      <c r="B362" t="str">
        <f>"43.86"</f>
        <v>43.86</v>
      </c>
      <c r="C362" t="str">
        <f>"43.8387"</f>
        <v>43.8387</v>
      </c>
    </row>
    <row r="363" spans="1:3" x14ac:dyDescent="0.25">
      <c r="A363" t="str">
        <f>"23/11/2010"</f>
        <v>23/11/2010</v>
      </c>
      <c r="B363" t="str">
        <f>"44.025"</f>
        <v>44.025</v>
      </c>
      <c r="C363" t="str">
        <f>"44.01"</f>
        <v>44.01</v>
      </c>
    </row>
    <row r="364" spans="1:3" x14ac:dyDescent="0.25">
      <c r="A364" t="str">
        <f>"24/11/2010"</f>
        <v>24/11/2010</v>
      </c>
      <c r="B364" t="str">
        <f>"44.16"</f>
        <v>44.16</v>
      </c>
      <c r="C364" t="str">
        <f>"44.1569"</f>
        <v>44.1569</v>
      </c>
    </row>
    <row r="365" spans="1:3" x14ac:dyDescent="0.25">
      <c r="A365" t="str">
        <f>"25/11/2010"</f>
        <v>25/11/2010</v>
      </c>
      <c r="B365" t="str">
        <f>"44.11"</f>
        <v>44.11</v>
      </c>
      <c r="C365" t="str">
        <f>"44.1441"</f>
        <v>44.1441</v>
      </c>
    </row>
    <row r="366" spans="1:3" x14ac:dyDescent="0.25">
      <c r="A366" t="str">
        <f>"26/11/2010"</f>
        <v>26/11/2010</v>
      </c>
      <c r="B366" t="str">
        <f>"44.25"</f>
        <v>44.25</v>
      </c>
      <c r="C366" t="str">
        <f>"44.2642"</f>
        <v>44.2642</v>
      </c>
    </row>
    <row r="367" spans="1:3" x14ac:dyDescent="0.25">
      <c r="A367" t="str">
        <f>"29/11/2010"</f>
        <v>29/11/2010</v>
      </c>
      <c r="B367" t="str">
        <f>"44.195"</f>
        <v>44.195</v>
      </c>
      <c r="C367" t="str">
        <f>"44.204"</f>
        <v>44.204</v>
      </c>
    </row>
    <row r="368" spans="1:3" x14ac:dyDescent="0.25">
      <c r="A368" t="str">
        <f>"30/11/2010"</f>
        <v>30/11/2010</v>
      </c>
      <c r="B368" t="str">
        <f>"44.1725"</f>
        <v>44.1725</v>
      </c>
      <c r="C368" t="str">
        <f>"44.2206"</f>
        <v>44.2206</v>
      </c>
    </row>
    <row r="369" spans="1:3" x14ac:dyDescent="0.25">
      <c r="A369" t="str">
        <f>"01/12/2010"</f>
        <v>01/12/2010</v>
      </c>
      <c r="B369" t="str">
        <f>"43.695"</f>
        <v>43.695</v>
      </c>
      <c r="C369" t="str">
        <f>"43.7455"</f>
        <v>43.7455</v>
      </c>
    </row>
    <row r="370" spans="1:3" x14ac:dyDescent="0.25">
      <c r="A370" t="str">
        <f>"02/12/2010"</f>
        <v>02/12/2010</v>
      </c>
      <c r="B370" t="str">
        <f>"43.925"</f>
        <v>43.925</v>
      </c>
      <c r="C370" t="str">
        <f>"43.934"</f>
        <v>43.934</v>
      </c>
    </row>
    <row r="371" spans="1:3" x14ac:dyDescent="0.25">
      <c r="A371" t="str">
        <f>"03/12/2010"</f>
        <v>03/12/2010</v>
      </c>
      <c r="B371" t="str">
        <f>"43.90"</f>
        <v>43.90</v>
      </c>
      <c r="C371" t="str">
        <f>"43.899"</f>
        <v>43.899</v>
      </c>
    </row>
    <row r="372" spans="1:3" x14ac:dyDescent="0.25">
      <c r="A372" t="str">
        <f>"06/12/2010"</f>
        <v>06/12/2010</v>
      </c>
      <c r="B372" t="str">
        <f>"43.83"</f>
        <v>43.83</v>
      </c>
      <c r="C372" t="str">
        <f>"43.8254"</f>
        <v>43.8254</v>
      </c>
    </row>
    <row r="373" spans="1:3" x14ac:dyDescent="0.25">
      <c r="A373" t="str">
        <f>"07/12/2010"</f>
        <v>07/12/2010</v>
      </c>
      <c r="B373" t="str">
        <f>"43.69"</f>
        <v>43.69</v>
      </c>
      <c r="C373" t="str">
        <f>"43.7319"</f>
        <v>43.7319</v>
      </c>
    </row>
    <row r="374" spans="1:3" x14ac:dyDescent="0.25">
      <c r="A374" t="str">
        <f>"08/12/2010"</f>
        <v>08/12/2010</v>
      </c>
      <c r="B374" t="str">
        <f>"43.695"</f>
        <v>43.695</v>
      </c>
      <c r="C374" t="str">
        <f>"43.7207"</f>
        <v>43.7207</v>
      </c>
    </row>
    <row r="375" spans="1:3" x14ac:dyDescent="0.25">
      <c r="A375" t="str">
        <f>"09/12/2010"</f>
        <v>09/12/2010</v>
      </c>
      <c r="B375" t="str">
        <f>"43.68"</f>
        <v>43.68</v>
      </c>
      <c r="C375" t="str">
        <f>"43.6943"</f>
        <v>43.6943</v>
      </c>
    </row>
    <row r="376" spans="1:3" x14ac:dyDescent="0.25">
      <c r="A376" t="str">
        <f>"10/12/2010"</f>
        <v>10/12/2010</v>
      </c>
      <c r="B376" t="str">
        <f>"43.72"</f>
        <v>43.72</v>
      </c>
      <c r="C376" t="str">
        <f>"43.7345"</f>
        <v>43.7345</v>
      </c>
    </row>
    <row r="377" spans="1:3" x14ac:dyDescent="0.25">
      <c r="A377" t="str">
        <f>"13/12/2010"</f>
        <v>13/12/2010</v>
      </c>
      <c r="B377" t="str">
        <f>"43.70"</f>
        <v>43.70</v>
      </c>
      <c r="C377" t="str">
        <f>"43.6907"</f>
        <v>43.6907</v>
      </c>
    </row>
    <row r="378" spans="1:3" x14ac:dyDescent="0.25">
      <c r="A378" t="str">
        <f>"14/12/2010"</f>
        <v>14/12/2010</v>
      </c>
      <c r="B378" t="str">
        <f>"43.8325"</f>
        <v>43.8325</v>
      </c>
      <c r="C378" t="str">
        <f>"43.8634"</f>
        <v>43.8634</v>
      </c>
    </row>
    <row r="379" spans="1:3" x14ac:dyDescent="0.25">
      <c r="A379" t="str">
        <f>"15/12/2010"</f>
        <v>15/12/2010</v>
      </c>
      <c r="B379" t="str">
        <f>"43.94"</f>
        <v>43.94</v>
      </c>
      <c r="C379" t="str">
        <f>"43.998"</f>
        <v>43.998</v>
      </c>
    </row>
    <row r="380" spans="1:3" x14ac:dyDescent="0.25">
      <c r="A380" t="str">
        <f>"16/12/2010"</f>
        <v>16/12/2010</v>
      </c>
      <c r="B380" t="str">
        <f>"44.15"</f>
        <v>44.15</v>
      </c>
      <c r="C380" t="str">
        <f>"44.1905"</f>
        <v>44.1905</v>
      </c>
    </row>
    <row r="381" spans="1:3" x14ac:dyDescent="0.25">
      <c r="A381" t="str">
        <f>"20/12/2010"</f>
        <v>20/12/2010</v>
      </c>
      <c r="B381" t="str">
        <f>"44.41"</f>
        <v>44.41</v>
      </c>
      <c r="C381" t="str">
        <f>"44.4843"</f>
        <v>44.4843</v>
      </c>
    </row>
    <row r="382" spans="1:3" x14ac:dyDescent="0.25">
      <c r="A382" t="str">
        <f>"21/12/2010"</f>
        <v>21/12/2010</v>
      </c>
      <c r="B382" t="str">
        <f>"44.33"</f>
        <v>44.33</v>
      </c>
      <c r="C382" t="str">
        <f>"44.3956"</f>
        <v>44.3956</v>
      </c>
    </row>
    <row r="383" spans="1:3" x14ac:dyDescent="0.25">
      <c r="A383" t="str">
        <f>"22/12/2010"</f>
        <v>22/12/2010</v>
      </c>
      <c r="B383" t="str">
        <f>"44.255"</f>
        <v>44.255</v>
      </c>
      <c r="C383" t="str">
        <f>"44.3172"</f>
        <v>44.3172</v>
      </c>
    </row>
    <row r="384" spans="1:3" x14ac:dyDescent="0.25">
      <c r="A384" t="str">
        <f>"23/12/2010"</f>
        <v>23/12/2010</v>
      </c>
      <c r="B384" t="str">
        <f>"44.13"</f>
        <v>44.13</v>
      </c>
      <c r="C384" t="str">
        <f>"44.2031"</f>
        <v>44.2031</v>
      </c>
    </row>
    <row r="385" spans="1:3" x14ac:dyDescent="0.25">
      <c r="A385" t="str">
        <f>"24/12/2010"</f>
        <v>24/12/2010</v>
      </c>
      <c r="B385" t="str">
        <f>"44.05"</f>
        <v>44.05</v>
      </c>
      <c r="C385" t="str">
        <f>"44.11"</f>
        <v>44.11</v>
      </c>
    </row>
    <row r="386" spans="1:3" x14ac:dyDescent="0.25">
      <c r="A386" t="str">
        <f>"27/12/2010"</f>
        <v>27/12/2010</v>
      </c>
      <c r="B386" t="str">
        <f>"44.01"</f>
        <v>44.01</v>
      </c>
      <c r="C386" t="str">
        <f>"44.07"</f>
        <v>44.07</v>
      </c>
    </row>
    <row r="387" spans="1:3" x14ac:dyDescent="0.25">
      <c r="A387" t="str">
        <f>"28/12/2010"</f>
        <v>28/12/2010</v>
      </c>
      <c r="B387" t="str">
        <f>"43.90"</f>
        <v>43.90</v>
      </c>
      <c r="C387" t="str">
        <f>"43.96"</f>
        <v>43.96</v>
      </c>
    </row>
    <row r="388" spans="1:3" x14ac:dyDescent="0.25">
      <c r="A388" t="str">
        <f>"29/12/2010"</f>
        <v>29/12/2010</v>
      </c>
      <c r="B388" t="str">
        <f>"43.90"</f>
        <v>43.90</v>
      </c>
      <c r="C388" t="str">
        <f>"43.92"</f>
        <v>43.92</v>
      </c>
    </row>
    <row r="389" spans="1:3" x14ac:dyDescent="0.25">
      <c r="A389" t="str">
        <f>"30/12/2010"</f>
        <v>30/12/2010</v>
      </c>
      <c r="B389" t="str">
        <f>"43.79"</f>
        <v>43.79</v>
      </c>
      <c r="C389" t="str">
        <f>"43.81"</f>
        <v>43.81</v>
      </c>
    </row>
    <row r="390" spans="1:3" x14ac:dyDescent="0.25">
      <c r="A390" t="str">
        <f>"31/12/2010"</f>
        <v>31/12/2010</v>
      </c>
      <c r="B390" t="str">
        <f>"43.74"</f>
        <v>43.74</v>
      </c>
      <c r="C390" t="str">
        <f>"43.76"</f>
        <v>43.76</v>
      </c>
    </row>
    <row r="391" spans="1:3" x14ac:dyDescent="0.25">
      <c r="A391" t="str">
        <f>"03/01/2011"</f>
        <v>03/01/2011</v>
      </c>
      <c r="B391" t="str">
        <f>"43.78"</f>
        <v>43.78</v>
      </c>
      <c r="C391" t="str">
        <f>"43.80"</f>
        <v>43.80</v>
      </c>
    </row>
    <row r="392" spans="1:3" x14ac:dyDescent="0.25">
      <c r="A392" t="str">
        <f>"04/01/2011"</f>
        <v>04/01/2011</v>
      </c>
      <c r="B392" t="str">
        <f>"43.66"</f>
        <v>43.66</v>
      </c>
      <c r="C392" t="str">
        <f>"43.67"</f>
        <v>43.67</v>
      </c>
    </row>
    <row r="393" spans="1:3" x14ac:dyDescent="0.25">
      <c r="A393" t="str">
        <f>"05/01/2011"</f>
        <v>05/01/2011</v>
      </c>
      <c r="B393" t="str">
        <f>"43.74"</f>
        <v>43.74</v>
      </c>
      <c r="C393" t="str">
        <f>"43.75"</f>
        <v>43.75</v>
      </c>
    </row>
    <row r="394" spans="1:3" x14ac:dyDescent="0.25">
      <c r="A394" t="str">
        <f>"06/01/2011"</f>
        <v>06/01/2011</v>
      </c>
      <c r="B394" t="str">
        <f>"43.92"</f>
        <v>43.92</v>
      </c>
      <c r="C394" t="str">
        <f>"43.93"</f>
        <v>43.93</v>
      </c>
    </row>
    <row r="395" spans="1:3" x14ac:dyDescent="0.25">
      <c r="A395" t="str">
        <f>"07/01/2011"</f>
        <v>07/01/2011</v>
      </c>
      <c r="B395" t="str">
        <f>"44.11"</f>
        <v>44.11</v>
      </c>
      <c r="C395" t="str">
        <f>"44.118"</f>
        <v>44.118</v>
      </c>
    </row>
    <row r="396" spans="1:3" x14ac:dyDescent="0.25">
      <c r="A396" t="str">
        <f>"10/01/2011"</f>
        <v>10/01/2011</v>
      </c>
      <c r="B396" t="str">
        <f>"44.26"</f>
        <v>44.26</v>
      </c>
      <c r="C396" t="str">
        <f>"44.28"</f>
        <v>44.28</v>
      </c>
    </row>
    <row r="397" spans="1:3" x14ac:dyDescent="0.25">
      <c r="A397" t="str">
        <f>"11/01/2011"</f>
        <v>11/01/2011</v>
      </c>
      <c r="B397" t="str">
        <f>"44.31"</f>
        <v>44.31</v>
      </c>
      <c r="C397" t="str">
        <f>"44.34"</f>
        <v>44.34</v>
      </c>
    </row>
    <row r="398" spans="1:3" x14ac:dyDescent="0.25">
      <c r="A398" t="str">
        <f>"12/01/2011"</f>
        <v>12/01/2011</v>
      </c>
      <c r="B398" t="str">
        <f>"43.96"</f>
        <v>43.96</v>
      </c>
      <c r="C398" t="str">
        <f>"43.975"</f>
        <v>43.975</v>
      </c>
    </row>
    <row r="399" spans="1:3" x14ac:dyDescent="0.25">
      <c r="A399" t="str">
        <f>"13/01/2011"</f>
        <v>13/01/2011</v>
      </c>
      <c r="B399" t="str">
        <f>"44.14"</f>
        <v>44.14</v>
      </c>
      <c r="C399" t="str">
        <f>"44.155"</f>
        <v>44.155</v>
      </c>
    </row>
    <row r="400" spans="1:3" x14ac:dyDescent="0.25">
      <c r="A400" t="str">
        <f>"14/01/2011"</f>
        <v>14/01/2011</v>
      </c>
      <c r="B400" t="str">
        <f>"44.23"</f>
        <v>44.23</v>
      </c>
      <c r="C400" t="str">
        <f>"44.29"</f>
        <v>44.29</v>
      </c>
    </row>
    <row r="401" spans="1:3" x14ac:dyDescent="0.25">
      <c r="A401" t="str">
        <f>"17/01/2011"</f>
        <v>17/01/2011</v>
      </c>
      <c r="B401" t="str">
        <f>"44.43"</f>
        <v>44.43</v>
      </c>
      <c r="C401" t="str">
        <f>"44.46"</f>
        <v>44.46</v>
      </c>
    </row>
    <row r="402" spans="1:3" x14ac:dyDescent="0.25">
      <c r="A402" t="str">
        <f>"18/01/2011"</f>
        <v>18/01/2011</v>
      </c>
      <c r="B402" t="str">
        <f>"44.62"</f>
        <v>44.62</v>
      </c>
      <c r="C402" t="str">
        <f>"44.685"</f>
        <v>44.685</v>
      </c>
    </row>
    <row r="403" spans="1:3" x14ac:dyDescent="0.25">
      <c r="A403" t="str">
        <f>"19/01/2011"</f>
        <v>19/01/2011</v>
      </c>
      <c r="B403" t="str">
        <f>"44.39"</f>
        <v>44.39</v>
      </c>
      <c r="C403" t="str">
        <f>"44.49"</f>
        <v>44.49</v>
      </c>
    </row>
    <row r="404" spans="1:3" x14ac:dyDescent="0.25">
      <c r="A404" t="str">
        <f>"20/01/2011"</f>
        <v>20/01/2011</v>
      </c>
      <c r="B404" t="str">
        <f>"44.48"</f>
        <v>44.48</v>
      </c>
      <c r="C404" t="str">
        <f>"44.59"</f>
        <v>44.59</v>
      </c>
    </row>
    <row r="405" spans="1:3" x14ac:dyDescent="0.25">
      <c r="A405" t="str">
        <f>"21/01/2011"</f>
        <v>21/01/2011</v>
      </c>
      <c r="B405" t="str">
        <f>"44.42"</f>
        <v>44.42</v>
      </c>
      <c r="C405" t="str">
        <f>"44.54"</f>
        <v>44.54</v>
      </c>
    </row>
    <row r="406" spans="1:3" x14ac:dyDescent="0.25">
      <c r="A406" t="str">
        <f>"24/01/2011"</f>
        <v>24/01/2011</v>
      </c>
      <c r="B406" t="str">
        <f>"44.37"</f>
        <v>44.37</v>
      </c>
      <c r="C406" t="str">
        <f>"44.47"</f>
        <v>44.47</v>
      </c>
    </row>
    <row r="407" spans="1:3" x14ac:dyDescent="0.25">
      <c r="A407" t="str">
        <f>"25/01/2011"</f>
        <v>25/01/2011</v>
      </c>
      <c r="B407" t="str">
        <f>"44.47"</f>
        <v>44.47</v>
      </c>
      <c r="C407" t="str">
        <f>"44.57"</f>
        <v>44.57</v>
      </c>
    </row>
    <row r="408" spans="1:3" x14ac:dyDescent="0.25">
      <c r="A408" t="str">
        <f>"27/01/2011"</f>
        <v>27/01/2011</v>
      </c>
      <c r="B408" t="str">
        <f>"44.15"</f>
        <v>44.15</v>
      </c>
      <c r="C408" t="str">
        <f>"44.235"</f>
        <v>44.235</v>
      </c>
    </row>
    <row r="409" spans="1:3" x14ac:dyDescent="0.25">
      <c r="A409" t="str">
        <f>"28/01/2011"</f>
        <v>28/01/2011</v>
      </c>
      <c r="B409" t="str">
        <f>"44.10"</f>
        <v>44.10</v>
      </c>
      <c r="C409" t="str">
        <f>"44.185"</f>
        <v>44.185</v>
      </c>
    </row>
    <row r="410" spans="1:3" x14ac:dyDescent="0.25">
      <c r="A410" t="str">
        <f>"31/01/2011"</f>
        <v>31/01/2011</v>
      </c>
      <c r="B410" t="str">
        <f>"44.35"</f>
        <v>44.35</v>
      </c>
      <c r="C410" t="str">
        <f>"44.445"</f>
        <v>44.445</v>
      </c>
    </row>
    <row r="411" spans="1:3" x14ac:dyDescent="0.25">
      <c r="A411" t="str">
        <f>"01/02/2011"</f>
        <v>01/02/2011</v>
      </c>
      <c r="B411" t="str">
        <f>"44.23"</f>
        <v>44.23</v>
      </c>
      <c r="C411" t="str">
        <f>"44.32"</f>
        <v>44.32</v>
      </c>
    </row>
    <row r="412" spans="1:3" x14ac:dyDescent="0.25">
      <c r="A412" t="str">
        <f>"02/02/2011"</f>
        <v>02/02/2011</v>
      </c>
      <c r="B412" t="str">
        <f>"44.00"</f>
        <v>44.00</v>
      </c>
      <c r="C412" t="str">
        <f>"44.08"</f>
        <v>44.08</v>
      </c>
    </row>
    <row r="413" spans="1:3" x14ac:dyDescent="0.25">
      <c r="A413" t="str">
        <f>"03/02/2011"</f>
        <v>03/02/2011</v>
      </c>
      <c r="B413" t="str">
        <f>"43.94"</f>
        <v>43.94</v>
      </c>
      <c r="C413" t="str">
        <f>"44.03"</f>
        <v>44.03</v>
      </c>
    </row>
    <row r="414" spans="1:3" x14ac:dyDescent="0.25">
      <c r="A414" t="str">
        <f>"04/02/2011"</f>
        <v>04/02/2011</v>
      </c>
      <c r="B414" t="str">
        <f>"43.78"</f>
        <v>43.78</v>
      </c>
      <c r="C414" t="str">
        <f>"43.87"</f>
        <v>43.87</v>
      </c>
    </row>
    <row r="415" spans="1:3" x14ac:dyDescent="0.25">
      <c r="A415" t="str">
        <f>"07/02/2011"</f>
        <v>07/02/2011</v>
      </c>
      <c r="B415" t="str">
        <f>"43.69"</f>
        <v>43.69</v>
      </c>
      <c r="C415" t="str">
        <f>"43.75"</f>
        <v>43.75</v>
      </c>
    </row>
    <row r="416" spans="1:3" x14ac:dyDescent="0.25">
      <c r="A416" t="str">
        <f>"08/02/2011"</f>
        <v>08/02/2011</v>
      </c>
      <c r="B416" t="str">
        <f>"43.48"</f>
        <v>43.48</v>
      </c>
      <c r="C416" t="str">
        <f>"43.51"</f>
        <v>43.51</v>
      </c>
    </row>
    <row r="417" spans="1:3" x14ac:dyDescent="0.25">
      <c r="A417" t="str">
        <f>"09/02/2011"</f>
        <v>09/02/2011</v>
      </c>
      <c r="B417" t="str">
        <f>"43.37"</f>
        <v>43.37</v>
      </c>
      <c r="C417" t="str">
        <f>"43.385"</f>
        <v>43.385</v>
      </c>
    </row>
    <row r="418" spans="1:3" x14ac:dyDescent="0.25">
      <c r="A418" t="str">
        <f>"10/02/2011"</f>
        <v>10/02/2011</v>
      </c>
      <c r="B418" t="str">
        <f>"43.69"</f>
        <v>43.69</v>
      </c>
      <c r="C418" t="str">
        <f>"43.74"</f>
        <v>43.74</v>
      </c>
    </row>
    <row r="419" spans="1:3" x14ac:dyDescent="0.25">
      <c r="A419" t="str">
        <f>"11/02/2011"</f>
        <v>11/02/2011</v>
      </c>
      <c r="B419" t="str">
        <f>"43.69"</f>
        <v>43.69</v>
      </c>
      <c r="C419" t="str">
        <f>"43.76"</f>
        <v>43.76</v>
      </c>
    </row>
    <row r="420" spans="1:3" x14ac:dyDescent="0.25">
      <c r="A420" t="str">
        <f>"14/02/2011"</f>
        <v>14/02/2011</v>
      </c>
      <c r="B420" t="str">
        <f>"43.72"</f>
        <v>43.72</v>
      </c>
      <c r="C420" t="str">
        <f>"43.79"</f>
        <v>43.79</v>
      </c>
    </row>
    <row r="421" spans="1:3" x14ac:dyDescent="0.25">
      <c r="A421" t="str">
        <f>"15/02/2011"</f>
        <v>15/02/2011</v>
      </c>
      <c r="B421" t="str">
        <f>"43.59"</f>
        <v>43.59</v>
      </c>
      <c r="C421" t="str">
        <f>"43.64"</f>
        <v>43.64</v>
      </c>
    </row>
    <row r="422" spans="1:3" x14ac:dyDescent="0.25">
      <c r="A422" t="str">
        <f>"17/02/2011"</f>
        <v>17/02/2011</v>
      </c>
      <c r="B422" t="str">
        <f>"43.41"</f>
        <v>43.41</v>
      </c>
      <c r="C422" t="str">
        <f>"43.45"</f>
        <v>43.45</v>
      </c>
    </row>
    <row r="423" spans="1:3" x14ac:dyDescent="0.25">
      <c r="A423" t="str">
        <f>"18/02/2011"</f>
        <v>18/02/2011</v>
      </c>
      <c r="B423" t="str">
        <f>"43.38"</f>
        <v>43.38</v>
      </c>
      <c r="C423" t="str">
        <f>"43.40"</f>
        <v>43.40</v>
      </c>
    </row>
    <row r="424" spans="1:3" x14ac:dyDescent="0.25">
      <c r="A424" t="str">
        <f>"21/02/2011"</f>
        <v>21/02/2011</v>
      </c>
      <c r="B424" t="str">
        <f>"43.45"</f>
        <v>43.45</v>
      </c>
      <c r="C424" t="str">
        <f>"43.455"</f>
        <v>43.455</v>
      </c>
    </row>
    <row r="425" spans="1:3" x14ac:dyDescent="0.25">
      <c r="A425" t="str">
        <f>"22/02/2011"</f>
        <v>22/02/2011</v>
      </c>
      <c r="B425" t="str">
        <f>"43.60"</f>
        <v>43.60</v>
      </c>
      <c r="C425" t="str">
        <f>"43.62"</f>
        <v>43.62</v>
      </c>
    </row>
    <row r="426" spans="1:3" x14ac:dyDescent="0.25">
      <c r="A426" t="str">
        <f>"23/02/2011"</f>
        <v>23/02/2011</v>
      </c>
      <c r="B426" t="str">
        <f>"43.60"</f>
        <v>43.60</v>
      </c>
      <c r="C426" t="str">
        <f>"43.635"</f>
        <v>43.635</v>
      </c>
    </row>
    <row r="427" spans="1:3" x14ac:dyDescent="0.25">
      <c r="A427" t="str">
        <f>"24/02/2011"</f>
        <v>24/02/2011</v>
      </c>
      <c r="B427" t="str">
        <f>"43.70"</f>
        <v>43.70</v>
      </c>
      <c r="C427" t="str">
        <f>"43.75"</f>
        <v>43.75</v>
      </c>
    </row>
    <row r="428" spans="1:3" x14ac:dyDescent="0.25">
      <c r="A428" t="str">
        <f>"25/02/2011"</f>
        <v>25/02/2011</v>
      </c>
      <c r="B428" t="str">
        <f>"43.80"</f>
        <v>43.80</v>
      </c>
      <c r="C428" t="str">
        <f>"43.875"</f>
        <v>43.875</v>
      </c>
    </row>
    <row r="429" spans="1:3" x14ac:dyDescent="0.25">
      <c r="A429" t="str">
        <f>"28/02/2011"</f>
        <v>28/02/2011</v>
      </c>
      <c r="B429" t="str">
        <f>"43.72"</f>
        <v>43.72</v>
      </c>
      <c r="C429" t="str">
        <f>"43.795"</f>
        <v>43.795</v>
      </c>
    </row>
    <row r="430" spans="1:3" x14ac:dyDescent="0.25">
      <c r="A430" t="str">
        <f>"01/03/2011"</f>
        <v>01/03/2011</v>
      </c>
      <c r="B430" t="str">
        <f>"43.50"</f>
        <v>43.50</v>
      </c>
      <c r="C430" t="str">
        <f>"43.55"</f>
        <v>43.55</v>
      </c>
    </row>
    <row r="431" spans="1:3" x14ac:dyDescent="0.25">
      <c r="A431" t="str">
        <f>"03/03/2011"</f>
        <v>03/03/2011</v>
      </c>
      <c r="B431" t="str">
        <f>"43.38"</f>
        <v>43.38</v>
      </c>
      <c r="C431" t="str">
        <f>"43.445"</f>
        <v>43.445</v>
      </c>
    </row>
    <row r="432" spans="1:3" x14ac:dyDescent="0.25">
      <c r="A432" t="str">
        <f>"04/03/2011"</f>
        <v>04/03/2011</v>
      </c>
      <c r="B432" t="str">
        <f>"43.31"</f>
        <v>43.31</v>
      </c>
      <c r="C432" t="str">
        <f>"43.36"</f>
        <v>43.36</v>
      </c>
    </row>
    <row r="433" spans="1:3" x14ac:dyDescent="0.25">
      <c r="A433" t="str">
        <f>"07/03/2011"</f>
        <v>07/03/2011</v>
      </c>
      <c r="B433" t="str">
        <f>"43.36"</f>
        <v>43.36</v>
      </c>
      <c r="C433" t="str">
        <f>"43.405"</f>
        <v>43.405</v>
      </c>
    </row>
    <row r="434" spans="1:3" x14ac:dyDescent="0.25">
      <c r="A434" t="str">
        <f>"08/03/2011"</f>
        <v>08/03/2011</v>
      </c>
      <c r="B434" t="str">
        <f>"43.34"</f>
        <v>43.34</v>
      </c>
      <c r="C434" t="str">
        <f>"43.385"</f>
        <v>43.385</v>
      </c>
    </row>
    <row r="435" spans="1:3" x14ac:dyDescent="0.25">
      <c r="A435" t="str">
        <f>"09/03/2011"</f>
        <v>09/03/2011</v>
      </c>
      <c r="B435" t="str">
        <f>"43.42"</f>
        <v>43.42</v>
      </c>
      <c r="C435" t="str">
        <f>"43.475"</f>
        <v>43.475</v>
      </c>
    </row>
    <row r="436" spans="1:3" x14ac:dyDescent="0.25">
      <c r="A436" t="str">
        <f>"10/03/2011"</f>
        <v>10/03/2011</v>
      </c>
      <c r="B436" t="str">
        <f>"43.49"</f>
        <v>43.49</v>
      </c>
      <c r="C436" t="str">
        <f>"43.55"</f>
        <v>43.55</v>
      </c>
    </row>
    <row r="437" spans="1:3" x14ac:dyDescent="0.25">
      <c r="A437" t="str">
        <f>"11/03/2011"</f>
        <v>11/03/2011</v>
      </c>
      <c r="B437" t="str">
        <f>"43.52"</f>
        <v>43.52</v>
      </c>
      <c r="C437" t="str">
        <f>"43.59"</f>
        <v>43.59</v>
      </c>
    </row>
    <row r="438" spans="1:3" x14ac:dyDescent="0.25">
      <c r="A438" t="str">
        <f>"14/03/2011"</f>
        <v>14/03/2011</v>
      </c>
      <c r="B438" t="str">
        <f>"43.71"</f>
        <v>43.71</v>
      </c>
      <c r="C438" t="str">
        <f>"43.79"</f>
        <v>43.79</v>
      </c>
    </row>
    <row r="439" spans="1:3" x14ac:dyDescent="0.25">
      <c r="A439" t="str">
        <f>"15/03/2011"</f>
        <v>15/03/2011</v>
      </c>
      <c r="B439" t="str">
        <f>"43.86"</f>
        <v>43.86</v>
      </c>
      <c r="C439" t="str">
        <f>"43.935"</f>
        <v>43.935</v>
      </c>
    </row>
    <row r="440" spans="1:3" x14ac:dyDescent="0.25">
      <c r="A440" t="str">
        <f>"16/03/2011"</f>
        <v>16/03/2011</v>
      </c>
      <c r="B440" t="str">
        <f>"43.88"</f>
        <v>43.88</v>
      </c>
      <c r="C440" t="str">
        <f>"43.96"</f>
        <v>43.96</v>
      </c>
    </row>
    <row r="441" spans="1:3" x14ac:dyDescent="0.25">
      <c r="A441" t="str">
        <f>"17/03/2011"</f>
        <v>17/03/2011</v>
      </c>
      <c r="B441" t="str">
        <f>"43.985"</f>
        <v>43.985</v>
      </c>
      <c r="C441" t="str">
        <f>"44.075"</f>
        <v>44.075</v>
      </c>
    </row>
    <row r="442" spans="1:3" x14ac:dyDescent="0.25">
      <c r="A442" t="str">
        <f>"18/03/2011"</f>
        <v>18/03/2011</v>
      </c>
      <c r="B442" t="str">
        <f>"43.71"</f>
        <v>43.71</v>
      </c>
      <c r="C442" t="str">
        <f>"43.804"</f>
        <v>43.804</v>
      </c>
    </row>
    <row r="443" spans="1:3" x14ac:dyDescent="0.25">
      <c r="A443" t="str">
        <f>"21/03/2011"</f>
        <v>21/03/2011</v>
      </c>
      <c r="B443" t="str">
        <f>"43.57"</f>
        <v>43.57</v>
      </c>
      <c r="C443" t="str">
        <f>"43.638"</f>
        <v>43.638</v>
      </c>
    </row>
    <row r="444" spans="1:3" x14ac:dyDescent="0.25">
      <c r="A444" t="str">
        <f>"22/03/2011"</f>
        <v>22/03/2011</v>
      </c>
      <c r="B444" t="str">
        <f>"43.39"</f>
        <v>43.39</v>
      </c>
      <c r="C444" t="str">
        <f>"43.44"</f>
        <v>43.44</v>
      </c>
    </row>
    <row r="445" spans="1:3" x14ac:dyDescent="0.25">
      <c r="A445" t="str">
        <f>"23/03/2011"</f>
        <v>23/03/2011</v>
      </c>
      <c r="B445" t="str">
        <f>"43.445"</f>
        <v>43.445</v>
      </c>
      <c r="C445" t="str">
        <f>"43.485"</f>
        <v>43.485</v>
      </c>
    </row>
    <row r="446" spans="1:3" x14ac:dyDescent="0.25">
      <c r="A446" t="str">
        <f>"24/03/2011"</f>
        <v>24/03/2011</v>
      </c>
      <c r="B446" t="str">
        <f>"43.44"</f>
        <v>43.44</v>
      </c>
      <c r="C446" t="str">
        <f>"43.49"</f>
        <v>43.49</v>
      </c>
    </row>
    <row r="447" spans="1:3" x14ac:dyDescent="0.25">
      <c r="A447" t="str">
        <f>"25/03/2011"</f>
        <v>25/03/2011</v>
      </c>
      <c r="B447" t="str">
        <f>"43.34"</f>
        <v>43.34</v>
      </c>
      <c r="C447" t="str">
        <f>"43.39"</f>
        <v>43.39</v>
      </c>
    </row>
    <row r="448" spans="1:3" x14ac:dyDescent="0.25">
      <c r="A448" t="str">
        <f>"28/03/2011"</f>
        <v>28/03/2011</v>
      </c>
      <c r="B448" t="str">
        <f>"43.35"</f>
        <v>43.35</v>
      </c>
      <c r="C448" t="str">
        <f>"43.38"</f>
        <v>43.38</v>
      </c>
    </row>
    <row r="449" spans="1:3" x14ac:dyDescent="0.25">
      <c r="A449" t="str">
        <f>"29/03/2011"</f>
        <v>29/03/2011</v>
      </c>
      <c r="B449" t="str">
        <f>"43.55"</f>
        <v>43.55</v>
      </c>
      <c r="C449" t="str">
        <f>"43.62"</f>
        <v>43.62</v>
      </c>
    </row>
    <row r="450" spans="1:3" x14ac:dyDescent="0.25">
      <c r="A450" t="str">
        <f>"30/03/2011"</f>
        <v>30/03/2011</v>
      </c>
      <c r="B450" t="str">
        <f>"43.41"</f>
        <v>43.41</v>
      </c>
      <c r="C450" t="str">
        <f>"43.475"</f>
        <v>43.475</v>
      </c>
    </row>
    <row r="451" spans="1:3" x14ac:dyDescent="0.25">
      <c r="A451" t="str">
        <f>"31/03/2011"</f>
        <v>31/03/2011</v>
      </c>
      <c r="B451" t="str">
        <f>"43.45"</f>
        <v>43.45</v>
      </c>
      <c r="C451" t="str">
        <f>"43.53"</f>
        <v>43.53</v>
      </c>
    </row>
    <row r="452" spans="1:3" x14ac:dyDescent="0.25">
      <c r="A452" t="str">
        <f>"01/04/2011"</f>
        <v>01/04/2011</v>
      </c>
      <c r="B452" t="str">
        <f>"43.35"</f>
        <v>43.35</v>
      </c>
      <c r="C452" t="str">
        <f>"43.41"</f>
        <v>43.41</v>
      </c>
    </row>
    <row r="453" spans="1:3" x14ac:dyDescent="0.25">
      <c r="A453" t="str">
        <f>"05/04/2011"</f>
        <v>05/04/2011</v>
      </c>
      <c r="B453" t="str">
        <f>"43.40"</f>
        <v>43.40</v>
      </c>
      <c r="C453" t="str">
        <f>"43.485"</f>
        <v>43.485</v>
      </c>
    </row>
    <row r="454" spans="1:3" x14ac:dyDescent="0.25">
      <c r="A454" t="str">
        <f>"06/04/2011"</f>
        <v>06/04/2011</v>
      </c>
      <c r="B454" t="str">
        <f>"43.20"</f>
        <v>43.20</v>
      </c>
      <c r="C454" t="str">
        <f>"43.275"</f>
        <v>43.275</v>
      </c>
    </row>
    <row r="455" spans="1:3" x14ac:dyDescent="0.25">
      <c r="A455" t="str">
        <f>"07/04/2011"</f>
        <v>07/04/2011</v>
      </c>
      <c r="B455" t="str">
        <f>"43.09"</f>
        <v>43.09</v>
      </c>
      <c r="C455" t="str">
        <f>"43.165"</f>
        <v>43.165</v>
      </c>
    </row>
    <row r="456" spans="1:3" x14ac:dyDescent="0.25">
      <c r="A456" t="str">
        <f>"08/04/2011"</f>
        <v>08/04/2011</v>
      </c>
      <c r="B456" t="str">
        <f>"43.03"</f>
        <v>43.03</v>
      </c>
      <c r="C456" t="str">
        <f>"43.10"</f>
        <v>43.10</v>
      </c>
    </row>
    <row r="457" spans="1:3" x14ac:dyDescent="0.25">
      <c r="A457" t="str">
        <f>"11/04/2011"</f>
        <v>11/04/2011</v>
      </c>
      <c r="B457" t="str">
        <f>"43.065"</f>
        <v>43.065</v>
      </c>
      <c r="C457" t="str">
        <f>"43.115"</f>
        <v>43.115</v>
      </c>
    </row>
    <row r="458" spans="1:3" x14ac:dyDescent="0.25">
      <c r="A458" t="str">
        <f>"13/04/2011"</f>
        <v>13/04/2011</v>
      </c>
      <c r="B458" t="str">
        <f>"43.28"</f>
        <v>43.28</v>
      </c>
      <c r="C458" t="str">
        <f>"43.37"</f>
        <v>43.37</v>
      </c>
    </row>
    <row r="459" spans="1:3" x14ac:dyDescent="0.25">
      <c r="A459" t="str">
        <f>"15/04/2011"</f>
        <v>15/04/2011</v>
      </c>
      <c r="B459" t="str">
        <f>"43.23"</f>
        <v>43.23</v>
      </c>
      <c r="C459" t="str">
        <f>"43.33"</f>
        <v>43.33</v>
      </c>
    </row>
    <row r="460" spans="1:3" x14ac:dyDescent="0.25">
      <c r="A460" t="str">
        <f>"18/04/2011"</f>
        <v>18/04/2011</v>
      </c>
      <c r="B460" t="str">
        <f>"43.28"</f>
        <v>43.28</v>
      </c>
      <c r="C460" t="str">
        <f>"43.38"</f>
        <v>43.38</v>
      </c>
    </row>
    <row r="461" spans="1:3" x14ac:dyDescent="0.25">
      <c r="A461" t="str">
        <f>"19/04/2011"</f>
        <v>19/04/2011</v>
      </c>
      <c r="B461" t="str">
        <f>"43.38"</f>
        <v>43.38</v>
      </c>
      <c r="C461" t="str">
        <f>"43.50"</f>
        <v>43.50</v>
      </c>
    </row>
    <row r="462" spans="1:3" x14ac:dyDescent="0.25">
      <c r="A462" t="str">
        <f>"20/04/2011"</f>
        <v>20/04/2011</v>
      </c>
      <c r="B462" t="str">
        <f>"43.23"</f>
        <v>43.23</v>
      </c>
      <c r="C462" t="str">
        <f>"43.34"</f>
        <v>43.34</v>
      </c>
    </row>
    <row r="463" spans="1:3" x14ac:dyDescent="0.25">
      <c r="A463" t="str">
        <f>"21/04/2011"</f>
        <v>21/04/2011</v>
      </c>
      <c r="B463" t="str">
        <f>"43.175"</f>
        <v>43.175</v>
      </c>
      <c r="C463" t="str">
        <f>"43.271"</f>
        <v>43.271</v>
      </c>
    </row>
    <row r="464" spans="1:3" x14ac:dyDescent="0.25">
      <c r="A464" t="str">
        <f>"25/04/2011"</f>
        <v>25/04/2011</v>
      </c>
      <c r="B464" t="str">
        <f>"43.215"</f>
        <v>43.215</v>
      </c>
      <c r="C464" t="str">
        <f>"43.305"</f>
        <v>43.305</v>
      </c>
    </row>
    <row r="465" spans="1:3" x14ac:dyDescent="0.25">
      <c r="A465" t="str">
        <f>"26/04/2011"</f>
        <v>26/04/2011</v>
      </c>
      <c r="B465" t="str">
        <f>"43.275"</f>
        <v>43.275</v>
      </c>
      <c r="C465" t="str">
        <f>"43.362"</f>
        <v>43.362</v>
      </c>
    </row>
    <row r="466" spans="1:3" x14ac:dyDescent="0.25">
      <c r="A466" t="str">
        <f>"27/04/2011"</f>
        <v>27/04/2011</v>
      </c>
      <c r="B466" t="str">
        <f>"43.20"</f>
        <v>43.20</v>
      </c>
      <c r="C466" t="str">
        <f>"43.29"</f>
        <v>43.29</v>
      </c>
    </row>
    <row r="467" spans="1:3" x14ac:dyDescent="0.25">
      <c r="A467" t="str">
        <f>"28/04/2011"</f>
        <v>28/04/2011</v>
      </c>
      <c r="B467" t="str">
        <f>"43.05"</f>
        <v>43.05</v>
      </c>
      <c r="C467" t="str">
        <f>"43.12"</f>
        <v>43.12</v>
      </c>
    </row>
    <row r="468" spans="1:3" x14ac:dyDescent="0.25">
      <c r="A468" t="str">
        <f>"29/04/2011"</f>
        <v>29/04/2011</v>
      </c>
      <c r="B468" t="str">
        <f>"42.87"</f>
        <v>42.87</v>
      </c>
      <c r="C468" t="str">
        <f>"42.941"</f>
        <v>42.941</v>
      </c>
    </row>
    <row r="469" spans="1:3" x14ac:dyDescent="0.25">
      <c r="A469" t="str">
        <f>"02/05/2011"</f>
        <v>02/05/2011</v>
      </c>
      <c r="B469" t="str">
        <f>"42.72"</f>
        <v>42.72</v>
      </c>
      <c r="C469" t="str">
        <f>"42.79"</f>
        <v>42.79</v>
      </c>
    </row>
    <row r="470" spans="1:3" x14ac:dyDescent="0.25">
      <c r="A470" t="str">
        <f>"03/05/2011"</f>
        <v>03/05/2011</v>
      </c>
      <c r="B470" t="str">
        <f>"42.82"</f>
        <v>42.82</v>
      </c>
      <c r="C470" t="str">
        <f>"42.91"</f>
        <v>42.91</v>
      </c>
    </row>
    <row r="471" spans="1:3" x14ac:dyDescent="0.25">
      <c r="A471" t="str">
        <f>"04/05/2011"</f>
        <v>04/05/2011</v>
      </c>
      <c r="B471" t="str">
        <f>"42.99"</f>
        <v>42.99</v>
      </c>
      <c r="C471" t="str">
        <f>"43.075"</f>
        <v>43.075</v>
      </c>
    </row>
    <row r="472" spans="1:3" x14ac:dyDescent="0.25">
      <c r="A472" t="str">
        <f>"05/05/2011"</f>
        <v>05/05/2011</v>
      </c>
      <c r="B472" t="str">
        <f>"42.94"</f>
        <v>42.94</v>
      </c>
      <c r="C472" t="str">
        <f>"43.043"</f>
        <v>43.043</v>
      </c>
    </row>
    <row r="473" spans="1:3" x14ac:dyDescent="0.25">
      <c r="A473" t="str">
        <f>"06/05/2011"</f>
        <v>06/05/2011</v>
      </c>
      <c r="B473" t="str">
        <f>"43.09"</f>
        <v>43.09</v>
      </c>
      <c r="C473" t="str">
        <f>"43.22"</f>
        <v>43.22</v>
      </c>
    </row>
    <row r="474" spans="1:3" x14ac:dyDescent="0.25">
      <c r="A474" t="str">
        <f>"09/05/2011"</f>
        <v>09/05/2011</v>
      </c>
      <c r="B474" t="str">
        <f>"42.93"</f>
        <v>42.93</v>
      </c>
      <c r="C474" t="str">
        <f>"43.05"</f>
        <v>43.05</v>
      </c>
    </row>
    <row r="475" spans="1:3" x14ac:dyDescent="0.25">
      <c r="A475" t="str">
        <f>"10/05/2011"</f>
        <v>10/05/2011</v>
      </c>
      <c r="B475" t="str">
        <f>"42.98"</f>
        <v>42.98</v>
      </c>
      <c r="C475" t="str">
        <f>"43.098"</f>
        <v>43.098</v>
      </c>
    </row>
    <row r="476" spans="1:3" x14ac:dyDescent="0.25">
      <c r="A476" t="str">
        <f>"11/05/2011"</f>
        <v>11/05/2011</v>
      </c>
      <c r="B476" t="str">
        <f>"42.87"</f>
        <v>42.87</v>
      </c>
      <c r="C476" t="str">
        <f>"42.992"</f>
        <v>42.992</v>
      </c>
    </row>
    <row r="477" spans="1:3" x14ac:dyDescent="0.25">
      <c r="A477" t="str">
        <f>"12/05/2011"</f>
        <v>12/05/2011</v>
      </c>
      <c r="B477" t="str">
        <f>"42.99"</f>
        <v>42.99</v>
      </c>
      <c r="C477" t="str">
        <f>"43.121"</f>
        <v>43.121</v>
      </c>
    </row>
    <row r="478" spans="1:3" x14ac:dyDescent="0.25">
      <c r="A478" t="str">
        <f>"13/05/2011"</f>
        <v>13/05/2011</v>
      </c>
      <c r="B478" t="str">
        <f>"43.24"</f>
        <v>43.24</v>
      </c>
      <c r="C478" t="str">
        <f>"43.34"</f>
        <v>43.34</v>
      </c>
    </row>
    <row r="479" spans="1:3" x14ac:dyDescent="0.25">
      <c r="A479" t="str">
        <f>"16/05/2011"</f>
        <v>16/05/2011</v>
      </c>
      <c r="B479" t="str">
        <f>"43.39"</f>
        <v>43.39</v>
      </c>
      <c r="C479" t="str">
        <f>"43.50"</f>
        <v>43.50</v>
      </c>
    </row>
    <row r="480" spans="1:3" x14ac:dyDescent="0.25">
      <c r="A480" t="str">
        <f>"18/05/2011"</f>
        <v>18/05/2011</v>
      </c>
      <c r="B480" t="str">
        <f>"43.21"</f>
        <v>43.21</v>
      </c>
      <c r="C480" t="str">
        <f>"43.32"</f>
        <v>43.32</v>
      </c>
    </row>
    <row r="481" spans="1:3" x14ac:dyDescent="0.25">
      <c r="A481" t="str">
        <f>"19/05/2011"</f>
        <v>19/05/2011</v>
      </c>
      <c r="B481" t="str">
        <f>"43.15"</f>
        <v>43.15</v>
      </c>
      <c r="C481" t="str">
        <f>"43.26"</f>
        <v>43.26</v>
      </c>
    </row>
    <row r="482" spans="1:3" x14ac:dyDescent="0.25">
      <c r="A482" t="str">
        <f>"20/05/2011"</f>
        <v>20/05/2011</v>
      </c>
      <c r="B482" t="str">
        <f>"43.14"</f>
        <v>43.14</v>
      </c>
      <c r="C482" t="str">
        <f>"43.25"</f>
        <v>43.25</v>
      </c>
    </row>
    <row r="483" spans="1:3" x14ac:dyDescent="0.25">
      <c r="A483" t="str">
        <f>"23/05/2011"</f>
        <v>23/05/2011</v>
      </c>
      <c r="B483" t="str">
        <f>"43.35"</f>
        <v>43.35</v>
      </c>
      <c r="C483" t="str">
        <f>"43.465"</f>
        <v>43.465</v>
      </c>
    </row>
    <row r="484" spans="1:3" x14ac:dyDescent="0.25">
      <c r="A484" t="str">
        <f>"24/05/2011"</f>
        <v>24/05/2011</v>
      </c>
      <c r="B484" t="str">
        <f>"43.41"</f>
        <v>43.41</v>
      </c>
      <c r="C484" t="str">
        <f>"43.53"</f>
        <v>43.53</v>
      </c>
    </row>
    <row r="485" spans="1:3" x14ac:dyDescent="0.25">
      <c r="A485" t="str">
        <f>"25/05/2011"</f>
        <v>25/05/2011</v>
      </c>
      <c r="B485" t="str">
        <f>"43.48"</f>
        <v>43.48</v>
      </c>
      <c r="C485" t="str">
        <f>"43.60"</f>
        <v>43.60</v>
      </c>
    </row>
    <row r="486" spans="1:3" x14ac:dyDescent="0.25">
      <c r="A486" t="str">
        <f>"26/05/2011"</f>
        <v>26/05/2011</v>
      </c>
      <c r="B486" t="str">
        <f>"43.47"</f>
        <v>43.47</v>
      </c>
      <c r="C486" t="str">
        <f>"43.583"</f>
        <v>43.583</v>
      </c>
    </row>
    <row r="487" spans="1:3" x14ac:dyDescent="0.25">
      <c r="A487" t="str">
        <f>"27/05/2011"</f>
        <v>27/05/2011</v>
      </c>
      <c r="B487" t="str">
        <f>"43.35"</f>
        <v>43.35</v>
      </c>
      <c r="C487" t="str">
        <f>"43.46"</f>
        <v>43.46</v>
      </c>
    </row>
    <row r="488" spans="1:3" x14ac:dyDescent="0.25">
      <c r="A488" t="str">
        <f>"30/05/2011"</f>
        <v>30/05/2011</v>
      </c>
      <c r="B488" t="str">
        <f>"43.29"</f>
        <v>43.29</v>
      </c>
      <c r="C488" t="str">
        <f>"43.39"</f>
        <v>43.39</v>
      </c>
    </row>
    <row r="489" spans="1:3" x14ac:dyDescent="0.25">
      <c r="A489" t="str">
        <f>"31/05/2011"</f>
        <v>31/05/2011</v>
      </c>
      <c r="B489" t="str">
        <f>"43.30"</f>
        <v>43.30</v>
      </c>
      <c r="C489" t="str">
        <f>"43.40"</f>
        <v>43.40</v>
      </c>
    </row>
    <row r="490" spans="1:3" x14ac:dyDescent="0.25">
      <c r="A490" t="str">
        <f>"01/06/2011"</f>
        <v>01/06/2011</v>
      </c>
      <c r="B490" t="str">
        <f>"43.20"</f>
        <v>43.20</v>
      </c>
      <c r="C490" t="str">
        <f>"43.325"</f>
        <v>43.325</v>
      </c>
    </row>
    <row r="491" spans="1:3" x14ac:dyDescent="0.25">
      <c r="A491" t="str">
        <f>"02/06/2011"</f>
        <v>02/06/2011</v>
      </c>
      <c r="B491" t="str">
        <f>"43.225"</f>
        <v>43.225</v>
      </c>
      <c r="C491" t="str">
        <f>"43.34"</f>
        <v>43.34</v>
      </c>
    </row>
    <row r="492" spans="1:3" x14ac:dyDescent="0.25">
      <c r="A492" t="str">
        <f>"03/06/2011"</f>
        <v>03/06/2011</v>
      </c>
      <c r="B492" t="str">
        <f>"43.23"</f>
        <v>43.23</v>
      </c>
      <c r="C492" t="str">
        <f>"43.34"</f>
        <v>43.34</v>
      </c>
    </row>
    <row r="493" spans="1:3" x14ac:dyDescent="0.25">
      <c r="A493" t="str">
        <f>"06/06/2011"</f>
        <v>06/06/2011</v>
      </c>
      <c r="B493" t="str">
        <f>"43.18"</f>
        <v>43.18</v>
      </c>
      <c r="C493" t="str">
        <f>"43.29"</f>
        <v>43.29</v>
      </c>
    </row>
    <row r="494" spans="1:3" x14ac:dyDescent="0.25">
      <c r="A494" t="str">
        <f>"07/06/2011"</f>
        <v>07/06/2011</v>
      </c>
      <c r="B494" t="str">
        <f>"43.21"</f>
        <v>43.21</v>
      </c>
      <c r="C494" t="str">
        <f>"43.33"</f>
        <v>43.33</v>
      </c>
    </row>
    <row r="495" spans="1:3" x14ac:dyDescent="0.25">
      <c r="A495" t="str">
        <f>"08/06/2011"</f>
        <v>08/06/2011</v>
      </c>
      <c r="B495" t="str">
        <f>"43.21"</f>
        <v>43.21</v>
      </c>
      <c r="C495" t="str">
        <f>"43.33"</f>
        <v>43.33</v>
      </c>
    </row>
    <row r="496" spans="1:3" x14ac:dyDescent="0.25">
      <c r="A496" t="str">
        <f>"09/06/2011"</f>
        <v>09/06/2011</v>
      </c>
      <c r="B496" t="str">
        <f>"43.27"</f>
        <v>43.27</v>
      </c>
      <c r="C496" t="str">
        <f>"43.39"</f>
        <v>43.39</v>
      </c>
    </row>
    <row r="497" spans="1:3" x14ac:dyDescent="0.25">
      <c r="A497" t="str">
        <f>"13/06/2011"</f>
        <v>13/06/2011</v>
      </c>
      <c r="B497" t="str">
        <f>"43.40"</f>
        <v>43.40</v>
      </c>
      <c r="C497" t="str">
        <f>"43.51"</f>
        <v>43.51</v>
      </c>
    </row>
    <row r="498" spans="1:3" x14ac:dyDescent="0.25">
      <c r="A498" t="str">
        <f>"14/06/2011"</f>
        <v>14/06/2011</v>
      </c>
      <c r="B498" t="str">
        <f>"43.34"</f>
        <v>43.34</v>
      </c>
      <c r="C498" t="str">
        <f>"48.34"</f>
        <v>48.34</v>
      </c>
    </row>
    <row r="499" spans="1:3" x14ac:dyDescent="0.25">
      <c r="A499" t="str">
        <f>"15/06/2011"</f>
        <v>15/06/2011</v>
      </c>
      <c r="B499" t="str">
        <f>"43.35"</f>
        <v>43.35</v>
      </c>
      <c r="C499" t="str">
        <f>"43.47"</f>
        <v>43.47</v>
      </c>
    </row>
    <row r="500" spans="1:3" x14ac:dyDescent="0.25">
      <c r="A500" t="str">
        <f>"16/06/2011"</f>
        <v>16/06/2011</v>
      </c>
      <c r="B500" t="str">
        <f>"43.47"</f>
        <v>43.47</v>
      </c>
      <c r="C500" t="str">
        <f>"43.587"</f>
        <v>43.587</v>
      </c>
    </row>
    <row r="501" spans="1:3" x14ac:dyDescent="0.25">
      <c r="A501" t="str">
        <f>"17/06/2011"</f>
        <v>17/06/2011</v>
      </c>
      <c r="B501" t="str">
        <f>"43.62"</f>
        <v>43.62</v>
      </c>
      <c r="C501" t="str">
        <f>"43.75"</f>
        <v>43.75</v>
      </c>
    </row>
    <row r="502" spans="1:3" x14ac:dyDescent="0.25">
      <c r="A502" t="str">
        <f>"20/06/2011"</f>
        <v>20/06/2011</v>
      </c>
      <c r="B502" t="str">
        <f>"43.66"</f>
        <v>43.66</v>
      </c>
      <c r="C502" t="str">
        <f>"43.79"</f>
        <v>43.79</v>
      </c>
    </row>
    <row r="503" spans="1:3" x14ac:dyDescent="0.25">
      <c r="A503" t="str">
        <f>"21/06/2011"</f>
        <v>21/06/2011</v>
      </c>
      <c r="B503" t="str">
        <f>"43.58"</f>
        <v>43.58</v>
      </c>
      <c r="C503" t="str">
        <f>"43.705"</f>
        <v>43.705</v>
      </c>
    </row>
    <row r="504" spans="1:3" x14ac:dyDescent="0.25">
      <c r="A504" t="str">
        <f>"22/06/2011"</f>
        <v>22/06/2011</v>
      </c>
      <c r="B504" t="str">
        <f>"43.38"</f>
        <v>43.38</v>
      </c>
      <c r="C504" t="str">
        <f>"43.50"</f>
        <v>43.50</v>
      </c>
    </row>
    <row r="505" spans="1:3" x14ac:dyDescent="0.25">
      <c r="A505" t="str">
        <f>"23/06/2011"</f>
        <v>23/06/2011</v>
      </c>
      <c r="B505" t="str">
        <f>"43.50"</f>
        <v>43.50</v>
      </c>
      <c r="C505" t="str">
        <f>"43.628"</f>
        <v>43.628</v>
      </c>
    </row>
    <row r="506" spans="1:3" x14ac:dyDescent="0.25">
      <c r="A506" t="str">
        <f>"24/06/2011"</f>
        <v>24/06/2011</v>
      </c>
      <c r="B506" t="str">
        <f>"43.402"</f>
        <v>43.402</v>
      </c>
      <c r="C506" t="str">
        <f>"43.532"</f>
        <v>43.532</v>
      </c>
    </row>
    <row r="507" spans="1:3" x14ac:dyDescent="0.25">
      <c r="A507" t="str">
        <f>"27/06/2011"</f>
        <v>27/06/2011</v>
      </c>
      <c r="B507" t="str">
        <f>"43.61"</f>
        <v>43.61</v>
      </c>
      <c r="C507" t="str">
        <f>"43.74"</f>
        <v>43.74</v>
      </c>
    </row>
    <row r="508" spans="1:3" x14ac:dyDescent="0.25">
      <c r="A508" t="str">
        <f>"28/06/2011"</f>
        <v>28/06/2011</v>
      </c>
      <c r="B508" t="str">
        <f>"43.585"</f>
        <v>43.585</v>
      </c>
      <c r="C508" t="str">
        <f>"43.72"</f>
        <v>43.72</v>
      </c>
    </row>
    <row r="509" spans="1:3" x14ac:dyDescent="0.25">
      <c r="A509" t="str">
        <f>"29/06/2011"</f>
        <v>29/06/2011</v>
      </c>
      <c r="B509" t="str">
        <f>"43.515"</f>
        <v>43.515</v>
      </c>
      <c r="C509" t="str">
        <f>"43.645"</f>
        <v>43.645</v>
      </c>
    </row>
    <row r="510" spans="1:3" x14ac:dyDescent="0.25">
      <c r="A510" t="str">
        <f>"30/06/2011"</f>
        <v>30/06/2011</v>
      </c>
      <c r="B510" t="str">
        <f>"43.37"</f>
        <v>43.37</v>
      </c>
      <c r="C510" t="str">
        <f>"43.495"</f>
        <v>43.495</v>
      </c>
    </row>
    <row r="511" spans="1:3" x14ac:dyDescent="0.25">
      <c r="A511" t="str">
        <f>"01/07/2011"</f>
        <v>01/07/2011</v>
      </c>
      <c r="B511" t="str">
        <f>"43.26"</f>
        <v>43.26</v>
      </c>
      <c r="C511" t="str">
        <f>"43.39"</f>
        <v>43.39</v>
      </c>
    </row>
    <row r="512" spans="1:3" x14ac:dyDescent="0.25">
      <c r="A512" t="str">
        <f>"04/07/2011"</f>
        <v>04/07/2011</v>
      </c>
      <c r="B512" t="str">
        <f>"43.08"</f>
        <v>43.08</v>
      </c>
      <c r="C512" t="str">
        <f>"43.202"</f>
        <v>43.202</v>
      </c>
    </row>
    <row r="513" spans="1:3" x14ac:dyDescent="0.25">
      <c r="A513" t="str">
        <f>"05/07/2011"</f>
        <v>05/07/2011</v>
      </c>
      <c r="B513" t="str">
        <f>"43.10"</f>
        <v>43.10</v>
      </c>
      <c r="C513" t="str">
        <f>"43.23"</f>
        <v>43.23</v>
      </c>
    </row>
    <row r="514" spans="1:3" x14ac:dyDescent="0.25">
      <c r="A514" t="str">
        <f>"06/07/2011"</f>
        <v>06/07/2011</v>
      </c>
      <c r="B514" t="str">
        <f>"42.84"</f>
        <v>42.84</v>
      </c>
      <c r="C514" t="str">
        <f>"42.96"</f>
        <v>42.96</v>
      </c>
    </row>
    <row r="515" spans="1:3" x14ac:dyDescent="0.25">
      <c r="A515" t="str">
        <f>"07/07/2011"</f>
        <v>07/07/2011</v>
      </c>
      <c r="B515" t="str">
        <f>"42.83"</f>
        <v>42.83</v>
      </c>
      <c r="C515" t="str">
        <f>"42.955"</f>
        <v>42.955</v>
      </c>
    </row>
    <row r="516" spans="1:3" x14ac:dyDescent="0.25">
      <c r="A516" t="str">
        <f>"08/07/2011"</f>
        <v>08/07/2011</v>
      </c>
      <c r="B516" t="str">
        <f>"42.77"</f>
        <v>42.77</v>
      </c>
      <c r="C516" t="str">
        <f>"42.895"</f>
        <v>42.895</v>
      </c>
    </row>
    <row r="517" spans="1:3" x14ac:dyDescent="0.25">
      <c r="A517" t="str">
        <f>"11/07/2011"</f>
        <v>11/07/2011</v>
      </c>
      <c r="B517" t="str">
        <f>"42.90"</f>
        <v>42.90</v>
      </c>
      <c r="C517" t="str">
        <f>"43.02"</f>
        <v>43.02</v>
      </c>
    </row>
    <row r="518" spans="1:3" x14ac:dyDescent="0.25">
      <c r="A518" t="str">
        <f>"12/07/2011"</f>
        <v>12/07/2011</v>
      </c>
      <c r="B518" t="str">
        <f>"43.14"</f>
        <v>43.14</v>
      </c>
      <c r="C518" t="str">
        <f>"43.28"</f>
        <v>43.28</v>
      </c>
    </row>
    <row r="519" spans="1:3" x14ac:dyDescent="0.25">
      <c r="A519" t="str">
        <f>"13/07/2011"</f>
        <v>13/07/2011</v>
      </c>
      <c r="B519" t="str">
        <f>"43.07"</f>
        <v>43.07</v>
      </c>
      <c r="C519" t="str">
        <f>"43.21"</f>
        <v>43.21</v>
      </c>
    </row>
    <row r="520" spans="1:3" x14ac:dyDescent="0.25">
      <c r="A520" t="str">
        <f>"14/07/2011"</f>
        <v>14/07/2011</v>
      </c>
      <c r="B520" t="str">
        <f>"43.00"</f>
        <v>43.00</v>
      </c>
      <c r="C520" t="str">
        <f>"43.13"</f>
        <v>43.13</v>
      </c>
    </row>
    <row r="521" spans="1:3" x14ac:dyDescent="0.25">
      <c r="A521" t="str">
        <f>"15/07/2011"</f>
        <v>15/07/2011</v>
      </c>
      <c r="B521" t="str">
        <f>"42.92"</f>
        <v>42.92</v>
      </c>
      <c r="C521" t="str">
        <f>"43.06"</f>
        <v>43.06</v>
      </c>
    </row>
    <row r="522" spans="1:3" x14ac:dyDescent="0.25">
      <c r="A522" t="str">
        <f>"18/07/2011"</f>
        <v>18/07/2011</v>
      </c>
      <c r="B522" t="str">
        <f>"43.07"</f>
        <v>43.07</v>
      </c>
      <c r="C522" t="str">
        <f>"43.21"</f>
        <v>43.21</v>
      </c>
    </row>
    <row r="523" spans="1:3" x14ac:dyDescent="0.25">
      <c r="A523" t="str">
        <f>"19/07/2011"</f>
        <v>19/07/2011</v>
      </c>
      <c r="B523" t="str">
        <f>"42.97"</f>
        <v>42.97</v>
      </c>
      <c r="C523" t="str">
        <f>"43.12"</f>
        <v>43.12</v>
      </c>
    </row>
    <row r="524" spans="1:3" x14ac:dyDescent="0.25">
      <c r="A524" t="str">
        <f>"20/07/2011"</f>
        <v>20/07/2011</v>
      </c>
      <c r="B524" t="str">
        <f>"42.77"</f>
        <v>42.77</v>
      </c>
      <c r="C524" t="str">
        <f>"42.91"</f>
        <v>42.91</v>
      </c>
    </row>
    <row r="525" spans="1:3" x14ac:dyDescent="0.25">
      <c r="A525" t="str">
        <f>"21/07/2011"</f>
        <v>21/07/2011</v>
      </c>
      <c r="B525" t="str">
        <f>"42.63"</f>
        <v>42.63</v>
      </c>
      <c r="C525" t="str">
        <f>"42.77"</f>
        <v>42.77</v>
      </c>
    </row>
    <row r="526" spans="1:3" x14ac:dyDescent="0.25">
      <c r="A526" t="str">
        <f>"22/07/2011"</f>
        <v>22/07/2011</v>
      </c>
      <c r="B526" t="str">
        <f>"42.44"</f>
        <v>42.44</v>
      </c>
      <c r="C526" t="str">
        <f>"42.58"</f>
        <v>42.58</v>
      </c>
    </row>
    <row r="527" spans="1:3" x14ac:dyDescent="0.25">
      <c r="A527" t="str">
        <f>"25/07/2011"</f>
        <v>25/07/2011</v>
      </c>
      <c r="B527" t="str">
        <f>"42.46"</f>
        <v>42.46</v>
      </c>
      <c r="C527" t="str">
        <f>"42.605"</f>
        <v>42.605</v>
      </c>
    </row>
    <row r="528" spans="1:3" x14ac:dyDescent="0.25">
      <c r="A528" t="str">
        <f>"26/07/2011"</f>
        <v>26/07/2011</v>
      </c>
      <c r="B528" t="str">
        <f>"42.30"</f>
        <v>42.30</v>
      </c>
      <c r="C528" t="str">
        <f>"42.45"</f>
        <v>42.45</v>
      </c>
    </row>
    <row r="529" spans="1:3" x14ac:dyDescent="0.25">
      <c r="A529" t="str">
        <f>"27/07/2011"</f>
        <v>27/07/2011</v>
      </c>
      <c r="B529" t="str">
        <f>"42.13"</f>
        <v>42.13</v>
      </c>
      <c r="C529" t="str">
        <f>"42.265"</f>
        <v>42.265</v>
      </c>
    </row>
    <row r="530" spans="1:3" x14ac:dyDescent="0.25">
      <c r="A530" t="str">
        <f>"28/07/2011"</f>
        <v>28/07/2011</v>
      </c>
      <c r="B530" t="str">
        <f>"42.22"</f>
        <v>42.22</v>
      </c>
      <c r="C530" t="str">
        <f>"42.355"</f>
        <v>42.355</v>
      </c>
    </row>
    <row r="531" spans="1:3" x14ac:dyDescent="0.25">
      <c r="A531" t="str">
        <f>"29/07/2011"</f>
        <v>29/07/2011</v>
      </c>
      <c r="B531" t="str">
        <f>"42.19"</f>
        <v>42.19</v>
      </c>
      <c r="C531" t="str">
        <f>"42.31"</f>
        <v>42.31</v>
      </c>
    </row>
    <row r="532" spans="1:3" x14ac:dyDescent="0.25">
      <c r="A532" t="str">
        <f>"01/08/2011"</f>
        <v>01/08/2011</v>
      </c>
      <c r="B532" t="str">
        <f>"41.94"</f>
        <v>41.94</v>
      </c>
      <c r="C532" t="str">
        <f>"42.078"</f>
        <v>42.078</v>
      </c>
    </row>
    <row r="533" spans="1:3" x14ac:dyDescent="0.25">
      <c r="A533" t="str">
        <f>"02/08/2011"</f>
        <v>02/08/2011</v>
      </c>
      <c r="B533" t="str">
        <f>"42.09"</f>
        <v>42.09</v>
      </c>
      <c r="C533" t="str">
        <f>"42.175"</f>
        <v>42.175</v>
      </c>
    </row>
    <row r="534" spans="1:3" x14ac:dyDescent="0.25">
      <c r="A534" t="str">
        <f>"03/08/2011"</f>
        <v>03/08/2011</v>
      </c>
      <c r="B534" t="str">
        <f>"42.32"</f>
        <v>42.32</v>
      </c>
      <c r="C534" t="str">
        <f>"42.42"</f>
        <v>42.42</v>
      </c>
    </row>
    <row r="535" spans="1:3" x14ac:dyDescent="0.25">
      <c r="A535" t="str">
        <f>"04/08/2011"</f>
        <v>04/08/2011</v>
      </c>
      <c r="B535" t="str">
        <f>"42.31"</f>
        <v>42.31</v>
      </c>
      <c r="C535" t="str">
        <f>"42.41"</f>
        <v>42.41</v>
      </c>
    </row>
    <row r="536" spans="1:3" x14ac:dyDescent="0.25">
      <c r="A536" t="str">
        <f>"09/08/2011"</f>
        <v>09/08/2011</v>
      </c>
      <c r="B536" t="str">
        <f>"42.68"</f>
        <v>42.68</v>
      </c>
      <c r="C536" t="str">
        <f>"42.78"</f>
        <v>42.78</v>
      </c>
    </row>
    <row r="537" spans="1:3" x14ac:dyDescent="0.25">
      <c r="A537" t="str">
        <f>"10/08/2011"</f>
        <v>10/08/2011</v>
      </c>
      <c r="B537" t="str">
        <f>"42.49"</f>
        <v>42.49</v>
      </c>
      <c r="C537" t="str">
        <f>"42.57"</f>
        <v>42.57</v>
      </c>
    </row>
    <row r="538" spans="1:3" x14ac:dyDescent="0.25">
      <c r="A538" t="str">
        <f>"11/08/2011"</f>
        <v>11/08/2011</v>
      </c>
      <c r="B538" t="str">
        <f>"42.51"</f>
        <v>42.51</v>
      </c>
      <c r="C538" t="str">
        <f>"42.55"</f>
        <v>42.55</v>
      </c>
    </row>
    <row r="539" spans="1:3" x14ac:dyDescent="0.25">
      <c r="A539" t="str">
        <f>"12/08/2011"</f>
        <v>12/08/2011</v>
      </c>
      <c r="B539" t="str">
        <f>"42.61"</f>
        <v>42.61</v>
      </c>
      <c r="C539" t="str">
        <f>"42.635"</f>
        <v>42.635</v>
      </c>
    </row>
    <row r="540" spans="1:3" x14ac:dyDescent="0.25">
      <c r="A540" t="str">
        <f>"16/08/2011"</f>
        <v>16/08/2011</v>
      </c>
      <c r="B540" t="str">
        <f>"42.35"</f>
        <v>42.35</v>
      </c>
      <c r="C540" t="str">
        <f>"42.415"</f>
        <v>42.415</v>
      </c>
    </row>
    <row r="541" spans="1:3" x14ac:dyDescent="0.25">
      <c r="A541" t="str">
        <f>"17/08/2011"</f>
        <v>17/08/2011</v>
      </c>
      <c r="B541" t="str">
        <f>"42.46"</f>
        <v>42.46</v>
      </c>
      <c r="C541" t="str">
        <f>"42.545"</f>
        <v>42.545</v>
      </c>
    </row>
    <row r="542" spans="1:3" x14ac:dyDescent="0.25">
      <c r="A542" t="str">
        <f>"18/08/2011"</f>
        <v>18/08/2011</v>
      </c>
      <c r="B542" t="str">
        <f>"42.50"</f>
        <v>42.50</v>
      </c>
      <c r="C542" t="str">
        <f>"42.57"</f>
        <v>42.57</v>
      </c>
    </row>
    <row r="543" spans="1:3" x14ac:dyDescent="0.25">
      <c r="A543" t="str">
        <f>"19/08/2011"</f>
        <v>19/08/2011</v>
      </c>
      <c r="B543" t="str">
        <f>"42.59"</f>
        <v>42.59</v>
      </c>
      <c r="C543" t="str">
        <f>"42.66"</f>
        <v>42.66</v>
      </c>
    </row>
    <row r="544" spans="1:3" x14ac:dyDescent="0.25">
      <c r="A544" t="str">
        <f>"22/08/2011"</f>
        <v>22/08/2011</v>
      </c>
      <c r="B544" t="str">
        <f>"42.59"</f>
        <v>42.59</v>
      </c>
      <c r="C544" t="str">
        <f>"42.65"</f>
        <v>42.65</v>
      </c>
    </row>
    <row r="545" spans="1:3" x14ac:dyDescent="0.25">
      <c r="A545" t="str">
        <f>"23/08/2011"</f>
        <v>23/08/2011</v>
      </c>
      <c r="B545" t="str">
        <f>"42.39"</f>
        <v>42.39</v>
      </c>
      <c r="C545" t="str">
        <f>"42.43"</f>
        <v>42.43</v>
      </c>
    </row>
    <row r="546" spans="1:3" x14ac:dyDescent="0.25">
      <c r="A546" t="str">
        <f>"24/08/2011"</f>
        <v>24/08/2011</v>
      </c>
      <c r="B546" t="str">
        <f>"42.41"</f>
        <v>42.41</v>
      </c>
      <c r="C546" t="str">
        <f>"42.43"</f>
        <v>42.43</v>
      </c>
    </row>
    <row r="547" spans="1:3" x14ac:dyDescent="0.25">
      <c r="A547" t="str">
        <f>"25/08/2011"</f>
        <v>25/08/2011</v>
      </c>
      <c r="B547" t="str">
        <f>"42.53"</f>
        <v>42.53</v>
      </c>
      <c r="C547" t="str">
        <f>"42.575"</f>
        <v>42.575</v>
      </c>
    </row>
    <row r="548" spans="1:3" x14ac:dyDescent="0.25">
      <c r="A548" t="str">
        <f>"26/08/2011"</f>
        <v>26/08/2011</v>
      </c>
      <c r="B548" t="str">
        <f>"42.52"</f>
        <v>42.52</v>
      </c>
      <c r="C548" t="str">
        <f>"42.53"</f>
        <v>42.53</v>
      </c>
    </row>
    <row r="549" spans="1:3" x14ac:dyDescent="0.25">
      <c r="A549" t="str">
        <f>"29/08/2011"</f>
        <v>29/08/2011</v>
      </c>
      <c r="B549" t="str">
        <f>"42.29"</f>
        <v>42.29</v>
      </c>
      <c r="C549" t="str">
        <f>"0.00"</f>
        <v>0.00</v>
      </c>
    </row>
    <row r="550" spans="1:3" x14ac:dyDescent="0.25">
      <c r="A550" t="str">
        <f>"30/08/2011"</f>
        <v>30/08/2011</v>
      </c>
      <c r="B550" t="str">
        <f>"42.63"</f>
        <v>42.63</v>
      </c>
      <c r="C550" t="str">
        <f>"42.4222"</f>
        <v>42.4222</v>
      </c>
    </row>
    <row r="551" spans="1:3" x14ac:dyDescent="0.25">
      <c r="A551" t="str">
        <f>"02/09/2011"</f>
        <v>02/09/2011</v>
      </c>
      <c r="B551" t="str">
        <f>"42.22"</f>
        <v>42.22</v>
      </c>
      <c r="C551" t="str">
        <f>"42.27"</f>
        <v>42.27</v>
      </c>
    </row>
    <row r="552" spans="1:3" x14ac:dyDescent="0.25">
      <c r="A552" t="str">
        <f>"05/09/2011"</f>
        <v>05/09/2011</v>
      </c>
      <c r="B552" t="str">
        <f>"42.22"</f>
        <v>42.22</v>
      </c>
      <c r="C552" t="str">
        <f>"42.26"</f>
        <v>42.26</v>
      </c>
    </row>
    <row r="553" spans="1:3" x14ac:dyDescent="0.25">
      <c r="A553" t="str">
        <f>"06/09/2011"</f>
        <v>06/09/2011</v>
      </c>
      <c r="B553" t="str">
        <f>"42.29"</f>
        <v>42.29</v>
      </c>
      <c r="C553" t="str">
        <f>"42.33"</f>
        <v>42.33</v>
      </c>
    </row>
    <row r="554" spans="1:3" x14ac:dyDescent="0.25">
      <c r="A554" t="str">
        <f>"07/09/2011"</f>
        <v>07/09/2011</v>
      </c>
      <c r="B554" t="str">
        <f>"42.27"</f>
        <v>42.27</v>
      </c>
      <c r="C554" t="str">
        <f>"42.295"</f>
        <v>42.295</v>
      </c>
    </row>
    <row r="555" spans="1:3" x14ac:dyDescent="0.25">
      <c r="A555" t="str">
        <f>"08/09/2011"</f>
        <v>08/09/2011</v>
      </c>
      <c r="B555" t="str">
        <f>"42.365"</f>
        <v>42.365</v>
      </c>
      <c r="C555" t="str">
        <f>"42.38"</f>
        <v>42.38</v>
      </c>
    </row>
    <row r="556" spans="1:3" x14ac:dyDescent="0.25">
      <c r="A556" t="str">
        <f>"09/09/2011"</f>
        <v>09/09/2011</v>
      </c>
      <c r="B556" t="str">
        <f>"42.50"</f>
        <v>42.50</v>
      </c>
      <c r="C556" t="str">
        <f>"42.51"</f>
        <v>42.51</v>
      </c>
    </row>
    <row r="557" spans="1:3" x14ac:dyDescent="0.25">
      <c r="A557" t="str">
        <f>"12/09/2011"</f>
        <v>12/09/2011</v>
      </c>
      <c r="B557" t="str">
        <f>"42.72"</f>
        <v>42.72</v>
      </c>
      <c r="C557" t="str">
        <f>"42.76"</f>
        <v>42.76</v>
      </c>
    </row>
    <row r="558" spans="1:3" x14ac:dyDescent="0.25">
      <c r="A558" t="str">
        <f>"13/09/2011"</f>
        <v>13/09/2011</v>
      </c>
      <c r="B558" t="str">
        <f>"42.79"</f>
        <v>42.79</v>
      </c>
      <c r="C558" t="str">
        <f>"42.825"</f>
        <v>42.825</v>
      </c>
    </row>
    <row r="559" spans="1:3" x14ac:dyDescent="0.25">
      <c r="A559" t="str">
        <f>"14/09/2011"</f>
        <v>14/09/2011</v>
      </c>
      <c r="B559" t="str">
        <f>"43.27"</f>
        <v>43.27</v>
      </c>
      <c r="C559" t="str">
        <f>"43.36"</f>
        <v>43.36</v>
      </c>
    </row>
    <row r="560" spans="1:3" x14ac:dyDescent="0.25">
      <c r="A560" t="str">
        <f>"15/09/2011"</f>
        <v>15/09/2011</v>
      </c>
      <c r="B560" t="str">
        <f>"43.33"</f>
        <v>43.33</v>
      </c>
      <c r="C560" t="str">
        <f>"43.43"</f>
        <v>43.43</v>
      </c>
    </row>
    <row r="561" spans="1:3" x14ac:dyDescent="0.25">
      <c r="A561" t="str">
        <f>"16/09/2011"</f>
        <v>16/09/2011</v>
      </c>
      <c r="B561" t="str">
        <f>"43.27"</f>
        <v>43.27</v>
      </c>
      <c r="C561" t="str">
        <f>"43.37"</f>
        <v>43.37</v>
      </c>
    </row>
    <row r="562" spans="1:3" x14ac:dyDescent="0.25">
      <c r="A562" t="str">
        <f>"19/09/2011"</f>
        <v>19/09/2011</v>
      </c>
      <c r="B562" t="str">
        <f>"43.46"</f>
        <v>43.46</v>
      </c>
      <c r="C562" t="str">
        <f>"43.58"</f>
        <v>43.58</v>
      </c>
    </row>
    <row r="563" spans="1:3" x14ac:dyDescent="0.25">
      <c r="A563" t="str">
        <f>"20/09/2011"</f>
        <v>20/09/2011</v>
      </c>
      <c r="B563" t="str">
        <f>"43.69"</f>
        <v>43.69</v>
      </c>
      <c r="C563" t="str">
        <f>"43.84"</f>
        <v>43.84</v>
      </c>
    </row>
    <row r="564" spans="1:3" x14ac:dyDescent="0.25">
      <c r="A564" t="str">
        <f>"21/09/2011"</f>
        <v>21/09/2011</v>
      </c>
      <c r="B564" t="str">
        <f>"43.43"</f>
        <v>43.43</v>
      </c>
      <c r="C564" t="str">
        <f>"43.525"</f>
        <v>43.525</v>
      </c>
    </row>
    <row r="565" spans="1:3" x14ac:dyDescent="0.25">
      <c r="A565" t="str">
        <f>"22/09/2011"</f>
        <v>22/09/2011</v>
      </c>
      <c r="B565" t="str">
        <f>"43.75"</f>
        <v>43.75</v>
      </c>
      <c r="C565" t="str">
        <f>"43.885"</f>
        <v>43.885</v>
      </c>
    </row>
    <row r="566" spans="1:3" x14ac:dyDescent="0.25">
      <c r="A566" t="str">
        <f>"23/09/2011"</f>
        <v>23/09/2011</v>
      </c>
      <c r="B566" t="str">
        <f>"43.85"</f>
        <v>43.85</v>
      </c>
      <c r="C566" t="str">
        <f>"43.95"</f>
        <v>43.95</v>
      </c>
    </row>
    <row r="567" spans="1:3" x14ac:dyDescent="0.25">
      <c r="A567" t="str">
        <f>"26/09/2011"</f>
        <v>26/09/2011</v>
      </c>
      <c r="B567" t="str">
        <f>"43.77"</f>
        <v>43.77</v>
      </c>
      <c r="C567" t="str">
        <f>"43.87"</f>
        <v>43.87</v>
      </c>
    </row>
    <row r="568" spans="1:3" x14ac:dyDescent="0.25">
      <c r="A568" t="str">
        <f>"27/09/2011"</f>
        <v>27/09/2011</v>
      </c>
      <c r="B568" t="str">
        <f>"43.41"</f>
        <v>43.41</v>
      </c>
      <c r="C568" t="str">
        <f>"43.51"</f>
        <v>43.51</v>
      </c>
    </row>
    <row r="569" spans="1:3" x14ac:dyDescent="0.25">
      <c r="A569" t="str">
        <f>"28/09/2011"</f>
        <v>28/09/2011</v>
      </c>
      <c r="B569" t="str">
        <f>"43.53"</f>
        <v>43.53</v>
      </c>
      <c r="C569" t="str">
        <f>"43.61"</f>
        <v>43.61</v>
      </c>
    </row>
    <row r="570" spans="1:3" x14ac:dyDescent="0.25">
      <c r="A570" t="str">
        <f>"29/09/2011"</f>
        <v>29/09/2011</v>
      </c>
      <c r="B570" t="str">
        <f>"43.61"</f>
        <v>43.61</v>
      </c>
      <c r="C570" t="str">
        <f>"43.685"</f>
        <v>43.685</v>
      </c>
    </row>
    <row r="571" spans="1:3" x14ac:dyDescent="0.25">
      <c r="A571" t="str">
        <f>"30/09/2011"</f>
        <v>30/09/2011</v>
      </c>
      <c r="B571" t="str">
        <f>"43.86"</f>
        <v>43.86</v>
      </c>
      <c r="C571" t="str">
        <f>"43.95"</f>
        <v>43.95</v>
      </c>
    </row>
    <row r="572" spans="1:3" x14ac:dyDescent="0.25">
      <c r="A572" t="str">
        <f>"03/10/2011"</f>
        <v>03/10/2011</v>
      </c>
      <c r="B572" t="str">
        <f>"44.06"</f>
        <v>44.06</v>
      </c>
      <c r="C572" t="str">
        <f>"44.175"</f>
        <v>44.175</v>
      </c>
    </row>
    <row r="573" spans="1:3" x14ac:dyDescent="0.25">
      <c r="A573" t="str">
        <f>"04/10/2011"</f>
        <v>04/10/2011</v>
      </c>
      <c r="B573" t="str">
        <f>"44.16"</f>
        <v>44.16</v>
      </c>
      <c r="C573" t="str">
        <f>"44.26"</f>
        <v>44.26</v>
      </c>
    </row>
    <row r="574" spans="1:3" x14ac:dyDescent="0.25">
      <c r="A574" t="str">
        <f>"05/10/2011"</f>
        <v>05/10/2011</v>
      </c>
      <c r="B574" t="str">
        <f>"43.98"</f>
        <v>43.98</v>
      </c>
      <c r="C574" t="str">
        <f>"44.08"</f>
        <v>44.08</v>
      </c>
    </row>
    <row r="575" spans="1:3" x14ac:dyDescent="0.25">
      <c r="A575" t="str">
        <f>"07/10/2011"</f>
        <v>07/10/2011</v>
      </c>
      <c r="B575" t="str">
        <f>"43.53"</f>
        <v>43.53</v>
      </c>
      <c r="C575" t="str">
        <f>"43.65"</f>
        <v>43.65</v>
      </c>
    </row>
    <row r="576" spans="1:3" x14ac:dyDescent="0.25">
      <c r="A576" t="str">
        <f>"10/10/2011"</f>
        <v>10/10/2011</v>
      </c>
      <c r="B576" t="str">
        <f>"43.48"</f>
        <v>43.48</v>
      </c>
      <c r="C576" t="str">
        <f>"43.59"</f>
        <v>43.59</v>
      </c>
    </row>
    <row r="577" spans="1:3" x14ac:dyDescent="0.25">
      <c r="A577" t="str">
        <f>"11/10/2011"</f>
        <v>11/10/2011</v>
      </c>
      <c r="B577" t="str">
        <f>"43.28"</f>
        <v>43.28</v>
      </c>
      <c r="C577" t="str">
        <f>"43.375"</f>
        <v>43.375</v>
      </c>
    </row>
    <row r="578" spans="1:3" x14ac:dyDescent="0.25">
      <c r="A578" t="str">
        <f>"12/10/2011"</f>
        <v>12/10/2011</v>
      </c>
      <c r="B578" t="str">
        <f>"43.55"</f>
        <v>43.55</v>
      </c>
      <c r="C578" t="str">
        <f>"43.66"</f>
        <v>43.66</v>
      </c>
    </row>
    <row r="579" spans="1:3" x14ac:dyDescent="0.25">
      <c r="A579" t="str">
        <f>"13/10/2011"</f>
        <v>13/10/2011</v>
      </c>
      <c r="B579" t="str">
        <f>"43.32"</f>
        <v>43.32</v>
      </c>
      <c r="C579" t="str">
        <f>"43.425"</f>
        <v>43.425</v>
      </c>
    </row>
    <row r="580" spans="1:3" x14ac:dyDescent="0.25">
      <c r="A580" t="str">
        <f>"14/10/2011"</f>
        <v>14/10/2011</v>
      </c>
      <c r="B580" t="str">
        <f>"43.40"</f>
        <v>43.40</v>
      </c>
      <c r="C580" t="str">
        <f>"43.51"</f>
        <v>43.51</v>
      </c>
    </row>
    <row r="581" spans="1:3" x14ac:dyDescent="0.25">
      <c r="A581" t="str">
        <f>"17/10/2011"</f>
        <v>17/10/2011</v>
      </c>
      <c r="B581" t="str">
        <f>"43.24"</f>
        <v>43.24</v>
      </c>
      <c r="C581" t="str">
        <f>"43.335"</f>
        <v>43.335</v>
      </c>
    </row>
    <row r="582" spans="1:3" x14ac:dyDescent="0.25">
      <c r="A582" t="str">
        <f>"18/10/2011"</f>
        <v>18/10/2011</v>
      </c>
      <c r="B582" t="str">
        <f>"43.21"</f>
        <v>43.21</v>
      </c>
      <c r="C582" t="str">
        <f>"43.29"</f>
        <v>43.29</v>
      </c>
    </row>
    <row r="583" spans="1:3" x14ac:dyDescent="0.25">
      <c r="A583" t="str">
        <f>"19/10/2011"</f>
        <v>19/10/2011</v>
      </c>
      <c r="B583" t="str">
        <f>"43.185"</f>
        <v>43.185</v>
      </c>
      <c r="C583" t="str">
        <f>"43.258"</f>
        <v>43.258</v>
      </c>
    </row>
    <row r="584" spans="1:3" x14ac:dyDescent="0.25">
      <c r="A584" t="str">
        <f>"20/10/2011"</f>
        <v>20/10/2011</v>
      </c>
      <c r="B584" t="str">
        <f>"43.30"</f>
        <v>43.30</v>
      </c>
      <c r="C584" t="str">
        <f>"43.39"</f>
        <v>43.39</v>
      </c>
    </row>
    <row r="585" spans="1:3" x14ac:dyDescent="0.25">
      <c r="A585" t="str">
        <f>"21/10/2011"</f>
        <v>21/10/2011</v>
      </c>
      <c r="B585" t="str">
        <f>"43.47"</f>
        <v>43.47</v>
      </c>
      <c r="C585" t="str">
        <f>"43.575"</f>
        <v>43.575</v>
      </c>
    </row>
    <row r="586" spans="1:3" x14ac:dyDescent="0.25">
      <c r="A586" t="str">
        <f>"24/10/2011"</f>
        <v>24/10/2011</v>
      </c>
      <c r="B586" t="str">
        <f>"43.35"</f>
        <v>43.35</v>
      </c>
      <c r="C586" t="str">
        <f>"43.44"</f>
        <v>43.44</v>
      </c>
    </row>
    <row r="587" spans="1:3" x14ac:dyDescent="0.25">
      <c r="A587" t="str">
        <f>"25/10/2011"</f>
        <v>25/10/2011</v>
      </c>
      <c r="B587" t="str">
        <f>"43.18"</f>
        <v>43.18</v>
      </c>
      <c r="C587" t="str">
        <f>"43.28"</f>
        <v>43.28</v>
      </c>
    </row>
    <row r="588" spans="1:3" x14ac:dyDescent="0.25">
      <c r="A588" t="str">
        <f>"28/10/2011"</f>
        <v>28/10/2011</v>
      </c>
      <c r="B588" t="str">
        <f>"42.62"</f>
        <v>42.62</v>
      </c>
      <c r="C588" t="str">
        <f>"42.71"</f>
        <v>42.71</v>
      </c>
    </row>
    <row r="589" spans="1:3" x14ac:dyDescent="0.25">
      <c r="A589" t="str">
        <f>"31/10/2011"</f>
        <v>31/10/2011</v>
      </c>
      <c r="B589" t="str">
        <f>"42.72"</f>
        <v>42.72</v>
      </c>
      <c r="C589" t="str">
        <f>"42.805"</f>
        <v>42.805</v>
      </c>
    </row>
    <row r="590" spans="1:3" x14ac:dyDescent="0.25">
      <c r="A590" t="str">
        <f>"01/11/2011"</f>
        <v>01/11/2011</v>
      </c>
      <c r="B590" t="str">
        <f>"42.83"</f>
        <v>42.83</v>
      </c>
      <c r="C590" t="str">
        <f>"42.915"</f>
        <v>42.915</v>
      </c>
    </row>
    <row r="591" spans="1:3" x14ac:dyDescent="0.25">
      <c r="A591" t="str">
        <f>"02/11/2011"</f>
        <v>02/11/2011</v>
      </c>
      <c r="B591" t="str">
        <f>"42.89"</f>
        <v>42.89</v>
      </c>
      <c r="C591" t="str">
        <f>"43.00"</f>
        <v>43.00</v>
      </c>
    </row>
    <row r="592" spans="1:3" x14ac:dyDescent="0.25">
      <c r="A592" t="str">
        <f>"03/11/2011"</f>
        <v>03/11/2011</v>
      </c>
      <c r="B592" t="str">
        <f>"42.93"</f>
        <v>42.93</v>
      </c>
      <c r="C592" t="str">
        <f>"43.05"</f>
        <v>43.05</v>
      </c>
    </row>
    <row r="593" spans="1:3" x14ac:dyDescent="0.25">
      <c r="A593" t="str">
        <f>"04/11/2011"</f>
        <v>04/11/2011</v>
      </c>
      <c r="B593" t="str">
        <f>"42.97"</f>
        <v>42.97</v>
      </c>
      <c r="C593" t="str">
        <f>"43.085"</f>
        <v>43.085</v>
      </c>
    </row>
    <row r="594" spans="1:3" x14ac:dyDescent="0.25">
      <c r="A594" t="str">
        <f>"08/11/2011"</f>
        <v>08/11/2011</v>
      </c>
      <c r="B594" t="str">
        <f>"43.05"</f>
        <v>43.05</v>
      </c>
      <c r="C594" t="str">
        <f>"43.157"</f>
        <v>43.157</v>
      </c>
    </row>
    <row r="595" spans="1:3" x14ac:dyDescent="0.25">
      <c r="A595" t="str">
        <f>"09/11/2011"</f>
        <v>09/11/2011</v>
      </c>
      <c r="B595" t="str">
        <f>"43.01"</f>
        <v>43.01</v>
      </c>
      <c r="C595" t="str">
        <f>"43.12"</f>
        <v>43.12</v>
      </c>
    </row>
    <row r="596" spans="1:3" x14ac:dyDescent="0.25">
      <c r="A596" t="str">
        <f>"11/11/2011"</f>
        <v>11/11/2011</v>
      </c>
      <c r="B596" t="str">
        <f>"43.29"</f>
        <v>43.29</v>
      </c>
      <c r="C596" t="str">
        <f>"43.41"</f>
        <v>43.41</v>
      </c>
    </row>
    <row r="597" spans="1:3" x14ac:dyDescent="0.25">
      <c r="A597" t="str">
        <f>"14/11/2011"</f>
        <v>14/11/2011</v>
      </c>
      <c r="B597" t="str">
        <f>"43.22"</f>
        <v>43.22</v>
      </c>
      <c r="C597" t="str">
        <f>"43.33"</f>
        <v>43.33</v>
      </c>
    </row>
    <row r="598" spans="1:3" x14ac:dyDescent="0.25">
      <c r="A598" t="str">
        <f>"15/11/2011"</f>
        <v>15/11/2011</v>
      </c>
      <c r="B598" t="str">
        <f>"43.37"</f>
        <v>43.37</v>
      </c>
      <c r="C598" t="str">
        <f>"43.48"</f>
        <v>43.48</v>
      </c>
    </row>
    <row r="599" spans="1:3" x14ac:dyDescent="0.25">
      <c r="A599" t="str">
        <f>"16/11/2011"</f>
        <v>16/11/2011</v>
      </c>
      <c r="B599" t="str">
        <f>"43.485"</f>
        <v>43.485</v>
      </c>
      <c r="C599" t="str">
        <f>"43.605"</f>
        <v>43.605</v>
      </c>
    </row>
    <row r="600" spans="1:3" x14ac:dyDescent="0.25">
      <c r="A600" t="str">
        <f>"17/11/2011"</f>
        <v>17/11/2011</v>
      </c>
      <c r="B600" t="str">
        <f>"43.435"</f>
        <v>43.435</v>
      </c>
      <c r="C600" t="str">
        <f>"43.558"</f>
        <v>43.558</v>
      </c>
    </row>
    <row r="601" spans="1:3" x14ac:dyDescent="0.25">
      <c r="A601" t="str">
        <f>"18/11/2011"</f>
        <v>18/11/2011</v>
      </c>
      <c r="B601" t="str">
        <f>"43.42"</f>
        <v>43.42</v>
      </c>
      <c r="C601" t="str">
        <f>"43.549"</f>
        <v>43.549</v>
      </c>
    </row>
    <row r="602" spans="1:3" x14ac:dyDescent="0.25">
      <c r="A602" t="str">
        <f>"21/11/2011"</f>
        <v>21/11/2011</v>
      </c>
      <c r="B602" t="str">
        <f>"43.435"</f>
        <v>43.435</v>
      </c>
      <c r="C602" t="str">
        <f>"43.555"</f>
        <v>43.555</v>
      </c>
    </row>
    <row r="603" spans="1:3" x14ac:dyDescent="0.25">
      <c r="A603" t="str">
        <f>"22/11/2011"</f>
        <v>22/11/2011</v>
      </c>
      <c r="B603" t="str">
        <f>"43.36"</f>
        <v>43.36</v>
      </c>
      <c r="C603" t="str">
        <f>"43.485"</f>
        <v>43.485</v>
      </c>
    </row>
    <row r="604" spans="1:3" x14ac:dyDescent="0.25">
      <c r="A604" t="str">
        <f>"23/11/2011"</f>
        <v>23/11/2011</v>
      </c>
      <c r="B604" t="str">
        <f>"43.37"</f>
        <v>43.37</v>
      </c>
      <c r="C604" t="str">
        <f>"43.50"</f>
        <v>43.50</v>
      </c>
    </row>
    <row r="605" spans="1:3" x14ac:dyDescent="0.25">
      <c r="A605" t="str">
        <f>"24/11/2011"</f>
        <v>24/11/2011</v>
      </c>
      <c r="B605" t="str">
        <f>"43.64"</f>
        <v>43.64</v>
      </c>
      <c r="C605" t="str">
        <f>"43.785"</f>
        <v>43.785</v>
      </c>
    </row>
    <row r="606" spans="1:3" x14ac:dyDescent="0.25">
      <c r="A606" t="str">
        <f>"25/11/2011"</f>
        <v>25/11/2011</v>
      </c>
      <c r="B606" t="str">
        <f>"44.015"</f>
        <v>44.015</v>
      </c>
      <c r="C606" t="str">
        <f>"44.148"</f>
        <v>44.148</v>
      </c>
    </row>
    <row r="607" spans="1:3" x14ac:dyDescent="0.25">
      <c r="A607" t="str">
        <f>"28/11/2011"</f>
        <v>28/11/2011</v>
      </c>
      <c r="B607" t="str">
        <f>"43.705"</f>
        <v>43.705</v>
      </c>
      <c r="C607" t="str">
        <f>"43.83"</f>
        <v>43.83</v>
      </c>
    </row>
    <row r="608" spans="1:3" x14ac:dyDescent="0.25">
      <c r="A608" t="str">
        <f>"29/11/2011"</f>
        <v>29/11/2011</v>
      </c>
      <c r="B608" t="str">
        <f>"43.61"</f>
        <v>43.61</v>
      </c>
      <c r="C608" t="str">
        <f>"43.735"</f>
        <v>43.735</v>
      </c>
    </row>
    <row r="609" spans="1:3" x14ac:dyDescent="0.25">
      <c r="A609" t="str">
        <f>"30/11/2011"</f>
        <v>30/11/2011</v>
      </c>
      <c r="B609" t="str">
        <f>"43.65"</f>
        <v>43.65</v>
      </c>
      <c r="C609" t="str">
        <f>"43.775"</f>
        <v>43.775</v>
      </c>
    </row>
    <row r="610" spans="1:3" x14ac:dyDescent="0.25">
      <c r="A610" t="str">
        <f>"01/12/2011"</f>
        <v>01/12/2011</v>
      </c>
      <c r="B610" t="str">
        <f>"43.29"</f>
        <v>43.29</v>
      </c>
      <c r="C610" t="str">
        <f>"43.38"</f>
        <v>43.38</v>
      </c>
    </row>
    <row r="611" spans="1:3" x14ac:dyDescent="0.25">
      <c r="A611" t="str">
        <f>"02/12/2011"</f>
        <v>02/12/2011</v>
      </c>
      <c r="B611" t="str">
        <f>"43.26"</f>
        <v>43.26</v>
      </c>
      <c r="C611" t="str">
        <f>"43.36"</f>
        <v>43.36</v>
      </c>
    </row>
    <row r="612" spans="1:3" x14ac:dyDescent="0.25">
      <c r="A612" t="str">
        <f>"05/12/2011"</f>
        <v>05/12/2011</v>
      </c>
      <c r="B612" t="str">
        <f>"43.245"</f>
        <v>43.245</v>
      </c>
      <c r="C612" t="str">
        <f>"43.34"</f>
        <v>43.34</v>
      </c>
    </row>
    <row r="613" spans="1:3" x14ac:dyDescent="0.25">
      <c r="A613" t="str">
        <f>"07/12/2011"</f>
        <v>07/12/2011</v>
      </c>
      <c r="B613" t="str">
        <f>"43.275"</f>
        <v>43.275</v>
      </c>
      <c r="C613" t="str">
        <f>"43.39"</f>
        <v>43.39</v>
      </c>
    </row>
    <row r="614" spans="1:3" x14ac:dyDescent="0.25">
      <c r="A614" t="str">
        <f>"08/12/2011"</f>
        <v>08/12/2011</v>
      </c>
      <c r="B614" t="str">
        <f>"43.31"</f>
        <v>43.31</v>
      </c>
      <c r="C614" t="str">
        <f>"43.425"</f>
        <v>43.425</v>
      </c>
    </row>
    <row r="615" spans="1:3" x14ac:dyDescent="0.25">
      <c r="A615" t="str">
        <f>"09/12/2011"</f>
        <v>09/12/2011</v>
      </c>
      <c r="B615" t="str">
        <f>"43.65"</f>
        <v>43.65</v>
      </c>
      <c r="C615" t="str">
        <f>"43.763"</f>
        <v>43.763</v>
      </c>
    </row>
    <row r="616" spans="1:3" x14ac:dyDescent="0.25">
      <c r="A616" t="str">
        <f>"12/12/2011"</f>
        <v>12/12/2011</v>
      </c>
      <c r="B616" t="str">
        <f>"43.69"</f>
        <v>43.69</v>
      </c>
      <c r="C616" t="str">
        <f>"43.81"</f>
        <v>43.81</v>
      </c>
    </row>
    <row r="617" spans="1:3" x14ac:dyDescent="0.25">
      <c r="A617" t="str">
        <f>"13/12/2011"</f>
        <v>13/12/2011</v>
      </c>
      <c r="B617" t="str">
        <f>"43.89"</f>
        <v>43.89</v>
      </c>
      <c r="C617" t="str">
        <f>"43.975"</f>
        <v>43.975</v>
      </c>
    </row>
    <row r="618" spans="1:3" x14ac:dyDescent="0.25">
      <c r="A618" t="str">
        <f>"14/12/2011"</f>
        <v>14/12/2011</v>
      </c>
      <c r="B618" t="str">
        <f>"44.12"</f>
        <v>44.12</v>
      </c>
      <c r="C618" t="str">
        <f>"44.24"</f>
        <v>44.24</v>
      </c>
    </row>
    <row r="619" spans="1:3" x14ac:dyDescent="0.25">
      <c r="A619" t="str">
        <f>"15/12/2011"</f>
        <v>15/12/2011</v>
      </c>
      <c r="B619" t="str">
        <f>"44.115"</f>
        <v>44.115</v>
      </c>
      <c r="C619" t="str">
        <f>"44.215"</f>
        <v>44.215</v>
      </c>
    </row>
    <row r="620" spans="1:3" x14ac:dyDescent="0.25">
      <c r="A620" t="str">
        <f>"16/12/2011"</f>
        <v>16/12/2011</v>
      </c>
      <c r="B620" t="str">
        <f>"43.89"</f>
        <v>43.89</v>
      </c>
      <c r="C620" t="str">
        <f>"44.00"</f>
        <v>44.00</v>
      </c>
    </row>
    <row r="621" spans="1:3" x14ac:dyDescent="0.25">
      <c r="A621" t="str">
        <f>"19/12/2011"</f>
        <v>19/12/2011</v>
      </c>
      <c r="B621" t="str">
        <f>"43.955"</f>
        <v>43.955</v>
      </c>
      <c r="C621" t="str">
        <f>"44.04"</f>
        <v>44.04</v>
      </c>
    </row>
    <row r="622" spans="1:3" x14ac:dyDescent="0.25">
      <c r="A622" t="str">
        <f>"20/12/2011"</f>
        <v>20/12/2011</v>
      </c>
      <c r="B622" t="str">
        <f>"43.84"</f>
        <v>43.84</v>
      </c>
      <c r="C622" t="str">
        <f>"43.925"</f>
        <v>43.925</v>
      </c>
    </row>
    <row r="623" spans="1:3" x14ac:dyDescent="0.25">
      <c r="A623" t="str">
        <f>"21/12/2011"</f>
        <v>21/12/2011</v>
      </c>
      <c r="B623" t="str">
        <f>"43.68"</f>
        <v>43.68</v>
      </c>
      <c r="C623" t="str">
        <f>"43.77"</f>
        <v>43.77</v>
      </c>
    </row>
    <row r="624" spans="1:3" x14ac:dyDescent="0.25">
      <c r="A624" t="str">
        <f>"22/12/2011"</f>
        <v>22/12/2011</v>
      </c>
      <c r="B624" t="str">
        <f>"43.64"</f>
        <v>43.64</v>
      </c>
      <c r="C624" t="str">
        <f>"43.725"</f>
        <v>43.725</v>
      </c>
    </row>
    <row r="625" spans="1:3" x14ac:dyDescent="0.25">
      <c r="A625" t="str">
        <f>"23/12/2011"</f>
        <v>23/12/2011</v>
      </c>
      <c r="B625" t="str">
        <f>"43.48"</f>
        <v>43.48</v>
      </c>
      <c r="C625" t="str">
        <f>"43.575"</f>
        <v>43.575</v>
      </c>
    </row>
    <row r="626" spans="1:3" x14ac:dyDescent="0.25">
      <c r="A626" t="str">
        <f>"26/12/2011"</f>
        <v>26/12/2011</v>
      </c>
      <c r="B626" t="str">
        <f>"43.59"</f>
        <v>43.59</v>
      </c>
      <c r="C626" t="str">
        <f>"43.67"</f>
        <v>43.67</v>
      </c>
    </row>
    <row r="627" spans="1:3" x14ac:dyDescent="0.25">
      <c r="A627" t="str">
        <f>"27/12/2011"</f>
        <v>27/12/2011</v>
      </c>
      <c r="B627" t="str">
        <f>"43.705"</f>
        <v>43.705</v>
      </c>
      <c r="C627" t="str">
        <f>"43.785"</f>
        <v>43.785</v>
      </c>
    </row>
    <row r="628" spans="1:3" x14ac:dyDescent="0.25">
      <c r="A628" t="str">
        <f>"28/12/2011"</f>
        <v>28/12/2011</v>
      </c>
      <c r="B628" t="str">
        <f>"43.97"</f>
        <v>43.97</v>
      </c>
      <c r="C628" t="str">
        <f>"44.01"</f>
        <v>44.01</v>
      </c>
    </row>
    <row r="629" spans="1:3" x14ac:dyDescent="0.25">
      <c r="A629" t="str">
        <f>"29/12/2011"</f>
        <v>29/12/2011</v>
      </c>
      <c r="B629" t="str">
        <f>"43.85"</f>
        <v>43.85</v>
      </c>
      <c r="C629" t="str">
        <f>"43.92"</f>
        <v>43.92</v>
      </c>
    </row>
    <row r="630" spans="1:3" x14ac:dyDescent="0.25">
      <c r="A630" t="str">
        <f>"30/12/2011"</f>
        <v>30/12/2011</v>
      </c>
      <c r="B630" t="str">
        <f>"43.84"</f>
        <v>43.84</v>
      </c>
      <c r="C630" t="str">
        <f>"43.92"</f>
        <v>43.92</v>
      </c>
    </row>
    <row r="631" spans="1:3" x14ac:dyDescent="0.25">
      <c r="A631" t="str">
        <f>"02/01/2012"</f>
        <v>02/01/2012</v>
      </c>
      <c r="B631" t="str">
        <f>"43.78"</f>
        <v>43.78</v>
      </c>
      <c r="C631" t="str">
        <f>"43.87"</f>
        <v>43.87</v>
      </c>
    </row>
    <row r="632" spans="1:3" x14ac:dyDescent="0.25">
      <c r="A632" t="str">
        <f>"03/01/2012"</f>
        <v>03/01/2012</v>
      </c>
      <c r="B632" t="str">
        <f>"43.79"</f>
        <v>43.79</v>
      </c>
      <c r="C632" t="str">
        <f>"43.875"</f>
        <v>43.875</v>
      </c>
    </row>
    <row r="633" spans="1:3" x14ac:dyDescent="0.25">
      <c r="A633" t="str">
        <f>"04/01/2012"</f>
        <v>04/01/2012</v>
      </c>
      <c r="B633" t="str">
        <f>"43.75"</f>
        <v>43.75</v>
      </c>
      <c r="C633" t="str">
        <f>"43.845"</f>
        <v>43.845</v>
      </c>
    </row>
    <row r="634" spans="1:3" x14ac:dyDescent="0.25">
      <c r="A634" t="str">
        <f>"05/01/2012"</f>
        <v>05/01/2012</v>
      </c>
      <c r="B634" t="str">
        <f>"43.905"</f>
        <v>43.905</v>
      </c>
      <c r="C634" t="str">
        <f>"44.01"</f>
        <v>44.01</v>
      </c>
    </row>
    <row r="635" spans="1:3" x14ac:dyDescent="0.25">
      <c r="A635" t="str">
        <f>"06/01/2012"</f>
        <v>06/01/2012</v>
      </c>
      <c r="B635" t="str">
        <f>"44.13"</f>
        <v>44.13</v>
      </c>
      <c r="C635" t="str">
        <f>"44.245"</f>
        <v>44.245</v>
      </c>
    </row>
    <row r="636" spans="1:3" x14ac:dyDescent="0.25">
      <c r="A636" t="str">
        <f>"09/01/2012"</f>
        <v>09/01/2012</v>
      </c>
      <c r="B636" t="str">
        <f>"44.31"</f>
        <v>44.31</v>
      </c>
      <c r="C636" t="str">
        <f>"44.438"</f>
        <v>44.438</v>
      </c>
    </row>
    <row r="637" spans="1:3" x14ac:dyDescent="0.25">
      <c r="A637" t="str">
        <f>"10/01/2012"</f>
        <v>10/01/2012</v>
      </c>
      <c r="B637" t="str">
        <f>"43.895"</f>
        <v>43.895</v>
      </c>
      <c r="C637" t="str">
        <f>"44.03"</f>
        <v>44.03</v>
      </c>
    </row>
    <row r="638" spans="1:3" x14ac:dyDescent="0.25">
      <c r="A638" t="str">
        <f>"11/01/2012"</f>
        <v>11/01/2012</v>
      </c>
      <c r="B638" t="str">
        <f>"43.94"</f>
        <v>43.94</v>
      </c>
      <c r="C638" t="str">
        <f>"44.068"</f>
        <v>44.068</v>
      </c>
    </row>
    <row r="639" spans="1:3" x14ac:dyDescent="0.25">
      <c r="A639" t="str">
        <f>"12/01/2012"</f>
        <v>12/01/2012</v>
      </c>
      <c r="B639" t="str">
        <f>"43.99"</f>
        <v>43.99</v>
      </c>
      <c r="C639" t="str">
        <f>"44.12"</f>
        <v>44.12</v>
      </c>
    </row>
    <row r="640" spans="1:3" x14ac:dyDescent="0.25">
      <c r="A640" t="str">
        <f>"13/01/2012"</f>
        <v>13/01/2012</v>
      </c>
      <c r="B640" t="str">
        <f>"43.845"</f>
        <v>43.845</v>
      </c>
      <c r="C640" t="str">
        <f>"43.97"</f>
        <v>43.97</v>
      </c>
    </row>
    <row r="641" spans="1:3" x14ac:dyDescent="0.25">
      <c r="A641" t="str">
        <f>"16/01/2012"</f>
        <v>16/01/2012</v>
      </c>
      <c r="B641" t="str">
        <f>"43.86"</f>
        <v>43.86</v>
      </c>
      <c r="C641" t="str">
        <f>"43.975"</f>
        <v>43.975</v>
      </c>
    </row>
    <row r="642" spans="1:3" x14ac:dyDescent="0.25">
      <c r="A642" t="str">
        <f>"17/01/2012"</f>
        <v>17/01/2012</v>
      </c>
      <c r="B642" t="str">
        <f>"43.70"</f>
        <v>43.70</v>
      </c>
      <c r="C642" t="str">
        <f>"43.825"</f>
        <v>43.825</v>
      </c>
    </row>
    <row r="643" spans="1:3" x14ac:dyDescent="0.25">
      <c r="A643" t="str">
        <f>"18/01/2012"</f>
        <v>18/01/2012</v>
      </c>
      <c r="B643" t="str">
        <f>"43.475"</f>
        <v>43.475</v>
      </c>
      <c r="C643" t="str">
        <f>"43.59"</f>
        <v>43.59</v>
      </c>
    </row>
    <row r="644" spans="1:3" x14ac:dyDescent="0.25">
      <c r="A644" t="str">
        <f>"19/01/2012"</f>
        <v>19/01/2012</v>
      </c>
      <c r="B644" t="str">
        <f>"43.44"</f>
        <v>43.44</v>
      </c>
      <c r="C644" t="str">
        <f>"43.575"</f>
        <v>43.575</v>
      </c>
    </row>
    <row r="645" spans="1:3" x14ac:dyDescent="0.25">
      <c r="A645" t="str">
        <f>"20/01/2012"</f>
        <v>20/01/2012</v>
      </c>
      <c r="B645" t="str">
        <f>"43.28"</f>
        <v>43.28</v>
      </c>
      <c r="C645" t="str">
        <f>"43.40"</f>
        <v>43.40</v>
      </c>
    </row>
    <row r="646" spans="1:3" x14ac:dyDescent="0.25">
      <c r="A646" t="str">
        <f>"23/01/2012"</f>
        <v>23/01/2012</v>
      </c>
      <c r="B646" t="str">
        <f>"43.295"</f>
        <v>43.295</v>
      </c>
      <c r="C646" t="str">
        <f>"43.415"</f>
        <v>43.415</v>
      </c>
    </row>
    <row r="647" spans="1:3" x14ac:dyDescent="0.25">
      <c r="A647" t="str">
        <f>"24/01/2012"</f>
        <v>24/01/2012</v>
      </c>
      <c r="B647" t="str">
        <f>"43.275"</f>
        <v>43.275</v>
      </c>
      <c r="C647" t="str">
        <f>"43.40"</f>
        <v>43.40</v>
      </c>
    </row>
    <row r="648" spans="1:3" x14ac:dyDescent="0.25">
      <c r="A648" t="str">
        <f>"25/01/2012"</f>
        <v>25/01/2012</v>
      </c>
      <c r="B648" t="str">
        <f>"43.24"</f>
        <v>43.24</v>
      </c>
      <c r="C648" t="str">
        <f>"43.37"</f>
        <v>43.37</v>
      </c>
    </row>
    <row r="649" spans="1:3" x14ac:dyDescent="0.25">
      <c r="A649" t="str">
        <f>"27/01/2012"</f>
        <v>27/01/2012</v>
      </c>
      <c r="B649" t="str">
        <f>"42.755"</f>
        <v>42.755</v>
      </c>
      <c r="C649" t="str">
        <f>"42.875"</f>
        <v>42.875</v>
      </c>
    </row>
    <row r="650" spans="1:3" x14ac:dyDescent="0.25">
      <c r="A650" t="str">
        <f>"30/01/2012"</f>
        <v>30/01/2012</v>
      </c>
      <c r="B650" t="str">
        <f>"43.075"</f>
        <v>43.075</v>
      </c>
      <c r="C650" t="str">
        <f>"43.19"</f>
        <v>43.19</v>
      </c>
    </row>
    <row r="651" spans="1:3" x14ac:dyDescent="0.25">
      <c r="A651" t="str">
        <f>"31/01/2012"</f>
        <v>31/01/2012</v>
      </c>
      <c r="B651" t="str">
        <f>"42.915"</f>
        <v>42.915</v>
      </c>
      <c r="C651" t="str">
        <f>"43.035"</f>
        <v>43.035</v>
      </c>
    </row>
    <row r="652" spans="1:3" x14ac:dyDescent="0.25">
      <c r="A652" t="str">
        <f>"01/02/2012"</f>
        <v>01/02/2012</v>
      </c>
      <c r="B652" t="str">
        <f>"42.88"</f>
        <v>42.88</v>
      </c>
      <c r="C652" t="str">
        <f>"42.99"</f>
        <v>42.99</v>
      </c>
    </row>
    <row r="653" spans="1:3" x14ac:dyDescent="0.25">
      <c r="A653" t="str">
        <f>"02/02/2012"</f>
        <v>02/02/2012</v>
      </c>
      <c r="B653" t="str">
        <f>"42.725"</f>
        <v>42.725</v>
      </c>
      <c r="C653" t="str">
        <f>"42.835"</f>
        <v>42.835</v>
      </c>
    </row>
    <row r="654" spans="1:3" x14ac:dyDescent="0.25">
      <c r="A654" t="str">
        <f>"03/02/2012"</f>
        <v>03/02/2012</v>
      </c>
      <c r="B654" t="str">
        <f>"42.755"</f>
        <v>42.755</v>
      </c>
      <c r="C654" t="str">
        <f>"42.859"</f>
        <v>42.859</v>
      </c>
    </row>
    <row r="655" spans="1:3" x14ac:dyDescent="0.25">
      <c r="A655" t="str">
        <f>"06/02/2012"</f>
        <v>06/02/2012</v>
      </c>
      <c r="B655" t="str">
        <f>"42.63"</f>
        <v>42.63</v>
      </c>
      <c r="C655" t="str">
        <f>"42.735"</f>
        <v>42.735</v>
      </c>
    </row>
    <row r="656" spans="1:3" x14ac:dyDescent="0.25">
      <c r="A656" t="str">
        <f>"07/02/2012"</f>
        <v>07/02/2012</v>
      </c>
      <c r="B656" t="str">
        <f>"42.60"</f>
        <v>42.60</v>
      </c>
      <c r="C656" t="str">
        <f>"42.705"</f>
        <v>42.705</v>
      </c>
    </row>
    <row r="657" spans="1:3" x14ac:dyDescent="0.25">
      <c r="A657" t="str">
        <f>"08/02/2012"</f>
        <v>08/02/2012</v>
      </c>
      <c r="B657" t="str">
        <f>"42.27"</f>
        <v>42.27</v>
      </c>
      <c r="C657" t="str">
        <f>"42.375"</f>
        <v>42.375</v>
      </c>
    </row>
    <row r="658" spans="1:3" x14ac:dyDescent="0.25">
      <c r="A658" t="str">
        <f>"09/02/2012"</f>
        <v>09/02/2012</v>
      </c>
      <c r="B658" t="str">
        <f>"42.18"</f>
        <v>42.18</v>
      </c>
      <c r="C658" t="str">
        <f>"42.29"</f>
        <v>42.29</v>
      </c>
    </row>
    <row r="659" spans="1:3" x14ac:dyDescent="0.25">
      <c r="A659" t="str">
        <f>"10/02/2012"</f>
        <v>10/02/2012</v>
      </c>
      <c r="B659" t="str">
        <f>"42.424"</f>
        <v>42.424</v>
      </c>
      <c r="C659" t="str">
        <f>"42.534"</f>
        <v>42.534</v>
      </c>
    </row>
    <row r="660" spans="1:3" x14ac:dyDescent="0.25">
      <c r="A660" t="str">
        <f>"13/02/2012"</f>
        <v>13/02/2012</v>
      </c>
      <c r="B660" t="str">
        <f>"42.48"</f>
        <v>42.48</v>
      </c>
      <c r="C660" t="str">
        <f>"42.59"</f>
        <v>42.59</v>
      </c>
    </row>
    <row r="661" spans="1:3" x14ac:dyDescent="0.25">
      <c r="A661" t="str">
        <f>"14/02/2012"</f>
        <v>14/02/2012</v>
      </c>
      <c r="B661" t="str">
        <f>"42.66"</f>
        <v>42.66</v>
      </c>
      <c r="C661" t="str">
        <f>"42.765"</f>
        <v>42.765</v>
      </c>
    </row>
    <row r="662" spans="1:3" x14ac:dyDescent="0.25">
      <c r="A662" t="str">
        <f>"15/02/2012"</f>
        <v>15/02/2012</v>
      </c>
      <c r="B662" t="str">
        <f>"42.64"</f>
        <v>42.64</v>
      </c>
      <c r="C662" t="str">
        <f>"42.74"</f>
        <v>42.74</v>
      </c>
    </row>
    <row r="663" spans="1:3" x14ac:dyDescent="0.25">
      <c r="A663" t="str">
        <f>"16/02/2012"</f>
        <v>16/02/2012</v>
      </c>
      <c r="B663" t="str">
        <f>"42.81"</f>
        <v>42.81</v>
      </c>
      <c r="C663" t="str">
        <f>"42.92"</f>
        <v>42.92</v>
      </c>
    </row>
    <row r="664" spans="1:3" x14ac:dyDescent="0.25">
      <c r="A664" t="str">
        <f>"17/02/2012"</f>
        <v>17/02/2012</v>
      </c>
      <c r="B664" t="str">
        <f>"42.67"</f>
        <v>42.67</v>
      </c>
      <c r="C664" t="str">
        <f>"42.77"</f>
        <v>42.77</v>
      </c>
    </row>
    <row r="665" spans="1:3" x14ac:dyDescent="0.25">
      <c r="A665" t="str">
        <f>"21/02/2012"</f>
        <v>21/02/2012</v>
      </c>
      <c r="B665" t="str">
        <f>"42.71"</f>
        <v>42.71</v>
      </c>
      <c r="C665" t="str">
        <f>"42.825"</f>
        <v>42.825</v>
      </c>
    </row>
    <row r="666" spans="1:3" x14ac:dyDescent="0.25">
      <c r="A666" t="str">
        <f>"22/02/2012"</f>
        <v>22/02/2012</v>
      </c>
      <c r="B666" t="str">
        <f>"42.785"</f>
        <v>42.785</v>
      </c>
      <c r="C666" t="str">
        <f>"42.905"</f>
        <v>42.905</v>
      </c>
    </row>
    <row r="667" spans="1:3" x14ac:dyDescent="0.25">
      <c r="A667" t="str">
        <f>"23/02/2012"</f>
        <v>23/02/2012</v>
      </c>
      <c r="B667" t="str">
        <f>"42.78"</f>
        <v>42.78</v>
      </c>
      <c r="C667" t="str">
        <f>"42.89"</f>
        <v>42.89</v>
      </c>
    </row>
    <row r="668" spans="1:3" x14ac:dyDescent="0.25">
      <c r="A668" t="str">
        <f>"24/02/2012"</f>
        <v>24/02/2012</v>
      </c>
      <c r="B668" t="str">
        <f>"42.81"</f>
        <v>42.81</v>
      </c>
      <c r="C668" t="str">
        <f>"42.925"</f>
        <v>42.925</v>
      </c>
    </row>
    <row r="669" spans="1:3" x14ac:dyDescent="0.25">
      <c r="A669" t="str">
        <f>"27/02/2012"</f>
        <v>27/02/2012</v>
      </c>
      <c r="B669" t="str">
        <f>"43.06"</f>
        <v>43.06</v>
      </c>
      <c r="C669" t="str">
        <f>"43.165"</f>
        <v>43.165</v>
      </c>
    </row>
    <row r="670" spans="1:3" x14ac:dyDescent="0.25">
      <c r="A670" t="str">
        <f>"28/02/2012"</f>
        <v>28/02/2012</v>
      </c>
      <c r="B670" t="str">
        <f>"42.81"</f>
        <v>42.81</v>
      </c>
      <c r="C670" t="str">
        <f>"42.908"</f>
        <v>42.908</v>
      </c>
    </row>
    <row r="671" spans="1:3" x14ac:dyDescent="0.25">
      <c r="A671" t="str">
        <f t="shared" ref="A671" si="0">"29/02/2012"</f>
        <v>29/02/2012</v>
      </c>
      <c r="B671" t="str">
        <f>"42.68"</f>
        <v>42.68</v>
      </c>
      <c r="C671" t="str">
        <f>"42.785"</f>
        <v>42.785</v>
      </c>
    </row>
    <row r="672" spans="1:3" x14ac:dyDescent="0.25">
      <c r="A672" t="str">
        <f>"01/03/2012"</f>
        <v>01/03/2012</v>
      </c>
      <c r="B672" t="str">
        <f>"42.805"</f>
        <v>42.805</v>
      </c>
      <c r="C672" t="str">
        <f>"42.917"</f>
        <v>42.917</v>
      </c>
    </row>
    <row r="673" spans="1:3" x14ac:dyDescent="0.25">
      <c r="A673" t="str">
        <f>"02/03/2012"</f>
        <v>02/03/2012</v>
      </c>
      <c r="B673" t="str">
        <f>"42.715"</f>
        <v>42.715</v>
      </c>
      <c r="C673" t="str">
        <f>"42.85"</f>
        <v>42.85</v>
      </c>
    </row>
    <row r="674" spans="1:3" x14ac:dyDescent="0.25">
      <c r="A674" t="str">
        <f>"05/03/2012"</f>
        <v>05/03/2012</v>
      </c>
      <c r="B674" t="str">
        <f>"42.90"</f>
        <v>42.90</v>
      </c>
      <c r="C674" t="str">
        <f>"43.03"</f>
        <v>43.03</v>
      </c>
    </row>
    <row r="675" spans="1:3" x14ac:dyDescent="0.25">
      <c r="A675" t="str">
        <f>"06/03/2012"</f>
        <v>06/03/2012</v>
      </c>
      <c r="B675" t="str">
        <f>"42.943"</f>
        <v>42.943</v>
      </c>
      <c r="C675" t="str">
        <f>"43.068"</f>
        <v>43.068</v>
      </c>
    </row>
    <row r="676" spans="1:3" x14ac:dyDescent="0.25">
      <c r="A676" t="str">
        <f>"07/03/2012"</f>
        <v>07/03/2012</v>
      </c>
      <c r="B676" t="str">
        <f>"42.885"</f>
        <v>42.885</v>
      </c>
      <c r="C676" t="str">
        <f>"43.013"</f>
        <v>43.013</v>
      </c>
    </row>
    <row r="677" spans="1:3" x14ac:dyDescent="0.25">
      <c r="A677" t="str">
        <f>"09/03/2012"</f>
        <v>09/03/2012</v>
      </c>
      <c r="B677" t="str">
        <f>"42.62"</f>
        <v>42.62</v>
      </c>
      <c r="C677" t="str">
        <f>"42.74"</f>
        <v>42.74</v>
      </c>
    </row>
    <row r="678" spans="1:3" x14ac:dyDescent="0.25">
      <c r="A678" t="str">
        <f>"12/03/2012"</f>
        <v>12/03/2012</v>
      </c>
      <c r="B678" t="str">
        <f>"42.71"</f>
        <v>42.71</v>
      </c>
      <c r="C678" t="str">
        <f>"42.83"</f>
        <v>42.83</v>
      </c>
    </row>
    <row r="679" spans="1:3" x14ac:dyDescent="0.25">
      <c r="A679" t="str">
        <f>"13/03/2012"</f>
        <v>13/03/2012</v>
      </c>
      <c r="B679" t="str">
        <f>"42.605"</f>
        <v>42.605</v>
      </c>
      <c r="C679" t="str">
        <f>"42.725"</f>
        <v>42.725</v>
      </c>
    </row>
    <row r="680" spans="1:3" x14ac:dyDescent="0.25">
      <c r="A680" t="str">
        <f>"14/03/2012"</f>
        <v>14/03/2012</v>
      </c>
      <c r="B680" t="str">
        <f>"42.78"</f>
        <v>42.78</v>
      </c>
      <c r="C680" t="str">
        <f>"42.90"</f>
        <v>42.90</v>
      </c>
    </row>
    <row r="681" spans="1:3" x14ac:dyDescent="0.25">
      <c r="A681" t="str">
        <f>"15/03/2012"</f>
        <v>15/03/2012</v>
      </c>
      <c r="B681" t="str">
        <f>"42.98"</f>
        <v>42.98</v>
      </c>
      <c r="C681" t="str">
        <f>"43.13"</f>
        <v>43.13</v>
      </c>
    </row>
    <row r="682" spans="1:3" x14ac:dyDescent="0.25">
      <c r="A682" t="str">
        <f>"16/03/2012"</f>
        <v>16/03/2012</v>
      </c>
      <c r="B682" t="str">
        <f>"42.908"</f>
        <v>42.908</v>
      </c>
      <c r="C682" t="str">
        <f>"43.033"</f>
        <v>43.033</v>
      </c>
    </row>
    <row r="683" spans="1:3" x14ac:dyDescent="0.25">
      <c r="A683" t="str">
        <f>"19/03/2012"</f>
        <v>19/03/2012</v>
      </c>
      <c r="B683" t="str">
        <f>"42.95"</f>
        <v>42.95</v>
      </c>
      <c r="C683" t="str">
        <f>"43.07"</f>
        <v>43.07</v>
      </c>
    </row>
    <row r="684" spans="1:3" x14ac:dyDescent="0.25">
      <c r="A684" t="str">
        <f>"20/03/2012"</f>
        <v>20/03/2012</v>
      </c>
      <c r="B684" t="str">
        <f>"42.885"</f>
        <v>42.885</v>
      </c>
      <c r="C684" t="str">
        <f>"43.015"</f>
        <v>43.015</v>
      </c>
    </row>
    <row r="685" spans="1:3" x14ac:dyDescent="0.25">
      <c r="A685" t="str">
        <f>"21/03/2012"</f>
        <v>21/03/2012</v>
      </c>
      <c r="B685" t="str">
        <f>"43.015"</f>
        <v>43.015</v>
      </c>
      <c r="C685" t="str">
        <f>"43.165"</f>
        <v>43.165</v>
      </c>
    </row>
    <row r="686" spans="1:3" x14ac:dyDescent="0.25">
      <c r="A686" t="str">
        <f>"22/03/2012"</f>
        <v>22/03/2012</v>
      </c>
      <c r="B686" t="str">
        <f>"43.09"</f>
        <v>43.09</v>
      </c>
      <c r="C686" t="str">
        <f>"43.205"</f>
        <v>43.205</v>
      </c>
    </row>
    <row r="687" spans="1:3" x14ac:dyDescent="0.25">
      <c r="A687" t="str">
        <f>"26/03/2012"</f>
        <v>26/03/2012</v>
      </c>
      <c r="B687" t="str">
        <f>"43.06"</f>
        <v>43.06</v>
      </c>
      <c r="C687" t="str">
        <f>"43.195"</f>
        <v>43.195</v>
      </c>
    </row>
    <row r="688" spans="1:3" x14ac:dyDescent="0.25">
      <c r="A688" t="str">
        <f>"27/03/2012"</f>
        <v>27/03/2012</v>
      </c>
      <c r="B688" t="str">
        <f>"42.96"</f>
        <v>42.96</v>
      </c>
      <c r="C688" t="str">
        <f>"43.06"</f>
        <v>43.06</v>
      </c>
    </row>
    <row r="689" spans="1:3" x14ac:dyDescent="0.25">
      <c r="A689" t="str">
        <f>"28/03/2012"</f>
        <v>28/03/2012</v>
      </c>
      <c r="B689" t="str">
        <f>"42.945"</f>
        <v>42.945</v>
      </c>
      <c r="C689" t="str">
        <f>"43.055"</f>
        <v>43.055</v>
      </c>
    </row>
    <row r="690" spans="1:3" x14ac:dyDescent="0.25">
      <c r="A690" t="str">
        <f>"29/03/2012"</f>
        <v>29/03/2012</v>
      </c>
      <c r="B690" t="str">
        <f>"43.065"</f>
        <v>43.065</v>
      </c>
      <c r="C690" t="str">
        <f>"43.176"</f>
        <v>43.176</v>
      </c>
    </row>
    <row r="691" spans="1:3" x14ac:dyDescent="0.25">
      <c r="A691" t="str">
        <f>"30/03/2012"</f>
        <v>30/03/2012</v>
      </c>
      <c r="B691" t="str">
        <f>"42.92"</f>
        <v>42.92</v>
      </c>
      <c r="C691" t="str">
        <f>"43.05"</f>
        <v>43.05</v>
      </c>
    </row>
    <row r="692" spans="1:3" x14ac:dyDescent="0.25">
      <c r="A692" t="str">
        <f>"03/04/2012"</f>
        <v>03/04/2012</v>
      </c>
      <c r="B692" t="str">
        <f>"42.70"</f>
        <v>42.70</v>
      </c>
      <c r="C692" t="str">
        <f>"42.815"</f>
        <v>42.815</v>
      </c>
    </row>
    <row r="693" spans="1:3" x14ac:dyDescent="0.25">
      <c r="A693" t="str">
        <f>"04/04/2012"</f>
        <v>04/04/2012</v>
      </c>
      <c r="B693" t="str">
        <f>"42.85"</f>
        <v>42.85</v>
      </c>
      <c r="C693" t="str">
        <f>"42.992"</f>
        <v>42.992</v>
      </c>
    </row>
    <row r="694" spans="1:3" x14ac:dyDescent="0.25">
      <c r="A694" t="str">
        <f>"10/04/2012"</f>
        <v>10/04/2012</v>
      </c>
      <c r="B694" t="str">
        <f>"42.80"</f>
        <v>42.80</v>
      </c>
      <c r="C694" t="str">
        <f>"42.91"</f>
        <v>42.91</v>
      </c>
    </row>
    <row r="695" spans="1:3" x14ac:dyDescent="0.25">
      <c r="A695" t="str">
        <f>"11/04/2012"</f>
        <v>11/04/2012</v>
      </c>
      <c r="B695" t="str">
        <f>"42.76"</f>
        <v>42.76</v>
      </c>
      <c r="C695" t="str">
        <f>"42.88"</f>
        <v>42.88</v>
      </c>
    </row>
    <row r="696" spans="1:3" x14ac:dyDescent="0.25">
      <c r="A696" t="str">
        <f>"12/04/2012"</f>
        <v>12/04/2012</v>
      </c>
      <c r="B696" t="str">
        <f>"42.673"</f>
        <v>42.673</v>
      </c>
      <c r="C696" t="str">
        <f>"42.785"</f>
        <v>42.785</v>
      </c>
    </row>
    <row r="697" spans="1:3" x14ac:dyDescent="0.25">
      <c r="A697" t="str">
        <f>"13/04/2012"</f>
        <v>13/04/2012</v>
      </c>
      <c r="B697" t="str">
        <f>"42.705"</f>
        <v>42.705</v>
      </c>
      <c r="C697" t="str">
        <f>"42.825"</f>
        <v>42.825</v>
      </c>
    </row>
    <row r="698" spans="1:3" x14ac:dyDescent="0.25">
      <c r="A698" t="str">
        <f>"16/04/2012"</f>
        <v>16/04/2012</v>
      </c>
      <c r="B698" t="str">
        <f>"42.77"</f>
        <v>42.77</v>
      </c>
      <c r="C698" t="str">
        <f>"42.892"</f>
        <v>42.892</v>
      </c>
    </row>
    <row r="699" spans="1:3" x14ac:dyDescent="0.25">
      <c r="A699" t="str">
        <f>"17/04/2012"</f>
        <v>17/04/2012</v>
      </c>
      <c r="B699" t="str">
        <f>"42.737"</f>
        <v>42.737</v>
      </c>
      <c r="C699" t="str">
        <f>"42.847"</f>
        <v>42.847</v>
      </c>
    </row>
    <row r="700" spans="1:3" x14ac:dyDescent="0.25">
      <c r="A700" t="str">
        <f>"18/04/2012"</f>
        <v>18/04/2012</v>
      </c>
      <c r="B700" t="str">
        <f>"42.66"</f>
        <v>42.66</v>
      </c>
      <c r="C700" t="str">
        <f>"42.81"</f>
        <v>42.81</v>
      </c>
    </row>
    <row r="701" spans="1:3" x14ac:dyDescent="0.25">
      <c r="A701" t="str">
        <f>"19/04/2012"</f>
        <v>19/04/2012</v>
      </c>
      <c r="B701" t="str">
        <f>"42.675"</f>
        <v>42.675</v>
      </c>
      <c r="C701" t="str">
        <f>"42.82"</f>
        <v>42.82</v>
      </c>
    </row>
    <row r="702" spans="1:3" x14ac:dyDescent="0.25">
      <c r="A702" t="str">
        <f>"20/04/2012"</f>
        <v>20/04/2012</v>
      </c>
      <c r="B702" t="str">
        <f>"42.69"</f>
        <v>42.69</v>
      </c>
      <c r="C702" t="str">
        <f>"42.802"</f>
        <v>42.802</v>
      </c>
    </row>
    <row r="703" spans="1:3" x14ac:dyDescent="0.25">
      <c r="A703" t="str">
        <f>"23/04/2012"</f>
        <v>23/04/2012</v>
      </c>
      <c r="B703" t="str">
        <f>"42.60"</f>
        <v>42.60</v>
      </c>
      <c r="C703" t="str">
        <f>"42.712"</f>
        <v>42.712</v>
      </c>
    </row>
    <row r="704" spans="1:3" x14ac:dyDescent="0.25">
      <c r="A704" t="str">
        <f>"24/04/2012"</f>
        <v>24/04/2012</v>
      </c>
      <c r="B704" t="str">
        <f>"42.69"</f>
        <v>42.69</v>
      </c>
      <c r="C704" t="str">
        <f>"42.80"</f>
        <v>42.80</v>
      </c>
    </row>
    <row r="705" spans="1:3" x14ac:dyDescent="0.25">
      <c r="A705" t="str">
        <f>"25/04/2012"</f>
        <v>25/04/2012</v>
      </c>
      <c r="B705" t="str">
        <f>"42.67"</f>
        <v>42.67</v>
      </c>
      <c r="C705" t="str">
        <f>"42.792"</f>
        <v>42.792</v>
      </c>
    </row>
    <row r="706" spans="1:3" x14ac:dyDescent="0.25">
      <c r="A706" t="str">
        <f>"26/04/2012"</f>
        <v>26/04/2012</v>
      </c>
      <c r="B706" t="str">
        <f>"42.63"</f>
        <v>42.63</v>
      </c>
      <c r="C706" t="str">
        <f>"42.745"</f>
        <v>42.745</v>
      </c>
    </row>
    <row r="707" spans="1:3" x14ac:dyDescent="0.25">
      <c r="A707" t="str">
        <f>"27/04/2012"</f>
        <v>27/04/2012</v>
      </c>
      <c r="B707" t="str">
        <f>"42.44"</f>
        <v>42.44</v>
      </c>
      <c r="C707" t="str">
        <f>"42.542"</f>
        <v>42.542</v>
      </c>
    </row>
    <row r="708" spans="1:3" x14ac:dyDescent="0.25">
      <c r="A708" t="str">
        <f>"30/04/2012"</f>
        <v>30/04/2012</v>
      </c>
      <c r="B708" t="str">
        <f>"42.165"</f>
        <v>42.165</v>
      </c>
      <c r="C708" t="str">
        <f>"42.273"</f>
        <v>42.273</v>
      </c>
    </row>
    <row r="709" spans="1:3" x14ac:dyDescent="0.25">
      <c r="A709" t="str">
        <f>"02/05/2012"</f>
        <v>02/05/2012</v>
      </c>
      <c r="B709" t="str">
        <f>"42.215"</f>
        <v>42.215</v>
      </c>
      <c r="C709" t="str">
        <f>"42.32"</f>
        <v>42.32</v>
      </c>
    </row>
    <row r="710" spans="1:3" x14ac:dyDescent="0.25">
      <c r="A710" t="str">
        <f>"03/05/2012"</f>
        <v>03/05/2012</v>
      </c>
      <c r="B710" t="str">
        <f>"42.24"</f>
        <v>42.24</v>
      </c>
      <c r="C710" t="str">
        <f>"42.355"</f>
        <v>42.355</v>
      </c>
    </row>
    <row r="711" spans="1:3" x14ac:dyDescent="0.25">
      <c r="A711" t="str">
        <f>"04/05/2012"</f>
        <v>04/05/2012</v>
      </c>
      <c r="B711" t="str">
        <f>"42.225"</f>
        <v>42.225</v>
      </c>
      <c r="C711" t="str">
        <f>"42.325"</f>
        <v>42.325</v>
      </c>
    </row>
    <row r="712" spans="1:3" x14ac:dyDescent="0.25">
      <c r="A712" t="str">
        <f>"07/05/2012"</f>
        <v>07/05/2012</v>
      </c>
      <c r="B712" t="str">
        <f>"42.385"</f>
        <v>42.385</v>
      </c>
      <c r="C712" t="str">
        <f>"42.528"</f>
        <v>42.528</v>
      </c>
    </row>
    <row r="713" spans="1:3" x14ac:dyDescent="0.25">
      <c r="A713" t="str">
        <f>"08/05/2012"</f>
        <v>08/05/2012</v>
      </c>
      <c r="B713" t="str">
        <f>"42.33"</f>
        <v>42.33</v>
      </c>
      <c r="C713" t="str">
        <f>"42.449"</f>
        <v>42.449</v>
      </c>
    </row>
    <row r="714" spans="1:3" x14ac:dyDescent="0.25">
      <c r="A714" t="str">
        <f>"09/05/2012"</f>
        <v>09/05/2012</v>
      </c>
      <c r="B714" t="str">
        <f>"42.41"</f>
        <v>42.41</v>
      </c>
      <c r="C714" t="str">
        <f>"42.525"</f>
        <v>42.525</v>
      </c>
    </row>
    <row r="715" spans="1:3" x14ac:dyDescent="0.25">
      <c r="A715" t="str">
        <f>"10/05/2012"</f>
        <v>10/05/2012</v>
      </c>
      <c r="B715" t="str">
        <f>"42.47"</f>
        <v>42.47</v>
      </c>
      <c r="C715" t="str">
        <f>"42.59"</f>
        <v>42.59</v>
      </c>
    </row>
    <row r="716" spans="1:3" x14ac:dyDescent="0.25">
      <c r="A716" t="str">
        <f>"11/05/2012"</f>
        <v>11/05/2012</v>
      </c>
      <c r="B716" t="str">
        <f>"42.44"</f>
        <v>42.44</v>
      </c>
      <c r="C716" t="str">
        <f>"42.553"</f>
        <v>42.553</v>
      </c>
    </row>
    <row r="717" spans="1:3" x14ac:dyDescent="0.25">
      <c r="A717" t="str">
        <f>"14/05/2012"</f>
        <v>14/05/2012</v>
      </c>
      <c r="B717" t="str">
        <f>"42.75"</f>
        <v>42.75</v>
      </c>
      <c r="C717" t="str">
        <f>"45.90"</f>
        <v>45.90</v>
      </c>
    </row>
    <row r="718" spans="1:3" x14ac:dyDescent="0.25">
      <c r="A718" t="str">
        <f>"15/05/2012"</f>
        <v>15/05/2012</v>
      </c>
      <c r="B718" t="str">
        <f>"42.74"</f>
        <v>42.74</v>
      </c>
      <c r="C718" t="str">
        <f>"42.865"</f>
        <v>42.865</v>
      </c>
    </row>
    <row r="719" spans="1:3" x14ac:dyDescent="0.25">
      <c r="A719" t="str">
        <f>"16/05/2012"</f>
        <v>16/05/2012</v>
      </c>
      <c r="B719" t="str">
        <f>"42.96"</f>
        <v>42.96</v>
      </c>
      <c r="C719" t="str">
        <f>"43.075"</f>
        <v>43.075</v>
      </c>
    </row>
    <row r="720" spans="1:3" x14ac:dyDescent="0.25">
      <c r="A720" t="str">
        <f>"17/05/2012"</f>
        <v>17/05/2012</v>
      </c>
      <c r="B720" t="str">
        <f>"42.87"</f>
        <v>42.87</v>
      </c>
      <c r="C720" t="str">
        <f>"42.985"</f>
        <v>42.985</v>
      </c>
    </row>
    <row r="721" spans="1:3" x14ac:dyDescent="0.25">
      <c r="A721" t="str">
        <f>"18/05/2012"</f>
        <v>18/05/2012</v>
      </c>
      <c r="B721" t="str">
        <f>"43.20"</f>
        <v>43.20</v>
      </c>
      <c r="C721" t="str">
        <f>"43.32"</f>
        <v>43.32</v>
      </c>
    </row>
    <row r="722" spans="1:3" x14ac:dyDescent="0.25">
      <c r="A722" t="str">
        <f>"21/05/2012"</f>
        <v>21/05/2012</v>
      </c>
      <c r="B722" t="str">
        <f>"43.24"</f>
        <v>43.24</v>
      </c>
      <c r="C722" t="str">
        <f>"43.348"</f>
        <v>43.348</v>
      </c>
    </row>
    <row r="723" spans="1:3" x14ac:dyDescent="0.25">
      <c r="A723" t="str">
        <f>"22/05/2012"</f>
        <v>22/05/2012</v>
      </c>
      <c r="B723" t="str">
        <f>"43.165"</f>
        <v>43.165</v>
      </c>
      <c r="C723" t="str">
        <f>"44.225"</f>
        <v>44.225</v>
      </c>
    </row>
    <row r="724" spans="1:3" x14ac:dyDescent="0.25">
      <c r="A724" t="str">
        <f>"23/05/2012"</f>
        <v>23/05/2012</v>
      </c>
      <c r="B724" t="str">
        <f>"43.355"</f>
        <v>43.355</v>
      </c>
      <c r="C724" t="str">
        <f>"43.476"</f>
        <v>43.476</v>
      </c>
    </row>
    <row r="725" spans="1:3" x14ac:dyDescent="0.25">
      <c r="A725" t="str">
        <f>"24/05/2012"</f>
        <v>24/05/2012</v>
      </c>
      <c r="B725" t="str">
        <f>"43.60"</f>
        <v>43.60</v>
      </c>
      <c r="C725" t="str">
        <f>"43.715"</f>
        <v>43.715</v>
      </c>
    </row>
    <row r="726" spans="1:3" x14ac:dyDescent="0.25">
      <c r="A726" t="str">
        <f>"25/05/2012"</f>
        <v>25/05/2012</v>
      </c>
      <c r="B726" t="str">
        <f>"43.91"</f>
        <v>43.91</v>
      </c>
      <c r="C726" t="str">
        <f>"44.025"</f>
        <v>44.025</v>
      </c>
    </row>
    <row r="727" spans="1:3" x14ac:dyDescent="0.25">
      <c r="A727" t="str">
        <f>"28/05/2012"</f>
        <v>28/05/2012</v>
      </c>
      <c r="B727" t="str">
        <f>"43.52"</f>
        <v>43.52</v>
      </c>
      <c r="C727" t="str">
        <f>"43.633"</f>
        <v>43.633</v>
      </c>
    </row>
    <row r="728" spans="1:3" x14ac:dyDescent="0.25">
      <c r="A728" t="str">
        <f>"29/05/2012"</f>
        <v>29/05/2012</v>
      </c>
      <c r="B728" t="str">
        <f>"43.645"</f>
        <v>43.645</v>
      </c>
      <c r="C728" t="str">
        <f>"43.755"</f>
        <v>43.755</v>
      </c>
    </row>
    <row r="729" spans="1:3" x14ac:dyDescent="0.25">
      <c r="A729" t="str">
        <f>"30/05/2012"</f>
        <v>30/05/2012</v>
      </c>
      <c r="B729" t="str">
        <f>"43.43"</f>
        <v>43.43</v>
      </c>
      <c r="C729" t="str">
        <f>"43.545"</f>
        <v>43.545</v>
      </c>
    </row>
    <row r="730" spans="1:3" x14ac:dyDescent="0.25">
      <c r="A730" t="str">
        <f>"31/05/2012"</f>
        <v>31/05/2012</v>
      </c>
      <c r="B730" t="str">
        <f>"43.67"</f>
        <v>43.67</v>
      </c>
      <c r="C730" t="str">
        <f>"43.778"</f>
        <v>43.778</v>
      </c>
    </row>
    <row r="731" spans="1:3" x14ac:dyDescent="0.25">
      <c r="A731" t="str">
        <f>"01/06/2012"</f>
        <v>01/06/2012</v>
      </c>
      <c r="B731" t="str">
        <f>"43.557"</f>
        <v>43.557</v>
      </c>
      <c r="C731" t="str">
        <f>"43.662"</f>
        <v>43.662</v>
      </c>
    </row>
    <row r="732" spans="1:3" x14ac:dyDescent="0.25">
      <c r="A732" t="str">
        <f>"04/06/2012"</f>
        <v>04/06/2012</v>
      </c>
      <c r="B732" t="str">
        <f>"43.485"</f>
        <v>43.485</v>
      </c>
      <c r="C732" t="str">
        <f>"43.5915"</f>
        <v>43.5915</v>
      </c>
    </row>
    <row r="733" spans="1:3" x14ac:dyDescent="0.25">
      <c r="A733" t="str">
        <f>"05/06/2012"</f>
        <v>05/06/2012</v>
      </c>
      <c r="B733" t="str">
        <f>"43.51"</f>
        <v>43.51</v>
      </c>
      <c r="C733" t="str">
        <f>"43.625"</f>
        <v>43.625</v>
      </c>
    </row>
    <row r="734" spans="1:3" x14ac:dyDescent="0.25">
      <c r="A734" t="str">
        <f>"06/06/2012"</f>
        <v>06/06/2012</v>
      </c>
      <c r="B734" t="str">
        <f>"43.26"</f>
        <v>43.26</v>
      </c>
      <c r="C734" t="str">
        <f>"43.38"</f>
        <v>43.38</v>
      </c>
    </row>
    <row r="735" spans="1:3" x14ac:dyDescent="0.25">
      <c r="A735" t="str">
        <f>"07/06/2012"</f>
        <v>07/06/2012</v>
      </c>
      <c r="B735" t="str">
        <f>"43.07"</f>
        <v>43.07</v>
      </c>
      <c r="C735" t="str">
        <f>"43.177"</f>
        <v>43.177</v>
      </c>
    </row>
    <row r="736" spans="1:3" x14ac:dyDescent="0.25">
      <c r="A736" t="str">
        <f>"08/06/2012"</f>
        <v>08/06/2012</v>
      </c>
      <c r="B736" t="str">
        <f>"43.22"</f>
        <v>43.22</v>
      </c>
      <c r="C736" t="str">
        <f>"43.327"</f>
        <v>43.327</v>
      </c>
    </row>
    <row r="737" spans="1:3" x14ac:dyDescent="0.25">
      <c r="A737" t="str">
        <f>"11/06/2012"</f>
        <v>11/06/2012</v>
      </c>
      <c r="B737" t="str">
        <f>"42.98"</f>
        <v>42.98</v>
      </c>
      <c r="C737" t="str">
        <f>"43.098"</f>
        <v>43.098</v>
      </c>
    </row>
    <row r="738" spans="1:3" x14ac:dyDescent="0.25">
      <c r="A738" t="str">
        <f>"12/06/2012"</f>
        <v>12/06/2012</v>
      </c>
      <c r="B738" t="str">
        <f>"42.863"</f>
        <v>42.863</v>
      </c>
      <c r="C738" t="str">
        <f>"42.971"</f>
        <v>42.971</v>
      </c>
    </row>
    <row r="739" spans="1:3" x14ac:dyDescent="0.25">
      <c r="A739" t="str">
        <f>"13/06/2012"</f>
        <v>13/06/2012</v>
      </c>
      <c r="B739" t="str">
        <f>"42.75"</f>
        <v>42.75</v>
      </c>
      <c r="C739" t="str">
        <f>"42.865"</f>
        <v>42.865</v>
      </c>
    </row>
    <row r="740" spans="1:3" x14ac:dyDescent="0.25">
      <c r="A740" t="str">
        <f>"14/06/2012"</f>
        <v>14/06/2012</v>
      </c>
      <c r="B740" t="str">
        <f>"42.61"</f>
        <v>42.61</v>
      </c>
      <c r="C740" t="str">
        <f>"42.725"</f>
        <v>42.725</v>
      </c>
    </row>
    <row r="741" spans="1:3" x14ac:dyDescent="0.25">
      <c r="A741" t="str">
        <f>"15/06/2012"</f>
        <v>15/06/2012</v>
      </c>
      <c r="B741" t="str">
        <f>"42.25"</f>
        <v>42.25</v>
      </c>
      <c r="C741" t="str">
        <f>"42.358"</f>
        <v>42.358</v>
      </c>
    </row>
    <row r="742" spans="1:3" x14ac:dyDescent="0.25">
      <c r="A742" t="str">
        <f>"18/06/2012"</f>
        <v>18/06/2012</v>
      </c>
      <c r="B742" t="str">
        <f>"42.16"</f>
        <v>42.16</v>
      </c>
      <c r="C742" t="str">
        <f>"42.275"</f>
        <v>42.275</v>
      </c>
    </row>
    <row r="743" spans="1:3" x14ac:dyDescent="0.25">
      <c r="A743" t="str">
        <f>"19/06/2012"</f>
        <v>19/06/2012</v>
      </c>
      <c r="B743" t="str">
        <f>"42.283"</f>
        <v>42.283</v>
      </c>
      <c r="C743" t="str">
        <f>"42.388"</f>
        <v>42.388</v>
      </c>
    </row>
    <row r="744" spans="1:3" x14ac:dyDescent="0.25">
      <c r="A744" t="str">
        <f>"20/06/2012"</f>
        <v>20/06/2012</v>
      </c>
      <c r="B744" t="str">
        <f>"42.12"</f>
        <v>42.12</v>
      </c>
      <c r="C744" t="str">
        <f>"42.235"</f>
        <v>42.235</v>
      </c>
    </row>
    <row r="745" spans="1:3" x14ac:dyDescent="0.25">
      <c r="A745" t="str">
        <f>"21/06/2012"</f>
        <v>21/06/2012</v>
      </c>
      <c r="B745" t="str">
        <f>"42.38"</f>
        <v>42.38</v>
      </c>
      <c r="C745" t="str">
        <f>"42.495"</f>
        <v>42.495</v>
      </c>
    </row>
    <row r="746" spans="1:3" x14ac:dyDescent="0.25">
      <c r="A746" t="str">
        <f>"22/06/2012"</f>
        <v>22/06/2012</v>
      </c>
      <c r="B746" t="str">
        <f>"42.53"</f>
        <v>42.53</v>
      </c>
      <c r="C746" t="str">
        <f>"42.642"</f>
        <v>42.642</v>
      </c>
    </row>
    <row r="747" spans="1:3" x14ac:dyDescent="0.25">
      <c r="A747" t="str">
        <f>"25/06/2012"</f>
        <v>25/06/2012</v>
      </c>
      <c r="B747" t="str">
        <f>"42.65"</f>
        <v>42.65</v>
      </c>
      <c r="C747" t="str">
        <f>"42.762"</f>
        <v>42.762</v>
      </c>
    </row>
    <row r="748" spans="1:3" x14ac:dyDescent="0.25">
      <c r="A748" t="str">
        <f>"26/06/2012"</f>
        <v>26/06/2012</v>
      </c>
      <c r="B748" t="str">
        <f>"42.53"</f>
        <v>42.53</v>
      </c>
      <c r="C748" t="str">
        <f>"42.641"</f>
        <v>42.641</v>
      </c>
    </row>
    <row r="749" spans="1:3" x14ac:dyDescent="0.25">
      <c r="A749" t="str">
        <f>"27/06/2012"</f>
        <v>27/06/2012</v>
      </c>
      <c r="B749" t="str">
        <f>"42.38"</f>
        <v>42.38</v>
      </c>
      <c r="C749" t="str">
        <f>"42.495"</f>
        <v>42.495</v>
      </c>
    </row>
    <row r="750" spans="1:3" x14ac:dyDescent="0.25">
      <c r="A750" t="str">
        <f>"28/06/2012"</f>
        <v>28/06/2012</v>
      </c>
      <c r="B750" t="str">
        <f>"42.26"</f>
        <v>42.26</v>
      </c>
      <c r="C750" t="str">
        <f>"42.368"</f>
        <v>42.368</v>
      </c>
    </row>
    <row r="751" spans="1:3" x14ac:dyDescent="0.25">
      <c r="A751" t="str">
        <f>"29/06/2012"</f>
        <v>29/06/2012</v>
      </c>
      <c r="B751" t="str">
        <f>"42.05"</f>
        <v>42.05</v>
      </c>
      <c r="C751" t="str">
        <f>"42.159"</f>
        <v>42.159</v>
      </c>
    </row>
    <row r="752" spans="1:3" x14ac:dyDescent="0.25">
      <c r="A752" t="str">
        <f>"02/07/2012"</f>
        <v>02/07/2012</v>
      </c>
      <c r="B752" t="str">
        <f>"41.895"</f>
        <v>41.895</v>
      </c>
      <c r="C752" t="str">
        <f>"42.008"</f>
        <v>42.008</v>
      </c>
    </row>
    <row r="753" spans="1:3" x14ac:dyDescent="0.25">
      <c r="A753" t="str">
        <f>"03/07/2012"</f>
        <v>03/07/2012</v>
      </c>
      <c r="B753" t="str">
        <f>"41.71"</f>
        <v>41.71</v>
      </c>
      <c r="C753" t="str">
        <f>"41.81"</f>
        <v>41.81</v>
      </c>
    </row>
    <row r="754" spans="1:3" x14ac:dyDescent="0.25">
      <c r="A754" t="str">
        <f>"04/07/2012"</f>
        <v>04/07/2012</v>
      </c>
      <c r="B754" t="str">
        <f>"41.78"</f>
        <v>41.78</v>
      </c>
      <c r="C754" t="str">
        <f>"41.88"</f>
        <v>41.88</v>
      </c>
    </row>
    <row r="755" spans="1:3" x14ac:dyDescent="0.25">
      <c r="A755" t="str">
        <f>"05/07/2012"</f>
        <v>05/07/2012</v>
      </c>
      <c r="B755" t="str">
        <f>"41.69"</f>
        <v>41.69</v>
      </c>
      <c r="C755" t="str">
        <f>"41.79"</f>
        <v>41.79</v>
      </c>
    </row>
    <row r="756" spans="1:3" x14ac:dyDescent="0.25">
      <c r="A756" t="str">
        <f>"06/07/2012"</f>
        <v>06/07/2012</v>
      </c>
      <c r="B756" t="str">
        <f>"41.80"</f>
        <v>41.80</v>
      </c>
      <c r="C756" t="str">
        <f>"41.90"</f>
        <v>41.90</v>
      </c>
    </row>
    <row r="757" spans="1:3" x14ac:dyDescent="0.25">
      <c r="A757" t="str">
        <f>"09/07/2012"</f>
        <v>09/07/2012</v>
      </c>
      <c r="B757" t="str">
        <f>"41.99"</f>
        <v>41.99</v>
      </c>
      <c r="C757" t="str">
        <f>"42.095"</f>
        <v>42.095</v>
      </c>
    </row>
    <row r="758" spans="1:3" x14ac:dyDescent="0.25">
      <c r="A758" t="str">
        <f>"10/07/2012"</f>
        <v>10/07/2012</v>
      </c>
      <c r="B758" t="str">
        <f>"41.83"</f>
        <v>41.83</v>
      </c>
      <c r="C758" t="str">
        <f>"41.923"</f>
        <v>41.923</v>
      </c>
    </row>
    <row r="759" spans="1:3" x14ac:dyDescent="0.25">
      <c r="A759" t="str">
        <f>"11/07/2012"</f>
        <v>11/07/2012</v>
      </c>
      <c r="B759" t="str">
        <f>"41.865"</f>
        <v>41.865</v>
      </c>
      <c r="C759" t="str">
        <f>"41.945"</f>
        <v>41.945</v>
      </c>
    </row>
    <row r="760" spans="1:3" x14ac:dyDescent="0.25">
      <c r="A760" t="str">
        <f>"12/07/2012"</f>
        <v>12/07/2012</v>
      </c>
      <c r="B760" t="str">
        <f>"41.94"</f>
        <v>41.94</v>
      </c>
      <c r="C760" t="str">
        <f>"42.015"</f>
        <v>42.015</v>
      </c>
    </row>
    <row r="761" spans="1:3" x14ac:dyDescent="0.25">
      <c r="A761" t="str">
        <f>"13/07/2012"</f>
        <v>13/07/2012</v>
      </c>
      <c r="B761" t="str">
        <f>"41.99"</f>
        <v>41.99</v>
      </c>
      <c r="C761" t="str">
        <f>"42.055"</f>
        <v>42.055</v>
      </c>
    </row>
    <row r="762" spans="1:3" x14ac:dyDescent="0.25">
      <c r="A762" t="str">
        <f>"16/07/2012"</f>
        <v>16/07/2012</v>
      </c>
      <c r="B762" t="str">
        <f>"41.875"</f>
        <v>41.875</v>
      </c>
      <c r="C762" t="str">
        <f>"41.928"</f>
        <v>41.928</v>
      </c>
    </row>
    <row r="763" spans="1:3" x14ac:dyDescent="0.25">
      <c r="A763" t="str">
        <f>"17/07/2012"</f>
        <v>17/07/2012</v>
      </c>
      <c r="B763" t="str">
        <f>"41.76"</f>
        <v>41.76</v>
      </c>
      <c r="C763" t="str">
        <f>"41.82"</f>
        <v>41.82</v>
      </c>
    </row>
    <row r="764" spans="1:3" x14ac:dyDescent="0.25">
      <c r="A764" t="str">
        <f>"18/07/2012"</f>
        <v>18/07/2012</v>
      </c>
      <c r="B764" t="str">
        <f>"41.68"</f>
        <v>41.68</v>
      </c>
      <c r="C764" t="str">
        <f>"41.765"</f>
        <v>41.765</v>
      </c>
    </row>
    <row r="765" spans="1:3" x14ac:dyDescent="0.25">
      <c r="A765" t="str">
        <f>"19/07/2012"</f>
        <v>19/07/2012</v>
      </c>
      <c r="B765" t="str">
        <f>"41.73"</f>
        <v>41.73</v>
      </c>
      <c r="C765" t="str">
        <f>"41.795"</f>
        <v>41.795</v>
      </c>
    </row>
    <row r="766" spans="1:3" x14ac:dyDescent="0.25">
      <c r="A766" t="str">
        <f>"20/07/2012"</f>
        <v>20/07/2012</v>
      </c>
      <c r="B766" t="str">
        <f>"41.925"</f>
        <v>41.925</v>
      </c>
      <c r="C766" t="str">
        <f>"41.995"</f>
        <v>41.995</v>
      </c>
    </row>
    <row r="767" spans="1:3" x14ac:dyDescent="0.25">
      <c r="A767" t="str">
        <f>"23/07/2012"</f>
        <v>23/07/2012</v>
      </c>
      <c r="B767" t="str">
        <f>"42.07"</f>
        <v>42.07</v>
      </c>
      <c r="C767" t="str">
        <f>"42.125"</f>
        <v>42.125</v>
      </c>
    </row>
    <row r="768" spans="1:3" x14ac:dyDescent="0.25">
      <c r="A768" t="str">
        <f>"24/07/2012"</f>
        <v>24/07/2012</v>
      </c>
      <c r="B768" t="str">
        <f>"42.04"</f>
        <v>42.04</v>
      </c>
      <c r="C768" t="str">
        <f>"42.08"</f>
        <v>42.08</v>
      </c>
    </row>
    <row r="769" spans="1:3" x14ac:dyDescent="0.25">
      <c r="A769" t="str">
        <f>"25/07/2012"</f>
        <v>25/07/2012</v>
      </c>
      <c r="B769" t="str">
        <f>"42.088"</f>
        <v>42.088</v>
      </c>
      <c r="C769" t="str">
        <f>"42.158"</f>
        <v>42.158</v>
      </c>
    </row>
    <row r="770" spans="1:3" x14ac:dyDescent="0.25">
      <c r="A770" t="str">
        <f>"26/07/2012"</f>
        <v>26/07/2012</v>
      </c>
      <c r="B770" t="str">
        <f>"42.115"</f>
        <v>42.115</v>
      </c>
      <c r="C770" t="str">
        <f>"42.18"</f>
        <v>42.18</v>
      </c>
    </row>
    <row r="771" spans="1:3" x14ac:dyDescent="0.25">
      <c r="A771" t="str">
        <f>"27/07/2012"</f>
        <v>27/07/2012</v>
      </c>
      <c r="B771" t="str">
        <f>"41.93"</f>
        <v>41.93</v>
      </c>
      <c r="C771" t="str">
        <f>"41.98"</f>
        <v>41.98</v>
      </c>
    </row>
    <row r="772" spans="1:3" x14ac:dyDescent="0.25">
      <c r="A772" t="str">
        <f>"30/07/2012"</f>
        <v>30/07/2012</v>
      </c>
      <c r="B772" t="str">
        <f>"41.91"</f>
        <v>41.91</v>
      </c>
      <c r="C772" t="str">
        <f>"41.95"</f>
        <v>41.95</v>
      </c>
    </row>
    <row r="773" spans="1:3" x14ac:dyDescent="0.25">
      <c r="A773" t="str">
        <f>"31/07/2012"</f>
        <v>31/07/2012</v>
      </c>
      <c r="B773" t="str">
        <f>"41.72"</f>
        <v>41.72</v>
      </c>
      <c r="C773" t="str">
        <f>"41.758"</f>
        <v>41.758</v>
      </c>
    </row>
    <row r="774" spans="1:3" x14ac:dyDescent="0.25">
      <c r="A774" t="str">
        <f>"01/08/2012"</f>
        <v>01/08/2012</v>
      </c>
      <c r="B774" t="str">
        <f>"41.77"</f>
        <v>41.77</v>
      </c>
      <c r="C774" t="str">
        <f>"41.80"</f>
        <v>41.80</v>
      </c>
    </row>
    <row r="775" spans="1:3" x14ac:dyDescent="0.25">
      <c r="A775" t="str">
        <f>"02/08/2012"</f>
        <v>02/08/2012</v>
      </c>
      <c r="B775" t="str">
        <f>"41.80"</f>
        <v>41.80</v>
      </c>
      <c r="C775" t="str">
        <f>"41.84"</f>
        <v>41.84</v>
      </c>
    </row>
    <row r="776" spans="1:3" x14ac:dyDescent="0.25">
      <c r="A776" t="str">
        <f>"03/08/2012"</f>
        <v>03/08/2012</v>
      </c>
      <c r="B776" t="str">
        <f>"41.785"</f>
        <v>41.785</v>
      </c>
      <c r="C776" t="str">
        <f>"41.835"</f>
        <v>41.835</v>
      </c>
    </row>
    <row r="777" spans="1:3" x14ac:dyDescent="0.25">
      <c r="A777" t="str">
        <f>"06/08/2012"</f>
        <v>06/08/2012</v>
      </c>
      <c r="B777" t="str">
        <f>"41.86"</f>
        <v>41.86</v>
      </c>
      <c r="C777" t="str">
        <f>"41.90"</f>
        <v>41.90</v>
      </c>
    </row>
    <row r="778" spans="1:3" x14ac:dyDescent="0.25">
      <c r="A778" t="str">
        <f>"07/08/2012"</f>
        <v>07/08/2012</v>
      </c>
      <c r="B778" t="str">
        <f>"41.77"</f>
        <v>41.77</v>
      </c>
      <c r="C778" t="str">
        <f>"41.80"</f>
        <v>41.80</v>
      </c>
    </row>
    <row r="779" spans="1:3" x14ac:dyDescent="0.25">
      <c r="A779" t="str">
        <f>"08/08/2012"</f>
        <v>08/08/2012</v>
      </c>
      <c r="B779" t="str">
        <f>"41.785"</f>
        <v>41.785</v>
      </c>
      <c r="C779" t="str">
        <f>"41.815"</f>
        <v>41.815</v>
      </c>
    </row>
    <row r="780" spans="1:3" x14ac:dyDescent="0.25">
      <c r="A780" t="str">
        <f>"09/08/2012"</f>
        <v>09/08/2012</v>
      </c>
      <c r="B780" t="str">
        <f>"41.78"</f>
        <v>41.78</v>
      </c>
      <c r="C780" t="str">
        <f>"41.798"</f>
        <v>41.798</v>
      </c>
    </row>
    <row r="781" spans="1:3" x14ac:dyDescent="0.25">
      <c r="A781" t="str">
        <f>"10/08/2012"</f>
        <v>10/08/2012</v>
      </c>
      <c r="B781" t="str">
        <f>"41.83"</f>
        <v>41.83</v>
      </c>
      <c r="C781" t="str">
        <f>"41.88"</f>
        <v>41.88</v>
      </c>
    </row>
    <row r="782" spans="1:3" x14ac:dyDescent="0.25">
      <c r="A782" t="str">
        <f>"13/08/2012"</f>
        <v>13/08/2012</v>
      </c>
      <c r="B782" t="str">
        <f>"41.93"</f>
        <v>41.93</v>
      </c>
      <c r="C782" t="str">
        <f>"41.975"</f>
        <v>41.975</v>
      </c>
    </row>
    <row r="783" spans="1:3" x14ac:dyDescent="0.25">
      <c r="A783" t="str">
        <f>"14/08/2012"</f>
        <v>14/08/2012</v>
      </c>
      <c r="B783" t="str">
        <f>"41.97"</f>
        <v>41.97</v>
      </c>
      <c r="C783" t="str">
        <f>"42.02"</f>
        <v>42.02</v>
      </c>
    </row>
    <row r="784" spans="1:3" x14ac:dyDescent="0.25">
      <c r="A784" t="str">
        <f>"16/08/2012"</f>
        <v>16/08/2012</v>
      </c>
      <c r="B784" t="str">
        <f>"42.35"</f>
        <v>42.35</v>
      </c>
      <c r="C784" t="str">
        <f>"42.378"</f>
        <v>42.378</v>
      </c>
    </row>
    <row r="785" spans="1:3" x14ac:dyDescent="0.25">
      <c r="A785" t="str">
        <f>"17/08/2012"</f>
        <v>17/08/2012</v>
      </c>
      <c r="B785" t="str">
        <f>"42.365"</f>
        <v>42.365</v>
      </c>
      <c r="C785" t="str">
        <f>"42.398"</f>
        <v>42.398</v>
      </c>
    </row>
    <row r="786" spans="1:3" x14ac:dyDescent="0.25">
      <c r="A786" t="str">
        <f>"21/08/2012"</f>
        <v>21/08/2012</v>
      </c>
      <c r="B786" t="str">
        <f>"42.32"</f>
        <v>42.32</v>
      </c>
      <c r="C786" t="str">
        <f>"42.355"</f>
        <v>42.355</v>
      </c>
    </row>
    <row r="787" spans="1:3" x14ac:dyDescent="0.25">
      <c r="A787" t="str">
        <f>"22/08/2012"</f>
        <v>22/08/2012</v>
      </c>
      <c r="B787" t="str">
        <f>"42.29"</f>
        <v>42.29</v>
      </c>
      <c r="C787" t="str">
        <f>"42.33"</f>
        <v>42.33</v>
      </c>
    </row>
    <row r="788" spans="1:3" x14ac:dyDescent="0.25">
      <c r="A788" t="str">
        <f>"23/08/2012"</f>
        <v>23/08/2012</v>
      </c>
      <c r="B788" t="str">
        <f>"42.135"</f>
        <v>42.135</v>
      </c>
      <c r="C788" t="str">
        <f>"42.162"</f>
        <v>42.162</v>
      </c>
    </row>
    <row r="789" spans="1:3" x14ac:dyDescent="0.25">
      <c r="A789" t="str">
        <f>"24/08/2012"</f>
        <v>24/08/2012</v>
      </c>
      <c r="B789" t="str">
        <f>"42.24"</f>
        <v>42.24</v>
      </c>
      <c r="C789" t="str">
        <f>"42.28"</f>
        <v>42.28</v>
      </c>
    </row>
    <row r="790" spans="1:3" x14ac:dyDescent="0.25">
      <c r="A790" t="str">
        <f>"27/08/2012"</f>
        <v>27/08/2012</v>
      </c>
      <c r="B790" t="str">
        <f>"42.25"</f>
        <v>42.25</v>
      </c>
      <c r="C790" t="str">
        <f>"42.284"</f>
        <v>42.284</v>
      </c>
    </row>
    <row r="791" spans="1:3" x14ac:dyDescent="0.25">
      <c r="A791" t="str">
        <f>"28/08/2012"</f>
        <v>28/08/2012</v>
      </c>
      <c r="B791" t="str">
        <f>"42.31"</f>
        <v>42.31</v>
      </c>
      <c r="C791" t="str">
        <f>"42.347"</f>
        <v>42.347</v>
      </c>
    </row>
    <row r="792" spans="1:3" x14ac:dyDescent="0.25">
      <c r="A792" t="str">
        <f>"29/08/2012"</f>
        <v>29/08/2012</v>
      </c>
      <c r="B792" t="str">
        <f>"42.34"</f>
        <v>42.34</v>
      </c>
      <c r="C792" t="str">
        <f>"42.385"</f>
        <v>42.385</v>
      </c>
    </row>
    <row r="793" spans="1:3" x14ac:dyDescent="0.25">
      <c r="A793" t="str">
        <f>"30/08/2012"</f>
        <v>30/08/2012</v>
      </c>
      <c r="B793" t="str">
        <f>"42.30"</f>
        <v>42.30</v>
      </c>
      <c r="C793" t="str">
        <f>"42.345"</f>
        <v>42.345</v>
      </c>
    </row>
    <row r="794" spans="1:3" x14ac:dyDescent="0.25">
      <c r="A794" t="str">
        <f>"31/08/2012"</f>
        <v>31/08/2012</v>
      </c>
      <c r="B794" t="str">
        <f>"42.125"</f>
        <v>42.125</v>
      </c>
      <c r="C794" t="str">
        <f>"42.1745"</f>
        <v>42.1745</v>
      </c>
    </row>
    <row r="795" spans="1:3" x14ac:dyDescent="0.25">
      <c r="A795" t="str">
        <f>"03/09/2012"</f>
        <v>03/09/2012</v>
      </c>
      <c r="B795" t="str">
        <f>"41.98"</f>
        <v>41.98</v>
      </c>
      <c r="C795" t="str">
        <f>"42.0255"</f>
        <v>42.0255</v>
      </c>
    </row>
    <row r="796" spans="1:3" x14ac:dyDescent="0.25">
      <c r="A796" t="str">
        <f>"04/09/2012"</f>
        <v>04/09/2012</v>
      </c>
      <c r="B796" t="str">
        <f>"41.90"</f>
        <v>41.90</v>
      </c>
      <c r="C796" t="str">
        <f>"41.935"</f>
        <v>41.935</v>
      </c>
    </row>
    <row r="797" spans="1:3" x14ac:dyDescent="0.25">
      <c r="A797" t="str">
        <f>"05/09/2012"</f>
        <v>05/09/2012</v>
      </c>
      <c r="B797" t="str">
        <f>"41.98"</f>
        <v>41.98</v>
      </c>
      <c r="C797" t="str">
        <f>"42.025"</f>
        <v>42.025</v>
      </c>
    </row>
    <row r="798" spans="1:3" x14ac:dyDescent="0.25">
      <c r="A798" t="str">
        <f>"06/09/2012"</f>
        <v>06/09/2012</v>
      </c>
      <c r="B798" t="str">
        <f>"41.824"</f>
        <v>41.824</v>
      </c>
      <c r="C798" t="str">
        <f>"41.859"</f>
        <v>41.859</v>
      </c>
    </row>
    <row r="799" spans="1:3" x14ac:dyDescent="0.25">
      <c r="A799" t="str">
        <f>"07/09/2012"</f>
        <v>07/09/2012</v>
      </c>
      <c r="B799" t="str">
        <f>"41.68"</f>
        <v>41.68</v>
      </c>
      <c r="C799" t="str">
        <f>"41.713"</f>
        <v>41.713</v>
      </c>
    </row>
    <row r="800" spans="1:3" x14ac:dyDescent="0.25">
      <c r="A800" t="str">
        <f>"10/09/2012"</f>
        <v>10/09/2012</v>
      </c>
      <c r="B800" t="str">
        <f>"41.60"</f>
        <v>41.60</v>
      </c>
      <c r="C800" t="str">
        <f>"41.64"</f>
        <v>41.64</v>
      </c>
    </row>
    <row r="801" spans="1:3" x14ac:dyDescent="0.25">
      <c r="A801" t="str">
        <f>"11/09/2012"</f>
        <v>11/09/2012</v>
      </c>
      <c r="B801" t="str">
        <f>"41.63"</f>
        <v>41.63</v>
      </c>
      <c r="C801" t="str">
        <f>"41.655"</f>
        <v>41.655</v>
      </c>
    </row>
    <row r="802" spans="1:3" x14ac:dyDescent="0.25">
      <c r="A802" t="str">
        <f>"12/09/2012"</f>
        <v>12/09/2012</v>
      </c>
      <c r="B802" t="str">
        <f>"41.46"</f>
        <v>41.46</v>
      </c>
      <c r="C802" t="str">
        <f>"41.485"</f>
        <v>41.485</v>
      </c>
    </row>
    <row r="803" spans="1:3" x14ac:dyDescent="0.25">
      <c r="A803" t="str">
        <f>"13/09/2012"</f>
        <v>13/09/2012</v>
      </c>
      <c r="B803" t="str">
        <f>"41.73"</f>
        <v>41.73</v>
      </c>
      <c r="C803" t="str">
        <f>"41.759"</f>
        <v>41.759</v>
      </c>
    </row>
    <row r="804" spans="1:3" x14ac:dyDescent="0.25">
      <c r="A804" t="str">
        <f>"14/09/2012"</f>
        <v>14/09/2012</v>
      </c>
      <c r="B804" t="str">
        <f>"41.38"</f>
        <v>41.38</v>
      </c>
      <c r="C804" t="str">
        <f>"41.415"</f>
        <v>41.415</v>
      </c>
    </row>
    <row r="805" spans="1:3" x14ac:dyDescent="0.25">
      <c r="A805" t="str">
        <f>"17/09/2012"</f>
        <v>17/09/2012</v>
      </c>
      <c r="B805" t="str">
        <f>"41.49"</f>
        <v>41.49</v>
      </c>
      <c r="C805" t="str">
        <f>"41.494"</f>
        <v>41.494</v>
      </c>
    </row>
    <row r="806" spans="1:3" x14ac:dyDescent="0.25">
      <c r="A806" t="str">
        <f>"18/09/2012"</f>
        <v>18/09/2012</v>
      </c>
      <c r="B806" t="str">
        <f>"41.77"</f>
        <v>41.77</v>
      </c>
      <c r="C806" t="str">
        <f>"41.78"</f>
        <v>41.78</v>
      </c>
    </row>
    <row r="807" spans="1:3" x14ac:dyDescent="0.25">
      <c r="A807" t="str">
        <f>"20/09/2012"</f>
        <v>20/09/2012</v>
      </c>
      <c r="B807" t="str">
        <f>"41.70"</f>
        <v>41.70</v>
      </c>
      <c r="C807" t="str">
        <f>"41.74"</f>
        <v>41.74</v>
      </c>
    </row>
    <row r="808" spans="1:3" x14ac:dyDescent="0.25">
      <c r="A808" t="str">
        <f>"21/09/2012"</f>
        <v>21/09/2012</v>
      </c>
      <c r="B808" t="str">
        <f>"41.64"</f>
        <v>41.64</v>
      </c>
      <c r="C808" t="str">
        <f>"41.68"</f>
        <v>41.68</v>
      </c>
    </row>
    <row r="809" spans="1:3" x14ac:dyDescent="0.25">
      <c r="A809" t="str">
        <f>"24/09/2012"</f>
        <v>24/09/2012</v>
      </c>
      <c r="B809" t="str">
        <f>"41.81"</f>
        <v>41.81</v>
      </c>
      <c r="C809" t="str">
        <f>"41.858"</f>
        <v>41.858</v>
      </c>
    </row>
    <row r="810" spans="1:3" x14ac:dyDescent="0.25">
      <c r="A810" t="str">
        <f>"25/09/2012"</f>
        <v>25/09/2012</v>
      </c>
      <c r="B810" t="str">
        <f>"41.78"</f>
        <v>41.78</v>
      </c>
      <c r="C810" t="str">
        <f>"41.825"</f>
        <v>41.825</v>
      </c>
    </row>
    <row r="811" spans="1:3" x14ac:dyDescent="0.25">
      <c r="A811" t="str">
        <f>"26/09/2012"</f>
        <v>26/09/2012</v>
      </c>
      <c r="B811" t="str">
        <f>"42.00"</f>
        <v>42.00</v>
      </c>
      <c r="C811" t="str">
        <f>"42.045"</f>
        <v>42.045</v>
      </c>
    </row>
    <row r="812" spans="1:3" x14ac:dyDescent="0.25">
      <c r="A812" t="str">
        <f>"27/09/2012"</f>
        <v>27/09/2012</v>
      </c>
      <c r="B812" t="str">
        <f>"41.90"</f>
        <v>41.90</v>
      </c>
      <c r="C812" t="str">
        <f>"41.94"</f>
        <v>41.94</v>
      </c>
    </row>
    <row r="813" spans="1:3" x14ac:dyDescent="0.25">
      <c r="A813" t="str">
        <f>"28/09/2012"</f>
        <v>28/09/2012</v>
      </c>
      <c r="B813" t="str">
        <f>"41.76"</f>
        <v>41.76</v>
      </c>
      <c r="C813" t="str">
        <f>"41.797"</f>
        <v>41.797</v>
      </c>
    </row>
    <row r="814" spans="1:3" x14ac:dyDescent="0.25">
      <c r="A814" t="str">
        <f>"01/10/2012"</f>
        <v>01/10/2012</v>
      </c>
      <c r="B814" t="str">
        <f>"41.75"</f>
        <v>41.75</v>
      </c>
      <c r="C814" t="str">
        <f>"41.793"</f>
        <v>41.793</v>
      </c>
    </row>
    <row r="815" spans="1:3" x14ac:dyDescent="0.25">
      <c r="A815" t="str">
        <f>"03/10/2012"</f>
        <v>03/10/2012</v>
      </c>
      <c r="B815" t="str">
        <f>"41.61"</f>
        <v>41.61</v>
      </c>
      <c r="C815" t="str">
        <f>"41.643"</f>
        <v>41.643</v>
      </c>
    </row>
    <row r="816" spans="1:3" x14ac:dyDescent="0.25">
      <c r="A816" t="str">
        <f>"04/10/2012"</f>
        <v>04/10/2012</v>
      </c>
      <c r="B816" t="str">
        <f>"41.50"</f>
        <v>41.50</v>
      </c>
      <c r="C816" t="str">
        <f>"41.538"</f>
        <v>41.538</v>
      </c>
    </row>
    <row r="817" spans="1:3" x14ac:dyDescent="0.25">
      <c r="A817" t="str">
        <f>"05/10/2012"</f>
        <v>05/10/2012</v>
      </c>
      <c r="B817" t="str">
        <f>"41.438"</f>
        <v>41.438</v>
      </c>
      <c r="C817" t="str">
        <f>"41.476"</f>
        <v>41.476</v>
      </c>
    </row>
    <row r="818" spans="1:3" x14ac:dyDescent="0.25">
      <c r="A818" t="str">
        <f>"08/10/2012"</f>
        <v>08/10/2012</v>
      </c>
      <c r="B818" t="str">
        <f>"41.48"</f>
        <v>41.48</v>
      </c>
      <c r="C818" t="str">
        <f>"41.515"</f>
        <v>41.515</v>
      </c>
    </row>
    <row r="819" spans="1:3" x14ac:dyDescent="0.25">
      <c r="A819" t="str">
        <f>"09/10/2012"</f>
        <v>09/10/2012</v>
      </c>
      <c r="B819" t="str">
        <f>"41.443"</f>
        <v>41.443</v>
      </c>
      <c r="C819" t="str">
        <f>"41.48"</f>
        <v>41.48</v>
      </c>
    </row>
    <row r="820" spans="1:3" x14ac:dyDescent="0.25">
      <c r="A820" t="str">
        <f>"10/10/2012"</f>
        <v>10/10/2012</v>
      </c>
      <c r="B820" t="str">
        <f>"41.61"</f>
        <v>41.61</v>
      </c>
      <c r="C820" t="str">
        <f>"41.645"</f>
        <v>41.645</v>
      </c>
    </row>
    <row r="821" spans="1:3" x14ac:dyDescent="0.25">
      <c r="A821" t="str">
        <f>"11/10/2012"</f>
        <v>11/10/2012</v>
      </c>
      <c r="B821" t="str">
        <f>"41.50"</f>
        <v>41.50</v>
      </c>
      <c r="C821" t="str">
        <f>"41.538"</f>
        <v>41.538</v>
      </c>
    </row>
    <row r="822" spans="1:3" x14ac:dyDescent="0.25">
      <c r="A822" t="str">
        <f>"12/10/2012"</f>
        <v>12/10/2012</v>
      </c>
      <c r="B822" t="str">
        <f>"41.51"</f>
        <v>41.51</v>
      </c>
      <c r="C822" t="str">
        <f>"41.54"</f>
        <v>41.54</v>
      </c>
    </row>
    <row r="823" spans="1:3" x14ac:dyDescent="0.25">
      <c r="A823" t="str">
        <f>"15/10/2012"</f>
        <v>15/10/2012</v>
      </c>
      <c r="B823" t="str">
        <f>"41.46"</f>
        <v>41.46</v>
      </c>
      <c r="C823" t="str">
        <f>"41.488"</f>
        <v>41.488</v>
      </c>
    </row>
    <row r="824" spans="1:3" x14ac:dyDescent="0.25">
      <c r="A824" t="str">
        <f>"16/10/2012"</f>
        <v>16/10/2012</v>
      </c>
      <c r="B824" t="str">
        <f>"41.375"</f>
        <v>41.375</v>
      </c>
      <c r="C824" t="str">
        <f>"41.402"</f>
        <v>41.402</v>
      </c>
    </row>
    <row r="825" spans="1:3" x14ac:dyDescent="0.25">
      <c r="A825" t="str">
        <f>"17/10/2012"</f>
        <v>17/10/2012</v>
      </c>
      <c r="B825" t="str">
        <f>"41.225"</f>
        <v>41.225</v>
      </c>
      <c r="C825" t="str">
        <f>"41.24"</f>
        <v>41.24</v>
      </c>
    </row>
    <row r="826" spans="1:3" x14ac:dyDescent="0.25">
      <c r="A826" t="str">
        <f>"18/10/2012"</f>
        <v>18/10/2012</v>
      </c>
      <c r="B826" t="str">
        <f>"41.31"</f>
        <v>41.31</v>
      </c>
      <c r="C826" t="str">
        <f>"41.315"</f>
        <v>41.315</v>
      </c>
    </row>
    <row r="827" spans="1:3" x14ac:dyDescent="0.25">
      <c r="A827" t="str">
        <f>"19/10/2012"</f>
        <v>19/10/2012</v>
      </c>
      <c r="B827" t="str">
        <f>"41.40"</f>
        <v>41.40</v>
      </c>
      <c r="C827" t="str">
        <f>"41.415"</f>
        <v>41.415</v>
      </c>
    </row>
    <row r="828" spans="1:3" x14ac:dyDescent="0.25">
      <c r="A828" t="str">
        <f>"22/10/2012"</f>
        <v>22/10/2012</v>
      </c>
      <c r="B828" t="str">
        <f>"41.32"</f>
        <v>41.32</v>
      </c>
      <c r="C828" t="str">
        <f>"41.3418"</f>
        <v>41.3418</v>
      </c>
    </row>
    <row r="829" spans="1:3" x14ac:dyDescent="0.25">
      <c r="A829" t="str">
        <f>"23/10/2012"</f>
        <v>23/10/2012</v>
      </c>
      <c r="B829" t="str">
        <f>"41.31"</f>
        <v>41.31</v>
      </c>
      <c r="C829" t="str">
        <f>"41.325"</f>
        <v>41.325</v>
      </c>
    </row>
    <row r="830" spans="1:3" x14ac:dyDescent="0.25">
      <c r="A830" t="str">
        <f>"25/10/2012"</f>
        <v>25/10/2012</v>
      </c>
      <c r="B830" t="str">
        <f>"41.342"</f>
        <v>41.342</v>
      </c>
      <c r="C830" t="str">
        <f>"41.365"</f>
        <v>41.365</v>
      </c>
    </row>
    <row r="831" spans="1:3" x14ac:dyDescent="0.25">
      <c r="A831" t="str">
        <f>"26/10/2012"</f>
        <v>26/10/2012</v>
      </c>
      <c r="B831" t="str">
        <f>"41.33"</f>
        <v>41.33</v>
      </c>
      <c r="C831" t="str">
        <f>"41.355"</f>
        <v>41.355</v>
      </c>
    </row>
    <row r="832" spans="1:3" x14ac:dyDescent="0.25">
      <c r="A832" t="str">
        <f>"29/10/2012"</f>
        <v>29/10/2012</v>
      </c>
      <c r="B832" t="str">
        <f>"41.19"</f>
        <v>41.19</v>
      </c>
      <c r="C832" t="str">
        <f>"41.215"</f>
        <v>41.215</v>
      </c>
    </row>
    <row r="833" spans="1:3" x14ac:dyDescent="0.25">
      <c r="A833" t="str">
        <f>"30/10/2012"</f>
        <v>30/10/2012</v>
      </c>
      <c r="B833" t="str">
        <f>"41.195"</f>
        <v>41.195</v>
      </c>
      <c r="C833" t="str">
        <f>"41.216"</f>
        <v>41.216</v>
      </c>
    </row>
    <row r="834" spans="1:3" x14ac:dyDescent="0.25">
      <c r="A834" t="str">
        <f>"31/10/2012"</f>
        <v>31/10/2012</v>
      </c>
      <c r="B834" t="str">
        <f>"41.26"</f>
        <v>41.26</v>
      </c>
      <c r="C834" t="str">
        <f>"41.285"</f>
        <v>41.285</v>
      </c>
    </row>
    <row r="835" spans="1:3" x14ac:dyDescent="0.25">
      <c r="A835" t="str">
        <f>"01/11/2012"</f>
        <v>01/11/2012</v>
      </c>
      <c r="B835" t="str">
        <f>"41.20"</f>
        <v>41.20</v>
      </c>
      <c r="C835" t="str">
        <f>"41.218"</f>
        <v>41.218</v>
      </c>
    </row>
    <row r="836" spans="1:3" x14ac:dyDescent="0.25">
      <c r="A836" t="str">
        <f>"02/11/2012"</f>
        <v>02/11/2012</v>
      </c>
      <c r="B836" t="str">
        <f>"41.21"</f>
        <v>41.21</v>
      </c>
      <c r="C836" t="str">
        <f>"41.228"</f>
        <v>41.228</v>
      </c>
    </row>
    <row r="837" spans="1:3" x14ac:dyDescent="0.25">
      <c r="A837" t="str">
        <f>"05/11/2012"</f>
        <v>05/11/2012</v>
      </c>
      <c r="B837" t="str">
        <f>"41.25"</f>
        <v>41.25</v>
      </c>
      <c r="C837" t="str">
        <f>"41.282"</f>
        <v>41.282</v>
      </c>
    </row>
    <row r="838" spans="1:3" x14ac:dyDescent="0.25">
      <c r="A838" t="str">
        <f>"06/11/2012"</f>
        <v>06/11/2012</v>
      </c>
      <c r="B838" t="str">
        <f>"41.24"</f>
        <v>41.24</v>
      </c>
      <c r="C838" t="str">
        <f>"41.28"</f>
        <v>41.28</v>
      </c>
    </row>
    <row r="839" spans="1:3" x14ac:dyDescent="0.25">
      <c r="A839" t="str">
        <f>"07/11/2012"</f>
        <v>07/11/2012</v>
      </c>
      <c r="B839" t="str">
        <f>"41.16"</f>
        <v>41.16</v>
      </c>
      <c r="C839" t="str">
        <f>"41.197"</f>
        <v>41.197</v>
      </c>
    </row>
    <row r="840" spans="1:3" x14ac:dyDescent="0.25">
      <c r="A840" t="str">
        <f>"08/11/2012"</f>
        <v>08/11/2012</v>
      </c>
      <c r="B840" t="str">
        <f>"41.10"</f>
        <v>41.10</v>
      </c>
      <c r="C840" t="str">
        <f>"41.115"</f>
        <v>41.115</v>
      </c>
    </row>
    <row r="841" spans="1:3" x14ac:dyDescent="0.25">
      <c r="A841" t="str">
        <f>"09/11/2012"</f>
        <v>09/11/2012</v>
      </c>
      <c r="B841" t="str">
        <f>"41.08"</f>
        <v>41.08</v>
      </c>
      <c r="C841" t="str">
        <f>"41.095"</f>
        <v>41.095</v>
      </c>
    </row>
    <row r="842" spans="1:3" x14ac:dyDescent="0.25">
      <c r="A842" t="str">
        <f>"12/11/2012"</f>
        <v>12/11/2012</v>
      </c>
      <c r="B842" t="str">
        <f>"41.10"</f>
        <v>41.10</v>
      </c>
      <c r="C842" t="str">
        <f>"41.113"</f>
        <v>41.113</v>
      </c>
    </row>
    <row r="843" spans="1:3" x14ac:dyDescent="0.25">
      <c r="A843" t="str">
        <f>"15/11/2012"</f>
        <v>15/11/2012</v>
      </c>
      <c r="B843" t="str">
        <f>"41.285"</f>
        <v>41.285</v>
      </c>
      <c r="C843" t="str">
        <f>"41.315"</f>
        <v>41.315</v>
      </c>
    </row>
    <row r="844" spans="1:3" x14ac:dyDescent="0.25">
      <c r="A844" t="str">
        <f>"16/11/2012"</f>
        <v>16/11/2012</v>
      </c>
      <c r="B844" t="str">
        <f>"41.32"</f>
        <v>41.32</v>
      </c>
      <c r="C844" t="str">
        <f>"41.359"</f>
        <v>41.359</v>
      </c>
    </row>
    <row r="845" spans="1:3" x14ac:dyDescent="0.25">
      <c r="A845" t="str">
        <f>"19/11/2012"</f>
        <v>19/11/2012</v>
      </c>
      <c r="B845" t="str">
        <f>"41.18"</f>
        <v>41.18</v>
      </c>
      <c r="C845" t="str">
        <f>"41.212"</f>
        <v>41.212</v>
      </c>
    </row>
    <row r="846" spans="1:3" x14ac:dyDescent="0.25">
      <c r="A846" t="str">
        <f>"20/11/2012"</f>
        <v>20/11/2012</v>
      </c>
      <c r="B846" t="str">
        <f>"41.13"</f>
        <v>41.13</v>
      </c>
      <c r="C846" t="str">
        <f>"41.16"</f>
        <v>41.16</v>
      </c>
    </row>
    <row r="847" spans="1:3" x14ac:dyDescent="0.25">
      <c r="A847" t="str">
        <f>"21/11/2012"</f>
        <v>21/11/2012</v>
      </c>
      <c r="B847" t="str">
        <f>"41.21"</f>
        <v>41.21</v>
      </c>
      <c r="C847" t="str">
        <f>"41.235"</f>
        <v>41.235</v>
      </c>
    </row>
    <row r="848" spans="1:3" x14ac:dyDescent="0.25">
      <c r="A848" t="str">
        <f>"22/11/2012"</f>
        <v>22/11/2012</v>
      </c>
      <c r="B848" t="str">
        <f>"41.08"</f>
        <v>41.08</v>
      </c>
      <c r="C848" t="str">
        <f>"41.109"</f>
        <v>41.109</v>
      </c>
    </row>
    <row r="849" spans="1:3" x14ac:dyDescent="0.25">
      <c r="A849" t="str">
        <f>"23/11/2012"</f>
        <v>23/11/2012</v>
      </c>
      <c r="B849" t="str">
        <f>"41.08"</f>
        <v>41.08</v>
      </c>
      <c r="C849" t="str">
        <f>"41.108"</f>
        <v>41.108</v>
      </c>
    </row>
    <row r="850" spans="1:3" x14ac:dyDescent="0.25">
      <c r="A850" t="str">
        <f>"26/11/2012"</f>
        <v>26/11/2012</v>
      </c>
      <c r="B850" t="str">
        <f>"41.01"</f>
        <v>41.01</v>
      </c>
      <c r="C850" t="str">
        <f>"41.02"</f>
        <v>41.02</v>
      </c>
    </row>
    <row r="851" spans="1:3" x14ac:dyDescent="0.25">
      <c r="A851" t="str">
        <f>"27/11/2012"</f>
        <v>27/11/2012</v>
      </c>
      <c r="B851" t="str">
        <f>"40.93"</f>
        <v>40.93</v>
      </c>
      <c r="C851" t="str">
        <f>"40.931"</f>
        <v>40.931</v>
      </c>
    </row>
    <row r="852" spans="1:3" x14ac:dyDescent="0.25">
      <c r="A852" t="str">
        <f>"29/11/2012"</f>
        <v>29/11/2012</v>
      </c>
      <c r="B852" t="str">
        <f>"40.92"</f>
        <v>40.92</v>
      </c>
      <c r="C852" t="str">
        <f>"40.91"</f>
        <v>40.91</v>
      </c>
    </row>
    <row r="853" spans="1:3" x14ac:dyDescent="0.25">
      <c r="A853" t="str">
        <f>"30/11/2012"</f>
        <v>30/11/2012</v>
      </c>
      <c r="B853" t="str">
        <f>"40.875"</f>
        <v>40.875</v>
      </c>
      <c r="C853" t="str">
        <f>"40.86"</f>
        <v>40.86</v>
      </c>
    </row>
    <row r="854" spans="1:3" x14ac:dyDescent="0.25">
      <c r="A854" t="str">
        <f>"03/12/2012"</f>
        <v>03/12/2012</v>
      </c>
      <c r="B854" t="str">
        <f>"40.85"</f>
        <v>40.85</v>
      </c>
      <c r="C854" t="str">
        <f>"40.833"</f>
        <v>40.833</v>
      </c>
    </row>
    <row r="855" spans="1:3" x14ac:dyDescent="0.25">
      <c r="A855" t="str">
        <f>"04/12/2012"</f>
        <v>04/12/2012</v>
      </c>
      <c r="B855" t="str">
        <f>"40.97"</f>
        <v>40.97</v>
      </c>
      <c r="C855" t="str">
        <f>"40.977"</f>
        <v>40.977</v>
      </c>
    </row>
    <row r="856" spans="1:3" x14ac:dyDescent="0.25">
      <c r="A856" t="str">
        <f>"05/12/2012"</f>
        <v>05/12/2012</v>
      </c>
      <c r="B856" t="str">
        <f>"40.87"</f>
        <v>40.87</v>
      </c>
      <c r="C856" t="str">
        <f>"40.876"</f>
        <v>40.876</v>
      </c>
    </row>
    <row r="857" spans="1:3" x14ac:dyDescent="0.25">
      <c r="A857" t="str">
        <f>"06/12/2012"</f>
        <v>06/12/2012</v>
      </c>
      <c r="B857" t="str">
        <f>"40.94"</f>
        <v>40.94</v>
      </c>
      <c r="C857" t="str">
        <f>"40.958"</f>
        <v>40.958</v>
      </c>
    </row>
    <row r="858" spans="1:3" x14ac:dyDescent="0.25">
      <c r="A858" t="str">
        <f>"07/12/2012"</f>
        <v>07/12/2012</v>
      </c>
      <c r="B858" t="str">
        <f>"40.94"</f>
        <v>40.94</v>
      </c>
      <c r="C858" t="str">
        <f>"40.97"</f>
        <v>40.97</v>
      </c>
    </row>
    <row r="859" spans="1:3" x14ac:dyDescent="0.25">
      <c r="A859" t="str">
        <f>"10/12/2012"</f>
        <v>10/12/2012</v>
      </c>
      <c r="B859" t="str">
        <f>"40.96"</f>
        <v>40.96</v>
      </c>
      <c r="C859" t="str">
        <f>"40.961"</f>
        <v>40.961</v>
      </c>
    </row>
    <row r="860" spans="1:3" x14ac:dyDescent="0.25">
      <c r="A860" t="str">
        <f>"11/12/2012"</f>
        <v>11/12/2012</v>
      </c>
      <c r="B860" t="str">
        <f>"40.945"</f>
        <v>40.945</v>
      </c>
      <c r="C860" t="str">
        <f>"40.935"</f>
        <v>40.935</v>
      </c>
    </row>
    <row r="861" spans="1:3" x14ac:dyDescent="0.25">
      <c r="A861" t="str">
        <f>"12/12/2012"</f>
        <v>12/12/2012</v>
      </c>
      <c r="B861" t="str">
        <f>"41.01"</f>
        <v>41.01</v>
      </c>
      <c r="C861" t="str">
        <f>"41.002"</f>
        <v>41.002</v>
      </c>
    </row>
    <row r="862" spans="1:3" x14ac:dyDescent="0.25">
      <c r="A862" t="str">
        <f>"13/12/2012"</f>
        <v>13/12/2012</v>
      </c>
      <c r="B862" t="str">
        <f>"41.04"</f>
        <v>41.04</v>
      </c>
      <c r="C862" t="str">
        <f>"41.031"</f>
        <v>41.031</v>
      </c>
    </row>
    <row r="863" spans="1:3" x14ac:dyDescent="0.25">
      <c r="A863" t="str">
        <f>"14/12/2012"</f>
        <v>14/12/2012</v>
      </c>
      <c r="B863" t="str">
        <f>"41.105"</f>
        <v>41.105</v>
      </c>
      <c r="C863" t="str">
        <f>"41.11"</f>
        <v>41.11</v>
      </c>
    </row>
    <row r="864" spans="1:3" x14ac:dyDescent="0.25">
      <c r="A864" t="str">
        <f>"17/12/2012"</f>
        <v>17/12/2012</v>
      </c>
      <c r="B864" t="str">
        <f>"41.05"</f>
        <v>41.05</v>
      </c>
      <c r="C864" t="str">
        <f>"41.057"</f>
        <v>41.057</v>
      </c>
    </row>
    <row r="865" spans="1:3" x14ac:dyDescent="0.25">
      <c r="A865" t="str">
        <f>"18/12/2012"</f>
        <v>18/12/2012</v>
      </c>
      <c r="B865" t="str">
        <f>"41.05"</f>
        <v>41.05</v>
      </c>
      <c r="C865" t="str">
        <f>"41.07"</f>
        <v>41.07</v>
      </c>
    </row>
    <row r="866" spans="1:3" x14ac:dyDescent="0.25">
      <c r="A866" t="str">
        <f>"19/12/2012"</f>
        <v>19/12/2012</v>
      </c>
      <c r="B866" t="str">
        <f>"41.07"</f>
        <v>41.07</v>
      </c>
      <c r="C866" t="str">
        <f>"41.087"</f>
        <v>41.087</v>
      </c>
    </row>
    <row r="867" spans="1:3" x14ac:dyDescent="0.25">
      <c r="A867" t="str">
        <f>"20/12/2012"</f>
        <v>20/12/2012</v>
      </c>
      <c r="B867" t="str">
        <f>"41.055"</f>
        <v>41.055</v>
      </c>
      <c r="C867" t="str">
        <f>"41.07"</f>
        <v>41.07</v>
      </c>
    </row>
    <row r="868" spans="1:3" x14ac:dyDescent="0.25">
      <c r="A868" t="str">
        <f>"21/12/2012"</f>
        <v>21/12/2012</v>
      </c>
      <c r="B868" t="str">
        <f>"41.11"</f>
        <v>41.11</v>
      </c>
      <c r="C868" t="str">
        <f>"41.10"</f>
        <v>41.10</v>
      </c>
    </row>
    <row r="869" spans="1:3" x14ac:dyDescent="0.25">
      <c r="A869" t="str">
        <f>"24/12/2012"</f>
        <v>24/12/2012</v>
      </c>
      <c r="B869" t="str">
        <f>"41.14"</f>
        <v>41.14</v>
      </c>
      <c r="C869" t="str">
        <f>"41.12"</f>
        <v>41.12</v>
      </c>
    </row>
    <row r="870" spans="1:3" x14ac:dyDescent="0.25">
      <c r="A870" t="str">
        <f>"26/12/2012"</f>
        <v>26/12/2012</v>
      </c>
      <c r="B870" t="str">
        <f>"41.16"</f>
        <v>41.16</v>
      </c>
      <c r="C870" t="str">
        <f>"41.14"</f>
        <v>41.14</v>
      </c>
    </row>
    <row r="871" spans="1:3" x14ac:dyDescent="0.25">
      <c r="A871" t="str">
        <f>"27/12/2012"</f>
        <v>27/12/2012</v>
      </c>
      <c r="B871" t="str">
        <f>"41.21"</f>
        <v>41.21</v>
      </c>
      <c r="C871" t="str">
        <f>"41.227"</f>
        <v>41.227</v>
      </c>
    </row>
    <row r="872" spans="1:3" x14ac:dyDescent="0.25">
      <c r="A872" t="str">
        <f>"28/12/2012"</f>
        <v>28/12/2012</v>
      </c>
      <c r="B872" t="str">
        <f>"41.41"</f>
        <v>41.41</v>
      </c>
      <c r="C872" t="str">
        <f>"41.44"</f>
        <v>41.44</v>
      </c>
    </row>
    <row r="873" spans="1:3" x14ac:dyDescent="0.25">
      <c r="A873" t="str">
        <f>"31/12/2012"</f>
        <v>31/12/2012</v>
      </c>
      <c r="B873" t="str">
        <f>"41.02"</f>
        <v>41.02</v>
      </c>
      <c r="C873" t="str">
        <f>"40.99"</f>
        <v>40.99</v>
      </c>
    </row>
    <row r="874" spans="1:3" x14ac:dyDescent="0.25">
      <c r="A874" t="str">
        <f>"01/01/2013"</f>
        <v>01/01/2013</v>
      </c>
      <c r="B874" t="str">
        <f>"41.15"</f>
        <v>41.15</v>
      </c>
      <c r="C874" t="str">
        <f>"41.12"</f>
        <v>41.12</v>
      </c>
    </row>
    <row r="875" spans="1:3" x14ac:dyDescent="0.25">
      <c r="A875" t="str">
        <f>"02/01/2013"</f>
        <v>02/01/2013</v>
      </c>
      <c r="B875" t="str">
        <f>"40.885"</f>
        <v>40.885</v>
      </c>
      <c r="C875" t="str">
        <f>"40.865"</f>
        <v>40.865</v>
      </c>
    </row>
    <row r="876" spans="1:3" x14ac:dyDescent="0.25">
      <c r="A876" t="str">
        <f>"03/01/2013"</f>
        <v>03/01/2013</v>
      </c>
      <c r="B876" t="str">
        <f>"40.825"</f>
        <v>40.825</v>
      </c>
      <c r="C876" t="str">
        <f>"40.815"</f>
        <v>40.815</v>
      </c>
    </row>
    <row r="877" spans="1:3" x14ac:dyDescent="0.25">
      <c r="A877" t="str">
        <f>"04/01/2013"</f>
        <v>04/01/2013</v>
      </c>
      <c r="B877" t="str">
        <f>"40.94"</f>
        <v>40.94</v>
      </c>
      <c r="C877" t="str">
        <f>"40.958"</f>
        <v>40.958</v>
      </c>
    </row>
    <row r="878" spans="1:3" x14ac:dyDescent="0.25">
      <c r="A878" t="str">
        <f>"07/01/2013"</f>
        <v>07/01/2013</v>
      </c>
      <c r="B878" t="str">
        <f>"40.93"</f>
        <v>40.93</v>
      </c>
      <c r="C878" t="str">
        <f>"40.9205"</f>
        <v>40.9205</v>
      </c>
    </row>
    <row r="879" spans="1:3" x14ac:dyDescent="0.25">
      <c r="A879" t="str">
        <f>"08/01/2013"</f>
        <v>08/01/2013</v>
      </c>
      <c r="B879" t="str">
        <f>"40.85"</f>
        <v>40.85</v>
      </c>
      <c r="C879" t="str">
        <f>"40.83"</f>
        <v>40.83</v>
      </c>
    </row>
    <row r="880" spans="1:3" x14ac:dyDescent="0.25">
      <c r="A880" t="str">
        <f>"09/01/2013"</f>
        <v>09/01/2013</v>
      </c>
      <c r="B880" t="str">
        <f>"40.845"</f>
        <v>40.845</v>
      </c>
      <c r="C880" t="str">
        <f>"40.835"</f>
        <v>40.835</v>
      </c>
    </row>
    <row r="881" spans="1:3" x14ac:dyDescent="0.25">
      <c r="A881" t="str">
        <f>"10/01/2013"</f>
        <v>10/01/2013</v>
      </c>
      <c r="B881" t="str">
        <f>"40.76"</f>
        <v>40.76</v>
      </c>
      <c r="C881" t="str">
        <f>"40.74"</f>
        <v>40.74</v>
      </c>
    </row>
    <row r="882" spans="1:3" x14ac:dyDescent="0.25">
      <c r="A882" t="str">
        <f>"11/01/2013"</f>
        <v>11/01/2013</v>
      </c>
      <c r="B882" t="str">
        <f>"40.56"</f>
        <v>40.56</v>
      </c>
      <c r="C882" t="str">
        <f>"40.515"</f>
        <v>40.515</v>
      </c>
    </row>
    <row r="883" spans="1:3" x14ac:dyDescent="0.25">
      <c r="A883" t="str">
        <f>"14/01/2013"</f>
        <v>14/01/2013</v>
      </c>
      <c r="B883" t="str">
        <f>"40.67"</f>
        <v>40.67</v>
      </c>
      <c r="C883" t="str">
        <f>"40.63"</f>
        <v>40.63</v>
      </c>
    </row>
    <row r="884" spans="1:3" x14ac:dyDescent="0.25">
      <c r="A884" t="str">
        <f>"15/01/2013"</f>
        <v>15/01/2013</v>
      </c>
      <c r="B884" t="str">
        <f>"40.563"</f>
        <v>40.563</v>
      </c>
      <c r="C884" t="str">
        <f>"40.517"</f>
        <v>40.517</v>
      </c>
    </row>
    <row r="885" spans="1:3" x14ac:dyDescent="0.25">
      <c r="A885" t="str">
        <f>"16/01/2013"</f>
        <v>16/01/2013</v>
      </c>
      <c r="B885" t="str">
        <f>"40.639"</f>
        <v>40.639</v>
      </c>
      <c r="C885" t="str">
        <f>"40.6224"</f>
        <v>40.6224</v>
      </c>
    </row>
    <row r="886" spans="1:3" x14ac:dyDescent="0.25">
      <c r="A886" t="str">
        <f>"17/01/2013"</f>
        <v>17/01/2013</v>
      </c>
      <c r="B886" t="str">
        <f>"40.625"</f>
        <v>40.625</v>
      </c>
      <c r="C886" t="str">
        <f>"40.6249"</f>
        <v>40.6249</v>
      </c>
    </row>
    <row r="887" spans="1:3" x14ac:dyDescent="0.25">
      <c r="A887" t="str">
        <f>"18/01/2013"</f>
        <v>18/01/2013</v>
      </c>
      <c r="B887" t="str">
        <f>"40.5975"</f>
        <v>40.5975</v>
      </c>
      <c r="C887" t="str">
        <f>"40.6082"</f>
        <v>40.6082</v>
      </c>
    </row>
    <row r="888" spans="1:3" x14ac:dyDescent="0.25">
      <c r="A888" t="str">
        <f>"21/01/2013"</f>
        <v>21/01/2013</v>
      </c>
      <c r="B888" t="str">
        <f>"40.67"</f>
        <v>40.67</v>
      </c>
      <c r="C888" t="str">
        <f>"40.6653"</f>
        <v>40.6653</v>
      </c>
    </row>
    <row r="889" spans="1:3" x14ac:dyDescent="0.25">
      <c r="A889" t="str">
        <f>"22/01/2013"</f>
        <v>22/01/2013</v>
      </c>
      <c r="B889" t="str">
        <f>"40.625"</f>
        <v>40.625</v>
      </c>
      <c r="C889" t="str">
        <f>"40.6197"</f>
        <v>40.6197</v>
      </c>
    </row>
    <row r="890" spans="1:3" x14ac:dyDescent="0.25">
      <c r="A890" t="str">
        <f>"23/01/2013"</f>
        <v>23/01/2013</v>
      </c>
      <c r="B890" t="str">
        <f>"40.665"</f>
        <v>40.665</v>
      </c>
      <c r="C890" t="str">
        <f>"40.6578"</f>
        <v>40.6578</v>
      </c>
    </row>
    <row r="891" spans="1:3" x14ac:dyDescent="0.25">
      <c r="A891" t="str">
        <f>"24/01/2013"</f>
        <v>24/01/2013</v>
      </c>
      <c r="B891" t="str">
        <f>"40.63"</f>
        <v>40.63</v>
      </c>
      <c r="C891" t="str">
        <f>"40.6311"</f>
        <v>40.6311</v>
      </c>
    </row>
    <row r="892" spans="1:3" x14ac:dyDescent="0.25">
      <c r="A892" t="str">
        <f>"28/01/2013"</f>
        <v>28/01/2013</v>
      </c>
      <c r="B892" t="str">
        <f>"40.725"</f>
        <v>40.725</v>
      </c>
      <c r="C892" t="str">
        <f>"40.7383"</f>
        <v>40.7383</v>
      </c>
    </row>
    <row r="893" spans="1:3" x14ac:dyDescent="0.25">
      <c r="A893" t="str">
        <f>"29/01/2013"</f>
        <v>29/01/2013</v>
      </c>
      <c r="B893" t="str">
        <f>"40.765"</f>
        <v>40.765</v>
      </c>
      <c r="C893" t="str">
        <f>"40.7827"</f>
        <v>40.7827</v>
      </c>
    </row>
    <row r="894" spans="1:3" x14ac:dyDescent="0.25">
      <c r="A894" t="str">
        <f>"30/01/2013"</f>
        <v>30/01/2013</v>
      </c>
      <c r="B894" t="str">
        <f>"40.69"</f>
        <v>40.69</v>
      </c>
      <c r="C894" t="str">
        <f>"40.7072"</f>
        <v>40.7072</v>
      </c>
    </row>
    <row r="895" spans="1:3" x14ac:dyDescent="0.25">
      <c r="A895" t="str">
        <f>"31/01/2013"</f>
        <v>31/01/2013</v>
      </c>
      <c r="B895" t="str">
        <f>"40.66"</f>
        <v>40.66</v>
      </c>
      <c r="C895" t="str">
        <f>"40.6683"</f>
        <v>40.6683</v>
      </c>
    </row>
    <row r="896" spans="1:3" x14ac:dyDescent="0.25">
      <c r="A896" t="str">
        <f>"01/02/2013"</f>
        <v>01/02/2013</v>
      </c>
      <c r="B896" t="str">
        <f>"40.8065"</f>
        <v>40.8065</v>
      </c>
      <c r="C896" t="str">
        <f>"40.8217"</f>
        <v>40.8217</v>
      </c>
    </row>
    <row r="897" spans="1:3" x14ac:dyDescent="0.25">
      <c r="A897" t="str">
        <f>"04/02/2013"</f>
        <v>04/02/2013</v>
      </c>
      <c r="B897" t="str">
        <f>"40.61"</f>
        <v>40.61</v>
      </c>
      <c r="C897" t="str">
        <f>"40.6209"</f>
        <v>40.6209</v>
      </c>
    </row>
    <row r="898" spans="1:3" x14ac:dyDescent="0.25">
      <c r="A898" t="str">
        <f>"05/02/2013"</f>
        <v>05/02/2013</v>
      </c>
      <c r="B898" t="str">
        <f>"40.67"</f>
        <v>40.67</v>
      </c>
      <c r="C898" t="str">
        <f>"40.6877"</f>
        <v>40.6877</v>
      </c>
    </row>
    <row r="899" spans="1:3" x14ac:dyDescent="0.25">
      <c r="A899" t="str">
        <f>"06/02/2013"</f>
        <v>06/02/2013</v>
      </c>
      <c r="B899" t="str">
        <f>"40.675"</f>
        <v>40.675</v>
      </c>
      <c r="C899" t="str">
        <f>"40.6884"</f>
        <v>40.6884</v>
      </c>
    </row>
    <row r="900" spans="1:3" x14ac:dyDescent="0.25">
      <c r="A900" t="str">
        <f>"07/02/2013"</f>
        <v>07/02/2013</v>
      </c>
      <c r="B900" t="str">
        <f>"40.70"</f>
        <v>40.70</v>
      </c>
      <c r="C900" t="str">
        <f>"40.7104"</f>
        <v>40.7104</v>
      </c>
    </row>
    <row r="901" spans="1:3" x14ac:dyDescent="0.25">
      <c r="A901" t="str">
        <f>"08/02/2013"</f>
        <v>08/02/2013</v>
      </c>
      <c r="B901" t="str">
        <f>"40.695"</f>
        <v>40.695</v>
      </c>
      <c r="C901" t="str">
        <f>"40.7118"</f>
        <v>40.7118</v>
      </c>
    </row>
    <row r="902" spans="1:3" x14ac:dyDescent="0.25">
      <c r="A902" t="str">
        <f>"11/02/2013"</f>
        <v>11/02/2013</v>
      </c>
      <c r="B902" t="str">
        <f>"40.70"</f>
        <v>40.70</v>
      </c>
      <c r="C902" t="str">
        <f>"40.7182"</f>
        <v>40.7182</v>
      </c>
    </row>
    <row r="903" spans="1:3" x14ac:dyDescent="0.25">
      <c r="A903" t="str">
        <f>"12/02/2013"</f>
        <v>12/02/2013</v>
      </c>
      <c r="B903" t="str">
        <f>"40.71"</f>
        <v>40.71</v>
      </c>
      <c r="C903" t="str">
        <f>"40.734"</f>
        <v>40.734</v>
      </c>
    </row>
    <row r="904" spans="1:3" x14ac:dyDescent="0.25">
      <c r="A904" t="str">
        <f>"13/02/2013"</f>
        <v>13/02/2013</v>
      </c>
      <c r="B904" t="str">
        <f>"40.65"</f>
        <v>40.65</v>
      </c>
      <c r="C904" t="str">
        <f>"40.66"</f>
        <v>40.66</v>
      </c>
    </row>
    <row r="905" spans="1:3" x14ac:dyDescent="0.25">
      <c r="A905" t="str">
        <f>"14/02/2013"</f>
        <v>14/02/2013</v>
      </c>
      <c r="B905" t="str">
        <f>"40.655"</f>
        <v>40.655</v>
      </c>
      <c r="C905" t="str">
        <f>"40.66"</f>
        <v>40.66</v>
      </c>
    </row>
    <row r="906" spans="1:3" x14ac:dyDescent="0.25">
      <c r="A906" t="str">
        <f>"15/02/2013"</f>
        <v>15/02/2013</v>
      </c>
      <c r="B906" t="str">
        <f>"40.612"</f>
        <v>40.612</v>
      </c>
      <c r="C906" t="str">
        <f>"40.6219"</f>
        <v>40.6219</v>
      </c>
    </row>
    <row r="907" spans="1:3" x14ac:dyDescent="0.25">
      <c r="A907" t="str">
        <f>"18/02/2013"</f>
        <v>18/02/2013</v>
      </c>
      <c r="B907" t="str">
        <f>"40.65"</f>
        <v>40.65</v>
      </c>
      <c r="C907" t="str">
        <f>"40.6578"</f>
        <v>40.6578</v>
      </c>
    </row>
    <row r="908" spans="1:3" x14ac:dyDescent="0.25">
      <c r="A908" t="str">
        <f>"20/02/2013"</f>
        <v>20/02/2013</v>
      </c>
      <c r="B908" t="str">
        <f>"40.64"</f>
        <v>40.64</v>
      </c>
      <c r="C908" t="str">
        <f>"40.653"</f>
        <v>40.653</v>
      </c>
    </row>
    <row r="909" spans="1:3" x14ac:dyDescent="0.25">
      <c r="A909" t="str">
        <f>"21/02/2013"</f>
        <v>21/02/2013</v>
      </c>
      <c r="B909" t="str">
        <f>"40.7425"</f>
        <v>40.7425</v>
      </c>
      <c r="C909" t="str">
        <f>"40.7554"</f>
        <v>40.7554</v>
      </c>
    </row>
    <row r="910" spans="1:3" x14ac:dyDescent="0.25">
      <c r="A910" t="str">
        <f>"22/02/2013"</f>
        <v>22/02/2013</v>
      </c>
      <c r="B910" t="str">
        <f>"40.726"</f>
        <v>40.726</v>
      </c>
      <c r="C910" t="str">
        <f>"40.7337"</f>
        <v>40.7337</v>
      </c>
    </row>
    <row r="911" spans="1:3" x14ac:dyDescent="0.25">
      <c r="A911" t="str">
        <f>"25/02/2013"</f>
        <v>25/02/2013</v>
      </c>
      <c r="B911" t="str">
        <f>"40.72"</f>
        <v>40.72</v>
      </c>
      <c r="C911" t="str">
        <f>"40.7395"</f>
        <v>40.7395</v>
      </c>
    </row>
    <row r="912" spans="1:3" x14ac:dyDescent="0.25">
      <c r="A912" t="str">
        <f>"26/02/2013"</f>
        <v>26/02/2013</v>
      </c>
      <c r="B912" t="str">
        <f>"40.74"</f>
        <v>40.74</v>
      </c>
      <c r="C912" t="str">
        <f>"40.7526"</f>
        <v>40.7526</v>
      </c>
    </row>
    <row r="913" spans="1:3" x14ac:dyDescent="0.25">
      <c r="A913" t="str">
        <f>"27/02/2013"</f>
        <v>27/02/2013</v>
      </c>
      <c r="B913" t="str">
        <f>"40.76"</f>
        <v>40.76</v>
      </c>
      <c r="C913" t="str">
        <f>"40.7696"</f>
        <v>40.7696</v>
      </c>
    </row>
    <row r="914" spans="1:3" x14ac:dyDescent="0.25">
      <c r="A914" t="str">
        <f>"28/02/2013"</f>
        <v>28/02/2013</v>
      </c>
      <c r="B914" t="str">
        <f>"40.665"</f>
        <v>40.665</v>
      </c>
      <c r="C914" t="str">
        <f>"40.6778"</f>
        <v>40.6778</v>
      </c>
    </row>
    <row r="915" spans="1:3" x14ac:dyDescent="0.25">
      <c r="A915" t="str">
        <f>"01/03/2013"</f>
        <v>01/03/2013</v>
      </c>
      <c r="B915" t="str">
        <f>"40.75"</f>
        <v>40.75</v>
      </c>
      <c r="C915" t="str">
        <f>"40.7617"</f>
        <v>40.7617</v>
      </c>
    </row>
    <row r="916" spans="1:3" x14ac:dyDescent="0.25">
      <c r="A916" t="str">
        <f>"04/03/2013"</f>
        <v>04/03/2013</v>
      </c>
      <c r="B916" t="str">
        <f>"40.78"</f>
        <v>40.78</v>
      </c>
      <c r="C916" t="str">
        <f>"40.7922"</f>
        <v>40.7922</v>
      </c>
    </row>
    <row r="917" spans="1:3" x14ac:dyDescent="0.25">
      <c r="A917" t="str">
        <f>"05/03/2013"</f>
        <v>05/03/2013</v>
      </c>
      <c r="B917" t="str">
        <f>"40.73"</f>
        <v>40.73</v>
      </c>
      <c r="C917" t="str">
        <f>"40.7389"</f>
        <v>40.7389</v>
      </c>
    </row>
    <row r="918" spans="1:3" x14ac:dyDescent="0.25">
      <c r="A918" t="str">
        <f>"06/03/2013"</f>
        <v>06/03/2013</v>
      </c>
      <c r="B918" t="str">
        <f>"40.70"</f>
        <v>40.70</v>
      </c>
      <c r="C918" t="str">
        <f>"40.7127"</f>
        <v>40.7127</v>
      </c>
    </row>
    <row r="919" spans="1:3" x14ac:dyDescent="0.25">
      <c r="A919" t="str">
        <f>"07/03/2013"</f>
        <v>07/03/2013</v>
      </c>
      <c r="B919" t="str">
        <f>"40.77"</f>
        <v>40.77</v>
      </c>
      <c r="C919" t="str">
        <f>"40.7813"</f>
        <v>40.7813</v>
      </c>
    </row>
    <row r="920" spans="1:3" x14ac:dyDescent="0.25">
      <c r="A920" t="str">
        <f>"08/03/2013"</f>
        <v>08/03/2013</v>
      </c>
      <c r="B920" t="str">
        <f>"40.725"</f>
        <v>40.725</v>
      </c>
      <c r="C920" t="str">
        <f>"40.7401"</f>
        <v>40.7401</v>
      </c>
    </row>
    <row r="921" spans="1:3" x14ac:dyDescent="0.25">
      <c r="A921" t="str">
        <f>"11/03/2013"</f>
        <v>11/03/2013</v>
      </c>
      <c r="B921" t="str">
        <f>"40.711"</f>
        <v>40.711</v>
      </c>
      <c r="C921" t="str">
        <f>"40.7232"</f>
        <v>40.7232</v>
      </c>
    </row>
    <row r="922" spans="1:3" x14ac:dyDescent="0.25">
      <c r="A922" t="str">
        <f>"12/03/2013"</f>
        <v>12/03/2013</v>
      </c>
      <c r="B922" t="str">
        <f>"40.64"</f>
        <v>40.64</v>
      </c>
      <c r="C922" t="str">
        <f>"40.6492"</f>
        <v>40.6492</v>
      </c>
    </row>
    <row r="923" spans="1:3" x14ac:dyDescent="0.25">
      <c r="A923" t="str">
        <f>"13/03/2013"</f>
        <v>13/03/2013</v>
      </c>
      <c r="B923" t="str">
        <f>"40.6175"</f>
        <v>40.6175</v>
      </c>
      <c r="C923" t="str">
        <f>"40.6265"</f>
        <v>40.6265</v>
      </c>
    </row>
    <row r="924" spans="1:3" x14ac:dyDescent="0.25">
      <c r="A924" t="str">
        <f>"14/03/2013"</f>
        <v>14/03/2013</v>
      </c>
      <c r="B924" t="str">
        <f>"40.66"</f>
        <v>40.66</v>
      </c>
      <c r="C924" t="str">
        <f>"40.6616"</f>
        <v>40.6616</v>
      </c>
    </row>
    <row r="925" spans="1:3" x14ac:dyDescent="0.25">
      <c r="A925" t="str">
        <f>"15/03/2013"</f>
        <v>15/03/2013</v>
      </c>
      <c r="B925" t="str">
        <f>"40.59"</f>
        <v>40.59</v>
      </c>
      <c r="C925" t="str">
        <f>"40.598"</f>
        <v>40.598</v>
      </c>
    </row>
    <row r="926" spans="1:3" x14ac:dyDescent="0.25">
      <c r="A926" t="str">
        <f>"18/03/2013"</f>
        <v>18/03/2013</v>
      </c>
      <c r="B926" t="str">
        <f>"40.70"</f>
        <v>40.70</v>
      </c>
      <c r="C926" t="str">
        <f>"40.7037"</f>
        <v>40.7037</v>
      </c>
    </row>
    <row r="927" spans="1:3" x14ac:dyDescent="0.25">
      <c r="A927" t="str">
        <f>"19/03/2013"</f>
        <v>19/03/2013</v>
      </c>
      <c r="B927" t="str">
        <f>"40.685"</f>
        <v>40.685</v>
      </c>
      <c r="C927" t="str">
        <f>"40.7001"</f>
        <v>40.7001</v>
      </c>
    </row>
    <row r="928" spans="1:3" x14ac:dyDescent="0.25">
      <c r="A928" t="str">
        <f>"20/03/2013"</f>
        <v>20/03/2013</v>
      </c>
      <c r="B928" t="str">
        <f>"40.75"</f>
        <v>40.75</v>
      </c>
      <c r="C928" t="str">
        <f>"40.7588"</f>
        <v>40.7588</v>
      </c>
    </row>
    <row r="929" spans="1:3" x14ac:dyDescent="0.25">
      <c r="A929" t="str">
        <f>"21/03/2013"</f>
        <v>21/03/2013</v>
      </c>
      <c r="B929" t="str">
        <f>"40.75"</f>
        <v>40.75</v>
      </c>
      <c r="C929" t="str">
        <f>"40.7549"</f>
        <v>40.7549</v>
      </c>
    </row>
    <row r="930" spans="1:3" x14ac:dyDescent="0.25">
      <c r="A930" t="str">
        <f>"22/03/2013"</f>
        <v>22/03/2013</v>
      </c>
      <c r="B930" t="str">
        <f>"40.8375"</f>
        <v>40.8375</v>
      </c>
      <c r="C930" t="str">
        <f>"40.8454"</f>
        <v>40.8454</v>
      </c>
    </row>
    <row r="931" spans="1:3" x14ac:dyDescent="0.25">
      <c r="A931" t="str">
        <f>"25/03/2013"</f>
        <v>25/03/2013</v>
      </c>
      <c r="B931" t="str">
        <f>"40.82"</f>
        <v>40.82</v>
      </c>
      <c r="C931" t="str">
        <f>"40.8262"</f>
        <v>40.8262</v>
      </c>
    </row>
    <row r="932" spans="1:3" x14ac:dyDescent="0.25">
      <c r="A932" t="str">
        <f>"26/03/2013"</f>
        <v>26/03/2013</v>
      </c>
      <c r="B932" t="str">
        <f>"40.9625"</f>
        <v>40.9625</v>
      </c>
      <c r="C932" t="str">
        <f>"40.9607"</f>
        <v>40.9607</v>
      </c>
    </row>
    <row r="933" spans="1:3" x14ac:dyDescent="0.25">
      <c r="A933" t="str">
        <f>"28/03/2013"</f>
        <v>28/03/2013</v>
      </c>
      <c r="B933" t="str">
        <f>"40.8475"</f>
        <v>40.8475</v>
      </c>
      <c r="C933" t="str">
        <f>"40.8444"</f>
        <v>40.8444</v>
      </c>
    </row>
    <row r="934" spans="1:3" x14ac:dyDescent="0.25">
      <c r="A934" t="str">
        <f>"02/04/2013"</f>
        <v>02/04/2013</v>
      </c>
      <c r="B934" t="str">
        <f>"40.835"</f>
        <v>40.835</v>
      </c>
      <c r="C934" t="str">
        <f>"40.844"</f>
        <v>40.844</v>
      </c>
    </row>
    <row r="935" spans="1:3" x14ac:dyDescent="0.25">
      <c r="A935" t="str">
        <f>"03/04/2013"</f>
        <v>03/04/2013</v>
      </c>
      <c r="B935" t="str">
        <f>"40.93"</f>
        <v>40.93</v>
      </c>
      <c r="C935" t="str">
        <f>"40.9381"</f>
        <v>40.9381</v>
      </c>
    </row>
    <row r="936" spans="1:3" x14ac:dyDescent="0.25">
      <c r="A936" t="str">
        <f>"04/04/2013"</f>
        <v>04/04/2013</v>
      </c>
      <c r="B936" t="str">
        <f>"41.10"</f>
        <v>41.10</v>
      </c>
      <c r="C936" t="str">
        <f>"41.1168"</f>
        <v>41.1168</v>
      </c>
    </row>
    <row r="937" spans="1:3" x14ac:dyDescent="0.25">
      <c r="A937" t="str">
        <f>"05/04/2013"</f>
        <v>05/04/2013</v>
      </c>
      <c r="B937" t="str">
        <f>"41.20"</f>
        <v>41.20</v>
      </c>
      <c r="C937" t="str">
        <f>"41.2234"</f>
        <v>41.2234</v>
      </c>
    </row>
    <row r="938" spans="1:3" x14ac:dyDescent="0.25">
      <c r="A938" t="str">
        <f>"08/04/2013"</f>
        <v>08/04/2013</v>
      </c>
      <c r="B938" t="str">
        <f>"41.31"</f>
        <v>41.31</v>
      </c>
      <c r="C938" t="str">
        <f>"41.3317"</f>
        <v>41.3317</v>
      </c>
    </row>
    <row r="939" spans="1:3" x14ac:dyDescent="0.25">
      <c r="A939" t="str">
        <f>"09/04/2013"</f>
        <v>09/04/2013</v>
      </c>
      <c r="B939" t="str">
        <f>"41.285"</f>
        <v>41.285</v>
      </c>
      <c r="C939" t="str">
        <f>"41.3029"</f>
        <v>41.3029</v>
      </c>
    </row>
    <row r="940" spans="1:3" x14ac:dyDescent="0.25">
      <c r="A940" t="str">
        <f>"10/04/2013"</f>
        <v>10/04/2013</v>
      </c>
      <c r="B940" t="str">
        <f>"41.14"</f>
        <v>41.14</v>
      </c>
      <c r="C940" t="str">
        <f>"41.1508"</f>
        <v>41.1508</v>
      </c>
    </row>
    <row r="941" spans="1:3" x14ac:dyDescent="0.25">
      <c r="A941" t="str">
        <f>"12/04/2013"</f>
        <v>12/04/2013</v>
      </c>
      <c r="B941" t="str">
        <f>"41.22"</f>
        <v>41.22</v>
      </c>
      <c r="C941" t="str">
        <f>"41.2301"</f>
        <v>41.2301</v>
      </c>
    </row>
    <row r="942" spans="1:3" x14ac:dyDescent="0.25">
      <c r="A942" t="str">
        <f>"15/04/2013"</f>
        <v>15/04/2013</v>
      </c>
      <c r="B942" t="str">
        <f>"41.28"</f>
        <v>41.28</v>
      </c>
      <c r="C942" t="str">
        <f>"41.2923"</f>
        <v>41.2923</v>
      </c>
    </row>
    <row r="943" spans="1:3" x14ac:dyDescent="0.25">
      <c r="A943" t="str">
        <f>"16/04/2013"</f>
        <v>16/04/2013</v>
      </c>
      <c r="B943" t="str">
        <f>"41.35"</f>
        <v>41.35</v>
      </c>
      <c r="C943" t="str">
        <f>"41.3582"</f>
        <v>41.3582</v>
      </c>
    </row>
    <row r="944" spans="1:3" x14ac:dyDescent="0.25">
      <c r="A944" t="str">
        <f>"17/04/2013"</f>
        <v>17/04/2013</v>
      </c>
      <c r="B944" t="str">
        <f>"41.305"</f>
        <v>41.305</v>
      </c>
      <c r="C944" t="str">
        <f>"41.3166"</f>
        <v>41.3166</v>
      </c>
    </row>
    <row r="945" spans="1:3" x14ac:dyDescent="0.25">
      <c r="A945" t="str">
        <f>"18/04/2013"</f>
        <v>18/04/2013</v>
      </c>
      <c r="B945" t="str">
        <f>"41.2625"</f>
        <v>41.2625</v>
      </c>
      <c r="C945" t="str">
        <f>"41.2722"</f>
        <v>41.2722</v>
      </c>
    </row>
    <row r="946" spans="1:3" x14ac:dyDescent="0.25">
      <c r="A946" t="str">
        <f>"22/04/2013"</f>
        <v>22/04/2013</v>
      </c>
      <c r="B946" t="str">
        <f>"41.13"</f>
        <v>41.13</v>
      </c>
      <c r="C946" t="str">
        <f>"41.1421"</f>
        <v>41.1421</v>
      </c>
    </row>
    <row r="947" spans="1:3" x14ac:dyDescent="0.25">
      <c r="A947" t="str">
        <f>"23/04/2013"</f>
        <v>23/04/2013</v>
      </c>
      <c r="B947" t="str">
        <f>"41.31"</f>
        <v>41.31</v>
      </c>
      <c r="C947" t="str">
        <f>"41.3234"</f>
        <v>41.3234</v>
      </c>
    </row>
    <row r="948" spans="1:3" x14ac:dyDescent="0.25">
      <c r="A948" t="str">
        <f>"25/04/2013"</f>
        <v>25/04/2013</v>
      </c>
      <c r="B948" t="str">
        <f>"41.325"</f>
        <v>41.325</v>
      </c>
      <c r="C948" t="str">
        <f>"41.3579"</f>
        <v>41.3579</v>
      </c>
    </row>
    <row r="949" spans="1:3" x14ac:dyDescent="0.25">
      <c r="A949" t="str">
        <f>"26/04/2013"</f>
        <v>26/04/2013</v>
      </c>
      <c r="B949" t="str">
        <f>"41.21"</f>
        <v>41.21</v>
      </c>
      <c r="C949" t="str">
        <f>"41.2587"</f>
        <v>41.2587</v>
      </c>
    </row>
    <row r="950" spans="1:3" x14ac:dyDescent="0.25">
      <c r="A950" t="str">
        <f>"29/04/2013"</f>
        <v>29/04/2013</v>
      </c>
      <c r="B950" t="str">
        <f>"41.19"</f>
        <v>41.19</v>
      </c>
      <c r="C950" t="str">
        <f>"41.2395"</f>
        <v>41.2395</v>
      </c>
    </row>
    <row r="951" spans="1:3" x14ac:dyDescent="0.25">
      <c r="A951" t="str">
        <f>"30/04/2013"</f>
        <v>30/04/2013</v>
      </c>
      <c r="B951" t="str">
        <f>"41.13"</f>
        <v>41.13</v>
      </c>
      <c r="C951" t="str">
        <f>"41.2013"</f>
        <v>41.2013</v>
      </c>
    </row>
    <row r="952" spans="1:3" x14ac:dyDescent="0.25">
      <c r="A952" t="str">
        <f>"02/05/2013"</f>
        <v>02/05/2013</v>
      </c>
      <c r="B952" t="str">
        <f>"41.22"</f>
        <v>41.22</v>
      </c>
      <c r="C952" t="str">
        <f>"41.2819"</f>
        <v>41.2819</v>
      </c>
    </row>
    <row r="953" spans="1:3" x14ac:dyDescent="0.25">
      <c r="A953" t="str">
        <f>"03/05/2013"</f>
        <v>03/05/2013</v>
      </c>
      <c r="B953" t="str">
        <f>"40.9675"</f>
        <v>40.9675</v>
      </c>
      <c r="C953" t="str">
        <f>"41.0195"</f>
        <v>41.0195</v>
      </c>
    </row>
    <row r="954" spans="1:3" x14ac:dyDescent="0.25">
      <c r="A954" t="str">
        <f>"06/05/2013"</f>
        <v>06/05/2013</v>
      </c>
      <c r="B954" t="str">
        <f>"40.86"</f>
        <v>40.86</v>
      </c>
      <c r="C954" t="str">
        <f>"40.8945"</f>
        <v>40.8945</v>
      </c>
    </row>
    <row r="955" spans="1:3" x14ac:dyDescent="0.25">
      <c r="A955" t="str">
        <f>"07/05/2013"</f>
        <v>07/05/2013</v>
      </c>
      <c r="B955" t="str">
        <f>"40.92"</f>
        <v>40.92</v>
      </c>
      <c r="C955" t="str">
        <f>"40.972"</f>
        <v>40.972</v>
      </c>
    </row>
    <row r="956" spans="1:3" x14ac:dyDescent="0.25">
      <c r="A956" t="str">
        <f>"08/05/2013"</f>
        <v>08/05/2013</v>
      </c>
      <c r="B956" t="str">
        <f>"40.82"</f>
        <v>40.82</v>
      </c>
      <c r="C956" t="str">
        <f>"40.8536"</f>
        <v>40.8536</v>
      </c>
    </row>
    <row r="957" spans="1:3" x14ac:dyDescent="0.25">
      <c r="A957" t="str">
        <f>"09/05/2013"</f>
        <v>09/05/2013</v>
      </c>
      <c r="B957" t="str">
        <f>"40.79"</f>
        <v>40.79</v>
      </c>
      <c r="C957" t="str">
        <f>"40.8227"</f>
        <v>40.8227</v>
      </c>
    </row>
    <row r="958" spans="1:3" x14ac:dyDescent="0.25">
      <c r="A958" t="str">
        <f>"10/05/2013"</f>
        <v>10/05/2013</v>
      </c>
      <c r="B958" t="str">
        <f>"41.14"</f>
        <v>41.14</v>
      </c>
      <c r="C958" t="str">
        <f>"41.1797"</f>
        <v>41.1797</v>
      </c>
    </row>
    <row r="959" spans="1:3" x14ac:dyDescent="0.25">
      <c r="A959" t="str">
        <f>"13/05/2013"</f>
        <v>13/05/2013</v>
      </c>
      <c r="B959" t="str">
        <f>"41.14"</f>
        <v>41.14</v>
      </c>
      <c r="C959" t="str">
        <f>"41.177"</f>
        <v>41.177</v>
      </c>
    </row>
    <row r="960" spans="1:3" x14ac:dyDescent="0.25">
      <c r="A960" t="str">
        <f>"14/05/2013"</f>
        <v>14/05/2013</v>
      </c>
      <c r="B960" t="str">
        <f>"41.1875"</f>
        <v>41.1875</v>
      </c>
      <c r="C960" t="str">
        <f>"41.2399"</f>
        <v>41.2399</v>
      </c>
    </row>
    <row r="961" spans="1:3" x14ac:dyDescent="0.25">
      <c r="A961" t="str">
        <f>"15/05/2013"</f>
        <v>15/05/2013</v>
      </c>
      <c r="B961" t="str">
        <f>"41.14"</f>
        <v>41.14</v>
      </c>
      <c r="C961" t="str">
        <f>"41.178"</f>
        <v>41.178</v>
      </c>
    </row>
    <row r="962" spans="1:3" x14ac:dyDescent="0.25">
      <c r="A962" t="str">
        <f>"16/05/2013"</f>
        <v>16/05/2013</v>
      </c>
      <c r="B962" t="str">
        <f>"41.24"</f>
        <v>41.24</v>
      </c>
      <c r="C962" t="str">
        <f>"41.288"</f>
        <v>41.288</v>
      </c>
    </row>
    <row r="963" spans="1:3" x14ac:dyDescent="0.25">
      <c r="A963" t="str">
        <f>"17/05/2013"</f>
        <v>17/05/2013</v>
      </c>
      <c r="B963" t="str">
        <f>"41.22"</f>
        <v>41.22</v>
      </c>
      <c r="C963" t="str">
        <f>"41.2728"</f>
        <v>41.2728</v>
      </c>
    </row>
    <row r="964" spans="1:3" x14ac:dyDescent="0.25">
      <c r="A964" t="str">
        <f>"20/05/2013"</f>
        <v>20/05/2013</v>
      </c>
      <c r="B964" t="str">
        <f>"41.21"</f>
        <v>41.21</v>
      </c>
      <c r="C964" t="str">
        <f>"41.2638"</f>
        <v>41.2638</v>
      </c>
    </row>
    <row r="965" spans="1:3" x14ac:dyDescent="0.25">
      <c r="A965" t="str">
        <f>"21/05/2013"</f>
        <v>21/05/2013</v>
      </c>
      <c r="B965" t="str">
        <f>"41.15"</f>
        <v>41.15</v>
      </c>
      <c r="C965" t="str">
        <f>"41.19"</f>
        <v>41.19</v>
      </c>
    </row>
    <row r="966" spans="1:3" x14ac:dyDescent="0.25">
      <c r="A966" t="str">
        <f>"22/05/2013"</f>
        <v>22/05/2013</v>
      </c>
      <c r="B966" t="str">
        <f>"41.215"</f>
        <v>41.215</v>
      </c>
      <c r="C966" t="str">
        <f>"41.25"</f>
        <v>41.25</v>
      </c>
    </row>
    <row r="967" spans="1:3" x14ac:dyDescent="0.25">
      <c r="A967" t="str">
        <f>"23/05/2013"</f>
        <v>23/05/2013</v>
      </c>
      <c r="B967" t="str">
        <f>"41.70"</f>
        <v>41.70</v>
      </c>
      <c r="C967" t="str">
        <f>"41.749"</f>
        <v>41.749</v>
      </c>
    </row>
    <row r="968" spans="1:3" x14ac:dyDescent="0.25">
      <c r="A968" t="str">
        <f>"24/05/2013"</f>
        <v>24/05/2013</v>
      </c>
      <c r="B968" t="str">
        <f>"41.62"</f>
        <v>41.62</v>
      </c>
      <c r="C968" t="str">
        <f>"41.6734"</f>
        <v>41.6734</v>
      </c>
    </row>
    <row r="969" spans="1:3" x14ac:dyDescent="0.25">
      <c r="A969" t="str">
        <f>"27/05/2013"</f>
        <v>27/05/2013</v>
      </c>
      <c r="B969" t="str">
        <f>"41.67"</f>
        <v>41.67</v>
      </c>
      <c r="C969" t="str">
        <f>"41.7286"</f>
        <v>41.7286</v>
      </c>
    </row>
    <row r="970" spans="1:3" x14ac:dyDescent="0.25">
      <c r="A970" t="str">
        <f>"28/05/2013"</f>
        <v>28/05/2013</v>
      </c>
      <c r="B970" t="str">
        <f>"41.86"</f>
        <v>41.86</v>
      </c>
      <c r="C970" t="str">
        <f>"41.9121"</f>
        <v>41.9121</v>
      </c>
    </row>
    <row r="971" spans="1:3" x14ac:dyDescent="0.25">
      <c r="A971" t="str">
        <f>"29/05/2013"</f>
        <v>29/05/2013</v>
      </c>
      <c r="B971" t="str">
        <f>"42.27"</f>
        <v>42.27</v>
      </c>
      <c r="C971" t="str">
        <f>"42.3227"</f>
        <v>42.3227</v>
      </c>
    </row>
    <row r="972" spans="1:3" x14ac:dyDescent="0.25">
      <c r="A972" t="str">
        <f>"30/05/2013"</f>
        <v>30/05/2013</v>
      </c>
      <c r="B972" t="str">
        <f>"42.295"</f>
        <v>42.295</v>
      </c>
      <c r="C972" t="str">
        <f>"42.3375"</f>
        <v>42.3375</v>
      </c>
    </row>
    <row r="973" spans="1:3" x14ac:dyDescent="0.25">
      <c r="A973" t="str">
        <f>"31/05/2013"</f>
        <v>31/05/2013</v>
      </c>
      <c r="B973" t="str">
        <f>"42.24"</f>
        <v>42.24</v>
      </c>
      <c r="C973" t="str">
        <f>"42.28"</f>
        <v>42.28</v>
      </c>
    </row>
    <row r="974" spans="1:3" x14ac:dyDescent="0.25">
      <c r="A974" t="str">
        <f>"03/06/2013"</f>
        <v>03/06/2013</v>
      </c>
      <c r="B974" t="str">
        <f>"42.24"</f>
        <v>42.24</v>
      </c>
      <c r="C974" t="str">
        <f>"42.3009"</f>
        <v>42.3009</v>
      </c>
    </row>
    <row r="975" spans="1:3" x14ac:dyDescent="0.25">
      <c r="A975" t="str">
        <f>"04/06/2013"</f>
        <v>04/06/2013</v>
      </c>
      <c r="B975" t="str">
        <f>"41.93"</f>
        <v>41.93</v>
      </c>
      <c r="C975" t="str">
        <f>"41.9611"</f>
        <v>41.9611</v>
      </c>
    </row>
    <row r="976" spans="1:3" x14ac:dyDescent="0.25">
      <c r="A976" t="str">
        <f>"05/06/2013"</f>
        <v>05/06/2013</v>
      </c>
      <c r="B976" t="str">
        <f>"41.84"</f>
        <v>41.84</v>
      </c>
      <c r="C976" t="str">
        <f>"41.8696"</f>
        <v>41.8696</v>
      </c>
    </row>
    <row r="977" spans="1:3" x14ac:dyDescent="0.25">
      <c r="A977" t="str">
        <f>"06/06/2013"</f>
        <v>06/06/2013</v>
      </c>
      <c r="B977" t="str">
        <f>"42.21"</f>
        <v>42.21</v>
      </c>
      <c r="C977" t="str">
        <f>"42.2391"</f>
        <v>42.2391</v>
      </c>
    </row>
    <row r="978" spans="1:3" x14ac:dyDescent="0.25">
      <c r="A978" t="str">
        <f>"07/06/2013"</f>
        <v>07/06/2013</v>
      </c>
      <c r="B978" t="str">
        <f>"42.11"</f>
        <v>42.11</v>
      </c>
      <c r="C978" t="str">
        <f>"42.1468"</f>
        <v>42.1468</v>
      </c>
    </row>
    <row r="979" spans="1:3" x14ac:dyDescent="0.25">
      <c r="A979" t="str">
        <f>"10/06/2013"</f>
        <v>10/06/2013</v>
      </c>
      <c r="B979" t="str">
        <f>"42.62"</f>
        <v>42.62</v>
      </c>
      <c r="C979" t="str">
        <f>"42.6671"</f>
        <v>42.6671</v>
      </c>
    </row>
    <row r="980" spans="1:3" x14ac:dyDescent="0.25">
      <c r="A980" t="str">
        <f>"11/06/2013"</f>
        <v>11/06/2013</v>
      </c>
      <c r="B980" t="str">
        <f>"43.125"</f>
        <v>43.125</v>
      </c>
      <c r="C980" t="str">
        <f>"43.165"</f>
        <v>43.165</v>
      </c>
    </row>
    <row r="981" spans="1:3" x14ac:dyDescent="0.25">
      <c r="A981" t="str">
        <f>"12/06/2013"</f>
        <v>12/06/2013</v>
      </c>
      <c r="B981" t="str">
        <f>"43.02"</f>
        <v>43.02</v>
      </c>
      <c r="C981" t="str">
        <f>"43.0612"</f>
        <v>43.0612</v>
      </c>
    </row>
    <row r="982" spans="1:3" x14ac:dyDescent="0.25">
      <c r="A982" t="str">
        <f>"13/06/2013"</f>
        <v>13/06/2013</v>
      </c>
      <c r="B982" t="str">
        <f>"43.245"</f>
        <v>43.245</v>
      </c>
      <c r="C982" t="str">
        <f>"43.293"</f>
        <v>43.293</v>
      </c>
    </row>
    <row r="983" spans="1:3" x14ac:dyDescent="0.25">
      <c r="A983" t="str">
        <f>"14/06/2013"</f>
        <v>14/06/2013</v>
      </c>
      <c r="B983" t="str">
        <f>"42.875"</f>
        <v>42.875</v>
      </c>
      <c r="C983" t="str">
        <f>"42.9002"</f>
        <v>42.9002</v>
      </c>
    </row>
    <row r="984" spans="1:3" x14ac:dyDescent="0.25">
      <c r="A984" t="str">
        <f>"17/06/2013"</f>
        <v>17/06/2013</v>
      </c>
      <c r="B984" t="str">
        <f>"42.94"</f>
        <v>42.94</v>
      </c>
      <c r="C984" t="str">
        <f>"42.9665"</f>
        <v>42.9665</v>
      </c>
    </row>
    <row r="985" spans="1:3" x14ac:dyDescent="0.25">
      <c r="A985" t="str">
        <f>"18/06/2013"</f>
        <v>18/06/2013</v>
      </c>
      <c r="B985" t="str">
        <f>"43.235"</f>
        <v>43.235</v>
      </c>
      <c r="C985" t="str">
        <f>"43.275"</f>
        <v>43.275</v>
      </c>
    </row>
    <row r="986" spans="1:3" x14ac:dyDescent="0.25">
      <c r="A986" t="str">
        <f>"19/06/2013"</f>
        <v>19/06/2013</v>
      </c>
      <c r="B986" t="str">
        <f>"43.2025"</f>
        <v>43.2025</v>
      </c>
      <c r="C986" t="str">
        <f>"43.2405"</f>
        <v>43.2405</v>
      </c>
    </row>
    <row r="987" spans="1:3" x14ac:dyDescent="0.25">
      <c r="A987" t="str">
        <f>"20/06/2013"</f>
        <v>20/06/2013</v>
      </c>
      <c r="B987" t="str">
        <f>"43.70"</f>
        <v>43.70</v>
      </c>
      <c r="C987" t="str">
        <f>"43.742"</f>
        <v>43.742</v>
      </c>
    </row>
    <row r="988" spans="1:3" x14ac:dyDescent="0.25">
      <c r="A988" t="str">
        <f>"21/06/2013"</f>
        <v>21/06/2013</v>
      </c>
      <c r="B988" t="str">
        <f>"43.975"</f>
        <v>43.975</v>
      </c>
      <c r="C988" t="str">
        <f>"44.0268"</f>
        <v>44.0268</v>
      </c>
    </row>
    <row r="989" spans="1:3" x14ac:dyDescent="0.25">
      <c r="A989" t="str">
        <f>"24/06/2013"</f>
        <v>24/06/2013</v>
      </c>
      <c r="B989" t="str">
        <f>"43.7175"</f>
        <v>43.7175</v>
      </c>
      <c r="C989" t="str">
        <f>"43.761"</f>
        <v>43.761</v>
      </c>
    </row>
    <row r="990" spans="1:3" x14ac:dyDescent="0.25">
      <c r="A990" t="str">
        <f>"25/06/2013"</f>
        <v>25/06/2013</v>
      </c>
      <c r="B990" t="str">
        <f>"43.70"</f>
        <v>43.70</v>
      </c>
      <c r="C990" t="str">
        <f>"43.718"</f>
        <v>43.718</v>
      </c>
    </row>
    <row r="991" spans="1:3" x14ac:dyDescent="0.25">
      <c r="A991" t="str">
        <f>"26/06/2013"</f>
        <v>26/06/2013</v>
      </c>
      <c r="B991" t="str">
        <f>"43.33"</f>
        <v>43.33</v>
      </c>
      <c r="C991" t="str">
        <f>"43.341"</f>
        <v>43.341</v>
      </c>
    </row>
    <row r="992" spans="1:3" x14ac:dyDescent="0.25">
      <c r="A992" t="str">
        <f>"27/06/2013"</f>
        <v>27/06/2013</v>
      </c>
      <c r="B992" t="str">
        <f>"43.325"</f>
        <v>43.325</v>
      </c>
      <c r="C992" t="str">
        <f>"43.3239"</f>
        <v>43.3239</v>
      </c>
    </row>
    <row r="993" spans="1:3" x14ac:dyDescent="0.25">
      <c r="A993" t="str">
        <f>"28/06/2013"</f>
        <v>28/06/2013</v>
      </c>
      <c r="B993" t="str">
        <f>"43.26"</f>
        <v>43.26</v>
      </c>
      <c r="C993" t="str">
        <f>"43.2824"</f>
        <v>43.2824</v>
      </c>
    </row>
    <row r="994" spans="1:3" x14ac:dyDescent="0.25">
      <c r="A994" t="str">
        <f>"01/07/2013"</f>
        <v>01/07/2013</v>
      </c>
      <c r="B994" t="str">
        <f>"43.095"</f>
        <v>43.095</v>
      </c>
      <c r="C994" t="str">
        <f>"43.1111"</f>
        <v>43.1111</v>
      </c>
    </row>
    <row r="995" spans="1:3" x14ac:dyDescent="0.25">
      <c r="A995" t="str">
        <f>"02/07/2013"</f>
        <v>02/07/2013</v>
      </c>
      <c r="B995" t="str">
        <f>"43.3575"</f>
        <v>43.3575</v>
      </c>
      <c r="C995" t="str">
        <f>"43.3475"</f>
        <v>43.3475</v>
      </c>
    </row>
    <row r="996" spans="1:3" x14ac:dyDescent="0.25">
      <c r="A996" t="str">
        <f>"03/07/2013"</f>
        <v>03/07/2013</v>
      </c>
      <c r="B996" t="str">
        <f>"43.335"</f>
        <v>43.335</v>
      </c>
      <c r="C996" t="str">
        <f>"43.3133"</f>
        <v>43.3133</v>
      </c>
    </row>
    <row r="997" spans="1:3" x14ac:dyDescent="0.25">
      <c r="A997" t="str">
        <f>"04/07/2013"</f>
        <v>04/07/2013</v>
      </c>
      <c r="B997" t="str">
        <f>"43.415"</f>
        <v>43.415</v>
      </c>
      <c r="C997" t="str">
        <f>"43.4337"</f>
        <v>43.4337</v>
      </c>
    </row>
    <row r="998" spans="1:3" x14ac:dyDescent="0.25">
      <c r="A998" t="str">
        <f>"05/07/2013"</f>
        <v>05/07/2013</v>
      </c>
      <c r="B998" t="str">
        <f>"43.42"</f>
        <v>43.42</v>
      </c>
      <c r="C998" t="str">
        <f>"43.4325"</f>
        <v>43.4325</v>
      </c>
    </row>
    <row r="999" spans="1:3" x14ac:dyDescent="0.25">
      <c r="A999" t="str">
        <f>"08/07/2013"</f>
        <v>08/07/2013</v>
      </c>
      <c r="B999" t="str">
        <f>"43.715"</f>
        <v>43.715</v>
      </c>
      <c r="C999" t="str">
        <f>"43.7336"</f>
        <v>43.7336</v>
      </c>
    </row>
    <row r="1000" spans="1:3" x14ac:dyDescent="0.25">
      <c r="A1000" t="str">
        <f>"09/07/2013"</f>
        <v>09/07/2013</v>
      </c>
      <c r="B1000" t="str">
        <f>"43.585"</f>
        <v>43.585</v>
      </c>
      <c r="C1000" t="str">
        <f>"43.598"</f>
        <v>43.598</v>
      </c>
    </row>
    <row r="1001" spans="1:3" x14ac:dyDescent="0.25">
      <c r="A1001" t="str">
        <f>"10/07/2013"</f>
        <v>10/07/2013</v>
      </c>
      <c r="B1001" t="str">
        <f>"43.355"</f>
        <v>43.355</v>
      </c>
      <c r="C1001" t="str">
        <f>"43.3515"</f>
        <v>43.3515</v>
      </c>
    </row>
    <row r="1002" spans="1:3" x14ac:dyDescent="0.25">
      <c r="A1002" t="str">
        <f>"11/07/2013"</f>
        <v>11/07/2013</v>
      </c>
      <c r="B1002" t="str">
        <f>"43.21"</f>
        <v>43.21</v>
      </c>
      <c r="C1002" t="str">
        <f>"43.20"</f>
        <v>43.20</v>
      </c>
    </row>
    <row r="1003" spans="1:3" x14ac:dyDescent="0.25">
      <c r="A1003" t="str">
        <f>"12/07/2013"</f>
        <v>12/07/2013</v>
      </c>
      <c r="B1003" t="str">
        <f>"43.35"</f>
        <v>43.35</v>
      </c>
      <c r="C1003" t="str">
        <f>"43.358"</f>
        <v>43.358</v>
      </c>
    </row>
    <row r="1004" spans="1:3" x14ac:dyDescent="0.25">
      <c r="A1004" t="str">
        <f>"15/07/2013"</f>
        <v>15/07/2013</v>
      </c>
      <c r="B1004" t="str">
        <f>"43.44"</f>
        <v>43.44</v>
      </c>
      <c r="C1004" t="str">
        <f>"43.4461"</f>
        <v>43.4461</v>
      </c>
    </row>
    <row r="1005" spans="1:3" x14ac:dyDescent="0.25">
      <c r="A1005" t="str">
        <f>"16/07/2013"</f>
        <v>16/07/2013</v>
      </c>
      <c r="B1005" t="str">
        <f>"43.385"</f>
        <v>43.385</v>
      </c>
      <c r="C1005" t="str">
        <f>"43.384"</f>
        <v>43.384</v>
      </c>
    </row>
    <row r="1006" spans="1:3" x14ac:dyDescent="0.25">
      <c r="A1006" t="str">
        <f>"17/07/2013"</f>
        <v>17/07/2013</v>
      </c>
      <c r="B1006" t="str">
        <f>"43.31"</f>
        <v>43.31</v>
      </c>
      <c r="C1006" t="str">
        <f>"43.3118"</f>
        <v>43.3118</v>
      </c>
    </row>
    <row r="1007" spans="1:3" x14ac:dyDescent="0.25">
      <c r="A1007" t="str">
        <f>"18/07/2013"</f>
        <v>18/07/2013</v>
      </c>
      <c r="B1007" t="str">
        <f>"43.465"</f>
        <v>43.465</v>
      </c>
      <c r="C1007" t="str">
        <f>"43.47"</f>
        <v>43.47</v>
      </c>
    </row>
    <row r="1008" spans="1:3" x14ac:dyDescent="0.25">
      <c r="A1008" t="str">
        <f>"19/07/2013"</f>
        <v>19/07/2013</v>
      </c>
      <c r="B1008" t="str">
        <f>"43.42"</f>
        <v>43.42</v>
      </c>
      <c r="C1008" t="str">
        <f>"43.4321"</f>
        <v>43.4321</v>
      </c>
    </row>
    <row r="1009" spans="1:3" x14ac:dyDescent="0.25">
      <c r="A1009" t="str">
        <f>"22/07/2013"</f>
        <v>22/07/2013</v>
      </c>
      <c r="B1009" t="str">
        <f>"43.245"</f>
        <v>43.245</v>
      </c>
      <c r="C1009" t="str">
        <f>"43.2613"</f>
        <v>43.2613</v>
      </c>
    </row>
    <row r="1010" spans="1:3" x14ac:dyDescent="0.25">
      <c r="A1010" t="str">
        <f>"23/07/2013"</f>
        <v>23/07/2013</v>
      </c>
      <c r="B1010" t="str">
        <f>"43.17"</f>
        <v>43.17</v>
      </c>
      <c r="C1010" t="str">
        <f>"43.1733"</f>
        <v>43.1733</v>
      </c>
    </row>
    <row r="1011" spans="1:3" x14ac:dyDescent="0.25">
      <c r="A1011" t="str">
        <f>"24/07/2013"</f>
        <v>24/07/2013</v>
      </c>
      <c r="B1011" t="str">
        <f>"43.24"</f>
        <v>43.24</v>
      </c>
      <c r="C1011" t="str">
        <f>"43.2469"</f>
        <v>43.2469</v>
      </c>
    </row>
    <row r="1012" spans="1:3" x14ac:dyDescent="0.25">
      <c r="A1012" t="str">
        <f>"25/07/2013"</f>
        <v>25/07/2013</v>
      </c>
      <c r="B1012" t="str">
        <f>"43.38"</f>
        <v>43.38</v>
      </c>
      <c r="C1012" t="str">
        <f>"43.3934"</f>
        <v>43.3934</v>
      </c>
    </row>
    <row r="1013" spans="1:3" x14ac:dyDescent="0.25">
      <c r="A1013" t="str">
        <f>"26/07/2013"</f>
        <v>26/07/2013</v>
      </c>
      <c r="B1013" t="str">
        <f>"43.31"</f>
        <v>43.31</v>
      </c>
      <c r="C1013" t="str">
        <f>"43.3242"</f>
        <v>43.3242</v>
      </c>
    </row>
    <row r="1014" spans="1:3" x14ac:dyDescent="0.25">
      <c r="A1014" t="str">
        <f>"29/07/2013"</f>
        <v>29/07/2013</v>
      </c>
      <c r="B1014" t="str">
        <f>"43.34"</f>
        <v>43.34</v>
      </c>
      <c r="C1014" t="str">
        <f>"43.3534"</f>
        <v>43.3534</v>
      </c>
    </row>
    <row r="1015" spans="1:3" x14ac:dyDescent="0.25">
      <c r="A1015" t="str">
        <f>"30/07/2013"</f>
        <v>30/07/2013</v>
      </c>
      <c r="B1015" t="str">
        <f>"43.42"</f>
        <v>43.42</v>
      </c>
      <c r="C1015" t="str">
        <f>"43.43"</f>
        <v>43.43</v>
      </c>
    </row>
    <row r="1016" spans="1:3" x14ac:dyDescent="0.25">
      <c r="A1016" t="str">
        <f>"31/07/2013"</f>
        <v>31/07/2013</v>
      </c>
      <c r="B1016" t="str">
        <f>"43.55"</f>
        <v>43.55</v>
      </c>
      <c r="C1016" t="str">
        <f>"43.555"</f>
        <v>43.555</v>
      </c>
    </row>
    <row r="1017" spans="1:3" x14ac:dyDescent="0.25">
      <c r="A1017" t="str">
        <f>"01/08/2013"</f>
        <v>01/08/2013</v>
      </c>
      <c r="B1017" t="str">
        <f>"43.47"</f>
        <v>43.47</v>
      </c>
      <c r="C1017" t="str">
        <f>"43.4775"</f>
        <v>43.4775</v>
      </c>
    </row>
    <row r="1018" spans="1:3" x14ac:dyDescent="0.25">
      <c r="A1018" t="str">
        <f>"02/08/2013"</f>
        <v>02/08/2013</v>
      </c>
      <c r="B1018" t="str">
        <f>"43.6275"</f>
        <v>43.6275</v>
      </c>
      <c r="C1018" t="str">
        <f>"43.6368"</f>
        <v>43.6368</v>
      </c>
    </row>
    <row r="1019" spans="1:3" x14ac:dyDescent="0.25">
      <c r="A1019" t="str">
        <f>"05/08/2013"</f>
        <v>05/08/2013</v>
      </c>
      <c r="B1019" t="str">
        <f>"43.50"</f>
        <v>43.50</v>
      </c>
      <c r="C1019" t="str">
        <f>"43.5056"</f>
        <v>43.5056</v>
      </c>
    </row>
    <row r="1020" spans="1:3" x14ac:dyDescent="0.25">
      <c r="A1020" t="str">
        <f>"06/08/2013"</f>
        <v>06/08/2013</v>
      </c>
      <c r="B1020" t="str">
        <f>"43.54"</f>
        <v>43.54</v>
      </c>
      <c r="C1020" t="str">
        <f>"43.5488"</f>
        <v>43.5488</v>
      </c>
    </row>
    <row r="1021" spans="1:3" x14ac:dyDescent="0.25">
      <c r="A1021" t="str">
        <f>"07/08/2013"</f>
        <v>07/08/2013</v>
      </c>
      <c r="B1021" t="str">
        <f>"43.62"</f>
        <v>43.62</v>
      </c>
      <c r="C1021" t="str">
        <f>"43.6256"</f>
        <v>43.6256</v>
      </c>
    </row>
    <row r="1022" spans="1:3" x14ac:dyDescent="0.25">
      <c r="A1022" t="str">
        <f>"08/08/2013"</f>
        <v>08/08/2013</v>
      </c>
      <c r="B1022" t="str">
        <f>"43.62"</f>
        <v>43.62</v>
      </c>
      <c r="C1022" t="str">
        <f>"43.6265"</f>
        <v>43.6265</v>
      </c>
    </row>
    <row r="1023" spans="1:3" x14ac:dyDescent="0.25">
      <c r="A1023" t="str">
        <f>"12/08/2013"</f>
        <v>12/08/2013</v>
      </c>
      <c r="B1023" t="str">
        <f>"43.66"</f>
        <v>43.66</v>
      </c>
      <c r="C1023" t="str">
        <f>"43.665"</f>
        <v>43.665</v>
      </c>
    </row>
    <row r="1024" spans="1:3" x14ac:dyDescent="0.25">
      <c r="A1024" t="str">
        <f>"13/08/2013"</f>
        <v>13/08/2013</v>
      </c>
      <c r="B1024" t="str">
        <f>"43.72"</f>
        <v>43.72</v>
      </c>
      <c r="C1024" t="str">
        <f>"43.7238"</f>
        <v>43.7238</v>
      </c>
    </row>
    <row r="1025" spans="1:3" x14ac:dyDescent="0.25">
      <c r="A1025" t="str">
        <f>"14/08/2013"</f>
        <v>14/08/2013</v>
      </c>
      <c r="B1025" t="str">
        <f>"43.8175"</f>
        <v>43.8175</v>
      </c>
      <c r="C1025" t="str">
        <f>"43.8228"</f>
        <v>43.8228</v>
      </c>
    </row>
    <row r="1026" spans="1:3" x14ac:dyDescent="0.25">
      <c r="A1026" t="str">
        <f>"16/08/2013"</f>
        <v>16/08/2013</v>
      </c>
      <c r="B1026" t="str">
        <f>"43.80"</f>
        <v>43.80</v>
      </c>
      <c r="C1026" t="str">
        <f>"43.8056"</f>
        <v>43.8056</v>
      </c>
    </row>
    <row r="1027" spans="1:3" x14ac:dyDescent="0.25">
      <c r="A1027" t="str">
        <f>"19/08/2013"</f>
        <v>19/08/2013</v>
      </c>
      <c r="B1027" t="str">
        <f>"43.70"</f>
        <v>43.70</v>
      </c>
      <c r="C1027" t="str">
        <f>"43.695"</f>
        <v>43.695</v>
      </c>
    </row>
    <row r="1028" spans="1:3" x14ac:dyDescent="0.25">
      <c r="A1028" t="str">
        <f>"20/08/2013"</f>
        <v>20/08/2013</v>
      </c>
      <c r="B1028" t="str">
        <f>"43.98"</f>
        <v>43.98</v>
      </c>
      <c r="C1028" t="str">
        <f>"43.975"</f>
        <v>43.975</v>
      </c>
    </row>
    <row r="1029" spans="1:3" x14ac:dyDescent="0.25">
      <c r="A1029" t="str">
        <f>"21/08/2013"</f>
        <v>21/08/2013</v>
      </c>
      <c r="B1029" t="str">
        <f>"43.95"</f>
        <v>43.95</v>
      </c>
      <c r="C1029" t="str">
        <f>"43.945"</f>
        <v>43.945</v>
      </c>
    </row>
    <row r="1030" spans="1:3" x14ac:dyDescent="0.25">
      <c r="A1030" t="str">
        <f>"22/08/2013"</f>
        <v>22/08/2013</v>
      </c>
      <c r="B1030" t="str">
        <f>"44.15"</f>
        <v>44.15</v>
      </c>
      <c r="C1030" t="str">
        <f>"44.154"</f>
        <v>44.154</v>
      </c>
    </row>
    <row r="1031" spans="1:3" x14ac:dyDescent="0.25">
      <c r="A1031" t="str">
        <f>"23/08/2013"</f>
        <v>23/08/2013</v>
      </c>
      <c r="B1031" t="str">
        <f>"44.20"</f>
        <v>44.20</v>
      </c>
      <c r="C1031" t="str">
        <f>"44.2106"</f>
        <v>44.2106</v>
      </c>
    </row>
    <row r="1032" spans="1:3" x14ac:dyDescent="0.25">
      <c r="A1032" t="str">
        <f>"26/08/2013"</f>
        <v>26/08/2013</v>
      </c>
      <c r="B1032" t="str">
        <f>"44.23"</f>
        <v>44.23</v>
      </c>
      <c r="C1032" t="str">
        <f>"44.22"</f>
        <v>44.22</v>
      </c>
    </row>
    <row r="1033" spans="1:3" x14ac:dyDescent="0.25">
      <c r="A1033" t="str">
        <f>"27/08/2013"</f>
        <v>27/08/2013</v>
      </c>
      <c r="B1033" t="str">
        <f>"44.43"</f>
        <v>44.43</v>
      </c>
      <c r="C1033" t="str">
        <f>"44.4304"</f>
        <v>44.4304</v>
      </c>
    </row>
    <row r="1034" spans="1:3" x14ac:dyDescent="0.25">
      <c r="A1034" t="str">
        <f>"28/08/2013"</f>
        <v>28/08/2013</v>
      </c>
      <c r="B1034" t="str">
        <f>"44.75"</f>
        <v>44.75</v>
      </c>
      <c r="C1034" t="str">
        <f>"44.7636"</f>
        <v>44.7636</v>
      </c>
    </row>
    <row r="1035" spans="1:3" x14ac:dyDescent="0.25">
      <c r="A1035" t="str">
        <f>"29/08/2013"</f>
        <v>29/08/2013</v>
      </c>
      <c r="B1035" t="str">
        <f>"44.57"</f>
        <v>44.57</v>
      </c>
      <c r="C1035" t="str">
        <f>"44.5786"</f>
        <v>44.5786</v>
      </c>
    </row>
    <row r="1036" spans="1:3" x14ac:dyDescent="0.25">
      <c r="A1036" t="str">
        <f>"30/08/2013"</f>
        <v>30/08/2013</v>
      </c>
      <c r="B1036" t="str">
        <f>"44.62"</f>
        <v>44.62</v>
      </c>
      <c r="C1036" t="str">
        <f>"44.634"</f>
        <v>44.634</v>
      </c>
    </row>
    <row r="1037" spans="1:3" x14ac:dyDescent="0.25">
      <c r="A1037" t="str">
        <f>"02/09/2013"</f>
        <v>02/09/2013</v>
      </c>
      <c r="B1037" t="str">
        <f>"44.5975"</f>
        <v>44.5975</v>
      </c>
      <c r="C1037" t="str">
        <f>"44.61"</f>
        <v>44.61</v>
      </c>
    </row>
    <row r="1038" spans="1:3" x14ac:dyDescent="0.25">
      <c r="A1038" t="str">
        <f>"03/09/2013"</f>
        <v>03/09/2013</v>
      </c>
      <c r="B1038" t="str">
        <f>"44.305"</f>
        <v>44.305</v>
      </c>
      <c r="C1038" t="str">
        <f>"44.3148"</f>
        <v>44.3148</v>
      </c>
    </row>
    <row r="1039" spans="1:3" x14ac:dyDescent="0.25">
      <c r="A1039" t="str">
        <f>"04/09/2013"</f>
        <v>04/09/2013</v>
      </c>
      <c r="B1039" t="str">
        <f>"44.60"</f>
        <v>44.60</v>
      </c>
      <c r="C1039" t="str">
        <f>"44.6236"</f>
        <v>44.6236</v>
      </c>
    </row>
    <row r="1040" spans="1:3" x14ac:dyDescent="0.25">
      <c r="A1040" t="str">
        <f>"05/09/2013"</f>
        <v>05/09/2013</v>
      </c>
      <c r="B1040" t="str">
        <f>"44.32"</f>
        <v>44.32</v>
      </c>
      <c r="C1040" t="str">
        <f>"44.337"</f>
        <v>44.337</v>
      </c>
    </row>
    <row r="1041" spans="1:3" x14ac:dyDescent="0.25">
      <c r="A1041" t="str">
        <f>"06/09/2013"</f>
        <v>06/09/2013</v>
      </c>
      <c r="B1041" t="str">
        <f>"44.52"</f>
        <v>44.52</v>
      </c>
      <c r="C1041" t="str">
        <f>"44.54"</f>
        <v>44.54</v>
      </c>
    </row>
    <row r="1042" spans="1:3" x14ac:dyDescent="0.25">
      <c r="A1042" t="str">
        <f>"10/09/2013"</f>
        <v>10/09/2013</v>
      </c>
      <c r="B1042" t="str">
        <f>"43.925"</f>
        <v>43.925</v>
      </c>
      <c r="C1042" t="str">
        <f>"43.9261"</f>
        <v>43.9261</v>
      </c>
    </row>
    <row r="1043" spans="1:3" x14ac:dyDescent="0.25">
      <c r="A1043" t="str">
        <f>"11/09/2013"</f>
        <v>11/09/2013</v>
      </c>
      <c r="B1043" t="str">
        <f>"43.865"</f>
        <v>43.865</v>
      </c>
      <c r="C1043" t="str">
        <f>"43.873"</f>
        <v>43.873</v>
      </c>
    </row>
    <row r="1044" spans="1:3" x14ac:dyDescent="0.25">
      <c r="A1044" t="str">
        <f>"12/09/2013"</f>
        <v>12/09/2013</v>
      </c>
      <c r="B1044" t="str">
        <f>"43.775"</f>
        <v>43.775</v>
      </c>
      <c r="C1044" t="str">
        <f>"43.769"</f>
        <v>43.769</v>
      </c>
    </row>
    <row r="1045" spans="1:3" x14ac:dyDescent="0.25">
      <c r="A1045" t="str">
        <f>"13/09/2013"</f>
        <v>13/09/2013</v>
      </c>
      <c r="B1045" t="str">
        <f>"43.85"</f>
        <v>43.85</v>
      </c>
      <c r="C1045" t="str">
        <f>"43.8456"</f>
        <v>43.8456</v>
      </c>
    </row>
    <row r="1046" spans="1:3" x14ac:dyDescent="0.25">
      <c r="A1046" t="str">
        <f>"16/09/2013"</f>
        <v>16/09/2013</v>
      </c>
      <c r="B1046" t="str">
        <f>"44.2025"</f>
        <v>44.2025</v>
      </c>
      <c r="C1046" t="str">
        <f>"44.1992"</f>
        <v>44.1992</v>
      </c>
    </row>
    <row r="1047" spans="1:3" x14ac:dyDescent="0.25">
      <c r="A1047" t="str">
        <f>"17/09/2013"</f>
        <v>17/09/2013</v>
      </c>
      <c r="B1047" t="str">
        <f>"43.75"</f>
        <v>43.75</v>
      </c>
      <c r="C1047" t="str">
        <f>"43.7249"</f>
        <v>43.7249</v>
      </c>
    </row>
    <row r="1048" spans="1:3" x14ac:dyDescent="0.25">
      <c r="A1048" t="str">
        <f>"18/09/2013"</f>
        <v>18/09/2013</v>
      </c>
      <c r="B1048" t="str">
        <f>"43.55"</f>
        <v>43.55</v>
      </c>
      <c r="C1048" t="str">
        <f>"43.52"</f>
        <v>43.52</v>
      </c>
    </row>
    <row r="1049" spans="1:3" x14ac:dyDescent="0.25">
      <c r="A1049" t="str">
        <f>"19/09/2013"</f>
        <v>19/09/2013</v>
      </c>
      <c r="B1049" t="str">
        <f>"43.105"</f>
        <v>43.105</v>
      </c>
      <c r="C1049" t="str">
        <f>"43.0166"</f>
        <v>43.0166</v>
      </c>
    </row>
    <row r="1050" spans="1:3" x14ac:dyDescent="0.25">
      <c r="A1050" t="str">
        <f>"20/09/2013"</f>
        <v>20/09/2013</v>
      </c>
      <c r="B1050" t="str">
        <f>"43.04"</f>
        <v>43.04</v>
      </c>
      <c r="C1050" t="str">
        <f>"43.0378"</f>
        <v>43.0378</v>
      </c>
    </row>
    <row r="1051" spans="1:3" x14ac:dyDescent="0.25">
      <c r="A1051" t="str">
        <f>"23/09/2013"</f>
        <v>23/09/2013</v>
      </c>
      <c r="B1051" t="str">
        <f>"43.18"</f>
        <v>43.18</v>
      </c>
      <c r="C1051" t="str">
        <f>"43.1916"</f>
        <v>43.1916</v>
      </c>
    </row>
    <row r="1052" spans="1:3" x14ac:dyDescent="0.25">
      <c r="A1052" t="str">
        <f>"24/09/2013"</f>
        <v>24/09/2013</v>
      </c>
      <c r="B1052" t="str">
        <f>"43.36"</f>
        <v>43.36</v>
      </c>
      <c r="C1052" t="str">
        <f>"43.3714"</f>
        <v>43.3714</v>
      </c>
    </row>
    <row r="1053" spans="1:3" x14ac:dyDescent="0.25">
      <c r="A1053" t="str">
        <f>"25/09/2013"</f>
        <v>25/09/2013</v>
      </c>
      <c r="B1053" t="str">
        <f>"43.52"</f>
        <v>43.52</v>
      </c>
      <c r="C1053" t="str">
        <f>"43.539"</f>
        <v>43.539</v>
      </c>
    </row>
    <row r="1054" spans="1:3" x14ac:dyDescent="0.25">
      <c r="A1054" t="str">
        <f>"26/09/2013"</f>
        <v>26/09/2013</v>
      </c>
      <c r="B1054" t="str">
        <f>"43.38"</f>
        <v>43.38</v>
      </c>
      <c r="C1054" t="str">
        <f>"43.3913"</f>
        <v>43.3913</v>
      </c>
    </row>
    <row r="1055" spans="1:3" x14ac:dyDescent="0.25">
      <c r="A1055" t="str">
        <f>"27/09/2013"</f>
        <v>27/09/2013</v>
      </c>
      <c r="B1055" t="str">
        <f>"43.3375"</f>
        <v>43.3375</v>
      </c>
      <c r="C1055" t="str">
        <f>"43.3475"</f>
        <v>43.3475</v>
      </c>
    </row>
    <row r="1056" spans="1:3" x14ac:dyDescent="0.25">
      <c r="A1056" t="str">
        <f>"30/09/2013"</f>
        <v>30/09/2013</v>
      </c>
      <c r="B1056" t="str">
        <f>"43.54"</f>
        <v>43.54</v>
      </c>
      <c r="C1056" t="str">
        <f>"43.5383"</f>
        <v>43.5383</v>
      </c>
    </row>
    <row r="1057" spans="1:3" x14ac:dyDescent="0.25">
      <c r="A1057" t="str">
        <f>"01/10/2013"</f>
        <v>01/10/2013</v>
      </c>
      <c r="B1057" t="str">
        <f>"43.38"</f>
        <v>43.38</v>
      </c>
      <c r="C1057" t="str">
        <f>"43.3932"</f>
        <v>43.3932</v>
      </c>
    </row>
    <row r="1058" spans="1:3" x14ac:dyDescent="0.25">
      <c r="A1058" t="str">
        <f>"03/10/2013"</f>
        <v>03/10/2013</v>
      </c>
      <c r="B1058" t="str">
        <f>"43.20"</f>
        <v>43.20</v>
      </c>
      <c r="C1058" t="str">
        <f>"43.1837"</f>
        <v>43.1837</v>
      </c>
    </row>
    <row r="1059" spans="1:3" x14ac:dyDescent="0.25">
      <c r="A1059" t="str">
        <f>"04/10/2013"</f>
        <v>04/10/2013</v>
      </c>
      <c r="B1059" t="str">
        <f>"43.10"</f>
        <v>43.10</v>
      </c>
      <c r="C1059" t="str">
        <f>"43.0833"</f>
        <v>43.0833</v>
      </c>
    </row>
    <row r="1060" spans="1:3" x14ac:dyDescent="0.25">
      <c r="A1060" t="str">
        <f>"07/10/2013"</f>
        <v>07/10/2013</v>
      </c>
      <c r="B1060" t="str">
        <f>"43.13"</f>
        <v>43.13</v>
      </c>
      <c r="C1060" t="str">
        <f>"43.1383"</f>
        <v>43.1383</v>
      </c>
    </row>
    <row r="1061" spans="1:3" x14ac:dyDescent="0.25">
      <c r="A1061" t="str">
        <f>"08/10/2013"</f>
        <v>08/10/2013</v>
      </c>
      <c r="B1061" t="str">
        <f>"43.0875"</f>
        <v>43.0875</v>
      </c>
      <c r="C1061" t="str">
        <f>"43.0825"</f>
        <v>43.0825</v>
      </c>
    </row>
    <row r="1062" spans="1:3" x14ac:dyDescent="0.25">
      <c r="A1062" t="str">
        <f>"09/10/2013"</f>
        <v>09/10/2013</v>
      </c>
      <c r="B1062" t="str">
        <f>"43.17"</f>
        <v>43.17</v>
      </c>
      <c r="C1062" t="str">
        <f>"43.175"</f>
        <v>43.175</v>
      </c>
    </row>
    <row r="1063" spans="1:3" x14ac:dyDescent="0.25">
      <c r="A1063" t="str">
        <f>"10/10/2013"</f>
        <v>10/10/2013</v>
      </c>
      <c r="B1063" t="str">
        <f>"43.26"</f>
        <v>43.26</v>
      </c>
      <c r="C1063" t="str">
        <f>"43.2691"</f>
        <v>43.2691</v>
      </c>
    </row>
    <row r="1064" spans="1:3" x14ac:dyDescent="0.25">
      <c r="A1064" t="str">
        <f>"11/10/2013"</f>
        <v>11/10/2013</v>
      </c>
      <c r="B1064" t="str">
        <f>"43.10"</f>
        <v>43.10</v>
      </c>
      <c r="C1064" t="str">
        <f>"43.1055"</f>
        <v>43.1055</v>
      </c>
    </row>
    <row r="1065" spans="1:3" x14ac:dyDescent="0.25">
      <c r="A1065" t="str">
        <f>"14/10/2013"</f>
        <v>14/10/2013</v>
      </c>
      <c r="B1065" t="str">
        <f>"43.17"</f>
        <v>43.17</v>
      </c>
      <c r="C1065" t="str">
        <f>"43.1645"</f>
        <v>43.1645</v>
      </c>
    </row>
    <row r="1066" spans="1:3" x14ac:dyDescent="0.25">
      <c r="A1066" t="str">
        <f>"15/10/2013"</f>
        <v>15/10/2013</v>
      </c>
      <c r="B1066" t="str">
        <f>"43.15"</f>
        <v>43.15</v>
      </c>
      <c r="C1066" t="str">
        <f>"43.1386"</f>
        <v>43.1386</v>
      </c>
    </row>
    <row r="1067" spans="1:3" x14ac:dyDescent="0.25">
      <c r="A1067" t="str">
        <f>"17/10/2013"</f>
        <v>17/10/2013</v>
      </c>
      <c r="B1067" t="str">
        <f>"43.125"</f>
        <v>43.125</v>
      </c>
      <c r="C1067" t="str">
        <f>"43.08"</f>
        <v>43.08</v>
      </c>
    </row>
    <row r="1068" spans="1:3" x14ac:dyDescent="0.25">
      <c r="A1068" t="str">
        <f>"18/10/2013"</f>
        <v>18/10/2013</v>
      </c>
      <c r="B1068" t="str">
        <f>"43.08"</f>
        <v>43.08</v>
      </c>
      <c r="C1068" t="str">
        <f>"43.0273"</f>
        <v>43.0273</v>
      </c>
    </row>
    <row r="1069" spans="1:3" x14ac:dyDescent="0.25">
      <c r="A1069" t="str">
        <f>"21/10/2013"</f>
        <v>21/10/2013</v>
      </c>
      <c r="B1069" t="str">
        <f>"43.155"</f>
        <v>43.155</v>
      </c>
      <c r="C1069" t="str">
        <f>"43.1406"</f>
        <v>43.1406</v>
      </c>
    </row>
    <row r="1070" spans="1:3" x14ac:dyDescent="0.25">
      <c r="A1070" t="str">
        <f>"22/10/2013"</f>
        <v>22/10/2013</v>
      </c>
      <c r="B1070" t="str">
        <f>"43.2125"</f>
        <v>43.2125</v>
      </c>
      <c r="C1070" t="str">
        <f>"43.1751"</f>
        <v>43.1751</v>
      </c>
    </row>
    <row r="1071" spans="1:3" x14ac:dyDescent="0.25">
      <c r="A1071" t="str">
        <f>"23/10/2013"</f>
        <v>23/10/2013</v>
      </c>
      <c r="B1071" t="str">
        <f>"43.085"</f>
        <v>43.085</v>
      </c>
      <c r="C1071" t="str">
        <f>"43.0387"</f>
        <v>43.0387</v>
      </c>
    </row>
    <row r="1072" spans="1:3" x14ac:dyDescent="0.25">
      <c r="A1072" t="str">
        <f>"24/10/2013"</f>
        <v>24/10/2013</v>
      </c>
      <c r="B1072" t="str">
        <f>"43.095"</f>
        <v>43.095</v>
      </c>
      <c r="C1072" t="str">
        <f>"43.0976"</f>
        <v>43.0976</v>
      </c>
    </row>
    <row r="1073" spans="1:3" x14ac:dyDescent="0.25">
      <c r="A1073" t="str">
        <f>"25/10/2013"</f>
        <v>25/10/2013</v>
      </c>
      <c r="B1073" t="str">
        <f>"43.095"</f>
        <v>43.095</v>
      </c>
      <c r="C1073" t="str">
        <f>"43.0549"</f>
        <v>43.0549</v>
      </c>
    </row>
    <row r="1074" spans="1:3" x14ac:dyDescent="0.25">
      <c r="A1074" t="str">
        <f>"28/10/2013"</f>
        <v>28/10/2013</v>
      </c>
      <c r="B1074" t="str">
        <f>"43.04"</f>
        <v>43.04</v>
      </c>
      <c r="C1074" t="str">
        <f>"42.99"</f>
        <v>42.99</v>
      </c>
    </row>
    <row r="1075" spans="1:3" x14ac:dyDescent="0.25">
      <c r="A1075" t="str">
        <f>"29/10/2013"</f>
        <v>29/10/2013</v>
      </c>
      <c r="B1075" t="str">
        <f>"43.14"</f>
        <v>43.14</v>
      </c>
      <c r="C1075" t="str">
        <f>"43.1443"</f>
        <v>43.1443</v>
      </c>
    </row>
    <row r="1076" spans="1:3" x14ac:dyDescent="0.25">
      <c r="A1076" t="str">
        <f>"30/10/2013"</f>
        <v>30/10/2013</v>
      </c>
      <c r="B1076" t="str">
        <f>"43.19"</f>
        <v>43.19</v>
      </c>
      <c r="C1076" t="str">
        <f>"43.1756"</f>
        <v>43.1756</v>
      </c>
    </row>
    <row r="1077" spans="1:3" x14ac:dyDescent="0.25">
      <c r="A1077" t="str">
        <f>"31/10/2013"</f>
        <v>31/10/2013</v>
      </c>
      <c r="B1077" t="str">
        <f>"43.265"</f>
        <v>43.265</v>
      </c>
      <c r="C1077" t="str">
        <f>"43.2659"</f>
        <v>43.2659</v>
      </c>
    </row>
    <row r="1078" spans="1:3" x14ac:dyDescent="0.25">
      <c r="A1078" t="str">
        <f>"01/11/2013"</f>
        <v>01/11/2013</v>
      </c>
      <c r="B1078" t="str">
        <f>"43.275"</f>
        <v>43.275</v>
      </c>
      <c r="C1078" t="str">
        <f>"43.2664"</f>
        <v>43.2664</v>
      </c>
    </row>
    <row r="1079" spans="1:3" x14ac:dyDescent="0.25">
      <c r="A1079" t="str">
        <f>"05/11/2013"</f>
        <v>05/11/2013</v>
      </c>
      <c r="B1079" t="str">
        <f>"43.285"</f>
        <v>43.285</v>
      </c>
      <c r="C1079" t="str">
        <f>"43.3016"</f>
        <v>43.3016</v>
      </c>
    </row>
    <row r="1080" spans="1:3" x14ac:dyDescent="0.25">
      <c r="A1080" t="str">
        <f>"06/11/2013"</f>
        <v>06/11/2013</v>
      </c>
      <c r="B1080" t="str">
        <f>"43.24"</f>
        <v>43.24</v>
      </c>
      <c r="C1080" t="str">
        <f>"43.247"</f>
        <v>43.247</v>
      </c>
    </row>
    <row r="1081" spans="1:3" x14ac:dyDescent="0.25">
      <c r="A1081" t="str">
        <f>"07/11/2013"</f>
        <v>07/11/2013</v>
      </c>
      <c r="B1081" t="str">
        <f>"43.235"</f>
        <v>43.235</v>
      </c>
      <c r="C1081" t="str">
        <f>"43.2351"</f>
        <v>43.2351</v>
      </c>
    </row>
    <row r="1082" spans="1:3" x14ac:dyDescent="0.25">
      <c r="A1082" t="str">
        <f>"08/11/2013"</f>
        <v>08/11/2013</v>
      </c>
      <c r="B1082" t="str">
        <f>"43.235"</f>
        <v>43.235</v>
      </c>
      <c r="C1082" t="str">
        <f>"43.27"</f>
        <v>43.27</v>
      </c>
    </row>
    <row r="1083" spans="1:3" x14ac:dyDescent="0.25">
      <c r="A1083" t="str">
        <f>"11/11/2013"</f>
        <v>11/11/2013</v>
      </c>
      <c r="B1083" t="str">
        <f>"43.385"</f>
        <v>43.385</v>
      </c>
      <c r="C1083" t="str">
        <f>"43.4038"</f>
        <v>43.4038</v>
      </c>
    </row>
    <row r="1084" spans="1:3" x14ac:dyDescent="0.25">
      <c r="A1084" t="str">
        <f>"12/11/2013"</f>
        <v>12/11/2013</v>
      </c>
      <c r="B1084" t="str">
        <f>"43.66"</f>
        <v>43.66</v>
      </c>
      <c r="C1084" t="str">
        <f>"43.6701"</f>
        <v>43.6701</v>
      </c>
    </row>
    <row r="1085" spans="1:3" x14ac:dyDescent="0.25">
      <c r="A1085" t="str">
        <f>"13/11/2013"</f>
        <v>13/11/2013</v>
      </c>
      <c r="B1085" t="str">
        <f>"43.77"</f>
        <v>43.77</v>
      </c>
      <c r="C1085" t="str">
        <f>"43.7792"</f>
        <v>43.7792</v>
      </c>
    </row>
    <row r="1086" spans="1:3" x14ac:dyDescent="0.25">
      <c r="A1086" t="str">
        <f>"14/11/2013"</f>
        <v>14/11/2013</v>
      </c>
      <c r="B1086" t="str">
        <f>"43.57"</f>
        <v>43.57</v>
      </c>
      <c r="C1086" t="str">
        <f>"43.5811"</f>
        <v>43.5811</v>
      </c>
    </row>
    <row r="1087" spans="1:3" x14ac:dyDescent="0.25">
      <c r="A1087" t="str">
        <f>"18/11/2013"</f>
        <v>18/11/2013</v>
      </c>
      <c r="B1087" t="str">
        <f>"43.62"</f>
        <v>43.62</v>
      </c>
      <c r="C1087" t="str">
        <f>"43.605"</f>
        <v>43.605</v>
      </c>
    </row>
    <row r="1088" spans="1:3" x14ac:dyDescent="0.25">
      <c r="A1088" t="str">
        <f>"19/11/2013"</f>
        <v>19/11/2013</v>
      </c>
      <c r="B1088" t="str">
        <f>"43.57"</f>
        <v>43.57</v>
      </c>
      <c r="C1088" t="str">
        <f>"43.535"</f>
        <v>43.535</v>
      </c>
    </row>
    <row r="1089" spans="1:3" x14ac:dyDescent="0.25">
      <c r="A1089" t="str">
        <f>"20/11/2013"</f>
        <v>20/11/2013</v>
      </c>
      <c r="B1089" t="str">
        <f>"43.565"</f>
        <v>43.565</v>
      </c>
      <c r="C1089" t="str">
        <f>"43.5453"</f>
        <v>43.5453</v>
      </c>
    </row>
    <row r="1090" spans="1:3" x14ac:dyDescent="0.25">
      <c r="A1090" t="str">
        <f>"21/11/2013"</f>
        <v>21/11/2013</v>
      </c>
      <c r="B1090" t="str">
        <f>"43.80"</f>
        <v>43.80</v>
      </c>
      <c r="C1090" t="str">
        <f>"43.80"</f>
        <v>43.80</v>
      </c>
    </row>
    <row r="1091" spans="1:3" x14ac:dyDescent="0.25">
      <c r="A1091" t="str">
        <f>"22/11/2013"</f>
        <v>22/11/2013</v>
      </c>
      <c r="B1091" t="str">
        <f>"43.87"</f>
        <v>43.87</v>
      </c>
      <c r="C1091" t="str">
        <f>"43.8226"</f>
        <v>43.8226</v>
      </c>
    </row>
    <row r="1092" spans="1:3" x14ac:dyDescent="0.25">
      <c r="A1092" t="str">
        <f>"25/11/2013"</f>
        <v>25/11/2013</v>
      </c>
      <c r="B1092" t="str">
        <f>"43.92"</f>
        <v>43.92</v>
      </c>
      <c r="C1092" t="str">
        <f>"43.888"</f>
        <v>43.888</v>
      </c>
    </row>
    <row r="1093" spans="1:3" x14ac:dyDescent="0.25">
      <c r="A1093" t="str">
        <f>"26/11/2013"</f>
        <v>26/11/2013</v>
      </c>
      <c r="B1093" t="str">
        <f>"43.80"</f>
        <v>43.80</v>
      </c>
      <c r="C1093" t="str">
        <f>"43.7835"</f>
        <v>43.7835</v>
      </c>
    </row>
    <row r="1094" spans="1:3" x14ac:dyDescent="0.25">
      <c r="A1094" t="str">
        <f>"27/11/2013"</f>
        <v>27/11/2013</v>
      </c>
      <c r="B1094" t="str">
        <f>"43.725"</f>
        <v>43.725</v>
      </c>
      <c r="C1094" t="str">
        <f>"43.7055"</f>
        <v>43.7055</v>
      </c>
    </row>
    <row r="1095" spans="1:3" x14ac:dyDescent="0.25">
      <c r="A1095" t="str">
        <f>"28/11/2013"</f>
        <v>28/11/2013</v>
      </c>
      <c r="B1095" t="str">
        <f>"43.735"</f>
        <v>43.735</v>
      </c>
      <c r="C1095" t="str">
        <f>"43.7083"</f>
        <v>43.7083</v>
      </c>
    </row>
    <row r="1096" spans="1:3" x14ac:dyDescent="0.25">
      <c r="A1096" t="str">
        <f>"29/11/2013"</f>
        <v>29/11/2013</v>
      </c>
      <c r="B1096" t="str">
        <f>"43.76"</f>
        <v>43.76</v>
      </c>
      <c r="C1096" t="str">
        <f>"43.7153"</f>
        <v>43.7153</v>
      </c>
    </row>
    <row r="1097" spans="1:3" x14ac:dyDescent="0.25">
      <c r="A1097" t="str">
        <f>"02/12/2013"</f>
        <v>02/12/2013</v>
      </c>
      <c r="B1097" t="str">
        <f>"43.71"</f>
        <v>43.71</v>
      </c>
      <c r="C1097" t="str">
        <f>"43.6729"</f>
        <v>43.6729</v>
      </c>
    </row>
    <row r="1098" spans="1:3" x14ac:dyDescent="0.25">
      <c r="A1098" t="str">
        <f>"03/12/2013"</f>
        <v>03/12/2013</v>
      </c>
      <c r="B1098" t="str">
        <f>"43.766"</f>
        <v>43.766</v>
      </c>
      <c r="C1098" t="str">
        <f>"43.7046"</f>
        <v>43.7046</v>
      </c>
    </row>
    <row r="1099" spans="1:3" x14ac:dyDescent="0.25">
      <c r="A1099" t="str">
        <f>"04/12/2013"</f>
        <v>04/12/2013</v>
      </c>
      <c r="B1099" t="str">
        <f>"43.735"</f>
        <v>43.735</v>
      </c>
      <c r="C1099" t="str">
        <f>"43.6626"</f>
        <v>43.6626</v>
      </c>
    </row>
    <row r="1100" spans="1:3" x14ac:dyDescent="0.25">
      <c r="A1100" t="str">
        <f>"05/12/2013"</f>
        <v>05/12/2013</v>
      </c>
      <c r="B1100" t="str">
        <f>"43.87"</f>
        <v>43.87</v>
      </c>
      <c r="C1100" t="str">
        <f>"43.82"</f>
        <v>43.82</v>
      </c>
    </row>
    <row r="1101" spans="1:3" x14ac:dyDescent="0.25">
      <c r="A1101" t="str">
        <f>"06/12/2013"</f>
        <v>06/12/2013</v>
      </c>
      <c r="B1101" t="str">
        <f>"43.87"</f>
        <v>43.87</v>
      </c>
      <c r="C1101" t="str">
        <f>"43.8244"</f>
        <v>43.8244</v>
      </c>
    </row>
    <row r="1102" spans="1:3" x14ac:dyDescent="0.25">
      <c r="A1102" t="str">
        <f>"09/12/2013"</f>
        <v>09/12/2013</v>
      </c>
      <c r="B1102" t="str">
        <f>"43.975"</f>
        <v>43.975</v>
      </c>
      <c r="C1102" t="str">
        <f>"43.954"</f>
        <v>43.954</v>
      </c>
    </row>
    <row r="1103" spans="1:3" x14ac:dyDescent="0.25">
      <c r="A1103" t="str">
        <f>"10/12/2013"</f>
        <v>10/12/2013</v>
      </c>
      <c r="B1103" t="str">
        <f>"44.285"</f>
        <v>44.285</v>
      </c>
      <c r="C1103" t="str">
        <f>"44.2821"</f>
        <v>44.2821</v>
      </c>
    </row>
    <row r="1104" spans="1:3" x14ac:dyDescent="0.25">
      <c r="A1104" t="str">
        <f>"11/12/2013"</f>
        <v>11/12/2013</v>
      </c>
      <c r="B1104" t="str">
        <f>"44.19"</f>
        <v>44.19</v>
      </c>
      <c r="C1104" t="str">
        <f>"44.1658"</f>
        <v>44.1658</v>
      </c>
    </row>
    <row r="1105" spans="1:3" x14ac:dyDescent="0.25">
      <c r="A1105" t="str">
        <f>"12/12/2013"</f>
        <v>12/12/2013</v>
      </c>
      <c r="B1105" t="str">
        <f>"44.21"</f>
        <v>44.21</v>
      </c>
      <c r="C1105" t="str">
        <f>"44.1798"</f>
        <v>44.1798</v>
      </c>
    </row>
    <row r="1106" spans="1:3" x14ac:dyDescent="0.25">
      <c r="A1106" t="str">
        <f>"13/12/2013"</f>
        <v>13/12/2013</v>
      </c>
      <c r="B1106" t="str">
        <f>"44.21"</f>
        <v>44.21</v>
      </c>
      <c r="C1106" t="str">
        <f>"44.188"</f>
        <v>44.188</v>
      </c>
    </row>
    <row r="1107" spans="1:3" x14ac:dyDescent="0.25">
      <c r="A1107" t="str">
        <f>"16/12/2013"</f>
        <v>16/12/2013</v>
      </c>
      <c r="B1107" t="str">
        <f>"44.17"</f>
        <v>44.17</v>
      </c>
      <c r="C1107" t="str">
        <f>"44.1609"</f>
        <v>44.1609</v>
      </c>
    </row>
    <row r="1108" spans="1:3" x14ac:dyDescent="0.25">
      <c r="A1108" t="str">
        <f>"17/12/2013"</f>
        <v>17/12/2013</v>
      </c>
      <c r="B1108" t="str">
        <f>"44.16"</f>
        <v>44.16</v>
      </c>
      <c r="C1108" t="str">
        <f>"44.1227"</f>
        <v>44.1227</v>
      </c>
    </row>
    <row r="1109" spans="1:3" x14ac:dyDescent="0.25">
      <c r="A1109" t="str">
        <f>"18/12/2013"</f>
        <v>18/12/2013</v>
      </c>
      <c r="B1109" t="str">
        <f>"44.285"</f>
        <v>44.285</v>
      </c>
      <c r="C1109" t="str">
        <f>"44.2464"</f>
        <v>44.2464</v>
      </c>
    </row>
    <row r="1110" spans="1:3" x14ac:dyDescent="0.25">
      <c r="A1110" t="str">
        <f>"19/12/2013"</f>
        <v>19/12/2013</v>
      </c>
      <c r="B1110" t="str">
        <f>"44.45"</f>
        <v>44.45</v>
      </c>
      <c r="C1110" t="str">
        <f>"44.4183"</f>
        <v>44.4183</v>
      </c>
    </row>
    <row r="1111" spans="1:3" x14ac:dyDescent="0.25">
      <c r="A1111" t="str">
        <f>"20/12/2013"</f>
        <v>20/12/2013</v>
      </c>
      <c r="B1111" t="str">
        <f>"44.50"</f>
        <v>44.50</v>
      </c>
      <c r="C1111" t="str">
        <f>"44.4492"</f>
        <v>44.4492</v>
      </c>
    </row>
    <row r="1112" spans="1:3" x14ac:dyDescent="0.25">
      <c r="A1112" t="str">
        <f>"23/12/2013"</f>
        <v>23/12/2013</v>
      </c>
      <c r="B1112" t="str">
        <f>"44.41"</f>
        <v>44.41</v>
      </c>
      <c r="C1112" t="str">
        <f>"44.3652"</f>
        <v>44.3652</v>
      </c>
    </row>
    <row r="1113" spans="1:3" x14ac:dyDescent="0.25">
      <c r="A1113" t="str">
        <f>"24/12/2013"</f>
        <v>24/12/2013</v>
      </c>
      <c r="B1113" t="str">
        <f>"44.34"</f>
        <v>44.34</v>
      </c>
      <c r="C1113" t="str">
        <f>"44.2967"</f>
        <v>44.2967</v>
      </c>
    </row>
    <row r="1114" spans="1:3" x14ac:dyDescent="0.25">
      <c r="A1114" t="str">
        <f>"26/12/2013"</f>
        <v>26/12/2013</v>
      </c>
      <c r="B1114" t="str">
        <f>"44.43"</f>
        <v>44.43</v>
      </c>
      <c r="C1114" t="str">
        <f>"44.4233"</f>
        <v>44.4233</v>
      </c>
    </row>
    <row r="1115" spans="1:3" x14ac:dyDescent="0.25">
      <c r="A1115" t="str">
        <f>"27/12/2013"</f>
        <v>27/12/2013</v>
      </c>
      <c r="B1115" t="str">
        <f>"44.355"</f>
        <v>44.355</v>
      </c>
      <c r="C1115" t="str">
        <f>"44.3631"</f>
        <v>44.3631</v>
      </c>
    </row>
    <row r="1116" spans="1:3" x14ac:dyDescent="0.25">
      <c r="A1116" t="str">
        <f>"30/12/2013"</f>
        <v>30/12/2013</v>
      </c>
      <c r="B1116" t="str">
        <f>"44.395"</f>
        <v>44.395</v>
      </c>
      <c r="C1116" t="str">
        <f>"44.4031"</f>
        <v>44.4031</v>
      </c>
    </row>
    <row r="1117" spans="1:3" x14ac:dyDescent="0.25">
      <c r="A1117" t="str">
        <f>"31/12/2013"</f>
        <v>31/12/2013</v>
      </c>
      <c r="B1117" t="str">
        <f>"44.395"</f>
        <v>44.395</v>
      </c>
      <c r="C1117" t="str">
        <f>"44.4031"</f>
        <v>44.4031</v>
      </c>
    </row>
    <row r="1118" spans="1:3" x14ac:dyDescent="0.25">
      <c r="A1118" t="str">
        <f>"01/01/2014"</f>
        <v>01/01/2014</v>
      </c>
      <c r="B1118" t="str">
        <f>"44.395"</f>
        <v>44.395</v>
      </c>
      <c r="C1118" t="str">
        <f>"44.4031"</f>
        <v>44.4031</v>
      </c>
    </row>
    <row r="1119" spans="1:3" x14ac:dyDescent="0.25">
      <c r="A1119" t="str">
        <f>"02/01/2014"</f>
        <v>02/01/2014</v>
      </c>
      <c r="B1119" t="str">
        <f>"44.32"</f>
        <v>44.32</v>
      </c>
      <c r="C1119" t="str">
        <f>"44.343"</f>
        <v>44.343</v>
      </c>
    </row>
    <row r="1120" spans="1:3" x14ac:dyDescent="0.25">
      <c r="A1120" t="str">
        <f>"03/01/2014"</f>
        <v>03/01/2014</v>
      </c>
      <c r="B1120" t="str">
        <f>"44.6425"</f>
        <v>44.6425</v>
      </c>
      <c r="C1120" t="str">
        <f>"44.6552"</f>
        <v>44.6552</v>
      </c>
    </row>
    <row r="1121" spans="1:3" x14ac:dyDescent="0.25">
      <c r="A1121" t="str">
        <f>"06/01/2014"</f>
        <v>06/01/2014</v>
      </c>
      <c r="B1121" t="str">
        <f>"44.7548"</f>
        <v>44.7548</v>
      </c>
      <c r="C1121" t="str">
        <f>"44.7806"</f>
        <v>44.7806</v>
      </c>
    </row>
    <row r="1122" spans="1:3" x14ac:dyDescent="0.25">
      <c r="A1122" t="str">
        <f>"07/01/2014"</f>
        <v>07/01/2014</v>
      </c>
      <c r="B1122" t="str">
        <f>"44.735"</f>
        <v>44.735</v>
      </c>
      <c r="C1122" t="str">
        <f>"44.7609"</f>
        <v>44.7609</v>
      </c>
    </row>
    <row r="1123" spans="1:3" x14ac:dyDescent="0.25">
      <c r="A1123" t="str">
        <f>"08/01/2014"</f>
        <v>08/01/2014</v>
      </c>
      <c r="B1123" t="str">
        <f>"44.755"</f>
        <v>44.755</v>
      </c>
      <c r="C1123" t="str">
        <f>"44.7755"</f>
        <v>44.7755</v>
      </c>
    </row>
    <row r="1124" spans="1:3" x14ac:dyDescent="0.25">
      <c r="A1124" t="str">
        <f>"09/01/2014"</f>
        <v>09/01/2014</v>
      </c>
      <c r="B1124" t="str">
        <f>"44.745"</f>
        <v>44.745</v>
      </c>
      <c r="C1124" t="str">
        <f>"44.7587"</f>
        <v>44.7587</v>
      </c>
    </row>
    <row r="1125" spans="1:3" x14ac:dyDescent="0.25">
      <c r="A1125" t="str">
        <f>"10/01/2014"</f>
        <v>10/01/2014</v>
      </c>
      <c r="B1125" t="str">
        <f>"44.645"</f>
        <v>44.645</v>
      </c>
      <c r="C1125" t="str">
        <f>"44.6489"</f>
        <v>44.6489</v>
      </c>
    </row>
    <row r="1126" spans="1:3" x14ac:dyDescent="0.25">
      <c r="A1126" t="str">
        <f>"16/01/2014"</f>
        <v>16/01/2014</v>
      </c>
      <c r="B1126" t="str">
        <f>"45.10"</f>
        <v>45.10</v>
      </c>
      <c r="C1126" t="str">
        <f>"45.1106"</f>
        <v>45.1106</v>
      </c>
    </row>
    <row r="1127" spans="1:3" x14ac:dyDescent="0.25">
      <c r="A1127" t="str">
        <f>"17/01/2014"</f>
        <v>17/01/2014</v>
      </c>
      <c r="B1127" t="str">
        <f>"45.10"</f>
        <v>45.10</v>
      </c>
      <c r="C1127" t="str">
        <f>"45.102"</f>
        <v>45.102</v>
      </c>
    </row>
    <row r="1128" spans="1:3" x14ac:dyDescent="0.25">
      <c r="A1128" t="str">
        <f>"20/01/2014"</f>
        <v>20/01/2014</v>
      </c>
      <c r="B1128" t="str">
        <f>"45.125"</f>
        <v>45.125</v>
      </c>
      <c r="C1128" t="str">
        <f>"45.1379"</f>
        <v>45.1379</v>
      </c>
    </row>
    <row r="1129" spans="1:3" x14ac:dyDescent="0.25">
      <c r="A1129" t="str">
        <f>"21/01/2014"</f>
        <v>21/01/2014</v>
      </c>
      <c r="B1129" t="str">
        <f>"45.175"</f>
        <v>45.175</v>
      </c>
      <c r="C1129" t="str">
        <f>"45.1928"</f>
        <v>45.1928</v>
      </c>
    </row>
    <row r="1130" spans="1:3" x14ac:dyDescent="0.25">
      <c r="A1130" t="str">
        <f>"22/01/2014"</f>
        <v>22/01/2014</v>
      </c>
      <c r="B1130" t="str">
        <f>"45.275"</f>
        <v>45.275</v>
      </c>
      <c r="C1130" t="str">
        <f>"45.3033"</f>
        <v>45.3033</v>
      </c>
    </row>
    <row r="1131" spans="1:3" x14ac:dyDescent="0.25">
      <c r="A1131" t="str">
        <f>"23/01/2014"</f>
        <v>23/01/2014</v>
      </c>
      <c r="B1131" t="str">
        <f>"45.299"</f>
        <v>45.299</v>
      </c>
      <c r="C1131" t="str">
        <f>"45.3346"</f>
        <v>45.3346</v>
      </c>
    </row>
    <row r="1132" spans="1:3" x14ac:dyDescent="0.25">
      <c r="A1132" t="str">
        <f>"24/01/2014"</f>
        <v>24/01/2014</v>
      </c>
      <c r="B1132" t="str">
        <f>"45.32"</f>
        <v>45.32</v>
      </c>
      <c r="C1132" t="str">
        <f>"45.3636"</f>
        <v>45.3636</v>
      </c>
    </row>
    <row r="1133" spans="1:3" x14ac:dyDescent="0.25">
      <c r="A1133" t="str">
        <f>"27/01/2014"</f>
        <v>27/01/2014</v>
      </c>
      <c r="B1133" t="str">
        <f>"45.445"</f>
        <v>45.445</v>
      </c>
      <c r="C1133" t="str">
        <f>"45.4925"</f>
        <v>45.4925</v>
      </c>
    </row>
    <row r="1134" spans="1:3" x14ac:dyDescent="0.25">
      <c r="A1134" t="str">
        <f>"28/01/2014"</f>
        <v>28/01/2014</v>
      </c>
      <c r="B1134" t="str">
        <f>"45.29"</f>
        <v>45.29</v>
      </c>
      <c r="C1134" t="str">
        <f>"45.3308"</f>
        <v>45.3308</v>
      </c>
    </row>
    <row r="1135" spans="1:3" x14ac:dyDescent="0.25">
      <c r="A1135" t="str">
        <f>"29/01/2014"</f>
        <v>29/01/2014</v>
      </c>
      <c r="B1135" t="str">
        <f>"45.135"</f>
        <v>45.135</v>
      </c>
      <c r="C1135" t="str">
        <f>"45.1642"</f>
        <v>45.1642</v>
      </c>
    </row>
    <row r="1136" spans="1:3" x14ac:dyDescent="0.25">
      <c r="A1136" t="str">
        <f>"30/01/2014"</f>
        <v>30/01/2014</v>
      </c>
      <c r="B1136" t="str">
        <f>"45.34"</f>
        <v>45.34</v>
      </c>
      <c r="C1136" t="str">
        <f>"45.3727"</f>
        <v>45.3727</v>
      </c>
    </row>
    <row r="1137" spans="1:3" x14ac:dyDescent="0.25">
      <c r="A1137" t="str">
        <f>"31/01/2014"</f>
        <v>31/01/2014</v>
      </c>
      <c r="B1137" t="str">
        <f>"45.32"</f>
        <v>45.32</v>
      </c>
      <c r="C1137" t="str">
        <f>"45.3456"</f>
        <v>45.3456</v>
      </c>
    </row>
    <row r="1138" spans="1:3" x14ac:dyDescent="0.25">
      <c r="A1138" t="str">
        <f>"03/02/2014"</f>
        <v>03/02/2014</v>
      </c>
      <c r="B1138" t="str">
        <f>"45.39"</f>
        <v>45.39</v>
      </c>
      <c r="C1138" t="str">
        <f>"45.4223"</f>
        <v>45.4223</v>
      </c>
    </row>
    <row r="1139" spans="1:3" x14ac:dyDescent="0.25">
      <c r="A1139" t="str">
        <f>"04/02/2014"</f>
        <v>04/02/2014</v>
      </c>
      <c r="B1139" t="str">
        <f>"45.425"</f>
        <v>45.425</v>
      </c>
      <c r="C1139" t="str">
        <f>"45.4627"</f>
        <v>45.4627</v>
      </c>
    </row>
    <row r="1140" spans="1:3" x14ac:dyDescent="0.25">
      <c r="A1140" t="str">
        <f>"05/02/2014"</f>
        <v>05/02/2014</v>
      </c>
      <c r="B1140" t="str">
        <f>"45.36"</f>
        <v>45.36</v>
      </c>
      <c r="C1140" t="str">
        <f>"45.38"</f>
        <v>45.38</v>
      </c>
    </row>
    <row r="1141" spans="1:3" x14ac:dyDescent="0.25">
      <c r="A1141" t="str">
        <f>"06/02/2014"</f>
        <v>06/02/2014</v>
      </c>
      <c r="B1141" t="str">
        <f>"45.27"</f>
        <v>45.27</v>
      </c>
      <c r="C1141" t="str">
        <f>"45.2864"</f>
        <v>45.2864</v>
      </c>
    </row>
    <row r="1142" spans="1:3" x14ac:dyDescent="0.25">
      <c r="A1142" t="str">
        <f>"07/02/2014"</f>
        <v>07/02/2014</v>
      </c>
      <c r="B1142" t="str">
        <f>"45.09"</f>
        <v>45.09</v>
      </c>
      <c r="C1142" t="str">
        <f>"45.0987"</f>
        <v>45.0987</v>
      </c>
    </row>
    <row r="1143" spans="1:3" x14ac:dyDescent="0.25">
      <c r="A1143" t="str">
        <f>"10/02/2014"</f>
        <v>10/02/2014</v>
      </c>
      <c r="B1143" t="str">
        <f>"44.935"</f>
        <v>44.935</v>
      </c>
      <c r="C1143" t="str">
        <f>"44.9471"</f>
        <v>44.9471</v>
      </c>
    </row>
    <row r="1144" spans="1:3" x14ac:dyDescent="0.25">
      <c r="A1144" t="str">
        <f>"11/02/2014"</f>
        <v>11/02/2014</v>
      </c>
      <c r="B1144" t="str">
        <f>"44.985"</f>
        <v>44.985</v>
      </c>
      <c r="C1144" t="str">
        <f>"45.0039"</f>
        <v>45.0039</v>
      </c>
    </row>
    <row r="1145" spans="1:3" x14ac:dyDescent="0.25">
      <c r="A1145" t="str">
        <f>"12/02/2014"</f>
        <v>12/02/2014</v>
      </c>
      <c r="B1145" t="str">
        <f>"44.96"</f>
        <v>44.96</v>
      </c>
      <c r="C1145" t="str">
        <f>"44.9883"</f>
        <v>44.9883</v>
      </c>
    </row>
    <row r="1146" spans="1:3" x14ac:dyDescent="0.25">
      <c r="A1146" t="str">
        <f>"13/02/2014"</f>
        <v>13/02/2014</v>
      </c>
      <c r="B1146" t="str">
        <f>"44.92"</f>
        <v>44.92</v>
      </c>
      <c r="C1146" t="str">
        <f>"44.9432"</f>
        <v>44.9432</v>
      </c>
    </row>
    <row r="1147" spans="1:3" x14ac:dyDescent="0.25">
      <c r="A1147" t="str">
        <f>"14/02/2014"</f>
        <v>14/02/2014</v>
      </c>
      <c r="B1147" t="str">
        <f>"44.85"</f>
        <v>44.85</v>
      </c>
      <c r="C1147" t="str">
        <f>"44.8728"</f>
        <v>44.8728</v>
      </c>
    </row>
    <row r="1148" spans="1:3" x14ac:dyDescent="0.25">
      <c r="A1148" t="str">
        <f>"17/02/2014"</f>
        <v>17/02/2014</v>
      </c>
      <c r="B1148" t="str">
        <f>"44.55"</f>
        <v>44.55</v>
      </c>
      <c r="C1148" t="str">
        <f>"44.565"</f>
        <v>44.565</v>
      </c>
    </row>
    <row r="1149" spans="1:3" x14ac:dyDescent="0.25">
      <c r="A1149" t="str">
        <f>"18/02/2014"</f>
        <v>18/02/2014</v>
      </c>
      <c r="B1149" t="str">
        <f>"44.5075"</f>
        <v>44.5075</v>
      </c>
      <c r="C1149" t="str">
        <f>"44.5242"</f>
        <v>44.5242</v>
      </c>
    </row>
    <row r="1150" spans="1:3" x14ac:dyDescent="0.25">
      <c r="A1150" t="str">
        <f>"19/02/2014"</f>
        <v>19/02/2014</v>
      </c>
      <c r="B1150" t="str">
        <f>"44.65"</f>
        <v>44.65</v>
      </c>
      <c r="C1150" t="str">
        <f>"44.669"</f>
        <v>44.669</v>
      </c>
    </row>
    <row r="1151" spans="1:3" x14ac:dyDescent="0.25">
      <c r="A1151" t="str">
        <f>"20/02/2014"</f>
        <v>20/02/2014</v>
      </c>
      <c r="B1151" t="str">
        <f>"44.75"</f>
        <v>44.75</v>
      </c>
      <c r="C1151" t="str">
        <f>"44.7686"</f>
        <v>44.7686</v>
      </c>
    </row>
    <row r="1152" spans="1:3" x14ac:dyDescent="0.25">
      <c r="A1152" t="str">
        <f>"21/02/2014"</f>
        <v>21/02/2014</v>
      </c>
      <c r="B1152" t="str">
        <f>"44.655"</f>
        <v>44.655</v>
      </c>
      <c r="C1152" t="str">
        <f>"44.673"</f>
        <v>44.673</v>
      </c>
    </row>
    <row r="1153" spans="1:3" x14ac:dyDescent="0.25">
      <c r="A1153" t="str">
        <f>"24/02/2014"</f>
        <v>24/02/2014</v>
      </c>
      <c r="B1153" t="str">
        <f>"44.635"</f>
        <v>44.635</v>
      </c>
      <c r="C1153" t="str">
        <f>"44.6547"</f>
        <v>44.6547</v>
      </c>
    </row>
    <row r="1154" spans="1:3" x14ac:dyDescent="0.25">
      <c r="A1154" t="str">
        <f>"25/02/2014"</f>
        <v>25/02/2014</v>
      </c>
      <c r="B1154" t="str">
        <f>"44.60"</f>
        <v>44.60</v>
      </c>
      <c r="C1154" t="str">
        <f>"44.6132"</f>
        <v>44.6132</v>
      </c>
    </row>
    <row r="1155" spans="1:3" x14ac:dyDescent="0.25">
      <c r="A1155" t="str">
        <f>"26/02/2014"</f>
        <v>26/02/2014</v>
      </c>
      <c r="B1155" t="str">
        <f>"44.60"</f>
        <v>44.60</v>
      </c>
      <c r="C1155" t="str">
        <f>"44.62"</f>
        <v>44.62</v>
      </c>
    </row>
    <row r="1156" spans="1:3" x14ac:dyDescent="0.25">
      <c r="A1156" t="str">
        <f>"28/02/2014"</f>
        <v>28/02/2014</v>
      </c>
      <c r="B1156" t="str">
        <f>"44.67"</f>
        <v>44.67</v>
      </c>
      <c r="C1156" t="str">
        <f>"44.6861"</f>
        <v>44.6861</v>
      </c>
    </row>
    <row r="1157" spans="1:3" x14ac:dyDescent="0.25">
      <c r="A1157" t="str">
        <f>"03/03/2014"</f>
        <v>03/03/2014</v>
      </c>
      <c r="B1157" t="str">
        <f>"44.735"</f>
        <v>44.735</v>
      </c>
      <c r="C1157" t="str">
        <f>"44.7564"</f>
        <v>44.7564</v>
      </c>
    </row>
    <row r="1158" spans="1:3" x14ac:dyDescent="0.25">
      <c r="A1158" t="str">
        <f>"04/03/2014"</f>
        <v>04/03/2014</v>
      </c>
      <c r="B1158" t="str">
        <f>"44.825"</f>
        <v>44.825</v>
      </c>
      <c r="C1158" t="str">
        <f>"44.854"</f>
        <v>44.854</v>
      </c>
    </row>
    <row r="1159" spans="1:3" x14ac:dyDescent="0.25">
      <c r="A1159" t="str">
        <f>"05/03/2014"</f>
        <v>05/03/2014</v>
      </c>
      <c r="B1159" t="str">
        <f>"44.755"</f>
        <v>44.755</v>
      </c>
      <c r="C1159" t="str">
        <f>"44.7892"</f>
        <v>44.7892</v>
      </c>
    </row>
    <row r="1160" spans="1:3" x14ac:dyDescent="0.25">
      <c r="A1160" t="str">
        <f>"06/03/2014"</f>
        <v>06/03/2014</v>
      </c>
      <c r="B1160" t="str">
        <f>"44.66"</f>
        <v>44.66</v>
      </c>
      <c r="C1160" t="str">
        <f>"44.6923"</f>
        <v>44.6923</v>
      </c>
    </row>
    <row r="1161" spans="1:3" x14ac:dyDescent="0.25">
      <c r="A1161" t="str">
        <f>"07/03/2014"</f>
        <v>07/03/2014</v>
      </c>
      <c r="B1161" t="str">
        <f>"44.46"</f>
        <v>44.46</v>
      </c>
      <c r="C1161" t="str">
        <f>"44.4826"</f>
        <v>44.4826</v>
      </c>
    </row>
    <row r="1162" spans="1:3" x14ac:dyDescent="0.25">
      <c r="A1162" t="str">
        <f>"10/03/2014"</f>
        <v>10/03/2014</v>
      </c>
      <c r="B1162" t="str">
        <f>"44.48"</f>
        <v>44.48</v>
      </c>
      <c r="C1162" t="str">
        <f>"44.5194"</f>
        <v>44.5194</v>
      </c>
    </row>
    <row r="1163" spans="1:3" x14ac:dyDescent="0.25">
      <c r="A1163" t="str">
        <f>"11/03/2014"</f>
        <v>11/03/2014</v>
      </c>
      <c r="B1163" t="str">
        <f>"44.475"</f>
        <v>44.475</v>
      </c>
      <c r="C1163" t="str">
        <f>"44.5062"</f>
        <v>44.5062</v>
      </c>
    </row>
    <row r="1164" spans="1:3" x14ac:dyDescent="0.25">
      <c r="A1164" t="str">
        <f>"12/03/2014"</f>
        <v>12/03/2014</v>
      </c>
      <c r="B1164" t="str">
        <f>"44.63"</f>
        <v>44.63</v>
      </c>
      <c r="C1164" t="str">
        <f>"44.6695"</f>
        <v>44.6695</v>
      </c>
    </row>
    <row r="1165" spans="1:3" x14ac:dyDescent="0.25">
      <c r="A1165" t="str">
        <f>"13/03/2014"</f>
        <v>13/03/2014</v>
      </c>
      <c r="B1165" t="str">
        <f>"44.53"</f>
        <v>44.53</v>
      </c>
      <c r="C1165" t="str">
        <f>"44.5653"</f>
        <v>44.5653</v>
      </c>
    </row>
    <row r="1166" spans="1:3" x14ac:dyDescent="0.25">
      <c r="A1166" t="str">
        <f>"14/03/2014"</f>
        <v>14/03/2014</v>
      </c>
      <c r="B1166" t="str">
        <f>"44.65"</f>
        <v>44.65</v>
      </c>
      <c r="C1166" t="str">
        <f>"44.6917"</f>
        <v>44.6917</v>
      </c>
    </row>
    <row r="1167" spans="1:3" x14ac:dyDescent="0.25">
      <c r="A1167" t="str">
        <f>"18/03/2014"</f>
        <v>18/03/2014</v>
      </c>
      <c r="B1167" t="str">
        <f>"44.64"</f>
        <v>44.64</v>
      </c>
      <c r="C1167" t="str">
        <f>"44.6782"</f>
        <v>44.6782</v>
      </c>
    </row>
    <row r="1168" spans="1:3" x14ac:dyDescent="0.25">
      <c r="A1168" t="str">
        <f>"19/03/2014"</f>
        <v>19/03/2014</v>
      </c>
      <c r="B1168" t="str">
        <f>"44.88"</f>
        <v>44.88</v>
      </c>
      <c r="C1168" t="str">
        <f>"44.925"</f>
        <v>44.925</v>
      </c>
    </row>
    <row r="1169" spans="1:3" x14ac:dyDescent="0.25">
      <c r="A1169" t="str">
        <f>"20/03/2014"</f>
        <v>20/03/2014</v>
      </c>
      <c r="B1169" t="str">
        <f>"45.06"</f>
        <v>45.06</v>
      </c>
      <c r="C1169" t="str">
        <f>"45.11"</f>
        <v>45.11</v>
      </c>
    </row>
    <row r="1170" spans="1:3" x14ac:dyDescent="0.25">
      <c r="A1170" t="str">
        <f>"21/03/2014"</f>
        <v>21/03/2014</v>
      </c>
      <c r="B1170" t="str">
        <f>"45.245"</f>
        <v>45.245</v>
      </c>
      <c r="C1170" t="str">
        <f>"45.305"</f>
        <v>45.305</v>
      </c>
    </row>
    <row r="1171" spans="1:3" x14ac:dyDescent="0.25">
      <c r="A1171" t="str">
        <f>"24/03/2014"</f>
        <v>24/03/2014</v>
      </c>
      <c r="B1171" t="str">
        <f>"45.19"</f>
        <v>45.19</v>
      </c>
      <c r="C1171" t="str">
        <f>"45.2392"</f>
        <v>45.2392</v>
      </c>
    </row>
    <row r="1172" spans="1:3" x14ac:dyDescent="0.25">
      <c r="A1172" t="str">
        <f>"25/03/2014"</f>
        <v>25/03/2014</v>
      </c>
      <c r="B1172" t="str">
        <f>"45.075"</f>
        <v>45.075</v>
      </c>
      <c r="C1172" t="str">
        <f>"45.1214"</f>
        <v>45.1214</v>
      </c>
    </row>
    <row r="1173" spans="1:3" x14ac:dyDescent="0.25">
      <c r="A1173" t="str">
        <f>"26/03/2014"</f>
        <v>26/03/2014</v>
      </c>
      <c r="B1173" t="str">
        <f>"45.045"</f>
        <v>45.045</v>
      </c>
      <c r="C1173" t="str">
        <f>"45.087"</f>
        <v>45.087</v>
      </c>
    </row>
    <row r="1174" spans="1:3" x14ac:dyDescent="0.25">
      <c r="A1174" t="str">
        <f>"27/03/2014"</f>
        <v>27/03/2014</v>
      </c>
      <c r="B1174" t="str">
        <f>"44.98"</f>
        <v>44.98</v>
      </c>
      <c r="C1174" t="str">
        <f>"45.0206"</f>
        <v>45.0206</v>
      </c>
    </row>
    <row r="1175" spans="1:3" x14ac:dyDescent="0.25">
      <c r="A1175" t="str">
        <f>"28/03/2014"</f>
        <v>28/03/2014</v>
      </c>
      <c r="B1175" t="str">
        <f>"44.98"</f>
        <v>44.98</v>
      </c>
      <c r="C1175" t="str">
        <f>"45.0291"</f>
        <v>45.0291</v>
      </c>
    </row>
    <row r="1176" spans="1:3" x14ac:dyDescent="0.25">
      <c r="A1176" t="str">
        <f>"02/04/2014"</f>
        <v>02/04/2014</v>
      </c>
      <c r="B1176" t="str">
        <f>"44.768"</f>
        <v>44.768</v>
      </c>
      <c r="C1176" t="str">
        <f>"44.801"</f>
        <v>44.801</v>
      </c>
    </row>
    <row r="1177" spans="1:3" x14ac:dyDescent="0.25">
      <c r="A1177" t="str">
        <f>"03/04/2014"</f>
        <v>03/04/2014</v>
      </c>
      <c r="B1177" t="str">
        <f>"45.00"</f>
        <v>45.00</v>
      </c>
      <c r="C1177" t="str">
        <f>"45.0395"</f>
        <v>45.0395</v>
      </c>
    </row>
    <row r="1178" spans="1:3" x14ac:dyDescent="0.25">
      <c r="A1178" t="str">
        <f>"04/04/2014"</f>
        <v>04/04/2014</v>
      </c>
      <c r="B1178" t="str">
        <f>"45.00"</f>
        <v>45.00</v>
      </c>
      <c r="C1178" t="str">
        <f>"45.0426"</f>
        <v>45.0426</v>
      </c>
    </row>
    <row r="1179" spans="1:3" x14ac:dyDescent="0.25">
      <c r="A1179" t="str">
        <f>"07/04/2014"</f>
        <v>07/04/2014</v>
      </c>
      <c r="B1179" t="str">
        <f>"44.90"</f>
        <v>44.90</v>
      </c>
      <c r="C1179" t="str">
        <f>"44.9445"</f>
        <v>44.9445</v>
      </c>
    </row>
    <row r="1180" spans="1:3" x14ac:dyDescent="0.25">
      <c r="A1180" t="str">
        <f>"09/04/2014"</f>
        <v>09/04/2014</v>
      </c>
      <c r="B1180" t="str">
        <f>"44.8675"</f>
        <v>44.8675</v>
      </c>
      <c r="C1180" t="str">
        <f>"44.9082"</f>
        <v>44.9082</v>
      </c>
    </row>
    <row r="1181" spans="1:3" x14ac:dyDescent="0.25">
      <c r="A1181" t="str">
        <f>"10/04/2014"</f>
        <v>10/04/2014</v>
      </c>
      <c r="B1181" t="str">
        <f>"44.52"</f>
        <v>44.52</v>
      </c>
      <c r="C1181" t="str">
        <f>"44.5589"</f>
        <v>44.5589</v>
      </c>
    </row>
    <row r="1182" spans="1:3" x14ac:dyDescent="0.25">
      <c r="A1182" t="str">
        <f>"11/04/2014"</f>
        <v>11/04/2014</v>
      </c>
      <c r="B1182" t="str">
        <f>"44.37"</f>
        <v>44.37</v>
      </c>
      <c r="C1182" t="str">
        <f>"44.4016"</f>
        <v>44.4016</v>
      </c>
    </row>
    <row r="1183" spans="1:3" x14ac:dyDescent="0.25">
      <c r="A1183" t="str">
        <f>"15/04/2014"</f>
        <v>15/04/2014</v>
      </c>
      <c r="B1183" t="str">
        <f>"44.56"</f>
        <v>44.56</v>
      </c>
      <c r="C1183" t="str">
        <f>"44.60"</f>
        <v>44.60</v>
      </c>
    </row>
    <row r="1184" spans="1:3" x14ac:dyDescent="0.25">
      <c r="A1184" t="str">
        <f>"16/04/2014"</f>
        <v>16/04/2014</v>
      </c>
      <c r="B1184" t="str">
        <f>"44.47"</f>
        <v>44.47</v>
      </c>
      <c r="C1184" t="str">
        <f>"44.5014"</f>
        <v>44.5014</v>
      </c>
    </row>
    <row r="1185" spans="1:3" x14ac:dyDescent="0.25">
      <c r="A1185" t="str">
        <f>"17/04/2014"</f>
        <v>17/04/2014</v>
      </c>
      <c r="B1185" t="str">
        <f>"44.4375"</f>
        <v>44.4375</v>
      </c>
      <c r="C1185" t="str">
        <f>"44.4695"</f>
        <v>44.4695</v>
      </c>
    </row>
    <row r="1186" spans="1:3" x14ac:dyDescent="0.25">
      <c r="A1186" t="str">
        <f>"21/04/2014"</f>
        <v>21/04/2014</v>
      </c>
      <c r="B1186" t="str">
        <f>"44.415"</f>
        <v>44.415</v>
      </c>
      <c r="C1186" t="str">
        <f>"44.4545"</f>
        <v>44.4545</v>
      </c>
    </row>
    <row r="1187" spans="1:3" x14ac:dyDescent="0.25">
      <c r="A1187" t="str">
        <f>"22/04/2014"</f>
        <v>22/04/2014</v>
      </c>
      <c r="B1187" t="str">
        <f>"44.505"</f>
        <v>44.505</v>
      </c>
      <c r="C1187" t="str">
        <f>"44.5396"</f>
        <v>44.5396</v>
      </c>
    </row>
    <row r="1188" spans="1:3" x14ac:dyDescent="0.25">
      <c r="A1188" t="str">
        <f>"23/04/2014"</f>
        <v>23/04/2014</v>
      </c>
      <c r="B1188" t="str">
        <f>"44.625"</f>
        <v>44.625</v>
      </c>
      <c r="C1188" t="str">
        <f>"44.661"</f>
        <v>44.661</v>
      </c>
    </row>
    <row r="1189" spans="1:3" x14ac:dyDescent="0.25">
      <c r="A1189" t="str">
        <f>"25/04/2014"</f>
        <v>25/04/2014</v>
      </c>
      <c r="B1189" t="str">
        <f>"44.68"</f>
        <v>44.68</v>
      </c>
      <c r="C1189" t="str">
        <f>"44.7144"</f>
        <v>44.7144</v>
      </c>
    </row>
    <row r="1190" spans="1:3" x14ac:dyDescent="0.25">
      <c r="A1190" t="str">
        <f>"28/04/2014"</f>
        <v>28/04/2014</v>
      </c>
      <c r="B1190" t="str">
        <f>"44.56"</f>
        <v>44.56</v>
      </c>
      <c r="C1190" t="str">
        <f>"44.5928"</f>
        <v>44.5928</v>
      </c>
    </row>
    <row r="1191" spans="1:3" x14ac:dyDescent="0.25">
      <c r="A1191" t="str">
        <f>"29/04/2014"</f>
        <v>29/04/2014</v>
      </c>
      <c r="B1191" t="str">
        <f>"44.465"</f>
        <v>44.465</v>
      </c>
      <c r="C1191" t="str">
        <f>"44.4866"</f>
        <v>44.4866</v>
      </c>
    </row>
    <row r="1192" spans="1:3" x14ac:dyDescent="0.25">
      <c r="A1192" t="str">
        <f>"30/04/2014"</f>
        <v>30/04/2014</v>
      </c>
      <c r="B1192" t="str">
        <f>"44.53"</f>
        <v>44.53</v>
      </c>
      <c r="C1192" t="str">
        <f>"44.5534"</f>
        <v>44.5534</v>
      </c>
    </row>
    <row r="1193" spans="1:3" x14ac:dyDescent="0.25">
      <c r="A1193" t="str">
        <f>"02/05/2014"</f>
        <v>02/05/2014</v>
      </c>
      <c r="B1193" t="str">
        <f>"44.55"</f>
        <v>44.55</v>
      </c>
      <c r="C1193" t="str">
        <f>"44.58"</f>
        <v>44.58</v>
      </c>
    </row>
    <row r="1194" spans="1:3" x14ac:dyDescent="0.25">
      <c r="A1194" t="str">
        <f>"05/05/2014"</f>
        <v>05/05/2014</v>
      </c>
      <c r="B1194" t="str">
        <f>"44.40"</f>
        <v>44.40</v>
      </c>
      <c r="C1194" t="str">
        <f>"44.4271"</f>
        <v>44.4271</v>
      </c>
    </row>
    <row r="1195" spans="1:3" x14ac:dyDescent="0.25">
      <c r="A1195" t="str">
        <f>"06/05/2014"</f>
        <v>06/05/2014</v>
      </c>
      <c r="B1195" t="str">
        <f>"44.3725"</f>
        <v>44.3725</v>
      </c>
      <c r="C1195" t="str">
        <f>"44.398"</f>
        <v>44.398</v>
      </c>
    </row>
    <row r="1196" spans="1:3" x14ac:dyDescent="0.25">
      <c r="A1196" t="str">
        <f>"07/05/2014"</f>
        <v>07/05/2014</v>
      </c>
      <c r="B1196" t="str">
        <f>"44.355"</f>
        <v>44.355</v>
      </c>
      <c r="C1196" t="str">
        <f>"44.377"</f>
        <v>44.377</v>
      </c>
    </row>
    <row r="1197" spans="1:3" x14ac:dyDescent="0.25">
      <c r="A1197" t="str">
        <f>"08/05/2014"</f>
        <v>08/05/2014</v>
      </c>
      <c r="B1197" t="str">
        <f>"44.225"</f>
        <v>44.225</v>
      </c>
      <c r="C1197" t="str">
        <f>"44.245"</f>
        <v>44.245</v>
      </c>
    </row>
    <row r="1198" spans="1:3" x14ac:dyDescent="0.25">
      <c r="A1198" t="str">
        <f>"09/05/2014"</f>
        <v>09/05/2014</v>
      </c>
      <c r="B1198" t="str">
        <f>"43.74"</f>
        <v>43.74</v>
      </c>
      <c r="C1198" t="str">
        <f>"43.7495"</f>
        <v>43.7495</v>
      </c>
    </row>
    <row r="1199" spans="1:3" x14ac:dyDescent="0.25">
      <c r="A1199" t="str">
        <f>"12/05/2014"</f>
        <v>12/05/2014</v>
      </c>
      <c r="B1199" t="str">
        <f>"43.76"</f>
        <v>43.76</v>
      </c>
      <c r="C1199" t="str">
        <f>"43.7796"</f>
        <v>43.7796</v>
      </c>
    </row>
    <row r="1200" spans="1:3" x14ac:dyDescent="0.25">
      <c r="A1200" t="str">
        <f>"13/05/2014"</f>
        <v>13/05/2014</v>
      </c>
      <c r="B1200" t="str">
        <f>"43.79"</f>
        <v>43.79</v>
      </c>
      <c r="C1200" t="str">
        <f>"43.8104"</f>
        <v>43.8104</v>
      </c>
    </row>
    <row r="1201" spans="1:3" x14ac:dyDescent="0.25">
      <c r="A1201" t="str">
        <f>"15/05/2014"</f>
        <v>15/05/2014</v>
      </c>
      <c r="B1201" t="str">
        <f>"43.70"</f>
        <v>43.70</v>
      </c>
      <c r="C1201" t="str">
        <f>"43.7231"</f>
        <v>43.7231</v>
      </c>
    </row>
    <row r="1202" spans="1:3" x14ac:dyDescent="0.25">
      <c r="A1202" t="str">
        <f>"16/05/2014"</f>
        <v>16/05/2014</v>
      </c>
      <c r="B1202" t="str">
        <f>"43.75"</f>
        <v>43.75</v>
      </c>
      <c r="C1202" t="str">
        <f>"43.7746"</f>
        <v>43.7746</v>
      </c>
    </row>
    <row r="1203" spans="1:3" x14ac:dyDescent="0.25">
      <c r="A1203" t="str">
        <f>"19/05/2014"</f>
        <v>19/05/2014</v>
      </c>
      <c r="B1203" t="str">
        <f>"43.62"</f>
        <v>43.62</v>
      </c>
      <c r="C1203" t="str">
        <f>"43.6521"</f>
        <v>43.6521</v>
      </c>
    </row>
    <row r="1204" spans="1:3" x14ac:dyDescent="0.25">
      <c r="A1204" t="str">
        <f>"20/05/2014"</f>
        <v>20/05/2014</v>
      </c>
      <c r="B1204" t="str">
        <f>"43.7675"</f>
        <v>43.7675</v>
      </c>
      <c r="C1204" t="str">
        <f>"43.8022"</f>
        <v>43.8022</v>
      </c>
    </row>
    <row r="1205" spans="1:3" x14ac:dyDescent="0.25">
      <c r="A1205" t="str">
        <f>"21/05/2014"</f>
        <v>21/05/2014</v>
      </c>
      <c r="B1205" t="str">
        <f>"43.7825"</f>
        <v>43.7825</v>
      </c>
      <c r="C1205" t="str">
        <f>"43.8375"</f>
        <v>43.8375</v>
      </c>
    </row>
    <row r="1206" spans="1:3" x14ac:dyDescent="0.25">
      <c r="A1206" t="str">
        <f>"22/05/2014"</f>
        <v>22/05/2014</v>
      </c>
      <c r="B1206" t="str">
        <f>"43.72"</f>
        <v>43.72</v>
      </c>
      <c r="C1206" t="str">
        <f>"43.7529"</f>
        <v>43.7529</v>
      </c>
    </row>
    <row r="1207" spans="1:3" x14ac:dyDescent="0.25">
      <c r="A1207" t="str">
        <f>"23/05/2014"</f>
        <v>23/05/2014</v>
      </c>
      <c r="B1207" t="str">
        <f>"43.615"</f>
        <v>43.615</v>
      </c>
      <c r="C1207" t="str">
        <f>"43.6442"</f>
        <v>43.6442</v>
      </c>
    </row>
    <row r="1208" spans="1:3" x14ac:dyDescent="0.25">
      <c r="A1208" t="str">
        <f>"26/05/2014"</f>
        <v>26/05/2014</v>
      </c>
      <c r="B1208" t="str">
        <f>"43.695"</f>
        <v>43.695</v>
      </c>
      <c r="C1208" t="str">
        <f>"43.7232"</f>
        <v>43.7232</v>
      </c>
    </row>
    <row r="1209" spans="1:3" x14ac:dyDescent="0.25">
      <c r="A1209" t="str">
        <f>"27/05/2014"</f>
        <v>27/05/2014</v>
      </c>
      <c r="B1209" t="str">
        <f>"43.73"</f>
        <v>43.73</v>
      </c>
      <c r="C1209" t="str">
        <f>"43.7514"</f>
        <v>43.7514</v>
      </c>
    </row>
    <row r="1210" spans="1:3" x14ac:dyDescent="0.25">
      <c r="A1210" t="str">
        <f>"28/05/2014"</f>
        <v>28/05/2014</v>
      </c>
      <c r="B1210" t="str">
        <f>"43.94"</f>
        <v>43.94</v>
      </c>
      <c r="C1210" t="str">
        <f>"43.9602"</f>
        <v>43.9602</v>
      </c>
    </row>
    <row r="1211" spans="1:3" x14ac:dyDescent="0.25">
      <c r="A1211" t="str">
        <f>"29/05/2014"</f>
        <v>29/05/2014</v>
      </c>
      <c r="B1211" t="str">
        <f>"43.9725"</f>
        <v>43.9725</v>
      </c>
      <c r="C1211" t="str">
        <f>"43.9883"</f>
        <v>43.9883</v>
      </c>
    </row>
    <row r="1212" spans="1:3" x14ac:dyDescent="0.25">
      <c r="A1212" t="str">
        <f>"30/05/2014"</f>
        <v>30/05/2014</v>
      </c>
      <c r="B1212" t="str">
        <f>"43.83"</f>
        <v>43.83</v>
      </c>
      <c r="C1212" t="str">
        <f>"43.8477"</f>
        <v>43.8477</v>
      </c>
    </row>
    <row r="1213" spans="1:3" x14ac:dyDescent="0.25">
      <c r="A1213" t="str">
        <f>"02/06/2014"</f>
        <v>02/06/2014</v>
      </c>
      <c r="B1213" t="str">
        <f>"43.86"</f>
        <v>43.86</v>
      </c>
      <c r="C1213" t="str">
        <f>"43.8807"</f>
        <v>43.8807</v>
      </c>
    </row>
    <row r="1214" spans="1:3" x14ac:dyDescent="0.25">
      <c r="A1214" t="str">
        <f>"03/06/2014"</f>
        <v>03/06/2014</v>
      </c>
      <c r="B1214" t="str">
        <f>"43.79"</f>
        <v>43.79</v>
      </c>
      <c r="C1214" t="str">
        <f>"43.8152"</f>
        <v>43.8152</v>
      </c>
    </row>
    <row r="1215" spans="1:3" x14ac:dyDescent="0.25">
      <c r="A1215" t="str">
        <f>"04/06/2014"</f>
        <v>04/06/2014</v>
      </c>
      <c r="B1215" t="str">
        <f>"43.895"</f>
        <v>43.895</v>
      </c>
      <c r="C1215" t="str">
        <f>"43.9198"</f>
        <v>43.9198</v>
      </c>
    </row>
    <row r="1216" spans="1:3" x14ac:dyDescent="0.25">
      <c r="A1216" t="str">
        <f>"05/06/2014"</f>
        <v>05/06/2014</v>
      </c>
      <c r="B1216" t="str">
        <f>"43.78"</f>
        <v>43.78</v>
      </c>
      <c r="C1216" t="str">
        <f>"43.806"</f>
        <v>43.806</v>
      </c>
    </row>
    <row r="1217" spans="1:3" x14ac:dyDescent="0.25">
      <c r="A1217" t="str">
        <f>"06/06/2014"</f>
        <v>06/06/2014</v>
      </c>
      <c r="B1217" t="str">
        <f>"43.6925"</f>
        <v>43.6925</v>
      </c>
      <c r="C1217" t="str">
        <f>"43.7198"</f>
        <v>43.7198</v>
      </c>
    </row>
    <row r="1218" spans="1:3" x14ac:dyDescent="0.25">
      <c r="A1218" t="str">
        <f>"09/06/2014"</f>
        <v>09/06/2014</v>
      </c>
      <c r="B1218" t="str">
        <f>"43.585"</f>
        <v>43.585</v>
      </c>
      <c r="C1218" t="str">
        <f>"43.6119"</f>
        <v>43.6119</v>
      </c>
    </row>
    <row r="1219" spans="1:3" x14ac:dyDescent="0.25">
      <c r="A1219" t="str">
        <f>"10/06/2014"</f>
        <v>10/06/2014</v>
      </c>
      <c r="B1219" t="str">
        <f>"43.685"</f>
        <v>43.685</v>
      </c>
      <c r="C1219" t="str">
        <f>"43.7057"</f>
        <v>43.7057</v>
      </c>
    </row>
    <row r="1220" spans="1:3" x14ac:dyDescent="0.25">
      <c r="A1220" t="str">
        <f>"11/06/2014"</f>
        <v>11/06/2014</v>
      </c>
      <c r="B1220" t="str">
        <f>"43.71"</f>
        <v>43.71</v>
      </c>
      <c r="C1220" t="str">
        <f>"43.73"</f>
        <v>43.73</v>
      </c>
    </row>
    <row r="1221" spans="1:3" x14ac:dyDescent="0.25">
      <c r="A1221" t="str">
        <f>"12/06/2014"</f>
        <v>12/06/2014</v>
      </c>
      <c r="B1221" t="str">
        <f>"43.80"</f>
        <v>43.80</v>
      </c>
      <c r="C1221" t="str">
        <f>"43.8202"</f>
        <v>43.8202</v>
      </c>
    </row>
    <row r="1222" spans="1:3" x14ac:dyDescent="0.25">
      <c r="A1222" t="str">
        <f>"13/06/2014"</f>
        <v>13/06/2014</v>
      </c>
      <c r="B1222" t="str">
        <f>"43.7575"</f>
        <v>43.7575</v>
      </c>
      <c r="C1222" t="str">
        <f>"43.7812"</f>
        <v>43.7812</v>
      </c>
    </row>
    <row r="1223" spans="1:3" x14ac:dyDescent="0.25">
      <c r="A1223" t="str">
        <f>"16/06/2014"</f>
        <v>16/06/2014</v>
      </c>
      <c r="B1223" t="str">
        <f>"43.8338"</f>
        <v>43.8338</v>
      </c>
      <c r="C1223" t="str">
        <f>"43.8527"</f>
        <v>43.8527</v>
      </c>
    </row>
    <row r="1224" spans="1:3" x14ac:dyDescent="0.25">
      <c r="A1224" t="str">
        <f>"17/06/2014"</f>
        <v>17/06/2014</v>
      </c>
      <c r="B1224" t="str">
        <f>"43.9575"</f>
        <v>43.9575</v>
      </c>
      <c r="C1224" t="str">
        <f>"43.9821"</f>
        <v>43.9821</v>
      </c>
    </row>
    <row r="1225" spans="1:3" x14ac:dyDescent="0.25">
      <c r="A1225" t="str">
        <f>"18/06/2014"</f>
        <v>18/06/2014</v>
      </c>
      <c r="B1225" t="str">
        <f>"43.97"</f>
        <v>43.97</v>
      </c>
      <c r="C1225" t="str">
        <f>"44.0013"</f>
        <v>44.0013</v>
      </c>
    </row>
    <row r="1226" spans="1:3" x14ac:dyDescent="0.25">
      <c r="A1226" t="str">
        <f>"19/06/2014"</f>
        <v>19/06/2014</v>
      </c>
      <c r="B1226" t="str">
        <f>"43.88"</f>
        <v>43.88</v>
      </c>
      <c r="C1226" t="str">
        <f>"43.9041"</f>
        <v>43.9041</v>
      </c>
    </row>
    <row r="1227" spans="1:3" x14ac:dyDescent="0.25">
      <c r="A1227" t="str">
        <f>"20/06/2014"</f>
        <v>20/06/2014</v>
      </c>
      <c r="B1227" t="str">
        <f>"43.77"</f>
        <v>43.77</v>
      </c>
      <c r="C1227" t="str">
        <f>"43.7959"</f>
        <v>43.7959</v>
      </c>
    </row>
    <row r="1228" spans="1:3" x14ac:dyDescent="0.25">
      <c r="A1228" t="str">
        <f>"23/06/2014"</f>
        <v>23/06/2014</v>
      </c>
      <c r="B1228" t="str">
        <f>"43.78"</f>
        <v>43.78</v>
      </c>
      <c r="C1228" t="str">
        <f>"43.8087"</f>
        <v>43.8087</v>
      </c>
    </row>
    <row r="1229" spans="1:3" x14ac:dyDescent="0.25">
      <c r="A1229" t="str">
        <f>"24/06/2014"</f>
        <v>24/06/2014</v>
      </c>
      <c r="B1229" t="str">
        <f>"43.85"</f>
        <v>43.85</v>
      </c>
      <c r="C1229" t="str">
        <f>"43.8808"</f>
        <v>43.8808</v>
      </c>
    </row>
    <row r="1230" spans="1:3" x14ac:dyDescent="0.25">
      <c r="A1230" t="str">
        <f>"25/06/2014"</f>
        <v>25/06/2014</v>
      </c>
      <c r="B1230" t="str">
        <f>"43.95"</f>
        <v>43.95</v>
      </c>
      <c r="C1230" t="str">
        <f>"43.9817"</f>
        <v>43.9817</v>
      </c>
    </row>
    <row r="1231" spans="1:3" x14ac:dyDescent="0.25">
      <c r="A1231" t="str">
        <f>"26/06/2014"</f>
        <v>26/06/2014</v>
      </c>
      <c r="B1231" t="str">
        <f>"43.825"</f>
        <v>43.825</v>
      </c>
      <c r="C1231" t="str">
        <f>"43.8542"</f>
        <v>43.8542</v>
      </c>
    </row>
    <row r="1232" spans="1:3" x14ac:dyDescent="0.25">
      <c r="A1232" t="str">
        <f>"27/06/2014"</f>
        <v>27/06/2014</v>
      </c>
      <c r="B1232" t="str">
        <f>"43.785"</f>
        <v>43.785</v>
      </c>
      <c r="C1232" t="str">
        <f>"43.8153"</f>
        <v>43.8153</v>
      </c>
    </row>
    <row r="1233" spans="1:3" x14ac:dyDescent="0.25">
      <c r="A1233" t="str">
        <f>"30/06/2014"</f>
        <v>30/06/2014</v>
      </c>
      <c r="B1233" t="str">
        <f>"43.625"</f>
        <v>43.625</v>
      </c>
      <c r="C1233" t="str">
        <f>"43.6551"</f>
        <v>43.6551</v>
      </c>
    </row>
    <row r="1234" spans="1:3" x14ac:dyDescent="0.25">
      <c r="A1234" t="str">
        <f>"01/07/2014"</f>
        <v>01/07/2014</v>
      </c>
      <c r="B1234" t="str">
        <f>"43.63"</f>
        <v>43.63</v>
      </c>
      <c r="C1234" t="str">
        <f>"43.661"</f>
        <v>43.661</v>
      </c>
    </row>
    <row r="1235" spans="1:3" x14ac:dyDescent="0.25">
      <c r="A1235" t="str">
        <f>"02/07/2014"</f>
        <v>02/07/2014</v>
      </c>
      <c r="B1235" t="str">
        <f>"43.62"</f>
        <v>43.62</v>
      </c>
      <c r="C1235" t="str">
        <f>"43.6526"</f>
        <v>43.6526</v>
      </c>
    </row>
    <row r="1236" spans="1:3" x14ac:dyDescent="0.25">
      <c r="A1236" t="str">
        <f>"03/07/2014"</f>
        <v>03/07/2014</v>
      </c>
      <c r="B1236" t="str">
        <f>"43.645"</f>
        <v>43.645</v>
      </c>
      <c r="C1236" t="str">
        <f>"43.6781"</f>
        <v>43.6781</v>
      </c>
    </row>
    <row r="1237" spans="1:3" x14ac:dyDescent="0.25">
      <c r="A1237" t="str">
        <f>"04/07/2014"</f>
        <v>04/07/2014</v>
      </c>
      <c r="B1237" t="str">
        <f>"43.555"</f>
        <v>43.555</v>
      </c>
      <c r="C1237" t="str">
        <f>"43.5884"</f>
        <v>43.5884</v>
      </c>
    </row>
    <row r="1238" spans="1:3" x14ac:dyDescent="0.25">
      <c r="A1238" t="str">
        <f>"07/07/2014"</f>
        <v>07/07/2014</v>
      </c>
      <c r="B1238" t="str">
        <f>"43.47"</f>
        <v>43.47</v>
      </c>
      <c r="C1238" t="str">
        <f>"43.5072"</f>
        <v>43.5072</v>
      </c>
    </row>
    <row r="1239" spans="1:3" x14ac:dyDescent="0.25">
      <c r="A1239" t="str">
        <f>"08/07/2014"</f>
        <v>08/07/2014</v>
      </c>
      <c r="B1239" t="str">
        <f>"43.405"</f>
        <v>43.405</v>
      </c>
      <c r="C1239" t="str">
        <f>"43.4385"</f>
        <v>43.4385</v>
      </c>
    </row>
    <row r="1240" spans="1:3" x14ac:dyDescent="0.25">
      <c r="A1240" t="str">
        <f>"09/07/2014"</f>
        <v>09/07/2014</v>
      </c>
      <c r="B1240" t="str">
        <f>"43.365"</f>
        <v>43.365</v>
      </c>
      <c r="C1240" t="str">
        <f>"43.4008"</f>
        <v>43.4008</v>
      </c>
    </row>
    <row r="1241" spans="1:3" x14ac:dyDescent="0.25">
      <c r="A1241" t="str">
        <f>"10/07/2014"</f>
        <v>10/07/2014</v>
      </c>
      <c r="B1241" t="str">
        <f>"43.2725"</f>
        <v>43.2725</v>
      </c>
      <c r="C1241" t="str">
        <f>"43.3053"</f>
        <v>43.3053</v>
      </c>
    </row>
    <row r="1242" spans="1:3" x14ac:dyDescent="0.25">
      <c r="A1242" t="str">
        <f>"11/07/2014"</f>
        <v>11/07/2014</v>
      </c>
      <c r="B1242" t="str">
        <f>"43.505"</f>
        <v>43.505</v>
      </c>
      <c r="C1242" t="str">
        <f>"43.542"</f>
        <v>43.542</v>
      </c>
    </row>
    <row r="1243" spans="1:3" x14ac:dyDescent="0.25">
      <c r="A1243" t="str">
        <f>"14/07/2014"</f>
        <v>14/07/2014</v>
      </c>
      <c r="B1243" t="str">
        <f>"43.53"</f>
        <v>43.53</v>
      </c>
      <c r="C1243" t="str">
        <f>"43.5684"</f>
        <v>43.5684</v>
      </c>
    </row>
    <row r="1244" spans="1:3" x14ac:dyDescent="0.25">
      <c r="A1244" t="str">
        <f>"15/07/2014"</f>
        <v>15/07/2014</v>
      </c>
      <c r="B1244" t="str">
        <f>"43.625"</f>
        <v>43.625</v>
      </c>
      <c r="C1244" t="str">
        <f>"43.6615"</f>
        <v>43.6615</v>
      </c>
    </row>
    <row r="1245" spans="1:3" x14ac:dyDescent="0.25">
      <c r="A1245" t="str">
        <f>"16/07/2014"</f>
        <v>16/07/2014</v>
      </c>
      <c r="B1245" t="str">
        <f>"43.61"</f>
        <v>43.61</v>
      </c>
      <c r="C1245" t="str">
        <f>"43.6465"</f>
        <v>43.6465</v>
      </c>
    </row>
    <row r="1246" spans="1:3" x14ac:dyDescent="0.25">
      <c r="A1246" t="str">
        <f>"17/07/2014"</f>
        <v>17/07/2014</v>
      </c>
      <c r="B1246" t="str">
        <f>"43.565"</f>
        <v>43.565</v>
      </c>
      <c r="C1246" t="str">
        <f>"43.6029"</f>
        <v>43.6029</v>
      </c>
    </row>
    <row r="1247" spans="1:3" x14ac:dyDescent="0.25">
      <c r="A1247" t="str">
        <f>"18/07/2014"</f>
        <v>18/07/2014</v>
      </c>
      <c r="B1247" t="str">
        <f>"43.60"</f>
        <v>43.60</v>
      </c>
      <c r="C1247" t="str">
        <f>"43.6392"</f>
        <v>43.6392</v>
      </c>
    </row>
    <row r="1248" spans="1:3" x14ac:dyDescent="0.25">
      <c r="A1248" t="str">
        <f>"21/07/2014"</f>
        <v>21/07/2014</v>
      </c>
      <c r="B1248" t="str">
        <f>"43.46"</f>
        <v>43.46</v>
      </c>
      <c r="C1248" t="str">
        <f>"43.4921"</f>
        <v>43.4921</v>
      </c>
    </row>
    <row r="1249" spans="1:3" x14ac:dyDescent="0.25">
      <c r="A1249" t="str">
        <f>"22/07/2014"</f>
        <v>22/07/2014</v>
      </c>
      <c r="B1249" t="str">
        <f>"43.36"</f>
        <v>43.36</v>
      </c>
      <c r="C1249" t="str">
        <f>"43.39"</f>
        <v>43.39</v>
      </c>
    </row>
    <row r="1250" spans="1:3" x14ac:dyDescent="0.25">
      <c r="A1250" t="str">
        <f>"23/07/2014"</f>
        <v>23/07/2014</v>
      </c>
      <c r="B1250" t="str">
        <f>"43.28"</f>
        <v>43.28</v>
      </c>
      <c r="C1250" t="str">
        <f>"43.3065"</f>
        <v>43.3065</v>
      </c>
    </row>
    <row r="1251" spans="1:3" x14ac:dyDescent="0.25">
      <c r="A1251" t="str">
        <f>"24/07/2014"</f>
        <v>24/07/2014</v>
      </c>
      <c r="B1251" t="str">
        <f>"43.3138"</f>
        <v>43.3138</v>
      </c>
      <c r="C1251" t="str">
        <f>"43.3414"</f>
        <v>43.3414</v>
      </c>
    </row>
    <row r="1252" spans="1:3" x14ac:dyDescent="0.25">
      <c r="A1252" t="str">
        <f>"25/07/2014"</f>
        <v>25/07/2014</v>
      </c>
      <c r="B1252" t="str">
        <f>"43.365"</f>
        <v>43.365</v>
      </c>
      <c r="C1252" t="str">
        <f>"43.3897"</f>
        <v>43.3897</v>
      </c>
    </row>
    <row r="1253" spans="1:3" x14ac:dyDescent="0.25">
      <c r="A1253" t="str">
        <f>"28/07/2014"</f>
        <v>28/07/2014</v>
      </c>
      <c r="B1253" t="str">
        <f>"43.31"</f>
        <v>43.31</v>
      </c>
      <c r="C1253" t="str">
        <f>"43.3433"</f>
        <v>43.3433</v>
      </c>
    </row>
    <row r="1254" spans="1:3" x14ac:dyDescent="0.25">
      <c r="A1254" t="str">
        <f>"30/07/2014"</f>
        <v>30/07/2014</v>
      </c>
      <c r="B1254" t="str">
        <f>"43.40"</f>
        <v>43.40</v>
      </c>
      <c r="C1254" t="str">
        <f>"43.4264"</f>
        <v>43.4264</v>
      </c>
    </row>
    <row r="1255" spans="1:3" x14ac:dyDescent="0.25">
      <c r="A1255" t="str">
        <f>"31/07/2014"</f>
        <v>31/07/2014</v>
      </c>
      <c r="B1255" t="str">
        <f>"43.4125"</f>
        <v>43.4125</v>
      </c>
      <c r="C1255" t="str">
        <f>"43.4453"</f>
        <v>43.4453</v>
      </c>
    </row>
    <row r="1256" spans="1:3" x14ac:dyDescent="0.25">
      <c r="A1256" t="str">
        <f>"01/08/2014"</f>
        <v>01/08/2014</v>
      </c>
      <c r="B1256" t="str">
        <f>"43.72"</f>
        <v>43.72</v>
      </c>
      <c r="C1256" t="str">
        <f>"43.76"</f>
        <v>43.76</v>
      </c>
    </row>
    <row r="1257" spans="1:3" x14ac:dyDescent="0.25">
      <c r="A1257" t="str">
        <f>"04/08/2014"</f>
        <v>04/08/2014</v>
      </c>
      <c r="B1257" t="str">
        <f>"43.705"</f>
        <v>43.705</v>
      </c>
      <c r="C1257" t="str">
        <f>"43.7441"</f>
        <v>43.7441</v>
      </c>
    </row>
    <row r="1258" spans="1:3" x14ac:dyDescent="0.25">
      <c r="A1258" t="str">
        <f>"05/08/2014"</f>
        <v>05/08/2014</v>
      </c>
      <c r="B1258" t="str">
        <f>"43.545"</f>
        <v>43.545</v>
      </c>
      <c r="C1258" t="str">
        <f>"43.5801"</f>
        <v>43.5801</v>
      </c>
    </row>
    <row r="1259" spans="1:3" x14ac:dyDescent="0.25">
      <c r="A1259" t="str">
        <f>"06/08/2014"</f>
        <v>06/08/2014</v>
      </c>
      <c r="B1259" t="str">
        <f>"43.7225"</f>
        <v>43.7225</v>
      </c>
      <c r="C1259" t="str">
        <f>"43.7541"</f>
        <v>43.7541</v>
      </c>
    </row>
    <row r="1260" spans="1:3" x14ac:dyDescent="0.25">
      <c r="A1260" t="str">
        <f>"07/08/2014"</f>
        <v>07/08/2014</v>
      </c>
      <c r="B1260" t="str">
        <f>"43.95"</f>
        <v>43.95</v>
      </c>
      <c r="C1260" t="str">
        <f>"43.9807"</f>
        <v>43.9807</v>
      </c>
    </row>
    <row r="1261" spans="1:3" x14ac:dyDescent="0.25">
      <c r="A1261" t="str">
        <f>"08/08/2014"</f>
        <v>08/08/2014</v>
      </c>
      <c r="B1261" t="str">
        <f>"44.25"</f>
        <v>44.25</v>
      </c>
      <c r="C1261" t="str">
        <f>"44.2853"</f>
        <v>44.2853</v>
      </c>
    </row>
    <row r="1262" spans="1:3" x14ac:dyDescent="0.25">
      <c r="A1262" t="str">
        <f>"11/08/2014"</f>
        <v>11/08/2014</v>
      </c>
      <c r="B1262" t="str">
        <f>"43.915"</f>
        <v>43.915</v>
      </c>
      <c r="C1262" t="str">
        <f>"43.9469"</f>
        <v>43.9469</v>
      </c>
    </row>
    <row r="1263" spans="1:3" x14ac:dyDescent="0.25">
      <c r="A1263" t="str">
        <f>"12/08/2014"</f>
        <v>12/08/2014</v>
      </c>
      <c r="B1263" t="str">
        <f>"43.87"</f>
        <v>43.87</v>
      </c>
      <c r="C1263" t="str">
        <f>"43.90"</f>
        <v>43.90</v>
      </c>
    </row>
    <row r="1264" spans="1:3" x14ac:dyDescent="0.25">
      <c r="A1264" t="str">
        <f>"13/08/2014"</f>
        <v>13/08/2014</v>
      </c>
      <c r="B1264" t="str">
        <f>"43.965"</f>
        <v>43.965</v>
      </c>
      <c r="C1264" t="str">
        <f>"43.9994"</f>
        <v>43.9994</v>
      </c>
    </row>
    <row r="1265" spans="1:3" x14ac:dyDescent="0.25">
      <c r="A1265" t="str">
        <f>"14/08/2014"</f>
        <v>14/08/2014</v>
      </c>
      <c r="B1265" t="str">
        <f>"43.74"</f>
        <v>43.74</v>
      </c>
      <c r="C1265" t="str">
        <f>"43.7669"</f>
        <v>43.7669</v>
      </c>
    </row>
    <row r="1266" spans="1:3" x14ac:dyDescent="0.25">
      <c r="A1266" t="str">
        <f>"19/08/2014"</f>
        <v>19/08/2014</v>
      </c>
      <c r="B1266" t="str">
        <f>"43.69"</f>
        <v>43.69</v>
      </c>
      <c r="C1266" t="str">
        <f>"43.728"</f>
        <v>43.728</v>
      </c>
    </row>
    <row r="1267" spans="1:3" x14ac:dyDescent="0.25">
      <c r="A1267" t="str">
        <f>"20/08/2014"</f>
        <v>20/08/2014</v>
      </c>
      <c r="B1267" t="str">
        <f>"43.82"</f>
        <v>43.82</v>
      </c>
      <c r="C1267" t="str">
        <f>"43.8549"</f>
        <v>43.8549</v>
      </c>
    </row>
    <row r="1268" spans="1:3" x14ac:dyDescent="0.25">
      <c r="A1268" t="str">
        <f>"21/08/2014"</f>
        <v>21/08/2014</v>
      </c>
      <c r="B1268" t="str">
        <f>"43.82"</f>
        <v>43.82</v>
      </c>
      <c r="C1268" t="str">
        <f>"43.856"</f>
        <v>43.856</v>
      </c>
    </row>
    <row r="1269" spans="1:3" x14ac:dyDescent="0.25">
      <c r="A1269" t="str">
        <f>"22/08/2014"</f>
        <v>22/08/2014</v>
      </c>
      <c r="B1269" t="str">
        <f>"43.79"</f>
        <v>43.79</v>
      </c>
      <c r="C1269" t="str">
        <f>"43.8238"</f>
        <v>43.8238</v>
      </c>
    </row>
    <row r="1270" spans="1:3" x14ac:dyDescent="0.25">
      <c r="A1270" t="str">
        <f>"25/08/2014"</f>
        <v>25/08/2014</v>
      </c>
      <c r="B1270" t="str">
        <f>"43.835"</f>
        <v>43.835</v>
      </c>
      <c r="C1270" t="str">
        <f>"43.87"</f>
        <v>43.87</v>
      </c>
    </row>
    <row r="1271" spans="1:3" x14ac:dyDescent="0.25">
      <c r="A1271" t="str">
        <f>"26/08/2014"</f>
        <v>26/08/2014</v>
      </c>
      <c r="B1271" t="str">
        <f>"43.8175"</f>
        <v>43.8175</v>
      </c>
      <c r="C1271" t="str">
        <f>"43.8722"</f>
        <v>43.8722</v>
      </c>
    </row>
    <row r="1272" spans="1:3" x14ac:dyDescent="0.25">
      <c r="A1272" t="str">
        <f>"27/08/2014"</f>
        <v>27/08/2014</v>
      </c>
      <c r="B1272" t="str">
        <f>"43.685"</f>
        <v>43.685</v>
      </c>
      <c r="C1272" t="str">
        <f>"43.7232"</f>
        <v>43.7232</v>
      </c>
    </row>
    <row r="1273" spans="1:3" x14ac:dyDescent="0.25">
      <c r="A1273" t="str">
        <f>"28/08/2014"</f>
        <v>28/08/2014</v>
      </c>
      <c r="B1273" t="str">
        <f>"43.6825"</f>
        <v>43.6825</v>
      </c>
      <c r="C1273" t="str">
        <f>"43.7203"</f>
        <v>43.7203</v>
      </c>
    </row>
    <row r="1274" spans="1:3" x14ac:dyDescent="0.25">
      <c r="A1274" t="str">
        <f>"01/09/2014"</f>
        <v>01/09/2014</v>
      </c>
      <c r="B1274" t="str">
        <f>"43.585"</f>
        <v>43.585</v>
      </c>
      <c r="C1274" t="str">
        <f>"43.623"</f>
        <v>43.623</v>
      </c>
    </row>
    <row r="1275" spans="1:3" x14ac:dyDescent="0.25">
      <c r="A1275" t="str">
        <f>"02/09/2014"</f>
        <v>02/09/2014</v>
      </c>
      <c r="B1275" t="str">
        <f>"43.62"</f>
        <v>43.62</v>
      </c>
      <c r="C1275" t="str">
        <f>"43.658"</f>
        <v>43.658</v>
      </c>
    </row>
    <row r="1276" spans="1:3" x14ac:dyDescent="0.25">
      <c r="A1276" t="str">
        <f>"03/09/2014"</f>
        <v>03/09/2014</v>
      </c>
      <c r="B1276" t="str">
        <f>"43.74"</f>
        <v>43.74</v>
      </c>
      <c r="C1276" t="str">
        <f>"43.7828"</f>
        <v>43.7828</v>
      </c>
    </row>
    <row r="1277" spans="1:3" x14ac:dyDescent="0.25">
      <c r="A1277" t="str">
        <f>"04/09/2014"</f>
        <v>04/09/2014</v>
      </c>
      <c r="B1277" t="str">
        <f>"43.58"</f>
        <v>43.58</v>
      </c>
      <c r="C1277" t="str">
        <f>"43.6216"</f>
        <v>43.6216</v>
      </c>
    </row>
    <row r="1278" spans="1:3" x14ac:dyDescent="0.25">
      <c r="A1278" t="str">
        <f>"05/09/2014"</f>
        <v>05/09/2014</v>
      </c>
      <c r="B1278" t="str">
        <f>"43.695"</f>
        <v>43.695</v>
      </c>
      <c r="C1278" t="str">
        <f>"43.7381"</f>
        <v>43.7381</v>
      </c>
    </row>
    <row r="1279" spans="1:3" x14ac:dyDescent="0.25">
      <c r="A1279" t="str">
        <f>"08/09/2014"</f>
        <v>08/09/2014</v>
      </c>
      <c r="B1279" t="str">
        <f>"43.555"</f>
        <v>43.555</v>
      </c>
      <c r="C1279" t="str">
        <f>"43.5978"</f>
        <v>43.5978</v>
      </c>
    </row>
    <row r="1280" spans="1:3" x14ac:dyDescent="0.25">
      <c r="A1280" t="str">
        <f>"09/09/2014"</f>
        <v>09/09/2014</v>
      </c>
      <c r="B1280" t="str">
        <f>"43.792"</f>
        <v>43.792</v>
      </c>
      <c r="C1280" t="str">
        <f>"43.837"</f>
        <v>43.837</v>
      </c>
    </row>
    <row r="1281" spans="1:3" x14ac:dyDescent="0.25">
      <c r="A1281" t="str">
        <f>"10/09/2014"</f>
        <v>10/09/2014</v>
      </c>
      <c r="B1281" t="str">
        <f>"43.91"</f>
        <v>43.91</v>
      </c>
      <c r="C1281" t="str">
        <f>"43.96"</f>
        <v>43.96</v>
      </c>
    </row>
    <row r="1282" spans="1:3" x14ac:dyDescent="0.25">
      <c r="A1282" t="str">
        <f>"11/09/2014"</f>
        <v>11/09/2014</v>
      </c>
      <c r="B1282" t="str">
        <f>"43.89"</f>
        <v>43.89</v>
      </c>
      <c r="C1282" t="str">
        <f>"43.9393"</f>
        <v>43.9393</v>
      </c>
    </row>
    <row r="1283" spans="1:3" x14ac:dyDescent="0.25">
      <c r="A1283" t="str">
        <f>"12/09/2014"</f>
        <v>12/09/2014</v>
      </c>
      <c r="B1283" t="str">
        <f>"43.9825"</f>
        <v>43.9825</v>
      </c>
      <c r="C1283" t="str">
        <f>"44.0244"</f>
        <v>44.0244</v>
      </c>
    </row>
    <row r="1284" spans="1:3" x14ac:dyDescent="0.25">
      <c r="A1284" t="str">
        <f>"15/09/2014"</f>
        <v>15/09/2014</v>
      </c>
      <c r="B1284" t="str">
        <f>"44.114"</f>
        <v>44.114</v>
      </c>
      <c r="C1284" t="str">
        <f>"44.1527"</f>
        <v>44.1527</v>
      </c>
    </row>
    <row r="1285" spans="1:3" x14ac:dyDescent="0.25">
      <c r="A1285" t="str">
        <f>"16/09/2014"</f>
        <v>16/09/2014</v>
      </c>
      <c r="B1285" t="str">
        <f>"44.346"</f>
        <v>44.346</v>
      </c>
      <c r="C1285" t="str">
        <f>"44.3827"</f>
        <v>44.3827</v>
      </c>
    </row>
    <row r="1286" spans="1:3" x14ac:dyDescent="0.25">
      <c r="A1286" t="str">
        <f>"17/09/2014"</f>
        <v>17/09/2014</v>
      </c>
      <c r="B1286" t="str">
        <f>"44.15"</f>
        <v>44.15</v>
      </c>
      <c r="C1286" t="str">
        <f>"44.1866"</f>
        <v>44.1866</v>
      </c>
    </row>
    <row r="1287" spans="1:3" x14ac:dyDescent="0.25">
      <c r="A1287" t="str">
        <f>"18/09/2014"</f>
        <v>18/09/2014</v>
      </c>
      <c r="B1287" t="str">
        <f>"44.628"</f>
        <v>44.628</v>
      </c>
      <c r="C1287" t="str">
        <f>"44.6725"</f>
        <v>44.6725</v>
      </c>
    </row>
    <row r="1288" spans="1:3" x14ac:dyDescent="0.25">
      <c r="A1288" t="str">
        <f>"19/09/2014"</f>
        <v>19/09/2014</v>
      </c>
      <c r="B1288" t="str">
        <f>"44.43"</f>
        <v>44.43</v>
      </c>
      <c r="C1288" t="str">
        <f>"44.4748"</f>
        <v>44.4748</v>
      </c>
    </row>
    <row r="1289" spans="1:3" x14ac:dyDescent="0.25">
      <c r="A1289" t="str">
        <f>"22/09/2014"</f>
        <v>22/09/2014</v>
      </c>
      <c r="B1289" t="str">
        <f>"44.428"</f>
        <v>44.428</v>
      </c>
      <c r="C1289" t="str">
        <f>"44.4739"</f>
        <v>44.4739</v>
      </c>
    </row>
    <row r="1290" spans="1:3" x14ac:dyDescent="0.25">
      <c r="A1290" t="str">
        <f>"23/09/2014"</f>
        <v>23/09/2014</v>
      </c>
      <c r="B1290" t="str">
        <f>"44.554"</f>
        <v>44.554</v>
      </c>
      <c r="C1290" t="str">
        <f>"44.597"</f>
        <v>44.597</v>
      </c>
    </row>
    <row r="1291" spans="1:3" x14ac:dyDescent="0.25">
      <c r="A1291" t="str">
        <f>"24/09/2014"</f>
        <v>24/09/2014</v>
      </c>
      <c r="B1291" t="str">
        <f>"44.488"</f>
        <v>44.488</v>
      </c>
      <c r="C1291" t="str">
        <f>"44.5341"</f>
        <v>44.5341</v>
      </c>
    </row>
    <row r="1292" spans="1:3" x14ac:dyDescent="0.25">
      <c r="A1292" t="str">
        <f>"25/09/2014"</f>
        <v>25/09/2014</v>
      </c>
      <c r="B1292" t="str">
        <f>"44.658"</f>
        <v>44.658</v>
      </c>
      <c r="C1292" t="str">
        <f>"44.6982"</f>
        <v>44.6982</v>
      </c>
    </row>
    <row r="1293" spans="1:3" x14ac:dyDescent="0.25">
      <c r="A1293" t="str">
        <f>"26/09/2014"</f>
        <v>26/09/2014</v>
      </c>
      <c r="B1293" t="str">
        <f>"44.905"</f>
        <v>44.905</v>
      </c>
      <c r="C1293" t="str">
        <f>"44.947"</f>
        <v>44.947</v>
      </c>
    </row>
    <row r="1294" spans="1:3" x14ac:dyDescent="0.25">
      <c r="A1294" t="str">
        <f>"29/09/2014"</f>
        <v>29/09/2014</v>
      </c>
      <c r="B1294" t="str">
        <f>"45.038"</f>
        <v>45.038</v>
      </c>
      <c r="C1294" t="str">
        <f>"45.0801"</f>
        <v>45.0801</v>
      </c>
    </row>
    <row r="1295" spans="1:3" x14ac:dyDescent="0.25">
      <c r="A1295" t="str">
        <f>"30/09/2014"</f>
        <v>30/09/2014</v>
      </c>
      <c r="B1295" t="str">
        <f>"44.84"</f>
        <v>44.84</v>
      </c>
      <c r="C1295" t="str">
        <f>"44.875"</f>
        <v>44.875</v>
      </c>
    </row>
    <row r="1296" spans="1:3" x14ac:dyDescent="0.25">
      <c r="A1296" t="str">
        <f>"01/10/2014"</f>
        <v>01/10/2014</v>
      </c>
      <c r="B1296" t="str">
        <f>"44.98"</f>
        <v>44.98</v>
      </c>
      <c r="C1296" t="str">
        <f>"45.016"</f>
        <v>45.016</v>
      </c>
    </row>
    <row r="1297" spans="1:3" x14ac:dyDescent="0.25">
      <c r="A1297" t="str">
        <f>"07/10/2014"</f>
        <v>07/10/2014</v>
      </c>
      <c r="B1297" t="str">
        <f>"44.76"</f>
        <v>44.76</v>
      </c>
      <c r="C1297" t="str">
        <f>"44.7962"</f>
        <v>44.7962</v>
      </c>
    </row>
    <row r="1298" spans="1:3" x14ac:dyDescent="0.25">
      <c r="A1298" t="str">
        <f>"08/10/2014"</f>
        <v>08/10/2014</v>
      </c>
      <c r="B1298" t="str">
        <f>"44.844"</f>
        <v>44.844</v>
      </c>
      <c r="C1298" t="str">
        <f>"44.879"</f>
        <v>44.879</v>
      </c>
    </row>
    <row r="1299" spans="1:3" x14ac:dyDescent="0.25">
      <c r="A1299" t="str">
        <f>"09/10/2014"</f>
        <v>09/10/2014</v>
      </c>
      <c r="B1299" t="str">
        <f>"44.7275"</f>
        <v>44.7275</v>
      </c>
      <c r="C1299" t="str">
        <f>"44.761"</f>
        <v>44.761</v>
      </c>
    </row>
    <row r="1300" spans="1:3" x14ac:dyDescent="0.25">
      <c r="A1300" t="str">
        <f>"10/10/2014"</f>
        <v>10/10/2014</v>
      </c>
      <c r="B1300" t="str">
        <f>"44.736"</f>
        <v>44.736</v>
      </c>
      <c r="C1300" t="str">
        <f>"44.771"</f>
        <v>44.771</v>
      </c>
    </row>
    <row r="1301" spans="1:3" x14ac:dyDescent="0.25">
      <c r="A1301" t="str">
        <f>"13/10/2014"</f>
        <v>13/10/2014</v>
      </c>
      <c r="B1301" t="str">
        <f>"44.774"</f>
        <v>44.774</v>
      </c>
      <c r="C1301" t="str">
        <f>"44.8075"</f>
        <v>44.8075</v>
      </c>
    </row>
    <row r="1302" spans="1:3" x14ac:dyDescent="0.25">
      <c r="A1302" t="str">
        <f>"14/10/2014"</f>
        <v>14/10/2014</v>
      </c>
      <c r="B1302" t="str">
        <f>"44.754"</f>
        <v>44.754</v>
      </c>
      <c r="C1302" t="str">
        <f>"44.7835"</f>
        <v>44.7835</v>
      </c>
    </row>
    <row r="1303" spans="1:3" x14ac:dyDescent="0.25">
      <c r="A1303" t="str">
        <f>"16/10/2014"</f>
        <v>16/10/2014</v>
      </c>
      <c r="B1303" t="str">
        <f>"44.825"</f>
        <v>44.825</v>
      </c>
      <c r="C1303" t="str">
        <f>"44.8552"</f>
        <v>44.8552</v>
      </c>
    </row>
    <row r="1304" spans="1:3" x14ac:dyDescent="0.25">
      <c r="A1304" t="str">
        <f>"17/10/2014"</f>
        <v>17/10/2014</v>
      </c>
      <c r="B1304" t="str">
        <f>"44.95"</f>
        <v>44.95</v>
      </c>
      <c r="C1304" t="str">
        <f>"44.985"</f>
        <v>44.985</v>
      </c>
    </row>
    <row r="1305" spans="1:3" x14ac:dyDescent="0.25">
      <c r="A1305" t="str">
        <f>"20/10/2014"</f>
        <v>20/10/2014</v>
      </c>
      <c r="B1305" t="str">
        <f>"44.82"</f>
        <v>44.82</v>
      </c>
      <c r="C1305" t="str">
        <f>"44.8529"</f>
        <v>44.8529</v>
      </c>
    </row>
    <row r="1306" spans="1:3" x14ac:dyDescent="0.25">
      <c r="A1306" t="str">
        <f>"21/10/2014"</f>
        <v>21/10/2014</v>
      </c>
      <c r="B1306" t="str">
        <f>"44.765"</f>
        <v>44.765</v>
      </c>
      <c r="C1306" t="str">
        <f>"44.8027"</f>
        <v>44.8027</v>
      </c>
    </row>
    <row r="1307" spans="1:3" x14ac:dyDescent="0.25">
      <c r="A1307" t="str">
        <f>"22/10/2014"</f>
        <v>22/10/2014</v>
      </c>
      <c r="B1307" t="str">
        <f>"44.78"</f>
        <v>44.78</v>
      </c>
      <c r="C1307" t="str">
        <f>"44.8193"</f>
        <v>44.8193</v>
      </c>
    </row>
    <row r="1308" spans="1:3" x14ac:dyDescent="0.25">
      <c r="A1308" t="str">
        <f>"27/10/2014"</f>
        <v>27/10/2014</v>
      </c>
      <c r="B1308" t="str">
        <f>"44.75"</f>
        <v>44.75</v>
      </c>
      <c r="C1308" t="str">
        <f>"44.7938"</f>
        <v>44.7938</v>
      </c>
    </row>
    <row r="1309" spans="1:3" x14ac:dyDescent="0.25">
      <c r="A1309" t="str">
        <f>"28/10/2014"</f>
        <v>28/10/2014</v>
      </c>
      <c r="B1309" t="str">
        <f>"44.8378"</f>
        <v>44.8378</v>
      </c>
      <c r="C1309" t="str">
        <f>"44.8828"</f>
        <v>44.8828</v>
      </c>
    </row>
    <row r="1310" spans="1:3" x14ac:dyDescent="0.25">
      <c r="A1310" t="str">
        <f>"29/10/2014"</f>
        <v>29/10/2014</v>
      </c>
      <c r="B1310" t="str">
        <f>"44.7125"</f>
        <v>44.7125</v>
      </c>
      <c r="C1310" t="str">
        <f>"44.7575"</f>
        <v>44.7575</v>
      </c>
    </row>
    <row r="1311" spans="1:3" x14ac:dyDescent="0.25">
      <c r="A1311" t="str">
        <f>"30/10/2014"</f>
        <v>30/10/2014</v>
      </c>
      <c r="B1311" t="str">
        <f>"44.89"</f>
        <v>44.89</v>
      </c>
      <c r="C1311" t="str">
        <f>"44.938"</f>
        <v>44.938</v>
      </c>
    </row>
    <row r="1312" spans="1:3" x14ac:dyDescent="0.25">
      <c r="A1312" t="str">
        <f>"31/10/2014"</f>
        <v>31/10/2014</v>
      </c>
      <c r="B1312" t="str">
        <f>"44.82"</f>
        <v>44.82</v>
      </c>
      <c r="C1312" t="str">
        <f>"44.8651"</f>
        <v>44.8651</v>
      </c>
    </row>
    <row r="1313" spans="1:3" x14ac:dyDescent="0.25">
      <c r="A1313" t="str">
        <f>"03/11/2014"</f>
        <v>03/11/2014</v>
      </c>
      <c r="B1313" t="str">
        <f>"44.98"</f>
        <v>44.98</v>
      </c>
      <c r="C1313" t="str">
        <f>"45.0395"</f>
        <v>45.0395</v>
      </c>
    </row>
    <row r="1314" spans="1:3" x14ac:dyDescent="0.25">
      <c r="A1314" t="str">
        <f>"05/11/2014"</f>
        <v>05/11/2014</v>
      </c>
      <c r="B1314" t="str">
        <f>"44.885"</f>
        <v>44.885</v>
      </c>
      <c r="C1314" t="str">
        <f>"44.94"</f>
        <v>44.94</v>
      </c>
    </row>
    <row r="1315" spans="1:3" x14ac:dyDescent="0.25">
      <c r="A1315" t="str">
        <f>"07/11/2014"</f>
        <v>07/11/2014</v>
      </c>
      <c r="B1315" t="str">
        <f>"45.065"</f>
        <v>45.065</v>
      </c>
      <c r="C1315" t="str">
        <f>"45.1227"</f>
        <v>45.1227</v>
      </c>
    </row>
    <row r="1316" spans="1:3" x14ac:dyDescent="0.25">
      <c r="A1316" t="str">
        <f>"10/11/2014"</f>
        <v>10/11/2014</v>
      </c>
      <c r="B1316" t="str">
        <f>"44.90"</f>
        <v>44.90</v>
      </c>
      <c r="C1316" t="str">
        <f>"44.9579"</f>
        <v>44.9579</v>
      </c>
    </row>
    <row r="1317" spans="1:3" x14ac:dyDescent="0.25">
      <c r="A1317" t="str">
        <f>"11/11/2014"</f>
        <v>11/11/2014</v>
      </c>
      <c r="B1317" t="str">
        <f>"44.92"</f>
        <v>44.92</v>
      </c>
      <c r="C1317" t="str">
        <f>"44.9823"</f>
        <v>44.9823</v>
      </c>
    </row>
    <row r="1318" spans="1:3" x14ac:dyDescent="0.25">
      <c r="A1318" t="str">
        <f>"12/11/2014"</f>
        <v>12/11/2014</v>
      </c>
      <c r="B1318" t="str">
        <f>"44.945"</f>
        <v>44.945</v>
      </c>
      <c r="C1318" t="str">
        <f>"45.0057"</f>
        <v>45.0057</v>
      </c>
    </row>
    <row r="1319" spans="1:3" x14ac:dyDescent="0.25">
      <c r="A1319" t="str">
        <f>"13/11/2014"</f>
        <v>13/11/2014</v>
      </c>
      <c r="B1319" t="str">
        <f>"44.875"</f>
        <v>44.875</v>
      </c>
      <c r="C1319" t="str">
        <f>"44.9375"</f>
        <v>44.9375</v>
      </c>
    </row>
    <row r="1320" spans="1:3" x14ac:dyDescent="0.25">
      <c r="A1320" t="str">
        <f>"14/11/2014"</f>
        <v>14/11/2014</v>
      </c>
      <c r="B1320" t="str">
        <f>"44.9815"</f>
        <v>44.9815</v>
      </c>
      <c r="C1320" t="str">
        <f>"45.0465"</f>
        <v>45.0465</v>
      </c>
    </row>
    <row r="1321" spans="1:3" x14ac:dyDescent="0.25">
      <c r="A1321" t="str">
        <f>"17/11/2014"</f>
        <v>17/11/2014</v>
      </c>
      <c r="B1321" t="str">
        <f>"44.8825"</f>
        <v>44.8825</v>
      </c>
      <c r="C1321" t="str">
        <f>"44.9472"</f>
        <v>44.9472</v>
      </c>
    </row>
    <row r="1322" spans="1:3" x14ac:dyDescent="0.25">
      <c r="A1322" t="str">
        <f>"18/11/2014"</f>
        <v>18/11/2014</v>
      </c>
      <c r="B1322" t="str">
        <f>"44.95"</f>
        <v>44.95</v>
      </c>
      <c r="C1322" t="str">
        <f>"45.0167"</f>
        <v>45.0167</v>
      </c>
    </row>
    <row r="1323" spans="1:3" x14ac:dyDescent="0.25">
      <c r="A1323" t="str">
        <f>"19/11/2014"</f>
        <v>19/11/2014</v>
      </c>
      <c r="B1323" t="str">
        <f>"45.05"</f>
        <v>45.05</v>
      </c>
      <c r="C1323" t="str">
        <f>"45.1258"</f>
        <v>45.1258</v>
      </c>
    </row>
    <row r="1324" spans="1:3" x14ac:dyDescent="0.25">
      <c r="A1324" t="str">
        <f>"20/11/2014"</f>
        <v>20/11/2014</v>
      </c>
      <c r="B1324" t="str">
        <f>"45.125"</f>
        <v>45.125</v>
      </c>
      <c r="C1324" t="str">
        <f>"45.209"</f>
        <v>45.209</v>
      </c>
    </row>
    <row r="1325" spans="1:3" x14ac:dyDescent="0.25">
      <c r="A1325" t="str">
        <f>"21/11/2014"</f>
        <v>21/11/2014</v>
      </c>
      <c r="B1325" t="str">
        <f>"45.005"</f>
        <v>45.005</v>
      </c>
      <c r="C1325" t="str">
        <f>"45.0857"</f>
        <v>45.0857</v>
      </c>
    </row>
    <row r="1326" spans="1:3" x14ac:dyDescent="0.25">
      <c r="A1326" t="str">
        <f>"24/11/2014"</f>
        <v>24/11/2014</v>
      </c>
      <c r="B1326" t="str">
        <f>"44.94"</f>
        <v>44.94</v>
      </c>
      <c r="C1326" t="str">
        <f>"45.0172"</f>
        <v>45.0172</v>
      </c>
    </row>
    <row r="1327" spans="1:3" x14ac:dyDescent="0.25">
      <c r="A1327" t="str">
        <f>"25/11/2014"</f>
        <v>25/11/2014</v>
      </c>
      <c r="B1327" t="str">
        <f>"44.97"</f>
        <v>44.97</v>
      </c>
      <c r="C1327" t="str">
        <f>"45.0501"</f>
        <v>45.0501</v>
      </c>
    </row>
    <row r="1328" spans="1:3" x14ac:dyDescent="0.25">
      <c r="A1328" t="str">
        <f>"26/11/2014"</f>
        <v>26/11/2014</v>
      </c>
      <c r="B1328" t="str">
        <f>"44.93"</f>
        <v>44.93</v>
      </c>
      <c r="C1328" t="str">
        <f>"45.0063"</f>
        <v>45.0063</v>
      </c>
    </row>
    <row r="1329" spans="1:3" x14ac:dyDescent="0.25">
      <c r="A1329" t="str">
        <f>"27/11/2014"</f>
        <v>27/11/2014</v>
      </c>
      <c r="B1329" t="str">
        <f>"44.93"</f>
        <v>44.93</v>
      </c>
      <c r="C1329" t="str">
        <f>"45.0002"</f>
        <v>45.0002</v>
      </c>
    </row>
    <row r="1330" spans="1:3" x14ac:dyDescent="0.25">
      <c r="A1330" t="str">
        <f>"28/11/2014"</f>
        <v>28/11/2014</v>
      </c>
      <c r="B1330" t="str">
        <f>"44.905"</f>
        <v>44.905</v>
      </c>
      <c r="C1330" t="str">
        <f>"44.9921"</f>
        <v>44.9921</v>
      </c>
    </row>
    <row r="1331" spans="1:3" x14ac:dyDescent="0.25">
      <c r="A1331" t="str">
        <f>"01/12/2014"</f>
        <v>01/12/2014</v>
      </c>
      <c r="B1331" t="str">
        <f>"44.98"</f>
        <v>44.98</v>
      </c>
      <c r="C1331" t="str">
        <f>"45.0698"</f>
        <v>45.0698</v>
      </c>
    </row>
    <row r="1332" spans="1:3" x14ac:dyDescent="0.25">
      <c r="A1332" t="str">
        <f>"02/12/2014"</f>
        <v>02/12/2014</v>
      </c>
      <c r="B1332" t="str">
        <f>"44.755"</f>
        <v>44.755</v>
      </c>
      <c r="C1332" t="str">
        <f>"44.8377"</f>
        <v>44.8377</v>
      </c>
    </row>
    <row r="1333" spans="1:3" x14ac:dyDescent="0.25">
      <c r="A1333" t="str">
        <f>"04/12/2014"</f>
        <v>04/12/2014</v>
      </c>
      <c r="B1333" t="str">
        <f>"44.67"</f>
        <v>44.67</v>
      </c>
      <c r="C1333" t="str">
        <f>"44.7503"</f>
        <v>44.7503</v>
      </c>
    </row>
    <row r="1334" spans="1:3" x14ac:dyDescent="0.25">
      <c r="A1334" t="str">
        <f>"05/12/2014"</f>
        <v>05/12/2014</v>
      </c>
      <c r="B1334" t="str">
        <f>"44.495"</f>
        <v>44.495</v>
      </c>
      <c r="C1334" t="str">
        <f>"44.5864"</f>
        <v>44.5864</v>
      </c>
    </row>
    <row r="1335" spans="1:3" x14ac:dyDescent="0.25">
      <c r="A1335" t="str">
        <f>"08/12/2014"</f>
        <v>08/12/2014</v>
      </c>
      <c r="B1335" t="str">
        <f>"44.54"</f>
        <v>44.54</v>
      </c>
      <c r="C1335" t="str">
        <f>"44.614"</f>
        <v>44.614</v>
      </c>
    </row>
    <row r="1336" spans="1:3" x14ac:dyDescent="0.25">
      <c r="A1336" t="str">
        <f>"09/12/2014"</f>
        <v>09/12/2014</v>
      </c>
      <c r="B1336" t="str">
        <f>"44.605"</f>
        <v>44.605</v>
      </c>
      <c r="C1336" t="str">
        <f>"44.6897"</f>
        <v>44.6897</v>
      </c>
    </row>
    <row r="1337" spans="1:3" x14ac:dyDescent="0.25">
      <c r="A1337" t="str">
        <f>"10/12/2014"</f>
        <v>10/12/2014</v>
      </c>
      <c r="B1337" t="str">
        <f>"44.55"</f>
        <v>44.55</v>
      </c>
      <c r="C1337" t="str">
        <f>"44.6348"</f>
        <v>44.6348</v>
      </c>
    </row>
    <row r="1338" spans="1:3" x14ac:dyDescent="0.25">
      <c r="A1338" t="str">
        <f>"11/12/2014"</f>
        <v>11/12/2014</v>
      </c>
      <c r="B1338" t="str">
        <f>"44.695"</f>
        <v>44.695</v>
      </c>
      <c r="C1338" t="str">
        <f>"44.7799"</f>
        <v>44.7799</v>
      </c>
    </row>
    <row r="1339" spans="1:3" x14ac:dyDescent="0.25">
      <c r="A1339" t="str">
        <f>"12/12/2014"</f>
        <v>12/12/2014</v>
      </c>
      <c r="B1339" t="str">
        <f>"44.59"</f>
        <v>44.59</v>
      </c>
      <c r="C1339" t="str">
        <f>"44.6607"</f>
        <v>44.6607</v>
      </c>
    </row>
    <row r="1340" spans="1:3" x14ac:dyDescent="0.25">
      <c r="A1340" t="str">
        <f>"15/12/2014"</f>
        <v>15/12/2014</v>
      </c>
      <c r="B1340" t="str">
        <f>"44.645"</f>
        <v>44.645</v>
      </c>
      <c r="C1340" t="str">
        <f>"44.7056"</f>
        <v>44.7056</v>
      </c>
    </row>
    <row r="1341" spans="1:3" x14ac:dyDescent="0.25">
      <c r="A1341" t="str">
        <f>"16/12/2014"</f>
        <v>16/12/2014</v>
      </c>
      <c r="B1341" t="str">
        <f>"44.81"</f>
        <v>44.81</v>
      </c>
      <c r="C1341" t="str">
        <f>"44.887"</f>
        <v>44.887</v>
      </c>
    </row>
    <row r="1342" spans="1:3" x14ac:dyDescent="0.25">
      <c r="A1342" t="str">
        <f>"17/12/2014"</f>
        <v>17/12/2014</v>
      </c>
      <c r="B1342" t="str">
        <f>"44.735"</f>
        <v>44.735</v>
      </c>
      <c r="C1342" t="str">
        <f>"44.8053"</f>
        <v>44.8053</v>
      </c>
    </row>
    <row r="1343" spans="1:3" x14ac:dyDescent="0.25">
      <c r="A1343" t="str">
        <f>"18/12/2014"</f>
        <v>18/12/2014</v>
      </c>
      <c r="B1343" t="str">
        <f>"44.71"</f>
        <v>44.71</v>
      </c>
      <c r="C1343" t="str">
        <f>"44.7992"</f>
        <v>44.7992</v>
      </c>
    </row>
    <row r="1344" spans="1:3" x14ac:dyDescent="0.25">
      <c r="A1344" t="str">
        <f>"19/12/2014"</f>
        <v>19/12/2014</v>
      </c>
      <c r="B1344" t="str">
        <f>"44.85"</f>
        <v>44.85</v>
      </c>
      <c r="C1344" t="str">
        <f>"44.9288"</f>
        <v>44.9288</v>
      </c>
    </row>
    <row r="1345" spans="1:3" x14ac:dyDescent="0.25">
      <c r="A1345" t="str">
        <f>"22/12/2014"</f>
        <v>22/12/2014</v>
      </c>
      <c r="B1345" t="str">
        <f>"44.62"</f>
        <v>44.62</v>
      </c>
      <c r="C1345" t="str">
        <f>"44.6963"</f>
        <v>44.6963</v>
      </c>
    </row>
    <row r="1346" spans="1:3" x14ac:dyDescent="0.25">
      <c r="A1346" t="str">
        <f>"23/12/2014"</f>
        <v>23/12/2014</v>
      </c>
      <c r="B1346" t="str">
        <f>"44.74"</f>
        <v>44.74</v>
      </c>
      <c r="C1346" t="str">
        <f>"44.821"</f>
        <v>44.821</v>
      </c>
    </row>
    <row r="1347" spans="1:3" x14ac:dyDescent="0.25">
      <c r="A1347" t="str">
        <f>"24/12/2014"</f>
        <v>24/12/2014</v>
      </c>
      <c r="B1347" t="str">
        <f>"44.77"</f>
        <v>44.77</v>
      </c>
      <c r="C1347" t="str">
        <f>"44.8476"</f>
        <v>44.8476</v>
      </c>
    </row>
    <row r="1348" spans="1:3" x14ac:dyDescent="0.25">
      <c r="A1348" t="str">
        <f>"26/12/2014"</f>
        <v>26/12/2014</v>
      </c>
      <c r="B1348" t="str">
        <f>"44.70"</f>
        <v>44.70</v>
      </c>
      <c r="C1348" t="str">
        <f>"44.7773"</f>
        <v>44.7773</v>
      </c>
    </row>
    <row r="1349" spans="1:3" x14ac:dyDescent="0.25">
      <c r="A1349" t="str">
        <f>"29/12/2014"</f>
        <v>29/12/2014</v>
      </c>
      <c r="B1349" t="str">
        <f>"44.75"</f>
        <v>44.75</v>
      </c>
      <c r="C1349" t="str">
        <f>"44.8395"</f>
        <v>44.8395</v>
      </c>
    </row>
    <row r="1350" spans="1:3" x14ac:dyDescent="0.25">
      <c r="A1350" t="str">
        <f>"30/12/2014"</f>
        <v>30/12/2014</v>
      </c>
      <c r="B1350" t="str">
        <f t="shared" ref="B1350:B1353" si="1">"44.72"</f>
        <v>44.72</v>
      </c>
      <c r="C1350" t="str">
        <f>"44.7969"</f>
        <v>44.7969</v>
      </c>
    </row>
    <row r="1351" spans="1:3" x14ac:dyDescent="0.25">
      <c r="A1351" t="str">
        <f>"31/12/2014"</f>
        <v>31/12/2014</v>
      </c>
      <c r="B1351" t="str">
        <f t="shared" si="1"/>
        <v>44.72</v>
      </c>
      <c r="C1351" t="str">
        <f t="shared" ref="C1351:C1353" si="2">"44.7961"</f>
        <v>44.7961</v>
      </c>
    </row>
    <row r="1352" spans="1:3" x14ac:dyDescent="0.25">
      <c r="A1352" t="str">
        <f>"01/01/2015"</f>
        <v>01/01/2015</v>
      </c>
      <c r="B1352" t="str">
        <f t="shared" si="1"/>
        <v>44.72</v>
      </c>
      <c r="C1352" t="str">
        <f t="shared" si="2"/>
        <v>44.7961</v>
      </c>
    </row>
    <row r="1353" spans="1:3" x14ac:dyDescent="0.25">
      <c r="A1353" t="str">
        <f>"02/01/2015"</f>
        <v>02/01/2015</v>
      </c>
      <c r="B1353" t="str">
        <f t="shared" si="1"/>
        <v>44.72</v>
      </c>
      <c r="C1353" t="str">
        <f t="shared" si="2"/>
        <v>44.7961</v>
      </c>
    </row>
    <row r="1354" spans="1:3" x14ac:dyDescent="0.25">
      <c r="A1354" t="str">
        <f>"05/01/2015"</f>
        <v>05/01/2015</v>
      </c>
      <c r="B1354" t="str">
        <f>"44.9975"</f>
        <v>44.9975</v>
      </c>
      <c r="C1354" t="str">
        <f>"45.0755"</f>
        <v>45.0755</v>
      </c>
    </row>
    <row r="1355" spans="1:3" x14ac:dyDescent="0.25">
      <c r="A1355" t="str">
        <f>"06/01/2015"</f>
        <v>06/01/2015</v>
      </c>
      <c r="B1355" t="str">
        <f>"45.015"</f>
        <v>45.015</v>
      </c>
      <c r="C1355" t="str">
        <f>"45.0967"</f>
        <v>45.0967</v>
      </c>
    </row>
    <row r="1356" spans="1:3" x14ac:dyDescent="0.25">
      <c r="A1356" t="str">
        <f>"07/01/2015"</f>
        <v>07/01/2015</v>
      </c>
      <c r="B1356" t="str">
        <f>"45.03"</f>
        <v>45.03</v>
      </c>
      <c r="C1356" t="str">
        <f>"45.107"</f>
        <v>45.107</v>
      </c>
    </row>
    <row r="1357" spans="1:3" x14ac:dyDescent="0.25">
      <c r="A1357" t="str">
        <f>"08/01/2015"</f>
        <v>08/01/2015</v>
      </c>
      <c r="B1357" t="str">
        <f>"45.05"</f>
        <v>45.05</v>
      </c>
      <c r="C1357" t="str">
        <f>"45.1275"</f>
        <v>45.1275</v>
      </c>
    </row>
    <row r="1358" spans="1:3" x14ac:dyDescent="0.25">
      <c r="A1358" t="str">
        <f>"09/01/2015"</f>
        <v>09/01/2015</v>
      </c>
      <c r="B1358" t="str">
        <f>"44.96"</f>
        <v>44.96</v>
      </c>
      <c r="C1358" t="str">
        <f>"45.0337"</f>
        <v>45.0337</v>
      </c>
    </row>
    <row r="1359" spans="1:3" x14ac:dyDescent="0.25">
      <c r="A1359" t="str">
        <f>"12/01/2015"</f>
        <v>12/01/2015</v>
      </c>
      <c r="B1359" t="str">
        <f>"44.855"</f>
        <v>44.855</v>
      </c>
      <c r="C1359" t="str">
        <f>"44.938"</f>
        <v>44.938</v>
      </c>
    </row>
    <row r="1360" spans="1:3" x14ac:dyDescent="0.25">
      <c r="A1360" t="str">
        <f>"13/01/2015"</f>
        <v>13/01/2015</v>
      </c>
      <c r="B1360" t="str">
        <f>"44.81"</f>
        <v>44.81</v>
      </c>
      <c r="C1360" t="str">
        <f>"44.8931"</f>
        <v>44.8931</v>
      </c>
    </row>
    <row r="1361" spans="1:3" x14ac:dyDescent="0.25">
      <c r="A1361" t="str">
        <f>"14/01/2015"</f>
        <v>14/01/2015</v>
      </c>
      <c r="B1361" t="str">
        <f>"44.675"</f>
        <v>44.675</v>
      </c>
      <c r="C1361" t="str">
        <f>"44.7582"</f>
        <v>44.7582</v>
      </c>
    </row>
    <row r="1362" spans="1:3" x14ac:dyDescent="0.25">
      <c r="A1362" t="str">
        <f>"15/01/2015"</f>
        <v>15/01/2015</v>
      </c>
      <c r="B1362" t="str">
        <f>"44.675"</f>
        <v>44.675</v>
      </c>
      <c r="C1362" t="str">
        <f>"44.76"</f>
        <v>44.76</v>
      </c>
    </row>
    <row r="1363" spans="1:3" x14ac:dyDescent="0.25">
      <c r="A1363" t="str">
        <f>"16/01/2015"</f>
        <v>16/01/2015</v>
      </c>
      <c r="B1363" t="str">
        <f>"44.675"</f>
        <v>44.675</v>
      </c>
      <c r="C1363" t="str">
        <f>"44.76"</f>
        <v>44.76</v>
      </c>
    </row>
    <row r="1364" spans="1:3" x14ac:dyDescent="0.25">
      <c r="A1364" t="str">
        <f>"19/01/2015"</f>
        <v>19/01/2015</v>
      </c>
      <c r="B1364" t="str">
        <f>"44.675"</f>
        <v>44.675</v>
      </c>
      <c r="C1364" t="str">
        <f>"44.76"</f>
        <v>44.76</v>
      </c>
    </row>
    <row r="1365" spans="1:3" x14ac:dyDescent="0.25">
      <c r="A1365" t="str">
        <f>"20/01/2015"</f>
        <v>20/01/2015</v>
      </c>
      <c r="B1365" t="str">
        <f>"44.675"</f>
        <v>44.675</v>
      </c>
      <c r="C1365" t="str">
        <f>"44.7593"</f>
        <v>44.7593</v>
      </c>
    </row>
    <row r="1366" spans="1:3" x14ac:dyDescent="0.25">
      <c r="A1366" t="str">
        <f>"21/01/2015"</f>
        <v>21/01/2015</v>
      </c>
      <c r="B1366" t="str">
        <f>"44.56"</f>
        <v>44.56</v>
      </c>
      <c r="C1366" t="str">
        <f>"44.7054"</f>
        <v>44.7054</v>
      </c>
    </row>
    <row r="1367" spans="1:3" x14ac:dyDescent="0.25">
      <c r="A1367" t="str">
        <f>"22/01/2015"</f>
        <v>22/01/2015</v>
      </c>
      <c r="B1367" t="str">
        <f>"44.415"</f>
        <v>44.415</v>
      </c>
      <c r="C1367" t="str">
        <f>"44.4792"</f>
        <v>44.4792</v>
      </c>
    </row>
    <row r="1368" spans="1:3" x14ac:dyDescent="0.25">
      <c r="A1368" t="str">
        <f>"23/01/2015"</f>
        <v>23/01/2015</v>
      </c>
      <c r="B1368" t="str">
        <f>"44.14"</f>
        <v>44.14</v>
      </c>
      <c r="C1368" t="str">
        <f>"44.2142"</f>
        <v>44.2142</v>
      </c>
    </row>
    <row r="1369" spans="1:3" x14ac:dyDescent="0.25">
      <c r="A1369" t="str">
        <f>"27/01/2015"</f>
        <v>27/01/2015</v>
      </c>
      <c r="B1369" t="str">
        <f>"44.17"</f>
        <v>44.17</v>
      </c>
      <c r="C1369" t="str">
        <f>"44.2368"</f>
        <v>44.2368</v>
      </c>
    </row>
    <row r="1370" spans="1:3" x14ac:dyDescent="0.25">
      <c r="A1370" t="str">
        <f>"28/01/2015"</f>
        <v>28/01/2015</v>
      </c>
      <c r="B1370" t="str">
        <f>"44.18"</f>
        <v>44.18</v>
      </c>
      <c r="C1370" t="str">
        <f>"44.24"</f>
        <v>44.24</v>
      </c>
    </row>
    <row r="1371" spans="1:3" x14ac:dyDescent="0.25">
      <c r="A1371" t="str">
        <f>"29/01/2015"</f>
        <v>29/01/2015</v>
      </c>
      <c r="B1371" t="str">
        <f>"44.165"</f>
        <v>44.165</v>
      </c>
      <c r="C1371" t="str">
        <f>"44.2206"</f>
        <v>44.2206</v>
      </c>
    </row>
    <row r="1372" spans="1:3" x14ac:dyDescent="0.25">
      <c r="A1372" t="str">
        <f>"30/01/2015"</f>
        <v>30/01/2015</v>
      </c>
      <c r="B1372" t="str">
        <f>"44.085"</f>
        <v>44.085</v>
      </c>
      <c r="C1372" t="str">
        <f>"44.1399"</f>
        <v>44.1399</v>
      </c>
    </row>
    <row r="1373" spans="1:3" x14ac:dyDescent="0.25">
      <c r="A1373" t="str">
        <f>"02/02/2015"</f>
        <v>02/02/2015</v>
      </c>
      <c r="B1373" t="str">
        <f>"44.21"</f>
        <v>44.21</v>
      </c>
      <c r="C1373" t="str">
        <f>"44.2708"</f>
        <v>44.2708</v>
      </c>
    </row>
    <row r="1374" spans="1:3" x14ac:dyDescent="0.25">
      <c r="A1374" t="str">
        <f>"03/02/2015"</f>
        <v>03/02/2015</v>
      </c>
      <c r="B1374" t="str">
        <f>"44.10"</f>
        <v>44.10</v>
      </c>
      <c r="C1374" t="str">
        <f>"44.1538"</f>
        <v>44.1538</v>
      </c>
    </row>
    <row r="1375" spans="1:3" x14ac:dyDescent="0.25">
      <c r="A1375" t="str">
        <f>"04/02/2015"</f>
        <v>04/02/2015</v>
      </c>
      <c r="B1375" t="str">
        <f>"44.045"</f>
        <v>44.045</v>
      </c>
      <c r="C1375" t="str">
        <f>"44.102"</f>
        <v>44.102</v>
      </c>
    </row>
    <row r="1376" spans="1:3" x14ac:dyDescent="0.25">
      <c r="A1376" t="str">
        <f>"05/02/2015"</f>
        <v>05/02/2015</v>
      </c>
      <c r="B1376" t="str">
        <f>"44.1325"</f>
        <v>44.1325</v>
      </c>
      <c r="C1376" t="str">
        <f>"44.2049"</f>
        <v>44.2049</v>
      </c>
    </row>
    <row r="1377" spans="1:3" x14ac:dyDescent="0.25">
      <c r="A1377" t="str">
        <f>"06/02/2015"</f>
        <v>06/02/2015</v>
      </c>
      <c r="B1377" t="str">
        <f>"44.18"</f>
        <v>44.18</v>
      </c>
      <c r="C1377" t="str">
        <f>"44.2578"</f>
        <v>44.2578</v>
      </c>
    </row>
    <row r="1378" spans="1:3" x14ac:dyDescent="0.25">
      <c r="A1378" t="str">
        <f>"09/02/2015"</f>
        <v>09/02/2015</v>
      </c>
      <c r="B1378" t="str">
        <f>"44.2925"</f>
        <v>44.2925</v>
      </c>
      <c r="C1378" t="str">
        <f>"44.3723"</f>
        <v>44.3723</v>
      </c>
    </row>
    <row r="1379" spans="1:3" x14ac:dyDescent="0.25">
      <c r="A1379" t="str">
        <f>"10/02/2015"</f>
        <v>10/02/2015</v>
      </c>
      <c r="B1379" t="str">
        <f>"44.355"</f>
        <v>44.355</v>
      </c>
      <c r="C1379" t="str">
        <f>"44.436"</f>
        <v>44.436</v>
      </c>
    </row>
    <row r="1380" spans="1:3" x14ac:dyDescent="0.25">
      <c r="A1380" t="str">
        <f>"11/02/2015"</f>
        <v>11/02/2015</v>
      </c>
      <c r="B1380" t="str">
        <f>"44.3575"</f>
        <v>44.3575</v>
      </c>
      <c r="C1380" t="str">
        <f>"44.441"</f>
        <v>44.441</v>
      </c>
    </row>
    <row r="1381" spans="1:3" x14ac:dyDescent="0.25">
      <c r="A1381" t="str">
        <f>"12/02/2015"</f>
        <v>12/02/2015</v>
      </c>
      <c r="B1381" t="str">
        <f>"44.43"</f>
        <v>44.43</v>
      </c>
      <c r="C1381" t="str">
        <f>"44.5106"</f>
        <v>44.5106</v>
      </c>
    </row>
    <row r="1382" spans="1:3" x14ac:dyDescent="0.25">
      <c r="A1382" t="str">
        <f>"13/02/2015"</f>
        <v>13/02/2015</v>
      </c>
      <c r="B1382" t="str">
        <f>"44.275"</f>
        <v>44.275</v>
      </c>
      <c r="C1382" t="str">
        <f>"44.3646"</f>
        <v>44.3646</v>
      </c>
    </row>
    <row r="1383" spans="1:3" x14ac:dyDescent="0.25">
      <c r="A1383" t="str">
        <f>"16/02/2015"</f>
        <v>16/02/2015</v>
      </c>
      <c r="B1383" t="str">
        <f>"44.26"</f>
        <v>44.26</v>
      </c>
      <c r="C1383" t="str">
        <f>"44.3418"</f>
        <v>44.3418</v>
      </c>
    </row>
    <row r="1384" spans="1:3" x14ac:dyDescent="0.25">
      <c r="A1384" t="str">
        <f>"18/02/2015"</f>
        <v>18/02/2015</v>
      </c>
      <c r="B1384" t="str">
        <f>"44.327"</f>
        <v>44.327</v>
      </c>
      <c r="C1384" t="str">
        <f>"44.4082"</f>
        <v>44.4082</v>
      </c>
    </row>
    <row r="1385" spans="1:3" x14ac:dyDescent="0.25">
      <c r="A1385" t="str">
        <f>"20/02/2015"</f>
        <v>20/02/2015</v>
      </c>
      <c r="B1385" t="str">
        <f>"44.25"</f>
        <v>44.25</v>
      </c>
      <c r="C1385" t="str">
        <f>"44.3263"</f>
        <v>44.3263</v>
      </c>
    </row>
    <row r="1386" spans="1:3" x14ac:dyDescent="0.25">
      <c r="A1386" t="str">
        <f>"23/02/2015"</f>
        <v>23/02/2015</v>
      </c>
      <c r="B1386" t="str">
        <f>"44.28"</f>
        <v>44.28</v>
      </c>
      <c r="C1386" t="str">
        <f>"44.3544"</f>
        <v>44.3544</v>
      </c>
    </row>
    <row r="1387" spans="1:3" x14ac:dyDescent="0.25">
      <c r="A1387" t="str">
        <f>"24/02/2015"</f>
        <v>24/02/2015</v>
      </c>
      <c r="B1387" t="str">
        <f>"44.39"</f>
        <v>44.39</v>
      </c>
      <c r="C1387" t="str">
        <f>"44.4667"</f>
        <v>44.4667</v>
      </c>
    </row>
    <row r="1388" spans="1:3" x14ac:dyDescent="0.25">
      <c r="A1388" t="str">
        <f>"25/02/2015"</f>
        <v>25/02/2015</v>
      </c>
      <c r="B1388" t="str">
        <f>"44.16"</f>
        <v>44.16</v>
      </c>
      <c r="C1388" t="str">
        <f>"44.2188"</f>
        <v>44.2188</v>
      </c>
    </row>
    <row r="1389" spans="1:3" x14ac:dyDescent="0.25">
      <c r="A1389" t="str">
        <f>"26/02/2015"</f>
        <v>26/02/2015</v>
      </c>
      <c r="B1389" t="str">
        <f>"44.125"</f>
        <v>44.125</v>
      </c>
      <c r="C1389" t="str">
        <f>"44.1863"</f>
        <v>44.1863</v>
      </c>
    </row>
    <row r="1390" spans="1:3" x14ac:dyDescent="0.25">
      <c r="A1390" t="str">
        <f>"27/02/2015"</f>
        <v>27/02/2015</v>
      </c>
      <c r="B1390" t="str">
        <f>"44.10"</f>
        <v>44.10</v>
      </c>
      <c r="C1390" t="str">
        <f>"44.1749"</f>
        <v>44.1749</v>
      </c>
    </row>
    <row r="1391" spans="1:3" x14ac:dyDescent="0.25">
      <c r="A1391" t="str">
        <f>"02/03/2015"</f>
        <v>02/03/2015</v>
      </c>
      <c r="B1391" t="str">
        <f>"44.10"</f>
        <v>44.10</v>
      </c>
      <c r="C1391" t="str">
        <f>"44.1872"</f>
        <v>44.1872</v>
      </c>
    </row>
    <row r="1392" spans="1:3" x14ac:dyDescent="0.25">
      <c r="A1392" t="str">
        <f>"03/03/2015"</f>
        <v>03/03/2015</v>
      </c>
      <c r="B1392" t="str">
        <f>"44.19"</f>
        <v>44.19</v>
      </c>
      <c r="C1392" t="str">
        <f>"44.2665"</f>
        <v>44.2665</v>
      </c>
    </row>
    <row r="1393" spans="1:3" x14ac:dyDescent="0.25">
      <c r="A1393" t="str">
        <f>"04/03/2015"</f>
        <v>04/03/2015</v>
      </c>
      <c r="B1393" t="str">
        <f>"44.203"</f>
        <v>44.203</v>
      </c>
      <c r="C1393" t="str">
        <f>"44.2862"</f>
        <v>44.2862</v>
      </c>
    </row>
    <row r="1394" spans="1:3" x14ac:dyDescent="0.25">
      <c r="A1394" t="str">
        <f>"05/03/2015"</f>
        <v>05/03/2015</v>
      </c>
      <c r="B1394" t="str">
        <f>"44.13"</f>
        <v>44.13</v>
      </c>
      <c r="C1394" t="str">
        <f>"44.2122"</f>
        <v>44.2122</v>
      </c>
    </row>
    <row r="1395" spans="1:3" x14ac:dyDescent="0.25">
      <c r="A1395" t="str">
        <f>"09/03/2015"</f>
        <v>09/03/2015</v>
      </c>
      <c r="B1395" t="str">
        <f>"44.22"</f>
        <v>44.22</v>
      </c>
      <c r="C1395" t="str">
        <f>"44.3069"</f>
        <v>44.3069</v>
      </c>
    </row>
    <row r="1396" spans="1:3" x14ac:dyDescent="0.25">
      <c r="A1396" t="str">
        <f>"10/03/2015"</f>
        <v>10/03/2015</v>
      </c>
      <c r="B1396" t="str">
        <f>"44.405"</f>
        <v>44.405</v>
      </c>
      <c r="C1396" t="str">
        <f>"44.4879"</f>
        <v>44.4879</v>
      </c>
    </row>
    <row r="1397" spans="1:3" x14ac:dyDescent="0.25">
      <c r="A1397" t="str">
        <f>"11/03/2015"</f>
        <v>11/03/2015</v>
      </c>
      <c r="B1397" t="str">
        <f>"44.455"</f>
        <v>44.455</v>
      </c>
      <c r="C1397" t="str">
        <f>"44.5392"</f>
        <v>44.5392</v>
      </c>
    </row>
    <row r="1398" spans="1:3" x14ac:dyDescent="0.25">
      <c r="A1398" t="str">
        <f>"12/03/2015"</f>
        <v>12/03/2015</v>
      </c>
      <c r="B1398" t="str">
        <f>"44.25"</f>
        <v>44.25</v>
      </c>
      <c r="C1398" t="str">
        <f>"44.335"</f>
        <v>44.335</v>
      </c>
    </row>
    <row r="1399" spans="1:3" x14ac:dyDescent="0.25">
      <c r="A1399" t="str">
        <f>"13/03/2015"</f>
        <v>13/03/2015</v>
      </c>
      <c r="B1399" t="str">
        <f>"44.39"</f>
        <v>44.39</v>
      </c>
      <c r="C1399" t="str">
        <f>"44.47"</f>
        <v>44.47</v>
      </c>
    </row>
    <row r="1400" spans="1:3" x14ac:dyDescent="0.25">
      <c r="A1400" t="str">
        <f>"16/03/2015"</f>
        <v>16/03/2015</v>
      </c>
      <c r="B1400" t="str">
        <f>"44.43"</f>
        <v>44.43</v>
      </c>
      <c r="C1400" t="str">
        <f>"44.5165"</f>
        <v>44.5165</v>
      </c>
    </row>
    <row r="1401" spans="1:3" x14ac:dyDescent="0.25">
      <c r="A1401" t="str">
        <f>"17/03/2015"</f>
        <v>17/03/2015</v>
      </c>
      <c r="B1401" t="str">
        <f>"44.685"</f>
        <v>44.685</v>
      </c>
      <c r="C1401" t="str">
        <f>"44.7747"</f>
        <v>44.7747</v>
      </c>
    </row>
    <row r="1402" spans="1:3" x14ac:dyDescent="0.25">
      <c r="A1402" t="str">
        <f>"18/03/2015"</f>
        <v>18/03/2015</v>
      </c>
      <c r="B1402" t="str">
        <f>"44.925"</f>
        <v>44.925</v>
      </c>
      <c r="C1402" t="str">
        <f>"45.0133"</f>
        <v>45.0133</v>
      </c>
    </row>
    <row r="1403" spans="1:3" x14ac:dyDescent="0.25">
      <c r="A1403" t="str">
        <f>"19/03/2015"</f>
        <v>19/03/2015</v>
      </c>
      <c r="B1403" t="str">
        <f>"44.94"</f>
        <v>44.94</v>
      </c>
      <c r="C1403" t="str">
        <f>"45.0269"</f>
        <v>45.0269</v>
      </c>
    </row>
    <row r="1404" spans="1:3" x14ac:dyDescent="0.25">
      <c r="A1404" t="str">
        <f>"20/03/2015"</f>
        <v>20/03/2015</v>
      </c>
      <c r="B1404" t="str">
        <f>"45.05"</f>
        <v>45.05</v>
      </c>
      <c r="C1404" t="str">
        <f>"45.136"</f>
        <v>45.136</v>
      </c>
    </row>
    <row r="1405" spans="1:3" x14ac:dyDescent="0.25">
      <c r="A1405" t="str">
        <f>"23/03/2015"</f>
        <v>23/03/2015</v>
      </c>
      <c r="B1405" t="str">
        <f>"44.975"</f>
        <v>44.975</v>
      </c>
      <c r="C1405" t="str">
        <f>"45.0665"</f>
        <v>45.0665</v>
      </c>
    </row>
    <row r="1406" spans="1:3" x14ac:dyDescent="0.25">
      <c r="A1406" t="str">
        <f>"24/03/2015"</f>
        <v>24/03/2015</v>
      </c>
      <c r="B1406" t="str">
        <f>"44.68"</f>
        <v>44.68</v>
      </c>
      <c r="C1406" t="str">
        <f>"44.7719"</f>
        <v>44.7719</v>
      </c>
    </row>
    <row r="1407" spans="1:3" x14ac:dyDescent="0.25">
      <c r="A1407" t="str">
        <f>"25/03/2015"</f>
        <v>25/03/2015</v>
      </c>
      <c r="B1407" t="str">
        <f>"44.825"</f>
        <v>44.825</v>
      </c>
      <c r="C1407" t="str">
        <f>"44.9172"</f>
        <v>44.9172</v>
      </c>
    </row>
    <row r="1408" spans="1:3" x14ac:dyDescent="0.25">
      <c r="A1408" t="str">
        <f>"26/03/2015"</f>
        <v>26/03/2015</v>
      </c>
      <c r="B1408" t="str">
        <f>"44.84"</f>
        <v>44.84</v>
      </c>
      <c r="C1408" t="str">
        <f>"44.9295"</f>
        <v>44.9295</v>
      </c>
    </row>
    <row r="1409" spans="1:3" x14ac:dyDescent="0.25">
      <c r="A1409" t="str">
        <f>"27/03/2015"</f>
        <v>27/03/2015</v>
      </c>
      <c r="B1409" t="str">
        <f>"44.832"</f>
        <v>44.832</v>
      </c>
      <c r="C1409" t="str">
        <f>"44.9161"</f>
        <v>44.9161</v>
      </c>
    </row>
    <row r="1410" spans="1:3" x14ac:dyDescent="0.25">
      <c r="A1410" t="str">
        <f>"30/03/2015"</f>
        <v>30/03/2015</v>
      </c>
      <c r="B1410" t="str">
        <f>"44.81"</f>
        <v>44.81</v>
      </c>
      <c r="C1410" t="str">
        <f>"44.891"</f>
        <v>44.891</v>
      </c>
    </row>
    <row r="1411" spans="1:3" x14ac:dyDescent="0.25">
      <c r="A1411" t="str">
        <f>"31/03/2015"</f>
        <v>31/03/2015</v>
      </c>
      <c r="B1411" t="str">
        <f>"44.75"</f>
        <v>44.75</v>
      </c>
      <c r="C1411" t="str">
        <f>"44.8357"</f>
        <v>44.8357</v>
      </c>
    </row>
    <row r="1412" spans="1:3" x14ac:dyDescent="0.25">
      <c r="A1412" t="str">
        <f>"06/04/2015"</f>
        <v>06/04/2015</v>
      </c>
      <c r="B1412" t="str">
        <f>"44.44"</f>
        <v>44.44</v>
      </c>
      <c r="C1412" t="str">
        <f>"44.5219"</f>
        <v>44.5219</v>
      </c>
    </row>
    <row r="1413" spans="1:3" x14ac:dyDescent="0.25">
      <c r="A1413" t="str">
        <f>"07/04/2015"</f>
        <v>07/04/2015</v>
      </c>
      <c r="B1413" t="str">
        <f>"44.637"</f>
        <v>44.637</v>
      </c>
      <c r="C1413" t="str">
        <f>"44.723"</f>
        <v>44.723</v>
      </c>
    </row>
    <row r="1414" spans="1:3" x14ac:dyDescent="0.25">
      <c r="A1414" t="str">
        <f>"08/04/2015"</f>
        <v>08/04/2015</v>
      </c>
      <c r="B1414" t="str">
        <f>"44.47"</f>
        <v>44.47</v>
      </c>
      <c r="C1414" t="str">
        <f>"44.5613"</f>
        <v>44.5613</v>
      </c>
    </row>
    <row r="1415" spans="1:3" x14ac:dyDescent="0.25">
      <c r="A1415" t="str">
        <f>"09/04/2015"</f>
        <v>09/04/2015</v>
      </c>
      <c r="B1415" t="str">
        <f>"44.57"</f>
        <v>44.57</v>
      </c>
      <c r="C1415" t="str">
        <f>"44.6568"</f>
        <v>44.6568</v>
      </c>
    </row>
    <row r="1416" spans="1:3" x14ac:dyDescent="0.25">
      <c r="A1416" t="str">
        <f>"10/04/2015"</f>
        <v>10/04/2015</v>
      </c>
      <c r="B1416" t="str">
        <f>"44.39"</f>
        <v>44.39</v>
      </c>
      <c r="C1416" t="str">
        <f>"44.4742"</f>
        <v>44.4742</v>
      </c>
    </row>
    <row r="1417" spans="1:3" x14ac:dyDescent="0.25">
      <c r="A1417" t="str">
        <f>"13/04/2015"</f>
        <v>13/04/2015</v>
      </c>
      <c r="B1417" t="str">
        <f>"44.79"</f>
        <v>44.79</v>
      </c>
      <c r="C1417" t="str">
        <f>"44.8882"</f>
        <v>44.8882</v>
      </c>
    </row>
    <row r="1418" spans="1:3" x14ac:dyDescent="0.25">
      <c r="A1418" t="str">
        <f>"15/04/2015"</f>
        <v>15/04/2015</v>
      </c>
      <c r="B1418" t="str">
        <f>"44.55"</f>
        <v>44.55</v>
      </c>
      <c r="C1418" t="str">
        <f>"44.6447"</f>
        <v>44.6447</v>
      </c>
    </row>
    <row r="1419" spans="1:3" x14ac:dyDescent="0.25">
      <c r="A1419" t="str">
        <f>"16/04/2015"</f>
        <v>16/04/2015</v>
      </c>
      <c r="B1419" t="str">
        <f>"44.44"</f>
        <v>44.44</v>
      </c>
      <c r="C1419" t="str">
        <f>"44.5303"</f>
        <v>44.5303</v>
      </c>
    </row>
    <row r="1420" spans="1:3" x14ac:dyDescent="0.25">
      <c r="A1420" t="str">
        <f>"17/04/2015"</f>
        <v>17/04/2015</v>
      </c>
      <c r="B1420" t="str">
        <f>"44.305"</f>
        <v>44.305</v>
      </c>
      <c r="C1420" t="str">
        <f>"44.3917"</f>
        <v>44.3917</v>
      </c>
    </row>
    <row r="1421" spans="1:3" x14ac:dyDescent="0.25">
      <c r="A1421" t="str">
        <f>"20/04/2015"</f>
        <v>20/04/2015</v>
      </c>
      <c r="B1421" t="str">
        <f>"44.23"</f>
        <v>44.23</v>
      </c>
      <c r="C1421" t="str">
        <f>"44.317"</f>
        <v>44.317</v>
      </c>
    </row>
    <row r="1422" spans="1:3" x14ac:dyDescent="0.25">
      <c r="A1422" t="str">
        <f>"21/04/2015"</f>
        <v>21/04/2015</v>
      </c>
      <c r="B1422" t="str">
        <f>"44.32"</f>
        <v>44.32</v>
      </c>
      <c r="C1422" t="str">
        <f>"44.4069"</f>
        <v>44.4069</v>
      </c>
    </row>
    <row r="1423" spans="1:3" x14ac:dyDescent="0.25">
      <c r="A1423" t="str">
        <f>"22/04/2015"</f>
        <v>22/04/2015</v>
      </c>
      <c r="B1423" t="str">
        <f>"44.23"</f>
        <v>44.23</v>
      </c>
      <c r="C1423" t="str">
        <f>"44.3241"</f>
        <v>44.3241</v>
      </c>
    </row>
    <row r="1424" spans="1:3" x14ac:dyDescent="0.25">
      <c r="A1424" t="str">
        <f>"23/04/2015"</f>
        <v>23/04/2015</v>
      </c>
      <c r="B1424" t="str">
        <f>"44.39"</f>
        <v>44.39</v>
      </c>
      <c r="C1424" t="str">
        <f>"44.4844"</f>
        <v>44.4844</v>
      </c>
    </row>
    <row r="1425" spans="1:3" x14ac:dyDescent="0.25">
      <c r="A1425" t="str">
        <f>"24/04/2015"</f>
        <v>24/04/2015</v>
      </c>
      <c r="B1425" t="str">
        <f>"44.25"</f>
        <v>44.25</v>
      </c>
      <c r="C1425" t="str">
        <f>"44.3363"</f>
        <v>44.3363</v>
      </c>
    </row>
    <row r="1426" spans="1:3" x14ac:dyDescent="0.25">
      <c r="A1426" t="str">
        <f>"27/04/2015"</f>
        <v>27/04/2015</v>
      </c>
      <c r="B1426" t="str">
        <f>"44.41"</f>
        <v>44.41</v>
      </c>
      <c r="C1426" t="str">
        <f>"44.501"</f>
        <v>44.501</v>
      </c>
    </row>
    <row r="1427" spans="1:3" x14ac:dyDescent="0.25">
      <c r="A1427" t="str">
        <f>"28/04/2015"</f>
        <v>28/04/2015</v>
      </c>
      <c r="B1427" t="str">
        <f>"44.29"</f>
        <v>44.29</v>
      </c>
      <c r="C1427" t="str">
        <f>"44.3764"</f>
        <v>44.3764</v>
      </c>
    </row>
    <row r="1428" spans="1:3" x14ac:dyDescent="0.25">
      <c r="A1428" t="str">
        <f>"29/04/2015"</f>
        <v>29/04/2015</v>
      </c>
      <c r="B1428" t="str">
        <f>"44.32"</f>
        <v>44.32</v>
      </c>
      <c r="C1428" t="str">
        <f>"44.4003"</f>
        <v>44.4003</v>
      </c>
    </row>
    <row r="1429" spans="1:3" x14ac:dyDescent="0.25">
      <c r="A1429" t="str">
        <f>"30/04/2015"</f>
        <v>30/04/2015</v>
      </c>
      <c r="B1429" t="str">
        <f>"44.69"</f>
        <v>44.69</v>
      </c>
      <c r="C1429" t="str">
        <f>"44.7771"</f>
        <v>44.7771</v>
      </c>
    </row>
    <row r="1430" spans="1:3" x14ac:dyDescent="0.25">
      <c r="A1430" t="str">
        <f>"05/05/2015"</f>
        <v>05/05/2015</v>
      </c>
      <c r="B1430" t="str">
        <f>"44.69"</f>
        <v>44.69</v>
      </c>
      <c r="C1430" t="str">
        <f>"44.7734"</f>
        <v>44.7734</v>
      </c>
    </row>
    <row r="1431" spans="1:3" x14ac:dyDescent="0.25">
      <c r="A1431" t="str">
        <f>"06/05/2015"</f>
        <v>06/05/2015</v>
      </c>
      <c r="B1431" t="str">
        <f>"44.525"</f>
        <v>44.525</v>
      </c>
      <c r="C1431" t="str">
        <f>"44.611"</f>
        <v>44.611</v>
      </c>
    </row>
    <row r="1432" spans="1:3" x14ac:dyDescent="0.25">
      <c r="A1432" t="str">
        <f>"07/05/2015"</f>
        <v>07/05/2015</v>
      </c>
      <c r="B1432" t="str">
        <f>"44.76"</f>
        <v>44.76</v>
      </c>
      <c r="C1432" t="str">
        <f>"44.8415"</f>
        <v>44.8415</v>
      </c>
    </row>
    <row r="1433" spans="1:3" x14ac:dyDescent="0.25">
      <c r="A1433" t="str">
        <f>"08/05/2015"</f>
        <v>08/05/2015</v>
      </c>
      <c r="B1433" t="str">
        <f>"44.667"</f>
        <v>44.667</v>
      </c>
      <c r="C1433" t="str">
        <f>"44.7498"</f>
        <v>44.7498</v>
      </c>
    </row>
    <row r="1434" spans="1:3" x14ac:dyDescent="0.25">
      <c r="A1434" t="str">
        <f>"11/05/2015"</f>
        <v>11/05/2015</v>
      </c>
      <c r="B1434" t="str">
        <f>"44.69"</f>
        <v>44.69</v>
      </c>
      <c r="C1434" t="str">
        <f>"44.7814"</f>
        <v>44.7814</v>
      </c>
    </row>
    <row r="1435" spans="1:3" x14ac:dyDescent="0.25">
      <c r="A1435" t="str">
        <f>"12/05/2015"</f>
        <v>12/05/2015</v>
      </c>
      <c r="B1435" t="str">
        <f>"44.78"</f>
        <v>44.78</v>
      </c>
      <c r="C1435" t="str">
        <f>"44.8733"</f>
        <v>44.8733</v>
      </c>
    </row>
    <row r="1436" spans="1:3" x14ac:dyDescent="0.25">
      <c r="A1436" t="str">
        <f>"13/05/2015"</f>
        <v>13/05/2015</v>
      </c>
      <c r="B1436" t="str">
        <f>"44.705"</f>
        <v>44.705</v>
      </c>
      <c r="C1436" t="str">
        <f>"44.7959"</f>
        <v>44.7959</v>
      </c>
    </row>
    <row r="1437" spans="1:3" x14ac:dyDescent="0.25">
      <c r="A1437" t="str">
        <f>"14/05/2015"</f>
        <v>14/05/2015</v>
      </c>
      <c r="B1437" t="str">
        <f>"44.61"</f>
        <v>44.61</v>
      </c>
      <c r="C1437" t="str">
        <f>"44.6973"</f>
        <v>44.6973</v>
      </c>
    </row>
    <row r="1438" spans="1:3" x14ac:dyDescent="0.25">
      <c r="A1438" t="str">
        <f>"15/05/2015"</f>
        <v>15/05/2015</v>
      </c>
      <c r="B1438" t="str">
        <f>"44.478"</f>
        <v>44.478</v>
      </c>
      <c r="C1438" t="str">
        <f>"44.5648"</f>
        <v>44.5648</v>
      </c>
    </row>
    <row r="1439" spans="1:3" x14ac:dyDescent="0.25">
      <c r="A1439" t="str">
        <f>"18/05/2015"</f>
        <v>18/05/2015</v>
      </c>
      <c r="B1439" t="str">
        <f>"44.505"</f>
        <v>44.505</v>
      </c>
      <c r="C1439" t="str">
        <f>"44.5914"</f>
        <v>44.5914</v>
      </c>
    </row>
    <row r="1440" spans="1:3" x14ac:dyDescent="0.25">
      <c r="A1440" t="str">
        <f>"19/05/2015"</f>
        <v>19/05/2015</v>
      </c>
      <c r="B1440" t="str">
        <f>"44.527"</f>
        <v>44.527</v>
      </c>
      <c r="C1440" t="str">
        <f>"44.6129"</f>
        <v>44.6129</v>
      </c>
    </row>
    <row r="1441" spans="1:3" x14ac:dyDescent="0.25">
      <c r="A1441" t="str">
        <f>"20/05/2015"</f>
        <v>20/05/2015</v>
      </c>
      <c r="B1441" t="str">
        <f>"44.593"</f>
        <v>44.593</v>
      </c>
      <c r="C1441" t="str">
        <f>"44.6832"</f>
        <v>44.6832</v>
      </c>
    </row>
    <row r="1442" spans="1:3" x14ac:dyDescent="0.25">
      <c r="A1442" t="str">
        <f>"21/05/2015"</f>
        <v>21/05/2015</v>
      </c>
      <c r="B1442" t="str">
        <f>"44.474"</f>
        <v>44.474</v>
      </c>
      <c r="C1442" t="str">
        <f>"44.555"</f>
        <v>44.555</v>
      </c>
    </row>
    <row r="1443" spans="1:3" x14ac:dyDescent="0.25">
      <c r="A1443" t="str">
        <f>"22/05/2015"</f>
        <v>22/05/2015</v>
      </c>
      <c r="B1443" t="str">
        <f>"44.554"</f>
        <v>44.554</v>
      </c>
      <c r="C1443" t="str">
        <f>"44.6423"</f>
        <v>44.6423</v>
      </c>
    </row>
    <row r="1444" spans="1:3" x14ac:dyDescent="0.25">
      <c r="A1444" t="str">
        <f>"25/05/2015"</f>
        <v>25/05/2015</v>
      </c>
      <c r="B1444" t="str">
        <f>"44.648"</f>
        <v>44.648</v>
      </c>
      <c r="C1444" t="str">
        <f>"44.732"</f>
        <v>44.732</v>
      </c>
    </row>
    <row r="1445" spans="1:3" x14ac:dyDescent="0.25">
      <c r="A1445" t="str">
        <f>"26/05/2015"</f>
        <v>26/05/2015</v>
      </c>
      <c r="B1445" t="str">
        <f>"44.728"</f>
        <v>44.728</v>
      </c>
      <c r="C1445" t="str">
        <f>"44.8132"</f>
        <v>44.8132</v>
      </c>
    </row>
    <row r="1446" spans="1:3" x14ac:dyDescent="0.25">
      <c r="A1446" t="str">
        <f>"27/05/2015"</f>
        <v>27/05/2015</v>
      </c>
      <c r="B1446" t="str">
        <f>"44.722"</f>
        <v>44.722</v>
      </c>
      <c r="C1446" t="str">
        <f>"44.8069"</f>
        <v>44.8069</v>
      </c>
    </row>
    <row r="1447" spans="1:3" x14ac:dyDescent="0.25">
      <c r="A1447" t="str">
        <f>"28/05/2015"</f>
        <v>28/05/2015</v>
      </c>
      <c r="B1447" t="str">
        <f>"44.607"</f>
        <v>44.607</v>
      </c>
      <c r="C1447" t="str">
        <f>"44.6888"</f>
        <v>44.6888</v>
      </c>
    </row>
    <row r="1448" spans="1:3" x14ac:dyDescent="0.25">
      <c r="A1448" t="str">
        <f>"29/05/2015"</f>
        <v>29/05/2015</v>
      </c>
      <c r="B1448" t="str">
        <f>"44.595"</f>
        <v>44.595</v>
      </c>
      <c r="C1448" t="str">
        <f>"44.6712"</f>
        <v>44.6712</v>
      </c>
    </row>
    <row r="1449" spans="1:3" x14ac:dyDescent="0.25">
      <c r="A1449" t="str">
        <f>"01/06/2015"</f>
        <v>01/06/2015</v>
      </c>
      <c r="B1449" t="str">
        <f>"44.556"</f>
        <v>44.556</v>
      </c>
      <c r="C1449" t="str">
        <f>"44.6319"</f>
        <v>44.6319</v>
      </c>
    </row>
    <row r="1450" spans="1:3" x14ac:dyDescent="0.25">
      <c r="A1450" t="str">
        <f>"02/06/2015"</f>
        <v>02/06/2015</v>
      </c>
      <c r="B1450" t="str">
        <f>"44.709"</f>
        <v>44.709</v>
      </c>
      <c r="C1450" t="str">
        <f>"44.7852"</f>
        <v>44.7852</v>
      </c>
    </row>
    <row r="1451" spans="1:3" x14ac:dyDescent="0.25">
      <c r="A1451" t="str">
        <f>"03/06/2015"</f>
        <v>03/06/2015</v>
      </c>
      <c r="B1451" t="str">
        <f>"44.805"</f>
        <v>44.805</v>
      </c>
      <c r="C1451" t="str">
        <f>"44.8869"</f>
        <v>44.8869</v>
      </c>
    </row>
    <row r="1452" spans="1:3" x14ac:dyDescent="0.25">
      <c r="A1452" t="str">
        <f>"04/06/2015"</f>
        <v>04/06/2015</v>
      </c>
      <c r="B1452" t="str">
        <f>"44.896"</f>
        <v>44.896</v>
      </c>
      <c r="C1452" t="str">
        <f>"44.9709"</f>
        <v>44.9709</v>
      </c>
    </row>
    <row r="1453" spans="1:3" x14ac:dyDescent="0.25">
      <c r="A1453" t="str">
        <f>"05/06/2015"</f>
        <v>05/06/2015</v>
      </c>
      <c r="B1453" t="str">
        <f>"44.97"</f>
        <v>44.97</v>
      </c>
      <c r="C1453" t="str">
        <f>"45.0438"</f>
        <v>45.0438</v>
      </c>
    </row>
    <row r="1454" spans="1:3" x14ac:dyDescent="0.25">
      <c r="A1454" t="str">
        <f>"08/06/2015"</f>
        <v>08/06/2015</v>
      </c>
      <c r="B1454" t="str">
        <f>"45.233"</f>
        <v>45.233</v>
      </c>
      <c r="C1454" t="str">
        <f>"45.314"</f>
        <v>45.314</v>
      </c>
    </row>
    <row r="1455" spans="1:3" x14ac:dyDescent="0.25">
      <c r="A1455" t="str">
        <f>"09/06/2015"</f>
        <v>09/06/2015</v>
      </c>
      <c r="B1455" t="str">
        <f>"45.06"</f>
        <v>45.06</v>
      </c>
      <c r="C1455" t="str">
        <f>"45.1381"</f>
        <v>45.1381</v>
      </c>
    </row>
    <row r="1456" spans="1:3" x14ac:dyDescent="0.25">
      <c r="A1456" t="str">
        <f>"10/06/2015"</f>
        <v>10/06/2015</v>
      </c>
      <c r="B1456" t="str">
        <f>"45.012"</f>
        <v>45.012</v>
      </c>
      <c r="C1456" t="str">
        <f>"45.0904"</f>
        <v>45.0904</v>
      </c>
    </row>
    <row r="1457" spans="1:3" x14ac:dyDescent="0.25">
      <c r="A1457" t="str">
        <f>"11/06/2015"</f>
        <v>11/06/2015</v>
      </c>
      <c r="B1457" t="str">
        <f>"45.28"</f>
        <v>45.28</v>
      </c>
      <c r="C1457" t="str">
        <f>"45.3556"</f>
        <v>45.3556</v>
      </c>
    </row>
    <row r="1458" spans="1:3" x14ac:dyDescent="0.25">
      <c r="A1458" t="str">
        <f>"12/06/2015"</f>
        <v>12/06/2015</v>
      </c>
      <c r="B1458" t="str">
        <f>"45.435"</f>
        <v>45.435</v>
      </c>
      <c r="C1458" t="str">
        <f>"45.5076"</f>
        <v>45.5076</v>
      </c>
    </row>
    <row r="1459" spans="1:3" x14ac:dyDescent="0.25">
      <c r="A1459" t="str">
        <f>"15/06/2015"</f>
        <v>15/06/2015</v>
      </c>
      <c r="B1459" t="str">
        <f>"45.185"</f>
        <v>45.185</v>
      </c>
      <c r="C1459" t="str">
        <f>"45.2633"</f>
        <v>45.2633</v>
      </c>
    </row>
    <row r="1460" spans="1:3" x14ac:dyDescent="0.25">
      <c r="A1460" t="str">
        <f>"16/06/2015"</f>
        <v>16/06/2015</v>
      </c>
      <c r="B1460" t="str">
        <f>"45.22"</f>
        <v>45.22</v>
      </c>
      <c r="C1460" t="str">
        <f>"45.298"</f>
        <v>45.298</v>
      </c>
    </row>
    <row r="1461" spans="1:3" x14ac:dyDescent="0.25">
      <c r="A1461" t="str">
        <f>"17/06/2015"</f>
        <v>17/06/2015</v>
      </c>
      <c r="B1461" t="str">
        <f>"45.10"</f>
        <v>45.10</v>
      </c>
      <c r="C1461" t="str">
        <f>"45.1787"</f>
        <v>45.1787</v>
      </c>
    </row>
    <row r="1462" spans="1:3" x14ac:dyDescent="0.25">
      <c r="A1462" t="str">
        <f>"18/06/2015"</f>
        <v>18/06/2015</v>
      </c>
      <c r="B1462" t="str">
        <f>"44.934"</f>
        <v>44.934</v>
      </c>
      <c r="C1462" t="str">
        <f>"45.0105"</f>
        <v>45.0105</v>
      </c>
    </row>
    <row r="1463" spans="1:3" x14ac:dyDescent="0.25">
      <c r="A1463" t="str">
        <f>"19/06/2015"</f>
        <v>19/06/2015</v>
      </c>
      <c r="B1463" t="str">
        <f>"45.145"</f>
        <v>45.145</v>
      </c>
      <c r="C1463" t="str">
        <f>"45.2197"</f>
        <v>45.2197</v>
      </c>
    </row>
    <row r="1464" spans="1:3" x14ac:dyDescent="0.25">
      <c r="A1464" t="str">
        <f>"22/06/2015"</f>
        <v>22/06/2015</v>
      </c>
      <c r="B1464" t="str">
        <f>"45.07"</f>
        <v>45.07</v>
      </c>
      <c r="C1464" t="str">
        <f>"45.1456"</f>
        <v>45.1456</v>
      </c>
    </row>
    <row r="1465" spans="1:3" x14ac:dyDescent="0.25">
      <c r="A1465" t="str">
        <f>"23/06/2015"</f>
        <v>23/06/2015</v>
      </c>
      <c r="B1465" t="str">
        <f>"45.109"</f>
        <v>45.109</v>
      </c>
      <c r="C1465" t="str">
        <f>"45.1827"</f>
        <v>45.1827</v>
      </c>
    </row>
    <row r="1466" spans="1:3" x14ac:dyDescent="0.25">
      <c r="A1466" t="str">
        <f>"24/06/2015"</f>
        <v>24/06/2015</v>
      </c>
      <c r="B1466" t="str">
        <f>"45.14"</f>
        <v>45.14</v>
      </c>
      <c r="C1466" t="str">
        <f>"45.2173"</f>
        <v>45.2173</v>
      </c>
    </row>
    <row r="1467" spans="1:3" x14ac:dyDescent="0.25">
      <c r="A1467" t="str">
        <f>"25/06/2015"</f>
        <v>25/06/2015</v>
      </c>
      <c r="B1467" t="str">
        <f>"45.114"</f>
        <v>45.114</v>
      </c>
      <c r="C1467" t="str">
        <f>"45.1916"</f>
        <v>45.1916</v>
      </c>
    </row>
    <row r="1468" spans="1:3" x14ac:dyDescent="0.25">
      <c r="A1468" t="str">
        <f>"26/06/2015"</f>
        <v>26/06/2015</v>
      </c>
      <c r="B1468" t="str">
        <f>"45.092"</f>
        <v>45.092</v>
      </c>
      <c r="C1468" t="str">
        <f>"45.1649"</f>
        <v>45.1649</v>
      </c>
    </row>
    <row r="1469" spans="1:3" x14ac:dyDescent="0.25">
      <c r="A1469" t="str">
        <f>"29/06/2015"</f>
        <v>29/06/2015</v>
      </c>
      <c r="B1469" t="str">
        <f>"45.189"</f>
        <v>45.189</v>
      </c>
      <c r="C1469" t="str">
        <f>"45.2632"</f>
        <v>45.2632</v>
      </c>
    </row>
    <row r="1470" spans="1:3" x14ac:dyDescent="0.25">
      <c r="A1470" t="str">
        <f>"30/06/2015"</f>
        <v>30/06/2015</v>
      </c>
      <c r="B1470" t="str">
        <f>"45.123"</f>
        <v>45.123</v>
      </c>
      <c r="C1470" t="str">
        <f>"45.2047"</f>
        <v>45.2047</v>
      </c>
    </row>
    <row r="1471" spans="1:3" x14ac:dyDescent="0.25">
      <c r="A1471" t="str">
        <f>"01/07/2015"</f>
        <v>01/07/2015</v>
      </c>
      <c r="B1471" t="str">
        <f>"45.092"</f>
        <v>45.092</v>
      </c>
      <c r="C1471" t="str">
        <f>"45.1734"</f>
        <v>45.1734</v>
      </c>
    </row>
    <row r="1472" spans="1:3" x14ac:dyDescent="0.25">
      <c r="A1472" t="str">
        <f>"02/07/2015"</f>
        <v>02/07/2015</v>
      </c>
      <c r="B1472" t="str">
        <f>"45.178"</f>
        <v>45.178</v>
      </c>
      <c r="C1472" t="str">
        <f>"45.2585"</f>
        <v>45.2585</v>
      </c>
    </row>
    <row r="1473" spans="1:3" x14ac:dyDescent="0.25">
      <c r="A1473" t="str">
        <f>"03/07/2015"</f>
        <v>03/07/2015</v>
      </c>
      <c r="B1473" t="str">
        <f>"45.063"</f>
        <v>45.063</v>
      </c>
      <c r="C1473" t="str">
        <f>"45.1443"</f>
        <v>45.1443</v>
      </c>
    </row>
    <row r="1474" spans="1:3" x14ac:dyDescent="0.25">
      <c r="A1474" t="str">
        <f>"06/07/2015"</f>
        <v>06/07/2015</v>
      </c>
      <c r="B1474" t="str">
        <f>"45.115"</f>
        <v>45.115</v>
      </c>
      <c r="C1474" t="str">
        <f>"45.2023"</f>
        <v>45.2023</v>
      </c>
    </row>
    <row r="1475" spans="1:3" x14ac:dyDescent="0.25">
      <c r="A1475" t="str">
        <f>"07/07/2015"</f>
        <v>07/07/2015</v>
      </c>
      <c r="B1475" t="str">
        <f>"45.276"</f>
        <v>45.276</v>
      </c>
      <c r="C1475" t="str">
        <f>"45.3673"</f>
        <v>45.3673</v>
      </c>
    </row>
    <row r="1476" spans="1:3" x14ac:dyDescent="0.25">
      <c r="A1476" t="str">
        <f>"08/07/2015"</f>
        <v>08/07/2015</v>
      </c>
      <c r="B1476" t="str">
        <f>"45.288"</f>
        <v>45.288</v>
      </c>
      <c r="C1476" t="str">
        <f>"45.3755"</f>
        <v>45.3755</v>
      </c>
    </row>
    <row r="1477" spans="1:3" x14ac:dyDescent="0.25">
      <c r="A1477" t="str">
        <f>"09/07/2015"</f>
        <v>09/07/2015</v>
      </c>
      <c r="B1477" t="str">
        <f>"45.205"</f>
        <v>45.205</v>
      </c>
      <c r="C1477" t="str">
        <f>"45.2872"</f>
        <v>45.2872</v>
      </c>
    </row>
    <row r="1478" spans="1:3" x14ac:dyDescent="0.25">
      <c r="A1478" t="str">
        <f>"10/07/2015"</f>
        <v>10/07/2015</v>
      </c>
      <c r="B1478" t="str">
        <f>"45.147"</f>
        <v>45.147</v>
      </c>
      <c r="C1478" t="str">
        <f>"45.2275"</f>
        <v>45.2275</v>
      </c>
    </row>
    <row r="1479" spans="1:3" x14ac:dyDescent="0.25">
      <c r="A1479" t="str">
        <f>"13/07/2015"</f>
        <v>13/07/2015</v>
      </c>
      <c r="B1479" t="str">
        <f>"45.212"</f>
        <v>45.212</v>
      </c>
      <c r="C1479" t="str">
        <f>"45.295"</f>
        <v>45.295</v>
      </c>
    </row>
    <row r="1480" spans="1:3" x14ac:dyDescent="0.25">
      <c r="A1480" t="str">
        <f>"14/07/2015"</f>
        <v>14/07/2015</v>
      </c>
      <c r="B1480" t="str">
        <f>"45.226"</f>
        <v>45.226</v>
      </c>
      <c r="C1480" t="str">
        <f>"45.3198"</f>
        <v>45.3198</v>
      </c>
    </row>
    <row r="1481" spans="1:3" x14ac:dyDescent="0.25">
      <c r="A1481" t="str">
        <f>"15/07/2015"</f>
        <v>15/07/2015</v>
      </c>
      <c r="B1481" t="str">
        <f>"45.315"</f>
        <v>45.315</v>
      </c>
      <c r="C1481" t="str">
        <f>"45.4059"</f>
        <v>45.4059</v>
      </c>
    </row>
    <row r="1482" spans="1:3" x14ac:dyDescent="0.25">
      <c r="A1482" t="str">
        <f>"16/07/2015"</f>
        <v>16/07/2015</v>
      </c>
      <c r="B1482" t="str">
        <f>"45.265"</f>
        <v>45.265</v>
      </c>
      <c r="C1482" t="str">
        <f>"45.3599"</f>
        <v>45.3599</v>
      </c>
    </row>
    <row r="1483" spans="1:3" x14ac:dyDescent="0.25">
      <c r="A1483" t="str">
        <f>"17/07/2015"</f>
        <v>17/07/2015</v>
      </c>
      <c r="B1483" t="str">
        <f>"45.34"</f>
        <v>45.34</v>
      </c>
      <c r="C1483" t="str">
        <f>"45.4332"</f>
        <v>45.4332</v>
      </c>
    </row>
    <row r="1484" spans="1:3" x14ac:dyDescent="0.25">
      <c r="A1484" t="str">
        <f>"20/07/2015"</f>
        <v>20/07/2015</v>
      </c>
      <c r="B1484" t="str">
        <f>"45.347"</f>
        <v>45.347</v>
      </c>
      <c r="C1484" t="str">
        <f>"45.4476"</f>
        <v>45.4476</v>
      </c>
    </row>
    <row r="1485" spans="1:3" x14ac:dyDescent="0.25">
      <c r="A1485" t="str">
        <f>"21/07/2015"</f>
        <v>21/07/2015</v>
      </c>
      <c r="B1485" t="str">
        <f>"45.291"</f>
        <v>45.291</v>
      </c>
      <c r="C1485" t="str">
        <f>"45.3879"</f>
        <v>45.3879</v>
      </c>
    </row>
    <row r="1486" spans="1:3" x14ac:dyDescent="0.25">
      <c r="A1486" t="str">
        <f>"22/07/2015"</f>
        <v>22/07/2015</v>
      </c>
      <c r="B1486" t="str">
        <f>"45.211"</f>
        <v>45.211</v>
      </c>
      <c r="C1486" t="str">
        <f>"45.3071"</f>
        <v>45.3071</v>
      </c>
    </row>
    <row r="1487" spans="1:3" x14ac:dyDescent="0.25">
      <c r="A1487" t="str">
        <f>"23/07/2015"</f>
        <v>23/07/2015</v>
      </c>
      <c r="B1487" t="str">
        <f>"45.32"</f>
        <v>45.32</v>
      </c>
      <c r="C1487" t="str">
        <f>"45.4125"</f>
        <v>45.4125</v>
      </c>
    </row>
    <row r="1488" spans="1:3" x14ac:dyDescent="0.25">
      <c r="A1488" t="str">
        <f>"24/07/2015"</f>
        <v>24/07/2015</v>
      </c>
      <c r="B1488" t="str">
        <f>"45.515"</f>
        <v>45.515</v>
      </c>
      <c r="C1488" t="str">
        <f>"45.6007"</f>
        <v>45.6007</v>
      </c>
    </row>
    <row r="1489" spans="1:3" x14ac:dyDescent="0.25">
      <c r="A1489" t="str">
        <f>"27/07/2015"</f>
        <v>27/07/2015</v>
      </c>
      <c r="B1489" t="str">
        <f>"45.543"</f>
        <v>45.543</v>
      </c>
      <c r="C1489" t="str">
        <f>"45.6352"</f>
        <v>45.6352</v>
      </c>
    </row>
    <row r="1490" spans="1:3" x14ac:dyDescent="0.25">
      <c r="A1490" t="str">
        <f>"28/07/2015"</f>
        <v>28/07/2015</v>
      </c>
      <c r="B1490" t="str">
        <f>"45.55"</f>
        <v>45.55</v>
      </c>
      <c r="C1490" t="str">
        <f>"45.6326"</f>
        <v>45.6326</v>
      </c>
    </row>
    <row r="1491" spans="1:3" x14ac:dyDescent="0.25">
      <c r="A1491" t="str">
        <f>"29/07/2015"</f>
        <v>29/07/2015</v>
      </c>
      <c r="B1491" t="str">
        <f>"45.5265"</f>
        <v>45.5265</v>
      </c>
      <c r="C1491" t="str">
        <f>"45.6039"</f>
        <v>45.6039</v>
      </c>
    </row>
    <row r="1492" spans="1:3" x14ac:dyDescent="0.25">
      <c r="A1492" t="str">
        <f>"30/07/2015"</f>
        <v>30/07/2015</v>
      </c>
      <c r="B1492" t="str">
        <f>"45.651"</f>
        <v>45.651</v>
      </c>
      <c r="C1492" t="str">
        <f>"45.7261"</f>
        <v>45.7261</v>
      </c>
    </row>
    <row r="1493" spans="1:3" x14ac:dyDescent="0.25">
      <c r="A1493" t="str">
        <f>"31/07/2015"</f>
        <v>31/07/2015</v>
      </c>
      <c r="B1493" t="str">
        <f>"45.745"</f>
        <v>45.745</v>
      </c>
      <c r="C1493" t="str">
        <f>"45.8314"</f>
        <v>45.8314</v>
      </c>
    </row>
    <row r="1494" spans="1:3" x14ac:dyDescent="0.25">
      <c r="A1494" t="str">
        <f>"03/08/2015"</f>
        <v>03/08/2015</v>
      </c>
      <c r="B1494" t="str">
        <f>"45.71"</f>
        <v>45.71</v>
      </c>
      <c r="C1494" t="str">
        <f>"45.7998"</f>
        <v>45.7998</v>
      </c>
    </row>
    <row r="1495" spans="1:3" x14ac:dyDescent="0.25">
      <c r="A1495" t="str">
        <f>"04/08/2015"</f>
        <v>04/08/2015</v>
      </c>
      <c r="B1495" t="str">
        <f>"45.7475"</f>
        <v>45.7475</v>
      </c>
      <c r="C1495" t="str">
        <f>"45.8372"</f>
        <v>45.8372</v>
      </c>
    </row>
    <row r="1496" spans="1:3" x14ac:dyDescent="0.25">
      <c r="A1496" t="str">
        <f>"05/08/2015"</f>
        <v>05/08/2015</v>
      </c>
      <c r="B1496" t="str">
        <f>"45.76"</f>
        <v>45.76</v>
      </c>
      <c r="C1496" t="str">
        <f>"45.8486"</f>
        <v>45.8486</v>
      </c>
    </row>
    <row r="1497" spans="1:3" x14ac:dyDescent="0.25">
      <c r="A1497" t="str">
        <f>"06/08/2015"</f>
        <v>06/08/2015</v>
      </c>
      <c r="B1497" t="str">
        <f>"45.80"</f>
        <v>45.80</v>
      </c>
      <c r="C1497" t="str">
        <f>"45.8882"</f>
        <v>45.8882</v>
      </c>
    </row>
    <row r="1498" spans="1:3" x14ac:dyDescent="0.25">
      <c r="A1498" t="str">
        <f>"07/08/2015"</f>
        <v>07/08/2015</v>
      </c>
      <c r="B1498" t="str">
        <f>"45.76"</f>
        <v>45.76</v>
      </c>
      <c r="C1498" t="str">
        <f>"45.842"</f>
        <v>45.842</v>
      </c>
    </row>
    <row r="1499" spans="1:3" x14ac:dyDescent="0.25">
      <c r="A1499" t="str">
        <f>"10/08/2015"</f>
        <v>10/08/2015</v>
      </c>
      <c r="B1499" t="str">
        <f>"45.81"</f>
        <v>45.81</v>
      </c>
      <c r="C1499" t="str">
        <f>"45.8939"</f>
        <v>45.8939</v>
      </c>
    </row>
    <row r="1500" spans="1:3" x14ac:dyDescent="0.25">
      <c r="A1500" t="str">
        <f>"11/08/2015"</f>
        <v>11/08/2015</v>
      </c>
      <c r="B1500" t="str">
        <f>"45.977"</f>
        <v>45.977</v>
      </c>
      <c r="C1500" t="str">
        <f>"46.0636"</f>
        <v>46.0636</v>
      </c>
    </row>
    <row r="1501" spans="1:3" x14ac:dyDescent="0.25">
      <c r="A1501" t="str">
        <f>"12/08/2015"</f>
        <v>12/08/2015</v>
      </c>
      <c r="B1501" t="str">
        <f>"46.223"</f>
        <v>46.223</v>
      </c>
      <c r="C1501" t="str">
        <f>"46.3081"</f>
        <v>46.3081</v>
      </c>
    </row>
    <row r="1502" spans="1:3" x14ac:dyDescent="0.25">
      <c r="A1502" t="str">
        <f>"13/08/2015"</f>
        <v>13/08/2015</v>
      </c>
      <c r="B1502" t="str">
        <f>"46.151"</f>
        <v>46.151</v>
      </c>
      <c r="C1502" t="str">
        <f>"46.2326"</f>
        <v>46.2326</v>
      </c>
    </row>
    <row r="1503" spans="1:3" x14ac:dyDescent="0.25">
      <c r="A1503" t="str">
        <f>"14/08/2015"</f>
        <v>14/08/2015</v>
      </c>
      <c r="B1503" t="str">
        <f>"46.19"</f>
        <v>46.19</v>
      </c>
      <c r="C1503" t="str">
        <f>"46.2713"</f>
        <v>46.2713</v>
      </c>
    </row>
    <row r="1504" spans="1:3" x14ac:dyDescent="0.25">
      <c r="A1504" t="str">
        <f>"17/08/2015"</f>
        <v>17/08/2015</v>
      </c>
      <c r="B1504" t="str">
        <f>"46.324"</f>
        <v>46.324</v>
      </c>
      <c r="C1504" t="str">
        <f>"46.4054"</f>
        <v>46.4054</v>
      </c>
    </row>
    <row r="1505" spans="1:3" x14ac:dyDescent="0.25">
      <c r="A1505" t="str">
        <f>"19/08/2015"</f>
        <v>19/08/2015</v>
      </c>
      <c r="B1505" t="str">
        <f>"46.348"</f>
        <v>46.348</v>
      </c>
      <c r="C1505" t="str">
        <f>"46.4273"</f>
        <v>46.4273</v>
      </c>
    </row>
    <row r="1506" spans="1:3" x14ac:dyDescent="0.25">
      <c r="A1506" t="str">
        <f>"20/08/2015"</f>
        <v>20/08/2015</v>
      </c>
      <c r="B1506" t="str">
        <f>"46.595"</f>
        <v>46.595</v>
      </c>
      <c r="C1506" t="str">
        <f>"46.6789"</f>
        <v>46.6789</v>
      </c>
    </row>
    <row r="1507" spans="1:3" x14ac:dyDescent="0.25">
      <c r="A1507" t="str">
        <f>"21/08/2015"</f>
        <v>21/08/2015</v>
      </c>
      <c r="B1507" t="str">
        <f>"46.855"</f>
        <v>46.855</v>
      </c>
      <c r="C1507" t="str">
        <f>"46.9403"</f>
        <v>46.9403</v>
      </c>
    </row>
    <row r="1508" spans="1:3" x14ac:dyDescent="0.25">
      <c r="A1508" t="str">
        <f>"25/08/2015"</f>
        <v>25/08/2015</v>
      </c>
      <c r="B1508" t="str">
        <f>"46.60"</f>
        <v>46.60</v>
      </c>
      <c r="C1508" t="str">
        <f>"46.6838"</f>
        <v>46.6838</v>
      </c>
    </row>
    <row r="1509" spans="1:3" x14ac:dyDescent="0.25">
      <c r="A1509" t="str">
        <f>"26/08/2015"</f>
        <v>26/08/2015</v>
      </c>
      <c r="B1509" t="str">
        <f>"46.695"</f>
        <v>46.695</v>
      </c>
      <c r="C1509" t="str">
        <f>"46.7749"</f>
        <v>46.7749</v>
      </c>
    </row>
    <row r="1510" spans="1:3" x14ac:dyDescent="0.25">
      <c r="A1510" t="str">
        <f>"27/08/2015"</f>
        <v>27/08/2015</v>
      </c>
      <c r="B1510" t="str">
        <f>"46.683"</f>
        <v>46.683</v>
      </c>
      <c r="C1510" t="str">
        <f>"46.7677"</f>
        <v>46.7677</v>
      </c>
    </row>
    <row r="1511" spans="1:3" x14ac:dyDescent="0.25">
      <c r="A1511" t="str">
        <f>"28/08/2015"</f>
        <v>28/08/2015</v>
      </c>
      <c r="B1511" t="str">
        <f>"46.721"</f>
        <v>46.721</v>
      </c>
      <c r="C1511" t="str">
        <f>"46.7959"</f>
        <v>46.7959</v>
      </c>
    </row>
    <row r="1512" spans="1:3" x14ac:dyDescent="0.25">
      <c r="A1512" t="str">
        <f>"31/08/2015"</f>
        <v>31/08/2015</v>
      </c>
      <c r="B1512" t="str">
        <f>"46.81"</f>
        <v>46.81</v>
      </c>
      <c r="C1512" t="str">
        <f>"46.8843"</f>
        <v>46.8843</v>
      </c>
    </row>
    <row r="1513" spans="1:3" x14ac:dyDescent="0.25">
      <c r="A1513" t="str">
        <f>"01/09/2015"</f>
        <v>01/09/2015</v>
      </c>
      <c r="B1513" t="str">
        <f>"46.761"</f>
        <v>46.761</v>
      </c>
      <c r="C1513" t="str">
        <f>"46.8439"</f>
        <v>46.8439</v>
      </c>
    </row>
    <row r="1514" spans="1:3" x14ac:dyDescent="0.25">
      <c r="A1514" t="str">
        <f>"02/09/2015"</f>
        <v>02/09/2015</v>
      </c>
      <c r="B1514" t="str">
        <f>"46.78"</f>
        <v>46.78</v>
      </c>
      <c r="C1514" t="str">
        <f>"46.8625"</f>
        <v>46.8625</v>
      </c>
    </row>
    <row r="1515" spans="1:3" x14ac:dyDescent="0.25">
      <c r="A1515" t="str">
        <f>"03/09/2015"</f>
        <v>03/09/2015</v>
      </c>
      <c r="B1515" t="str">
        <f>"46.848"</f>
        <v>46.848</v>
      </c>
      <c r="C1515" t="str">
        <f>"46.9284"</f>
        <v>46.9284</v>
      </c>
    </row>
    <row r="1516" spans="1:3" x14ac:dyDescent="0.25">
      <c r="A1516" t="str">
        <f>"04/09/2015"</f>
        <v>04/09/2015</v>
      </c>
      <c r="B1516" t="str">
        <f>"46.79"</f>
        <v>46.79</v>
      </c>
      <c r="C1516" t="str">
        <f>"46.8731"</f>
        <v>46.8731</v>
      </c>
    </row>
    <row r="1517" spans="1:3" x14ac:dyDescent="0.25">
      <c r="A1517" t="str">
        <f>"07/09/2015"</f>
        <v>07/09/2015</v>
      </c>
      <c r="B1517" t="str">
        <f>"46.965"</f>
        <v>46.965</v>
      </c>
      <c r="C1517" t="str">
        <f>"47.0409"</f>
        <v>47.0409</v>
      </c>
    </row>
    <row r="1518" spans="1:3" x14ac:dyDescent="0.25">
      <c r="A1518" t="str">
        <f>"08/09/2015"</f>
        <v>08/09/2015</v>
      </c>
      <c r="B1518" t="str">
        <f>"46.944"</f>
        <v>46.944</v>
      </c>
      <c r="C1518" t="str">
        <f>"47.0211"</f>
        <v>47.0211</v>
      </c>
    </row>
    <row r="1519" spans="1:3" x14ac:dyDescent="0.25">
      <c r="A1519" t="str">
        <f>"09/09/2015"</f>
        <v>09/09/2015</v>
      </c>
      <c r="B1519" t="str">
        <f>"46.967"</f>
        <v>46.967</v>
      </c>
      <c r="C1519" t="str">
        <f>"47.05"</f>
        <v>47.05</v>
      </c>
    </row>
    <row r="1520" spans="1:3" x14ac:dyDescent="0.25">
      <c r="A1520" t="str">
        <f>"10/09/2015"</f>
        <v>10/09/2015</v>
      </c>
      <c r="B1520" t="str">
        <f>"46.938"</f>
        <v>46.938</v>
      </c>
      <c r="C1520" t="str">
        <f>"47.0234"</f>
        <v>47.0234</v>
      </c>
    </row>
    <row r="1521" spans="1:3" x14ac:dyDescent="0.25">
      <c r="A1521" t="str">
        <f>"11/09/2015"</f>
        <v>11/09/2015</v>
      </c>
      <c r="B1521" t="str">
        <f>"46.93"</f>
        <v>46.93</v>
      </c>
      <c r="C1521" t="str">
        <f>"47.0113"</f>
        <v>47.0113</v>
      </c>
    </row>
    <row r="1522" spans="1:3" x14ac:dyDescent="0.25">
      <c r="A1522" t="str">
        <f>"14/09/2015"</f>
        <v>14/09/2015</v>
      </c>
      <c r="B1522" t="str">
        <f>"46.77"</f>
        <v>46.77</v>
      </c>
      <c r="C1522" t="str">
        <f>"46.8473"</f>
        <v>46.8473</v>
      </c>
    </row>
    <row r="1523" spans="1:3" x14ac:dyDescent="0.25">
      <c r="A1523" t="str">
        <f>"15/09/2015"</f>
        <v>15/09/2015</v>
      </c>
      <c r="B1523" t="str">
        <f>"46.775"</f>
        <v>46.775</v>
      </c>
      <c r="C1523" t="str">
        <f>"46.8537"</f>
        <v>46.8537</v>
      </c>
    </row>
    <row r="1524" spans="1:3" x14ac:dyDescent="0.25">
      <c r="A1524" t="str">
        <f>"16/09/2015"</f>
        <v>16/09/2015</v>
      </c>
      <c r="B1524" t="str">
        <f>"46.662"</f>
        <v>46.662</v>
      </c>
      <c r="C1524" t="str">
        <f>"46.7484"</f>
        <v>46.7484</v>
      </c>
    </row>
    <row r="1525" spans="1:3" x14ac:dyDescent="0.25">
      <c r="A1525" t="str">
        <f>"18/09/2015"</f>
        <v>18/09/2015</v>
      </c>
      <c r="B1525" t="str">
        <f>"46.37"</f>
        <v>46.37</v>
      </c>
      <c r="C1525" t="str">
        <f>"46.4521"</f>
        <v>46.4521</v>
      </c>
    </row>
    <row r="1526" spans="1:3" x14ac:dyDescent="0.25">
      <c r="A1526" t="str">
        <f>"21/09/2015"</f>
        <v>21/09/2015</v>
      </c>
      <c r="B1526" t="str">
        <f>"46.505"</f>
        <v>46.505</v>
      </c>
      <c r="C1526" t="str">
        <f>"46.5888"</f>
        <v>46.5888</v>
      </c>
    </row>
    <row r="1527" spans="1:3" x14ac:dyDescent="0.25">
      <c r="A1527" t="str">
        <f>"22/09/2015"</f>
        <v>22/09/2015</v>
      </c>
      <c r="B1527" t="str">
        <f>"46.665"</f>
        <v>46.665</v>
      </c>
      <c r="C1527" t="str">
        <f>"46.7524"</f>
        <v>46.7524</v>
      </c>
    </row>
    <row r="1528" spans="1:3" x14ac:dyDescent="0.25">
      <c r="A1528" t="str">
        <f>"23/09/2015"</f>
        <v>23/09/2015</v>
      </c>
      <c r="B1528" t="str">
        <f>"46.806"</f>
        <v>46.806</v>
      </c>
      <c r="C1528" t="str">
        <f>"46.8973"</f>
        <v>46.8973</v>
      </c>
    </row>
    <row r="1529" spans="1:3" x14ac:dyDescent="0.25">
      <c r="A1529" t="str">
        <f>"24/09/2015"</f>
        <v>24/09/2015</v>
      </c>
      <c r="B1529" t="str">
        <f>"46.85"</f>
        <v>46.85</v>
      </c>
      <c r="C1529" t="str">
        <f>"46.9406"</f>
        <v>46.9406</v>
      </c>
    </row>
    <row r="1530" spans="1:3" x14ac:dyDescent="0.25">
      <c r="A1530" t="str">
        <f>"28/09/2015"</f>
        <v>28/09/2015</v>
      </c>
      <c r="B1530" t="str">
        <f>"46.81"</f>
        <v>46.81</v>
      </c>
      <c r="C1530" t="str">
        <f>"46.9032"</f>
        <v>46.9032</v>
      </c>
    </row>
    <row r="1531" spans="1:3" x14ac:dyDescent="0.25">
      <c r="A1531" t="str">
        <f>"29/09/2015"</f>
        <v>29/09/2015</v>
      </c>
      <c r="B1531" t="str">
        <f>"46.945"</f>
        <v>46.945</v>
      </c>
      <c r="C1531" t="str">
        <f>"47.046"</f>
        <v>47.046</v>
      </c>
    </row>
    <row r="1532" spans="1:3" x14ac:dyDescent="0.25">
      <c r="A1532" t="str">
        <f>"30/09/2015"</f>
        <v>30/09/2015</v>
      </c>
      <c r="B1532" t="str">
        <f>"46.791"</f>
        <v>46.791</v>
      </c>
      <c r="C1532" t="str">
        <f>"46.8883"</f>
        <v>46.8883</v>
      </c>
    </row>
    <row r="1533" spans="1:3" x14ac:dyDescent="0.25">
      <c r="A1533" t="str">
        <f>"01/10/2015"</f>
        <v>01/10/2015</v>
      </c>
      <c r="B1533" t="str">
        <f>"46.775"</f>
        <v>46.775</v>
      </c>
      <c r="C1533" t="str">
        <f>"46.8701"</f>
        <v>46.8701</v>
      </c>
    </row>
    <row r="1534" spans="1:3" x14ac:dyDescent="0.25">
      <c r="A1534" t="str">
        <f>"05/10/2015"</f>
        <v>05/10/2015</v>
      </c>
      <c r="B1534" t="str">
        <f>"46.478"</f>
        <v>46.478</v>
      </c>
      <c r="C1534" t="str">
        <f>"46.57"</f>
        <v>46.57</v>
      </c>
    </row>
    <row r="1535" spans="1:3" x14ac:dyDescent="0.25">
      <c r="A1535" t="str">
        <f>"06/10/2015"</f>
        <v>06/10/2015</v>
      </c>
      <c r="B1535" t="str">
        <f>"46.508"</f>
        <v>46.508</v>
      </c>
      <c r="C1535" t="str">
        <f>"46.6058"</f>
        <v>46.6058</v>
      </c>
    </row>
    <row r="1536" spans="1:3" x14ac:dyDescent="0.25">
      <c r="A1536" t="str">
        <f>"07/10/2015"</f>
        <v>07/10/2015</v>
      </c>
      <c r="B1536" t="str">
        <f>"46.299"</f>
        <v>46.299</v>
      </c>
      <c r="C1536" t="str">
        <f>"46.3868"</f>
        <v>46.3868</v>
      </c>
    </row>
    <row r="1537" spans="1:3" x14ac:dyDescent="0.25">
      <c r="A1537" t="str">
        <f>"08/10/2015"</f>
        <v>08/10/2015</v>
      </c>
      <c r="B1537" t="str">
        <f>"46.17"</f>
        <v>46.17</v>
      </c>
      <c r="C1537" t="str">
        <f>"46.252"</f>
        <v>46.252</v>
      </c>
    </row>
    <row r="1538" spans="1:3" x14ac:dyDescent="0.25">
      <c r="A1538" t="str">
        <f>"09/10/2015"</f>
        <v>09/10/2015</v>
      </c>
      <c r="B1538" t="str">
        <f>"45.905"</f>
        <v>45.905</v>
      </c>
      <c r="C1538" t="str">
        <f>"45.9898"</f>
        <v>45.9898</v>
      </c>
    </row>
    <row r="1539" spans="1:3" x14ac:dyDescent="0.25">
      <c r="A1539" t="str">
        <f>"12/10/2015"</f>
        <v>12/10/2015</v>
      </c>
      <c r="B1539" t="str">
        <f>"45.843"</f>
        <v>45.843</v>
      </c>
      <c r="C1539" t="str">
        <f>"45.9255"</f>
        <v>45.9255</v>
      </c>
    </row>
    <row r="1540" spans="1:3" x14ac:dyDescent="0.25">
      <c r="A1540" t="str">
        <f>"13/10/2015"</f>
        <v>13/10/2015</v>
      </c>
      <c r="B1540" t="str">
        <f>"46.144"</f>
        <v>46.144</v>
      </c>
      <c r="C1540" t="str">
        <f>"46.2318"</f>
        <v>46.2318</v>
      </c>
    </row>
    <row r="1541" spans="1:3" x14ac:dyDescent="0.25">
      <c r="A1541" t="str">
        <f>"14/10/2015"</f>
        <v>14/10/2015</v>
      </c>
      <c r="B1541" t="str">
        <f>"46.033"</f>
        <v>46.033</v>
      </c>
      <c r="C1541" t="str">
        <f>"46.1175"</f>
        <v>46.1175</v>
      </c>
    </row>
    <row r="1542" spans="1:3" x14ac:dyDescent="0.25">
      <c r="A1542" t="str">
        <f>"15/10/2015"</f>
        <v>15/10/2015</v>
      </c>
      <c r="B1542" t="str">
        <f>"45.796"</f>
        <v>45.796</v>
      </c>
      <c r="C1542" t="str">
        <f>"45.8801"</f>
        <v>45.8801</v>
      </c>
    </row>
    <row r="1543" spans="1:3" x14ac:dyDescent="0.25">
      <c r="A1543" t="str">
        <f>"16/10/2015"</f>
        <v>16/10/2015</v>
      </c>
      <c r="B1543" t="str">
        <f>"46.165"</f>
        <v>46.165</v>
      </c>
      <c r="C1543" t="str">
        <f>"46.2567"</f>
        <v>46.2567</v>
      </c>
    </row>
    <row r="1544" spans="1:3" x14ac:dyDescent="0.25">
      <c r="A1544" t="str">
        <f>"19/10/2015"</f>
        <v>19/10/2015</v>
      </c>
      <c r="B1544" t="str">
        <f>"46.148"</f>
        <v>46.148</v>
      </c>
      <c r="C1544" t="str">
        <f>"46.2449"</f>
        <v>46.2449</v>
      </c>
    </row>
    <row r="1545" spans="1:3" x14ac:dyDescent="0.25">
      <c r="A1545" t="str">
        <f>"20/10/2015"</f>
        <v>20/10/2015</v>
      </c>
      <c r="B1545" t="str">
        <f>"46.393"</f>
        <v>46.393</v>
      </c>
      <c r="C1545" t="str">
        <f>"46.4833"</f>
        <v>46.4833</v>
      </c>
    </row>
    <row r="1546" spans="1:3" x14ac:dyDescent="0.25">
      <c r="A1546" t="str">
        <f>"21/10/2015"</f>
        <v>21/10/2015</v>
      </c>
      <c r="B1546" t="str">
        <f>"46.41"</f>
        <v>46.41</v>
      </c>
      <c r="C1546" t="str">
        <f>"46.4987"</f>
        <v>46.4987</v>
      </c>
    </row>
    <row r="1547" spans="1:3" x14ac:dyDescent="0.25">
      <c r="A1547" t="str">
        <f>"23/10/2015"</f>
        <v>23/10/2015</v>
      </c>
      <c r="B1547" t="str">
        <f>"46.512"</f>
        <v>46.512</v>
      </c>
      <c r="C1547" t="str">
        <f>"46.6029"</f>
        <v>46.6029</v>
      </c>
    </row>
    <row r="1548" spans="1:3" x14ac:dyDescent="0.25">
      <c r="A1548" t="str">
        <f>"26/10/2015"</f>
        <v>26/10/2015</v>
      </c>
      <c r="B1548" t="str">
        <f>"46.565"</f>
        <v>46.565</v>
      </c>
      <c r="C1548" t="str">
        <f>"46.648"</f>
        <v>46.648</v>
      </c>
    </row>
    <row r="1549" spans="1:3" x14ac:dyDescent="0.25">
      <c r="A1549" t="str">
        <f>"27/10/2015"</f>
        <v>27/10/2015</v>
      </c>
      <c r="B1549" t="str">
        <f>"46.742"</f>
        <v>46.742</v>
      </c>
      <c r="C1549" t="str">
        <f>"46.819"</f>
        <v>46.819</v>
      </c>
    </row>
    <row r="1550" spans="1:3" x14ac:dyDescent="0.25">
      <c r="A1550" t="str">
        <f>"29/10/2015"</f>
        <v>29/10/2015</v>
      </c>
      <c r="B1550" t="str">
        <f>"46.981"</f>
        <v>46.981</v>
      </c>
      <c r="C1550" t="str">
        <f>"47.058"</f>
        <v>47.058</v>
      </c>
    </row>
    <row r="1551" spans="1:3" x14ac:dyDescent="0.25">
      <c r="A1551" t="str">
        <f>"30/10/2015"</f>
        <v>30/10/2015</v>
      </c>
      <c r="B1551" t="str">
        <f>"46.88"</f>
        <v>46.88</v>
      </c>
      <c r="C1551" t="str">
        <f>"46.96"</f>
        <v>46.96</v>
      </c>
    </row>
    <row r="1552" spans="1:3" x14ac:dyDescent="0.25">
      <c r="A1552" t="str">
        <f>"02/11/2015"</f>
        <v>02/11/2015</v>
      </c>
      <c r="B1552" t="str">
        <f>"46.985"</f>
        <v>46.985</v>
      </c>
      <c r="C1552" t="str">
        <f>"47.063"</f>
        <v>47.063</v>
      </c>
    </row>
    <row r="1553" spans="1:3" x14ac:dyDescent="0.25">
      <c r="A1553" t="str">
        <f>"03/11/2015"</f>
        <v>03/11/2015</v>
      </c>
      <c r="B1553" t="str">
        <f>"46.911"</f>
        <v>46.911</v>
      </c>
      <c r="C1553" t="str">
        <f>"46.991"</f>
        <v>46.991</v>
      </c>
    </row>
    <row r="1554" spans="1:3" x14ac:dyDescent="0.25">
      <c r="A1554" t="str">
        <f>"04/11/2015"</f>
        <v>04/11/2015</v>
      </c>
      <c r="B1554" t="str">
        <f>"46.806"</f>
        <v>46.806</v>
      </c>
      <c r="C1554" t="str">
        <f>"46.89"</f>
        <v>46.89</v>
      </c>
    </row>
    <row r="1555" spans="1:3" x14ac:dyDescent="0.25">
      <c r="A1555" t="str">
        <f>"05/11/2015"</f>
        <v>05/11/2015</v>
      </c>
      <c r="B1555" t="str">
        <f>"46.956"</f>
        <v>46.956</v>
      </c>
      <c r="C1555" t="str">
        <f>"47.046"</f>
        <v>47.046</v>
      </c>
    </row>
    <row r="1556" spans="1:3" x14ac:dyDescent="0.25">
      <c r="A1556" t="str">
        <f>"06/11/2015"</f>
        <v>06/11/2015</v>
      </c>
      <c r="B1556" t="str">
        <f>"46.96"</f>
        <v>46.96</v>
      </c>
      <c r="C1556" t="str">
        <f>"47.044"</f>
        <v>47.044</v>
      </c>
    </row>
    <row r="1557" spans="1:3" x14ac:dyDescent="0.25">
      <c r="A1557" t="str">
        <f>"09/11/2015"</f>
        <v>09/11/2015</v>
      </c>
      <c r="B1557" t="str">
        <f>"47.258"</f>
        <v>47.258</v>
      </c>
      <c r="C1557" t="str">
        <f>"47.342"</f>
        <v>47.342</v>
      </c>
    </row>
    <row r="1558" spans="1:3" x14ac:dyDescent="0.25">
      <c r="A1558" t="str">
        <f>"10/11/2015"</f>
        <v>10/11/2015</v>
      </c>
      <c r="B1558" t="str">
        <f>"47.375"</f>
        <v>47.375</v>
      </c>
      <c r="C1558" t="str">
        <f>"47.465"</f>
        <v>47.465</v>
      </c>
    </row>
    <row r="1559" spans="1:3" x14ac:dyDescent="0.25">
      <c r="A1559" t="str">
        <f>"13/11/2015"</f>
        <v>13/11/2015</v>
      </c>
      <c r="B1559" t="str">
        <f>"47.13"</f>
        <v>47.13</v>
      </c>
      <c r="C1559" t="str">
        <f>"47.226"</f>
        <v>47.226</v>
      </c>
    </row>
    <row r="1560" spans="1:3" x14ac:dyDescent="0.25">
      <c r="A1560" t="str">
        <f>"16/11/2015"</f>
        <v>16/11/2015</v>
      </c>
      <c r="B1560" t="str">
        <f>"47.18"</f>
        <v>47.18</v>
      </c>
      <c r="C1560" t="str">
        <f>"47.275"</f>
        <v>47.275</v>
      </c>
    </row>
    <row r="1561" spans="1:3" x14ac:dyDescent="0.25">
      <c r="A1561" t="str">
        <f>"17/11/2015"</f>
        <v>17/11/2015</v>
      </c>
      <c r="B1561" t="str">
        <f>"47.205"</f>
        <v>47.205</v>
      </c>
      <c r="C1561" t="str">
        <f>"47.30"</f>
        <v>47.30</v>
      </c>
    </row>
    <row r="1562" spans="1:3" x14ac:dyDescent="0.25">
      <c r="A1562" t="str">
        <f>"18/11/2015"</f>
        <v>18/11/2015</v>
      </c>
      <c r="B1562" t="str">
        <f>"47.25"</f>
        <v>47.25</v>
      </c>
      <c r="C1562" t="str">
        <f>"47.345"</f>
        <v>47.345</v>
      </c>
    </row>
    <row r="1563" spans="1:3" x14ac:dyDescent="0.25">
      <c r="A1563" t="str">
        <f>"19/11/2015"</f>
        <v>19/11/2015</v>
      </c>
      <c r="B1563" t="str">
        <f>"47.177"</f>
        <v>47.177</v>
      </c>
      <c r="C1563" t="str">
        <f>"47.272"</f>
        <v>47.272</v>
      </c>
    </row>
    <row r="1564" spans="1:3" x14ac:dyDescent="0.25">
      <c r="A1564" t="str">
        <f>"20/11/2015"</f>
        <v>20/11/2015</v>
      </c>
      <c r="B1564" t="str">
        <f>"47.083"</f>
        <v>47.083</v>
      </c>
      <c r="C1564" t="str">
        <f>"47.178"</f>
        <v>47.178</v>
      </c>
    </row>
    <row r="1565" spans="1:3" x14ac:dyDescent="0.25">
      <c r="A1565" t="str">
        <f>"23/11/2015"</f>
        <v>23/11/2015</v>
      </c>
      <c r="B1565" t="str">
        <f>"47.229"</f>
        <v>47.229</v>
      </c>
      <c r="C1565" t="str">
        <f>"47.337"</f>
        <v>47.337</v>
      </c>
    </row>
    <row r="1566" spans="1:3" x14ac:dyDescent="0.25">
      <c r="A1566" t="str">
        <f>"24/11/2015"</f>
        <v>24/11/2015</v>
      </c>
      <c r="B1566" t="str">
        <f>"47.177"</f>
        <v>47.177</v>
      </c>
      <c r="C1566" t="str">
        <f>"47.277"</f>
        <v>47.277</v>
      </c>
    </row>
    <row r="1567" spans="1:3" x14ac:dyDescent="0.25">
      <c r="A1567" t="str">
        <f>"26/11/2015"</f>
        <v>26/11/2015</v>
      </c>
      <c r="B1567" t="str">
        <f>"47.15"</f>
        <v>47.15</v>
      </c>
      <c r="C1567" t="str">
        <f>"47.25"</f>
        <v>47.25</v>
      </c>
    </row>
    <row r="1568" spans="1:3" x14ac:dyDescent="0.25">
      <c r="A1568" t="str">
        <f>"27/11/2015"</f>
        <v>27/11/2015</v>
      </c>
      <c r="B1568" t="str">
        <f>"47.208"</f>
        <v>47.208</v>
      </c>
      <c r="C1568" t="str">
        <f>"47.309"</f>
        <v>47.309</v>
      </c>
    </row>
    <row r="1569" spans="1:3" x14ac:dyDescent="0.25">
      <c r="A1569" t="str">
        <f>"30/11/2015"</f>
        <v>30/11/2015</v>
      </c>
      <c r="B1569" t="str">
        <f>"47.241"</f>
        <v>47.241</v>
      </c>
      <c r="C1569" t="str">
        <f>"47.341"</f>
        <v>47.341</v>
      </c>
    </row>
    <row r="1570" spans="1:3" x14ac:dyDescent="0.25">
      <c r="A1570" t="str">
        <f>"01/12/2015"</f>
        <v>01/12/2015</v>
      </c>
      <c r="B1570" t="str">
        <f>"47.201"</f>
        <v>47.201</v>
      </c>
      <c r="C1570" t="str">
        <f>"47.306"</f>
        <v>47.306</v>
      </c>
    </row>
    <row r="1571" spans="1:3" x14ac:dyDescent="0.25">
      <c r="A1571" t="str">
        <f>"02/12/2015"</f>
        <v>02/12/2015</v>
      </c>
      <c r="B1571" t="str">
        <f>"47.22"</f>
        <v>47.22</v>
      </c>
      <c r="C1571" t="str">
        <f>"47.322"</f>
        <v>47.322</v>
      </c>
    </row>
    <row r="1572" spans="1:3" x14ac:dyDescent="0.25">
      <c r="A1572" t="str">
        <f>"03/12/2015"</f>
        <v>03/12/2015</v>
      </c>
      <c r="B1572" t="str">
        <f>"47.205"</f>
        <v>47.205</v>
      </c>
      <c r="C1572" t="str">
        <f>"47.304"</f>
        <v>47.304</v>
      </c>
    </row>
    <row r="1573" spans="1:3" x14ac:dyDescent="0.25">
      <c r="A1573" t="str">
        <f>"04/12/2015"</f>
        <v>04/12/2015</v>
      </c>
      <c r="B1573" t="str">
        <f>"47.07"</f>
        <v>47.07</v>
      </c>
      <c r="C1573" t="str">
        <f>"47.17"</f>
        <v>47.17</v>
      </c>
    </row>
    <row r="1574" spans="1:3" x14ac:dyDescent="0.25">
      <c r="A1574" t="str">
        <f>"07/12/2015"</f>
        <v>07/12/2015</v>
      </c>
      <c r="B1574" t="str">
        <f>"47.139"</f>
        <v>47.139</v>
      </c>
      <c r="C1574" t="str">
        <f>"47.237"</f>
        <v>47.237</v>
      </c>
    </row>
    <row r="1575" spans="1:3" x14ac:dyDescent="0.25">
      <c r="A1575" t="str">
        <f>"08/12/2015"</f>
        <v>08/12/2015</v>
      </c>
      <c r="B1575" t="str">
        <f>"47.171"</f>
        <v>47.171</v>
      </c>
      <c r="C1575" t="str">
        <f>"47.276"</f>
        <v>47.276</v>
      </c>
    </row>
    <row r="1576" spans="1:3" x14ac:dyDescent="0.25">
      <c r="A1576" t="str">
        <f>"09/12/2015"</f>
        <v>09/12/2015</v>
      </c>
      <c r="B1576" t="str">
        <f>"47.34"</f>
        <v>47.34</v>
      </c>
      <c r="C1576" t="str">
        <f>"47.436"</f>
        <v>47.436</v>
      </c>
    </row>
    <row r="1577" spans="1:3" x14ac:dyDescent="0.25">
      <c r="A1577" t="str">
        <f>"10/12/2015"</f>
        <v>10/12/2015</v>
      </c>
      <c r="B1577" t="str">
        <f>"47.285"</f>
        <v>47.285</v>
      </c>
      <c r="C1577" t="str">
        <f>"47.376"</f>
        <v>47.376</v>
      </c>
    </row>
    <row r="1578" spans="1:3" x14ac:dyDescent="0.25">
      <c r="A1578" t="str">
        <f>"11/12/2015"</f>
        <v>11/12/2015</v>
      </c>
      <c r="B1578" t="str">
        <f>"47.34"</f>
        <v>47.34</v>
      </c>
      <c r="C1578" t="str">
        <f>"47.4305"</f>
        <v>47.4305</v>
      </c>
    </row>
    <row r="1579" spans="1:3" x14ac:dyDescent="0.25">
      <c r="A1579" t="str">
        <f>"14/12/2015"</f>
        <v>14/12/2015</v>
      </c>
      <c r="B1579" t="str">
        <f>"47.463"</f>
        <v>47.463</v>
      </c>
      <c r="C1579" t="str">
        <f>"47.5565"</f>
        <v>47.5565</v>
      </c>
    </row>
    <row r="1580" spans="1:3" x14ac:dyDescent="0.25">
      <c r="A1580" t="str">
        <f>"15/12/2015"</f>
        <v>15/12/2015</v>
      </c>
      <c r="B1580" t="str">
        <f>"47.377"</f>
        <v>47.377</v>
      </c>
      <c r="C1580" t="str">
        <f>"47.482"</f>
        <v>47.482</v>
      </c>
    </row>
    <row r="1581" spans="1:3" x14ac:dyDescent="0.25">
      <c r="A1581" t="str">
        <f>"16/12/2015"</f>
        <v>16/12/2015</v>
      </c>
      <c r="B1581" t="str">
        <f>"47.363"</f>
        <v>47.363</v>
      </c>
      <c r="C1581" t="str">
        <f>"47.463"</f>
        <v>47.463</v>
      </c>
    </row>
    <row r="1582" spans="1:3" x14ac:dyDescent="0.25">
      <c r="A1582" t="str">
        <f>"17/12/2015"</f>
        <v>17/12/2015</v>
      </c>
      <c r="B1582" t="str">
        <f>"47.498"</f>
        <v>47.498</v>
      </c>
      <c r="C1582" t="str">
        <f>"47.6395"</f>
        <v>47.6395</v>
      </c>
    </row>
    <row r="1583" spans="1:3" x14ac:dyDescent="0.25">
      <c r="A1583" t="str">
        <f>"18/12/2015"</f>
        <v>18/12/2015</v>
      </c>
      <c r="B1583" t="str">
        <f>"47.382"</f>
        <v>47.382</v>
      </c>
      <c r="C1583" t="str">
        <f>"47.472"</f>
        <v>47.472</v>
      </c>
    </row>
    <row r="1584" spans="1:3" x14ac:dyDescent="0.25">
      <c r="A1584" t="str">
        <f>"21/12/2015"</f>
        <v>21/12/2015</v>
      </c>
      <c r="B1584" t="str">
        <f>"47.287"</f>
        <v>47.287</v>
      </c>
      <c r="C1584" t="str">
        <f>"47.379"</f>
        <v>47.379</v>
      </c>
    </row>
    <row r="1585" spans="1:3" x14ac:dyDescent="0.25">
      <c r="A1585" t="str">
        <f>"22/12/2015"</f>
        <v>22/12/2015</v>
      </c>
      <c r="B1585" t="str">
        <f>"47.339"</f>
        <v>47.339</v>
      </c>
      <c r="C1585" t="str">
        <f>"47.436"</f>
        <v>47.436</v>
      </c>
    </row>
    <row r="1586" spans="1:3" x14ac:dyDescent="0.25">
      <c r="A1586" t="str">
        <f>"23/12/2015"</f>
        <v>23/12/2015</v>
      </c>
      <c r="B1586" t="str">
        <f>"47.395"</f>
        <v>47.395</v>
      </c>
      <c r="C1586" t="str">
        <f>"47.481"</f>
        <v>47.481</v>
      </c>
    </row>
    <row r="1587" spans="1:3" x14ac:dyDescent="0.25">
      <c r="A1587" t="str">
        <f>"28/12/2015"</f>
        <v>28/12/2015</v>
      </c>
      <c r="B1587" t="str">
        <f>"47.26"</f>
        <v>47.26</v>
      </c>
      <c r="C1587" t="str">
        <f>"47.348"</f>
        <v>47.348</v>
      </c>
    </row>
    <row r="1588" spans="1:3" x14ac:dyDescent="0.25">
      <c r="A1588" t="str">
        <f>"29/12/2015"</f>
        <v>29/12/2015</v>
      </c>
      <c r="B1588" t="str">
        <f>"47.10"</f>
        <v>47.10</v>
      </c>
      <c r="C1588" t="str">
        <f>"47.188"</f>
        <v>47.188</v>
      </c>
    </row>
    <row r="1589" spans="1:3" x14ac:dyDescent="0.25">
      <c r="A1589" t="str">
        <f>"30/12/2015"</f>
        <v>30/12/2015</v>
      </c>
      <c r="B1589" t="str">
        <f>"47.01"</f>
        <v>47.01</v>
      </c>
      <c r="C1589" t="str">
        <f>"47.10"</f>
        <v>47.10</v>
      </c>
    </row>
    <row r="1590" spans="1:3" x14ac:dyDescent="0.25">
      <c r="A1590" t="str">
        <f>"31/12/2015"</f>
        <v>31/12/2015</v>
      </c>
      <c r="B1590" t="str">
        <f>"46.945"</f>
        <v>46.945</v>
      </c>
      <c r="C1590" t="str">
        <f>"47.033"</f>
        <v>47.033</v>
      </c>
    </row>
    <row r="1591" spans="1:3" x14ac:dyDescent="0.25">
      <c r="A1591" t="str">
        <f>"01/01/2016"</f>
        <v>01/01/2016</v>
      </c>
      <c r="B1591" t="str">
        <f>"46.91"</f>
        <v>46.91</v>
      </c>
      <c r="C1591" t="str">
        <f>"46.998"</f>
        <v>46.998</v>
      </c>
    </row>
    <row r="1592" spans="1:3" x14ac:dyDescent="0.25">
      <c r="A1592" t="str">
        <f>"04/01/2016"</f>
        <v>04/01/2016</v>
      </c>
      <c r="B1592" t="str">
        <f>"47.136"</f>
        <v>47.136</v>
      </c>
      <c r="C1592" t="str">
        <f>"47.22"</f>
        <v>47.22</v>
      </c>
    </row>
    <row r="1593" spans="1:3" x14ac:dyDescent="0.25">
      <c r="A1593" t="str">
        <f>"05/01/2016"</f>
        <v>05/01/2016</v>
      </c>
      <c r="B1593" t="str">
        <f>"46.941"</f>
        <v>46.941</v>
      </c>
      <c r="C1593" t="str">
        <f>"47.03"</f>
        <v>47.03</v>
      </c>
    </row>
    <row r="1594" spans="1:3" x14ac:dyDescent="0.25">
      <c r="A1594" t="str">
        <f>"06/01/2016"</f>
        <v>06/01/2016</v>
      </c>
      <c r="B1594" t="str">
        <f>"47.089"</f>
        <v>47.089</v>
      </c>
      <c r="C1594" t="str">
        <f>"47.176"</f>
        <v>47.176</v>
      </c>
    </row>
    <row r="1595" spans="1:3" x14ac:dyDescent="0.25">
      <c r="A1595" t="str">
        <f>"07/01/2016"</f>
        <v>07/01/2016</v>
      </c>
      <c r="B1595" t="str">
        <f>"47.144"</f>
        <v>47.144</v>
      </c>
      <c r="C1595" t="str">
        <f>"47.232"</f>
        <v>47.232</v>
      </c>
    </row>
    <row r="1596" spans="1:3" x14ac:dyDescent="0.25">
      <c r="A1596" t="str">
        <f>"08/01/2016"</f>
        <v>08/01/2016</v>
      </c>
      <c r="B1596" t="str">
        <f>"47.025"</f>
        <v>47.025</v>
      </c>
      <c r="C1596" t="str">
        <f>"47.108"</f>
        <v>47.108</v>
      </c>
    </row>
    <row r="1597" spans="1:3" x14ac:dyDescent="0.25">
      <c r="A1597" t="str">
        <f>"11/01/2016"</f>
        <v>11/01/2016</v>
      </c>
      <c r="B1597" t="str">
        <f>"47.285"</f>
        <v>47.285</v>
      </c>
      <c r="C1597" t="str">
        <f>"47.3695"</f>
        <v>47.3695</v>
      </c>
    </row>
    <row r="1598" spans="1:3" x14ac:dyDescent="0.25">
      <c r="A1598" t="str">
        <f>"12/01/2016"</f>
        <v>12/01/2016</v>
      </c>
      <c r="B1598" t="str">
        <f>"47.504"</f>
        <v>47.504</v>
      </c>
      <c r="C1598" t="str">
        <f>"47.594"</f>
        <v>47.594</v>
      </c>
    </row>
    <row r="1599" spans="1:3" x14ac:dyDescent="0.25">
      <c r="A1599" t="str">
        <f>"13/01/2016"</f>
        <v>13/01/2016</v>
      </c>
      <c r="B1599" t="str">
        <f>"47.534"</f>
        <v>47.534</v>
      </c>
      <c r="C1599" t="str">
        <f>"47.62"</f>
        <v>47.62</v>
      </c>
    </row>
    <row r="1600" spans="1:3" x14ac:dyDescent="0.25">
      <c r="A1600" t="str">
        <f>"14/01/2016"</f>
        <v>14/01/2016</v>
      </c>
      <c r="B1600" t="str">
        <f>"47.811"</f>
        <v>47.811</v>
      </c>
      <c r="C1600" t="str">
        <f>"47.899"</f>
        <v>47.899</v>
      </c>
    </row>
    <row r="1601" spans="1:3" x14ac:dyDescent="0.25">
      <c r="A1601" t="str">
        <f>"15/01/2016"</f>
        <v>15/01/2016</v>
      </c>
      <c r="B1601" t="str">
        <f>"47.81"</f>
        <v>47.81</v>
      </c>
      <c r="C1601" t="str">
        <f>"47.894"</f>
        <v>47.894</v>
      </c>
    </row>
    <row r="1602" spans="1:3" x14ac:dyDescent="0.25">
      <c r="A1602" t="str">
        <f>"18/01/2016"</f>
        <v>18/01/2016</v>
      </c>
      <c r="B1602" t="str">
        <f>"47.777"</f>
        <v>47.777</v>
      </c>
      <c r="C1602" t="str">
        <f>"47.8635"</f>
        <v>47.8635</v>
      </c>
    </row>
    <row r="1603" spans="1:3" x14ac:dyDescent="0.25">
      <c r="A1603" t="str">
        <f>"19/01/2016"</f>
        <v>19/01/2016</v>
      </c>
      <c r="B1603" t="str">
        <f>"47.627"</f>
        <v>47.627</v>
      </c>
      <c r="C1603" t="str">
        <f>"47.719"</f>
        <v>47.719</v>
      </c>
    </row>
    <row r="1604" spans="1:3" x14ac:dyDescent="0.25">
      <c r="A1604" t="str">
        <f>"20/01/2016"</f>
        <v>20/01/2016</v>
      </c>
      <c r="B1604" t="str">
        <f>"47.965"</f>
        <v>47.965</v>
      </c>
      <c r="C1604" t="str">
        <f>"48.057"</f>
        <v>48.057</v>
      </c>
    </row>
    <row r="1605" spans="1:3" x14ac:dyDescent="0.25">
      <c r="A1605" t="str">
        <f>"21/01/2016"</f>
        <v>21/01/2016</v>
      </c>
      <c r="B1605" t="str">
        <f>"47.923"</f>
        <v>47.923</v>
      </c>
      <c r="C1605" t="str">
        <f>"48.018"</f>
        <v>48.018</v>
      </c>
    </row>
    <row r="1606" spans="1:3" x14ac:dyDescent="0.25">
      <c r="A1606" t="str">
        <f>"22/01/2016"</f>
        <v>22/01/2016</v>
      </c>
      <c r="B1606" t="str">
        <f>"47.725"</f>
        <v>47.725</v>
      </c>
      <c r="C1606" t="str">
        <f>"47.82"</f>
        <v>47.82</v>
      </c>
    </row>
    <row r="1607" spans="1:3" x14ac:dyDescent="0.25">
      <c r="A1607" t="str">
        <f>"25/01/2016"</f>
        <v>25/01/2016</v>
      </c>
      <c r="B1607" t="str">
        <f>"48.053"</f>
        <v>48.053</v>
      </c>
      <c r="C1607" t="str">
        <f>"48.145"</f>
        <v>48.145</v>
      </c>
    </row>
    <row r="1608" spans="1:3" x14ac:dyDescent="0.25">
      <c r="A1608" t="str">
        <f>"27/01/2016"</f>
        <v>27/01/2016</v>
      </c>
      <c r="B1608" t="str">
        <f>"47.94"</f>
        <v>47.94</v>
      </c>
      <c r="C1608" t="str">
        <f>"48.033"</f>
        <v>48.033</v>
      </c>
    </row>
    <row r="1609" spans="1:3" x14ac:dyDescent="0.25">
      <c r="A1609" t="str">
        <f>"28/01/2016"</f>
        <v>28/01/2016</v>
      </c>
      <c r="B1609" t="str">
        <f>"47.827"</f>
        <v>47.827</v>
      </c>
      <c r="C1609" t="str">
        <f>"47.912"</f>
        <v>47.912</v>
      </c>
    </row>
    <row r="1610" spans="1:3" x14ac:dyDescent="0.25">
      <c r="A1610" t="str">
        <f>"29/01/2016"</f>
        <v>29/01/2016</v>
      </c>
      <c r="B1610" t="str">
        <f>"47.802"</f>
        <v>47.802</v>
      </c>
      <c r="C1610" t="str">
        <f>"47.882"</f>
        <v>47.882</v>
      </c>
    </row>
    <row r="1611" spans="1:3" x14ac:dyDescent="0.25">
      <c r="A1611" t="str">
        <f>"01/02/2016"</f>
        <v>01/02/2016</v>
      </c>
      <c r="B1611" t="str">
        <f>"47.662"</f>
        <v>47.662</v>
      </c>
      <c r="C1611" t="str">
        <f>"47.743"</f>
        <v>47.743</v>
      </c>
    </row>
    <row r="1612" spans="1:3" x14ac:dyDescent="0.25">
      <c r="A1612" t="str">
        <f>"02/02/2016"</f>
        <v>02/02/2016</v>
      </c>
      <c r="B1612" t="str">
        <f>"47.85"</f>
        <v>47.85</v>
      </c>
      <c r="C1612" t="str">
        <f>"47.927"</f>
        <v>47.927</v>
      </c>
    </row>
    <row r="1613" spans="1:3" x14ac:dyDescent="0.25">
      <c r="A1613" t="str">
        <f>"03/02/2016"</f>
        <v>03/02/2016</v>
      </c>
      <c r="B1613" t="str">
        <f>"47.883"</f>
        <v>47.883</v>
      </c>
      <c r="C1613" t="str">
        <f>"47.96"</f>
        <v>47.96</v>
      </c>
    </row>
    <row r="1614" spans="1:3" x14ac:dyDescent="0.25">
      <c r="A1614" t="str">
        <f>"04/02/2016"</f>
        <v>04/02/2016</v>
      </c>
      <c r="B1614" t="str">
        <f>"47.71"</f>
        <v>47.71</v>
      </c>
      <c r="C1614" t="str">
        <f>"47.785"</f>
        <v>47.785</v>
      </c>
    </row>
    <row r="1615" spans="1:3" x14ac:dyDescent="0.25">
      <c r="A1615" t="str">
        <f>"05/02/2016"</f>
        <v>05/02/2016</v>
      </c>
      <c r="B1615" t="str">
        <f>"47.685"</f>
        <v>47.685</v>
      </c>
      <c r="C1615" t="str">
        <f>"47.759"</f>
        <v>47.759</v>
      </c>
    </row>
    <row r="1616" spans="1:3" x14ac:dyDescent="0.25">
      <c r="A1616" t="str">
        <f>"08/02/2016"</f>
        <v>08/02/2016</v>
      </c>
      <c r="B1616" t="str">
        <f>"47.847"</f>
        <v>47.847</v>
      </c>
      <c r="C1616" t="str">
        <f>"47.922"</f>
        <v>47.922</v>
      </c>
    </row>
    <row r="1617" spans="1:3" x14ac:dyDescent="0.25">
      <c r="A1617" t="str">
        <f>"09/02/2016"</f>
        <v>09/02/2016</v>
      </c>
      <c r="B1617" t="str">
        <f>"47.79"</f>
        <v>47.79</v>
      </c>
      <c r="C1617" t="str">
        <f>"47.862"</f>
        <v>47.862</v>
      </c>
    </row>
    <row r="1618" spans="1:3" x14ac:dyDescent="0.25">
      <c r="A1618" t="str">
        <f>"10/02/2016"</f>
        <v>10/02/2016</v>
      </c>
      <c r="B1618" t="str">
        <f>"47.534"</f>
        <v>47.534</v>
      </c>
      <c r="C1618" t="str">
        <f>"47.609"</f>
        <v>47.609</v>
      </c>
    </row>
    <row r="1619" spans="1:3" x14ac:dyDescent="0.25">
      <c r="A1619" t="str">
        <f>"11/02/2016"</f>
        <v>11/02/2016</v>
      </c>
      <c r="B1619" t="str">
        <f>"47.579"</f>
        <v>47.579</v>
      </c>
      <c r="C1619" t="str">
        <f>"47.654"</f>
        <v>47.654</v>
      </c>
    </row>
    <row r="1620" spans="1:3" x14ac:dyDescent="0.25">
      <c r="A1620" t="str">
        <f>"12/02/2016"</f>
        <v>12/02/2016</v>
      </c>
      <c r="B1620" t="str">
        <f>"47.525"</f>
        <v>47.525</v>
      </c>
      <c r="C1620" t="str">
        <f>"47.594"</f>
        <v>47.594</v>
      </c>
    </row>
    <row r="1621" spans="1:3" x14ac:dyDescent="0.25">
      <c r="A1621" t="str">
        <f>"15/02/2016"</f>
        <v>15/02/2016</v>
      </c>
      <c r="B1621" t="str">
        <f>"47.455"</f>
        <v>47.455</v>
      </c>
      <c r="C1621" t="str">
        <f>"47.528"</f>
        <v>47.528</v>
      </c>
    </row>
    <row r="1622" spans="1:3" x14ac:dyDescent="0.25">
      <c r="A1622" t="str">
        <f>"16/02/2016"</f>
        <v>16/02/2016</v>
      </c>
      <c r="B1622" t="str">
        <f>"47.55"</f>
        <v>47.55</v>
      </c>
      <c r="C1622" t="str">
        <f>"47.615"</f>
        <v>47.615</v>
      </c>
    </row>
    <row r="1623" spans="1:3" x14ac:dyDescent="0.25">
      <c r="A1623" t="str">
        <f>"17/02/2016"</f>
        <v>17/02/2016</v>
      </c>
      <c r="B1623" t="str">
        <f>"47.677"</f>
        <v>47.677</v>
      </c>
      <c r="C1623" t="str">
        <f>"47.745"</f>
        <v>47.745</v>
      </c>
    </row>
    <row r="1624" spans="1:3" x14ac:dyDescent="0.25">
      <c r="A1624" t="str">
        <f>"18/02/2016"</f>
        <v>18/02/2016</v>
      </c>
      <c r="B1624" t="str">
        <f>"47.671"</f>
        <v>47.671</v>
      </c>
      <c r="C1624" t="str">
        <f>"47.738"</f>
        <v>47.738</v>
      </c>
    </row>
    <row r="1625" spans="1:3" x14ac:dyDescent="0.25">
      <c r="A1625" t="str">
        <f>"22/02/2016"</f>
        <v>22/02/2016</v>
      </c>
      <c r="B1625" t="str">
        <f>"47.586"</f>
        <v>47.586</v>
      </c>
      <c r="C1625" t="str">
        <f>"47.65"</f>
        <v>47.65</v>
      </c>
    </row>
    <row r="1626" spans="1:3" x14ac:dyDescent="0.25">
      <c r="A1626" t="str">
        <f>"23/02/2016"</f>
        <v>23/02/2016</v>
      </c>
      <c r="B1626" t="str">
        <f>"47.63"</f>
        <v>47.63</v>
      </c>
      <c r="C1626" t="str">
        <f>"47.704"</f>
        <v>47.704</v>
      </c>
    </row>
    <row r="1627" spans="1:3" x14ac:dyDescent="0.25">
      <c r="A1627" t="str">
        <f>"24/02/2016"</f>
        <v>24/02/2016</v>
      </c>
      <c r="B1627" t="str">
        <f>"47.754"</f>
        <v>47.754</v>
      </c>
      <c r="C1627" t="str">
        <f>"47.823"</f>
        <v>47.823</v>
      </c>
    </row>
    <row r="1628" spans="1:3" x14ac:dyDescent="0.25">
      <c r="A1628" t="str">
        <f>"25/02/2016"</f>
        <v>25/02/2016</v>
      </c>
      <c r="B1628" t="str">
        <f>"47.59"</f>
        <v>47.59</v>
      </c>
      <c r="C1628" t="str">
        <f>"47.66"</f>
        <v>47.66</v>
      </c>
    </row>
    <row r="1629" spans="1:3" x14ac:dyDescent="0.25">
      <c r="A1629" t="str">
        <f>"26/02/2016"</f>
        <v>26/02/2016</v>
      </c>
      <c r="B1629" t="str">
        <f>"47.59"</f>
        <v>47.59</v>
      </c>
      <c r="C1629" t="str">
        <f>"47.665"</f>
        <v>47.665</v>
      </c>
    </row>
    <row r="1630" spans="1:3" x14ac:dyDescent="0.25">
      <c r="A1630" t="str">
        <f>"29/02/2016"</f>
        <v>29/02/2016</v>
      </c>
      <c r="B1630" t="str">
        <f>"47.565"</f>
        <v>47.565</v>
      </c>
      <c r="C1630" t="str">
        <f>"47.645"</f>
        <v>47.645</v>
      </c>
    </row>
    <row r="1631" spans="1:3" x14ac:dyDescent="0.25">
      <c r="A1631" t="str">
        <f>"01/03/2016"</f>
        <v>01/03/2016</v>
      </c>
      <c r="B1631" t="str">
        <f>"47.377"</f>
        <v>47.377</v>
      </c>
      <c r="C1631" t="str">
        <f>"47.461"</f>
        <v>47.461</v>
      </c>
    </row>
    <row r="1632" spans="1:3" x14ac:dyDescent="0.25">
      <c r="A1632" t="str">
        <f>"02/03/2016"</f>
        <v>02/03/2016</v>
      </c>
      <c r="B1632" t="str">
        <f>"47.333"</f>
        <v>47.333</v>
      </c>
      <c r="C1632" t="str">
        <f>"47.413"</f>
        <v>47.413</v>
      </c>
    </row>
    <row r="1633" spans="1:3" x14ac:dyDescent="0.25">
      <c r="A1633" t="str">
        <f>"03/03/2016"</f>
        <v>03/03/2016</v>
      </c>
      <c r="B1633" t="str">
        <f>"47.075"</f>
        <v>47.075</v>
      </c>
      <c r="C1633" t="str">
        <f>"47.16"</f>
        <v>47.16</v>
      </c>
    </row>
    <row r="1634" spans="1:3" x14ac:dyDescent="0.25">
      <c r="A1634" t="str">
        <f>"04/03/2016"</f>
        <v>04/03/2016</v>
      </c>
      <c r="B1634" t="str">
        <f>"46.985"</f>
        <v>46.985</v>
      </c>
      <c r="C1634" t="str">
        <f>"47.068"</f>
        <v>47.068</v>
      </c>
    </row>
    <row r="1635" spans="1:3" x14ac:dyDescent="0.25">
      <c r="A1635" t="str">
        <f>"08/03/2016"</f>
        <v>08/03/2016</v>
      </c>
      <c r="B1635" t="str">
        <f>"46.98"</f>
        <v>46.98</v>
      </c>
      <c r="C1635" t="str">
        <f>"47.07"</f>
        <v>47.07</v>
      </c>
    </row>
    <row r="1636" spans="1:3" x14ac:dyDescent="0.25">
      <c r="A1636" t="str">
        <f>"09/03/2016"</f>
        <v>09/03/2016</v>
      </c>
      <c r="B1636" t="str">
        <f>"46.888"</f>
        <v>46.888</v>
      </c>
      <c r="C1636" t="str">
        <f>"46.975"</f>
        <v>46.975</v>
      </c>
    </row>
    <row r="1637" spans="1:3" x14ac:dyDescent="0.25">
      <c r="A1637" t="str">
        <f>"10/03/2016"</f>
        <v>10/03/2016</v>
      </c>
      <c r="B1637" t="str">
        <f>"46.708"</f>
        <v>46.708</v>
      </c>
      <c r="C1637" t="str">
        <f>"46.792"</f>
        <v>46.792</v>
      </c>
    </row>
    <row r="1638" spans="1:3" x14ac:dyDescent="0.25">
      <c r="A1638" t="str">
        <f>"11/03/2016"</f>
        <v>11/03/2016</v>
      </c>
      <c r="B1638" t="str">
        <f>"46.645"</f>
        <v>46.645</v>
      </c>
      <c r="C1638" t="str">
        <f>"46.726"</f>
        <v>46.726</v>
      </c>
    </row>
    <row r="1639" spans="1:3" x14ac:dyDescent="0.25">
      <c r="A1639" t="str">
        <f>"14/03/2016"</f>
        <v>14/03/2016</v>
      </c>
      <c r="B1639" t="str">
        <f>"46.672"</f>
        <v>46.672</v>
      </c>
      <c r="C1639" t="str">
        <f>"46.7545"</f>
        <v>46.7545</v>
      </c>
    </row>
    <row r="1640" spans="1:3" x14ac:dyDescent="0.25">
      <c r="A1640" t="str">
        <f>"15/03/2016"</f>
        <v>15/03/2016</v>
      </c>
      <c r="B1640" t="str">
        <f>"46.837"</f>
        <v>46.837</v>
      </c>
      <c r="C1640" t="str">
        <f>"46.9253"</f>
        <v>46.9253</v>
      </c>
    </row>
    <row r="1641" spans="1:3" x14ac:dyDescent="0.25">
      <c r="A1641" t="str">
        <f>"16/03/2016"</f>
        <v>16/03/2016</v>
      </c>
      <c r="B1641" t="str">
        <f>"46.79"</f>
        <v>46.79</v>
      </c>
      <c r="C1641" t="str">
        <f>"46.877"</f>
        <v>46.877</v>
      </c>
    </row>
    <row r="1642" spans="1:3" x14ac:dyDescent="0.25">
      <c r="A1642" t="str">
        <f>"17/03/2016"</f>
        <v>17/03/2016</v>
      </c>
      <c r="B1642" t="str">
        <f>"46.359"</f>
        <v>46.359</v>
      </c>
      <c r="C1642" t="str">
        <f>"46.4425"</f>
        <v>46.4425</v>
      </c>
    </row>
    <row r="1643" spans="1:3" x14ac:dyDescent="0.25">
      <c r="A1643" t="str">
        <f>"18/03/2016"</f>
        <v>18/03/2016</v>
      </c>
      <c r="B1643" t="str">
        <f>"46.345"</f>
        <v>46.345</v>
      </c>
      <c r="C1643" t="str">
        <f>"46.43"</f>
        <v>46.43</v>
      </c>
    </row>
    <row r="1644" spans="1:3" x14ac:dyDescent="0.25">
      <c r="A1644" t="str">
        <f>"21/03/2016"</f>
        <v>21/03/2016</v>
      </c>
      <c r="B1644" t="str">
        <f>"46.348"</f>
        <v>46.348</v>
      </c>
      <c r="C1644" t="str">
        <f>"46.4325"</f>
        <v>46.4325</v>
      </c>
    </row>
    <row r="1645" spans="1:3" x14ac:dyDescent="0.25">
      <c r="A1645" t="str">
        <f>"22/03/2016"</f>
        <v>22/03/2016</v>
      </c>
      <c r="B1645" t="str">
        <f>"46.31"</f>
        <v>46.31</v>
      </c>
      <c r="C1645" t="str">
        <f>"46.398"</f>
        <v>46.398</v>
      </c>
    </row>
    <row r="1646" spans="1:3" x14ac:dyDescent="0.25">
      <c r="A1646" t="str">
        <f>"23/03/2016"</f>
        <v>23/03/2016</v>
      </c>
      <c r="B1646" t="str">
        <f>"46.37"</f>
        <v>46.37</v>
      </c>
      <c r="C1646" t="str">
        <f>"46.4545"</f>
        <v>46.4545</v>
      </c>
    </row>
    <row r="1647" spans="1:3" x14ac:dyDescent="0.25">
      <c r="A1647" t="str">
        <f>"28/03/2016"</f>
        <v>28/03/2016</v>
      </c>
      <c r="B1647" t="str">
        <f>"46.363"</f>
        <v>46.363</v>
      </c>
      <c r="C1647" t="str">
        <f>"46.449"</f>
        <v>46.449</v>
      </c>
    </row>
    <row r="1648" spans="1:3" x14ac:dyDescent="0.25">
      <c r="A1648" t="str">
        <f>"29/03/2016"</f>
        <v>29/03/2016</v>
      </c>
      <c r="B1648" t="str">
        <f>"46.383"</f>
        <v>46.383</v>
      </c>
      <c r="C1648" t="str">
        <f>"46.462"</f>
        <v>46.462</v>
      </c>
    </row>
    <row r="1649" spans="1:3" x14ac:dyDescent="0.25">
      <c r="A1649" t="str">
        <f>"30/03/2016"</f>
        <v>30/03/2016</v>
      </c>
      <c r="B1649" t="str">
        <f>"46.035"</f>
        <v>46.035</v>
      </c>
      <c r="C1649" t="str">
        <f>"46.115"</f>
        <v>46.115</v>
      </c>
    </row>
    <row r="1650" spans="1:3" x14ac:dyDescent="0.25">
      <c r="A1650" t="str">
        <f>"31/03/2016"</f>
        <v>31/03/2016</v>
      </c>
      <c r="B1650" t="str">
        <f>"46.027"</f>
        <v>46.027</v>
      </c>
      <c r="C1650" t="str">
        <f>"46.107"</f>
        <v>46.107</v>
      </c>
    </row>
    <row r="1651" spans="1:3" x14ac:dyDescent="0.25">
      <c r="A1651" t="str">
        <f>"04/04/2016"</f>
        <v>04/04/2016</v>
      </c>
      <c r="B1651" t="str">
        <f>"46.243"</f>
        <v>46.243</v>
      </c>
      <c r="C1651" t="str">
        <f>"46.321"</f>
        <v>46.321</v>
      </c>
    </row>
    <row r="1652" spans="1:3" x14ac:dyDescent="0.25">
      <c r="A1652" t="str">
        <f>"05/04/2016"</f>
        <v>05/04/2016</v>
      </c>
      <c r="B1652" t="str">
        <f>"46.298"</f>
        <v>46.298</v>
      </c>
      <c r="C1652" t="str">
        <f>"46.376"</f>
        <v>46.376</v>
      </c>
    </row>
    <row r="1653" spans="1:3" x14ac:dyDescent="0.25">
      <c r="A1653" t="str">
        <f>"06/04/2016"</f>
        <v>06/04/2016</v>
      </c>
      <c r="B1653" t="str">
        <f>"46.385"</f>
        <v>46.385</v>
      </c>
      <c r="C1653" t="str">
        <f>"46.469"</f>
        <v>46.469</v>
      </c>
    </row>
    <row r="1654" spans="1:3" x14ac:dyDescent="0.25">
      <c r="A1654" t="str">
        <f>"07/04/2016"</f>
        <v>07/04/2016</v>
      </c>
      <c r="B1654" t="str">
        <f>"46.13"</f>
        <v>46.13</v>
      </c>
      <c r="C1654" t="str">
        <f>"46.21"</f>
        <v>46.21</v>
      </c>
    </row>
    <row r="1655" spans="1:3" x14ac:dyDescent="0.25">
      <c r="A1655" t="str">
        <f>"11/04/2016"</f>
        <v>11/04/2016</v>
      </c>
      <c r="B1655" t="str">
        <f>"46.14"</f>
        <v>46.14</v>
      </c>
      <c r="C1655" t="str">
        <f>"46.216"</f>
        <v>46.216</v>
      </c>
    </row>
    <row r="1656" spans="1:3" x14ac:dyDescent="0.25">
      <c r="A1656" t="str">
        <f>"12/04/2016"</f>
        <v>12/04/2016</v>
      </c>
      <c r="B1656" t="str">
        <f>"46.115"</f>
        <v>46.115</v>
      </c>
      <c r="C1656" t="str">
        <f>"46.192"</f>
        <v>46.192</v>
      </c>
    </row>
    <row r="1657" spans="1:3" x14ac:dyDescent="0.25">
      <c r="A1657" t="str">
        <f>"13/04/2016"</f>
        <v>13/04/2016</v>
      </c>
      <c r="B1657" t="str">
        <f>"45.97"</f>
        <v>45.97</v>
      </c>
      <c r="C1657" t="str">
        <f>"46.0515"</f>
        <v>46.0515</v>
      </c>
    </row>
    <row r="1658" spans="1:3" x14ac:dyDescent="0.25">
      <c r="A1658" t="str">
        <f>"18/04/2016"</f>
        <v>18/04/2016</v>
      </c>
      <c r="B1658" t="str">
        <f>"46.19"</f>
        <v>46.19</v>
      </c>
      <c r="C1658" t="str">
        <f>"46.27"</f>
        <v>46.27</v>
      </c>
    </row>
    <row r="1659" spans="1:3" x14ac:dyDescent="0.25">
      <c r="A1659" t="str">
        <f>"20/04/2016"</f>
        <v>20/04/2016</v>
      </c>
      <c r="B1659" t="str">
        <f>"46.26"</f>
        <v>46.26</v>
      </c>
      <c r="C1659" t="str">
        <f>"46.344"</f>
        <v>46.344</v>
      </c>
    </row>
    <row r="1660" spans="1:3" x14ac:dyDescent="0.25">
      <c r="A1660" t="str">
        <f>"21/04/2016"</f>
        <v>21/04/2016</v>
      </c>
      <c r="B1660" t="str">
        <f>"46.49"</f>
        <v>46.49</v>
      </c>
      <c r="C1660" t="str">
        <f>"46.574"</f>
        <v>46.574</v>
      </c>
    </row>
    <row r="1661" spans="1:3" x14ac:dyDescent="0.25">
      <c r="A1661" t="str">
        <f>"22/04/2016"</f>
        <v>22/04/2016</v>
      </c>
      <c r="B1661" t="str">
        <f>"46.69"</f>
        <v>46.69</v>
      </c>
      <c r="C1661" t="str">
        <f>"46.774"</f>
        <v>46.774</v>
      </c>
    </row>
    <row r="1662" spans="1:3" x14ac:dyDescent="0.25">
      <c r="A1662" t="str">
        <f>"25/04/2016"</f>
        <v>25/04/2016</v>
      </c>
      <c r="B1662" t="str">
        <f>"46.955"</f>
        <v>46.955</v>
      </c>
      <c r="C1662" t="str">
        <f>"47.035"</f>
        <v>47.035</v>
      </c>
    </row>
    <row r="1663" spans="1:3" x14ac:dyDescent="0.25">
      <c r="A1663" t="str">
        <f>"26/04/2016"</f>
        <v>26/04/2016</v>
      </c>
      <c r="B1663" t="str">
        <f>"46.879"</f>
        <v>46.879</v>
      </c>
      <c r="C1663" t="str">
        <f>"46.9605"</f>
        <v>46.9605</v>
      </c>
    </row>
    <row r="1664" spans="1:3" x14ac:dyDescent="0.25">
      <c r="A1664" t="str">
        <f>"27/04/2016"</f>
        <v>27/04/2016</v>
      </c>
      <c r="B1664" t="str">
        <f>"46.791"</f>
        <v>46.791</v>
      </c>
      <c r="C1664" t="str">
        <f>"46.879"</f>
        <v>46.879</v>
      </c>
    </row>
    <row r="1665" spans="1:3" x14ac:dyDescent="0.25">
      <c r="A1665" t="str">
        <f>"28/04/2016"</f>
        <v>28/04/2016</v>
      </c>
      <c r="B1665" t="str">
        <f>"46.882"</f>
        <v>46.882</v>
      </c>
      <c r="C1665" t="str">
        <f>"46.9658"</f>
        <v>46.9658</v>
      </c>
    </row>
    <row r="1666" spans="1:3" x14ac:dyDescent="0.25">
      <c r="A1666" t="str">
        <f>"29/04/2016"</f>
        <v>29/04/2016</v>
      </c>
      <c r="B1666" t="str">
        <f>"47.035"</f>
        <v>47.035</v>
      </c>
      <c r="C1666" t="str">
        <f>"47.119"</f>
        <v>47.119</v>
      </c>
    </row>
    <row r="1667" spans="1:3" x14ac:dyDescent="0.25">
      <c r="A1667" t="str">
        <f>"02/05/2016"</f>
        <v>02/05/2016</v>
      </c>
      <c r="B1667" t="str">
        <f>"47.032"</f>
        <v>47.032</v>
      </c>
      <c r="C1667" t="str">
        <f>"47.113"</f>
        <v>47.113</v>
      </c>
    </row>
    <row r="1668" spans="1:3" x14ac:dyDescent="0.25">
      <c r="A1668" t="str">
        <f>"03/05/2016"</f>
        <v>03/05/2016</v>
      </c>
      <c r="B1668" t="str">
        <f>"46.963"</f>
        <v>46.963</v>
      </c>
      <c r="C1668" t="str">
        <f>"47.051"</f>
        <v>47.051</v>
      </c>
    </row>
    <row r="1669" spans="1:3" x14ac:dyDescent="0.25">
      <c r="A1669" t="str">
        <f>"04/05/2016"</f>
        <v>04/05/2016</v>
      </c>
      <c r="B1669" t="str">
        <f>"47.12"</f>
        <v>47.12</v>
      </c>
      <c r="C1669" t="str">
        <f>"47.213"</f>
        <v>47.213</v>
      </c>
    </row>
    <row r="1670" spans="1:3" x14ac:dyDescent="0.25">
      <c r="A1670" t="str">
        <f>"05/05/2016"</f>
        <v>05/05/2016</v>
      </c>
      <c r="B1670" t="str">
        <f>"47.27"</f>
        <v>47.27</v>
      </c>
      <c r="C1670" t="str">
        <f>"47.355"</f>
        <v>47.355</v>
      </c>
    </row>
    <row r="1671" spans="1:3" x14ac:dyDescent="0.25">
      <c r="A1671" t="str">
        <f>"06/05/2016"</f>
        <v>06/05/2016</v>
      </c>
      <c r="B1671" t="str">
        <f>"47.12"</f>
        <v>47.12</v>
      </c>
      <c r="C1671" t="str">
        <f>"47.208"</f>
        <v>47.208</v>
      </c>
    </row>
    <row r="1672" spans="1:3" x14ac:dyDescent="0.25">
      <c r="A1672" t="str">
        <f>"09/05/2016"</f>
        <v>09/05/2016</v>
      </c>
      <c r="B1672" t="str">
        <f>"47.11"</f>
        <v>47.11</v>
      </c>
      <c r="C1672" t="str">
        <f>"47.1945"</f>
        <v>47.1945</v>
      </c>
    </row>
    <row r="1673" spans="1:3" x14ac:dyDescent="0.25">
      <c r="A1673" t="str">
        <f>"10/05/2016"</f>
        <v>10/05/2016</v>
      </c>
      <c r="B1673" t="str">
        <f>"46.775"</f>
        <v>46.775</v>
      </c>
      <c r="C1673" t="str">
        <f>"46.868"</f>
        <v>46.868</v>
      </c>
    </row>
    <row r="1674" spans="1:3" x14ac:dyDescent="0.25">
      <c r="A1674" t="str">
        <f>"11/05/2016"</f>
        <v>11/05/2016</v>
      </c>
      <c r="B1674" t="str">
        <f>"46.59"</f>
        <v>46.59</v>
      </c>
      <c r="C1674" t="str">
        <f>"46.677"</f>
        <v>46.677</v>
      </c>
    </row>
    <row r="1675" spans="1:3" x14ac:dyDescent="0.25">
      <c r="A1675" t="str">
        <f>"12/05/2016"</f>
        <v>12/05/2016</v>
      </c>
      <c r="B1675" t="str">
        <f>"46.655"</f>
        <v>46.655</v>
      </c>
      <c r="C1675" t="str">
        <f>"46.739"</f>
        <v>46.739</v>
      </c>
    </row>
    <row r="1676" spans="1:3" x14ac:dyDescent="0.25">
      <c r="A1676" t="str">
        <f>"13/05/2016"</f>
        <v>13/05/2016</v>
      </c>
      <c r="B1676" t="str">
        <f>"46.588"</f>
        <v>46.588</v>
      </c>
      <c r="C1676" t="str">
        <f>"46.672"</f>
        <v>46.672</v>
      </c>
    </row>
    <row r="1677" spans="1:3" x14ac:dyDescent="0.25">
      <c r="A1677" t="str">
        <f>"16/05/2016"</f>
        <v>16/05/2016</v>
      </c>
      <c r="B1677" t="str">
        <f>"46.49"</f>
        <v>46.49</v>
      </c>
      <c r="C1677" t="str">
        <f>"46.573"</f>
        <v>46.573</v>
      </c>
    </row>
    <row r="1678" spans="1:3" x14ac:dyDescent="0.25">
      <c r="A1678" t="str">
        <f>"17/05/2016"</f>
        <v>17/05/2016</v>
      </c>
      <c r="B1678" t="str">
        <f>"46.46"</f>
        <v>46.46</v>
      </c>
      <c r="C1678" t="str">
        <f>"46.5475"</f>
        <v>46.5475</v>
      </c>
    </row>
    <row r="1679" spans="1:3" x14ac:dyDescent="0.25">
      <c r="A1679" t="str">
        <f>"18/05/2016"</f>
        <v>18/05/2016</v>
      </c>
      <c r="B1679" t="str">
        <f>"46.70"</f>
        <v>46.70</v>
      </c>
      <c r="C1679" t="str">
        <f>"46.787"</f>
        <v>46.787</v>
      </c>
    </row>
    <row r="1680" spans="1:3" x14ac:dyDescent="0.25">
      <c r="A1680" t="str">
        <f>"19/05/2016"</f>
        <v>19/05/2016</v>
      </c>
      <c r="B1680" t="str">
        <f>"46.85"</f>
        <v>46.85</v>
      </c>
      <c r="C1680" t="str">
        <f>"46.936"</f>
        <v>46.936</v>
      </c>
    </row>
    <row r="1681" spans="1:3" x14ac:dyDescent="0.25">
      <c r="A1681" t="str">
        <f>"20/05/2016"</f>
        <v>20/05/2016</v>
      </c>
      <c r="B1681" t="str">
        <f>"46.79"</f>
        <v>46.79</v>
      </c>
      <c r="C1681" t="str">
        <f>"46.875"</f>
        <v>46.875</v>
      </c>
    </row>
    <row r="1682" spans="1:3" x14ac:dyDescent="0.25">
      <c r="A1682" t="str">
        <f>"23/05/2016"</f>
        <v>23/05/2016</v>
      </c>
      <c r="B1682" t="str">
        <f>"46.815"</f>
        <v>46.815</v>
      </c>
      <c r="C1682" t="str">
        <f>"46.899"</f>
        <v>46.899</v>
      </c>
    </row>
    <row r="1683" spans="1:3" x14ac:dyDescent="0.25">
      <c r="A1683" t="str">
        <f>"24/05/2016"</f>
        <v>24/05/2016</v>
      </c>
      <c r="B1683" t="str">
        <f>"46.88"</f>
        <v>46.88</v>
      </c>
      <c r="C1683" t="str">
        <f>"46.967"</f>
        <v>46.967</v>
      </c>
    </row>
    <row r="1684" spans="1:3" x14ac:dyDescent="0.25">
      <c r="A1684" t="str">
        <f>"25/05/2016"</f>
        <v>25/05/2016</v>
      </c>
      <c r="B1684" t="str">
        <f>"46.81"</f>
        <v>46.81</v>
      </c>
      <c r="C1684" t="str">
        <f>"46.896"</f>
        <v>46.896</v>
      </c>
    </row>
    <row r="1685" spans="1:3" x14ac:dyDescent="0.25">
      <c r="A1685" t="str">
        <f>"26/05/2016"</f>
        <v>26/05/2016</v>
      </c>
      <c r="B1685" t="str">
        <f>"46.74"</f>
        <v>46.74</v>
      </c>
      <c r="C1685" t="str">
        <f>"46.824"</f>
        <v>46.824</v>
      </c>
    </row>
    <row r="1686" spans="1:3" x14ac:dyDescent="0.25">
      <c r="A1686" t="str">
        <f>"27/05/2016"</f>
        <v>27/05/2016</v>
      </c>
      <c r="B1686" t="str">
        <f>"46.685"</f>
        <v>46.685</v>
      </c>
      <c r="C1686" t="str">
        <f>"46.766"</f>
        <v>46.766</v>
      </c>
    </row>
    <row r="1687" spans="1:3" x14ac:dyDescent="0.25">
      <c r="A1687" t="str">
        <f>"30/05/2016"</f>
        <v>30/05/2016</v>
      </c>
      <c r="B1687" t="str">
        <f>"46.78"</f>
        <v>46.78</v>
      </c>
      <c r="C1687" t="str">
        <f>"46.862"</f>
        <v>46.862</v>
      </c>
    </row>
    <row r="1688" spans="1:3" x14ac:dyDescent="0.25">
      <c r="A1688" t="str">
        <f>"31/05/2016"</f>
        <v>31/05/2016</v>
      </c>
      <c r="B1688" t="str">
        <f>"46.79"</f>
        <v>46.79</v>
      </c>
      <c r="C1688" t="str">
        <f>"46.87"</f>
        <v>46.87</v>
      </c>
    </row>
    <row r="1689" spans="1:3" x14ac:dyDescent="0.25">
      <c r="A1689" t="str">
        <f>"01/06/2016"</f>
        <v>01/06/2016</v>
      </c>
      <c r="B1689" t="str">
        <f>"46.69"</f>
        <v>46.69</v>
      </c>
      <c r="C1689" t="str">
        <f>"46.777"</f>
        <v>46.777</v>
      </c>
    </row>
    <row r="1690" spans="1:3" x14ac:dyDescent="0.25">
      <c r="A1690" t="str">
        <f>"02/06/2016"</f>
        <v>02/06/2016</v>
      </c>
      <c r="B1690" t="str">
        <f>"46.56"</f>
        <v>46.56</v>
      </c>
      <c r="C1690" t="str">
        <f>"46.645"</f>
        <v>46.645</v>
      </c>
    </row>
    <row r="1691" spans="1:3" x14ac:dyDescent="0.25">
      <c r="A1691" t="str">
        <f>"03/06/2016"</f>
        <v>03/06/2016</v>
      </c>
      <c r="B1691" t="str">
        <f>"46.515"</f>
        <v>46.515</v>
      </c>
      <c r="C1691" t="str">
        <f>"46.595"</f>
        <v>46.595</v>
      </c>
    </row>
    <row r="1692" spans="1:3" x14ac:dyDescent="0.25">
      <c r="A1692" t="str">
        <f>"06/06/2016"</f>
        <v>06/06/2016</v>
      </c>
      <c r="B1692" t="str">
        <f>"46.275"</f>
        <v>46.275</v>
      </c>
      <c r="C1692" t="str">
        <f>"46.3525"</f>
        <v>46.3525</v>
      </c>
    </row>
    <row r="1693" spans="1:3" x14ac:dyDescent="0.25">
      <c r="A1693" t="str">
        <f>"07/06/2016"</f>
        <v>07/06/2016</v>
      </c>
      <c r="B1693" t="str">
        <f>"46.15"</f>
        <v>46.15</v>
      </c>
      <c r="C1693" t="str">
        <f>"46.229"</f>
        <v>46.229</v>
      </c>
    </row>
    <row r="1694" spans="1:3" x14ac:dyDescent="0.25">
      <c r="A1694" t="str">
        <f>"08/06/2016"</f>
        <v>08/06/2016</v>
      </c>
      <c r="B1694" t="str">
        <f>"46.04"</f>
        <v>46.04</v>
      </c>
      <c r="C1694" t="str">
        <f>"46.122"</f>
        <v>46.122</v>
      </c>
    </row>
    <row r="1695" spans="1:3" x14ac:dyDescent="0.25">
      <c r="A1695" t="str">
        <f>"09/06/2016"</f>
        <v>09/06/2016</v>
      </c>
      <c r="B1695" t="str">
        <f>"46.11"</f>
        <v>46.11</v>
      </c>
      <c r="C1695" t="str">
        <f>"46.1895"</f>
        <v>46.1895</v>
      </c>
    </row>
    <row r="1696" spans="1:3" x14ac:dyDescent="0.25">
      <c r="A1696" t="str">
        <f>"10/06/2016"</f>
        <v>10/06/2016</v>
      </c>
      <c r="B1696" t="str">
        <f>"46.17"</f>
        <v>46.17</v>
      </c>
      <c r="C1696" t="str">
        <f>"46.248"</f>
        <v>46.248</v>
      </c>
    </row>
    <row r="1697" spans="1:3" x14ac:dyDescent="0.25">
      <c r="A1697" t="str">
        <f>"13/06/2016"</f>
        <v>13/06/2016</v>
      </c>
      <c r="B1697" t="str">
        <f>"46.13"</f>
        <v>46.13</v>
      </c>
      <c r="C1697" t="str">
        <f>"46.207"</f>
        <v>46.207</v>
      </c>
    </row>
    <row r="1698" spans="1:3" x14ac:dyDescent="0.25">
      <c r="A1698" t="str">
        <f>"14/06/2016"</f>
        <v>14/06/2016</v>
      </c>
      <c r="B1698" t="str">
        <f>"46.34"</f>
        <v>46.34</v>
      </c>
      <c r="C1698" t="str">
        <f>"46.4175"</f>
        <v>46.4175</v>
      </c>
    </row>
    <row r="1699" spans="1:3" x14ac:dyDescent="0.25">
      <c r="A1699" t="str">
        <f>"15/06/2016"</f>
        <v>15/06/2016</v>
      </c>
      <c r="B1699" t="str">
        <f>"46.395"</f>
        <v>46.395</v>
      </c>
      <c r="C1699" t="str">
        <f>"46.477"</f>
        <v>46.477</v>
      </c>
    </row>
    <row r="1700" spans="1:3" x14ac:dyDescent="0.25">
      <c r="A1700" t="str">
        <f>"16/06/2016"</f>
        <v>16/06/2016</v>
      </c>
      <c r="B1700" t="str">
        <f>"46.48"</f>
        <v>46.48</v>
      </c>
      <c r="C1700" t="str">
        <f>"46.555"</f>
        <v>46.555</v>
      </c>
    </row>
    <row r="1701" spans="1:3" x14ac:dyDescent="0.25">
      <c r="A1701" t="str">
        <f>"17/06/2016"</f>
        <v>17/06/2016</v>
      </c>
      <c r="B1701" t="str">
        <f>"46.44"</f>
        <v>46.44</v>
      </c>
      <c r="C1701" t="str">
        <f>"46.512"</f>
        <v>46.512</v>
      </c>
    </row>
    <row r="1702" spans="1:3" x14ac:dyDescent="0.25">
      <c r="A1702" t="str">
        <f>"20/06/2016"</f>
        <v>20/06/2016</v>
      </c>
      <c r="B1702" t="str">
        <f>"46.385"</f>
        <v>46.385</v>
      </c>
      <c r="C1702" t="str">
        <f>"46.46"</f>
        <v>46.46</v>
      </c>
    </row>
    <row r="1703" spans="1:3" x14ac:dyDescent="0.25">
      <c r="A1703" t="str">
        <f>"21/06/2016"</f>
        <v>21/06/2016</v>
      </c>
      <c r="B1703" t="str">
        <f>"46.38"</f>
        <v>46.38</v>
      </c>
      <c r="C1703" t="str">
        <f>"46.449"</f>
        <v>46.449</v>
      </c>
    </row>
    <row r="1704" spans="1:3" x14ac:dyDescent="0.25">
      <c r="A1704" t="str">
        <f>"22/06/2016"</f>
        <v>22/06/2016</v>
      </c>
      <c r="B1704" t="str">
        <f>"46.48"</f>
        <v>46.48</v>
      </c>
      <c r="C1704" t="str">
        <f>"46.552"</f>
        <v>46.552</v>
      </c>
    </row>
    <row r="1705" spans="1:3" x14ac:dyDescent="0.25">
      <c r="A1705" t="str">
        <f>"23/06/2016"</f>
        <v>23/06/2016</v>
      </c>
      <c r="B1705" t="str">
        <f>"46.52"</f>
        <v>46.52</v>
      </c>
      <c r="C1705" t="str">
        <f>"46.588"</f>
        <v>46.588</v>
      </c>
    </row>
    <row r="1706" spans="1:3" x14ac:dyDescent="0.25">
      <c r="A1706" t="str">
        <f>"24/06/2016"</f>
        <v>24/06/2016</v>
      </c>
      <c r="B1706" t="str">
        <f>"46.95"</f>
        <v>46.95</v>
      </c>
      <c r="C1706" t="str">
        <f>"47.018"</f>
        <v>47.018</v>
      </c>
    </row>
    <row r="1707" spans="1:3" x14ac:dyDescent="0.25">
      <c r="A1707" t="str">
        <f>"27/06/2016"</f>
        <v>27/06/2016</v>
      </c>
      <c r="B1707" t="str">
        <f>"47.06"</f>
        <v>47.06</v>
      </c>
      <c r="C1707" t="str">
        <f>"47.113"</f>
        <v>47.113</v>
      </c>
    </row>
    <row r="1708" spans="1:3" x14ac:dyDescent="0.25">
      <c r="A1708" t="str">
        <f>"28/06/2016"</f>
        <v>28/06/2016</v>
      </c>
      <c r="B1708" t="str">
        <f>"46.945"</f>
        <v>46.945</v>
      </c>
      <c r="C1708" t="str">
        <f>"47.009"</f>
        <v>47.009</v>
      </c>
    </row>
    <row r="1709" spans="1:3" x14ac:dyDescent="0.25">
      <c r="A1709" t="str">
        <f>"29/06/2016"</f>
        <v>29/06/2016</v>
      </c>
      <c r="B1709" t="str">
        <f>"46.97"</f>
        <v>46.97</v>
      </c>
      <c r="C1709" t="str">
        <f>"47.035"</f>
        <v>47.035</v>
      </c>
    </row>
    <row r="1710" spans="1:3" x14ac:dyDescent="0.25">
      <c r="A1710" t="str">
        <f>"30/06/2016"</f>
        <v>30/06/2016</v>
      </c>
      <c r="B1710" t="str">
        <f>"47.12"</f>
        <v>47.12</v>
      </c>
      <c r="C1710" t="str">
        <f>"47.191"</f>
        <v>47.191</v>
      </c>
    </row>
    <row r="1711" spans="1:3" x14ac:dyDescent="0.25">
      <c r="A1711" t="str">
        <f>"01/07/2016"</f>
        <v>01/07/2016</v>
      </c>
      <c r="B1711" t="str">
        <f>"46.965"</f>
        <v>46.965</v>
      </c>
      <c r="C1711" t="str">
        <f>"47.032"</f>
        <v>47.032</v>
      </c>
    </row>
    <row r="1712" spans="1:3" x14ac:dyDescent="0.25">
      <c r="A1712" t="str">
        <f>"04/07/2016"</f>
        <v>04/07/2016</v>
      </c>
      <c r="B1712" t="str">
        <f>"46.83"</f>
        <v>46.83</v>
      </c>
      <c r="C1712" t="str">
        <f>"46.90"</f>
        <v>46.90</v>
      </c>
    </row>
    <row r="1713" spans="1:3" x14ac:dyDescent="0.25">
      <c r="A1713" t="str">
        <f>"05/07/2016"</f>
        <v>05/07/2016</v>
      </c>
      <c r="B1713" t="str">
        <f>"47.04"</f>
        <v>47.04</v>
      </c>
      <c r="C1713" t="str">
        <f>"47.113"</f>
        <v>47.113</v>
      </c>
    </row>
    <row r="1714" spans="1:3" x14ac:dyDescent="0.25">
      <c r="A1714" t="str">
        <f>"07/07/2016"</f>
        <v>07/07/2016</v>
      </c>
      <c r="B1714" t="str">
        <f>"47.07"</f>
        <v>47.07</v>
      </c>
      <c r="C1714" t="str">
        <f>"47.145"</f>
        <v>47.145</v>
      </c>
    </row>
    <row r="1715" spans="1:3" x14ac:dyDescent="0.25">
      <c r="A1715" t="str">
        <f>"08/07/2016"</f>
        <v>08/07/2016</v>
      </c>
      <c r="B1715" t="str">
        <f>"47.125"</f>
        <v>47.125</v>
      </c>
      <c r="C1715" t="str">
        <f>"47.202"</f>
        <v>47.202</v>
      </c>
    </row>
    <row r="1716" spans="1:3" x14ac:dyDescent="0.25">
      <c r="A1716" t="str">
        <f>"11/07/2016"</f>
        <v>11/07/2016</v>
      </c>
      <c r="B1716" t="str">
        <f>"47.19"</f>
        <v>47.19</v>
      </c>
      <c r="C1716" t="str">
        <f>"47.266"</f>
        <v>47.266</v>
      </c>
    </row>
    <row r="1717" spans="1:3" x14ac:dyDescent="0.25">
      <c r="A1717" t="str">
        <f>"12/07/2016"</f>
        <v>12/07/2016</v>
      </c>
      <c r="B1717" t="str">
        <f>"47.323"</f>
        <v>47.323</v>
      </c>
      <c r="C1717" t="str">
        <f>"47.4059"</f>
        <v>47.4059</v>
      </c>
    </row>
    <row r="1718" spans="1:3" x14ac:dyDescent="0.25">
      <c r="A1718" t="str">
        <f>"13/07/2016"</f>
        <v>13/07/2016</v>
      </c>
      <c r="B1718" t="str">
        <f>"47.21"</f>
        <v>47.21</v>
      </c>
      <c r="C1718" t="str">
        <f>"47.285"</f>
        <v>47.285</v>
      </c>
    </row>
    <row r="1719" spans="1:3" x14ac:dyDescent="0.25">
      <c r="A1719" t="str">
        <f>"14/07/2016"</f>
        <v>14/07/2016</v>
      </c>
      <c r="B1719" t="str">
        <f>"47.10"</f>
        <v>47.10</v>
      </c>
      <c r="C1719" t="str">
        <f>"47.174"</f>
        <v>47.174</v>
      </c>
    </row>
    <row r="1720" spans="1:3" x14ac:dyDescent="0.25">
      <c r="A1720" t="str">
        <f>"15/07/2016"</f>
        <v>15/07/2016</v>
      </c>
      <c r="B1720" t="str">
        <f>"46.90"</f>
        <v>46.90</v>
      </c>
      <c r="C1720" t="str">
        <f>"46.974"</f>
        <v>46.974</v>
      </c>
    </row>
    <row r="1721" spans="1:3" x14ac:dyDescent="0.25">
      <c r="A1721" t="str">
        <f>"18/07/2016"</f>
        <v>18/07/2016</v>
      </c>
      <c r="B1721" t="str">
        <f>"46.753"</f>
        <v>46.753</v>
      </c>
      <c r="C1721" t="str">
        <f>"46.828"</f>
        <v>46.828</v>
      </c>
    </row>
    <row r="1722" spans="1:3" x14ac:dyDescent="0.25">
      <c r="A1722" t="str">
        <f>"19/07/2016"</f>
        <v>19/07/2016</v>
      </c>
      <c r="B1722" t="str">
        <f>"46.83"</f>
        <v>46.83</v>
      </c>
      <c r="C1722" t="str">
        <f>"46.913"</f>
        <v>46.913</v>
      </c>
    </row>
    <row r="1723" spans="1:3" x14ac:dyDescent="0.25">
      <c r="A1723" t="str">
        <f>"20/07/2016"</f>
        <v>20/07/2016</v>
      </c>
      <c r="B1723" t="str">
        <f>"46.775"</f>
        <v>46.775</v>
      </c>
      <c r="C1723" t="str">
        <f>"46.858"</f>
        <v>46.858</v>
      </c>
    </row>
    <row r="1724" spans="1:3" x14ac:dyDescent="0.25">
      <c r="A1724" t="str">
        <f>"21/07/2016"</f>
        <v>21/07/2016</v>
      </c>
      <c r="B1724" t="str">
        <f>"47.10"</f>
        <v>47.10</v>
      </c>
      <c r="C1724" t="str">
        <f>"47.178"</f>
        <v>47.178</v>
      </c>
    </row>
    <row r="1725" spans="1:3" x14ac:dyDescent="0.25">
      <c r="A1725" t="str">
        <f>"22/07/2016"</f>
        <v>22/07/2016</v>
      </c>
      <c r="B1725" t="str">
        <f>"47.17"</f>
        <v>47.17</v>
      </c>
      <c r="C1725" t="str">
        <f>"47.248"</f>
        <v>47.248</v>
      </c>
    </row>
    <row r="1726" spans="1:3" x14ac:dyDescent="0.25">
      <c r="A1726" t="str">
        <f>"25/07/2016"</f>
        <v>25/07/2016</v>
      </c>
      <c r="B1726" t="str">
        <f>"47.20"</f>
        <v>47.20</v>
      </c>
      <c r="C1726" t="str">
        <f>"47.28"</f>
        <v>47.28</v>
      </c>
    </row>
    <row r="1727" spans="1:3" x14ac:dyDescent="0.25">
      <c r="A1727" t="str">
        <f>"26/07/2016"</f>
        <v>26/07/2016</v>
      </c>
      <c r="B1727" t="str">
        <f>"47.15"</f>
        <v>47.15</v>
      </c>
      <c r="C1727" t="str">
        <f>"47.235"</f>
        <v>47.235</v>
      </c>
    </row>
    <row r="1728" spans="1:3" x14ac:dyDescent="0.25">
      <c r="A1728" t="str">
        <f>"27/07/2016"</f>
        <v>27/07/2016</v>
      </c>
      <c r="B1728" t="str">
        <f>"47.23"</f>
        <v>47.23</v>
      </c>
      <c r="C1728" t="str">
        <f>"47.314"</f>
        <v>47.314</v>
      </c>
    </row>
    <row r="1729" spans="1:3" x14ac:dyDescent="0.25">
      <c r="A1729" t="str">
        <f>"28/07/2016"</f>
        <v>28/07/2016</v>
      </c>
      <c r="B1729" t="str">
        <f>"47.07"</f>
        <v>47.07</v>
      </c>
      <c r="C1729" t="str">
        <f>"47.154"</f>
        <v>47.154</v>
      </c>
    </row>
    <row r="1730" spans="1:3" x14ac:dyDescent="0.25">
      <c r="A1730" t="str">
        <f>"29/07/2016"</f>
        <v>29/07/2016</v>
      </c>
      <c r="B1730" t="str">
        <f>"47.16"</f>
        <v>47.16</v>
      </c>
      <c r="C1730" t="str">
        <f>"47.238"</f>
        <v>47.238</v>
      </c>
    </row>
    <row r="1731" spans="1:3" x14ac:dyDescent="0.25">
      <c r="A1731" t="str">
        <f>"01/08/2016"</f>
        <v>01/08/2016</v>
      </c>
      <c r="B1731" t="str">
        <f>"46.99"</f>
        <v>46.99</v>
      </c>
      <c r="C1731" t="str">
        <f>"47.066"</f>
        <v>47.066</v>
      </c>
    </row>
    <row r="1732" spans="1:3" x14ac:dyDescent="0.25">
      <c r="A1732" t="str">
        <f>"02/08/2016"</f>
        <v>02/08/2016</v>
      </c>
      <c r="B1732" t="str">
        <f>"46.965"</f>
        <v>46.965</v>
      </c>
      <c r="C1732" t="str">
        <f>"47.049"</f>
        <v>47.049</v>
      </c>
    </row>
    <row r="1733" spans="1:3" x14ac:dyDescent="0.25">
      <c r="A1733" t="str">
        <f>"03/08/2016"</f>
        <v>03/08/2016</v>
      </c>
      <c r="B1733" t="str">
        <f>"47.035"</f>
        <v>47.035</v>
      </c>
      <c r="C1733" t="str">
        <f>"47.118"</f>
        <v>47.118</v>
      </c>
    </row>
    <row r="1734" spans="1:3" x14ac:dyDescent="0.25">
      <c r="A1734" t="str">
        <f>"04/08/2016"</f>
        <v>04/08/2016</v>
      </c>
      <c r="B1734" t="str">
        <f>"47.02"</f>
        <v>47.02</v>
      </c>
      <c r="C1734" t="str">
        <f>"47.099"</f>
        <v>47.099</v>
      </c>
    </row>
    <row r="1735" spans="1:3" x14ac:dyDescent="0.25">
      <c r="A1735" t="str">
        <f>"05/08/2016"</f>
        <v>05/08/2016</v>
      </c>
      <c r="B1735" t="str">
        <f>"46.975"</f>
        <v>46.975</v>
      </c>
      <c r="C1735" t="str">
        <f>"47.053"</f>
        <v>47.053</v>
      </c>
    </row>
    <row r="1736" spans="1:3" x14ac:dyDescent="0.25">
      <c r="A1736" t="str">
        <f>"08/08/2016"</f>
        <v>08/08/2016</v>
      </c>
      <c r="B1736" t="str">
        <f>"46.835"</f>
        <v>46.835</v>
      </c>
      <c r="C1736" t="str">
        <f>"46.911"</f>
        <v>46.911</v>
      </c>
    </row>
    <row r="1737" spans="1:3" x14ac:dyDescent="0.25">
      <c r="A1737" t="str">
        <f>"09/08/2016"</f>
        <v>09/08/2016</v>
      </c>
      <c r="B1737" t="str">
        <f>"46.86"</f>
        <v>46.86</v>
      </c>
      <c r="C1737" t="str">
        <f>"46.94"</f>
        <v>46.94</v>
      </c>
    </row>
    <row r="1738" spans="1:3" x14ac:dyDescent="0.25">
      <c r="A1738" t="str">
        <f>"10/08/2016"</f>
        <v>10/08/2016</v>
      </c>
      <c r="B1738" t="str">
        <f>"46.75"</f>
        <v>46.75</v>
      </c>
      <c r="C1738" t="str">
        <f>"46.828"</f>
        <v>46.828</v>
      </c>
    </row>
    <row r="1739" spans="1:3" x14ac:dyDescent="0.25">
      <c r="A1739" t="str">
        <f>"11/08/2016"</f>
        <v>11/08/2016</v>
      </c>
      <c r="B1739" t="str">
        <f>"46.79"</f>
        <v>46.79</v>
      </c>
      <c r="C1739" t="str">
        <f>"46.865"</f>
        <v>46.865</v>
      </c>
    </row>
    <row r="1740" spans="1:3" x14ac:dyDescent="0.25">
      <c r="A1740" t="str">
        <f>"12/08/2016"</f>
        <v>12/08/2016</v>
      </c>
      <c r="B1740" t="str">
        <f>"46.69"</f>
        <v>46.69</v>
      </c>
      <c r="C1740" t="str">
        <f>"46.762"</f>
        <v>46.762</v>
      </c>
    </row>
    <row r="1741" spans="1:3" x14ac:dyDescent="0.25">
      <c r="A1741" t="str">
        <f>"16/08/2016"</f>
        <v>16/08/2016</v>
      </c>
      <c r="B1741" t="str">
        <f>"46.89"</f>
        <v>46.89</v>
      </c>
      <c r="C1741" t="str">
        <f>"46.962"</f>
        <v>46.962</v>
      </c>
    </row>
    <row r="1742" spans="1:3" x14ac:dyDescent="0.25">
      <c r="A1742" t="str">
        <f>"18/08/2016"</f>
        <v>18/08/2016</v>
      </c>
      <c r="B1742" t="str">
        <f>"46.312"</f>
        <v>46.312</v>
      </c>
      <c r="C1742" t="str">
        <f>"46.382"</f>
        <v>46.382</v>
      </c>
    </row>
    <row r="1743" spans="1:3" x14ac:dyDescent="0.25">
      <c r="A1743" t="str">
        <f>"19/08/2016"</f>
        <v>19/08/2016</v>
      </c>
      <c r="B1743" t="str">
        <f>"46.50"</f>
        <v>46.50</v>
      </c>
      <c r="C1743" t="str">
        <f>"46.563"</f>
        <v>46.563</v>
      </c>
    </row>
    <row r="1744" spans="1:3" x14ac:dyDescent="0.25">
      <c r="A1744" t="str">
        <f>"22/08/2016"</f>
        <v>22/08/2016</v>
      </c>
      <c r="B1744" t="str">
        <f>"46.67"</f>
        <v>46.67</v>
      </c>
      <c r="C1744" t="str">
        <f>"46.735"</f>
        <v>46.735</v>
      </c>
    </row>
    <row r="1745" spans="1:3" x14ac:dyDescent="0.25">
      <c r="A1745" t="str">
        <f>"23/08/2016"</f>
        <v>23/08/2016</v>
      </c>
      <c r="B1745" t="str">
        <f>"46.545"</f>
        <v>46.545</v>
      </c>
      <c r="C1745" t="str">
        <f>"46.612"</f>
        <v>46.612</v>
      </c>
    </row>
    <row r="1746" spans="1:3" x14ac:dyDescent="0.25">
      <c r="A1746" t="str">
        <f>"24/08/2016"</f>
        <v>24/08/2016</v>
      </c>
      <c r="B1746" t="str">
        <f>"46.575"</f>
        <v>46.575</v>
      </c>
      <c r="C1746" t="str">
        <f>"46.635"</f>
        <v>46.635</v>
      </c>
    </row>
    <row r="1747" spans="1:3" x14ac:dyDescent="0.25">
      <c r="A1747" t="str">
        <f>"25/08/2016"</f>
        <v>25/08/2016</v>
      </c>
      <c r="B1747" t="str">
        <f>"46.36"</f>
        <v>46.36</v>
      </c>
      <c r="C1747" t="str">
        <f>"46.414"</f>
        <v>46.414</v>
      </c>
    </row>
    <row r="1748" spans="1:3" x14ac:dyDescent="0.25">
      <c r="A1748" t="str">
        <f>"26/08/2016"</f>
        <v>26/08/2016</v>
      </c>
      <c r="B1748" t="str">
        <f>"46.39"</f>
        <v>46.39</v>
      </c>
      <c r="C1748" t="str">
        <f>"46.437"</f>
        <v>46.437</v>
      </c>
    </row>
    <row r="1749" spans="1:3" x14ac:dyDescent="0.25">
      <c r="A1749" t="str">
        <f>"29/08/2016"</f>
        <v>29/08/2016</v>
      </c>
      <c r="B1749" t="str">
        <f>"46.39"</f>
        <v>46.39</v>
      </c>
      <c r="C1749" t="str">
        <f>"46.438"</f>
        <v>46.438</v>
      </c>
    </row>
    <row r="1750" spans="1:3" x14ac:dyDescent="0.25">
      <c r="A1750" t="str">
        <f>"30/08/2016"</f>
        <v>30/08/2016</v>
      </c>
      <c r="B1750" t="str">
        <f>"46.47"</f>
        <v>46.47</v>
      </c>
      <c r="C1750" t="str">
        <f>"46.519"</f>
        <v>46.519</v>
      </c>
    </row>
    <row r="1751" spans="1:3" x14ac:dyDescent="0.25">
      <c r="A1751" t="str">
        <f>"31/08/2016"</f>
        <v>31/08/2016</v>
      </c>
      <c r="B1751" t="str">
        <f>"46.60"</f>
        <v>46.60</v>
      </c>
      <c r="C1751" t="str">
        <f>"46.653"</f>
        <v>46.653</v>
      </c>
    </row>
    <row r="1752" spans="1:3" x14ac:dyDescent="0.25">
      <c r="A1752" t="str">
        <f>"01/09/2016"</f>
        <v>01/09/2016</v>
      </c>
      <c r="B1752" t="str">
        <f>"46.73"</f>
        <v>46.73</v>
      </c>
      <c r="C1752" t="str">
        <f>"46.791"</f>
        <v>46.791</v>
      </c>
    </row>
    <row r="1753" spans="1:3" x14ac:dyDescent="0.25">
      <c r="A1753" t="str">
        <f>"02/09/2016"</f>
        <v>02/09/2016</v>
      </c>
      <c r="B1753" t="str">
        <f>"46.64"</f>
        <v>46.64</v>
      </c>
      <c r="C1753" t="str">
        <f>"46.696"</f>
        <v>46.696</v>
      </c>
    </row>
    <row r="1754" spans="1:3" x14ac:dyDescent="0.25">
      <c r="A1754" t="str">
        <f>"06/09/2016"</f>
        <v>06/09/2016</v>
      </c>
      <c r="B1754" t="str">
        <f>"46.605"</f>
        <v>46.605</v>
      </c>
      <c r="C1754" t="str">
        <f>"46.655"</f>
        <v>46.655</v>
      </c>
    </row>
    <row r="1755" spans="1:3" x14ac:dyDescent="0.25">
      <c r="A1755" t="str">
        <f>"07/09/2016"</f>
        <v>07/09/2016</v>
      </c>
      <c r="B1755" t="str">
        <f>"46.60"</f>
        <v>46.60</v>
      </c>
      <c r="C1755" t="str">
        <f>"46.65"</f>
        <v>46.65</v>
      </c>
    </row>
    <row r="1756" spans="1:3" x14ac:dyDescent="0.25">
      <c r="A1756" t="str">
        <f>"08/09/2016"</f>
        <v>08/09/2016</v>
      </c>
      <c r="B1756" t="str">
        <f>"46.89"</f>
        <v>46.89</v>
      </c>
      <c r="C1756" t="str">
        <f>"46.943"</f>
        <v>46.943</v>
      </c>
    </row>
    <row r="1757" spans="1:3" x14ac:dyDescent="0.25">
      <c r="A1757" t="str">
        <f>"09/09/2016"</f>
        <v>09/09/2016</v>
      </c>
      <c r="B1757" t="str">
        <f>"47.125"</f>
        <v>47.125</v>
      </c>
      <c r="C1757" t="str">
        <f>"47.175"</f>
        <v>47.175</v>
      </c>
    </row>
    <row r="1758" spans="1:3" x14ac:dyDescent="0.25">
      <c r="A1758" t="str">
        <f>"12/09/2016"</f>
        <v>12/09/2016</v>
      </c>
      <c r="B1758" t="str">
        <f>"47.16"</f>
        <v>47.16</v>
      </c>
      <c r="C1758" t="str">
        <f>"47.21"</f>
        <v>47.21</v>
      </c>
    </row>
    <row r="1759" spans="1:3" x14ac:dyDescent="0.25">
      <c r="A1759" t="str">
        <f>"14/09/2016"</f>
        <v>14/09/2016</v>
      </c>
      <c r="B1759" t="str">
        <f>"47.575"</f>
        <v>47.575</v>
      </c>
      <c r="C1759" t="str">
        <f>"47.635"</f>
        <v>47.635</v>
      </c>
    </row>
    <row r="1760" spans="1:3" x14ac:dyDescent="0.25">
      <c r="A1760" t="str">
        <f>"15/09/2016"</f>
        <v>15/09/2016</v>
      </c>
      <c r="B1760" t="str">
        <f>"47.65"</f>
        <v>47.65</v>
      </c>
      <c r="C1760" t="str">
        <f>"47.705"</f>
        <v>47.705</v>
      </c>
    </row>
    <row r="1761" spans="1:3" x14ac:dyDescent="0.25">
      <c r="A1761" t="str">
        <f>"16/09/2016"</f>
        <v>16/09/2016</v>
      </c>
      <c r="B1761" t="str">
        <f>"47.75"</f>
        <v>47.75</v>
      </c>
      <c r="C1761" t="str">
        <f>"47.805"</f>
        <v>47.805</v>
      </c>
    </row>
    <row r="1762" spans="1:3" x14ac:dyDescent="0.25">
      <c r="A1762" t="str">
        <f>"19/09/2016"</f>
        <v>19/09/2016</v>
      </c>
      <c r="B1762" t="str">
        <f>"47.86"</f>
        <v>47.86</v>
      </c>
      <c r="C1762" t="str">
        <f>"47.903"</f>
        <v>47.903</v>
      </c>
    </row>
    <row r="1763" spans="1:3" x14ac:dyDescent="0.25">
      <c r="A1763" t="str">
        <f>"20/09/2016"</f>
        <v>20/09/2016</v>
      </c>
      <c r="B1763" t="str">
        <f>"47.86"</f>
        <v>47.86</v>
      </c>
      <c r="C1763" t="str">
        <f>"47.905"</f>
        <v>47.905</v>
      </c>
    </row>
    <row r="1764" spans="1:3" x14ac:dyDescent="0.25">
      <c r="A1764" t="str">
        <f>"21/09/2016"</f>
        <v>21/09/2016</v>
      </c>
      <c r="B1764" t="str">
        <f>"47.90"</f>
        <v>47.90</v>
      </c>
      <c r="C1764" t="str">
        <f>"47.9518"</f>
        <v>47.9518</v>
      </c>
    </row>
    <row r="1765" spans="1:3" x14ac:dyDescent="0.25">
      <c r="A1765" t="str">
        <f>"22/09/2016"</f>
        <v>22/09/2016</v>
      </c>
      <c r="B1765" t="str">
        <f>"47.85"</f>
        <v>47.85</v>
      </c>
      <c r="C1765" t="str">
        <f>"47.895"</f>
        <v>47.895</v>
      </c>
    </row>
    <row r="1766" spans="1:3" x14ac:dyDescent="0.25">
      <c r="A1766" t="str">
        <f>"23/09/2016"</f>
        <v>23/09/2016</v>
      </c>
      <c r="B1766" t="str">
        <f>"47.99"</f>
        <v>47.99</v>
      </c>
      <c r="C1766" t="str">
        <f>"48.03"</f>
        <v>48.03</v>
      </c>
    </row>
    <row r="1767" spans="1:3" x14ac:dyDescent="0.25">
      <c r="A1767" t="str">
        <f>"26/09/2016"</f>
        <v>26/09/2016</v>
      </c>
      <c r="B1767" t="str">
        <f>"48.26"</f>
        <v>48.26</v>
      </c>
      <c r="C1767" t="str">
        <f>"48.30"</f>
        <v>48.30</v>
      </c>
    </row>
    <row r="1768" spans="1:3" x14ac:dyDescent="0.25">
      <c r="A1768" t="str">
        <f>"27/09/2016"</f>
        <v>27/09/2016</v>
      </c>
      <c r="B1768" t="str">
        <f>"48.18"</f>
        <v>48.18</v>
      </c>
      <c r="C1768" t="str">
        <f>"48.22"</f>
        <v>48.22</v>
      </c>
    </row>
    <row r="1769" spans="1:3" x14ac:dyDescent="0.25">
      <c r="A1769" t="str">
        <f>"28/09/2016"</f>
        <v>28/09/2016</v>
      </c>
      <c r="B1769" t="str">
        <f>"48.33"</f>
        <v>48.33</v>
      </c>
      <c r="C1769" t="str">
        <f>"48.365"</f>
        <v>48.365</v>
      </c>
    </row>
    <row r="1770" spans="1:3" x14ac:dyDescent="0.25">
      <c r="A1770" t="str">
        <f>"29/09/2016"</f>
        <v>29/09/2016</v>
      </c>
      <c r="B1770" t="str">
        <f>"48.25"</f>
        <v>48.25</v>
      </c>
      <c r="C1770" t="str">
        <f>"48.285"</f>
        <v>48.285</v>
      </c>
    </row>
    <row r="1771" spans="1:3" x14ac:dyDescent="0.25">
      <c r="A1771" t="str">
        <f>"30/09/2016"</f>
        <v>30/09/2016</v>
      </c>
      <c r="B1771" t="str">
        <f>"48.50"</f>
        <v>48.50</v>
      </c>
      <c r="C1771" t="str">
        <f>"48.542"</f>
        <v>48.542</v>
      </c>
    </row>
    <row r="1772" spans="1:3" x14ac:dyDescent="0.25">
      <c r="A1772" t="str">
        <f>"03/10/2016"</f>
        <v>03/10/2016</v>
      </c>
      <c r="B1772" t="str">
        <f>"48.18"</f>
        <v>48.18</v>
      </c>
      <c r="C1772" t="str">
        <f>"48.223"</f>
        <v>48.223</v>
      </c>
    </row>
    <row r="1773" spans="1:3" x14ac:dyDescent="0.25">
      <c r="A1773" t="str">
        <f>"04/10/2016"</f>
        <v>04/10/2016</v>
      </c>
      <c r="B1773" t="str">
        <f>"48.245"</f>
        <v>48.245</v>
      </c>
      <c r="C1773" t="str">
        <f>"48.29"</f>
        <v>48.29</v>
      </c>
    </row>
    <row r="1774" spans="1:3" x14ac:dyDescent="0.25">
      <c r="A1774" t="str">
        <f>"05/10/2016"</f>
        <v>05/10/2016</v>
      </c>
      <c r="B1774" t="str">
        <f>"48.29"</f>
        <v>48.29</v>
      </c>
      <c r="C1774" t="str">
        <f>"48.326"</f>
        <v>48.326</v>
      </c>
    </row>
    <row r="1775" spans="1:3" x14ac:dyDescent="0.25">
      <c r="A1775" t="str">
        <f>"06/10/2016"</f>
        <v>06/10/2016</v>
      </c>
      <c r="B1775" t="str">
        <f>"48.35"</f>
        <v>48.35</v>
      </c>
      <c r="C1775" t="str">
        <f>"48.388"</f>
        <v>48.388</v>
      </c>
    </row>
    <row r="1776" spans="1:3" x14ac:dyDescent="0.25">
      <c r="A1776" t="str">
        <f>"07/10/2016"</f>
        <v>07/10/2016</v>
      </c>
      <c r="B1776" t="str">
        <f>"48.305"</f>
        <v>48.305</v>
      </c>
      <c r="C1776" t="str">
        <f>"48.355"</f>
        <v>48.355</v>
      </c>
    </row>
    <row r="1777" spans="1:3" x14ac:dyDescent="0.25">
      <c r="A1777" t="str">
        <f>"10/10/2016"</f>
        <v>10/10/2016</v>
      </c>
      <c r="B1777" t="str">
        <f>"48.355"</f>
        <v>48.355</v>
      </c>
      <c r="C1777" t="str">
        <f>"48.398"</f>
        <v>48.398</v>
      </c>
    </row>
    <row r="1778" spans="1:3" x14ac:dyDescent="0.25">
      <c r="A1778" t="str">
        <f>"13/10/2016"</f>
        <v>13/10/2016</v>
      </c>
      <c r="B1778" t="str">
        <f>"48.485"</f>
        <v>48.485</v>
      </c>
      <c r="C1778" t="str">
        <f>"48.52"</f>
        <v>48.52</v>
      </c>
    </row>
    <row r="1779" spans="1:3" x14ac:dyDescent="0.25">
      <c r="A1779" t="str">
        <f>"14/10/2016"</f>
        <v>14/10/2016</v>
      </c>
      <c r="B1779" t="str">
        <f>"48.445"</f>
        <v>48.445</v>
      </c>
      <c r="C1779" t="str">
        <f>"48.48"</f>
        <v>48.48</v>
      </c>
    </row>
    <row r="1780" spans="1:3" x14ac:dyDescent="0.25">
      <c r="A1780" t="str">
        <f>"17/10/2016"</f>
        <v>17/10/2016</v>
      </c>
      <c r="B1780" t="str">
        <f>"48.525"</f>
        <v>48.525</v>
      </c>
      <c r="C1780" t="str">
        <f>"48.562"</f>
        <v>48.562</v>
      </c>
    </row>
    <row r="1781" spans="1:3" x14ac:dyDescent="0.25">
      <c r="A1781" t="str">
        <f>"18/10/2016"</f>
        <v>18/10/2016</v>
      </c>
      <c r="B1781" t="str">
        <f>"48.50"</f>
        <v>48.50</v>
      </c>
      <c r="C1781" t="str">
        <f>"48.538"</f>
        <v>48.538</v>
      </c>
    </row>
    <row r="1782" spans="1:3" x14ac:dyDescent="0.25">
      <c r="A1782" t="str">
        <f>"19/10/2016"</f>
        <v>19/10/2016</v>
      </c>
      <c r="B1782" t="str">
        <f>"48.28"</f>
        <v>48.28</v>
      </c>
      <c r="C1782" t="str">
        <f>"48.314"</f>
        <v>48.314</v>
      </c>
    </row>
    <row r="1783" spans="1:3" x14ac:dyDescent="0.25">
      <c r="A1783" t="str">
        <f>"20/10/2016"</f>
        <v>20/10/2016</v>
      </c>
      <c r="B1783" t="str">
        <f>"48.105"</f>
        <v>48.105</v>
      </c>
      <c r="C1783" t="str">
        <f>"48.145"</f>
        <v>48.145</v>
      </c>
    </row>
    <row r="1784" spans="1:3" x14ac:dyDescent="0.25">
      <c r="A1784" t="str">
        <f>"21/10/2016"</f>
        <v>21/10/2016</v>
      </c>
      <c r="B1784" t="str">
        <f>"48.30"</f>
        <v>48.30</v>
      </c>
      <c r="C1784" t="str">
        <f>"48.325"</f>
        <v>48.325</v>
      </c>
    </row>
    <row r="1785" spans="1:3" x14ac:dyDescent="0.25">
      <c r="A1785" t="str">
        <f>"24/10/2016"</f>
        <v>24/10/2016</v>
      </c>
      <c r="B1785" t="str">
        <f>"48.34"</f>
        <v>48.34</v>
      </c>
      <c r="C1785" t="str">
        <f>"48.345"</f>
        <v>48.345</v>
      </c>
    </row>
    <row r="1786" spans="1:3" x14ac:dyDescent="0.25">
      <c r="A1786" t="str">
        <f>"25/10/2016"</f>
        <v>25/10/2016</v>
      </c>
      <c r="B1786" t="str">
        <f>"48.27"</f>
        <v>48.27</v>
      </c>
      <c r="C1786" t="str">
        <f>"48.285"</f>
        <v>48.285</v>
      </c>
    </row>
    <row r="1787" spans="1:3" x14ac:dyDescent="0.25">
      <c r="A1787" t="str">
        <f>"26/10/2016"</f>
        <v>26/10/2016</v>
      </c>
      <c r="B1787" t="str">
        <f>"48.335"</f>
        <v>48.335</v>
      </c>
      <c r="C1787" t="str">
        <f>"48.355"</f>
        <v>48.355</v>
      </c>
    </row>
    <row r="1788" spans="1:3" x14ac:dyDescent="0.25">
      <c r="A1788" t="str">
        <f>"27/10/2016"</f>
        <v>27/10/2016</v>
      </c>
      <c r="B1788" t="str">
        <f>"48.54"</f>
        <v>48.54</v>
      </c>
      <c r="C1788" t="str">
        <f>"48.55"</f>
        <v>48.55</v>
      </c>
    </row>
    <row r="1789" spans="1:3" x14ac:dyDescent="0.25">
      <c r="A1789" t="str">
        <f>"28/10/2016"</f>
        <v>28/10/2016</v>
      </c>
      <c r="B1789" t="str">
        <f>"48.423"</f>
        <v>48.423</v>
      </c>
      <c r="C1789" t="str">
        <f>"48.4498"</f>
        <v>48.4498</v>
      </c>
    </row>
    <row r="1790" spans="1:3" x14ac:dyDescent="0.25">
      <c r="A1790" t="str">
        <f>"01/11/2016"</f>
        <v>01/11/2016</v>
      </c>
      <c r="B1790" t="str">
        <f>"48.423"</f>
        <v>48.423</v>
      </c>
      <c r="C1790" t="str">
        <f>"48.453"</f>
        <v>48.453</v>
      </c>
    </row>
    <row r="1791" spans="1:3" x14ac:dyDescent="0.25">
      <c r="A1791" t="str">
        <f>"02/11/2016"</f>
        <v>02/11/2016</v>
      </c>
      <c r="B1791" t="str">
        <f>"48.44"</f>
        <v>48.44</v>
      </c>
      <c r="C1791" t="str">
        <f>"48.465"</f>
        <v>48.465</v>
      </c>
    </row>
    <row r="1792" spans="1:3" x14ac:dyDescent="0.25">
      <c r="A1792" t="str">
        <f>"03/11/2016"</f>
        <v>03/11/2016</v>
      </c>
      <c r="B1792" t="str">
        <f>"48.36"</f>
        <v>48.36</v>
      </c>
      <c r="C1792" t="str">
        <f>"48.375"</f>
        <v>48.375</v>
      </c>
    </row>
    <row r="1793" spans="1:3" x14ac:dyDescent="0.25">
      <c r="A1793" t="str">
        <f>"04/11/2016"</f>
        <v>04/11/2016</v>
      </c>
      <c r="B1793" t="str">
        <f>"48.48"</f>
        <v>48.48</v>
      </c>
      <c r="C1793" t="str">
        <f>"48.498"</f>
        <v>48.498</v>
      </c>
    </row>
    <row r="1794" spans="1:3" x14ac:dyDescent="0.25">
      <c r="A1794" t="str">
        <f>"07/11/2016"</f>
        <v>07/11/2016</v>
      </c>
      <c r="B1794" t="str">
        <f>"48.585"</f>
        <v>48.585</v>
      </c>
      <c r="C1794" t="str">
        <f>"48.6025"</f>
        <v>48.6025</v>
      </c>
    </row>
    <row r="1795" spans="1:3" x14ac:dyDescent="0.25">
      <c r="A1795" t="str">
        <f>"08/11/2016"</f>
        <v>08/11/2016</v>
      </c>
      <c r="B1795" t="str">
        <f>"48.58"</f>
        <v>48.58</v>
      </c>
      <c r="C1795" t="str">
        <f>"48.60"</f>
        <v>48.60</v>
      </c>
    </row>
    <row r="1796" spans="1:3" x14ac:dyDescent="0.25">
      <c r="A1796" t="str">
        <f>"09/11/2016"</f>
        <v>09/11/2016</v>
      </c>
      <c r="B1796" t="str">
        <f>"48.74"</f>
        <v>48.74</v>
      </c>
      <c r="C1796" t="str">
        <f>"48.76"</f>
        <v>48.76</v>
      </c>
    </row>
    <row r="1797" spans="1:3" x14ac:dyDescent="0.25">
      <c r="A1797" t="str">
        <f>"10/11/2016"</f>
        <v>10/11/2016</v>
      </c>
      <c r="B1797" t="str">
        <f>"48.66"</f>
        <v>48.66</v>
      </c>
      <c r="C1797" t="str">
        <f>"48.677"</f>
        <v>48.677</v>
      </c>
    </row>
    <row r="1798" spans="1:3" x14ac:dyDescent="0.25">
      <c r="A1798" t="str">
        <f>"11/11/2016"</f>
        <v>11/11/2016</v>
      </c>
      <c r="B1798" t="str">
        <f>"48.92"</f>
        <v>48.92</v>
      </c>
      <c r="C1798" t="str">
        <f>"48.945"</f>
        <v>48.945</v>
      </c>
    </row>
    <row r="1799" spans="1:3" x14ac:dyDescent="0.25">
      <c r="A1799" t="str">
        <f>"15/11/2016"</f>
        <v>15/11/2016</v>
      </c>
      <c r="B1799" t="str">
        <f>"49.17"</f>
        <v>49.17</v>
      </c>
      <c r="C1799" t="str">
        <f>"49.215"</f>
        <v>49.215</v>
      </c>
    </row>
    <row r="1800" spans="1:3" x14ac:dyDescent="0.25">
      <c r="A1800" t="str">
        <f>"16/11/2016"</f>
        <v>16/11/2016</v>
      </c>
      <c r="B1800" t="str">
        <f>"49.35"</f>
        <v>49.35</v>
      </c>
      <c r="C1800" t="str">
        <f>"49.393"</f>
        <v>49.393</v>
      </c>
    </row>
    <row r="1801" spans="1:3" x14ac:dyDescent="0.25">
      <c r="A1801" t="str">
        <f>"17/11/2016"</f>
        <v>17/11/2016</v>
      </c>
      <c r="B1801" t="str">
        <f>"49.56"</f>
        <v>49.56</v>
      </c>
      <c r="C1801" t="str">
        <f>"49.605"</f>
        <v>49.605</v>
      </c>
    </row>
    <row r="1802" spans="1:3" x14ac:dyDescent="0.25">
      <c r="A1802" t="str">
        <f>"18/11/2016"</f>
        <v>18/11/2016</v>
      </c>
      <c r="B1802" t="str">
        <f>"49.78"</f>
        <v>49.78</v>
      </c>
      <c r="C1802" t="str">
        <f>"49.825"</f>
        <v>49.825</v>
      </c>
    </row>
    <row r="1803" spans="1:3" x14ac:dyDescent="0.25">
      <c r="A1803" t="str">
        <f>"21/11/2016"</f>
        <v>21/11/2016</v>
      </c>
      <c r="B1803" t="str">
        <f>"49.93"</f>
        <v>49.93</v>
      </c>
      <c r="C1803" t="str">
        <f>"49.975"</f>
        <v>49.975</v>
      </c>
    </row>
    <row r="1804" spans="1:3" x14ac:dyDescent="0.25">
      <c r="A1804" t="str">
        <f>"22/11/2016"</f>
        <v>22/11/2016</v>
      </c>
      <c r="B1804" t="str">
        <f>"49.885"</f>
        <v>49.885</v>
      </c>
      <c r="C1804" t="str">
        <f>"49.93"</f>
        <v>49.93</v>
      </c>
    </row>
    <row r="1805" spans="1:3" x14ac:dyDescent="0.25">
      <c r="A1805" t="str">
        <f>"23/11/2016"</f>
        <v>23/11/2016</v>
      </c>
      <c r="B1805" t="str">
        <f>"49.94"</f>
        <v>49.94</v>
      </c>
      <c r="C1805" t="str">
        <f>"49.98"</f>
        <v>49.98</v>
      </c>
    </row>
    <row r="1806" spans="1:3" x14ac:dyDescent="0.25">
      <c r="A1806" t="str">
        <f>"24/11/2016"</f>
        <v>24/11/2016</v>
      </c>
      <c r="B1806" t="str">
        <f>"49.98"</f>
        <v>49.98</v>
      </c>
      <c r="C1806" t="str">
        <f>"50.021"</f>
        <v>50.021</v>
      </c>
    </row>
    <row r="1807" spans="1:3" x14ac:dyDescent="0.25">
      <c r="A1807" t="str">
        <f>"25/11/2016"</f>
        <v>25/11/2016</v>
      </c>
      <c r="B1807" t="str">
        <f>"49.82"</f>
        <v>49.82</v>
      </c>
      <c r="C1807" t="str">
        <f>"49.86"</f>
        <v>49.86</v>
      </c>
    </row>
    <row r="1808" spans="1:3" x14ac:dyDescent="0.25">
      <c r="A1808" t="str">
        <f>"28/11/2016"</f>
        <v>28/11/2016</v>
      </c>
      <c r="B1808" t="str">
        <f>"49.745"</f>
        <v>49.745</v>
      </c>
      <c r="C1808" t="str">
        <f>"49.785"</f>
        <v>49.785</v>
      </c>
    </row>
    <row r="1809" spans="1:3" x14ac:dyDescent="0.25">
      <c r="A1809" t="str">
        <f>"29/11/2016"</f>
        <v>29/11/2016</v>
      </c>
      <c r="B1809" t="str">
        <f>"49.78"</f>
        <v>49.78</v>
      </c>
      <c r="C1809" t="str">
        <f>"49.82"</f>
        <v>49.82</v>
      </c>
    </row>
    <row r="1810" spans="1:3" x14ac:dyDescent="0.25">
      <c r="A1810" t="str">
        <f>"30/11/2016"</f>
        <v>30/11/2016</v>
      </c>
      <c r="B1810" t="str">
        <f>"49.735"</f>
        <v>49.735</v>
      </c>
      <c r="C1810" t="str">
        <f>"49.77"</f>
        <v>49.77</v>
      </c>
    </row>
    <row r="1811" spans="1:3" x14ac:dyDescent="0.25">
      <c r="A1811" t="str">
        <f>"01/12/2016"</f>
        <v>01/12/2016</v>
      </c>
      <c r="B1811" t="str">
        <f>"49.778"</f>
        <v>49.778</v>
      </c>
      <c r="C1811" t="str">
        <f>"49.813"</f>
        <v>49.813</v>
      </c>
    </row>
    <row r="1812" spans="1:3" x14ac:dyDescent="0.25">
      <c r="A1812" t="str">
        <f>"02/12/2016"</f>
        <v>02/12/2016</v>
      </c>
      <c r="B1812" t="str">
        <f>"49.74"</f>
        <v>49.74</v>
      </c>
      <c r="C1812" t="str">
        <f>"49.778"</f>
        <v>49.778</v>
      </c>
    </row>
    <row r="1813" spans="1:3" x14ac:dyDescent="0.25">
      <c r="A1813" t="str">
        <f>"05/12/2016"</f>
        <v>05/12/2016</v>
      </c>
      <c r="B1813" t="str">
        <f>"49.69"</f>
        <v>49.69</v>
      </c>
      <c r="C1813" t="str">
        <f>"49.725"</f>
        <v>49.725</v>
      </c>
    </row>
    <row r="1814" spans="1:3" x14ac:dyDescent="0.25">
      <c r="A1814" t="str">
        <f>"06/12/2016"</f>
        <v>06/12/2016</v>
      </c>
      <c r="B1814" t="str">
        <f>"49.61"</f>
        <v>49.61</v>
      </c>
      <c r="C1814" t="str">
        <f>"49.646"</f>
        <v>49.646</v>
      </c>
    </row>
    <row r="1815" spans="1:3" x14ac:dyDescent="0.25">
      <c r="A1815" t="str">
        <f>"07/12/2016"</f>
        <v>07/12/2016</v>
      </c>
      <c r="B1815" t="str">
        <f>"49.765"</f>
        <v>49.765</v>
      </c>
      <c r="C1815" t="str">
        <f>"49.803"</f>
        <v>49.803</v>
      </c>
    </row>
    <row r="1816" spans="1:3" x14ac:dyDescent="0.25">
      <c r="A1816" t="str">
        <f>"08/12/2016"</f>
        <v>08/12/2016</v>
      </c>
      <c r="B1816" t="str">
        <f>"49.75"</f>
        <v>49.75</v>
      </c>
      <c r="C1816" t="str">
        <f>"49.79"</f>
        <v>49.79</v>
      </c>
    </row>
    <row r="1817" spans="1:3" x14ac:dyDescent="0.25">
      <c r="A1817" t="str">
        <f>"09/12/2016"</f>
        <v>09/12/2016</v>
      </c>
      <c r="B1817" t="str">
        <f>"49.76"</f>
        <v>49.76</v>
      </c>
      <c r="C1817" t="str">
        <f>"49.798"</f>
        <v>49.798</v>
      </c>
    </row>
    <row r="1818" spans="1:3" x14ac:dyDescent="0.25">
      <c r="A1818" t="str">
        <f>"13/12/2016"</f>
        <v>13/12/2016</v>
      </c>
      <c r="B1818" t="str">
        <f>"49.788"</f>
        <v>49.788</v>
      </c>
      <c r="C1818" t="str">
        <f>"49.8275"</f>
        <v>49.8275</v>
      </c>
    </row>
    <row r="1819" spans="1:3" x14ac:dyDescent="0.25">
      <c r="A1819" t="str">
        <f>"14/12/2016"</f>
        <v>14/12/2016</v>
      </c>
      <c r="B1819" t="str">
        <f>"49.95"</f>
        <v>49.95</v>
      </c>
      <c r="C1819" t="str">
        <f>"49.9895"</f>
        <v>49.9895</v>
      </c>
    </row>
    <row r="1820" spans="1:3" x14ac:dyDescent="0.25">
      <c r="A1820" t="str">
        <f>"15/12/2016"</f>
        <v>15/12/2016</v>
      </c>
      <c r="B1820" t="str">
        <f>"49.91"</f>
        <v>49.91</v>
      </c>
      <c r="C1820" t="str">
        <f>"49.95"</f>
        <v>49.95</v>
      </c>
    </row>
    <row r="1821" spans="1:3" x14ac:dyDescent="0.25">
      <c r="A1821" t="str">
        <f>"16/12/2016"</f>
        <v>16/12/2016</v>
      </c>
      <c r="B1821" t="str">
        <f>"49.94"</f>
        <v>49.94</v>
      </c>
      <c r="C1821" t="str">
        <f>"49.98"</f>
        <v>49.98</v>
      </c>
    </row>
    <row r="1822" spans="1:3" x14ac:dyDescent="0.25">
      <c r="A1822" t="str">
        <f>"19/12/2016"</f>
        <v>19/12/2016</v>
      </c>
      <c r="B1822" t="str">
        <f>"49.985"</f>
        <v>49.985</v>
      </c>
      <c r="C1822" t="str">
        <f>"50.0225"</f>
        <v>50.0225</v>
      </c>
    </row>
    <row r="1823" spans="1:3" x14ac:dyDescent="0.25">
      <c r="A1823" t="str">
        <f>"20/12/2016"</f>
        <v>20/12/2016</v>
      </c>
      <c r="B1823" t="str">
        <f>"49.999"</f>
        <v>49.999</v>
      </c>
      <c r="C1823" t="str">
        <f>"50.04"</f>
        <v>50.04</v>
      </c>
    </row>
    <row r="1824" spans="1:3" x14ac:dyDescent="0.25">
      <c r="A1824" t="str">
        <f>"21/12/2016"</f>
        <v>21/12/2016</v>
      </c>
      <c r="B1824" t="str">
        <f>"49.98"</f>
        <v>49.98</v>
      </c>
      <c r="C1824" t="str">
        <f>"50.025"</f>
        <v>50.025</v>
      </c>
    </row>
    <row r="1825" spans="1:3" x14ac:dyDescent="0.25">
      <c r="A1825" t="str">
        <f>"22/12/2016"</f>
        <v>22/12/2016</v>
      </c>
      <c r="B1825" t="str">
        <f>"49.985"</f>
        <v>49.985</v>
      </c>
      <c r="C1825" t="str">
        <f>"50.045"</f>
        <v>50.045</v>
      </c>
    </row>
    <row r="1826" spans="1:3" x14ac:dyDescent="0.25">
      <c r="A1826" t="str">
        <f>"23/12/2016"</f>
        <v>23/12/2016</v>
      </c>
      <c r="B1826" t="str">
        <f>"49.83"</f>
        <v>49.83</v>
      </c>
      <c r="C1826" t="str">
        <f>"49.8825"</f>
        <v>49.8825</v>
      </c>
    </row>
    <row r="1827" spans="1:3" x14ac:dyDescent="0.25">
      <c r="A1827" t="str">
        <f>"26/12/2016"</f>
        <v>26/12/2016</v>
      </c>
      <c r="B1827" t="str">
        <f>"49.85"</f>
        <v>49.85</v>
      </c>
      <c r="C1827" t="str">
        <f>"49.9025"</f>
        <v>49.9025</v>
      </c>
    </row>
    <row r="1828" spans="1:3" x14ac:dyDescent="0.25">
      <c r="A1828" t="str">
        <f>"27/12/2016"</f>
        <v>27/12/2016</v>
      </c>
      <c r="B1828" t="str">
        <f>"49.81"</f>
        <v>49.81</v>
      </c>
      <c r="C1828" t="str">
        <f>"49.88"</f>
        <v>49.88</v>
      </c>
    </row>
    <row r="1829" spans="1:3" x14ac:dyDescent="0.25">
      <c r="A1829" t="str">
        <f>"28/12/2016"</f>
        <v>28/12/2016</v>
      </c>
      <c r="B1829" t="str">
        <f>"49.835"</f>
        <v>49.835</v>
      </c>
      <c r="C1829" t="str">
        <f>"49.889"</f>
        <v>49.889</v>
      </c>
    </row>
    <row r="1830" spans="1:3" x14ac:dyDescent="0.25">
      <c r="A1830" t="str">
        <f>"29/12/2016"</f>
        <v>29/12/2016</v>
      </c>
      <c r="B1830" t="str">
        <f>"49.74"</f>
        <v>49.74</v>
      </c>
      <c r="C1830" t="str">
        <f>"49.805"</f>
        <v>49.805</v>
      </c>
    </row>
    <row r="1831" spans="1:3" x14ac:dyDescent="0.25">
      <c r="A1831" t="str">
        <f>"30/12/2016"</f>
        <v>30/12/2016</v>
      </c>
      <c r="B1831" t="str">
        <f>"49.74"</f>
        <v>49.74</v>
      </c>
      <c r="C1831" t="str">
        <f>"49.805"</f>
        <v>49.805</v>
      </c>
    </row>
    <row r="1832" spans="1:3" x14ac:dyDescent="0.25">
      <c r="A1832" t="str">
        <f>"02/01/2017"</f>
        <v>02/01/2017</v>
      </c>
      <c r="B1832" t="str">
        <f>"49.74"</f>
        <v>49.74</v>
      </c>
      <c r="C1832" t="str">
        <f>"49.805"</f>
        <v>49.805</v>
      </c>
    </row>
    <row r="1833" spans="1:3" x14ac:dyDescent="0.25">
      <c r="A1833" t="str">
        <f>"03/01/2017"</f>
        <v>03/01/2017</v>
      </c>
      <c r="B1833" t="str">
        <f>"49.79"</f>
        <v>49.79</v>
      </c>
      <c r="C1833" t="str">
        <f>"49.8638"</f>
        <v>49.8638</v>
      </c>
    </row>
    <row r="1834" spans="1:3" x14ac:dyDescent="0.25">
      <c r="A1834" t="str">
        <f>"04/01/2017"</f>
        <v>04/01/2017</v>
      </c>
      <c r="B1834" t="str">
        <f>"49.70"</f>
        <v>49.70</v>
      </c>
      <c r="C1834" t="str">
        <f>"49.7775"</f>
        <v>49.7775</v>
      </c>
    </row>
    <row r="1835" spans="1:3" x14ac:dyDescent="0.25">
      <c r="A1835" t="str">
        <f>"05/01/2017"</f>
        <v>05/01/2017</v>
      </c>
      <c r="B1835" t="str">
        <f>"49.50"</f>
        <v>49.50</v>
      </c>
      <c r="C1835" t="str">
        <f>"49.552"</f>
        <v>49.552</v>
      </c>
    </row>
    <row r="1836" spans="1:3" x14ac:dyDescent="0.25">
      <c r="A1836" t="str">
        <f>"06/01/2017"</f>
        <v>06/01/2017</v>
      </c>
      <c r="B1836" t="str">
        <f>"49.60"</f>
        <v>49.60</v>
      </c>
      <c r="C1836" t="str">
        <f>"49.655"</f>
        <v>49.655</v>
      </c>
    </row>
    <row r="1837" spans="1:3" x14ac:dyDescent="0.25">
      <c r="A1837" t="str">
        <f>"09/01/2017"</f>
        <v>09/01/2017</v>
      </c>
      <c r="B1837" t="str">
        <f>"49.62"</f>
        <v>49.62</v>
      </c>
      <c r="C1837" t="str">
        <f>"49.675"</f>
        <v>49.675</v>
      </c>
    </row>
    <row r="1838" spans="1:3" x14ac:dyDescent="0.25">
      <c r="A1838" t="str">
        <f>"10/01/2017"</f>
        <v>10/01/2017</v>
      </c>
      <c r="B1838" t="str">
        <f>"49.505"</f>
        <v>49.505</v>
      </c>
      <c r="C1838" t="str">
        <f>"49.559"</f>
        <v>49.559</v>
      </c>
    </row>
    <row r="1839" spans="1:3" x14ac:dyDescent="0.25">
      <c r="A1839" t="str">
        <f>"11/01/2017"</f>
        <v>11/01/2017</v>
      </c>
      <c r="B1839" t="str">
        <f>"49.63"</f>
        <v>49.63</v>
      </c>
      <c r="C1839" t="str">
        <f>"49.684"</f>
        <v>49.684</v>
      </c>
    </row>
    <row r="1840" spans="1:3" x14ac:dyDescent="0.25">
      <c r="A1840" t="str">
        <f>"12/01/2017"</f>
        <v>12/01/2017</v>
      </c>
      <c r="B1840" t="str">
        <f>"49.58"</f>
        <v>49.58</v>
      </c>
      <c r="C1840" t="str">
        <f>"49.633"</f>
        <v>49.633</v>
      </c>
    </row>
    <row r="1841" spans="1:3" x14ac:dyDescent="0.25">
      <c r="A1841" t="str">
        <f>"13/01/2017"</f>
        <v>13/01/2017</v>
      </c>
      <c r="B1841" t="str">
        <f>"49.63"</f>
        <v>49.63</v>
      </c>
      <c r="C1841" t="str">
        <f>"49.685"</f>
        <v>49.685</v>
      </c>
    </row>
    <row r="1842" spans="1:3" x14ac:dyDescent="0.25">
      <c r="A1842" t="str">
        <f>"16/01/2017"</f>
        <v>16/01/2017</v>
      </c>
      <c r="B1842" t="str">
        <f>"49.865"</f>
        <v>49.865</v>
      </c>
      <c r="C1842" t="str">
        <f>"49.92"</f>
        <v>49.92</v>
      </c>
    </row>
    <row r="1843" spans="1:3" x14ac:dyDescent="0.25">
      <c r="A1843" t="str">
        <f>"17/01/2017"</f>
        <v>17/01/2017</v>
      </c>
      <c r="B1843" t="str">
        <f>"49.83"</f>
        <v>49.83</v>
      </c>
      <c r="C1843" t="str">
        <f>"49.865"</f>
        <v>49.865</v>
      </c>
    </row>
    <row r="1844" spans="1:3" x14ac:dyDescent="0.25">
      <c r="A1844" t="str">
        <f>"18/01/2017"</f>
        <v>18/01/2017</v>
      </c>
      <c r="B1844" t="str">
        <f>"49.83"</f>
        <v>49.83</v>
      </c>
      <c r="C1844" t="str">
        <f>"49.865"</f>
        <v>49.865</v>
      </c>
    </row>
    <row r="1845" spans="1:3" x14ac:dyDescent="0.25">
      <c r="A1845" t="str">
        <f>"19/01/2017"</f>
        <v>19/01/2017</v>
      </c>
      <c r="B1845" t="str">
        <f>"49.93"</f>
        <v>49.93</v>
      </c>
      <c r="C1845" t="str">
        <f>"49.97"</f>
        <v>49.97</v>
      </c>
    </row>
    <row r="1846" spans="1:3" x14ac:dyDescent="0.25">
      <c r="A1846" t="str">
        <f>"20/01/2017"</f>
        <v>20/01/2017</v>
      </c>
      <c r="B1846" t="str">
        <f>"49.92"</f>
        <v>49.92</v>
      </c>
      <c r="C1846" t="str">
        <f>"49.965"</f>
        <v>49.965</v>
      </c>
    </row>
    <row r="1847" spans="1:3" x14ac:dyDescent="0.25">
      <c r="A1847" t="str">
        <f>"23/01/2017"</f>
        <v>23/01/2017</v>
      </c>
      <c r="B1847" t="str">
        <f>"49.87"</f>
        <v>49.87</v>
      </c>
      <c r="C1847" t="str">
        <f>"49.906"</f>
        <v>49.906</v>
      </c>
    </row>
    <row r="1848" spans="1:3" x14ac:dyDescent="0.25">
      <c r="A1848" t="str">
        <f>"24/01/2017"</f>
        <v>24/01/2017</v>
      </c>
      <c r="B1848" t="str">
        <f>"49.785"</f>
        <v>49.785</v>
      </c>
      <c r="C1848" t="str">
        <f>"49.818"</f>
        <v>49.818</v>
      </c>
    </row>
    <row r="1849" spans="1:3" x14ac:dyDescent="0.25">
      <c r="A1849" t="str">
        <f>"25/01/2017"</f>
        <v>25/01/2017</v>
      </c>
      <c r="B1849" t="str">
        <f>"49.77"</f>
        <v>49.77</v>
      </c>
      <c r="C1849" t="str">
        <f>"49.808"</f>
        <v>49.808</v>
      </c>
    </row>
    <row r="1850" spans="1:3" x14ac:dyDescent="0.25">
      <c r="A1850" t="str">
        <f>"27/01/2017"</f>
        <v>27/01/2017</v>
      </c>
      <c r="B1850" t="str">
        <f>"49.85"</f>
        <v>49.85</v>
      </c>
      <c r="C1850" t="str">
        <f>"49.8975"</f>
        <v>49.8975</v>
      </c>
    </row>
    <row r="1851" spans="1:3" x14ac:dyDescent="0.25">
      <c r="A1851" t="str">
        <f>"30/01/2017"</f>
        <v>30/01/2017</v>
      </c>
      <c r="B1851" t="str">
        <f>"49.82"</f>
        <v>49.82</v>
      </c>
      <c r="C1851" t="str">
        <f>"49.873"</f>
        <v>49.873</v>
      </c>
    </row>
    <row r="1852" spans="1:3" x14ac:dyDescent="0.25">
      <c r="A1852" t="str">
        <f>"31/01/2017"</f>
        <v>31/01/2017</v>
      </c>
      <c r="B1852" t="str">
        <f>"49.77"</f>
        <v>49.77</v>
      </c>
      <c r="C1852" t="str">
        <f>"49.812"</f>
        <v>49.812</v>
      </c>
    </row>
    <row r="1853" spans="1:3" x14ac:dyDescent="0.25">
      <c r="A1853" t="str">
        <f>"01/02/2017"</f>
        <v>01/02/2017</v>
      </c>
      <c r="B1853" t="str">
        <f>"49.80"</f>
        <v>49.80</v>
      </c>
      <c r="C1853" t="str">
        <f>"49.8445"</f>
        <v>49.8445</v>
      </c>
    </row>
    <row r="1854" spans="1:3" x14ac:dyDescent="0.25">
      <c r="A1854" t="str">
        <f>"02/02/2017"</f>
        <v>02/02/2017</v>
      </c>
      <c r="B1854" t="str">
        <f>"49.75"</f>
        <v>49.75</v>
      </c>
      <c r="C1854" t="str">
        <f>"49.797"</f>
        <v>49.797</v>
      </c>
    </row>
    <row r="1855" spans="1:3" x14ac:dyDescent="0.25">
      <c r="A1855" t="str">
        <f>"03/02/2017"</f>
        <v>03/02/2017</v>
      </c>
      <c r="B1855" t="str">
        <f>"49.79"</f>
        <v>49.79</v>
      </c>
      <c r="C1855" t="str">
        <f>"49.84"</f>
        <v>49.84</v>
      </c>
    </row>
    <row r="1856" spans="1:3" x14ac:dyDescent="0.25">
      <c r="A1856" t="str">
        <f>"06/02/2017"</f>
        <v>06/02/2017</v>
      </c>
      <c r="B1856" t="str">
        <f>"49.695"</f>
        <v>49.695</v>
      </c>
      <c r="C1856" t="str">
        <f>"49.75"</f>
        <v>49.75</v>
      </c>
    </row>
    <row r="1857" spans="1:3" x14ac:dyDescent="0.25">
      <c r="A1857" t="str">
        <f>"07/02/2017"</f>
        <v>07/02/2017</v>
      </c>
      <c r="B1857" t="str">
        <f>"49.78"</f>
        <v>49.78</v>
      </c>
      <c r="C1857" t="str">
        <f>"49.834"</f>
        <v>49.834</v>
      </c>
    </row>
    <row r="1858" spans="1:3" x14ac:dyDescent="0.25">
      <c r="A1858" t="str">
        <f>"08/02/2017"</f>
        <v>08/02/2017</v>
      </c>
      <c r="B1858" t="str">
        <f>"49.77"</f>
        <v>49.77</v>
      </c>
      <c r="C1858" t="str">
        <f>"49.829"</f>
        <v>49.829</v>
      </c>
    </row>
    <row r="1859" spans="1:3" x14ac:dyDescent="0.25">
      <c r="A1859" t="str">
        <f>"09/02/2017"</f>
        <v>09/02/2017</v>
      </c>
      <c r="B1859" t="str">
        <f>"49.88"</f>
        <v>49.88</v>
      </c>
      <c r="C1859" t="str">
        <f>"49.93"</f>
        <v>49.93</v>
      </c>
    </row>
    <row r="1860" spans="1:3" x14ac:dyDescent="0.25">
      <c r="A1860" t="str">
        <f>"10/02/2017"</f>
        <v>10/02/2017</v>
      </c>
      <c r="B1860" t="str">
        <f>"49.86"</f>
        <v>49.86</v>
      </c>
      <c r="C1860" t="str">
        <f>"49.908"</f>
        <v>49.908</v>
      </c>
    </row>
    <row r="1861" spans="1:3" x14ac:dyDescent="0.25">
      <c r="A1861" t="str">
        <f>"13/02/2017"</f>
        <v>13/02/2017</v>
      </c>
      <c r="B1861" t="str">
        <f>"49.925"</f>
        <v>49.925</v>
      </c>
      <c r="C1861" t="str">
        <f>"49.977"</f>
        <v>49.977</v>
      </c>
    </row>
    <row r="1862" spans="1:3" x14ac:dyDescent="0.25">
      <c r="A1862" t="str">
        <f>"14/02/2017"</f>
        <v>14/02/2017</v>
      </c>
      <c r="B1862" t="str">
        <f>"49.88"</f>
        <v>49.88</v>
      </c>
      <c r="C1862" t="str">
        <f>"49.94"</f>
        <v>49.94</v>
      </c>
    </row>
    <row r="1863" spans="1:3" x14ac:dyDescent="0.25">
      <c r="A1863" t="str">
        <f>"15/02/2017"</f>
        <v>15/02/2017</v>
      </c>
      <c r="B1863" t="str">
        <f>"49.945"</f>
        <v>49.945</v>
      </c>
      <c r="C1863" t="str">
        <f>"50.005"</f>
        <v>50.005</v>
      </c>
    </row>
    <row r="1864" spans="1:3" x14ac:dyDescent="0.25">
      <c r="A1864" t="str">
        <f>"16/02/2017"</f>
        <v>16/02/2017</v>
      </c>
      <c r="B1864" t="str">
        <f>"49.97"</f>
        <v>49.97</v>
      </c>
      <c r="C1864" t="str">
        <f>"50.0295"</f>
        <v>50.0295</v>
      </c>
    </row>
    <row r="1865" spans="1:3" x14ac:dyDescent="0.25">
      <c r="A1865" t="str">
        <f>"17/02/2017"</f>
        <v>17/02/2017</v>
      </c>
      <c r="B1865" t="str">
        <f>"50.00"</f>
        <v>50.00</v>
      </c>
      <c r="C1865" t="str">
        <f>"50.058"</f>
        <v>50.058</v>
      </c>
    </row>
    <row r="1866" spans="1:3" x14ac:dyDescent="0.25">
      <c r="A1866" t="str">
        <f>"20/02/2017"</f>
        <v>20/02/2017</v>
      </c>
      <c r="B1866" t="str">
        <f>"50.25"</f>
        <v>50.25</v>
      </c>
      <c r="C1866" t="str">
        <f>"50.308"</f>
        <v>50.308</v>
      </c>
    </row>
    <row r="1867" spans="1:3" x14ac:dyDescent="0.25">
      <c r="A1867" t="str">
        <f>"22/02/2017"</f>
        <v>22/02/2017</v>
      </c>
      <c r="B1867" t="str">
        <f>"50.35"</f>
        <v>50.35</v>
      </c>
      <c r="C1867" t="str">
        <f>"50.4175"</f>
        <v>50.4175</v>
      </c>
    </row>
    <row r="1868" spans="1:3" x14ac:dyDescent="0.25">
      <c r="A1868" t="str">
        <f>"23/02/2017"</f>
        <v>23/02/2017</v>
      </c>
      <c r="B1868" t="str">
        <f>"50.225"</f>
        <v>50.225</v>
      </c>
      <c r="C1868" t="str">
        <f>"50.289"</f>
        <v>50.289</v>
      </c>
    </row>
    <row r="1869" spans="1:3" x14ac:dyDescent="0.25">
      <c r="A1869" t="str">
        <f>"27/02/2017"</f>
        <v>27/02/2017</v>
      </c>
      <c r="B1869" t="str">
        <f>"50.29"</f>
        <v>50.29</v>
      </c>
      <c r="C1869" t="str">
        <f>"50.353"</f>
        <v>50.353</v>
      </c>
    </row>
    <row r="1870" spans="1:3" x14ac:dyDescent="0.25">
      <c r="A1870" t="str">
        <f>"28/02/2017"</f>
        <v>28/02/2017</v>
      </c>
      <c r="B1870" t="str">
        <f>"50.22"</f>
        <v>50.22</v>
      </c>
      <c r="C1870" t="str">
        <f>"50.287"</f>
        <v>50.287</v>
      </c>
    </row>
    <row r="1871" spans="1:3" x14ac:dyDescent="0.25">
      <c r="A1871" t="str">
        <f>"01/03/2017"</f>
        <v>01/03/2017</v>
      </c>
      <c r="B1871" t="str">
        <f>"50.28"</f>
        <v>50.28</v>
      </c>
      <c r="C1871" t="str">
        <f>"50.348"</f>
        <v>50.348</v>
      </c>
    </row>
    <row r="1872" spans="1:3" x14ac:dyDescent="0.25">
      <c r="A1872" t="str">
        <f>"02/03/2017"</f>
        <v>02/03/2017</v>
      </c>
      <c r="B1872" t="str">
        <f>"50.33"</f>
        <v>50.33</v>
      </c>
      <c r="C1872" t="str">
        <f>"50.3975"</f>
        <v>50.3975</v>
      </c>
    </row>
    <row r="1873" spans="1:3" x14ac:dyDescent="0.25">
      <c r="A1873" t="str">
        <f>"03/03/2017"</f>
        <v>03/03/2017</v>
      </c>
      <c r="B1873" t="str">
        <f>"50.38"</f>
        <v>50.38</v>
      </c>
      <c r="C1873" t="str">
        <f>"50.45"</f>
        <v>50.45</v>
      </c>
    </row>
    <row r="1874" spans="1:3" x14ac:dyDescent="0.25">
      <c r="A1874" t="str">
        <f>"06/03/2017"</f>
        <v>06/03/2017</v>
      </c>
      <c r="B1874" t="str">
        <f>"50.395"</f>
        <v>50.395</v>
      </c>
      <c r="C1874" t="str">
        <f>"50.468"</f>
        <v>50.468</v>
      </c>
    </row>
    <row r="1875" spans="1:3" x14ac:dyDescent="0.25">
      <c r="A1875" t="str">
        <f>"07/03/2017"</f>
        <v>07/03/2017</v>
      </c>
      <c r="B1875" t="str">
        <f>"50.295"</f>
        <v>50.295</v>
      </c>
      <c r="C1875" t="str">
        <f>"50.377"</f>
        <v>50.377</v>
      </c>
    </row>
    <row r="1876" spans="1:3" x14ac:dyDescent="0.25">
      <c r="A1876" t="str">
        <f>"08/03/2017"</f>
        <v>08/03/2017</v>
      </c>
      <c r="B1876" t="str">
        <f>"50.40"</f>
        <v>50.40</v>
      </c>
      <c r="C1876" t="str">
        <f>"50.479"</f>
        <v>50.479</v>
      </c>
    </row>
    <row r="1877" spans="1:3" x14ac:dyDescent="0.25">
      <c r="A1877" t="str">
        <f>"09/03/2017"</f>
        <v>09/03/2017</v>
      </c>
      <c r="B1877" t="str">
        <f>"50.39"</f>
        <v>50.39</v>
      </c>
      <c r="C1877" t="str">
        <f>"50.463"</f>
        <v>50.463</v>
      </c>
    </row>
    <row r="1878" spans="1:3" x14ac:dyDescent="0.25">
      <c r="A1878" t="str">
        <f>"10/03/2017"</f>
        <v>10/03/2017</v>
      </c>
      <c r="B1878" t="str">
        <f>"50.36"</f>
        <v>50.36</v>
      </c>
      <c r="C1878" t="str">
        <f>"50.444"</f>
        <v>50.444</v>
      </c>
    </row>
    <row r="1879" spans="1:3" x14ac:dyDescent="0.25">
      <c r="A1879" t="str">
        <f>"14/03/2017"</f>
        <v>14/03/2017</v>
      </c>
      <c r="B1879" t="str">
        <f>"50.37"</f>
        <v>50.37</v>
      </c>
      <c r="C1879" t="str">
        <f>"50.454"</f>
        <v>50.454</v>
      </c>
    </row>
    <row r="1880" spans="1:3" x14ac:dyDescent="0.25">
      <c r="A1880" t="str">
        <f>"15/03/2017"</f>
        <v>15/03/2017</v>
      </c>
      <c r="B1880" t="str">
        <f>"50.31"</f>
        <v>50.31</v>
      </c>
      <c r="C1880" t="str">
        <f>"50.3915"</f>
        <v>50.3915</v>
      </c>
    </row>
    <row r="1881" spans="1:3" x14ac:dyDescent="0.25">
      <c r="A1881" t="str">
        <f>"16/03/2017"</f>
        <v>16/03/2017</v>
      </c>
      <c r="B1881" t="str">
        <f>"50.13"</f>
        <v>50.13</v>
      </c>
      <c r="C1881" t="str">
        <f>"50.20"</f>
        <v>50.20</v>
      </c>
    </row>
    <row r="1882" spans="1:3" x14ac:dyDescent="0.25">
      <c r="A1882" t="str">
        <f>"17/03/2017"</f>
        <v>17/03/2017</v>
      </c>
      <c r="B1882" t="str">
        <f>"50.18"</f>
        <v>50.18</v>
      </c>
      <c r="C1882" t="str">
        <f>"50.2535"</f>
        <v>50.2535</v>
      </c>
    </row>
    <row r="1883" spans="1:3" x14ac:dyDescent="0.25">
      <c r="A1883" t="str">
        <f>"20/03/2017"</f>
        <v>20/03/2017</v>
      </c>
      <c r="B1883" t="str">
        <f>"50.11"</f>
        <v>50.11</v>
      </c>
      <c r="C1883" t="str">
        <f>"50.175"</f>
        <v>50.175</v>
      </c>
    </row>
    <row r="1884" spans="1:3" x14ac:dyDescent="0.25">
      <c r="A1884" t="str">
        <f>"21/03/2017"</f>
        <v>21/03/2017</v>
      </c>
      <c r="B1884" t="str">
        <f>"50.185"</f>
        <v>50.185</v>
      </c>
      <c r="C1884" t="str">
        <f>"50.2475"</f>
        <v>50.2475</v>
      </c>
    </row>
    <row r="1885" spans="1:3" x14ac:dyDescent="0.25">
      <c r="A1885" t="str">
        <f>"22/03/2017"</f>
        <v>22/03/2017</v>
      </c>
      <c r="B1885" t="str">
        <f>"50.32"</f>
        <v>50.32</v>
      </c>
      <c r="C1885" t="str">
        <f>"50.3835"</f>
        <v>50.3835</v>
      </c>
    </row>
    <row r="1886" spans="1:3" x14ac:dyDescent="0.25">
      <c r="A1886" t="str">
        <f>"23/03/2017"</f>
        <v>23/03/2017</v>
      </c>
      <c r="B1886" t="str">
        <f>"50.348"</f>
        <v>50.348</v>
      </c>
      <c r="C1886" t="str">
        <f>"50.413"</f>
        <v>50.413</v>
      </c>
    </row>
    <row r="1887" spans="1:3" x14ac:dyDescent="0.25">
      <c r="A1887" t="str">
        <f>"24/03/2017"</f>
        <v>24/03/2017</v>
      </c>
      <c r="B1887" t="str">
        <f>"50.372"</f>
        <v>50.372</v>
      </c>
      <c r="C1887" t="str">
        <f>"50.435"</f>
        <v>50.435</v>
      </c>
    </row>
    <row r="1888" spans="1:3" x14ac:dyDescent="0.25">
      <c r="A1888" t="str">
        <f>"27/03/2017"</f>
        <v>27/03/2017</v>
      </c>
      <c r="B1888" t="str">
        <f>"50.16"</f>
        <v>50.16</v>
      </c>
      <c r="C1888" t="str">
        <f>"50.225"</f>
        <v>50.225</v>
      </c>
    </row>
    <row r="1889" spans="1:3" x14ac:dyDescent="0.25">
      <c r="A1889" t="str">
        <f>"29/03/2017"</f>
        <v>29/03/2017</v>
      </c>
      <c r="B1889" t="str">
        <f>"50.20"</f>
        <v>50.20</v>
      </c>
      <c r="C1889" t="str">
        <f>"50.268"</f>
        <v>50.268</v>
      </c>
    </row>
    <row r="1890" spans="1:3" x14ac:dyDescent="0.25">
      <c r="A1890" t="str">
        <f>"30/03/2017"</f>
        <v>30/03/2017</v>
      </c>
      <c r="B1890" t="str">
        <f>"50.21"</f>
        <v>50.21</v>
      </c>
      <c r="C1890" t="str">
        <f>"50.276"</f>
        <v>50.276</v>
      </c>
    </row>
    <row r="1891" spans="1:3" x14ac:dyDescent="0.25">
      <c r="A1891" t="str">
        <f>"31/03/2017"</f>
        <v>31/03/2017</v>
      </c>
      <c r="B1891" t="str">
        <f>"50.25"</f>
        <v>50.25</v>
      </c>
      <c r="C1891" t="str">
        <f>"50.325"</f>
        <v>50.325</v>
      </c>
    </row>
    <row r="1892" spans="1:3" x14ac:dyDescent="0.25">
      <c r="A1892" t="str">
        <f>"03/04/2017"</f>
        <v>03/04/2017</v>
      </c>
      <c r="B1892" t="str">
        <f>"50.213"</f>
        <v>50.213</v>
      </c>
      <c r="C1892" t="str">
        <f>"50.293"</f>
        <v>50.293</v>
      </c>
    </row>
    <row r="1893" spans="1:3" x14ac:dyDescent="0.25">
      <c r="A1893" t="str">
        <f>"05/04/2017"</f>
        <v>05/04/2017</v>
      </c>
      <c r="B1893" t="str">
        <f>"50.158"</f>
        <v>50.158</v>
      </c>
      <c r="C1893" t="str">
        <f>"50.2395"</f>
        <v>50.2395</v>
      </c>
    </row>
    <row r="1894" spans="1:3" x14ac:dyDescent="0.25">
      <c r="A1894" t="str">
        <f>"06/04/2017"</f>
        <v>06/04/2017</v>
      </c>
      <c r="B1894" t="str">
        <f>"50.175"</f>
        <v>50.175</v>
      </c>
      <c r="C1894" t="str">
        <f>"50.2545"</f>
        <v>50.2545</v>
      </c>
    </row>
    <row r="1895" spans="1:3" x14ac:dyDescent="0.25">
      <c r="A1895" t="str">
        <f>"07/04/2017"</f>
        <v>07/04/2017</v>
      </c>
      <c r="B1895" t="str">
        <f>"50.085"</f>
        <v>50.085</v>
      </c>
      <c r="C1895" t="str">
        <f>"50.161"</f>
        <v>50.161</v>
      </c>
    </row>
    <row r="1896" spans="1:3" x14ac:dyDescent="0.25">
      <c r="A1896" t="str">
        <f>"10/04/2017"</f>
        <v>10/04/2017</v>
      </c>
      <c r="B1896" t="str">
        <f>"49.77"</f>
        <v>49.77</v>
      </c>
      <c r="C1896" t="str">
        <f>"49.845"</f>
        <v>49.845</v>
      </c>
    </row>
    <row r="1897" spans="1:3" x14ac:dyDescent="0.25">
      <c r="A1897" t="str">
        <f>"11/04/2017"</f>
        <v>11/04/2017</v>
      </c>
      <c r="B1897" t="str">
        <f>"49.653"</f>
        <v>49.653</v>
      </c>
      <c r="C1897" t="str">
        <f>"49.733"</f>
        <v>49.733</v>
      </c>
    </row>
    <row r="1898" spans="1:3" x14ac:dyDescent="0.25">
      <c r="A1898" t="str">
        <f>"12/04/2017"</f>
        <v>12/04/2017</v>
      </c>
      <c r="B1898" t="str">
        <f>"49.575"</f>
        <v>49.575</v>
      </c>
      <c r="C1898" t="str">
        <f>"49.653"</f>
        <v>49.653</v>
      </c>
    </row>
    <row r="1899" spans="1:3" x14ac:dyDescent="0.25">
      <c r="A1899" t="str">
        <f>"13/04/2017"</f>
        <v>13/04/2017</v>
      </c>
      <c r="B1899" t="str">
        <f>"49.43"</f>
        <v>49.43</v>
      </c>
      <c r="C1899" t="str">
        <f>"49.506"</f>
        <v>49.506</v>
      </c>
    </row>
    <row r="1900" spans="1:3" x14ac:dyDescent="0.25">
      <c r="A1900" t="str">
        <f>"17/04/2017"</f>
        <v>17/04/2017</v>
      </c>
      <c r="B1900" t="str">
        <f>"49.57"</f>
        <v>49.57</v>
      </c>
      <c r="C1900" t="str">
        <f>"49.6525"</f>
        <v>49.6525</v>
      </c>
    </row>
    <row r="1901" spans="1:3" x14ac:dyDescent="0.25">
      <c r="A1901" t="str">
        <f>"18/04/2017"</f>
        <v>18/04/2017</v>
      </c>
      <c r="B1901" t="str">
        <f>"49.64"</f>
        <v>49.64</v>
      </c>
      <c r="C1901" t="str">
        <f>"49.717"</f>
        <v>49.717</v>
      </c>
    </row>
    <row r="1902" spans="1:3" x14ac:dyDescent="0.25">
      <c r="A1902" t="str">
        <f>"19/04/2017"</f>
        <v>19/04/2017</v>
      </c>
      <c r="B1902" t="str">
        <f>"49.745"</f>
        <v>49.745</v>
      </c>
      <c r="C1902" t="str">
        <f>"49.825"</f>
        <v>49.825</v>
      </c>
    </row>
    <row r="1903" spans="1:3" x14ac:dyDescent="0.25">
      <c r="A1903" t="str">
        <f>"20/04/2017"</f>
        <v>20/04/2017</v>
      </c>
      <c r="B1903" t="str">
        <f>"49.855"</f>
        <v>49.855</v>
      </c>
      <c r="C1903" t="str">
        <f>"49.938"</f>
        <v>49.938</v>
      </c>
    </row>
    <row r="1904" spans="1:3" x14ac:dyDescent="0.25">
      <c r="A1904" t="str">
        <f>"21/04/2017"</f>
        <v>21/04/2017</v>
      </c>
      <c r="B1904" t="str">
        <f>"49.80"</f>
        <v>49.80</v>
      </c>
      <c r="C1904" t="str">
        <f>"49.885"</f>
        <v>49.885</v>
      </c>
    </row>
    <row r="1905" spans="1:3" x14ac:dyDescent="0.25">
      <c r="A1905" t="str">
        <f>"24/04/2017"</f>
        <v>24/04/2017</v>
      </c>
      <c r="B1905" t="str">
        <f>"49.81"</f>
        <v>49.81</v>
      </c>
      <c r="C1905" t="str">
        <f>"49.89"</f>
        <v>49.89</v>
      </c>
    </row>
    <row r="1906" spans="1:3" x14ac:dyDescent="0.25">
      <c r="A1906" t="str">
        <f>"25/04/2017"</f>
        <v>25/04/2017</v>
      </c>
      <c r="B1906" t="str">
        <f>"49.70"</f>
        <v>49.70</v>
      </c>
      <c r="C1906" t="str">
        <f>"49.784"</f>
        <v>49.784</v>
      </c>
    </row>
    <row r="1907" spans="1:3" x14ac:dyDescent="0.25">
      <c r="A1907" t="str">
        <f>"26/04/2017"</f>
        <v>26/04/2017</v>
      </c>
      <c r="B1907" t="str">
        <f>"49.805"</f>
        <v>49.805</v>
      </c>
      <c r="C1907" t="str">
        <f>"49.886"</f>
        <v>49.886</v>
      </c>
    </row>
    <row r="1908" spans="1:3" x14ac:dyDescent="0.25">
      <c r="A1908" t="str">
        <f>"27/04/2017"</f>
        <v>27/04/2017</v>
      </c>
      <c r="B1908" t="str">
        <f>"49.98"</f>
        <v>49.98</v>
      </c>
      <c r="C1908" t="str">
        <f>"50.06"</f>
        <v>50.06</v>
      </c>
    </row>
    <row r="1909" spans="1:3" x14ac:dyDescent="0.25">
      <c r="A1909" t="str">
        <f>"28/04/2017"</f>
        <v>28/04/2017</v>
      </c>
      <c r="B1909" t="str">
        <f>"49.98"</f>
        <v>49.98</v>
      </c>
      <c r="C1909" t="str">
        <f>"50.06"</f>
        <v>50.06</v>
      </c>
    </row>
    <row r="1910" spans="1:3" x14ac:dyDescent="0.25">
      <c r="A1910" t="str">
        <f>"02/05/2017"</f>
        <v>02/05/2017</v>
      </c>
      <c r="B1910" t="str">
        <f>"50.05"</f>
        <v>50.05</v>
      </c>
      <c r="C1910" t="str">
        <f>"50.135"</f>
        <v>50.135</v>
      </c>
    </row>
    <row r="1911" spans="1:3" x14ac:dyDescent="0.25">
      <c r="A1911" t="str">
        <f>"03/05/2017"</f>
        <v>03/05/2017</v>
      </c>
      <c r="B1911" t="str">
        <f>"49.965"</f>
        <v>49.965</v>
      </c>
      <c r="C1911" t="str">
        <f>"50.052"</f>
        <v>50.052</v>
      </c>
    </row>
    <row r="1912" spans="1:3" x14ac:dyDescent="0.25">
      <c r="A1912" t="str">
        <f>"04/05/2017"</f>
        <v>04/05/2017</v>
      </c>
      <c r="B1912" t="str">
        <f>"49.86"</f>
        <v>49.86</v>
      </c>
      <c r="C1912" t="str">
        <f>"49.943"</f>
        <v>49.943</v>
      </c>
    </row>
    <row r="1913" spans="1:3" x14ac:dyDescent="0.25">
      <c r="A1913" t="str">
        <f>"05/05/2017"</f>
        <v>05/05/2017</v>
      </c>
      <c r="B1913" t="str">
        <f>"49.92"</f>
        <v>49.92</v>
      </c>
      <c r="C1913" t="str">
        <f>"50.004"</f>
        <v>50.004</v>
      </c>
    </row>
    <row r="1914" spans="1:3" x14ac:dyDescent="0.25">
      <c r="A1914" t="str">
        <f>"08/05/2017"</f>
        <v>08/05/2017</v>
      </c>
      <c r="B1914" t="str">
        <f>"49.90"</f>
        <v>49.90</v>
      </c>
      <c r="C1914" t="str">
        <f>"49.985"</f>
        <v>49.985</v>
      </c>
    </row>
    <row r="1915" spans="1:3" x14ac:dyDescent="0.25">
      <c r="A1915" t="str">
        <f>"09/05/2017"</f>
        <v>09/05/2017</v>
      </c>
      <c r="B1915" t="str">
        <f>"49.925"</f>
        <v>49.925</v>
      </c>
      <c r="C1915" t="str">
        <f>"50.016"</f>
        <v>50.016</v>
      </c>
    </row>
    <row r="1916" spans="1:3" x14ac:dyDescent="0.25">
      <c r="A1916" t="str">
        <f>"11/05/2017"</f>
        <v>11/05/2017</v>
      </c>
      <c r="B1916" t="str">
        <f>"49.965"</f>
        <v>49.965</v>
      </c>
      <c r="C1916" t="str">
        <f>"50.055"</f>
        <v>50.055</v>
      </c>
    </row>
    <row r="1917" spans="1:3" x14ac:dyDescent="0.25">
      <c r="A1917" t="str">
        <f>"12/05/2017"</f>
        <v>12/05/2017</v>
      </c>
      <c r="B1917" t="str">
        <f>"49.76"</f>
        <v>49.76</v>
      </c>
      <c r="C1917" t="str">
        <f>"49.843"</f>
        <v>49.843</v>
      </c>
    </row>
    <row r="1918" spans="1:3" x14ac:dyDescent="0.25">
      <c r="A1918" t="str">
        <f>"15/05/2017"</f>
        <v>15/05/2017</v>
      </c>
      <c r="B1918" t="str">
        <f>"49.729"</f>
        <v>49.729</v>
      </c>
      <c r="C1918" t="str">
        <f>"49.811"</f>
        <v>49.811</v>
      </c>
    </row>
    <row r="1919" spans="1:3" x14ac:dyDescent="0.25">
      <c r="A1919" t="str">
        <f>"16/05/2017"</f>
        <v>16/05/2017</v>
      </c>
      <c r="B1919" t="str">
        <f>"49.767"</f>
        <v>49.767</v>
      </c>
      <c r="C1919" t="str">
        <f>"49.855"</f>
        <v>49.855</v>
      </c>
    </row>
    <row r="1920" spans="1:3" x14ac:dyDescent="0.25">
      <c r="A1920" t="str">
        <f>"17/05/2017"</f>
        <v>17/05/2017</v>
      </c>
      <c r="B1920" t="str">
        <f>"49.815"</f>
        <v>49.815</v>
      </c>
      <c r="C1920" t="str">
        <f>"49.904"</f>
        <v>49.904</v>
      </c>
    </row>
    <row r="1921" spans="1:3" x14ac:dyDescent="0.25">
      <c r="A1921" t="str">
        <f>"18/05/2017"</f>
        <v>18/05/2017</v>
      </c>
      <c r="B1921" t="str">
        <f>"49.904"</f>
        <v>49.904</v>
      </c>
      <c r="C1921" t="str">
        <f>"49.987"</f>
        <v>49.987</v>
      </c>
    </row>
    <row r="1922" spans="1:3" x14ac:dyDescent="0.25">
      <c r="A1922" t="str">
        <f>"19/05/2017"</f>
        <v>19/05/2017</v>
      </c>
      <c r="B1922" t="str">
        <f>"49.87"</f>
        <v>49.87</v>
      </c>
      <c r="C1922" t="str">
        <f>"49.9565"</f>
        <v>49.9565</v>
      </c>
    </row>
    <row r="1923" spans="1:3" x14ac:dyDescent="0.25">
      <c r="A1923" t="str">
        <f>"22/05/2017"</f>
        <v>22/05/2017</v>
      </c>
      <c r="B1923" t="str">
        <f>"49.768"</f>
        <v>49.768</v>
      </c>
      <c r="C1923" t="str">
        <f>"49.85"</f>
        <v>49.85</v>
      </c>
    </row>
    <row r="1924" spans="1:3" x14ac:dyDescent="0.25">
      <c r="A1924" t="str">
        <f>"23/05/2017"</f>
        <v>23/05/2017</v>
      </c>
      <c r="B1924" t="str">
        <f>"49.82"</f>
        <v>49.82</v>
      </c>
      <c r="C1924" t="str">
        <f>"49.909"</f>
        <v>49.909</v>
      </c>
    </row>
    <row r="1925" spans="1:3" x14ac:dyDescent="0.25">
      <c r="A1925" t="str">
        <f>"24/05/2017"</f>
        <v>24/05/2017</v>
      </c>
      <c r="B1925" t="str">
        <f>"49.995"</f>
        <v>49.995</v>
      </c>
      <c r="C1925" t="str">
        <f>"50.075"</f>
        <v>50.075</v>
      </c>
    </row>
    <row r="1926" spans="1:3" x14ac:dyDescent="0.25">
      <c r="A1926" t="str">
        <f>"25/05/2017"</f>
        <v>25/05/2017</v>
      </c>
      <c r="B1926" t="str">
        <f>"49.86"</f>
        <v>49.86</v>
      </c>
      <c r="C1926" t="str">
        <f>"49.9375"</f>
        <v>49.9375</v>
      </c>
    </row>
    <row r="1927" spans="1:3" x14ac:dyDescent="0.25">
      <c r="A1927" t="str">
        <f>"26/05/2017"</f>
        <v>26/05/2017</v>
      </c>
      <c r="B1927" t="str">
        <f>"49.77"</f>
        <v>49.77</v>
      </c>
      <c r="C1927" t="str">
        <f>"49.84"</f>
        <v>49.84</v>
      </c>
    </row>
    <row r="1928" spans="1:3" x14ac:dyDescent="0.25">
      <c r="A1928" t="str">
        <f>"29/05/2017"</f>
        <v>29/05/2017</v>
      </c>
      <c r="B1928" t="str">
        <f>"49.84"</f>
        <v>49.84</v>
      </c>
      <c r="C1928" t="str">
        <f>"49.9125"</f>
        <v>49.9125</v>
      </c>
    </row>
    <row r="1929" spans="1:3" x14ac:dyDescent="0.25">
      <c r="A1929" t="str">
        <f>"30/05/2017"</f>
        <v>30/05/2017</v>
      </c>
      <c r="B1929" t="str">
        <f>"49.88"</f>
        <v>49.88</v>
      </c>
      <c r="C1929" t="str">
        <f>"49.947"</f>
        <v>49.947</v>
      </c>
    </row>
    <row r="1930" spans="1:3" x14ac:dyDescent="0.25">
      <c r="A1930" t="str">
        <f>"31/05/2017"</f>
        <v>31/05/2017</v>
      </c>
      <c r="B1930" t="str">
        <f>"49.78"</f>
        <v>49.78</v>
      </c>
      <c r="C1930" t="str">
        <f>"49.844"</f>
        <v>49.844</v>
      </c>
    </row>
    <row r="1931" spans="1:3" x14ac:dyDescent="0.25">
      <c r="A1931" t="str">
        <f>"01/06/2017"</f>
        <v>01/06/2017</v>
      </c>
      <c r="B1931" t="str">
        <f>"49.765"</f>
        <v>49.765</v>
      </c>
      <c r="C1931" t="str">
        <f>"49.832"</f>
        <v>49.832</v>
      </c>
    </row>
    <row r="1932" spans="1:3" x14ac:dyDescent="0.25">
      <c r="A1932" t="str">
        <f>"02/06/2017"</f>
        <v>02/06/2017</v>
      </c>
      <c r="B1932" t="str">
        <f>"49.57"</f>
        <v>49.57</v>
      </c>
      <c r="C1932" t="str">
        <f>"49.635"</f>
        <v>49.635</v>
      </c>
    </row>
    <row r="1933" spans="1:3" x14ac:dyDescent="0.25">
      <c r="A1933" t="str">
        <f>"05/06/2017"</f>
        <v>05/06/2017</v>
      </c>
      <c r="B1933" t="str">
        <f>"49.40"</f>
        <v>49.40</v>
      </c>
      <c r="C1933" t="str">
        <f>"49.459"</f>
        <v>49.459</v>
      </c>
    </row>
    <row r="1934" spans="1:3" x14ac:dyDescent="0.25">
      <c r="A1934" t="str">
        <f>"06/06/2017"</f>
        <v>06/06/2017</v>
      </c>
      <c r="B1934" t="str">
        <f>"49.56"</f>
        <v>49.56</v>
      </c>
      <c r="C1934" t="str">
        <f>"49.6205"</f>
        <v>49.6205</v>
      </c>
    </row>
    <row r="1935" spans="1:3" x14ac:dyDescent="0.25">
      <c r="A1935" t="str">
        <f>"07/06/2017"</f>
        <v>07/06/2017</v>
      </c>
      <c r="B1935" t="str">
        <f>"49.51"</f>
        <v>49.51</v>
      </c>
      <c r="C1935" t="str">
        <f>"49.572"</f>
        <v>49.572</v>
      </c>
    </row>
    <row r="1936" spans="1:3" x14ac:dyDescent="0.25">
      <c r="A1936" t="str">
        <f>"08/06/2017"</f>
        <v>08/06/2017</v>
      </c>
      <c r="B1936" t="str">
        <f>"49.61"</f>
        <v>49.61</v>
      </c>
      <c r="C1936" t="str">
        <f>"49.678"</f>
        <v>49.678</v>
      </c>
    </row>
    <row r="1937" spans="1:3" x14ac:dyDescent="0.25">
      <c r="A1937" t="str">
        <f>"09/06/2017"</f>
        <v>09/06/2017</v>
      </c>
      <c r="B1937" t="str">
        <f>"49.533"</f>
        <v>49.533</v>
      </c>
      <c r="C1937" t="str">
        <f>"49.593"</f>
        <v>49.593</v>
      </c>
    </row>
    <row r="1938" spans="1:3" x14ac:dyDescent="0.25">
      <c r="A1938" t="str">
        <f>"12/06/2017"</f>
        <v>12/06/2017</v>
      </c>
      <c r="B1938" t="str">
        <f>"49.533"</f>
        <v>49.533</v>
      </c>
      <c r="C1938" t="str">
        <f>"49.593"</f>
        <v>49.593</v>
      </c>
    </row>
    <row r="1939" spans="1:3" x14ac:dyDescent="0.25">
      <c r="A1939" t="str">
        <f>"13/06/2017"</f>
        <v>13/06/2017</v>
      </c>
      <c r="B1939" t="str">
        <f>"49.55"</f>
        <v>49.55</v>
      </c>
      <c r="C1939" t="str">
        <f>"49.613"</f>
        <v>49.613</v>
      </c>
    </row>
    <row r="1940" spans="1:3" x14ac:dyDescent="0.25">
      <c r="A1940" t="str">
        <f>"14/06/2017"</f>
        <v>14/06/2017</v>
      </c>
      <c r="B1940" t="str">
        <f>"49.505"</f>
        <v>49.505</v>
      </c>
      <c r="C1940" t="str">
        <f>"49.5725"</f>
        <v>49.5725</v>
      </c>
    </row>
    <row r="1941" spans="1:3" x14ac:dyDescent="0.25">
      <c r="A1941" t="str">
        <f>"15/06/2017"</f>
        <v>15/06/2017</v>
      </c>
      <c r="B1941" t="str">
        <f>"49.756"</f>
        <v>49.756</v>
      </c>
      <c r="C1941" t="str">
        <f>"49.821"</f>
        <v>49.821</v>
      </c>
    </row>
    <row r="1942" spans="1:3" x14ac:dyDescent="0.25">
      <c r="A1942" t="str">
        <f>"16/06/2017"</f>
        <v>16/06/2017</v>
      </c>
      <c r="B1942" t="str">
        <f>"49.90"</f>
        <v>49.90</v>
      </c>
      <c r="C1942" t="str">
        <f>"49.9625"</f>
        <v>49.9625</v>
      </c>
    </row>
    <row r="1943" spans="1:3" x14ac:dyDescent="0.25">
      <c r="A1943" t="str">
        <f>"19/06/2017"</f>
        <v>19/06/2017</v>
      </c>
      <c r="B1943" t="str">
        <f>"49.905"</f>
        <v>49.905</v>
      </c>
      <c r="C1943" t="str">
        <f>"49.972"</f>
        <v>49.972</v>
      </c>
    </row>
    <row r="1944" spans="1:3" x14ac:dyDescent="0.25">
      <c r="A1944" t="str">
        <f>"20/06/2017"</f>
        <v>20/06/2017</v>
      </c>
      <c r="B1944" t="str">
        <f>"50.15"</f>
        <v>50.15</v>
      </c>
      <c r="C1944" t="str">
        <f>"50.2235"</f>
        <v>50.2235</v>
      </c>
    </row>
    <row r="1945" spans="1:3" x14ac:dyDescent="0.25">
      <c r="A1945" t="str">
        <f>"21/06/2017"</f>
        <v>21/06/2017</v>
      </c>
      <c r="B1945" t="str">
        <f>"50.345"</f>
        <v>50.345</v>
      </c>
      <c r="C1945" t="str">
        <f>"50.4265"</f>
        <v>50.4265</v>
      </c>
    </row>
    <row r="1946" spans="1:3" x14ac:dyDescent="0.25">
      <c r="A1946" t="str">
        <f>"22/06/2017"</f>
        <v>22/06/2017</v>
      </c>
      <c r="B1946" t="str">
        <f>"50.345"</f>
        <v>50.345</v>
      </c>
      <c r="C1946" t="str">
        <f>"50.421"</f>
        <v>50.421</v>
      </c>
    </row>
    <row r="1947" spans="1:3" x14ac:dyDescent="0.25">
      <c r="A1947" t="str">
        <f>"23/06/2017"</f>
        <v>23/06/2017</v>
      </c>
      <c r="B1947" t="str">
        <f>"50.23"</f>
        <v>50.23</v>
      </c>
      <c r="C1947" t="str">
        <f>"50.303"</f>
        <v>50.303</v>
      </c>
    </row>
    <row r="1948" spans="1:3" x14ac:dyDescent="0.25">
      <c r="A1948" t="str">
        <f>"27/06/2017"</f>
        <v>27/06/2017</v>
      </c>
      <c r="B1948" t="str">
        <f>"50.315"</f>
        <v>50.315</v>
      </c>
      <c r="C1948" t="str">
        <f>"50.39"</f>
        <v>50.39</v>
      </c>
    </row>
    <row r="1949" spans="1:3" x14ac:dyDescent="0.25">
      <c r="A1949" t="str">
        <f>"28/06/2017"</f>
        <v>28/06/2017</v>
      </c>
      <c r="B1949" t="str">
        <f>"50.55"</f>
        <v>50.55</v>
      </c>
      <c r="C1949" t="str">
        <f>"50.625"</f>
        <v>50.625</v>
      </c>
    </row>
    <row r="1950" spans="1:3" x14ac:dyDescent="0.25">
      <c r="A1950" t="str">
        <f>"29/06/2017"</f>
        <v>29/06/2017</v>
      </c>
      <c r="B1950" t="str">
        <f>"50.57"</f>
        <v>50.57</v>
      </c>
      <c r="C1950" t="str">
        <f>"50.64"</f>
        <v>50.64</v>
      </c>
    </row>
    <row r="1951" spans="1:3" x14ac:dyDescent="0.25">
      <c r="A1951" t="str">
        <f>"30/06/2017"</f>
        <v>30/06/2017</v>
      </c>
      <c r="B1951" t="str">
        <f>"50.47"</f>
        <v>50.47</v>
      </c>
      <c r="C1951" t="str">
        <f>"50.548"</f>
        <v>50.548</v>
      </c>
    </row>
    <row r="1952" spans="1:3" x14ac:dyDescent="0.25">
      <c r="A1952" t="str">
        <f>"03/07/2017"</f>
        <v>03/07/2017</v>
      </c>
      <c r="B1952" t="str">
        <f>"50.66"</f>
        <v>50.66</v>
      </c>
      <c r="C1952" t="str">
        <f>"50.7435"</f>
        <v>50.7435</v>
      </c>
    </row>
    <row r="1953" spans="1:3" x14ac:dyDescent="0.25">
      <c r="A1953" t="str">
        <f>"04/07/2017"</f>
        <v>04/07/2017</v>
      </c>
      <c r="B1953" t="str">
        <f>"50.52"</f>
        <v>50.52</v>
      </c>
      <c r="C1953" t="str">
        <f>"50.6015"</f>
        <v>50.6015</v>
      </c>
    </row>
    <row r="1954" spans="1:3" x14ac:dyDescent="0.25">
      <c r="A1954" t="str">
        <f>"05/07/2017"</f>
        <v>05/07/2017</v>
      </c>
      <c r="B1954" t="str">
        <f>"50.51"</f>
        <v>50.51</v>
      </c>
      <c r="C1954" t="str">
        <f>"50.588"</f>
        <v>50.588</v>
      </c>
    </row>
    <row r="1955" spans="1:3" x14ac:dyDescent="0.25">
      <c r="A1955" t="str">
        <f>"06/07/2017"</f>
        <v>06/07/2017</v>
      </c>
      <c r="B1955" t="str">
        <f>"50.68"</f>
        <v>50.68</v>
      </c>
      <c r="C1955" t="str">
        <f>"50.76"</f>
        <v>50.76</v>
      </c>
    </row>
    <row r="1956" spans="1:3" x14ac:dyDescent="0.25">
      <c r="A1956" t="str">
        <f>"07/07/2017"</f>
        <v>07/07/2017</v>
      </c>
      <c r="B1956" t="str">
        <f>"50.58"</f>
        <v>50.58</v>
      </c>
      <c r="C1956" t="str">
        <f>"50.6565"</f>
        <v>50.6565</v>
      </c>
    </row>
    <row r="1957" spans="1:3" x14ac:dyDescent="0.25">
      <c r="A1957" t="str">
        <f>"10/07/2017"</f>
        <v>10/07/2017</v>
      </c>
      <c r="B1957" t="str">
        <f>"50.745"</f>
        <v>50.745</v>
      </c>
      <c r="C1957" t="str">
        <f>"50.8235"</f>
        <v>50.8235</v>
      </c>
    </row>
    <row r="1958" spans="1:3" x14ac:dyDescent="0.25">
      <c r="A1958" t="str">
        <f>"11/07/2017"</f>
        <v>11/07/2017</v>
      </c>
      <c r="B1958" t="str">
        <f>"50.58"</f>
        <v>50.58</v>
      </c>
      <c r="C1958" t="str">
        <f>"50.664"</f>
        <v>50.664</v>
      </c>
    </row>
    <row r="1959" spans="1:3" x14ac:dyDescent="0.25">
      <c r="A1959" t="str">
        <f>"12/07/2017"</f>
        <v>12/07/2017</v>
      </c>
      <c r="B1959" t="str">
        <f>"50.57"</f>
        <v>50.57</v>
      </c>
      <c r="C1959" t="str">
        <f>"50.654"</f>
        <v>50.654</v>
      </c>
    </row>
    <row r="1960" spans="1:3" x14ac:dyDescent="0.25">
      <c r="A1960" t="str">
        <f>"13/07/2017"</f>
        <v>13/07/2017</v>
      </c>
      <c r="B1960" t="str">
        <f>"50.57"</f>
        <v>50.57</v>
      </c>
      <c r="C1960" t="str">
        <f>"50.6525"</f>
        <v>50.6525</v>
      </c>
    </row>
    <row r="1961" spans="1:3" x14ac:dyDescent="0.25">
      <c r="A1961" t="str">
        <f>"14/07/2017"</f>
        <v>14/07/2017</v>
      </c>
      <c r="B1961" t="str">
        <f>"50.655"</f>
        <v>50.655</v>
      </c>
      <c r="C1961" t="str">
        <f>"50.7385"</f>
        <v>50.7385</v>
      </c>
    </row>
    <row r="1962" spans="1:3" x14ac:dyDescent="0.25">
      <c r="A1962" t="str">
        <f>"17/07/2017"</f>
        <v>17/07/2017</v>
      </c>
      <c r="B1962" t="str">
        <f>"50.71"</f>
        <v>50.71</v>
      </c>
      <c r="C1962" t="str">
        <f>"50.7925"</f>
        <v>50.7925</v>
      </c>
    </row>
    <row r="1963" spans="1:3" x14ac:dyDescent="0.25">
      <c r="A1963" t="str">
        <f>"18/07/2017"</f>
        <v>18/07/2017</v>
      </c>
      <c r="B1963" t="str">
        <f>"50.82"</f>
        <v>50.82</v>
      </c>
      <c r="C1963" t="str">
        <f>"50.908"</f>
        <v>50.908</v>
      </c>
    </row>
    <row r="1964" spans="1:3" x14ac:dyDescent="0.25">
      <c r="A1964" t="str">
        <f>"19/07/2017"</f>
        <v>19/07/2017</v>
      </c>
      <c r="B1964" t="str">
        <f>"50.96"</f>
        <v>50.96</v>
      </c>
      <c r="C1964" t="str">
        <f>"51.044"</f>
        <v>51.044</v>
      </c>
    </row>
    <row r="1965" spans="1:3" x14ac:dyDescent="0.25">
      <c r="A1965" t="str">
        <f>"20/07/2017"</f>
        <v>20/07/2017</v>
      </c>
      <c r="B1965" t="str">
        <f>"50.89"</f>
        <v>50.89</v>
      </c>
      <c r="C1965" t="str">
        <f>"50.967"</f>
        <v>50.967</v>
      </c>
    </row>
    <row r="1966" spans="1:3" x14ac:dyDescent="0.25">
      <c r="A1966" t="str">
        <f>"21/07/2017"</f>
        <v>21/07/2017</v>
      </c>
      <c r="B1966" t="str">
        <f>"50.72"</f>
        <v>50.72</v>
      </c>
      <c r="C1966" t="str">
        <f>"50.7965"</f>
        <v>50.7965</v>
      </c>
    </row>
    <row r="1967" spans="1:3" x14ac:dyDescent="0.25">
      <c r="A1967" t="str">
        <f>"24/07/2017"</f>
        <v>24/07/2017</v>
      </c>
      <c r="B1967" t="str">
        <f>"50.74"</f>
        <v>50.74</v>
      </c>
      <c r="C1967" t="str">
        <f>"50.815"</f>
        <v>50.815</v>
      </c>
    </row>
    <row r="1968" spans="1:3" x14ac:dyDescent="0.25">
      <c r="A1968" t="str">
        <f>"25/07/2017"</f>
        <v>25/07/2017</v>
      </c>
      <c r="B1968" t="str">
        <f>"50.58"</f>
        <v>50.58</v>
      </c>
      <c r="C1968" t="str">
        <f>"50.6585"</f>
        <v>50.6585</v>
      </c>
    </row>
    <row r="1969" spans="1:3" x14ac:dyDescent="0.25">
      <c r="A1969" t="str">
        <f>"26/07/2017"</f>
        <v>26/07/2017</v>
      </c>
      <c r="B1969" t="str">
        <f>"50.66"</f>
        <v>50.66</v>
      </c>
      <c r="C1969" t="str">
        <f>"50.738"</f>
        <v>50.738</v>
      </c>
    </row>
    <row r="1970" spans="1:3" x14ac:dyDescent="0.25">
      <c r="A1970" t="str">
        <f>"27/07/2017"</f>
        <v>27/07/2017</v>
      </c>
      <c r="B1970" t="str">
        <f>"50.57"</f>
        <v>50.57</v>
      </c>
      <c r="C1970" t="str">
        <f>"50.646"</f>
        <v>50.646</v>
      </c>
    </row>
    <row r="1971" spans="1:3" x14ac:dyDescent="0.25">
      <c r="A1971" t="str">
        <f>"28/07/2017"</f>
        <v>28/07/2017</v>
      </c>
      <c r="B1971" t="str">
        <f>"50.57"</f>
        <v>50.57</v>
      </c>
      <c r="C1971" t="str">
        <f>"50.644"</f>
        <v>50.644</v>
      </c>
    </row>
    <row r="1972" spans="1:3" x14ac:dyDescent="0.25">
      <c r="A1972" t="str">
        <f>"31/07/2017"</f>
        <v>31/07/2017</v>
      </c>
      <c r="B1972" t="str">
        <f>"50.46"</f>
        <v>50.46</v>
      </c>
      <c r="C1972" t="str">
        <f>"50.529"</f>
        <v>50.529</v>
      </c>
    </row>
    <row r="1973" spans="1:3" x14ac:dyDescent="0.25">
      <c r="A1973" t="str">
        <f>"01/08/2017"</f>
        <v>01/08/2017</v>
      </c>
      <c r="B1973" t="str">
        <f>"50.44"</f>
        <v>50.44</v>
      </c>
      <c r="C1973" t="str">
        <f>"50.512"</f>
        <v>50.512</v>
      </c>
    </row>
    <row r="1974" spans="1:3" x14ac:dyDescent="0.25">
      <c r="A1974" t="str">
        <f>"02/08/2017"</f>
        <v>02/08/2017</v>
      </c>
      <c r="B1974" t="str">
        <f>"50.42"</f>
        <v>50.42</v>
      </c>
      <c r="C1974" t="str">
        <f>"50.492"</f>
        <v>50.492</v>
      </c>
    </row>
    <row r="1975" spans="1:3" x14ac:dyDescent="0.25">
      <c r="A1975" t="str">
        <f>"03/08/2017"</f>
        <v>03/08/2017</v>
      </c>
      <c r="B1975" t="str">
        <f>"50.27"</f>
        <v>50.27</v>
      </c>
      <c r="C1975" t="str">
        <f>"50.3375"</f>
        <v>50.3375</v>
      </c>
    </row>
    <row r="1976" spans="1:3" x14ac:dyDescent="0.25">
      <c r="A1976" t="str">
        <f>"04/08/2017"</f>
        <v>04/08/2017</v>
      </c>
      <c r="B1976" t="str">
        <f>"50.16"</f>
        <v>50.16</v>
      </c>
      <c r="C1976" t="str">
        <f>"50.225"</f>
        <v>50.225</v>
      </c>
    </row>
    <row r="1977" spans="1:3" x14ac:dyDescent="0.25">
      <c r="A1977" t="str">
        <f>"07/08/2017"</f>
        <v>07/08/2017</v>
      </c>
      <c r="B1977" t="str">
        <f>"50.36"</f>
        <v>50.36</v>
      </c>
      <c r="C1977" t="str">
        <f>"50.425"</f>
        <v>50.425</v>
      </c>
    </row>
    <row r="1978" spans="1:3" x14ac:dyDescent="0.25">
      <c r="A1978" t="str">
        <f>"08/08/2017"</f>
        <v>08/08/2017</v>
      </c>
      <c r="B1978" t="str">
        <f>"50.42"</f>
        <v>50.42</v>
      </c>
      <c r="C1978" t="str">
        <f>"50.495"</f>
        <v>50.495</v>
      </c>
    </row>
    <row r="1979" spans="1:3" x14ac:dyDescent="0.25">
      <c r="A1979" t="str">
        <f>"09/08/2017"</f>
        <v>09/08/2017</v>
      </c>
      <c r="B1979" t="str">
        <f>"50.58"</f>
        <v>50.58</v>
      </c>
      <c r="C1979" t="str">
        <f>"50.6485"</f>
        <v>50.6485</v>
      </c>
    </row>
    <row r="1980" spans="1:3" x14ac:dyDescent="0.25">
      <c r="A1980" t="str">
        <f>"10/08/2017"</f>
        <v>10/08/2017</v>
      </c>
      <c r="B1980" t="str">
        <f>"50.80"</f>
        <v>50.80</v>
      </c>
      <c r="C1980" t="str">
        <f>"50.873"</f>
        <v>50.873</v>
      </c>
    </row>
    <row r="1981" spans="1:3" x14ac:dyDescent="0.25">
      <c r="A1981" t="str">
        <f>"11/08/2017"</f>
        <v>11/08/2017</v>
      </c>
      <c r="B1981" t="str">
        <f>"50.99"</f>
        <v>50.99</v>
      </c>
      <c r="C1981" t="str">
        <f>"51.066"</f>
        <v>51.066</v>
      </c>
    </row>
    <row r="1982" spans="1:3" x14ac:dyDescent="0.25">
      <c r="A1982" t="str">
        <f>"14/08/2017"</f>
        <v>14/08/2017</v>
      </c>
      <c r="B1982" t="str">
        <f>"51.09"</f>
        <v>51.09</v>
      </c>
      <c r="C1982" t="str">
        <f>"51.1655"</f>
        <v>51.1655</v>
      </c>
    </row>
    <row r="1983" spans="1:3" x14ac:dyDescent="0.25">
      <c r="A1983" t="str">
        <f>"16/08/2017"</f>
        <v>16/08/2017</v>
      </c>
      <c r="B1983" t="str">
        <f>"51.40"</f>
        <v>51.40</v>
      </c>
      <c r="C1983" t="str">
        <f>"51.477"</f>
        <v>51.477</v>
      </c>
    </row>
    <row r="1984" spans="1:3" x14ac:dyDescent="0.25">
      <c r="A1984" t="str">
        <f>"18/08/2017"</f>
        <v>18/08/2017</v>
      </c>
      <c r="B1984" t="str">
        <f>"51.49"</f>
        <v>51.49</v>
      </c>
      <c r="C1984" t="str">
        <f>"51.5665"</f>
        <v>51.5665</v>
      </c>
    </row>
    <row r="1985" spans="1:3" x14ac:dyDescent="0.25">
      <c r="A1985" t="str">
        <f>"21/08/2017"</f>
        <v>21/08/2017</v>
      </c>
      <c r="B1985" t="str">
        <f>"51.49"</f>
        <v>51.49</v>
      </c>
      <c r="C1985" t="str">
        <f>"51.563"</f>
        <v>51.563</v>
      </c>
    </row>
    <row r="1986" spans="1:3" x14ac:dyDescent="0.25">
      <c r="A1986" t="str">
        <f>"22/08/2017"</f>
        <v>22/08/2017</v>
      </c>
      <c r="B1986" t="str">
        <f>"51.25"</f>
        <v>51.25</v>
      </c>
      <c r="C1986" t="str">
        <f>"51.3255"</f>
        <v>51.3255</v>
      </c>
    </row>
    <row r="1987" spans="1:3" x14ac:dyDescent="0.25">
      <c r="A1987" t="str">
        <f>"23/08/2017"</f>
        <v>23/08/2017</v>
      </c>
      <c r="B1987" t="str">
        <f>"51.24"</f>
        <v>51.24</v>
      </c>
      <c r="C1987" t="str">
        <f>"51.315"</f>
        <v>51.315</v>
      </c>
    </row>
    <row r="1988" spans="1:3" x14ac:dyDescent="0.25">
      <c r="A1988" t="str">
        <f>"24/08/2017"</f>
        <v>24/08/2017</v>
      </c>
      <c r="B1988" t="str">
        <f>"51.02"</f>
        <v>51.02</v>
      </c>
      <c r="C1988" t="str">
        <f>"51.093"</f>
        <v>51.093</v>
      </c>
    </row>
    <row r="1989" spans="1:3" x14ac:dyDescent="0.25">
      <c r="A1989" t="str">
        <f>"28/08/2017"</f>
        <v>28/08/2017</v>
      </c>
      <c r="B1989" t="str">
        <f>"51.135"</f>
        <v>51.135</v>
      </c>
      <c r="C1989" t="str">
        <f>"51.211"</f>
        <v>51.211</v>
      </c>
    </row>
    <row r="1990" spans="1:3" x14ac:dyDescent="0.25">
      <c r="A1990" t="str">
        <f>"29/08/2017"</f>
        <v>29/08/2017</v>
      </c>
      <c r="B1990" t="str">
        <f>"51.19"</f>
        <v>51.19</v>
      </c>
      <c r="C1990" t="str">
        <f>"51.266"</f>
        <v>51.266</v>
      </c>
    </row>
    <row r="1991" spans="1:3" x14ac:dyDescent="0.25">
      <c r="A1991" t="str">
        <f>"30/08/2017"</f>
        <v>30/08/2017</v>
      </c>
      <c r="B1991" t="str">
        <f>"51.19"</f>
        <v>51.19</v>
      </c>
      <c r="C1991" t="str">
        <f>"51.274"</f>
        <v>51.274</v>
      </c>
    </row>
    <row r="1992" spans="1:3" x14ac:dyDescent="0.25">
      <c r="A1992" t="str">
        <f>"31/08/2017"</f>
        <v>31/08/2017</v>
      </c>
      <c r="B1992" t="str">
        <f>"51.198"</f>
        <v>51.198</v>
      </c>
      <c r="C1992" t="str">
        <f>"51.282"</f>
        <v>51.282</v>
      </c>
    </row>
    <row r="1993" spans="1:3" x14ac:dyDescent="0.25">
      <c r="A1993" t="str">
        <f>"01/09/2017"</f>
        <v>01/09/2017</v>
      </c>
      <c r="B1993" t="str">
        <f>"51.198"</f>
        <v>51.198</v>
      </c>
      <c r="C1993" t="str">
        <f>"51.2835"</f>
        <v>51.2835</v>
      </c>
    </row>
    <row r="1994" spans="1:3" x14ac:dyDescent="0.25">
      <c r="A1994" t="str">
        <f>"04/09/2017"</f>
        <v>04/09/2017</v>
      </c>
      <c r="B1994" t="str">
        <f>"51.22"</f>
        <v>51.22</v>
      </c>
      <c r="C1994" t="str">
        <f>"51.304"</f>
        <v>51.304</v>
      </c>
    </row>
    <row r="1995" spans="1:3" x14ac:dyDescent="0.25">
      <c r="A1995" t="str">
        <f>"05/09/2017"</f>
        <v>05/09/2017</v>
      </c>
      <c r="B1995" t="str">
        <f>"51.195"</f>
        <v>51.195</v>
      </c>
      <c r="C1995" t="str">
        <f>"51.286"</f>
        <v>51.286</v>
      </c>
    </row>
    <row r="1996" spans="1:3" x14ac:dyDescent="0.25">
      <c r="A1996" t="str">
        <f>"06/09/2017"</f>
        <v>06/09/2017</v>
      </c>
      <c r="B1996" t="str">
        <f>"51.11"</f>
        <v>51.11</v>
      </c>
      <c r="C1996" t="str">
        <f>"51.205"</f>
        <v>51.205</v>
      </c>
    </row>
    <row r="1997" spans="1:3" x14ac:dyDescent="0.25">
      <c r="A1997" t="str">
        <f>"07/09/2017"</f>
        <v>07/09/2017</v>
      </c>
      <c r="B1997" t="str">
        <f>"50.98"</f>
        <v>50.98</v>
      </c>
      <c r="C1997" t="str">
        <f>"51.065"</f>
        <v>51.065</v>
      </c>
    </row>
    <row r="1998" spans="1:3" x14ac:dyDescent="0.25">
      <c r="A1998" t="str">
        <f>"08/09/2017"</f>
        <v>08/09/2017</v>
      </c>
      <c r="B1998" t="str">
        <f>"50.92"</f>
        <v>50.92</v>
      </c>
      <c r="C1998" t="str">
        <f>"51.005"</f>
        <v>51.005</v>
      </c>
    </row>
    <row r="1999" spans="1:3" x14ac:dyDescent="0.25">
      <c r="A1999" t="str">
        <f>"11/09/2017"</f>
        <v>11/09/2017</v>
      </c>
      <c r="B1999" t="str">
        <f>"50.96"</f>
        <v>50.96</v>
      </c>
      <c r="C1999" t="str">
        <f>"51.045"</f>
        <v>51.045</v>
      </c>
    </row>
    <row r="2000" spans="1:3" x14ac:dyDescent="0.25">
      <c r="A2000" t="str">
        <f>"12/09/2017"</f>
        <v>12/09/2017</v>
      </c>
      <c r="B2000" t="str">
        <f>"50.96"</f>
        <v>50.96</v>
      </c>
      <c r="C2000" t="str">
        <f>"51.045"</f>
        <v>51.045</v>
      </c>
    </row>
    <row r="2001" spans="1:3" x14ac:dyDescent="0.25">
      <c r="A2001" t="str">
        <f>"13/09/2017"</f>
        <v>13/09/2017</v>
      </c>
      <c r="B2001" t="str">
        <f>"51.025"</f>
        <v>51.025</v>
      </c>
      <c r="C2001" t="str">
        <f>"51.1185"</f>
        <v>51.1185</v>
      </c>
    </row>
    <row r="2002" spans="1:3" x14ac:dyDescent="0.25">
      <c r="A2002" t="str">
        <f>"14/09/2017"</f>
        <v>14/09/2017</v>
      </c>
      <c r="B2002" t="str">
        <f>"51.225"</f>
        <v>51.225</v>
      </c>
      <c r="C2002" t="str">
        <f>"51.31"</f>
        <v>51.31</v>
      </c>
    </row>
    <row r="2003" spans="1:3" x14ac:dyDescent="0.25">
      <c r="A2003" t="str">
        <f>"15/09/2017"</f>
        <v>15/09/2017</v>
      </c>
      <c r="B2003" t="str">
        <f>"51.23"</f>
        <v>51.23</v>
      </c>
      <c r="C2003" t="str">
        <f>"51.313"</f>
        <v>51.313</v>
      </c>
    </row>
    <row r="2004" spans="1:3" x14ac:dyDescent="0.25">
      <c r="A2004" t="str">
        <f>"18/09/2017"</f>
        <v>18/09/2017</v>
      </c>
      <c r="B2004" t="str">
        <f>"51.165"</f>
        <v>51.165</v>
      </c>
      <c r="C2004" t="str">
        <f>"51.248"</f>
        <v>51.248</v>
      </c>
    </row>
    <row r="2005" spans="1:3" x14ac:dyDescent="0.25">
      <c r="A2005" t="str">
        <f>"19/09/2017"</f>
        <v>19/09/2017</v>
      </c>
      <c r="B2005" t="str">
        <f>"50.965"</f>
        <v>50.965</v>
      </c>
      <c r="C2005" t="str">
        <f>"51.045"</f>
        <v>51.045</v>
      </c>
    </row>
    <row r="2006" spans="1:3" x14ac:dyDescent="0.25">
      <c r="A2006" t="str">
        <f>"20/09/2017"</f>
        <v>20/09/2017</v>
      </c>
      <c r="B2006" t="str">
        <f>"50.955"</f>
        <v>50.955</v>
      </c>
      <c r="C2006" t="str">
        <f>"51.037"</f>
        <v>51.037</v>
      </c>
    </row>
    <row r="2007" spans="1:3" x14ac:dyDescent="0.25">
      <c r="A2007" t="str">
        <f>"21/09/2017"</f>
        <v>21/09/2017</v>
      </c>
      <c r="B2007" t="str">
        <f>"51.08"</f>
        <v>51.08</v>
      </c>
      <c r="C2007" t="str">
        <f>"51.1635"</f>
        <v>51.1635</v>
      </c>
    </row>
    <row r="2008" spans="1:3" x14ac:dyDescent="0.25">
      <c r="A2008" t="str">
        <f>"22/09/2017"</f>
        <v>22/09/2017</v>
      </c>
      <c r="B2008" t="str">
        <f>"50.725"</f>
        <v>50.725</v>
      </c>
      <c r="C2008" t="str">
        <f>"50.8075"</f>
        <v>50.8075</v>
      </c>
    </row>
    <row r="2009" spans="1:3" x14ac:dyDescent="0.25">
      <c r="A2009" t="str">
        <f>"25/09/2017"</f>
        <v>25/09/2017</v>
      </c>
      <c r="B2009" t="str">
        <f>"50.725"</f>
        <v>50.725</v>
      </c>
      <c r="C2009" t="str">
        <f>"50.8075"</f>
        <v>50.8075</v>
      </c>
    </row>
    <row r="2010" spans="1:3" x14ac:dyDescent="0.25">
      <c r="A2010" t="str">
        <f>"26/09/2017"</f>
        <v>26/09/2017</v>
      </c>
      <c r="B2010" t="str">
        <f>"50.935"</f>
        <v>50.935</v>
      </c>
      <c r="C2010" t="str">
        <f>"51.014"</f>
        <v>51.014</v>
      </c>
    </row>
    <row r="2011" spans="1:3" x14ac:dyDescent="0.25">
      <c r="A2011" t="str">
        <f>"27/09/2017"</f>
        <v>27/09/2017</v>
      </c>
      <c r="B2011" t="str">
        <f>"51.04"</f>
        <v>51.04</v>
      </c>
      <c r="C2011" t="str">
        <f>"51.124"</f>
        <v>51.124</v>
      </c>
    </row>
    <row r="2012" spans="1:3" x14ac:dyDescent="0.25">
      <c r="A2012" t="str">
        <f>"28/09/2017"</f>
        <v>28/09/2017</v>
      </c>
      <c r="B2012" t="str">
        <f>"51.145"</f>
        <v>51.145</v>
      </c>
      <c r="C2012" t="str">
        <f>"51.227"</f>
        <v>51.227</v>
      </c>
    </row>
    <row r="2013" spans="1:3" x14ac:dyDescent="0.25">
      <c r="A2013" t="str">
        <f>"29/09/2017"</f>
        <v>29/09/2017</v>
      </c>
      <c r="B2013" t="str">
        <f>"50.83"</f>
        <v>50.83</v>
      </c>
      <c r="C2013" t="str">
        <f>"50.917"</f>
        <v>50.917</v>
      </c>
    </row>
    <row r="2014" spans="1:3" x14ac:dyDescent="0.25">
      <c r="A2014" t="str">
        <f>"03/10/2017"</f>
        <v>03/10/2017</v>
      </c>
      <c r="B2014" t="str">
        <f>"51.06"</f>
        <v>51.06</v>
      </c>
      <c r="C2014" t="str">
        <f>"51.148"</f>
        <v>51.148</v>
      </c>
    </row>
    <row r="2015" spans="1:3" x14ac:dyDescent="0.25">
      <c r="A2015" t="str">
        <f>"04/10/2017"</f>
        <v>04/10/2017</v>
      </c>
      <c r="B2015" t="str">
        <f>"51.01"</f>
        <v>51.01</v>
      </c>
      <c r="C2015" t="str">
        <f>"51.095"</f>
        <v>51.095</v>
      </c>
    </row>
    <row r="2016" spans="1:3" x14ac:dyDescent="0.25">
      <c r="A2016" t="str">
        <f>"05/10/2017"</f>
        <v>05/10/2017</v>
      </c>
      <c r="B2016" t="str">
        <f>"51.02"</f>
        <v>51.02</v>
      </c>
      <c r="C2016" t="str">
        <f>"51.098"</f>
        <v>51.098</v>
      </c>
    </row>
    <row r="2017" spans="1:3" x14ac:dyDescent="0.25">
      <c r="A2017" t="str">
        <f>"06/10/2017"</f>
        <v>06/10/2017</v>
      </c>
      <c r="B2017" t="str">
        <f>"51.175"</f>
        <v>51.175</v>
      </c>
      <c r="C2017" t="str">
        <f>"51.254"</f>
        <v>51.254</v>
      </c>
    </row>
    <row r="2018" spans="1:3" x14ac:dyDescent="0.25">
      <c r="A2018" t="str">
        <f>"09/10/2017"</f>
        <v>09/10/2017</v>
      </c>
      <c r="B2018" t="str">
        <f>"51.25"</f>
        <v>51.25</v>
      </c>
      <c r="C2018" t="str">
        <f>"51.331"</f>
        <v>51.331</v>
      </c>
    </row>
    <row r="2019" spans="1:3" x14ac:dyDescent="0.25">
      <c r="A2019" t="str">
        <f>"10/10/2017"</f>
        <v>10/10/2017</v>
      </c>
      <c r="B2019" t="str">
        <f>"51.45"</f>
        <v>51.45</v>
      </c>
      <c r="C2019" t="str">
        <f>"51.539"</f>
        <v>51.539</v>
      </c>
    </row>
    <row r="2020" spans="1:3" x14ac:dyDescent="0.25">
      <c r="A2020" t="str">
        <f>"11/10/2017"</f>
        <v>11/10/2017</v>
      </c>
      <c r="B2020" t="str">
        <f>"51.375"</f>
        <v>51.375</v>
      </c>
      <c r="C2020" t="str">
        <f>"51.468"</f>
        <v>51.468</v>
      </c>
    </row>
    <row r="2021" spans="1:3" x14ac:dyDescent="0.25">
      <c r="A2021" t="str">
        <f>"12/10/2017"</f>
        <v>12/10/2017</v>
      </c>
      <c r="B2021" t="str">
        <f>"51.45"</f>
        <v>51.45</v>
      </c>
      <c r="C2021" t="str">
        <f>"51.547"</f>
        <v>51.547</v>
      </c>
    </row>
    <row r="2022" spans="1:3" x14ac:dyDescent="0.25">
      <c r="A2022" t="str">
        <f>"13/10/2017"</f>
        <v>13/10/2017</v>
      </c>
      <c r="B2022" t="str">
        <f>"51.41"</f>
        <v>51.41</v>
      </c>
      <c r="C2022" t="str">
        <f>"51.5085"</f>
        <v>51.5085</v>
      </c>
    </row>
    <row r="2023" spans="1:3" x14ac:dyDescent="0.25">
      <c r="A2023" t="str">
        <f>"16/10/2017"</f>
        <v>16/10/2017</v>
      </c>
      <c r="B2023" t="str">
        <f>"51.41"</f>
        <v>51.41</v>
      </c>
      <c r="C2023" t="str">
        <f>"51.495"</f>
        <v>51.495</v>
      </c>
    </row>
    <row r="2024" spans="1:3" x14ac:dyDescent="0.25">
      <c r="A2024" t="str">
        <f>"17/10/2017"</f>
        <v>17/10/2017</v>
      </c>
      <c r="B2024" t="str">
        <f>"51.355"</f>
        <v>51.355</v>
      </c>
      <c r="C2024" t="str">
        <f>"51.458"</f>
        <v>51.458</v>
      </c>
    </row>
    <row r="2025" spans="1:3" x14ac:dyDescent="0.25">
      <c r="A2025" t="str">
        <f>"18/10/2017"</f>
        <v>18/10/2017</v>
      </c>
      <c r="B2025" t="str">
        <f>"51.41"</f>
        <v>51.41</v>
      </c>
      <c r="C2025" t="str">
        <f>"51.514"</f>
        <v>51.514</v>
      </c>
    </row>
    <row r="2026" spans="1:3" x14ac:dyDescent="0.25">
      <c r="A2026" t="str">
        <f>"23/10/2017"</f>
        <v>23/10/2017</v>
      </c>
      <c r="B2026" t="str">
        <f>"51.53"</f>
        <v>51.53</v>
      </c>
      <c r="C2026" t="str">
        <f>"51.63"</f>
        <v>51.63</v>
      </c>
    </row>
    <row r="2027" spans="1:3" x14ac:dyDescent="0.25">
      <c r="A2027" t="str">
        <f>"24/10/2017"</f>
        <v>24/10/2017</v>
      </c>
      <c r="B2027" t="str">
        <f>"51.60"</f>
        <v>51.60</v>
      </c>
      <c r="C2027" t="str">
        <f>"51.702"</f>
        <v>51.702</v>
      </c>
    </row>
    <row r="2028" spans="1:3" x14ac:dyDescent="0.25">
      <c r="A2028" t="str">
        <f>"25/10/2017"</f>
        <v>25/10/2017</v>
      </c>
      <c r="B2028" t="str">
        <f>"51.77"</f>
        <v>51.77</v>
      </c>
      <c r="C2028" t="str">
        <f>"51.8715"</f>
        <v>51.8715</v>
      </c>
    </row>
    <row r="2029" spans="1:3" x14ac:dyDescent="0.25">
      <c r="A2029" t="str">
        <f>"26/10/2017"</f>
        <v>26/10/2017</v>
      </c>
      <c r="B2029" t="str">
        <f>"51.77"</f>
        <v>51.77</v>
      </c>
      <c r="C2029" t="str">
        <f>"51.867"</f>
        <v>51.867</v>
      </c>
    </row>
    <row r="2030" spans="1:3" x14ac:dyDescent="0.25">
      <c r="A2030" t="str">
        <f>"27/10/2017"</f>
        <v>27/10/2017</v>
      </c>
      <c r="B2030" t="str">
        <f>"51.785"</f>
        <v>51.785</v>
      </c>
      <c r="C2030" t="str">
        <f>"51.8875"</f>
        <v>51.8875</v>
      </c>
    </row>
    <row r="2031" spans="1:3" x14ac:dyDescent="0.25">
      <c r="A2031" t="str">
        <f>"30/10/2017"</f>
        <v>30/10/2017</v>
      </c>
      <c r="B2031" t="str">
        <f>"51.63"</f>
        <v>51.63</v>
      </c>
      <c r="C2031" t="str">
        <f>"51.7365"</f>
        <v>51.7365</v>
      </c>
    </row>
    <row r="2032" spans="1:3" x14ac:dyDescent="0.25">
      <c r="A2032" t="str">
        <f>"31/10/2017"</f>
        <v>31/10/2017</v>
      </c>
      <c r="B2032" t="str">
        <f>"51.63"</f>
        <v>51.63</v>
      </c>
      <c r="C2032" t="str">
        <f>"51.738"</f>
        <v>51.738</v>
      </c>
    </row>
    <row r="2033" spans="1:3" x14ac:dyDescent="0.25">
      <c r="A2033" t="str">
        <f>"01/11/2017"</f>
        <v>01/11/2017</v>
      </c>
      <c r="B2033" t="str">
        <f>"51.63"</f>
        <v>51.63</v>
      </c>
      <c r="C2033" t="str">
        <f>"51.738"</f>
        <v>51.738</v>
      </c>
    </row>
    <row r="2034" spans="1:3" x14ac:dyDescent="0.25">
      <c r="A2034" t="str">
        <f>"02/11/2017"</f>
        <v>02/11/2017</v>
      </c>
      <c r="B2034" t="str">
        <f>"51.44"</f>
        <v>51.44</v>
      </c>
      <c r="C2034" t="str">
        <f>"51.5365"</f>
        <v>51.5365</v>
      </c>
    </row>
    <row r="2035" spans="1:3" x14ac:dyDescent="0.25">
      <c r="A2035" t="str">
        <f>"03/11/2017"</f>
        <v>03/11/2017</v>
      </c>
      <c r="B2035" t="str">
        <f>"51.22"</f>
        <v>51.22</v>
      </c>
      <c r="C2035" t="str">
        <f>"51.305"</f>
        <v>51.305</v>
      </c>
    </row>
    <row r="2036" spans="1:3" x14ac:dyDescent="0.25">
      <c r="A2036" t="str">
        <f>"06/11/2017"</f>
        <v>06/11/2017</v>
      </c>
      <c r="B2036" t="str">
        <f>"51.29"</f>
        <v>51.29</v>
      </c>
      <c r="C2036" t="str">
        <f>"51.39"</f>
        <v>51.39</v>
      </c>
    </row>
    <row r="2037" spans="1:3" x14ac:dyDescent="0.25">
      <c r="A2037" t="str">
        <f>"07/11/2017"</f>
        <v>07/11/2017</v>
      </c>
      <c r="B2037" t="str">
        <f>"51.36"</f>
        <v>51.36</v>
      </c>
      <c r="C2037" t="str">
        <f>"51.4535"</f>
        <v>51.4535</v>
      </c>
    </row>
    <row r="2038" spans="1:3" x14ac:dyDescent="0.25">
      <c r="A2038" t="str">
        <f>"08/11/2017"</f>
        <v>08/11/2017</v>
      </c>
      <c r="B2038" t="str">
        <f>"51.31"</f>
        <v>51.31</v>
      </c>
      <c r="C2038" t="str">
        <f>"51.4105"</f>
        <v>51.4105</v>
      </c>
    </row>
    <row r="2039" spans="1:3" x14ac:dyDescent="0.25">
      <c r="A2039" t="str">
        <f>"09/11/2017"</f>
        <v>09/11/2017</v>
      </c>
      <c r="B2039" t="str">
        <f>"51.27"</f>
        <v>51.27</v>
      </c>
      <c r="C2039" t="str">
        <f>"51.3665"</f>
        <v>51.3665</v>
      </c>
    </row>
    <row r="2040" spans="1:3" x14ac:dyDescent="0.25">
      <c r="A2040" t="str">
        <f>"10/11/2017"</f>
        <v>10/11/2017</v>
      </c>
      <c r="B2040" t="str">
        <f>"51.245"</f>
        <v>51.245</v>
      </c>
      <c r="C2040" t="str">
        <f>"51.335"</f>
        <v>51.335</v>
      </c>
    </row>
    <row r="2041" spans="1:3" x14ac:dyDescent="0.25">
      <c r="A2041" t="str">
        <f>"13/11/2017"</f>
        <v>13/11/2017</v>
      </c>
      <c r="B2041" t="str">
        <f>"51.21"</f>
        <v>51.21</v>
      </c>
      <c r="C2041" t="str">
        <f>"51.30"</f>
        <v>51.30</v>
      </c>
    </row>
    <row r="2042" spans="1:3" x14ac:dyDescent="0.25">
      <c r="A2042" t="str">
        <f>"14/11/2017"</f>
        <v>14/11/2017</v>
      </c>
      <c r="B2042" t="str">
        <f>"51.23"</f>
        <v>51.23</v>
      </c>
      <c r="C2042" t="str">
        <f>"51.325"</f>
        <v>51.325</v>
      </c>
    </row>
    <row r="2043" spans="1:3" x14ac:dyDescent="0.25">
      <c r="A2043" t="str">
        <f>"15/11/2017"</f>
        <v>15/11/2017</v>
      </c>
      <c r="B2043" t="str">
        <f>"51.04"</f>
        <v>51.04</v>
      </c>
      <c r="C2043" t="str">
        <f>"51.139"</f>
        <v>51.139</v>
      </c>
    </row>
    <row r="2044" spans="1:3" x14ac:dyDescent="0.25">
      <c r="A2044" t="str">
        <f>"16/11/2017"</f>
        <v>16/11/2017</v>
      </c>
      <c r="B2044" t="str">
        <f>"50.90"</f>
        <v>50.90</v>
      </c>
      <c r="C2044" t="str">
        <f>"50.995"</f>
        <v>50.995</v>
      </c>
    </row>
    <row r="2045" spans="1:3" x14ac:dyDescent="0.25">
      <c r="A2045" t="str">
        <f>"17/11/2017"</f>
        <v>17/11/2017</v>
      </c>
      <c r="B2045" t="str">
        <f>"50.85"</f>
        <v>50.85</v>
      </c>
      <c r="C2045" t="str">
        <f>"50.945"</f>
        <v>50.945</v>
      </c>
    </row>
    <row r="2046" spans="1:3" x14ac:dyDescent="0.25">
      <c r="A2046" t="str">
        <f>"20/11/2017"</f>
        <v>20/11/2017</v>
      </c>
      <c r="B2046" t="str">
        <f>"50.80"</f>
        <v>50.80</v>
      </c>
      <c r="C2046" t="str">
        <f>"50.892"</f>
        <v>50.892</v>
      </c>
    </row>
    <row r="2047" spans="1:3" x14ac:dyDescent="0.25">
      <c r="A2047" t="str">
        <f>"21/11/2017"</f>
        <v>21/11/2017</v>
      </c>
      <c r="B2047" t="str">
        <f>"50.76"</f>
        <v>50.76</v>
      </c>
      <c r="C2047" t="str">
        <f>"50.8525"</f>
        <v>50.8525</v>
      </c>
    </row>
    <row r="2048" spans="1:3" x14ac:dyDescent="0.25">
      <c r="A2048" t="str">
        <f>"22/11/2017"</f>
        <v>22/11/2017</v>
      </c>
      <c r="B2048" t="str">
        <f>"50.645"</f>
        <v>50.645</v>
      </c>
      <c r="C2048" t="str">
        <f>"50.745"</f>
        <v>50.745</v>
      </c>
    </row>
    <row r="2049" spans="1:3" x14ac:dyDescent="0.25">
      <c r="A2049" t="str">
        <f>"23/11/2017"</f>
        <v>23/11/2017</v>
      </c>
      <c r="B2049" t="str">
        <f>"50.68"</f>
        <v>50.68</v>
      </c>
      <c r="C2049" t="str">
        <f>"50.7775"</f>
        <v>50.7775</v>
      </c>
    </row>
    <row r="2050" spans="1:3" x14ac:dyDescent="0.25">
      <c r="A2050" t="str">
        <f>"24/11/2017"</f>
        <v>24/11/2017</v>
      </c>
      <c r="B2050" t="str">
        <f>"50.74"</f>
        <v>50.74</v>
      </c>
      <c r="C2050" t="str">
        <f>"50.8325"</f>
        <v>50.8325</v>
      </c>
    </row>
    <row r="2051" spans="1:3" x14ac:dyDescent="0.25">
      <c r="A2051" t="str">
        <f>"27/11/2017"</f>
        <v>27/11/2017</v>
      </c>
      <c r="B2051" t="str">
        <f>"50.53"</f>
        <v>50.53</v>
      </c>
      <c r="C2051" t="str">
        <f>"50.6225"</f>
        <v>50.6225</v>
      </c>
    </row>
    <row r="2052" spans="1:3" x14ac:dyDescent="0.25">
      <c r="A2052" t="str">
        <f>"28/11/2017"</f>
        <v>28/11/2017</v>
      </c>
      <c r="B2052" t="str">
        <f>"50.37"</f>
        <v>50.37</v>
      </c>
      <c r="C2052" t="str">
        <f>"50.458"</f>
        <v>50.458</v>
      </c>
    </row>
    <row r="2053" spans="1:3" x14ac:dyDescent="0.25">
      <c r="A2053" t="str">
        <f>"29/11/2017"</f>
        <v>29/11/2017</v>
      </c>
      <c r="B2053" t="str">
        <f>"50.27"</f>
        <v>50.27</v>
      </c>
      <c r="C2053" t="str">
        <f>"50.3675"</f>
        <v>50.3675</v>
      </c>
    </row>
    <row r="2054" spans="1:3" x14ac:dyDescent="0.25">
      <c r="A2054" t="str">
        <f>"30/11/2017"</f>
        <v>30/11/2017</v>
      </c>
      <c r="B2054" t="str">
        <f>"50.27"</f>
        <v>50.27</v>
      </c>
      <c r="C2054" t="str">
        <f>"50.364"</f>
        <v>50.364</v>
      </c>
    </row>
    <row r="2055" spans="1:3" x14ac:dyDescent="0.25">
      <c r="A2055" t="str">
        <f>"04/12/2017"</f>
        <v>04/12/2017</v>
      </c>
      <c r="B2055" t="str">
        <f>"50.555"</f>
        <v>50.555</v>
      </c>
      <c r="C2055" t="str">
        <f>"50.65"</f>
        <v>50.65</v>
      </c>
    </row>
    <row r="2056" spans="1:3" x14ac:dyDescent="0.25">
      <c r="A2056" t="str">
        <f>"05/12/2017"</f>
        <v>05/12/2017</v>
      </c>
      <c r="B2056" t="str">
        <f>"50.635"</f>
        <v>50.635</v>
      </c>
      <c r="C2056" t="str">
        <f>"50.755"</f>
        <v>50.755</v>
      </c>
    </row>
    <row r="2057" spans="1:3" x14ac:dyDescent="0.25">
      <c r="A2057" t="str">
        <f>"06/12/2017"</f>
        <v>06/12/2017</v>
      </c>
      <c r="B2057" t="str">
        <f>"50.71"</f>
        <v>50.71</v>
      </c>
      <c r="C2057" t="str">
        <f>"50.87"</f>
        <v>50.87</v>
      </c>
    </row>
    <row r="2058" spans="1:3" x14ac:dyDescent="0.25">
      <c r="A2058" t="str">
        <f>"07/12/2017"</f>
        <v>07/12/2017</v>
      </c>
      <c r="B2058" t="str">
        <f>"50.66"</f>
        <v>50.66</v>
      </c>
      <c r="C2058" t="str">
        <f>"50.795"</f>
        <v>50.795</v>
      </c>
    </row>
    <row r="2059" spans="1:3" x14ac:dyDescent="0.25">
      <c r="A2059" t="str">
        <f>"08/12/2017"</f>
        <v>08/12/2017</v>
      </c>
      <c r="B2059" t="str">
        <f>"50.52"</f>
        <v>50.52</v>
      </c>
      <c r="C2059" t="str">
        <f>"50.63"</f>
        <v>50.63</v>
      </c>
    </row>
    <row r="2060" spans="1:3" x14ac:dyDescent="0.25">
      <c r="A2060" t="str">
        <f>"11/12/2017"</f>
        <v>11/12/2017</v>
      </c>
      <c r="B2060" t="str">
        <f>"50.37"</f>
        <v>50.37</v>
      </c>
      <c r="C2060" t="str">
        <f>"50.485"</f>
        <v>50.485</v>
      </c>
    </row>
    <row r="2061" spans="1:3" x14ac:dyDescent="0.25">
      <c r="A2061" t="str">
        <f>"12/12/2017"</f>
        <v>12/12/2017</v>
      </c>
      <c r="B2061" t="str">
        <f>"50.525"</f>
        <v>50.525</v>
      </c>
      <c r="C2061" t="str">
        <f>"50.65"</f>
        <v>50.65</v>
      </c>
    </row>
    <row r="2062" spans="1:3" x14ac:dyDescent="0.25">
      <c r="A2062" t="str">
        <f>"13/12/2017"</f>
        <v>13/12/2017</v>
      </c>
      <c r="B2062" t="str">
        <f>"50.49"</f>
        <v>50.49</v>
      </c>
      <c r="C2062" t="str">
        <f>"50.605"</f>
        <v>50.605</v>
      </c>
    </row>
    <row r="2063" spans="1:3" x14ac:dyDescent="0.25">
      <c r="A2063" t="str">
        <f>"14/12/2017"</f>
        <v>14/12/2017</v>
      </c>
      <c r="B2063" t="str">
        <f>"50.47"</f>
        <v>50.47</v>
      </c>
      <c r="C2063" t="str">
        <f>"50.5745"</f>
        <v>50.5745</v>
      </c>
    </row>
    <row r="2064" spans="1:3" x14ac:dyDescent="0.25">
      <c r="A2064" t="str">
        <f>"15/12/2017"</f>
        <v>15/12/2017</v>
      </c>
      <c r="B2064" t="str">
        <f>"50.46"</f>
        <v>50.46</v>
      </c>
      <c r="C2064" t="str">
        <f>"50.575"</f>
        <v>50.575</v>
      </c>
    </row>
    <row r="2065" spans="1:3" x14ac:dyDescent="0.25">
      <c r="A2065" t="str">
        <f>"18/12/2017"</f>
        <v>18/12/2017</v>
      </c>
      <c r="B2065" t="str">
        <f>"50.482"</f>
        <v>50.482</v>
      </c>
      <c r="C2065" t="str">
        <f>"50.592"</f>
        <v>50.592</v>
      </c>
    </row>
    <row r="2066" spans="1:3" x14ac:dyDescent="0.25">
      <c r="A2066" t="str">
        <f>"19/12/2017"</f>
        <v>19/12/2017</v>
      </c>
      <c r="B2066" t="str">
        <f>"50.40"</f>
        <v>50.40</v>
      </c>
      <c r="C2066" t="str">
        <f>"50.5225"</f>
        <v>50.5225</v>
      </c>
    </row>
    <row r="2067" spans="1:3" x14ac:dyDescent="0.25">
      <c r="A2067" t="str">
        <f>"20/12/2017"</f>
        <v>20/12/2017</v>
      </c>
      <c r="B2067" t="str">
        <f>"50.30"</f>
        <v>50.30</v>
      </c>
      <c r="C2067" t="str">
        <f>"50.415"</f>
        <v>50.415</v>
      </c>
    </row>
    <row r="2068" spans="1:3" x14ac:dyDescent="0.25">
      <c r="A2068" t="str">
        <f>"21/12/2017"</f>
        <v>21/12/2017</v>
      </c>
      <c r="B2068" t="str">
        <f>"50.25"</f>
        <v>50.25</v>
      </c>
      <c r="C2068" t="str">
        <f>"50.345"</f>
        <v>50.345</v>
      </c>
    </row>
    <row r="2069" spans="1:3" x14ac:dyDescent="0.25">
      <c r="A2069" t="str">
        <f>"22/12/2017"</f>
        <v>22/12/2017</v>
      </c>
      <c r="B2069" t="str">
        <f>"50.15"</f>
        <v>50.15</v>
      </c>
      <c r="C2069" t="str">
        <f>"50.23"</f>
        <v>50.23</v>
      </c>
    </row>
    <row r="2070" spans="1:3" x14ac:dyDescent="0.25">
      <c r="A2070" t="str">
        <f>"26/12/2017"</f>
        <v>26/12/2017</v>
      </c>
      <c r="B2070" t="str">
        <f>"50.15"</f>
        <v>50.15</v>
      </c>
      <c r="C2070" t="str">
        <f>"50.23"</f>
        <v>50.23</v>
      </c>
    </row>
    <row r="2071" spans="1:3" x14ac:dyDescent="0.25">
      <c r="A2071" t="str">
        <f>"27/12/2017"</f>
        <v>27/12/2017</v>
      </c>
      <c r="B2071" t="str">
        <f>"50.05"</f>
        <v>50.05</v>
      </c>
      <c r="C2071" t="str">
        <f>"50.11"</f>
        <v>50.11</v>
      </c>
    </row>
    <row r="2072" spans="1:3" x14ac:dyDescent="0.25">
      <c r="A2072" t="str">
        <f>"28/12/2017"</f>
        <v>28/12/2017</v>
      </c>
      <c r="B2072" t="str">
        <f>"50.03"</f>
        <v>50.03</v>
      </c>
      <c r="C2072" t="str">
        <f>"50.085"</f>
        <v>50.085</v>
      </c>
    </row>
    <row r="2073" spans="1:3" x14ac:dyDescent="0.25">
      <c r="A2073" t="str">
        <f>"29/12/2017"</f>
        <v>29/12/2017</v>
      </c>
      <c r="B2073" t="str">
        <f>"49.93"</f>
        <v>49.93</v>
      </c>
      <c r="C2073" t="str">
        <f>"50.01"</f>
        <v>50.01</v>
      </c>
    </row>
    <row r="2074" spans="1:3" x14ac:dyDescent="0.25">
      <c r="A2074" t="str">
        <f>"02/01/2018"</f>
        <v>02/01/2018</v>
      </c>
      <c r="B2074" t="str">
        <f>"49.93"</f>
        <v>49.93</v>
      </c>
      <c r="C2074" t="str">
        <f>"50.01"</f>
        <v>50.01</v>
      </c>
    </row>
    <row r="2075" spans="1:3" x14ac:dyDescent="0.25">
      <c r="A2075" t="str">
        <f>"03/01/2018"</f>
        <v>03/01/2018</v>
      </c>
      <c r="B2075" t="str">
        <f>"49.82"</f>
        <v>49.82</v>
      </c>
      <c r="C2075" t="str">
        <f>"49.9025"</f>
        <v>49.9025</v>
      </c>
    </row>
    <row r="2076" spans="1:3" x14ac:dyDescent="0.25">
      <c r="A2076" t="str">
        <f>"04/01/2018"</f>
        <v>04/01/2018</v>
      </c>
      <c r="B2076" t="str">
        <f>"49.82"</f>
        <v>49.82</v>
      </c>
      <c r="C2076" t="str">
        <f>"49.8925"</f>
        <v>49.8925</v>
      </c>
    </row>
    <row r="2077" spans="1:3" x14ac:dyDescent="0.25">
      <c r="A2077" t="str">
        <f>"05/01/2018"</f>
        <v>05/01/2018</v>
      </c>
      <c r="B2077" t="str">
        <f>"49.87"</f>
        <v>49.87</v>
      </c>
      <c r="C2077" t="str">
        <f>"49.935"</f>
        <v>49.935</v>
      </c>
    </row>
    <row r="2078" spans="1:3" x14ac:dyDescent="0.25">
      <c r="A2078" t="str">
        <f>"08/01/2018"</f>
        <v>08/01/2018</v>
      </c>
      <c r="B2078" t="str">
        <f>"50.15"</f>
        <v>50.15</v>
      </c>
      <c r="C2078" t="str">
        <f>"50.213"</f>
        <v>50.213</v>
      </c>
    </row>
    <row r="2079" spans="1:3" x14ac:dyDescent="0.25">
      <c r="A2079" t="str">
        <f>"09/01/2018"</f>
        <v>09/01/2018</v>
      </c>
      <c r="B2079" t="str">
        <f>"50.30"</f>
        <v>50.30</v>
      </c>
      <c r="C2079" t="str">
        <f>"50.38"</f>
        <v>50.38</v>
      </c>
    </row>
    <row r="2080" spans="1:3" x14ac:dyDescent="0.25">
      <c r="A2080" t="str">
        <f>"10/01/2018"</f>
        <v>10/01/2018</v>
      </c>
      <c r="B2080" t="str">
        <f>"50.415"</f>
        <v>50.415</v>
      </c>
      <c r="C2080" t="str">
        <f>"50.49"</f>
        <v>50.49</v>
      </c>
    </row>
    <row r="2081" spans="1:3" x14ac:dyDescent="0.25">
      <c r="A2081" t="str">
        <f>"11/01/2018"</f>
        <v>11/01/2018</v>
      </c>
      <c r="B2081" t="str">
        <f>"50.40"</f>
        <v>50.40</v>
      </c>
      <c r="C2081" t="str">
        <f>"50.47"</f>
        <v>50.47</v>
      </c>
    </row>
    <row r="2082" spans="1:3" x14ac:dyDescent="0.25">
      <c r="A2082" t="str">
        <f>"12/01/2018"</f>
        <v>12/01/2018</v>
      </c>
      <c r="B2082" t="str">
        <f>"50.40"</f>
        <v>50.40</v>
      </c>
      <c r="C2082" t="str">
        <f>"50.465"</f>
        <v>50.465</v>
      </c>
    </row>
    <row r="2083" spans="1:3" x14ac:dyDescent="0.25">
      <c r="A2083" t="str">
        <f>"15/01/2018"</f>
        <v>15/01/2018</v>
      </c>
      <c r="B2083" t="str">
        <f>"50.38"</f>
        <v>50.38</v>
      </c>
      <c r="C2083" t="str">
        <f>"50.43"</f>
        <v>50.43</v>
      </c>
    </row>
    <row r="2084" spans="1:3" x14ac:dyDescent="0.25">
      <c r="A2084" t="str">
        <f>"16/01/2018"</f>
        <v>16/01/2018</v>
      </c>
      <c r="B2084" t="str">
        <f>"50.515"</f>
        <v>50.515</v>
      </c>
      <c r="C2084" t="str">
        <f>"50.5865"</f>
        <v>50.5865</v>
      </c>
    </row>
    <row r="2085" spans="1:3" x14ac:dyDescent="0.25">
      <c r="A2085" t="str">
        <f>"17/01/2018"</f>
        <v>17/01/2018</v>
      </c>
      <c r="B2085" t="str">
        <f>"50.74"</f>
        <v>50.74</v>
      </c>
      <c r="C2085" t="str">
        <f>"50.805"</f>
        <v>50.805</v>
      </c>
    </row>
    <row r="2086" spans="1:3" x14ac:dyDescent="0.25">
      <c r="A2086" t="str">
        <f>"18/01/2018"</f>
        <v>18/01/2018</v>
      </c>
      <c r="B2086" t="str">
        <f>"50.81"</f>
        <v>50.81</v>
      </c>
      <c r="C2086" t="str">
        <f>"50.875"</f>
        <v>50.875</v>
      </c>
    </row>
    <row r="2087" spans="1:3" x14ac:dyDescent="0.25">
      <c r="A2087" t="str">
        <f>"19/01/2018"</f>
        <v>19/01/2018</v>
      </c>
      <c r="B2087" t="str">
        <f>"50.73"</f>
        <v>50.73</v>
      </c>
      <c r="C2087" t="str">
        <f>"50.795"</f>
        <v>50.795</v>
      </c>
    </row>
    <row r="2088" spans="1:3" x14ac:dyDescent="0.25">
      <c r="A2088" t="str">
        <f>"22/01/2018"</f>
        <v>22/01/2018</v>
      </c>
      <c r="B2088" t="str">
        <f>"50.84"</f>
        <v>50.84</v>
      </c>
      <c r="C2088" t="str">
        <f>"50.922"</f>
        <v>50.922</v>
      </c>
    </row>
    <row r="2089" spans="1:3" x14ac:dyDescent="0.25">
      <c r="A2089" t="str">
        <f>"23/01/2018"</f>
        <v>23/01/2018</v>
      </c>
      <c r="B2089" t="str">
        <f>"51.12"</f>
        <v>51.12</v>
      </c>
      <c r="C2089" t="str">
        <f>"51.19"</f>
        <v>51.19</v>
      </c>
    </row>
    <row r="2090" spans="1:3" x14ac:dyDescent="0.25">
      <c r="A2090" t="str">
        <f>"24/01/2018"</f>
        <v>24/01/2018</v>
      </c>
      <c r="B2090" t="str">
        <f>"50.98"</f>
        <v>50.98</v>
      </c>
      <c r="C2090" t="str">
        <f>"51.05"</f>
        <v>51.05</v>
      </c>
    </row>
    <row r="2091" spans="1:3" x14ac:dyDescent="0.25">
      <c r="A2091" t="str">
        <f>"25/01/2018"</f>
        <v>25/01/2018</v>
      </c>
      <c r="B2091" t="str">
        <f>"50.81"</f>
        <v>50.81</v>
      </c>
      <c r="C2091" t="str">
        <f>"50.865"</f>
        <v>50.865</v>
      </c>
    </row>
    <row r="2092" spans="1:3" x14ac:dyDescent="0.25">
      <c r="A2092" t="str">
        <f>"29/01/2018"</f>
        <v>29/01/2018</v>
      </c>
      <c r="B2092" t="str">
        <f>"51.20"</f>
        <v>51.20</v>
      </c>
      <c r="C2092" t="str">
        <f>"51.2615"</f>
        <v>51.2615</v>
      </c>
    </row>
    <row r="2093" spans="1:3" x14ac:dyDescent="0.25">
      <c r="A2093" t="str">
        <f>"30/01/2018"</f>
        <v>30/01/2018</v>
      </c>
      <c r="B2093" t="str">
        <f>"51.43"</f>
        <v>51.43</v>
      </c>
      <c r="C2093" t="str">
        <f>"51.492"</f>
        <v>51.492</v>
      </c>
    </row>
    <row r="2094" spans="1:3" x14ac:dyDescent="0.25">
      <c r="A2094" t="str">
        <f>"31/01/2018"</f>
        <v>31/01/2018</v>
      </c>
      <c r="B2094" t="str">
        <f>"51.30"</f>
        <v>51.30</v>
      </c>
      <c r="C2094" t="str">
        <f>"51.365"</f>
        <v>51.365</v>
      </c>
    </row>
    <row r="2095" spans="1:3" x14ac:dyDescent="0.25">
      <c r="A2095" t="str">
        <f>"01/02/2018"</f>
        <v>01/02/2018</v>
      </c>
      <c r="B2095" t="str">
        <f>"51.59"</f>
        <v>51.59</v>
      </c>
      <c r="C2095" t="str">
        <f>"51.6725"</f>
        <v>51.6725</v>
      </c>
    </row>
    <row r="2096" spans="1:3" x14ac:dyDescent="0.25">
      <c r="A2096" t="str">
        <f>"02/02/2018"</f>
        <v>02/02/2018</v>
      </c>
      <c r="B2096" t="str">
        <f>"51.47"</f>
        <v>51.47</v>
      </c>
      <c r="C2096" t="str">
        <f>"51.5425"</f>
        <v>51.5425</v>
      </c>
    </row>
    <row r="2097" spans="1:3" x14ac:dyDescent="0.25">
      <c r="A2097" t="str">
        <f>"05/02/2018"</f>
        <v>05/02/2018</v>
      </c>
      <c r="B2097" t="str">
        <f>"51.52"</f>
        <v>51.52</v>
      </c>
      <c r="C2097" t="str">
        <f>"51.59"</f>
        <v>51.59</v>
      </c>
    </row>
    <row r="2098" spans="1:3" x14ac:dyDescent="0.25">
      <c r="A2098" t="str">
        <f>"06/02/2018"</f>
        <v>06/02/2018</v>
      </c>
      <c r="B2098" t="str">
        <f>"51.48"</f>
        <v>51.48</v>
      </c>
      <c r="C2098" t="str">
        <f>"51.555"</f>
        <v>51.555</v>
      </c>
    </row>
    <row r="2099" spans="1:3" x14ac:dyDescent="0.25">
      <c r="A2099" t="str">
        <f>"07/02/2018"</f>
        <v>07/02/2018</v>
      </c>
      <c r="B2099" t="str">
        <f>"51.14"</f>
        <v>51.14</v>
      </c>
      <c r="C2099" t="str">
        <f>"51.205"</f>
        <v>51.205</v>
      </c>
    </row>
    <row r="2100" spans="1:3" x14ac:dyDescent="0.25">
      <c r="A2100" t="str">
        <f>"08/02/2018"</f>
        <v>08/02/2018</v>
      </c>
      <c r="B2100" t="str">
        <f>"51.32"</f>
        <v>51.32</v>
      </c>
      <c r="C2100" t="str">
        <f>"51.383"</f>
        <v>51.383</v>
      </c>
    </row>
    <row r="2101" spans="1:3" x14ac:dyDescent="0.25">
      <c r="A2101" t="str">
        <f>"09/02/2018"</f>
        <v>09/02/2018</v>
      </c>
      <c r="B2101" t="str">
        <f>"51.51"</f>
        <v>51.51</v>
      </c>
      <c r="C2101" t="str">
        <f>"51.585"</f>
        <v>51.585</v>
      </c>
    </row>
    <row r="2102" spans="1:3" x14ac:dyDescent="0.25">
      <c r="A2102" t="str">
        <f>"12/02/2018"</f>
        <v>12/02/2018</v>
      </c>
      <c r="B2102" t="str">
        <f>"51.782"</f>
        <v>51.782</v>
      </c>
      <c r="C2102" t="str">
        <f>"51.842"</f>
        <v>51.842</v>
      </c>
    </row>
    <row r="2103" spans="1:3" x14ac:dyDescent="0.25">
      <c r="A2103" t="str">
        <f>"14/02/2018"</f>
        <v>14/02/2018</v>
      </c>
      <c r="B2103" t="str">
        <f>"52.14"</f>
        <v>52.14</v>
      </c>
      <c r="C2103" t="str">
        <f>"52.21"</f>
        <v>52.21</v>
      </c>
    </row>
    <row r="2104" spans="1:3" x14ac:dyDescent="0.25">
      <c r="A2104" t="str">
        <f>"15/02/2018"</f>
        <v>15/02/2018</v>
      </c>
      <c r="B2104" t="str">
        <f>"52.01"</f>
        <v>52.01</v>
      </c>
      <c r="C2104" t="str">
        <f>"52.075"</f>
        <v>52.075</v>
      </c>
    </row>
    <row r="2105" spans="1:3" x14ac:dyDescent="0.25">
      <c r="A2105" t="str">
        <f>"16/02/2018"</f>
        <v>16/02/2018</v>
      </c>
      <c r="B2105" t="str">
        <f>"52.01"</f>
        <v>52.01</v>
      </c>
      <c r="C2105" t="str">
        <f>"52.075"</f>
        <v>52.075</v>
      </c>
    </row>
    <row r="2106" spans="1:3" x14ac:dyDescent="0.25">
      <c r="A2106" t="str">
        <f>"20/02/2018"</f>
        <v>20/02/2018</v>
      </c>
      <c r="B2106" t="str">
        <f>"52.25"</f>
        <v>52.25</v>
      </c>
      <c r="C2106" t="str">
        <f>"52.317"</f>
        <v>52.317</v>
      </c>
    </row>
    <row r="2107" spans="1:3" x14ac:dyDescent="0.25">
      <c r="A2107" t="str">
        <f>"21/02/2018"</f>
        <v>21/02/2018</v>
      </c>
      <c r="B2107" t="str">
        <f>"52.13"</f>
        <v>52.13</v>
      </c>
      <c r="C2107" t="str">
        <f>"52.198"</f>
        <v>52.198</v>
      </c>
    </row>
    <row r="2108" spans="1:3" x14ac:dyDescent="0.25">
      <c r="A2108" t="str">
        <f>"22/02/2018"</f>
        <v>22/02/2018</v>
      </c>
      <c r="B2108" t="str">
        <f>"52.14"</f>
        <v>52.14</v>
      </c>
      <c r="C2108" t="str">
        <f>"52.216"</f>
        <v>52.216</v>
      </c>
    </row>
    <row r="2109" spans="1:3" x14ac:dyDescent="0.25">
      <c r="A2109" t="str">
        <f>"23/02/2018"</f>
        <v>23/02/2018</v>
      </c>
      <c r="B2109" t="str">
        <f>"51.91"</f>
        <v>51.91</v>
      </c>
      <c r="C2109" t="str">
        <f>"51.99"</f>
        <v>51.99</v>
      </c>
    </row>
    <row r="2110" spans="1:3" x14ac:dyDescent="0.25">
      <c r="A2110" t="str">
        <f>"26/02/2018"</f>
        <v>26/02/2018</v>
      </c>
      <c r="B2110" t="str">
        <f>"51.87"</f>
        <v>51.87</v>
      </c>
      <c r="C2110" t="str">
        <f>"51.9545"</f>
        <v>51.9545</v>
      </c>
    </row>
    <row r="2111" spans="1:3" x14ac:dyDescent="0.25">
      <c r="A2111" t="str">
        <f>"27/02/2018"</f>
        <v>27/02/2018</v>
      </c>
      <c r="B2111" t="str">
        <f>"52.06"</f>
        <v>52.06</v>
      </c>
      <c r="C2111" t="str">
        <f>"52.139"</f>
        <v>52.139</v>
      </c>
    </row>
    <row r="2112" spans="1:3" x14ac:dyDescent="0.25">
      <c r="A2112" t="str">
        <f>"28/02/2018"</f>
        <v>28/02/2018</v>
      </c>
      <c r="B2112" t="str">
        <f>"52.12"</f>
        <v>52.12</v>
      </c>
      <c r="C2112" t="str">
        <f>"52.212"</f>
        <v>52.212</v>
      </c>
    </row>
    <row r="2113" spans="1:3" x14ac:dyDescent="0.25">
      <c r="A2113" t="str">
        <f>"01/03/2018"</f>
        <v>01/03/2018</v>
      </c>
      <c r="B2113" t="str">
        <f>"51.93"</f>
        <v>51.93</v>
      </c>
      <c r="C2113" t="str">
        <f>"52.02"</f>
        <v>52.02</v>
      </c>
    </row>
    <row r="2114" spans="1:3" x14ac:dyDescent="0.25">
      <c r="A2114" t="str">
        <f>"05/03/2018"</f>
        <v>05/03/2018</v>
      </c>
      <c r="B2114" t="str">
        <f>"52.02"</f>
        <v>52.02</v>
      </c>
      <c r="C2114" t="str">
        <f>"52.1015"</f>
        <v>52.1015</v>
      </c>
    </row>
    <row r="2115" spans="1:3" x14ac:dyDescent="0.25">
      <c r="A2115" t="str">
        <f>"06/03/2018"</f>
        <v>06/03/2018</v>
      </c>
      <c r="B2115" t="str">
        <f>"52.01"</f>
        <v>52.01</v>
      </c>
      <c r="C2115" t="str">
        <f>"52.0995"</f>
        <v>52.0995</v>
      </c>
    </row>
    <row r="2116" spans="1:3" x14ac:dyDescent="0.25">
      <c r="A2116" t="str">
        <f>"07/03/2018"</f>
        <v>07/03/2018</v>
      </c>
      <c r="B2116" t="str">
        <f>"51.98"</f>
        <v>51.98</v>
      </c>
      <c r="C2116" t="str">
        <f>"52.064"</f>
        <v>52.064</v>
      </c>
    </row>
    <row r="2117" spans="1:3" x14ac:dyDescent="0.25">
      <c r="A2117" t="str">
        <f>"08/03/2018"</f>
        <v>08/03/2018</v>
      </c>
      <c r="B2117" t="str">
        <f>"52.05"</f>
        <v>52.05</v>
      </c>
      <c r="C2117" t="str">
        <f>"52.141"</f>
        <v>52.141</v>
      </c>
    </row>
    <row r="2118" spans="1:3" x14ac:dyDescent="0.25">
      <c r="A2118" t="str">
        <f>"09/03/2018"</f>
        <v>09/03/2018</v>
      </c>
      <c r="B2118" t="str">
        <f>"52.05"</f>
        <v>52.05</v>
      </c>
      <c r="C2118" t="str">
        <f>"52.14"</f>
        <v>52.14</v>
      </c>
    </row>
    <row r="2119" spans="1:3" x14ac:dyDescent="0.25">
      <c r="A2119" t="str">
        <f>"12/03/2018"</f>
        <v>12/03/2018</v>
      </c>
      <c r="B2119" t="str">
        <f>"52.06"</f>
        <v>52.06</v>
      </c>
      <c r="C2119" t="str">
        <f>"52.145"</f>
        <v>52.145</v>
      </c>
    </row>
    <row r="2120" spans="1:3" x14ac:dyDescent="0.25">
      <c r="A2120" t="str">
        <f>"13/03/2018"</f>
        <v>13/03/2018</v>
      </c>
      <c r="B2120" t="str">
        <f>"52.09"</f>
        <v>52.09</v>
      </c>
      <c r="C2120" t="str">
        <f>"52.1785"</f>
        <v>52.1785</v>
      </c>
    </row>
    <row r="2121" spans="1:3" x14ac:dyDescent="0.25">
      <c r="A2121" t="str">
        <f>"14/03/2018"</f>
        <v>14/03/2018</v>
      </c>
      <c r="B2121" t="str">
        <f>"52.09"</f>
        <v>52.09</v>
      </c>
      <c r="C2121" t="str">
        <f>"52.1815"</f>
        <v>52.1815</v>
      </c>
    </row>
    <row r="2122" spans="1:3" x14ac:dyDescent="0.25">
      <c r="A2122" t="str">
        <f>"15/03/2018"</f>
        <v>15/03/2018</v>
      </c>
      <c r="B2122" t="str">
        <f>"52.04"</f>
        <v>52.04</v>
      </c>
      <c r="C2122" t="str">
        <f>"52.122"</f>
        <v>52.122</v>
      </c>
    </row>
    <row r="2123" spans="1:3" x14ac:dyDescent="0.25">
      <c r="A2123" t="str">
        <f>"16/03/2018"</f>
        <v>16/03/2018</v>
      </c>
      <c r="B2123" t="str">
        <f>"51.94"</f>
        <v>51.94</v>
      </c>
      <c r="C2123" t="str">
        <f>"52.018"</f>
        <v>52.018</v>
      </c>
    </row>
    <row r="2124" spans="1:3" x14ac:dyDescent="0.25">
      <c r="A2124" t="str">
        <f>"19/03/2018"</f>
        <v>19/03/2018</v>
      </c>
      <c r="B2124" t="str">
        <f>"52.11"</f>
        <v>52.11</v>
      </c>
      <c r="C2124" t="str">
        <f>"52.19"</f>
        <v>52.19</v>
      </c>
    </row>
    <row r="2125" spans="1:3" x14ac:dyDescent="0.25">
      <c r="A2125" t="str">
        <f>"20/03/2018"</f>
        <v>20/03/2018</v>
      </c>
      <c r="B2125" t="str">
        <f>"52.10"</f>
        <v>52.10</v>
      </c>
      <c r="C2125" t="str">
        <f>"52.186"</f>
        <v>52.186</v>
      </c>
    </row>
    <row r="2126" spans="1:3" x14ac:dyDescent="0.25">
      <c r="A2126" t="str">
        <f>"21/03/2018"</f>
        <v>21/03/2018</v>
      </c>
      <c r="B2126" t="str">
        <f>"52.16"</f>
        <v>52.16</v>
      </c>
      <c r="C2126" t="str">
        <f>"52.244"</f>
        <v>52.244</v>
      </c>
    </row>
    <row r="2127" spans="1:3" x14ac:dyDescent="0.25">
      <c r="A2127" t="str">
        <f>"22/03/2018"</f>
        <v>22/03/2018</v>
      </c>
      <c r="B2127" t="str">
        <f>"52.20"</f>
        <v>52.20</v>
      </c>
      <c r="C2127" t="str">
        <f>"52.282"</f>
        <v>52.282</v>
      </c>
    </row>
    <row r="2128" spans="1:3" x14ac:dyDescent="0.25">
      <c r="A2128" t="str">
        <f>"23/03/2018"</f>
        <v>23/03/2018</v>
      </c>
      <c r="B2128" t="str">
        <f>"52.39"</f>
        <v>52.39</v>
      </c>
      <c r="C2128" t="str">
        <f>"52.47"</f>
        <v>52.47</v>
      </c>
    </row>
    <row r="2129" spans="1:3" x14ac:dyDescent="0.25">
      <c r="A2129" t="str">
        <f>"26/03/2018"</f>
        <v>26/03/2018</v>
      </c>
      <c r="B2129" t="str">
        <f>"52.268"</f>
        <v>52.268</v>
      </c>
      <c r="C2129" t="str">
        <f>"52.3455"</f>
        <v>52.3455</v>
      </c>
    </row>
    <row r="2130" spans="1:3" x14ac:dyDescent="0.25">
      <c r="A2130" t="str">
        <f>"27/03/2018"</f>
        <v>27/03/2018</v>
      </c>
      <c r="B2130" t="str">
        <f>"52.369"</f>
        <v>52.369</v>
      </c>
      <c r="C2130" t="str">
        <f>"52.446"</f>
        <v>52.446</v>
      </c>
    </row>
    <row r="2131" spans="1:3" x14ac:dyDescent="0.25">
      <c r="A2131" t="str">
        <f>"28/03/2018"</f>
        <v>28/03/2018</v>
      </c>
      <c r="B2131" t="str">
        <f>"52.20"</f>
        <v>52.20</v>
      </c>
      <c r="C2131" t="str">
        <f>"52.28"</f>
        <v>52.28</v>
      </c>
    </row>
    <row r="2132" spans="1:3" x14ac:dyDescent="0.25">
      <c r="A2132" t="str">
        <f>"03/04/2018"</f>
        <v>03/04/2018</v>
      </c>
      <c r="B2132" t="str">
        <f>"52.08"</f>
        <v>52.08</v>
      </c>
      <c r="C2132" t="str">
        <f>"52.156"</f>
        <v>52.156</v>
      </c>
    </row>
    <row r="2133" spans="1:3" x14ac:dyDescent="0.25">
      <c r="A2133" t="str">
        <f>"04/04/2018"</f>
        <v>04/04/2018</v>
      </c>
      <c r="B2133" t="str">
        <f>"52.17"</f>
        <v>52.17</v>
      </c>
      <c r="C2133" t="str">
        <f>"52.251"</f>
        <v>52.251</v>
      </c>
    </row>
    <row r="2134" spans="1:3" x14ac:dyDescent="0.25">
      <c r="A2134" t="str">
        <f>"05/04/2018"</f>
        <v>05/04/2018</v>
      </c>
      <c r="B2134" t="str">
        <f>"52.13"</f>
        <v>52.13</v>
      </c>
      <c r="C2134" t="str">
        <f>"52.212"</f>
        <v>52.212</v>
      </c>
    </row>
    <row r="2135" spans="1:3" x14ac:dyDescent="0.25">
      <c r="A2135" t="str">
        <f>"06/04/2018"</f>
        <v>06/04/2018</v>
      </c>
      <c r="B2135" t="str">
        <f>"52.135"</f>
        <v>52.135</v>
      </c>
      <c r="C2135" t="str">
        <f>"52.215"</f>
        <v>52.215</v>
      </c>
    </row>
    <row r="2136" spans="1:3" x14ac:dyDescent="0.25">
      <c r="A2136" t="str">
        <f>"09/04/2018"</f>
        <v>09/04/2018</v>
      </c>
      <c r="B2136" t="str">
        <f>"52.135"</f>
        <v>52.135</v>
      </c>
      <c r="C2136" t="str">
        <f>"52.215"</f>
        <v>52.215</v>
      </c>
    </row>
    <row r="2137" spans="1:3" x14ac:dyDescent="0.25">
      <c r="A2137" t="str">
        <f>"10/04/2018"</f>
        <v>10/04/2018</v>
      </c>
      <c r="B2137" t="str">
        <f>"52.045"</f>
        <v>52.045</v>
      </c>
      <c r="C2137" t="str">
        <f>"52.121"</f>
        <v>52.121</v>
      </c>
    </row>
    <row r="2138" spans="1:3" x14ac:dyDescent="0.25">
      <c r="A2138" t="str">
        <f>"11/04/2018"</f>
        <v>11/04/2018</v>
      </c>
      <c r="B2138" t="str">
        <f>"52.00"</f>
        <v>52.00</v>
      </c>
      <c r="C2138" t="str">
        <f>"52.076"</f>
        <v>52.076</v>
      </c>
    </row>
    <row r="2139" spans="1:3" x14ac:dyDescent="0.25">
      <c r="A2139" t="str">
        <f>"12/04/2018"</f>
        <v>12/04/2018</v>
      </c>
      <c r="B2139" t="str">
        <f>"52.045"</f>
        <v>52.045</v>
      </c>
      <c r="C2139" t="str">
        <f>"52.121"</f>
        <v>52.121</v>
      </c>
    </row>
    <row r="2140" spans="1:3" x14ac:dyDescent="0.25">
      <c r="A2140" t="str">
        <f>"13/04/2018"</f>
        <v>13/04/2018</v>
      </c>
      <c r="B2140" t="str">
        <f>"51.985"</f>
        <v>51.985</v>
      </c>
      <c r="C2140" t="str">
        <f>"52.061"</f>
        <v>52.061</v>
      </c>
    </row>
    <row r="2141" spans="1:3" x14ac:dyDescent="0.25">
      <c r="A2141" t="str">
        <f>"16/04/2018"</f>
        <v>16/04/2018</v>
      </c>
      <c r="B2141" t="str">
        <f>"52.14"</f>
        <v>52.14</v>
      </c>
      <c r="C2141" t="str">
        <f>"52.2145"</f>
        <v>52.2145</v>
      </c>
    </row>
    <row r="2142" spans="1:3" x14ac:dyDescent="0.25">
      <c r="A2142" t="str">
        <f>"17/04/2018"</f>
        <v>17/04/2018</v>
      </c>
      <c r="B2142" t="str">
        <f>"52.10"</f>
        <v>52.10</v>
      </c>
      <c r="C2142" t="str">
        <f>"52.174"</f>
        <v>52.174</v>
      </c>
    </row>
    <row r="2143" spans="1:3" x14ac:dyDescent="0.25">
      <c r="A2143" t="str">
        <f>"18/04/2018"</f>
        <v>18/04/2018</v>
      </c>
      <c r="B2143" t="str">
        <f>"52.125"</f>
        <v>52.125</v>
      </c>
      <c r="C2143" t="str">
        <f>"52.199"</f>
        <v>52.199</v>
      </c>
    </row>
    <row r="2144" spans="1:3" x14ac:dyDescent="0.25">
      <c r="A2144" t="str">
        <f>"19/04/2018"</f>
        <v>19/04/2018</v>
      </c>
      <c r="B2144" t="str">
        <f>"52.15"</f>
        <v>52.15</v>
      </c>
      <c r="C2144" t="str">
        <f>"52.223"</f>
        <v>52.223</v>
      </c>
    </row>
    <row r="2145" spans="1:3" x14ac:dyDescent="0.25">
      <c r="A2145" t="str">
        <f>"20/04/2018"</f>
        <v>20/04/2018</v>
      </c>
      <c r="B2145" t="str">
        <f>"52.10"</f>
        <v>52.10</v>
      </c>
      <c r="C2145" t="str">
        <f>"52.173"</f>
        <v>52.173</v>
      </c>
    </row>
    <row r="2146" spans="1:3" x14ac:dyDescent="0.25">
      <c r="A2146" t="str">
        <f>"23/04/2018"</f>
        <v>23/04/2018</v>
      </c>
      <c r="B2146" t="str">
        <f>"52.30"</f>
        <v>52.30</v>
      </c>
      <c r="C2146" t="str">
        <f>"52.375"</f>
        <v>52.375</v>
      </c>
    </row>
    <row r="2147" spans="1:3" x14ac:dyDescent="0.25">
      <c r="A2147" t="str">
        <f>"24/04/2018"</f>
        <v>24/04/2018</v>
      </c>
      <c r="B2147" t="str">
        <f>"52.345"</f>
        <v>52.345</v>
      </c>
      <c r="C2147" t="str">
        <f>"52.418"</f>
        <v>52.418</v>
      </c>
    </row>
    <row r="2148" spans="1:3" x14ac:dyDescent="0.25">
      <c r="A2148" t="str">
        <f>"25/04/2018"</f>
        <v>25/04/2018</v>
      </c>
      <c r="B2148" t="str">
        <f>"52.34"</f>
        <v>52.34</v>
      </c>
      <c r="C2148" t="str">
        <f>"52.423"</f>
        <v>52.423</v>
      </c>
    </row>
    <row r="2149" spans="1:3" x14ac:dyDescent="0.25">
      <c r="A2149" t="str">
        <f>"26/04/2018"</f>
        <v>26/04/2018</v>
      </c>
      <c r="B2149" t="str">
        <f>"52.188"</f>
        <v>52.188</v>
      </c>
      <c r="C2149" t="str">
        <f>"52.271"</f>
        <v>52.271</v>
      </c>
    </row>
    <row r="2150" spans="1:3" x14ac:dyDescent="0.25">
      <c r="A2150" t="str">
        <f>"27/04/2018"</f>
        <v>27/04/2018</v>
      </c>
      <c r="B2150" t="str">
        <f>"51.99"</f>
        <v>51.99</v>
      </c>
      <c r="C2150" t="str">
        <f>"52.07"</f>
        <v>52.07</v>
      </c>
    </row>
    <row r="2151" spans="1:3" x14ac:dyDescent="0.25">
      <c r="A2151" t="str">
        <f>"02/05/2018"</f>
        <v>02/05/2018</v>
      </c>
      <c r="B2151" t="str">
        <f>"51.875"</f>
        <v>51.875</v>
      </c>
      <c r="C2151" t="str">
        <f>"51.959"</f>
        <v>51.959</v>
      </c>
    </row>
    <row r="2152" spans="1:3" x14ac:dyDescent="0.25">
      <c r="A2152" t="str">
        <f>"03/05/2018"</f>
        <v>03/05/2018</v>
      </c>
      <c r="B2152" t="str">
        <f>"51.71"</f>
        <v>51.71</v>
      </c>
      <c r="C2152" t="str">
        <f>"51.79"</f>
        <v>51.79</v>
      </c>
    </row>
    <row r="2153" spans="1:3" x14ac:dyDescent="0.25">
      <c r="A2153" t="str">
        <f>"04/05/2018"</f>
        <v>04/05/2018</v>
      </c>
      <c r="B2153" t="str">
        <f>"51.69"</f>
        <v>51.69</v>
      </c>
      <c r="C2153" t="str">
        <f>"51.7785"</f>
        <v>51.7785</v>
      </c>
    </row>
    <row r="2154" spans="1:3" x14ac:dyDescent="0.25">
      <c r="A2154" t="str">
        <f>"07/05/2018"</f>
        <v>07/05/2018</v>
      </c>
      <c r="B2154" t="str">
        <f>"51.95"</f>
        <v>51.95</v>
      </c>
      <c r="C2154" t="str">
        <f>"52.031"</f>
        <v>52.031</v>
      </c>
    </row>
    <row r="2155" spans="1:3" x14ac:dyDescent="0.25">
      <c r="A2155" t="str">
        <f>"08/05/2018"</f>
        <v>08/05/2018</v>
      </c>
      <c r="B2155" t="str">
        <f>"51.90"</f>
        <v>51.90</v>
      </c>
      <c r="C2155" t="str">
        <f>"51.986"</f>
        <v>51.986</v>
      </c>
    </row>
    <row r="2156" spans="1:3" x14ac:dyDescent="0.25">
      <c r="A2156" t="str">
        <f>"09/05/2018"</f>
        <v>09/05/2018</v>
      </c>
      <c r="B2156" t="str">
        <f>"52.07"</f>
        <v>52.07</v>
      </c>
      <c r="C2156" t="str">
        <f>"52.155"</f>
        <v>52.155</v>
      </c>
    </row>
    <row r="2157" spans="1:3" x14ac:dyDescent="0.25">
      <c r="A2157" t="str">
        <f>"10/05/2018"</f>
        <v>10/05/2018</v>
      </c>
      <c r="B2157" t="str">
        <f>"51.97"</f>
        <v>51.97</v>
      </c>
      <c r="C2157" t="str">
        <f>"52.056"</f>
        <v>52.056</v>
      </c>
    </row>
    <row r="2158" spans="1:3" x14ac:dyDescent="0.25">
      <c r="A2158" t="str">
        <f>"11/05/2018"</f>
        <v>11/05/2018</v>
      </c>
      <c r="B2158" t="str">
        <f>"52.24"</f>
        <v>52.24</v>
      </c>
      <c r="C2158" t="str">
        <f>"52.326"</f>
        <v>52.326</v>
      </c>
    </row>
    <row r="2159" spans="1:3" x14ac:dyDescent="0.25">
      <c r="A2159" t="str">
        <f>"14/05/2018"</f>
        <v>14/05/2018</v>
      </c>
      <c r="B2159" t="str">
        <f>"52.24"</f>
        <v>52.24</v>
      </c>
      <c r="C2159" t="str">
        <f>"52.326"</f>
        <v>52.326</v>
      </c>
    </row>
    <row r="2160" spans="1:3" x14ac:dyDescent="0.25">
      <c r="A2160" t="str">
        <f>"15/05/2018"</f>
        <v>15/05/2018</v>
      </c>
      <c r="B2160" t="str">
        <f>"52.35"</f>
        <v>52.35</v>
      </c>
      <c r="C2160" t="str">
        <f>"52.444"</f>
        <v>52.444</v>
      </c>
    </row>
    <row r="2161" spans="1:3" x14ac:dyDescent="0.25">
      <c r="A2161" t="str">
        <f>"16/05/2018"</f>
        <v>16/05/2018</v>
      </c>
      <c r="B2161" t="str">
        <f>"52.30"</f>
        <v>52.30</v>
      </c>
      <c r="C2161" t="str">
        <f>"52.40"</f>
        <v>52.40</v>
      </c>
    </row>
    <row r="2162" spans="1:3" x14ac:dyDescent="0.25">
      <c r="A2162" t="str">
        <f>"17/05/2018"</f>
        <v>17/05/2018</v>
      </c>
      <c r="B2162" t="str">
        <f>"52.29"</f>
        <v>52.29</v>
      </c>
      <c r="C2162" t="str">
        <f>"52.387"</f>
        <v>52.387</v>
      </c>
    </row>
    <row r="2163" spans="1:3" x14ac:dyDescent="0.25">
      <c r="A2163" t="str">
        <f>"18/05/2018"</f>
        <v>18/05/2018</v>
      </c>
      <c r="B2163" t="str">
        <f>"52.36"</f>
        <v>52.36</v>
      </c>
      <c r="C2163" t="str">
        <f>"52.463"</f>
        <v>52.463</v>
      </c>
    </row>
    <row r="2164" spans="1:3" x14ac:dyDescent="0.25">
      <c r="A2164" t="str">
        <f>"21/05/2018"</f>
        <v>21/05/2018</v>
      </c>
      <c r="B2164" t="str">
        <f>"52.48"</f>
        <v>52.48</v>
      </c>
      <c r="C2164" t="str">
        <f>"52.58"</f>
        <v>52.58</v>
      </c>
    </row>
    <row r="2165" spans="1:3" x14ac:dyDescent="0.25">
      <c r="A2165" t="str">
        <f>"22/05/2018"</f>
        <v>22/05/2018</v>
      </c>
      <c r="B2165" t="str">
        <f>"52.315"</f>
        <v>52.315</v>
      </c>
      <c r="C2165" t="str">
        <f>"52.418"</f>
        <v>52.418</v>
      </c>
    </row>
    <row r="2166" spans="1:3" x14ac:dyDescent="0.25">
      <c r="A2166" t="str">
        <f>"23/05/2018"</f>
        <v>23/05/2018</v>
      </c>
      <c r="B2166" t="str">
        <f>"52.45"</f>
        <v>52.45</v>
      </c>
      <c r="C2166" t="str">
        <f>"52.546"</f>
        <v>52.546</v>
      </c>
    </row>
    <row r="2167" spans="1:3" x14ac:dyDescent="0.25">
      <c r="A2167" t="str">
        <f>"24/05/2018"</f>
        <v>24/05/2018</v>
      </c>
      <c r="B2167" t="str">
        <f>"52.60"</f>
        <v>52.60</v>
      </c>
      <c r="C2167" t="str">
        <f>"52.6905"</f>
        <v>52.6905</v>
      </c>
    </row>
    <row r="2168" spans="1:3" x14ac:dyDescent="0.25">
      <c r="A2168" t="str">
        <f>"25/05/2018"</f>
        <v>25/05/2018</v>
      </c>
      <c r="B2168" t="str">
        <f>"52.72"</f>
        <v>52.72</v>
      </c>
      <c r="C2168" t="str">
        <f>"52.814"</f>
        <v>52.814</v>
      </c>
    </row>
    <row r="2169" spans="1:3" x14ac:dyDescent="0.25">
      <c r="A2169" t="str">
        <f>"28/05/2018"</f>
        <v>28/05/2018</v>
      </c>
      <c r="B2169" t="str">
        <f>"52.53"</f>
        <v>52.53</v>
      </c>
      <c r="C2169" t="str">
        <f>"52.621"</f>
        <v>52.621</v>
      </c>
    </row>
    <row r="2170" spans="1:3" x14ac:dyDescent="0.25">
      <c r="A2170" t="str">
        <f>"29/05/2018"</f>
        <v>29/05/2018</v>
      </c>
      <c r="B2170" t="str">
        <f>"52.65"</f>
        <v>52.65</v>
      </c>
      <c r="C2170" t="str">
        <f>"52.739"</f>
        <v>52.739</v>
      </c>
    </row>
    <row r="2171" spans="1:3" x14ac:dyDescent="0.25">
      <c r="A2171" t="str">
        <f>"30/05/2018"</f>
        <v>30/05/2018</v>
      </c>
      <c r="B2171" t="str">
        <f>"52.74"</f>
        <v>52.74</v>
      </c>
      <c r="C2171" t="str">
        <f>"52.824"</f>
        <v>52.824</v>
      </c>
    </row>
    <row r="2172" spans="1:3" x14ac:dyDescent="0.25">
      <c r="A2172" t="str">
        <f>"31/05/2018"</f>
        <v>31/05/2018</v>
      </c>
      <c r="B2172" t="str">
        <f>"52.55"</f>
        <v>52.55</v>
      </c>
      <c r="C2172" t="str">
        <f>"52.641"</f>
        <v>52.641</v>
      </c>
    </row>
    <row r="2173" spans="1:3" x14ac:dyDescent="0.25">
      <c r="A2173" t="str">
        <f>"01/06/2018"</f>
        <v>01/06/2018</v>
      </c>
      <c r="B2173" t="str">
        <f>"52.58"</f>
        <v>52.58</v>
      </c>
      <c r="C2173" t="str">
        <f>"52.6765"</f>
        <v>52.6765</v>
      </c>
    </row>
    <row r="2174" spans="1:3" x14ac:dyDescent="0.25">
      <c r="A2174" t="str">
        <f>"04/06/2018"</f>
        <v>04/06/2018</v>
      </c>
      <c r="B2174" t="str">
        <f>"52.60"</f>
        <v>52.60</v>
      </c>
      <c r="C2174" t="str">
        <f>"52.695"</f>
        <v>52.695</v>
      </c>
    </row>
    <row r="2175" spans="1:3" x14ac:dyDescent="0.25">
      <c r="A2175" t="str">
        <f>"05/06/2018"</f>
        <v>05/06/2018</v>
      </c>
      <c r="B2175" t="str">
        <f>"52.41"</f>
        <v>52.41</v>
      </c>
      <c r="C2175" t="str">
        <f>"52.50"</f>
        <v>52.50</v>
      </c>
    </row>
    <row r="2176" spans="1:3" x14ac:dyDescent="0.25">
      <c r="A2176" t="str">
        <f>"06/06/2018"</f>
        <v>06/06/2018</v>
      </c>
      <c r="B2176" t="str">
        <f>"52.40"</f>
        <v>52.40</v>
      </c>
      <c r="C2176" t="str">
        <f>"52.49"</f>
        <v>52.49</v>
      </c>
    </row>
    <row r="2177" spans="1:3" x14ac:dyDescent="0.25">
      <c r="A2177" t="str">
        <f>"07/06/2018"</f>
        <v>07/06/2018</v>
      </c>
      <c r="B2177" t="str">
        <f>"52.54"</f>
        <v>52.54</v>
      </c>
      <c r="C2177" t="str">
        <f>"52.6265"</f>
        <v>52.6265</v>
      </c>
    </row>
    <row r="2178" spans="1:3" x14ac:dyDescent="0.25">
      <c r="A2178" t="str">
        <f>"08/06/2018"</f>
        <v>08/06/2018</v>
      </c>
      <c r="B2178" t="str">
        <f>"52.725"</f>
        <v>52.725</v>
      </c>
      <c r="C2178" t="str">
        <f>"52.809"</f>
        <v>52.809</v>
      </c>
    </row>
    <row r="2179" spans="1:3" x14ac:dyDescent="0.25">
      <c r="A2179" t="str">
        <f>"11/06/2018"</f>
        <v>11/06/2018</v>
      </c>
      <c r="B2179" t="str">
        <f>"52.95"</f>
        <v>52.95</v>
      </c>
      <c r="C2179" t="str">
        <f>"53.04"</f>
        <v>53.04</v>
      </c>
    </row>
    <row r="2180" spans="1:3" x14ac:dyDescent="0.25">
      <c r="A2180" t="str">
        <f>"12/06/2018"</f>
        <v>12/06/2018</v>
      </c>
      <c r="B2180" t="str">
        <f>"52.95"</f>
        <v>52.95</v>
      </c>
      <c r="C2180" t="str">
        <f>"53.04"</f>
        <v>53.04</v>
      </c>
    </row>
    <row r="2181" spans="1:3" x14ac:dyDescent="0.25">
      <c r="A2181" t="str">
        <f>"13/06/2018"</f>
        <v>13/06/2018</v>
      </c>
      <c r="B2181" t="str">
        <f>"53.265"</f>
        <v>53.265</v>
      </c>
      <c r="C2181" t="str">
        <f>"53.352"</f>
        <v>53.352</v>
      </c>
    </row>
    <row r="2182" spans="1:3" x14ac:dyDescent="0.25">
      <c r="A2182" t="str">
        <f>"14/06/2018"</f>
        <v>14/06/2018</v>
      </c>
      <c r="B2182" t="str">
        <f>"53.29"</f>
        <v>53.29</v>
      </c>
      <c r="C2182" t="str">
        <f>"53.373"</f>
        <v>53.373</v>
      </c>
    </row>
    <row r="2183" spans="1:3" x14ac:dyDescent="0.25">
      <c r="A2183" t="str">
        <f>"15/06/2018"</f>
        <v>15/06/2018</v>
      </c>
      <c r="B2183" t="str">
        <f>"53.29"</f>
        <v>53.29</v>
      </c>
      <c r="C2183" t="str">
        <f>"53.373"</f>
        <v>53.373</v>
      </c>
    </row>
    <row r="2184" spans="1:3" x14ac:dyDescent="0.25">
      <c r="A2184" t="str">
        <f>"18/06/2018"</f>
        <v>18/06/2018</v>
      </c>
      <c r="B2184" t="str">
        <f>"53.50"</f>
        <v>53.50</v>
      </c>
      <c r="C2184" t="str">
        <f>"53.585"</f>
        <v>53.585</v>
      </c>
    </row>
    <row r="2185" spans="1:3" x14ac:dyDescent="0.25">
      <c r="A2185" t="str">
        <f>"19/06/2018"</f>
        <v>19/06/2018</v>
      </c>
      <c r="B2185" t="str">
        <f>"53.47"</f>
        <v>53.47</v>
      </c>
      <c r="C2185" t="str">
        <f>"53.552"</f>
        <v>53.552</v>
      </c>
    </row>
    <row r="2186" spans="1:3" x14ac:dyDescent="0.25">
      <c r="A2186" t="str">
        <f>"20/06/2018"</f>
        <v>20/06/2018</v>
      </c>
      <c r="B2186" t="str">
        <f>"53.48"</f>
        <v>53.48</v>
      </c>
      <c r="C2186" t="str">
        <f>"53.565"</f>
        <v>53.565</v>
      </c>
    </row>
    <row r="2187" spans="1:3" x14ac:dyDescent="0.25">
      <c r="A2187" t="str">
        <f>"21/06/2018"</f>
        <v>21/06/2018</v>
      </c>
      <c r="B2187" t="str">
        <f>"53.47"</f>
        <v>53.47</v>
      </c>
      <c r="C2187" t="str">
        <f>"53.55"</f>
        <v>53.55</v>
      </c>
    </row>
    <row r="2188" spans="1:3" x14ac:dyDescent="0.25">
      <c r="A2188" t="str">
        <f>"22/06/2018"</f>
        <v>22/06/2018</v>
      </c>
      <c r="B2188" t="str">
        <f>"53.30"</f>
        <v>53.30</v>
      </c>
      <c r="C2188" t="str">
        <f>"53.379"</f>
        <v>53.379</v>
      </c>
    </row>
    <row r="2189" spans="1:3" x14ac:dyDescent="0.25">
      <c r="A2189" t="str">
        <f>"25/06/2018"</f>
        <v>25/06/2018</v>
      </c>
      <c r="B2189" t="str">
        <f>"53.46"</f>
        <v>53.46</v>
      </c>
      <c r="C2189" t="str">
        <f>"53.5345"</f>
        <v>53.5345</v>
      </c>
    </row>
    <row r="2190" spans="1:3" x14ac:dyDescent="0.25">
      <c r="A2190" t="str">
        <f>"26/06/2018"</f>
        <v>26/06/2018</v>
      </c>
      <c r="B2190" t="str">
        <f>"53.52"</f>
        <v>53.52</v>
      </c>
      <c r="C2190" t="str">
        <f>"53.589"</f>
        <v>53.589</v>
      </c>
    </row>
    <row r="2191" spans="1:3" x14ac:dyDescent="0.25">
      <c r="A2191" t="str">
        <f>"27/06/2018"</f>
        <v>27/06/2018</v>
      </c>
      <c r="B2191" t="str">
        <f>"53.495"</f>
        <v>53.495</v>
      </c>
      <c r="C2191" t="str">
        <f>"53.575"</f>
        <v>53.575</v>
      </c>
    </row>
    <row r="2192" spans="1:3" x14ac:dyDescent="0.25">
      <c r="A2192" t="str">
        <f>"28/06/2018"</f>
        <v>28/06/2018</v>
      </c>
      <c r="B2192" t="str">
        <f>"53.55"</f>
        <v>53.55</v>
      </c>
      <c r="C2192" t="str">
        <f>"53.63"</f>
        <v>53.63</v>
      </c>
    </row>
    <row r="2193" spans="1:3" x14ac:dyDescent="0.25">
      <c r="A2193" t="str">
        <f>"29/06/2018"</f>
        <v>29/06/2018</v>
      </c>
      <c r="B2193" t="str">
        <f>"53.36"</f>
        <v>53.36</v>
      </c>
      <c r="C2193" t="str">
        <f>"53.439"</f>
        <v>53.439</v>
      </c>
    </row>
    <row r="2194" spans="1:3" x14ac:dyDescent="0.25">
      <c r="A2194" t="str">
        <f>"02/07/2018"</f>
        <v>02/07/2018</v>
      </c>
      <c r="B2194" t="str">
        <f>"53.48"</f>
        <v>53.48</v>
      </c>
      <c r="C2194" t="str">
        <f>"53.5645"</f>
        <v>53.5645</v>
      </c>
    </row>
    <row r="2195" spans="1:3" x14ac:dyDescent="0.25">
      <c r="A2195" t="str">
        <f>"03/07/2018"</f>
        <v>03/07/2018</v>
      </c>
      <c r="B2195" t="str">
        <f>"53.39"</f>
        <v>53.39</v>
      </c>
      <c r="C2195" t="str">
        <f>"53.474"</f>
        <v>53.474</v>
      </c>
    </row>
    <row r="2196" spans="1:3" x14ac:dyDescent="0.25">
      <c r="A2196" t="str">
        <f>"04/07/2018"</f>
        <v>04/07/2018</v>
      </c>
      <c r="B2196" t="str">
        <f>"53.41"</f>
        <v>53.41</v>
      </c>
      <c r="C2196" t="str">
        <f>"53.495"</f>
        <v>53.495</v>
      </c>
    </row>
    <row r="2197" spans="1:3" x14ac:dyDescent="0.25">
      <c r="A2197" t="str">
        <f>"05/07/2018"</f>
        <v>05/07/2018</v>
      </c>
      <c r="B2197" t="str">
        <f>"53.44"</f>
        <v>53.44</v>
      </c>
      <c r="C2197" t="str">
        <f>"53.528"</f>
        <v>53.528</v>
      </c>
    </row>
    <row r="2198" spans="1:3" x14ac:dyDescent="0.25">
      <c r="A2198" t="str">
        <f>"06/07/2018"</f>
        <v>06/07/2018</v>
      </c>
      <c r="B2198" t="str">
        <f>"53.43"</f>
        <v>53.43</v>
      </c>
      <c r="C2198" t="str">
        <f>"53.517"</f>
        <v>53.517</v>
      </c>
    </row>
    <row r="2199" spans="1:3" x14ac:dyDescent="0.25">
      <c r="A2199" t="str">
        <f>"09/07/2018"</f>
        <v>09/07/2018</v>
      </c>
      <c r="B2199" t="str">
        <f>"53.45"</f>
        <v>53.45</v>
      </c>
      <c r="C2199" t="str">
        <f>"53.531"</f>
        <v>53.531</v>
      </c>
    </row>
    <row r="2200" spans="1:3" x14ac:dyDescent="0.25">
      <c r="A2200" t="str">
        <f>"10/07/2018"</f>
        <v>10/07/2018</v>
      </c>
      <c r="B2200" t="str">
        <f>"53.48"</f>
        <v>53.48</v>
      </c>
      <c r="C2200" t="str">
        <f>"53.568"</f>
        <v>53.568</v>
      </c>
    </row>
    <row r="2201" spans="1:3" x14ac:dyDescent="0.25">
      <c r="A2201" t="str">
        <f>"11/07/2018"</f>
        <v>11/07/2018</v>
      </c>
      <c r="B2201" t="str">
        <f>"53.515"</f>
        <v>53.515</v>
      </c>
      <c r="C2201" t="str">
        <f>"53.60"</f>
        <v>53.60</v>
      </c>
    </row>
    <row r="2202" spans="1:3" x14ac:dyDescent="0.25">
      <c r="A2202" t="str">
        <f>"12/07/2018"</f>
        <v>12/07/2018</v>
      </c>
      <c r="B2202" t="str">
        <f>"53.52"</f>
        <v>53.52</v>
      </c>
      <c r="C2202" t="str">
        <f>"53.603"</f>
        <v>53.603</v>
      </c>
    </row>
    <row r="2203" spans="1:3" x14ac:dyDescent="0.25">
      <c r="A2203" t="str">
        <f>"13/07/2018"</f>
        <v>13/07/2018</v>
      </c>
      <c r="B2203" t="str">
        <f>"53.54"</f>
        <v>53.54</v>
      </c>
      <c r="C2203" t="str">
        <f>"53.6235"</f>
        <v>53.6235</v>
      </c>
    </row>
    <row r="2204" spans="1:3" x14ac:dyDescent="0.25">
      <c r="A2204" t="str">
        <f>"16/07/2018"</f>
        <v>16/07/2018</v>
      </c>
      <c r="B2204" t="str">
        <f>"53.54"</f>
        <v>53.54</v>
      </c>
      <c r="C2204" t="str">
        <f>"53.623"</f>
        <v>53.623</v>
      </c>
    </row>
    <row r="2205" spans="1:3" x14ac:dyDescent="0.25">
      <c r="A2205" t="str">
        <f>"17/07/2018"</f>
        <v>17/07/2018</v>
      </c>
      <c r="B2205" t="str">
        <f>"53.40"</f>
        <v>53.40</v>
      </c>
      <c r="C2205" t="str">
        <f>"53.49"</f>
        <v>53.49</v>
      </c>
    </row>
    <row r="2206" spans="1:3" x14ac:dyDescent="0.25">
      <c r="A2206" t="str">
        <f>"18/07/2018"</f>
        <v>18/07/2018</v>
      </c>
      <c r="B2206" t="str">
        <f>"53.51"</f>
        <v>53.51</v>
      </c>
      <c r="C2206" t="str">
        <f>"53.593"</f>
        <v>53.593</v>
      </c>
    </row>
    <row r="2207" spans="1:3" x14ac:dyDescent="0.25">
      <c r="A2207" t="str">
        <f>"19/07/2018"</f>
        <v>19/07/2018</v>
      </c>
      <c r="B2207" t="str">
        <f>"53.56"</f>
        <v>53.56</v>
      </c>
      <c r="C2207" t="str">
        <f>"53.649"</f>
        <v>53.649</v>
      </c>
    </row>
    <row r="2208" spans="1:3" x14ac:dyDescent="0.25">
      <c r="A2208" t="str">
        <f>"20/07/2018"</f>
        <v>20/07/2018</v>
      </c>
      <c r="B2208" t="str">
        <f>"53.52"</f>
        <v>53.52</v>
      </c>
      <c r="C2208" t="str">
        <f>"53.60"</f>
        <v>53.60</v>
      </c>
    </row>
    <row r="2209" spans="1:3" x14ac:dyDescent="0.25">
      <c r="A2209" t="str">
        <f>"23/07/2018"</f>
        <v>23/07/2018</v>
      </c>
      <c r="B2209" t="str">
        <f>"53.49"</f>
        <v>53.49</v>
      </c>
      <c r="C2209" t="str">
        <f>"53.567"</f>
        <v>53.567</v>
      </c>
    </row>
    <row r="2210" spans="1:3" x14ac:dyDescent="0.25">
      <c r="A2210" t="str">
        <f>"24/07/2018"</f>
        <v>24/07/2018</v>
      </c>
      <c r="B2210" t="str">
        <f>"53.44"</f>
        <v>53.44</v>
      </c>
      <c r="C2210" t="str">
        <f>"53.5245"</f>
        <v>53.5245</v>
      </c>
    </row>
    <row r="2211" spans="1:3" x14ac:dyDescent="0.25">
      <c r="A2211" t="str">
        <f>"25/07/2018"</f>
        <v>25/07/2018</v>
      </c>
      <c r="B2211" t="str">
        <f>"53.42"</f>
        <v>53.42</v>
      </c>
      <c r="C2211" t="str">
        <f>"53.505"</f>
        <v>53.505</v>
      </c>
    </row>
    <row r="2212" spans="1:3" x14ac:dyDescent="0.25">
      <c r="A2212" t="str">
        <f>"26/07/2018"</f>
        <v>26/07/2018</v>
      </c>
      <c r="B2212" t="str">
        <f>"53.45"</f>
        <v>53.45</v>
      </c>
      <c r="C2212" t="str">
        <f>"53.53"</f>
        <v>53.53</v>
      </c>
    </row>
    <row r="2213" spans="1:3" x14ac:dyDescent="0.25">
      <c r="A2213" t="str">
        <f>"27/07/2018"</f>
        <v>27/07/2018</v>
      </c>
      <c r="B2213" t="str">
        <f>"53.325"</f>
        <v>53.325</v>
      </c>
      <c r="C2213" t="str">
        <f>"53.41"</f>
        <v>53.41</v>
      </c>
    </row>
    <row r="2214" spans="1:3" x14ac:dyDescent="0.25">
      <c r="A2214" t="str">
        <f>"30/07/2018"</f>
        <v>30/07/2018</v>
      </c>
      <c r="B2214" t="str">
        <f>"53.23"</f>
        <v>53.23</v>
      </c>
      <c r="C2214" t="str">
        <f>"53.31"</f>
        <v>53.31</v>
      </c>
    </row>
    <row r="2215" spans="1:3" x14ac:dyDescent="0.25">
      <c r="A2215" t="str">
        <f>"31/07/2018"</f>
        <v>31/07/2018</v>
      </c>
      <c r="B2215" t="str">
        <f>"53.128"</f>
        <v>53.128</v>
      </c>
      <c r="C2215" t="str">
        <f>"53.2115"</f>
        <v>53.2115</v>
      </c>
    </row>
    <row r="2216" spans="1:3" x14ac:dyDescent="0.25">
      <c r="A2216" t="str">
        <f>"01/08/2018"</f>
        <v>01/08/2018</v>
      </c>
      <c r="B2216" t="str">
        <f>"53.13"</f>
        <v>53.13</v>
      </c>
      <c r="C2216" t="str">
        <f>"53.205"</f>
        <v>53.205</v>
      </c>
    </row>
    <row r="2217" spans="1:3" x14ac:dyDescent="0.25">
      <c r="A2217" t="str">
        <f>"02/08/2018"</f>
        <v>02/08/2018</v>
      </c>
      <c r="B2217" t="str">
        <f>"53.11"</f>
        <v>53.11</v>
      </c>
      <c r="C2217" t="str">
        <f>"53.184"</f>
        <v>53.184</v>
      </c>
    </row>
    <row r="2218" spans="1:3" x14ac:dyDescent="0.25">
      <c r="A2218" t="str">
        <f>"03/08/2018"</f>
        <v>03/08/2018</v>
      </c>
      <c r="B2218" t="str">
        <f>"53.20"</f>
        <v>53.20</v>
      </c>
      <c r="C2218" t="str">
        <f>"53.284"</f>
        <v>53.284</v>
      </c>
    </row>
    <row r="2219" spans="1:3" x14ac:dyDescent="0.25">
      <c r="A2219" t="str">
        <f>"06/08/2018"</f>
        <v>06/08/2018</v>
      </c>
      <c r="B2219" t="str">
        <f>"52.86"</f>
        <v>52.86</v>
      </c>
      <c r="C2219" t="str">
        <f>"52.935"</f>
        <v>52.935</v>
      </c>
    </row>
    <row r="2220" spans="1:3" x14ac:dyDescent="0.25">
      <c r="A2220" t="str">
        <f>"07/08/2018"</f>
        <v>07/08/2018</v>
      </c>
      <c r="B2220" t="str">
        <f>"53.05"</f>
        <v>53.05</v>
      </c>
      <c r="C2220" t="str">
        <f>"53.125"</f>
        <v>53.125</v>
      </c>
    </row>
    <row r="2221" spans="1:3" x14ac:dyDescent="0.25">
      <c r="A2221" t="str">
        <f>"08/08/2018"</f>
        <v>08/08/2018</v>
      </c>
      <c r="B2221" t="str">
        <f>"53.09"</f>
        <v>53.09</v>
      </c>
      <c r="C2221" t="str">
        <f>"53.164"</f>
        <v>53.164</v>
      </c>
    </row>
    <row r="2222" spans="1:3" x14ac:dyDescent="0.25">
      <c r="A2222" t="str">
        <f>"09/08/2018"</f>
        <v>09/08/2018</v>
      </c>
      <c r="B2222" t="str">
        <f>"53.14"</f>
        <v>53.14</v>
      </c>
      <c r="C2222" t="str">
        <f>"53.224"</f>
        <v>53.224</v>
      </c>
    </row>
    <row r="2223" spans="1:3" x14ac:dyDescent="0.25">
      <c r="A2223" t="str">
        <f>"10/08/2018"</f>
        <v>10/08/2018</v>
      </c>
      <c r="B2223" t="str">
        <f>"53.185"</f>
        <v>53.185</v>
      </c>
      <c r="C2223" t="str">
        <f>"53.27"</f>
        <v>53.27</v>
      </c>
    </row>
    <row r="2224" spans="1:3" x14ac:dyDescent="0.25">
      <c r="A2224" t="str">
        <f>"13/08/2018"</f>
        <v>13/08/2018</v>
      </c>
      <c r="B2224" t="str">
        <f>"53.42"</f>
        <v>53.42</v>
      </c>
      <c r="C2224" t="str">
        <f>"53.496"</f>
        <v>53.496</v>
      </c>
    </row>
    <row r="2225" spans="1:3" x14ac:dyDescent="0.25">
      <c r="A2225" t="str">
        <f>"14/08/2018"</f>
        <v>14/08/2018</v>
      </c>
      <c r="B2225" t="str">
        <f>"53.43"</f>
        <v>53.43</v>
      </c>
      <c r="C2225" t="str">
        <f>"53.5145"</f>
        <v>53.5145</v>
      </c>
    </row>
    <row r="2226" spans="1:3" x14ac:dyDescent="0.25">
      <c r="A2226" t="str">
        <f>"16/08/2018"</f>
        <v>16/08/2018</v>
      </c>
      <c r="B2226" t="str">
        <f>"53.45"</f>
        <v>53.45</v>
      </c>
      <c r="C2226" t="str">
        <f>"53.528"</f>
        <v>53.528</v>
      </c>
    </row>
    <row r="2227" spans="1:3" x14ac:dyDescent="0.25">
      <c r="A2227" t="str">
        <f>"20/08/2018"</f>
        <v>20/08/2018</v>
      </c>
      <c r="B2227" t="str">
        <f>"53.40"</f>
        <v>53.40</v>
      </c>
      <c r="C2227" t="str">
        <f>"53.478"</f>
        <v>53.478</v>
      </c>
    </row>
    <row r="2228" spans="1:3" x14ac:dyDescent="0.25">
      <c r="A2228" t="str">
        <f>"21/08/2018"</f>
        <v>21/08/2018</v>
      </c>
      <c r="B2228" t="str">
        <f>"53.40"</f>
        <v>53.40</v>
      </c>
      <c r="C2228" t="str">
        <f>"53.478"</f>
        <v>53.478</v>
      </c>
    </row>
    <row r="2229" spans="1:3" x14ac:dyDescent="0.25">
      <c r="A2229" t="str">
        <f>"23/08/2018"</f>
        <v>23/08/2018</v>
      </c>
      <c r="B2229" t="str">
        <f>"53.505"</f>
        <v>53.505</v>
      </c>
      <c r="C2229" t="str">
        <f>"53.567"</f>
        <v>53.567</v>
      </c>
    </row>
    <row r="2230" spans="1:3" x14ac:dyDescent="0.25">
      <c r="A2230" t="str">
        <f>"24/08/2018"</f>
        <v>24/08/2018</v>
      </c>
      <c r="B2230" t="str">
        <f>"53.515"</f>
        <v>53.515</v>
      </c>
      <c r="C2230" t="str">
        <f>"53.58"</f>
        <v>53.58</v>
      </c>
    </row>
    <row r="2231" spans="1:3" x14ac:dyDescent="0.25">
      <c r="A2231" t="str">
        <f>"27/08/2018"</f>
        <v>27/08/2018</v>
      </c>
      <c r="B2231" t="str">
        <f>"53.515"</f>
        <v>53.515</v>
      </c>
      <c r="C2231" t="str">
        <f>"53.58"</f>
        <v>53.58</v>
      </c>
    </row>
    <row r="2232" spans="1:3" x14ac:dyDescent="0.25">
      <c r="A2232" t="str">
        <f>"28/08/2018"</f>
        <v>28/08/2018</v>
      </c>
      <c r="B2232" t="str">
        <f>"53.34"</f>
        <v>53.34</v>
      </c>
      <c r="C2232" t="str">
        <f>"53.395"</f>
        <v>53.395</v>
      </c>
    </row>
    <row r="2233" spans="1:3" x14ac:dyDescent="0.25">
      <c r="A2233" t="str">
        <f>"29/08/2018"</f>
        <v>29/08/2018</v>
      </c>
      <c r="B2233" t="str">
        <f>"53.51"</f>
        <v>53.51</v>
      </c>
      <c r="C2233" t="str">
        <f>"53.568"</f>
        <v>53.568</v>
      </c>
    </row>
    <row r="2234" spans="1:3" x14ac:dyDescent="0.25">
      <c r="A2234" t="str">
        <f>"30/08/2018"</f>
        <v>30/08/2018</v>
      </c>
      <c r="B2234" t="str">
        <f>"53.48"</f>
        <v>53.48</v>
      </c>
      <c r="C2234" t="str">
        <f>"53.543"</f>
        <v>53.543</v>
      </c>
    </row>
    <row r="2235" spans="1:3" x14ac:dyDescent="0.25">
      <c r="A2235" t="str">
        <f>"31/08/2018"</f>
        <v>31/08/2018</v>
      </c>
      <c r="B2235" t="str">
        <f>"53.525"</f>
        <v>53.525</v>
      </c>
      <c r="C2235" t="str">
        <f>"53.598"</f>
        <v>53.598</v>
      </c>
    </row>
    <row r="2236" spans="1:3" x14ac:dyDescent="0.25">
      <c r="A2236" t="str">
        <f>"03/09/2018"</f>
        <v>03/09/2018</v>
      </c>
      <c r="B2236" t="str">
        <f>"53.48"</f>
        <v>53.48</v>
      </c>
      <c r="C2236" t="str">
        <f>"53.55"</f>
        <v>53.55</v>
      </c>
    </row>
    <row r="2237" spans="1:3" x14ac:dyDescent="0.25">
      <c r="A2237" t="str">
        <f>"04/09/2018"</f>
        <v>04/09/2018</v>
      </c>
      <c r="B2237" t="str">
        <f>"53.585"</f>
        <v>53.585</v>
      </c>
      <c r="C2237" t="str">
        <f>"53.654"</f>
        <v>53.654</v>
      </c>
    </row>
    <row r="2238" spans="1:3" x14ac:dyDescent="0.25">
      <c r="A2238" t="str">
        <f>"05/09/2018"</f>
        <v>05/09/2018</v>
      </c>
      <c r="B2238" t="str">
        <f>"53.575"</f>
        <v>53.575</v>
      </c>
      <c r="C2238" t="str">
        <f>"53.663"</f>
        <v>53.663</v>
      </c>
    </row>
    <row r="2239" spans="1:3" x14ac:dyDescent="0.25">
      <c r="A2239" t="str">
        <f>"06/09/2018"</f>
        <v>06/09/2018</v>
      </c>
      <c r="B2239" t="str">
        <f>"53.828"</f>
        <v>53.828</v>
      </c>
      <c r="C2239" t="str">
        <f>"53.958"</f>
        <v>53.958</v>
      </c>
    </row>
    <row r="2240" spans="1:3" x14ac:dyDescent="0.25">
      <c r="A2240" t="str">
        <f>"07/09/2018"</f>
        <v>07/09/2018</v>
      </c>
      <c r="B2240" t="str">
        <f>"53.78"</f>
        <v>53.78</v>
      </c>
      <c r="C2240" t="str">
        <f>"53.89"</f>
        <v>53.89</v>
      </c>
    </row>
    <row r="2241" spans="1:3" x14ac:dyDescent="0.25">
      <c r="A2241" t="str">
        <f>"10/09/2018"</f>
        <v>10/09/2018</v>
      </c>
      <c r="B2241" t="str">
        <f>"53.93"</f>
        <v>53.93</v>
      </c>
      <c r="C2241" t="str">
        <f>"54.07"</f>
        <v>54.07</v>
      </c>
    </row>
    <row r="2242" spans="1:3" x14ac:dyDescent="0.25">
      <c r="A2242" t="str">
        <f>"11/09/2018"</f>
        <v>11/09/2018</v>
      </c>
      <c r="B2242" t="str">
        <f>"53.98"</f>
        <v>53.98</v>
      </c>
      <c r="C2242" t="str">
        <f>"54.10"</f>
        <v>54.10</v>
      </c>
    </row>
    <row r="2243" spans="1:3" x14ac:dyDescent="0.25">
      <c r="A2243" t="str">
        <f>"12/09/2018"</f>
        <v>12/09/2018</v>
      </c>
      <c r="B2243" t="str">
        <f>"54.18"</f>
        <v>54.18</v>
      </c>
      <c r="C2243" t="str">
        <f>"54.34"</f>
        <v>54.34</v>
      </c>
    </row>
    <row r="2244" spans="1:3" x14ac:dyDescent="0.25">
      <c r="A2244" t="str">
        <f>"14/09/2018"</f>
        <v>14/09/2018</v>
      </c>
      <c r="B2244" t="str">
        <f>"54.02"</f>
        <v>54.02</v>
      </c>
      <c r="C2244" t="str">
        <f>"54.145"</f>
        <v>54.145</v>
      </c>
    </row>
    <row r="2245" spans="1:3" x14ac:dyDescent="0.25">
      <c r="A2245" t="str">
        <f>"17/09/2018"</f>
        <v>17/09/2018</v>
      </c>
      <c r="B2245" t="str">
        <f>"54.16"</f>
        <v>54.16</v>
      </c>
      <c r="C2245" t="str">
        <f>"54.295"</f>
        <v>54.295</v>
      </c>
    </row>
    <row r="2246" spans="1:3" x14ac:dyDescent="0.25">
      <c r="A2246" t="str">
        <f>"18/09/2018"</f>
        <v>18/09/2018</v>
      </c>
      <c r="B2246" t="str">
        <f>"54.125"</f>
        <v>54.125</v>
      </c>
      <c r="C2246" t="str">
        <f>"54.24"</f>
        <v>54.24</v>
      </c>
    </row>
    <row r="2247" spans="1:3" x14ac:dyDescent="0.25">
      <c r="A2247" t="str">
        <f>"19/09/2018"</f>
        <v>19/09/2018</v>
      </c>
      <c r="B2247" t="str">
        <f>"54.04"</f>
        <v>54.04</v>
      </c>
      <c r="C2247" t="str">
        <f>"54.145"</f>
        <v>54.145</v>
      </c>
    </row>
    <row r="2248" spans="1:3" x14ac:dyDescent="0.25">
      <c r="A2248" t="str">
        <f>"21/09/2018"</f>
        <v>21/09/2018</v>
      </c>
      <c r="B2248" t="str">
        <f>"54.09"</f>
        <v>54.09</v>
      </c>
      <c r="C2248" t="str">
        <f>"54.2125"</f>
        <v>54.2125</v>
      </c>
    </row>
    <row r="2249" spans="1:3" x14ac:dyDescent="0.25">
      <c r="A2249" t="str">
        <f>"24/09/2018"</f>
        <v>24/09/2018</v>
      </c>
      <c r="B2249" t="str">
        <f>"54.28"</f>
        <v>54.28</v>
      </c>
      <c r="C2249" t="str">
        <f>"54.40"</f>
        <v>54.40</v>
      </c>
    </row>
    <row r="2250" spans="1:3" x14ac:dyDescent="0.25">
      <c r="A2250" t="str">
        <f>"25/09/2018"</f>
        <v>25/09/2018</v>
      </c>
      <c r="B2250" t="str">
        <f>"54.32"</f>
        <v>54.32</v>
      </c>
      <c r="C2250" t="str">
        <f>"54.45"</f>
        <v>54.45</v>
      </c>
    </row>
    <row r="2251" spans="1:3" x14ac:dyDescent="0.25">
      <c r="A2251" t="str">
        <f>"26/09/2018"</f>
        <v>26/09/2018</v>
      </c>
      <c r="B2251" t="str">
        <f>"54.33"</f>
        <v>54.33</v>
      </c>
      <c r="C2251" t="str">
        <f>"54.46"</f>
        <v>54.46</v>
      </c>
    </row>
    <row r="2252" spans="1:3" x14ac:dyDescent="0.25">
      <c r="A2252" t="str">
        <f>"27/09/2018"</f>
        <v>27/09/2018</v>
      </c>
      <c r="B2252" t="str">
        <f>"54.28"</f>
        <v>54.28</v>
      </c>
      <c r="C2252" t="str">
        <f>"54.417"</f>
        <v>54.417</v>
      </c>
    </row>
    <row r="2253" spans="1:3" x14ac:dyDescent="0.25">
      <c r="A2253" t="str">
        <f>"28/09/2018"</f>
        <v>28/09/2018</v>
      </c>
      <c r="B2253" t="str">
        <f>"54.07"</f>
        <v>54.07</v>
      </c>
      <c r="C2253" t="str">
        <f>"54.20"</f>
        <v>54.20</v>
      </c>
    </row>
    <row r="2254" spans="1:3" x14ac:dyDescent="0.25">
      <c r="A2254" t="str">
        <f>"01/10/2018"</f>
        <v>01/10/2018</v>
      </c>
      <c r="B2254" t="str">
        <f>"54.16"</f>
        <v>54.16</v>
      </c>
      <c r="C2254" t="str">
        <f>"54.29"</f>
        <v>54.29</v>
      </c>
    </row>
    <row r="2255" spans="1:3" x14ac:dyDescent="0.25">
      <c r="A2255" t="str">
        <f>"03/10/2018"</f>
        <v>03/10/2018</v>
      </c>
      <c r="B2255" t="str">
        <f>"54.20"</f>
        <v>54.20</v>
      </c>
      <c r="C2255" t="str">
        <f>"54.355"</f>
        <v>54.355</v>
      </c>
    </row>
    <row r="2256" spans="1:3" x14ac:dyDescent="0.25">
      <c r="A2256" t="str">
        <f>"04/10/2018"</f>
        <v>04/10/2018</v>
      </c>
      <c r="B2256" t="str">
        <f>"54.34"</f>
        <v>54.34</v>
      </c>
      <c r="C2256" t="str">
        <f>"54.495"</f>
        <v>54.495</v>
      </c>
    </row>
    <row r="2257" spans="1:3" x14ac:dyDescent="0.25">
      <c r="A2257" t="str">
        <f>"05/10/2018"</f>
        <v>05/10/2018</v>
      </c>
      <c r="B2257" t="str">
        <f>"54.25"</f>
        <v>54.25</v>
      </c>
      <c r="C2257" t="str">
        <f>"54.405"</f>
        <v>54.405</v>
      </c>
    </row>
    <row r="2258" spans="1:3" x14ac:dyDescent="0.25">
      <c r="A2258" t="str">
        <f>"08/10/2018"</f>
        <v>08/10/2018</v>
      </c>
      <c r="B2258" t="str">
        <f>"54.215"</f>
        <v>54.215</v>
      </c>
      <c r="C2258" t="str">
        <f>"54.355"</f>
        <v>54.355</v>
      </c>
    </row>
    <row r="2259" spans="1:3" x14ac:dyDescent="0.25">
      <c r="A2259" t="str">
        <f>"09/10/2018"</f>
        <v>09/10/2018</v>
      </c>
      <c r="B2259" t="str">
        <f>"54.29"</f>
        <v>54.29</v>
      </c>
      <c r="C2259" t="str">
        <f>"54.435"</f>
        <v>54.435</v>
      </c>
    </row>
    <row r="2260" spans="1:3" x14ac:dyDescent="0.25">
      <c r="A2260" t="str">
        <f>"10/10/2018"</f>
        <v>10/10/2018</v>
      </c>
      <c r="B2260" t="str">
        <f>"54.19"</f>
        <v>54.19</v>
      </c>
      <c r="C2260" t="str">
        <f>"54.325"</f>
        <v>54.325</v>
      </c>
    </row>
    <row r="2261" spans="1:3" x14ac:dyDescent="0.25">
      <c r="A2261" t="str">
        <f>"11/10/2018"</f>
        <v>11/10/2018</v>
      </c>
      <c r="B2261" t="str">
        <f>"54.23"</f>
        <v>54.23</v>
      </c>
      <c r="C2261" t="str">
        <f>"54.365"</f>
        <v>54.365</v>
      </c>
    </row>
    <row r="2262" spans="1:3" x14ac:dyDescent="0.25">
      <c r="A2262" t="str">
        <f>"12/10/2018"</f>
        <v>12/10/2018</v>
      </c>
      <c r="B2262" t="str">
        <f>"54.18"</f>
        <v>54.18</v>
      </c>
      <c r="C2262" t="str">
        <f>"54.312"</f>
        <v>54.312</v>
      </c>
    </row>
    <row r="2263" spans="1:3" x14ac:dyDescent="0.25">
      <c r="A2263" t="str">
        <f>"15/10/2018"</f>
        <v>15/10/2018</v>
      </c>
      <c r="B2263" t="str">
        <f>"54.10"</f>
        <v>54.10</v>
      </c>
      <c r="C2263" t="str">
        <f>"54.23"</f>
        <v>54.23</v>
      </c>
    </row>
    <row r="2264" spans="1:3" x14ac:dyDescent="0.25">
      <c r="A2264" t="str">
        <f>"16/10/2018"</f>
        <v>16/10/2018</v>
      </c>
      <c r="B2264" t="str">
        <f>"53.98"</f>
        <v>53.98</v>
      </c>
      <c r="C2264" t="str">
        <f>"54.10"</f>
        <v>54.10</v>
      </c>
    </row>
    <row r="2265" spans="1:3" x14ac:dyDescent="0.25">
      <c r="A2265" t="str">
        <f>"17/10/2018"</f>
        <v>17/10/2018</v>
      </c>
      <c r="B2265" t="str">
        <f>"53.91"</f>
        <v>53.91</v>
      </c>
      <c r="C2265" t="str">
        <f>"54.03"</f>
        <v>54.03</v>
      </c>
    </row>
    <row r="2266" spans="1:3" x14ac:dyDescent="0.25">
      <c r="A2266" t="str">
        <f>"19/10/2018"</f>
        <v>19/10/2018</v>
      </c>
      <c r="B2266" t="str">
        <f>"53.75"</f>
        <v>53.75</v>
      </c>
      <c r="C2266" t="str">
        <f>"53.86"</f>
        <v>53.86</v>
      </c>
    </row>
    <row r="2267" spans="1:3" x14ac:dyDescent="0.25">
      <c r="A2267" t="str">
        <f>"22/10/2018"</f>
        <v>22/10/2018</v>
      </c>
      <c r="B2267" t="str">
        <f>"53.815"</f>
        <v>53.815</v>
      </c>
      <c r="C2267" t="str">
        <f>"53.93"</f>
        <v>53.93</v>
      </c>
    </row>
    <row r="2268" spans="1:3" x14ac:dyDescent="0.25">
      <c r="A2268" t="str">
        <f>"23/10/2018"</f>
        <v>23/10/2018</v>
      </c>
      <c r="B2268" t="str">
        <f>"53.82"</f>
        <v>53.82</v>
      </c>
      <c r="C2268" t="str">
        <f>"53.94"</f>
        <v>53.94</v>
      </c>
    </row>
    <row r="2269" spans="1:3" x14ac:dyDescent="0.25">
      <c r="A2269" t="str">
        <f>"24/10/2018"</f>
        <v>24/10/2018</v>
      </c>
      <c r="B2269" t="str">
        <f>"53.775"</f>
        <v>53.775</v>
      </c>
      <c r="C2269" t="str">
        <f>"53.885"</f>
        <v>53.885</v>
      </c>
    </row>
    <row r="2270" spans="1:3" x14ac:dyDescent="0.25">
      <c r="A2270" t="str">
        <f>"25/10/2018"</f>
        <v>25/10/2018</v>
      </c>
      <c r="B2270" t="str">
        <f>"53.85"</f>
        <v>53.85</v>
      </c>
      <c r="C2270" t="str">
        <f>"53.945"</f>
        <v>53.945</v>
      </c>
    </row>
    <row r="2271" spans="1:3" x14ac:dyDescent="0.25">
      <c r="A2271" t="str">
        <f>"26/10/2018"</f>
        <v>26/10/2018</v>
      </c>
      <c r="B2271" t="str">
        <f>"53.69"</f>
        <v>53.69</v>
      </c>
      <c r="C2271" t="str">
        <f>"53.795"</f>
        <v>53.795</v>
      </c>
    </row>
    <row r="2272" spans="1:3" x14ac:dyDescent="0.25">
      <c r="A2272" t="str">
        <f>"29/10/2018"</f>
        <v>29/10/2018</v>
      </c>
      <c r="B2272" t="str">
        <f>"53.62"</f>
        <v>53.62</v>
      </c>
      <c r="C2272" t="str">
        <f>"53.715"</f>
        <v>53.715</v>
      </c>
    </row>
    <row r="2273" spans="1:3" x14ac:dyDescent="0.25">
      <c r="A2273" t="str">
        <f>"30/10/2018"</f>
        <v>30/10/2018</v>
      </c>
      <c r="B2273" t="str">
        <f>"53.66"</f>
        <v>53.66</v>
      </c>
      <c r="C2273" t="str">
        <f>"53.765"</f>
        <v>53.765</v>
      </c>
    </row>
    <row r="2274" spans="1:3" x14ac:dyDescent="0.25">
      <c r="A2274" t="str">
        <f>"31/10/2018"</f>
        <v>31/10/2018</v>
      </c>
      <c r="B2274" t="str">
        <f>"53.585"</f>
        <v>53.585</v>
      </c>
      <c r="C2274" t="str">
        <f>"53.70"</f>
        <v>53.70</v>
      </c>
    </row>
    <row r="2275" spans="1:3" x14ac:dyDescent="0.25">
      <c r="A2275" t="str">
        <f>"01/11/2018"</f>
        <v>01/11/2018</v>
      </c>
      <c r="B2275" t="str">
        <f>"53.585"</f>
        <v>53.585</v>
      </c>
      <c r="C2275" t="str">
        <f>"53.70"</f>
        <v>53.70</v>
      </c>
    </row>
    <row r="2276" spans="1:3" x14ac:dyDescent="0.25">
      <c r="A2276" t="str">
        <f>"02/11/2018"</f>
        <v>02/11/2018</v>
      </c>
      <c r="B2276" t="str">
        <f>"53.585"</f>
        <v>53.585</v>
      </c>
      <c r="C2276" t="str">
        <f>"53.70"</f>
        <v>53.70</v>
      </c>
    </row>
    <row r="2277" spans="1:3" x14ac:dyDescent="0.25">
      <c r="A2277" t="str">
        <f>"05/11/2018"</f>
        <v>05/11/2018</v>
      </c>
      <c r="B2277" t="str">
        <f>"53.27"</f>
        <v>53.27</v>
      </c>
      <c r="C2277" t="str">
        <f>"53.375"</f>
        <v>53.375</v>
      </c>
    </row>
    <row r="2278" spans="1:3" x14ac:dyDescent="0.25">
      <c r="A2278" t="str">
        <f>"06/11/2018"</f>
        <v>06/11/2018</v>
      </c>
      <c r="B2278" t="str">
        <f>"53.075"</f>
        <v>53.075</v>
      </c>
      <c r="C2278" t="str">
        <f>"53.185"</f>
        <v>53.185</v>
      </c>
    </row>
    <row r="2279" spans="1:3" x14ac:dyDescent="0.25">
      <c r="A2279" t="str">
        <f>"09/11/2018"</f>
        <v>09/11/2018</v>
      </c>
      <c r="B2279" t="str">
        <f>"52.94"</f>
        <v>52.94</v>
      </c>
      <c r="C2279" t="str">
        <f>"53.0625"</f>
        <v>53.0625</v>
      </c>
    </row>
    <row r="2280" spans="1:3" x14ac:dyDescent="0.25">
      <c r="A2280" t="str">
        <f>"12/11/2018"</f>
        <v>12/11/2018</v>
      </c>
      <c r="B2280" t="str">
        <f>"53.345"</f>
        <v>53.345</v>
      </c>
      <c r="C2280" t="str">
        <f>"53.4675"</f>
        <v>53.4675</v>
      </c>
    </row>
    <row r="2281" spans="1:3" x14ac:dyDescent="0.25">
      <c r="A2281" t="str">
        <f>"13/11/2018"</f>
        <v>13/11/2018</v>
      </c>
      <c r="B2281" t="str">
        <f>"53.11"</f>
        <v>53.11</v>
      </c>
      <c r="C2281" t="str">
        <f>"53.225"</f>
        <v>53.225</v>
      </c>
    </row>
    <row r="2282" spans="1:3" x14ac:dyDescent="0.25">
      <c r="A2282" t="str">
        <f>"14/11/2018"</f>
        <v>14/11/2018</v>
      </c>
      <c r="B2282" t="str">
        <f>"53.12"</f>
        <v>53.12</v>
      </c>
      <c r="C2282" t="str">
        <f>"53.2525"</f>
        <v>53.2525</v>
      </c>
    </row>
    <row r="2283" spans="1:3" x14ac:dyDescent="0.25">
      <c r="A2283" t="str">
        <f>"15/11/2018"</f>
        <v>15/11/2018</v>
      </c>
      <c r="B2283" t="str">
        <f>"52.855"</f>
        <v>52.855</v>
      </c>
      <c r="C2283" t="str">
        <f>"52.978"</f>
        <v>52.978</v>
      </c>
    </row>
    <row r="2284" spans="1:3" x14ac:dyDescent="0.25">
      <c r="A2284" t="str">
        <f>"16/11/2018"</f>
        <v>16/11/2018</v>
      </c>
      <c r="B2284" t="str">
        <f>"52.765"</f>
        <v>52.765</v>
      </c>
      <c r="C2284" t="str">
        <f>"52.875"</f>
        <v>52.875</v>
      </c>
    </row>
    <row r="2285" spans="1:3" x14ac:dyDescent="0.25">
      <c r="A2285" t="str">
        <f>"19/11/2018"</f>
        <v>19/11/2018</v>
      </c>
      <c r="B2285" t="str">
        <f>"52.62"</f>
        <v>52.62</v>
      </c>
      <c r="C2285" t="str">
        <f>"52.724"</f>
        <v>52.724</v>
      </c>
    </row>
    <row r="2286" spans="1:3" x14ac:dyDescent="0.25">
      <c r="A2286" t="str">
        <f>"20/11/2018"</f>
        <v>20/11/2018</v>
      </c>
      <c r="B2286" t="str">
        <f>"52.44"</f>
        <v>52.44</v>
      </c>
      <c r="C2286" t="str">
        <f>"52.54"</f>
        <v>52.54</v>
      </c>
    </row>
    <row r="2287" spans="1:3" x14ac:dyDescent="0.25">
      <c r="A2287" t="str">
        <f>"22/11/2018"</f>
        <v>22/11/2018</v>
      </c>
      <c r="B2287" t="str">
        <f>"52.43"</f>
        <v>52.43</v>
      </c>
      <c r="C2287" t="str">
        <f>"52.538"</f>
        <v>52.538</v>
      </c>
    </row>
    <row r="2288" spans="1:3" x14ac:dyDescent="0.25">
      <c r="A2288" t="str">
        <f>"26/11/2018"</f>
        <v>26/11/2018</v>
      </c>
      <c r="B2288" t="str">
        <f>"52.40"</f>
        <v>52.40</v>
      </c>
      <c r="C2288" t="str">
        <f>"52.51"</f>
        <v>52.51</v>
      </c>
    </row>
    <row r="2289" spans="1:3" x14ac:dyDescent="0.25">
      <c r="A2289" t="str">
        <f>"27/11/2018"</f>
        <v>27/11/2018</v>
      </c>
      <c r="B2289" t="str">
        <f>"52.655"</f>
        <v>52.655</v>
      </c>
      <c r="C2289" t="str">
        <f>"52.765"</f>
        <v>52.765</v>
      </c>
    </row>
    <row r="2290" spans="1:3" x14ac:dyDescent="0.25">
      <c r="A2290" t="str">
        <f>"28/11/2018"</f>
        <v>28/11/2018</v>
      </c>
      <c r="B2290" t="str">
        <f>"52.635"</f>
        <v>52.635</v>
      </c>
      <c r="C2290" t="str">
        <f>"52.7475"</f>
        <v>52.7475</v>
      </c>
    </row>
    <row r="2291" spans="1:3" x14ac:dyDescent="0.25">
      <c r="A2291" t="str">
        <f>"29/11/2018"</f>
        <v>29/11/2018</v>
      </c>
      <c r="B2291" t="str">
        <f>"52.50"</f>
        <v>52.50</v>
      </c>
      <c r="C2291" t="str">
        <f>"52.6125"</f>
        <v>52.6125</v>
      </c>
    </row>
    <row r="2292" spans="1:3" x14ac:dyDescent="0.25">
      <c r="A2292" t="str">
        <f>"30/11/2018"</f>
        <v>30/11/2018</v>
      </c>
      <c r="B2292" t="str">
        <f>"52.50"</f>
        <v>52.50</v>
      </c>
      <c r="C2292" t="str">
        <f>"52.6125"</f>
        <v>52.6125</v>
      </c>
    </row>
    <row r="2293" spans="1:3" x14ac:dyDescent="0.25">
      <c r="A2293" t="str">
        <f>"03/12/2018"</f>
        <v>03/12/2018</v>
      </c>
      <c r="B2293" t="str">
        <f>"52.37"</f>
        <v>52.37</v>
      </c>
      <c r="C2293" t="str">
        <f>"52.4775"</f>
        <v>52.4775</v>
      </c>
    </row>
    <row r="2294" spans="1:3" x14ac:dyDescent="0.25">
      <c r="A2294" t="str">
        <f>"04/12/2018"</f>
        <v>04/12/2018</v>
      </c>
      <c r="B2294" t="str">
        <f>"52.54"</f>
        <v>52.54</v>
      </c>
      <c r="C2294" t="str">
        <f>"52.635"</f>
        <v>52.635</v>
      </c>
    </row>
    <row r="2295" spans="1:3" x14ac:dyDescent="0.25">
      <c r="A2295" t="str">
        <f>"05/12/2018"</f>
        <v>05/12/2018</v>
      </c>
      <c r="B2295" t="str">
        <f>"52.75"</f>
        <v>52.75</v>
      </c>
      <c r="C2295" t="str">
        <f>"52.8525"</f>
        <v>52.8525</v>
      </c>
    </row>
    <row r="2296" spans="1:3" x14ac:dyDescent="0.25">
      <c r="A2296" t="str">
        <f>"06/12/2018"</f>
        <v>06/12/2018</v>
      </c>
      <c r="B2296" t="str">
        <f>"52.81"</f>
        <v>52.81</v>
      </c>
      <c r="C2296" t="str">
        <f>"52.915"</f>
        <v>52.915</v>
      </c>
    </row>
    <row r="2297" spans="1:3" x14ac:dyDescent="0.25">
      <c r="A2297" t="str">
        <f>"07/12/2018"</f>
        <v>07/12/2018</v>
      </c>
      <c r="B2297" t="str">
        <f>"52.76"</f>
        <v>52.76</v>
      </c>
      <c r="C2297" t="str">
        <f>"52.875"</f>
        <v>52.875</v>
      </c>
    </row>
    <row r="2298" spans="1:3" x14ac:dyDescent="0.25">
      <c r="A2298" t="str">
        <f>"10/12/2018"</f>
        <v>10/12/2018</v>
      </c>
      <c r="B2298" t="str">
        <f>"52.81"</f>
        <v>52.81</v>
      </c>
      <c r="C2298" t="str">
        <f>"52.925"</f>
        <v>52.925</v>
      </c>
    </row>
    <row r="2299" spans="1:3" x14ac:dyDescent="0.25">
      <c r="A2299" t="str">
        <f>"11/12/2018"</f>
        <v>11/12/2018</v>
      </c>
      <c r="B2299" t="str">
        <f>"52.795"</f>
        <v>52.795</v>
      </c>
      <c r="C2299" t="str">
        <f>"52.92"</f>
        <v>52.92</v>
      </c>
    </row>
    <row r="2300" spans="1:3" x14ac:dyDescent="0.25">
      <c r="A2300" t="str">
        <f>"12/12/2018"</f>
        <v>12/12/2018</v>
      </c>
      <c r="B2300" t="str">
        <f>"52.68"</f>
        <v>52.68</v>
      </c>
      <c r="C2300" t="str">
        <f>"52.805"</f>
        <v>52.805</v>
      </c>
    </row>
    <row r="2301" spans="1:3" x14ac:dyDescent="0.25">
      <c r="A2301" t="str">
        <f>"13/12/2018"</f>
        <v>13/12/2018</v>
      </c>
      <c r="B2301" t="str">
        <f>"52.68"</f>
        <v>52.68</v>
      </c>
      <c r="C2301" t="str">
        <f>"52.80"</f>
        <v>52.80</v>
      </c>
    </row>
    <row r="2302" spans="1:3" x14ac:dyDescent="0.25">
      <c r="A2302" t="str">
        <f>"14/12/2018"</f>
        <v>14/12/2018</v>
      </c>
      <c r="B2302" t="str">
        <f>"52.90"</f>
        <v>52.90</v>
      </c>
      <c r="C2302" t="str">
        <f>"53.028"</f>
        <v>53.028</v>
      </c>
    </row>
    <row r="2303" spans="1:3" x14ac:dyDescent="0.25">
      <c r="A2303" t="str">
        <f>"17/12/2018"</f>
        <v>17/12/2018</v>
      </c>
      <c r="B2303" t="str">
        <f>"52.995"</f>
        <v>52.995</v>
      </c>
      <c r="C2303" t="str">
        <f>"53.28"</f>
        <v>53.28</v>
      </c>
    </row>
    <row r="2304" spans="1:3" x14ac:dyDescent="0.25">
      <c r="A2304" t="str">
        <f>"18/12/2018"</f>
        <v>18/12/2018</v>
      </c>
      <c r="B2304" t="str">
        <f>"53.08"</f>
        <v>53.08</v>
      </c>
      <c r="C2304" t="str">
        <f>"53.30"</f>
        <v>53.30</v>
      </c>
    </row>
    <row r="2305" spans="1:3" x14ac:dyDescent="0.25">
      <c r="A2305" t="str">
        <f>"19/12/2018"</f>
        <v>19/12/2018</v>
      </c>
      <c r="B2305" t="str">
        <f>"53.085"</f>
        <v>53.085</v>
      </c>
      <c r="C2305" t="str">
        <f>"53.265"</f>
        <v>53.265</v>
      </c>
    </row>
    <row r="2306" spans="1:3" x14ac:dyDescent="0.25">
      <c r="A2306" t="str">
        <f>"20/12/2018"</f>
        <v>20/12/2018</v>
      </c>
      <c r="B2306" t="str">
        <f>"53.15"</f>
        <v>53.15</v>
      </c>
      <c r="C2306" t="str">
        <f>"53.38"</f>
        <v>53.38</v>
      </c>
    </row>
    <row r="2307" spans="1:3" x14ac:dyDescent="0.25">
      <c r="A2307" t="str">
        <f>"21/12/2018"</f>
        <v>21/12/2018</v>
      </c>
      <c r="B2307" t="str">
        <f>"52.91"</f>
        <v>52.91</v>
      </c>
      <c r="C2307" t="str">
        <f>"53.19"</f>
        <v>53.19</v>
      </c>
    </row>
    <row r="2308" spans="1:3" x14ac:dyDescent="0.25">
      <c r="A2308" t="str">
        <f>"24/12/2018"</f>
        <v>24/12/2018</v>
      </c>
      <c r="B2308" t="str">
        <f>"52.91"</f>
        <v>52.91</v>
      </c>
      <c r="C2308" t="str">
        <f>"53.19"</f>
        <v>53.19</v>
      </c>
    </row>
    <row r="2309" spans="1:3" x14ac:dyDescent="0.25">
      <c r="A2309" t="str">
        <f>"26/12/2018"</f>
        <v>26/12/2018</v>
      </c>
      <c r="B2309" t="str">
        <f>"52.91"</f>
        <v>52.91</v>
      </c>
      <c r="C2309" t="str">
        <f>"53.19"</f>
        <v>53.19</v>
      </c>
    </row>
    <row r="2310" spans="1:3" x14ac:dyDescent="0.25">
      <c r="A2310" t="str">
        <f>"27/12/2018"</f>
        <v>27/12/2018</v>
      </c>
      <c r="B2310" t="str">
        <f>"52.68"</f>
        <v>52.68</v>
      </c>
      <c r="C2310" t="str">
        <f>"52.955"</f>
        <v>52.955</v>
      </c>
    </row>
    <row r="2311" spans="1:3" x14ac:dyDescent="0.25">
      <c r="A2311" t="str">
        <f>"28/12/2018"</f>
        <v>28/12/2018</v>
      </c>
      <c r="B2311" t="str">
        <f>"52.59"</f>
        <v>52.59</v>
      </c>
      <c r="C2311" t="str">
        <f>"52.79"</f>
        <v>52.79</v>
      </c>
    </row>
    <row r="2312" spans="1:3" x14ac:dyDescent="0.25">
      <c r="A2312" t="str">
        <f>"31/12/2018"</f>
        <v>31/12/2018</v>
      </c>
      <c r="B2312" t="str">
        <f>"52.63"</f>
        <v>52.63</v>
      </c>
      <c r="C2312" t="str">
        <f>"52.81"</f>
        <v>52.81</v>
      </c>
    </row>
    <row r="2313" spans="1:3" x14ac:dyDescent="0.25">
      <c r="A2313" t="str">
        <f>"01/01/2019"</f>
        <v>01/01/2019</v>
      </c>
      <c r="B2313" t="str">
        <f>"52.63"</f>
        <v>52.63</v>
      </c>
      <c r="C2313" t="str">
        <f>"52.81"</f>
        <v>52.81</v>
      </c>
    </row>
    <row r="2314" spans="1:3" x14ac:dyDescent="0.25">
      <c r="A2314" t="str">
        <f>"02/01/2019"</f>
        <v>02/01/2019</v>
      </c>
      <c r="B2314" t="str">
        <f>"52.565"</f>
        <v>52.565</v>
      </c>
      <c r="C2314" t="str">
        <f>"52.705"</f>
        <v>52.705</v>
      </c>
    </row>
    <row r="2315" spans="1:3" x14ac:dyDescent="0.25">
      <c r="A2315" t="str">
        <f>"03/01/2019"</f>
        <v>03/01/2019</v>
      </c>
      <c r="B2315" t="str">
        <f>"52.70"</f>
        <v>52.70</v>
      </c>
      <c r="C2315" t="str">
        <f>"52.83"</f>
        <v>52.83</v>
      </c>
    </row>
    <row r="2316" spans="1:3" x14ac:dyDescent="0.25">
      <c r="A2316" t="str">
        <f>"04/01/2019"</f>
        <v>04/01/2019</v>
      </c>
      <c r="B2316" t="str">
        <f>"52.525"</f>
        <v>52.525</v>
      </c>
      <c r="C2316" t="str">
        <f>"52.6575"</f>
        <v>52.6575</v>
      </c>
    </row>
    <row r="2317" spans="1:3" x14ac:dyDescent="0.25">
      <c r="A2317" t="str">
        <f>"07/01/2019"</f>
        <v>07/01/2019</v>
      </c>
      <c r="B2317" t="str">
        <f>"52.43"</f>
        <v>52.43</v>
      </c>
      <c r="C2317" t="str">
        <f>"52.5575"</f>
        <v>52.5575</v>
      </c>
    </row>
    <row r="2318" spans="1:3" x14ac:dyDescent="0.25">
      <c r="A2318" t="str">
        <f>"08/01/2019"</f>
        <v>08/01/2019</v>
      </c>
      <c r="B2318" t="str">
        <f>"52.52"</f>
        <v>52.52</v>
      </c>
      <c r="C2318" t="str">
        <f>"52.651"</f>
        <v>52.651</v>
      </c>
    </row>
    <row r="2319" spans="1:3" x14ac:dyDescent="0.25">
      <c r="A2319" t="str">
        <f>"09/01/2019"</f>
        <v>09/01/2019</v>
      </c>
      <c r="B2319" t="str">
        <f>"52.35"</f>
        <v>52.35</v>
      </c>
      <c r="C2319" t="str">
        <f>"52.4725"</f>
        <v>52.4725</v>
      </c>
    </row>
    <row r="2320" spans="1:3" x14ac:dyDescent="0.25">
      <c r="A2320" t="str">
        <f>"10/01/2019"</f>
        <v>10/01/2019</v>
      </c>
      <c r="B2320" t="str">
        <f>"52.275"</f>
        <v>52.275</v>
      </c>
      <c r="C2320" t="str">
        <f>"52.385"</f>
        <v>52.385</v>
      </c>
    </row>
    <row r="2321" spans="1:3" x14ac:dyDescent="0.25">
      <c r="A2321" t="str">
        <f>"11/01/2019"</f>
        <v>11/01/2019</v>
      </c>
      <c r="B2321" t="str">
        <f>"52.19"</f>
        <v>52.19</v>
      </c>
      <c r="C2321" t="str">
        <f>"52.3125"</f>
        <v>52.3125</v>
      </c>
    </row>
    <row r="2322" spans="1:3" x14ac:dyDescent="0.25">
      <c r="A2322" t="str">
        <f>"14/01/2019"</f>
        <v>14/01/2019</v>
      </c>
      <c r="B2322" t="str">
        <f>"52.31"</f>
        <v>52.31</v>
      </c>
      <c r="C2322" t="str">
        <f>"52.44"</f>
        <v>52.44</v>
      </c>
    </row>
    <row r="2323" spans="1:3" x14ac:dyDescent="0.25">
      <c r="A2323" t="str">
        <f>"15/01/2019"</f>
        <v>15/01/2019</v>
      </c>
      <c r="B2323" t="str">
        <f>"52.08"</f>
        <v>52.08</v>
      </c>
      <c r="C2323" t="str">
        <f>"52.2125"</f>
        <v>52.2125</v>
      </c>
    </row>
    <row r="2324" spans="1:3" x14ac:dyDescent="0.25">
      <c r="A2324" t="str">
        <f>"16/01/2019"</f>
        <v>16/01/2019</v>
      </c>
      <c r="B2324" t="str">
        <f>"52.18"</f>
        <v>52.18</v>
      </c>
      <c r="C2324" t="str">
        <f>"52.298"</f>
        <v>52.298</v>
      </c>
    </row>
    <row r="2325" spans="1:3" x14ac:dyDescent="0.25">
      <c r="A2325" t="str">
        <f>"17/01/2019"</f>
        <v>17/01/2019</v>
      </c>
      <c r="B2325" t="str">
        <f>"52.46"</f>
        <v>52.46</v>
      </c>
      <c r="C2325" t="str">
        <f>"52.59"</f>
        <v>52.59</v>
      </c>
    </row>
    <row r="2326" spans="1:3" x14ac:dyDescent="0.25">
      <c r="A2326" t="str">
        <f>"18/01/2019"</f>
        <v>18/01/2019</v>
      </c>
      <c r="B2326" t="str">
        <f>"52.565"</f>
        <v>52.565</v>
      </c>
      <c r="C2326" t="str">
        <f>"52.695"</f>
        <v>52.695</v>
      </c>
    </row>
    <row r="2327" spans="1:3" x14ac:dyDescent="0.25">
      <c r="A2327" t="str">
        <f>"21/01/2019"</f>
        <v>21/01/2019</v>
      </c>
      <c r="B2327" t="str">
        <f>"52.81"</f>
        <v>52.81</v>
      </c>
      <c r="C2327" t="str">
        <f>"52.955"</f>
        <v>52.955</v>
      </c>
    </row>
    <row r="2328" spans="1:3" x14ac:dyDescent="0.25">
      <c r="A2328" t="str">
        <f>"22/01/2019"</f>
        <v>22/01/2019</v>
      </c>
      <c r="B2328" t="str">
        <f>"52.98"</f>
        <v>52.98</v>
      </c>
      <c r="C2328" t="str">
        <f>"53.125"</f>
        <v>53.125</v>
      </c>
    </row>
    <row r="2329" spans="1:3" x14ac:dyDescent="0.25">
      <c r="A2329" t="str">
        <f>"23/01/2019"</f>
        <v>23/01/2019</v>
      </c>
      <c r="B2329" t="str">
        <f>"52.80"</f>
        <v>52.80</v>
      </c>
      <c r="C2329" t="str">
        <f>"52.9475"</f>
        <v>52.9475</v>
      </c>
    </row>
    <row r="2330" spans="1:3" x14ac:dyDescent="0.25">
      <c r="A2330" t="str">
        <f>"24/01/2019"</f>
        <v>24/01/2019</v>
      </c>
      <c r="B2330" t="str">
        <f>"52.88"</f>
        <v>52.88</v>
      </c>
      <c r="C2330" t="str">
        <f>"53.01"</f>
        <v>53.01</v>
      </c>
    </row>
    <row r="2331" spans="1:3" x14ac:dyDescent="0.25">
      <c r="A2331" t="str">
        <f>"25/01/2019"</f>
        <v>25/01/2019</v>
      </c>
      <c r="B2331" t="str">
        <f>"52.55"</f>
        <v>52.55</v>
      </c>
      <c r="C2331" t="str">
        <f>"52.685"</f>
        <v>52.685</v>
      </c>
    </row>
    <row r="2332" spans="1:3" x14ac:dyDescent="0.25">
      <c r="A2332" t="str">
        <f>"28/01/2019"</f>
        <v>28/01/2019</v>
      </c>
      <c r="B2332" t="str">
        <f>"52.58"</f>
        <v>52.58</v>
      </c>
      <c r="C2332" t="str">
        <f>"52.725"</f>
        <v>52.725</v>
      </c>
    </row>
    <row r="2333" spans="1:3" x14ac:dyDescent="0.25">
      <c r="A2333" t="str">
        <f>"29/01/2019"</f>
        <v>29/01/2019</v>
      </c>
      <c r="B2333" t="str">
        <f>"52.46"</f>
        <v>52.46</v>
      </c>
      <c r="C2333" t="str">
        <f>"52.595"</f>
        <v>52.595</v>
      </c>
    </row>
    <row r="2334" spans="1:3" x14ac:dyDescent="0.25">
      <c r="A2334" t="str">
        <f>"30/01/2019"</f>
        <v>30/01/2019</v>
      </c>
      <c r="B2334" t="str">
        <f>"52.43"</f>
        <v>52.43</v>
      </c>
      <c r="C2334" t="str">
        <f>"52.555"</f>
        <v>52.555</v>
      </c>
    </row>
    <row r="2335" spans="1:3" x14ac:dyDescent="0.25">
      <c r="A2335" t="str">
        <f>"31/01/2019"</f>
        <v>31/01/2019</v>
      </c>
      <c r="B2335" t="str">
        <f>"52.12"</f>
        <v>52.12</v>
      </c>
      <c r="C2335" t="str">
        <f>"52.237"</f>
        <v>52.237</v>
      </c>
    </row>
    <row r="2336" spans="1:3" x14ac:dyDescent="0.25">
      <c r="A2336" t="str">
        <f>"01/02/2019"</f>
        <v>01/02/2019</v>
      </c>
      <c r="B2336" t="str">
        <f>"52.24"</f>
        <v>52.24</v>
      </c>
      <c r="C2336" t="str">
        <f>"52.36"</f>
        <v>52.36</v>
      </c>
    </row>
    <row r="2337" spans="1:3" x14ac:dyDescent="0.25">
      <c r="A2337" t="str">
        <f>"04/02/2019"</f>
        <v>04/02/2019</v>
      </c>
      <c r="B2337" t="str">
        <f>"52.41"</f>
        <v>52.41</v>
      </c>
      <c r="C2337" t="str">
        <f>"52.535"</f>
        <v>52.535</v>
      </c>
    </row>
    <row r="2338" spans="1:3" x14ac:dyDescent="0.25">
      <c r="A2338" t="str">
        <f>"05/02/2019"</f>
        <v>05/02/2019</v>
      </c>
      <c r="B2338" t="str">
        <f>"52.41"</f>
        <v>52.41</v>
      </c>
      <c r="C2338" t="str">
        <f>"52.535"</f>
        <v>52.535</v>
      </c>
    </row>
    <row r="2339" spans="1:3" x14ac:dyDescent="0.25">
      <c r="A2339" t="str">
        <f>"06/02/2019"</f>
        <v>06/02/2019</v>
      </c>
      <c r="B2339" t="str">
        <f>"52.32"</f>
        <v>52.32</v>
      </c>
      <c r="C2339" t="str">
        <f>"52.44"</f>
        <v>52.44</v>
      </c>
    </row>
    <row r="2340" spans="1:3" x14ac:dyDescent="0.25">
      <c r="A2340" t="str">
        <f>"07/02/2019"</f>
        <v>07/02/2019</v>
      </c>
      <c r="B2340" t="str">
        <f>"52.26"</f>
        <v>52.26</v>
      </c>
      <c r="C2340" t="str">
        <f>"52.375"</f>
        <v>52.375</v>
      </c>
    </row>
    <row r="2341" spans="1:3" x14ac:dyDescent="0.25">
      <c r="A2341" t="str">
        <f>"08/02/2019"</f>
        <v>08/02/2019</v>
      </c>
      <c r="B2341" t="str">
        <f>"52.08"</f>
        <v>52.08</v>
      </c>
      <c r="C2341" t="str">
        <f>"52.19"</f>
        <v>52.19</v>
      </c>
    </row>
    <row r="2342" spans="1:3" x14ac:dyDescent="0.25">
      <c r="A2342" t="str">
        <f>"11/02/2019"</f>
        <v>11/02/2019</v>
      </c>
      <c r="B2342" t="str">
        <f>"52.15"</f>
        <v>52.15</v>
      </c>
      <c r="C2342" t="str">
        <f>"52.265"</f>
        <v>52.265</v>
      </c>
    </row>
    <row r="2343" spans="1:3" x14ac:dyDescent="0.25">
      <c r="A2343" t="str">
        <f>"12/02/2019"</f>
        <v>12/02/2019</v>
      </c>
      <c r="B2343" t="str">
        <f>"52.225"</f>
        <v>52.225</v>
      </c>
      <c r="C2343" t="str">
        <f>"52.34"</f>
        <v>52.34</v>
      </c>
    </row>
    <row r="2344" spans="1:3" x14ac:dyDescent="0.25">
      <c r="A2344" t="str">
        <f>"13/02/2019"</f>
        <v>13/02/2019</v>
      </c>
      <c r="B2344" t="str">
        <f>"52.13"</f>
        <v>52.13</v>
      </c>
      <c r="C2344" t="str">
        <f>"52.238"</f>
        <v>52.238</v>
      </c>
    </row>
    <row r="2345" spans="1:3" x14ac:dyDescent="0.25">
      <c r="A2345" t="str">
        <f>"14/02/2019"</f>
        <v>14/02/2019</v>
      </c>
      <c r="B2345" t="str">
        <f>"52.38"</f>
        <v>52.38</v>
      </c>
      <c r="C2345" t="str">
        <f>"52.495"</f>
        <v>52.495</v>
      </c>
    </row>
    <row r="2346" spans="1:3" x14ac:dyDescent="0.25">
      <c r="A2346" t="str">
        <f>"15/02/2019"</f>
        <v>15/02/2019</v>
      </c>
      <c r="B2346" t="str">
        <f>"52.445"</f>
        <v>52.445</v>
      </c>
      <c r="C2346" t="str">
        <f>"52.555"</f>
        <v>52.555</v>
      </c>
    </row>
    <row r="2347" spans="1:3" x14ac:dyDescent="0.25">
      <c r="A2347" t="str">
        <f>"18/02/2019"</f>
        <v>18/02/2019</v>
      </c>
      <c r="B2347" t="str">
        <f>"52.35"</f>
        <v>52.35</v>
      </c>
      <c r="C2347" t="str">
        <f>"52.465"</f>
        <v>52.465</v>
      </c>
    </row>
    <row r="2348" spans="1:3" x14ac:dyDescent="0.25">
      <c r="A2348" t="str">
        <f>"20/02/2019"</f>
        <v>20/02/2019</v>
      </c>
      <c r="B2348" t="str">
        <f>"52.08"</f>
        <v>52.08</v>
      </c>
      <c r="C2348" t="str">
        <f>"52.20"</f>
        <v>52.20</v>
      </c>
    </row>
    <row r="2349" spans="1:3" x14ac:dyDescent="0.25">
      <c r="A2349" t="str">
        <f>"21/02/2019"</f>
        <v>21/02/2019</v>
      </c>
      <c r="B2349" t="str">
        <f>"52.00"</f>
        <v>52.00</v>
      </c>
      <c r="C2349" t="str">
        <f>"52.115"</f>
        <v>52.115</v>
      </c>
    </row>
    <row r="2350" spans="1:3" x14ac:dyDescent="0.25">
      <c r="A2350" t="str">
        <f>"22/02/2019"</f>
        <v>22/02/2019</v>
      </c>
      <c r="B2350" t="str">
        <f>"52.045"</f>
        <v>52.045</v>
      </c>
      <c r="C2350" t="str">
        <f>"52.155"</f>
        <v>52.155</v>
      </c>
    </row>
    <row r="2351" spans="1:3" x14ac:dyDescent="0.25">
      <c r="A2351" t="str">
        <f>"25/02/2019"</f>
        <v>25/02/2019</v>
      </c>
      <c r="B2351" t="str">
        <f>"52.045"</f>
        <v>52.045</v>
      </c>
      <c r="C2351" t="str">
        <f>"52.155"</f>
        <v>52.155</v>
      </c>
    </row>
    <row r="2352" spans="1:3" x14ac:dyDescent="0.25">
      <c r="A2352" t="str">
        <f>"26/02/2019"</f>
        <v>26/02/2019</v>
      </c>
      <c r="B2352" t="str">
        <f>"52.03"</f>
        <v>52.03</v>
      </c>
      <c r="C2352" t="str">
        <f>"52.145"</f>
        <v>52.145</v>
      </c>
    </row>
    <row r="2353" spans="1:3" x14ac:dyDescent="0.25">
      <c r="A2353" t="str">
        <f>"27/02/2019"</f>
        <v>27/02/2019</v>
      </c>
      <c r="B2353" t="str">
        <f>"51.92"</f>
        <v>51.92</v>
      </c>
      <c r="C2353" t="str">
        <f>"52.05"</f>
        <v>52.05</v>
      </c>
    </row>
    <row r="2354" spans="1:3" x14ac:dyDescent="0.25">
      <c r="A2354" t="str">
        <f>"28/02/2019"</f>
        <v>28/02/2019</v>
      </c>
      <c r="B2354" t="str">
        <f>"51.72"</f>
        <v>51.72</v>
      </c>
      <c r="C2354" t="str">
        <f>"51.85"</f>
        <v>51.85</v>
      </c>
    </row>
    <row r="2355" spans="1:3" x14ac:dyDescent="0.25">
      <c r="A2355" t="str">
        <f>"01/03/2019"</f>
        <v>01/03/2019</v>
      </c>
      <c r="B2355" t="str">
        <f>"51.72"</f>
        <v>51.72</v>
      </c>
      <c r="C2355" t="str">
        <f>"51.84"</f>
        <v>51.84</v>
      </c>
    </row>
    <row r="2356" spans="1:3" x14ac:dyDescent="0.25">
      <c r="A2356" t="str">
        <f>"05/03/2019"</f>
        <v>05/03/2019</v>
      </c>
      <c r="B2356" t="str">
        <f>"52.26"</f>
        <v>52.26</v>
      </c>
      <c r="C2356" t="str">
        <f>"52.40"</f>
        <v>52.40</v>
      </c>
    </row>
    <row r="2357" spans="1:3" x14ac:dyDescent="0.25">
      <c r="A2357" t="str">
        <f>"06/03/2019"</f>
        <v>06/03/2019</v>
      </c>
      <c r="B2357" t="str">
        <f>"52.29"</f>
        <v>52.29</v>
      </c>
      <c r="C2357" t="str">
        <f>"52.413"</f>
        <v>52.413</v>
      </c>
    </row>
    <row r="2358" spans="1:3" x14ac:dyDescent="0.25">
      <c r="A2358" t="str">
        <f>"07/03/2019"</f>
        <v>07/03/2019</v>
      </c>
      <c r="B2358" t="str">
        <f>"52.17"</f>
        <v>52.17</v>
      </c>
      <c r="C2358" t="str">
        <f>"52.294"</f>
        <v>52.294</v>
      </c>
    </row>
    <row r="2359" spans="1:3" x14ac:dyDescent="0.25">
      <c r="A2359" t="str">
        <f>"08/03/2019"</f>
        <v>08/03/2019</v>
      </c>
      <c r="B2359" t="str">
        <f>"52.26"</f>
        <v>52.26</v>
      </c>
      <c r="C2359" t="str">
        <f>"52.39"</f>
        <v>52.39</v>
      </c>
    </row>
    <row r="2360" spans="1:3" x14ac:dyDescent="0.25">
      <c r="A2360" t="str">
        <f>"11/03/2019"</f>
        <v>11/03/2019</v>
      </c>
      <c r="B2360" t="str">
        <f>"52.22"</f>
        <v>52.22</v>
      </c>
      <c r="C2360" t="str">
        <f>"52.355"</f>
        <v>52.355</v>
      </c>
    </row>
    <row r="2361" spans="1:3" x14ac:dyDescent="0.25">
      <c r="A2361" t="str">
        <f>"12/03/2019"</f>
        <v>12/03/2019</v>
      </c>
      <c r="B2361" t="str">
        <f>"52.72"</f>
        <v>52.72</v>
      </c>
      <c r="C2361" t="str">
        <f>"52.8625"</f>
        <v>52.8625</v>
      </c>
    </row>
    <row r="2362" spans="1:3" x14ac:dyDescent="0.25">
      <c r="A2362" t="str">
        <f>"13/03/2019"</f>
        <v>13/03/2019</v>
      </c>
      <c r="B2362" t="str">
        <f>"52.84"</f>
        <v>52.84</v>
      </c>
      <c r="C2362" t="str">
        <f>"52.99"</f>
        <v>52.99</v>
      </c>
    </row>
    <row r="2363" spans="1:3" x14ac:dyDescent="0.25">
      <c r="A2363" t="str">
        <f>"14/03/2019"</f>
        <v>14/03/2019</v>
      </c>
      <c r="B2363" t="str">
        <f>"52.62"</f>
        <v>52.62</v>
      </c>
      <c r="C2363" t="str">
        <f>"52.785"</f>
        <v>52.785</v>
      </c>
    </row>
    <row r="2364" spans="1:3" x14ac:dyDescent="0.25">
      <c r="A2364" t="str">
        <f>"18/03/2019"</f>
        <v>18/03/2019</v>
      </c>
      <c r="B2364" t="str">
        <f>"52.67"</f>
        <v>52.67</v>
      </c>
      <c r="C2364" t="str">
        <f>"52.84"</f>
        <v>52.84</v>
      </c>
    </row>
    <row r="2365" spans="1:3" x14ac:dyDescent="0.25">
      <c r="A2365" t="str">
        <f>"19/03/2019"</f>
        <v>19/03/2019</v>
      </c>
      <c r="B2365" t="str">
        <f>"52.87"</f>
        <v>52.87</v>
      </c>
      <c r="C2365" t="str">
        <f>"53.07"</f>
        <v>53.07</v>
      </c>
    </row>
    <row r="2366" spans="1:3" x14ac:dyDescent="0.25">
      <c r="A2366" t="str">
        <f>"20/03/2019"</f>
        <v>20/03/2019</v>
      </c>
      <c r="B2366" t="str">
        <f>"52.85"</f>
        <v>52.85</v>
      </c>
      <c r="C2366" t="str">
        <f>"53.10"</f>
        <v>53.10</v>
      </c>
    </row>
    <row r="2367" spans="1:3" x14ac:dyDescent="0.25">
      <c r="A2367" t="str">
        <f>"22/03/2019"</f>
        <v>22/03/2019</v>
      </c>
      <c r="B2367" t="str">
        <f>"52.34"</f>
        <v>52.34</v>
      </c>
      <c r="C2367" t="str">
        <f>"52.54"</f>
        <v>52.54</v>
      </c>
    </row>
    <row r="2368" spans="1:3" x14ac:dyDescent="0.25">
      <c r="A2368" t="str">
        <f>"25/03/2019"</f>
        <v>25/03/2019</v>
      </c>
      <c r="B2368" t="str">
        <f>"52.53"</f>
        <v>52.53</v>
      </c>
      <c r="C2368" t="str">
        <f>"52.71"</f>
        <v>52.71</v>
      </c>
    </row>
    <row r="2369" spans="1:3" x14ac:dyDescent="0.25">
      <c r="A2369" t="str">
        <f>"26/03/2019"</f>
        <v>26/03/2019</v>
      </c>
      <c r="B2369" t="str">
        <f>"52.46"</f>
        <v>52.46</v>
      </c>
      <c r="C2369" t="str">
        <f>"52.64"</f>
        <v>52.64</v>
      </c>
    </row>
    <row r="2370" spans="1:3" x14ac:dyDescent="0.25">
      <c r="A2370" t="str">
        <f>"27/03/2019"</f>
        <v>27/03/2019</v>
      </c>
      <c r="B2370" t="str">
        <f>"52.63"</f>
        <v>52.63</v>
      </c>
      <c r="C2370" t="str">
        <f>"52.83"</f>
        <v>52.83</v>
      </c>
    </row>
    <row r="2371" spans="1:3" x14ac:dyDescent="0.25">
      <c r="A2371" t="str">
        <f>"28/03/2019"</f>
        <v>28/03/2019</v>
      </c>
      <c r="B2371" t="str">
        <f>"52.77"</f>
        <v>52.77</v>
      </c>
      <c r="C2371" t="str">
        <f>"52.98"</f>
        <v>52.98</v>
      </c>
    </row>
    <row r="2372" spans="1:3" x14ac:dyDescent="0.25">
      <c r="A2372" t="str">
        <f>"29/03/2019"</f>
        <v>29/03/2019</v>
      </c>
      <c r="B2372" t="str">
        <f>"52.52"</f>
        <v>52.52</v>
      </c>
      <c r="C2372" t="str">
        <f>"52.705"</f>
        <v>52.705</v>
      </c>
    </row>
    <row r="2373" spans="1:3" x14ac:dyDescent="0.25">
      <c r="A2373" t="str">
        <f>"02/04/2019"</f>
        <v>02/04/2019</v>
      </c>
      <c r="B2373" t="str">
        <f>"52.46"</f>
        <v>52.46</v>
      </c>
      <c r="C2373" t="str">
        <f>"52.625"</f>
        <v>52.625</v>
      </c>
    </row>
    <row r="2374" spans="1:3" x14ac:dyDescent="0.25">
      <c r="A2374" t="str">
        <f>"03/04/2019"</f>
        <v>03/04/2019</v>
      </c>
      <c r="B2374" t="str">
        <f>"52.10"</f>
        <v>52.10</v>
      </c>
      <c r="C2374" t="str">
        <f>"52.28"</f>
        <v>52.28</v>
      </c>
    </row>
    <row r="2375" spans="1:3" x14ac:dyDescent="0.25">
      <c r="A2375" t="str">
        <f>"04/04/2019"</f>
        <v>04/04/2019</v>
      </c>
      <c r="B2375" t="str">
        <f>"52.235"</f>
        <v>52.235</v>
      </c>
      <c r="C2375" t="str">
        <f>"52.435"</f>
        <v>52.435</v>
      </c>
    </row>
    <row r="2376" spans="1:3" x14ac:dyDescent="0.25">
      <c r="A2376" t="str">
        <f>"05/04/2019"</f>
        <v>05/04/2019</v>
      </c>
      <c r="B2376" t="str">
        <f>"52.14"</f>
        <v>52.14</v>
      </c>
      <c r="C2376" t="str">
        <f>"52.355"</f>
        <v>52.355</v>
      </c>
    </row>
    <row r="2377" spans="1:3" x14ac:dyDescent="0.25">
      <c r="A2377" t="str">
        <f>"08/04/2019"</f>
        <v>08/04/2019</v>
      </c>
      <c r="B2377" t="str">
        <f>"52.16"</f>
        <v>52.16</v>
      </c>
      <c r="C2377" t="str">
        <f>"52.345"</f>
        <v>52.345</v>
      </c>
    </row>
    <row r="2378" spans="1:3" x14ac:dyDescent="0.25">
      <c r="A2378" t="str">
        <f>"09/04/2019"</f>
        <v>09/04/2019</v>
      </c>
      <c r="B2378" t="str">
        <f>"52.16"</f>
        <v>52.16</v>
      </c>
      <c r="C2378" t="str">
        <f>"52.345"</f>
        <v>52.345</v>
      </c>
    </row>
    <row r="2379" spans="1:3" x14ac:dyDescent="0.25">
      <c r="A2379" t="str">
        <f>"10/04/2019"</f>
        <v>10/04/2019</v>
      </c>
      <c r="B2379" t="str">
        <f>"51.92"</f>
        <v>51.92</v>
      </c>
      <c r="C2379" t="str">
        <f>"52.115"</f>
        <v>52.115</v>
      </c>
    </row>
    <row r="2380" spans="1:3" x14ac:dyDescent="0.25">
      <c r="A2380" t="str">
        <f>"11/04/2019"</f>
        <v>11/04/2019</v>
      </c>
      <c r="B2380" t="str">
        <f>"51.845"</f>
        <v>51.845</v>
      </c>
      <c r="C2380" t="str">
        <f>"52.05"</f>
        <v>52.05</v>
      </c>
    </row>
    <row r="2381" spans="1:3" x14ac:dyDescent="0.25">
      <c r="A2381" t="str">
        <f>"12/04/2019"</f>
        <v>12/04/2019</v>
      </c>
      <c r="B2381" t="str">
        <f>"51.78"</f>
        <v>51.78</v>
      </c>
      <c r="C2381" t="str">
        <f>"52.00"</f>
        <v>52.00</v>
      </c>
    </row>
    <row r="2382" spans="1:3" x14ac:dyDescent="0.25">
      <c r="A2382" t="str">
        <f>"15/04/2019"</f>
        <v>15/04/2019</v>
      </c>
      <c r="B2382" t="str">
        <f>"51.66"</f>
        <v>51.66</v>
      </c>
      <c r="C2382" t="str">
        <f>"51.85"</f>
        <v>51.85</v>
      </c>
    </row>
    <row r="2383" spans="1:3" x14ac:dyDescent="0.25">
      <c r="A2383" t="str">
        <f>"16/04/2019"</f>
        <v>16/04/2019</v>
      </c>
      <c r="B2383" t="str">
        <f>"51.79"</f>
        <v>51.79</v>
      </c>
      <c r="C2383" t="str">
        <f>"51.96"</f>
        <v>51.96</v>
      </c>
    </row>
    <row r="2384" spans="1:3" x14ac:dyDescent="0.25">
      <c r="A2384" t="str">
        <f>"18/04/2019"</f>
        <v>18/04/2019</v>
      </c>
      <c r="B2384" t="str">
        <f>"51.79"</f>
        <v>51.79</v>
      </c>
      <c r="C2384" t="str">
        <f>"51.94"</f>
        <v>51.94</v>
      </c>
    </row>
    <row r="2385" spans="1:3" x14ac:dyDescent="0.25">
      <c r="A2385" t="str">
        <f>"22/04/2019"</f>
        <v>22/04/2019</v>
      </c>
      <c r="B2385" t="str">
        <f>"52.05"</f>
        <v>52.05</v>
      </c>
      <c r="C2385" t="str">
        <f>"52.205"</f>
        <v>52.205</v>
      </c>
    </row>
    <row r="2386" spans="1:3" x14ac:dyDescent="0.25">
      <c r="A2386" t="str">
        <f>"23/04/2019"</f>
        <v>23/04/2019</v>
      </c>
      <c r="B2386" t="str">
        <f>"52.05"</f>
        <v>52.05</v>
      </c>
      <c r="C2386" t="str">
        <f>"52.205"</f>
        <v>52.205</v>
      </c>
    </row>
    <row r="2387" spans="1:3" x14ac:dyDescent="0.25">
      <c r="A2387" t="str">
        <f>"24/04/2019"</f>
        <v>24/04/2019</v>
      </c>
      <c r="B2387" t="str">
        <f>"52.24"</f>
        <v>52.24</v>
      </c>
      <c r="C2387" t="str">
        <f>"52.4175"</f>
        <v>52.4175</v>
      </c>
    </row>
    <row r="2388" spans="1:3" x14ac:dyDescent="0.25">
      <c r="A2388" t="str">
        <f>"25/04/2019"</f>
        <v>25/04/2019</v>
      </c>
      <c r="B2388" t="str">
        <f>"52.15"</f>
        <v>52.15</v>
      </c>
      <c r="C2388" t="str">
        <f>"52.30"</f>
        <v>52.30</v>
      </c>
    </row>
    <row r="2389" spans="1:3" x14ac:dyDescent="0.25">
      <c r="A2389" t="str">
        <f>"26/04/2019"</f>
        <v>26/04/2019</v>
      </c>
      <c r="B2389" t="str">
        <f>"52.20"</f>
        <v>52.20</v>
      </c>
      <c r="C2389" t="str">
        <f>"52.355"</f>
        <v>52.355</v>
      </c>
    </row>
    <row r="2390" spans="1:3" x14ac:dyDescent="0.25">
      <c r="A2390" t="str">
        <f>"30/04/2019"</f>
        <v>30/04/2019</v>
      </c>
      <c r="B2390" t="str">
        <f>"51.95"</f>
        <v>51.95</v>
      </c>
      <c r="C2390" t="str">
        <f>"52.09"</f>
        <v>52.09</v>
      </c>
    </row>
    <row r="2391" spans="1:3" x14ac:dyDescent="0.25">
      <c r="A2391" t="str">
        <f>"02/05/2019"</f>
        <v>02/05/2019</v>
      </c>
      <c r="B2391" t="str">
        <f>"51.88"</f>
        <v>51.88</v>
      </c>
      <c r="C2391" t="str">
        <f>"52.015"</f>
        <v>52.015</v>
      </c>
    </row>
    <row r="2392" spans="1:3" x14ac:dyDescent="0.25">
      <c r="A2392" t="str">
        <f>"03/05/2019"</f>
        <v>03/05/2019</v>
      </c>
      <c r="B2392" t="str">
        <f>"51.87"</f>
        <v>51.87</v>
      </c>
      <c r="C2392" t="str">
        <f>"52.01"</f>
        <v>52.01</v>
      </c>
    </row>
    <row r="2393" spans="1:3" x14ac:dyDescent="0.25">
      <c r="A2393" t="str">
        <f>"06/05/2019"</f>
        <v>06/05/2019</v>
      </c>
      <c r="B2393" t="str">
        <f>"51.95"</f>
        <v>51.95</v>
      </c>
      <c r="C2393" t="str">
        <f>"52.095"</f>
        <v>52.095</v>
      </c>
    </row>
    <row r="2394" spans="1:3" x14ac:dyDescent="0.25">
      <c r="A2394" t="str">
        <f>"07/05/2019"</f>
        <v>07/05/2019</v>
      </c>
      <c r="B2394" t="str">
        <f>"51.88"</f>
        <v>51.88</v>
      </c>
      <c r="C2394" t="str">
        <f>"52.025"</f>
        <v>52.025</v>
      </c>
    </row>
    <row r="2395" spans="1:3" x14ac:dyDescent="0.25">
      <c r="A2395" t="str">
        <f>"08/05/2019"</f>
        <v>08/05/2019</v>
      </c>
      <c r="B2395" t="str">
        <f>"52.12"</f>
        <v>52.12</v>
      </c>
      <c r="C2395" t="str">
        <f>"52.26"</f>
        <v>52.26</v>
      </c>
    </row>
    <row r="2396" spans="1:3" x14ac:dyDescent="0.25">
      <c r="A2396" t="str">
        <f>"09/05/2019"</f>
        <v>09/05/2019</v>
      </c>
      <c r="B2396" t="str">
        <f>"52.32"</f>
        <v>52.32</v>
      </c>
      <c r="C2396" t="str">
        <f>"52.45"</f>
        <v>52.45</v>
      </c>
    </row>
    <row r="2397" spans="1:3" x14ac:dyDescent="0.25">
      <c r="A2397" t="str">
        <f>"10/05/2019"</f>
        <v>10/05/2019</v>
      </c>
      <c r="B2397" t="str">
        <f>"52.135"</f>
        <v>52.135</v>
      </c>
      <c r="C2397" t="str">
        <f>"52.265"</f>
        <v>52.265</v>
      </c>
    </row>
    <row r="2398" spans="1:3" x14ac:dyDescent="0.25">
      <c r="A2398" t="str">
        <f>"13/05/2019"</f>
        <v>13/05/2019</v>
      </c>
      <c r="B2398" t="str">
        <f>"52.135"</f>
        <v>52.135</v>
      </c>
      <c r="C2398" t="str">
        <f>"52.265"</f>
        <v>52.265</v>
      </c>
    </row>
    <row r="2399" spans="1:3" x14ac:dyDescent="0.25">
      <c r="A2399" t="str">
        <f>"14/05/2019"</f>
        <v>14/05/2019</v>
      </c>
      <c r="B2399" t="str">
        <f>"52.452"</f>
        <v>52.452</v>
      </c>
      <c r="C2399" t="str">
        <f>"52.597"</f>
        <v>52.597</v>
      </c>
    </row>
    <row r="2400" spans="1:3" x14ac:dyDescent="0.25">
      <c r="A2400" t="str">
        <f>"15/05/2019"</f>
        <v>15/05/2019</v>
      </c>
      <c r="B2400" t="str">
        <f>"52.40"</f>
        <v>52.40</v>
      </c>
      <c r="C2400" t="str">
        <f>"52.535"</f>
        <v>52.535</v>
      </c>
    </row>
    <row r="2401" spans="1:3" x14ac:dyDescent="0.25">
      <c r="A2401" t="str">
        <f>"16/05/2019"</f>
        <v>16/05/2019</v>
      </c>
      <c r="B2401" t="str">
        <f>"52.50"</f>
        <v>52.50</v>
      </c>
      <c r="C2401" t="str">
        <f>"52.63"</f>
        <v>52.63</v>
      </c>
    </row>
    <row r="2402" spans="1:3" x14ac:dyDescent="0.25">
      <c r="A2402" t="str">
        <f>"17/05/2019"</f>
        <v>17/05/2019</v>
      </c>
      <c r="B2402" t="str">
        <f>"52.65"</f>
        <v>52.65</v>
      </c>
      <c r="C2402" t="str">
        <f>"52.785"</f>
        <v>52.785</v>
      </c>
    </row>
    <row r="2403" spans="1:3" x14ac:dyDescent="0.25">
      <c r="A2403" t="str">
        <f>"20/05/2019"</f>
        <v>20/05/2019</v>
      </c>
      <c r="B2403" t="str">
        <f>"52.59"</f>
        <v>52.59</v>
      </c>
      <c r="C2403" t="str">
        <f>"52.73"</f>
        <v>52.73</v>
      </c>
    </row>
    <row r="2404" spans="1:3" x14ac:dyDescent="0.25">
      <c r="A2404" t="str">
        <f>"21/05/2019"</f>
        <v>21/05/2019</v>
      </c>
      <c r="B2404" t="str">
        <f>"52.52"</f>
        <v>52.52</v>
      </c>
      <c r="C2404" t="str">
        <f>"52.665"</f>
        <v>52.665</v>
      </c>
    </row>
    <row r="2405" spans="1:3" x14ac:dyDescent="0.25">
      <c r="A2405" t="str">
        <f>"22/05/2019"</f>
        <v>22/05/2019</v>
      </c>
      <c r="B2405" t="str">
        <f>"52.55"</f>
        <v>52.55</v>
      </c>
      <c r="C2405" t="str">
        <f>"52.695"</f>
        <v>52.695</v>
      </c>
    </row>
    <row r="2406" spans="1:3" x14ac:dyDescent="0.25">
      <c r="A2406" t="str">
        <f>"23/05/2019"</f>
        <v>23/05/2019</v>
      </c>
      <c r="B2406" t="str">
        <f>"52.51"</f>
        <v>52.51</v>
      </c>
      <c r="C2406" t="str">
        <f>"52.6435"</f>
        <v>52.6435</v>
      </c>
    </row>
    <row r="2407" spans="1:3" x14ac:dyDescent="0.25">
      <c r="A2407" t="str">
        <f>"24/05/2019"</f>
        <v>24/05/2019</v>
      </c>
      <c r="B2407" t="str">
        <f>"52.185"</f>
        <v>52.185</v>
      </c>
      <c r="C2407" t="str">
        <f>"52.32"</f>
        <v>52.32</v>
      </c>
    </row>
    <row r="2408" spans="1:3" x14ac:dyDescent="0.25">
      <c r="A2408" t="str">
        <f>"27/05/2019"</f>
        <v>27/05/2019</v>
      </c>
      <c r="B2408" t="str">
        <f>"52.23"</f>
        <v>52.23</v>
      </c>
      <c r="C2408" t="str">
        <f>"52.36"</f>
        <v>52.36</v>
      </c>
    </row>
    <row r="2409" spans="1:3" x14ac:dyDescent="0.25">
      <c r="A2409" t="str">
        <f>"28/05/2019"</f>
        <v>28/05/2019</v>
      </c>
      <c r="B2409" t="str">
        <f>"52.305"</f>
        <v>52.305</v>
      </c>
      <c r="C2409" t="str">
        <f>"52.423"</f>
        <v>52.423</v>
      </c>
    </row>
    <row r="2410" spans="1:3" x14ac:dyDescent="0.25">
      <c r="A2410" t="str">
        <f>"29/05/2019"</f>
        <v>29/05/2019</v>
      </c>
      <c r="B2410" t="str">
        <f>"52.36"</f>
        <v>52.36</v>
      </c>
      <c r="C2410" t="str">
        <f>"52.47"</f>
        <v>52.47</v>
      </c>
    </row>
    <row r="2411" spans="1:3" x14ac:dyDescent="0.25">
      <c r="A2411" t="str">
        <f>"30/05/2019"</f>
        <v>30/05/2019</v>
      </c>
      <c r="B2411" t="str">
        <f>"52.208"</f>
        <v>52.208</v>
      </c>
      <c r="C2411" t="str">
        <f>"52.321"</f>
        <v>52.321</v>
      </c>
    </row>
    <row r="2412" spans="1:3" x14ac:dyDescent="0.25">
      <c r="A2412" t="str">
        <f>"31/05/2019"</f>
        <v>31/05/2019</v>
      </c>
      <c r="B2412" t="str">
        <f>"52.27"</f>
        <v>52.27</v>
      </c>
      <c r="C2412" t="str">
        <f>"52.394"</f>
        <v>52.394</v>
      </c>
    </row>
    <row r="2413" spans="1:3" x14ac:dyDescent="0.25">
      <c r="A2413" t="str">
        <f>"03/06/2019"</f>
        <v>03/06/2019</v>
      </c>
      <c r="B2413" t="str">
        <f>"51.93"</f>
        <v>51.93</v>
      </c>
      <c r="C2413" t="str">
        <f>"52.043"</f>
        <v>52.043</v>
      </c>
    </row>
    <row r="2414" spans="1:3" x14ac:dyDescent="0.25">
      <c r="A2414" t="str">
        <f>"04/06/2019"</f>
        <v>04/06/2019</v>
      </c>
      <c r="B2414" t="str">
        <f>"51.80"</f>
        <v>51.80</v>
      </c>
      <c r="C2414" t="str">
        <f>"51.91"</f>
        <v>51.91</v>
      </c>
    </row>
    <row r="2415" spans="1:3" x14ac:dyDescent="0.25">
      <c r="A2415" t="str">
        <f>"06/06/2019"</f>
        <v>06/06/2019</v>
      </c>
      <c r="B2415" t="str">
        <f>"51.75"</f>
        <v>51.75</v>
      </c>
      <c r="C2415" t="str">
        <f>"51.86"</f>
        <v>51.86</v>
      </c>
    </row>
    <row r="2416" spans="1:3" x14ac:dyDescent="0.25">
      <c r="A2416" t="str">
        <f>"07/06/2019"</f>
        <v>07/06/2019</v>
      </c>
      <c r="B2416" t="str">
        <f>"52.05"</f>
        <v>52.05</v>
      </c>
      <c r="C2416" t="str">
        <f>"52.16"</f>
        <v>52.16</v>
      </c>
    </row>
    <row r="2417" spans="1:3" x14ac:dyDescent="0.25">
      <c r="A2417" t="str">
        <f>"10/06/2019"</f>
        <v>10/06/2019</v>
      </c>
      <c r="B2417" t="str">
        <f>"52.12"</f>
        <v>52.12</v>
      </c>
      <c r="C2417" t="str">
        <f>"52.22"</f>
        <v>52.22</v>
      </c>
    </row>
    <row r="2418" spans="1:3" x14ac:dyDescent="0.25">
      <c r="A2418" t="str">
        <f>"11/06/2019"</f>
        <v>11/06/2019</v>
      </c>
      <c r="B2418" t="str">
        <f>"51.87"</f>
        <v>51.87</v>
      </c>
      <c r="C2418" t="str">
        <f>"51.975"</f>
        <v>51.975</v>
      </c>
    </row>
    <row r="2419" spans="1:3" x14ac:dyDescent="0.25">
      <c r="A2419" t="str">
        <f>"12/06/2019"</f>
        <v>12/06/2019</v>
      </c>
      <c r="B2419" t="str">
        <f>"51.87"</f>
        <v>51.87</v>
      </c>
      <c r="C2419" t="str">
        <f>"51.975"</f>
        <v>51.975</v>
      </c>
    </row>
    <row r="2420" spans="1:3" x14ac:dyDescent="0.25">
      <c r="A2420" t="str">
        <f>"13/06/2019"</f>
        <v>13/06/2019</v>
      </c>
      <c r="B2420" t="str">
        <f>"51.96"</f>
        <v>51.96</v>
      </c>
      <c r="C2420" t="str">
        <f>"52.05"</f>
        <v>52.05</v>
      </c>
    </row>
    <row r="2421" spans="1:3" x14ac:dyDescent="0.25">
      <c r="A2421" t="str">
        <f>"14/06/2019"</f>
        <v>14/06/2019</v>
      </c>
      <c r="B2421" t="str">
        <f>"52.03"</f>
        <v>52.03</v>
      </c>
      <c r="C2421" t="str">
        <f>"52.125"</f>
        <v>52.125</v>
      </c>
    </row>
    <row r="2422" spans="1:3" x14ac:dyDescent="0.25">
      <c r="A2422" t="str">
        <f>"17/06/2019"</f>
        <v>17/06/2019</v>
      </c>
      <c r="B2422" t="str">
        <f>"52.16"</f>
        <v>52.16</v>
      </c>
      <c r="C2422" t="str">
        <f>"52.25"</f>
        <v>52.25</v>
      </c>
    </row>
    <row r="2423" spans="1:3" x14ac:dyDescent="0.25">
      <c r="A2423" t="str">
        <f>"18/06/2019"</f>
        <v>18/06/2019</v>
      </c>
      <c r="B2423" t="str">
        <f>"52.01"</f>
        <v>52.01</v>
      </c>
      <c r="C2423" t="str">
        <f>"52.10"</f>
        <v>52.10</v>
      </c>
    </row>
    <row r="2424" spans="1:3" x14ac:dyDescent="0.25">
      <c r="A2424" t="str">
        <f>"19/06/2019"</f>
        <v>19/06/2019</v>
      </c>
      <c r="B2424" t="str">
        <f>"51.86"</f>
        <v>51.86</v>
      </c>
      <c r="C2424" t="str">
        <f>"51.96"</f>
        <v>51.96</v>
      </c>
    </row>
    <row r="2425" spans="1:3" x14ac:dyDescent="0.25">
      <c r="A2425" t="str">
        <f>"20/06/2019"</f>
        <v>20/06/2019</v>
      </c>
      <c r="B2425" t="str">
        <f>"51.66"</f>
        <v>51.66</v>
      </c>
      <c r="C2425" t="str">
        <f>"51.745"</f>
        <v>51.745</v>
      </c>
    </row>
    <row r="2426" spans="1:3" x14ac:dyDescent="0.25">
      <c r="A2426" t="str">
        <f>"21/06/2019"</f>
        <v>21/06/2019</v>
      </c>
      <c r="B2426" t="str">
        <f>"51.565"</f>
        <v>51.565</v>
      </c>
      <c r="C2426" t="str">
        <f>"51.65"</f>
        <v>51.65</v>
      </c>
    </row>
    <row r="2427" spans="1:3" x14ac:dyDescent="0.25">
      <c r="A2427" t="str">
        <f>"24/06/2019"</f>
        <v>24/06/2019</v>
      </c>
      <c r="B2427" t="str">
        <f>"51.41"</f>
        <v>51.41</v>
      </c>
      <c r="C2427" t="str">
        <f>"51.485"</f>
        <v>51.485</v>
      </c>
    </row>
    <row r="2428" spans="1:3" x14ac:dyDescent="0.25">
      <c r="A2428" t="str">
        <f>"25/06/2019"</f>
        <v>25/06/2019</v>
      </c>
      <c r="B2428" t="str">
        <f>"51.375"</f>
        <v>51.375</v>
      </c>
      <c r="C2428" t="str">
        <f>"51.443"</f>
        <v>51.443</v>
      </c>
    </row>
    <row r="2429" spans="1:3" x14ac:dyDescent="0.25">
      <c r="A2429" t="str">
        <f>"26/06/2019"</f>
        <v>26/06/2019</v>
      </c>
      <c r="B2429" t="str">
        <f>"51.52"</f>
        <v>51.52</v>
      </c>
      <c r="C2429" t="str">
        <f>"51.594"</f>
        <v>51.594</v>
      </c>
    </row>
    <row r="2430" spans="1:3" x14ac:dyDescent="0.25">
      <c r="A2430" t="str">
        <f>"27/06/2019"</f>
        <v>27/06/2019</v>
      </c>
      <c r="B2430" t="str">
        <f>"51.29"</f>
        <v>51.29</v>
      </c>
      <c r="C2430" t="str">
        <f>"51.35"</f>
        <v>51.35</v>
      </c>
    </row>
    <row r="2431" spans="1:3" x14ac:dyDescent="0.25">
      <c r="A2431" t="str">
        <f>"28/06/2019"</f>
        <v>28/06/2019</v>
      </c>
      <c r="B2431" t="str">
        <f>"51.24"</f>
        <v>51.24</v>
      </c>
      <c r="C2431" t="str">
        <f>"51.305"</f>
        <v>51.305</v>
      </c>
    </row>
    <row r="2432" spans="1:3" x14ac:dyDescent="0.25">
      <c r="A2432" t="str">
        <f>"01/07/2019"</f>
        <v>01/07/2019</v>
      </c>
      <c r="B2432" t="str">
        <f>"51.05"</f>
        <v>51.05</v>
      </c>
      <c r="C2432" t="str">
        <f>"51.11"</f>
        <v>51.11</v>
      </c>
    </row>
    <row r="2433" spans="1:3" x14ac:dyDescent="0.25">
      <c r="A2433" t="str">
        <f>"02/07/2019"</f>
        <v>02/07/2019</v>
      </c>
      <c r="B2433" t="str">
        <f>"51.15"</f>
        <v>51.15</v>
      </c>
      <c r="C2433" t="str">
        <f>"51.215"</f>
        <v>51.215</v>
      </c>
    </row>
    <row r="2434" spans="1:3" x14ac:dyDescent="0.25">
      <c r="A2434" t="str">
        <f>"03/07/2019"</f>
        <v>03/07/2019</v>
      </c>
      <c r="B2434" t="str">
        <f>"51.22"</f>
        <v>51.22</v>
      </c>
      <c r="C2434" t="str">
        <f>"51.28"</f>
        <v>51.28</v>
      </c>
    </row>
    <row r="2435" spans="1:3" x14ac:dyDescent="0.25">
      <c r="A2435" t="str">
        <f>"04/07/2019"</f>
        <v>04/07/2019</v>
      </c>
      <c r="B2435" t="str">
        <f>"51.125"</f>
        <v>51.125</v>
      </c>
      <c r="C2435" t="str">
        <f>"51.19"</f>
        <v>51.19</v>
      </c>
    </row>
    <row r="2436" spans="1:3" x14ac:dyDescent="0.25">
      <c r="A2436" t="str">
        <f>"05/07/2019"</f>
        <v>05/07/2019</v>
      </c>
      <c r="B2436" t="str">
        <f>"51.20"</f>
        <v>51.20</v>
      </c>
      <c r="C2436" t="str">
        <f>"51.275"</f>
        <v>51.275</v>
      </c>
    </row>
    <row r="2437" spans="1:3" x14ac:dyDescent="0.25">
      <c r="A2437" t="str">
        <f>"08/07/2019"</f>
        <v>08/07/2019</v>
      </c>
      <c r="B2437" t="str">
        <f>"51.33"</f>
        <v>51.33</v>
      </c>
      <c r="C2437" t="str">
        <f>"51.42"</f>
        <v>51.42</v>
      </c>
    </row>
    <row r="2438" spans="1:3" x14ac:dyDescent="0.25">
      <c r="A2438" t="str">
        <f>"09/07/2019"</f>
        <v>09/07/2019</v>
      </c>
      <c r="B2438" t="str">
        <f>"51.35"</f>
        <v>51.35</v>
      </c>
      <c r="C2438" t="str">
        <f>"51.43"</f>
        <v>51.43</v>
      </c>
    </row>
    <row r="2439" spans="1:3" x14ac:dyDescent="0.25">
      <c r="A2439" t="str">
        <f>"10/07/2019"</f>
        <v>10/07/2019</v>
      </c>
      <c r="B2439" t="str">
        <f>"51.45"</f>
        <v>51.45</v>
      </c>
      <c r="C2439" t="str">
        <f>"51.53"</f>
        <v>51.53</v>
      </c>
    </row>
    <row r="2440" spans="1:3" x14ac:dyDescent="0.25">
      <c r="A2440" t="str">
        <f>"11/07/2019"</f>
        <v>11/07/2019</v>
      </c>
      <c r="B2440" t="str">
        <f>"51.20"</f>
        <v>51.20</v>
      </c>
      <c r="C2440" t="str">
        <f>"51.29"</f>
        <v>51.29</v>
      </c>
    </row>
    <row r="2441" spans="1:3" x14ac:dyDescent="0.25">
      <c r="A2441" t="str">
        <f>"12/07/2019"</f>
        <v>12/07/2019</v>
      </c>
      <c r="B2441" t="str">
        <f>"51.19"</f>
        <v>51.19</v>
      </c>
      <c r="C2441" t="str">
        <f>"51.29"</f>
        <v>51.29</v>
      </c>
    </row>
    <row r="2442" spans="1:3" x14ac:dyDescent="0.25">
      <c r="A2442" t="str">
        <f>"15/07/2019"</f>
        <v>15/07/2019</v>
      </c>
      <c r="B2442" t="str">
        <f>"51.028"</f>
        <v>51.028</v>
      </c>
      <c r="C2442" t="str">
        <f>"51.119"</f>
        <v>51.119</v>
      </c>
    </row>
    <row r="2443" spans="1:3" x14ac:dyDescent="0.25">
      <c r="A2443" t="str">
        <f>"16/07/2019"</f>
        <v>16/07/2019</v>
      </c>
      <c r="B2443" t="str">
        <f>"50.92"</f>
        <v>50.92</v>
      </c>
      <c r="C2443" t="str">
        <f>"51.005"</f>
        <v>51.005</v>
      </c>
    </row>
    <row r="2444" spans="1:3" x14ac:dyDescent="0.25">
      <c r="A2444" t="str">
        <f>"17/07/2019"</f>
        <v>17/07/2019</v>
      </c>
      <c r="B2444" t="str">
        <f>"51.15"</f>
        <v>51.15</v>
      </c>
      <c r="C2444" t="str">
        <f>"51.235"</f>
        <v>51.235</v>
      </c>
    </row>
    <row r="2445" spans="1:3" x14ac:dyDescent="0.25">
      <c r="A2445" t="str">
        <f>"18/07/2019"</f>
        <v>18/07/2019</v>
      </c>
      <c r="B2445" t="str">
        <f>"50.98"</f>
        <v>50.98</v>
      </c>
      <c r="C2445" t="str">
        <f>"51.061"</f>
        <v>51.061</v>
      </c>
    </row>
    <row r="2446" spans="1:3" x14ac:dyDescent="0.25">
      <c r="A2446" t="str">
        <f>"19/07/2019"</f>
        <v>19/07/2019</v>
      </c>
      <c r="B2446" t="str">
        <f>"50.995"</f>
        <v>50.995</v>
      </c>
      <c r="C2446" t="str">
        <f>"51.08"</f>
        <v>51.08</v>
      </c>
    </row>
    <row r="2447" spans="1:3" x14ac:dyDescent="0.25">
      <c r="A2447" t="str">
        <f>"22/07/2019"</f>
        <v>22/07/2019</v>
      </c>
      <c r="B2447" t="str">
        <f>"51.12"</f>
        <v>51.12</v>
      </c>
      <c r="C2447" t="str">
        <f>"51.205"</f>
        <v>51.205</v>
      </c>
    </row>
    <row r="2448" spans="1:3" x14ac:dyDescent="0.25">
      <c r="A2448" t="str">
        <f>"23/07/2019"</f>
        <v>23/07/2019</v>
      </c>
      <c r="B2448" t="str">
        <f>"51.16"</f>
        <v>51.16</v>
      </c>
      <c r="C2448" t="str">
        <f>"51.25"</f>
        <v>51.25</v>
      </c>
    </row>
    <row r="2449" spans="1:3" x14ac:dyDescent="0.25">
      <c r="A2449" t="str">
        <f>"24/07/2019"</f>
        <v>24/07/2019</v>
      </c>
      <c r="B2449" t="str">
        <f>"51.27"</f>
        <v>51.27</v>
      </c>
      <c r="C2449" t="str">
        <f>"51.353"</f>
        <v>51.353</v>
      </c>
    </row>
    <row r="2450" spans="1:3" x14ac:dyDescent="0.25">
      <c r="A2450" t="str">
        <f>"25/07/2019"</f>
        <v>25/07/2019</v>
      </c>
      <c r="B2450" t="str">
        <f>"51.16"</f>
        <v>51.16</v>
      </c>
      <c r="C2450" t="str">
        <f>"51.235"</f>
        <v>51.235</v>
      </c>
    </row>
    <row r="2451" spans="1:3" x14ac:dyDescent="0.25">
      <c r="A2451" t="str">
        <f>"26/07/2019"</f>
        <v>26/07/2019</v>
      </c>
      <c r="B2451" t="str">
        <f>"51.105"</f>
        <v>51.105</v>
      </c>
      <c r="C2451" t="str">
        <f>"51.174"</f>
        <v>51.174</v>
      </c>
    </row>
    <row r="2452" spans="1:3" x14ac:dyDescent="0.25">
      <c r="A2452" t="str">
        <f>"29/07/2019"</f>
        <v>29/07/2019</v>
      </c>
      <c r="B2452" t="str">
        <f>"51.12"</f>
        <v>51.12</v>
      </c>
      <c r="C2452" t="str">
        <f>"51.185"</f>
        <v>51.185</v>
      </c>
    </row>
    <row r="2453" spans="1:3" x14ac:dyDescent="0.25">
      <c r="A2453" t="str">
        <f>"30/07/2019"</f>
        <v>30/07/2019</v>
      </c>
      <c r="B2453" t="str">
        <f>"50.89"</f>
        <v>50.89</v>
      </c>
      <c r="C2453" t="str">
        <f>"50.95"</f>
        <v>50.95</v>
      </c>
    </row>
    <row r="2454" spans="1:3" x14ac:dyDescent="0.25">
      <c r="A2454" t="str">
        <f>"31/07/2019"</f>
        <v>31/07/2019</v>
      </c>
      <c r="B2454" t="str">
        <f>"50.91"</f>
        <v>50.91</v>
      </c>
      <c r="C2454" t="str">
        <f>"50.965"</f>
        <v>50.965</v>
      </c>
    </row>
    <row r="2455" spans="1:3" x14ac:dyDescent="0.25">
      <c r="A2455" t="str">
        <f>"01/08/2019"</f>
        <v>01/08/2019</v>
      </c>
      <c r="B2455" t="str">
        <f>"51.22"</f>
        <v>51.22</v>
      </c>
      <c r="C2455" t="str">
        <f>"51.273"</f>
        <v>51.273</v>
      </c>
    </row>
    <row r="2456" spans="1:3" x14ac:dyDescent="0.25">
      <c r="A2456" t="str">
        <f>"02/08/2019"</f>
        <v>02/08/2019</v>
      </c>
      <c r="B2456" t="str">
        <f>"51.45"</f>
        <v>51.45</v>
      </c>
      <c r="C2456" t="str">
        <f>"51.515"</f>
        <v>51.515</v>
      </c>
    </row>
    <row r="2457" spans="1:3" x14ac:dyDescent="0.25">
      <c r="A2457" t="str">
        <f>"05/08/2019"</f>
        <v>05/08/2019</v>
      </c>
      <c r="B2457" t="str">
        <f>"51.80"</f>
        <v>51.80</v>
      </c>
      <c r="C2457" t="str">
        <f>"51.875"</f>
        <v>51.875</v>
      </c>
    </row>
    <row r="2458" spans="1:3" x14ac:dyDescent="0.25">
      <c r="A2458" t="str">
        <f>"06/08/2019"</f>
        <v>06/08/2019</v>
      </c>
      <c r="B2458" t="str">
        <f>"51.965"</f>
        <v>51.965</v>
      </c>
      <c r="C2458" t="str">
        <f>"52.0465"</f>
        <v>52.0465</v>
      </c>
    </row>
    <row r="2459" spans="1:3" x14ac:dyDescent="0.25">
      <c r="A2459" t="str">
        <f>"07/08/2019"</f>
        <v>07/08/2019</v>
      </c>
      <c r="B2459" t="str">
        <f>"52.255"</f>
        <v>52.255</v>
      </c>
      <c r="C2459" t="str">
        <f>"52.34"</f>
        <v>52.34</v>
      </c>
    </row>
    <row r="2460" spans="1:3" x14ac:dyDescent="0.25">
      <c r="A2460" t="str">
        <f>"08/08/2019"</f>
        <v>08/08/2019</v>
      </c>
      <c r="B2460" t="str">
        <f>"52.06"</f>
        <v>52.06</v>
      </c>
      <c r="C2460" t="str">
        <f>"52.136"</f>
        <v>52.136</v>
      </c>
    </row>
    <row r="2461" spans="1:3" x14ac:dyDescent="0.25">
      <c r="A2461" t="str">
        <f>"09/08/2019"</f>
        <v>09/08/2019</v>
      </c>
      <c r="B2461" t="str">
        <f>"51.90"</f>
        <v>51.90</v>
      </c>
      <c r="C2461" t="str">
        <f>"51.978"</f>
        <v>51.978</v>
      </c>
    </row>
    <row r="2462" spans="1:3" x14ac:dyDescent="0.25">
      <c r="A2462" t="str">
        <f>"13/08/2019"</f>
        <v>13/08/2019</v>
      </c>
      <c r="B2462" t="str">
        <f>"52.47"</f>
        <v>52.47</v>
      </c>
      <c r="C2462" t="str">
        <f>"52.5585"</f>
        <v>52.5585</v>
      </c>
    </row>
    <row r="2463" spans="1:3" x14ac:dyDescent="0.25">
      <c r="A2463" t="str">
        <f>"14/08/2019"</f>
        <v>14/08/2019</v>
      </c>
      <c r="B2463" t="str">
        <f>"52.33"</f>
        <v>52.33</v>
      </c>
      <c r="C2463" t="str">
        <f>"52.413"</f>
        <v>52.413</v>
      </c>
    </row>
    <row r="2464" spans="1:3" x14ac:dyDescent="0.25">
      <c r="A2464" t="str">
        <f>"16/08/2019"</f>
        <v>16/08/2019</v>
      </c>
      <c r="B2464" t="str">
        <f>"52.42"</f>
        <v>52.42</v>
      </c>
      <c r="C2464" t="str">
        <f>"52.50"</f>
        <v>52.50</v>
      </c>
    </row>
    <row r="2465" spans="1:3" x14ac:dyDescent="0.25">
      <c r="A2465" t="str">
        <f>"19/08/2019"</f>
        <v>19/08/2019</v>
      </c>
      <c r="B2465" t="str">
        <f>"52.335"</f>
        <v>52.335</v>
      </c>
      <c r="C2465" t="str">
        <f>"52.41"</f>
        <v>52.41</v>
      </c>
    </row>
    <row r="2466" spans="1:3" x14ac:dyDescent="0.25">
      <c r="A2466" t="str">
        <f>"20/08/2019"</f>
        <v>20/08/2019</v>
      </c>
      <c r="B2466" t="str">
        <f>"52.41"</f>
        <v>52.41</v>
      </c>
      <c r="C2466" t="str">
        <f>"52.4855"</f>
        <v>52.4855</v>
      </c>
    </row>
    <row r="2467" spans="1:3" x14ac:dyDescent="0.25">
      <c r="A2467" t="str">
        <f>"21/08/2019"</f>
        <v>21/08/2019</v>
      </c>
      <c r="B2467" t="str">
        <f>"52.31"</f>
        <v>52.31</v>
      </c>
      <c r="C2467" t="str">
        <f>"52.385"</f>
        <v>52.385</v>
      </c>
    </row>
    <row r="2468" spans="1:3" x14ac:dyDescent="0.25">
      <c r="A2468" t="str">
        <f>"22/08/2019"</f>
        <v>22/08/2019</v>
      </c>
      <c r="B2468" t="str">
        <f>"52.28"</f>
        <v>52.28</v>
      </c>
      <c r="C2468" t="str">
        <f>"52.355"</f>
        <v>52.355</v>
      </c>
    </row>
    <row r="2469" spans="1:3" x14ac:dyDescent="0.25">
      <c r="A2469" t="str">
        <f>"23/08/2019"</f>
        <v>23/08/2019</v>
      </c>
      <c r="B2469" t="str">
        <f>"52.32"</f>
        <v>52.32</v>
      </c>
      <c r="C2469" t="str">
        <f>"52.392"</f>
        <v>52.392</v>
      </c>
    </row>
    <row r="2470" spans="1:3" x14ac:dyDescent="0.25">
      <c r="A2470" t="str">
        <f>"26/08/2019"</f>
        <v>26/08/2019</v>
      </c>
      <c r="B2470" t="str">
        <f>"52.32"</f>
        <v>52.32</v>
      </c>
      <c r="C2470" t="str">
        <f>"52.392"</f>
        <v>52.392</v>
      </c>
    </row>
    <row r="2471" spans="1:3" x14ac:dyDescent="0.25">
      <c r="A2471" t="str">
        <f>"27/08/2019"</f>
        <v>27/08/2019</v>
      </c>
      <c r="B2471" t="str">
        <f>"52.395"</f>
        <v>52.395</v>
      </c>
      <c r="C2471" t="str">
        <f>"52.47"</f>
        <v>52.47</v>
      </c>
    </row>
    <row r="2472" spans="1:3" x14ac:dyDescent="0.25">
      <c r="A2472" t="str">
        <f>"28/08/2019"</f>
        <v>28/08/2019</v>
      </c>
      <c r="B2472" t="str">
        <f>"52.371"</f>
        <v>52.371</v>
      </c>
      <c r="C2472" t="str">
        <f>"52.451"</f>
        <v>52.451</v>
      </c>
    </row>
    <row r="2473" spans="1:3" x14ac:dyDescent="0.25">
      <c r="A2473" t="str">
        <f>"29/08/2019"</f>
        <v>29/08/2019</v>
      </c>
      <c r="B2473" t="str">
        <f>"52.23"</f>
        <v>52.23</v>
      </c>
      <c r="C2473" t="str">
        <f>"52.3325"</f>
        <v>52.3325</v>
      </c>
    </row>
    <row r="2474" spans="1:3" x14ac:dyDescent="0.25">
      <c r="A2474" t="str">
        <f>"30/08/2019"</f>
        <v>30/08/2019</v>
      </c>
      <c r="B2474" t="str">
        <f>"52.10"</f>
        <v>52.10</v>
      </c>
      <c r="C2474" t="str">
        <f>"52.185"</f>
        <v>52.185</v>
      </c>
    </row>
    <row r="2475" spans="1:3" x14ac:dyDescent="0.25">
      <c r="A2475" t="str">
        <f>"03/09/2019"</f>
        <v>03/09/2019</v>
      </c>
      <c r="B2475" t="str">
        <f>"52.35"</f>
        <v>52.35</v>
      </c>
      <c r="C2475" t="str">
        <f>"52.43"</f>
        <v>52.43</v>
      </c>
    </row>
    <row r="2476" spans="1:3" x14ac:dyDescent="0.25">
      <c r="A2476" t="str">
        <f>"04/09/2019"</f>
        <v>04/09/2019</v>
      </c>
      <c r="B2476" t="str">
        <f>"51.94"</f>
        <v>51.94</v>
      </c>
      <c r="C2476" t="str">
        <f>"0.00"</f>
        <v>0.00</v>
      </c>
    </row>
    <row r="2477" spans="1:3" x14ac:dyDescent="0.25">
      <c r="A2477" t="str">
        <f>"05/09/2019"</f>
        <v>05/09/2019</v>
      </c>
      <c r="B2477" t="str">
        <f>"52.06"</f>
        <v>52.06</v>
      </c>
      <c r="C2477" t="str">
        <f>"52.14"</f>
        <v>52.14</v>
      </c>
    </row>
    <row r="2478" spans="1:3" x14ac:dyDescent="0.25">
      <c r="A2478" t="str">
        <f>"06/09/2019"</f>
        <v>06/09/2019</v>
      </c>
      <c r="B2478" t="str">
        <f>"51.989"</f>
        <v>51.989</v>
      </c>
      <c r="C2478" t="str">
        <f>"52.072"</f>
        <v>52.072</v>
      </c>
    </row>
    <row r="2479" spans="1:3" x14ac:dyDescent="0.25">
      <c r="A2479" t="str">
        <f>"09/09/2019"</f>
        <v>09/09/2019</v>
      </c>
      <c r="B2479" t="str">
        <f>"51.915"</f>
        <v>51.915</v>
      </c>
      <c r="C2479" t="str">
        <f>"51.993"</f>
        <v>51.993</v>
      </c>
    </row>
    <row r="2480" spans="1:3" x14ac:dyDescent="0.25">
      <c r="A2480" t="str">
        <f>"11/09/2019"</f>
        <v>11/09/2019</v>
      </c>
      <c r="B2480" t="str">
        <f>"52.14"</f>
        <v>52.14</v>
      </c>
      <c r="C2480" t="str">
        <f>"52.2225"</f>
        <v>52.2225</v>
      </c>
    </row>
    <row r="2481" spans="1:3" x14ac:dyDescent="0.25">
      <c r="A2481" t="str">
        <f>"12/09/2019"</f>
        <v>12/09/2019</v>
      </c>
      <c r="B2481" t="str">
        <f>"51.995"</f>
        <v>51.995</v>
      </c>
      <c r="C2481" t="str">
        <f>"52.077"</f>
        <v>52.077</v>
      </c>
    </row>
    <row r="2482" spans="1:3" x14ac:dyDescent="0.25">
      <c r="A2482" t="str">
        <f>"16/09/2019"</f>
        <v>16/09/2019</v>
      </c>
      <c r="B2482" t="str">
        <f>"52.29"</f>
        <v>52.29</v>
      </c>
      <c r="C2482" t="str">
        <f>"52.362"</f>
        <v>52.362</v>
      </c>
    </row>
    <row r="2483" spans="1:3" x14ac:dyDescent="0.25">
      <c r="A2483" t="str">
        <f>"17/09/2019"</f>
        <v>17/09/2019</v>
      </c>
      <c r="B2483" t="str">
        <f>"52.265"</f>
        <v>52.265</v>
      </c>
      <c r="C2483" t="str">
        <f>"52.335"</f>
        <v>52.335</v>
      </c>
    </row>
    <row r="2484" spans="1:3" x14ac:dyDescent="0.25">
      <c r="A2484" t="str">
        <f>"18/09/2019"</f>
        <v>18/09/2019</v>
      </c>
      <c r="B2484" t="str">
        <f>"52.27"</f>
        <v>52.27</v>
      </c>
      <c r="C2484" t="str">
        <f>"52.344"</f>
        <v>52.344</v>
      </c>
    </row>
    <row r="2485" spans="1:3" x14ac:dyDescent="0.25">
      <c r="A2485" t="str">
        <f>"19/09/2019"</f>
        <v>19/09/2019</v>
      </c>
      <c r="B2485" t="str">
        <f>"52.273"</f>
        <v>52.273</v>
      </c>
      <c r="C2485" t="str">
        <f>"52.3455"</f>
        <v>52.3455</v>
      </c>
    </row>
    <row r="2486" spans="1:3" x14ac:dyDescent="0.25">
      <c r="A2486" t="str">
        <f>"20/09/2019"</f>
        <v>20/09/2019</v>
      </c>
      <c r="B2486" t="str">
        <f>"52.19"</f>
        <v>52.19</v>
      </c>
      <c r="C2486" t="str">
        <f>"52.26"</f>
        <v>52.26</v>
      </c>
    </row>
    <row r="2487" spans="1:3" x14ac:dyDescent="0.25">
      <c r="A2487" t="str">
        <f>"23/09/2019"</f>
        <v>23/09/2019</v>
      </c>
      <c r="B2487" t="str">
        <f>"52.235"</f>
        <v>52.235</v>
      </c>
      <c r="C2487" t="str">
        <f>"52.305"</f>
        <v>52.305</v>
      </c>
    </row>
    <row r="2488" spans="1:3" x14ac:dyDescent="0.25">
      <c r="A2488" t="str">
        <f>"24/09/2019"</f>
        <v>24/09/2019</v>
      </c>
      <c r="B2488" t="str">
        <f>"52.255"</f>
        <v>52.255</v>
      </c>
      <c r="C2488" t="str">
        <f>"52.3265"</f>
        <v>52.3265</v>
      </c>
    </row>
    <row r="2489" spans="1:3" x14ac:dyDescent="0.25">
      <c r="A2489" t="str">
        <f>"25/09/2019"</f>
        <v>25/09/2019</v>
      </c>
      <c r="B2489" t="str">
        <f>"52.23"</f>
        <v>52.23</v>
      </c>
      <c r="C2489" t="str">
        <f>"52.302"</f>
        <v>52.302</v>
      </c>
    </row>
    <row r="2490" spans="1:3" x14ac:dyDescent="0.25">
      <c r="A2490" t="str">
        <f>"26/09/2019"</f>
        <v>26/09/2019</v>
      </c>
      <c r="B2490" t="str">
        <f>"52.15"</f>
        <v>52.15</v>
      </c>
      <c r="C2490" t="str">
        <f>"52.221"</f>
        <v>52.221</v>
      </c>
    </row>
    <row r="2491" spans="1:3" x14ac:dyDescent="0.25">
      <c r="A2491" t="str">
        <f>"27/09/2019"</f>
        <v>27/09/2019</v>
      </c>
      <c r="B2491" t="str">
        <f>"51.925"</f>
        <v>51.925</v>
      </c>
      <c r="C2491" t="str">
        <f>"51.983"</f>
        <v>51.983</v>
      </c>
    </row>
    <row r="2492" spans="1:3" x14ac:dyDescent="0.25">
      <c r="A2492" t="str">
        <f>"30/09/2019"</f>
        <v>30/09/2019</v>
      </c>
      <c r="B2492" t="str">
        <f>"51.88"</f>
        <v>51.88</v>
      </c>
      <c r="C2492" t="str">
        <f>"51.94"</f>
        <v>51.94</v>
      </c>
    </row>
    <row r="2493" spans="1:3" x14ac:dyDescent="0.25">
      <c r="A2493" t="str">
        <f>"01/10/2019"</f>
        <v>01/10/2019</v>
      </c>
      <c r="B2493" t="str">
        <f>"51.98"</f>
        <v>51.98</v>
      </c>
      <c r="C2493" t="str">
        <f>"52.036"</f>
        <v>52.036</v>
      </c>
    </row>
    <row r="2494" spans="1:3" x14ac:dyDescent="0.25">
      <c r="A2494" t="str">
        <f>"03/10/2019"</f>
        <v>03/10/2019</v>
      </c>
      <c r="B2494" t="str">
        <f>"52.00"</f>
        <v>52.00</v>
      </c>
      <c r="C2494" t="str">
        <f>"52.04"</f>
        <v>52.04</v>
      </c>
    </row>
    <row r="2495" spans="1:3" x14ac:dyDescent="0.25">
      <c r="A2495" t="str">
        <f>"04/10/2019"</f>
        <v>04/10/2019</v>
      </c>
      <c r="B2495" t="str">
        <f>"51.75"</f>
        <v>51.75</v>
      </c>
      <c r="C2495" t="str">
        <f>"51.805"</f>
        <v>51.805</v>
      </c>
    </row>
    <row r="2496" spans="1:3" x14ac:dyDescent="0.25">
      <c r="A2496" t="str">
        <f>"07/10/2019"</f>
        <v>07/10/2019</v>
      </c>
      <c r="B2496" t="str">
        <f>"51.91"</f>
        <v>51.91</v>
      </c>
      <c r="C2496" t="str">
        <f>"51.965"</f>
        <v>51.965</v>
      </c>
    </row>
    <row r="2497" spans="1:3" x14ac:dyDescent="0.25">
      <c r="A2497" t="str">
        <f>"09/10/2019"</f>
        <v>09/10/2019</v>
      </c>
      <c r="B2497" t="str">
        <f>"51.795"</f>
        <v>51.795</v>
      </c>
      <c r="C2497" t="str">
        <f>"51.854"</f>
        <v>51.854</v>
      </c>
    </row>
    <row r="2498" spans="1:3" x14ac:dyDescent="0.25">
      <c r="A2498" t="str">
        <f>"10/10/2019"</f>
        <v>10/10/2019</v>
      </c>
      <c r="B2498" t="str">
        <f>"51.66"</f>
        <v>51.66</v>
      </c>
      <c r="C2498" t="str">
        <f>"51.718"</f>
        <v>51.718</v>
      </c>
    </row>
    <row r="2499" spans="1:3" x14ac:dyDescent="0.25">
      <c r="A2499" t="str">
        <f>"11/10/2019"</f>
        <v>11/10/2019</v>
      </c>
      <c r="B2499" t="str">
        <f>"51.60"</f>
        <v>51.60</v>
      </c>
      <c r="C2499" t="str">
        <f>"51.652"</f>
        <v>51.652</v>
      </c>
    </row>
    <row r="2500" spans="1:3" x14ac:dyDescent="0.25">
      <c r="A2500" t="str">
        <f>"14/10/2019"</f>
        <v>14/10/2019</v>
      </c>
      <c r="B2500" t="str">
        <f>"51.575"</f>
        <v>51.575</v>
      </c>
      <c r="C2500" t="str">
        <f>"51.625"</f>
        <v>51.625</v>
      </c>
    </row>
    <row r="2501" spans="1:3" x14ac:dyDescent="0.25">
      <c r="A2501" t="str">
        <f>"15/10/2019"</f>
        <v>15/10/2019</v>
      </c>
      <c r="B2501" t="str">
        <f>"51.66"</f>
        <v>51.66</v>
      </c>
      <c r="C2501" t="str">
        <f>"51.714"</f>
        <v>51.714</v>
      </c>
    </row>
    <row r="2502" spans="1:3" x14ac:dyDescent="0.25">
      <c r="A2502" t="str">
        <f>"16/10/2019"</f>
        <v>16/10/2019</v>
      </c>
      <c r="B2502" t="str">
        <f>"51.61"</f>
        <v>51.61</v>
      </c>
      <c r="C2502" t="str">
        <f>"51.658"</f>
        <v>51.658</v>
      </c>
    </row>
    <row r="2503" spans="1:3" x14ac:dyDescent="0.25">
      <c r="A2503" t="str">
        <f>"17/10/2019"</f>
        <v>17/10/2019</v>
      </c>
      <c r="B2503" t="str">
        <f>"51.405"</f>
        <v>51.405</v>
      </c>
      <c r="C2503" t="str">
        <f>"51.445"</f>
        <v>51.445</v>
      </c>
    </row>
    <row r="2504" spans="1:3" x14ac:dyDescent="0.25">
      <c r="A2504" t="str">
        <f>"18/10/2019"</f>
        <v>18/10/2019</v>
      </c>
      <c r="B2504" t="str">
        <f>"51.35"</f>
        <v>51.35</v>
      </c>
      <c r="C2504" t="str">
        <f>"51.392"</f>
        <v>51.392</v>
      </c>
    </row>
    <row r="2505" spans="1:3" x14ac:dyDescent="0.25">
      <c r="A2505" t="str">
        <f>"22/10/2019"</f>
        <v>22/10/2019</v>
      </c>
      <c r="B2505" t="str">
        <f>"51.20"</f>
        <v>51.20</v>
      </c>
      <c r="C2505" t="str">
        <f>"51.245"</f>
        <v>51.245</v>
      </c>
    </row>
    <row r="2506" spans="1:3" x14ac:dyDescent="0.25">
      <c r="A2506" t="str">
        <f>"23/10/2019"</f>
        <v>23/10/2019</v>
      </c>
      <c r="B2506" t="str">
        <f>"50.99"</f>
        <v>50.99</v>
      </c>
      <c r="C2506" t="str">
        <f>"51.035"</f>
        <v>51.035</v>
      </c>
    </row>
    <row r="2507" spans="1:3" x14ac:dyDescent="0.25">
      <c r="A2507" t="str">
        <f>"24/10/2019"</f>
        <v>24/10/2019</v>
      </c>
      <c r="B2507" t="str">
        <f>"51.25"</f>
        <v>51.25</v>
      </c>
      <c r="C2507" t="str">
        <f>"51.304"</f>
        <v>51.304</v>
      </c>
    </row>
    <row r="2508" spans="1:3" x14ac:dyDescent="0.25">
      <c r="A2508" t="str">
        <f>"25/10/2019"</f>
        <v>25/10/2019</v>
      </c>
      <c r="B2508" t="str">
        <f>"51.27"</f>
        <v>51.27</v>
      </c>
      <c r="C2508" t="str">
        <f>"51.325"</f>
        <v>51.325</v>
      </c>
    </row>
    <row r="2509" spans="1:3" x14ac:dyDescent="0.25">
      <c r="A2509" t="str">
        <f>"29/10/2019"</f>
        <v>29/10/2019</v>
      </c>
      <c r="B2509" t="str">
        <f>"51.095"</f>
        <v>51.095</v>
      </c>
      <c r="C2509" t="str">
        <f>"51.17"</f>
        <v>51.17</v>
      </c>
    </row>
    <row r="2510" spans="1:3" x14ac:dyDescent="0.25">
      <c r="A2510" t="str">
        <f>"30/10/2019"</f>
        <v>30/10/2019</v>
      </c>
      <c r="B2510" t="str">
        <f>"51.055"</f>
        <v>51.055</v>
      </c>
      <c r="C2510" t="str">
        <f>"51.1235"</f>
        <v>51.1235</v>
      </c>
    </row>
    <row r="2511" spans="1:3" x14ac:dyDescent="0.25">
      <c r="A2511" t="str">
        <f>"31/10/2019"</f>
        <v>31/10/2019</v>
      </c>
      <c r="B2511" t="str">
        <f>"50.78"</f>
        <v>50.78</v>
      </c>
      <c r="C2511" t="str">
        <f>"50.84"</f>
        <v>50.84</v>
      </c>
    </row>
    <row r="2512" spans="1:3" x14ac:dyDescent="0.25">
      <c r="A2512" t="str">
        <f>"01/11/2019"</f>
        <v>01/11/2019</v>
      </c>
      <c r="B2512" t="str">
        <f>"50.78"</f>
        <v>50.78</v>
      </c>
      <c r="C2512" t="str">
        <f>"50.84"</f>
        <v>50.84</v>
      </c>
    </row>
    <row r="2513" spans="1:3" x14ac:dyDescent="0.25">
      <c r="A2513" t="str">
        <f>"04/11/2019"</f>
        <v>04/11/2019</v>
      </c>
      <c r="B2513" t="str">
        <f>"50.485"</f>
        <v>50.485</v>
      </c>
      <c r="C2513" t="str">
        <f>"50.545"</f>
        <v>50.545</v>
      </c>
    </row>
    <row r="2514" spans="1:3" x14ac:dyDescent="0.25">
      <c r="A2514" t="str">
        <f>"05/11/2019"</f>
        <v>05/11/2019</v>
      </c>
      <c r="B2514" t="str">
        <f>"50.507"</f>
        <v>50.507</v>
      </c>
      <c r="C2514" t="str">
        <f>"50.5695"</f>
        <v>50.5695</v>
      </c>
    </row>
    <row r="2515" spans="1:3" x14ac:dyDescent="0.25">
      <c r="A2515" t="str">
        <f>"06/11/2019"</f>
        <v>06/11/2019</v>
      </c>
      <c r="B2515" t="str">
        <f>"50.62"</f>
        <v>50.62</v>
      </c>
      <c r="C2515" t="str">
        <f>"50.683"</f>
        <v>50.683</v>
      </c>
    </row>
    <row r="2516" spans="1:3" x14ac:dyDescent="0.25">
      <c r="A2516" t="str">
        <f>"07/11/2019"</f>
        <v>07/11/2019</v>
      </c>
      <c r="B2516" t="str">
        <f>"50.50"</f>
        <v>50.50</v>
      </c>
      <c r="C2516" t="str">
        <f>"50.5675"</f>
        <v>50.5675</v>
      </c>
    </row>
    <row r="2517" spans="1:3" x14ac:dyDescent="0.25">
      <c r="A2517" t="str">
        <f>"08/11/2019"</f>
        <v>08/11/2019</v>
      </c>
      <c r="B2517" t="str">
        <f>"50.50"</f>
        <v>50.50</v>
      </c>
      <c r="C2517" t="str">
        <f>"50.56"</f>
        <v>50.56</v>
      </c>
    </row>
    <row r="2518" spans="1:3" x14ac:dyDescent="0.25">
      <c r="A2518" t="str">
        <f>"11/11/2019"</f>
        <v>11/11/2019</v>
      </c>
      <c r="B2518" t="str">
        <f>"50.91"</f>
        <v>50.91</v>
      </c>
      <c r="C2518" t="str">
        <f>"50.967"</f>
        <v>50.967</v>
      </c>
    </row>
    <row r="2519" spans="1:3" x14ac:dyDescent="0.25">
      <c r="A2519" t="str">
        <f>"13/11/2019"</f>
        <v>13/11/2019</v>
      </c>
      <c r="B2519" t="str">
        <f>"50.87"</f>
        <v>50.87</v>
      </c>
      <c r="C2519" t="str">
        <f>"50.9315"</f>
        <v>50.9315</v>
      </c>
    </row>
    <row r="2520" spans="1:3" x14ac:dyDescent="0.25">
      <c r="A2520" t="str">
        <f>"14/11/2019"</f>
        <v>14/11/2019</v>
      </c>
      <c r="B2520" t="str">
        <f>"50.73"</f>
        <v>50.73</v>
      </c>
      <c r="C2520" t="str">
        <f>"50.788"</f>
        <v>50.788</v>
      </c>
    </row>
    <row r="2521" spans="1:3" x14ac:dyDescent="0.25">
      <c r="A2521" t="str">
        <f>"15/11/2019"</f>
        <v>15/11/2019</v>
      </c>
      <c r="B2521" t="str">
        <f>"50.65"</f>
        <v>50.65</v>
      </c>
      <c r="C2521" t="str">
        <f>"50.71"</f>
        <v>50.71</v>
      </c>
    </row>
    <row r="2522" spans="1:3" x14ac:dyDescent="0.25">
      <c r="A2522" t="str">
        <f>"18/11/2019"</f>
        <v>18/11/2019</v>
      </c>
      <c r="B2522" t="str">
        <f>"50.711"</f>
        <v>50.711</v>
      </c>
      <c r="C2522" t="str">
        <f>"50.7705"</f>
        <v>50.7705</v>
      </c>
    </row>
    <row r="2523" spans="1:3" x14ac:dyDescent="0.25">
      <c r="A2523" t="str">
        <f>"19/11/2019"</f>
        <v>19/11/2019</v>
      </c>
      <c r="B2523" t="str">
        <f>"50.95"</f>
        <v>50.95</v>
      </c>
      <c r="C2523" t="str">
        <f>"51.008"</f>
        <v>51.008</v>
      </c>
    </row>
    <row r="2524" spans="1:3" x14ac:dyDescent="0.25">
      <c r="A2524" t="str">
        <f>"20/11/2019"</f>
        <v>20/11/2019</v>
      </c>
      <c r="B2524" t="str">
        <f>"50.92"</f>
        <v>50.92</v>
      </c>
      <c r="C2524" t="str">
        <f>"50.985"</f>
        <v>50.985</v>
      </c>
    </row>
    <row r="2525" spans="1:3" x14ac:dyDescent="0.25">
      <c r="A2525" t="str">
        <f>"21/11/2019"</f>
        <v>21/11/2019</v>
      </c>
      <c r="B2525" t="str">
        <f>"50.97"</f>
        <v>50.97</v>
      </c>
      <c r="C2525" t="str">
        <f>"51.0325"</f>
        <v>51.0325</v>
      </c>
    </row>
    <row r="2526" spans="1:3" x14ac:dyDescent="0.25">
      <c r="A2526" t="str">
        <f>"22/11/2019"</f>
        <v>22/11/2019</v>
      </c>
      <c r="B2526" t="str">
        <f>"50.835"</f>
        <v>50.835</v>
      </c>
      <c r="C2526" t="str">
        <f>"50.885"</f>
        <v>50.885</v>
      </c>
    </row>
    <row r="2527" spans="1:3" x14ac:dyDescent="0.25">
      <c r="A2527" t="str">
        <f>"25/11/2019"</f>
        <v>25/11/2019</v>
      </c>
      <c r="B2527" t="str">
        <f>"50.77"</f>
        <v>50.77</v>
      </c>
      <c r="C2527" t="str">
        <f>"50.815"</f>
        <v>50.815</v>
      </c>
    </row>
    <row r="2528" spans="1:3" x14ac:dyDescent="0.25">
      <c r="A2528" t="str">
        <f>"26/11/2019"</f>
        <v>26/11/2019</v>
      </c>
      <c r="B2528" t="str">
        <f>"50.95"</f>
        <v>50.95</v>
      </c>
      <c r="C2528" t="str">
        <f>"50.99"</f>
        <v>50.99</v>
      </c>
    </row>
    <row r="2529" spans="1:3" x14ac:dyDescent="0.25">
      <c r="A2529" t="str">
        <f>"27/11/2019"</f>
        <v>27/11/2019</v>
      </c>
      <c r="B2529" t="str">
        <f>"50.85"</f>
        <v>50.85</v>
      </c>
      <c r="C2529" t="str">
        <f>"50.883"</f>
        <v>50.883</v>
      </c>
    </row>
    <row r="2530" spans="1:3" x14ac:dyDescent="0.25">
      <c r="A2530" t="str">
        <f>"28/11/2019"</f>
        <v>28/11/2019</v>
      </c>
      <c r="B2530" t="str">
        <f>"50.755"</f>
        <v>50.755</v>
      </c>
      <c r="C2530" t="str">
        <f>"50.78"</f>
        <v>50.78</v>
      </c>
    </row>
    <row r="2531" spans="1:3" x14ac:dyDescent="0.25">
      <c r="A2531" t="str">
        <f>"29/11/2019"</f>
        <v>29/11/2019</v>
      </c>
      <c r="B2531" t="str">
        <f>"50.76"</f>
        <v>50.76</v>
      </c>
      <c r="C2531" t="str">
        <f>"50.795"</f>
        <v>50.795</v>
      </c>
    </row>
    <row r="2532" spans="1:3" x14ac:dyDescent="0.25">
      <c r="A2532" t="str">
        <f>"02/12/2019"</f>
        <v>02/12/2019</v>
      </c>
      <c r="B2532" t="str">
        <f>"51.13"</f>
        <v>51.13</v>
      </c>
      <c r="C2532" t="str">
        <f>"51.19"</f>
        <v>51.19</v>
      </c>
    </row>
    <row r="2533" spans="1:3" x14ac:dyDescent="0.25">
      <c r="A2533" t="str">
        <f>"03/12/2019"</f>
        <v>03/12/2019</v>
      </c>
      <c r="B2533" t="str">
        <f>"51.001"</f>
        <v>51.001</v>
      </c>
      <c r="C2533" t="str">
        <f>"51.066"</f>
        <v>51.066</v>
      </c>
    </row>
    <row r="2534" spans="1:3" x14ac:dyDescent="0.25">
      <c r="A2534" t="str">
        <f>"04/12/2019"</f>
        <v>04/12/2019</v>
      </c>
      <c r="B2534" t="str">
        <f>"51.07"</f>
        <v>51.07</v>
      </c>
      <c r="C2534" t="str">
        <f>"51.14"</f>
        <v>51.14</v>
      </c>
    </row>
    <row r="2535" spans="1:3" x14ac:dyDescent="0.25">
      <c r="A2535" t="str">
        <f>"05/12/2019"</f>
        <v>05/12/2019</v>
      </c>
      <c r="B2535" t="str">
        <f>"50.80"</f>
        <v>50.80</v>
      </c>
      <c r="C2535" t="str">
        <f>"50.87"</f>
        <v>50.87</v>
      </c>
    </row>
    <row r="2536" spans="1:3" x14ac:dyDescent="0.25">
      <c r="A2536" t="str">
        <f>"06/12/2019"</f>
        <v>06/12/2019</v>
      </c>
      <c r="B2536" t="str">
        <f>"50.76"</f>
        <v>50.76</v>
      </c>
      <c r="C2536" t="str">
        <f>"50.832"</f>
        <v>50.832</v>
      </c>
    </row>
    <row r="2537" spans="1:3" x14ac:dyDescent="0.25">
      <c r="A2537" t="str">
        <f>"09/12/2019"</f>
        <v>09/12/2019</v>
      </c>
      <c r="B2537" t="str">
        <f>"50.78"</f>
        <v>50.78</v>
      </c>
      <c r="C2537" t="str">
        <f>"50.845"</f>
        <v>50.845</v>
      </c>
    </row>
    <row r="2538" spans="1:3" x14ac:dyDescent="0.25">
      <c r="A2538" t="str">
        <f>"10/12/2019"</f>
        <v>10/12/2019</v>
      </c>
      <c r="B2538" t="str">
        <f>"50.71"</f>
        <v>50.71</v>
      </c>
      <c r="C2538" t="str">
        <f>"50.779"</f>
        <v>50.779</v>
      </c>
    </row>
    <row r="2539" spans="1:3" x14ac:dyDescent="0.25">
      <c r="A2539" t="str">
        <f>"11/12/2019"</f>
        <v>11/12/2019</v>
      </c>
      <c r="B2539" t="str">
        <f>"50.84"</f>
        <v>50.84</v>
      </c>
      <c r="C2539" t="str">
        <f>"50.913"</f>
        <v>50.913</v>
      </c>
    </row>
    <row r="2540" spans="1:3" x14ac:dyDescent="0.25">
      <c r="A2540" t="str">
        <f>"12/12/2019"</f>
        <v>12/12/2019</v>
      </c>
      <c r="B2540" t="str">
        <f>"50.73"</f>
        <v>50.73</v>
      </c>
      <c r="C2540" t="str">
        <f>"50.80"</f>
        <v>50.80</v>
      </c>
    </row>
    <row r="2541" spans="1:3" x14ac:dyDescent="0.25">
      <c r="A2541" t="str">
        <f>"13/12/2019"</f>
        <v>13/12/2019</v>
      </c>
      <c r="B2541" t="str">
        <f>"50.60"</f>
        <v>50.60</v>
      </c>
      <c r="C2541" t="str">
        <f>"50.665"</f>
        <v>50.665</v>
      </c>
    </row>
    <row r="2542" spans="1:3" x14ac:dyDescent="0.25">
      <c r="A2542" t="str">
        <f>"16/12/2019"</f>
        <v>16/12/2019</v>
      </c>
      <c r="B2542" t="str">
        <f>"50.655"</f>
        <v>50.655</v>
      </c>
      <c r="C2542" t="str">
        <f>"50.7175"</f>
        <v>50.7175</v>
      </c>
    </row>
    <row r="2543" spans="1:3" x14ac:dyDescent="0.25">
      <c r="A2543" t="str">
        <f>"17/12/2019"</f>
        <v>17/12/2019</v>
      </c>
      <c r="B2543" t="str">
        <f>"50.618"</f>
        <v>50.618</v>
      </c>
      <c r="C2543" t="str">
        <f>"50.688"</f>
        <v>50.688</v>
      </c>
    </row>
    <row r="2544" spans="1:3" x14ac:dyDescent="0.25">
      <c r="A2544" t="str">
        <f>"18/12/2019"</f>
        <v>18/12/2019</v>
      </c>
      <c r="B2544" t="str">
        <f>"50.64"</f>
        <v>50.64</v>
      </c>
      <c r="C2544" t="str">
        <f>"50.712"</f>
        <v>50.712</v>
      </c>
    </row>
    <row r="2545" spans="1:3" x14ac:dyDescent="0.25">
      <c r="A2545" t="str">
        <f>"19/12/2019"</f>
        <v>19/12/2019</v>
      </c>
      <c r="B2545" t="str">
        <f>"50.64"</f>
        <v>50.64</v>
      </c>
      <c r="C2545" t="str">
        <f>"50.7095"</f>
        <v>50.7095</v>
      </c>
    </row>
    <row r="2546" spans="1:3" x14ac:dyDescent="0.25">
      <c r="A2546" t="str">
        <f>"20/12/2019"</f>
        <v>20/12/2019</v>
      </c>
      <c r="B2546" t="str">
        <f>"50.75"</f>
        <v>50.75</v>
      </c>
      <c r="C2546" t="str">
        <f>"50.818"</f>
        <v>50.818</v>
      </c>
    </row>
    <row r="2547" spans="1:3" x14ac:dyDescent="0.25">
      <c r="A2547" t="str">
        <f>"23/12/2019"</f>
        <v>23/12/2019</v>
      </c>
      <c r="B2547" t="str">
        <f>"50.81"</f>
        <v>50.81</v>
      </c>
      <c r="C2547" t="str">
        <f>"50.865"</f>
        <v>50.865</v>
      </c>
    </row>
    <row r="2548" spans="1:3" x14ac:dyDescent="0.25">
      <c r="A2548" t="str">
        <f>"24/12/2019"</f>
        <v>24/12/2019</v>
      </c>
      <c r="B2548" t="str">
        <f>"50.81"</f>
        <v>50.81</v>
      </c>
      <c r="C2548" t="str">
        <f>"50.865"</f>
        <v>50.865</v>
      </c>
    </row>
    <row r="2549" spans="1:3" x14ac:dyDescent="0.25">
      <c r="A2549" t="str">
        <f>"26/12/2019"</f>
        <v>26/12/2019</v>
      </c>
      <c r="B2549" t="str">
        <f>"50.848"</f>
        <v>50.848</v>
      </c>
      <c r="C2549" t="str">
        <f>"50.8855"</f>
        <v>50.8855</v>
      </c>
    </row>
    <row r="2550" spans="1:3" x14ac:dyDescent="0.25">
      <c r="A2550" t="str">
        <f>"27/12/2019"</f>
        <v>27/12/2019</v>
      </c>
      <c r="B2550" t="str">
        <f>"50.68"</f>
        <v>50.68</v>
      </c>
      <c r="C2550" t="str">
        <f>"50.74"</f>
        <v>50.74</v>
      </c>
    </row>
    <row r="2551" spans="1:3" x14ac:dyDescent="0.25">
      <c r="A2551" t="str">
        <f>"30/12/2019"</f>
        <v>30/12/2019</v>
      </c>
      <c r="B2551" t="str">
        <f>"50.68"</f>
        <v>50.68</v>
      </c>
      <c r="C2551" t="str">
        <f>"50.74"</f>
        <v>50.74</v>
      </c>
    </row>
    <row r="2552" spans="1:3" x14ac:dyDescent="0.25">
      <c r="A2552" t="str">
        <f>"31/12/2019"</f>
        <v>31/12/2019</v>
      </c>
      <c r="B2552" t="str">
        <f>"50.68"</f>
        <v>50.68</v>
      </c>
      <c r="C2552" t="str">
        <f>"50.74"</f>
        <v>50.74</v>
      </c>
    </row>
    <row r="2553" spans="1:3" x14ac:dyDescent="0.25">
      <c r="A2553" t="str">
        <f>"02/01/2020"</f>
        <v>02/01/2020</v>
      </c>
      <c r="B2553" t="str">
        <f>"50.693"</f>
        <v>50.693</v>
      </c>
      <c r="C2553" t="str">
        <f>"50.748"</f>
        <v>50.748</v>
      </c>
    </row>
    <row r="2554" spans="1:3" x14ac:dyDescent="0.25">
      <c r="A2554" t="str">
        <f>"03/01/2020"</f>
        <v>03/01/2020</v>
      </c>
      <c r="B2554" t="str">
        <f>"51.085"</f>
        <v>51.085</v>
      </c>
      <c r="C2554" t="str">
        <f>"51.155"</f>
        <v>51.155</v>
      </c>
    </row>
    <row r="2555" spans="1:3" x14ac:dyDescent="0.25">
      <c r="A2555" t="str">
        <f>"06/01/2020"</f>
        <v>06/01/2020</v>
      </c>
      <c r="B2555" t="str">
        <f>"51.20"</f>
        <v>51.20</v>
      </c>
      <c r="C2555" t="str">
        <f>"51.28"</f>
        <v>51.28</v>
      </c>
    </row>
    <row r="2556" spans="1:3" x14ac:dyDescent="0.25">
      <c r="A2556" t="str">
        <f>"07/01/2020"</f>
        <v>07/01/2020</v>
      </c>
      <c r="B2556" t="str">
        <f>"50.77"</f>
        <v>50.77</v>
      </c>
      <c r="C2556" t="str">
        <f>"50.845"</f>
        <v>50.845</v>
      </c>
    </row>
    <row r="2557" spans="1:3" x14ac:dyDescent="0.25">
      <c r="A2557" t="str">
        <f>"08/01/2020"</f>
        <v>08/01/2020</v>
      </c>
      <c r="B2557" t="str">
        <f>"50.75"</f>
        <v>50.75</v>
      </c>
      <c r="C2557" t="str">
        <f>"50.83"</f>
        <v>50.83</v>
      </c>
    </row>
    <row r="2558" spans="1:3" x14ac:dyDescent="0.25">
      <c r="A2558" t="str">
        <f>"09/01/2020"</f>
        <v>09/01/2020</v>
      </c>
      <c r="B2558" t="str">
        <f>"50.67"</f>
        <v>50.67</v>
      </c>
      <c r="C2558" t="str">
        <f>"50.7435"</f>
        <v>50.7435</v>
      </c>
    </row>
    <row r="2559" spans="1:3" x14ac:dyDescent="0.25">
      <c r="A2559" t="str">
        <f>"10/01/2020"</f>
        <v>10/01/2020</v>
      </c>
      <c r="B2559" t="str">
        <f>"50.735"</f>
        <v>50.735</v>
      </c>
      <c r="C2559" t="str">
        <f>"50.81"</f>
        <v>50.81</v>
      </c>
    </row>
    <row r="2560" spans="1:3" x14ac:dyDescent="0.25">
      <c r="A2560" t="str">
        <f>"13/01/2020"</f>
        <v>13/01/2020</v>
      </c>
      <c r="B2560" t="str">
        <f>"50.735"</f>
        <v>50.735</v>
      </c>
      <c r="C2560" t="str">
        <f>"50.81"</f>
        <v>50.81</v>
      </c>
    </row>
    <row r="2561" spans="1:3" x14ac:dyDescent="0.25">
      <c r="A2561" t="str">
        <f>"14/01/2020"</f>
        <v>14/01/2020</v>
      </c>
      <c r="B2561" t="str">
        <f>"50.52"</f>
        <v>50.52</v>
      </c>
      <c r="C2561" t="str">
        <f>"50.595"</f>
        <v>50.595</v>
      </c>
    </row>
    <row r="2562" spans="1:3" x14ac:dyDescent="0.25">
      <c r="A2562" t="str">
        <f>"15/01/2020"</f>
        <v>15/01/2020</v>
      </c>
      <c r="B2562" t="str">
        <f>"50.76"</f>
        <v>50.76</v>
      </c>
      <c r="C2562" t="str">
        <f>"50.82"</f>
        <v>50.82</v>
      </c>
    </row>
    <row r="2563" spans="1:3" x14ac:dyDescent="0.25">
      <c r="A2563" t="str">
        <f>"16/01/2020"</f>
        <v>16/01/2020</v>
      </c>
      <c r="B2563" t="str">
        <f>"50.685"</f>
        <v>50.685</v>
      </c>
      <c r="C2563" t="str">
        <f>"50.74"</f>
        <v>50.74</v>
      </c>
    </row>
    <row r="2564" spans="1:3" x14ac:dyDescent="0.25">
      <c r="A2564" t="str">
        <f>"17/01/2020"</f>
        <v>17/01/2020</v>
      </c>
      <c r="B2564" t="str">
        <f>"50.91"</f>
        <v>50.91</v>
      </c>
      <c r="C2564" t="str">
        <f>"50.962"</f>
        <v>50.962</v>
      </c>
    </row>
    <row r="2565" spans="1:3" x14ac:dyDescent="0.25">
      <c r="A2565" t="str">
        <f>"20/01/2020"</f>
        <v>20/01/2020</v>
      </c>
      <c r="B2565" t="str">
        <f>"50.99"</f>
        <v>50.99</v>
      </c>
      <c r="C2565" t="str">
        <f>"51.038"</f>
        <v>51.038</v>
      </c>
    </row>
    <row r="2566" spans="1:3" x14ac:dyDescent="0.25">
      <c r="A2566" t="str">
        <f>"21/01/2020"</f>
        <v>21/01/2020</v>
      </c>
      <c r="B2566" t="str">
        <f>"51.02"</f>
        <v>51.02</v>
      </c>
      <c r="C2566" t="str">
        <f>"51.065"</f>
        <v>51.065</v>
      </c>
    </row>
    <row r="2567" spans="1:3" x14ac:dyDescent="0.25">
      <c r="A2567" t="str">
        <f>"22/01/2020"</f>
        <v>22/01/2020</v>
      </c>
      <c r="B2567" t="str">
        <f>"50.905"</f>
        <v>50.905</v>
      </c>
      <c r="C2567" t="str">
        <f>"50.95"</f>
        <v>50.95</v>
      </c>
    </row>
    <row r="2568" spans="1:3" x14ac:dyDescent="0.25">
      <c r="A2568" t="str">
        <f>"23/01/2020"</f>
        <v>23/01/2020</v>
      </c>
      <c r="B2568" t="str">
        <f>"50.99"</f>
        <v>50.99</v>
      </c>
      <c r="C2568" t="str">
        <f>"51.037"</f>
        <v>51.037</v>
      </c>
    </row>
    <row r="2569" spans="1:3" x14ac:dyDescent="0.25">
      <c r="A2569" t="str">
        <f>"24/01/2020"</f>
        <v>24/01/2020</v>
      </c>
      <c r="B2569" t="str">
        <f>"50.82"</f>
        <v>50.82</v>
      </c>
      <c r="C2569" t="str">
        <f>"50.866"</f>
        <v>50.866</v>
      </c>
    </row>
    <row r="2570" spans="1:3" x14ac:dyDescent="0.25">
      <c r="A2570" t="str">
        <f>"27/01/2020"</f>
        <v>27/01/2020</v>
      </c>
      <c r="B2570" t="str">
        <f>"50.855"</f>
        <v>50.855</v>
      </c>
      <c r="C2570" t="str">
        <f>"50.898"</f>
        <v>50.898</v>
      </c>
    </row>
    <row r="2571" spans="1:3" x14ac:dyDescent="0.25">
      <c r="A2571" t="str">
        <f>"28/01/2020"</f>
        <v>28/01/2020</v>
      </c>
      <c r="B2571" t="str">
        <f>"50.765"</f>
        <v>50.765</v>
      </c>
      <c r="C2571" t="str">
        <f>"50.81"</f>
        <v>50.81</v>
      </c>
    </row>
    <row r="2572" spans="1:3" x14ac:dyDescent="0.25">
      <c r="A2572" t="str">
        <f>"29/01/2020"</f>
        <v>29/01/2020</v>
      </c>
      <c r="B2572" t="str">
        <f>"50.85"</f>
        <v>50.85</v>
      </c>
      <c r="C2572" t="str">
        <f>"50.894"</f>
        <v>50.894</v>
      </c>
    </row>
    <row r="2573" spans="1:3" x14ac:dyDescent="0.25">
      <c r="A2573" t="str">
        <f>"30/01/2020"</f>
        <v>30/01/2020</v>
      </c>
      <c r="B2573" t="str">
        <f>"51.00"</f>
        <v>51.00</v>
      </c>
      <c r="C2573" t="str">
        <f>"51.056"</f>
        <v>51.056</v>
      </c>
    </row>
    <row r="2574" spans="1:3" x14ac:dyDescent="0.25">
      <c r="A2574" t="str">
        <f>"31/01/2020"</f>
        <v>31/01/2020</v>
      </c>
      <c r="B2574" t="str">
        <f>"50.90"</f>
        <v>50.90</v>
      </c>
      <c r="C2574" t="str">
        <f>"50.955"</f>
        <v>50.955</v>
      </c>
    </row>
    <row r="2575" spans="1:3" x14ac:dyDescent="0.25">
      <c r="A2575" t="str">
        <f>"03/02/2020"</f>
        <v>03/02/2020</v>
      </c>
      <c r="B2575" t="str">
        <f>"50.80"</f>
        <v>50.80</v>
      </c>
      <c r="C2575" t="str">
        <f>"50.8665"</f>
        <v>50.8665</v>
      </c>
    </row>
    <row r="2576" spans="1:3" x14ac:dyDescent="0.25">
      <c r="A2576" t="str">
        <f>"04/02/2020"</f>
        <v>04/02/2020</v>
      </c>
      <c r="B2576" t="str">
        <f>"50.78"</f>
        <v>50.78</v>
      </c>
      <c r="C2576" t="str">
        <f>"50.845"</f>
        <v>50.845</v>
      </c>
    </row>
    <row r="2577" spans="1:3" x14ac:dyDescent="0.25">
      <c r="A2577" t="str">
        <f>"05/02/2020"</f>
        <v>05/02/2020</v>
      </c>
      <c r="B2577" t="str">
        <f>"50.92"</f>
        <v>50.92</v>
      </c>
      <c r="C2577" t="str">
        <f>"50.985"</f>
        <v>50.985</v>
      </c>
    </row>
    <row r="2578" spans="1:3" x14ac:dyDescent="0.25">
      <c r="A2578" t="str">
        <f>"06/02/2020"</f>
        <v>06/02/2020</v>
      </c>
      <c r="B2578" t="str">
        <f>"50.78"</f>
        <v>50.78</v>
      </c>
      <c r="C2578" t="str">
        <f>"50.854"</f>
        <v>50.854</v>
      </c>
    </row>
    <row r="2579" spans="1:3" x14ac:dyDescent="0.25">
      <c r="A2579" t="str">
        <f>"07/02/2020"</f>
        <v>07/02/2020</v>
      </c>
      <c r="B2579" t="str">
        <f>"50.765"</f>
        <v>50.765</v>
      </c>
      <c r="C2579" t="str">
        <f>"50.845"</f>
        <v>50.845</v>
      </c>
    </row>
    <row r="2580" spans="1:3" x14ac:dyDescent="0.25">
      <c r="A2580" t="str">
        <f>"10/02/2020"</f>
        <v>10/02/2020</v>
      </c>
      <c r="B2580" t="str">
        <f>"50.78"</f>
        <v>50.78</v>
      </c>
      <c r="C2580" t="str">
        <f>"50.855"</f>
        <v>50.855</v>
      </c>
    </row>
    <row r="2581" spans="1:3" x14ac:dyDescent="0.25">
      <c r="A2581" t="str">
        <f>"11/02/2020"</f>
        <v>11/02/2020</v>
      </c>
      <c r="B2581" t="str">
        <f>"50.71"</f>
        <v>50.71</v>
      </c>
      <c r="C2581" t="str">
        <f>"50.794"</f>
        <v>50.794</v>
      </c>
    </row>
    <row r="2582" spans="1:3" x14ac:dyDescent="0.25">
      <c r="A2582" t="str">
        <f>"12/02/2020"</f>
        <v>12/02/2020</v>
      </c>
      <c r="B2582" t="str">
        <f>"50.58"</f>
        <v>50.58</v>
      </c>
      <c r="C2582" t="str">
        <f>"50.65"</f>
        <v>50.65</v>
      </c>
    </row>
    <row r="2583" spans="1:3" x14ac:dyDescent="0.25">
      <c r="A2583" t="str">
        <f>"13/02/2020"</f>
        <v>13/02/2020</v>
      </c>
      <c r="B2583" t="str">
        <f>"50.52"</f>
        <v>50.52</v>
      </c>
      <c r="C2583" t="str">
        <f>"50.59"</f>
        <v>50.59</v>
      </c>
    </row>
    <row r="2584" spans="1:3" x14ac:dyDescent="0.25">
      <c r="A2584" t="str">
        <f>"14/02/2020"</f>
        <v>14/02/2020</v>
      </c>
      <c r="B2584" t="str">
        <f>"50.58"</f>
        <v>50.58</v>
      </c>
      <c r="C2584" t="str">
        <f>"50.654"</f>
        <v>50.654</v>
      </c>
    </row>
    <row r="2585" spans="1:3" x14ac:dyDescent="0.25">
      <c r="A2585" t="str">
        <f>"17/02/2020"</f>
        <v>17/02/2020</v>
      </c>
      <c r="B2585" t="str">
        <f>"50.57"</f>
        <v>50.57</v>
      </c>
      <c r="C2585" t="str">
        <f>"50.6395"</f>
        <v>50.6395</v>
      </c>
    </row>
    <row r="2586" spans="1:3" x14ac:dyDescent="0.25">
      <c r="A2586" t="str">
        <f>"18/02/2020"</f>
        <v>18/02/2020</v>
      </c>
      <c r="B2586" t="str">
        <f>"50.65"</f>
        <v>50.65</v>
      </c>
      <c r="C2586" t="str">
        <f>"50.727"</f>
        <v>50.727</v>
      </c>
    </row>
    <row r="2587" spans="1:3" x14ac:dyDescent="0.25">
      <c r="A2587" t="str">
        <f>"20/02/2020"</f>
        <v>20/02/2020</v>
      </c>
      <c r="B2587" t="str">
        <f>"50.60"</f>
        <v>50.60</v>
      </c>
      <c r="C2587" t="str">
        <f>"50.682"</f>
        <v>50.682</v>
      </c>
    </row>
    <row r="2588" spans="1:3" x14ac:dyDescent="0.25">
      <c r="A2588" t="str">
        <f>"24/02/2020"</f>
        <v>24/02/2020</v>
      </c>
      <c r="B2588" t="str">
        <f>"50.98"</f>
        <v>50.98</v>
      </c>
      <c r="C2588" t="str">
        <f>"51.065"</f>
        <v>51.065</v>
      </c>
    </row>
    <row r="2589" spans="1:3" x14ac:dyDescent="0.25">
      <c r="A2589" t="str">
        <f>"25/02/2020"</f>
        <v>25/02/2020</v>
      </c>
      <c r="B2589" t="str">
        <f>"50.98"</f>
        <v>50.98</v>
      </c>
      <c r="C2589" t="str">
        <f>"51.065"</f>
        <v>51.065</v>
      </c>
    </row>
    <row r="2590" spans="1:3" x14ac:dyDescent="0.25">
      <c r="A2590" t="str">
        <f>"26/02/2020"</f>
        <v>26/02/2020</v>
      </c>
      <c r="B2590" t="str">
        <f>"51.048"</f>
        <v>51.048</v>
      </c>
      <c r="C2590" t="str">
        <f>"51.14"</f>
        <v>51.14</v>
      </c>
    </row>
    <row r="2591" spans="1:3" x14ac:dyDescent="0.25">
      <c r="A2591" t="str">
        <f>"27/02/2020"</f>
        <v>27/02/2020</v>
      </c>
      <c r="B2591" t="str">
        <f>"50.833"</f>
        <v>50.833</v>
      </c>
      <c r="C2591" t="str">
        <f>"50.931"</f>
        <v>50.931</v>
      </c>
    </row>
    <row r="2592" spans="1:3" x14ac:dyDescent="0.25">
      <c r="A2592" t="str">
        <f>"28/02/2020"</f>
        <v>28/02/2020</v>
      </c>
      <c r="B2592" t="str">
        <f>"50.905"</f>
        <v>50.905</v>
      </c>
      <c r="C2592" t="str">
        <f>"51.009"</f>
        <v>51.009</v>
      </c>
    </row>
    <row r="2593" spans="1:3" x14ac:dyDescent="0.25">
      <c r="A2593" t="str">
        <f>"02/03/2020"</f>
        <v>02/03/2020</v>
      </c>
      <c r="B2593" t="str">
        <f>"50.65"</f>
        <v>50.65</v>
      </c>
      <c r="C2593" t="str">
        <f>"50.76"</f>
        <v>50.76</v>
      </c>
    </row>
    <row r="2594" spans="1:3" x14ac:dyDescent="0.25">
      <c r="A2594" t="str">
        <f>"03/03/2020"</f>
        <v>03/03/2020</v>
      </c>
      <c r="B2594" t="str">
        <f>"50.71"</f>
        <v>50.71</v>
      </c>
      <c r="C2594" t="str">
        <f>"50.81"</f>
        <v>50.81</v>
      </c>
    </row>
    <row r="2595" spans="1:3" x14ac:dyDescent="0.25">
      <c r="A2595" t="str">
        <f>"04/03/2020"</f>
        <v>04/03/2020</v>
      </c>
      <c r="B2595" t="str">
        <f>"50.564"</f>
        <v>50.564</v>
      </c>
      <c r="C2595" t="str">
        <f>"50.674"</f>
        <v>50.674</v>
      </c>
    </row>
    <row r="2596" spans="1:3" x14ac:dyDescent="0.25">
      <c r="A2596" t="str">
        <f>"05/03/2020"</f>
        <v>05/03/2020</v>
      </c>
      <c r="B2596" t="str">
        <f>"50.60"</f>
        <v>50.60</v>
      </c>
      <c r="C2596" t="str">
        <f>"50.699"</f>
        <v>50.699</v>
      </c>
    </row>
    <row r="2597" spans="1:3" x14ac:dyDescent="0.25">
      <c r="A2597" t="str">
        <f>"06/03/2020"</f>
        <v>06/03/2020</v>
      </c>
      <c r="B2597" t="str">
        <f>"50.658"</f>
        <v>50.658</v>
      </c>
      <c r="C2597" t="str">
        <f>"50.773"</f>
        <v>50.773</v>
      </c>
    </row>
    <row r="2598" spans="1:3" x14ac:dyDescent="0.25">
      <c r="A2598" t="str">
        <f>"09/03/2020"</f>
        <v>09/03/2020</v>
      </c>
      <c r="B2598" t="str">
        <f>"50.655"</f>
        <v>50.655</v>
      </c>
      <c r="C2598" t="str">
        <f>"50.775"</f>
        <v>50.775</v>
      </c>
    </row>
    <row r="2599" spans="1:3" x14ac:dyDescent="0.25">
      <c r="A2599" t="str">
        <f>"11/03/2020"</f>
        <v>11/03/2020</v>
      </c>
      <c r="B2599" t="str">
        <f>"50.555"</f>
        <v>50.555</v>
      </c>
      <c r="C2599" t="str">
        <f>"50.68"</f>
        <v>50.68</v>
      </c>
    </row>
    <row r="2600" spans="1:3" x14ac:dyDescent="0.25">
      <c r="A2600" t="str">
        <f>"12/03/2020"</f>
        <v>12/03/2020</v>
      </c>
      <c r="B2600" t="str">
        <f>"50.87"</f>
        <v>50.87</v>
      </c>
      <c r="C2600" t="str">
        <f>"51.03"</f>
        <v>51.03</v>
      </c>
    </row>
    <row r="2601" spans="1:3" x14ac:dyDescent="0.25">
      <c r="A2601" t="str">
        <f>"13/03/2020"</f>
        <v>13/03/2020</v>
      </c>
      <c r="B2601" t="str">
        <f>"51.05"</f>
        <v>51.05</v>
      </c>
      <c r="C2601" t="str">
        <f>"51.19"</f>
        <v>51.19</v>
      </c>
    </row>
    <row r="2602" spans="1:3" x14ac:dyDescent="0.25">
      <c r="A2602" t="str">
        <f>"16/03/2020"</f>
        <v>16/03/2020</v>
      </c>
      <c r="B2602" t="str">
        <f>"51.52"</f>
        <v>51.52</v>
      </c>
      <c r="C2602" t="str">
        <f>"51.71"</f>
        <v>51.71</v>
      </c>
    </row>
    <row r="2603" spans="1:3" x14ac:dyDescent="0.25">
      <c r="A2603" t="str">
        <f>"17/03/2020"</f>
        <v>17/03/2020</v>
      </c>
      <c r="B2603" t="str">
        <f>"51.52"</f>
        <v>51.52</v>
      </c>
      <c r="C2603" t="str">
        <f>"51.71"</f>
        <v>51.71</v>
      </c>
    </row>
    <row r="2604" spans="1:3" x14ac:dyDescent="0.25">
      <c r="A2604" t="str">
        <f>"18/03/2020"</f>
        <v>18/03/2020</v>
      </c>
      <c r="B2604" t="str">
        <f>"51.21"</f>
        <v>51.21</v>
      </c>
      <c r="C2604" t="str">
        <f>"51.48"</f>
        <v>51.48</v>
      </c>
    </row>
    <row r="2605" spans="1:3" x14ac:dyDescent="0.25">
      <c r="A2605" t="str">
        <f>"19/03/2020"</f>
        <v>19/03/2020</v>
      </c>
      <c r="B2605" t="str">
        <f>"51.15"</f>
        <v>51.15</v>
      </c>
      <c r="C2605" t="str">
        <f>"51.45"</f>
        <v>51.45</v>
      </c>
    </row>
    <row r="2606" spans="1:3" x14ac:dyDescent="0.25">
      <c r="A2606" t="str">
        <f>"20/03/2020"</f>
        <v>20/03/2020</v>
      </c>
      <c r="B2606" t="str">
        <f>"50.935"</f>
        <v>50.935</v>
      </c>
      <c r="C2606" t="str">
        <f>"51.135"</f>
        <v>51.135</v>
      </c>
    </row>
    <row r="2607" spans="1:3" x14ac:dyDescent="0.25">
      <c r="A2607" t="str">
        <f>"23/03/2020"</f>
        <v>23/03/2020</v>
      </c>
      <c r="B2607" t="str">
        <f>"51.33"</f>
        <v>51.33</v>
      </c>
      <c r="C2607" t="str">
        <f>"51.565"</f>
        <v>51.565</v>
      </c>
    </row>
    <row r="2608" spans="1:3" x14ac:dyDescent="0.25">
      <c r="A2608" t="str">
        <f>"24/03/2020"</f>
        <v>24/03/2020</v>
      </c>
      <c r="B2608" t="str">
        <f>"51.20"</f>
        <v>51.20</v>
      </c>
      <c r="C2608" t="str">
        <f>"51.43"</f>
        <v>51.43</v>
      </c>
    </row>
    <row r="2609" spans="1:3" x14ac:dyDescent="0.25">
      <c r="A2609" t="str">
        <f>"26/03/2020"</f>
        <v>26/03/2020</v>
      </c>
      <c r="B2609" t="str">
        <f>"51.164"</f>
        <v>51.164</v>
      </c>
      <c r="C2609" t="str">
        <f>"51.344"</f>
        <v>51.344</v>
      </c>
    </row>
    <row r="2610" spans="1:3" x14ac:dyDescent="0.25">
      <c r="A2610" t="str">
        <f>"27/03/2020"</f>
        <v>27/03/2020</v>
      </c>
      <c r="B2610" t="str">
        <f>"51.05"</f>
        <v>51.05</v>
      </c>
      <c r="C2610" t="str">
        <f>"51.2225"</f>
        <v>51.2225</v>
      </c>
    </row>
    <row r="2611" spans="1:3" x14ac:dyDescent="0.25">
      <c r="A2611" t="str">
        <f>"30/03/2020"</f>
        <v>30/03/2020</v>
      </c>
      <c r="B2611" t="str">
        <f>"50.97"</f>
        <v>50.97</v>
      </c>
      <c r="C2611" t="str">
        <f>"51.1185"</f>
        <v>51.1185</v>
      </c>
    </row>
    <row r="2612" spans="1:3" x14ac:dyDescent="0.25">
      <c r="A2612" t="str">
        <f>"31/03/2020"</f>
        <v>31/03/2020</v>
      </c>
      <c r="B2612" t="str">
        <f>"50.765"</f>
        <v>50.765</v>
      </c>
      <c r="C2612" t="str">
        <f>"50.90"</f>
        <v>50.90</v>
      </c>
    </row>
  </sheetData>
  <sortState xmlns:xlrd2="http://schemas.microsoft.com/office/spreadsheetml/2017/richdata2" ref="A2:C2613">
    <sortCondition ref="A2:A2613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51CD9-30B4-473D-86F3-385487661FE7}">
  <dimension ref="A2:C2612"/>
  <sheetViews>
    <sheetView topLeftCell="A2591" workbookViewId="0">
      <selection activeCell="C2612" sqref="C2612"/>
    </sheetView>
  </sheetViews>
  <sheetFormatPr defaultRowHeight="15" x14ac:dyDescent="0.25"/>
  <cols>
    <col min="1" max="1" width="10.7109375" bestFit="1" customWidth="1"/>
  </cols>
  <sheetData>
    <row r="2" spans="1:3" x14ac:dyDescent="0.25">
      <c r="A2" t="str">
        <f>"29/05/2009"</f>
        <v>29/05/2009</v>
      </c>
      <c r="B2" t="str">
        <f>"34.42"</f>
        <v>34.42</v>
      </c>
      <c r="C2" t="str">
        <f>"34.441"</f>
        <v>34.441</v>
      </c>
    </row>
    <row r="3" spans="1:3" x14ac:dyDescent="0.25">
      <c r="A3" t="str">
        <f>"01/06/2009"</f>
        <v>01/06/2009</v>
      </c>
      <c r="B3" t="str">
        <f>"34.16"</f>
        <v>34.16</v>
      </c>
      <c r="C3" t="str">
        <f>"34.181"</f>
        <v>34.181</v>
      </c>
    </row>
    <row r="4" spans="1:3" x14ac:dyDescent="0.25">
      <c r="A4" t="str">
        <f>"02/06/2009"</f>
        <v>02/06/2009</v>
      </c>
      <c r="B4" t="str">
        <f>"34.13"</f>
        <v>34.13</v>
      </c>
      <c r="C4" t="str">
        <f>"34.151"</f>
        <v>34.151</v>
      </c>
    </row>
    <row r="5" spans="1:3" x14ac:dyDescent="0.25">
      <c r="A5" t="str">
        <f>"03/06/2009"</f>
        <v>03/06/2009</v>
      </c>
      <c r="B5" t="str">
        <f>"34.03"</f>
        <v>34.03</v>
      </c>
      <c r="C5" t="str">
        <f>"34.053"</f>
        <v>34.053</v>
      </c>
    </row>
    <row r="6" spans="1:3" x14ac:dyDescent="0.25">
      <c r="A6" t="str">
        <f>"04/06/2009"</f>
        <v>04/06/2009</v>
      </c>
      <c r="B6" t="str">
        <f>"34.16"</f>
        <v>34.16</v>
      </c>
      <c r="C6" t="str">
        <f>"34.182"</f>
        <v>34.182</v>
      </c>
    </row>
    <row r="7" spans="1:3" x14ac:dyDescent="0.25">
      <c r="A7" t="str">
        <f>"05/06/2009"</f>
        <v>05/06/2009</v>
      </c>
      <c r="B7" t="str">
        <f>"34.17"</f>
        <v>34.17</v>
      </c>
      <c r="C7" t="str">
        <f>"34.1925"</f>
        <v>34.1925</v>
      </c>
    </row>
    <row r="8" spans="1:3" x14ac:dyDescent="0.25">
      <c r="A8" t="str">
        <f>"08/06/2009"</f>
        <v>08/06/2009</v>
      </c>
      <c r="B8" t="str">
        <f>"34.35"</f>
        <v>34.35</v>
      </c>
      <c r="C8" t="str">
        <f>"34.372"</f>
        <v>34.372</v>
      </c>
    </row>
    <row r="9" spans="1:3" x14ac:dyDescent="0.25">
      <c r="A9" t="str">
        <f>"09/06/2009"</f>
        <v>09/06/2009</v>
      </c>
      <c r="B9" t="str">
        <f>"34.32"</f>
        <v>34.32</v>
      </c>
      <c r="C9" t="str">
        <f>"34.342"</f>
        <v>34.342</v>
      </c>
    </row>
    <row r="10" spans="1:3" x14ac:dyDescent="0.25">
      <c r="A10" t="str">
        <f>"10/06/2009"</f>
        <v>10/06/2009</v>
      </c>
      <c r="B10" t="str">
        <f>"34.17"</f>
        <v>34.17</v>
      </c>
      <c r="C10" t="str">
        <f>"34.192"</f>
        <v>34.192</v>
      </c>
    </row>
    <row r="11" spans="1:3" x14ac:dyDescent="0.25">
      <c r="A11" t="str">
        <f>"11/06/2009"</f>
        <v>11/06/2009</v>
      </c>
      <c r="B11" t="str">
        <f>"34.095"</f>
        <v>34.095</v>
      </c>
      <c r="C11" t="str">
        <f>"34.1175"</f>
        <v>34.1175</v>
      </c>
    </row>
    <row r="12" spans="1:3" x14ac:dyDescent="0.25">
      <c r="A12" t="str">
        <f>"12/06/2009"</f>
        <v>12/06/2009</v>
      </c>
      <c r="B12" t="str">
        <f>"34.10"</f>
        <v>34.10</v>
      </c>
      <c r="C12" t="str">
        <f>"34.1225"</f>
        <v>34.1225</v>
      </c>
    </row>
    <row r="13" spans="1:3" x14ac:dyDescent="0.25">
      <c r="A13" t="str">
        <f>"15/06/2009"</f>
        <v>15/06/2009</v>
      </c>
      <c r="B13" t="str">
        <f>"34.21"</f>
        <v>34.21</v>
      </c>
      <c r="C13" t="str">
        <f>"34.232"</f>
        <v>34.232</v>
      </c>
    </row>
    <row r="14" spans="1:3" x14ac:dyDescent="0.25">
      <c r="A14" t="str">
        <f>"16/06/2009"</f>
        <v>16/06/2009</v>
      </c>
      <c r="B14" t="str">
        <f>"34.21"</f>
        <v>34.21</v>
      </c>
      <c r="C14" t="str">
        <f>"34.231"</f>
        <v>34.231</v>
      </c>
    </row>
    <row r="15" spans="1:3" x14ac:dyDescent="0.25">
      <c r="A15" t="str">
        <f>"17/06/2009"</f>
        <v>17/06/2009</v>
      </c>
      <c r="B15" t="str">
        <f>"34.20"</f>
        <v>34.20</v>
      </c>
      <c r="C15" t="str">
        <f>"34.2225"</f>
        <v>34.2225</v>
      </c>
    </row>
    <row r="16" spans="1:3" x14ac:dyDescent="0.25">
      <c r="A16" t="str">
        <f>"18/06/2009"</f>
        <v>18/06/2009</v>
      </c>
      <c r="B16" t="str">
        <f>"34.16"</f>
        <v>34.16</v>
      </c>
      <c r="C16" t="str">
        <f>"34.1825"</f>
        <v>34.1825</v>
      </c>
    </row>
    <row r="17" spans="1:3" x14ac:dyDescent="0.25">
      <c r="A17" t="str">
        <f>"19/06/2009"</f>
        <v>19/06/2009</v>
      </c>
      <c r="B17" t="str">
        <f>"34.17"</f>
        <v>34.17</v>
      </c>
      <c r="C17" t="str">
        <f>"34.191"</f>
        <v>34.191</v>
      </c>
    </row>
    <row r="18" spans="1:3" x14ac:dyDescent="0.25">
      <c r="A18" t="str">
        <f>"22/06/2009"</f>
        <v>22/06/2009</v>
      </c>
      <c r="B18" t="str">
        <f>"34.19"</f>
        <v>34.19</v>
      </c>
      <c r="C18" t="str">
        <f>"34.2115"</f>
        <v>34.2115</v>
      </c>
    </row>
    <row r="19" spans="1:3" x14ac:dyDescent="0.25">
      <c r="A19" t="str">
        <f>"23/06/2009"</f>
        <v>23/06/2009</v>
      </c>
      <c r="B19" t="str">
        <f>"34.24"</f>
        <v>34.24</v>
      </c>
      <c r="C19" t="str">
        <f>"34.262"</f>
        <v>34.262</v>
      </c>
    </row>
    <row r="20" spans="1:3" x14ac:dyDescent="0.25">
      <c r="A20" t="str">
        <f>"24/06/2009"</f>
        <v>24/06/2009</v>
      </c>
      <c r="B20" t="str">
        <f>"34.18"</f>
        <v>34.18</v>
      </c>
      <c r="C20" t="str">
        <f>"34.203"</f>
        <v>34.203</v>
      </c>
    </row>
    <row r="21" spans="1:3" x14ac:dyDescent="0.25">
      <c r="A21" t="str">
        <f>"25/06/2009"</f>
        <v>25/06/2009</v>
      </c>
      <c r="B21" t="str">
        <f>"34.18"</f>
        <v>34.18</v>
      </c>
      <c r="C21" t="str">
        <f>"34.202"</f>
        <v>34.202</v>
      </c>
    </row>
    <row r="22" spans="1:3" x14ac:dyDescent="0.25">
      <c r="A22" t="str">
        <f>"26/06/2009"</f>
        <v>26/06/2009</v>
      </c>
      <c r="B22" t="str">
        <f>"34.11"</f>
        <v>34.11</v>
      </c>
      <c r="C22" t="str">
        <f>"34.132"</f>
        <v>34.132</v>
      </c>
    </row>
    <row r="23" spans="1:3" x14ac:dyDescent="0.25">
      <c r="A23" t="str">
        <f>"29/06/2009"</f>
        <v>29/06/2009</v>
      </c>
      <c r="B23" t="str">
        <f>"34.09"</f>
        <v>34.09</v>
      </c>
      <c r="C23" t="str">
        <f>"34.1115"</f>
        <v>34.1115</v>
      </c>
    </row>
    <row r="24" spans="1:3" x14ac:dyDescent="0.25">
      <c r="A24" t="str">
        <f>"30/06/2009"</f>
        <v>30/06/2009</v>
      </c>
      <c r="B24" t="str">
        <f>"34.015"</f>
        <v>34.015</v>
      </c>
      <c r="C24" t="str">
        <f>"34.036"</f>
        <v>34.036</v>
      </c>
    </row>
    <row r="25" spans="1:3" x14ac:dyDescent="0.25">
      <c r="A25" t="str">
        <f>"01/07/2009"</f>
        <v>01/07/2009</v>
      </c>
      <c r="B25" t="str">
        <f>"34.06"</f>
        <v>34.06</v>
      </c>
      <c r="C25" t="str">
        <f>"34.081"</f>
        <v>34.081</v>
      </c>
    </row>
    <row r="26" spans="1:3" x14ac:dyDescent="0.25">
      <c r="A26" t="str">
        <f>"03/07/2009"</f>
        <v>03/07/2009</v>
      </c>
      <c r="B26" t="str">
        <f>"34.14"</f>
        <v>34.14</v>
      </c>
      <c r="C26" t="str">
        <f>"34.163"</f>
        <v>34.163</v>
      </c>
    </row>
    <row r="27" spans="1:3" x14ac:dyDescent="0.25">
      <c r="A27" t="str">
        <f>"06/07/2009"</f>
        <v>06/07/2009</v>
      </c>
      <c r="B27" t="str">
        <f>"34.13"</f>
        <v>34.13</v>
      </c>
      <c r="C27" t="str">
        <f>"34.153"</f>
        <v>34.153</v>
      </c>
    </row>
    <row r="28" spans="1:3" x14ac:dyDescent="0.25">
      <c r="A28" t="str">
        <f>"07/07/2009"</f>
        <v>07/07/2009</v>
      </c>
      <c r="B28" t="str">
        <f>"34.13"</f>
        <v>34.13</v>
      </c>
      <c r="C28" t="str">
        <f>"34.153"</f>
        <v>34.153</v>
      </c>
    </row>
    <row r="29" spans="1:3" x14ac:dyDescent="0.25">
      <c r="A29" t="str">
        <f>"08/07/2009"</f>
        <v>08/07/2009</v>
      </c>
      <c r="B29" t="str">
        <f>"34.14"</f>
        <v>34.14</v>
      </c>
      <c r="C29" t="str">
        <f>"34.158"</f>
        <v>34.158</v>
      </c>
    </row>
    <row r="30" spans="1:3" x14ac:dyDescent="0.25">
      <c r="A30" t="str">
        <f>"09/07/2009"</f>
        <v>09/07/2009</v>
      </c>
      <c r="B30" t="str">
        <f>"34.11"</f>
        <v>34.11</v>
      </c>
      <c r="C30" t="str">
        <f>"34.13"</f>
        <v>34.13</v>
      </c>
    </row>
    <row r="31" spans="1:3" x14ac:dyDescent="0.25">
      <c r="A31" t="str">
        <f>"10/07/2009"</f>
        <v>10/07/2009</v>
      </c>
      <c r="B31" t="str">
        <f>"34.13"</f>
        <v>34.13</v>
      </c>
      <c r="C31" t="str">
        <f>"34.15"</f>
        <v>34.15</v>
      </c>
    </row>
    <row r="32" spans="1:3" x14ac:dyDescent="0.25">
      <c r="A32" t="str">
        <f>"13/07/2009"</f>
        <v>13/07/2009</v>
      </c>
      <c r="B32" t="str">
        <f>"34.13"</f>
        <v>34.13</v>
      </c>
      <c r="C32" t="str">
        <f>"34.151"</f>
        <v>34.151</v>
      </c>
    </row>
    <row r="33" spans="1:3" x14ac:dyDescent="0.25">
      <c r="A33" t="str">
        <f>"14/07/2009"</f>
        <v>14/07/2009</v>
      </c>
      <c r="B33" t="str">
        <f>"34.14"</f>
        <v>34.14</v>
      </c>
      <c r="C33" t="str">
        <f>"34.161"</f>
        <v>34.161</v>
      </c>
    </row>
    <row r="34" spans="1:3" x14ac:dyDescent="0.25">
      <c r="A34" t="str">
        <f>"15/07/2009"</f>
        <v>15/07/2009</v>
      </c>
      <c r="B34" t="str">
        <f>"34.14"</f>
        <v>34.14</v>
      </c>
      <c r="C34" t="str">
        <f>"34.161"</f>
        <v>34.161</v>
      </c>
    </row>
    <row r="35" spans="1:3" x14ac:dyDescent="0.25">
      <c r="A35" t="str">
        <f>"16/07/2009"</f>
        <v>16/07/2009</v>
      </c>
      <c r="B35" t="str">
        <f>"34.095"</f>
        <v>34.095</v>
      </c>
      <c r="C35" t="str">
        <f>"34.117"</f>
        <v>34.117</v>
      </c>
    </row>
    <row r="36" spans="1:3" x14ac:dyDescent="0.25">
      <c r="A36" t="str">
        <f>"17/07/2009"</f>
        <v>17/07/2009</v>
      </c>
      <c r="B36" t="str">
        <f>"34.07"</f>
        <v>34.07</v>
      </c>
      <c r="C36" t="str">
        <f>"34.0905"</f>
        <v>34.0905</v>
      </c>
    </row>
    <row r="37" spans="1:3" x14ac:dyDescent="0.25">
      <c r="A37" t="str">
        <f>"20/07/2009"</f>
        <v>20/07/2009</v>
      </c>
      <c r="B37" t="str">
        <f>"34.05"</f>
        <v>34.05</v>
      </c>
      <c r="C37" t="str">
        <f>"34.07"</f>
        <v>34.07</v>
      </c>
    </row>
    <row r="38" spans="1:3" x14ac:dyDescent="0.25">
      <c r="A38" t="str">
        <f>"21/07/2009"</f>
        <v>21/07/2009</v>
      </c>
      <c r="B38" t="str">
        <f>"34.03"</f>
        <v>34.03</v>
      </c>
      <c r="C38" t="str">
        <f>"34.051"</f>
        <v>34.051</v>
      </c>
    </row>
    <row r="39" spans="1:3" x14ac:dyDescent="0.25">
      <c r="A39" t="str">
        <f>"22/07/2009"</f>
        <v>22/07/2009</v>
      </c>
      <c r="B39" t="str">
        <f>"34.03"</f>
        <v>34.03</v>
      </c>
      <c r="C39" t="str">
        <f>"34.051"</f>
        <v>34.051</v>
      </c>
    </row>
    <row r="40" spans="1:3" x14ac:dyDescent="0.25">
      <c r="A40" t="str">
        <f>"23/07/2009"</f>
        <v>23/07/2009</v>
      </c>
      <c r="B40" t="str">
        <f>"33.97"</f>
        <v>33.97</v>
      </c>
      <c r="C40" t="str">
        <f>"33.99"</f>
        <v>33.99</v>
      </c>
    </row>
    <row r="41" spans="1:3" x14ac:dyDescent="0.25">
      <c r="A41" t="str">
        <f>"24/07/2009"</f>
        <v>24/07/2009</v>
      </c>
      <c r="B41" t="str">
        <f>"34.02"</f>
        <v>34.02</v>
      </c>
      <c r="C41" t="str">
        <f>"34.042"</f>
        <v>34.042</v>
      </c>
    </row>
    <row r="42" spans="1:3" x14ac:dyDescent="0.25">
      <c r="A42" t="str">
        <f>"27/07/2009"</f>
        <v>27/07/2009</v>
      </c>
      <c r="B42" t="str">
        <f>"33.99"</f>
        <v>33.99</v>
      </c>
      <c r="C42" t="str">
        <f>"34.01"</f>
        <v>34.01</v>
      </c>
    </row>
    <row r="43" spans="1:3" x14ac:dyDescent="0.25">
      <c r="A43" t="str">
        <f>"28/07/2009"</f>
        <v>28/07/2009</v>
      </c>
      <c r="B43" t="str">
        <f>"33.98"</f>
        <v>33.98</v>
      </c>
      <c r="C43" t="str">
        <f>"34.0015"</f>
        <v>34.0015</v>
      </c>
    </row>
    <row r="44" spans="1:3" x14ac:dyDescent="0.25">
      <c r="A44" t="str">
        <f>"29/07/2009"</f>
        <v>29/07/2009</v>
      </c>
      <c r="B44" t="str">
        <f>"33.985"</f>
        <v>33.985</v>
      </c>
      <c r="C44" t="str">
        <f>"34.005"</f>
        <v>34.005</v>
      </c>
    </row>
    <row r="45" spans="1:3" x14ac:dyDescent="0.25">
      <c r="A45" t="str">
        <f>"30/07/2009"</f>
        <v>30/07/2009</v>
      </c>
      <c r="B45" t="str">
        <f>"34.07"</f>
        <v>34.07</v>
      </c>
      <c r="C45" t="str">
        <f>"34.091"</f>
        <v>34.091</v>
      </c>
    </row>
    <row r="46" spans="1:3" x14ac:dyDescent="0.25">
      <c r="A46" t="str">
        <f>"31/07/2009"</f>
        <v>31/07/2009</v>
      </c>
      <c r="B46" t="str">
        <f>"34.05"</f>
        <v>34.05</v>
      </c>
      <c r="C46" t="str">
        <f>"34.07"</f>
        <v>34.07</v>
      </c>
    </row>
    <row r="47" spans="1:3" x14ac:dyDescent="0.25">
      <c r="A47" t="str">
        <f>"03/08/2009"</f>
        <v>03/08/2009</v>
      </c>
      <c r="B47" t="str">
        <f>"34.04"</f>
        <v>34.04</v>
      </c>
      <c r="C47" t="str">
        <f>"34.061"</f>
        <v>34.061</v>
      </c>
    </row>
    <row r="48" spans="1:3" x14ac:dyDescent="0.25">
      <c r="A48" t="str">
        <f>"04/08/2009"</f>
        <v>04/08/2009</v>
      </c>
      <c r="B48" t="str">
        <f>"33.99"</f>
        <v>33.99</v>
      </c>
      <c r="C48" t="str">
        <f>"34.012"</f>
        <v>34.012</v>
      </c>
    </row>
    <row r="49" spans="1:3" x14ac:dyDescent="0.25">
      <c r="A49" t="str">
        <f>"05/08/2009"</f>
        <v>05/08/2009</v>
      </c>
      <c r="B49" t="str">
        <f>"33.98"</f>
        <v>33.98</v>
      </c>
      <c r="C49" t="str">
        <f>"34.003"</f>
        <v>34.003</v>
      </c>
    </row>
    <row r="50" spans="1:3" x14ac:dyDescent="0.25">
      <c r="A50" t="str">
        <f>"06/08/2009"</f>
        <v>06/08/2009</v>
      </c>
      <c r="B50" t="str">
        <f>"34.00"</f>
        <v>34.00</v>
      </c>
      <c r="C50" t="str">
        <f>"34.019"</f>
        <v>34.019</v>
      </c>
    </row>
    <row r="51" spans="1:3" x14ac:dyDescent="0.25">
      <c r="A51" t="str">
        <f>"07/08/2009"</f>
        <v>07/08/2009</v>
      </c>
      <c r="B51" t="str">
        <f>"33.98"</f>
        <v>33.98</v>
      </c>
      <c r="C51" t="str">
        <f>"34.001"</f>
        <v>34.001</v>
      </c>
    </row>
    <row r="52" spans="1:3" x14ac:dyDescent="0.25">
      <c r="A52" t="str">
        <f>"10/08/2009"</f>
        <v>10/08/2009</v>
      </c>
      <c r="B52" t="str">
        <f>"34.01"</f>
        <v>34.01</v>
      </c>
      <c r="C52" t="str">
        <f>"34.03"</f>
        <v>34.03</v>
      </c>
    </row>
    <row r="53" spans="1:3" x14ac:dyDescent="0.25">
      <c r="A53" t="str">
        <f>"11/08/2009"</f>
        <v>11/08/2009</v>
      </c>
      <c r="B53" t="str">
        <f>"34.07"</f>
        <v>34.07</v>
      </c>
      <c r="C53" t="str">
        <f>"34.091"</f>
        <v>34.091</v>
      </c>
    </row>
    <row r="54" spans="1:3" x14ac:dyDescent="0.25">
      <c r="A54" t="str">
        <f>"12/08/2009"</f>
        <v>12/08/2009</v>
      </c>
      <c r="B54" t="str">
        <f>"34.05"</f>
        <v>34.05</v>
      </c>
      <c r="C54" t="str">
        <f>"34.071"</f>
        <v>34.071</v>
      </c>
    </row>
    <row r="55" spans="1:3" x14ac:dyDescent="0.25">
      <c r="A55" t="str">
        <f>"13/08/2009"</f>
        <v>13/08/2009</v>
      </c>
      <c r="B55" t="str">
        <f>"34.07"</f>
        <v>34.07</v>
      </c>
      <c r="C55" t="str">
        <f>"34.10"</f>
        <v>34.10</v>
      </c>
    </row>
    <row r="56" spans="1:3" x14ac:dyDescent="0.25">
      <c r="A56" t="str">
        <f>"14/08/2009"</f>
        <v>14/08/2009</v>
      </c>
      <c r="B56" t="str">
        <f>"34.05"</f>
        <v>34.05</v>
      </c>
      <c r="C56" t="str">
        <f>"34.07"</f>
        <v>34.07</v>
      </c>
    </row>
    <row r="57" spans="1:3" x14ac:dyDescent="0.25">
      <c r="A57" t="str">
        <f>"17/08/2009"</f>
        <v>17/08/2009</v>
      </c>
      <c r="B57" t="str">
        <f>"34.065"</f>
        <v>34.065</v>
      </c>
      <c r="C57" t="str">
        <f>"34.085"</f>
        <v>34.085</v>
      </c>
    </row>
    <row r="58" spans="1:3" x14ac:dyDescent="0.25">
      <c r="A58" t="str">
        <f>"18/08/2009"</f>
        <v>18/08/2009</v>
      </c>
      <c r="B58" t="str">
        <f>"34.065"</f>
        <v>34.065</v>
      </c>
      <c r="C58" t="str">
        <f>"34.0855"</f>
        <v>34.0855</v>
      </c>
    </row>
    <row r="59" spans="1:3" x14ac:dyDescent="0.25">
      <c r="A59" t="str">
        <f>"20/08/2009"</f>
        <v>20/08/2009</v>
      </c>
      <c r="B59" t="str">
        <f>"34.06"</f>
        <v>34.06</v>
      </c>
      <c r="C59" t="str">
        <f>"34.081"</f>
        <v>34.081</v>
      </c>
    </row>
    <row r="60" spans="1:3" x14ac:dyDescent="0.25">
      <c r="A60" t="str">
        <f>"21/08/2009"</f>
        <v>21/08/2009</v>
      </c>
      <c r="B60" t="str">
        <f>"34.08"</f>
        <v>34.08</v>
      </c>
      <c r="C60" t="str">
        <f>"34.10"</f>
        <v>34.10</v>
      </c>
    </row>
    <row r="61" spans="1:3" x14ac:dyDescent="0.25">
      <c r="A61" t="str">
        <f>"24/08/2009"</f>
        <v>24/08/2009</v>
      </c>
      <c r="B61" t="str">
        <f>"34.03"</f>
        <v>34.03</v>
      </c>
      <c r="C61" t="str">
        <f>"34.0505"</f>
        <v>34.0505</v>
      </c>
    </row>
    <row r="62" spans="1:3" x14ac:dyDescent="0.25">
      <c r="A62" t="str">
        <f>"25/08/2009"</f>
        <v>25/08/2009</v>
      </c>
      <c r="B62" t="str">
        <f>"34.03"</f>
        <v>34.03</v>
      </c>
      <c r="C62" t="str">
        <f>"34.051"</f>
        <v>34.051</v>
      </c>
    </row>
    <row r="63" spans="1:3" x14ac:dyDescent="0.25">
      <c r="A63" t="str">
        <f>"26/08/2009"</f>
        <v>26/08/2009</v>
      </c>
      <c r="B63" t="str">
        <f>"34.02"</f>
        <v>34.02</v>
      </c>
      <c r="C63" t="str">
        <f>"34.041"</f>
        <v>34.041</v>
      </c>
    </row>
    <row r="64" spans="1:3" x14ac:dyDescent="0.25">
      <c r="A64" t="str">
        <f>"27/08/2009"</f>
        <v>27/08/2009</v>
      </c>
      <c r="B64" t="str">
        <f>"34.04"</f>
        <v>34.04</v>
      </c>
      <c r="C64" t="str">
        <f>"34.061"</f>
        <v>34.061</v>
      </c>
    </row>
    <row r="65" spans="1:3" x14ac:dyDescent="0.25">
      <c r="A65" t="str">
        <f>"28/08/2009"</f>
        <v>28/08/2009</v>
      </c>
      <c r="B65" t="str">
        <f>"34.03"</f>
        <v>34.03</v>
      </c>
      <c r="C65" t="str">
        <f>"34.051"</f>
        <v>34.051</v>
      </c>
    </row>
    <row r="66" spans="1:3" x14ac:dyDescent="0.25">
      <c r="A66" t="str">
        <f>"31/08/2009"</f>
        <v>31/08/2009</v>
      </c>
      <c r="B66" t="str">
        <f>"34.03"</f>
        <v>34.03</v>
      </c>
      <c r="C66" t="str">
        <f>"34.051"</f>
        <v>34.051</v>
      </c>
    </row>
    <row r="67" spans="1:3" x14ac:dyDescent="0.25">
      <c r="A67" t="str">
        <f>"01/09/2009"</f>
        <v>01/09/2009</v>
      </c>
      <c r="B67" t="str">
        <f>"34.02"</f>
        <v>34.02</v>
      </c>
      <c r="C67" t="str">
        <f>"34.042"</f>
        <v>34.042</v>
      </c>
    </row>
    <row r="68" spans="1:3" x14ac:dyDescent="0.25">
      <c r="A68" t="str">
        <f>"02/09/2009"</f>
        <v>02/09/2009</v>
      </c>
      <c r="B68" t="str">
        <f>"34.04"</f>
        <v>34.04</v>
      </c>
      <c r="C68" t="str">
        <f>"34.0625"</f>
        <v>34.0625</v>
      </c>
    </row>
    <row r="69" spans="1:3" x14ac:dyDescent="0.25">
      <c r="A69" t="str">
        <f>"03/09/2009"</f>
        <v>03/09/2009</v>
      </c>
      <c r="B69" t="str">
        <f>"34.06"</f>
        <v>34.06</v>
      </c>
      <c r="C69" t="str">
        <f>"34.082"</f>
        <v>34.082</v>
      </c>
    </row>
    <row r="70" spans="1:3" x14ac:dyDescent="0.25">
      <c r="A70" t="str">
        <f>"04/09/2009"</f>
        <v>04/09/2009</v>
      </c>
      <c r="B70" t="str">
        <f>"34.07"</f>
        <v>34.07</v>
      </c>
      <c r="C70" t="str">
        <f>"34.091"</f>
        <v>34.091</v>
      </c>
    </row>
    <row r="71" spans="1:3" x14ac:dyDescent="0.25">
      <c r="A71" t="str">
        <f>"07/09/2009"</f>
        <v>07/09/2009</v>
      </c>
      <c r="B71" t="str">
        <f>"34.07"</f>
        <v>34.07</v>
      </c>
      <c r="C71" t="str">
        <f>"34.092"</f>
        <v>34.092</v>
      </c>
    </row>
    <row r="72" spans="1:3" x14ac:dyDescent="0.25">
      <c r="A72" t="str">
        <f>"08/09/2009"</f>
        <v>08/09/2009</v>
      </c>
      <c r="B72" t="str">
        <f>"34.07"</f>
        <v>34.07</v>
      </c>
      <c r="C72" t="str">
        <f>"34.092"</f>
        <v>34.092</v>
      </c>
    </row>
    <row r="73" spans="1:3" x14ac:dyDescent="0.25">
      <c r="A73" t="str">
        <f>"09/09/2009"</f>
        <v>09/09/2009</v>
      </c>
      <c r="B73" t="str">
        <f>"34.06"</f>
        <v>34.06</v>
      </c>
      <c r="C73" t="str">
        <f>"34.082"</f>
        <v>34.082</v>
      </c>
    </row>
    <row r="74" spans="1:3" x14ac:dyDescent="0.25">
      <c r="A74" t="str">
        <f>"10/09/2009"</f>
        <v>10/09/2009</v>
      </c>
      <c r="B74" t="str">
        <f>"34.02"</f>
        <v>34.02</v>
      </c>
      <c r="C74" t="str">
        <f>"34.042"</f>
        <v>34.042</v>
      </c>
    </row>
    <row r="75" spans="1:3" x14ac:dyDescent="0.25">
      <c r="A75" t="str">
        <f>"11/09/2009"</f>
        <v>11/09/2009</v>
      </c>
      <c r="B75" t="str">
        <f>"33.97"</f>
        <v>33.97</v>
      </c>
      <c r="C75" t="str">
        <f>"33.992"</f>
        <v>33.992</v>
      </c>
    </row>
    <row r="76" spans="1:3" x14ac:dyDescent="0.25">
      <c r="A76" t="str">
        <f>"14/09/2009"</f>
        <v>14/09/2009</v>
      </c>
      <c r="B76" t="str">
        <f>"33.97"</f>
        <v>33.97</v>
      </c>
      <c r="C76" t="str">
        <f>"33.994"</f>
        <v>33.994</v>
      </c>
    </row>
    <row r="77" spans="1:3" x14ac:dyDescent="0.25">
      <c r="A77" t="str">
        <f>"15/09/2009"</f>
        <v>15/09/2009</v>
      </c>
      <c r="B77" t="str">
        <f>"33.95"</f>
        <v>33.95</v>
      </c>
      <c r="C77" t="str">
        <f>"33.974"</f>
        <v>33.974</v>
      </c>
    </row>
    <row r="78" spans="1:3" x14ac:dyDescent="0.25">
      <c r="A78" t="str">
        <f>"16/09/2009"</f>
        <v>16/09/2009</v>
      </c>
      <c r="B78" t="str">
        <f>"33.835"</f>
        <v>33.835</v>
      </c>
      <c r="C78" t="str">
        <f>"33.858"</f>
        <v>33.858</v>
      </c>
    </row>
    <row r="79" spans="1:3" x14ac:dyDescent="0.25">
      <c r="A79" t="str">
        <f>"17/09/2009"</f>
        <v>17/09/2009</v>
      </c>
      <c r="B79" t="str">
        <f>"33.68"</f>
        <v>33.68</v>
      </c>
      <c r="C79" t="str">
        <f>"33.7025"</f>
        <v>33.7025</v>
      </c>
    </row>
    <row r="80" spans="1:3" x14ac:dyDescent="0.25">
      <c r="A80" t="str">
        <f>"18/09/2009"</f>
        <v>18/09/2009</v>
      </c>
      <c r="B80" t="str">
        <f>"33.72"</f>
        <v>33.72</v>
      </c>
      <c r="C80" t="str">
        <f>"33.743"</f>
        <v>33.743</v>
      </c>
    </row>
    <row r="81" spans="1:3" x14ac:dyDescent="0.25">
      <c r="A81" t="str">
        <f>"22/09/2009"</f>
        <v>22/09/2009</v>
      </c>
      <c r="B81" t="str">
        <f>"33.69"</f>
        <v>33.69</v>
      </c>
      <c r="C81" t="str">
        <f>"33.714"</f>
        <v>33.714</v>
      </c>
    </row>
    <row r="82" spans="1:3" x14ac:dyDescent="0.25">
      <c r="A82" t="str">
        <f>"23/09/2009"</f>
        <v>23/09/2009</v>
      </c>
      <c r="B82" t="str">
        <f>"33.52"</f>
        <v>33.52</v>
      </c>
      <c r="C82" t="str">
        <f>"33.545"</f>
        <v>33.545</v>
      </c>
    </row>
    <row r="83" spans="1:3" x14ac:dyDescent="0.25">
      <c r="A83" t="str">
        <f>"24/09/2009"</f>
        <v>24/09/2009</v>
      </c>
      <c r="B83" t="str">
        <f>"33.60"</f>
        <v>33.60</v>
      </c>
      <c r="C83" t="str">
        <f>"33.623"</f>
        <v>33.623</v>
      </c>
    </row>
    <row r="84" spans="1:3" x14ac:dyDescent="0.25">
      <c r="A84" t="str">
        <f>"25/09/2009"</f>
        <v>25/09/2009</v>
      </c>
      <c r="B84" t="str">
        <f>"33.67"</f>
        <v>33.67</v>
      </c>
      <c r="C84" t="str">
        <f>"33.693"</f>
        <v>33.693</v>
      </c>
    </row>
    <row r="85" spans="1:3" x14ac:dyDescent="0.25">
      <c r="A85" t="str">
        <f>"29/09/2009"</f>
        <v>29/09/2009</v>
      </c>
      <c r="B85" t="str">
        <f>"33.60"</f>
        <v>33.60</v>
      </c>
      <c r="C85" t="str">
        <f>"33.622"</f>
        <v>33.622</v>
      </c>
    </row>
    <row r="86" spans="1:3" x14ac:dyDescent="0.25">
      <c r="A86" t="str">
        <f>"01/10/2009"</f>
        <v>01/10/2009</v>
      </c>
      <c r="B86" t="str">
        <f>"33.44"</f>
        <v>33.44</v>
      </c>
      <c r="C86" t="str">
        <f>"33.463"</f>
        <v>33.463</v>
      </c>
    </row>
    <row r="87" spans="1:3" x14ac:dyDescent="0.25">
      <c r="A87" t="str">
        <f>"05/10/2009"</f>
        <v>05/10/2009</v>
      </c>
      <c r="B87" t="str">
        <f>"33.45"</f>
        <v>33.45</v>
      </c>
      <c r="C87" t="str">
        <f>"33.473"</f>
        <v>33.473</v>
      </c>
    </row>
    <row r="88" spans="1:3" x14ac:dyDescent="0.25">
      <c r="A88" t="str">
        <f>"06/10/2009"</f>
        <v>06/10/2009</v>
      </c>
      <c r="B88" t="str">
        <f>"33.37"</f>
        <v>33.37</v>
      </c>
      <c r="C88" t="str">
        <f>"33.395"</f>
        <v>33.395</v>
      </c>
    </row>
    <row r="89" spans="1:3" x14ac:dyDescent="0.25">
      <c r="A89" t="str">
        <f>"07/10/2009"</f>
        <v>07/10/2009</v>
      </c>
      <c r="B89" t="str">
        <f>"33.38"</f>
        <v>33.38</v>
      </c>
      <c r="C89" t="str">
        <f>"33.4035"</f>
        <v>33.4035</v>
      </c>
    </row>
    <row r="90" spans="1:3" x14ac:dyDescent="0.25">
      <c r="A90" t="str">
        <f>"08/10/2009"</f>
        <v>08/10/2009</v>
      </c>
      <c r="B90" t="str">
        <f>"33.325"</f>
        <v>33.325</v>
      </c>
      <c r="C90" t="str">
        <f>"33.355"</f>
        <v>33.355</v>
      </c>
    </row>
    <row r="91" spans="1:3" x14ac:dyDescent="0.25">
      <c r="A91" t="str">
        <f>"09/10/2009"</f>
        <v>09/10/2009</v>
      </c>
      <c r="B91" t="str">
        <f>"33.34"</f>
        <v>33.34</v>
      </c>
      <c r="C91" t="str">
        <f>"33.362"</f>
        <v>33.362</v>
      </c>
    </row>
    <row r="92" spans="1:3" x14ac:dyDescent="0.25">
      <c r="A92" t="str">
        <f>"12/10/2009"</f>
        <v>12/10/2009</v>
      </c>
      <c r="B92" t="str">
        <f>"33.37"</f>
        <v>33.37</v>
      </c>
      <c r="C92" t="str">
        <f>"33.393"</f>
        <v>33.393</v>
      </c>
    </row>
    <row r="93" spans="1:3" x14ac:dyDescent="0.25">
      <c r="A93" t="str">
        <f>"14/10/2009"</f>
        <v>14/10/2009</v>
      </c>
      <c r="B93" t="str">
        <f>"33.27"</f>
        <v>33.27</v>
      </c>
      <c r="C93" t="str">
        <f>"33.292"</f>
        <v>33.292</v>
      </c>
    </row>
    <row r="94" spans="1:3" x14ac:dyDescent="0.25">
      <c r="A94" t="str">
        <f>"15/10/2009"</f>
        <v>15/10/2009</v>
      </c>
      <c r="B94" t="str">
        <f>"33.40"</f>
        <v>33.40</v>
      </c>
      <c r="C94" t="str">
        <f>"33.4215"</f>
        <v>33.4215</v>
      </c>
    </row>
    <row r="95" spans="1:3" x14ac:dyDescent="0.25">
      <c r="A95" t="str">
        <f>"16/10/2009"</f>
        <v>16/10/2009</v>
      </c>
      <c r="B95" t="str">
        <f>"33.48"</f>
        <v>33.48</v>
      </c>
      <c r="C95" t="str">
        <f>"33.502"</f>
        <v>33.502</v>
      </c>
    </row>
    <row r="96" spans="1:3" x14ac:dyDescent="0.25">
      <c r="A96" t="str">
        <f>"20/10/2009"</f>
        <v>20/10/2009</v>
      </c>
      <c r="B96" t="str">
        <f>"33.35"</f>
        <v>33.35</v>
      </c>
      <c r="C96" t="str">
        <f>"33.372"</f>
        <v>33.372</v>
      </c>
    </row>
    <row r="97" spans="1:3" x14ac:dyDescent="0.25">
      <c r="A97" t="str">
        <f>"21/10/2009"</f>
        <v>21/10/2009</v>
      </c>
      <c r="B97" t="str">
        <f>"33.48"</f>
        <v>33.48</v>
      </c>
      <c r="C97" t="str">
        <f>"33.502"</f>
        <v>33.502</v>
      </c>
    </row>
    <row r="98" spans="1:3" x14ac:dyDescent="0.25">
      <c r="A98" t="str">
        <f>"22/10/2009"</f>
        <v>22/10/2009</v>
      </c>
      <c r="B98" t="str">
        <f>"33.48"</f>
        <v>33.48</v>
      </c>
      <c r="C98" t="str">
        <f>"33.502"</f>
        <v>33.502</v>
      </c>
    </row>
    <row r="99" spans="1:3" x14ac:dyDescent="0.25">
      <c r="A99" t="str">
        <f>"23/10/2009"</f>
        <v>23/10/2009</v>
      </c>
      <c r="B99" t="str">
        <f>"33.47"</f>
        <v>33.47</v>
      </c>
      <c r="C99" t="str">
        <f>"33.493"</f>
        <v>33.493</v>
      </c>
    </row>
    <row r="100" spans="1:3" x14ac:dyDescent="0.25">
      <c r="A100" t="str">
        <f>"26/10/2009"</f>
        <v>26/10/2009</v>
      </c>
      <c r="B100" t="str">
        <f>"33.42"</f>
        <v>33.42</v>
      </c>
      <c r="C100" t="str">
        <f>"33.443"</f>
        <v>33.443</v>
      </c>
    </row>
    <row r="101" spans="1:3" x14ac:dyDescent="0.25">
      <c r="A101" t="str">
        <f>"27/10/2009"</f>
        <v>27/10/2009</v>
      </c>
      <c r="B101" t="str">
        <f>"33.475"</f>
        <v>33.475</v>
      </c>
      <c r="C101" t="str">
        <f>"33.498"</f>
        <v>33.498</v>
      </c>
    </row>
    <row r="102" spans="1:3" x14ac:dyDescent="0.25">
      <c r="A102" t="str">
        <f>"28/10/2009"</f>
        <v>28/10/2009</v>
      </c>
      <c r="B102" t="str">
        <f>"33.46"</f>
        <v>33.46</v>
      </c>
      <c r="C102" t="str">
        <f>"33.4815"</f>
        <v>33.4815</v>
      </c>
    </row>
    <row r="103" spans="1:3" x14ac:dyDescent="0.25">
      <c r="A103" t="str">
        <f>"29/10/2009"</f>
        <v>29/10/2009</v>
      </c>
      <c r="B103" t="str">
        <f>"33.50"</f>
        <v>33.50</v>
      </c>
      <c r="C103" t="str">
        <f>"33.521"</f>
        <v>33.521</v>
      </c>
    </row>
    <row r="104" spans="1:3" x14ac:dyDescent="0.25">
      <c r="A104" t="str">
        <f>"30/10/2009"</f>
        <v>30/10/2009</v>
      </c>
      <c r="B104" t="str">
        <f>"33.45"</f>
        <v>33.45</v>
      </c>
      <c r="C104" t="str">
        <f>"33.471"</f>
        <v>33.471</v>
      </c>
    </row>
    <row r="105" spans="1:3" x14ac:dyDescent="0.25">
      <c r="A105" t="str">
        <f>"03/11/2009"</f>
        <v>03/11/2009</v>
      </c>
      <c r="B105" t="str">
        <f>"33.44"</f>
        <v>33.44</v>
      </c>
      <c r="C105" t="str">
        <f>"33.4625"</f>
        <v>33.4625</v>
      </c>
    </row>
    <row r="106" spans="1:3" x14ac:dyDescent="0.25">
      <c r="A106" t="str">
        <f>"04/11/2009"</f>
        <v>04/11/2009</v>
      </c>
      <c r="B106" t="str">
        <f>"33.455"</f>
        <v>33.455</v>
      </c>
      <c r="C106" t="str">
        <f>"33.476"</f>
        <v>33.476</v>
      </c>
    </row>
    <row r="107" spans="1:3" x14ac:dyDescent="0.25">
      <c r="A107" t="str">
        <f>"05/11/2009"</f>
        <v>05/11/2009</v>
      </c>
      <c r="B107" t="str">
        <f>"33.44"</f>
        <v>33.44</v>
      </c>
      <c r="C107" t="str">
        <f>"33.459"</f>
        <v>33.459</v>
      </c>
    </row>
    <row r="108" spans="1:3" x14ac:dyDescent="0.25">
      <c r="A108" t="str">
        <f>"06/11/2009"</f>
        <v>06/11/2009</v>
      </c>
      <c r="B108" t="str">
        <f>"33.41"</f>
        <v>33.41</v>
      </c>
      <c r="C108" t="str">
        <f>"33.427"</f>
        <v>33.427</v>
      </c>
    </row>
    <row r="109" spans="1:3" x14ac:dyDescent="0.25">
      <c r="A109" t="str">
        <f>"09/11/2009"</f>
        <v>09/11/2009</v>
      </c>
      <c r="B109" t="str">
        <f>"33.36"</f>
        <v>33.36</v>
      </c>
      <c r="C109" t="str">
        <f>"33.378"</f>
        <v>33.378</v>
      </c>
    </row>
    <row r="110" spans="1:3" x14ac:dyDescent="0.25">
      <c r="A110" t="str">
        <f>"10/11/2009"</f>
        <v>10/11/2009</v>
      </c>
      <c r="B110" t="str">
        <f>"33.31"</f>
        <v>33.31</v>
      </c>
      <c r="C110" t="str">
        <f>"33.327"</f>
        <v>33.327</v>
      </c>
    </row>
    <row r="111" spans="1:3" x14ac:dyDescent="0.25">
      <c r="A111" t="str">
        <f>"11/11/2009"</f>
        <v>11/11/2009</v>
      </c>
      <c r="B111" t="str">
        <f>"33.29"</f>
        <v>33.29</v>
      </c>
      <c r="C111" t="str">
        <f>"33.307"</f>
        <v>33.307</v>
      </c>
    </row>
    <row r="112" spans="1:3" x14ac:dyDescent="0.25">
      <c r="A112" t="str">
        <f>"12/11/2009"</f>
        <v>12/11/2009</v>
      </c>
      <c r="B112" t="str">
        <f>"33.31"</f>
        <v>33.31</v>
      </c>
      <c r="C112" t="str">
        <f>"33.326"</f>
        <v>33.326</v>
      </c>
    </row>
    <row r="113" spans="1:3" x14ac:dyDescent="0.25">
      <c r="A113" t="str">
        <f>"13/11/2009"</f>
        <v>13/11/2009</v>
      </c>
      <c r="B113" t="str">
        <f>"33.32"</f>
        <v>33.32</v>
      </c>
      <c r="C113" t="str">
        <f>"33.337"</f>
        <v>33.337</v>
      </c>
    </row>
    <row r="114" spans="1:3" x14ac:dyDescent="0.25">
      <c r="A114" t="str">
        <f>"16/11/2009"</f>
        <v>16/11/2009</v>
      </c>
      <c r="B114" t="str">
        <f>"33.2375"</f>
        <v>33.2375</v>
      </c>
      <c r="C114" t="str">
        <f>"33.2525"</f>
        <v>33.2525</v>
      </c>
    </row>
    <row r="115" spans="1:3" x14ac:dyDescent="0.25">
      <c r="A115" t="str">
        <f>"17/11/2009"</f>
        <v>17/11/2009</v>
      </c>
      <c r="B115" t="str">
        <f>"33.22"</f>
        <v>33.22</v>
      </c>
      <c r="C115" t="str">
        <f>"33.238"</f>
        <v>33.238</v>
      </c>
    </row>
    <row r="116" spans="1:3" x14ac:dyDescent="0.25">
      <c r="A116" t="str">
        <f>"18/11/2009"</f>
        <v>18/11/2009</v>
      </c>
      <c r="B116" t="str">
        <f>"33.20"</f>
        <v>33.20</v>
      </c>
      <c r="C116" t="str">
        <f>"33.218"</f>
        <v>33.218</v>
      </c>
    </row>
    <row r="117" spans="1:3" x14ac:dyDescent="0.25">
      <c r="A117" t="str">
        <f>"19/11/2009"</f>
        <v>19/11/2009</v>
      </c>
      <c r="B117" t="str">
        <f>"33.20"</f>
        <v>33.20</v>
      </c>
      <c r="C117" t="str">
        <f>"33.218"</f>
        <v>33.218</v>
      </c>
    </row>
    <row r="118" spans="1:3" x14ac:dyDescent="0.25">
      <c r="A118" t="str">
        <f>"20/11/2009"</f>
        <v>20/11/2009</v>
      </c>
      <c r="B118" t="str">
        <f>"33.23"</f>
        <v>33.23</v>
      </c>
      <c r="C118" t="str">
        <f>"33.248"</f>
        <v>33.248</v>
      </c>
    </row>
    <row r="119" spans="1:3" x14ac:dyDescent="0.25">
      <c r="A119" t="str">
        <f>"23/11/2009"</f>
        <v>23/11/2009</v>
      </c>
      <c r="B119" t="str">
        <f>"33.25"</f>
        <v>33.25</v>
      </c>
      <c r="C119" t="str">
        <f>"33.268"</f>
        <v>33.268</v>
      </c>
    </row>
    <row r="120" spans="1:3" x14ac:dyDescent="0.25">
      <c r="A120" t="str">
        <f>"24/11/2009"</f>
        <v>24/11/2009</v>
      </c>
      <c r="B120" t="str">
        <f>"33.25"</f>
        <v>33.25</v>
      </c>
      <c r="C120" t="str">
        <f>"33.265"</f>
        <v>33.265</v>
      </c>
    </row>
    <row r="121" spans="1:3" x14ac:dyDescent="0.25">
      <c r="A121" t="str">
        <f>"25/11/2009"</f>
        <v>25/11/2009</v>
      </c>
      <c r="B121" t="str">
        <f>"33.24"</f>
        <v>33.24</v>
      </c>
      <c r="C121" t="str">
        <f>"33.256"</f>
        <v>33.256</v>
      </c>
    </row>
    <row r="122" spans="1:3" x14ac:dyDescent="0.25">
      <c r="A122" t="str">
        <f>"26/11/2009"</f>
        <v>26/11/2009</v>
      </c>
      <c r="B122" t="str">
        <f>"33.135"</f>
        <v>33.135</v>
      </c>
      <c r="C122" t="str">
        <f>"33.15"</f>
        <v>33.15</v>
      </c>
    </row>
    <row r="123" spans="1:3" x14ac:dyDescent="0.25">
      <c r="A123" t="str">
        <f>"27/11/2009"</f>
        <v>27/11/2009</v>
      </c>
      <c r="B123" t="str">
        <f>"33.255"</f>
        <v>33.255</v>
      </c>
      <c r="C123" t="str">
        <f>"33.265"</f>
        <v>33.265</v>
      </c>
    </row>
    <row r="124" spans="1:3" x14ac:dyDescent="0.25">
      <c r="A124" t="str">
        <f>"30/11/2009"</f>
        <v>30/11/2009</v>
      </c>
      <c r="B124" t="str">
        <f>"33.22"</f>
        <v>33.22</v>
      </c>
      <c r="C124" t="str">
        <f>"33.2295"</f>
        <v>33.2295</v>
      </c>
    </row>
    <row r="125" spans="1:3" x14ac:dyDescent="0.25">
      <c r="A125" t="str">
        <f>"01/12/2009"</f>
        <v>01/12/2009</v>
      </c>
      <c r="B125" t="str">
        <f>"33.26"</f>
        <v>33.26</v>
      </c>
      <c r="C125" t="str">
        <f>"33.27"</f>
        <v>33.27</v>
      </c>
    </row>
    <row r="126" spans="1:3" x14ac:dyDescent="0.25">
      <c r="A126" t="str">
        <f>"02/12/2009"</f>
        <v>02/12/2009</v>
      </c>
      <c r="B126" t="str">
        <f>"33.18"</f>
        <v>33.18</v>
      </c>
      <c r="C126" t="str">
        <f>"33.183"</f>
        <v>33.183</v>
      </c>
    </row>
    <row r="127" spans="1:3" x14ac:dyDescent="0.25">
      <c r="A127" t="str">
        <f>"03/12/2009"</f>
        <v>03/12/2009</v>
      </c>
      <c r="B127" t="str">
        <f>"33.14"</f>
        <v>33.14</v>
      </c>
      <c r="C127" t="str">
        <f>"33.139"</f>
        <v>33.139</v>
      </c>
    </row>
    <row r="128" spans="1:3" x14ac:dyDescent="0.25">
      <c r="A128" t="str">
        <f>"04/12/2009"</f>
        <v>04/12/2009</v>
      </c>
      <c r="B128" t="str">
        <f>"33.15"</f>
        <v>33.15</v>
      </c>
      <c r="C128" t="str">
        <f>"33.13"</f>
        <v>33.13</v>
      </c>
    </row>
    <row r="129" spans="1:3" x14ac:dyDescent="0.25">
      <c r="A129" t="str">
        <f>"07/12/2009"</f>
        <v>07/12/2009</v>
      </c>
      <c r="B129" t="str">
        <f>"33.18"</f>
        <v>33.18</v>
      </c>
      <c r="C129" t="str">
        <f>"33.1775"</f>
        <v>33.1775</v>
      </c>
    </row>
    <row r="130" spans="1:3" x14ac:dyDescent="0.25">
      <c r="A130" t="str">
        <f>"08/12/2009"</f>
        <v>08/12/2009</v>
      </c>
      <c r="B130" t="str">
        <f>"33.20"</f>
        <v>33.20</v>
      </c>
      <c r="C130" t="str">
        <f>"33.19"</f>
        <v>33.19</v>
      </c>
    </row>
    <row r="131" spans="1:3" x14ac:dyDescent="0.25">
      <c r="A131" t="str">
        <f>"09/12/2009"</f>
        <v>09/12/2009</v>
      </c>
      <c r="B131" t="str">
        <f>"33.225"</f>
        <v>33.225</v>
      </c>
      <c r="C131" t="str">
        <f>"33.235"</f>
        <v>33.235</v>
      </c>
    </row>
    <row r="132" spans="1:3" x14ac:dyDescent="0.25">
      <c r="A132" t="str">
        <f>"10/12/2009"</f>
        <v>10/12/2009</v>
      </c>
      <c r="B132" t="str">
        <f>"33.12"</f>
        <v>33.12</v>
      </c>
      <c r="C132" t="str">
        <f>"33.14"</f>
        <v>33.14</v>
      </c>
    </row>
    <row r="133" spans="1:3" x14ac:dyDescent="0.25">
      <c r="A133" t="str">
        <f>"11/12/2009"</f>
        <v>11/12/2009</v>
      </c>
      <c r="B133" t="str">
        <f>"33.145"</f>
        <v>33.145</v>
      </c>
      <c r="C133" t="str">
        <f>"33.158"</f>
        <v>33.158</v>
      </c>
    </row>
    <row r="134" spans="1:3" x14ac:dyDescent="0.25">
      <c r="A134" t="str">
        <f>"14/12/2009"</f>
        <v>14/12/2009</v>
      </c>
      <c r="B134" t="str">
        <f>"33.155"</f>
        <v>33.155</v>
      </c>
      <c r="C134" t="str">
        <f>"33.17"</f>
        <v>33.17</v>
      </c>
    </row>
    <row r="135" spans="1:3" x14ac:dyDescent="0.25">
      <c r="A135" t="str">
        <f>"15/12/2009"</f>
        <v>15/12/2009</v>
      </c>
      <c r="B135" t="str">
        <f>"33.14"</f>
        <v>33.14</v>
      </c>
      <c r="C135" t="str">
        <f>"33.15"</f>
        <v>33.15</v>
      </c>
    </row>
    <row r="136" spans="1:3" x14ac:dyDescent="0.25">
      <c r="A136" t="str">
        <f>"16/12/2009"</f>
        <v>16/12/2009</v>
      </c>
      <c r="B136" t="str">
        <f>"33.17"</f>
        <v>33.17</v>
      </c>
      <c r="C136" t="str">
        <f>"33.1825"</f>
        <v>33.1825</v>
      </c>
    </row>
    <row r="137" spans="1:3" x14ac:dyDescent="0.25">
      <c r="A137" t="str">
        <f>"17/12/2009"</f>
        <v>17/12/2009</v>
      </c>
      <c r="B137" t="str">
        <f>"33.24"</f>
        <v>33.24</v>
      </c>
      <c r="C137" t="str">
        <f>"33.25"</f>
        <v>33.25</v>
      </c>
    </row>
    <row r="138" spans="1:3" x14ac:dyDescent="0.25">
      <c r="A138" t="str">
        <f>"18/12/2009"</f>
        <v>18/12/2009</v>
      </c>
      <c r="B138" t="str">
        <f>"33.23"</f>
        <v>33.23</v>
      </c>
      <c r="C138" t="str">
        <f>"33.234"</f>
        <v>33.234</v>
      </c>
    </row>
    <row r="139" spans="1:3" x14ac:dyDescent="0.25">
      <c r="A139" t="str">
        <f>"21/12/2009"</f>
        <v>21/12/2009</v>
      </c>
      <c r="B139" t="str">
        <f>"33.24"</f>
        <v>33.24</v>
      </c>
      <c r="C139" t="str">
        <f>"33.245"</f>
        <v>33.245</v>
      </c>
    </row>
    <row r="140" spans="1:3" x14ac:dyDescent="0.25">
      <c r="A140" t="str">
        <f>"22/12/2009"</f>
        <v>22/12/2009</v>
      </c>
      <c r="B140" t="str">
        <f>"33.27"</f>
        <v>33.27</v>
      </c>
      <c r="C140" t="str">
        <f>"33.272"</f>
        <v>33.272</v>
      </c>
    </row>
    <row r="141" spans="1:3" x14ac:dyDescent="0.25">
      <c r="A141" t="str">
        <f>"23/12/2009"</f>
        <v>23/12/2009</v>
      </c>
      <c r="B141" t="str">
        <f>"33.32"</f>
        <v>33.32</v>
      </c>
      <c r="C141" t="str">
        <f>"33.325"</f>
        <v>33.325</v>
      </c>
    </row>
    <row r="142" spans="1:3" x14ac:dyDescent="0.25">
      <c r="A142" t="str">
        <f>"24/12/2009"</f>
        <v>24/12/2009</v>
      </c>
      <c r="B142" t="str">
        <f>"33.37"</f>
        <v>33.37</v>
      </c>
      <c r="C142" t="str">
        <f>"33.372"</f>
        <v>33.372</v>
      </c>
    </row>
    <row r="143" spans="1:3" x14ac:dyDescent="0.25">
      <c r="A143" t="str">
        <f>"29/12/2009"</f>
        <v>29/12/2009</v>
      </c>
      <c r="B143" t="str">
        <f>"33.40"</f>
        <v>33.40</v>
      </c>
      <c r="C143" t="str">
        <f>"33.405"</f>
        <v>33.405</v>
      </c>
    </row>
    <row r="144" spans="1:3" x14ac:dyDescent="0.25">
      <c r="A144" t="str">
        <f>"30/12/2009"</f>
        <v>30/12/2009</v>
      </c>
      <c r="B144" t="str">
        <f>"33.36"</f>
        <v>33.36</v>
      </c>
      <c r="C144" t="str">
        <f>"33.365"</f>
        <v>33.365</v>
      </c>
    </row>
    <row r="145" spans="1:3" x14ac:dyDescent="0.25">
      <c r="A145" t="str">
        <f>"31/12/2009"</f>
        <v>31/12/2009</v>
      </c>
      <c r="B145" t="str">
        <f>"33.34"</f>
        <v>33.34</v>
      </c>
      <c r="C145" t="str">
        <f>"33.35"</f>
        <v>33.35</v>
      </c>
    </row>
    <row r="146" spans="1:3" x14ac:dyDescent="0.25">
      <c r="A146" t="str">
        <f>"01/01/2010"</f>
        <v>01/01/2010</v>
      </c>
      <c r="B146" t="str">
        <f>"33.50"</f>
        <v>33.50</v>
      </c>
      <c r="C146" t="str">
        <f>"33.51"</f>
        <v>33.51</v>
      </c>
    </row>
    <row r="147" spans="1:3" x14ac:dyDescent="0.25">
      <c r="A147" t="str">
        <f>"04/01/2010"</f>
        <v>04/01/2010</v>
      </c>
      <c r="B147" t="str">
        <f>"33.33"</f>
        <v>33.33</v>
      </c>
      <c r="C147" t="str">
        <f>"33.335"</f>
        <v>33.335</v>
      </c>
    </row>
    <row r="148" spans="1:3" x14ac:dyDescent="0.25">
      <c r="A148" t="str">
        <f>"05/01/2010"</f>
        <v>05/01/2010</v>
      </c>
      <c r="B148" t="str">
        <f>"33.18"</f>
        <v>33.18</v>
      </c>
      <c r="C148" t="str">
        <f>"33.1825"</f>
        <v>33.1825</v>
      </c>
    </row>
    <row r="149" spans="1:3" x14ac:dyDescent="0.25">
      <c r="A149" t="str">
        <f>"06/01/2010"</f>
        <v>06/01/2010</v>
      </c>
      <c r="B149" t="str">
        <f>"33.16"</f>
        <v>33.16</v>
      </c>
      <c r="C149" t="str">
        <f>"33.17"</f>
        <v>33.17</v>
      </c>
    </row>
    <row r="150" spans="1:3" x14ac:dyDescent="0.25">
      <c r="A150" t="str">
        <f>"07/01/2010"</f>
        <v>07/01/2010</v>
      </c>
      <c r="B150" t="str">
        <f>"33.13"</f>
        <v>33.13</v>
      </c>
      <c r="C150" t="str">
        <f>"33.1375"</f>
        <v>33.1375</v>
      </c>
    </row>
    <row r="151" spans="1:3" x14ac:dyDescent="0.25">
      <c r="A151" t="str">
        <f>"08/01/2010"</f>
        <v>08/01/2010</v>
      </c>
      <c r="B151" t="str">
        <f>"33.175"</f>
        <v>33.175</v>
      </c>
      <c r="C151" t="str">
        <f>"33.183"</f>
        <v>33.183</v>
      </c>
    </row>
    <row r="152" spans="1:3" x14ac:dyDescent="0.25">
      <c r="A152" t="str">
        <f>"11/01/2010"</f>
        <v>11/01/2010</v>
      </c>
      <c r="B152" t="str">
        <f>"33.05"</f>
        <v>33.05</v>
      </c>
      <c r="C152" t="str">
        <f>"33.064"</f>
        <v>33.064</v>
      </c>
    </row>
    <row r="153" spans="1:3" x14ac:dyDescent="0.25">
      <c r="A153" t="str">
        <f>"12/01/2010"</f>
        <v>12/01/2010</v>
      </c>
      <c r="B153" t="str">
        <f>"33.09"</f>
        <v>33.09</v>
      </c>
      <c r="C153" t="str">
        <f>"33.102"</f>
        <v>33.102</v>
      </c>
    </row>
    <row r="154" spans="1:3" x14ac:dyDescent="0.25">
      <c r="A154" t="str">
        <f>"13/01/2010"</f>
        <v>13/01/2010</v>
      </c>
      <c r="B154" t="str">
        <f>"33.06"</f>
        <v>33.06</v>
      </c>
      <c r="C154" t="str">
        <f>"33.073"</f>
        <v>33.073</v>
      </c>
    </row>
    <row r="155" spans="1:3" x14ac:dyDescent="0.25">
      <c r="A155" t="str">
        <f>"14/01/2010"</f>
        <v>14/01/2010</v>
      </c>
      <c r="B155" t="str">
        <f>"32.96"</f>
        <v>32.96</v>
      </c>
      <c r="C155" t="str">
        <f>"32.9725"</f>
        <v>32.9725</v>
      </c>
    </row>
    <row r="156" spans="1:3" x14ac:dyDescent="0.25">
      <c r="A156" t="str">
        <f>"15/01/2010"</f>
        <v>15/01/2010</v>
      </c>
      <c r="B156" t="str">
        <f>"32.89"</f>
        <v>32.89</v>
      </c>
      <c r="C156" t="str">
        <f>"32.904"</f>
        <v>32.904</v>
      </c>
    </row>
    <row r="157" spans="1:3" x14ac:dyDescent="0.25">
      <c r="A157" t="str">
        <f>"18/01/2010"</f>
        <v>18/01/2010</v>
      </c>
      <c r="B157" t="str">
        <f>"32.91"</f>
        <v>32.91</v>
      </c>
      <c r="C157" t="str">
        <f>"32.925"</f>
        <v>32.925</v>
      </c>
    </row>
    <row r="158" spans="1:3" x14ac:dyDescent="0.25">
      <c r="A158" t="str">
        <f>"19/01/2010"</f>
        <v>19/01/2010</v>
      </c>
      <c r="B158" t="str">
        <f>"32.83"</f>
        <v>32.83</v>
      </c>
      <c r="C158" t="str">
        <f>"32.84"</f>
        <v>32.84</v>
      </c>
    </row>
    <row r="159" spans="1:3" x14ac:dyDescent="0.25">
      <c r="A159" t="str">
        <f>"20/01/2010"</f>
        <v>20/01/2010</v>
      </c>
      <c r="B159" t="str">
        <f>"32.96"</f>
        <v>32.96</v>
      </c>
      <c r="C159" t="str">
        <f>"32.973"</f>
        <v>32.973</v>
      </c>
    </row>
    <row r="160" spans="1:3" x14ac:dyDescent="0.25">
      <c r="A160" t="str">
        <f>"21/01/2010"</f>
        <v>21/01/2010</v>
      </c>
      <c r="B160" t="str">
        <f>"32.96"</f>
        <v>32.96</v>
      </c>
      <c r="C160" t="str">
        <f>"32.976"</f>
        <v>32.976</v>
      </c>
    </row>
    <row r="161" spans="1:3" x14ac:dyDescent="0.25">
      <c r="A161" t="str">
        <f>"22/01/2010"</f>
        <v>22/01/2010</v>
      </c>
      <c r="B161" t="str">
        <f>"33.05"</f>
        <v>33.05</v>
      </c>
      <c r="C161" t="str">
        <f>"33.07"</f>
        <v>33.07</v>
      </c>
    </row>
    <row r="162" spans="1:3" x14ac:dyDescent="0.25">
      <c r="A162" t="str">
        <f>"25/01/2010"</f>
        <v>25/01/2010</v>
      </c>
      <c r="B162" t="str">
        <f>"33.02"</f>
        <v>33.02</v>
      </c>
      <c r="C162" t="str">
        <f>"33.042"</f>
        <v>33.042</v>
      </c>
    </row>
    <row r="163" spans="1:3" x14ac:dyDescent="0.25">
      <c r="A163" t="str">
        <f>"27/01/2010"</f>
        <v>27/01/2010</v>
      </c>
      <c r="B163" t="str">
        <f>"33.02"</f>
        <v>33.02</v>
      </c>
      <c r="C163" t="str">
        <f>"33.038"</f>
        <v>33.038</v>
      </c>
    </row>
    <row r="164" spans="1:3" x14ac:dyDescent="0.25">
      <c r="A164" t="str">
        <f>"28/01/2010"</f>
        <v>28/01/2010</v>
      </c>
      <c r="B164" t="str">
        <f>"33.10"</f>
        <v>33.10</v>
      </c>
      <c r="C164" t="str">
        <f>"33.12"</f>
        <v>33.12</v>
      </c>
    </row>
    <row r="165" spans="1:3" x14ac:dyDescent="0.25">
      <c r="A165" t="str">
        <f>"29/01/2010"</f>
        <v>29/01/2010</v>
      </c>
      <c r="B165" t="str">
        <f>"33.15"</f>
        <v>33.15</v>
      </c>
      <c r="C165" t="str">
        <f>"33.17"</f>
        <v>33.17</v>
      </c>
    </row>
    <row r="166" spans="1:3" x14ac:dyDescent="0.25">
      <c r="A166" t="str">
        <f>"01/02/2010"</f>
        <v>01/02/2010</v>
      </c>
      <c r="B166" t="str">
        <f>"33.24"</f>
        <v>33.24</v>
      </c>
      <c r="C166" t="str">
        <f>"33.258"</f>
        <v>33.258</v>
      </c>
    </row>
    <row r="167" spans="1:3" x14ac:dyDescent="0.25">
      <c r="A167" t="str">
        <f>"02/02/2010"</f>
        <v>02/02/2010</v>
      </c>
      <c r="B167" t="str">
        <f>"33.15"</f>
        <v>33.15</v>
      </c>
      <c r="C167" t="str">
        <f>"33.171"</f>
        <v>33.171</v>
      </c>
    </row>
    <row r="168" spans="1:3" x14ac:dyDescent="0.25">
      <c r="A168" t="str">
        <f>"03/02/2010"</f>
        <v>03/02/2010</v>
      </c>
      <c r="B168" t="str">
        <f>"33.09"</f>
        <v>33.09</v>
      </c>
      <c r="C168" t="str">
        <f>"33.11"</f>
        <v>33.11</v>
      </c>
    </row>
    <row r="169" spans="1:3" x14ac:dyDescent="0.25">
      <c r="A169" t="str">
        <f>"04/02/2010"</f>
        <v>04/02/2010</v>
      </c>
      <c r="B169" t="str">
        <f>"33.11"</f>
        <v>33.11</v>
      </c>
      <c r="C169" t="str">
        <f>"33.131"</f>
        <v>33.131</v>
      </c>
    </row>
    <row r="170" spans="1:3" x14ac:dyDescent="0.25">
      <c r="A170" t="str">
        <f>"05/02/2010"</f>
        <v>05/02/2010</v>
      </c>
      <c r="B170" t="str">
        <f>"33.21"</f>
        <v>33.21</v>
      </c>
      <c r="C170" t="str">
        <f>"33.228"</f>
        <v>33.228</v>
      </c>
    </row>
    <row r="171" spans="1:3" x14ac:dyDescent="0.25">
      <c r="A171" t="str">
        <f>"08/02/2010"</f>
        <v>08/02/2010</v>
      </c>
      <c r="B171" t="str">
        <f>"33.19"</f>
        <v>33.19</v>
      </c>
      <c r="C171" t="str">
        <f>"33.203"</f>
        <v>33.203</v>
      </c>
    </row>
    <row r="172" spans="1:3" x14ac:dyDescent="0.25">
      <c r="A172" t="str">
        <f>"09/02/2010"</f>
        <v>09/02/2010</v>
      </c>
      <c r="B172" t="str">
        <f>"33.20"</f>
        <v>33.20</v>
      </c>
      <c r="C172" t="str">
        <f>"33.215"</f>
        <v>33.215</v>
      </c>
    </row>
    <row r="173" spans="1:3" x14ac:dyDescent="0.25">
      <c r="A173" t="str">
        <f>"10/02/2010"</f>
        <v>10/02/2010</v>
      </c>
      <c r="B173" t="str">
        <f>"33.17"</f>
        <v>33.17</v>
      </c>
      <c r="C173" t="str">
        <f>"33.184"</f>
        <v>33.184</v>
      </c>
    </row>
    <row r="174" spans="1:3" x14ac:dyDescent="0.25">
      <c r="A174" t="str">
        <f>"11/02/2010"</f>
        <v>11/02/2010</v>
      </c>
      <c r="B174" t="str">
        <f>"33.17"</f>
        <v>33.17</v>
      </c>
      <c r="C174" t="str">
        <f>"33.186"</f>
        <v>33.186</v>
      </c>
    </row>
    <row r="175" spans="1:3" x14ac:dyDescent="0.25">
      <c r="A175" t="str">
        <f>"15/02/2010"</f>
        <v>15/02/2010</v>
      </c>
      <c r="B175" t="str">
        <f>"33.21"</f>
        <v>33.21</v>
      </c>
      <c r="C175" t="str">
        <f>"33.224"</f>
        <v>33.224</v>
      </c>
    </row>
    <row r="176" spans="1:3" x14ac:dyDescent="0.25">
      <c r="A176" t="str">
        <f>"16/02/2010"</f>
        <v>16/02/2010</v>
      </c>
      <c r="B176" t="str">
        <f>"33.17"</f>
        <v>33.17</v>
      </c>
      <c r="C176" t="str">
        <f>"33.185"</f>
        <v>33.185</v>
      </c>
    </row>
    <row r="177" spans="1:3" x14ac:dyDescent="0.25">
      <c r="A177" t="str">
        <f>"17/02/2010"</f>
        <v>17/02/2010</v>
      </c>
      <c r="B177" t="str">
        <f>"33.14"</f>
        <v>33.14</v>
      </c>
      <c r="C177" t="str">
        <f>"33.154"</f>
        <v>33.154</v>
      </c>
    </row>
    <row r="178" spans="1:3" x14ac:dyDescent="0.25">
      <c r="A178" t="str">
        <f>"18/02/2010"</f>
        <v>18/02/2010</v>
      </c>
      <c r="B178" t="str">
        <f>"33.195"</f>
        <v>33.195</v>
      </c>
      <c r="C178" t="str">
        <f>"33.21"</f>
        <v>33.21</v>
      </c>
    </row>
    <row r="179" spans="1:3" x14ac:dyDescent="0.25">
      <c r="A179" t="str">
        <f>"19/02/2010"</f>
        <v>19/02/2010</v>
      </c>
      <c r="B179" t="str">
        <f>"33.24"</f>
        <v>33.24</v>
      </c>
      <c r="C179" t="str">
        <f>"33.256"</f>
        <v>33.256</v>
      </c>
    </row>
    <row r="180" spans="1:3" x14ac:dyDescent="0.25">
      <c r="A180" t="str">
        <f>"22/02/2010"</f>
        <v>22/02/2010</v>
      </c>
      <c r="B180" t="str">
        <f>"33.14"</f>
        <v>33.14</v>
      </c>
      <c r="C180" t="str">
        <f>"33.154"</f>
        <v>33.154</v>
      </c>
    </row>
    <row r="181" spans="1:3" x14ac:dyDescent="0.25">
      <c r="A181" t="str">
        <f>"23/02/2010"</f>
        <v>23/02/2010</v>
      </c>
      <c r="B181" t="str">
        <f>"33.14"</f>
        <v>33.14</v>
      </c>
      <c r="C181" t="str">
        <f>"33.154"</f>
        <v>33.154</v>
      </c>
    </row>
    <row r="182" spans="1:3" x14ac:dyDescent="0.25">
      <c r="A182" t="str">
        <f>"24/02/2010"</f>
        <v>24/02/2010</v>
      </c>
      <c r="B182" t="str">
        <f>"33.08"</f>
        <v>33.08</v>
      </c>
      <c r="C182" t="str">
        <f>"33.096"</f>
        <v>33.096</v>
      </c>
    </row>
    <row r="183" spans="1:3" x14ac:dyDescent="0.25">
      <c r="A183" t="str">
        <f>"25/02/2010"</f>
        <v>25/02/2010</v>
      </c>
      <c r="B183" t="str">
        <f>"33.06"</f>
        <v>33.06</v>
      </c>
      <c r="C183" t="str">
        <f>"33.077"</f>
        <v>33.077</v>
      </c>
    </row>
    <row r="184" spans="1:3" x14ac:dyDescent="0.25">
      <c r="A184" t="str">
        <f>"26/02/2010"</f>
        <v>26/02/2010</v>
      </c>
      <c r="B184" t="str">
        <f>"33.09"</f>
        <v>33.09</v>
      </c>
      <c r="C184" t="str">
        <f>"33.1055"</f>
        <v>33.1055</v>
      </c>
    </row>
    <row r="185" spans="1:3" x14ac:dyDescent="0.25">
      <c r="A185" t="str">
        <f>"02/03/2010"</f>
        <v>02/03/2010</v>
      </c>
      <c r="B185" t="str">
        <f>"32.83"</f>
        <v>32.83</v>
      </c>
      <c r="C185" t="str">
        <f>"32.849"</f>
        <v>32.849</v>
      </c>
    </row>
    <row r="186" spans="1:3" x14ac:dyDescent="0.25">
      <c r="A186" t="str">
        <f>"03/03/2010"</f>
        <v>03/03/2010</v>
      </c>
      <c r="B186" t="str">
        <f>"32.67"</f>
        <v>32.67</v>
      </c>
      <c r="C186" t="str">
        <f>"32.689"</f>
        <v>32.689</v>
      </c>
    </row>
    <row r="187" spans="1:3" x14ac:dyDescent="0.25">
      <c r="A187" t="str">
        <f>"04/03/2010"</f>
        <v>04/03/2010</v>
      </c>
      <c r="B187" t="str">
        <f>"32.67"</f>
        <v>32.67</v>
      </c>
      <c r="C187" t="str">
        <f>"32.69"</f>
        <v>32.69</v>
      </c>
    </row>
    <row r="188" spans="1:3" x14ac:dyDescent="0.25">
      <c r="A188" t="str">
        <f>"05/03/2010"</f>
        <v>05/03/2010</v>
      </c>
      <c r="B188" t="str">
        <f>"32.68"</f>
        <v>32.68</v>
      </c>
      <c r="C188" t="str">
        <f>"32.70"</f>
        <v>32.70</v>
      </c>
    </row>
    <row r="189" spans="1:3" x14ac:dyDescent="0.25">
      <c r="A189" t="str">
        <f>"08/03/2010"</f>
        <v>08/03/2010</v>
      </c>
      <c r="B189" t="str">
        <f>"32.63"</f>
        <v>32.63</v>
      </c>
      <c r="C189" t="str">
        <f>"32.649"</f>
        <v>32.649</v>
      </c>
    </row>
    <row r="190" spans="1:3" x14ac:dyDescent="0.25">
      <c r="A190" t="str">
        <f>"09/03/2010"</f>
        <v>09/03/2010</v>
      </c>
      <c r="B190" t="str">
        <f>"32.74"</f>
        <v>32.74</v>
      </c>
      <c r="C190" t="str">
        <f>"32.761"</f>
        <v>32.761</v>
      </c>
    </row>
    <row r="191" spans="1:3" x14ac:dyDescent="0.25">
      <c r="A191" t="str">
        <f>"10/03/2010"</f>
        <v>10/03/2010</v>
      </c>
      <c r="B191" t="str">
        <f>"32.71"</f>
        <v>32.71</v>
      </c>
      <c r="C191" t="str">
        <f>"32.73"</f>
        <v>32.73</v>
      </c>
    </row>
    <row r="192" spans="1:3" x14ac:dyDescent="0.25">
      <c r="A192" t="str">
        <f>"11/03/2010"</f>
        <v>11/03/2010</v>
      </c>
      <c r="B192" t="str">
        <f>"32.66"</f>
        <v>32.66</v>
      </c>
      <c r="C192" t="str">
        <f>"32.681"</f>
        <v>32.681</v>
      </c>
    </row>
    <row r="193" spans="1:3" x14ac:dyDescent="0.25">
      <c r="A193" t="str">
        <f>"12/03/2010"</f>
        <v>12/03/2010</v>
      </c>
      <c r="B193" t="str">
        <f>"32.68"</f>
        <v>32.68</v>
      </c>
      <c r="C193" t="str">
        <f>"32.70"</f>
        <v>32.70</v>
      </c>
    </row>
    <row r="194" spans="1:3" x14ac:dyDescent="0.25">
      <c r="A194" t="str">
        <f>"15/03/2010"</f>
        <v>15/03/2010</v>
      </c>
      <c r="B194" t="str">
        <f>"32.63"</f>
        <v>32.63</v>
      </c>
      <c r="C194" t="str">
        <f>"32.652"</f>
        <v>32.652</v>
      </c>
    </row>
    <row r="195" spans="1:3" x14ac:dyDescent="0.25">
      <c r="A195" t="str">
        <f>"17/03/2010"</f>
        <v>17/03/2010</v>
      </c>
      <c r="B195" t="str">
        <f>"32.39"</f>
        <v>32.39</v>
      </c>
      <c r="C195" t="str">
        <f>"32.413"</f>
        <v>32.413</v>
      </c>
    </row>
    <row r="196" spans="1:3" x14ac:dyDescent="0.25">
      <c r="A196" t="str">
        <f>"18/03/2010"</f>
        <v>18/03/2010</v>
      </c>
      <c r="B196" t="str">
        <f>"32.31"</f>
        <v>32.31</v>
      </c>
      <c r="C196" t="str">
        <f>"32.33"</f>
        <v>32.33</v>
      </c>
    </row>
    <row r="197" spans="1:3" x14ac:dyDescent="0.25">
      <c r="A197" t="str">
        <f>"19/03/2010"</f>
        <v>19/03/2010</v>
      </c>
      <c r="B197" t="str">
        <f>"32.32"</f>
        <v>32.32</v>
      </c>
      <c r="C197" t="str">
        <f>"32.341"</f>
        <v>32.341</v>
      </c>
    </row>
    <row r="198" spans="1:3" x14ac:dyDescent="0.25">
      <c r="A198" t="str">
        <f>"22/03/2010"</f>
        <v>22/03/2010</v>
      </c>
      <c r="B198" t="str">
        <f>"32.35"</f>
        <v>32.35</v>
      </c>
      <c r="C198" t="str">
        <f>"32.371"</f>
        <v>32.371</v>
      </c>
    </row>
    <row r="199" spans="1:3" x14ac:dyDescent="0.25">
      <c r="A199" t="str">
        <f>"23/03/2010"</f>
        <v>23/03/2010</v>
      </c>
      <c r="B199" t="str">
        <f>"32.34"</f>
        <v>32.34</v>
      </c>
      <c r="C199" t="str">
        <f>"32.362"</f>
        <v>32.362</v>
      </c>
    </row>
    <row r="200" spans="1:3" x14ac:dyDescent="0.25">
      <c r="A200" t="str">
        <f>"25/03/2010"</f>
        <v>25/03/2010</v>
      </c>
      <c r="B200" t="str">
        <f>"32.43"</f>
        <v>32.43</v>
      </c>
      <c r="C200" t="str">
        <f>"32.4517"</f>
        <v>32.4517</v>
      </c>
    </row>
    <row r="201" spans="1:3" x14ac:dyDescent="0.25">
      <c r="A201" t="str">
        <f>"26/03/2010"</f>
        <v>26/03/2010</v>
      </c>
      <c r="B201" t="str">
        <f>"32.45"</f>
        <v>32.45</v>
      </c>
      <c r="C201" t="str">
        <f>"32.472"</f>
        <v>32.472</v>
      </c>
    </row>
    <row r="202" spans="1:3" x14ac:dyDescent="0.25">
      <c r="A202" t="str">
        <f>"29/03/2010"</f>
        <v>29/03/2010</v>
      </c>
      <c r="B202" t="str">
        <f>"32.37"</f>
        <v>32.37</v>
      </c>
      <c r="C202" t="str">
        <f>"32.3917"</f>
        <v>32.3917</v>
      </c>
    </row>
    <row r="203" spans="1:3" x14ac:dyDescent="0.25">
      <c r="A203" t="str">
        <f>"30/03/2010"</f>
        <v>30/03/2010</v>
      </c>
      <c r="B203" t="str">
        <f>"32.35"</f>
        <v>32.35</v>
      </c>
      <c r="C203" t="str">
        <f>"32.3707"</f>
        <v>32.3707</v>
      </c>
    </row>
    <row r="204" spans="1:3" x14ac:dyDescent="0.25">
      <c r="A204" t="str">
        <f>"31/03/2010"</f>
        <v>31/03/2010</v>
      </c>
      <c r="B204" t="str">
        <f>"32.38"</f>
        <v>32.38</v>
      </c>
      <c r="C204" t="str">
        <f>"32.4007"</f>
        <v>32.4007</v>
      </c>
    </row>
    <row r="205" spans="1:3" x14ac:dyDescent="0.25">
      <c r="A205" t="str">
        <f>"05/04/2010"</f>
        <v>05/04/2010</v>
      </c>
      <c r="B205" t="str">
        <f>"32.38"</f>
        <v>32.38</v>
      </c>
      <c r="C205" t="str">
        <f>"32.403"</f>
        <v>32.403</v>
      </c>
    </row>
    <row r="206" spans="1:3" x14ac:dyDescent="0.25">
      <c r="A206" t="str">
        <f>"06/04/2010"</f>
        <v>06/04/2010</v>
      </c>
      <c r="B206" t="str">
        <f>"32.44"</f>
        <v>32.44</v>
      </c>
      <c r="C206" t="str">
        <f>"32.466"</f>
        <v>32.466</v>
      </c>
    </row>
    <row r="207" spans="1:3" x14ac:dyDescent="0.25">
      <c r="A207" t="str">
        <f>"07/04/2010"</f>
        <v>07/04/2010</v>
      </c>
      <c r="B207" t="str">
        <f>"32.37"</f>
        <v>32.37</v>
      </c>
      <c r="C207" t="str">
        <f>"32.395"</f>
        <v>32.395</v>
      </c>
    </row>
    <row r="208" spans="1:3" x14ac:dyDescent="0.25">
      <c r="A208" t="str">
        <f>"08/04/2010"</f>
        <v>08/04/2010</v>
      </c>
      <c r="B208" t="str">
        <f>"32.37"</f>
        <v>32.37</v>
      </c>
      <c r="C208" t="str">
        <f>"32.391"</f>
        <v>32.391</v>
      </c>
    </row>
    <row r="209" spans="1:3" x14ac:dyDescent="0.25">
      <c r="A209" t="str">
        <f>"09/04/2010"</f>
        <v>09/04/2010</v>
      </c>
      <c r="B209" t="str">
        <f>"32.30"</f>
        <v>32.30</v>
      </c>
      <c r="C209" t="str">
        <f>"32.323"</f>
        <v>32.323</v>
      </c>
    </row>
    <row r="210" spans="1:3" x14ac:dyDescent="0.25">
      <c r="A210" t="str">
        <f>"12/04/2010"</f>
        <v>12/04/2010</v>
      </c>
      <c r="B210" t="str">
        <f>"32.27"</f>
        <v>32.27</v>
      </c>
      <c r="C210" t="str">
        <f>"32.293"</f>
        <v>32.293</v>
      </c>
    </row>
    <row r="211" spans="1:3" x14ac:dyDescent="0.25">
      <c r="A211" t="str">
        <f>"13/04/2010"</f>
        <v>13/04/2010</v>
      </c>
      <c r="B211" t="str">
        <f>"32.35"</f>
        <v>32.35</v>
      </c>
      <c r="C211" t="str">
        <f>"32.373"</f>
        <v>32.373</v>
      </c>
    </row>
    <row r="212" spans="1:3" x14ac:dyDescent="0.25">
      <c r="A212" t="str">
        <f>"15/04/2010"</f>
        <v>15/04/2010</v>
      </c>
      <c r="B212" t="str">
        <f>"32.25"</f>
        <v>32.25</v>
      </c>
      <c r="C212" t="str">
        <f>"32.273"</f>
        <v>32.273</v>
      </c>
    </row>
    <row r="213" spans="1:3" x14ac:dyDescent="0.25">
      <c r="A213" t="str">
        <f>"16/04/2010"</f>
        <v>16/04/2010</v>
      </c>
      <c r="B213" t="str">
        <f>"32.26"</f>
        <v>32.26</v>
      </c>
      <c r="C213" t="str">
        <f>"32.282"</f>
        <v>32.282</v>
      </c>
    </row>
    <row r="214" spans="1:3" x14ac:dyDescent="0.25">
      <c r="A214" t="str">
        <f>"19/04/2010"</f>
        <v>19/04/2010</v>
      </c>
      <c r="B214" t="str">
        <f>"32.36"</f>
        <v>32.36</v>
      </c>
      <c r="C214" t="str">
        <f>"32.382"</f>
        <v>32.382</v>
      </c>
    </row>
    <row r="215" spans="1:3" x14ac:dyDescent="0.25">
      <c r="A215" t="str">
        <f>"20/04/2010"</f>
        <v>20/04/2010</v>
      </c>
      <c r="B215" t="str">
        <f>"32.25"</f>
        <v>32.25</v>
      </c>
      <c r="C215" t="str">
        <f>"32.2725"</f>
        <v>32.2725</v>
      </c>
    </row>
    <row r="216" spans="1:3" x14ac:dyDescent="0.25">
      <c r="A216" t="str">
        <f>"21/04/2010"</f>
        <v>21/04/2010</v>
      </c>
      <c r="B216" t="str">
        <f>"32.11"</f>
        <v>32.11</v>
      </c>
      <c r="C216" t="str">
        <f>"32.132"</f>
        <v>32.132</v>
      </c>
    </row>
    <row r="217" spans="1:3" x14ac:dyDescent="0.25">
      <c r="A217" t="str">
        <f>"22/04/2010"</f>
        <v>22/04/2010</v>
      </c>
      <c r="B217" t="str">
        <f>"32.22"</f>
        <v>32.22</v>
      </c>
      <c r="C217" t="str">
        <f>"32.241"</f>
        <v>32.241</v>
      </c>
    </row>
    <row r="218" spans="1:3" x14ac:dyDescent="0.25">
      <c r="A218" t="str">
        <f>"23/04/2010"</f>
        <v>23/04/2010</v>
      </c>
      <c r="B218" t="str">
        <f>"32.33"</f>
        <v>32.33</v>
      </c>
      <c r="C218" t="str">
        <f>"32.348"</f>
        <v>32.348</v>
      </c>
    </row>
    <row r="219" spans="1:3" x14ac:dyDescent="0.25">
      <c r="A219" t="str">
        <f>"26/04/2010"</f>
        <v>26/04/2010</v>
      </c>
      <c r="B219" t="str">
        <f>"32.19"</f>
        <v>32.19</v>
      </c>
      <c r="C219" t="str">
        <f>"32.201"</f>
        <v>32.201</v>
      </c>
    </row>
    <row r="220" spans="1:3" x14ac:dyDescent="0.25">
      <c r="A220" t="str">
        <f>"27/04/2010"</f>
        <v>27/04/2010</v>
      </c>
      <c r="B220" t="str">
        <f>"32.27"</f>
        <v>32.27</v>
      </c>
      <c r="C220" t="str">
        <f>"32.282"</f>
        <v>32.282</v>
      </c>
    </row>
    <row r="221" spans="1:3" x14ac:dyDescent="0.25">
      <c r="A221" t="str">
        <f>"28/04/2010"</f>
        <v>28/04/2010</v>
      </c>
      <c r="B221" t="str">
        <f>"32.28"</f>
        <v>32.28</v>
      </c>
      <c r="C221" t="str">
        <f>"32.291"</f>
        <v>32.291</v>
      </c>
    </row>
    <row r="222" spans="1:3" x14ac:dyDescent="0.25">
      <c r="A222" t="str">
        <f>"29/04/2010"</f>
        <v>29/04/2010</v>
      </c>
      <c r="B222" t="str">
        <f>"32.33"</f>
        <v>32.33</v>
      </c>
      <c r="C222" t="str">
        <f>"32.34"</f>
        <v>32.34</v>
      </c>
    </row>
    <row r="223" spans="1:3" x14ac:dyDescent="0.25">
      <c r="A223" t="str">
        <f>"30/04/2010"</f>
        <v>30/04/2010</v>
      </c>
      <c r="B223" t="str">
        <f>"32.34"</f>
        <v>32.34</v>
      </c>
      <c r="C223" t="str">
        <f>"32.3415"</f>
        <v>32.3415</v>
      </c>
    </row>
    <row r="224" spans="1:3" x14ac:dyDescent="0.25">
      <c r="A224" t="str">
        <f>"03/05/2010"</f>
        <v>03/05/2010</v>
      </c>
      <c r="B224" t="str">
        <f>"32.35"</f>
        <v>32.35</v>
      </c>
      <c r="C224" t="str">
        <f>"32.371"</f>
        <v>32.371</v>
      </c>
    </row>
    <row r="225" spans="1:3" x14ac:dyDescent="0.25">
      <c r="A225" t="str">
        <f>"04/05/2010"</f>
        <v>04/05/2010</v>
      </c>
      <c r="B225" t="str">
        <f>"32.29"</f>
        <v>32.29</v>
      </c>
      <c r="C225" t="str">
        <f>"32.31"</f>
        <v>32.31</v>
      </c>
    </row>
    <row r="226" spans="1:3" x14ac:dyDescent="0.25">
      <c r="A226" t="str">
        <f>"05/05/2010"</f>
        <v>05/05/2010</v>
      </c>
      <c r="B226" t="str">
        <f>"32.38"</f>
        <v>32.38</v>
      </c>
      <c r="C226" t="str">
        <f>"32.401"</f>
        <v>32.401</v>
      </c>
    </row>
    <row r="227" spans="1:3" x14ac:dyDescent="0.25">
      <c r="A227" t="str">
        <f>"06/05/2010"</f>
        <v>06/05/2010</v>
      </c>
      <c r="B227" t="str">
        <f>"32.34"</f>
        <v>32.34</v>
      </c>
      <c r="C227" t="str">
        <f>"32.347"</f>
        <v>32.347</v>
      </c>
    </row>
    <row r="228" spans="1:3" x14ac:dyDescent="0.25">
      <c r="A228" t="str">
        <f>"07/05/2010"</f>
        <v>07/05/2010</v>
      </c>
      <c r="B228" t="str">
        <f>"32.34"</f>
        <v>32.34</v>
      </c>
      <c r="C228" t="str">
        <f>"32.345"</f>
        <v>32.345</v>
      </c>
    </row>
    <row r="229" spans="1:3" x14ac:dyDescent="0.25">
      <c r="A229" t="str">
        <f>"10/05/2010"</f>
        <v>10/05/2010</v>
      </c>
      <c r="B229" t="str">
        <f>"32.25"</f>
        <v>32.25</v>
      </c>
      <c r="C229" t="str">
        <f>"32.254"</f>
        <v>32.254</v>
      </c>
    </row>
    <row r="230" spans="1:3" x14ac:dyDescent="0.25">
      <c r="A230" t="str">
        <f>"11/05/2010"</f>
        <v>11/05/2010</v>
      </c>
      <c r="B230" t="str">
        <f>"32.32"</f>
        <v>32.32</v>
      </c>
      <c r="C230" t="str">
        <f>"32.325"</f>
        <v>32.325</v>
      </c>
    </row>
    <row r="231" spans="1:3" x14ac:dyDescent="0.25">
      <c r="A231" t="str">
        <f>"12/05/2010"</f>
        <v>12/05/2010</v>
      </c>
      <c r="B231" t="str">
        <f>"32.32"</f>
        <v>32.32</v>
      </c>
      <c r="C231" t="str">
        <f>"32.3245"</f>
        <v>32.3245</v>
      </c>
    </row>
    <row r="232" spans="1:3" x14ac:dyDescent="0.25">
      <c r="A232" t="str">
        <f>"13/05/2010"</f>
        <v>13/05/2010</v>
      </c>
      <c r="B232" t="str">
        <f>"32.28"</f>
        <v>32.28</v>
      </c>
      <c r="C232" t="str">
        <f>"32.283"</f>
        <v>32.283</v>
      </c>
    </row>
    <row r="233" spans="1:3" x14ac:dyDescent="0.25">
      <c r="A233" t="str">
        <f>"14/05/2010"</f>
        <v>14/05/2010</v>
      </c>
      <c r="B233" t="str">
        <f>"32.38"</f>
        <v>32.38</v>
      </c>
      <c r="C233" t="str">
        <f>"32.3825"</f>
        <v>32.3825</v>
      </c>
    </row>
    <row r="234" spans="1:3" x14ac:dyDescent="0.25">
      <c r="A234" t="str">
        <f>"17/05/2010"</f>
        <v>17/05/2010</v>
      </c>
      <c r="B234" t="str">
        <f>"32.44"</f>
        <v>32.44</v>
      </c>
      <c r="C234" t="str">
        <f>"32.442"</f>
        <v>32.442</v>
      </c>
    </row>
    <row r="235" spans="1:3" x14ac:dyDescent="0.25">
      <c r="A235" t="str">
        <f>"18/05/2010"</f>
        <v>18/05/2010</v>
      </c>
      <c r="B235" t="str">
        <f>"32.37"</f>
        <v>32.37</v>
      </c>
      <c r="C235" t="str">
        <f>"32.372"</f>
        <v>32.372</v>
      </c>
    </row>
    <row r="236" spans="1:3" x14ac:dyDescent="0.25">
      <c r="A236" t="str">
        <f>"19/05/2010"</f>
        <v>19/05/2010</v>
      </c>
      <c r="B236" t="str">
        <f>"32.43"</f>
        <v>32.43</v>
      </c>
      <c r="C236" t="str">
        <f>"32.434"</f>
        <v>32.434</v>
      </c>
    </row>
    <row r="237" spans="1:3" x14ac:dyDescent="0.25">
      <c r="A237" t="str">
        <f>"20/05/2010"</f>
        <v>20/05/2010</v>
      </c>
      <c r="B237" t="str">
        <f>"32.38"</f>
        <v>32.38</v>
      </c>
      <c r="C237" t="str">
        <f>"32.383"</f>
        <v>32.383</v>
      </c>
    </row>
    <row r="238" spans="1:3" x14ac:dyDescent="0.25">
      <c r="A238" t="str">
        <f>"21/05/2010"</f>
        <v>21/05/2010</v>
      </c>
      <c r="B238" t="str">
        <f>"32.44"</f>
        <v>32.44</v>
      </c>
      <c r="C238" t="str">
        <f>"32.443"</f>
        <v>32.443</v>
      </c>
    </row>
    <row r="239" spans="1:3" x14ac:dyDescent="0.25">
      <c r="A239" t="str">
        <f>"24/05/2010"</f>
        <v>24/05/2010</v>
      </c>
      <c r="B239" t="str">
        <f>"32.38"</f>
        <v>32.38</v>
      </c>
      <c r="C239" t="str">
        <f>"32.3817"</f>
        <v>32.3817</v>
      </c>
    </row>
    <row r="240" spans="1:3" x14ac:dyDescent="0.25">
      <c r="A240" t="str">
        <f>"25/05/2010"</f>
        <v>25/05/2010</v>
      </c>
      <c r="B240" t="str">
        <f>"32.56"</f>
        <v>32.56</v>
      </c>
      <c r="C240" t="str">
        <f>"32.5672"</f>
        <v>32.5672</v>
      </c>
    </row>
    <row r="241" spans="1:3" x14ac:dyDescent="0.25">
      <c r="A241" t="str">
        <f>"26/05/2010"</f>
        <v>26/05/2010</v>
      </c>
      <c r="B241" t="str">
        <f>"32.57"</f>
        <v>32.57</v>
      </c>
      <c r="C241" t="str">
        <f>"32.576"</f>
        <v>32.576</v>
      </c>
    </row>
    <row r="242" spans="1:3" x14ac:dyDescent="0.25">
      <c r="A242" t="str">
        <f>"28/05/2010"</f>
        <v>28/05/2010</v>
      </c>
      <c r="B242" t="str">
        <f>"32.57"</f>
        <v>32.57</v>
      </c>
      <c r="C242" t="str">
        <f>"32.573"</f>
        <v>32.573</v>
      </c>
    </row>
    <row r="243" spans="1:3" x14ac:dyDescent="0.25">
      <c r="A243" t="str">
        <f>"31/05/2010"</f>
        <v>31/05/2010</v>
      </c>
      <c r="B243" t="str">
        <f>"32.54"</f>
        <v>32.54</v>
      </c>
      <c r="C243" t="str">
        <f>"32.545"</f>
        <v>32.545</v>
      </c>
    </row>
    <row r="244" spans="1:3" x14ac:dyDescent="0.25">
      <c r="A244" t="str">
        <f>"01/06/2010"</f>
        <v>01/06/2010</v>
      </c>
      <c r="B244" t="str">
        <f>"32.54"</f>
        <v>32.54</v>
      </c>
      <c r="C244" t="str">
        <f>"32.5458"</f>
        <v>32.5458</v>
      </c>
    </row>
    <row r="245" spans="1:3" x14ac:dyDescent="0.25">
      <c r="A245" t="str">
        <f>"02/06/2010"</f>
        <v>02/06/2010</v>
      </c>
      <c r="B245" t="str">
        <f>"32.61"</f>
        <v>32.61</v>
      </c>
      <c r="C245" t="str">
        <f>"32.6152"</f>
        <v>32.6152</v>
      </c>
    </row>
    <row r="246" spans="1:3" x14ac:dyDescent="0.25">
      <c r="A246" t="str">
        <f>"03/06/2010"</f>
        <v>03/06/2010</v>
      </c>
      <c r="B246" t="str">
        <f>"32.58"</f>
        <v>32.58</v>
      </c>
      <c r="C246" t="str">
        <f>"32.5898"</f>
        <v>32.5898</v>
      </c>
    </row>
    <row r="247" spans="1:3" x14ac:dyDescent="0.25">
      <c r="A247" t="str">
        <f>"04/06/2010"</f>
        <v>04/06/2010</v>
      </c>
      <c r="B247" t="str">
        <f>"32.59"</f>
        <v>32.59</v>
      </c>
      <c r="C247" t="str">
        <f>"32.5996"</f>
        <v>32.5996</v>
      </c>
    </row>
    <row r="248" spans="1:3" x14ac:dyDescent="0.25">
      <c r="A248" t="str">
        <f>"07/06/2010"</f>
        <v>07/06/2010</v>
      </c>
      <c r="B248" t="str">
        <f>"32.68"</f>
        <v>32.68</v>
      </c>
      <c r="C248" t="str">
        <f>"32.6898"</f>
        <v>32.6898</v>
      </c>
    </row>
    <row r="249" spans="1:3" x14ac:dyDescent="0.25">
      <c r="A249" t="str">
        <f>"08/06/2010"</f>
        <v>08/06/2010</v>
      </c>
      <c r="B249" t="str">
        <f>"32.64"</f>
        <v>32.64</v>
      </c>
      <c r="C249" t="str">
        <f>"32.6484"</f>
        <v>32.6484</v>
      </c>
    </row>
    <row r="250" spans="1:3" x14ac:dyDescent="0.25">
      <c r="A250" t="str">
        <f>"09/06/2010"</f>
        <v>09/06/2010</v>
      </c>
      <c r="B250" t="str">
        <f>"32.64"</f>
        <v>32.64</v>
      </c>
      <c r="C250" t="str">
        <f>"32.6486"</f>
        <v>32.6486</v>
      </c>
    </row>
    <row r="251" spans="1:3" x14ac:dyDescent="0.25">
      <c r="A251" t="str">
        <f>"10/06/2010"</f>
        <v>10/06/2010</v>
      </c>
      <c r="B251" t="str">
        <f>"32.60"</f>
        <v>32.60</v>
      </c>
      <c r="C251" t="str">
        <f>"32.6078"</f>
        <v>32.6078</v>
      </c>
    </row>
    <row r="252" spans="1:3" x14ac:dyDescent="0.25">
      <c r="A252" t="str">
        <f>"11/06/2010"</f>
        <v>11/06/2010</v>
      </c>
      <c r="B252" t="str">
        <f>"32.48"</f>
        <v>32.48</v>
      </c>
      <c r="C252" t="str">
        <f>"32.4881"</f>
        <v>32.4881</v>
      </c>
    </row>
    <row r="253" spans="1:3" x14ac:dyDescent="0.25">
      <c r="A253" t="str">
        <f>"14/06/2010"</f>
        <v>14/06/2010</v>
      </c>
      <c r="B253" t="str">
        <f>"32.44"</f>
        <v>32.44</v>
      </c>
      <c r="C253" t="str">
        <f>"32.4494"</f>
        <v>32.4494</v>
      </c>
    </row>
    <row r="254" spans="1:3" x14ac:dyDescent="0.25">
      <c r="A254" t="str">
        <f>"15/06/2010"</f>
        <v>15/06/2010</v>
      </c>
      <c r="B254" t="str">
        <f>"32.41"</f>
        <v>32.41</v>
      </c>
      <c r="C254" t="str">
        <f>"32.4175"</f>
        <v>32.4175</v>
      </c>
    </row>
    <row r="255" spans="1:3" x14ac:dyDescent="0.25">
      <c r="A255" t="str">
        <f>"16/06/2010"</f>
        <v>16/06/2010</v>
      </c>
      <c r="B255" t="str">
        <f>"32.44"</f>
        <v>32.44</v>
      </c>
      <c r="C255" t="str">
        <f>"32.4475"</f>
        <v>32.4475</v>
      </c>
    </row>
    <row r="256" spans="1:3" x14ac:dyDescent="0.25">
      <c r="A256" t="str">
        <f>"17/06/2010"</f>
        <v>17/06/2010</v>
      </c>
      <c r="B256" t="str">
        <f>"32.445"</f>
        <v>32.445</v>
      </c>
      <c r="C256" t="str">
        <f>"32.4519"</f>
        <v>32.4519</v>
      </c>
    </row>
    <row r="257" spans="1:3" x14ac:dyDescent="0.25">
      <c r="A257" t="str">
        <f>"18/06/2010"</f>
        <v>18/06/2010</v>
      </c>
      <c r="B257" t="str">
        <f>"32.48"</f>
        <v>32.48</v>
      </c>
      <c r="C257" t="str">
        <f>"32.487"</f>
        <v>32.487</v>
      </c>
    </row>
    <row r="258" spans="1:3" x14ac:dyDescent="0.25">
      <c r="A258" t="str">
        <f>"21/06/2010"</f>
        <v>21/06/2010</v>
      </c>
      <c r="B258" t="str">
        <f>"32.31"</f>
        <v>32.31</v>
      </c>
      <c r="C258" t="str">
        <f>"32.315"</f>
        <v>32.315</v>
      </c>
    </row>
    <row r="259" spans="1:3" x14ac:dyDescent="0.25">
      <c r="A259" t="str">
        <f>"22/06/2010"</f>
        <v>22/06/2010</v>
      </c>
      <c r="B259" t="str">
        <f>"32.35"</f>
        <v>32.35</v>
      </c>
      <c r="C259" t="str">
        <f>"32.3545"</f>
        <v>32.3545</v>
      </c>
    </row>
    <row r="260" spans="1:3" x14ac:dyDescent="0.25">
      <c r="A260" t="str">
        <f>"23/06/2010"</f>
        <v>23/06/2010</v>
      </c>
      <c r="B260" t="str">
        <f>"32.39"</f>
        <v>32.39</v>
      </c>
      <c r="C260" t="str">
        <f>"32.3938"</f>
        <v>32.3938</v>
      </c>
    </row>
    <row r="261" spans="1:3" x14ac:dyDescent="0.25">
      <c r="A261" t="str">
        <f>"24/06/2010"</f>
        <v>24/06/2010</v>
      </c>
      <c r="B261" t="str">
        <f>"32.41"</f>
        <v>32.41</v>
      </c>
      <c r="C261" t="str">
        <f>"32.4122"</f>
        <v>32.4122</v>
      </c>
    </row>
    <row r="262" spans="1:3" x14ac:dyDescent="0.25">
      <c r="A262" t="str">
        <f>"25/06/2010"</f>
        <v>25/06/2010</v>
      </c>
      <c r="B262" t="str">
        <f>"32.46"</f>
        <v>32.46</v>
      </c>
      <c r="C262" t="str">
        <f>"32.4637"</f>
        <v>32.4637</v>
      </c>
    </row>
    <row r="263" spans="1:3" x14ac:dyDescent="0.25">
      <c r="A263" t="str">
        <f>"28/06/2010"</f>
        <v>28/06/2010</v>
      </c>
      <c r="B263" t="str">
        <f>"32.37"</f>
        <v>32.37</v>
      </c>
      <c r="C263" t="str">
        <f>"32.3752"</f>
        <v>32.3752</v>
      </c>
    </row>
    <row r="264" spans="1:3" x14ac:dyDescent="0.25">
      <c r="A264" t="str">
        <f>"29/06/2010"</f>
        <v>29/06/2010</v>
      </c>
      <c r="B264" t="str">
        <f>"32.42"</f>
        <v>32.42</v>
      </c>
      <c r="C264" t="str">
        <f>"32.4248"</f>
        <v>32.4248</v>
      </c>
    </row>
    <row r="265" spans="1:3" x14ac:dyDescent="0.25">
      <c r="A265" t="str">
        <f>"30/06/2010"</f>
        <v>30/06/2010</v>
      </c>
      <c r="B265" t="str">
        <f>"32.44"</f>
        <v>32.44</v>
      </c>
      <c r="C265" t="str">
        <f>"32.4463"</f>
        <v>32.4463</v>
      </c>
    </row>
    <row r="266" spans="1:3" x14ac:dyDescent="0.25">
      <c r="A266" t="str">
        <f>"01/07/2010"</f>
        <v>01/07/2010</v>
      </c>
      <c r="B266" t="str">
        <f>"32.45"</f>
        <v>32.45</v>
      </c>
      <c r="C266" t="str">
        <f>"32.4569"</f>
        <v>32.4569</v>
      </c>
    </row>
    <row r="267" spans="1:3" x14ac:dyDescent="0.25">
      <c r="A267" t="str">
        <f>"02/07/2010"</f>
        <v>02/07/2010</v>
      </c>
      <c r="B267" t="str">
        <f>"32.42"</f>
        <v>32.42</v>
      </c>
      <c r="C267" t="str">
        <f>"32.4297"</f>
        <v>32.4297</v>
      </c>
    </row>
    <row r="268" spans="1:3" x14ac:dyDescent="0.25">
      <c r="A268" t="str">
        <f>"05/07/2010"</f>
        <v>05/07/2010</v>
      </c>
      <c r="B268" t="str">
        <f>"32.43"</f>
        <v>32.43</v>
      </c>
      <c r="C268" t="str">
        <f>"32.4439"</f>
        <v>32.4439</v>
      </c>
    </row>
    <row r="269" spans="1:3" x14ac:dyDescent="0.25">
      <c r="A269" t="str">
        <f>"06/07/2010"</f>
        <v>06/07/2010</v>
      </c>
      <c r="B269" t="str">
        <f>"32.45"</f>
        <v>32.45</v>
      </c>
      <c r="C269" t="str">
        <f>"32.4646"</f>
        <v>32.4646</v>
      </c>
    </row>
    <row r="270" spans="1:3" x14ac:dyDescent="0.25">
      <c r="A270" t="str">
        <f>"07/07/2010"</f>
        <v>07/07/2010</v>
      </c>
      <c r="B270" t="str">
        <f>"32.49"</f>
        <v>32.49</v>
      </c>
      <c r="C270" t="str">
        <f>"32.5035"</f>
        <v>32.5035</v>
      </c>
    </row>
    <row r="271" spans="1:3" x14ac:dyDescent="0.25">
      <c r="A271" t="str">
        <f>"08/07/2010"</f>
        <v>08/07/2010</v>
      </c>
      <c r="B271" t="str">
        <f>"32.44"</f>
        <v>32.44</v>
      </c>
      <c r="C271" t="str">
        <f>"32.4523"</f>
        <v>32.4523</v>
      </c>
    </row>
    <row r="272" spans="1:3" x14ac:dyDescent="0.25">
      <c r="A272" t="str">
        <f>"09/07/2010"</f>
        <v>09/07/2010</v>
      </c>
      <c r="B272" t="str">
        <f>"32.40"</f>
        <v>32.40</v>
      </c>
      <c r="C272" t="str">
        <f>"32.4127"</f>
        <v>32.4127</v>
      </c>
    </row>
    <row r="273" spans="1:3" x14ac:dyDescent="0.25">
      <c r="A273" t="str">
        <f>"12/07/2010"</f>
        <v>12/07/2010</v>
      </c>
      <c r="B273" t="str">
        <f>"32.37"</f>
        <v>32.37</v>
      </c>
      <c r="C273" t="str">
        <f>"32.3814"</f>
        <v>32.3814</v>
      </c>
    </row>
    <row r="274" spans="1:3" x14ac:dyDescent="0.25">
      <c r="A274" t="str">
        <f>"13/07/2010"</f>
        <v>13/07/2010</v>
      </c>
      <c r="B274" t="str">
        <f>"32.465"</f>
        <v>32.465</v>
      </c>
      <c r="C274" t="str">
        <f>"32.4802"</f>
        <v>32.4802</v>
      </c>
    </row>
    <row r="275" spans="1:3" x14ac:dyDescent="0.25">
      <c r="A275" t="str">
        <f>"14/07/2010"</f>
        <v>14/07/2010</v>
      </c>
      <c r="B275" t="str">
        <f>"32.34"</f>
        <v>32.34</v>
      </c>
      <c r="C275" t="str">
        <f>"32.3562"</f>
        <v>32.3562</v>
      </c>
    </row>
    <row r="276" spans="1:3" x14ac:dyDescent="0.25">
      <c r="A276" t="str">
        <f>"15/07/2010"</f>
        <v>15/07/2010</v>
      </c>
      <c r="B276" t="str">
        <f>"32.30"</f>
        <v>32.30</v>
      </c>
      <c r="C276" t="str">
        <f>"32.3155"</f>
        <v>32.3155</v>
      </c>
    </row>
    <row r="277" spans="1:3" x14ac:dyDescent="0.25">
      <c r="A277" t="str">
        <f>"16/07/2010"</f>
        <v>16/07/2010</v>
      </c>
      <c r="B277" t="str">
        <f>"32.245"</f>
        <v>32.245</v>
      </c>
      <c r="C277" t="str">
        <f>"32.26"</f>
        <v>32.26</v>
      </c>
    </row>
    <row r="278" spans="1:3" x14ac:dyDescent="0.25">
      <c r="A278" t="str">
        <f>"19/07/2010"</f>
        <v>19/07/2010</v>
      </c>
      <c r="B278" t="str">
        <f>"32.31"</f>
        <v>32.31</v>
      </c>
      <c r="C278" t="str">
        <f>"32.3244"</f>
        <v>32.3244</v>
      </c>
    </row>
    <row r="279" spans="1:3" x14ac:dyDescent="0.25">
      <c r="A279" t="str">
        <f>"20/07/2010"</f>
        <v>20/07/2010</v>
      </c>
      <c r="B279" t="str">
        <f>"32.305"</f>
        <v>32.305</v>
      </c>
      <c r="C279" t="str">
        <f>"32.3169"</f>
        <v>32.3169</v>
      </c>
    </row>
    <row r="280" spans="1:3" x14ac:dyDescent="0.25">
      <c r="A280" t="str">
        <f>"21/07/2010"</f>
        <v>21/07/2010</v>
      </c>
      <c r="B280" t="str">
        <f>"32.30"</f>
        <v>32.30</v>
      </c>
      <c r="C280" t="str">
        <f>"32.3145"</f>
        <v>32.3145</v>
      </c>
    </row>
    <row r="281" spans="1:3" x14ac:dyDescent="0.25">
      <c r="A281" t="str">
        <f>"22/07/2010"</f>
        <v>22/07/2010</v>
      </c>
      <c r="B281" t="str">
        <f>"32.33"</f>
        <v>32.33</v>
      </c>
      <c r="C281" t="str">
        <f>"32.3452"</f>
        <v>32.3452</v>
      </c>
    </row>
    <row r="282" spans="1:3" x14ac:dyDescent="0.25">
      <c r="A282" t="str">
        <f>"23/07/2010"</f>
        <v>23/07/2010</v>
      </c>
      <c r="B282" t="str">
        <f>"32.285"</f>
        <v>32.285</v>
      </c>
      <c r="C282" t="str">
        <f>"32.3039"</f>
        <v>32.3039</v>
      </c>
    </row>
    <row r="283" spans="1:3" x14ac:dyDescent="0.25">
      <c r="A283" t="str">
        <f>"26/07/2010"</f>
        <v>26/07/2010</v>
      </c>
      <c r="B283" t="str">
        <f>"32.28"</f>
        <v>32.28</v>
      </c>
      <c r="C283" t="str">
        <f>"32.2982"</f>
        <v>32.2982</v>
      </c>
    </row>
    <row r="284" spans="1:3" x14ac:dyDescent="0.25">
      <c r="A284" t="str">
        <f>"27/07/2010"</f>
        <v>27/07/2010</v>
      </c>
      <c r="B284" t="str">
        <f>"32.23"</f>
        <v>32.23</v>
      </c>
      <c r="C284" t="str">
        <f>"32.2484"</f>
        <v>32.2484</v>
      </c>
    </row>
    <row r="285" spans="1:3" x14ac:dyDescent="0.25">
      <c r="A285" t="str">
        <f>"28/07/2010"</f>
        <v>28/07/2010</v>
      </c>
      <c r="B285" t="str">
        <f>"32.245"</f>
        <v>32.245</v>
      </c>
      <c r="C285" t="str">
        <f>"32.2636"</f>
        <v>32.2636</v>
      </c>
    </row>
    <row r="286" spans="1:3" x14ac:dyDescent="0.25">
      <c r="A286" t="str">
        <f>"29/07/2010"</f>
        <v>29/07/2010</v>
      </c>
      <c r="B286" t="str">
        <f>"32.28"</f>
        <v>32.28</v>
      </c>
      <c r="C286" t="str">
        <f>"32.3008"</f>
        <v>32.3008</v>
      </c>
    </row>
    <row r="287" spans="1:3" x14ac:dyDescent="0.25">
      <c r="A287" t="str">
        <f>"30/07/2010"</f>
        <v>30/07/2010</v>
      </c>
      <c r="B287" t="str">
        <f>"32.29"</f>
        <v>32.29</v>
      </c>
      <c r="C287" t="str">
        <f>"32.3125"</f>
        <v>32.3125</v>
      </c>
    </row>
    <row r="288" spans="1:3" x14ac:dyDescent="0.25">
      <c r="A288" t="str">
        <f>"02/08/2010"</f>
        <v>02/08/2010</v>
      </c>
      <c r="B288" t="str">
        <f>"32.22"</f>
        <v>32.22</v>
      </c>
      <c r="C288" t="str">
        <f>"32.2426"</f>
        <v>32.2426</v>
      </c>
    </row>
    <row r="289" spans="1:3" x14ac:dyDescent="0.25">
      <c r="A289" t="str">
        <f>"03/08/2010"</f>
        <v>03/08/2010</v>
      </c>
      <c r="B289" t="str">
        <f>"32.20"</f>
        <v>32.20</v>
      </c>
      <c r="C289" t="str">
        <f>"32.2252"</f>
        <v>32.2252</v>
      </c>
    </row>
    <row r="290" spans="1:3" x14ac:dyDescent="0.25">
      <c r="A290" t="str">
        <f>"04/08/2010"</f>
        <v>04/08/2010</v>
      </c>
      <c r="B290" t="str">
        <f>"32.19"</f>
        <v>32.19</v>
      </c>
      <c r="C290" t="str">
        <f>"32.2123"</f>
        <v>32.2123</v>
      </c>
    </row>
    <row r="291" spans="1:3" x14ac:dyDescent="0.25">
      <c r="A291" t="str">
        <f>"05/08/2010"</f>
        <v>05/08/2010</v>
      </c>
      <c r="B291" t="str">
        <f>"32.12"</f>
        <v>32.12</v>
      </c>
      <c r="C291" t="str">
        <f>"32.1428"</f>
        <v>32.1428</v>
      </c>
    </row>
    <row r="292" spans="1:3" x14ac:dyDescent="0.25">
      <c r="A292" t="str">
        <f>"06/08/2010"</f>
        <v>06/08/2010</v>
      </c>
      <c r="B292" t="str">
        <f>"32.07"</f>
        <v>32.07</v>
      </c>
      <c r="C292" t="str">
        <f>"32.0897"</f>
        <v>32.0897</v>
      </c>
    </row>
    <row r="293" spans="1:3" x14ac:dyDescent="0.25">
      <c r="A293" t="str">
        <f>"09/08/2010"</f>
        <v>09/08/2010</v>
      </c>
      <c r="B293" t="str">
        <f>"31.98"</f>
        <v>31.98</v>
      </c>
      <c r="C293" t="str">
        <f>"32.0015"</f>
        <v>32.0015</v>
      </c>
    </row>
    <row r="294" spans="1:3" x14ac:dyDescent="0.25">
      <c r="A294" t="str">
        <f>"10/08/2010"</f>
        <v>10/08/2010</v>
      </c>
      <c r="B294" t="str">
        <f>"31.99"</f>
        <v>31.99</v>
      </c>
      <c r="C294" t="str">
        <f>"32.0105"</f>
        <v>32.0105</v>
      </c>
    </row>
    <row r="295" spans="1:3" x14ac:dyDescent="0.25">
      <c r="A295" t="str">
        <f>"11/08/2010"</f>
        <v>11/08/2010</v>
      </c>
      <c r="B295" t="str">
        <f>"31.95"</f>
        <v>31.95</v>
      </c>
      <c r="C295" t="str">
        <f>"31.9701"</f>
        <v>31.9701</v>
      </c>
    </row>
    <row r="296" spans="1:3" x14ac:dyDescent="0.25">
      <c r="A296" t="str">
        <f>"12/08/2010"</f>
        <v>12/08/2010</v>
      </c>
      <c r="B296" t="str">
        <f>"31.98"</f>
        <v>31.98</v>
      </c>
      <c r="C296" t="str">
        <f>"31.9992"</f>
        <v>31.9992</v>
      </c>
    </row>
    <row r="297" spans="1:3" x14ac:dyDescent="0.25">
      <c r="A297" t="str">
        <f>"13/08/2010"</f>
        <v>13/08/2010</v>
      </c>
      <c r="B297" t="str">
        <f>"31.908"</f>
        <v>31.908</v>
      </c>
      <c r="C297" t="str">
        <f>"31.9265"</f>
        <v>31.9265</v>
      </c>
    </row>
    <row r="298" spans="1:3" x14ac:dyDescent="0.25">
      <c r="A298" t="str">
        <f>"16/08/2010"</f>
        <v>16/08/2010</v>
      </c>
      <c r="B298" t="str">
        <f>"31.88"</f>
        <v>31.88</v>
      </c>
      <c r="C298" t="str">
        <f>"31.9005"</f>
        <v>31.9005</v>
      </c>
    </row>
    <row r="299" spans="1:3" x14ac:dyDescent="0.25">
      <c r="A299" t="str">
        <f>"17/08/2010"</f>
        <v>17/08/2010</v>
      </c>
      <c r="B299" t="str">
        <f>"31.74"</f>
        <v>31.74</v>
      </c>
      <c r="C299" t="str">
        <f>"31.7609"</f>
        <v>31.7609</v>
      </c>
    </row>
    <row r="300" spans="1:3" x14ac:dyDescent="0.25">
      <c r="A300" t="str">
        <f>"18/08/2010"</f>
        <v>18/08/2010</v>
      </c>
      <c r="B300" t="str">
        <f>"31.70"</f>
        <v>31.70</v>
      </c>
      <c r="C300" t="str">
        <f>"31.7216"</f>
        <v>31.7216</v>
      </c>
    </row>
    <row r="301" spans="1:3" x14ac:dyDescent="0.25">
      <c r="A301" t="str">
        <f>"20/08/2010"</f>
        <v>20/08/2010</v>
      </c>
      <c r="B301" t="str">
        <f>"31.54"</f>
        <v>31.54</v>
      </c>
      <c r="C301" t="str">
        <f>"31.5647"</f>
        <v>31.5647</v>
      </c>
    </row>
    <row r="302" spans="1:3" x14ac:dyDescent="0.25">
      <c r="A302" t="str">
        <f>"23/08/2010"</f>
        <v>23/08/2010</v>
      </c>
      <c r="B302" t="str">
        <f>"31.49"</f>
        <v>31.49</v>
      </c>
      <c r="C302" t="str">
        <f>"31.5137"</f>
        <v>31.5137</v>
      </c>
    </row>
    <row r="303" spans="1:3" x14ac:dyDescent="0.25">
      <c r="A303" t="str">
        <f>"24/08/2010"</f>
        <v>24/08/2010</v>
      </c>
      <c r="B303" t="str">
        <f>"31.53"</f>
        <v>31.53</v>
      </c>
      <c r="C303" t="str">
        <f>"31.5518"</f>
        <v>31.5518</v>
      </c>
    </row>
    <row r="304" spans="1:3" x14ac:dyDescent="0.25">
      <c r="A304" t="str">
        <f>"25/08/2010"</f>
        <v>25/08/2010</v>
      </c>
      <c r="B304" t="str">
        <f>"31.53"</f>
        <v>31.53</v>
      </c>
      <c r="C304" t="str">
        <f>"31.5548"</f>
        <v>31.5548</v>
      </c>
    </row>
    <row r="305" spans="1:3" x14ac:dyDescent="0.25">
      <c r="A305" t="str">
        <f>"26/08/2010"</f>
        <v>26/08/2010</v>
      </c>
      <c r="B305" t="str">
        <f>"31.47"</f>
        <v>31.47</v>
      </c>
      <c r="C305" t="str">
        <f>"31.4944"</f>
        <v>31.4944</v>
      </c>
    </row>
    <row r="306" spans="1:3" x14ac:dyDescent="0.25">
      <c r="A306" t="str">
        <f>"27/08/2010"</f>
        <v>27/08/2010</v>
      </c>
      <c r="B306" t="str">
        <f>"31.33"</f>
        <v>31.33</v>
      </c>
      <c r="C306" t="str">
        <f>"31.3597"</f>
        <v>31.3597</v>
      </c>
    </row>
    <row r="307" spans="1:3" x14ac:dyDescent="0.25">
      <c r="A307" t="str">
        <f>"30/08/2010"</f>
        <v>30/08/2010</v>
      </c>
      <c r="B307" t="str">
        <f>"31.29"</f>
        <v>31.29</v>
      </c>
      <c r="C307" t="str">
        <f>"31.3145"</f>
        <v>31.3145</v>
      </c>
    </row>
    <row r="308" spans="1:3" x14ac:dyDescent="0.25">
      <c r="A308" t="str">
        <f>"31/08/2010"</f>
        <v>31/08/2010</v>
      </c>
      <c r="B308" t="str">
        <f>"31.315"</f>
        <v>31.315</v>
      </c>
      <c r="C308" t="str">
        <f>"31.34"</f>
        <v>31.34</v>
      </c>
    </row>
    <row r="309" spans="1:3" x14ac:dyDescent="0.25">
      <c r="A309" t="str">
        <f>"01/09/2010"</f>
        <v>01/09/2010</v>
      </c>
      <c r="B309" t="str">
        <f>"31.21"</f>
        <v>31.21</v>
      </c>
      <c r="C309" t="str">
        <f>"31.2356"</f>
        <v>31.2356</v>
      </c>
    </row>
    <row r="310" spans="1:3" x14ac:dyDescent="0.25">
      <c r="A310" t="str">
        <f>"02/09/2010"</f>
        <v>02/09/2010</v>
      </c>
      <c r="B310" t="str">
        <f>"31.185"</f>
        <v>31.185</v>
      </c>
      <c r="C310" t="str">
        <f>"31.2094"</f>
        <v>31.2094</v>
      </c>
    </row>
    <row r="311" spans="1:3" x14ac:dyDescent="0.25">
      <c r="A311" t="str">
        <f>"03/09/2010"</f>
        <v>03/09/2010</v>
      </c>
      <c r="B311" t="str">
        <f>"31.17"</f>
        <v>31.17</v>
      </c>
      <c r="C311" t="str">
        <f>"31.1916"</f>
        <v>31.1916</v>
      </c>
    </row>
    <row r="312" spans="1:3" x14ac:dyDescent="0.25">
      <c r="A312" t="str">
        <f>"06/09/2010"</f>
        <v>06/09/2010</v>
      </c>
      <c r="B312" t="str">
        <f>"31.13"</f>
        <v>31.13</v>
      </c>
      <c r="C312" t="str">
        <f>"31.1512"</f>
        <v>31.1512</v>
      </c>
    </row>
    <row r="313" spans="1:3" x14ac:dyDescent="0.25">
      <c r="A313" t="str">
        <f>"07/09/2010"</f>
        <v>07/09/2010</v>
      </c>
      <c r="B313" t="str">
        <f>"31.21"</f>
        <v>31.21</v>
      </c>
      <c r="C313" t="str">
        <f>"31.2329"</f>
        <v>31.2329</v>
      </c>
    </row>
    <row r="314" spans="1:3" x14ac:dyDescent="0.25">
      <c r="A314" t="str">
        <f>"08/09/2010"</f>
        <v>08/09/2010</v>
      </c>
      <c r="B314" t="str">
        <f>"31.09"</f>
        <v>31.09</v>
      </c>
      <c r="C314" t="str">
        <f>"31.1105"</f>
        <v>31.1105</v>
      </c>
    </row>
    <row r="315" spans="1:3" x14ac:dyDescent="0.25">
      <c r="A315" t="str">
        <f>"09/09/2010"</f>
        <v>09/09/2010</v>
      </c>
      <c r="B315" t="str">
        <f>"30.88"</f>
        <v>30.88</v>
      </c>
      <c r="C315" t="str">
        <f>"30.8988"</f>
        <v>30.8988</v>
      </c>
    </row>
    <row r="316" spans="1:3" x14ac:dyDescent="0.25">
      <c r="A316" t="str">
        <f>"13/09/2010"</f>
        <v>13/09/2010</v>
      </c>
      <c r="B316" t="str">
        <f>"30.77"</f>
        <v>30.77</v>
      </c>
      <c r="C316" t="str">
        <f>"30.7924"</f>
        <v>30.7924</v>
      </c>
    </row>
    <row r="317" spans="1:3" x14ac:dyDescent="0.25">
      <c r="A317" t="str">
        <f>"14/09/2010"</f>
        <v>14/09/2010</v>
      </c>
      <c r="B317" t="str">
        <f>"30.76"</f>
        <v>30.76</v>
      </c>
      <c r="C317" t="str">
        <f>"30.7842"</f>
        <v>30.7842</v>
      </c>
    </row>
    <row r="318" spans="1:3" x14ac:dyDescent="0.25">
      <c r="A318" t="str">
        <f>"15/09/2010"</f>
        <v>15/09/2010</v>
      </c>
      <c r="B318" t="str">
        <f>"30.87"</f>
        <v>30.87</v>
      </c>
      <c r="C318" t="str">
        <f>"30.8959"</f>
        <v>30.8959</v>
      </c>
    </row>
    <row r="319" spans="1:3" x14ac:dyDescent="0.25">
      <c r="A319" t="str">
        <f>"16/09/2010"</f>
        <v>16/09/2010</v>
      </c>
      <c r="B319" t="str">
        <f>"30.94"</f>
        <v>30.94</v>
      </c>
      <c r="C319" t="str">
        <f>"30.963"</f>
        <v>30.963</v>
      </c>
    </row>
    <row r="320" spans="1:3" x14ac:dyDescent="0.25">
      <c r="A320" t="str">
        <f>"17/09/2010"</f>
        <v>17/09/2010</v>
      </c>
      <c r="B320" t="str">
        <f>"30.86"</f>
        <v>30.86</v>
      </c>
      <c r="C320" t="str">
        <f>"30.879"</f>
        <v>30.879</v>
      </c>
    </row>
    <row r="321" spans="1:3" x14ac:dyDescent="0.25">
      <c r="A321" t="str">
        <f>"20/09/2010"</f>
        <v>20/09/2010</v>
      </c>
      <c r="B321" t="str">
        <f>"30.75"</f>
        <v>30.75</v>
      </c>
      <c r="C321" t="str">
        <f>"30.7712"</f>
        <v>30.7712</v>
      </c>
    </row>
    <row r="322" spans="1:3" x14ac:dyDescent="0.25">
      <c r="A322" t="str">
        <f>"21/09/2010"</f>
        <v>21/09/2010</v>
      </c>
      <c r="B322" t="str">
        <f>"30.77"</f>
        <v>30.77</v>
      </c>
      <c r="C322" t="str">
        <f>"30.7908"</f>
        <v>30.7908</v>
      </c>
    </row>
    <row r="323" spans="1:3" x14ac:dyDescent="0.25">
      <c r="A323" t="str">
        <f>"22/09/2010"</f>
        <v>22/09/2010</v>
      </c>
      <c r="B323" t="str">
        <f>"30.67"</f>
        <v>30.67</v>
      </c>
      <c r="C323" t="str">
        <f>"30.6975"</f>
        <v>30.6975</v>
      </c>
    </row>
    <row r="324" spans="1:3" x14ac:dyDescent="0.25">
      <c r="A324" t="str">
        <f>"23/09/2010"</f>
        <v>23/09/2010</v>
      </c>
      <c r="B324" t="str">
        <f>"30.69"</f>
        <v>30.69</v>
      </c>
      <c r="C324" t="str">
        <f>"30.712"</f>
        <v>30.712</v>
      </c>
    </row>
    <row r="325" spans="1:3" x14ac:dyDescent="0.25">
      <c r="A325" t="str">
        <f>"24/09/2010"</f>
        <v>24/09/2010</v>
      </c>
      <c r="B325" t="str">
        <f>"30.79"</f>
        <v>30.79</v>
      </c>
      <c r="C325" t="str">
        <f>"30.8115"</f>
        <v>30.8115</v>
      </c>
    </row>
    <row r="326" spans="1:3" x14ac:dyDescent="0.25">
      <c r="A326" t="str">
        <f>"27/09/2010"</f>
        <v>27/09/2010</v>
      </c>
      <c r="B326" t="str">
        <f>"30.63"</f>
        <v>30.63</v>
      </c>
      <c r="C326" t="str">
        <f>"30.652"</f>
        <v>30.652</v>
      </c>
    </row>
    <row r="327" spans="1:3" x14ac:dyDescent="0.25">
      <c r="A327" t="str">
        <f>"28/09/2010"</f>
        <v>28/09/2010</v>
      </c>
      <c r="B327" t="str">
        <f>"30.58"</f>
        <v>30.58</v>
      </c>
      <c r="C327" t="str">
        <f>"30.6025"</f>
        <v>30.6025</v>
      </c>
    </row>
    <row r="328" spans="1:3" x14ac:dyDescent="0.25">
      <c r="A328" t="str">
        <f>"29/09/2010"</f>
        <v>29/09/2010</v>
      </c>
      <c r="B328" t="str">
        <f>"30.49"</f>
        <v>30.49</v>
      </c>
      <c r="C328" t="str">
        <f>"30.5123"</f>
        <v>30.5123</v>
      </c>
    </row>
    <row r="329" spans="1:3" x14ac:dyDescent="0.25">
      <c r="A329" t="str">
        <f>"01/10/2010"</f>
        <v>01/10/2010</v>
      </c>
      <c r="B329" t="str">
        <f>"30.23"</f>
        <v>30.23</v>
      </c>
      <c r="C329" t="str">
        <f>"30.2529"</f>
        <v>30.2529</v>
      </c>
    </row>
    <row r="330" spans="1:3" x14ac:dyDescent="0.25">
      <c r="A330" t="str">
        <f>"04/10/2010"</f>
        <v>04/10/2010</v>
      </c>
      <c r="B330" t="str">
        <f>"30.17"</f>
        <v>30.17</v>
      </c>
      <c r="C330" t="str">
        <f>"30.195"</f>
        <v>30.195</v>
      </c>
    </row>
    <row r="331" spans="1:3" x14ac:dyDescent="0.25">
      <c r="A331" t="str">
        <f>"05/10/2010"</f>
        <v>05/10/2010</v>
      </c>
      <c r="B331" t="str">
        <f>"30.24"</f>
        <v>30.24</v>
      </c>
      <c r="C331" t="str">
        <f>"30.2625"</f>
        <v>30.2625</v>
      </c>
    </row>
    <row r="332" spans="1:3" x14ac:dyDescent="0.25">
      <c r="A332" t="str">
        <f>"06/10/2010"</f>
        <v>06/10/2010</v>
      </c>
      <c r="B332" t="str">
        <f>"29.99"</f>
        <v>29.99</v>
      </c>
      <c r="C332" t="str">
        <f>"30.0147"</f>
        <v>30.0147</v>
      </c>
    </row>
    <row r="333" spans="1:3" x14ac:dyDescent="0.25">
      <c r="A333" t="str">
        <f>"07/10/2010"</f>
        <v>07/10/2010</v>
      </c>
      <c r="B333" t="str">
        <f>"29.89"</f>
        <v>29.89</v>
      </c>
      <c r="C333" t="str">
        <f>"29.914"</f>
        <v>29.914</v>
      </c>
    </row>
    <row r="334" spans="1:3" x14ac:dyDescent="0.25">
      <c r="A334" t="str">
        <f>"08/10/2010"</f>
        <v>08/10/2010</v>
      </c>
      <c r="B334" t="str">
        <f>"29.99"</f>
        <v>29.99</v>
      </c>
      <c r="C334" t="str">
        <f>"30.015"</f>
        <v>30.015</v>
      </c>
    </row>
    <row r="335" spans="1:3" x14ac:dyDescent="0.25">
      <c r="A335" t="str">
        <f>"11/10/2010"</f>
        <v>11/10/2010</v>
      </c>
      <c r="B335" t="str">
        <f>"30.07"</f>
        <v>30.07</v>
      </c>
      <c r="C335" t="str">
        <f>"30.094"</f>
        <v>30.094</v>
      </c>
    </row>
    <row r="336" spans="1:3" x14ac:dyDescent="0.25">
      <c r="A336" t="str">
        <f>"12/10/2010"</f>
        <v>12/10/2010</v>
      </c>
      <c r="B336" t="str">
        <f>"30.08"</f>
        <v>30.08</v>
      </c>
      <c r="C336" t="str">
        <f>"30.1055"</f>
        <v>30.1055</v>
      </c>
    </row>
    <row r="337" spans="1:3" x14ac:dyDescent="0.25">
      <c r="A337" t="str">
        <f>"13/10/2010"</f>
        <v>13/10/2010</v>
      </c>
      <c r="B337" t="str">
        <f>"29.84"</f>
        <v>29.84</v>
      </c>
      <c r="C337" t="str">
        <f>"29.8684"</f>
        <v>29.8684</v>
      </c>
    </row>
    <row r="338" spans="1:3" x14ac:dyDescent="0.25">
      <c r="A338" t="str">
        <f>"14/10/2010"</f>
        <v>14/10/2010</v>
      </c>
      <c r="B338" t="str">
        <f>"29.87"</f>
        <v>29.87</v>
      </c>
      <c r="C338" t="str">
        <f>"29.8965"</f>
        <v>29.8965</v>
      </c>
    </row>
    <row r="339" spans="1:3" x14ac:dyDescent="0.25">
      <c r="A339" t="str">
        <f>"15/10/2010"</f>
        <v>15/10/2010</v>
      </c>
      <c r="B339" t="str">
        <f>"29.85"</f>
        <v>29.85</v>
      </c>
      <c r="C339" t="str">
        <f>"29.8766"</f>
        <v>29.8766</v>
      </c>
    </row>
    <row r="340" spans="1:3" x14ac:dyDescent="0.25">
      <c r="A340" t="str">
        <f>"18/10/2010"</f>
        <v>18/10/2010</v>
      </c>
      <c r="B340" t="str">
        <f>"29.93"</f>
        <v>29.93</v>
      </c>
      <c r="C340" t="str">
        <f>"29.9577"</f>
        <v>29.9577</v>
      </c>
    </row>
    <row r="341" spans="1:3" x14ac:dyDescent="0.25">
      <c r="A341" t="str">
        <f>"19/10/2010"</f>
        <v>19/10/2010</v>
      </c>
      <c r="B341" t="str">
        <f>"29.92"</f>
        <v>29.92</v>
      </c>
      <c r="C341" t="str">
        <f>"29.9477"</f>
        <v>29.9477</v>
      </c>
    </row>
    <row r="342" spans="1:3" x14ac:dyDescent="0.25">
      <c r="A342" t="str">
        <f>"20/10/2010"</f>
        <v>20/10/2010</v>
      </c>
      <c r="B342" t="str">
        <f>"29.99"</f>
        <v>29.99</v>
      </c>
      <c r="C342" t="str">
        <f>"30.0181"</f>
        <v>30.0181</v>
      </c>
    </row>
    <row r="343" spans="1:3" x14ac:dyDescent="0.25">
      <c r="A343" t="str">
        <f>"21/10/2010"</f>
        <v>21/10/2010</v>
      </c>
      <c r="B343" t="str">
        <f>"29.87"</f>
        <v>29.87</v>
      </c>
      <c r="C343" t="str">
        <f>"29.8995"</f>
        <v>29.8995</v>
      </c>
    </row>
    <row r="344" spans="1:3" x14ac:dyDescent="0.25">
      <c r="A344" t="str">
        <f>"22/10/2010"</f>
        <v>22/10/2010</v>
      </c>
      <c r="B344" t="str">
        <f>"29.90"</f>
        <v>29.90</v>
      </c>
      <c r="C344" t="str">
        <f>"29.9318"</f>
        <v>29.9318</v>
      </c>
    </row>
    <row r="345" spans="1:3" x14ac:dyDescent="0.25">
      <c r="A345" t="str">
        <f>"25/10/2010"</f>
        <v>25/10/2010</v>
      </c>
      <c r="B345" t="str">
        <f>"29.88"</f>
        <v>29.88</v>
      </c>
      <c r="C345" t="str">
        <f>"29.9083"</f>
        <v>29.9083</v>
      </c>
    </row>
    <row r="346" spans="1:3" x14ac:dyDescent="0.25">
      <c r="A346" t="str">
        <f>"26/10/2010"</f>
        <v>26/10/2010</v>
      </c>
      <c r="B346" t="str">
        <f>"29.89"</f>
        <v>29.89</v>
      </c>
      <c r="C346" t="str">
        <f>"29.92"</f>
        <v>29.92</v>
      </c>
    </row>
    <row r="347" spans="1:3" x14ac:dyDescent="0.25">
      <c r="A347" t="str">
        <f>"27/10/2010"</f>
        <v>27/10/2010</v>
      </c>
      <c r="B347" t="str">
        <f>"29.99"</f>
        <v>29.99</v>
      </c>
      <c r="C347" t="str">
        <f>"30.0177"</f>
        <v>30.0177</v>
      </c>
    </row>
    <row r="348" spans="1:3" x14ac:dyDescent="0.25">
      <c r="A348" t="str">
        <f>"28/10/2010"</f>
        <v>28/10/2010</v>
      </c>
      <c r="B348" t="str">
        <f>"29.97"</f>
        <v>29.97</v>
      </c>
      <c r="C348" t="str">
        <f>"29.9948"</f>
        <v>29.9948</v>
      </c>
    </row>
    <row r="349" spans="1:3" x14ac:dyDescent="0.25">
      <c r="A349" t="str">
        <f>"29/10/2010"</f>
        <v>29/10/2010</v>
      </c>
      <c r="B349" t="str">
        <f>"29.985"</f>
        <v>29.985</v>
      </c>
      <c r="C349" t="str">
        <f>"30.01"</f>
        <v>30.01</v>
      </c>
    </row>
    <row r="350" spans="1:3" x14ac:dyDescent="0.25">
      <c r="A350" t="str">
        <f>"01/11/2010"</f>
        <v>01/11/2010</v>
      </c>
      <c r="B350" t="str">
        <f>"29.89"</f>
        <v>29.89</v>
      </c>
      <c r="C350" t="str">
        <f>"29.9169"</f>
        <v>29.9169</v>
      </c>
    </row>
    <row r="351" spans="1:3" x14ac:dyDescent="0.25">
      <c r="A351" t="str">
        <f>"02/11/2010"</f>
        <v>02/11/2010</v>
      </c>
      <c r="B351" t="str">
        <f>"29.87"</f>
        <v>29.87</v>
      </c>
      <c r="C351" t="str">
        <f>"29.8996"</f>
        <v>29.8996</v>
      </c>
    </row>
    <row r="352" spans="1:3" x14ac:dyDescent="0.25">
      <c r="A352" t="str">
        <f>"03/11/2010"</f>
        <v>03/11/2010</v>
      </c>
      <c r="B352" t="str">
        <f>"29.76"</f>
        <v>29.76</v>
      </c>
      <c r="C352" t="str">
        <f>"29.7898"</f>
        <v>29.7898</v>
      </c>
    </row>
    <row r="353" spans="1:3" x14ac:dyDescent="0.25">
      <c r="A353" t="str">
        <f>"04/11/2010"</f>
        <v>04/11/2010</v>
      </c>
      <c r="B353" t="str">
        <f>"29.72"</f>
        <v>29.72</v>
      </c>
      <c r="C353" t="str">
        <f>"29.7475"</f>
        <v>29.7475</v>
      </c>
    </row>
    <row r="354" spans="1:3" x14ac:dyDescent="0.25">
      <c r="A354" t="str">
        <f>"08/11/2010"</f>
        <v>08/11/2010</v>
      </c>
      <c r="B354" t="str">
        <f>"29.66"</f>
        <v>29.66</v>
      </c>
      <c r="C354" t="str">
        <f>"29.685"</f>
        <v>29.685</v>
      </c>
    </row>
    <row r="355" spans="1:3" x14ac:dyDescent="0.25">
      <c r="A355" t="str">
        <f>"09/11/2010"</f>
        <v>09/11/2010</v>
      </c>
      <c r="B355" t="str">
        <f>"29.58"</f>
        <v>29.58</v>
      </c>
      <c r="C355" t="str">
        <f>"29.6027"</f>
        <v>29.6027</v>
      </c>
    </row>
    <row r="356" spans="1:3" x14ac:dyDescent="0.25">
      <c r="A356" t="str">
        <f>"10/11/2010"</f>
        <v>10/11/2010</v>
      </c>
      <c r="B356" t="str">
        <f>"29.61"</f>
        <v>29.61</v>
      </c>
      <c r="C356" t="str">
        <f>"29.6339"</f>
        <v>29.6339</v>
      </c>
    </row>
    <row r="357" spans="1:3" x14ac:dyDescent="0.25">
      <c r="A357" t="str">
        <f>"11/11/2010"</f>
        <v>11/11/2010</v>
      </c>
      <c r="B357" t="str">
        <f>"29.58"</f>
        <v>29.58</v>
      </c>
      <c r="C357" t="str">
        <f>"29.6028"</f>
        <v>29.6028</v>
      </c>
    </row>
    <row r="358" spans="1:3" x14ac:dyDescent="0.25">
      <c r="A358" t="str">
        <f>"12/11/2010"</f>
        <v>12/11/2010</v>
      </c>
      <c r="B358" t="str">
        <f>"29.82"</f>
        <v>29.82</v>
      </c>
      <c r="C358" t="str">
        <f>"29.8442"</f>
        <v>29.8442</v>
      </c>
    </row>
    <row r="359" spans="1:3" x14ac:dyDescent="0.25">
      <c r="A359" t="str">
        <f>"15/11/2010"</f>
        <v>15/11/2010</v>
      </c>
      <c r="B359" t="str">
        <f>"30.01"</f>
        <v>30.01</v>
      </c>
      <c r="C359" t="str">
        <f>"30.0317"</f>
        <v>30.0317</v>
      </c>
    </row>
    <row r="360" spans="1:3" x14ac:dyDescent="0.25">
      <c r="A360" t="str">
        <f>"16/11/2010"</f>
        <v>16/11/2010</v>
      </c>
      <c r="B360" t="str">
        <f>"29.86"</f>
        <v>29.86</v>
      </c>
      <c r="C360" t="str">
        <f>"29.8815"</f>
        <v>29.8815</v>
      </c>
    </row>
    <row r="361" spans="1:3" x14ac:dyDescent="0.25">
      <c r="A361" t="str">
        <f>"18/11/2010"</f>
        <v>18/11/2010</v>
      </c>
      <c r="B361" t="str">
        <f>"29.98"</f>
        <v>29.98</v>
      </c>
      <c r="C361" t="str">
        <f>"30.0011"</f>
        <v>30.0011</v>
      </c>
    </row>
    <row r="362" spans="1:3" x14ac:dyDescent="0.25">
      <c r="A362" t="str">
        <f>"22/11/2010"</f>
        <v>22/11/2010</v>
      </c>
      <c r="B362" t="str">
        <f>"29.93"</f>
        <v>29.93</v>
      </c>
      <c r="C362" t="str">
        <f>"29.951"</f>
        <v>29.951</v>
      </c>
    </row>
    <row r="363" spans="1:3" x14ac:dyDescent="0.25">
      <c r="A363" t="str">
        <f>"23/11/2010"</f>
        <v>23/11/2010</v>
      </c>
      <c r="B363" t="str">
        <f>"30.04"</f>
        <v>30.04</v>
      </c>
      <c r="C363" t="str">
        <f>"30.0608"</f>
        <v>30.0608</v>
      </c>
    </row>
    <row r="364" spans="1:3" x14ac:dyDescent="0.25">
      <c r="A364" t="str">
        <f>"24/11/2010"</f>
        <v>24/11/2010</v>
      </c>
      <c r="B364" t="str">
        <f>"30.10"</f>
        <v>30.10</v>
      </c>
      <c r="C364" t="str">
        <f>"30.1231"</f>
        <v>30.1231</v>
      </c>
    </row>
    <row r="365" spans="1:3" x14ac:dyDescent="0.25">
      <c r="A365" t="str">
        <f>"25/11/2010"</f>
        <v>25/11/2010</v>
      </c>
      <c r="B365" t="str">
        <f>"30.075"</f>
        <v>30.075</v>
      </c>
      <c r="C365" t="str">
        <f>"30.0973"</f>
        <v>30.0973</v>
      </c>
    </row>
    <row r="366" spans="1:3" x14ac:dyDescent="0.25">
      <c r="A366" t="str">
        <f>"26/11/2010"</f>
        <v>26/11/2010</v>
      </c>
      <c r="B366" t="str">
        <f>"30.13"</f>
        <v>30.13</v>
      </c>
      <c r="C366" t="str">
        <f>"30.152"</f>
        <v>30.152</v>
      </c>
    </row>
    <row r="367" spans="1:3" x14ac:dyDescent="0.25">
      <c r="A367" t="str">
        <f>"29/11/2010"</f>
        <v>29/11/2010</v>
      </c>
      <c r="B367" t="str">
        <f>"30.285"</f>
        <v>30.285</v>
      </c>
      <c r="C367" t="str">
        <f>"30.3025"</f>
        <v>30.3025</v>
      </c>
    </row>
    <row r="368" spans="1:3" x14ac:dyDescent="0.25">
      <c r="A368" t="str">
        <f>"30/11/2010"</f>
        <v>30/11/2010</v>
      </c>
      <c r="B368" t="str">
        <f>"30.22"</f>
        <v>30.22</v>
      </c>
      <c r="C368" t="str">
        <f>"30.2335"</f>
        <v>30.2335</v>
      </c>
    </row>
    <row r="369" spans="1:3" x14ac:dyDescent="0.25">
      <c r="A369" t="str">
        <f>"01/12/2010"</f>
        <v>01/12/2010</v>
      </c>
      <c r="B369" t="str">
        <f>"30.12"</f>
        <v>30.12</v>
      </c>
      <c r="C369" t="str">
        <f>"30.1347"</f>
        <v>30.1347</v>
      </c>
    </row>
    <row r="370" spans="1:3" x14ac:dyDescent="0.25">
      <c r="A370" t="str">
        <f>"02/12/2010"</f>
        <v>02/12/2010</v>
      </c>
      <c r="B370" t="str">
        <f>"30.04"</f>
        <v>30.04</v>
      </c>
      <c r="C370" t="str">
        <f>"30.059"</f>
        <v>30.059</v>
      </c>
    </row>
    <row r="371" spans="1:3" x14ac:dyDescent="0.25">
      <c r="A371" t="str">
        <f>"03/12/2010"</f>
        <v>03/12/2010</v>
      </c>
      <c r="B371" t="str">
        <f>"30.06"</f>
        <v>30.06</v>
      </c>
      <c r="C371" t="str">
        <f>"30.0813"</f>
        <v>30.0813</v>
      </c>
    </row>
    <row r="372" spans="1:3" x14ac:dyDescent="0.25">
      <c r="A372" t="str">
        <f>"06/12/2010"</f>
        <v>06/12/2010</v>
      </c>
      <c r="B372" t="str">
        <f>"30.06"</f>
        <v>30.06</v>
      </c>
      <c r="C372" t="str">
        <f>"30.0791"</f>
        <v>30.0791</v>
      </c>
    </row>
    <row r="373" spans="1:3" x14ac:dyDescent="0.25">
      <c r="A373" t="str">
        <f>"07/12/2010"</f>
        <v>07/12/2010</v>
      </c>
      <c r="B373" t="str">
        <f>"30.02"</f>
        <v>30.02</v>
      </c>
      <c r="C373" t="str">
        <f>"30.038"</f>
        <v>30.038</v>
      </c>
    </row>
    <row r="374" spans="1:3" x14ac:dyDescent="0.25">
      <c r="A374" t="str">
        <f>"08/12/2010"</f>
        <v>08/12/2010</v>
      </c>
      <c r="B374" t="str">
        <f>"30.19"</f>
        <v>30.19</v>
      </c>
      <c r="C374" t="str">
        <f>"30.2093"</f>
        <v>30.2093</v>
      </c>
    </row>
    <row r="375" spans="1:3" x14ac:dyDescent="0.25">
      <c r="A375" t="str">
        <f>"09/12/2010"</f>
        <v>09/12/2010</v>
      </c>
      <c r="B375" t="str">
        <f>"30.10"</f>
        <v>30.10</v>
      </c>
      <c r="C375" t="str">
        <f>"30.1185"</f>
        <v>30.1185</v>
      </c>
    </row>
    <row r="376" spans="1:3" x14ac:dyDescent="0.25">
      <c r="A376" t="str">
        <f>"10/12/2010"</f>
        <v>10/12/2010</v>
      </c>
      <c r="B376" t="str">
        <f>"30.10"</f>
        <v>30.10</v>
      </c>
      <c r="C376" t="str">
        <f>"30.1153"</f>
        <v>30.1153</v>
      </c>
    </row>
    <row r="377" spans="1:3" x14ac:dyDescent="0.25">
      <c r="A377" t="str">
        <f>"13/12/2010"</f>
        <v>13/12/2010</v>
      </c>
      <c r="B377" t="str">
        <f>"30.08"</f>
        <v>30.08</v>
      </c>
      <c r="C377" t="str">
        <f>"30.0985"</f>
        <v>30.0985</v>
      </c>
    </row>
    <row r="378" spans="1:3" x14ac:dyDescent="0.25">
      <c r="A378" t="str">
        <f>"14/12/2010"</f>
        <v>14/12/2010</v>
      </c>
      <c r="B378" t="str">
        <f>"30.05"</f>
        <v>30.05</v>
      </c>
      <c r="C378" t="str">
        <f>"30.0668"</f>
        <v>30.0668</v>
      </c>
    </row>
    <row r="379" spans="1:3" x14ac:dyDescent="0.25">
      <c r="A379" t="str">
        <f>"15/12/2010"</f>
        <v>15/12/2010</v>
      </c>
      <c r="B379" t="str">
        <f>"30.08"</f>
        <v>30.08</v>
      </c>
      <c r="C379" t="str">
        <f>"30.0964"</f>
        <v>30.0964</v>
      </c>
    </row>
    <row r="380" spans="1:3" x14ac:dyDescent="0.25">
      <c r="A380" t="str">
        <f>"16/12/2010"</f>
        <v>16/12/2010</v>
      </c>
      <c r="B380" t="str">
        <f>"30.13"</f>
        <v>30.13</v>
      </c>
      <c r="C380" t="str">
        <f>"30.1466"</f>
        <v>30.1466</v>
      </c>
    </row>
    <row r="381" spans="1:3" x14ac:dyDescent="0.25">
      <c r="A381" t="str">
        <f>"20/12/2010"</f>
        <v>20/12/2010</v>
      </c>
      <c r="B381" t="str">
        <f>"30.23"</f>
        <v>30.23</v>
      </c>
      <c r="C381" t="str">
        <f>"30.24"</f>
        <v>30.24</v>
      </c>
    </row>
    <row r="382" spans="1:3" x14ac:dyDescent="0.25">
      <c r="A382" t="str">
        <f>"21/12/2010"</f>
        <v>21/12/2010</v>
      </c>
      <c r="B382" t="str">
        <f>"30.18"</f>
        <v>30.18</v>
      </c>
      <c r="C382" t="str">
        <f>"30.2125"</f>
        <v>30.2125</v>
      </c>
    </row>
    <row r="383" spans="1:3" x14ac:dyDescent="0.25">
      <c r="A383" t="str">
        <f>"22/12/2010"</f>
        <v>22/12/2010</v>
      </c>
      <c r="B383" t="str">
        <f>"30.17"</f>
        <v>30.17</v>
      </c>
      <c r="C383" t="str">
        <f>"30.1771"</f>
        <v>30.1771</v>
      </c>
    </row>
    <row r="384" spans="1:3" x14ac:dyDescent="0.25">
      <c r="A384" t="str">
        <f>"23/12/2010"</f>
        <v>23/12/2010</v>
      </c>
      <c r="B384" t="str">
        <f>"30.17"</f>
        <v>30.17</v>
      </c>
      <c r="C384" t="str">
        <f>"30.178"</f>
        <v>30.178</v>
      </c>
    </row>
    <row r="385" spans="1:3" x14ac:dyDescent="0.25">
      <c r="A385" t="str">
        <f>"24/12/2010"</f>
        <v>24/12/2010</v>
      </c>
      <c r="B385" t="str">
        <f>"30.18"</f>
        <v>30.18</v>
      </c>
      <c r="C385" t="str">
        <f>"30.1875"</f>
        <v>30.1875</v>
      </c>
    </row>
    <row r="386" spans="1:3" x14ac:dyDescent="0.25">
      <c r="A386" t="str">
        <f>"27/12/2010"</f>
        <v>27/12/2010</v>
      </c>
      <c r="B386" t="str">
        <f>"30.20"</f>
        <v>30.20</v>
      </c>
      <c r="C386" t="str">
        <f>"30.2125"</f>
        <v>30.2125</v>
      </c>
    </row>
    <row r="387" spans="1:3" x14ac:dyDescent="0.25">
      <c r="A387" t="str">
        <f>"28/12/2010"</f>
        <v>28/12/2010</v>
      </c>
      <c r="B387" t="str">
        <f>"30.20"</f>
        <v>30.20</v>
      </c>
      <c r="C387" t="str">
        <f>"30.21"</f>
        <v>30.21</v>
      </c>
    </row>
    <row r="388" spans="1:3" x14ac:dyDescent="0.25">
      <c r="A388" t="str">
        <f>"29/12/2010"</f>
        <v>29/12/2010</v>
      </c>
      <c r="B388" t="str">
        <f>"30.17"</f>
        <v>30.17</v>
      </c>
      <c r="C388" t="str">
        <f>"30.195"</f>
        <v>30.195</v>
      </c>
    </row>
    <row r="389" spans="1:3" x14ac:dyDescent="0.25">
      <c r="A389" t="str">
        <f>"30/12/2010"</f>
        <v>30/12/2010</v>
      </c>
      <c r="B389" t="str">
        <f>"30.16"</f>
        <v>30.16</v>
      </c>
      <c r="C389" t="str">
        <f>"30.19"</f>
        <v>30.19</v>
      </c>
    </row>
    <row r="390" spans="1:3" x14ac:dyDescent="0.25">
      <c r="A390" t="str">
        <f>"31/12/2010"</f>
        <v>31/12/2010</v>
      </c>
      <c r="B390" t="str">
        <f>"30.08"</f>
        <v>30.08</v>
      </c>
      <c r="C390" t="str">
        <f>"30.095"</f>
        <v>30.095</v>
      </c>
    </row>
    <row r="391" spans="1:3" x14ac:dyDescent="0.25">
      <c r="A391" t="str">
        <f>"03/01/2011"</f>
        <v>03/01/2011</v>
      </c>
      <c r="B391" t="str">
        <f>"30.06"</f>
        <v>30.06</v>
      </c>
      <c r="C391" t="str">
        <f>"30.075"</f>
        <v>30.075</v>
      </c>
    </row>
    <row r="392" spans="1:3" x14ac:dyDescent="0.25">
      <c r="A392" t="str">
        <f>"04/01/2011"</f>
        <v>04/01/2011</v>
      </c>
      <c r="B392" t="str">
        <f>"30.05"</f>
        <v>30.05</v>
      </c>
      <c r="C392" t="str">
        <f>"30.0555"</f>
        <v>30.0555</v>
      </c>
    </row>
    <row r="393" spans="1:3" x14ac:dyDescent="0.25">
      <c r="A393" t="str">
        <f>"05/01/2011"</f>
        <v>05/01/2011</v>
      </c>
      <c r="B393" t="str">
        <f>"30.13"</f>
        <v>30.13</v>
      </c>
      <c r="C393" t="str">
        <f>"30.137"</f>
        <v>30.137</v>
      </c>
    </row>
    <row r="394" spans="1:3" x14ac:dyDescent="0.25">
      <c r="A394" t="str">
        <f>"06/01/2011"</f>
        <v>06/01/2011</v>
      </c>
      <c r="B394" t="str">
        <f>"30.26"</f>
        <v>30.26</v>
      </c>
      <c r="C394" t="str">
        <f>"30.263"</f>
        <v>30.263</v>
      </c>
    </row>
    <row r="395" spans="1:3" x14ac:dyDescent="0.25">
      <c r="A395" t="str">
        <f>"07/01/2011"</f>
        <v>07/01/2011</v>
      </c>
      <c r="B395" t="str">
        <f>"30.28"</f>
        <v>30.28</v>
      </c>
      <c r="C395" t="str">
        <f>"30.285"</f>
        <v>30.285</v>
      </c>
    </row>
    <row r="396" spans="1:3" x14ac:dyDescent="0.25">
      <c r="A396" t="str">
        <f>"10/01/2011"</f>
        <v>10/01/2011</v>
      </c>
      <c r="B396" t="str">
        <f>"30.41"</f>
        <v>30.41</v>
      </c>
      <c r="C396" t="str">
        <f>"30.422"</f>
        <v>30.422</v>
      </c>
    </row>
    <row r="397" spans="1:3" x14ac:dyDescent="0.25">
      <c r="A397" t="str">
        <f>"11/01/2011"</f>
        <v>11/01/2011</v>
      </c>
      <c r="B397" t="str">
        <f>"30.66"</f>
        <v>30.66</v>
      </c>
      <c r="C397" t="str">
        <f>"30.675"</f>
        <v>30.675</v>
      </c>
    </row>
    <row r="398" spans="1:3" x14ac:dyDescent="0.25">
      <c r="A398" t="str">
        <f>"12/01/2011"</f>
        <v>12/01/2011</v>
      </c>
      <c r="B398" t="str">
        <f>"30.42"</f>
        <v>30.42</v>
      </c>
      <c r="C398" t="str">
        <f>"30.432"</f>
        <v>30.432</v>
      </c>
    </row>
    <row r="399" spans="1:3" x14ac:dyDescent="0.25">
      <c r="A399" t="str">
        <f>"13/01/2011"</f>
        <v>13/01/2011</v>
      </c>
      <c r="B399" t="str">
        <f>"30.37"</f>
        <v>30.37</v>
      </c>
      <c r="C399" t="str">
        <f>"30.38"</f>
        <v>30.38</v>
      </c>
    </row>
    <row r="400" spans="1:3" x14ac:dyDescent="0.25">
      <c r="A400" t="str">
        <f>"14/01/2011"</f>
        <v>14/01/2011</v>
      </c>
      <c r="B400" t="str">
        <f>"30.48"</f>
        <v>30.48</v>
      </c>
      <c r="C400" t="str">
        <f>"30.488"</f>
        <v>30.488</v>
      </c>
    </row>
    <row r="401" spans="1:3" x14ac:dyDescent="0.25">
      <c r="A401" t="str">
        <f>"17/01/2011"</f>
        <v>17/01/2011</v>
      </c>
      <c r="B401" t="str">
        <f>"30.59"</f>
        <v>30.59</v>
      </c>
      <c r="C401" t="str">
        <f>"30.598"</f>
        <v>30.598</v>
      </c>
    </row>
    <row r="402" spans="1:3" x14ac:dyDescent="0.25">
      <c r="A402" t="str">
        <f>"18/01/2011"</f>
        <v>18/01/2011</v>
      </c>
      <c r="B402" t="str">
        <f>"30.65"</f>
        <v>30.65</v>
      </c>
      <c r="C402" t="str">
        <f>"30.655"</f>
        <v>30.655</v>
      </c>
    </row>
    <row r="403" spans="1:3" x14ac:dyDescent="0.25">
      <c r="A403" t="str">
        <f>"19/01/2011"</f>
        <v>19/01/2011</v>
      </c>
      <c r="B403" t="str">
        <f>"30.49"</f>
        <v>30.49</v>
      </c>
      <c r="C403" t="str">
        <f>"30.498"</f>
        <v>30.498</v>
      </c>
    </row>
    <row r="404" spans="1:3" x14ac:dyDescent="0.25">
      <c r="A404" t="str">
        <f>"20/01/2011"</f>
        <v>20/01/2011</v>
      </c>
      <c r="B404" t="str">
        <f>"30.57"</f>
        <v>30.57</v>
      </c>
      <c r="C404" t="str">
        <f>"30.579"</f>
        <v>30.579</v>
      </c>
    </row>
    <row r="405" spans="1:3" x14ac:dyDescent="0.25">
      <c r="A405" t="str">
        <f>"21/01/2011"</f>
        <v>21/01/2011</v>
      </c>
      <c r="B405" t="str">
        <f>"30.65"</f>
        <v>30.65</v>
      </c>
      <c r="C405" t="str">
        <f>"30.66"</f>
        <v>30.66</v>
      </c>
    </row>
    <row r="406" spans="1:3" x14ac:dyDescent="0.25">
      <c r="A406" t="str">
        <f>"24/01/2011"</f>
        <v>24/01/2011</v>
      </c>
      <c r="B406" t="str">
        <f>"30.78"</f>
        <v>30.78</v>
      </c>
      <c r="C406" t="str">
        <f>"30.793"</f>
        <v>30.793</v>
      </c>
    </row>
    <row r="407" spans="1:3" x14ac:dyDescent="0.25">
      <c r="A407" t="str">
        <f>"25/01/2011"</f>
        <v>25/01/2011</v>
      </c>
      <c r="B407" t="str">
        <f>"31.04"</f>
        <v>31.04</v>
      </c>
      <c r="C407" t="str">
        <f>"31.0575"</f>
        <v>31.0575</v>
      </c>
    </row>
    <row r="408" spans="1:3" x14ac:dyDescent="0.25">
      <c r="A408" t="str">
        <f>"27/01/2011"</f>
        <v>27/01/2011</v>
      </c>
      <c r="B408" t="str">
        <f>"30.84"</f>
        <v>30.84</v>
      </c>
      <c r="C408" t="str">
        <f>"30.86"</f>
        <v>30.86</v>
      </c>
    </row>
    <row r="409" spans="1:3" x14ac:dyDescent="0.25">
      <c r="A409" t="str">
        <f>"28/01/2011"</f>
        <v>28/01/2011</v>
      </c>
      <c r="B409" t="str">
        <f>"31.07"</f>
        <v>31.07</v>
      </c>
      <c r="C409" t="str">
        <f>"31.08"</f>
        <v>31.08</v>
      </c>
    </row>
    <row r="410" spans="1:3" x14ac:dyDescent="0.25">
      <c r="A410" t="str">
        <f>"31/01/2011"</f>
        <v>31/01/2011</v>
      </c>
      <c r="B410" t="str">
        <f>"31.20"</f>
        <v>31.20</v>
      </c>
      <c r="C410" t="str">
        <f>"31.15"</f>
        <v>31.15</v>
      </c>
    </row>
    <row r="411" spans="1:3" x14ac:dyDescent="0.25">
      <c r="A411" t="str">
        <f>"01/02/2011"</f>
        <v>01/02/2011</v>
      </c>
      <c r="B411" t="str">
        <f>"30.87"</f>
        <v>30.87</v>
      </c>
      <c r="C411" t="str">
        <f>"30.885"</f>
        <v>30.885</v>
      </c>
    </row>
    <row r="412" spans="1:3" x14ac:dyDescent="0.25">
      <c r="A412" t="str">
        <f>"02/02/2011"</f>
        <v>02/02/2011</v>
      </c>
      <c r="B412" t="str">
        <f>"30.82"</f>
        <v>30.82</v>
      </c>
      <c r="C412" t="str">
        <f>"30.835"</f>
        <v>30.835</v>
      </c>
    </row>
    <row r="413" spans="1:3" x14ac:dyDescent="0.25">
      <c r="A413" t="str">
        <f>"03/02/2011"</f>
        <v>03/02/2011</v>
      </c>
      <c r="B413" t="str">
        <f>"30.88"</f>
        <v>30.88</v>
      </c>
      <c r="C413" t="str">
        <f>"30.90"</f>
        <v>30.90</v>
      </c>
    </row>
    <row r="414" spans="1:3" x14ac:dyDescent="0.25">
      <c r="A414" t="str">
        <f>"04/02/2011"</f>
        <v>04/02/2011</v>
      </c>
      <c r="B414" t="str">
        <f>"30.86"</f>
        <v>30.86</v>
      </c>
      <c r="C414" t="str">
        <f>"30.88"</f>
        <v>30.88</v>
      </c>
    </row>
    <row r="415" spans="1:3" x14ac:dyDescent="0.25">
      <c r="A415" t="str">
        <f>"07/02/2011"</f>
        <v>07/02/2011</v>
      </c>
      <c r="B415" t="str">
        <f>"30.78"</f>
        <v>30.78</v>
      </c>
      <c r="C415" t="str">
        <f>"30.787"</f>
        <v>30.787</v>
      </c>
    </row>
    <row r="416" spans="1:3" x14ac:dyDescent="0.25">
      <c r="A416" t="str">
        <f>"08/02/2011"</f>
        <v>08/02/2011</v>
      </c>
      <c r="B416" t="str">
        <f>"30.71"</f>
        <v>30.71</v>
      </c>
      <c r="C416" t="str">
        <f>"30.726"</f>
        <v>30.726</v>
      </c>
    </row>
    <row r="417" spans="1:3" x14ac:dyDescent="0.25">
      <c r="A417" t="str">
        <f>"09/02/2011"</f>
        <v>09/02/2011</v>
      </c>
      <c r="B417" t="str">
        <f>"30.72"</f>
        <v>30.72</v>
      </c>
      <c r="C417" t="str">
        <f>"30.745"</f>
        <v>30.745</v>
      </c>
    </row>
    <row r="418" spans="1:3" x14ac:dyDescent="0.25">
      <c r="A418" t="str">
        <f>"10/02/2011"</f>
        <v>10/02/2011</v>
      </c>
      <c r="B418" t="str">
        <f>"30.71"</f>
        <v>30.71</v>
      </c>
      <c r="C418" t="str">
        <f>"30.7375"</f>
        <v>30.7375</v>
      </c>
    </row>
    <row r="419" spans="1:3" x14ac:dyDescent="0.25">
      <c r="A419" t="str">
        <f>"11/02/2011"</f>
        <v>11/02/2011</v>
      </c>
      <c r="B419" t="str">
        <f>"30.87"</f>
        <v>30.87</v>
      </c>
      <c r="C419" t="str">
        <f>"30.90"</f>
        <v>30.90</v>
      </c>
    </row>
    <row r="420" spans="1:3" x14ac:dyDescent="0.25">
      <c r="A420" t="str">
        <f>"14/02/2011"</f>
        <v>14/02/2011</v>
      </c>
      <c r="B420" t="str">
        <f>"30.78"</f>
        <v>30.78</v>
      </c>
      <c r="C420" t="str">
        <f>"30.815"</f>
        <v>30.815</v>
      </c>
    </row>
    <row r="421" spans="1:3" x14ac:dyDescent="0.25">
      <c r="A421" t="str">
        <f>"15/02/2011"</f>
        <v>15/02/2011</v>
      </c>
      <c r="B421" t="str">
        <f>"30.72"</f>
        <v>30.72</v>
      </c>
      <c r="C421" t="str">
        <f>"30.755"</f>
        <v>30.755</v>
      </c>
    </row>
    <row r="422" spans="1:3" x14ac:dyDescent="0.25">
      <c r="A422" t="str">
        <f>"17/02/2011"</f>
        <v>17/02/2011</v>
      </c>
      <c r="B422" t="str">
        <f>"30.63"</f>
        <v>30.63</v>
      </c>
      <c r="C422" t="str">
        <f>"30.66"</f>
        <v>30.66</v>
      </c>
    </row>
    <row r="423" spans="1:3" x14ac:dyDescent="0.25">
      <c r="A423" t="str">
        <f>"18/02/2011"</f>
        <v>18/02/2011</v>
      </c>
      <c r="B423" t="str">
        <f>"30.63"</f>
        <v>30.63</v>
      </c>
      <c r="C423" t="str">
        <f>"30.662"</f>
        <v>30.662</v>
      </c>
    </row>
    <row r="424" spans="1:3" x14ac:dyDescent="0.25">
      <c r="A424" t="str">
        <f>"21/02/2011"</f>
        <v>21/02/2011</v>
      </c>
      <c r="B424" t="str">
        <f>"30.56"</f>
        <v>30.56</v>
      </c>
      <c r="C424" t="str">
        <f>"30.59"</f>
        <v>30.59</v>
      </c>
    </row>
    <row r="425" spans="1:3" x14ac:dyDescent="0.25">
      <c r="A425" t="str">
        <f>"22/02/2011"</f>
        <v>22/02/2011</v>
      </c>
      <c r="B425" t="str">
        <f>"30.68"</f>
        <v>30.68</v>
      </c>
      <c r="C425" t="str">
        <f>"30.702"</f>
        <v>30.702</v>
      </c>
    </row>
    <row r="426" spans="1:3" x14ac:dyDescent="0.25">
      <c r="A426" t="str">
        <f>"23/02/2011"</f>
        <v>23/02/2011</v>
      </c>
      <c r="B426" t="str">
        <f>"30.60"</f>
        <v>30.60</v>
      </c>
      <c r="C426" t="str">
        <f>"30.623"</f>
        <v>30.623</v>
      </c>
    </row>
    <row r="427" spans="1:3" x14ac:dyDescent="0.25">
      <c r="A427" t="str">
        <f>"24/02/2011"</f>
        <v>24/02/2011</v>
      </c>
      <c r="B427" t="str">
        <f>"30.64"</f>
        <v>30.64</v>
      </c>
      <c r="C427" t="str">
        <f>"30.665"</f>
        <v>30.665</v>
      </c>
    </row>
    <row r="428" spans="1:3" x14ac:dyDescent="0.25">
      <c r="A428" t="str">
        <f>"25/02/2011"</f>
        <v>25/02/2011</v>
      </c>
      <c r="B428" t="str">
        <f>"30.63"</f>
        <v>30.63</v>
      </c>
      <c r="C428" t="str">
        <f>"30.665"</f>
        <v>30.665</v>
      </c>
    </row>
    <row r="429" spans="1:3" x14ac:dyDescent="0.25">
      <c r="A429" t="str">
        <f>"28/02/2011"</f>
        <v>28/02/2011</v>
      </c>
      <c r="B429" t="str">
        <f>"30.61"</f>
        <v>30.61</v>
      </c>
      <c r="C429" t="str">
        <f>"30.645"</f>
        <v>30.645</v>
      </c>
    </row>
    <row r="430" spans="1:3" x14ac:dyDescent="0.25">
      <c r="A430" t="str">
        <f>"01/03/2011"</f>
        <v>01/03/2011</v>
      </c>
      <c r="B430" t="str">
        <f>"30.60"</f>
        <v>30.60</v>
      </c>
      <c r="C430" t="str">
        <f>"30.635"</f>
        <v>30.635</v>
      </c>
    </row>
    <row r="431" spans="1:3" x14ac:dyDescent="0.25">
      <c r="A431" t="str">
        <f>"03/03/2011"</f>
        <v>03/03/2011</v>
      </c>
      <c r="B431" t="str">
        <f>"30.50"</f>
        <v>30.50</v>
      </c>
      <c r="C431" t="str">
        <f>"30.545"</f>
        <v>30.545</v>
      </c>
    </row>
    <row r="432" spans="1:3" x14ac:dyDescent="0.25">
      <c r="A432" t="str">
        <f>"04/03/2011"</f>
        <v>04/03/2011</v>
      </c>
      <c r="B432" t="str">
        <f>"30.47"</f>
        <v>30.47</v>
      </c>
      <c r="C432" t="str">
        <f>"30.515"</f>
        <v>30.515</v>
      </c>
    </row>
    <row r="433" spans="1:3" x14ac:dyDescent="0.25">
      <c r="A433" t="str">
        <f>"07/03/2011"</f>
        <v>07/03/2011</v>
      </c>
      <c r="B433" t="str">
        <f>"30.46"</f>
        <v>30.46</v>
      </c>
      <c r="C433" t="str">
        <f>"30.505"</f>
        <v>30.505</v>
      </c>
    </row>
    <row r="434" spans="1:3" x14ac:dyDescent="0.25">
      <c r="A434" t="str">
        <f>"08/03/2011"</f>
        <v>08/03/2011</v>
      </c>
      <c r="B434" t="str">
        <f>"30.41"</f>
        <v>30.41</v>
      </c>
      <c r="C434" t="str">
        <f>"30.457"</f>
        <v>30.457</v>
      </c>
    </row>
    <row r="435" spans="1:3" x14ac:dyDescent="0.25">
      <c r="A435" t="str">
        <f>"09/03/2011"</f>
        <v>09/03/2011</v>
      </c>
      <c r="B435" t="str">
        <f>"30.34"</f>
        <v>30.34</v>
      </c>
      <c r="C435" t="str">
        <f>"30.39"</f>
        <v>30.39</v>
      </c>
    </row>
    <row r="436" spans="1:3" x14ac:dyDescent="0.25">
      <c r="A436" t="str">
        <f>"10/03/2011"</f>
        <v>10/03/2011</v>
      </c>
      <c r="B436" t="str">
        <f>"30.28"</f>
        <v>30.28</v>
      </c>
      <c r="C436" t="str">
        <f>"30.326"</f>
        <v>30.326</v>
      </c>
    </row>
    <row r="437" spans="1:3" x14ac:dyDescent="0.25">
      <c r="A437" t="str">
        <f>"11/03/2011"</f>
        <v>11/03/2011</v>
      </c>
      <c r="B437" t="str">
        <f>"30.40"</f>
        <v>30.40</v>
      </c>
      <c r="C437" t="str">
        <f>"30.446"</f>
        <v>30.446</v>
      </c>
    </row>
    <row r="438" spans="1:3" x14ac:dyDescent="0.25">
      <c r="A438" t="str">
        <f>"14/03/2011"</f>
        <v>14/03/2011</v>
      </c>
      <c r="B438" t="str">
        <f>"30.40"</f>
        <v>30.40</v>
      </c>
      <c r="C438" t="str">
        <f>"30.449"</f>
        <v>30.449</v>
      </c>
    </row>
    <row r="439" spans="1:3" x14ac:dyDescent="0.25">
      <c r="A439" t="str">
        <f>"15/03/2011"</f>
        <v>15/03/2011</v>
      </c>
      <c r="B439" t="str">
        <f>"30.50"</f>
        <v>30.50</v>
      </c>
      <c r="C439" t="str">
        <f>"30.55"</f>
        <v>30.55</v>
      </c>
    </row>
    <row r="440" spans="1:3" x14ac:dyDescent="0.25">
      <c r="A440" t="str">
        <f>"16/03/2011"</f>
        <v>16/03/2011</v>
      </c>
      <c r="B440" t="str">
        <f>"30.48"</f>
        <v>30.48</v>
      </c>
      <c r="C440" t="str">
        <f>"30.5275"</f>
        <v>30.5275</v>
      </c>
    </row>
    <row r="441" spans="1:3" x14ac:dyDescent="0.25">
      <c r="A441" t="str">
        <f>"17/03/2011"</f>
        <v>17/03/2011</v>
      </c>
      <c r="B441" t="str">
        <f>"30.36"</f>
        <v>30.36</v>
      </c>
      <c r="C441" t="str">
        <f>"30.40"</f>
        <v>30.40</v>
      </c>
    </row>
    <row r="442" spans="1:3" x14ac:dyDescent="0.25">
      <c r="A442" t="str">
        <f>"18/03/2011"</f>
        <v>18/03/2011</v>
      </c>
      <c r="B442" t="str">
        <f>"30.32"</f>
        <v>30.32</v>
      </c>
      <c r="C442" t="str">
        <f>"30.3625"</f>
        <v>30.3625</v>
      </c>
    </row>
    <row r="443" spans="1:3" x14ac:dyDescent="0.25">
      <c r="A443" t="str">
        <f>"21/03/2011"</f>
        <v>21/03/2011</v>
      </c>
      <c r="B443" t="str">
        <f>"30.29"</f>
        <v>30.29</v>
      </c>
      <c r="C443" t="str">
        <f>"30.326"</f>
        <v>30.326</v>
      </c>
    </row>
    <row r="444" spans="1:3" x14ac:dyDescent="0.25">
      <c r="A444" t="str">
        <f>"22/03/2011"</f>
        <v>22/03/2011</v>
      </c>
      <c r="B444" t="str">
        <f>"30.25"</f>
        <v>30.25</v>
      </c>
      <c r="C444" t="str">
        <f>"30.288"</f>
        <v>30.288</v>
      </c>
    </row>
    <row r="445" spans="1:3" x14ac:dyDescent="0.25">
      <c r="A445" t="str">
        <f>"23/03/2011"</f>
        <v>23/03/2011</v>
      </c>
      <c r="B445" t="str">
        <f>"30.27"</f>
        <v>30.27</v>
      </c>
      <c r="C445" t="str">
        <f>"30.31"</f>
        <v>30.31</v>
      </c>
    </row>
    <row r="446" spans="1:3" x14ac:dyDescent="0.25">
      <c r="A446" t="str">
        <f>"24/03/2011"</f>
        <v>24/03/2011</v>
      </c>
      <c r="B446" t="str">
        <f>"30.31"</f>
        <v>30.31</v>
      </c>
      <c r="C446" t="str">
        <f>"30.3525"</f>
        <v>30.3525</v>
      </c>
    </row>
    <row r="447" spans="1:3" x14ac:dyDescent="0.25">
      <c r="A447" t="str">
        <f>"25/03/2011"</f>
        <v>25/03/2011</v>
      </c>
      <c r="B447" t="str">
        <f>"30.24"</f>
        <v>30.24</v>
      </c>
      <c r="C447" t="str">
        <f>"30.278"</f>
        <v>30.278</v>
      </c>
    </row>
    <row r="448" spans="1:3" x14ac:dyDescent="0.25">
      <c r="A448" t="str">
        <f>"28/03/2011"</f>
        <v>28/03/2011</v>
      </c>
      <c r="B448" t="str">
        <f>"30.29"</f>
        <v>30.29</v>
      </c>
      <c r="C448" t="str">
        <f>"30.335"</f>
        <v>30.335</v>
      </c>
    </row>
    <row r="449" spans="1:3" x14ac:dyDescent="0.25">
      <c r="A449" t="str">
        <f>"29/03/2011"</f>
        <v>29/03/2011</v>
      </c>
      <c r="B449" t="str">
        <f>"30.35"</f>
        <v>30.35</v>
      </c>
      <c r="C449" t="str">
        <f>"30.395"</f>
        <v>30.395</v>
      </c>
    </row>
    <row r="450" spans="1:3" x14ac:dyDescent="0.25">
      <c r="A450" t="str">
        <f>"30/03/2011"</f>
        <v>30/03/2011</v>
      </c>
      <c r="B450" t="str">
        <f>"30.35"</f>
        <v>30.35</v>
      </c>
      <c r="C450" t="str">
        <f>"30.40"</f>
        <v>30.40</v>
      </c>
    </row>
    <row r="451" spans="1:3" x14ac:dyDescent="0.25">
      <c r="A451" t="str">
        <f>"31/03/2011"</f>
        <v>31/03/2011</v>
      </c>
      <c r="B451" t="str">
        <f>"30.28"</f>
        <v>30.28</v>
      </c>
      <c r="C451" t="str">
        <f>"30.326"</f>
        <v>30.326</v>
      </c>
    </row>
    <row r="452" spans="1:3" x14ac:dyDescent="0.25">
      <c r="A452" t="str">
        <f>"01/04/2011"</f>
        <v>01/04/2011</v>
      </c>
      <c r="B452" t="str">
        <f>"30.28"</f>
        <v>30.28</v>
      </c>
      <c r="C452" t="str">
        <f>"30.328"</f>
        <v>30.328</v>
      </c>
    </row>
    <row r="453" spans="1:3" x14ac:dyDescent="0.25">
      <c r="A453" t="str">
        <f>"05/04/2011"</f>
        <v>05/04/2011</v>
      </c>
      <c r="B453" t="str">
        <f>"30.23"</f>
        <v>30.23</v>
      </c>
      <c r="C453" t="str">
        <f>"30.2875"</f>
        <v>30.2875</v>
      </c>
    </row>
    <row r="454" spans="1:3" x14ac:dyDescent="0.25">
      <c r="A454" t="str">
        <f>"06/04/2011"</f>
        <v>06/04/2011</v>
      </c>
      <c r="B454" t="str">
        <f>"30.17"</f>
        <v>30.17</v>
      </c>
      <c r="C454" t="str">
        <f>"30.22"</f>
        <v>30.22</v>
      </c>
    </row>
    <row r="455" spans="1:3" x14ac:dyDescent="0.25">
      <c r="A455" t="str">
        <f>"07/04/2011"</f>
        <v>07/04/2011</v>
      </c>
      <c r="B455" t="str">
        <f>"30.14"</f>
        <v>30.14</v>
      </c>
      <c r="C455" t="str">
        <f>"30.192"</f>
        <v>30.192</v>
      </c>
    </row>
    <row r="456" spans="1:3" x14ac:dyDescent="0.25">
      <c r="A456" t="str">
        <f>"08/04/2011"</f>
        <v>08/04/2011</v>
      </c>
      <c r="B456" t="str">
        <f>"30.05"</f>
        <v>30.05</v>
      </c>
      <c r="C456" t="str">
        <f>"30.09"</f>
        <v>30.09</v>
      </c>
    </row>
    <row r="457" spans="1:3" x14ac:dyDescent="0.25">
      <c r="A457" t="str">
        <f>"11/04/2011"</f>
        <v>11/04/2011</v>
      </c>
      <c r="B457" t="str">
        <f>"30.05"</f>
        <v>30.05</v>
      </c>
      <c r="C457" t="str">
        <f>"30.097"</f>
        <v>30.097</v>
      </c>
    </row>
    <row r="458" spans="1:3" x14ac:dyDescent="0.25">
      <c r="A458" t="str">
        <f>"13/04/2011"</f>
        <v>13/04/2011</v>
      </c>
      <c r="B458" t="str">
        <f>"30.14"</f>
        <v>30.14</v>
      </c>
      <c r="C458" t="str">
        <f>"30.188"</f>
        <v>30.188</v>
      </c>
    </row>
    <row r="459" spans="1:3" x14ac:dyDescent="0.25">
      <c r="A459" t="str">
        <f>"15/04/2011"</f>
        <v>15/04/2011</v>
      </c>
      <c r="B459" t="str">
        <f>"30.16"</f>
        <v>30.16</v>
      </c>
      <c r="C459" t="str">
        <f>"30.208"</f>
        <v>30.208</v>
      </c>
    </row>
    <row r="460" spans="1:3" x14ac:dyDescent="0.25">
      <c r="A460" t="str">
        <f>"18/04/2011"</f>
        <v>18/04/2011</v>
      </c>
      <c r="B460" t="str">
        <f>"30.13"</f>
        <v>30.13</v>
      </c>
      <c r="C460" t="str">
        <f>"30.181"</f>
        <v>30.181</v>
      </c>
    </row>
    <row r="461" spans="1:3" x14ac:dyDescent="0.25">
      <c r="A461" t="str">
        <f>"19/04/2011"</f>
        <v>19/04/2011</v>
      </c>
      <c r="B461" t="str">
        <f>"30.13"</f>
        <v>30.13</v>
      </c>
      <c r="C461" t="str">
        <f>"30.172"</f>
        <v>30.172</v>
      </c>
    </row>
    <row r="462" spans="1:3" x14ac:dyDescent="0.25">
      <c r="A462" t="str">
        <f>"20/04/2011"</f>
        <v>20/04/2011</v>
      </c>
      <c r="B462" t="str">
        <f>"30.01"</f>
        <v>30.01</v>
      </c>
      <c r="C462" t="str">
        <f>"30.067"</f>
        <v>30.067</v>
      </c>
    </row>
    <row r="463" spans="1:3" x14ac:dyDescent="0.25">
      <c r="A463" t="str">
        <f>"21/04/2011"</f>
        <v>21/04/2011</v>
      </c>
      <c r="B463" t="str">
        <f>"29.94"</f>
        <v>29.94</v>
      </c>
      <c r="C463" t="str">
        <f>"29.995"</f>
        <v>29.995</v>
      </c>
    </row>
    <row r="464" spans="1:3" x14ac:dyDescent="0.25">
      <c r="A464" t="str">
        <f>"25/04/2011"</f>
        <v>25/04/2011</v>
      </c>
      <c r="B464" t="str">
        <f>"29.97"</f>
        <v>29.97</v>
      </c>
      <c r="C464" t="str">
        <f>"30.0175"</f>
        <v>30.0175</v>
      </c>
    </row>
    <row r="465" spans="1:3" x14ac:dyDescent="0.25">
      <c r="A465" t="str">
        <f>"26/04/2011"</f>
        <v>26/04/2011</v>
      </c>
      <c r="B465" t="str">
        <f>"30.02"</f>
        <v>30.02</v>
      </c>
      <c r="C465" t="str">
        <f>"30.08"</f>
        <v>30.08</v>
      </c>
    </row>
    <row r="466" spans="1:3" x14ac:dyDescent="0.25">
      <c r="A466" t="str">
        <f>"27/04/2011"</f>
        <v>27/04/2011</v>
      </c>
      <c r="B466" t="str">
        <f>"29.92"</f>
        <v>29.92</v>
      </c>
      <c r="C466" t="str">
        <f>"29.982"</f>
        <v>29.982</v>
      </c>
    </row>
    <row r="467" spans="1:3" x14ac:dyDescent="0.25">
      <c r="A467" t="str">
        <f>"28/04/2011"</f>
        <v>28/04/2011</v>
      </c>
      <c r="B467" t="str">
        <f>"29.88"</f>
        <v>29.88</v>
      </c>
      <c r="C467" t="str">
        <f>"29.94"</f>
        <v>29.94</v>
      </c>
    </row>
    <row r="468" spans="1:3" x14ac:dyDescent="0.25">
      <c r="A468" t="str">
        <f>"29/04/2011"</f>
        <v>29/04/2011</v>
      </c>
      <c r="B468" t="str">
        <f>"29.95"</f>
        <v>29.95</v>
      </c>
      <c r="C468" t="str">
        <f>"30.01"</f>
        <v>30.01</v>
      </c>
    </row>
    <row r="469" spans="1:3" x14ac:dyDescent="0.25">
      <c r="A469" t="str">
        <f>"02/05/2011"</f>
        <v>02/05/2011</v>
      </c>
      <c r="B469" t="str">
        <f>"29.89"</f>
        <v>29.89</v>
      </c>
      <c r="C469" t="str">
        <f>"29.951"</f>
        <v>29.951</v>
      </c>
    </row>
    <row r="470" spans="1:3" x14ac:dyDescent="0.25">
      <c r="A470" t="str">
        <f>"03/05/2011"</f>
        <v>03/05/2011</v>
      </c>
      <c r="B470" t="str">
        <f>"29.97"</f>
        <v>29.97</v>
      </c>
      <c r="C470" t="str">
        <f>"30.032"</f>
        <v>30.032</v>
      </c>
    </row>
    <row r="471" spans="1:3" x14ac:dyDescent="0.25">
      <c r="A471" t="str">
        <f>"04/05/2011"</f>
        <v>04/05/2011</v>
      </c>
      <c r="B471" t="str">
        <f>"30.08"</f>
        <v>30.08</v>
      </c>
      <c r="C471" t="str">
        <f>"30.165"</f>
        <v>30.165</v>
      </c>
    </row>
    <row r="472" spans="1:3" x14ac:dyDescent="0.25">
      <c r="A472" t="str">
        <f>"05/05/2011"</f>
        <v>05/05/2011</v>
      </c>
      <c r="B472" t="str">
        <f>"30.08"</f>
        <v>30.08</v>
      </c>
      <c r="C472" t="str">
        <f>"30.141"</f>
        <v>30.141</v>
      </c>
    </row>
    <row r="473" spans="1:3" x14ac:dyDescent="0.25">
      <c r="A473" t="str">
        <f>"06/05/2011"</f>
        <v>06/05/2011</v>
      </c>
      <c r="B473" t="str">
        <f>"30.23"</f>
        <v>30.23</v>
      </c>
      <c r="C473" t="str">
        <f>"30.29"</f>
        <v>30.29</v>
      </c>
    </row>
    <row r="474" spans="1:3" x14ac:dyDescent="0.25">
      <c r="A474" t="str">
        <f>"09/05/2011"</f>
        <v>09/05/2011</v>
      </c>
      <c r="B474" t="str">
        <f>"30.20"</f>
        <v>30.20</v>
      </c>
      <c r="C474" t="str">
        <f>"30.262"</f>
        <v>30.262</v>
      </c>
    </row>
    <row r="475" spans="1:3" x14ac:dyDescent="0.25">
      <c r="A475" t="str">
        <f>"10/05/2011"</f>
        <v>10/05/2011</v>
      </c>
      <c r="B475" t="str">
        <f>"30.18"</f>
        <v>30.18</v>
      </c>
      <c r="C475" t="str">
        <f>"30.243"</f>
        <v>30.243</v>
      </c>
    </row>
    <row r="476" spans="1:3" x14ac:dyDescent="0.25">
      <c r="A476" t="str">
        <f>"11/05/2011"</f>
        <v>11/05/2011</v>
      </c>
      <c r="B476" t="str">
        <f>"30.07"</f>
        <v>30.07</v>
      </c>
      <c r="C476" t="str">
        <f>"30.133"</f>
        <v>30.133</v>
      </c>
    </row>
    <row r="477" spans="1:3" x14ac:dyDescent="0.25">
      <c r="A477" t="str">
        <f>"12/05/2011"</f>
        <v>12/05/2011</v>
      </c>
      <c r="B477" t="str">
        <f>"30.22"</f>
        <v>30.22</v>
      </c>
      <c r="C477" t="str">
        <f>"30.28"</f>
        <v>30.28</v>
      </c>
    </row>
    <row r="478" spans="1:3" x14ac:dyDescent="0.25">
      <c r="A478" t="str">
        <f>"13/05/2011"</f>
        <v>13/05/2011</v>
      </c>
      <c r="B478" t="str">
        <f>"30.26"</f>
        <v>30.26</v>
      </c>
      <c r="C478" t="str">
        <f>"30.322"</f>
        <v>30.322</v>
      </c>
    </row>
    <row r="479" spans="1:3" x14ac:dyDescent="0.25">
      <c r="A479" t="str">
        <f>"16/05/2011"</f>
        <v>16/05/2011</v>
      </c>
      <c r="B479" t="str">
        <f>"30.31"</f>
        <v>30.31</v>
      </c>
      <c r="C479" t="str">
        <f>"30.372"</f>
        <v>30.372</v>
      </c>
    </row>
    <row r="480" spans="1:3" x14ac:dyDescent="0.25">
      <c r="A480" t="str">
        <f>"18/05/2011"</f>
        <v>18/05/2011</v>
      </c>
      <c r="B480" t="str">
        <f>"30.255"</f>
        <v>30.255</v>
      </c>
      <c r="C480" t="str">
        <f>"30.315"</f>
        <v>30.315</v>
      </c>
    </row>
    <row r="481" spans="1:3" x14ac:dyDescent="0.25">
      <c r="A481" t="str">
        <f>"19/05/2011"</f>
        <v>19/05/2011</v>
      </c>
      <c r="B481" t="str">
        <f>"30.22"</f>
        <v>30.22</v>
      </c>
      <c r="C481" t="str">
        <f>"30.31"</f>
        <v>30.31</v>
      </c>
    </row>
    <row r="482" spans="1:3" x14ac:dyDescent="0.25">
      <c r="A482" t="str">
        <f>"20/05/2011"</f>
        <v>20/05/2011</v>
      </c>
      <c r="B482" t="str">
        <f>"30.27"</f>
        <v>30.27</v>
      </c>
      <c r="C482" t="str">
        <f>"30.328"</f>
        <v>30.328</v>
      </c>
    </row>
    <row r="483" spans="1:3" x14ac:dyDescent="0.25">
      <c r="A483" t="str">
        <f>"23/05/2011"</f>
        <v>23/05/2011</v>
      </c>
      <c r="B483" t="str">
        <f>"30.38"</f>
        <v>30.38</v>
      </c>
      <c r="C483" t="str">
        <f>"30.443"</f>
        <v>30.443</v>
      </c>
    </row>
    <row r="484" spans="1:3" x14ac:dyDescent="0.25">
      <c r="A484" t="str">
        <f>"24/05/2011"</f>
        <v>24/05/2011</v>
      </c>
      <c r="B484" t="str">
        <f>"30.40"</f>
        <v>30.40</v>
      </c>
      <c r="C484" t="str">
        <f>"30.465"</f>
        <v>30.465</v>
      </c>
    </row>
    <row r="485" spans="1:3" x14ac:dyDescent="0.25">
      <c r="A485" t="str">
        <f>"25/05/2011"</f>
        <v>25/05/2011</v>
      </c>
      <c r="B485" t="str">
        <f>"30.45"</f>
        <v>30.45</v>
      </c>
      <c r="C485" t="str">
        <f>"30.514"</f>
        <v>30.514</v>
      </c>
    </row>
    <row r="486" spans="1:3" x14ac:dyDescent="0.25">
      <c r="A486" t="str">
        <f>"26/05/2011"</f>
        <v>26/05/2011</v>
      </c>
      <c r="B486" t="str">
        <f>"30.38"</f>
        <v>30.38</v>
      </c>
      <c r="C486" t="str">
        <f>"30.442"</f>
        <v>30.442</v>
      </c>
    </row>
    <row r="487" spans="1:3" x14ac:dyDescent="0.25">
      <c r="A487" t="str">
        <f>"27/05/2011"</f>
        <v>27/05/2011</v>
      </c>
      <c r="B487" t="str">
        <f>"30.37"</f>
        <v>30.37</v>
      </c>
      <c r="C487" t="str">
        <f>"30.445"</f>
        <v>30.445</v>
      </c>
    </row>
    <row r="488" spans="1:3" x14ac:dyDescent="0.25">
      <c r="A488" t="str">
        <f>"30/05/2011"</f>
        <v>30/05/2011</v>
      </c>
      <c r="B488" t="str">
        <f>"30.32"</f>
        <v>30.32</v>
      </c>
      <c r="C488" t="str">
        <f>"30.39"</f>
        <v>30.39</v>
      </c>
    </row>
    <row r="489" spans="1:3" x14ac:dyDescent="0.25">
      <c r="A489" t="str">
        <f>"31/05/2011"</f>
        <v>31/05/2011</v>
      </c>
      <c r="B489" t="str">
        <f>"30.322"</f>
        <v>30.322</v>
      </c>
      <c r="C489" t="str">
        <f>"30.391"</f>
        <v>30.391</v>
      </c>
    </row>
    <row r="490" spans="1:3" x14ac:dyDescent="0.25">
      <c r="A490" t="str">
        <f>"01/06/2011"</f>
        <v>01/06/2011</v>
      </c>
      <c r="B490" t="str">
        <f>"30.28"</f>
        <v>30.28</v>
      </c>
      <c r="C490" t="str">
        <f>"30.35"</f>
        <v>30.35</v>
      </c>
    </row>
    <row r="491" spans="1:3" x14ac:dyDescent="0.25">
      <c r="A491" t="str">
        <f>"02/06/2011"</f>
        <v>02/06/2011</v>
      </c>
      <c r="B491" t="str">
        <f>"30.32"</f>
        <v>30.32</v>
      </c>
      <c r="C491" t="str">
        <f>"30.388"</f>
        <v>30.388</v>
      </c>
    </row>
    <row r="492" spans="1:3" x14ac:dyDescent="0.25">
      <c r="A492" t="str">
        <f>"03/06/2011"</f>
        <v>03/06/2011</v>
      </c>
      <c r="B492" t="str">
        <f>"30.34"</f>
        <v>30.34</v>
      </c>
      <c r="C492" t="str">
        <f>"30.407"</f>
        <v>30.407</v>
      </c>
    </row>
    <row r="493" spans="1:3" x14ac:dyDescent="0.25">
      <c r="A493" t="str">
        <f>"06/06/2011"</f>
        <v>06/06/2011</v>
      </c>
      <c r="B493" t="str">
        <f>"30.27"</f>
        <v>30.27</v>
      </c>
      <c r="C493" t="str">
        <f>"30.337"</f>
        <v>30.337</v>
      </c>
    </row>
    <row r="494" spans="1:3" x14ac:dyDescent="0.25">
      <c r="A494" t="str">
        <f>"07/06/2011"</f>
        <v>07/06/2011</v>
      </c>
      <c r="B494" t="str">
        <f>"30.32"</f>
        <v>30.32</v>
      </c>
      <c r="C494" t="str">
        <f>"30.42"</f>
        <v>30.42</v>
      </c>
    </row>
    <row r="495" spans="1:3" x14ac:dyDescent="0.25">
      <c r="A495" t="str">
        <f>"08/06/2011"</f>
        <v>08/06/2011</v>
      </c>
      <c r="B495" t="str">
        <f>"30.33"</f>
        <v>30.33</v>
      </c>
      <c r="C495" t="str">
        <f>"30.40"</f>
        <v>30.40</v>
      </c>
    </row>
    <row r="496" spans="1:3" x14ac:dyDescent="0.25">
      <c r="A496" t="str">
        <f>"09/06/2011"</f>
        <v>09/06/2011</v>
      </c>
      <c r="B496" t="str">
        <f>"30.44"</f>
        <v>30.44</v>
      </c>
      <c r="C496" t="str">
        <f>"30.535"</f>
        <v>30.535</v>
      </c>
    </row>
    <row r="497" spans="1:3" x14ac:dyDescent="0.25">
      <c r="A497" t="str">
        <f>"13/06/2011"</f>
        <v>13/06/2011</v>
      </c>
      <c r="B497" t="str">
        <f>"30.47"</f>
        <v>30.47</v>
      </c>
      <c r="C497" t="str">
        <f>"30.538"</f>
        <v>30.538</v>
      </c>
    </row>
    <row r="498" spans="1:3" x14ac:dyDescent="0.25">
      <c r="A498" t="str">
        <f>"14/06/2011"</f>
        <v>14/06/2011</v>
      </c>
      <c r="B498" t="str">
        <f>"30.46"</f>
        <v>30.46</v>
      </c>
      <c r="C498" t="str">
        <f>"30.5275"</f>
        <v>30.5275</v>
      </c>
    </row>
    <row r="499" spans="1:3" x14ac:dyDescent="0.25">
      <c r="A499" t="str">
        <f>"15/06/2011"</f>
        <v>15/06/2011</v>
      </c>
      <c r="B499" t="str">
        <f>"30.48"</f>
        <v>30.48</v>
      </c>
      <c r="C499" t="str">
        <f>"30.546"</f>
        <v>30.546</v>
      </c>
    </row>
    <row r="500" spans="1:3" x14ac:dyDescent="0.25">
      <c r="A500" t="str">
        <f>"16/06/2011"</f>
        <v>16/06/2011</v>
      </c>
      <c r="B500" t="str">
        <f>"30.64"</f>
        <v>30.64</v>
      </c>
      <c r="C500" t="str">
        <f>"30.705"</f>
        <v>30.705</v>
      </c>
    </row>
    <row r="501" spans="1:3" x14ac:dyDescent="0.25">
      <c r="A501" t="str">
        <f>"17/06/2011"</f>
        <v>17/06/2011</v>
      </c>
      <c r="B501" t="str">
        <f>"30.64"</f>
        <v>30.64</v>
      </c>
      <c r="C501" t="str">
        <f>"30.699"</f>
        <v>30.699</v>
      </c>
    </row>
    <row r="502" spans="1:3" x14ac:dyDescent="0.25">
      <c r="A502" t="str">
        <f>"20/06/2011"</f>
        <v>20/06/2011</v>
      </c>
      <c r="B502" t="str">
        <f>"30.59"</f>
        <v>30.59</v>
      </c>
      <c r="C502" t="str">
        <f>"30.65"</f>
        <v>30.65</v>
      </c>
    </row>
    <row r="503" spans="1:3" x14ac:dyDescent="0.25">
      <c r="A503" t="str">
        <f>"21/06/2011"</f>
        <v>21/06/2011</v>
      </c>
      <c r="B503" t="str">
        <f>"30.57"</f>
        <v>30.57</v>
      </c>
      <c r="C503" t="str">
        <f>"30.632"</f>
        <v>30.632</v>
      </c>
    </row>
    <row r="504" spans="1:3" x14ac:dyDescent="0.25">
      <c r="A504" t="str">
        <f>"22/06/2011"</f>
        <v>22/06/2011</v>
      </c>
      <c r="B504" t="str">
        <f>"30.48"</f>
        <v>30.48</v>
      </c>
      <c r="C504" t="str">
        <f>"30.543"</f>
        <v>30.543</v>
      </c>
    </row>
    <row r="505" spans="1:3" x14ac:dyDescent="0.25">
      <c r="A505" t="str">
        <f>"23/06/2011"</f>
        <v>23/06/2011</v>
      </c>
      <c r="B505" t="str">
        <f>"30.51"</f>
        <v>30.51</v>
      </c>
      <c r="C505" t="str">
        <f>"30.573"</f>
        <v>30.573</v>
      </c>
    </row>
    <row r="506" spans="1:3" x14ac:dyDescent="0.25">
      <c r="A506" t="str">
        <f>"24/06/2011"</f>
        <v>24/06/2011</v>
      </c>
      <c r="B506" t="str">
        <f>"30.66"</f>
        <v>30.66</v>
      </c>
      <c r="C506" t="str">
        <f>"30.74"</f>
        <v>30.74</v>
      </c>
    </row>
    <row r="507" spans="1:3" x14ac:dyDescent="0.25">
      <c r="A507" t="str">
        <f>"27/06/2011"</f>
        <v>27/06/2011</v>
      </c>
      <c r="B507" t="str">
        <f>"30.88"</f>
        <v>30.88</v>
      </c>
      <c r="C507" t="str">
        <f>"30.94"</f>
        <v>30.94</v>
      </c>
    </row>
    <row r="508" spans="1:3" x14ac:dyDescent="0.25">
      <c r="A508" t="str">
        <f>"28/06/2011"</f>
        <v>28/06/2011</v>
      </c>
      <c r="B508" t="str">
        <f>"30.94"</f>
        <v>30.94</v>
      </c>
      <c r="C508" t="str">
        <f>"31.003"</f>
        <v>31.003</v>
      </c>
    </row>
    <row r="509" spans="1:3" x14ac:dyDescent="0.25">
      <c r="A509" t="str">
        <f>"29/06/2011"</f>
        <v>29/06/2011</v>
      </c>
      <c r="B509" t="str">
        <f>"30.85"</f>
        <v>30.85</v>
      </c>
      <c r="C509" t="str">
        <f>"30.925"</f>
        <v>30.925</v>
      </c>
    </row>
    <row r="510" spans="1:3" x14ac:dyDescent="0.25">
      <c r="A510" t="str">
        <f>"30/06/2011"</f>
        <v>30/06/2011</v>
      </c>
      <c r="B510" t="str">
        <f>"30.72"</f>
        <v>30.72</v>
      </c>
      <c r="C510" t="str">
        <f>"30.7875"</f>
        <v>30.7875</v>
      </c>
    </row>
    <row r="511" spans="1:3" x14ac:dyDescent="0.25">
      <c r="A511" t="str">
        <f>"01/07/2011"</f>
        <v>01/07/2011</v>
      </c>
      <c r="B511" t="str">
        <f>"30.77"</f>
        <v>30.77</v>
      </c>
      <c r="C511" t="str">
        <f>"30.837"</f>
        <v>30.837</v>
      </c>
    </row>
    <row r="512" spans="1:3" x14ac:dyDescent="0.25">
      <c r="A512" t="str">
        <f>"04/07/2011"</f>
        <v>04/07/2011</v>
      </c>
      <c r="B512" t="str">
        <f>"30.46"</f>
        <v>30.46</v>
      </c>
      <c r="C512" t="str">
        <f>"30.53"</f>
        <v>30.53</v>
      </c>
    </row>
    <row r="513" spans="1:3" x14ac:dyDescent="0.25">
      <c r="A513" t="str">
        <f>"05/07/2011"</f>
        <v>05/07/2011</v>
      </c>
      <c r="B513" t="str">
        <f>"30.50"</f>
        <v>30.50</v>
      </c>
      <c r="C513" t="str">
        <f>"30.574"</f>
        <v>30.574</v>
      </c>
    </row>
    <row r="514" spans="1:3" x14ac:dyDescent="0.25">
      <c r="A514" t="str">
        <f>"06/07/2011"</f>
        <v>06/07/2011</v>
      </c>
      <c r="B514" t="str">
        <f>"30.48"</f>
        <v>30.48</v>
      </c>
      <c r="C514" t="str">
        <f>"30.554"</f>
        <v>30.554</v>
      </c>
    </row>
    <row r="515" spans="1:3" x14ac:dyDescent="0.25">
      <c r="A515" t="str">
        <f>"07/07/2011"</f>
        <v>07/07/2011</v>
      </c>
      <c r="B515" t="str">
        <f>"30.34"</f>
        <v>30.34</v>
      </c>
      <c r="C515" t="str">
        <f>"30.42"</f>
        <v>30.42</v>
      </c>
    </row>
    <row r="516" spans="1:3" x14ac:dyDescent="0.25">
      <c r="A516" t="str">
        <f>"08/07/2011"</f>
        <v>08/07/2011</v>
      </c>
      <c r="B516" t="str">
        <f>"30.27"</f>
        <v>30.27</v>
      </c>
      <c r="C516" t="str">
        <f>"30.37"</f>
        <v>30.37</v>
      </c>
    </row>
    <row r="517" spans="1:3" x14ac:dyDescent="0.25">
      <c r="A517" t="str">
        <f>"11/07/2011"</f>
        <v>11/07/2011</v>
      </c>
      <c r="B517" t="str">
        <f>"30.31"</f>
        <v>30.31</v>
      </c>
      <c r="C517" t="str">
        <f>"30.39"</f>
        <v>30.39</v>
      </c>
    </row>
    <row r="518" spans="1:3" x14ac:dyDescent="0.25">
      <c r="A518" t="str">
        <f>"12/07/2011"</f>
        <v>12/07/2011</v>
      </c>
      <c r="B518" t="str">
        <f>"30.44"</f>
        <v>30.44</v>
      </c>
      <c r="C518" t="str">
        <f>"30.518"</f>
        <v>30.518</v>
      </c>
    </row>
    <row r="519" spans="1:3" x14ac:dyDescent="0.25">
      <c r="A519" t="str">
        <f>"13/07/2011"</f>
        <v>13/07/2011</v>
      </c>
      <c r="B519" t="str">
        <f>"30.26"</f>
        <v>30.26</v>
      </c>
      <c r="C519" t="str">
        <f>"30.335"</f>
        <v>30.335</v>
      </c>
    </row>
    <row r="520" spans="1:3" x14ac:dyDescent="0.25">
      <c r="A520" t="str">
        <f>"14/07/2011"</f>
        <v>14/07/2011</v>
      </c>
      <c r="B520" t="str">
        <f>"30.15"</f>
        <v>30.15</v>
      </c>
      <c r="C520" t="str">
        <f>"30.2245"</f>
        <v>30.2245</v>
      </c>
    </row>
    <row r="521" spans="1:3" x14ac:dyDescent="0.25">
      <c r="A521" t="str">
        <f>"15/07/2011"</f>
        <v>15/07/2011</v>
      </c>
      <c r="B521" t="str">
        <f>"30.12"</f>
        <v>30.12</v>
      </c>
      <c r="C521" t="str">
        <f>"30.20"</f>
        <v>30.20</v>
      </c>
    </row>
    <row r="522" spans="1:3" x14ac:dyDescent="0.25">
      <c r="A522" t="str">
        <f>"18/07/2011"</f>
        <v>18/07/2011</v>
      </c>
      <c r="B522" t="str">
        <f>"30.11"</f>
        <v>30.11</v>
      </c>
      <c r="C522" t="str">
        <f>"30.19"</f>
        <v>30.19</v>
      </c>
    </row>
    <row r="523" spans="1:3" x14ac:dyDescent="0.25">
      <c r="A523" t="str">
        <f>"19/07/2011"</f>
        <v>19/07/2011</v>
      </c>
      <c r="B523" t="str">
        <f>"29.96"</f>
        <v>29.96</v>
      </c>
      <c r="C523" t="str">
        <f>"30.041"</f>
        <v>30.041</v>
      </c>
    </row>
    <row r="524" spans="1:3" x14ac:dyDescent="0.25">
      <c r="A524" t="str">
        <f>"20/07/2011"</f>
        <v>20/07/2011</v>
      </c>
      <c r="B524" t="str">
        <f>"29.88"</f>
        <v>29.88</v>
      </c>
      <c r="C524" t="str">
        <f>"29.959"</f>
        <v>29.959</v>
      </c>
    </row>
    <row r="525" spans="1:3" x14ac:dyDescent="0.25">
      <c r="A525" t="str">
        <f>"21/07/2011"</f>
        <v>21/07/2011</v>
      </c>
      <c r="B525" t="str">
        <f>"29.91"</f>
        <v>29.91</v>
      </c>
      <c r="C525" t="str">
        <f>"30.00"</f>
        <v>30.00</v>
      </c>
    </row>
    <row r="526" spans="1:3" x14ac:dyDescent="0.25">
      <c r="A526" t="str">
        <f>"22/07/2011"</f>
        <v>22/07/2011</v>
      </c>
      <c r="B526" t="str">
        <f>"29.85"</f>
        <v>29.85</v>
      </c>
      <c r="C526" t="str">
        <f>"29.928"</f>
        <v>29.928</v>
      </c>
    </row>
    <row r="527" spans="1:3" x14ac:dyDescent="0.25">
      <c r="A527" t="str">
        <f>"25/07/2011"</f>
        <v>25/07/2011</v>
      </c>
      <c r="B527" t="str">
        <f>"29.81"</f>
        <v>29.81</v>
      </c>
      <c r="C527" t="str">
        <f>"29.891"</f>
        <v>29.891</v>
      </c>
    </row>
    <row r="528" spans="1:3" x14ac:dyDescent="0.25">
      <c r="A528" t="str">
        <f>"26/07/2011"</f>
        <v>26/07/2011</v>
      </c>
      <c r="B528" t="str">
        <f>"29.71"</f>
        <v>29.71</v>
      </c>
      <c r="C528" t="str">
        <f>"29.79"</f>
        <v>29.79</v>
      </c>
    </row>
    <row r="529" spans="1:3" x14ac:dyDescent="0.25">
      <c r="A529" t="str">
        <f>"27/07/2011"</f>
        <v>27/07/2011</v>
      </c>
      <c r="B529" t="str">
        <f>"29.71"</f>
        <v>29.71</v>
      </c>
      <c r="C529" t="str">
        <f>"29.7925"</f>
        <v>29.7925</v>
      </c>
    </row>
    <row r="530" spans="1:3" x14ac:dyDescent="0.25">
      <c r="A530" t="str">
        <f>"28/07/2011"</f>
        <v>28/07/2011</v>
      </c>
      <c r="B530" t="str">
        <f>"29.74"</f>
        <v>29.74</v>
      </c>
      <c r="C530" t="str">
        <f>"29.8155"</f>
        <v>29.8155</v>
      </c>
    </row>
    <row r="531" spans="1:3" x14ac:dyDescent="0.25">
      <c r="A531" t="str">
        <f>"29/07/2011"</f>
        <v>29/07/2011</v>
      </c>
      <c r="B531" t="str">
        <f>"29.73"</f>
        <v>29.73</v>
      </c>
      <c r="C531" t="str">
        <f>"29.809"</f>
        <v>29.809</v>
      </c>
    </row>
    <row r="532" spans="1:3" x14ac:dyDescent="0.25">
      <c r="A532" t="str">
        <f>"01/08/2011"</f>
        <v>01/08/2011</v>
      </c>
      <c r="B532" t="str">
        <f>"29.74"</f>
        <v>29.74</v>
      </c>
      <c r="C532" t="str">
        <f>"29.82"</f>
        <v>29.82</v>
      </c>
    </row>
    <row r="533" spans="1:3" x14ac:dyDescent="0.25">
      <c r="A533" t="str">
        <f>"02/08/2011"</f>
        <v>02/08/2011</v>
      </c>
      <c r="B533" t="str">
        <f>"29.772"</f>
        <v>29.772</v>
      </c>
      <c r="C533" t="str">
        <f>"29.856"</f>
        <v>29.856</v>
      </c>
    </row>
    <row r="534" spans="1:3" x14ac:dyDescent="0.25">
      <c r="A534" t="str">
        <f>"03/08/2011"</f>
        <v>03/08/2011</v>
      </c>
      <c r="B534" t="str">
        <f>"29.78"</f>
        <v>29.78</v>
      </c>
      <c r="C534" t="str">
        <f>"29.88"</f>
        <v>29.88</v>
      </c>
    </row>
    <row r="535" spans="1:3" x14ac:dyDescent="0.25">
      <c r="A535" t="str">
        <f>"04/08/2011"</f>
        <v>04/08/2011</v>
      </c>
      <c r="B535" t="str">
        <f>"29.80"</f>
        <v>29.80</v>
      </c>
      <c r="C535" t="str">
        <f>"29.877"</f>
        <v>29.877</v>
      </c>
    </row>
    <row r="536" spans="1:3" x14ac:dyDescent="0.25">
      <c r="A536" t="str">
        <f>"09/08/2011"</f>
        <v>09/08/2011</v>
      </c>
      <c r="B536" t="str">
        <f>"29.98"</f>
        <v>29.98</v>
      </c>
      <c r="C536" t="str">
        <f>"30.0425"</f>
        <v>30.0425</v>
      </c>
    </row>
    <row r="537" spans="1:3" x14ac:dyDescent="0.25">
      <c r="A537" t="str">
        <f>"10/08/2011"</f>
        <v>10/08/2011</v>
      </c>
      <c r="B537" t="str">
        <f>"29.83"</f>
        <v>29.83</v>
      </c>
      <c r="C537" t="str">
        <f>"29.892"</f>
        <v>29.892</v>
      </c>
    </row>
    <row r="538" spans="1:3" x14ac:dyDescent="0.25">
      <c r="A538" t="str">
        <f>"11/08/2011"</f>
        <v>11/08/2011</v>
      </c>
      <c r="B538" t="str">
        <f>"29.91"</f>
        <v>29.91</v>
      </c>
      <c r="C538" t="str">
        <f>"29.985"</f>
        <v>29.985</v>
      </c>
    </row>
    <row r="539" spans="1:3" x14ac:dyDescent="0.25">
      <c r="A539" t="str">
        <f>"12/08/2011"</f>
        <v>12/08/2011</v>
      </c>
      <c r="B539" t="str">
        <f>"29.95"</f>
        <v>29.95</v>
      </c>
      <c r="C539" t="str">
        <f>"30.0125"</f>
        <v>30.0125</v>
      </c>
    </row>
    <row r="540" spans="1:3" x14ac:dyDescent="0.25">
      <c r="A540" t="str">
        <f>"16/08/2011"</f>
        <v>16/08/2011</v>
      </c>
      <c r="B540" t="str">
        <f>"29.85"</f>
        <v>29.85</v>
      </c>
      <c r="C540" t="str">
        <f>"29.925"</f>
        <v>29.925</v>
      </c>
    </row>
    <row r="541" spans="1:3" x14ac:dyDescent="0.25">
      <c r="A541" t="str">
        <f>"17/08/2011"</f>
        <v>17/08/2011</v>
      </c>
      <c r="B541" t="str">
        <f>"29.88"</f>
        <v>29.88</v>
      </c>
      <c r="C541" t="str">
        <f>"29.955"</f>
        <v>29.955</v>
      </c>
    </row>
    <row r="542" spans="1:3" x14ac:dyDescent="0.25">
      <c r="A542" t="str">
        <f>"18/08/2011"</f>
        <v>18/08/2011</v>
      </c>
      <c r="B542" t="str">
        <f>"29.89"</f>
        <v>29.89</v>
      </c>
      <c r="C542" t="str">
        <f>"29.963"</f>
        <v>29.963</v>
      </c>
    </row>
    <row r="543" spans="1:3" x14ac:dyDescent="0.25">
      <c r="A543" t="str">
        <f>"19/08/2011"</f>
        <v>19/08/2011</v>
      </c>
      <c r="B543" t="str">
        <f>"29.91"</f>
        <v>29.91</v>
      </c>
      <c r="C543" t="str">
        <f>"29.985"</f>
        <v>29.985</v>
      </c>
    </row>
    <row r="544" spans="1:3" x14ac:dyDescent="0.25">
      <c r="A544" t="str">
        <f>"22/08/2011"</f>
        <v>22/08/2011</v>
      </c>
      <c r="B544" t="str">
        <f>"29.86"</f>
        <v>29.86</v>
      </c>
      <c r="C544" t="str">
        <f>"29.935"</f>
        <v>29.935</v>
      </c>
    </row>
    <row r="545" spans="1:3" x14ac:dyDescent="0.25">
      <c r="A545" t="str">
        <f>"23/08/2011"</f>
        <v>23/08/2011</v>
      </c>
      <c r="B545" t="str">
        <f>"29.85"</f>
        <v>29.85</v>
      </c>
      <c r="C545" t="str">
        <f>"29.925"</f>
        <v>29.925</v>
      </c>
    </row>
    <row r="546" spans="1:3" x14ac:dyDescent="0.25">
      <c r="A546" t="str">
        <f>"24/08/2011"</f>
        <v>24/08/2011</v>
      </c>
      <c r="B546" t="str">
        <f>"29.89"</f>
        <v>29.89</v>
      </c>
      <c r="C546" t="str">
        <f>"29.972"</f>
        <v>29.972</v>
      </c>
    </row>
    <row r="547" spans="1:3" x14ac:dyDescent="0.25">
      <c r="A547" t="str">
        <f>"25/08/2011"</f>
        <v>25/08/2011</v>
      </c>
      <c r="B547" t="str">
        <f>"29.96"</f>
        <v>29.96</v>
      </c>
      <c r="C547" t="str">
        <f>"30.04"</f>
        <v>30.04</v>
      </c>
    </row>
    <row r="548" spans="1:3" x14ac:dyDescent="0.25">
      <c r="A548" t="str">
        <f>"26/08/2011"</f>
        <v>26/08/2011</v>
      </c>
      <c r="B548" t="str">
        <f>"30.00"</f>
        <v>30.00</v>
      </c>
      <c r="C548" t="str">
        <f>"30.0795"</f>
        <v>30.0795</v>
      </c>
    </row>
    <row r="549" spans="1:3" x14ac:dyDescent="0.25">
      <c r="A549" t="str">
        <f>"29/08/2011"</f>
        <v>29/08/2011</v>
      </c>
      <c r="B549" t="str">
        <f>"29.99"</f>
        <v>29.99</v>
      </c>
      <c r="C549" t="str">
        <f>"30.07"</f>
        <v>30.07</v>
      </c>
    </row>
    <row r="550" spans="1:3" x14ac:dyDescent="0.25">
      <c r="A550" t="str">
        <f>"30/08/2011"</f>
        <v>30/08/2011</v>
      </c>
      <c r="B550" t="str">
        <f>"29.99"</f>
        <v>29.99</v>
      </c>
      <c r="C550" t="str">
        <f>"30.075"</f>
        <v>30.075</v>
      </c>
    </row>
    <row r="551" spans="1:3" x14ac:dyDescent="0.25">
      <c r="A551" t="str">
        <f>"02/09/2011"</f>
        <v>02/09/2011</v>
      </c>
      <c r="B551" t="str">
        <f>"29.96"</f>
        <v>29.96</v>
      </c>
      <c r="C551" t="str">
        <f>"30.0375"</f>
        <v>30.0375</v>
      </c>
    </row>
    <row r="552" spans="1:3" x14ac:dyDescent="0.25">
      <c r="A552" t="str">
        <f>"05/09/2011"</f>
        <v>05/09/2011</v>
      </c>
      <c r="B552" t="str">
        <f>"29.93"</f>
        <v>29.93</v>
      </c>
      <c r="C552" t="str">
        <f>"30.0025"</f>
        <v>30.0025</v>
      </c>
    </row>
    <row r="553" spans="1:3" x14ac:dyDescent="0.25">
      <c r="A553" t="str">
        <f>"06/09/2011"</f>
        <v>06/09/2011</v>
      </c>
      <c r="B553" t="str">
        <f>"29.92"</f>
        <v>29.92</v>
      </c>
      <c r="C553" t="str">
        <f>"29.993"</f>
        <v>29.993</v>
      </c>
    </row>
    <row r="554" spans="1:3" x14ac:dyDescent="0.25">
      <c r="A554" t="str">
        <f>"07/09/2011"</f>
        <v>07/09/2011</v>
      </c>
      <c r="B554" t="str">
        <f>"29.99"</f>
        <v>29.99</v>
      </c>
      <c r="C554" t="str">
        <f>"30.07"</f>
        <v>30.07</v>
      </c>
    </row>
    <row r="555" spans="1:3" x14ac:dyDescent="0.25">
      <c r="A555" t="str">
        <f>"08/09/2011"</f>
        <v>08/09/2011</v>
      </c>
      <c r="B555" t="str">
        <f>"30.02"</f>
        <v>30.02</v>
      </c>
      <c r="C555" t="str">
        <f>"30.10"</f>
        <v>30.10</v>
      </c>
    </row>
    <row r="556" spans="1:3" x14ac:dyDescent="0.25">
      <c r="A556" t="str">
        <f>"09/09/2011"</f>
        <v>09/09/2011</v>
      </c>
      <c r="B556" t="str">
        <f>"30.055"</f>
        <v>30.055</v>
      </c>
      <c r="C556" t="str">
        <f>"30.145"</f>
        <v>30.145</v>
      </c>
    </row>
    <row r="557" spans="1:3" x14ac:dyDescent="0.25">
      <c r="A557" t="str">
        <f>"12/09/2011"</f>
        <v>12/09/2011</v>
      </c>
      <c r="B557" t="str">
        <f>"30.13"</f>
        <v>30.13</v>
      </c>
      <c r="C557" t="str">
        <f>"30.2025"</f>
        <v>30.2025</v>
      </c>
    </row>
    <row r="558" spans="1:3" x14ac:dyDescent="0.25">
      <c r="A558" t="str">
        <f>"13/09/2011"</f>
        <v>13/09/2011</v>
      </c>
      <c r="B558" t="str">
        <f>"30.16"</f>
        <v>30.16</v>
      </c>
      <c r="C558" t="str">
        <f>"30.237"</f>
        <v>30.237</v>
      </c>
    </row>
    <row r="559" spans="1:3" x14ac:dyDescent="0.25">
      <c r="A559" t="str">
        <f>"14/09/2011"</f>
        <v>14/09/2011</v>
      </c>
      <c r="B559" t="str">
        <f>"30.30"</f>
        <v>30.30</v>
      </c>
      <c r="C559" t="str">
        <f>"30.374"</f>
        <v>30.374</v>
      </c>
    </row>
    <row r="560" spans="1:3" x14ac:dyDescent="0.25">
      <c r="A560" t="str">
        <f>"15/09/2011"</f>
        <v>15/09/2011</v>
      </c>
      <c r="B560" t="str">
        <f>"30.30"</f>
        <v>30.30</v>
      </c>
      <c r="C560" t="str">
        <f>"30.369"</f>
        <v>30.369</v>
      </c>
    </row>
    <row r="561" spans="1:3" x14ac:dyDescent="0.25">
      <c r="A561" t="str">
        <f>"16/09/2011"</f>
        <v>16/09/2011</v>
      </c>
      <c r="B561" t="str">
        <f>"30.35"</f>
        <v>30.35</v>
      </c>
      <c r="C561" t="str">
        <f>"30.43"</f>
        <v>30.43</v>
      </c>
    </row>
    <row r="562" spans="1:3" x14ac:dyDescent="0.25">
      <c r="A562" t="str">
        <f>"19/09/2011"</f>
        <v>19/09/2011</v>
      </c>
      <c r="B562" t="str">
        <f>"30.47"</f>
        <v>30.47</v>
      </c>
      <c r="C562" t="str">
        <f>"30.535"</f>
        <v>30.535</v>
      </c>
    </row>
    <row r="563" spans="1:3" x14ac:dyDescent="0.25">
      <c r="A563" t="str">
        <f>"20/09/2011"</f>
        <v>20/09/2011</v>
      </c>
      <c r="B563" t="str">
        <f>"30.62"</f>
        <v>30.62</v>
      </c>
      <c r="C563" t="str">
        <f>"30.687"</f>
        <v>30.687</v>
      </c>
    </row>
    <row r="564" spans="1:3" x14ac:dyDescent="0.25">
      <c r="A564" t="str">
        <f>"21/09/2011"</f>
        <v>21/09/2011</v>
      </c>
      <c r="B564" t="str">
        <f>"30.41"</f>
        <v>30.41</v>
      </c>
      <c r="C564" t="str">
        <f>"30.48"</f>
        <v>30.48</v>
      </c>
    </row>
    <row r="565" spans="1:3" x14ac:dyDescent="0.25">
      <c r="A565" t="str">
        <f>"22/09/2011"</f>
        <v>22/09/2011</v>
      </c>
      <c r="B565" t="str">
        <f>"30.70"</f>
        <v>30.70</v>
      </c>
      <c r="C565" t="str">
        <f>"30.76"</f>
        <v>30.76</v>
      </c>
    </row>
    <row r="566" spans="1:3" x14ac:dyDescent="0.25">
      <c r="A566" t="str">
        <f>"23/09/2011"</f>
        <v>23/09/2011</v>
      </c>
      <c r="B566" t="str">
        <f>"30.84"</f>
        <v>30.84</v>
      </c>
      <c r="C566" t="str">
        <f>"30.8925"</f>
        <v>30.8925</v>
      </c>
    </row>
    <row r="567" spans="1:3" x14ac:dyDescent="0.25">
      <c r="A567" t="str">
        <f>"26/09/2011"</f>
        <v>26/09/2011</v>
      </c>
      <c r="B567" t="str">
        <f>"31.08"</f>
        <v>31.08</v>
      </c>
      <c r="C567" t="str">
        <f>"31.135"</f>
        <v>31.135</v>
      </c>
    </row>
    <row r="568" spans="1:3" x14ac:dyDescent="0.25">
      <c r="A568" t="str">
        <f>"27/09/2011"</f>
        <v>27/09/2011</v>
      </c>
      <c r="B568" t="str">
        <f>"30.98"</f>
        <v>30.98</v>
      </c>
      <c r="C568" t="str">
        <f>"31.044"</f>
        <v>31.044</v>
      </c>
    </row>
    <row r="569" spans="1:3" x14ac:dyDescent="0.25">
      <c r="A569" t="str">
        <f>"28/09/2011"</f>
        <v>28/09/2011</v>
      </c>
      <c r="B569" t="str">
        <f>"31.01"</f>
        <v>31.01</v>
      </c>
      <c r="C569" t="str">
        <f>"31.055"</f>
        <v>31.055</v>
      </c>
    </row>
    <row r="570" spans="1:3" x14ac:dyDescent="0.25">
      <c r="A570" t="str">
        <f>"29/09/2011"</f>
        <v>29/09/2011</v>
      </c>
      <c r="B570" t="str">
        <f>"31.19"</f>
        <v>31.19</v>
      </c>
      <c r="C570" t="str">
        <f>"31.25"</f>
        <v>31.25</v>
      </c>
    </row>
    <row r="571" spans="1:3" x14ac:dyDescent="0.25">
      <c r="A571" t="str">
        <f>"30/09/2011"</f>
        <v>30/09/2011</v>
      </c>
      <c r="B571" t="str">
        <f>"31.17"</f>
        <v>31.17</v>
      </c>
      <c r="C571" t="str">
        <f>"31.235"</f>
        <v>31.235</v>
      </c>
    </row>
    <row r="572" spans="1:3" x14ac:dyDescent="0.25">
      <c r="A572" t="str">
        <f>"03/10/2011"</f>
        <v>03/10/2011</v>
      </c>
      <c r="B572" t="str">
        <f>"31.31"</f>
        <v>31.31</v>
      </c>
      <c r="C572" t="str">
        <f>"31.38"</f>
        <v>31.38</v>
      </c>
    </row>
    <row r="573" spans="1:3" x14ac:dyDescent="0.25">
      <c r="A573" t="str">
        <f>"04/10/2011"</f>
        <v>04/10/2011</v>
      </c>
      <c r="B573" t="str">
        <f>"31.24"</f>
        <v>31.24</v>
      </c>
      <c r="C573" t="str">
        <f>"31.31"</f>
        <v>31.31</v>
      </c>
    </row>
    <row r="574" spans="1:3" x14ac:dyDescent="0.25">
      <c r="A574" t="str">
        <f>"05/10/2011"</f>
        <v>05/10/2011</v>
      </c>
      <c r="B574" t="str">
        <f>"31.13"</f>
        <v>31.13</v>
      </c>
      <c r="C574" t="str">
        <f>"31.208"</f>
        <v>31.208</v>
      </c>
    </row>
    <row r="575" spans="1:3" x14ac:dyDescent="0.25">
      <c r="A575" t="str">
        <f>"07/10/2011"</f>
        <v>07/10/2011</v>
      </c>
      <c r="B575" t="str">
        <f>"30.88"</f>
        <v>30.88</v>
      </c>
      <c r="C575" t="str">
        <f>"30.965"</f>
        <v>30.965</v>
      </c>
    </row>
    <row r="576" spans="1:3" x14ac:dyDescent="0.25">
      <c r="A576" t="str">
        <f>"10/10/2011"</f>
        <v>10/10/2011</v>
      </c>
      <c r="B576" t="str">
        <f>"30.95"</f>
        <v>30.95</v>
      </c>
      <c r="C576" t="str">
        <f>"31.0325"</f>
        <v>31.0325</v>
      </c>
    </row>
    <row r="577" spans="1:3" x14ac:dyDescent="0.25">
      <c r="A577" t="str">
        <f>"11/10/2011"</f>
        <v>11/10/2011</v>
      </c>
      <c r="B577" t="str">
        <f>"30.91"</f>
        <v>30.91</v>
      </c>
      <c r="C577" t="str">
        <f>"30.99"</f>
        <v>30.99</v>
      </c>
    </row>
    <row r="578" spans="1:3" x14ac:dyDescent="0.25">
      <c r="A578" t="str">
        <f>"12/10/2011"</f>
        <v>12/10/2011</v>
      </c>
      <c r="B578" t="str">
        <f>"31.00"</f>
        <v>31.00</v>
      </c>
      <c r="C578" t="str">
        <f>"31.08"</f>
        <v>31.08</v>
      </c>
    </row>
    <row r="579" spans="1:3" x14ac:dyDescent="0.25">
      <c r="A579" t="str">
        <f>"13/10/2011"</f>
        <v>13/10/2011</v>
      </c>
      <c r="B579" t="str">
        <f>"30.81"</f>
        <v>30.81</v>
      </c>
      <c r="C579" t="str">
        <f>"30.90"</f>
        <v>30.90</v>
      </c>
    </row>
    <row r="580" spans="1:3" x14ac:dyDescent="0.25">
      <c r="A580" t="str">
        <f>"14/10/2011"</f>
        <v>14/10/2011</v>
      </c>
      <c r="B580" t="str">
        <f>"30.85"</f>
        <v>30.85</v>
      </c>
      <c r="C580" t="str">
        <f>"30.955"</f>
        <v>30.955</v>
      </c>
    </row>
    <row r="581" spans="1:3" x14ac:dyDescent="0.25">
      <c r="A581" t="str">
        <f>"17/10/2011"</f>
        <v>17/10/2011</v>
      </c>
      <c r="B581" t="str">
        <f>"30.69"</f>
        <v>30.69</v>
      </c>
      <c r="C581" t="str">
        <f>"30.772"</f>
        <v>30.772</v>
      </c>
    </row>
    <row r="582" spans="1:3" x14ac:dyDescent="0.25">
      <c r="A582" t="str">
        <f>"18/10/2011"</f>
        <v>18/10/2011</v>
      </c>
      <c r="B582" t="str">
        <f>"30.68"</f>
        <v>30.68</v>
      </c>
      <c r="C582" t="str">
        <f>"30.76"</f>
        <v>30.76</v>
      </c>
    </row>
    <row r="583" spans="1:3" x14ac:dyDescent="0.25">
      <c r="A583" t="str">
        <f>"19/10/2011"</f>
        <v>19/10/2011</v>
      </c>
      <c r="B583" t="str">
        <f>"30.64"</f>
        <v>30.64</v>
      </c>
      <c r="C583" t="str">
        <f>"30.72"</f>
        <v>30.72</v>
      </c>
    </row>
    <row r="584" spans="1:3" x14ac:dyDescent="0.25">
      <c r="A584" t="str">
        <f>"20/10/2011"</f>
        <v>20/10/2011</v>
      </c>
      <c r="B584" t="str">
        <f>"30.96"</f>
        <v>30.96</v>
      </c>
      <c r="C584" t="str">
        <f>"31.035"</f>
        <v>31.035</v>
      </c>
    </row>
    <row r="585" spans="1:3" x14ac:dyDescent="0.25">
      <c r="A585" t="str">
        <f>"21/10/2011"</f>
        <v>21/10/2011</v>
      </c>
      <c r="B585" t="str">
        <f>"31.09"</f>
        <v>31.09</v>
      </c>
      <c r="C585" t="str">
        <f>"31.1725"</f>
        <v>31.1725</v>
      </c>
    </row>
    <row r="586" spans="1:3" x14ac:dyDescent="0.25">
      <c r="A586" t="str">
        <f>"24/10/2011"</f>
        <v>24/10/2011</v>
      </c>
      <c r="B586" t="str">
        <f>"30.95"</f>
        <v>30.95</v>
      </c>
      <c r="C586" t="str">
        <f>"31.0275"</f>
        <v>31.0275</v>
      </c>
    </row>
    <row r="587" spans="1:3" x14ac:dyDescent="0.25">
      <c r="A587" t="str">
        <f>"25/10/2011"</f>
        <v>25/10/2011</v>
      </c>
      <c r="B587" t="str">
        <f>"30.86"</f>
        <v>30.86</v>
      </c>
      <c r="C587" t="str">
        <f>"30.96"</f>
        <v>30.96</v>
      </c>
    </row>
    <row r="588" spans="1:3" x14ac:dyDescent="0.25">
      <c r="A588" t="str">
        <f>"28/10/2011"</f>
        <v>28/10/2011</v>
      </c>
      <c r="B588" t="str">
        <f>"30.54"</f>
        <v>30.54</v>
      </c>
      <c r="C588" t="str">
        <f>"30.619"</f>
        <v>30.619</v>
      </c>
    </row>
    <row r="589" spans="1:3" x14ac:dyDescent="0.25">
      <c r="A589" t="str">
        <f>"31/10/2011"</f>
        <v>31/10/2011</v>
      </c>
      <c r="B589" t="str">
        <f>"30.75"</f>
        <v>30.75</v>
      </c>
      <c r="C589" t="str">
        <f>"30.831"</f>
        <v>30.831</v>
      </c>
    </row>
    <row r="590" spans="1:3" x14ac:dyDescent="0.25">
      <c r="A590" t="str">
        <f>"01/11/2011"</f>
        <v>01/11/2011</v>
      </c>
      <c r="B590" t="str">
        <f>"30.83"</f>
        <v>30.83</v>
      </c>
      <c r="C590" t="str">
        <f>"30.915"</f>
        <v>30.915</v>
      </c>
    </row>
    <row r="591" spans="1:3" x14ac:dyDescent="0.25">
      <c r="A591" t="str">
        <f>"02/11/2011"</f>
        <v>02/11/2011</v>
      </c>
      <c r="B591" t="str">
        <f>"30.79"</f>
        <v>30.79</v>
      </c>
      <c r="C591" t="str">
        <f>"30.87"</f>
        <v>30.87</v>
      </c>
    </row>
    <row r="592" spans="1:3" x14ac:dyDescent="0.25">
      <c r="A592" t="str">
        <f>"03/11/2011"</f>
        <v>03/11/2011</v>
      </c>
      <c r="B592" t="str">
        <f>"30.85"</f>
        <v>30.85</v>
      </c>
      <c r="C592" t="str">
        <f>"30.985"</f>
        <v>30.985</v>
      </c>
    </row>
    <row r="593" spans="1:3" x14ac:dyDescent="0.25">
      <c r="A593" t="str">
        <f>"04/11/2011"</f>
        <v>04/11/2011</v>
      </c>
      <c r="B593" t="str">
        <f>"30.64"</f>
        <v>30.64</v>
      </c>
      <c r="C593" t="str">
        <f>"30.72"</f>
        <v>30.72</v>
      </c>
    </row>
    <row r="594" spans="1:3" x14ac:dyDescent="0.25">
      <c r="A594" t="str">
        <f>"08/11/2011"</f>
        <v>08/11/2011</v>
      </c>
      <c r="B594" t="str">
        <f>"30.72"</f>
        <v>30.72</v>
      </c>
      <c r="C594" t="str">
        <f>"30.8038"</f>
        <v>30.8038</v>
      </c>
    </row>
    <row r="595" spans="1:3" x14ac:dyDescent="0.25">
      <c r="A595" t="str">
        <f>"09/11/2011"</f>
        <v>09/11/2011</v>
      </c>
      <c r="B595" t="str">
        <f>"30.66"</f>
        <v>30.66</v>
      </c>
      <c r="C595" t="str">
        <f>"30.7375"</f>
        <v>30.7375</v>
      </c>
    </row>
    <row r="596" spans="1:3" x14ac:dyDescent="0.25">
      <c r="A596" t="str">
        <f>"11/11/2011"</f>
        <v>11/11/2011</v>
      </c>
      <c r="B596" t="str">
        <f>"30.83"</f>
        <v>30.83</v>
      </c>
      <c r="C596" t="str">
        <f>"30.9025"</f>
        <v>30.9025</v>
      </c>
    </row>
    <row r="597" spans="1:3" x14ac:dyDescent="0.25">
      <c r="A597" t="str">
        <f>"14/11/2011"</f>
        <v>14/11/2011</v>
      </c>
      <c r="B597" t="str">
        <f>"30.77"</f>
        <v>30.77</v>
      </c>
      <c r="C597" t="str">
        <f>"30.8425"</f>
        <v>30.8425</v>
      </c>
    </row>
    <row r="598" spans="1:3" x14ac:dyDescent="0.25">
      <c r="A598" t="str">
        <f>"15/11/2011"</f>
        <v>15/11/2011</v>
      </c>
      <c r="B598" t="str">
        <f>"30.83"</f>
        <v>30.83</v>
      </c>
      <c r="C598" t="str">
        <f>"30.903"</f>
        <v>30.903</v>
      </c>
    </row>
    <row r="599" spans="1:3" x14ac:dyDescent="0.25">
      <c r="A599" t="str">
        <f>"16/11/2011"</f>
        <v>16/11/2011</v>
      </c>
      <c r="B599" t="str">
        <f>"30.88"</f>
        <v>30.88</v>
      </c>
      <c r="C599" t="str">
        <f>"30.957"</f>
        <v>30.957</v>
      </c>
    </row>
    <row r="600" spans="1:3" x14ac:dyDescent="0.25">
      <c r="A600" t="str">
        <f>"17/11/2011"</f>
        <v>17/11/2011</v>
      </c>
      <c r="B600" t="str">
        <f>"30.88"</f>
        <v>30.88</v>
      </c>
      <c r="C600" t="str">
        <f>"30.955"</f>
        <v>30.955</v>
      </c>
    </row>
    <row r="601" spans="1:3" x14ac:dyDescent="0.25">
      <c r="A601" t="str">
        <f>"18/11/2011"</f>
        <v>18/11/2011</v>
      </c>
      <c r="B601" t="str">
        <f>"31.02"</f>
        <v>31.02</v>
      </c>
      <c r="C601" t="str">
        <f>"31.095"</f>
        <v>31.095</v>
      </c>
    </row>
    <row r="602" spans="1:3" x14ac:dyDescent="0.25">
      <c r="A602" t="str">
        <f>"21/11/2011"</f>
        <v>21/11/2011</v>
      </c>
      <c r="B602" t="str">
        <f>"31.03"</f>
        <v>31.03</v>
      </c>
      <c r="C602" t="str">
        <f>"31.1025"</f>
        <v>31.1025</v>
      </c>
    </row>
    <row r="603" spans="1:3" x14ac:dyDescent="0.25">
      <c r="A603" t="str">
        <f>"22/11/2011"</f>
        <v>22/11/2011</v>
      </c>
      <c r="B603" t="str">
        <f>"31.21"</f>
        <v>31.21</v>
      </c>
      <c r="C603" t="str">
        <f>"31.285"</f>
        <v>31.285</v>
      </c>
    </row>
    <row r="604" spans="1:3" x14ac:dyDescent="0.25">
      <c r="A604" t="str">
        <f>"23/11/2011"</f>
        <v>23/11/2011</v>
      </c>
      <c r="B604" t="str">
        <f>"31.27"</f>
        <v>31.27</v>
      </c>
      <c r="C604" t="str">
        <f>"31.342"</f>
        <v>31.342</v>
      </c>
    </row>
    <row r="605" spans="1:3" x14ac:dyDescent="0.25">
      <c r="A605" t="str">
        <f>"24/11/2011"</f>
        <v>24/11/2011</v>
      </c>
      <c r="B605" t="str">
        <f>"31.27"</f>
        <v>31.27</v>
      </c>
      <c r="C605" t="str">
        <f>"31.34"</f>
        <v>31.34</v>
      </c>
    </row>
    <row r="606" spans="1:3" x14ac:dyDescent="0.25">
      <c r="A606" t="str">
        <f>"25/11/2011"</f>
        <v>25/11/2011</v>
      </c>
      <c r="B606" t="str">
        <f>"31.40"</f>
        <v>31.40</v>
      </c>
      <c r="C606" t="str">
        <f>"31.47"</f>
        <v>31.47</v>
      </c>
    </row>
    <row r="607" spans="1:3" x14ac:dyDescent="0.25">
      <c r="A607" t="str">
        <f>"28/11/2011"</f>
        <v>28/11/2011</v>
      </c>
      <c r="B607" t="str">
        <f>"31.29"</f>
        <v>31.29</v>
      </c>
      <c r="C607" t="str">
        <f>"31.36"</f>
        <v>31.36</v>
      </c>
    </row>
    <row r="608" spans="1:3" x14ac:dyDescent="0.25">
      <c r="A608" t="str">
        <f>"29/11/2011"</f>
        <v>29/11/2011</v>
      </c>
      <c r="B608" t="str">
        <f>"31.28"</f>
        <v>31.28</v>
      </c>
      <c r="C608" t="str">
        <f>"31.348"</f>
        <v>31.348</v>
      </c>
    </row>
    <row r="609" spans="1:3" x14ac:dyDescent="0.25">
      <c r="A609" t="str">
        <f>"30/11/2011"</f>
        <v>30/11/2011</v>
      </c>
      <c r="B609" t="str">
        <f>"31.19"</f>
        <v>31.19</v>
      </c>
      <c r="C609" t="str">
        <f>"31.255"</f>
        <v>31.255</v>
      </c>
    </row>
    <row r="610" spans="1:3" x14ac:dyDescent="0.25">
      <c r="A610" t="str">
        <f>"01/12/2011"</f>
        <v>01/12/2011</v>
      </c>
      <c r="B610" t="str">
        <f>"30.87"</f>
        <v>30.87</v>
      </c>
      <c r="C610" t="str">
        <f>"30.939"</f>
        <v>30.939</v>
      </c>
    </row>
    <row r="611" spans="1:3" x14ac:dyDescent="0.25">
      <c r="A611" t="str">
        <f>"02/12/2011"</f>
        <v>02/12/2011</v>
      </c>
      <c r="B611" t="str">
        <f>"30.80"</f>
        <v>30.80</v>
      </c>
      <c r="C611" t="str">
        <f>"30.87"</f>
        <v>30.87</v>
      </c>
    </row>
    <row r="612" spans="1:3" x14ac:dyDescent="0.25">
      <c r="A612" t="str">
        <f>"05/12/2011"</f>
        <v>05/12/2011</v>
      </c>
      <c r="B612" t="str">
        <f>"30.78"</f>
        <v>30.78</v>
      </c>
      <c r="C612" t="str">
        <f>"30.88"</f>
        <v>30.88</v>
      </c>
    </row>
    <row r="613" spans="1:3" x14ac:dyDescent="0.25">
      <c r="A613" t="str">
        <f>"07/12/2011"</f>
        <v>07/12/2011</v>
      </c>
      <c r="B613" t="str">
        <f>"30.79"</f>
        <v>30.79</v>
      </c>
      <c r="C613" t="str">
        <f>"30.8526"</f>
        <v>30.8526</v>
      </c>
    </row>
    <row r="614" spans="1:3" x14ac:dyDescent="0.25">
      <c r="A614" t="str">
        <f>"08/12/2011"</f>
        <v>08/12/2011</v>
      </c>
      <c r="B614" t="str">
        <f>"30.77"</f>
        <v>30.77</v>
      </c>
      <c r="C614" t="str">
        <f>"30.834"</f>
        <v>30.834</v>
      </c>
    </row>
    <row r="615" spans="1:3" x14ac:dyDescent="0.25">
      <c r="A615" t="str">
        <f>"09/12/2011"</f>
        <v>09/12/2011</v>
      </c>
      <c r="B615" t="str">
        <f>"30.94"</f>
        <v>30.94</v>
      </c>
      <c r="C615" t="str">
        <f>"31.03"</f>
        <v>31.03</v>
      </c>
    </row>
    <row r="616" spans="1:3" x14ac:dyDescent="0.25">
      <c r="A616" t="str">
        <f>"12/12/2011"</f>
        <v>12/12/2011</v>
      </c>
      <c r="B616" t="str">
        <f>"31.11"</f>
        <v>31.11</v>
      </c>
      <c r="C616" t="str">
        <f>"31.20"</f>
        <v>31.20</v>
      </c>
    </row>
    <row r="617" spans="1:3" x14ac:dyDescent="0.25">
      <c r="A617" t="str">
        <f>"13/12/2011"</f>
        <v>13/12/2011</v>
      </c>
      <c r="B617" t="str">
        <f>"31.19"</f>
        <v>31.19</v>
      </c>
      <c r="C617" t="str">
        <f>"31.27"</f>
        <v>31.27</v>
      </c>
    </row>
    <row r="618" spans="1:3" x14ac:dyDescent="0.25">
      <c r="A618" t="str">
        <f>"14/12/2011"</f>
        <v>14/12/2011</v>
      </c>
      <c r="B618" t="str">
        <f>"31.25"</f>
        <v>31.25</v>
      </c>
      <c r="C618" t="str">
        <f>"31.32"</f>
        <v>31.32</v>
      </c>
    </row>
    <row r="619" spans="1:3" x14ac:dyDescent="0.25">
      <c r="A619" t="str">
        <f>"15/12/2011"</f>
        <v>15/12/2011</v>
      </c>
      <c r="B619" t="str">
        <f>"31.41"</f>
        <v>31.41</v>
      </c>
      <c r="C619" t="str">
        <f>"31.479"</f>
        <v>31.479</v>
      </c>
    </row>
    <row r="620" spans="1:3" x14ac:dyDescent="0.25">
      <c r="A620" t="str">
        <f>"16/12/2011"</f>
        <v>16/12/2011</v>
      </c>
      <c r="B620" t="str">
        <f>"31.36"</f>
        <v>31.36</v>
      </c>
      <c r="C620" t="str">
        <f>"31.425"</f>
        <v>31.425</v>
      </c>
    </row>
    <row r="621" spans="1:3" x14ac:dyDescent="0.25">
      <c r="A621" t="str">
        <f>"19/12/2011"</f>
        <v>19/12/2011</v>
      </c>
      <c r="B621" t="str">
        <f>"31.30"</f>
        <v>31.30</v>
      </c>
      <c r="C621" t="str">
        <f>"31.369"</f>
        <v>31.369</v>
      </c>
    </row>
    <row r="622" spans="1:3" x14ac:dyDescent="0.25">
      <c r="A622" t="str">
        <f>"20/12/2011"</f>
        <v>20/12/2011</v>
      </c>
      <c r="B622" t="str">
        <f>"31.31"</f>
        <v>31.31</v>
      </c>
      <c r="C622" t="str">
        <f>"31.379"</f>
        <v>31.379</v>
      </c>
    </row>
    <row r="623" spans="1:3" x14ac:dyDescent="0.25">
      <c r="A623" t="str">
        <f>"21/12/2011"</f>
        <v>21/12/2011</v>
      </c>
      <c r="B623" t="str">
        <f>"31.23"</f>
        <v>31.23</v>
      </c>
      <c r="C623" t="str">
        <f>"31.3025"</f>
        <v>31.3025</v>
      </c>
    </row>
    <row r="624" spans="1:3" x14ac:dyDescent="0.25">
      <c r="A624" t="str">
        <f>"22/12/2011"</f>
        <v>22/12/2011</v>
      </c>
      <c r="B624" t="str">
        <f>"31.35"</f>
        <v>31.35</v>
      </c>
      <c r="C624" t="str">
        <f>"31.425"</f>
        <v>31.425</v>
      </c>
    </row>
    <row r="625" spans="1:3" x14ac:dyDescent="0.25">
      <c r="A625" t="str">
        <f>"23/12/2011"</f>
        <v>23/12/2011</v>
      </c>
      <c r="B625" t="str">
        <f>"31.31"</f>
        <v>31.31</v>
      </c>
      <c r="C625" t="str">
        <f>"31.383"</f>
        <v>31.383</v>
      </c>
    </row>
    <row r="626" spans="1:3" x14ac:dyDescent="0.25">
      <c r="A626" t="str">
        <f>"26/12/2011"</f>
        <v>26/12/2011</v>
      </c>
      <c r="B626" t="str">
        <f>"31.30"</f>
        <v>31.30</v>
      </c>
      <c r="C626" t="str">
        <f>"31.376"</f>
        <v>31.376</v>
      </c>
    </row>
    <row r="627" spans="1:3" x14ac:dyDescent="0.25">
      <c r="A627" t="str">
        <f>"27/12/2011"</f>
        <v>27/12/2011</v>
      </c>
      <c r="B627" t="str">
        <f>"31.44"</f>
        <v>31.44</v>
      </c>
      <c r="C627" t="str">
        <f>"31.515"</f>
        <v>31.515</v>
      </c>
    </row>
    <row r="628" spans="1:3" x14ac:dyDescent="0.25">
      <c r="A628" t="str">
        <f>"28/12/2011"</f>
        <v>28/12/2011</v>
      </c>
      <c r="B628" t="str">
        <f>"31.55"</f>
        <v>31.55</v>
      </c>
      <c r="C628" t="str">
        <f>"31.6325"</f>
        <v>31.6325</v>
      </c>
    </row>
    <row r="629" spans="1:3" x14ac:dyDescent="0.25">
      <c r="A629" t="str">
        <f>"29/12/2011"</f>
        <v>29/12/2011</v>
      </c>
      <c r="B629" t="str">
        <f>"31.72"</f>
        <v>31.72</v>
      </c>
      <c r="C629" t="str">
        <f>"31.80"</f>
        <v>31.80</v>
      </c>
    </row>
    <row r="630" spans="1:3" x14ac:dyDescent="0.25">
      <c r="A630" t="str">
        <f>"30/12/2011"</f>
        <v>30/12/2011</v>
      </c>
      <c r="B630" t="str">
        <f>"31.73"</f>
        <v>31.73</v>
      </c>
      <c r="C630" t="str">
        <f>"31.8025"</f>
        <v>31.8025</v>
      </c>
    </row>
    <row r="631" spans="1:3" x14ac:dyDescent="0.25">
      <c r="A631" t="str">
        <f>"02/01/2012"</f>
        <v>02/01/2012</v>
      </c>
      <c r="B631" t="str">
        <f>"31.51"</f>
        <v>31.51</v>
      </c>
      <c r="C631" t="str">
        <f>"31.5875"</f>
        <v>31.5875</v>
      </c>
    </row>
    <row r="632" spans="1:3" x14ac:dyDescent="0.25">
      <c r="A632" t="str">
        <f>"03/01/2012"</f>
        <v>03/01/2012</v>
      </c>
      <c r="B632" t="str">
        <f>"31.47"</f>
        <v>31.47</v>
      </c>
      <c r="C632" t="str">
        <f>"31.5475"</f>
        <v>31.5475</v>
      </c>
    </row>
    <row r="633" spans="1:3" x14ac:dyDescent="0.25">
      <c r="A633" t="str">
        <f>"04/01/2012"</f>
        <v>04/01/2012</v>
      </c>
      <c r="B633" t="str">
        <f>"31.47"</f>
        <v>31.47</v>
      </c>
      <c r="C633" t="str">
        <f>"31.5475"</f>
        <v>31.5475</v>
      </c>
    </row>
    <row r="634" spans="1:3" x14ac:dyDescent="0.25">
      <c r="A634" t="str">
        <f>"05/01/2012"</f>
        <v>05/01/2012</v>
      </c>
      <c r="B634" t="str">
        <f>"31.55"</f>
        <v>31.55</v>
      </c>
      <c r="C634" t="str">
        <f>"31.625"</f>
        <v>31.625</v>
      </c>
    </row>
    <row r="635" spans="1:3" x14ac:dyDescent="0.25">
      <c r="A635" t="str">
        <f>"06/01/2012"</f>
        <v>06/01/2012</v>
      </c>
      <c r="B635" t="str">
        <f>"31.68"</f>
        <v>31.68</v>
      </c>
      <c r="C635" t="str">
        <f>"31.755"</f>
        <v>31.755</v>
      </c>
    </row>
    <row r="636" spans="1:3" x14ac:dyDescent="0.25">
      <c r="A636" t="str">
        <f>"09/01/2012"</f>
        <v>09/01/2012</v>
      </c>
      <c r="B636" t="str">
        <f>"31.78"</f>
        <v>31.78</v>
      </c>
      <c r="C636" t="str">
        <f>"31.856"</f>
        <v>31.856</v>
      </c>
    </row>
    <row r="637" spans="1:3" x14ac:dyDescent="0.25">
      <c r="A637" t="str">
        <f>"10/01/2012"</f>
        <v>10/01/2012</v>
      </c>
      <c r="B637" t="str">
        <f>"31.66"</f>
        <v>31.66</v>
      </c>
      <c r="C637" t="str">
        <f>"31.734"</f>
        <v>31.734</v>
      </c>
    </row>
    <row r="638" spans="1:3" x14ac:dyDescent="0.25">
      <c r="A638" t="str">
        <f>"11/01/2012"</f>
        <v>11/01/2012</v>
      </c>
      <c r="B638" t="str">
        <f>"31.75"</f>
        <v>31.75</v>
      </c>
      <c r="C638" t="str">
        <f>"31.82"</f>
        <v>31.82</v>
      </c>
    </row>
    <row r="639" spans="1:3" x14ac:dyDescent="0.25">
      <c r="A639" t="str">
        <f>"12/01/2012"</f>
        <v>12/01/2012</v>
      </c>
      <c r="B639" t="str">
        <f>"31.83"</f>
        <v>31.83</v>
      </c>
      <c r="C639" t="str">
        <f>"31.93"</f>
        <v>31.93</v>
      </c>
    </row>
    <row r="640" spans="1:3" x14ac:dyDescent="0.25">
      <c r="A640" t="str">
        <f>"13/01/2012"</f>
        <v>13/01/2012</v>
      </c>
      <c r="B640" t="str">
        <f>"31.80"</f>
        <v>31.80</v>
      </c>
      <c r="C640" t="str">
        <f>"31.871"</f>
        <v>31.871</v>
      </c>
    </row>
    <row r="641" spans="1:3" x14ac:dyDescent="0.25">
      <c r="A641" t="str">
        <f>"16/01/2012"</f>
        <v>16/01/2012</v>
      </c>
      <c r="B641" t="str">
        <f>"31.93"</f>
        <v>31.93</v>
      </c>
      <c r="C641" t="str">
        <f>"32.004"</f>
        <v>32.004</v>
      </c>
    </row>
    <row r="642" spans="1:3" x14ac:dyDescent="0.25">
      <c r="A642" t="str">
        <f>"17/01/2012"</f>
        <v>17/01/2012</v>
      </c>
      <c r="B642" t="str">
        <f>"31.86"</f>
        <v>31.86</v>
      </c>
      <c r="C642" t="str">
        <f>"31.93"</f>
        <v>31.93</v>
      </c>
    </row>
    <row r="643" spans="1:3" x14ac:dyDescent="0.25">
      <c r="A643" t="str">
        <f>"18/01/2012"</f>
        <v>18/01/2012</v>
      </c>
      <c r="B643" t="str">
        <f>"31.82"</f>
        <v>31.82</v>
      </c>
      <c r="C643" t="str">
        <f>"31.895"</f>
        <v>31.895</v>
      </c>
    </row>
    <row r="644" spans="1:3" x14ac:dyDescent="0.25">
      <c r="A644" t="str">
        <f>"19/01/2012"</f>
        <v>19/01/2012</v>
      </c>
      <c r="B644" t="str">
        <f>"31.64"</f>
        <v>31.64</v>
      </c>
      <c r="C644" t="str">
        <f>"31.714"</f>
        <v>31.714</v>
      </c>
    </row>
    <row r="645" spans="1:3" x14ac:dyDescent="0.25">
      <c r="A645" t="str">
        <f>"20/01/2012"</f>
        <v>20/01/2012</v>
      </c>
      <c r="B645" t="str">
        <f>"31.57"</f>
        <v>31.57</v>
      </c>
      <c r="C645" t="str">
        <f>"31.67"</f>
        <v>31.67</v>
      </c>
    </row>
    <row r="646" spans="1:3" x14ac:dyDescent="0.25">
      <c r="A646" t="str">
        <f>"23/01/2012"</f>
        <v>23/01/2012</v>
      </c>
      <c r="B646" t="str">
        <f>"31.43"</f>
        <v>31.43</v>
      </c>
      <c r="C646" t="str">
        <f>"31.5075"</f>
        <v>31.5075</v>
      </c>
    </row>
    <row r="647" spans="1:3" x14ac:dyDescent="0.25">
      <c r="A647" t="str">
        <f>"24/01/2012"</f>
        <v>24/01/2012</v>
      </c>
      <c r="B647" t="str">
        <f>"31.48"</f>
        <v>31.48</v>
      </c>
      <c r="C647" t="str">
        <f>"31.557"</f>
        <v>31.557</v>
      </c>
    </row>
    <row r="648" spans="1:3" x14ac:dyDescent="0.25">
      <c r="A648" t="str">
        <f>"25/01/2012"</f>
        <v>25/01/2012</v>
      </c>
      <c r="B648" t="str">
        <f>"31.60"</f>
        <v>31.60</v>
      </c>
      <c r="C648" t="str">
        <f>"31.677"</f>
        <v>31.677</v>
      </c>
    </row>
    <row r="649" spans="1:3" x14ac:dyDescent="0.25">
      <c r="A649" t="str">
        <f>"27/01/2012"</f>
        <v>27/01/2012</v>
      </c>
      <c r="B649" t="str">
        <f>"31.13"</f>
        <v>31.13</v>
      </c>
      <c r="C649" t="str">
        <f>"31.20"</f>
        <v>31.20</v>
      </c>
    </row>
    <row r="650" spans="1:3" x14ac:dyDescent="0.25">
      <c r="A650" t="str">
        <f>"30/01/2012"</f>
        <v>30/01/2012</v>
      </c>
      <c r="B650" t="str">
        <f>"31.19"</f>
        <v>31.19</v>
      </c>
      <c r="C650" t="str">
        <f>"31.261"</f>
        <v>31.261</v>
      </c>
    </row>
    <row r="651" spans="1:3" x14ac:dyDescent="0.25">
      <c r="A651" t="str">
        <f>"31/01/2012"</f>
        <v>31/01/2012</v>
      </c>
      <c r="B651" t="str">
        <f>"31.03"</f>
        <v>31.03</v>
      </c>
      <c r="C651" t="str">
        <f>"31.098"</f>
        <v>31.098</v>
      </c>
    </row>
    <row r="652" spans="1:3" x14ac:dyDescent="0.25">
      <c r="A652" t="str">
        <f>"01/02/2012"</f>
        <v>01/02/2012</v>
      </c>
      <c r="B652" t="str">
        <f>"31.02"</f>
        <v>31.02</v>
      </c>
      <c r="C652" t="str">
        <f>"31.09"</f>
        <v>31.09</v>
      </c>
    </row>
    <row r="653" spans="1:3" x14ac:dyDescent="0.25">
      <c r="A653" t="str">
        <f>"02/02/2012"</f>
        <v>02/02/2012</v>
      </c>
      <c r="B653" t="str">
        <f>"30.90"</f>
        <v>30.90</v>
      </c>
      <c r="C653" t="str">
        <f>"30.975"</f>
        <v>30.975</v>
      </c>
    </row>
    <row r="654" spans="1:3" x14ac:dyDescent="0.25">
      <c r="A654" t="str">
        <f>"03/02/2012"</f>
        <v>03/02/2012</v>
      </c>
      <c r="B654" t="str">
        <f>"30.96"</f>
        <v>30.96</v>
      </c>
      <c r="C654" t="str">
        <f>"31.0325"</f>
        <v>31.0325</v>
      </c>
    </row>
    <row r="655" spans="1:3" x14ac:dyDescent="0.25">
      <c r="A655" t="str">
        <f>"06/02/2012"</f>
        <v>06/02/2012</v>
      </c>
      <c r="B655" t="str">
        <f>"30.93"</f>
        <v>30.93</v>
      </c>
      <c r="C655" t="str">
        <f>"30.998"</f>
        <v>30.998</v>
      </c>
    </row>
    <row r="656" spans="1:3" x14ac:dyDescent="0.25">
      <c r="A656" t="str">
        <f>"07/02/2012"</f>
        <v>07/02/2012</v>
      </c>
      <c r="B656" t="str">
        <f>"30.95"</f>
        <v>30.95</v>
      </c>
      <c r="C656" t="str">
        <f>"31.018"</f>
        <v>31.018</v>
      </c>
    </row>
    <row r="657" spans="1:3" x14ac:dyDescent="0.25">
      <c r="A657" t="str">
        <f>"08/02/2012"</f>
        <v>08/02/2012</v>
      </c>
      <c r="B657" t="str">
        <f>"30.83"</f>
        <v>30.83</v>
      </c>
      <c r="C657" t="str">
        <f>"30.875"</f>
        <v>30.875</v>
      </c>
    </row>
    <row r="658" spans="1:3" x14ac:dyDescent="0.25">
      <c r="A658" t="str">
        <f>"09/02/2012"</f>
        <v>09/02/2012</v>
      </c>
      <c r="B658" t="str">
        <f>"30.75"</f>
        <v>30.75</v>
      </c>
      <c r="C658" t="str">
        <f>"30.825"</f>
        <v>30.825</v>
      </c>
    </row>
    <row r="659" spans="1:3" x14ac:dyDescent="0.25">
      <c r="A659" t="str">
        <f>"10/02/2012"</f>
        <v>10/02/2012</v>
      </c>
      <c r="B659" t="str">
        <f>"30.82"</f>
        <v>30.82</v>
      </c>
      <c r="C659" t="str">
        <f>"30.895"</f>
        <v>30.895</v>
      </c>
    </row>
    <row r="660" spans="1:3" x14ac:dyDescent="0.25">
      <c r="A660" t="str">
        <f>"13/02/2012"</f>
        <v>13/02/2012</v>
      </c>
      <c r="B660" t="str">
        <f>"30.84"</f>
        <v>30.84</v>
      </c>
      <c r="C660" t="str">
        <f>"30.9085"</f>
        <v>30.9085</v>
      </c>
    </row>
    <row r="661" spans="1:3" x14ac:dyDescent="0.25">
      <c r="A661" t="str">
        <f>"14/02/2012"</f>
        <v>14/02/2012</v>
      </c>
      <c r="B661" t="str">
        <f>"30.86"</f>
        <v>30.86</v>
      </c>
      <c r="C661" t="str">
        <f>"30.928"</f>
        <v>30.928</v>
      </c>
    </row>
    <row r="662" spans="1:3" x14ac:dyDescent="0.25">
      <c r="A662" t="str">
        <f>"15/02/2012"</f>
        <v>15/02/2012</v>
      </c>
      <c r="B662" t="str">
        <f>"30.85"</f>
        <v>30.85</v>
      </c>
      <c r="C662" t="str">
        <f>"30.917"</f>
        <v>30.917</v>
      </c>
    </row>
    <row r="663" spans="1:3" x14ac:dyDescent="0.25">
      <c r="A663" t="str">
        <f>"16/02/2012"</f>
        <v>16/02/2012</v>
      </c>
      <c r="B663" t="str">
        <f>"30.86"</f>
        <v>30.86</v>
      </c>
      <c r="C663" t="str">
        <f>"30.90"</f>
        <v>30.90</v>
      </c>
    </row>
    <row r="664" spans="1:3" x14ac:dyDescent="0.25">
      <c r="A664" t="str">
        <f>"17/02/2012"</f>
        <v>17/02/2012</v>
      </c>
      <c r="B664" t="str">
        <f>"30.84"</f>
        <v>30.84</v>
      </c>
      <c r="C664" t="str">
        <f>"30.9075"</f>
        <v>30.9075</v>
      </c>
    </row>
    <row r="665" spans="1:3" x14ac:dyDescent="0.25">
      <c r="A665" t="str">
        <f>"21/02/2012"</f>
        <v>21/02/2012</v>
      </c>
      <c r="B665" t="str">
        <f>"30.75"</f>
        <v>30.75</v>
      </c>
      <c r="C665" t="str">
        <f>"30.815"</f>
        <v>30.815</v>
      </c>
    </row>
    <row r="666" spans="1:3" x14ac:dyDescent="0.25">
      <c r="A666" t="str">
        <f>"22/02/2012"</f>
        <v>22/02/2012</v>
      </c>
      <c r="B666" t="str">
        <f>"30.58"</f>
        <v>30.58</v>
      </c>
      <c r="C666" t="str">
        <f>"30.651"</f>
        <v>30.651</v>
      </c>
    </row>
    <row r="667" spans="1:3" x14ac:dyDescent="0.25">
      <c r="A667" t="str">
        <f>"23/02/2012"</f>
        <v>23/02/2012</v>
      </c>
      <c r="B667" t="str">
        <f>"30.37"</f>
        <v>30.37</v>
      </c>
      <c r="C667" t="str">
        <f>"30.436"</f>
        <v>30.436</v>
      </c>
    </row>
    <row r="668" spans="1:3" x14ac:dyDescent="0.25">
      <c r="A668" t="str">
        <f>"24/02/2012"</f>
        <v>24/02/2012</v>
      </c>
      <c r="B668" t="str">
        <f>"30.38"</f>
        <v>30.38</v>
      </c>
      <c r="C668" t="str">
        <f>"30.4475"</f>
        <v>30.4475</v>
      </c>
    </row>
    <row r="669" spans="1:3" x14ac:dyDescent="0.25">
      <c r="A669" t="str">
        <f>"27/02/2012"</f>
        <v>27/02/2012</v>
      </c>
      <c r="B669" t="str">
        <f>"30.49"</f>
        <v>30.49</v>
      </c>
      <c r="C669" t="str">
        <f>"30.558"</f>
        <v>30.558</v>
      </c>
    </row>
    <row r="670" spans="1:3" x14ac:dyDescent="0.25">
      <c r="A670" t="str">
        <f>"28/02/2012"</f>
        <v>28/02/2012</v>
      </c>
      <c r="B670" t="str">
        <f>"30.42"</f>
        <v>30.42</v>
      </c>
      <c r="C670" t="str">
        <f>"30.49"</f>
        <v>30.49</v>
      </c>
    </row>
    <row r="671" spans="1:3" x14ac:dyDescent="0.25">
      <c r="A671" t="str">
        <f t="shared" ref="A671" si="0">"29/02/2012"</f>
        <v>29/02/2012</v>
      </c>
      <c r="B671" t="str">
        <f>"30.28"</f>
        <v>30.28</v>
      </c>
      <c r="C671" t="str">
        <f>"30.346"</f>
        <v>30.346</v>
      </c>
    </row>
    <row r="672" spans="1:3" x14ac:dyDescent="0.25">
      <c r="A672" t="str">
        <f>"01/03/2012"</f>
        <v>01/03/2012</v>
      </c>
      <c r="B672" t="str">
        <f>"30.52"</f>
        <v>30.52</v>
      </c>
      <c r="C672" t="str">
        <f>"30.588"</f>
        <v>30.588</v>
      </c>
    </row>
    <row r="673" spans="1:3" x14ac:dyDescent="0.25">
      <c r="A673" t="str">
        <f>"02/03/2012"</f>
        <v>02/03/2012</v>
      </c>
      <c r="B673" t="str">
        <f>"30.54"</f>
        <v>30.54</v>
      </c>
      <c r="C673" t="str">
        <f>"30.61"</f>
        <v>30.61</v>
      </c>
    </row>
    <row r="674" spans="1:3" x14ac:dyDescent="0.25">
      <c r="A674" t="str">
        <f>"05/03/2012"</f>
        <v>05/03/2012</v>
      </c>
      <c r="B674" t="str">
        <f>"30.66"</f>
        <v>30.66</v>
      </c>
      <c r="C674" t="str">
        <f>"30.731"</f>
        <v>30.731</v>
      </c>
    </row>
    <row r="675" spans="1:3" x14ac:dyDescent="0.25">
      <c r="A675" t="str">
        <f>"06/03/2012"</f>
        <v>06/03/2012</v>
      </c>
      <c r="B675" t="str">
        <f>"30.71"</f>
        <v>30.71</v>
      </c>
      <c r="C675" t="str">
        <f>"30.772"</f>
        <v>30.772</v>
      </c>
    </row>
    <row r="676" spans="1:3" x14ac:dyDescent="0.25">
      <c r="A676" t="str">
        <f>"07/03/2012"</f>
        <v>07/03/2012</v>
      </c>
      <c r="B676" t="str">
        <f>"30.76"</f>
        <v>30.76</v>
      </c>
      <c r="C676" t="str">
        <f>"30.815"</f>
        <v>30.815</v>
      </c>
    </row>
    <row r="677" spans="1:3" x14ac:dyDescent="0.25">
      <c r="A677" t="str">
        <f>"09/03/2012"</f>
        <v>09/03/2012</v>
      </c>
      <c r="B677" t="str">
        <f>"30.61"</f>
        <v>30.61</v>
      </c>
      <c r="C677" t="str">
        <f>"30.68"</f>
        <v>30.68</v>
      </c>
    </row>
    <row r="678" spans="1:3" x14ac:dyDescent="0.25">
      <c r="A678" t="str">
        <f>"12/03/2012"</f>
        <v>12/03/2012</v>
      </c>
      <c r="B678" t="str">
        <f>"30.67"</f>
        <v>30.67</v>
      </c>
      <c r="C678" t="str">
        <f>"30.7425"</f>
        <v>30.7425</v>
      </c>
    </row>
    <row r="679" spans="1:3" x14ac:dyDescent="0.25">
      <c r="A679" t="str">
        <f>"13/03/2012"</f>
        <v>13/03/2012</v>
      </c>
      <c r="B679" t="str">
        <f>"30.59"</f>
        <v>30.59</v>
      </c>
      <c r="C679" t="str">
        <f>"30.658"</f>
        <v>30.658</v>
      </c>
    </row>
    <row r="680" spans="1:3" x14ac:dyDescent="0.25">
      <c r="A680" t="str">
        <f>"14/03/2012"</f>
        <v>14/03/2012</v>
      </c>
      <c r="B680" t="str">
        <f>"30.75"</f>
        <v>30.75</v>
      </c>
      <c r="C680" t="str">
        <f>"30.815"</f>
        <v>30.815</v>
      </c>
    </row>
    <row r="681" spans="1:3" x14ac:dyDescent="0.25">
      <c r="A681" t="str">
        <f>"15/03/2012"</f>
        <v>15/03/2012</v>
      </c>
      <c r="B681" t="str">
        <f>"30.80"</f>
        <v>30.80</v>
      </c>
      <c r="C681" t="str">
        <f>"30.8675"</f>
        <v>30.8675</v>
      </c>
    </row>
    <row r="682" spans="1:3" x14ac:dyDescent="0.25">
      <c r="A682" t="str">
        <f>"16/03/2012"</f>
        <v>16/03/2012</v>
      </c>
      <c r="B682" t="str">
        <f>"30.71"</f>
        <v>30.71</v>
      </c>
      <c r="C682" t="str">
        <f>"30.80"</f>
        <v>30.80</v>
      </c>
    </row>
    <row r="683" spans="1:3" x14ac:dyDescent="0.25">
      <c r="A683" t="str">
        <f>"19/03/2012"</f>
        <v>19/03/2012</v>
      </c>
      <c r="B683" t="str">
        <f>"30.69"</f>
        <v>30.69</v>
      </c>
      <c r="C683" t="str">
        <f>"30.758"</f>
        <v>30.758</v>
      </c>
    </row>
    <row r="684" spans="1:3" x14ac:dyDescent="0.25">
      <c r="A684" t="str">
        <f>"20/03/2012"</f>
        <v>20/03/2012</v>
      </c>
      <c r="B684" t="str">
        <f>"30.78"</f>
        <v>30.78</v>
      </c>
      <c r="C684" t="str">
        <f>"30.85"</f>
        <v>30.85</v>
      </c>
    </row>
    <row r="685" spans="1:3" x14ac:dyDescent="0.25">
      <c r="A685" t="str">
        <f>"21/03/2012"</f>
        <v>21/03/2012</v>
      </c>
      <c r="B685" t="str">
        <f>"30.75"</f>
        <v>30.75</v>
      </c>
      <c r="C685" t="str">
        <f>"30.82"</f>
        <v>30.82</v>
      </c>
    </row>
    <row r="686" spans="1:3" x14ac:dyDescent="0.25">
      <c r="A686" t="str">
        <f>"22/03/2012"</f>
        <v>22/03/2012</v>
      </c>
      <c r="B686" t="str">
        <f>"30.82"</f>
        <v>30.82</v>
      </c>
      <c r="C686" t="str">
        <f>"30.89"</f>
        <v>30.89</v>
      </c>
    </row>
    <row r="687" spans="1:3" x14ac:dyDescent="0.25">
      <c r="A687" t="str">
        <f>"26/03/2012"</f>
        <v>26/03/2012</v>
      </c>
      <c r="B687" t="str">
        <f>"30.80"</f>
        <v>30.80</v>
      </c>
      <c r="C687" t="str">
        <f>"30.868"</f>
        <v>30.868</v>
      </c>
    </row>
    <row r="688" spans="1:3" x14ac:dyDescent="0.25">
      <c r="A688" t="str">
        <f>"27/03/2012"</f>
        <v>27/03/2012</v>
      </c>
      <c r="B688" t="str">
        <f>"30.73"</f>
        <v>30.73</v>
      </c>
      <c r="C688" t="str">
        <f>"30.795"</f>
        <v>30.795</v>
      </c>
    </row>
    <row r="689" spans="1:3" x14ac:dyDescent="0.25">
      <c r="A689" t="str">
        <f>"28/03/2012"</f>
        <v>28/03/2012</v>
      </c>
      <c r="B689" t="str">
        <f>"30.74"</f>
        <v>30.74</v>
      </c>
      <c r="C689" t="str">
        <f>"30.8055"</f>
        <v>30.8055</v>
      </c>
    </row>
    <row r="690" spans="1:3" x14ac:dyDescent="0.25">
      <c r="A690" t="str">
        <f>"29/03/2012"</f>
        <v>29/03/2012</v>
      </c>
      <c r="B690" t="str">
        <f>"30.892"</f>
        <v>30.892</v>
      </c>
      <c r="C690" t="str">
        <f>"30.957"</f>
        <v>30.957</v>
      </c>
    </row>
    <row r="691" spans="1:3" x14ac:dyDescent="0.25">
      <c r="A691" t="str">
        <f>"30/03/2012"</f>
        <v>30/03/2012</v>
      </c>
      <c r="B691" t="str">
        <f>"30.85"</f>
        <v>30.85</v>
      </c>
      <c r="C691" t="str">
        <f>"30.914"</f>
        <v>30.914</v>
      </c>
    </row>
    <row r="692" spans="1:3" x14ac:dyDescent="0.25">
      <c r="A692" t="str">
        <f>"03/04/2012"</f>
        <v>03/04/2012</v>
      </c>
      <c r="B692" t="str">
        <f>"30.82"</f>
        <v>30.82</v>
      </c>
      <c r="C692" t="str">
        <f>"30.8875"</f>
        <v>30.8875</v>
      </c>
    </row>
    <row r="693" spans="1:3" x14ac:dyDescent="0.25">
      <c r="A693" t="str">
        <f>"04/04/2012"</f>
        <v>04/04/2012</v>
      </c>
      <c r="B693" t="str">
        <f>"30.96"</f>
        <v>30.96</v>
      </c>
      <c r="C693" t="str">
        <f>"31.025"</f>
        <v>31.025</v>
      </c>
    </row>
    <row r="694" spans="1:3" x14ac:dyDescent="0.25">
      <c r="A694" t="str">
        <f>"10/04/2012"</f>
        <v>10/04/2012</v>
      </c>
      <c r="B694" t="str">
        <f>"30.97"</f>
        <v>30.97</v>
      </c>
      <c r="C694" t="str">
        <f>"31.035"</f>
        <v>31.035</v>
      </c>
    </row>
    <row r="695" spans="1:3" x14ac:dyDescent="0.25">
      <c r="A695" t="str">
        <f>"11/04/2012"</f>
        <v>11/04/2012</v>
      </c>
      <c r="B695" t="str">
        <f>"30.91"</f>
        <v>30.91</v>
      </c>
      <c r="C695" t="str">
        <f>"30.971"</f>
        <v>30.971</v>
      </c>
    </row>
    <row r="696" spans="1:3" x14ac:dyDescent="0.25">
      <c r="A696" t="str">
        <f>"12/04/2012"</f>
        <v>12/04/2012</v>
      </c>
      <c r="B696" t="str">
        <f>"30.83"</f>
        <v>30.83</v>
      </c>
      <c r="C696" t="str">
        <f>"30.89"</f>
        <v>30.89</v>
      </c>
    </row>
    <row r="697" spans="1:3" x14ac:dyDescent="0.25">
      <c r="A697" t="str">
        <f>"13/04/2012"</f>
        <v>13/04/2012</v>
      </c>
      <c r="B697" t="str">
        <f>"30.77"</f>
        <v>30.77</v>
      </c>
      <c r="C697" t="str">
        <f>"30.831"</f>
        <v>30.831</v>
      </c>
    </row>
    <row r="698" spans="1:3" x14ac:dyDescent="0.25">
      <c r="A698" t="str">
        <f>"16/04/2012"</f>
        <v>16/04/2012</v>
      </c>
      <c r="B698" t="str">
        <f>"30.88"</f>
        <v>30.88</v>
      </c>
      <c r="C698" t="str">
        <f>"30.941"</f>
        <v>30.941</v>
      </c>
    </row>
    <row r="699" spans="1:3" x14ac:dyDescent="0.25">
      <c r="A699" t="str">
        <f>"17/04/2012"</f>
        <v>17/04/2012</v>
      </c>
      <c r="B699" t="str">
        <f>"30.82"</f>
        <v>30.82</v>
      </c>
      <c r="C699" t="str">
        <f>"30.872"</f>
        <v>30.872</v>
      </c>
    </row>
    <row r="700" spans="1:3" x14ac:dyDescent="0.25">
      <c r="A700" t="str">
        <f>"18/04/2012"</f>
        <v>18/04/2012</v>
      </c>
      <c r="B700" t="str">
        <f>"30.86"</f>
        <v>30.86</v>
      </c>
      <c r="C700" t="str">
        <f>"30.924"</f>
        <v>30.924</v>
      </c>
    </row>
    <row r="701" spans="1:3" x14ac:dyDescent="0.25">
      <c r="A701" t="str">
        <f>"19/04/2012"</f>
        <v>19/04/2012</v>
      </c>
      <c r="B701" t="str">
        <f>"30.91"</f>
        <v>30.91</v>
      </c>
      <c r="C701" t="str">
        <f>"30.973"</f>
        <v>30.973</v>
      </c>
    </row>
    <row r="702" spans="1:3" x14ac:dyDescent="0.25">
      <c r="A702" t="str">
        <f>"20/04/2012"</f>
        <v>20/04/2012</v>
      </c>
      <c r="B702" t="str">
        <f>"30.94"</f>
        <v>30.94</v>
      </c>
      <c r="C702" t="str">
        <f>"31.003"</f>
        <v>31.003</v>
      </c>
    </row>
    <row r="703" spans="1:3" x14ac:dyDescent="0.25">
      <c r="A703" t="str">
        <f>"23/04/2012"</f>
        <v>23/04/2012</v>
      </c>
      <c r="B703" t="str">
        <f>"30.98"</f>
        <v>30.98</v>
      </c>
      <c r="C703" t="str">
        <f>"31.085"</f>
        <v>31.085</v>
      </c>
    </row>
    <row r="704" spans="1:3" x14ac:dyDescent="0.25">
      <c r="A704" t="str">
        <f>"24/04/2012"</f>
        <v>24/04/2012</v>
      </c>
      <c r="B704" t="str">
        <f>"31.02"</f>
        <v>31.02</v>
      </c>
      <c r="C704" t="str">
        <f>"31.077"</f>
        <v>31.077</v>
      </c>
    </row>
    <row r="705" spans="1:3" x14ac:dyDescent="0.25">
      <c r="A705" t="str">
        <f>"25/04/2012"</f>
        <v>25/04/2012</v>
      </c>
      <c r="B705" t="str">
        <f>"30.95"</f>
        <v>30.95</v>
      </c>
      <c r="C705" t="str">
        <f>"31.02"</f>
        <v>31.02</v>
      </c>
    </row>
    <row r="706" spans="1:3" x14ac:dyDescent="0.25">
      <c r="A706" t="str">
        <f>"26/04/2012"</f>
        <v>26/04/2012</v>
      </c>
      <c r="B706" t="str">
        <f>"30.90"</f>
        <v>30.90</v>
      </c>
      <c r="C706" t="str">
        <f>"30.9675"</f>
        <v>30.9675</v>
      </c>
    </row>
    <row r="707" spans="1:3" x14ac:dyDescent="0.25">
      <c r="A707" t="str">
        <f>"27/04/2012"</f>
        <v>27/04/2012</v>
      </c>
      <c r="B707" t="str">
        <f>"30.87"</f>
        <v>30.87</v>
      </c>
      <c r="C707" t="str">
        <f>"30.938"</f>
        <v>30.938</v>
      </c>
    </row>
    <row r="708" spans="1:3" x14ac:dyDescent="0.25">
      <c r="A708" t="str">
        <f>"30/04/2012"</f>
        <v>30/04/2012</v>
      </c>
      <c r="B708" t="str">
        <f>"30.72"</f>
        <v>30.72</v>
      </c>
      <c r="C708" t="str">
        <f>"30.793"</f>
        <v>30.793</v>
      </c>
    </row>
    <row r="709" spans="1:3" x14ac:dyDescent="0.25">
      <c r="A709" t="str">
        <f>"02/05/2012"</f>
        <v>02/05/2012</v>
      </c>
      <c r="B709" t="str">
        <f>"30.86"</f>
        <v>30.86</v>
      </c>
      <c r="C709" t="str">
        <f>"30.9275"</f>
        <v>30.9275</v>
      </c>
    </row>
    <row r="710" spans="1:3" x14ac:dyDescent="0.25">
      <c r="A710" t="str">
        <f>"03/05/2012"</f>
        <v>03/05/2012</v>
      </c>
      <c r="B710" t="str">
        <f>"30.92"</f>
        <v>30.92</v>
      </c>
      <c r="C710" t="str">
        <f>"30.9875"</f>
        <v>30.9875</v>
      </c>
    </row>
    <row r="711" spans="1:3" x14ac:dyDescent="0.25">
      <c r="A711" t="str">
        <f>"04/05/2012"</f>
        <v>04/05/2012</v>
      </c>
      <c r="B711" t="str">
        <f>"30.96"</f>
        <v>30.96</v>
      </c>
      <c r="C711" t="str">
        <f>"31.028"</f>
        <v>31.028</v>
      </c>
    </row>
    <row r="712" spans="1:3" x14ac:dyDescent="0.25">
      <c r="A712" t="str">
        <f>"07/05/2012"</f>
        <v>07/05/2012</v>
      </c>
      <c r="B712" t="str">
        <f>"31.02"</f>
        <v>31.02</v>
      </c>
      <c r="C712" t="str">
        <f>"31.089"</f>
        <v>31.089</v>
      </c>
    </row>
    <row r="713" spans="1:3" x14ac:dyDescent="0.25">
      <c r="A713" t="str">
        <f>"08/05/2012"</f>
        <v>08/05/2012</v>
      </c>
      <c r="B713" t="str">
        <f>"30.99"</f>
        <v>30.99</v>
      </c>
      <c r="C713" t="str">
        <f>"31.05"</f>
        <v>31.05</v>
      </c>
    </row>
    <row r="714" spans="1:3" x14ac:dyDescent="0.25">
      <c r="A714" t="str">
        <f>"09/05/2012"</f>
        <v>09/05/2012</v>
      </c>
      <c r="B714" t="str">
        <f>"31.06"</f>
        <v>31.06</v>
      </c>
      <c r="C714" t="str">
        <f>"31.1275"</f>
        <v>31.1275</v>
      </c>
    </row>
    <row r="715" spans="1:3" x14ac:dyDescent="0.25">
      <c r="A715" t="str">
        <f>"10/05/2012"</f>
        <v>10/05/2012</v>
      </c>
      <c r="B715" t="str">
        <f>"31.12"</f>
        <v>31.12</v>
      </c>
      <c r="C715" t="str">
        <f>"31.185"</f>
        <v>31.185</v>
      </c>
    </row>
    <row r="716" spans="1:3" x14ac:dyDescent="0.25">
      <c r="A716" t="str">
        <f>"11/05/2012"</f>
        <v>11/05/2012</v>
      </c>
      <c r="B716" t="str">
        <f>"31.16"</f>
        <v>31.16</v>
      </c>
      <c r="C716" t="str">
        <f>"31.229"</f>
        <v>31.229</v>
      </c>
    </row>
    <row r="717" spans="1:3" x14ac:dyDescent="0.25">
      <c r="A717" t="str">
        <f>"14/05/2012"</f>
        <v>14/05/2012</v>
      </c>
      <c r="B717" t="str">
        <f>"31.36"</f>
        <v>31.36</v>
      </c>
      <c r="C717" t="str">
        <f>"31.432"</f>
        <v>31.432</v>
      </c>
    </row>
    <row r="718" spans="1:3" x14ac:dyDescent="0.25">
      <c r="A718" t="str">
        <f>"15/05/2012"</f>
        <v>15/05/2012</v>
      </c>
      <c r="B718" t="str">
        <f>"31.37"</f>
        <v>31.37</v>
      </c>
      <c r="C718" t="str">
        <f>"31.441"</f>
        <v>31.441</v>
      </c>
    </row>
    <row r="719" spans="1:3" x14ac:dyDescent="0.25">
      <c r="A719" t="str">
        <f>"16/05/2012"</f>
        <v>16/05/2012</v>
      </c>
      <c r="B719" t="str">
        <f>"31.50"</f>
        <v>31.50</v>
      </c>
      <c r="C719" t="str">
        <f>"31.57"</f>
        <v>31.57</v>
      </c>
    </row>
    <row r="720" spans="1:3" x14ac:dyDescent="0.25">
      <c r="A720" t="str">
        <f>"17/05/2012"</f>
        <v>17/05/2012</v>
      </c>
      <c r="B720" t="str">
        <f>"31.35"</f>
        <v>31.35</v>
      </c>
      <c r="C720" t="str">
        <f>"31.415"</f>
        <v>31.415</v>
      </c>
    </row>
    <row r="721" spans="1:3" x14ac:dyDescent="0.25">
      <c r="A721" t="str">
        <f>"18/05/2012"</f>
        <v>18/05/2012</v>
      </c>
      <c r="B721" t="str">
        <f>"31.43"</f>
        <v>31.43</v>
      </c>
      <c r="C721" t="str">
        <f>"31.50"</f>
        <v>31.50</v>
      </c>
    </row>
    <row r="722" spans="1:3" x14ac:dyDescent="0.25">
      <c r="A722" t="str">
        <f>"21/05/2012"</f>
        <v>21/05/2012</v>
      </c>
      <c r="B722" t="str">
        <f>"31.37"</f>
        <v>31.37</v>
      </c>
      <c r="C722" t="str">
        <f>"31.441"</f>
        <v>31.441</v>
      </c>
    </row>
    <row r="723" spans="1:3" x14ac:dyDescent="0.25">
      <c r="A723" t="str">
        <f>"22/05/2012"</f>
        <v>22/05/2012</v>
      </c>
      <c r="B723" t="str">
        <f>"31.38"</f>
        <v>31.38</v>
      </c>
      <c r="C723" t="str">
        <f>"31.45"</f>
        <v>31.45</v>
      </c>
    </row>
    <row r="724" spans="1:3" x14ac:dyDescent="0.25">
      <c r="A724" t="str">
        <f>"23/05/2012"</f>
        <v>23/05/2012</v>
      </c>
      <c r="B724" t="str">
        <f>"31.47"</f>
        <v>31.47</v>
      </c>
      <c r="C724" t="str">
        <f>"31.54"</f>
        <v>31.54</v>
      </c>
    </row>
    <row r="725" spans="1:3" x14ac:dyDescent="0.25">
      <c r="A725" t="str">
        <f>"24/05/2012"</f>
        <v>24/05/2012</v>
      </c>
      <c r="B725" t="str">
        <f>"31.61"</f>
        <v>31.61</v>
      </c>
      <c r="C725" t="str">
        <f>"31.68"</f>
        <v>31.68</v>
      </c>
    </row>
    <row r="726" spans="1:3" x14ac:dyDescent="0.25">
      <c r="A726" t="str">
        <f>"25/05/2012"</f>
        <v>25/05/2012</v>
      </c>
      <c r="B726" t="str">
        <f>"31.69"</f>
        <v>31.69</v>
      </c>
      <c r="C726" t="str">
        <f>"31.76"</f>
        <v>31.76</v>
      </c>
    </row>
    <row r="727" spans="1:3" x14ac:dyDescent="0.25">
      <c r="A727" t="str">
        <f>"28/05/2012"</f>
        <v>28/05/2012</v>
      </c>
      <c r="B727" t="str">
        <f>"31.62"</f>
        <v>31.62</v>
      </c>
      <c r="C727" t="str">
        <f>"31.684"</f>
        <v>31.684</v>
      </c>
    </row>
    <row r="728" spans="1:3" x14ac:dyDescent="0.25">
      <c r="A728" t="str">
        <f>"29/05/2012"</f>
        <v>29/05/2012</v>
      </c>
      <c r="B728" t="str">
        <f>"31.70"</f>
        <v>31.70</v>
      </c>
      <c r="C728" t="str">
        <f>"31.762"</f>
        <v>31.762</v>
      </c>
    </row>
    <row r="729" spans="1:3" x14ac:dyDescent="0.25">
      <c r="A729" t="str">
        <f>"30/05/2012"</f>
        <v>30/05/2012</v>
      </c>
      <c r="B729" t="str">
        <f>"31.827"</f>
        <v>31.827</v>
      </c>
      <c r="C729" t="str">
        <f>"31.889"</f>
        <v>31.889</v>
      </c>
    </row>
    <row r="730" spans="1:3" x14ac:dyDescent="0.25">
      <c r="A730" t="str">
        <f>"31/05/2012"</f>
        <v>31/05/2012</v>
      </c>
      <c r="B730" t="str">
        <f>"31.92"</f>
        <v>31.92</v>
      </c>
      <c r="C730" t="str">
        <f>"31.975"</f>
        <v>31.975</v>
      </c>
    </row>
    <row r="731" spans="1:3" x14ac:dyDescent="0.25">
      <c r="A731" t="str">
        <f>"01/06/2012"</f>
        <v>01/06/2012</v>
      </c>
      <c r="B731" t="str">
        <f>"31.91"</f>
        <v>31.91</v>
      </c>
      <c r="C731" t="str">
        <f>"31.971"</f>
        <v>31.971</v>
      </c>
    </row>
    <row r="732" spans="1:3" x14ac:dyDescent="0.25">
      <c r="A732" t="str">
        <f>"04/06/2012"</f>
        <v>04/06/2012</v>
      </c>
      <c r="B732" t="str">
        <f>"31.57"</f>
        <v>31.57</v>
      </c>
      <c r="C732" t="str">
        <f>"31.631"</f>
        <v>31.631</v>
      </c>
    </row>
    <row r="733" spans="1:3" x14ac:dyDescent="0.25">
      <c r="A733" t="str">
        <f>"05/06/2012"</f>
        <v>05/06/2012</v>
      </c>
      <c r="B733" t="str">
        <f>"31.65"</f>
        <v>31.65</v>
      </c>
      <c r="C733" t="str">
        <f>"31.714"</f>
        <v>31.714</v>
      </c>
    </row>
    <row r="734" spans="1:3" x14ac:dyDescent="0.25">
      <c r="A734" t="str">
        <f>"06/06/2012"</f>
        <v>06/06/2012</v>
      </c>
      <c r="B734" t="str">
        <f>"31.50"</f>
        <v>31.50</v>
      </c>
      <c r="C734" t="str">
        <f>"31.567"</f>
        <v>31.567</v>
      </c>
    </row>
    <row r="735" spans="1:3" x14ac:dyDescent="0.25">
      <c r="A735" t="str">
        <f>"07/06/2012"</f>
        <v>07/06/2012</v>
      </c>
      <c r="B735" t="str">
        <f>"31.525"</f>
        <v>31.525</v>
      </c>
      <c r="C735" t="str">
        <f>"31.589"</f>
        <v>31.589</v>
      </c>
    </row>
    <row r="736" spans="1:3" x14ac:dyDescent="0.25">
      <c r="A736" t="str">
        <f>"08/06/2012"</f>
        <v>08/06/2012</v>
      </c>
      <c r="B736" t="str">
        <f>"31.78"</f>
        <v>31.78</v>
      </c>
      <c r="C736" t="str">
        <f>"31.845"</f>
        <v>31.845</v>
      </c>
    </row>
    <row r="737" spans="1:3" x14ac:dyDescent="0.25">
      <c r="A737" t="str">
        <f>"11/06/2012"</f>
        <v>11/06/2012</v>
      </c>
      <c r="B737" t="str">
        <f>"31.58"</f>
        <v>31.58</v>
      </c>
      <c r="C737" t="str">
        <f>"31.6475"</f>
        <v>31.6475</v>
      </c>
    </row>
    <row r="738" spans="1:3" x14ac:dyDescent="0.25">
      <c r="A738" t="str">
        <f>"12/06/2012"</f>
        <v>12/06/2012</v>
      </c>
      <c r="B738" t="str">
        <f>"31.69"</f>
        <v>31.69</v>
      </c>
      <c r="C738" t="str">
        <f>"31.759"</f>
        <v>31.759</v>
      </c>
    </row>
    <row r="739" spans="1:3" x14ac:dyDescent="0.25">
      <c r="A739" t="str">
        <f>"13/06/2012"</f>
        <v>13/06/2012</v>
      </c>
      <c r="B739" t="str">
        <f>"31.70"</f>
        <v>31.70</v>
      </c>
      <c r="C739" t="str">
        <f>"31.80"</f>
        <v>31.80</v>
      </c>
    </row>
    <row r="740" spans="1:3" x14ac:dyDescent="0.25">
      <c r="A740" t="str">
        <f>"14/06/2012"</f>
        <v>14/06/2012</v>
      </c>
      <c r="B740" t="str">
        <f>"31.57"</f>
        <v>31.57</v>
      </c>
      <c r="C740" t="str">
        <f>"31.6325"</f>
        <v>31.6325</v>
      </c>
    </row>
    <row r="741" spans="1:3" x14ac:dyDescent="0.25">
      <c r="A741" t="str">
        <f>"15/06/2012"</f>
        <v>15/06/2012</v>
      </c>
      <c r="B741" t="str">
        <f>"31.52"</f>
        <v>31.52</v>
      </c>
      <c r="C741" t="str">
        <f>"31.585"</f>
        <v>31.585</v>
      </c>
    </row>
    <row r="742" spans="1:3" x14ac:dyDescent="0.25">
      <c r="A742" t="str">
        <f>"18/06/2012"</f>
        <v>18/06/2012</v>
      </c>
      <c r="B742" t="str">
        <f>"31.44"</f>
        <v>31.44</v>
      </c>
      <c r="C742" t="str">
        <f>"31.503"</f>
        <v>31.503</v>
      </c>
    </row>
    <row r="743" spans="1:3" x14ac:dyDescent="0.25">
      <c r="A743" t="str">
        <f>"19/06/2012"</f>
        <v>19/06/2012</v>
      </c>
      <c r="B743" t="str">
        <f>"31.45"</f>
        <v>31.45</v>
      </c>
      <c r="C743" t="str">
        <f>"31.5225"</f>
        <v>31.5225</v>
      </c>
    </row>
    <row r="744" spans="1:3" x14ac:dyDescent="0.25">
      <c r="A744" t="str">
        <f>"20/06/2012"</f>
        <v>20/06/2012</v>
      </c>
      <c r="B744" t="str">
        <f>"31.52"</f>
        <v>31.52</v>
      </c>
      <c r="C744" t="str">
        <f>"31.59"</f>
        <v>31.59</v>
      </c>
    </row>
    <row r="745" spans="1:3" x14ac:dyDescent="0.25">
      <c r="A745" t="str">
        <f>"21/06/2012"</f>
        <v>21/06/2012</v>
      </c>
      <c r="B745" t="str">
        <f>"31.69"</f>
        <v>31.69</v>
      </c>
      <c r="C745" t="str">
        <f>"31.761"</f>
        <v>31.761</v>
      </c>
    </row>
    <row r="746" spans="1:3" x14ac:dyDescent="0.25">
      <c r="A746" t="str">
        <f>"22/06/2012"</f>
        <v>22/06/2012</v>
      </c>
      <c r="B746" t="str">
        <f>"31.78"</f>
        <v>31.78</v>
      </c>
      <c r="C746" t="str">
        <f>"31.85"</f>
        <v>31.85</v>
      </c>
    </row>
    <row r="747" spans="1:3" x14ac:dyDescent="0.25">
      <c r="A747" t="str">
        <f>"25/06/2012"</f>
        <v>25/06/2012</v>
      </c>
      <c r="B747" t="str">
        <f>"31.90"</f>
        <v>31.90</v>
      </c>
      <c r="C747" t="str">
        <f>"31.97"</f>
        <v>31.97</v>
      </c>
    </row>
    <row r="748" spans="1:3" x14ac:dyDescent="0.25">
      <c r="A748" t="str">
        <f>"26/06/2012"</f>
        <v>26/06/2012</v>
      </c>
      <c r="B748" t="str">
        <f>"31.85"</f>
        <v>31.85</v>
      </c>
      <c r="C748" t="str">
        <f>"31.924"</f>
        <v>31.924</v>
      </c>
    </row>
    <row r="749" spans="1:3" x14ac:dyDescent="0.25">
      <c r="A749" t="str">
        <f>"27/06/2012"</f>
        <v>27/06/2012</v>
      </c>
      <c r="B749" t="str">
        <f>"31.90"</f>
        <v>31.90</v>
      </c>
      <c r="C749" t="str">
        <f>"31.974"</f>
        <v>31.974</v>
      </c>
    </row>
    <row r="750" spans="1:3" x14ac:dyDescent="0.25">
      <c r="A750" t="str">
        <f>"28/06/2012"</f>
        <v>28/06/2012</v>
      </c>
      <c r="B750" t="str">
        <f>"31.85"</f>
        <v>31.85</v>
      </c>
      <c r="C750" t="str">
        <f>"31.925"</f>
        <v>31.925</v>
      </c>
    </row>
    <row r="751" spans="1:3" x14ac:dyDescent="0.25">
      <c r="A751" t="str">
        <f>"29/06/2012"</f>
        <v>29/06/2012</v>
      </c>
      <c r="B751" t="str">
        <f>"31.728"</f>
        <v>31.728</v>
      </c>
      <c r="C751" t="str">
        <f>"31.798"</f>
        <v>31.798</v>
      </c>
    </row>
    <row r="752" spans="1:3" x14ac:dyDescent="0.25">
      <c r="A752" t="str">
        <f>"02/07/2012"</f>
        <v>02/07/2012</v>
      </c>
      <c r="B752" t="str">
        <f>"31.60"</f>
        <v>31.60</v>
      </c>
      <c r="C752" t="str">
        <f>"31.668"</f>
        <v>31.668</v>
      </c>
    </row>
    <row r="753" spans="1:3" x14ac:dyDescent="0.25">
      <c r="A753" t="str">
        <f>"03/07/2012"</f>
        <v>03/07/2012</v>
      </c>
      <c r="B753" t="str">
        <f>"31.49"</f>
        <v>31.49</v>
      </c>
      <c r="C753" t="str">
        <f>"31.556"</f>
        <v>31.556</v>
      </c>
    </row>
    <row r="754" spans="1:3" x14ac:dyDescent="0.25">
      <c r="A754" t="str">
        <f>"04/07/2012"</f>
        <v>04/07/2012</v>
      </c>
      <c r="B754" t="str">
        <f>"31.47"</f>
        <v>31.47</v>
      </c>
      <c r="C754" t="str">
        <f>"31.537"</f>
        <v>31.537</v>
      </c>
    </row>
    <row r="755" spans="1:3" x14ac:dyDescent="0.25">
      <c r="A755" t="str">
        <f>"05/07/2012"</f>
        <v>05/07/2012</v>
      </c>
      <c r="B755" t="str">
        <f>"31.55"</f>
        <v>31.55</v>
      </c>
      <c r="C755" t="str">
        <f>"31.6125"</f>
        <v>31.6125</v>
      </c>
    </row>
    <row r="756" spans="1:3" x14ac:dyDescent="0.25">
      <c r="A756" t="str">
        <f>"06/07/2012"</f>
        <v>06/07/2012</v>
      </c>
      <c r="B756" t="str">
        <f>"31.66"</f>
        <v>31.66</v>
      </c>
      <c r="C756" t="str">
        <f>"31.73"</f>
        <v>31.73</v>
      </c>
    </row>
    <row r="757" spans="1:3" x14ac:dyDescent="0.25">
      <c r="A757" t="str">
        <f>"09/07/2012"</f>
        <v>09/07/2012</v>
      </c>
      <c r="B757" t="str">
        <f>"31.74"</f>
        <v>31.74</v>
      </c>
      <c r="C757" t="str">
        <f>"31.812"</f>
        <v>31.812</v>
      </c>
    </row>
    <row r="758" spans="1:3" x14ac:dyDescent="0.25">
      <c r="A758" t="str">
        <f>"10/07/2012"</f>
        <v>10/07/2012</v>
      </c>
      <c r="B758" t="str">
        <f>"31.65"</f>
        <v>31.65</v>
      </c>
      <c r="C758" t="str">
        <f>"31.722"</f>
        <v>31.722</v>
      </c>
    </row>
    <row r="759" spans="1:3" x14ac:dyDescent="0.25">
      <c r="A759" t="str">
        <f>"11/07/2012"</f>
        <v>11/07/2012</v>
      </c>
      <c r="B759" t="str">
        <f>"31.70"</f>
        <v>31.70</v>
      </c>
      <c r="C759" t="str">
        <f>"31.77"</f>
        <v>31.77</v>
      </c>
    </row>
    <row r="760" spans="1:3" x14ac:dyDescent="0.25">
      <c r="A760" t="str">
        <f>"12/07/2012"</f>
        <v>12/07/2012</v>
      </c>
      <c r="B760" t="str">
        <f>"31.78"</f>
        <v>31.78</v>
      </c>
      <c r="C760" t="str">
        <f>"31.848"</f>
        <v>31.848</v>
      </c>
    </row>
    <row r="761" spans="1:3" x14ac:dyDescent="0.25">
      <c r="A761" t="str">
        <f>"13/07/2012"</f>
        <v>13/07/2012</v>
      </c>
      <c r="B761" t="str">
        <f>"31.68"</f>
        <v>31.68</v>
      </c>
      <c r="C761" t="str">
        <f>"31.749"</f>
        <v>31.749</v>
      </c>
    </row>
    <row r="762" spans="1:3" x14ac:dyDescent="0.25">
      <c r="A762" t="str">
        <f>"16/07/2012"</f>
        <v>16/07/2012</v>
      </c>
      <c r="B762" t="str">
        <f>"31.62"</f>
        <v>31.62</v>
      </c>
      <c r="C762" t="str">
        <f>"31.692"</f>
        <v>31.692</v>
      </c>
    </row>
    <row r="763" spans="1:3" x14ac:dyDescent="0.25">
      <c r="A763" t="str">
        <f>"17/07/2012"</f>
        <v>17/07/2012</v>
      </c>
      <c r="B763" t="str">
        <f>"31.57"</f>
        <v>31.57</v>
      </c>
      <c r="C763" t="str">
        <f>"31.6425"</f>
        <v>31.6425</v>
      </c>
    </row>
    <row r="764" spans="1:3" x14ac:dyDescent="0.25">
      <c r="A764" t="str">
        <f>"18/07/2012"</f>
        <v>18/07/2012</v>
      </c>
      <c r="B764" t="str">
        <f>"31.69"</f>
        <v>31.69</v>
      </c>
      <c r="C764" t="str">
        <f>"31.76"</f>
        <v>31.76</v>
      </c>
    </row>
    <row r="765" spans="1:3" x14ac:dyDescent="0.25">
      <c r="A765" t="str">
        <f>"19/07/2012"</f>
        <v>19/07/2012</v>
      </c>
      <c r="B765" t="str">
        <f>"31.652"</f>
        <v>31.652</v>
      </c>
      <c r="C765" t="str">
        <f>"31.723"</f>
        <v>31.723</v>
      </c>
    </row>
    <row r="766" spans="1:3" x14ac:dyDescent="0.25">
      <c r="A766" t="str">
        <f>"20/07/2012"</f>
        <v>20/07/2012</v>
      </c>
      <c r="B766" t="str">
        <f>"31.69"</f>
        <v>31.69</v>
      </c>
      <c r="C766" t="str">
        <f>"31.7615"</f>
        <v>31.7615</v>
      </c>
    </row>
    <row r="767" spans="1:3" x14ac:dyDescent="0.25">
      <c r="A767" t="str">
        <f>"23/07/2012"</f>
        <v>23/07/2012</v>
      </c>
      <c r="B767" t="str">
        <f>"31.78"</f>
        <v>31.78</v>
      </c>
      <c r="C767" t="str">
        <f>"31.856"</f>
        <v>31.856</v>
      </c>
    </row>
    <row r="768" spans="1:3" x14ac:dyDescent="0.25">
      <c r="A768" t="str">
        <f>"24/07/2012"</f>
        <v>24/07/2012</v>
      </c>
      <c r="B768" t="str">
        <f>"31.765"</f>
        <v>31.765</v>
      </c>
      <c r="C768" t="str">
        <f>"31.835"</f>
        <v>31.835</v>
      </c>
    </row>
    <row r="769" spans="1:3" x14ac:dyDescent="0.25">
      <c r="A769" t="str">
        <f>"25/07/2012"</f>
        <v>25/07/2012</v>
      </c>
      <c r="B769" t="str">
        <f>"31.72"</f>
        <v>31.72</v>
      </c>
      <c r="C769" t="str">
        <f>"31.7925"</f>
        <v>31.7925</v>
      </c>
    </row>
    <row r="770" spans="1:3" x14ac:dyDescent="0.25">
      <c r="A770" t="str">
        <f>"26/07/2012"</f>
        <v>26/07/2012</v>
      </c>
      <c r="B770" t="str">
        <f>"31.68"</f>
        <v>31.68</v>
      </c>
      <c r="C770" t="str">
        <f>"31.756"</f>
        <v>31.756</v>
      </c>
    </row>
    <row r="771" spans="1:3" x14ac:dyDescent="0.25">
      <c r="A771" t="str">
        <f>"27/07/2012"</f>
        <v>27/07/2012</v>
      </c>
      <c r="B771" t="str">
        <f>"31.63"</f>
        <v>31.63</v>
      </c>
      <c r="C771" t="str">
        <f>"31.707"</f>
        <v>31.707</v>
      </c>
    </row>
    <row r="772" spans="1:3" x14ac:dyDescent="0.25">
      <c r="A772" t="str">
        <f>"30/07/2012"</f>
        <v>30/07/2012</v>
      </c>
      <c r="B772" t="str">
        <f>"31.59"</f>
        <v>31.59</v>
      </c>
      <c r="C772" t="str">
        <f>"31.672"</f>
        <v>31.672</v>
      </c>
    </row>
    <row r="773" spans="1:3" x14ac:dyDescent="0.25">
      <c r="A773" t="str">
        <f>"31/07/2012"</f>
        <v>31/07/2012</v>
      </c>
      <c r="B773" t="str">
        <f>"31.50"</f>
        <v>31.50</v>
      </c>
      <c r="C773" t="str">
        <f>"31.575"</f>
        <v>31.575</v>
      </c>
    </row>
    <row r="774" spans="1:3" x14ac:dyDescent="0.25">
      <c r="A774" t="str">
        <f>"01/08/2012"</f>
        <v>01/08/2012</v>
      </c>
      <c r="B774" t="str">
        <f>"31.49"</f>
        <v>31.49</v>
      </c>
      <c r="C774" t="str">
        <f>"31.5625"</f>
        <v>31.5625</v>
      </c>
    </row>
    <row r="775" spans="1:3" x14ac:dyDescent="0.25">
      <c r="A775" t="str">
        <f>"02/08/2012"</f>
        <v>02/08/2012</v>
      </c>
      <c r="B775" t="str">
        <f>"31.55"</f>
        <v>31.55</v>
      </c>
      <c r="C775" t="str">
        <f>"31.625"</f>
        <v>31.625</v>
      </c>
    </row>
    <row r="776" spans="1:3" x14ac:dyDescent="0.25">
      <c r="A776" t="str">
        <f>"03/08/2012"</f>
        <v>03/08/2012</v>
      </c>
      <c r="B776" t="str">
        <f>"31.568"</f>
        <v>31.568</v>
      </c>
      <c r="C776" t="str">
        <f>"31.641"</f>
        <v>31.641</v>
      </c>
    </row>
    <row r="777" spans="1:3" x14ac:dyDescent="0.25">
      <c r="A777" t="str">
        <f>"06/08/2012"</f>
        <v>06/08/2012</v>
      </c>
      <c r="B777" t="str">
        <f>"31.50"</f>
        <v>31.50</v>
      </c>
      <c r="C777" t="str">
        <f>"31.579"</f>
        <v>31.579</v>
      </c>
    </row>
    <row r="778" spans="1:3" x14ac:dyDescent="0.25">
      <c r="A778" t="str">
        <f>"07/08/2012"</f>
        <v>07/08/2012</v>
      </c>
      <c r="B778" t="str">
        <f>"31.48"</f>
        <v>31.48</v>
      </c>
      <c r="C778" t="str">
        <f>"31.5575"</f>
        <v>31.5575</v>
      </c>
    </row>
    <row r="779" spans="1:3" x14ac:dyDescent="0.25">
      <c r="A779" t="str">
        <f>"08/08/2012"</f>
        <v>08/08/2012</v>
      </c>
      <c r="B779" t="str">
        <f>"31.51"</f>
        <v>31.51</v>
      </c>
      <c r="C779" t="str">
        <f>"31.583"</f>
        <v>31.583</v>
      </c>
    </row>
    <row r="780" spans="1:3" x14ac:dyDescent="0.25">
      <c r="A780" t="str">
        <f>"09/08/2012"</f>
        <v>09/08/2012</v>
      </c>
      <c r="B780" t="str">
        <f>"31.49"</f>
        <v>31.49</v>
      </c>
      <c r="C780" t="str">
        <f>"31.562"</f>
        <v>31.562</v>
      </c>
    </row>
    <row r="781" spans="1:3" x14ac:dyDescent="0.25">
      <c r="A781" t="str">
        <f>"10/08/2012"</f>
        <v>10/08/2012</v>
      </c>
      <c r="B781" t="str">
        <f>"31.485"</f>
        <v>31.485</v>
      </c>
      <c r="C781" t="str">
        <f>"31.558"</f>
        <v>31.558</v>
      </c>
    </row>
    <row r="782" spans="1:3" x14ac:dyDescent="0.25">
      <c r="A782" t="str">
        <f>"13/08/2012"</f>
        <v>13/08/2012</v>
      </c>
      <c r="B782" t="str">
        <f>"31.45"</f>
        <v>31.45</v>
      </c>
      <c r="C782" t="str">
        <f>"31.521"</f>
        <v>31.521</v>
      </c>
    </row>
    <row r="783" spans="1:3" x14ac:dyDescent="0.25">
      <c r="A783" t="str">
        <f>"14/08/2012"</f>
        <v>14/08/2012</v>
      </c>
      <c r="B783" t="str">
        <f>"31.44"</f>
        <v>31.44</v>
      </c>
      <c r="C783" t="str">
        <f>"31.5125"</f>
        <v>31.5125</v>
      </c>
    </row>
    <row r="784" spans="1:3" x14ac:dyDescent="0.25">
      <c r="A784" t="str">
        <f>"16/08/2012"</f>
        <v>16/08/2012</v>
      </c>
      <c r="B784" t="str">
        <f>"31.54"</f>
        <v>31.54</v>
      </c>
      <c r="C784" t="str">
        <f>"31.611"</f>
        <v>31.611</v>
      </c>
    </row>
    <row r="785" spans="1:3" x14ac:dyDescent="0.25">
      <c r="A785" t="str">
        <f>"17/08/2012"</f>
        <v>17/08/2012</v>
      </c>
      <c r="B785" t="str">
        <f>"31.508"</f>
        <v>31.508</v>
      </c>
      <c r="C785" t="str">
        <f>"31.579"</f>
        <v>31.579</v>
      </c>
    </row>
    <row r="786" spans="1:3" x14ac:dyDescent="0.25">
      <c r="A786" t="str">
        <f>"21/08/2012"</f>
        <v>21/08/2012</v>
      </c>
      <c r="B786" t="str">
        <f>"31.50"</f>
        <v>31.50</v>
      </c>
      <c r="C786" t="str">
        <f>"31.5725"</f>
        <v>31.5725</v>
      </c>
    </row>
    <row r="787" spans="1:3" x14ac:dyDescent="0.25">
      <c r="A787" t="str">
        <f>"22/08/2012"</f>
        <v>22/08/2012</v>
      </c>
      <c r="B787" t="str">
        <f>"31.41"</f>
        <v>31.41</v>
      </c>
      <c r="C787" t="str">
        <f>"31.48"</f>
        <v>31.48</v>
      </c>
    </row>
    <row r="788" spans="1:3" x14ac:dyDescent="0.25">
      <c r="A788" t="str">
        <f>"23/08/2012"</f>
        <v>23/08/2012</v>
      </c>
      <c r="B788" t="str">
        <f>"31.215"</f>
        <v>31.215</v>
      </c>
      <c r="C788" t="str">
        <f>"31.285"</f>
        <v>31.285</v>
      </c>
    </row>
    <row r="789" spans="1:3" x14ac:dyDescent="0.25">
      <c r="A789" t="str">
        <f>"24/08/2012"</f>
        <v>24/08/2012</v>
      </c>
      <c r="B789" t="str">
        <f>"31.241"</f>
        <v>31.241</v>
      </c>
      <c r="C789" t="str">
        <f>"31.311"</f>
        <v>31.311</v>
      </c>
    </row>
    <row r="790" spans="1:3" x14ac:dyDescent="0.25">
      <c r="A790" t="str">
        <f>"27/08/2012"</f>
        <v>27/08/2012</v>
      </c>
      <c r="B790" t="str">
        <f>"31.28"</f>
        <v>31.28</v>
      </c>
      <c r="C790" t="str">
        <f>"31.348"</f>
        <v>31.348</v>
      </c>
    </row>
    <row r="791" spans="1:3" x14ac:dyDescent="0.25">
      <c r="A791" t="str">
        <f>"28/08/2012"</f>
        <v>28/08/2012</v>
      </c>
      <c r="B791" t="str">
        <f>"31.35"</f>
        <v>31.35</v>
      </c>
      <c r="C791" t="str">
        <f>"31.418"</f>
        <v>31.418</v>
      </c>
    </row>
    <row r="792" spans="1:3" x14ac:dyDescent="0.25">
      <c r="A792" t="str">
        <f>"29/08/2012"</f>
        <v>29/08/2012</v>
      </c>
      <c r="B792" t="str">
        <f>"31.335"</f>
        <v>31.335</v>
      </c>
      <c r="C792" t="str">
        <f>"31.40"</f>
        <v>31.40</v>
      </c>
    </row>
    <row r="793" spans="1:3" x14ac:dyDescent="0.25">
      <c r="A793" t="str">
        <f>"30/08/2012"</f>
        <v>30/08/2012</v>
      </c>
      <c r="B793" t="str">
        <f>"31.38"</f>
        <v>31.38</v>
      </c>
      <c r="C793" t="str">
        <f>"31.447"</f>
        <v>31.447</v>
      </c>
    </row>
    <row r="794" spans="1:3" x14ac:dyDescent="0.25">
      <c r="A794" t="str">
        <f>"31/08/2012"</f>
        <v>31/08/2012</v>
      </c>
      <c r="B794" t="str">
        <f>"31.34"</f>
        <v>31.34</v>
      </c>
      <c r="C794" t="str">
        <f>"31.4075"</f>
        <v>31.4075</v>
      </c>
    </row>
    <row r="795" spans="1:3" x14ac:dyDescent="0.25">
      <c r="A795" t="str">
        <f>"03/09/2012"</f>
        <v>03/09/2012</v>
      </c>
      <c r="B795" t="str">
        <f>"31.24"</f>
        <v>31.24</v>
      </c>
      <c r="C795" t="str">
        <f>"31.3075"</f>
        <v>31.3075</v>
      </c>
    </row>
    <row r="796" spans="1:3" x14ac:dyDescent="0.25">
      <c r="A796" t="str">
        <f>"04/09/2012"</f>
        <v>04/09/2012</v>
      </c>
      <c r="B796" t="str">
        <f>"31.22"</f>
        <v>31.22</v>
      </c>
      <c r="C796" t="str">
        <f>"31.294"</f>
        <v>31.294</v>
      </c>
    </row>
    <row r="797" spans="1:3" x14ac:dyDescent="0.25">
      <c r="A797" t="str">
        <f>"05/09/2012"</f>
        <v>05/09/2012</v>
      </c>
      <c r="B797" t="str">
        <f>"31.27"</f>
        <v>31.27</v>
      </c>
      <c r="C797" t="str">
        <f>"31.339"</f>
        <v>31.339</v>
      </c>
    </row>
    <row r="798" spans="1:3" x14ac:dyDescent="0.25">
      <c r="A798" t="str">
        <f>"06/09/2012"</f>
        <v>06/09/2012</v>
      </c>
      <c r="B798" t="str">
        <f>"31.24"</f>
        <v>31.24</v>
      </c>
      <c r="C798" t="str">
        <f>"31.308"</f>
        <v>31.308</v>
      </c>
    </row>
    <row r="799" spans="1:3" x14ac:dyDescent="0.25">
      <c r="A799" t="str">
        <f>"07/09/2012"</f>
        <v>07/09/2012</v>
      </c>
      <c r="B799" t="str">
        <f>"31.24"</f>
        <v>31.24</v>
      </c>
      <c r="C799" t="str">
        <f>"31.31"</f>
        <v>31.31</v>
      </c>
    </row>
    <row r="800" spans="1:3" x14ac:dyDescent="0.25">
      <c r="A800" t="str">
        <f>"10/09/2012"</f>
        <v>10/09/2012</v>
      </c>
      <c r="B800" t="str">
        <f>"31.11"</f>
        <v>31.11</v>
      </c>
      <c r="C800" t="str">
        <f>"31.179"</f>
        <v>31.179</v>
      </c>
    </row>
    <row r="801" spans="1:3" x14ac:dyDescent="0.25">
      <c r="A801" t="str">
        <f>"11/09/2012"</f>
        <v>11/09/2012</v>
      </c>
      <c r="B801" t="str">
        <f>"31.10"</f>
        <v>31.10</v>
      </c>
      <c r="C801" t="str">
        <f>"31.174"</f>
        <v>31.174</v>
      </c>
    </row>
    <row r="802" spans="1:3" x14ac:dyDescent="0.25">
      <c r="A802" t="str">
        <f>"12/09/2012"</f>
        <v>12/09/2012</v>
      </c>
      <c r="B802" t="str">
        <f>"30.97"</f>
        <v>30.97</v>
      </c>
      <c r="C802" t="str">
        <f>"31.041"</f>
        <v>31.041</v>
      </c>
    </row>
    <row r="803" spans="1:3" x14ac:dyDescent="0.25">
      <c r="A803" t="str">
        <f>"13/09/2012"</f>
        <v>13/09/2012</v>
      </c>
      <c r="B803" t="str">
        <f>"31.03"</f>
        <v>31.03</v>
      </c>
      <c r="C803" t="str">
        <f>"31.0985"</f>
        <v>31.0985</v>
      </c>
    </row>
    <row r="804" spans="1:3" x14ac:dyDescent="0.25">
      <c r="A804" t="str">
        <f>"14/09/2012"</f>
        <v>14/09/2012</v>
      </c>
      <c r="B804" t="str">
        <f>"30.79"</f>
        <v>30.79</v>
      </c>
      <c r="C804" t="str">
        <f>"30.86"</f>
        <v>30.86</v>
      </c>
    </row>
    <row r="805" spans="1:3" x14ac:dyDescent="0.25">
      <c r="A805" t="str">
        <f>"17/09/2012"</f>
        <v>17/09/2012</v>
      </c>
      <c r="B805" t="str">
        <f>"30.822"</f>
        <v>30.822</v>
      </c>
      <c r="C805" t="str">
        <f>"30.89"</f>
        <v>30.89</v>
      </c>
    </row>
    <row r="806" spans="1:3" x14ac:dyDescent="0.25">
      <c r="A806" t="str">
        <f>"18/09/2012"</f>
        <v>18/09/2012</v>
      </c>
      <c r="B806" t="str">
        <f>"30.90"</f>
        <v>30.90</v>
      </c>
      <c r="C806" t="str">
        <f>"30.975"</f>
        <v>30.975</v>
      </c>
    </row>
    <row r="807" spans="1:3" x14ac:dyDescent="0.25">
      <c r="A807" t="str">
        <f>"20/09/2012"</f>
        <v>20/09/2012</v>
      </c>
      <c r="B807" t="str">
        <f>"30.89"</f>
        <v>30.89</v>
      </c>
      <c r="C807" t="str">
        <f>"30.9625"</f>
        <v>30.9625</v>
      </c>
    </row>
    <row r="808" spans="1:3" x14ac:dyDescent="0.25">
      <c r="A808" t="str">
        <f>"21/09/2012"</f>
        <v>21/09/2012</v>
      </c>
      <c r="B808" t="str">
        <f>"30.81"</f>
        <v>30.81</v>
      </c>
      <c r="C808" t="str">
        <f>"30.88"</f>
        <v>30.88</v>
      </c>
    </row>
    <row r="809" spans="1:3" x14ac:dyDescent="0.25">
      <c r="A809" t="str">
        <f>"24/09/2012"</f>
        <v>24/09/2012</v>
      </c>
      <c r="B809" t="str">
        <f>"30.96"</f>
        <v>30.96</v>
      </c>
      <c r="C809" t="str">
        <f>"31.031"</f>
        <v>31.031</v>
      </c>
    </row>
    <row r="810" spans="1:3" x14ac:dyDescent="0.25">
      <c r="A810" t="str">
        <f>"25/09/2012"</f>
        <v>25/09/2012</v>
      </c>
      <c r="B810" t="str">
        <f>"30.958"</f>
        <v>30.958</v>
      </c>
      <c r="C810" t="str">
        <f>"31.023"</f>
        <v>31.023</v>
      </c>
    </row>
    <row r="811" spans="1:3" x14ac:dyDescent="0.25">
      <c r="A811" t="str">
        <f>"26/09/2012"</f>
        <v>26/09/2012</v>
      </c>
      <c r="B811" t="str">
        <f>"30.99"</f>
        <v>30.99</v>
      </c>
      <c r="C811" t="str">
        <f>"31.0705"</f>
        <v>31.0705</v>
      </c>
    </row>
    <row r="812" spans="1:3" x14ac:dyDescent="0.25">
      <c r="A812" t="str">
        <f>"27/09/2012"</f>
        <v>27/09/2012</v>
      </c>
      <c r="B812" t="str">
        <f>"31.00"</f>
        <v>31.00</v>
      </c>
      <c r="C812" t="str">
        <f>"31.071"</f>
        <v>31.071</v>
      </c>
    </row>
    <row r="813" spans="1:3" x14ac:dyDescent="0.25">
      <c r="A813" t="str">
        <f>"28/09/2012"</f>
        <v>28/09/2012</v>
      </c>
      <c r="B813" t="str">
        <f>"30.81"</f>
        <v>30.81</v>
      </c>
      <c r="C813" t="str">
        <f>"30.88"</f>
        <v>30.88</v>
      </c>
    </row>
    <row r="814" spans="1:3" x14ac:dyDescent="0.25">
      <c r="A814" t="str">
        <f>"01/10/2012"</f>
        <v>01/10/2012</v>
      </c>
      <c r="B814" t="str">
        <f>"30.816"</f>
        <v>30.816</v>
      </c>
      <c r="C814" t="str">
        <f>"30.891"</f>
        <v>30.891</v>
      </c>
    </row>
    <row r="815" spans="1:3" x14ac:dyDescent="0.25">
      <c r="A815" t="str">
        <f>"03/10/2012"</f>
        <v>03/10/2012</v>
      </c>
      <c r="B815" t="str">
        <f>"30.68"</f>
        <v>30.68</v>
      </c>
      <c r="C815" t="str">
        <f>"30.752"</f>
        <v>30.752</v>
      </c>
    </row>
    <row r="816" spans="1:3" x14ac:dyDescent="0.25">
      <c r="A816" t="str">
        <f>"04/10/2012"</f>
        <v>04/10/2012</v>
      </c>
      <c r="B816" t="str">
        <f>"30.59"</f>
        <v>30.59</v>
      </c>
      <c r="C816" t="str">
        <f>"30.6615"</f>
        <v>30.6615</v>
      </c>
    </row>
    <row r="817" spans="1:3" x14ac:dyDescent="0.25">
      <c r="A817" t="str">
        <f>"05/10/2012"</f>
        <v>05/10/2012</v>
      </c>
      <c r="B817" t="str">
        <f>"30.56"</f>
        <v>30.56</v>
      </c>
      <c r="C817" t="str">
        <f>"30.6315"</f>
        <v>30.6315</v>
      </c>
    </row>
    <row r="818" spans="1:3" x14ac:dyDescent="0.25">
      <c r="A818" t="str">
        <f>"08/10/2012"</f>
        <v>08/10/2012</v>
      </c>
      <c r="B818" t="str">
        <f>"30.66"</f>
        <v>30.66</v>
      </c>
      <c r="C818" t="str">
        <f>"30.74"</f>
        <v>30.74</v>
      </c>
    </row>
    <row r="819" spans="1:3" x14ac:dyDescent="0.25">
      <c r="A819" t="str">
        <f>"09/10/2012"</f>
        <v>09/10/2012</v>
      </c>
      <c r="B819" t="str">
        <f>"30.66"</f>
        <v>30.66</v>
      </c>
      <c r="C819" t="str">
        <f>"30.736"</f>
        <v>30.736</v>
      </c>
    </row>
    <row r="820" spans="1:3" x14ac:dyDescent="0.25">
      <c r="A820" t="str">
        <f>"10/10/2012"</f>
        <v>10/10/2012</v>
      </c>
      <c r="B820" t="str">
        <f>"30.74"</f>
        <v>30.74</v>
      </c>
      <c r="C820" t="str">
        <f>"30.812"</f>
        <v>30.812</v>
      </c>
    </row>
    <row r="821" spans="1:3" x14ac:dyDescent="0.25">
      <c r="A821" t="str">
        <f>"11/10/2012"</f>
        <v>11/10/2012</v>
      </c>
      <c r="B821" t="str">
        <f>"30.71"</f>
        <v>30.71</v>
      </c>
      <c r="C821" t="str">
        <f>"30.781"</f>
        <v>30.781</v>
      </c>
    </row>
    <row r="822" spans="1:3" x14ac:dyDescent="0.25">
      <c r="A822" t="str">
        <f>"12/10/2012"</f>
        <v>12/10/2012</v>
      </c>
      <c r="B822" t="str">
        <f>"30.659"</f>
        <v>30.659</v>
      </c>
      <c r="C822" t="str">
        <f>"30.729"</f>
        <v>30.729</v>
      </c>
    </row>
    <row r="823" spans="1:3" x14ac:dyDescent="0.25">
      <c r="A823" t="str">
        <f>"15/10/2012"</f>
        <v>15/10/2012</v>
      </c>
      <c r="B823" t="str">
        <f>"30.672"</f>
        <v>30.672</v>
      </c>
      <c r="C823" t="str">
        <f>"30.748"</f>
        <v>30.748</v>
      </c>
    </row>
    <row r="824" spans="1:3" x14ac:dyDescent="0.25">
      <c r="A824" t="str">
        <f>"16/10/2012"</f>
        <v>16/10/2012</v>
      </c>
      <c r="B824" t="str">
        <f>"30.68"</f>
        <v>30.68</v>
      </c>
      <c r="C824" t="str">
        <f>"30.754"</f>
        <v>30.754</v>
      </c>
    </row>
    <row r="825" spans="1:3" x14ac:dyDescent="0.25">
      <c r="A825" t="str">
        <f>"17/10/2012"</f>
        <v>17/10/2012</v>
      </c>
      <c r="B825" t="str">
        <f>"30.64"</f>
        <v>30.64</v>
      </c>
      <c r="C825" t="str">
        <f>"30.711"</f>
        <v>30.711</v>
      </c>
    </row>
    <row r="826" spans="1:3" x14ac:dyDescent="0.25">
      <c r="A826" t="str">
        <f>"18/10/2012"</f>
        <v>18/10/2012</v>
      </c>
      <c r="B826" t="str">
        <f>"30.65"</f>
        <v>30.65</v>
      </c>
      <c r="C826" t="str">
        <f>"30.716"</f>
        <v>30.716</v>
      </c>
    </row>
    <row r="827" spans="1:3" x14ac:dyDescent="0.25">
      <c r="A827" t="str">
        <f>"19/10/2012"</f>
        <v>19/10/2012</v>
      </c>
      <c r="B827" t="str">
        <f>"30.73"</f>
        <v>30.73</v>
      </c>
      <c r="C827" t="str">
        <f>"30.798"</f>
        <v>30.798</v>
      </c>
    </row>
    <row r="828" spans="1:3" x14ac:dyDescent="0.25">
      <c r="A828" t="str">
        <f>"22/10/2012"</f>
        <v>22/10/2012</v>
      </c>
      <c r="B828" t="str">
        <f>"30.74"</f>
        <v>30.74</v>
      </c>
      <c r="C828" t="str">
        <f>"30.808"</f>
        <v>30.808</v>
      </c>
    </row>
    <row r="829" spans="1:3" x14ac:dyDescent="0.25">
      <c r="A829" t="str">
        <f>"23/10/2012"</f>
        <v>23/10/2012</v>
      </c>
      <c r="B829" t="str">
        <f>"30.73"</f>
        <v>30.73</v>
      </c>
      <c r="C829" t="str">
        <f>"30.798"</f>
        <v>30.798</v>
      </c>
    </row>
    <row r="830" spans="1:3" x14ac:dyDescent="0.25">
      <c r="A830" t="str">
        <f>"25/10/2012"</f>
        <v>25/10/2012</v>
      </c>
      <c r="B830" t="str">
        <f>"30.685"</f>
        <v>30.685</v>
      </c>
      <c r="C830" t="str">
        <f>"30.751"</f>
        <v>30.751</v>
      </c>
    </row>
    <row r="831" spans="1:3" x14ac:dyDescent="0.25">
      <c r="A831" t="str">
        <f>"26/10/2012"</f>
        <v>26/10/2012</v>
      </c>
      <c r="B831" t="str">
        <f>"30.77"</f>
        <v>30.77</v>
      </c>
      <c r="C831" t="str">
        <f>"30.837"</f>
        <v>30.837</v>
      </c>
    </row>
    <row r="832" spans="1:3" x14ac:dyDescent="0.25">
      <c r="A832" t="str">
        <f>"29/10/2012"</f>
        <v>29/10/2012</v>
      </c>
      <c r="B832" t="str">
        <f>"30.727"</f>
        <v>30.727</v>
      </c>
      <c r="C832" t="str">
        <f>"30.7923"</f>
        <v>30.7923</v>
      </c>
    </row>
    <row r="833" spans="1:3" x14ac:dyDescent="0.25">
      <c r="A833" t="str">
        <f>"30/10/2012"</f>
        <v>30/10/2012</v>
      </c>
      <c r="B833" t="str">
        <f>"30.72"</f>
        <v>30.72</v>
      </c>
      <c r="C833" t="str">
        <f>"30.789"</f>
        <v>30.789</v>
      </c>
    </row>
    <row r="834" spans="1:3" x14ac:dyDescent="0.25">
      <c r="A834" t="str">
        <f>"31/10/2012"</f>
        <v>31/10/2012</v>
      </c>
      <c r="B834" t="str">
        <f>"30.68"</f>
        <v>30.68</v>
      </c>
      <c r="C834" t="str">
        <f>"30.742"</f>
        <v>30.742</v>
      </c>
    </row>
    <row r="835" spans="1:3" x14ac:dyDescent="0.25">
      <c r="A835" t="str">
        <f>"01/11/2012"</f>
        <v>01/11/2012</v>
      </c>
      <c r="B835" t="str">
        <f>"30.73"</f>
        <v>30.73</v>
      </c>
      <c r="C835" t="str">
        <f>"30.7945"</f>
        <v>30.7945</v>
      </c>
    </row>
    <row r="836" spans="1:3" x14ac:dyDescent="0.25">
      <c r="A836" t="str">
        <f>"02/11/2012"</f>
        <v>02/11/2012</v>
      </c>
      <c r="B836" t="str">
        <f>"30.725"</f>
        <v>30.725</v>
      </c>
      <c r="C836" t="str">
        <f>"30.787"</f>
        <v>30.787</v>
      </c>
    </row>
    <row r="837" spans="1:3" x14ac:dyDescent="0.25">
      <c r="A837" t="str">
        <f>"05/11/2012"</f>
        <v>05/11/2012</v>
      </c>
      <c r="B837" t="str">
        <f>"30.81"</f>
        <v>30.81</v>
      </c>
      <c r="C837" t="str">
        <f>"30.872"</f>
        <v>30.872</v>
      </c>
    </row>
    <row r="838" spans="1:3" x14ac:dyDescent="0.25">
      <c r="A838" t="str">
        <f>"06/11/2012"</f>
        <v>06/11/2012</v>
      </c>
      <c r="B838" t="str">
        <f>"30.82"</f>
        <v>30.82</v>
      </c>
      <c r="C838" t="str">
        <f>"30.8775"</f>
        <v>30.8775</v>
      </c>
    </row>
    <row r="839" spans="1:3" x14ac:dyDescent="0.25">
      <c r="A839" t="str">
        <f>"07/11/2012"</f>
        <v>07/11/2012</v>
      </c>
      <c r="B839" t="str">
        <f>"30.69"</f>
        <v>30.69</v>
      </c>
      <c r="C839" t="str">
        <f>"30.75"</f>
        <v>30.75</v>
      </c>
    </row>
    <row r="840" spans="1:3" x14ac:dyDescent="0.25">
      <c r="A840" t="str">
        <f>"08/11/2012"</f>
        <v>08/11/2012</v>
      </c>
      <c r="B840" t="str">
        <f>"30.705"</f>
        <v>30.705</v>
      </c>
      <c r="C840" t="str">
        <f>"30.7625"</f>
        <v>30.7625</v>
      </c>
    </row>
    <row r="841" spans="1:3" x14ac:dyDescent="0.25">
      <c r="A841" t="str">
        <f>"09/11/2012"</f>
        <v>09/11/2012</v>
      </c>
      <c r="B841" t="str">
        <f>"30.65"</f>
        <v>30.65</v>
      </c>
      <c r="C841" t="str">
        <f>"30.711"</f>
        <v>30.711</v>
      </c>
    </row>
    <row r="842" spans="1:3" x14ac:dyDescent="0.25">
      <c r="A842" t="str">
        <f>"12/11/2012"</f>
        <v>12/11/2012</v>
      </c>
      <c r="B842" t="str">
        <f>"30.63"</f>
        <v>30.63</v>
      </c>
      <c r="C842" t="str">
        <f>"30.688"</f>
        <v>30.688</v>
      </c>
    </row>
    <row r="843" spans="1:3" x14ac:dyDescent="0.25">
      <c r="A843" t="str">
        <f>"15/11/2012"</f>
        <v>15/11/2012</v>
      </c>
      <c r="B843" t="str">
        <f>"30.72"</f>
        <v>30.72</v>
      </c>
      <c r="C843" t="str">
        <f>"30.779"</f>
        <v>30.779</v>
      </c>
    </row>
    <row r="844" spans="1:3" x14ac:dyDescent="0.25">
      <c r="A844" t="str">
        <f>"16/11/2012"</f>
        <v>16/11/2012</v>
      </c>
      <c r="B844" t="str">
        <f>"30.762"</f>
        <v>30.762</v>
      </c>
      <c r="C844" t="str">
        <f>"30.821"</f>
        <v>30.821</v>
      </c>
    </row>
    <row r="845" spans="1:3" x14ac:dyDescent="0.25">
      <c r="A845" t="str">
        <f>"19/11/2012"</f>
        <v>19/11/2012</v>
      </c>
      <c r="B845" t="str">
        <f>"30.73"</f>
        <v>30.73</v>
      </c>
      <c r="C845" t="str">
        <f>"30.79"</f>
        <v>30.79</v>
      </c>
    </row>
    <row r="846" spans="1:3" x14ac:dyDescent="0.25">
      <c r="A846" t="str">
        <f>"20/11/2012"</f>
        <v>20/11/2012</v>
      </c>
      <c r="B846" t="str">
        <f>"30.69"</f>
        <v>30.69</v>
      </c>
      <c r="C846" t="str">
        <f>"30.7525"</f>
        <v>30.7525</v>
      </c>
    </row>
    <row r="847" spans="1:3" x14ac:dyDescent="0.25">
      <c r="A847" t="str">
        <f>"21/11/2012"</f>
        <v>21/11/2012</v>
      </c>
      <c r="B847" t="str">
        <f>"30.73"</f>
        <v>30.73</v>
      </c>
      <c r="C847" t="str">
        <f>"30.7925"</f>
        <v>30.7925</v>
      </c>
    </row>
    <row r="848" spans="1:3" x14ac:dyDescent="0.25">
      <c r="A848" t="str">
        <f>"22/11/2012"</f>
        <v>22/11/2012</v>
      </c>
      <c r="B848" t="str">
        <f>"30.72"</f>
        <v>30.72</v>
      </c>
      <c r="C848" t="str">
        <f>"30.78"</f>
        <v>30.78</v>
      </c>
    </row>
    <row r="849" spans="1:3" x14ac:dyDescent="0.25">
      <c r="A849" t="str">
        <f>"23/11/2012"</f>
        <v>23/11/2012</v>
      </c>
      <c r="B849" t="str">
        <f>"30.73"</f>
        <v>30.73</v>
      </c>
      <c r="C849" t="str">
        <f>"30.788"</f>
        <v>30.788</v>
      </c>
    </row>
    <row r="850" spans="1:3" x14ac:dyDescent="0.25">
      <c r="A850" t="str">
        <f>"26/11/2012"</f>
        <v>26/11/2012</v>
      </c>
      <c r="B850" t="str">
        <f>"30.68"</f>
        <v>30.68</v>
      </c>
      <c r="C850" t="str">
        <f>"30.74"</f>
        <v>30.74</v>
      </c>
    </row>
    <row r="851" spans="1:3" x14ac:dyDescent="0.25">
      <c r="A851" t="str">
        <f>"27/11/2012"</f>
        <v>27/11/2012</v>
      </c>
      <c r="B851" t="str">
        <f>"30.72"</f>
        <v>30.72</v>
      </c>
      <c r="C851" t="str">
        <f>"30.775"</f>
        <v>30.775</v>
      </c>
    </row>
    <row r="852" spans="1:3" x14ac:dyDescent="0.25">
      <c r="A852" t="str">
        <f>"29/11/2012"</f>
        <v>29/11/2012</v>
      </c>
      <c r="B852" t="str">
        <f>"30.73"</f>
        <v>30.73</v>
      </c>
      <c r="C852" t="str">
        <f>"30.7875"</f>
        <v>30.7875</v>
      </c>
    </row>
    <row r="853" spans="1:3" x14ac:dyDescent="0.25">
      <c r="A853" t="str">
        <f>"30/11/2012"</f>
        <v>30/11/2012</v>
      </c>
      <c r="B853" t="str">
        <f>"30.72"</f>
        <v>30.72</v>
      </c>
      <c r="C853" t="str">
        <f>"30.776"</f>
        <v>30.776</v>
      </c>
    </row>
    <row r="854" spans="1:3" x14ac:dyDescent="0.25">
      <c r="A854" t="str">
        <f>"03/12/2012"</f>
        <v>03/12/2012</v>
      </c>
      <c r="B854" t="str">
        <f>"30.66"</f>
        <v>30.66</v>
      </c>
      <c r="C854" t="str">
        <f>"30.718"</f>
        <v>30.718</v>
      </c>
    </row>
    <row r="855" spans="1:3" x14ac:dyDescent="0.25">
      <c r="A855" t="str">
        <f>"04/12/2012"</f>
        <v>04/12/2012</v>
      </c>
      <c r="B855" t="str">
        <f>"30.66"</f>
        <v>30.66</v>
      </c>
      <c r="C855" t="str">
        <f>"30.716"</f>
        <v>30.716</v>
      </c>
    </row>
    <row r="856" spans="1:3" x14ac:dyDescent="0.25">
      <c r="A856" t="str">
        <f>"05/12/2012"</f>
        <v>05/12/2012</v>
      </c>
      <c r="B856" t="str">
        <f>"30.71"</f>
        <v>30.71</v>
      </c>
      <c r="C856" t="str">
        <f>"30.766"</f>
        <v>30.766</v>
      </c>
    </row>
    <row r="857" spans="1:3" x14ac:dyDescent="0.25">
      <c r="A857" t="str">
        <f>"06/12/2012"</f>
        <v>06/12/2012</v>
      </c>
      <c r="B857" t="str">
        <f>"30.715"</f>
        <v>30.715</v>
      </c>
      <c r="C857" t="str">
        <f>"30.772"</f>
        <v>30.772</v>
      </c>
    </row>
    <row r="858" spans="1:3" x14ac:dyDescent="0.25">
      <c r="A858" t="str">
        <f>"07/12/2012"</f>
        <v>07/12/2012</v>
      </c>
      <c r="B858" t="str">
        <f>"30.68"</f>
        <v>30.68</v>
      </c>
      <c r="C858" t="str">
        <f>"30.73"</f>
        <v>30.73</v>
      </c>
    </row>
    <row r="859" spans="1:3" x14ac:dyDescent="0.25">
      <c r="A859" t="str">
        <f>"10/12/2012"</f>
        <v>10/12/2012</v>
      </c>
      <c r="B859" t="str">
        <f>"30.68"</f>
        <v>30.68</v>
      </c>
      <c r="C859" t="str">
        <f>"30.745"</f>
        <v>30.745</v>
      </c>
    </row>
    <row r="860" spans="1:3" x14ac:dyDescent="0.25">
      <c r="A860" t="str">
        <f>"11/12/2012"</f>
        <v>11/12/2012</v>
      </c>
      <c r="B860" t="str">
        <f>"30.661"</f>
        <v>30.661</v>
      </c>
      <c r="C860" t="str">
        <f>"30.719"</f>
        <v>30.719</v>
      </c>
    </row>
    <row r="861" spans="1:3" x14ac:dyDescent="0.25">
      <c r="A861" t="str">
        <f>"12/12/2012"</f>
        <v>12/12/2012</v>
      </c>
      <c r="B861" t="str">
        <f>"30.64"</f>
        <v>30.64</v>
      </c>
      <c r="C861" t="str">
        <f>"30.697"</f>
        <v>30.697</v>
      </c>
    </row>
    <row r="862" spans="1:3" x14ac:dyDescent="0.25">
      <c r="A862" t="str">
        <f>"13/12/2012"</f>
        <v>13/12/2012</v>
      </c>
      <c r="B862" t="str">
        <f>"30.66"</f>
        <v>30.66</v>
      </c>
      <c r="C862" t="str">
        <f>"30.718"</f>
        <v>30.718</v>
      </c>
    </row>
    <row r="863" spans="1:3" x14ac:dyDescent="0.25">
      <c r="A863" t="str">
        <f>"14/12/2012"</f>
        <v>14/12/2012</v>
      </c>
      <c r="B863" t="str">
        <f>"30.66"</f>
        <v>30.66</v>
      </c>
      <c r="C863" t="str">
        <f>"30.7175"</f>
        <v>30.7175</v>
      </c>
    </row>
    <row r="864" spans="1:3" x14ac:dyDescent="0.25">
      <c r="A864" t="str">
        <f>"17/12/2012"</f>
        <v>17/12/2012</v>
      </c>
      <c r="B864" t="str">
        <f>"30.60"</f>
        <v>30.60</v>
      </c>
      <c r="C864" t="str">
        <f>"30.65"</f>
        <v>30.65</v>
      </c>
    </row>
    <row r="865" spans="1:3" x14ac:dyDescent="0.25">
      <c r="A865" t="str">
        <f>"18/12/2012"</f>
        <v>18/12/2012</v>
      </c>
      <c r="B865" t="str">
        <f>"30.585"</f>
        <v>30.585</v>
      </c>
      <c r="C865" t="str">
        <f>"30.646"</f>
        <v>30.646</v>
      </c>
    </row>
    <row r="866" spans="1:3" x14ac:dyDescent="0.25">
      <c r="A866" t="str">
        <f>"19/12/2012"</f>
        <v>19/12/2012</v>
      </c>
      <c r="B866" t="str">
        <f>"30.62"</f>
        <v>30.62</v>
      </c>
      <c r="C866" t="str">
        <f>"30.673"</f>
        <v>30.673</v>
      </c>
    </row>
    <row r="867" spans="1:3" x14ac:dyDescent="0.25">
      <c r="A867" t="str">
        <f>"20/12/2012"</f>
        <v>20/12/2012</v>
      </c>
      <c r="B867" t="str">
        <f>"30.64"</f>
        <v>30.64</v>
      </c>
      <c r="C867" t="str">
        <f>"30.70"</f>
        <v>30.70</v>
      </c>
    </row>
    <row r="868" spans="1:3" x14ac:dyDescent="0.25">
      <c r="A868" t="str">
        <f>"21/12/2012"</f>
        <v>21/12/2012</v>
      </c>
      <c r="B868" t="str">
        <f>"30.63"</f>
        <v>30.63</v>
      </c>
      <c r="C868" t="str">
        <f>"30.691"</f>
        <v>30.691</v>
      </c>
    </row>
    <row r="869" spans="1:3" x14ac:dyDescent="0.25">
      <c r="A869" t="str">
        <f>"24/12/2012"</f>
        <v>24/12/2012</v>
      </c>
      <c r="B869" t="str">
        <f>"30.623"</f>
        <v>30.623</v>
      </c>
      <c r="C869" t="str">
        <f>"30.683"</f>
        <v>30.683</v>
      </c>
    </row>
    <row r="870" spans="1:3" x14ac:dyDescent="0.25">
      <c r="A870" t="str">
        <f>"26/12/2012"</f>
        <v>26/12/2012</v>
      </c>
      <c r="B870" t="str">
        <f>"30.66"</f>
        <v>30.66</v>
      </c>
      <c r="C870" t="str">
        <f>"30.717"</f>
        <v>30.717</v>
      </c>
    </row>
    <row r="871" spans="1:3" x14ac:dyDescent="0.25">
      <c r="A871" t="str">
        <f>"27/12/2012"</f>
        <v>27/12/2012</v>
      </c>
      <c r="B871" t="str">
        <f>"30.666"</f>
        <v>30.666</v>
      </c>
      <c r="C871" t="str">
        <f>"30.7235"</f>
        <v>30.7235</v>
      </c>
    </row>
    <row r="872" spans="1:3" x14ac:dyDescent="0.25">
      <c r="A872" t="str">
        <f>"28/12/2012"</f>
        <v>28/12/2012</v>
      </c>
      <c r="B872" t="str">
        <f>"30.63"</f>
        <v>30.63</v>
      </c>
      <c r="C872" t="str">
        <f>"30.687"</f>
        <v>30.687</v>
      </c>
    </row>
    <row r="873" spans="1:3" x14ac:dyDescent="0.25">
      <c r="A873" t="str">
        <f>"31/12/2012"</f>
        <v>31/12/2012</v>
      </c>
      <c r="B873" t="str">
        <f>"30.63"</f>
        <v>30.63</v>
      </c>
      <c r="C873" t="str">
        <f>"30.687"</f>
        <v>30.687</v>
      </c>
    </row>
    <row r="874" spans="1:3" x14ac:dyDescent="0.25">
      <c r="A874" t="str">
        <f>"01/01/2013"</f>
        <v>01/01/2013</v>
      </c>
      <c r="B874" t="str">
        <f>"30.63"</f>
        <v>30.63</v>
      </c>
      <c r="C874" t="str">
        <f>"30.687"</f>
        <v>30.687</v>
      </c>
    </row>
    <row r="875" spans="1:3" x14ac:dyDescent="0.25">
      <c r="A875" t="str">
        <f>"02/01/2013"</f>
        <v>02/01/2013</v>
      </c>
      <c r="B875" t="str">
        <f>"30.50"</f>
        <v>30.50</v>
      </c>
      <c r="C875" t="str">
        <f>"30.557"</f>
        <v>30.557</v>
      </c>
    </row>
    <row r="876" spans="1:3" x14ac:dyDescent="0.25">
      <c r="A876" t="str">
        <f>"03/01/2013"</f>
        <v>03/01/2013</v>
      </c>
      <c r="B876" t="str">
        <f>"30.40"</f>
        <v>30.40</v>
      </c>
      <c r="C876" t="str">
        <f>"30.47"</f>
        <v>30.47</v>
      </c>
    </row>
    <row r="877" spans="1:3" x14ac:dyDescent="0.25">
      <c r="A877" t="str">
        <f>"04/01/2013"</f>
        <v>04/01/2013</v>
      </c>
      <c r="B877" t="str">
        <f>"30.45"</f>
        <v>30.45</v>
      </c>
      <c r="C877" t="str">
        <f>"30.506"</f>
        <v>30.506</v>
      </c>
    </row>
    <row r="878" spans="1:3" x14ac:dyDescent="0.25">
      <c r="A878" t="str">
        <f>"07/01/2013"</f>
        <v>07/01/2013</v>
      </c>
      <c r="B878" t="str">
        <f>"30.48"</f>
        <v>30.48</v>
      </c>
      <c r="C878" t="str">
        <f>"30.543"</f>
        <v>30.543</v>
      </c>
    </row>
    <row r="879" spans="1:3" x14ac:dyDescent="0.25">
      <c r="A879" t="str">
        <f>"08/01/2013"</f>
        <v>08/01/2013</v>
      </c>
      <c r="B879" t="str">
        <f>"30.46"</f>
        <v>30.46</v>
      </c>
      <c r="C879" t="str">
        <f>"30.5205"</f>
        <v>30.5205</v>
      </c>
    </row>
    <row r="880" spans="1:3" x14ac:dyDescent="0.25">
      <c r="A880" t="str">
        <f>"09/01/2013"</f>
        <v>09/01/2013</v>
      </c>
      <c r="B880" t="str">
        <f>"30.44"</f>
        <v>30.44</v>
      </c>
      <c r="C880" t="str">
        <f>"30.50"</f>
        <v>30.50</v>
      </c>
    </row>
    <row r="881" spans="1:3" x14ac:dyDescent="0.25">
      <c r="A881" t="str">
        <f>"10/01/2013"</f>
        <v>10/01/2013</v>
      </c>
      <c r="B881" t="str">
        <f>"30.40"</f>
        <v>30.40</v>
      </c>
      <c r="C881" t="str">
        <f>"30.46"</f>
        <v>30.46</v>
      </c>
    </row>
    <row r="882" spans="1:3" x14ac:dyDescent="0.25">
      <c r="A882" t="str">
        <f>"11/01/2013"</f>
        <v>11/01/2013</v>
      </c>
      <c r="B882" t="str">
        <f>"30.29"</f>
        <v>30.29</v>
      </c>
      <c r="C882" t="str">
        <f>"30.343"</f>
        <v>30.343</v>
      </c>
    </row>
    <row r="883" spans="1:3" x14ac:dyDescent="0.25">
      <c r="A883" t="str">
        <f>"14/01/2013"</f>
        <v>14/01/2013</v>
      </c>
      <c r="B883" t="str">
        <f>"30.18"</f>
        <v>30.18</v>
      </c>
      <c r="C883" t="str">
        <f>"30.247"</f>
        <v>30.247</v>
      </c>
    </row>
    <row r="884" spans="1:3" x14ac:dyDescent="0.25">
      <c r="A884" t="str">
        <f>"15/01/2013"</f>
        <v>15/01/2013</v>
      </c>
      <c r="B884" t="str">
        <f>"30.10"</f>
        <v>30.10</v>
      </c>
      <c r="C884" t="str">
        <f>"30.166"</f>
        <v>30.166</v>
      </c>
    </row>
    <row r="885" spans="1:3" x14ac:dyDescent="0.25">
      <c r="A885" t="str">
        <f>"16/01/2013"</f>
        <v>16/01/2013</v>
      </c>
      <c r="B885" t="str">
        <f>"29.92"</f>
        <v>29.92</v>
      </c>
      <c r="C885" t="str">
        <f>"29.9852"</f>
        <v>29.9852</v>
      </c>
    </row>
    <row r="886" spans="1:3" x14ac:dyDescent="0.25">
      <c r="A886" t="str">
        <f>"17/01/2013"</f>
        <v>17/01/2013</v>
      </c>
      <c r="B886" t="str">
        <f>"29.87"</f>
        <v>29.87</v>
      </c>
      <c r="C886" t="str">
        <f>"29.931"</f>
        <v>29.931</v>
      </c>
    </row>
    <row r="887" spans="1:3" x14ac:dyDescent="0.25">
      <c r="A887" t="str">
        <f>"18/01/2013"</f>
        <v>18/01/2013</v>
      </c>
      <c r="B887" t="str">
        <f>"29.80"</f>
        <v>29.80</v>
      </c>
      <c r="C887" t="str">
        <f>"29.861"</f>
        <v>29.861</v>
      </c>
    </row>
    <row r="888" spans="1:3" x14ac:dyDescent="0.25">
      <c r="A888" t="str">
        <f>"21/01/2013"</f>
        <v>21/01/2013</v>
      </c>
      <c r="B888" t="str">
        <f>"29.68"</f>
        <v>29.68</v>
      </c>
      <c r="C888" t="str">
        <f>"29.7462"</f>
        <v>29.7462</v>
      </c>
    </row>
    <row r="889" spans="1:3" x14ac:dyDescent="0.25">
      <c r="A889" t="str">
        <f>"22/01/2013"</f>
        <v>22/01/2013</v>
      </c>
      <c r="B889" t="str">
        <f>"29.765"</f>
        <v>29.765</v>
      </c>
      <c r="C889" t="str">
        <f>"29.8334"</f>
        <v>29.8334</v>
      </c>
    </row>
    <row r="890" spans="1:3" x14ac:dyDescent="0.25">
      <c r="A890" t="str">
        <f>"23/01/2013"</f>
        <v>23/01/2013</v>
      </c>
      <c r="B890" t="str">
        <f>"29.83"</f>
        <v>29.83</v>
      </c>
      <c r="C890" t="str">
        <f>"29.8951"</f>
        <v>29.8951</v>
      </c>
    </row>
    <row r="891" spans="1:3" x14ac:dyDescent="0.25">
      <c r="A891" t="str">
        <f>"24/01/2013"</f>
        <v>24/01/2013</v>
      </c>
      <c r="B891" t="str">
        <f>"29.84"</f>
        <v>29.84</v>
      </c>
      <c r="C891" t="str">
        <f>"29.9038"</f>
        <v>29.9038</v>
      </c>
    </row>
    <row r="892" spans="1:3" x14ac:dyDescent="0.25">
      <c r="A892" t="str">
        <f>"28/01/2013"</f>
        <v>28/01/2013</v>
      </c>
      <c r="B892" t="str">
        <f>"29.93"</f>
        <v>29.93</v>
      </c>
      <c r="C892" t="str">
        <f>"29.9883"</f>
        <v>29.9883</v>
      </c>
    </row>
    <row r="893" spans="1:3" x14ac:dyDescent="0.25">
      <c r="A893" t="str">
        <f>"29/01/2013"</f>
        <v>29/01/2013</v>
      </c>
      <c r="B893" t="str">
        <f>"29.875"</f>
        <v>29.875</v>
      </c>
      <c r="C893" t="str">
        <f>"29.9313"</f>
        <v>29.9313</v>
      </c>
    </row>
    <row r="894" spans="1:3" x14ac:dyDescent="0.25">
      <c r="A894" t="str">
        <f>"30/01/2013"</f>
        <v>30/01/2013</v>
      </c>
      <c r="B894" t="str">
        <f>"29.768"</f>
        <v>29.768</v>
      </c>
      <c r="C894" t="str">
        <f>"29.8253"</f>
        <v>29.8253</v>
      </c>
    </row>
    <row r="895" spans="1:3" x14ac:dyDescent="0.25">
      <c r="A895" t="str">
        <f>"31/01/2013"</f>
        <v>31/01/2013</v>
      </c>
      <c r="B895" t="str">
        <f>"29.81"</f>
        <v>29.81</v>
      </c>
      <c r="C895" t="str">
        <f>"29.8667"</f>
        <v>29.8667</v>
      </c>
    </row>
    <row r="896" spans="1:3" x14ac:dyDescent="0.25">
      <c r="A896" t="str">
        <f>"01/02/2013"</f>
        <v>01/02/2013</v>
      </c>
      <c r="B896" t="str">
        <f>"29.93"</f>
        <v>29.93</v>
      </c>
      <c r="C896" t="str">
        <f>"29.9844"</f>
        <v>29.9844</v>
      </c>
    </row>
    <row r="897" spans="1:3" x14ac:dyDescent="0.25">
      <c r="A897" t="str">
        <f>"04/02/2013"</f>
        <v>04/02/2013</v>
      </c>
      <c r="B897" t="str">
        <f>"29.765"</f>
        <v>29.765</v>
      </c>
      <c r="C897" t="str">
        <f>"29.8175"</f>
        <v>29.8175</v>
      </c>
    </row>
    <row r="898" spans="1:3" x14ac:dyDescent="0.25">
      <c r="A898" t="str">
        <f>"05/02/2013"</f>
        <v>05/02/2013</v>
      </c>
      <c r="B898" t="str">
        <f>"29.77"</f>
        <v>29.77</v>
      </c>
      <c r="C898" t="str">
        <f>"29.8229"</f>
        <v>29.8229</v>
      </c>
    </row>
    <row r="899" spans="1:3" x14ac:dyDescent="0.25">
      <c r="A899" t="str">
        <f>"06/02/2013"</f>
        <v>06/02/2013</v>
      </c>
      <c r="B899" t="str">
        <f>"29.78"</f>
        <v>29.78</v>
      </c>
      <c r="C899" t="str">
        <f>"29.833"</f>
        <v>29.833</v>
      </c>
    </row>
    <row r="900" spans="1:3" x14ac:dyDescent="0.25">
      <c r="A900" t="str">
        <f>"07/02/2013"</f>
        <v>07/02/2013</v>
      </c>
      <c r="B900" t="str">
        <f>"29.79"</f>
        <v>29.79</v>
      </c>
      <c r="C900" t="str">
        <f>"29.8426"</f>
        <v>29.8426</v>
      </c>
    </row>
    <row r="901" spans="1:3" x14ac:dyDescent="0.25">
      <c r="A901" t="str">
        <f>"08/02/2013"</f>
        <v>08/02/2013</v>
      </c>
      <c r="B901" t="str">
        <f>"29.81"</f>
        <v>29.81</v>
      </c>
      <c r="C901" t="str">
        <f>"29.8644"</f>
        <v>29.8644</v>
      </c>
    </row>
    <row r="902" spans="1:3" x14ac:dyDescent="0.25">
      <c r="A902" t="str">
        <f>"11/02/2013"</f>
        <v>11/02/2013</v>
      </c>
      <c r="B902" t="str">
        <f>"29.80"</f>
        <v>29.80</v>
      </c>
      <c r="C902" t="str">
        <f>"29.8532"</f>
        <v>29.8532</v>
      </c>
    </row>
    <row r="903" spans="1:3" x14ac:dyDescent="0.25">
      <c r="A903" t="str">
        <f>"12/02/2013"</f>
        <v>12/02/2013</v>
      </c>
      <c r="B903" t="str">
        <f>"29.90"</f>
        <v>29.90</v>
      </c>
      <c r="C903" t="str">
        <f>"29.9527"</f>
        <v>29.9527</v>
      </c>
    </row>
    <row r="904" spans="1:3" x14ac:dyDescent="0.25">
      <c r="A904" t="str">
        <f>"13/02/2013"</f>
        <v>13/02/2013</v>
      </c>
      <c r="B904" t="str">
        <f>"29.81"</f>
        <v>29.81</v>
      </c>
      <c r="C904" t="str">
        <f>"29.8629"</f>
        <v>29.8629</v>
      </c>
    </row>
    <row r="905" spans="1:3" x14ac:dyDescent="0.25">
      <c r="A905" t="str">
        <f>"14/02/2013"</f>
        <v>14/02/2013</v>
      </c>
      <c r="B905" t="str">
        <f>"29.85"</f>
        <v>29.85</v>
      </c>
      <c r="C905" t="str">
        <f>"29.9012"</f>
        <v>29.9012</v>
      </c>
    </row>
    <row r="906" spans="1:3" x14ac:dyDescent="0.25">
      <c r="A906" t="str">
        <f>"15/02/2013"</f>
        <v>15/02/2013</v>
      </c>
      <c r="B906" t="str">
        <f>"29.85"</f>
        <v>29.85</v>
      </c>
      <c r="C906" t="str">
        <f>"29.9001"</f>
        <v>29.9001</v>
      </c>
    </row>
    <row r="907" spans="1:3" x14ac:dyDescent="0.25">
      <c r="A907" t="str">
        <f>"18/02/2013"</f>
        <v>18/02/2013</v>
      </c>
      <c r="B907" t="str">
        <f>"29.88"</f>
        <v>29.88</v>
      </c>
      <c r="C907" t="str">
        <f>"29.9319"</f>
        <v>29.9319</v>
      </c>
    </row>
    <row r="908" spans="1:3" x14ac:dyDescent="0.25">
      <c r="A908" t="str">
        <f>"20/02/2013"</f>
        <v>20/02/2013</v>
      </c>
      <c r="B908" t="str">
        <f>"29.85"</f>
        <v>29.85</v>
      </c>
      <c r="C908" t="str">
        <f>"29.9019"</f>
        <v>29.9019</v>
      </c>
    </row>
    <row r="909" spans="1:3" x14ac:dyDescent="0.25">
      <c r="A909" t="str">
        <f>"21/02/2013"</f>
        <v>21/02/2013</v>
      </c>
      <c r="B909" t="str">
        <f>"29.89"</f>
        <v>29.89</v>
      </c>
      <c r="C909" t="str">
        <f>"29.9421"</f>
        <v>29.9421</v>
      </c>
    </row>
    <row r="910" spans="1:3" x14ac:dyDescent="0.25">
      <c r="A910" t="str">
        <f>"22/02/2013"</f>
        <v>22/02/2013</v>
      </c>
      <c r="B910" t="str">
        <f>"29.82"</f>
        <v>29.82</v>
      </c>
      <c r="C910" t="str">
        <f>"29.8721"</f>
        <v>29.8721</v>
      </c>
    </row>
    <row r="911" spans="1:3" x14ac:dyDescent="0.25">
      <c r="A911" t="str">
        <f>"25/02/2013"</f>
        <v>25/02/2013</v>
      </c>
      <c r="B911" t="str">
        <f>"29.85"</f>
        <v>29.85</v>
      </c>
      <c r="C911" t="str">
        <f>"29.9029"</f>
        <v>29.9029</v>
      </c>
    </row>
    <row r="912" spans="1:3" x14ac:dyDescent="0.25">
      <c r="A912" t="str">
        <f>"26/02/2013"</f>
        <v>26/02/2013</v>
      </c>
      <c r="B912" t="str">
        <f>"29.87"</f>
        <v>29.87</v>
      </c>
      <c r="C912" t="str">
        <f>"29.9249"</f>
        <v>29.9249</v>
      </c>
    </row>
    <row r="913" spans="1:3" x14ac:dyDescent="0.25">
      <c r="A913" t="str">
        <f>"27/02/2013"</f>
        <v>27/02/2013</v>
      </c>
      <c r="B913" t="str">
        <f>"29.84"</f>
        <v>29.84</v>
      </c>
      <c r="C913" t="str">
        <f>"29.8987"</f>
        <v>29.8987</v>
      </c>
    </row>
    <row r="914" spans="1:3" x14ac:dyDescent="0.25">
      <c r="A914" t="str">
        <f>"28/02/2013"</f>
        <v>28/02/2013</v>
      </c>
      <c r="B914" t="str">
        <f>"29.80"</f>
        <v>29.80</v>
      </c>
      <c r="C914" t="str">
        <f>"29.859"</f>
        <v>29.859</v>
      </c>
    </row>
    <row r="915" spans="1:3" x14ac:dyDescent="0.25">
      <c r="A915" t="str">
        <f>"01/03/2013"</f>
        <v>01/03/2013</v>
      </c>
      <c r="B915" t="str">
        <f>"29.75"</f>
        <v>29.75</v>
      </c>
      <c r="C915" t="str">
        <f>"29.8079"</f>
        <v>29.8079</v>
      </c>
    </row>
    <row r="916" spans="1:3" x14ac:dyDescent="0.25">
      <c r="A916" t="str">
        <f>"04/03/2013"</f>
        <v>04/03/2013</v>
      </c>
      <c r="B916" t="str">
        <f>"29.805"</f>
        <v>29.805</v>
      </c>
      <c r="C916" t="str">
        <f>"29.8685"</f>
        <v>29.8685</v>
      </c>
    </row>
    <row r="917" spans="1:3" x14ac:dyDescent="0.25">
      <c r="A917" t="str">
        <f>"05/03/2013"</f>
        <v>05/03/2013</v>
      </c>
      <c r="B917" t="str">
        <f>"29.805"</f>
        <v>29.805</v>
      </c>
      <c r="C917" t="str">
        <f>"29.867"</f>
        <v>29.867</v>
      </c>
    </row>
    <row r="918" spans="1:3" x14ac:dyDescent="0.25">
      <c r="A918" t="str">
        <f>"06/03/2013"</f>
        <v>06/03/2013</v>
      </c>
      <c r="B918" t="str">
        <f>"29.76"</f>
        <v>29.76</v>
      </c>
      <c r="C918" t="str">
        <f>"29.821"</f>
        <v>29.821</v>
      </c>
    </row>
    <row r="919" spans="1:3" x14ac:dyDescent="0.25">
      <c r="A919" t="str">
        <f>"07/03/2013"</f>
        <v>07/03/2013</v>
      </c>
      <c r="B919" t="str">
        <f>"29.79"</f>
        <v>29.79</v>
      </c>
      <c r="C919" t="str">
        <f>"29.8487"</f>
        <v>29.8487</v>
      </c>
    </row>
    <row r="920" spans="1:3" x14ac:dyDescent="0.25">
      <c r="A920" t="str">
        <f>"08/03/2013"</f>
        <v>08/03/2013</v>
      </c>
      <c r="B920" t="str">
        <f>"29.77"</f>
        <v>29.77</v>
      </c>
      <c r="C920" t="str">
        <f>"29.8277"</f>
        <v>29.8277</v>
      </c>
    </row>
    <row r="921" spans="1:3" x14ac:dyDescent="0.25">
      <c r="A921" t="str">
        <f>"11/03/2013"</f>
        <v>11/03/2013</v>
      </c>
      <c r="B921" t="str">
        <f>"29.83"</f>
        <v>29.83</v>
      </c>
      <c r="C921" t="str">
        <f>"29.896"</f>
        <v>29.896</v>
      </c>
    </row>
    <row r="922" spans="1:3" x14ac:dyDescent="0.25">
      <c r="A922" t="str">
        <f>"12/03/2013"</f>
        <v>12/03/2013</v>
      </c>
      <c r="B922" t="str">
        <f>"29.633"</f>
        <v>29.633</v>
      </c>
      <c r="C922" t="str">
        <f>"29.6984"</f>
        <v>29.6984</v>
      </c>
    </row>
    <row r="923" spans="1:3" x14ac:dyDescent="0.25">
      <c r="A923" t="str">
        <f>"13/03/2013"</f>
        <v>13/03/2013</v>
      </c>
      <c r="B923" t="str">
        <f>"29.63"</f>
        <v>29.63</v>
      </c>
      <c r="C923" t="str">
        <f>"29.6932"</f>
        <v>29.6932</v>
      </c>
    </row>
    <row r="924" spans="1:3" x14ac:dyDescent="0.25">
      <c r="A924" t="str">
        <f>"14/03/2013"</f>
        <v>14/03/2013</v>
      </c>
      <c r="B924" t="str">
        <f>"29.65"</f>
        <v>29.65</v>
      </c>
      <c r="C924" t="str">
        <f>"29.7107"</f>
        <v>29.7107</v>
      </c>
    </row>
    <row r="925" spans="1:3" x14ac:dyDescent="0.25">
      <c r="A925" t="str">
        <f>"15/03/2013"</f>
        <v>15/03/2013</v>
      </c>
      <c r="B925" t="str">
        <f>"29.608"</f>
        <v>29.608</v>
      </c>
      <c r="C925" t="str">
        <f>"29.6673"</f>
        <v>29.6673</v>
      </c>
    </row>
    <row r="926" spans="1:3" x14ac:dyDescent="0.25">
      <c r="A926" t="str">
        <f>"18/03/2013"</f>
        <v>18/03/2013</v>
      </c>
      <c r="B926" t="str">
        <f>"29.70"</f>
        <v>29.70</v>
      </c>
      <c r="C926" t="str">
        <f>"29.7634"</f>
        <v>29.7634</v>
      </c>
    </row>
    <row r="927" spans="1:3" x14ac:dyDescent="0.25">
      <c r="A927" t="str">
        <f>"19/03/2013"</f>
        <v>19/03/2013</v>
      </c>
      <c r="B927" t="str">
        <f>"29.37"</f>
        <v>29.37</v>
      </c>
      <c r="C927" t="str">
        <f>"29.4318"</f>
        <v>29.4318</v>
      </c>
    </row>
    <row r="928" spans="1:3" x14ac:dyDescent="0.25">
      <c r="A928" t="str">
        <f>"20/03/2013"</f>
        <v>20/03/2013</v>
      </c>
      <c r="B928" t="str">
        <f>"29.195"</f>
        <v>29.195</v>
      </c>
      <c r="C928" t="str">
        <f>"29.2534"</f>
        <v>29.2534</v>
      </c>
    </row>
    <row r="929" spans="1:3" x14ac:dyDescent="0.25">
      <c r="A929" t="str">
        <f>"21/03/2013"</f>
        <v>21/03/2013</v>
      </c>
      <c r="B929" t="str">
        <f>"29.225"</f>
        <v>29.225</v>
      </c>
      <c r="C929" t="str">
        <f>"29.2844"</f>
        <v>29.2844</v>
      </c>
    </row>
    <row r="930" spans="1:3" x14ac:dyDescent="0.25">
      <c r="A930" t="str">
        <f>"22/03/2013"</f>
        <v>22/03/2013</v>
      </c>
      <c r="B930" t="str">
        <f>"29.26"</f>
        <v>29.26</v>
      </c>
      <c r="C930" t="str">
        <f>"29.3186"</f>
        <v>29.3186</v>
      </c>
    </row>
    <row r="931" spans="1:3" x14ac:dyDescent="0.25">
      <c r="A931" t="str">
        <f>"25/03/2013"</f>
        <v>25/03/2013</v>
      </c>
      <c r="B931" t="str">
        <f>"29.29"</f>
        <v>29.29</v>
      </c>
      <c r="C931" t="str">
        <f>"29.3532"</f>
        <v>29.3532</v>
      </c>
    </row>
    <row r="932" spans="1:3" x14ac:dyDescent="0.25">
      <c r="A932" t="str">
        <f>"26/03/2013"</f>
        <v>26/03/2013</v>
      </c>
      <c r="B932" t="str">
        <f>"29.38"</f>
        <v>29.38</v>
      </c>
      <c r="C932" t="str">
        <f>"29.4411"</f>
        <v>29.4411</v>
      </c>
    </row>
    <row r="933" spans="1:3" x14ac:dyDescent="0.25">
      <c r="A933" t="str">
        <f>"28/03/2013"</f>
        <v>28/03/2013</v>
      </c>
      <c r="B933" t="str">
        <f>"29.27"</f>
        <v>29.27</v>
      </c>
      <c r="C933" t="str">
        <f>"29.3271"</f>
        <v>29.3271</v>
      </c>
    </row>
    <row r="934" spans="1:3" x14ac:dyDescent="0.25">
      <c r="A934" t="str">
        <f>"02/04/2013"</f>
        <v>02/04/2013</v>
      </c>
      <c r="B934" t="str">
        <f>"29.3285"</f>
        <v>29.3285</v>
      </c>
      <c r="C934" t="str">
        <f>"29.3894"</f>
        <v>29.3894</v>
      </c>
    </row>
    <row r="935" spans="1:3" x14ac:dyDescent="0.25">
      <c r="A935" t="str">
        <f>"03/04/2013"</f>
        <v>03/04/2013</v>
      </c>
      <c r="B935" t="str">
        <f>"29.372"</f>
        <v>29.372</v>
      </c>
      <c r="C935" t="str">
        <f>"29.4314"</f>
        <v>29.4314</v>
      </c>
    </row>
    <row r="936" spans="1:3" x14ac:dyDescent="0.25">
      <c r="A936" t="str">
        <f>"04/04/2013"</f>
        <v>04/04/2013</v>
      </c>
      <c r="B936" t="str">
        <f>"29.39"</f>
        <v>29.39</v>
      </c>
      <c r="C936" t="str">
        <f>"29.4455"</f>
        <v>29.4455</v>
      </c>
    </row>
    <row r="937" spans="1:3" x14ac:dyDescent="0.25">
      <c r="A937" t="str">
        <f>"05/04/2013"</f>
        <v>05/04/2013</v>
      </c>
      <c r="B937" t="str">
        <f>"29.325"</f>
        <v>29.325</v>
      </c>
      <c r="C937" t="str">
        <f>"29.3798"</f>
        <v>29.3798</v>
      </c>
    </row>
    <row r="938" spans="1:3" x14ac:dyDescent="0.25">
      <c r="A938" t="str">
        <f>"08/04/2013"</f>
        <v>08/04/2013</v>
      </c>
      <c r="B938" t="str">
        <f>"29.253"</f>
        <v>29.253</v>
      </c>
      <c r="C938" t="str">
        <f>"29.309"</f>
        <v>29.309</v>
      </c>
    </row>
    <row r="939" spans="1:3" x14ac:dyDescent="0.25">
      <c r="A939" t="str">
        <f>"09/04/2013"</f>
        <v>09/04/2013</v>
      </c>
      <c r="B939" t="str">
        <f>"28.97"</f>
        <v>28.97</v>
      </c>
      <c r="C939" t="str">
        <f>"29.0285"</f>
        <v>29.0285</v>
      </c>
    </row>
    <row r="940" spans="1:3" x14ac:dyDescent="0.25">
      <c r="A940" t="str">
        <f>"10/04/2013"</f>
        <v>10/04/2013</v>
      </c>
      <c r="B940" t="str">
        <f>"28.995"</f>
        <v>28.995</v>
      </c>
      <c r="C940" t="str">
        <f>"29.0552"</f>
        <v>29.0552</v>
      </c>
    </row>
    <row r="941" spans="1:3" x14ac:dyDescent="0.25">
      <c r="A941" t="str">
        <f>"12/04/2013"</f>
        <v>12/04/2013</v>
      </c>
      <c r="B941" t="str">
        <f>"29.0625"</f>
        <v>29.0625</v>
      </c>
      <c r="C941" t="str">
        <f>"29.1253"</f>
        <v>29.1253</v>
      </c>
    </row>
    <row r="942" spans="1:3" x14ac:dyDescent="0.25">
      <c r="A942" t="str">
        <f>"15/04/2013"</f>
        <v>15/04/2013</v>
      </c>
      <c r="B942" t="str">
        <f>"29.11"</f>
        <v>29.11</v>
      </c>
      <c r="C942" t="str">
        <f>"29.1718"</f>
        <v>29.1718</v>
      </c>
    </row>
    <row r="943" spans="1:3" x14ac:dyDescent="0.25">
      <c r="A943" t="str">
        <f>"16/04/2013"</f>
        <v>16/04/2013</v>
      </c>
      <c r="B943" t="str">
        <f>"29.103"</f>
        <v>29.103</v>
      </c>
      <c r="C943" t="str">
        <f>"29.1643"</f>
        <v>29.1643</v>
      </c>
    </row>
    <row r="944" spans="1:3" x14ac:dyDescent="0.25">
      <c r="A944" t="str">
        <f>"17/04/2013"</f>
        <v>17/04/2013</v>
      </c>
      <c r="B944" t="str">
        <f>"28.965"</f>
        <v>28.965</v>
      </c>
      <c r="C944" t="str">
        <f>"29.0252"</f>
        <v>29.0252</v>
      </c>
    </row>
    <row r="945" spans="1:3" x14ac:dyDescent="0.25">
      <c r="A945" t="str">
        <f>"18/04/2013"</f>
        <v>18/04/2013</v>
      </c>
      <c r="B945" t="str">
        <f>"28.79"</f>
        <v>28.79</v>
      </c>
      <c r="C945" t="str">
        <f>"28.848"</f>
        <v>28.848</v>
      </c>
    </row>
    <row r="946" spans="1:3" x14ac:dyDescent="0.25">
      <c r="A946" t="str">
        <f>"22/04/2013"</f>
        <v>22/04/2013</v>
      </c>
      <c r="B946" t="str">
        <f>"28.65"</f>
        <v>28.65</v>
      </c>
      <c r="C946" t="str">
        <f>"28.715"</f>
        <v>28.715</v>
      </c>
    </row>
    <row r="947" spans="1:3" x14ac:dyDescent="0.25">
      <c r="A947" t="str">
        <f>"23/04/2013"</f>
        <v>23/04/2013</v>
      </c>
      <c r="B947" t="str">
        <f>"28.80"</f>
        <v>28.80</v>
      </c>
      <c r="C947" t="str">
        <f>"28.8642"</f>
        <v>28.8642</v>
      </c>
    </row>
    <row r="948" spans="1:3" x14ac:dyDescent="0.25">
      <c r="A948" t="str">
        <f>"25/04/2013"</f>
        <v>25/04/2013</v>
      </c>
      <c r="B948" t="str">
        <f>"28.927"</f>
        <v>28.927</v>
      </c>
      <c r="C948" t="str">
        <f>"28.9869"</f>
        <v>28.9869</v>
      </c>
    </row>
    <row r="949" spans="1:3" x14ac:dyDescent="0.25">
      <c r="A949" t="str">
        <f>"26/04/2013"</f>
        <v>26/04/2013</v>
      </c>
      <c r="B949" t="str">
        <f>"29.285"</f>
        <v>29.285</v>
      </c>
      <c r="C949" t="str">
        <f>"29.3433"</f>
        <v>29.3433</v>
      </c>
    </row>
    <row r="950" spans="1:3" x14ac:dyDescent="0.25">
      <c r="A950" t="str">
        <f>"29/04/2013"</f>
        <v>29/04/2013</v>
      </c>
      <c r="B950" t="str">
        <f>"29.26"</f>
        <v>29.26</v>
      </c>
      <c r="C950" t="str">
        <f>"29.3137"</f>
        <v>29.3137</v>
      </c>
    </row>
    <row r="951" spans="1:3" x14ac:dyDescent="0.25">
      <c r="A951" t="str">
        <f>"30/04/2013"</f>
        <v>30/04/2013</v>
      </c>
      <c r="B951" t="str">
        <f>"29.34"</f>
        <v>29.34</v>
      </c>
      <c r="C951" t="str">
        <f>"29.395"</f>
        <v>29.395</v>
      </c>
    </row>
    <row r="952" spans="1:3" x14ac:dyDescent="0.25">
      <c r="A952" t="str">
        <f>"02/05/2013"</f>
        <v>02/05/2013</v>
      </c>
      <c r="B952" t="str">
        <f>"29.43"</f>
        <v>29.43</v>
      </c>
      <c r="C952" t="str">
        <f>"29.4845"</f>
        <v>29.4845</v>
      </c>
    </row>
    <row r="953" spans="1:3" x14ac:dyDescent="0.25">
      <c r="A953" t="str">
        <f>"03/05/2013"</f>
        <v>03/05/2013</v>
      </c>
      <c r="B953" t="str">
        <f>"29.70"</f>
        <v>29.70</v>
      </c>
      <c r="C953" t="str">
        <f>"29.7526"</f>
        <v>29.7526</v>
      </c>
    </row>
    <row r="954" spans="1:3" x14ac:dyDescent="0.25">
      <c r="A954" t="str">
        <f>"06/05/2013"</f>
        <v>06/05/2013</v>
      </c>
      <c r="B954" t="str">
        <f>"29.56"</f>
        <v>29.56</v>
      </c>
      <c r="C954" t="str">
        <f>"29.613"</f>
        <v>29.613</v>
      </c>
    </row>
    <row r="955" spans="1:3" x14ac:dyDescent="0.25">
      <c r="A955" t="str">
        <f>"07/05/2013"</f>
        <v>07/05/2013</v>
      </c>
      <c r="B955" t="str">
        <f>"29.67"</f>
        <v>29.67</v>
      </c>
      <c r="C955" t="str">
        <f>"29.7246"</f>
        <v>29.7246</v>
      </c>
    </row>
    <row r="956" spans="1:3" x14ac:dyDescent="0.25">
      <c r="A956" t="str">
        <f>"08/05/2013"</f>
        <v>08/05/2013</v>
      </c>
      <c r="B956" t="str">
        <f>"29.653"</f>
        <v>29.653</v>
      </c>
      <c r="C956" t="str">
        <f>"29.705"</f>
        <v>29.705</v>
      </c>
    </row>
    <row r="957" spans="1:3" x14ac:dyDescent="0.25">
      <c r="A957" t="str">
        <f>"09/05/2013"</f>
        <v>09/05/2013</v>
      </c>
      <c r="B957" t="str">
        <f>"29.545"</f>
        <v>29.545</v>
      </c>
      <c r="C957" t="str">
        <f>"29.5991"</f>
        <v>29.5991</v>
      </c>
    </row>
    <row r="958" spans="1:3" x14ac:dyDescent="0.25">
      <c r="A958" t="str">
        <f>"10/05/2013"</f>
        <v>10/05/2013</v>
      </c>
      <c r="B958" t="str">
        <f>"29.629"</f>
        <v>29.629</v>
      </c>
      <c r="C958" t="str">
        <f>"29.6836"</f>
        <v>29.6836</v>
      </c>
    </row>
    <row r="959" spans="1:3" x14ac:dyDescent="0.25">
      <c r="A959" t="str">
        <f>"13/05/2013"</f>
        <v>13/05/2013</v>
      </c>
      <c r="B959" t="str">
        <f>"29.705"</f>
        <v>29.705</v>
      </c>
      <c r="C959" t="str">
        <f>"29.7624"</f>
        <v>29.7624</v>
      </c>
    </row>
    <row r="960" spans="1:3" x14ac:dyDescent="0.25">
      <c r="A960" t="str">
        <f>"14/05/2013"</f>
        <v>14/05/2013</v>
      </c>
      <c r="B960" t="str">
        <f>"29.615"</f>
        <v>29.615</v>
      </c>
      <c r="C960" t="str">
        <f>"29.6722"</f>
        <v>29.6722</v>
      </c>
    </row>
    <row r="961" spans="1:3" x14ac:dyDescent="0.25">
      <c r="A961" t="str">
        <f>"15/05/2013"</f>
        <v>15/05/2013</v>
      </c>
      <c r="B961" t="str">
        <f>"29.71"</f>
        <v>29.71</v>
      </c>
      <c r="C961" t="str">
        <f>"29.7637"</f>
        <v>29.7637</v>
      </c>
    </row>
    <row r="962" spans="1:3" x14ac:dyDescent="0.25">
      <c r="A962" t="str">
        <f>"16/05/2013"</f>
        <v>16/05/2013</v>
      </c>
      <c r="B962" t="str">
        <f>"29.728"</f>
        <v>29.728</v>
      </c>
      <c r="C962" t="str">
        <f>"29.7823"</f>
        <v>29.7823</v>
      </c>
    </row>
    <row r="963" spans="1:3" x14ac:dyDescent="0.25">
      <c r="A963" t="str">
        <f>"17/05/2013"</f>
        <v>17/05/2013</v>
      </c>
      <c r="B963" t="str">
        <f>"29.81"</f>
        <v>29.81</v>
      </c>
      <c r="C963" t="str">
        <f>"29.8638"</f>
        <v>29.8638</v>
      </c>
    </row>
    <row r="964" spans="1:3" x14ac:dyDescent="0.25">
      <c r="A964" t="str">
        <f>"20/05/2013"</f>
        <v>20/05/2013</v>
      </c>
      <c r="B964" t="str">
        <f>"29.88"</f>
        <v>29.88</v>
      </c>
      <c r="C964" t="str">
        <f>"29.9377"</f>
        <v>29.9377</v>
      </c>
    </row>
    <row r="965" spans="1:3" x14ac:dyDescent="0.25">
      <c r="A965" t="str">
        <f>"21/05/2013"</f>
        <v>21/05/2013</v>
      </c>
      <c r="B965" t="str">
        <f>"29.723"</f>
        <v>29.723</v>
      </c>
      <c r="C965" t="str">
        <f>"29.779"</f>
        <v>29.779</v>
      </c>
    </row>
    <row r="966" spans="1:3" x14ac:dyDescent="0.25">
      <c r="A966" t="str">
        <f>"22/05/2013"</f>
        <v>22/05/2013</v>
      </c>
      <c r="B966" t="str">
        <f>"29.792"</f>
        <v>29.792</v>
      </c>
      <c r="C966" t="str">
        <f>"29.848"</f>
        <v>29.848</v>
      </c>
    </row>
    <row r="967" spans="1:3" x14ac:dyDescent="0.25">
      <c r="A967" t="str">
        <f>"23/05/2013"</f>
        <v>23/05/2013</v>
      </c>
      <c r="B967" t="str">
        <f>"30.015"</f>
        <v>30.015</v>
      </c>
      <c r="C967" t="str">
        <f>"30.071"</f>
        <v>30.071</v>
      </c>
    </row>
    <row r="968" spans="1:3" x14ac:dyDescent="0.25">
      <c r="A968" t="str">
        <f>"24/05/2013"</f>
        <v>24/05/2013</v>
      </c>
      <c r="B968" t="str">
        <f>"29.99"</f>
        <v>29.99</v>
      </c>
      <c r="C968" t="str">
        <f>"30.0441"</f>
        <v>30.0441</v>
      </c>
    </row>
    <row r="969" spans="1:3" x14ac:dyDescent="0.25">
      <c r="A969" t="str">
        <f>"27/05/2013"</f>
        <v>27/05/2013</v>
      </c>
      <c r="B969" t="str">
        <f>"29.913"</f>
        <v>29.913</v>
      </c>
      <c r="C969" t="str">
        <f>"29.9672"</f>
        <v>29.9672</v>
      </c>
    </row>
    <row r="970" spans="1:3" x14ac:dyDescent="0.25">
      <c r="A970" t="str">
        <f>"28/05/2013"</f>
        <v>28/05/2013</v>
      </c>
      <c r="B970" t="str">
        <f>"29.918"</f>
        <v>29.918</v>
      </c>
      <c r="C970" t="str">
        <f>"29.9724"</f>
        <v>29.9724</v>
      </c>
    </row>
    <row r="971" spans="1:3" x14ac:dyDescent="0.25">
      <c r="A971" t="str">
        <f>"29/05/2013"</f>
        <v>29/05/2013</v>
      </c>
      <c r="B971" t="str">
        <f>"30.173"</f>
        <v>30.173</v>
      </c>
      <c r="C971" t="str">
        <f>"30.2245"</f>
        <v>30.2245</v>
      </c>
    </row>
    <row r="972" spans="1:3" x14ac:dyDescent="0.25">
      <c r="A972" t="str">
        <f>"30/05/2013"</f>
        <v>30/05/2013</v>
      </c>
      <c r="B972" t="str">
        <f>"30.18"</f>
        <v>30.18</v>
      </c>
      <c r="C972" t="str">
        <f>"30.2332"</f>
        <v>30.2332</v>
      </c>
    </row>
    <row r="973" spans="1:3" x14ac:dyDescent="0.25">
      <c r="A973" t="str">
        <f>"31/05/2013"</f>
        <v>31/05/2013</v>
      </c>
      <c r="B973" t="str">
        <f>"30.19"</f>
        <v>30.19</v>
      </c>
      <c r="C973" t="str">
        <f>"30.2423"</f>
        <v>30.2423</v>
      </c>
    </row>
    <row r="974" spans="1:3" x14ac:dyDescent="0.25">
      <c r="A974" t="str">
        <f>"03/06/2013"</f>
        <v>03/06/2013</v>
      </c>
      <c r="B974" t="str">
        <f>"30.4595"</f>
        <v>30.4595</v>
      </c>
      <c r="C974" t="str">
        <f>"30.5119"</f>
        <v>30.5119</v>
      </c>
    </row>
    <row r="975" spans="1:3" x14ac:dyDescent="0.25">
      <c r="A975" t="str">
        <f>"04/06/2013"</f>
        <v>04/06/2013</v>
      </c>
      <c r="B975" t="str">
        <f>"30.426"</f>
        <v>30.426</v>
      </c>
      <c r="C975" t="str">
        <f>"30.4785"</f>
        <v>30.4785</v>
      </c>
    </row>
    <row r="976" spans="1:3" x14ac:dyDescent="0.25">
      <c r="A976" t="str">
        <f>"05/06/2013"</f>
        <v>05/06/2013</v>
      </c>
      <c r="B976" t="str">
        <f>"30.495"</f>
        <v>30.495</v>
      </c>
      <c r="C976" t="str">
        <f>"30.5482"</f>
        <v>30.5482</v>
      </c>
    </row>
    <row r="977" spans="1:3" x14ac:dyDescent="0.25">
      <c r="A977" t="str">
        <f>"06/06/2013"</f>
        <v>06/06/2013</v>
      </c>
      <c r="B977" t="str">
        <f>"30.599"</f>
        <v>30.599</v>
      </c>
      <c r="C977" t="str">
        <f>"30.6512"</f>
        <v>30.6512</v>
      </c>
    </row>
    <row r="978" spans="1:3" x14ac:dyDescent="0.25">
      <c r="A978" t="str">
        <f>"07/06/2013"</f>
        <v>07/06/2013</v>
      </c>
      <c r="B978" t="str">
        <f>"30.675"</f>
        <v>30.675</v>
      </c>
      <c r="C978" t="str">
        <f>"30.728"</f>
        <v>30.728</v>
      </c>
    </row>
    <row r="979" spans="1:3" x14ac:dyDescent="0.25">
      <c r="A979" t="str">
        <f>"10/06/2013"</f>
        <v>10/06/2013</v>
      </c>
      <c r="B979" t="str">
        <f>"30.772"</f>
        <v>30.772</v>
      </c>
      <c r="C979" t="str">
        <f>"30.8242"</f>
        <v>30.8242</v>
      </c>
    </row>
    <row r="980" spans="1:3" x14ac:dyDescent="0.25">
      <c r="A980" t="str">
        <f>"11/06/2013"</f>
        <v>11/06/2013</v>
      </c>
      <c r="B980" t="str">
        <f>"30.922"</f>
        <v>30.922</v>
      </c>
      <c r="C980" t="str">
        <f>"30.975"</f>
        <v>30.975</v>
      </c>
    </row>
    <row r="981" spans="1:3" x14ac:dyDescent="0.25">
      <c r="A981" t="str">
        <f>"12/06/2013"</f>
        <v>12/06/2013</v>
      </c>
      <c r="B981" t="str">
        <f>"31.155"</f>
        <v>31.155</v>
      </c>
      <c r="C981" t="str">
        <f>"31.21"</f>
        <v>31.21</v>
      </c>
    </row>
    <row r="982" spans="1:3" x14ac:dyDescent="0.25">
      <c r="A982" t="str">
        <f>"13/06/2013"</f>
        <v>13/06/2013</v>
      </c>
      <c r="B982" t="str">
        <f>"30.989"</f>
        <v>30.989</v>
      </c>
      <c r="C982" t="str">
        <f>"31.0384"</f>
        <v>31.0384</v>
      </c>
    </row>
    <row r="983" spans="1:3" x14ac:dyDescent="0.25">
      <c r="A983" t="str">
        <f>"14/06/2013"</f>
        <v>14/06/2013</v>
      </c>
      <c r="B983" t="str">
        <f>"30.57"</f>
        <v>30.57</v>
      </c>
      <c r="C983" t="str">
        <f>"30.6187"</f>
        <v>30.6187</v>
      </c>
    </row>
    <row r="984" spans="1:3" x14ac:dyDescent="0.25">
      <c r="A984" t="str">
        <f>"17/06/2013"</f>
        <v>17/06/2013</v>
      </c>
      <c r="B984" t="str">
        <f>"30.743"</f>
        <v>30.743</v>
      </c>
      <c r="C984" t="str">
        <f>"30.7938"</f>
        <v>30.7938</v>
      </c>
    </row>
    <row r="985" spans="1:3" x14ac:dyDescent="0.25">
      <c r="A985" t="str">
        <f>"18/06/2013"</f>
        <v>18/06/2013</v>
      </c>
      <c r="B985" t="str">
        <f>"30.766"</f>
        <v>30.766</v>
      </c>
      <c r="C985" t="str">
        <f>"30.8203"</f>
        <v>30.8203</v>
      </c>
    </row>
    <row r="986" spans="1:3" x14ac:dyDescent="0.25">
      <c r="A986" t="str">
        <f>"19/06/2013"</f>
        <v>19/06/2013</v>
      </c>
      <c r="B986" t="str">
        <f>"30.941"</f>
        <v>30.941</v>
      </c>
      <c r="C986" t="str">
        <f>"30.9935"</f>
        <v>30.9935</v>
      </c>
    </row>
    <row r="987" spans="1:3" x14ac:dyDescent="0.25">
      <c r="A987" t="str">
        <f>"20/06/2013"</f>
        <v>20/06/2013</v>
      </c>
      <c r="B987" t="str">
        <f>"31.057"</f>
        <v>31.057</v>
      </c>
      <c r="C987" t="str">
        <f>"31.1075"</f>
        <v>31.1075</v>
      </c>
    </row>
    <row r="988" spans="1:3" x14ac:dyDescent="0.25">
      <c r="A988" t="str">
        <f>"21/06/2013"</f>
        <v>21/06/2013</v>
      </c>
      <c r="B988" t="str">
        <f>"31.204"</f>
        <v>31.204</v>
      </c>
      <c r="C988" t="str">
        <f>"31.256"</f>
        <v>31.256</v>
      </c>
    </row>
    <row r="989" spans="1:3" x14ac:dyDescent="0.25">
      <c r="A989" t="str">
        <f>"24/06/2013"</f>
        <v>24/06/2013</v>
      </c>
      <c r="B989" t="str">
        <f>"31.119"</f>
        <v>31.119</v>
      </c>
      <c r="C989" t="str">
        <f>"31.171"</f>
        <v>31.171</v>
      </c>
    </row>
    <row r="990" spans="1:3" x14ac:dyDescent="0.25">
      <c r="A990" t="str">
        <f>"25/06/2013"</f>
        <v>25/06/2013</v>
      </c>
      <c r="B990" t="str">
        <f>"31.013"</f>
        <v>31.013</v>
      </c>
      <c r="C990" t="str">
        <f>"31.0675"</f>
        <v>31.0675</v>
      </c>
    </row>
    <row r="991" spans="1:3" x14ac:dyDescent="0.25">
      <c r="A991" t="str">
        <f>"26/06/2013"</f>
        <v>26/06/2013</v>
      </c>
      <c r="B991" t="str">
        <f>"31.087"</f>
        <v>31.087</v>
      </c>
      <c r="C991" t="str">
        <f>"31.1441"</f>
        <v>31.1441</v>
      </c>
    </row>
    <row r="992" spans="1:3" x14ac:dyDescent="0.25">
      <c r="A992" t="str">
        <f>"27/06/2013"</f>
        <v>27/06/2013</v>
      </c>
      <c r="B992" t="str">
        <f>"31.138"</f>
        <v>31.138</v>
      </c>
      <c r="C992" t="str">
        <f>"31.1915"</f>
        <v>31.1915</v>
      </c>
    </row>
    <row r="993" spans="1:3" x14ac:dyDescent="0.25">
      <c r="A993" t="str">
        <f>"28/06/2013"</f>
        <v>28/06/2013</v>
      </c>
      <c r="B993" t="str">
        <f>"31.174"</f>
        <v>31.174</v>
      </c>
      <c r="C993" t="str">
        <f>"31.2292"</f>
        <v>31.2292</v>
      </c>
    </row>
    <row r="994" spans="1:3" x14ac:dyDescent="0.25">
      <c r="A994" t="str">
        <f>"01/07/2013"</f>
        <v>01/07/2013</v>
      </c>
      <c r="B994" t="str">
        <f>"31.123"</f>
        <v>31.123</v>
      </c>
      <c r="C994" t="str">
        <f>"31.178"</f>
        <v>31.178</v>
      </c>
    </row>
    <row r="995" spans="1:3" x14ac:dyDescent="0.25">
      <c r="A995" t="str">
        <f>"02/07/2013"</f>
        <v>02/07/2013</v>
      </c>
      <c r="B995" t="str">
        <f>"30.979"</f>
        <v>30.979</v>
      </c>
      <c r="C995" t="str">
        <f>"31.0321"</f>
        <v>31.0321</v>
      </c>
    </row>
    <row r="996" spans="1:3" x14ac:dyDescent="0.25">
      <c r="A996" t="str">
        <f>"03/07/2013"</f>
        <v>03/07/2013</v>
      </c>
      <c r="B996" t="str">
        <f>"30.977"</f>
        <v>30.977</v>
      </c>
      <c r="C996" t="str">
        <f>"31.0313"</f>
        <v>31.0313</v>
      </c>
    </row>
    <row r="997" spans="1:3" x14ac:dyDescent="0.25">
      <c r="A997" t="str">
        <f>"04/07/2013"</f>
        <v>04/07/2013</v>
      </c>
      <c r="B997" t="str">
        <f>"31.10"</f>
        <v>31.10</v>
      </c>
      <c r="C997" t="str">
        <f>"31.1521"</f>
        <v>31.1521</v>
      </c>
    </row>
    <row r="998" spans="1:3" x14ac:dyDescent="0.25">
      <c r="A998" t="str">
        <f>"05/07/2013"</f>
        <v>05/07/2013</v>
      </c>
      <c r="B998" t="str">
        <f>"31.158"</f>
        <v>31.158</v>
      </c>
      <c r="C998" t="str">
        <f>"31.2097"</f>
        <v>31.2097</v>
      </c>
    </row>
    <row r="999" spans="1:3" x14ac:dyDescent="0.25">
      <c r="A999" t="str">
        <f>"08/07/2013"</f>
        <v>08/07/2013</v>
      </c>
      <c r="B999" t="str">
        <f>"31.49"</f>
        <v>31.49</v>
      </c>
      <c r="C999" t="str">
        <f>"31.5461"</f>
        <v>31.5461</v>
      </c>
    </row>
    <row r="1000" spans="1:3" x14ac:dyDescent="0.25">
      <c r="A1000" t="str">
        <f>"09/07/2013"</f>
        <v>09/07/2013</v>
      </c>
      <c r="B1000" t="str">
        <f>"31.392"</f>
        <v>31.392</v>
      </c>
      <c r="C1000" t="str">
        <f>"31.4486"</f>
        <v>31.4486</v>
      </c>
    </row>
    <row r="1001" spans="1:3" x14ac:dyDescent="0.25">
      <c r="A1001" t="str">
        <f>"10/07/2013"</f>
        <v>10/07/2013</v>
      </c>
      <c r="B1001" t="str">
        <f>"31.274"</f>
        <v>31.274</v>
      </c>
      <c r="C1001" t="str">
        <f>"31.3292"</f>
        <v>31.3292</v>
      </c>
    </row>
    <row r="1002" spans="1:3" x14ac:dyDescent="0.25">
      <c r="A1002" t="str">
        <f>"11/07/2013"</f>
        <v>11/07/2013</v>
      </c>
      <c r="B1002" t="str">
        <f>"31.07"</f>
        <v>31.07</v>
      </c>
      <c r="C1002" t="str">
        <f>"31.1224"</f>
        <v>31.1224</v>
      </c>
    </row>
    <row r="1003" spans="1:3" x14ac:dyDescent="0.25">
      <c r="A1003" t="str">
        <f>"12/07/2013"</f>
        <v>12/07/2013</v>
      </c>
      <c r="B1003" t="str">
        <f>"31.11"</f>
        <v>31.11</v>
      </c>
      <c r="C1003" t="str">
        <f>"31.1656"</f>
        <v>31.1656</v>
      </c>
    </row>
    <row r="1004" spans="1:3" x14ac:dyDescent="0.25">
      <c r="A1004" t="str">
        <f>"15/07/2013"</f>
        <v>15/07/2013</v>
      </c>
      <c r="B1004" t="str">
        <f>"31.161"</f>
        <v>31.161</v>
      </c>
      <c r="C1004" t="str">
        <f>"31.2198"</f>
        <v>31.2198</v>
      </c>
    </row>
    <row r="1005" spans="1:3" x14ac:dyDescent="0.25">
      <c r="A1005" t="str">
        <f>"16/07/2013"</f>
        <v>16/07/2013</v>
      </c>
      <c r="B1005" t="str">
        <f>"31.099"</f>
        <v>31.099</v>
      </c>
      <c r="C1005" t="str">
        <f>"31.1552"</f>
        <v>31.1552</v>
      </c>
    </row>
    <row r="1006" spans="1:3" x14ac:dyDescent="0.25">
      <c r="A1006" t="str">
        <f>"17/07/2013"</f>
        <v>17/07/2013</v>
      </c>
      <c r="B1006" t="str">
        <f>"31.065"</f>
        <v>31.065</v>
      </c>
      <c r="C1006" t="str">
        <f>"31.1205"</f>
        <v>31.1205</v>
      </c>
    </row>
    <row r="1007" spans="1:3" x14ac:dyDescent="0.25">
      <c r="A1007" t="str">
        <f>"18/07/2013"</f>
        <v>18/07/2013</v>
      </c>
      <c r="B1007" t="str">
        <f>"31.107"</f>
        <v>31.107</v>
      </c>
      <c r="C1007" t="str">
        <f>"31.1631"</f>
        <v>31.1631</v>
      </c>
    </row>
    <row r="1008" spans="1:3" x14ac:dyDescent="0.25">
      <c r="A1008" t="str">
        <f>"19/07/2013"</f>
        <v>19/07/2013</v>
      </c>
      <c r="B1008" t="str">
        <f>"31.14"</f>
        <v>31.14</v>
      </c>
      <c r="C1008" t="str">
        <f>"31.1979"</f>
        <v>31.1979</v>
      </c>
    </row>
    <row r="1009" spans="1:3" x14ac:dyDescent="0.25">
      <c r="A1009" t="str">
        <f>"22/07/2013"</f>
        <v>22/07/2013</v>
      </c>
      <c r="B1009" t="str">
        <f>"30.95"</f>
        <v>30.95</v>
      </c>
      <c r="C1009" t="str">
        <f>"31.01"</f>
        <v>31.01</v>
      </c>
    </row>
    <row r="1010" spans="1:3" x14ac:dyDescent="0.25">
      <c r="A1010" t="str">
        <f>"23/07/2013"</f>
        <v>23/07/2013</v>
      </c>
      <c r="B1010" t="str">
        <f>"30.933"</f>
        <v>30.933</v>
      </c>
      <c r="C1010" t="str">
        <f>"30.9926"</f>
        <v>30.9926</v>
      </c>
    </row>
    <row r="1011" spans="1:3" x14ac:dyDescent="0.25">
      <c r="A1011" t="str">
        <f>"24/07/2013"</f>
        <v>24/07/2013</v>
      </c>
      <c r="B1011" t="str">
        <f>"30.948"</f>
        <v>30.948</v>
      </c>
      <c r="C1011" t="str">
        <f>"31.0709"</f>
        <v>31.0709</v>
      </c>
    </row>
    <row r="1012" spans="1:3" x14ac:dyDescent="0.25">
      <c r="A1012" t="str">
        <f>"25/07/2013"</f>
        <v>25/07/2013</v>
      </c>
      <c r="B1012" t="str">
        <f>"31.092"</f>
        <v>31.092</v>
      </c>
      <c r="C1012" t="str">
        <f>"31.1496"</f>
        <v>31.1496</v>
      </c>
    </row>
    <row r="1013" spans="1:3" x14ac:dyDescent="0.25">
      <c r="A1013" t="str">
        <f>"26/07/2013"</f>
        <v>26/07/2013</v>
      </c>
      <c r="B1013" t="str">
        <f>"31.13"</f>
        <v>31.13</v>
      </c>
      <c r="C1013" t="str">
        <f>"31.1882"</f>
        <v>31.1882</v>
      </c>
    </row>
    <row r="1014" spans="1:3" x14ac:dyDescent="0.25">
      <c r="A1014" t="str">
        <f>"29/07/2013"</f>
        <v>29/07/2013</v>
      </c>
      <c r="B1014" t="str">
        <f>"31.183"</f>
        <v>31.183</v>
      </c>
      <c r="C1014" t="str">
        <f>"31.2383"</f>
        <v>31.2383</v>
      </c>
    </row>
    <row r="1015" spans="1:3" x14ac:dyDescent="0.25">
      <c r="A1015" t="str">
        <f>"30/07/2013"</f>
        <v>30/07/2013</v>
      </c>
      <c r="B1015" t="str">
        <f>"31.271"</f>
        <v>31.271</v>
      </c>
      <c r="C1015" t="str">
        <f>"31.3322"</f>
        <v>31.3322</v>
      </c>
    </row>
    <row r="1016" spans="1:3" x14ac:dyDescent="0.25">
      <c r="A1016" t="str">
        <f>"31/07/2013"</f>
        <v>31/07/2013</v>
      </c>
      <c r="B1016" t="str">
        <f>"31.369"</f>
        <v>31.369</v>
      </c>
      <c r="C1016" t="str">
        <f>"31.4299"</f>
        <v>31.4299</v>
      </c>
    </row>
    <row r="1017" spans="1:3" x14ac:dyDescent="0.25">
      <c r="A1017" t="str">
        <f>"01/08/2013"</f>
        <v>01/08/2013</v>
      </c>
      <c r="B1017" t="str">
        <f>"31.336"</f>
        <v>31.336</v>
      </c>
      <c r="C1017" t="str">
        <f>"31.3937"</f>
        <v>31.3937</v>
      </c>
    </row>
    <row r="1018" spans="1:3" x14ac:dyDescent="0.25">
      <c r="A1018" t="str">
        <f>"02/08/2013"</f>
        <v>02/08/2013</v>
      </c>
      <c r="B1018" t="str">
        <f>"31.41"</f>
        <v>31.41</v>
      </c>
      <c r="C1018" t="str">
        <f>"31.4678"</f>
        <v>31.4678</v>
      </c>
    </row>
    <row r="1019" spans="1:3" x14ac:dyDescent="0.25">
      <c r="A1019" t="str">
        <f>"05/08/2013"</f>
        <v>05/08/2013</v>
      </c>
      <c r="B1019" t="str">
        <f>"31.341"</f>
        <v>31.341</v>
      </c>
      <c r="C1019" t="str">
        <f>"31.3989"</f>
        <v>31.3989</v>
      </c>
    </row>
    <row r="1020" spans="1:3" x14ac:dyDescent="0.25">
      <c r="A1020" t="str">
        <f>"06/08/2013"</f>
        <v>06/08/2013</v>
      </c>
      <c r="B1020" t="str">
        <f>"31.395"</f>
        <v>31.395</v>
      </c>
      <c r="C1020" t="str">
        <f>"31.4539"</f>
        <v>31.4539</v>
      </c>
    </row>
    <row r="1021" spans="1:3" x14ac:dyDescent="0.25">
      <c r="A1021" t="str">
        <f>"07/08/2013"</f>
        <v>07/08/2013</v>
      </c>
      <c r="B1021" t="str">
        <f>"31.474"</f>
        <v>31.474</v>
      </c>
      <c r="C1021" t="str">
        <f>"31.5315"</f>
        <v>31.5315</v>
      </c>
    </row>
    <row r="1022" spans="1:3" x14ac:dyDescent="0.25">
      <c r="A1022" t="str">
        <f>"08/08/2013"</f>
        <v>08/08/2013</v>
      </c>
      <c r="B1022" t="str">
        <f>"31.32"</f>
        <v>31.32</v>
      </c>
      <c r="C1022" t="str">
        <f>"31.3772"</f>
        <v>31.3772</v>
      </c>
    </row>
    <row r="1023" spans="1:3" x14ac:dyDescent="0.25">
      <c r="A1023" t="str">
        <f>"12/08/2013"</f>
        <v>12/08/2013</v>
      </c>
      <c r="B1023" t="str">
        <f>"31.222"</f>
        <v>31.222</v>
      </c>
      <c r="C1023" t="str">
        <f>"31.281"</f>
        <v>31.281</v>
      </c>
    </row>
    <row r="1024" spans="1:3" x14ac:dyDescent="0.25">
      <c r="A1024" t="str">
        <f>"13/08/2013"</f>
        <v>13/08/2013</v>
      </c>
      <c r="B1024" t="str">
        <f>"31.254"</f>
        <v>31.254</v>
      </c>
      <c r="C1024" t="str">
        <f>"31.312"</f>
        <v>31.312</v>
      </c>
    </row>
    <row r="1025" spans="1:3" x14ac:dyDescent="0.25">
      <c r="A1025" t="str">
        <f>"14/08/2013"</f>
        <v>14/08/2013</v>
      </c>
      <c r="B1025" t="str">
        <f>"31.308"</f>
        <v>31.308</v>
      </c>
      <c r="C1025" t="str">
        <f>"31.3673"</f>
        <v>31.3673</v>
      </c>
    </row>
    <row r="1026" spans="1:3" x14ac:dyDescent="0.25">
      <c r="A1026" t="str">
        <f>"16/08/2013"</f>
        <v>16/08/2013</v>
      </c>
      <c r="B1026" t="str">
        <f>"31.293"</f>
        <v>31.293</v>
      </c>
      <c r="C1026" t="str">
        <f>"31.3502"</f>
        <v>31.3502</v>
      </c>
    </row>
    <row r="1027" spans="1:3" x14ac:dyDescent="0.25">
      <c r="A1027" t="str">
        <f>"19/08/2013"</f>
        <v>19/08/2013</v>
      </c>
      <c r="B1027" t="str">
        <f>"31.358"</f>
        <v>31.358</v>
      </c>
      <c r="C1027" t="str">
        <f>"31.4182"</f>
        <v>31.4182</v>
      </c>
    </row>
    <row r="1028" spans="1:3" x14ac:dyDescent="0.25">
      <c r="A1028" t="str">
        <f>"20/08/2013"</f>
        <v>20/08/2013</v>
      </c>
      <c r="B1028" t="str">
        <f>"31.664"</f>
        <v>31.664</v>
      </c>
      <c r="C1028" t="str">
        <f>"31.7231"</f>
        <v>31.7231</v>
      </c>
    </row>
    <row r="1029" spans="1:3" x14ac:dyDescent="0.25">
      <c r="A1029" t="str">
        <f>"21/08/2013"</f>
        <v>21/08/2013</v>
      </c>
      <c r="B1029" t="str">
        <f>"31.78"</f>
        <v>31.78</v>
      </c>
      <c r="C1029" t="str">
        <f>"31.8353"</f>
        <v>31.8353</v>
      </c>
    </row>
    <row r="1030" spans="1:3" x14ac:dyDescent="0.25">
      <c r="A1030" t="str">
        <f>"22/08/2013"</f>
        <v>22/08/2013</v>
      </c>
      <c r="B1030" t="str">
        <f>"32.14"</f>
        <v>32.14</v>
      </c>
      <c r="C1030" t="str">
        <f>"32.1992"</f>
        <v>32.1992</v>
      </c>
    </row>
    <row r="1031" spans="1:3" x14ac:dyDescent="0.25">
      <c r="A1031" t="str">
        <f>"23/08/2013"</f>
        <v>23/08/2013</v>
      </c>
      <c r="B1031" t="str">
        <f>"31.93"</f>
        <v>31.93</v>
      </c>
      <c r="C1031" t="str">
        <f>"31.989"</f>
        <v>31.989</v>
      </c>
    </row>
    <row r="1032" spans="1:3" x14ac:dyDescent="0.25">
      <c r="A1032" t="str">
        <f>"26/08/2013"</f>
        <v>26/08/2013</v>
      </c>
      <c r="B1032" t="str">
        <f>"31.965"</f>
        <v>31.965</v>
      </c>
      <c r="C1032" t="str">
        <f>"32.0271"</f>
        <v>32.0271</v>
      </c>
    </row>
    <row r="1033" spans="1:3" x14ac:dyDescent="0.25">
      <c r="A1033" t="str">
        <f>"27/08/2013"</f>
        <v>27/08/2013</v>
      </c>
      <c r="B1033" t="str">
        <f>"32.177"</f>
        <v>32.177</v>
      </c>
      <c r="C1033" t="str">
        <f>"32.2393"</f>
        <v>32.2393</v>
      </c>
    </row>
    <row r="1034" spans="1:3" x14ac:dyDescent="0.25">
      <c r="A1034" t="str">
        <f>"28/08/2013"</f>
        <v>28/08/2013</v>
      </c>
      <c r="B1034" t="str">
        <f>"32.299"</f>
        <v>32.299</v>
      </c>
      <c r="C1034" t="str">
        <f>"32.3572"</f>
        <v>32.3572</v>
      </c>
    </row>
    <row r="1035" spans="1:3" x14ac:dyDescent="0.25">
      <c r="A1035" t="str">
        <f>"29/08/2013"</f>
        <v>29/08/2013</v>
      </c>
      <c r="B1035" t="str">
        <f>"32.18"</f>
        <v>32.18</v>
      </c>
      <c r="C1035" t="str">
        <f>"32.2371"</f>
        <v>32.2371</v>
      </c>
    </row>
    <row r="1036" spans="1:3" x14ac:dyDescent="0.25">
      <c r="A1036" t="str">
        <f>"30/08/2013"</f>
        <v>30/08/2013</v>
      </c>
      <c r="B1036" t="str">
        <f>"32.113"</f>
        <v>32.113</v>
      </c>
      <c r="C1036" t="str">
        <f>"32.1699"</f>
        <v>32.1699</v>
      </c>
    </row>
    <row r="1037" spans="1:3" x14ac:dyDescent="0.25">
      <c r="A1037" t="str">
        <f>"02/09/2013"</f>
        <v>02/09/2013</v>
      </c>
      <c r="B1037" t="str">
        <f>"32.128"</f>
        <v>32.128</v>
      </c>
      <c r="C1037" t="str">
        <f>"32.185"</f>
        <v>32.185</v>
      </c>
    </row>
    <row r="1038" spans="1:3" x14ac:dyDescent="0.25">
      <c r="A1038" t="str">
        <f>"03/09/2013"</f>
        <v>03/09/2013</v>
      </c>
      <c r="B1038" t="str">
        <f>"32.046"</f>
        <v>32.046</v>
      </c>
      <c r="C1038" t="str">
        <f>"32.1075"</f>
        <v>32.1075</v>
      </c>
    </row>
    <row r="1039" spans="1:3" x14ac:dyDescent="0.25">
      <c r="A1039" t="str">
        <f>"04/09/2013"</f>
        <v>04/09/2013</v>
      </c>
      <c r="B1039" t="str">
        <f>"32.225"</f>
        <v>32.225</v>
      </c>
      <c r="C1039" t="str">
        <f>"32.286"</f>
        <v>32.286</v>
      </c>
    </row>
    <row r="1040" spans="1:3" x14ac:dyDescent="0.25">
      <c r="A1040" t="str">
        <f>"05/09/2013"</f>
        <v>05/09/2013</v>
      </c>
      <c r="B1040" t="str">
        <f>"32.183"</f>
        <v>32.183</v>
      </c>
      <c r="C1040" t="str">
        <f>"32.2422"</f>
        <v>32.2422</v>
      </c>
    </row>
    <row r="1041" spans="1:3" x14ac:dyDescent="0.25">
      <c r="A1041" t="str">
        <f>"06/09/2013"</f>
        <v>06/09/2013</v>
      </c>
      <c r="B1041" t="str">
        <f>"32.44"</f>
        <v>32.44</v>
      </c>
      <c r="C1041" t="str">
        <f>"32.4995"</f>
        <v>32.4995</v>
      </c>
    </row>
    <row r="1042" spans="1:3" x14ac:dyDescent="0.25">
      <c r="A1042" t="str">
        <f>"10/09/2013"</f>
        <v>10/09/2013</v>
      </c>
      <c r="B1042" t="str">
        <f>"32.10"</f>
        <v>32.10</v>
      </c>
      <c r="C1042" t="str">
        <f>"32.1647"</f>
        <v>32.1647</v>
      </c>
    </row>
    <row r="1043" spans="1:3" x14ac:dyDescent="0.25">
      <c r="A1043" t="str">
        <f>"11/09/2013"</f>
        <v>11/09/2013</v>
      </c>
      <c r="B1043" t="str">
        <f>"32.15"</f>
        <v>32.15</v>
      </c>
      <c r="C1043" t="str">
        <f>"32.2145"</f>
        <v>32.2145</v>
      </c>
    </row>
    <row r="1044" spans="1:3" x14ac:dyDescent="0.25">
      <c r="A1044" t="str">
        <f>"12/09/2013"</f>
        <v>12/09/2013</v>
      </c>
      <c r="B1044" t="str">
        <f>"31.716"</f>
        <v>31.716</v>
      </c>
      <c r="C1044" t="str">
        <f>"31.7753"</f>
        <v>31.7753</v>
      </c>
    </row>
    <row r="1045" spans="1:3" x14ac:dyDescent="0.25">
      <c r="A1045" t="str">
        <f>"13/09/2013"</f>
        <v>13/09/2013</v>
      </c>
      <c r="B1045" t="str">
        <f>"31.84"</f>
        <v>31.84</v>
      </c>
      <c r="C1045" t="str">
        <f>"31.8973"</f>
        <v>31.8973</v>
      </c>
    </row>
    <row r="1046" spans="1:3" x14ac:dyDescent="0.25">
      <c r="A1046" t="str">
        <f>"16/09/2013"</f>
        <v>16/09/2013</v>
      </c>
      <c r="B1046" t="str">
        <f>"31.691"</f>
        <v>31.691</v>
      </c>
      <c r="C1046" t="str">
        <f>"31.7495"</f>
        <v>31.7495</v>
      </c>
    </row>
    <row r="1047" spans="1:3" x14ac:dyDescent="0.25">
      <c r="A1047" t="str">
        <f>"17/09/2013"</f>
        <v>17/09/2013</v>
      </c>
      <c r="B1047" t="str">
        <f>"31.844"</f>
        <v>31.844</v>
      </c>
      <c r="C1047" t="str">
        <f>"31.9066"</f>
        <v>31.9066</v>
      </c>
    </row>
    <row r="1048" spans="1:3" x14ac:dyDescent="0.25">
      <c r="A1048" t="str">
        <f>"18/09/2013"</f>
        <v>18/09/2013</v>
      </c>
      <c r="B1048" t="str">
        <f>"31.697"</f>
        <v>31.697</v>
      </c>
      <c r="C1048" t="str">
        <f>"31.7568"</f>
        <v>31.7568</v>
      </c>
    </row>
    <row r="1049" spans="1:3" x14ac:dyDescent="0.25">
      <c r="A1049" t="str">
        <f>"19/09/2013"</f>
        <v>19/09/2013</v>
      </c>
      <c r="B1049" t="str">
        <f>"31.019"</f>
        <v>31.019</v>
      </c>
      <c r="C1049" t="str">
        <f>"31.079"</f>
        <v>31.079</v>
      </c>
    </row>
    <row r="1050" spans="1:3" x14ac:dyDescent="0.25">
      <c r="A1050" t="str">
        <f>"20/09/2013"</f>
        <v>20/09/2013</v>
      </c>
      <c r="B1050" t="str">
        <f>"30.991"</f>
        <v>30.991</v>
      </c>
      <c r="C1050" t="str">
        <f>"31.051"</f>
        <v>31.051</v>
      </c>
    </row>
    <row r="1051" spans="1:3" x14ac:dyDescent="0.25">
      <c r="A1051" t="str">
        <f>"23/09/2013"</f>
        <v>23/09/2013</v>
      </c>
      <c r="B1051" t="str">
        <f>"31.13"</f>
        <v>31.13</v>
      </c>
      <c r="C1051" t="str">
        <f>"31.1934"</f>
        <v>31.1934</v>
      </c>
    </row>
    <row r="1052" spans="1:3" x14ac:dyDescent="0.25">
      <c r="A1052" t="str">
        <f>"24/09/2013"</f>
        <v>24/09/2013</v>
      </c>
      <c r="B1052" t="str">
        <f>"31.30"</f>
        <v>31.30</v>
      </c>
      <c r="C1052" t="str">
        <f>"31.3633"</f>
        <v>31.3633</v>
      </c>
    </row>
    <row r="1053" spans="1:3" x14ac:dyDescent="0.25">
      <c r="A1053" t="str">
        <f>"25/09/2013"</f>
        <v>25/09/2013</v>
      </c>
      <c r="B1053" t="str">
        <f>"31.434"</f>
        <v>31.434</v>
      </c>
      <c r="C1053" t="str">
        <f>"31.4961"</f>
        <v>31.4961</v>
      </c>
    </row>
    <row r="1054" spans="1:3" x14ac:dyDescent="0.25">
      <c r="A1054" t="str">
        <f>"26/09/2013"</f>
        <v>26/09/2013</v>
      </c>
      <c r="B1054" t="str">
        <f>"31.25"</f>
        <v>31.25</v>
      </c>
      <c r="C1054" t="str">
        <f>"31.3113"</f>
        <v>31.3113</v>
      </c>
    </row>
    <row r="1055" spans="1:3" x14ac:dyDescent="0.25">
      <c r="A1055" t="str">
        <f>"27/09/2013"</f>
        <v>27/09/2013</v>
      </c>
      <c r="B1055" t="str">
        <f>"31.25"</f>
        <v>31.25</v>
      </c>
      <c r="C1055" t="str">
        <f>"31.3092"</f>
        <v>31.3092</v>
      </c>
    </row>
    <row r="1056" spans="1:3" x14ac:dyDescent="0.25">
      <c r="A1056" t="str">
        <f>"30/09/2013"</f>
        <v>30/09/2013</v>
      </c>
      <c r="B1056" t="str">
        <f>"31.392"</f>
        <v>31.392</v>
      </c>
      <c r="C1056" t="str">
        <f>"31.4548"</f>
        <v>31.4548</v>
      </c>
    </row>
    <row r="1057" spans="1:3" x14ac:dyDescent="0.25">
      <c r="A1057" t="str">
        <f>"01/10/2013"</f>
        <v>01/10/2013</v>
      </c>
      <c r="B1057" t="str">
        <f>"31.269"</f>
        <v>31.269</v>
      </c>
      <c r="C1057" t="str">
        <f>"31.3318"</f>
        <v>31.3318</v>
      </c>
    </row>
    <row r="1058" spans="1:3" x14ac:dyDescent="0.25">
      <c r="A1058" t="str">
        <f>"03/10/2013"</f>
        <v>03/10/2013</v>
      </c>
      <c r="B1058" t="str">
        <f>"31.208"</f>
        <v>31.208</v>
      </c>
      <c r="C1058" t="str">
        <f>"31.2699"</f>
        <v>31.2699</v>
      </c>
    </row>
    <row r="1059" spans="1:3" x14ac:dyDescent="0.25">
      <c r="A1059" t="str">
        <f>"04/10/2013"</f>
        <v>04/10/2013</v>
      </c>
      <c r="B1059" t="str">
        <f>"31.332"</f>
        <v>31.332</v>
      </c>
      <c r="C1059" t="str">
        <f>"31.3934"</f>
        <v>31.3934</v>
      </c>
    </row>
    <row r="1060" spans="1:3" x14ac:dyDescent="0.25">
      <c r="A1060" t="str">
        <f>"07/10/2013"</f>
        <v>07/10/2013</v>
      </c>
      <c r="B1060" t="str">
        <f>"31.36"</f>
        <v>31.36</v>
      </c>
      <c r="C1060" t="str">
        <f>"31.4283"</f>
        <v>31.4283</v>
      </c>
    </row>
    <row r="1061" spans="1:3" x14ac:dyDescent="0.25">
      <c r="A1061" t="str">
        <f>"08/10/2013"</f>
        <v>08/10/2013</v>
      </c>
      <c r="B1061" t="str">
        <f>"31.401"</f>
        <v>31.401</v>
      </c>
      <c r="C1061" t="str">
        <f>"31.4652"</f>
        <v>31.4652</v>
      </c>
    </row>
    <row r="1062" spans="1:3" x14ac:dyDescent="0.25">
      <c r="A1062" t="str">
        <f>"09/10/2013"</f>
        <v>09/10/2013</v>
      </c>
      <c r="B1062" t="str">
        <f>"31.435"</f>
        <v>31.435</v>
      </c>
      <c r="C1062" t="str">
        <f>"31.4985"</f>
        <v>31.4985</v>
      </c>
    </row>
    <row r="1063" spans="1:3" x14ac:dyDescent="0.25">
      <c r="A1063" t="str">
        <f>"10/10/2013"</f>
        <v>10/10/2013</v>
      </c>
      <c r="B1063" t="str">
        <f>"31.502"</f>
        <v>31.502</v>
      </c>
      <c r="C1063" t="str">
        <f>"31.5628"</f>
        <v>31.5628</v>
      </c>
    </row>
    <row r="1064" spans="1:3" x14ac:dyDescent="0.25">
      <c r="A1064" t="str">
        <f>"11/10/2013"</f>
        <v>11/10/2013</v>
      </c>
      <c r="B1064" t="str">
        <f>"31.326"</f>
        <v>31.326</v>
      </c>
      <c r="C1064" t="str">
        <f>"31.384"</f>
        <v>31.384</v>
      </c>
    </row>
    <row r="1065" spans="1:3" x14ac:dyDescent="0.25">
      <c r="A1065" t="str">
        <f>"14/10/2013"</f>
        <v>14/10/2013</v>
      </c>
      <c r="B1065" t="str">
        <f>"31.339"</f>
        <v>31.339</v>
      </c>
      <c r="C1065" t="str">
        <f>"31.4004"</f>
        <v>31.4004</v>
      </c>
    </row>
    <row r="1066" spans="1:3" x14ac:dyDescent="0.25">
      <c r="A1066" t="str">
        <f>"15/10/2013"</f>
        <v>15/10/2013</v>
      </c>
      <c r="B1066" t="str">
        <f>"31.272"</f>
        <v>31.272</v>
      </c>
      <c r="C1066" t="str">
        <f>"31.3335"</f>
        <v>31.3335</v>
      </c>
    </row>
    <row r="1067" spans="1:3" x14ac:dyDescent="0.25">
      <c r="A1067" t="str">
        <f>"17/10/2013"</f>
        <v>17/10/2013</v>
      </c>
      <c r="B1067" t="str">
        <f>"31.14"</f>
        <v>31.14</v>
      </c>
      <c r="C1067" t="str">
        <f>"31.2003"</f>
        <v>31.2003</v>
      </c>
    </row>
    <row r="1068" spans="1:3" x14ac:dyDescent="0.25">
      <c r="A1068" t="str">
        <f>"18/10/2013"</f>
        <v>18/10/2013</v>
      </c>
      <c r="B1068" t="str">
        <f>"31.042"</f>
        <v>31.042</v>
      </c>
      <c r="C1068" t="str">
        <f>"31.1029"</f>
        <v>31.1029</v>
      </c>
    </row>
    <row r="1069" spans="1:3" x14ac:dyDescent="0.25">
      <c r="A1069" t="str">
        <f>"21/10/2013"</f>
        <v>21/10/2013</v>
      </c>
      <c r="B1069" t="str">
        <f>"31.093"</f>
        <v>31.093</v>
      </c>
      <c r="C1069" t="str">
        <f>"31.1561"</f>
        <v>31.1561</v>
      </c>
    </row>
    <row r="1070" spans="1:3" x14ac:dyDescent="0.25">
      <c r="A1070" t="str">
        <f>"22/10/2013"</f>
        <v>22/10/2013</v>
      </c>
      <c r="B1070" t="str">
        <f>"31.156"</f>
        <v>31.156</v>
      </c>
      <c r="C1070" t="str">
        <f>"31.2187"</f>
        <v>31.2187</v>
      </c>
    </row>
    <row r="1071" spans="1:3" x14ac:dyDescent="0.25">
      <c r="A1071" t="str">
        <f>"23/10/2013"</f>
        <v>23/10/2013</v>
      </c>
      <c r="B1071" t="str">
        <f>"31.047"</f>
        <v>31.047</v>
      </c>
      <c r="C1071" t="str">
        <f>"31.1087"</f>
        <v>31.1087</v>
      </c>
    </row>
    <row r="1072" spans="1:3" x14ac:dyDescent="0.25">
      <c r="A1072" t="str">
        <f>"24/10/2013"</f>
        <v>24/10/2013</v>
      </c>
      <c r="B1072" t="str">
        <f>"31.158"</f>
        <v>31.158</v>
      </c>
      <c r="C1072" t="str">
        <f>"31.222"</f>
        <v>31.222</v>
      </c>
    </row>
    <row r="1073" spans="1:3" x14ac:dyDescent="0.25">
      <c r="A1073" t="str">
        <f>"25/10/2013"</f>
        <v>25/10/2013</v>
      </c>
      <c r="B1073" t="str">
        <f>"31.12"</f>
        <v>31.12</v>
      </c>
      <c r="C1073" t="str">
        <f>"31.1827"</f>
        <v>31.1827</v>
      </c>
    </row>
    <row r="1074" spans="1:3" x14ac:dyDescent="0.25">
      <c r="A1074" t="str">
        <f>"28/10/2013"</f>
        <v>28/10/2013</v>
      </c>
      <c r="B1074" t="str">
        <f>"31.085"</f>
        <v>31.085</v>
      </c>
      <c r="C1074" t="str">
        <f>"31.1459"</f>
        <v>31.1459</v>
      </c>
    </row>
    <row r="1075" spans="1:3" x14ac:dyDescent="0.25">
      <c r="A1075" t="str">
        <f>"29/10/2013"</f>
        <v>29/10/2013</v>
      </c>
      <c r="B1075" t="str">
        <f>"31.07"</f>
        <v>31.07</v>
      </c>
      <c r="C1075" t="str">
        <f>"31.1284"</f>
        <v>31.1284</v>
      </c>
    </row>
    <row r="1076" spans="1:3" x14ac:dyDescent="0.25">
      <c r="A1076" t="str">
        <f>"30/10/2013"</f>
        <v>30/10/2013</v>
      </c>
      <c r="B1076" t="str">
        <f>"31.07"</f>
        <v>31.07</v>
      </c>
      <c r="C1076" t="str">
        <f>"31.132"</f>
        <v>31.132</v>
      </c>
    </row>
    <row r="1077" spans="1:3" x14ac:dyDescent="0.25">
      <c r="A1077" t="str">
        <f>"31/10/2013"</f>
        <v>31/10/2013</v>
      </c>
      <c r="B1077" t="str">
        <f>"31.094"</f>
        <v>31.094</v>
      </c>
      <c r="C1077" t="str">
        <f>"31.1543"</f>
        <v>31.1543</v>
      </c>
    </row>
    <row r="1078" spans="1:3" x14ac:dyDescent="0.25">
      <c r="A1078" t="str">
        <f>"01/11/2013"</f>
        <v>01/11/2013</v>
      </c>
      <c r="B1078" t="str">
        <f>"31.199"</f>
        <v>31.199</v>
      </c>
      <c r="C1078" t="str">
        <f>"31.2603"</f>
        <v>31.2603</v>
      </c>
    </row>
    <row r="1079" spans="1:3" x14ac:dyDescent="0.25">
      <c r="A1079" t="str">
        <f>"05/11/2013"</f>
        <v>05/11/2013</v>
      </c>
      <c r="B1079" t="str">
        <f>"31.312"</f>
        <v>31.312</v>
      </c>
      <c r="C1079" t="str">
        <f>"31.3747"</f>
        <v>31.3747</v>
      </c>
    </row>
    <row r="1080" spans="1:3" x14ac:dyDescent="0.25">
      <c r="A1080" t="str">
        <f>"06/11/2013"</f>
        <v>06/11/2013</v>
      </c>
      <c r="B1080" t="str">
        <f>"31.28"</f>
        <v>31.28</v>
      </c>
      <c r="C1080" t="str">
        <f>"31.3447"</f>
        <v>31.3447</v>
      </c>
    </row>
    <row r="1081" spans="1:3" x14ac:dyDescent="0.25">
      <c r="A1081" t="str">
        <f>"07/11/2013"</f>
        <v>07/11/2013</v>
      </c>
      <c r="B1081" t="str">
        <f>"31.289"</f>
        <v>31.289</v>
      </c>
      <c r="C1081" t="str">
        <f>"31.35"</f>
        <v>31.35</v>
      </c>
    </row>
    <row r="1082" spans="1:3" x14ac:dyDescent="0.25">
      <c r="A1082" t="str">
        <f>"08/11/2013"</f>
        <v>08/11/2013</v>
      </c>
      <c r="B1082" t="str">
        <f>"31.374"</f>
        <v>31.374</v>
      </c>
      <c r="C1082" t="str">
        <f>"31.4333"</f>
        <v>31.4333</v>
      </c>
    </row>
    <row r="1083" spans="1:3" x14ac:dyDescent="0.25">
      <c r="A1083" t="str">
        <f>"11/11/2013"</f>
        <v>11/11/2013</v>
      </c>
      <c r="B1083" t="str">
        <f>"31.668"</f>
        <v>31.668</v>
      </c>
      <c r="C1083" t="str">
        <f>"31.727"</f>
        <v>31.727</v>
      </c>
    </row>
    <row r="1084" spans="1:3" x14ac:dyDescent="0.25">
      <c r="A1084" t="str">
        <f>"12/11/2013"</f>
        <v>12/11/2013</v>
      </c>
      <c r="B1084" t="str">
        <f>"31.56"</f>
        <v>31.56</v>
      </c>
      <c r="C1084" t="str">
        <f>"31.6211"</f>
        <v>31.6211</v>
      </c>
    </row>
    <row r="1085" spans="1:3" x14ac:dyDescent="0.25">
      <c r="A1085" t="str">
        <f>"13/11/2013"</f>
        <v>13/11/2013</v>
      </c>
      <c r="B1085" t="str">
        <f>"31.595"</f>
        <v>31.595</v>
      </c>
      <c r="C1085" t="str">
        <f>"31.6552"</f>
        <v>31.6552</v>
      </c>
    </row>
    <row r="1086" spans="1:3" x14ac:dyDescent="0.25">
      <c r="A1086" t="str">
        <f>"14/11/2013"</f>
        <v>14/11/2013</v>
      </c>
      <c r="B1086" t="str">
        <f>"31.498"</f>
        <v>31.498</v>
      </c>
      <c r="C1086" t="str">
        <f>"31.5556"</f>
        <v>31.5556</v>
      </c>
    </row>
    <row r="1087" spans="1:3" x14ac:dyDescent="0.25">
      <c r="A1087" t="str">
        <f>"18/11/2013"</f>
        <v>18/11/2013</v>
      </c>
      <c r="B1087" t="str">
        <f>"31.585"</f>
        <v>31.585</v>
      </c>
      <c r="C1087" t="str">
        <f>"31.6424"</f>
        <v>31.6424</v>
      </c>
    </row>
    <row r="1088" spans="1:3" x14ac:dyDescent="0.25">
      <c r="A1088" t="str">
        <f>"19/11/2013"</f>
        <v>19/11/2013</v>
      </c>
      <c r="B1088" t="str">
        <f>"31.60"</f>
        <v>31.60</v>
      </c>
      <c r="C1088" t="str">
        <f>"31.6627"</f>
        <v>31.6627</v>
      </c>
    </row>
    <row r="1089" spans="1:3" x14ac:dyDescent="0.25">
      <c r="A1089" t="str">
        <f>"20/11/2013"</f>
        <v>20/11/2013</v>
      </c>
      <c r="B1089" t="str">
        <f>"31.655"</f>
        <v>31.655</v>
      </c>
      <c r="C1089" t="str">
        <f>"31.7163"</f>
        <v>31.7163</v>
      </c>
    </row>
    <row r="1090" spans="1:3" x14ac:dyDescent="0.25">
      <c r="A1090" t="str">
        <f>"21/11/2013"</f>
        <v>21/11/2013</v>
      </c>
      <c r="B1090" t="str">
        <f>"31.806"</f>
        <v>31.806</v>
      </c>
      <c r="C1090" t="str">
        <f>"31.8665"</f>
        <v>31.8665</v>
      </c>
    </row>
    <row r="1091" spans="1:3" x14ac:dyDescent="0.25">
      <c r="A1091" t="str">
        <f>"22/11/2013"</f>
        <v>22/11/2013</v>
      </c>
      <c r="B1091" t="str">
        <f>"31.84"</f>
        <v>31.84</v>
      </c>
      <c r="C1091" t="str">
        <f>"31.9005"</f>
        <v>31.9005</v>
      </c>
    </row>
    <row r="1092" spans="1:3" x14ac:dyDescent="0.25">
      <c r="A1092" t="str">
        <f>"25/11/2013"</f>
        <v>25/11/2013</v>
      </c>
      <c r="B1092" t="str">
        <f>"31.964"</f>
        <v>31.964</v>
      </c>
      <c r="C1092" t="str">
        <f>"32.0238"</f>
        <v>32.0238</v>
      </c>
    </row>
    <row r="1093" spans="1:3" x14ac:dyDescent="0.25">
      <c r="A1093" t="str">
        <f>"26/11/2013"</f>
        <v>26/11/2013</v>
      </c>
      <c r="B1093" t="str">
        <f>"32.028"</f>
        <v>32.028</v>
      </c>
      <c r="C1093" t="str">
        <f>"32.0872"</f>
        <v>32.0872</v>
      </c>
    </row>
    <row r="1094" spans="1:3" x14ac:dyDescent="0.25">
      <c r="A1094" t="str">
        <f>"27/11/2013"</f>
        <v>27/11/2013</v>
      </c>
      <c r="B1094" t="str">
        <f>"32.039"</f>
        <v>32.039</v>
      </c>
      <c r="C1094" t="str">
        <f>"32.0956"</f>
        <v>32.0956</v>
      </c>
    </row>
    <row r="1095" spans="1:3" x14ac:dyDescent="0.25">
      <c r="A1095" t="str">
        <f>"28/11/2013"</f>
        <v>28/11/2013</v>
      </c>
      <c r="B1095" t="str">
        <f>"32.19"</f>
        <v>32.19</v>
      </c>
      <c r="C1095" t="str">
        <f>"32.242"</f>
        <v>32.242</v>
      </c>
    </row>
    <row r="1096" spans="1:3" x14ac:dyDescent="0.25">
      <c r="A1096" t="str">
        <f>"29/11/2013"</f>
        <v>29/11/2013</v>
      </c>
      <c r="B1096" t="str">
        <f>"32.111"</f>
        <v>32.111</v>
      </c>
      <c r="C1096" t="str">
        <f>"32.1599"</f>
        <v>32.1599</v>
      </c>
    </row>
    <row r="1097" spans="1:3" x14ac:dyDescent="0.25">
      <c r="A1097" t="str">
        <f>"02/12/2013"</f>
        <v>02/12/2013</v>
      </c>
      <c r="B1097" t="str">
        <f>"32.225"</f>
        <v>32.225</v>
      </c>
      <c r="C1097" t="str">
        <f>"32.2722"</f>
        <v>32.2722</v>
      </c>
    </row>
    <row r="1098" spans="1:3" x14ac:dyDescent="0.25">
      <c r="A1098" t="str">
        <f>"03/12/2013"</f>
        <v>03/12/2013</v>
      </c>
      <c r="B1098" t="str">
        <f>"32.219"</f>
        <v>32.219</v>
      </c>
      <c r="C1098" t="str">
        <f>"32.2665"</f>
        <v>32.2665</v>
      </c>
    </row>
    <row r="1099" spans="1:3" x14ac:dyDescent="0.25">
      <c r="A1099" t="str">
        <f>"04/12/2013"</f>
        <v>04/12/2013</v>
      </c>
      <c r="B1099" t="str">
        <f>"32.195"</f>
        <v>32.195</v>
      </c>
      <c r="C1099" t="str">
        <f>"32.2412"</f>
        <v>32.2412</v>
      </c>
    </row>
    <row r="1100" spans="1:3" x14ac:dyDescent="0.25">
      <c r="A1100" t="str">
        <f>"05/12/2013"</f>
        <v>05/12/2013</v>
      </c>
      <c r="B1100" t="str">
        <f>"32.259"</f>
        <v>32.259</v>
      </c>
      <c r="C1100" t="str">
        <f>"32.306"</f>
        <v>32.306</v>
      </c>
    </row>
    <row r="1101" spans="1:3" x14ac:dyDescent="0.25">
      <c r="A1101" t="str">
        <f>"06/12/2013"</f>
        <v>06/12/2013</v>
      </c>
      <c r="B1101" t="str">
        <f>"32.34"</f>
        <v>32.34</v>
      </c>
      <c r="C1101" t="str">
        <f>"32.3872"</f>
        <v>32.3872</v>
      </c>
    </row>
    <row r="1102" spans="1:3" x14ac:dyDescent="0.25">
      <c r="A1102" t="str">
        <f>"09/12/2013"</f>
        <v>09/12/2013</v>
      </c>
      <c r="B1102" t="str">
        <f>"32.15"</f>
        <v>32.15</v>
      </c>
      <c r="C1102" t="str">
        <f>"32.1974"</f>
        <v>32.1974</v>
      </c>
    </row>
    <row r="1103" spans="1:3" x14ac:dyDescent="0.25">
      <c r="A1103" t="str">
        <f>"10/12/2013"</f>
        <v>10/12/2013</v>
      </c>
      <c r="B1103" t="str">
        <f>"32.107"</f>
        <v>32.107</v>
      </c>
      <c r="C1103" t="str">
        <f>"32.1548"</f>
        <v>32.1548</v>
      </c>
    </row>
    <row r="1104" spans="1:3" x14ac:dyDescent="0.25">
      <c r="A1104" t="str">
        <f>"11/12/2013"</f>
        <v>11/12/2013</v>
      </c>
      <c r="B1104" t="str">
        <f>"32.037"</f>
        <v>32.037</v>
      </c>
      <c r="C1104" t="str">
        <f>"32.0845"</f>
        <v>32.0845</v>
      </c>
    </row>
    <row r="1105" spans="1:3" x14ac:dyDescent="0.25">
      <c r="A1105" t="str">
        <f>"12/12/2013"</f>
        <v>12/12/2013</v>
      </c>
      <c r="B1105" t="str">
        <f>"32.13"</f>
        <v>32.13</v>
      </c>
      <c r="C1105" t="str">
        <f>"32.1782"</f>
        <v>32.1782</v>
      </c>
    </row>
    <row r="1106" spans="1:3" x14ac:dyDescent="0.25">
      <c r="A1106" t="str">
        <f>"13/12/2013"</f>
        <v>13/12/2013</v>
      </c>
      <c r="B1106" t="str">
        <f>"32.092"</f>
        <v>32.092</v>
      </c>
      <c r="C1106" t="str">
        <f>"32.1438"</f>
        <v>32.1438</v>
      </c>
    </row>
    <row r="1107" spans="1:3" x14ac:dyDescent="0.25">
      <c r="A1107" t="str">
        <f>"16/12/2013"</f>
        <v>16/12/2013</v>
      </c>
      <c r="B1107" t="str">
        <f>"32.041"</f>
        <v>32.041</v>
      </c>
      <c r="C1107" t="str">
        <f>"32.1034"</f>
        <v>32.1034</v>
      </c>
    </row>
    <row r="1108" spans="1:3" x14ac:dyDescent="0.25">
      <c r="A1108" t="str">
        <f>"17/12/2013"</f>
        <v>17/12/2013</v>
      </c>
      <c r="B1108" t="str">
        <f>"32.032"</f>
        <v>32.032</v>
      </c>
      <c r="C1108" t="str">
        <f>"32.0908"</f>
        <v>32.0908</v>
      </c>
    </row>
    <row r="1109" spans="1:3" x14ac:dyDescent="0.25">
      <c r="A1109" t="str">
        <f>"18/12/2013"</f>
        <v>18/12/2013</v>
      </c>
      <c r="B1109" t="str">
        <f>"32.235"</f>
        <v>32.235</v>
      </c>
      <c r="C1109" t="str">
        <f>"32.2906"</f>
        <v>32.2906</v>
      </c>
    </row>
    <row r="1110" spans="1:3" x14ac:dyDescent="0.25">
      <c r="A1110" t="str">
        <f>"19/12/2013"</f>
        <v>19/12/2013</v>
      </c>
      <c r="B1110" t="str">
        <f>"32.411"</f>
        <v>32.411</v>
      </c>
      <c r="C1110" t="str">
        <f>"32.4614"</f>
        <v>32.4614</v>
      </c>
    </row>
    <row r="1111" spans="1:3" x14ac:dyDescent="0.25">
      <c r="A1111" t="str">
        <f>"20/12/2013"</f>
        <v>20/12/2013</v>
      </c>
      <c r="B1111" t="str">
        <f>"32.54"</f>
        <v>32.54</v>
      </c>
      <c r="C1111" t="str">
        <f>"32.592"</f>
        <v>32.592</v>
      </c>
    </row>
    <row r="1112" spans="1:3" x14ac:dyDescent="0.25">
      <c r="A1112" t="str">
        <f>"23/12/2013"</f>
        <v>23/12/2013</v>
      </c>
      <c r="B1112" t="str">
        <f>"32.792"</f>
        <v>32.792</v>
      </c>
      <c r="C1112" t="str">
        <f>"32.8499"</f>
        <v>32.8499</v>
      </c>
    </row>
    <row r="1113" spans="1:3" x14ac:dyDescent="0.25">
      <c r="A1113" t="str">
        <f>"24/12/2013"</f>
        <v>24/12/2013</v>
      </c>
      <c r="B1113" t="str">
        <f>"32.777"</f>
        <v>32.777</v>
      </c>
      <c r="C1113" t="str">
        <f>"32.8325"</f>
        <v>32.8325</v>
      </c>
    </row>
    <row r="1114" spans="1:3" x14ac:dyDescent="0.25">
      <c r="A1114" t="str">
        <f>"26/12/2013"</f>
        <v>26/12/2013</v>
      </c>
      <c r="B1114" t="str">
        <f>"32.83"</f>
        <v>32.83</v>
      </c>
      <c r="C1114" t="str">
        <f>"32.8826"</f>
        <v>32.8826</v>
      </c>
    </row>
    <row r="1115" spans="1:3" x14ac:dyDescent="0.25">
      <c r="A1115" t="str">
        <f>"27/12/2013"</f>
        <v>27/12/2013</v>
      </c>
      <c r="B1115" t="str">
        <f>"32.834"</f>
        <v>32.834</v>
      </c>
      <c r="C1115" t="str">
        <f>"32.8854"</f>
        <v>32.8854</v>
      </c>
    </row>
    <row r="1116" spans="1:3" x14ac:dyDescent="0.25">
      <c r="A1116" t="str">
        <f>"30/12/2013"</f>
        <v>30/12/2013</v>
      </c>
      <c r="B1116" t="str">
        <f>"32.972"</f>
        <v>32.972</v>
      </c>
      <c r="C1116" t="str">
        <f>"33.0255"</f>
        <v>33.0255</v>
      </c>
    </row>
    <row r="1117" spans="1:3" x14ac:dyDescent="0.25">
      <c r="A1117" t="str">
        <f>"31/12/2013"</f>
        <v>31/12/2013</v>
      </c>
      <c r="B1117" t="str">
        <f>"32.839"</f>
        <v>32.839</v>
      </c>
      <c r="C1117" t="str">
        <f>"32.8928"</f>
        <v>32.8928</v>
      </c>
    </row>
    <row r="1118" spans="1:3" x14ac:dyDescent="0.25">
      <c r="A1118" t="str">
        <f>"01/01/2014"</f>
        <v>01/01/2014</v>
      </c>
      <c r="B1118" t="str">
        <f>"32.71"</f>
        <v>32.71</v>
      </c>
      <c r="C1118" t="str">
        <f>"32.7639"</f>
        <v>32.7639</v>
      </c>
    </row>
    <row r="1119" spans="1:3" x14ac:dyDescent="0.25">
      <c r="A1119" t="str">
        <f>"02/01/2014"</f>
        <v>02/01/2014</v>
      </c>
      <c r="B1119" t="str">
        <f>"32.924"</f>
        <v>32.924</v>
      </c>
      <c r="C1119" t="str">
        <f>"32.9751"</f>
        <v>32.9751</v>
      </c>
    </row>
    <row r="1120" spans="1:3" x14ac:dyDescent="0.25">
      <c r="A1120" t="str">
        <f>"03/01/2014"</f>
        <v>03/01/2014</v>
      </c>
      <c r="B1120" t="str">
        <f>"33.01"</f>
        <v>33.01</v>
      </c>
      <c r="C1120" t="str">
        <f>"33.0622"</f>
        <v>33.0622</v>
      </c>
    </row>
    <row r="1121" spans="1:3" x14ac:dyDescent="0.25">
      <c r="A1121" t="str">
        <f>"06/01/2014"</f>
        <v>06/01/2014</v>
      </c>
      <c r="B1121" t="str">
        <f>"33.12"</f>
        <v>33.12</v>
      </c>
      <c r="C1121" t="str">
        <f>"33.1754"</f>
        <v>33.1754</v>
      </c>
    </row>
    <row r="1122" spans="1:3" x14ac:dyDescent="0.25">
      <c r="A1122" t="str">
        <f>"07/01/2014"</f>
        <v>07/01/2014</v>
      </c>
      <c r="B1122" t="str">
        <f>"33.11"</f>
        <v>33.11</v>
      </c>
      <c r="C1122" t="str">
        <f>"33.1681"</f>
        <v>33.1681</v>
      </c>
    </row>
    <row r="1123" spans="1:3" x14ac:dyDescent="0.25">
      <c r="A1123" t="str">
        <f>"08/01/2014"</f>
        <v>08/01/2014</v>
      </c>
      <c r="B1123" t="str">
        <f>"33.068"</f>
        <v>33.068</v>
      </c>
      <c r="C1123" t="str">
        <f>"33.1241"</f>
        <v>33.1241</v>
      </c>
    </row>
    <row r="1124" spans="1:3" x14ac:dyDescent="0.25">
      <c r="A1124" t="str">
        <f>"09/01/2014"</f>
        <v>09/01/2014</v>
      </c>
      <c r="B1124" t="str">
        <f>"33.031"</f>
        <v>33.031</v>
      </c>
      <c r="C1124" t="str">
        <f>"33.0853"</f>
        <v>33.0853</v>
      </c>
    </row>
    <row r="1125" spans="1:3" x14ac:dyDescent="0.25">
      <c r="A1125" t="str">
        <f>"10/01/2014"</f>
        <v>10/01/2014</v>
      </c>
      <c r="B1125" t="str">
        <f>"33.019"</f>
        <v>33.019</v>
      </c>
      <c r="C1125" t="str">
        <f>"33.0816"</f>
        <v>33.0816</v>
      </c>
    </row>
    <row r="1126" spans="1:3" x14ac:dyDescent="0.25">
      <c r="A1126" t="str">
        <f>"16/01/2014"</f>
        <v>16/01/2014</v>
      </c>
      <c r="B1126" t="str">
        <f>"32.894"</f>
        <v>32.894</v>
      </c>
      <c r="C1126" t="str">
        <f>"32.9509"</f>
        <v>32.9509</v>
      </c>
    </row>
    <row r="1127" spans="1:3" x14ac:dyDescent="0.25">
      <c r="A1127" t="str">
        <f>"17/01/2014"</f>
        <v>17/01/2014</v>
      </c>
      <c r="B1127" t="str">
        <f>"32.75"</f>
        <v>32.75</v>
      </c>
      <c r="C1127" t="str">
        <f>"32.8081"</f>
        <v>32.8081</v>
      </c>
    </row>
    <row r="1128" spans="1:3" x14ac:dyDescent="0.25">
      <c r="A1128" t="str">
        <f>"20/01/2014"</f>
        <v>20/01/2014</v>
      </c>
      <c r="B1128" t="str">
        <f>"0.00"</f>
        <v>0.00</v>
      </c>
      <c r="C1128" t="str">
        <f>"0.00"</f>
        <v>0.00</v>
      </c>
    </row>
    <row r="1129" spans="1:3" x14ac:dyDescent="0.25">
      <c r="A1129" t="str">
        <f>"21/01/2014"</f>
        <v>21/01/2014</v>
      </c>
      <c r="B1129" t="str">
        <f>"32.84"</f>
        <v>32.84</v>
      </c>
      <c r="C1129" t="str">
        <f>"32.8967"</f>
        <v>32.8967</v>
      </c>
    </row>
    <row r="1130" spans="1:3" x14ac:dyDescent="0.25">
      <c r="A1130" t="str">
        <f>"22/01/2014"</f>
        <v>22/01/2014</v>
      </c>
      <c r="B1130" t="str">
        <f>"32.917"</f>
        <v>32.917</v>
      </c>
      <c r="C1130" t="str">
        <f>"32.9728"</f>
        <v>32.9728</v>
      </c>
    </row>
    <row r="1131" spans="1:3" x14ac:dyDescent="0.25">
      <c r="A1131" t="str">
        <f>"23/01/2014"</f>
        <v>23/01/2014</v>
      </c>
      <c r="B1131" t="str">
        <f>"32.98"</f>
        <v>32.98</v>
      </c>
      <c r="C1131" t="str">
        <f>"33.0375"</f>
        <v>33.0375</v>
      </c>
    </row>
    <row r="1132" spans="1:3" x14ac:dyDescent="0.25">
      <c r="A1132" t="str">
        <f>"24/01/2014"</f>
        <v>24/01/2014</v>
      </c>
      <c r="B1132" t="str">
        <f>"32.873"</f>
        <v>32.873</v>
      </c>
      <c r="C1132" t="str">
        <f>"32.9306"</f>
        <v>32.9306</v>
      </c>
    </row>
    <row r="1133" spans="1:3" x14ac:dyDescent="0.25">
      <c r="A1133" t="str">
        <f>"27/01/2014"</f>
        <v>27/01/2014</v>
      </c>
      <c r="B1133" t="str">
        <f>"32.923"</f>
        <v>32.923</v>
      </c>
      <c r="C1133" t="str">
        <f>"32.9817"</f>
        <v>32.9817</v>
      </c>
    </row>
    <row r="1134" spans="1:3" x14ac:dyDescent="0.25">
      <c r="A1134" t="str">
        <f>"28/01/2014"</f>
        <v>28/01/2014</v>
      </c>
      <c r="B1134" t="str">
        <f>"32.91"</f>
        <v>32.91</v>
      </c>
      <c r="C1134" t="str">
        <f>"32.9674"</f>
        <v>32.9674</v>
      </c>
    </row>
    <row r="1135" spans="1:3" x14ac:dyDescent="0.25">
      <c r="A1135" t="str">
        <f>"29/01/2014"</f>
        <v>29/01/2014</v>
      </c>
      <c r="B1135" t="str">
        <f>"32.914"</f>
        <v>32.914</v>
      </c>
      <c r="C1135" t="str">
        <f>"32.9684"</f>
        <v>32.9684</v>
      </c>
    </row>
    <row r="1136" spans="1:3" x14ac:dyDescent="0.25">
      <c r="A1136" t="str">
        <f>"30/01/2014"</f>
        <v>30/01/2014</v>
      </c>
      <c r="B1136" t="str">
        <f>"32.985"</f>
        <v>32.985</v>
      </c>
      <c r="C1136" t="str">
        <f>"33.04"</f>
        <v>33.04</v>
      </c>
    </row>
    <row r="1137" spans="1:3" x14ac:dyDescent="0.25">
      <c r="A1137" t="str">
        <f>"31/01/2014"</f>
        <v>31/01/2014</v>
      </c>
      <c r="B1137" t="str">
        <f>"33.028"</f>
        <v>33.028</v>
      </c>
      <c r="C1137" t="str">
        <f>"33.0816"</f>
        <v>33.0816</v>
      </c>
    </row>
    <row r="1138" spans="1:3" x14ac:dyDescent="0.25">
      <c r="A1138" t="str">
        <f>"03/02/2014"</f>
        <v>03/02/2014</v>
      </c>
      <c r="B1138" t="str">
        <f>"32.915"</f>
        <v>32.915</v>
      </c>
      <c r="C1138" t="str">
        <f>"32.9701"</f>
        <v>32.9701</v>
      </c>
    </row>
    <row r="1139" spans="1:3" x14ac:dyDescent="0.25">
      <c r="A1139" t="str">
        <f>"04/02/2014"</f>
        <v>04/02/2014</v>
      </c>
      <c r="B1139" t="str">
        <f>"32.885"</f>
        <v>32.885</v>
      </c>
      <c r="C1139" t="str">
        <f>"32.9399"</f>
        <v>32.9399</v>
      </c>
    </row>
    <row r="1140" spans="1:3" x14ac:dyDescent="0.25">
      <c r="A1140" t="str">
        <f>"05/02/2014"</f>
        <v>05/02/2014</v>
      </c>
      <c r="B1140" t="str">
        <f>"32.79"</f>
        <v>32.79</v>
      </c>
      <c r="C1140" t="str">
        <f>"32.8449"</f>
        <v>32.8449</v>
      </c>
    </row>
    <row r="1141" spans="1:3" x14ac:dyDescent="0.25">
      <c r="A1141" t="str">
        <f>"06/02/2014"</f>
        <v>06/02/2014</v>
      </c>
      <c r="B1141" t="str">
        <f>"32.824"</f>
        <v>32.824</v>
      </c>
      <c r="C1141" t="str">
        <f>"32.8774"</f>
        <v>32.8774</v>
      </c>
    </row>
    <row r="1142" spans="1:3" x14ac:dyDescent="0.25">
      <c r="A1142" t="str">
        <f>"07/02/2014"</f>
        <v>07/02/2014</v>
      </c>
      <c r="B1142" t="str">
        <f>"32.823"</f>
        <v>32.823</v>
      </c>
      <c r="C1142" t="str">
        <f>"32.8772"</f>
        <v>32.8772</v>
      </c>
    </row>
    <row r="1143" spans="1:3" x14ac:dyDescent="0.25">
      <c r="A1143" t="str">
        <f>"10/02/2014"</f>
        <v>10/02/2014</v>
      </c>
      <c r="B1143" t="str">
        <f>"32.796"</f>
        <v>32.796</v>
      </c>
      <c r="C1143" t="str">
        <f>"32.8502"</f>
        <v>32.8502</v>
      </c>
    </row>
    <row r="1144" spans="1:3" x14ac:dyDescent="0.25">
      <c r="A1144" t="str">
        <f>"11/02/2014"</f>
        <v>11/02/2014</v>
      </c>
      <c r="B1144" t="str">
        <f>"32.806"</f>
        <v>32.806</v>
      </c>
      <c r="C1144" t="str">
        <f>"32.8617"</f>
        <v>32.8617</v>
      </c>
    </row>
    <row r="1145" spans="1:3" x14ac:dyDescent="0.25">
      <c r="A1145" t="str">
        <f>"12/02/2014"</f>
        <v>12/02/2014</v>
      </c>
      <c r="B1145" t="str">
        <f>"32.70"</f>
        <v>32.70</v>
      </c>
      <c r="C1145" t="str">
        <f>"32.7547"</f>
        <v>32.7547</v>
      </c>
    </row>
    <row r="1146" spans="1:3" x14ac:dyDescent="0.25">
      <c r="A1146" t="str">
        <f>"13/02/2014"</f>
        <v>13/02/2014</v>
      </c>
      <c r="B1146" t="str">
        <f>"32.62"</f>
        <v>32.62</v>
      </c>
      <c r="C1146" t="str">
        <f>"32.6738"</f>
        <v>32.6738</v>
      </c>
    </row>
    <row r="1147" spans="1:3" x14ac:dyDescent="0.25">
      <c r="A1147" t="str">
        <f>"14/02/2014"</f>
        <v>14/02/2014</v>
      </c>
      <c r="B1147" t="str">
        <f>"32.538"</f>
        <v>32.538</v>
      </c>
      <c r="C1147" t="str">
        <f>"32.5922"</f>
        <v>32.5922</v>
      </c>
    </row>
    <row r="1148" spans="1:3" x14ac:dyDescent="0.25">
      <c r="A1148" t="str">
        <f>"17/02/2014"</f>
        <v>17/02/2014</v>
      </c>
      <c r="B1148" t="str">
        <f>"32.367"</f>
        <v>32.367</v>
      </c>
      <c r="C1148" t="str">
        <f>"32.4211"</f>
        <v>32.4211</v>
      </c>
    </row>
    <row r="1149" spans="1:3" x14ac:dyDescent="0.25">
      <c r="A1149" t="str">
        <f>"18/02/2014"</f>
        <v>18/02/2014</v>
      </c>
      <c r="B1149" t="str">
        <f>"32.417"</f>
        <v>32.417</v>
      </c>
      <c r="C1149" t="str">
        <f>"32.472"</f>
        <v>32.472</v>
      </c>
    </row>
    <row r="1150" spans="1:3" x14ac:dyDescent="0.25">
      <c r="A1150" t="str">
        <f>"19/02/2014"</f>
        <v>19/02/2014</v>
      </c>
      <c r="B1150" t="str">
        <f>"32.577"</f>
        <v>32.577</v>
      </c>
      <c r="C1150" t="str">
        <f>"32.631"</f>
        <v>32.631</v>
      </c>
    </row>
    <row r="1151" spans="1:3" x14ac:dyDescent="0.25">
      <c r="A1151" t="str">
        <f>"20/02/2014"</f>
        <v>20/02/2014</v>
      </c>
      <c r="B1151" t="str">
        <f>"32.618"</f>
        <v>32.618</v>
      </c>
      <c r="C1151" t="str">
        <f>"32.6711"</f>
        <v>32.6711</v>
      </c>
    </row>
    <row r="1152" spans="1:3" x14ac:dyDescent="0.25">
      <c r="A1152" t="str">
        <f>"21/02/2014"</f>
        <v>21/02/2014</v>
      </c>
      <c r="B1152" t="str">
        <f>"32.534"</f>
        <v>32.534</v>
      </c>
      <c r="C1152" t="str">
        <f>"32.588"</f>
        <v>32.588</v>
      </c>
    </row>
    <row r="1153" spans="1:3" x14ac:dyDescent="0.25">
      <c r="A1153" t="str">
        <f>"24/02/2014"</f>
        <v>24/02/2014</v>
      </c>
      <c r="B1153" t="str">
        <f>"32.592"</f>
        <v>32.592</v>
      </c>
      <c r="C1153" t="str">
        <f>"32.6445"</f>
        <v>32.6445</v>
      </c>
    </row>
    <row r="1154" spans="1:3" x14ac:dyDescent="0.25">
      <c r="A1154" t="str">
        <f>"25/02/2014"</f>
        <v>25/02/2014</v>
      </c>
      <c r="B1154" t="str">
        <f>"32.516"</f>
        <v>32.516</v>
      </c>
      <c r="C1154" t="str">
        <f>"32.5699"</f>
        <v>32.5699</v>
      </c>
    </row>
    <row r="1155" spans="1:3" x14ac:dyDescent="0.25">
      <c r="A1155" t="str">
        <f>"26/02/2014"</f>
        <v>26/02/2014</v>
      </c>
      <c r="B1155" t="str">
        <f>"32.572"</f>
        <v>32.572</v>
      </c>
      <c r="C1155" t="str">
        <f>"32.6313"</f>
        <v>32.6313</v>
      </c>
    </row>
    <row r="1156" spans="1:3" x14ac:dyDescent="0.25">
      <c r="A1156" t="str">
        <f>"28/02/2014"</f>
        <v>28/02/2014</v>
      </c>
      <c r="B1156" t="str">
        <f>"32.65"</f>
        <v>32.65</v>
      </c>
      <c r="C1156" t="str">
        <f>"32.7062"</f>
        <v>32.7062</v>
      </c>
    </row>
    <row r="1157" spans="1:3" x14ac:dyDescent="0.25">
      <c r="A1157" t="str">
        <f>"03/03/2014"</f>
        <v>03/03/2014</v>
      </c>
      <c r="B1157" t="str">
        <f>"32.593"</f>
        <v>32.593</v>
      </c>
      <c r="C1157" t="str">
        <f>"32.6538"</f>
        <v>32.6538</v>
      </c>
    </row>
    <row r="1158" spans="1:3" x14ac:dyDescent="0.25">
      <c r="A1158" t="str">
        <f>"04/03/2014"</f>
        <v>04/03/2014</v>
      </c>
      <c r="B1158" t="str">
        <f>"32.56"</f>
        <v>32.56</v>
      </c>
      <c r="C1158" t="str">
        <f>"32.6166"</f>
        <v>32.6166</v>
      </c>
    </row>
    <row r="1159" spans="1:3" x14ac:dyDescent="0.25">
      <c r="A1159" t="str">
        <f>"05/03/2014"</f>
        <v>05/03/2014</v>
      </c>
      <c r="B1159" t="str">
        <f>"32.384"</f>
        <v>32.384</v>
      </c>
      <c r="C1159" t="str">
        <f>"32.4397"</f>
        <v>32.4397</v>
      </c>
    </row>
    <row r="1160" spans="1:3" x14ac:dyDescent="0.25">
      <c r="A1160" t="str">
        <f>"06/03/2014"</f>
        <v>06/03/2014</v>
      </c>
      <c r="B1160" t="str">
        <f>"32.333"</f>
        <v>32.333</v>
      </c>
      <c r="C1160" t="str">
        <f>"32.3878"</f>
        <v>32.3878</v>
      </c>
    </row>
    <row r="1161" spans="1:3" x14ac:dyDescent="0.25">
      <c r="A1161" t="str">
        <f>"07/03/2014"</f>
        <v>07/03/2014</v>
      </c>
      <c r="B1161" t="str">
        <f>"32.286"</f>
        <v>32.286</v>
      </c>
      <c r="C1161" t="str">
        <f>"32.3405"</f>
        <v>32.3405</v>
      </c>
    </row>
    <row r="1162" spans="1:3" x14ac:dyDescent="0.25">
      <c r="A1162" t="str">
        <f>"10/03/2014"</f>
        <v>10/03/2014</v>
      </c>
      <c r="B1162" t="str">
        <f>"32.434"</f>
        <v>32.434</v>
      </c>
      <c r="C1162" t="str">
        <f>"32.4945"</f>
        <v>32.4945</v>
      </c>
    </row>
    <row r="1163" spans="1:3" x14ac:dyDescent="0.25">
      <c r="A1163" t="str">
        <f>"11/03/2014"</f>
        <v>11/03/2014</v>
      </c>
      <c r="B1163" t="str">
        <f>"32.331"</f>
        <v>32.331</v>
      </c>
      <c r="C1163" t="str">
        <f>"32.391"</f>
        <v>32.391</v>
      </c>
    </row>
    <row r="1164" spans="1:3" x14ac:dyDescent="0.25">
      <c r="A1164" t="str">
        <f>"12/03/2014"</f>
        <v>12/03/2014</v>
      </c>
      <c r="B1164" t="str">
        <f>"32.397"</f>
        <v>32.397</v>
      </c>
      <c r="C1164" t="str">
        <f>"32.4545"</f>
        <v>32.4545</v>
      </c>
    </row>
    <row r="1165" spans="1:3" x14ac:dyDescent="0.25">
      <c r="A1165" t="str">
        <f>"13/03/2014"</f>
        <v>13/03/2014</v>
      </c>
      <c r="B1165" t="str">
        <f>"32.373"</f>
        <v>32.373</v>
      </c>
      <c r="C1165" t="str">
        <f>"32.4279"</f>
        <v>32.4279</v>
      </c>
    </row>
    <row r="1166" spans="1:3" x14ac:dyDescent="0.25">
      <c r="A1166" t="str">
        <f>"14/03/2014"</f>
        <v>14/03/2014</v>
      </c>
      <c r="B1166" t="str">
        <f>"32.323"</f>
        <v>32.323</v>
      </c>
      <c r="C1166" t="str">
        <f>"32.3747"</f>
        <v>32.3747</v>
      </c>
    </row>
    <row r="1167" spans="1:3" x14ac:dyDescent="0.25">
      <c r="A1167" t="str">
        <f>"18/03/2014"</f>
        <v>18/03/2014</v>
      </c>
      <c r="B1167" t="str">
        <f>"32.176"</f>
        <v>32.176</v>
      </c>
      <c r="C1167" t="str">
        <f>"32.2292"</f>
        <v>32.2292</v>
      </c>
    </row>
    <row r="1168" spans="1:3" x14ac:dyDescent="0.25">
      <c r="A1168" t="str">
        <f>"19/03/2014"</f>
        <v>19/03/2014</v>
      </c>
      <c r="B1168" t="str">
        <f>"32.144"</f>
        <v>32.144</v>
      </c>
      <c r="C1168" t="str">
        <f>"32.196"</f>
        <v>32.196</v>
      </c>
    </row>
    <row r="1169" spans="1:3" x14ac:dyDescent="0.25">
      <c r="A1169" t="str">
        <f>"20/03/2014"</f>
        <v>20/03/2014</v>
      </c>
      <c r="B1169" t="str">
        <f>"32.36"</f>
        <v>32.36</v>
      </c>
      <c r="C1169" t="str">
        <f>"32.4121"</f>
        <v>32.4121</v>
      </c>
    </row>
    <row r="1170" spans="1:3" x14ac:dyDescent="0.25">
      <c r="A1170" t="str">
        <f>"21/03/2014"</f>
        <v>21/03/2014</v>
      </c>
      <c r="B1170" t="str">
        <f>"32.428"</f>
        <v>32.428</v>
      </c>
      <c r="C1170" t="str">
        <f>"32.4805"</f>
        <v>32.4805</v>
      </c>
    </row>
    <row r="1171" spans="1:3" x14ac:dyDescent="0.25">
      <c r="A1171" t="str">
        <f>"24/03/2014"</f>
        <v>24/03/2014</v>
      </c>
      <c r="B1171" t="str">
        <f>"32.46"</f>
        <v>32.46</v>
      </c>
      <c r="C1171" t="str">
        <f>"32.5127"</f>
        <v>32.5127</v>
      </c>
    </row>
    <row r="1172" spans="1:3" x14ac:dyDescent="0.25">
      <c r="A1172" t="str">
        <f>"25/03/2014"</f>
        <v>25/03/2014</v>
      </c>
      <c r="B1172" t="str">
        <f>"32.546"</f>
        <v>32.546</v>
      </c>
      <c r="C1172" t="str">
        <f>"32.5967"</f>
        <v>32.5967</v>
      </c>
    </row>
    <row r="1173" spans="1:3" x14ac:dyDescent="0.25">
      <c r="A1173" t="str">
        <f>"26/03/2014"</f>
        <v>26/03/2014</v>
      </c>
      <c r="B1173" t="str">
        <f>"32.601"</f>
        <v>32.601</v>
      </c>
      <c r="C1173" t="str">
        <f>"32.6518"</f>
        <v>32.6518</v>
      </c>
    </row>
    <row r="1174" spans="1:3" x14ac:dyDescent="0.25">
      <c r="A1174" t="str">
        <f>"27/03/2014"</f>
        <v>27/03/2014</v>
      </c>
      <c r="B1174" t="str">
        <f>"32.595"</f>
        <v>32.595</v>
      </c>
      <c r="C1174" t="str">
        <f>"32.646"</f>
        <v>32.646</v>
      </c>
    </row>
    <row r="1175" spans="1:3" x14ac:dyDescent="0.25">
      <c r="A1175" t="str">
        <f>"28/03/2014"</f>
        <v>28/03/2014</v>
      </c>
      <c r="B1175" t="str">
        <f>"32.52"</f>
        <v>32.52</v>
      </c>
      <c r="C1175" t="str">
        <f>"32.5663"</f>
        <v>32.5663</v>
      </c>
    </row>
    <row r="1176" spans="1:3" x14ac:dyDescent="0.25">
      <c r="A1176" t="str">
        <f>"02/04/2014"</f>
        <v>02/04/2014</v>
      </c>
      <c r="B1176" t="str">
        <f>"32.402"</f>
        <v>32.402</v>
      </c>
      <c r="C1176" t="str">
        <f>"32.4514"</f>
        <v>32.4514</v>
      </c>
    </row>
    <row r="1177" spans="1:3" x14ac:dyDescent="0.25">
      <c r="A1177" t="str">
        <f>"03/04/2014"</f>
        <v>03/04/2014</v>
      </c>
      <c r="B1177" t="str">
        <f>"32.488"</f>
        <v>32.488</v>
      </c>
      <c r="C1177" t="str">
        <f>"32.533"</f>
        <v>32.533</v>
      </c>
    </row>
    <row r="1178" spans="1:3" x14ac:dyDescent="0.25">
      <c r="A1178" t="str">
        <f>"04/04/2014"</f>
        <v>04/04/2014</v>
      </c>
      <c r="B1178" t="str">
        <f>"32.545"</f>
        <v>32.545</v>
      </c>
      <c r="C1178" t="str">
        <f>"32.591"</f>
        <v>32.591</v>
      </c>
    </row>
    <row r="1179" spans="1:3" x14ac:dyDescent="0.25">
      <c r="A1179" t="str">
        <f>"07/04/2014"</f>
        <v>07/04/2014</v>
      </c>
      <c r="B1179" t="str">
        <f>"32.505"</f>
        <v>32.505</v>
      </c>
      <c r="C1179" t="str">
        <f>"32.55"</f>
        <v>32.55</v>
      </c>
    </row>
    <row r="1180" spans="1:3" x14ac:dyDescent="0.25">
      <c r="A1180" t="str">
        <f>"09/04/2014"</f>
        <v>09/04/2014</v>
      </c>
      <c r="B1180" t="str">
        <f>"32.238"</f>
        <v>32.238</v>
      </c>
      <c r="C1180" t="str">
        <f>"32.2873"</f>
        <v>32.2873</v>
      </c>
    </row>
    <row r="1181" spans="1:3" x14ac:dyDescent="0.25">
      <c r="A1181" t="str">
        <f>"10/04/2014"</f>
        <v>10/04/2014</v>
      </c>
      <c r="B1181" t="str">
        <f>"32.242"</f>
        <v>32.242</v>
      </c>
      <c r="C1181" t="str">
        <f>"32.2882"</f>
        <v>32.2882</v>
      </c>
    </row>
    <row r="1182" spans="1:3" x14ac:dyDescent="0.25">
      <c r="A1182" t="str">
        <f>"11/04/2014"</f>
        <v>11/04/2014</v>
      </c>
      <c r="B1182" t="str">
        <f>"32.32"</f>
        <v>32.32</v>
      </c>
      <c r="C1182" t="str">
        <f>"32.368"</f>
        <v>32.368</v>
      </c>
    </row>
    <row r="1183" spans="1:3" x14ac:dyDescent="0.25">
      <c r="A1183" t="str">
        <f>"15/04/2014"</f>
        <v>15/04/2014</v>
      </c>
      <c r="B1183" t="str">
        <f>"32.325"</f>
        <v>32.325</v>
      </c>
      <c r="C1183" t="str">
        <f>"32.3725"</f>
        <v>32.3725</v>
      </c>
    </row>
    <row r="1184" spans="1:3" x14ac:dyDescent="0.25">
      <c r="A1184" t="str">
        <f>"16/04/2014"</f>
        <v>16/04/2014</v>
      </c>
      <c r="B1184" t="str">
        <f>"32.292"</f>
        <v>32.292</v>
      </c>
      <c r="C1184" t="str">
        <f>"32.3469"</f>
        <v>32.3469</v>
      </c>
    </row>
    <row r="1185" spans="1:3" x14ac:dyDescent="0.25">
      <c r="A1185" t="str">
        <f>"17/04/2014"</f>
        <v>17/04/2014</v>
      </c>
      <c r="B1185" t="str">
        <f>"32.213"</f>
        <v>32.213</v>
      </c>
      <c r="C1185" t="str">
        <f>"32.2604"</f>
        <v>32.2604</v>
      </c>
    </row>
    <row r="1186" spans="1:3" x14ac:dyDescent="0.25">
      <c r="A1186" t="str">
        <f>"21/04/2014"</f>
        <v>21/04/2014</v>
      </c>
      <c r="B1186" t="str">
        <f>"32.246"</f>
        <v>32.246</v>
      </c>
      <c r="C1186" t="str">
        <f>"32.2923"</f>
        <v>32.2923</v>
      </c>
    </row>
    <row r="1187" spans="1:3" x14ac:dyDescent="0.25">
      <c r="A1187" t="str">
        <f>"22/04/2014"</f>
        <v>22/04/2014</v>
      </c>
      <c r="B1187" t="str">
        <f>"32.315"</f>
        <v>32.315</v>
      </c>
      <c r="C1187" t="str">
        <f>"32.3674"</f>
        <v>32.3674</v>
      </c>
    </row>
    <row r="1188" spans="1:3" x14ac:dyDescent="0.25">
      <c r="A1188" t="str">
        <f>"23/04/2014"</f>
        <v>23/04/2014</v>
      </c>
      <c r="B1188" t="str">
        <f>"32.414"</f>
        <v>32.414</v>
      </c>
      <c r="C1188" t="str">
        <f>"32.4632"</f>
        <v>32.4632</v>
      </c>
    </row>
    <row r="1189" spans="1:3" x14ac:dyDescent="0.25">
      <c r="A1189" t="str">
        <f>"25/04/2014"</f>
        <v>25/04/2014</v>
      </c>
      <c r="B1189" t="str">
        <f>"32.352"</f>
        <v>32.352</v>
      </c>
      <c r="C1189" t="str">
        <f>"32.3989"</f>
        <v>32.3989</v>
      </c>
    </row>
    <row r="1190" spans="1:3" x14ac:dyDescent="0.25">
      <c r="A1190" t="str">
        <f>"28/04/2014"</f>
        <v>28/04/2014</v>
      </c>
      <c r="B1190" t="str">
        <f>"32.231"</f>
        <v>32.231</v>
      </c>
      <c r="C1190" t="str">
        <f>"32.2773"</f>
        <v>32.2773</v>
      </c>
    </row>
    <row r="1191" spans="1:3" x14ac:dyDescent="0.25">
      <c r="A1191" t="str">
        <f>"29/04/2014"</f>
        <v>29/04/2014</v>
      </c>
      <c r="B1191" t="str">
        <f>"32.287"</f>
        <v>32.287</v>
      </c>
      <c r="C1191" t="str">
        <f>"32.3356"</f>
        <v>32.3356</v>
      </c>
    </row>
    <row r="1192" spans="1:3" x14ac:dyDescent="0.25">
      <c r="A1192" t="str">
        <f>"30/04/2014"</f>
        <v>30/04/2014</v>
      </c>
      <c r="B1192" t="str">
        <f>"32.316"</f>
        <v>32.316</v>
      </c>
      <c r="C1192" t="str">
        <f>"32.3604"</f>
        <v>32.3604</v>
      </c>
    </row>
    <row r="1193" spans="1:3" x14ac:dyDescent="0.25">
      <c r="A1193" t="str">
        <f>"02/05/2014"</f>
        <v>02/05/2014</v>
      </c>
      <c r="B1193" t="str">
        <f>"32.394"</f>
        <v>32.394</v>
      </c>
      <c r="C1193" t="str">
        <f>"32.4415"</f>
        <v>32.4415</v>
      </c>
    </row>
    <row r="1194" spans="1:3" x14ac:dyDescent="0.25">
      <c r="A1194" t="str">
        <f>"05/05/2014"</f>
        <v>05/05/2014</v>
      </c>
      <c r="B1194" t="str">
        <f>"32.343"</f>
        <v>32.343</v>
      </c>
      <c r="C1194" t="str">
        <f>"32.389"</f>
        <v>32.389</v>
      </c>
    </row>
    <row r="1195" spans="1:3" x14ac:dyDescent="0.25">
      <c r="A1195" t="str">
        <f>"06/05/2014"</f>
        <v>06/05/2014</v>
      </c>
      <c r="B1195" t="str">
        <f>"32.379"</f>
        <v>32.379</v>
      </c>
      <c r="C1195" t="str">
        <f>"32.425"</f>
        <v>32.425</v>
      </c>
    </row>
    <row r="1196" spans="1:3" x14ac:dyDescent="0.25">
      <c r="A1196" t="str">
        <f>"07/05/2014"</f>
        <v>07/05/2014</v>
      </c>
      <c r="B1196" t="str">
        <f>"32.397"</f>
        <v>32.397</v>
      </c>
      <c r="C1196" t="str">
        <f>"32.4432"</f>
        <v>32.4432</v>
      </c>
    </row>
    <row r="1197" spans="1:3" x14ac:dyDescent="0.25">
      <c r="A1197" t="str">
        <f>"08/05/2014"</f>
        <v>08/05/2014</v>
      </c>
      <c r="B1197" t="str">
        <f>"32.467"</f>
        <v>32.467</v>
      </c>
      <c r="C1197" t="str">
        <f>"32.513"</f>
        <v>32.513</v>
      </c>
    </row>
    <row r="1198" spans="1:3" x14ac:dyDescent="0.25">
      <c r="A1198" t="str">
        <f>"09/05/2014"</f>
        <v>09/05/2014</v>
      </c>
      <c r="B1198" t="str">
        <f>"32.569"</f>
        <v>32.569</v>
      </c>
      <c r="C1198" t="str">
        <f>"32.6149"</f>
        <v>32.6149</v>
      </c>
    </row>
    <row r="1199" spans="1:3" x14ac:dyDescent="0.25">
      <c r="A1199" t="str">
        <f>"12/05/2014"</f>
        <v>12/05/2014</v>
      </c>
      <c r="B1199" t="str">
        <f>"32.605"</f>
        <v>32.605</v>
      </c>
      <c r="C1199" t="str">
        <f>"32.6497"</f>
        <v>32.6497</v>
      </c>
    </row>
    <row r="1200" spans="1:3" x14ac:dyDescent="0.25">
      <c r="A1200" t="str">
        <f>"13/05/2014"</f>
        <v>13/05/2014</v>
      </c>
      <c r="B1200" t="str">
        <f>"32.62"</f>
        <v>32.62</v>
      </c>
      <c r="C1200" t="str">
        <f>"32.6641"</f>
        <v>32.6641</v>
      </c>
    </row>
    <row r="1201" spans="1:3" x14ac:dyDescent="0.25">
      <c r="A1201" t="str">
        <f>"15/05/2014"</f>
        <v>15/05/2014</v>
      </c>
      <c r="B1201" t="str">
        <f>"32.45"</f>
        <v>32.45</v>
      </c>
      <c r="C1201" t="str">
        <f>"32.4953"</f>
        <v>32.4953</v>
      </c>
    </row>
    <row r="1202" spans="1:3" x14ac:dyDescent="0.25">
      <c r="A1202" t="str">
        <f>"16/05/2014"</f>
        <v>16/05/2014</v>
      </c>
      <c r="B1202" t="str">
        <f>"32.484"</f>
        <v>32.484</v>
      </c>
      <c r="C1202" t="str">
        <f>"32.5277"</f>
        <v>32.5277</v>
      </c>
    </row>
    <row r="1203" spans="1:3" x14ac:dyDescent="0.25">
      <c r="A1203" t="str">
        <f>"19/05/2014"</f>
        <v>19/05/2014</v>
      </c>
      <c r="B1203" t="str">
        <f>"32.49"</f>
        <v>32.49</v>
      </c>
      <c r="C1203" t="str">
        <f>"32.5353"</f>
        <v>32.5353</v>
      </c>
    </row>
    <row r="1204" spans="1:3" x14ac:dyDescent="0.25">
      <c r="A1204" t="str">
        <f>"20/05/2014"</f>
        <v>20/05/2014</v>
      </c>
      <c r="B1204" t="str">
        <f>"32.57"</f>
        <v>32.57</v>
      </c>
      <c r="C1204" t="str">
        <f>"32.6161"</f>
        <v>32.6161</v>
      </c>
    </row>
    <row r="1205" spans="1:3" x14ac:dyDescent="0.25">
      <c r="A1205" t="str">
        <f>"21/05/2014"</f>
        <v>21/05/2014</v>
      </c>
      <c r="B1205" t="str">
        <f>"32.495"</f>
        <v>32.495</v>
      </c>
      <c r="C1205" t="str">
        <f>"32.5392"</f>
        <v>32.5392</v>
      </c>
    </row>
    <row r="1206" spans="1:3" x14ac:dyDescent="0.25">
      <c r="A1206" t="str">
        <f>"22/05/2014"</f>
        <v>22/05/2014</v>
      </c>
      <c r="B1206" t="str">
        <f>"32.425"</f>
        <v>32.425</v>
      </c>
      <c r="C1206" t="str">
        <f>"32.472"</f>
        <v>32.472</v>
      </c>
    </row>
    <row r="1207" spans="1:3" x14ac:dyDescent="0.25">
      <c r="A1207" t="str">
        <f>"23/05/2014"</f>
        <v>23/05/2014</v>
      </c>
      <c r="B1207" t="str">
        <f>"32.54"</f>
        <v>32.54</v>
      </c>
      <c r="C1207" t="str">
        <f>"32.584"</f>
        <v>32.584</v>
      </c>
    </row>
    <row r="1208" spans="1:3" x14ac:dyDescent="0.25">
      <c r="A1208" t="str">
        <f>"26/05/2014"</f>
        <v>26/05/2014</v>
      </c>
      <c r="B1208" t="str">
        <f>"32.604"</f>
        <v>32.604</v>
      </c>
      <c r="C1208" t="str">
        <f>"32.6525"</f>
        <v>32.6525</v>
      </c>
    </row>
    <row r="1209" spans="1:3" x14ac:dyDescent="0.25">
      <c r="A1209" t="str">
        <f>"27/05/2014"</f>
        <v>27/05/2014</v>
      </c>
      <c r="B1209" t="str">
        <f>"32.5905"</f>
        <v>32.5905</v>
      </c>
      <c r="C1209" t="str">
        <f>"32.6389"</f>
        <v>32.6389</v>
      </c>
    </row>
    <row r="1210" spans="1:3" x14ac:dyDescent="0.25">
      <c r="A1210" t="str">
        <f>"28/05/2014"</f>
        <v>28/05/2014</v>
      </c>
      <c r="B1210" t="str">
        <f>"32.66"</f>
        <v>32.66</v>
      </c>
      <c r="C1210" t="str">
        <f>"32.7084"</f>
        <v>32.7084</v>
      </c>
    </row>
    <row r="1211" spans="1:3" x14ac:dyDescent="0.25">
      <c r="A1211" t="str">
        <f>"29/05/2014"</f>
        <v>29/05/2014</v>
      </c>
      <c r="B1211" t="str">
        <f>"32.749"</f>
        <v>32.749</v>
      </c>
      <c r="C1211" t="str">
        <f>"32.7972"</f>
        <v>32.7972</v>
      </c>
    </row>
    <row r="1212" spans="1:3" x14ac:dyDescent="0.25">
      <c r="A1212" t="str">
        <f>"30/05/2014"</f>
        <v>30/05/2014</v>
      </c>
      <c r="B1212" t="str">
        <f>"32.7775"</f>
        <v>32.7775</v>
      </c>
      <c r="C1212" t="str">
        <f>"32.822"</f>
        <v>32.822</v>
      </c>
    </row>
    <row r="1213" spans="1:3" x14ac:dyDescent="0.25">
      <c r="A1213" t="str">
        <f>"02/06/2014"</f>
        <v>02/06/2014</v>
      </c>
      <c r="B1213" t="str">
        <f>"32.873"</f>
        <v>32.873</v>
      </c>
      <c r="C1213" t="str">
        <f>"32.9204"</f>
        <v>32.9204</v>
      </c>
    </row>
    <row r="1214" spans="1:3" x14ac:dyDescent="0.25">
      <c r="A1214" t="str">
        <f>"03/06/2014"</f>
        <v>03/06/2014</v>
      </c>
      <c r="B1214" t="str">
        <f>"32.716"</f>
        <v>32.716</v>
      </c>
      <c r="C1214" t="str">
        <f>"32.7631"</f>
        <v>32.7631</v>
      </c>
    </row>
    <row r="1215" spans="1:3" x14ac:dyDescent="0.25">
      <c r="A1215" t="str">
        <f>"04/06/2014"</f>
        <v>04/06/2014</v>
      </c>
      <c r="B1215" t="str">
        <f>"32.718"</f>
        <v>32.718</v>
      </c>
      <c r="C1215" t="str">
        <f>"32.7648"</f>
        <v>32.7648</v>
      </c>
    </row>
    <row r="1216" spans="1:3" x14ac:dyDescent="0.25">
      <c r="A1216" t="str">
        <f>"05/06/2014"</f>
        <v>05/06/2014</v>
      </c>
      <c r="B1216" t="str">
        <f>"32.69"</f>
        <v>32.69</v>
      </c>
      <c r="C1216" t="str">
        <f>"32.7363"</f>
        <v>32.7363</v>
      </c>
    </row>
    <row r="1217" spans="1:3" x14ac:dyDescent="0.25">
      <c r="A1217" t="str">
        <f>"06/06/2014"</f>
        <v>06/06/2014</v>
      </c>
      <c r="B1217" t="str">
        <f>"32.588"</f>
        <v>32.588</v>
      </c>
      <c r="C1217" t="str">
        <f>"32.6325"</f>
        <v>32.6325</v>
      </c>
    </row>
    <row r="1218" spans="1:3" x14ac:dyDescent="0.25">
      <c r="A1218" t="str">
        <f>"09/06/2014"</f>
        <v>09/06/2014</v>
      </c>
      <c r="B1218" t="str">
        <f>"32.468"</f>
        <v>32.468</v>
      </c>
      <c r="C1218" t="str">
        <f>"32.5179"</f>
        <v>32.5179</v>
      </c>
    </row>
    <row r="1219" spans="1:3" x14ac:dyDescent="0.25">
      <c r="A1219" t="str">
        <f>"10/06/2014"</f>
        <v>10/06/2014</v>
      </c>
      <c r="B1219" t="str">
        <f>"32.4985"</f>
        <v>32.4985</v>
      </c>
      <c r="C1219" t="str">
        <f>"32.5462"</f>
        <v>32.5462</v>
      </c>
    </row>
    <row r="1220" spans="1:3" x14ac:dyDescent="0.25">
      <c r="A1220" t="str">
        <f>"11/06/2014"</f>
        <v>11/06/2014</v>
      </c>
      <c r="B1220" t="str">
        <f>"32.4825"</f>
        <v>32.4825</v>
      </c>
      <c r="C1220" t="str">
        <f>"32.531"</f>
        <v>32.531</v>
      </c>
    </row>
    <row r="1221" spans="1:3" x14ac:dyDescent="0.25">
      <c r="A1221" t="str">
        <f>"12/06/2014"</f>
        <v>12/06/2014</v>
      </c>
      <c r="B1221" t="str">
        <f>"32.483"</f>
        <v>32.483</v>
      </c>
      <c r="C1221" t="str">
        <f>"32.528"</f>
        <v>32.528</v>
      </c>
    </row>
    <row r="1222" spans="1:3" x14ac:dyDescent="0.25">
      <c r="A1222" t="str">
        <f>"13/06/2014"</f>
        <v>13/06/2014</v>
      </c>
      <c r="B1222" t="str">
        <f>"32.4005"</f>
        <v>32.4005</v>
      </c>
      <c r="C1222" t="str">
        <f>"32.4457"</f>
        <v>32.4457</v>
      </c>
    </row>
    <row r="1223" spans="1:3" x14ac:dyDescent="0.25">
      <c r="A1223" t="str">
        <f>"16/06/2014"</f>
        <v>16/06/2014</v>
      </c>
      <c r="B1223" t="str">
        <f>"32.3765"</f>
        <v>32.3765</v>
      </c>
      <c r="C1223" t="str">
        <f>"32.4219"</f>
        <v>32.4219</v>
      </c>
    </row>
    <row r="1224" spans="1:3" x14ac:dyDescent="0.25">
      <c r="A1224" t="str">
        <f>"17/06/2014"</f>
        <v>17/06/2014</v>
      </c>
      <c r="B1224" t="str">
        <f>"32.44"</f>
        <v>32.44</v>
      </c>
      <c r="C1224" t="str">
        <f>"32.489"</f>
        <v>32.489</v>
      </c>
    </row>
    <row r="1225" spans="1:3" x14ac:dyDescent="0.25">
      <c r="A1225" t="str">
        <f>"18/06/2014"</f>
        <v>18/06/2014</v>
      </c>
      <c r="B1225" t="str">
        <f>"32.499"</f>
        <v>32.499</v>
      </c>
      <c r="C1225" t="str">
        <f>"32.5476"</f>
        <v>32.5476</v>
      </c>
    </row>
    <row r="1226" spans="1:3" x14ac:dyDescent="0.25">
      <c r="A1226" t="str">
        <f>"19/06/2014"</f>
        <v>19/06/2014</v>
      </c>
      <c r="B1226" t="str">
        <f>"32.4295"</f>
        <v>32.4295</v>
      </c>
      <c r="C1226" t="str">
        <f>"32.4785"</f>
        <v>32.4785</v>
      </c>
    </row>
    <row r="1227" spans="1:3" x14ac:dyDescent="0.25">
      <c r="A1227" t="str">
        <f>"20/06/2014"</f>
        <v>20/06/2014</v>
      </c>
      <c r="B1227" t="str">
        <f>"32.462"</f>
        <v>32.462</v>
      </c>
      <c r="C1227" t="str">
        <f>"32.5092"</f>
        <v>32.5092</v>
      </c>
    </row>
    <row r="1228" spans="1:3" x14ac:dyDescent="0.25">
      <c r="A1228" t="str">
        <f>"23/06/2014"</f>
        <v>23/06/2014</v>
      </c>
      <c r="B1228" t="str">
        <f>"32.444"</f>
        <v>32.444</v>
      </c>
      <c r="C1228" t="str">
        <f>"32.491"</f>
        <v>32.491</v>
      </c>
    </row>
    <row r="1229" spans="1:3" x14ac:dyDescent="0.25">
      <c r="A1229" t="str">
        <f>"24/06/2014"</f>
        <v>24/06/2014</v>
      </c>
      <c r="B1229" t="str">
        <f>"32.471"</f>
        <v>32.471</v>
      </c>
      <c r="C1229" t="str">
        <f>"32.52"</f>
        <v>32.52</v>
      </c>
    </row>
    <row r="1230" spans="1:3" x14ac:dyDescent="0.25">
      <c r="A1230" t="str">
        <f>"25/06/2014"</f>
        <v>25/06/2014</v>
      </c>
      <c r="B1230" t="str">
        <f>"32.483"</f>
        <v>32.483</v>
      </c>
      <c r="C1230" t="str">
        <f>"32.5317"</f>
        <v>32.5317</v>
      </c>
    </row>
    <row r="1231" spans="1:3" x14ac:dyDescent="0.25">
      <c r="A1231" t="str">
        <f>"26/06/2014"</f>
        <v>26/06/2014</v>
      </c>
      <c r="B1231" t="str">
        <f>"32.4775"</f>
        <v>32.4775</v>
      </c>
      <c r="C1231" t="str">
        <f>"32.5275"</f>
        <v>32.5275</v>
      </c>
    </row>
    <row r="1232" spans="1:3" x14ac:dyDescent="0.25">
      <c r="A1232" t="str">
        <f>"27/06/2014"</f>
        <v>27/06/2014</v>
      </c>
      <c r="B1232" t="str">
        <f>"32.484"</f>
        <v>32.484</v>
      </c>
      <c r="C1232" t="str">
        <f>"32.5339"</f>
        <v>32.5339</v>
      </c>
    </row>
    <row r="1233" spans="1:3" x14ac:dyDescent="0.25">
      <c r="A1233" t="str">
        <f>"30/06/2014"</f>
        <v>30/06/2014</v>
      </c>
      <c r="B1233" t="str">
        <f>"32.454"</f>
        <v>32.454</v>
      </c>
      <c r="C1233" t="str">
        <f>"32.5034"</f>
        <v>32.5034</v>
      </c>
    </row>
    <row r="1234" spans="1:3" x14ac:dyDescent="0.25">
      <c r="A1234" t="str">
        <f>"01/07/2014"</f>
        <v>01/07/2014</v>
      </c>
      <c r="B1234" t="str">
        <f>"32.415"</f>
        <v>32.415</v>
      </c>
      <c r="C1234" t="str">
        <f>"32.465"</f>
        <v>32.465</v>
      </c>
    </row>
    <row r="1235" spans="1:3" x14ac:dyDescent="0.25">
      <c r="A1235" t="str">
        <f>"02/07/2014"</f>
        <v>02/07/2014</v>
      </c>
      <c r="B1235" t="str">
        <f>"32.393"</f>
        <v>32.393</v>
      </c>
      <c r="C1235" t="str">
        <f>"32.4413"</f>
        <v>32.4413</v>
      </c>
    </row>
    <row r="1236" spans="1:3" x14ac:dyDescent="0.25">
      <c r="A1236" t="str">
        <f>"03/07/2014"</f>
        <v>03/07/2014</v>
      </c>
      <c r="B1236" t="str">
        <f>"32.404"</f>
        <v>32.404</v>
      </c>
      <c r="C1236" t="str">
        <f>"32.4512"</f>
        <v>32.4512</v>
      </c>
    </row>
    <row r="1237" spans="1:3" x14ac:dyDescent="0.25">
      <c r="A1237" t="str">
        <f>"04/07/2014"</f>
        <v>04/07/2014</v>
      </c>
      <c r="B1237" t="str">
        <f>"32.388"</f>
        <v>32.388</v>
      </c>
      <c r="C1237" t="str">
        <f>"32.4359"</f>
        <v>32.4359</v>
      </c>
    </row>
    <row r="1238" spans="1:3" x14ac:dyDescent="0.25">
      <c r="A1238" t="str">
        <f>"07/07/2014"</f>
        <v>07/07/2014</v>
      </c>
      <c r="B1238" t="str">
        <f>"32.3995"</f>
        <v>32.3995</v>
      </c>
      <c r="C1238" t="str">
        <f>"32.451"</f>
        <v>32.451</v>
      </c>
    </row>
    <row r="1239" spans="1:3" x14ac:dyDescent="0.25">
      <c r="A1239" t="str">
        <f>"08/07/2014"</f>
        <v>08/07/2014</v>
      </c>
      <c r="B1239" t="str">
        <f>"32.393"</f>
        <v>32.393</v>
      </c>
      <c r="C1239" t="str">
        <f>"32.4456"</f>
        <v>32.4456</v>
      </c>
    </row>
    <row r="1240" spans="1:3" x14ac:dyDescent="0.25">
      <c r="A1240" t="str">
        <f>"09/07/2014"</f>
        <v>09/07/2014</v>
      </c>
      <c r="B1240" t="str">
        <f>"32.332"</f>
        <v>32.332</v>
      </c>
      <c r="C1240" t="str">
        <f>"32.3807"</f>
        <v>32.3807</v>
      </c>
    </row>
    <row r="1241" spans="1:3" x14ac:dyDescent="0.25">
      <c r="A1241" t="str">
        <f>"10/07/2014"</f>
        <v>10/07/2014</v>
      </c>
      <c r="B1241" t="str">
        <f>"32.19"</f>
        <v>32.19</v>
      </c>
      <c r="C1241" t="str">
        <f>"32.2377"</f>
        <v>32.2377</v>
      </c>
    </row>
    <row r="1242" spans="1:3" x14ac:dyDescent="0.25">
      <c r="A1242" t="str">
        <f>"11/07/2014"</f>
        <v>11/07/2014</v>
      </c>
      <c r="B1242" t="str">
        <f>"32.22"</f>
        <v>32.22</v>
      </c>
      <c r="C1242" t="str">
        <f>"32.2681"</f>
        <v>32.2681</v>
      </c>
    </row>
    <row r="1243" spans="1:3" x14ac:dyDescent="0.25">
      <c r="A1243" t="str">
        <f>"14/07/2014"</f>
        <v>14/07/2014</v>
      </c>
      <c r="B1243" t="str">
        <f>"32.157"</f>
        <v>32.157</v>
      </c>
      <c r="C1243" t="str">
        <f>"32.2067"</f>
        <v>32.2067</v>
      </c>
    </row>
    <row r="1244" spans="1:3" x14ac:dyDescent="0.25">
      <c r="A1244" t="str">
        <f>"15/07/2014"</f>
        <v>15/07/2014</v>
      </c>
      <c r="B1244" t="str">
        <f>"32.187"</f>
        <v>32.187</v>
      </c>
      <c r="C1244" t="str">
        <f>"32.2371"</f>
        <v>32.2371</v>
      </c>
    </row>
    <row r="1245" spans="1:3" x14ac:dyDescent="0.25">
      <c r="A1245" t="str">
        <f>"16/07/2014"</f>
        <v>16/07/2014</v>
      </c>
      <c r="B1245" t="str">
        <f>"32.163"</f>
        <v>32.163</v>
      </c>
      <c r="C1245" t="str">
        <f>"32.2119"</f>
        <v>32.2119</v>
      </c>
    </row>
    <row r="1246" spans="1:3" x14ac:dyDescent="0.25">
      <c r="A1246" t="str">
        <f>"17/07/2014"</f>
        <v>17/07/2014</v>
      </c>
      <c r="B1246" t="str">
        <f>"32.178"</f>
        <v>32.178</v>
      </c>
      <c r="C1246" t="str">
        <f>"32.2274"</f>
        <v>32.2274</v>
      </c>
    </row>
    <row r="1247" spans="1:3" x14ac:dyDescent="0.25">
      <c r="A1247" t="str">
        <f>"18/07/2014"</f>
        <v>18/07/2014</v>
      </c>
      <c r="B1247" t="str">
        <f>"32.213"</f>
        <v>32.213</v>
      </c>
      <c r="C1247" t="str">
        <f>"32.2607"</f>
        <v>32.2607</v>
      </c>
    </row>
    <row r="1248" spans="1:3" x14ac:dyDescent="0.25">
      <c r="A1248" t="str">
        <f>"21/07/2014"</f>
        <v>21/07/2014</v>
      </c>
      <c r="B1248" t="str">
        <f>"32.021"</f>
        <v>32.021</v>
      </c>
      <c r="C1248" t="str">
        <f>"32.0728"</f>
        <v>32.0728</v>
      </c>
    </row>
    <row r="1249" spans="1:3" x14ac:dyDescent="0.25">
      <c r="A1249" t="str">
        <f>"22/07/2014"</f>
        <v>22/07/2014</v>
      </c>
      <c r="B1249" t="str">
        <f>"31.848"</f>
        <v>31.848</v>
      </c>
      <c r="C1249" t="str">
        <f>"31.899"</f>
        <v>31.899</v>
      </c>
    </row>
    <row r="1250" spans="1:3" x14ac:dyDescent="0.25">
      <c r="A1250" t="str">
        <f>"23/07/2014"</f>
        <v>23/07/2014</v>
      </c>
      <c r="B1250" t="str">
        <f>"31.768"</f>
        <v>31.768</v>
      </c>
      <c r="C1250" t="str">
        <f>"31.8175"</f>
        <v>31.8175</v>
      </c>
    </row>
    <row r="1251" spans="1:3" x14ac:dyDescent="0.25">
      <c r="A1251" t="str">
        <f>"24/07/2014"</f>
        <v>24/07/2014</v>
      </c>
      <c r="B1251" t="str">
        <f>"31.841"</f>
        <v>31.841</v>
      </c>
      <c r="C1251" t="str">
        <f>"31.8913"</f>
        <v>31.8913</v>
      </c>
    </row>
    <row r="1252" spans="1:3" x14ac:dyDescent="0.25">
      <c r="A1252" t="str">
        <f>"25/07/2014"</f>
        <v>25/07/2014</v>
      </c>
      <c r="B1252" t="str">
        <f>"31.877"</f>
        <v>31.877</v>
      </c>
      <c r="C1252" t="str">
        <f>"31.9259"</f>
        <v>31.9259</v>
      </c>
    </row>
    <row r="1253" spans="1:3" x14ac:dyDescent="0.25">
      <c r="A1253" t="str">
        <f>"28/07/2014"</f>
        <v>28/07/2014</v>
      </c>
      <c r="B1253" t="str">
        <f>"31.826"</f>
        <v>31.826</v>
      </c>
      <c r="C1253" t="str">
        <f>"31.8734"</f>
        <v>31.8734</v>
      </c>
    </row>
    <row r="1254" spans="1:3" x14ac:dyDescent="0.25">
      <c r="A1254" t="str">
        <f>"30/07/2014"</f>
        <v>30/07/2014</v>
      </c>
      <c r="B1254" t="str">
        <f>"31.867"</f>
        <v>31.867</v>
      </c>
      <c r="C1254" t="str">
        <f>"31.9182"</f>
        <v>31.9182</v>
      </c>
    </row>
    <row r="1255" spans="1:3" x14ac:dyDescent="0.25">
      <c r="A1255" t="str">
        <f>"31/07/2014"</f>
        <v>31/07/2014</v>
      </c>
      <c r="B1255" t="str">
        <f>"31.992"</f>
        <v>31.992</v>
      </c>
      <c r="C1255" t="str">
        <f>"32.0394"</f>
        <v>32.0394</v>
      </c>
    </row>
    <row r="1256" spans="1:3" x14ac:dyDescent="0.25">
      <c r="A1256" t="str">
        <f>"01/08/2014"</f>
        <v>01/08/2014</v>
      </c>
      <c r="B1256" t="str">
        <f>"32.274"</f>
        <v>32.274</v>
      </c>
      <c r="C1256" t="str">
        <f>"32.3219"</f>
        <v>32.3219</v>
      </c>
    </row>
    <row r="1257" spans="1:3" x14ac:dyDescent="0.25">
      <c r="A1257" t="str">
        <f>"04/08/2014"</f>
        <v>04/08/2014</v>
      </c>
      <c r="B1257" t="str">
        <f>"32.16"</f>
        <v>32.16</v>
      </c>
      <c r="C1257" t="str">
        <f>"32.2109"</f>
        <v>32.2109</v>
      </c>
    </row>
    <row r="1258" spans="1:3" x14ac:dyDescent="0.25">
      <c r="A1258" t="str">
        <f>"05/08/2014"</f>
        <v>05/08/2014</v>
      </c>
      <c r="B1258" t="str">
        <f>"32.118"</f>
        <v>32.118</v>
      </c>
      <c r="C1258" t="str">
        <f>"32.168"</f>
        <v>32.168</v>
      </c>
    </row>
    <row r="1259" spans="1:3" x14ac:dyDescent="0.25">
      <c r="A1259" t="str">
        <f>"06/08/2014"</f>
        <v>06/08/2014</v>
      </c>
      <c r="B1259" t="str">
        <f>"32.1745"</f>
        <v>32.1745</v>
      </c>
      <c r="C1259" t="str">
        <f>"32.2221"</f>
        <v>32.2221</v>
      </c>
    </row>
    <row r="1260" spans="1:3" x14ac:dyDescent="0.25">
      <c r="A1260" t="str">
        <f>"07/08/2014"</f>
        <v>07/08/2014</v>
      </c>
      <c r="B1260" t="str">
        <f>"32.23"</f>
        <v>32.23</v>
      </c>
      <c r="C1260" t="str">
        <f>"32.28"</f>
        <v>32.28</v>
      </c>
    </row>
    <row r="1261" spans="1:3" x14ac:dyDescent="0.25">
      <c r="A1261" t="str">
        <f>"08/08/2014"</f>
        <v>08/08/2014</v>
      </c>
      <c r="B1261" t="str">
        <f>"32.289"</f>
        <v>32.289</v>
      </c>
      <c r="C1261" t="str">
        <f>"32.337"</f>
        <v>32.337</v>
      </c>
    </row>
    <row r="1262" spans="1:3" x14ac:dyDescent="0.25">
      <c r="A1262" t="str">
        <f>"11/08/2014"</f>
        <v>11/08/2014</v>
      </c>
      <c r="B1262" t="str">
        <f>"32.133"</f>
        <v>32.133</v>
      </c>
      <c r="C1262" t="str">
        <f>"32.1818"</f>
        <v>32.1818</v>
      </c>
    </row>
    <row r="1263" spans="1:3" x14ac:dyDescent="0.25">
      <c r="A1263" t="str">
        <f>"12/08/2014"</f>
        <v>12/08/2014</v>
      </c>
      <c r="B1263" t="str">
        <f>"32.08"</f>
        <v>32.08</v>
      </c>
      <c r="C1263" t="str">
        <f>"32.1281"</f>
        <v>32.1281</v>
      </c>
    </row>
    <row r="1264" spans="1:3" x14ac:dyDescent="0.25">
      <c r="A1264" t="str">
        <f>"13/08/2014"</f>
        <v>13/08/2014</v>
      </c>
      <c r="B1264" t="str">
        <f>"31.984"</f>
        <v>31.984</v>
      </c>
      <c r="C1264" t="str">
        <f>"32.0314"</f>
        <v>32.0314</v>
      </c>
    </row>
    <row r="1265" spans="1:3" x14ac:dyDescent="0.25">
      <c r="A1265" t="str">
        <f>"14/08/2014"</f>
        <v>14/08/2014</v>
      </c>
      <c r="B1265" t="str">
        <f>"31.867"</f>
        <v>31.867</v>
      </c>
      <c r="C1265" t="str">
        <f>"31.9141"</f>
        <v>31.9141</v>
      </c>
    </row>
    <row r="1266" spans="1:3" x14ac:dyDescent="0.25">
      <c r="A1266" t="str">
        <f>"19/08/2014"</f>
        <v>19/08/2014</v>
      </c>
      <c r="B1266" t="str">
        <f>"31.851"</f>
        <v>31.851</v>
      </c>
      <c r="C1266" t="str">
        <f>"31.8995"</f>
        <v>31.8995</v>
      </c>
    </row>
    <row r="1267" spans="1:3" x14ac:dyDescent="0.25">
      <c r="A1267" t="str">
        <f>"20/08/2014"</f>
        <v>20/08/2014</v>
      </c>
      <c r="B1267" t="str">
        <f>"31.941"</f>
        <v>31.941</v>
      </c>
      <c r="C1267" t="str">
        <f>"31.988"</f>
        <v>31.988</v>
      </c>
    </row>
    <row r="1268" spans="1:3" x14ac:dyDescent="0.25">
      <c r="A1268" t="str">
        <f>"21/08/2014"</f>
        <v>21/08/2014</v>
      </c>
      <c r="B1268" t="str">
        <f>"32.069"</f>
        <v>32.069</v>
      </c>
      <c r="C1268" t="str">
        <f>"32.1166"</f>
        <v>32.1166</v>
      </c>
    </row>
    <row r="1269" spans="1:3" x14ac:dyDescent="0.25">
      <c r="A1269" t="str">
        <f>"22/08/2014"</f>
        <v>22/08/2014</v>
      </c>
      <c r="B1269" t="str">
        <f>"31.90"</f>
        <v>31.90</v>
      </c>
      <c r="C1269" t="str">
        <f>"31.9478"</f>
        <v>31.9478</v>
      </c>
    </row>
    <row r="1270" spans="1:3" x14ac:dyDescent="0.25">
      <c r="A1270" t="str">
        <f>"25/08/2014"</f>
        <v>25/08/2014</v>
      </c>
      <c r="B1270" t="str">
        <f>"32.017"</f>
        <v>32.017</v>
      </c>
      <c r="C1270" t="str">
        <f>"32.0661"</f>
        <v>32.0661</v>
      </c>
    </row>
    <row r="1271" spans="1:3" x14ac:dyDescent="0.25">
      <c r="A1271" t="str">
        <f>"26/08/2014"</f>
        <v>26/08/2014</v>
      </c>
      <c r="B1271" t="str">
        <f>"31.93"</f>
        <v>31.93</v>
      </c>
      <c r="C1271" t="str">
        <f>"31.9792"</f>
        <v>31.9792</v>
      </c>
    </row>
    <row r="1272" spans="1:3" x14ac:dyDescent="0.25">
      <c r="A1272" t="str">
        <f>"27/08/2014"</f>
        <v>27/08/2014</v>
      </c>
      <c r="B1272" t="str">
        <f>"31.927"</f>
        <v>31.927</v>
      </c>
      <c r="C1272" t="str">
        <f>"31.9775"</f>
        <v>31.9775</v>
      </c>
    </row>
    <row r="1273" spans="1:3" x14ac:dyDescent="0.25">
      <c r="A1273" t="str">
        <f>"28/08/2014"</f>
        <v>28/08/2014</v>
      </c>
      <c r="B1273" t="str">
        <f>"31.906"</f>
        <v>31.906</v>
      </c>
      <c r="C1273" t="str">
        <f>"31.9534"</f>
        <v>31.9534</v>
      </c>
    </row>
    <row r="1274" spans="1:3" x14ac:dyDescent="0.25">
      <c r="A1274" t="str">
        <f>"01/09/2014"</f>
        <v>01/09/2014</v>
      </c>
      <c r="B1274" t="str">
        <f>"31.978"</f>
        <v>31.978</v>
      </c>
      <c r="C1274" t="str">
        <f>"32.0252"</f>
        <v>32.0252</v>
      </c>
    </row>
    <row r="1275" spans="1:3" x14ac:dyDescent="0.25">
      <c r="A1275" t="str">
        <f>"02/09/2014"</f>
        <v>02/09/2014</v>
      </c>
      <c r="B1275" t="str">
        <f>"32.072"</f>
        <v>32.072</v>
      </c>
      <c r="C1275" t="str">
        <f>"32.1208"</f>
        <v>32.1208</v>
      </c>
    </row>
    <row r="1276" spans="1:3" x14ac:dyDescent="0.25">
      <c r="A1276" t="str">
        <f>"03/09/2014"</f>
        <v>03/09/2014</v>
      </c>
      <c r="B1276" t="str">
        <f>"32.173"</f>
        <v>32.173</v>
      </c>
      <c r="C1276" t="str">
        <f>"32.2215"</f>
        <v>32.2215</v>
      </c>
    </row>
    <row r="1277" spans="1:3" x14ac:dyDescent="0.25">
      <c r="A1277" t="str">
        <f>"04/09/2014"</f>
        <v>04/09/2014</v>
      </c>
      <c r="B1277" t="str">
        <f>"32.018"</f>
        <v>32.018</v>
      </c>
      <c r="C1277" t="str">
        <f>"32.065"</f>
        <v>32.065</v>
      </c>
    </row>
    <row r="1278" spans="1:3" x14ac:dyDescent="0.25">
      <c r="A1278" t="str">
        <f>"05/09/2014"</f>
        <v>05/09/2014</v>
      </c>
      <c r="B1278" t="str">
        <f>"32.1135"</f>
        <v>32.1135</v>
      </c>
      <c r="C1278" t="str">
        <f>"32.1597"</f>
        <v>32.1597</v>
      </c>
    </row>
    <row r="1279" spans="1:3" x14ac:dyDescent="0.25">
      <c r="A1279" t="str">
        <f>"08/09/2014"</f>
        <v>08/09/2014</v>
      </c>
      <c r="B1279" t="str">
        <f>"32.01"</f>
        <v>32.01</v>
      </c>
      <c r="C1279" t="str">
        <f>"32.0568"</f>
        <v>32.0568</v>
      </c>
    </row>
    <row r="1280" spans="1:3" x14ac:dyDescent="0.25">
      <c r="A1280" t="str">
        <f>"09/09/2014"</f>
        <v>09/09/2014</v>
      </c>
      <c r="B1280" t="str">
        <f>"32.127"</f>
        <v>32.127</v>
      </c>
      <c r="C1280" t="str">
        <f>"32.1783"</f>
        <v>32.1783</v>
      </c>
    </row>
    <row r="1281" spans="1:3" x14ac:dyDescent="0.25">
      <c r="A1281" t="str">
        <f>"10/09/2014"</f>
        <v>10/09/2014</v>
      </c>
      <c r="B1281" t="str">
        <f>"32.174"</f>
        <v>32.174</v>
      </c>
      <c r="C1281" t="str">
        <f>"32.224"</f>
        <v>32.224</v>
      </c>
    </row>
    <row r="1282" spans="1:3" x14ac:dyDescent="0.25">
      <c r="A1282" t="str">
        <f>"11/09/2014"</f>
        <v>11/09/2014</v>
      </c>
      <c r="B1282" t="str">
        <f>"32.15"</f>
        <v>32.15</v>
      </c>
      <c r="C1282" t="str">
        <f>"32.1967"</f>
        <v>32.1967</v>
      </c>
    </row>
    <row r="1283" spans="1:3" x14ac:dyDescent="0.25">
      <c r="A1283" t="str">
        <f>"12/09/2014"</f>
        <v>12/09/2014</v>
      </c>
      <c r="B1283" t="str">
        <f>"32.23"</f>
        <v>32.23</v>
      </c>
      <c r="C1283" t="str">
        <f>"32.2763"</f>
        <v>32.2763</v>
      </c>
    </row>
    <row r="1284" spans="1:3" x14ac:dyDescent="0.25">
      <c r="A1284" t="str">
        <f>"15/09/2014"</f>
        <v>15/09/2014</v>
      </c>
      <c r="B1284" t="str">
        <f>"32.277"</f>
        <v>32.277</v>
      </c>
      <c r="C1284" t="str">
        <f>"32.3217"</f>
        <v>32.3217</v>
      </c>
    </row>
    <row r="1285" spans="1:3" x14ac:dyDescent="0.25">
      <c r="A1285" t="str">
        <f>"16/09/2014"</f>
        <v>16/09/2014</v>
      </c>
      <c r="B1285" t="str">
        <f>"32.276"</f>
        <v>32.276</v>
      </c>
      <c r="C1285" t="str">
        <f>"32.325"</f>
        <v>32.325</v>
      </c>
    </row>
    <row r="1286" spans="1:3" x14ac:dyDescent="0.25">
      <c r="A1286" t="str">
        <f>"17/09/2014"</f>
        <v>17/09/2014</v>
      </c>
      <c r="B1286" t="str">
        <f>"32.235"</f>
        <v>32.235</v>
      </c>
      <c r="C1286" t="str">
        <f>"32.2827"</f>
        <v>32.2827</v>
      </c>
    </row>
    <row r="1287" spans="1:3" x14ac:dyDescent="0.25">
      <c r="A1287" t="str">
        <f>"18/09/2014"</f>
        <v>18/09/2014</v>
      </c>
      <c r="B1287" t="str">
        <f>"32.312"</f>
        <v>32.312</v>
      </c>
      <c r="C1287" t="str">
        <f>"32.3588"</f>
        <v>32.3588</v>
      </c>
    </row>
    <row r="1288" spans="1:3" x14ac:dyDescent="0.25">
      <c r="A1288" t="str">
        <f>"19/09/2014"</f>
        <v>19/09/2014</v>
      </c>
      <c r="B1288" t="str">
        <f>"32.259"</f>
        <v>32.259</v>
      </c>
      <c r="C1288" t="str">
        <f>"32.3065"</f>
        <v>32.3065</v>
      </c>
    </row>
    <row r="1289" spans="1:3" x14ac:dyDescent="0.25">
      <c r="A1289" t="str">
        <f>"22/09/2014"</f>
        <v>22/09/2014</v>
      </c>
      <c r="B1289" t="str">
        <f>"32.179"</f>
        <v>32.179</v>
      </c>
      <c r="C1289" t="str">
        <f>"32.2259"</f>
        <v>32.2259</v>
      </c>
    </row>
    <row r="1290" spans="1:3" x14ac:dyDescent="0.25">
      <c r="A1290" t="str">
        <f>"23/09/2014"</f>
        <v>23/09/2014</v>
      </c>
      <c r="B1290" t="str">
        <f>"32.241"</f>
        <v>32.241</v>
      </c>
      <c r="C1290" t="str">
        <f>"32.29"</f>
        <v>32.29</v>
      </c>
    </row>
    <row r="1291" spans="1:3" x14ac:dyDescent="0.25">
      <c r="A1291" t="str">
        <f>"24/09/2014"</f>
        <v>24/09/2014</v>
      </c>
      <c r="B1291" t="str">
        <f>"32.251"</f>
        <v>32.251</v>
      </c>
      <c r="C1291" t="str">
        <f>"32.3001"</f>
        <v>32.3001</v>
      </c>
    </row>
    <row r="1292" spans="1:3" x14ac:dyDescent="0.25">
      <c r="A1292" t="str">
        <f>"25/09/2014"</f>
        <v>25/09/2014</v>
      </c>
      <c r="B1292" t="str">
        <f>"32.272"</f>
        <v>32.272</v>
      </c>
      <c r="C1292" t="str">
        <f>"32.3193"</f>
        <v>32.3193</v>
      </c>
    </row>
    <row r="1293" spans="1:3" x14ac:dyDescent="0.25">
      <c r="A1293" t="str">
        <f>"26/09/2014"</f>
        <v>26/09/2014</v>
      </c>
      <c r="B1293" t="str">
        <f>"32.318"</f>
        <v>32.318</v>
      </c>
      <c r="C1293" t="str">
        <f>"32.3656"</f>
        <v>32.3656</v>
      </c>
    </row>
    <row r="1294" spans="1:3" x14ac:dyDescent="0.25">
      <c r="A1294" t="str">
        <f>"29/09/2014"</f>
        <v>29/09/2014</v>
      </c>
      <c r="B1294" t="str">
        <f>"32.346"</f>
        <v>32.346</v>
      </c>
      <c r="C1294" t="str">
        <f>"32.3971"</f>
        <v>32.3971</v>
      </c>
    </row>
    <row r="1295" spans="1:3" x14ac:dyDescent="0.25">
      <c r="A1295" t="str">
        <f>"30/09/2014"</f>
        <v>30/09/2014</v>
      </c>
      <c r="B1295" t="str">
        <f>"32.365"</f>
        <v>32.365</v>
      </c>
      <c r="C1295" t="str">
        <f>"32.4153"</f>
        <v>32.4153</v>
      </c>
    </row>
    <row r="1296" spans="1:3" x14ac:dyDescent="0.25">
      <c r="A1296" t="str">
        <f>"01/10/2014"</f>
        <v>01/10/2014</v>
      </c>
      <c r="B1296" t="str">
        <f>"32.45"</f>
        <v>32.45</v>
      </c>
      <c r="C1296" t="str">
        <f>"32.4985"</f>
        <v>32.4985</v>
      </c>
    </row>
    <row r="1297" spans="1:3" x14ac:dyDescent="0.25">
      <c r="A1297" t="str">
        <f>"07/10/2014"</f>
        <v>07/10/2014</v>
      </c>
      <c r="B1297" t="str">
        <f>"32.599"</f>
        <v>32.599</v>
      </c>
      <c r="C1297" t="str">
        <f>"32.6484"</f>
        <v>32.6484</v>
      </c>
    </row>
    <row r="1298" spans="1:3" x14ac:dyDescent="0.25">
      <c r="A1298" t="str">
        <f>"08/10/2014"</f>
        <v>08/10/2014</v>
      </c>
      <c r="B1298" t="str">
        <f>"32.65"</f>
        <v>32.65</v>
      </c>
      <c r="C1298" t="str">
        <f>"32.6995"</f>
        <v>32.6995</v>
      </c>
    </row>
    <row r="1299" spans="1:3" x14ac:dyDescent="0.25">
      <c r="A1299" t="str">
        <f>"09/10/2014"</f>
        <v>09/10/2014</v>
      </c>
      <c r="B1299" t="str">
        <f>"32.453"</f>
        <v>32.453</v>
      </c>
      <c r="C1299" t="str">
        <f>"32.50"</f>
        <v>32.50</v>
      </c>
    </row>
    <row r="1300" spans="1:3" x14ac:dyDescent="0.25">
      <c r="A1300" t="str">
        <f>"10/10/2014"</f>
        <v>10/10/2014</v>
      </c>
      <c r="B1300" t="str">
        <f>"32.405"</f>
        <v>32.405</v>
      </c>
      <c r="C1300" t="str">
        <f>"32.4537"</f>
        <v>32.4537</v>
      </c>
    </row>
    <row r="1301" spans="1:3" x14ac:dyDescent="0.25">
      <c r="A1301" t="str">
        <f>"13/10/2014"</f>
        <v>13/10/2014</v>
      </c>
      <c r="B1301" t="str">
        <f>"32.431"</f>
        <v>32.431</v>
      </c>
      <c r="C1301" t="str">
        <f>"32.483"</f>
        <v>32.483</v>
      </c>
    </row>
    <row r="1302" spans="1:3" x14ac:dyDescent="0.25">
      <c r="A1302" t="str">
        <f>"14/10/2014"</f>
        <v>14/10/2014</v>
      </c>
      <c r="B1302" t="str">
        <f>"32.443"</f>
        <v>32.443</v>
      </c>
      <c r="C1302" t="str">
        <f>"32.4934"</f>
        <v>32.4934</v>
      </c>
    </row>
    <row r="1303" spans="1:3" x14ac:dyDescent="0.25">
      <c r="A1303" t="str">
        <f>"16/10/2014"</f>
        <v>16/10/2014</v>
      </c>
      <c r="B1303" t="str">
        <f>"32.459"</f>
        <v>32.459</v>
      </c>
      <c r="C1303" t="str">
        <f>"32.5072"</f>
        <v>32.5072</v>
      </c>
    </row>
    <row r="1304" spans="1:3" x14ac:dyDescent="0.25">
      <c r="A1304" t="str">
        <f>"17/10/2014"</f>
        <v>17/10/2014</v>
      </c>
      <c r="B1304" t="str">
        <f>"32.466"</f>
        <v>32.466</v>
      </c>
      <c r="C1304" t="str">
        <f>"32.5145"</f>
        <v>32.5145</v>
      </c>
    </row>
    <row r="1305" spans="1:3" x14ac:dyDescent="0.25">
      <c r="A1305" t="str">
        <f>"20/10/2014"</f>
        <v>20/10/2014</v>
      </c>
      <c r="B1305" t="str">
        <f>"32.369"</f>
        <v>32.369</v>
      </c>
      <c r="C1305" t="str">
        <f>"32.4206"</f>
        <v>32.4206</v>
      </c>
    </row>
    <row r="1306" spans="1:3" x14ac:dyDescent="0.25">
      <c r="A1306" t="str">
        <f>"21/10/2014"</f>
        <v>21/10/2014</v>
      </c>
      <c r="B1306" t="str">
        <f>"32.247"</f>
        <v>32.247</v>
      </c>
      <c r="C1306" t="str">
        <f>"32.2974"</f>
        <v>32.2974</v>
      </c>
    </row>
    <row r="1307" spans="1:3" x14ac:dyDescent="0.25">
      <c r="A1307" t="str">
        <f>"22/10/2014"</f>
        <v>22/10/2014</v>
      </c>
      <c r="B1307" t="str">
        <f>"32.355"</f>
        <v>32.355</v>
      </c>
      <c r="C1307" t="str">
        <f>"32.4071"</f>
        <v>32.4071</v>
      </c>
    </row>
    <row r="1308" spans="1:3" x14ac:dyDescent="0.25">
      <c r="A1308" t="str">
        <f>"27/10/2014"</f>
        <v>27/10/2014</v>
      </c>
      <c r="B1308" t="str">
        <f>"32.424"</f>
        <v>32.424</v>
      </c>
      <c r="C1308" t="str">
        <f>"32.4739"</f>
        <v>32.4739</v>
      </c>
    </row>
    <row r="1309" spans="1:3" x14ac:dyDescent="0.25">
      <c r="A1309" t="str">
        <f>"28/10/2014"</f>
        <v>28/10/2014</v>
      </c>
      <c r="B1309" t="str">
        <f>"32.44"</f>
        <v>32.44</v>
      </c>
      <c r="C1309" t="str">
        <f>"32.4868"</f>
        <v>32.4868</v>
      </c>
    </row>
    <row r="1310" spans="1:3" x14ac:dyDescent="0.25">
      <c r="A1310" t="str">
        <f>"29/10/2014"</f>
        <v>29/10/2014</v>
      </c>
      <c r="B1310" t="str">
        <f>"32.499"</f>
        <v>32.499</v>
      </c>
      <c r="C1310" t="str">
        <f>"32.5465"</f>
        <v>32.5465</v>
      </c>
    </row>
    <row r="1311" spans="1:3" x14ac:dyDescent="0.25">
      <c r="A1311" t="str">
        <f>"30/10/2014"</f>
        <v>30/10/2014</v>
      </c>
      <c r="B1311" t="str">
        <f>"32.575"</f>
        <v>32.575</v>
      </c>
      <c r="C1311" t="str">
        <f>"32.621"</f>
        <v>32.621</v>
      </c>
    </row>
    <row r="1312" spans="1:3" x14ac:dyDescent="0.25">
      <c r="A1312" t="str">
        <f>"31/10/2014"</f>
        <v>31/10/2014</v>
      </c>
      <c r="B1312" t="str">
        <f>"32.485"</f>
        <v>32.485</v>
      </c>
      <c r="C1312" t="str">
        <f>"32.5314"</f>
        <v>32.5314</v>
      </c>
    </row>
    <row r="1313" spans="1:3" x14ac:dyDescent="0.25">
      <c r="A1313" t="str">
        <f>"03/11/2014"</f>
        <v>03/11/2014</v>
      </c>
      <c r="B1313" t="str">
        <f>"32.632"</f>
        <v>32.632</v>
      </c>
      <c r="C1313" t="str">
        <f>"32.6823"</f>
        <v>32.6823</v>
      </c>
    </row>
    <row r="1314" spans="1:3" x14ac:dyDescent="0.25">
      <c r="A1314" t="str">
        <f>"05/11/2014"</f>
        <v>05/11/2014</v>
      </c>
      <c r="B1314" t="str">
        <f>"32.734"</f>
        <v>32.734</v>
      </c>
      <c r="C1314" t="str">
        <f>"32.7818"</f>
        <v>32.7818</v>
      </c>
    </row>
    <row r="1315" spans="1:3" x14ac:dyDescent="0.25">
      <c r="A1315" t="str">
        <f>"07/11/2014"</f>
        <v>07/11/2014</v>
      </c>
      <c r="B1315" t="str">
        <f>"32.917"</f>
        <v>32.917</v>
      </c>
      <c r="C1315" t="str">
        <f>"32.9649"</f>
        <v>32.9649</v>
      </c>
    </row>
    <row r="1316" spans="1:3" x14ac:dyDescent="0.25">
      <c r="A1316" t="str">
        <f>"10/11/2014"</f>
        <v>10/11/2014</v>
      </c>
      <c r="B1316" t="str">
        <f>"32.767"</f>
        <v>32.767</v>
      </c>
      <c r="C1316" t="str">
        <f>"32.8153"</f>
        <v>32.8153</v>
      </c>
    </row>
    <row r="1317" spans="1:3" x14ac:dyDescent="0.25">
      <c r="A1317" t="str">
        <f>"11/11/2014"</f>
        <v>11/11/2014</v>
      </c>
      <c r="B1317" t="str">
        <f>"32.855"</f>
        <v>32.855</v>
      </c>
      <c r="C1317" t="str">
        <f>"32.9049"</f>
        <v>32.9049</v>
      </c>
    </row>
    <row r="1318" spans="1:3" x14ac:dyDescent="0.25">
      <c r="A1318" t="str">
        <f>"12/11/2014"</f>
        <v>12/11/2014</v>
      </c>
      <c r="B1318" t="str">
        <f>"32.858"</f>
        <v>32.858</v>
      </c>
      <c r="C1318" t="str">
        <f>"32.9091"</f>
        <v>32.9091</v>
      </c>
    </row>
    <row r="1319" spans="1:3" x14ac:dyDescent="0.25">
      <c r="A1319" t="str">
        <f>"13/11/2014"</f>
        <v>13/11/2014</v>
      </c>
      <c r="B1319" t="str">
        <f>"32.848"</f>
        <v>32.848</v>
      </c>
      <c r="C1319" t="str">
        <f>"32.8986"</f>
        <v>32.8986</v>
      </c>
    </row>
    <row r="1320" spans="1:3" x14ac:dyDescent="0.25">
      <c r="A1320" t="str">
        <f>"14/11/2014"</f>
        <v>14/11/2014</v>
      </c>
      <c r="B1320" t="str">
        <f>"32.868"</f>
        <v>32.868</v>
      </c>
      <c r="C1320" t="str">
        <f>"32.9185"</f>
        <v>32.9185</v>
      </c>
    </row>
    <row r="1321" spans="1:3" x14ac:dyDescent="0.25">
      <c r="A1321" t="str">
        <f>"17/11/2014"</f>
        <v>17/11/2014</v>
      </c>
      <c r="B1321" t="str">
        <f>"32.797"</f>
        <v>32.797</v>
      </c>
      <c r="C1321" t="str">
        <f>"32.8473"</f>
        <v>32.8473</v>
      </c>
    </row>
    <row r="1322" spans="1:3" x14ac:dyDescent="0.25">
      <c r="A1322" t="str">
        <f>"18/11/2014"</f>
        <v>18/11/2014</v>
      </c>
      <c r="B1322" t="str">
        <f>"32.789"</f>
        <v>32.789</v>
      </c>
      <c r="C1322" t="str">
        <f>"32.8416"</f>
        <v>32.8416</v>
      </c>
    </row>
    <row r="1323" spans="1:3" x14ac:dyDescent="0.25">
      <c r="A1323" t="str">
        <f>"19/11/2014"</f>
        <v>19/11/2014</v>
      </c>
      <c r="B1323" t="str">
        <f>"32.838"</f>
        <v>32.838</v>
      </c>
      <c r="C1323" t="str">
        <f>"32.8897"</f>
        <v>32.8897</v>
      </c>
    </row>
    <row r="1324" spans="1:3" x14ac:dyDescent="0.25">
      <c r="A1324" t="str">
        <f>"20/11/2014"</f>
        <v>20/11/2014</v>
      </c>
      <c r="B1324" t="str">
        <f>"32.885"</f>
        <v>32.885</v>
      </c>
      <c r="C1324" t="str">
        <f>"32.936"</f>
        <v>32.936</v>
      </c>
    </row>
    <row r="1325" spans="1:3" x14ac:dyDescent="0.25">
      <c r="A1325" t="str">
        <f>"21/11/2014"</f>
        <v>21/11/2014</v>
      </c>
      <c r="B1325" t="str">
        <f>"32.80"</f>
        <v>32.80</v>
      </c>
      <c r="C1325" t="str">
        <f>"32.8508"</f>
        <v>32.8508</v>
      </c>
    </row>
    <row r="1326" spans="1:3" x14ac:dyDescent="0.25">
      <c r="A1326" t="str">
        <f>"24/11/2014"</f>
        <v>24/11/2014</v>
      </c>
      <c r="B1326" t="str">
        <f>"32.797"</f>
        <v>32.797</v>
      </c>
      <c r="C1326" t="str">
        <f>"32.8492"</f>
        <v>32.8492</v>
      </c>
    </row>
    <row r="1327" spans="1:3" x14ac:dyDescent="0.25">
      <c r="A1327" t="str">
        <f>"25/11/2014"</f>
        <v>25/11/2014</v>
      </c>
      <c r="B1327" t="str">
        <f>"32.828"</f>
        <v>32.828</v>
      </c>
      <c r="C1327" t="str">
        <f>"32.8834"</f>
        <v>32.8834</v>
      </c>
    </row>
    <row r="1328" spans="1:3" x14ac:dyDescent="0.25">
      <c r="A1328" t="str">
        <f>"26/11/2014"</f>
        <v>26/11/2014</v>
      </c>
      <c r="B1328" t="str">
        <f>"32.805"</f>
        <v>32.805</v>
      </c>
      <c r="C1328" t="str">
        <f>"32.8614"</f>
        <v>32.8614</v>
      </c>
    </row>
    <row r="1329" spans="1:3" x14ac:dyDescent="0.25">
      <c r="A1329" t="str">
        <f>"27/11/2014"</f>
        <v>27/11/2014</v>
      </c>
      <c r="B1329" t="str">
        <f>"32.80"</f>
        <v>32.80</v>
      </c>
      <c r="C1329" t="str">
        <f>"32.8573"</f>
        <v>32.8573</v>
      </c>
    </row>
    <row r="1330" spans="1:3" x14ac:dyDescent="0.25">
      <c r="A1330" t="str">
        <f>"28/11/2014"</f>
        <v>28/11/2014</v>
      </c>
      <c r="B1330" t="str">
        <f>"32.825"</f>
        <v>32.825</v>
      </c>
      <c r="C1330" t="str">
        <f>"32.8801"</f>
        <v>32.8801</v>
      </c>
    </row>
    <row r="1331" spans="1:3" x14ac:dyDescent="0.25">
      <c r="A1331" t="str">
        <f>"01/12/2014"</f>
        <v>01/12/2014</v>
      </c>
      <c r="B1331" t="str">
        <f>"32.926"</f>
        <v>32.926</v>
      </c>
      <c r="C1331" t="str">
        <f>"32.9798"</f>
        <v>32.9798</v>
      </c>
    </row>
    <row r="1332" spans="1:3" x14ac:dyDescent="0.25">
      <c r="A1332" t="str">
        <f>"02/12/2014"</f>
        <v>02/12/2014</v>
      </c>
      <c r="B1332" t="str">
        <f>"32.796"</f>
        <v>32.796</v>
      </c>
      <c r="C1332" t="str">
        <f>"32.8473"</f>
        <v>32.8473</v>
      </c>
    </row>
    <row r="1333" spans="1:3" x14ac:dyDescent="0.25">
      <c r="A1333" t="str">
        <f>"04/12/2014"</f>
        <v>04/12/2014</v>
      </c>
      <c r="B1333" t="str">
        <f>"32.92"</f>
        <v>32.92</v>
      </c>
      <c r="C1333" t="str">
        <f>"32.9714"</f>
        <v>32.9714</v>
      </c>
    </row>
    <row r="1334" spans="1:3" x14ac:dyDescent="0.25">
      <c r="A1334" t="str">
        <f>"05/12/2014"</f>
        <v>05/12/2014</v>
      </c>
      <c r="B1334" t="str">
        <f>"32.977"</f>
        <v>32.977</v>
      </c>
      <c r="C1334" t="str">
        <f>"33.0286"</f>
        <v>33.0286</v>
      </c>
    </row>
    <row r="1335" spans="1:3" x14ac:dyDescent="0.25">
      <c r="A1335" t="str">
        <f>"08/12/2014"</f>
        <v>08/12/2014</v>
      </c>
      <c r="B1335" t="str">
        <f>"33.113"</f>
        <v>33.113</v>
      </c>
      <c r="C1335" t="str">
        <f>"33.1643"</f>
        <v>33.1643</v>
      </c>
    </row>
    <row r="1336" spans="1:3" x14ac:dyDescent="0.25">
      <c r="A1336" t="str">
        <f>"09/12/2014"</f>
        <v>09/12/2014</v>
      </c>
      <c r="B1336" t="str">
        <f>"33.00"</f>
        <v>33.00</v>
      </c>
      <c r="C1336" t="str">
        <f>"33.0508"</f>
        <v>33.0508</v>
      </c>
    </row>
    <row r="1337" spans="1:3" x14ac:dyDescent="0.25">
      <c r="A1337" t="str">
        <f>"10/12/2014"</f>
        <v>10/12/2014</v>
      </c>
      <c r="B1337" t="str">
        <f>"32.852"</f>
        <v>32.852</v>
      </c>
      <c r="C1337" t="str">
        <f>"32.9028"</f>
        <v>32.9028</v>
      </c>
    </row>
    <row r="1338" spans="1:3" x14ac:dyDescent="0.25">
      <c r="A1338" t="str">
        <f>"11/12/2014"</f>
        <v>11/12/2014</v>
      </c>
      <c r="B1338" t="str">
        <f>"32.82"</f>
        <v>32.82</v>
      </c>
      <c r="C1338" t="str">
        <f>"32.8709"</f>
        <v>32.8709</v>
      </c>
    </row>
    <row r="1339" spans="1:3" x14ac:dyDescent="0.25">
      <c r="A1339" t="str">
        <f>"12/12/2014"</f>
        <v>12/12/2014</v>
      </c>
      <c r="B1339" t="str">
        <f>"32.809"</f>
        <v>32.809</v>
      </c>
      <c r="C1339" t="str">
        <f>"32.859"</f>
        <v>32.859</v>
      </c>
    </row>
    <row r="1340" spans="1:3" x14ac:dyDescent="0.25">
      <c r="A1340" t="str">
        <f>"15/12/2014"</f>
        <v>15/12/2014</v>
      </c>
      <c r="B1340" t="str">
        <f>"32.841"</f>
        <v>32.841</v>
      </c>
      <c r="C1340" t="str">
        <f>"32.8971"</f>
        <v>32.8971</v>
      </c>
    </row>
    <row r="1341" spans="1:3" x14ac:dyDescent="0.25">
      <c r="A1341" t="str">
        <f>"16/12/2014"</f>
        <v>16/12/2014</v>
      </c>
      <c r="B1341" t="str">
        <f>"33.006"</f>
        <v>33.006</v>
      </c>
      <c r="C1341" t="str">
        <f>"33.0594"</f>
        <v>33.0594</v>
      </c>
    </row>
    <row r="1342" spans="1:3" x14ac:dyDescent="0.25">
      <c r="A1342" t="str">
        <f>"17/12/2014"</f>
        <v>17/12/2014</v>
      </c>
      <c r="B1342" t="str">
        <f>"33.03"</f>
        <v>33.03</v>
      </c>
      <c r="C1342" t="str">
        <f>"33.0802"</f>
        <v>33.0802</v>
      </c>
    </row>
    <row r="1343" spans="1:3" x14ac:dyDescent="0.25">
      <c r="A1343" t="str">
        <f>"18/12/2014"</f>
        <v>18/12/2014</v>
      </c>
      <c r="B1343" t="str">
        <f>"32.96"</f>
        <v>32.96</v>
      </c>
      <c r="C1343" t="str">
        <f>"33.0143"</f>
        <v>33.0143</v>
      </c>
    </row>
    <row r="1344" spans="1:3" x14ac:dyDescent="0.25">
      <c r="A1344" t="str">
        <f>"19/12/2014"</f>
        <v>19/12/2014</v>
      </c>
      <c r="B1344" t="str">
        <f>"32.847"</f>
        <v>32.847</v>
      </c>
      <c r="C1344" t="str">
        <f>"32.8997"</f>
        <v>32.8997</v>
      </c>
    </row>
    <row r="1345" spans="1:3" x14ac:dyDescent="0.25">
      <c r="A1345" t="str">
        <f>"22/12/2014"</f>
        <v>22/12/2014</v>
      </c>
      <c r="B1345" t="str">
        <f>"32.87"</f>
        <v>32.87</v>
      </c>
      <c r="C1345" t="str">
        <f>"32.9283"</f>
        <v>32.9283</v>
      </c>
    </row>
    <row r="1346" spans="1:3" x14ac:dyDescent="0.25">
      <c r="A1346" t="str">
        <f>"23/12/2014"</f>
        <v>23/12/2014</v>
      </c>
      <c r="B1346" t="str">
        <f>"32.92"</f>
        <v>32.92</v>
      </c>
      <c r="C1346" t="str">
        <f>"32.975"</f>
        <v>32.975</v>
      </c>
    </row>
    <row r="1347" spans="1:3" x14ac:dyDescent="0.25">
      <c r="A1347" t="str">
        <f>"24/12/2014"</f>
        <v>24/12/2014</v>
      </c>
      <c r="B1347" t="str">
        <f>"32.91"</f>
        <v>32.91</v>
      </c>
      <c r="C1347" t="str">
        <f>"32.9654"</f>
        <v>32.9654</v>
      </c>
    </row>
    <row r="1348" spans="1:3" x14ac:dyDescent="0.25">
      <c r="A1348" t="str">
        <f>"26/12/2014"</f>
        <v>26/12/2014</v>
      </c>
      <c r="B1348" t="str">
        <f>"32.89"</f>
        <v>32.89</v>
      </c>
      <c r="C1348" t="str">
        <f>"32.9455"</f>
        <v>32.9455</v>
      </c>
    </row>
    <row r="1349" spans="1:3" x14ac:dyDescent="0.25">
      <c r="A1349" t="str">
        <f>"29/12/2014"</f>
        <v>29/12/2014</v>
      </c>
      <c r="B1349" t="str">
        <f>"32.93"</f>
        <v>32.93</v>
      </c>
      <c r="C1349" t="str">
        <f>"32.9862"</f>
        <v>32.9862</v>
      </c>
    </row>
    <row r="1350" spans="1:3" x14ac:dyDescent="0.25">
      <c r="A1350" t="str">
        <f>"30/12/2014"</f>
        <v>30/12/2014</v>
      </c>
      <c r="B1350" t="str">
        <f>"32.995"</f>
        <v>32.995</v>
      </c>
      <c r="C1350" t="str">
        <f>"33.0454"</f>
        <v>33.0454</v>
      </c>
    </row>
    <row r="1351" spans="1:3" x14ac:dyDescent="0.25">
      <c r="A1351" t="str">
        <f>"31/12/2014"</f>
        <v>31/12/2014</v>
      </c>
      <c r="B1351" t="str">
        <f>"32.926"</f>
        <v>32.926</v>
      </c>
      <c r="C1351" t="str">
        <f>"32.982"</f>
        <v>32.982</v>
      </c>
    </row>
    <row r="1352" spans="1:3" x14ac:dyDescent="0.25">
      <c r="A1352" t="str">
        <f>"01/01/2015"</f>
        <v>01/01/2015</v>
      </c>
      <c r="B1352" t="str">
        <f>"32.90"</f>
        <v>32.90</v>
      </c>
      <c r="C1352" t="str">
        <f>"32.9567"</f>
        <v>32.9567</v>
      </c>
    </row>
    <row r="1353" spans="1:3" x14ac:dyDescent="0.25">
      <c r="A1353" t="str">
        <f>"02/01/2015"</f>
        <v>02/01/2015</v>
      </c>
      <c r="B1353" t="str">
        <f>"33.025"</f>
        <v>33.025</v>
      </c>
      <c r="C1353" t="str">
        <f>"33.0817"</f>
        <v>33.0817</v>
      </c>
    </row>
    <row r="1354" spans="1:3" x14ac:dyDescent="0.25">
      <c r="A1354" t="str">
        <f>"05/01/2015"</f>
        <v>05/01/2015</v>
      </c>
      <c r="B1354" t="str">
        <f>"33.09"</f>
        <v>33.09</v>
      </c>
      <c r="C1354" t="str">
        <f>"33.1505"</f>
        <v>33.1505</v>
      </c>
    </row>
    <row r="1355" spans="1:3" x14ac:dyDescent="0.25">
      <c r="A1355" t="str">
        <f>"06/01/2015"</f>
        <v>06/01/2015</v>
      </c>
      <c r="B1355" t="str">
        <f>"32.94"</f>
        <v>32.94</v>
      </c>
      <c r="C1355" t="str">
        <f>"32.996"</f>
        <v>32.996</v>
      </c>
    </row>
    <row r="1356" spans="1:3" x14ac:dyDescent="0.25">
      <c r="A1356" t="str">
        <f>"07/01/2015"</f>
        <v>07/01/2015</v>
      </c>
      <c r="B1356" t="str">
        <f>"32.89"</f>
        <v>32.89</v>
      </c>
      <c r="C1356" t="str">
        <f>"32.9452"</f>
        <v>32.9452</v>
      </c>
    </row>
    <row r="1357" spans="1:3" x14ac:dyDescent="0.25">
      <c r="A1357" t="str">
        <f>"08/01/2015"</f>
        <v>08/01/2015</v>
      </c>
      <c r="B1357" t="str">
        <f>"32.90"</f>
        <v>32.90</v>
      </c>
      <c r="C1357" t="str">
        <f>"32.956"</f>
        <v>32.956</v>
      </c>
    </row>
    <row r="1358" spans="1:3" x14ac:dyDescent="0.25">
      <c r="A1358" t="str">
        <f>"09/01/2015"</f>
        <v>09/01/2015</v>
      </c>
      <c r="B1358" t="str">
        <f>"32.86"</f>
        <v>32.86</v>
      </c>
      <c r="C1358" t="str">
        <f>"32.9159"</f>
        <v>32.9159</v>
      </c>
    </row>
    <row r="1359" spans="1:3" x14ac:dyDescent="0.25">
      <c r="A1359" t="str">
        <f>"12/01/2015"</f>
        <v>12/01/2015</v>
      </c>
      <c r="B1359" t="str">
        <f>"32.853"</f>
        <v>32.853</v>
      </c>
      <c r="C1359" t="str">
        <f>"32.9146"</f>
        <v>32.9146</v>
      </c>
    </row>
    <row r="1360" spans="1:3" x14ac:dyDescent="0.25">
      <c r="A1360" t="str">
        <f>"13/01/2015"</f>
        <v>13/01/2015</v>
      </c>
      <c r="B1360" t="str">
        <f>"32.881"</f>
        <v>32.881</v>
      </c>
      <c r="C1360" t="str">
        <f>"32.94"</f>
        <v>32.94</v>
      </c>
    </row>
    <row r="1361" spans="1:3" x14ac:dyDescent="0.25">
      <c r="A1361" t="str">
        <f>"14/01/2015"</f>
        <v>14/01/2015</v>
      </c>
      <c r="B1361" t="str">
        <f>"32.807"</f>
        <v>32.807</v>
      </c>
      <c r="C1361" t="str">
        <f>"32.8646"</f>
        <v>32.8646</v>
      </c>
    </row>
    <row r="1362" spans="1:3" x14ac:dyDescent="0.25">
      <c r="A1362" t="str">
        <f>"15/01/2015"</f>
        <v>15/01/2015</v>
      </c>
      <c r="B1362" t="str">
        <f>"32.754"</f>
        <v>32.754</v>
      </c>
      <c r="C1362" t="str">
        <f>"32.81"</f>
        <v>32.81</v>
      </c>
    </row>
    <row r="1363" spans="1:3" x14ac:dyDescent="0.25">
      <c r="A1363" t="str">
        <f>"16/01/2015"</f>
        <v>16/01/2015</v>
      </c>
      <c r="B1363" t="str">
        <f>"32.677"</f>
        <v>32.677</v>
      </c>
      <c r="C1363" t="str">
        <f>"32.7337"</f>
        <v>32.7337</v>
      </c>
    </row>
    <row r="1364" spans="1:3" x14ac:dyDescent="0.25">
      <c r="A1364" t="str">
        <f>"19/01/2015"</f>
        <v>19/01/2015</v>
      </c>
      <c r="B1364" t="str">
        <f>"32.57"</f>
        <v>32.57</v>
      </c>
      <c r="C1364" t="str">
        <f>"32.6298"</f>
        <v>32.6298</v>
      </c>
    </row>
    <row r="1365" spans="1:3" x14ac:dyDescent="0.25">
      <c r="A1365" t="str">
        <f>"20/01/2015"</f>
        <v>20/01/2015</v>
      </c>
      <c r="B1365" t="str">
        <f>"32.72"</f>
        <v>32.72</v>
      </c>
      <c r="C1365" t="str">
        <f>"32.7795"</f>
        <v>32.7795</v>
      </c>
    </row>
    <row r="1366" spans="1:3" x14ac:dyDescent="0.25">
      <c r="A1366" t="str">
        <f>"21/01/2015"</f>
        <v>21/01/2015</v>
      </c>
      <c r="B1366" t="str">
        <f>"32.70"</f>
        <v>32.70</v>
      </c>
      <c r="C1366" t="str">
        <f>"32.7536"</f>
        <v>32.7536</v>
      </c>
    </row>
    <row r="1367" spans="1:3" x14ac:dyDescent="0.25">
      <c r="A1367" t="str">
        <f>"22/01/2015"</f>
        <v>22/01/2015</v>
      </c>
      <c r="B1367" t="str">
        <f>"32.65"</f>
        <v>32.65</v>
      </c>
      <c r="C1367" t="str">
        <f>"32.702"</f>
        <v>32.702</v>
      </c>
    </row>
    <row r="1368" spans="1:3" x14ac:dyDescent="0.25">
      <c r="A1368" t="str">
        <f>"23/01/2015"</f>
        <v>23/01/2015</v>
      </c>
      <c r="B1368" t="str">
        <f>"32.60"</f>
        <v>32.60</v>
      </c>
      <c r="C1368" t="str">
        <f>"32.6505"</f>
        <v>32.6505</v>
      </c>
    </row>
    <row r="1369" spans="1:3" x14ac:dyDescent="0.25">
      <c r="A1369" t="str">
        <f>"27/01/2015"</f>
        <v>27/01/2015</v>
      </c>
      <c r="B1369" t="str">
        <f>"32.569"</f>
        <v>32.569</v>
      </c>
      <c r="C1369" t="str">
        <f>"32.6187"</f>
        <v>32.6187</v>
      </c>
    </row>
    <row r="1370" spans="1:3" x14ac:dyDescent="0.25">
      <c r="A1370" t="str">
        <f>"28/01/2015"</f>
        <v>28/01/2015</v>
      </c>
      <c r="B1370" t="str">
        <f>"32.647"</f>
        <v>32.647</v>
      </c>
      <c r="C1370" t="str">
        <f>"32.6938"</f>
        <v>32.6938</v>
      </c>
    </row>
    <row r="1371" spans="1:3" x14ac:dyDescent="0.25">
      <c r="A1371" t="str">
        <f>"29/01/2015"</f>
        <v>29/01/2015</v>
      </c>
      <c r="B1371" t="str">
        <f>"32.616"</f>
        <v>32.616</v>
      </c>
      <c r="C1371" t="str">
        <f>"32.6643"</f>
        <v>32.6643</v>
      </c>
    </row>
    <row r="1372" spans="1:3" x14ac:dyDescent="0.25">
      <c r="A1372" t="str">
        <f>"30/01/2015"</f>
        <v>30/01/2015</v>
      </c>
      <c r="B1372" t="str">
        <f>"32.74"</f>
        <v>32.74</v>
      </c>
      <c r="C1372" t="str">
        <f>"32.7897"</f>
        <v>32.7897</v>
      </c>
    </row>
    <row r="1373" spans="1:3" x14ac:dyDescent="0.25">
      <c r="A1373" t="str">
        <f>"02/02/2015"</f>
        <v>02/02/2015</v>
      </c>
      <c r="B1373" t="str">
        <f>"32.689"</f>
        <v>32.689</v>
      </c>
      <c r="C1373" t="str">
        <f>"32.7405"</f>
        <v>32.7405</v>
      </c>
    </row>
    <row r="1374" spans="1:3" x14ac:dyDescent="0.25">
      <c r="A1374" t="str">
        <f>"03/02/2015"</f>
        <v>03/02/2015</v>
      </c>
      <c r="B1374" t="str">
        <f>"32.541"</f>
        <v>32.541</v>
      </c>
      <c r="C1374" t="str">
        <f>"32.5922"</f>
        <v>32.5922</v>
      </c>
    </row>
    <row r="1375" spans="1:3" x14ac:dyDescent="0.25">
      <c r="A1375" t="str">
        <f>"04/02/2015"</f>
        <v>04/02/2015</v>
      </c>
      <c r="B1375" t="str">
        <f>"32.58"</f>
        <v>32.58</v>
      </c>
      <c r="C1375" t="str">
        <f>"32.6313"</f>
        <v>32.6313</v>
      </c>
    </row>
    <row r="1376" spans="1:3" x14ac:dyDescent="0.25">
      <c r="A1376" t="str">
        <f>"05/02/2015"</f>
        <v>05/02/2015</v>
      </c>
      <c r="B1376" t="str">
        <f>"32.61"</f>
        <v>32.61</v>
      </c>
      <c r="C1376" t="str">
        <f>"32.662"</f>
        <v>32.662</v>
      </c>
    </row>
    <row r="1377" spans="1:3" x14ac:dyDescent="0.25">
      <c r="A1377" t="str">
        <f>"06/02/2015"</f>
        <v>06/02/2015</v>
      </c>
      <c r="B1377" t="str">
        <f>"32.578"</f>
        <v>32.578</v>
      </c>
      <c r="C1377" t="str">
        <f>"32.6307"</f>
        <v>32.6307</v>
      </c>
    </row>
    <row r="1378" spans="1:3" x14ac:dyDescent="0.25">
      <c r="A1378" t="str">
        <f>"09/02/2015"</f>
        <v>09/02/2015</v>
      </c>
      <c r="B1378" t="str">
        <f>"32.63"</f>
        <v>32.63</v>
      </c>
      <c r="C1378" t="str">
        <f>"32.681"</f>
        <v>32.681</v>
      </c>
    </row>
    <row r="1379" spans="1:3" x14ac:dyDescent="0.25">
      <c r="A1379" t="str">
        <f>"10/02/2015"</f>
        <v>10/02/2015</v>
      </c>
      <c r="B1379" t="str">
        <f>"32.608"</f>
        <v>32.608</v>
      </c>
      <c r="C1379" t="str">
        <f>"32.6599"</f>
        <v>32.6599</v>
      </c>
    </row>
    <row r="1380" spans="1:3" x14ac:dyDescent="0.25">
      <c r="A1380" t="str">
        <f>"11/02/2015"</f>
        <v>11/02/2015</v>
      </c>
      <c r="B1380" t="str">
        <f>"32.645"</f>
        <v>32.645</v>
      </c>
      <c r="C1380" t="str">
        <f>"32.6958"</f>
        <v>32.6958</v>
      </c>
    </row>
    <row r="1381" spans="1:3" x14ac:dyDescent="0.25">
      <c r="A1381" t="str">
        <f>"12/02/2015"</f>
        <v>12/02/2015</v>
      </c>
      <c r="B1381" t="str">
        <f>"32.707"</f>
        <v>32.707</v>
      </c>
      <c r="C1381" t="str">
        <f>"32.7583"</f>
        <v>32.7583</v>
      </c>
    </row>
    <row r="1382" spans="1:3" x14ac:dyDescent="0.25">
      <c r="A1382" t="str">
        <f>"13/02/2015"</f>
        <v>13/02/2015</v>
      </c>
      <c r="B1382" t="str">
        <f>"32.607"</f>
        <v>32.607</v>
      </c>
      <c r="C1382" t="str">
        <f>"32.657"</f>
        <v>32.657</v>
      </c>
    </row>
    <row r="1383" spans="1:3" x14ac:dyDescent="0.25">
      <c r="A1383" t="str">
        <f>"16/02/2015"</f>
        <v>16/02/2015</v>
      </c>
      <c r="B1383" t="str">
        <f>"32.612"</f>
        <v>32.612</v>
      </c>
      <c r="C1383" t="str">
        <f>"32.6625"</f>
        <v>32.6625</v>
      </c>
    </row>
    <row r="1384" spans="1:3" x14ac:dyDescent="0.25">
      <c r="A1384" t="str">
        <f>"18/02/2015"</f>
        <v>18/02/2015</v>
      </c>
      <c r="B1384" t="str">
        <f>"32.58"</f>
        <v>32.58</v>
      </c>
      <c r="C1384" t="str">
        <f>"32.6274"</f>
        <v>32.6274</v>
      </c>
    </row>
    <row r="1385" spans="1:3" x14ac:dyDescent="0.25">
      <c r="A1385" t="str">
        <f>"20/02/2015"</f>
        <v>20/02/2015</v>
      </c>
      <c r="B1385" t="str">
        <f>"32.58"</f>
        <v>32.58</v>
      </c>
      <c r="C1385" t="str">
        <f>"32.628"</f>
        <v>32.628</v>
      </c>
    </row>
    <row r="1386" spans="1:3" x14ac:dyDescent="0.25">
      <c r="A1386" t="str">
        <f>"23/02/2015"</f>
        <v>23/02/2015</v>
      </c>
      <c r="B1386" t="str">
        <f>"32.57"</f>
        <v>32.57</v>
      </c>
      <c r="C1386" t="str">
        <f>"32.6197"</f>
        <v>32.6197</v>
      </c>
    </row>
    <row r="1387" spans="1:3" x14ac:dyDescent="0.25">
      <c r="A1387" t="str">
        <f>"24/02/2015"</f>
        <v>24/02/2015</v>
      </c>
      <c r="B1387" t="str">
        <f>"32.53"</f>
        <v>32.53</v>
      </c>
      <c r="C1387" t="str">
        <f>"32.5779"</f>
        <v>32.5779</v>
      </c>
    </row>
    <row r="1388" spans="1:3" x14ac:dyDescent="0.25">
      <c r="A1388" t="str">
        <f>"25/02/2015"</f>
        <v>25/02/2015</v>
      </c>
      <c r="B1388" t="str">
        <f>"32.53"</f>
        <v>32.53</v>
      </c>
      <c r="C1388" t="str">
        <f>"32.5852"</f>
        <v>32.5852</v>
      </c>
    </row>
    <row r="1389" spans="1:3" x14ac:dyDescent="0.25">
      <c r="A1389" t="str">
        <f>"26/02/2015"</f>
        <v>26/02/2015</v>
      </c>
      <c r="B1389" t="str">
        <f>"32.402"</f>
        <v>32.402</v>
      </c>
      <c r="C1389" t="str">
        <f>"32.4547"</f>
        <v>32.4547</v>
      </c>
    </row>
    <row r="1390" spans="1:3" x14ac:dyDescent="0.25">
      <c r="A1390" t="str">
        <f>"27/02/2015"</f>
        <v>27/02/2015</v>
      </c>
      <c r="B1390" t="str">
        <f>"32.365"</f>
        <v>32.365</v>
      </c>
      <c r="C1390" t="str">
        <f>"32.4186"</f>
        <v>32.4186</v>
      </c>
    </row>
    <row r="1391" spans="1:3" x14ac:dyDescent="0.25">
      <c r="A1391" t="str">
        <f>"02/03/2015"</f>
        <v>02/03/2015</v>
      </c>
      <c r="B1391" t="str">
        <f>"32.36"</f>
        <v>32.36</v>
      </c>
      <c r="C1391" t="str">
        <f>"32.4166"</f>
        <v>32.4166</v>
      </c>
    </row>
    <row r="1392" spans="1:3" x14ac:dyDescent="0.25">
      <c r="A1392" t="str">
        <f>"03/03/2015"</f>
        <v>03/03/2015</v>
      </c>
      <c r="B1392" t="str">
        <f>"32.374"</f>
        <v>32.374</v>
      </c>
      <c r="C1392" t="str">
        <f>"32.4284"</f>
        <v>32.4284</v>
      </c>
    </row>
    <row r="1393" spans="1:3" x14ac:dyDescent="0.25">
      <c r="A1393" t="str">
        <f>"04/03/2015"</f>
        <v>04/03/2015</v>
      </c>
      <c r="B1393" t="str">
        <f>"32.374"</f>
        <v>32.374</v>
      </c>
      <c r="C1393" t="str">
        <f>"32.4291"</f>
        <v>32.4291</v>
      </c>
    </row>
    <row r="1394" spans="1:3" x14ac:dyDescent="0.25">
      <c r="A1394" t="str">
        <f>"05/03/2015"</f>
        <v>05/03/2015</v>
      </c>
      <c r="B1394" t="str">
        <f>"32.44"</f>
        <v>32.44</v>
      </c>
      <c r="C1394" t="str">
        <f>"32.4954"</f>
        <v>32.4954</v>
      </c>
    </row>
    <row r="1395" spans="1:3" x14ac:dyDescent="0.25">
      <c r="A1395" t="str">
        <f>"09/03/2015"</f>
        <v>09/03/2015</v>
      </c>
      <c r="B1395" t="str">
        <f>"32.60"</f>
        <v>32.60</v>
      </c>
      <c r="C1395" t="str">
        <f>"32.6611"</f>
        <v>32.6611</v>
      </c>
    </row>
    <row r="1396" spans="1:3" x14ac:dyDescent="0.25">
      <c r="A1396" t="str">
        <f>"10/03/2015"</f>
        <v>10/03/2015</v>
      </c>
      <c r="B1396" t="str">
        <f>"32.717"</f>
        <v>32.717</v>
      </c>
      <c r="C1396" t="str">
        <f>"32.7802"</f>
        <v>32.7802</v>
      </c>
    </row>
    <row r="1397" spans="1:3" x14ac:dyDescent="0.25">
      <c r="A1397" t="str">
        <f>"11/03/2015"</f>
        <v>11/03/2015</v>
      </c>
      <c r="B1397" t="str">
        <f>"32.865"</f>
        <v>32.865</v>
      </c>
      <c r="C1397" t="str">
        <f>"32.9235"</f>
        <v>32.9235</v>
      </c>
    </row>
    <row r="1398" spans="1:3" x14ac:dyDescent="0.25">
      <c r="A1398" t="str">
        <f>"12/03/2015"</f>
        <v>12/03/2015</v>
      </c>
      <c r="B1398" t="str">
        <f>"32.865"</f>
        <v>32.865</v>
      </c>
      <c r="C1398" t="str">
        <f>"32.9142"</f>
        <v>32.9142</v>
      </c>
    </row>
    <row r="1399" spans="1:3" x14ac:dyDescent="0.25">
      <c r="A1399" t="str">
        <f>"13/03/2015"</f>
        <v>13/03/2015</v>
      </c>
      <c r="B1399" t="str">
        <f>"32.932"</f>
        <v>32.932</v>
      </c>
      <c r="C1399" t="str">
        <f>"32.9804"</f>
        <v>32.9804</v>
      </c>
    </row>
    <row r="1400" spans="1:3" x14ac:dyDescent="0.25">
      <c r="A1400" t="str">
        <f>"16/03/2015"</f>
        <v>16/03/2015</v>
      </c>
      <c r="B1400" t="str">
        <f>"32.94"</f>
        <v>32.94</v>
      </c>
      <c r="C1400" t="str">
        <f>"32.9914"</f>
        <v>32.9914</v>
      </c>
    </row>
    <row r="1401" spans="1:3" x14ac:dyDescent="0.25">
      <c r="A1401" t="str">
        <f>"17/03/2015"</f>
        <v>17/03/2015</v>
      </c>
      <c r="B1401" t="str">
        <f>"32.93"</f>
        <v>32.93</v>
      </c>
      <c r="C1401" t="str">
        <f>"32.9789"</f>
        <v>32.9789</v>
      </c>
    </row>
    <row r="1402" spans="1:3" x14ac:dyDescent="0.25">
      <c r="A1402" t="str">
        <f>"18/03/2015"</f>
        <v>18/03/2015</v>
      </c>
      <c r="B1402" t="str">
        <f>"32.705"</f>
        <v>32.705</v>
      </c>
      <c r="C1402" t="str">
        <f>"32.7542"</f>
        <v>32.7542</v>
      </c>
    </row>
    <row r="1403" spans="1:3" x14ac:dyDescent="0.25">
      <c r="A1403" t="str">
        <f>"19/03/2015"</f>
        <v>19/03/2015</v>
      </c>
      <c r="B1403" t="str">
        <f>"32.75"</f>
        <v>32.75</v>
      </c>
      <c r="C1403" t="str">
        <f>"32.7967"</f>
        <v>32.7967</v>
      </c>
    </row>
    <row r="1404" spans="1:3" x14ac:dyDescent="0.25">
      <c r="A1404" t="str">
        <f>"20/03/2015"</f>
        <v>20/03/2015</v>
      </c>
      <c r="B1404" t="str">
        <f>"32.57"</f>
        <v>32.57</v>
      </c>
      <c r="C1404" t="str">
        <f>"32.6177"</f>
        <v>32.6177</v>
      </c>
    </row>
    <row r="1405" spans="1:3" x14ac:dyDescent="0.25">
      <c r="A1405" t="str">
        <f>"23/03/2015"</f>
        <v>23/03/2015</v>
      </c>
      <c r="B1405" t="str">
        <f>"32.54"</f>
        <v>32.54</v>
      </c>
      <c r="C1405" t="str">
        <f>"32.5894"</f>
        <v>32.5894</v>
      </c>
    </row>
    <row r="1406" spans="1:3" x14ac:dyDescent="0.25">
      <c r="A1406" t="str">
        <f>"24/03/2015"</f>
        <v>24/03/2015</v>
      </c>
      <c r="B1406" t="str">
        <f>"32.50"</f>
        <v>32.50</v>
      </c>
      <c r="C1406" t="str">
        <f>"32.5473"</f>
        <v>32.5473</v>
      </c>
    </row>
    <row r="1407" spans="1:3" x14ac:dyDescent="0.25">
      <c r="A1407" t="str">
        <f>"25/03/2015"</f>
        <v>25/03/2015</v>
      </c>
      <c r="B1407" t="str">
        <f>"32.554"</f>
        <v>32.554</v>
      </c>
      <c r="C1407" t="str">
        <f>"32.6008"</f>
        <v>32.6008</v>
      </c>
    </row>
    <row r="1408" spans="1:3" x14ac:dyDescent="0.25">
      <c r="A1408" t="str">
        <f>"26/03/2015"</f>
        <v>26/03/2015</v>
      </c>
      <c r="B1408" t="str">
        <f>"32.568"</f>
        <v>32.568</v>
      </c>
      <c r="C1408" t="str">
        <f>"32.6137"</f>
        <v>32.6137</v>
      </c>
    </row>
    <row r="1409" spans="1:3" x14ac:dyDescent="0.25">
      <c r="A1409" t="str">
        <f>"27/03/2015"</f>
        <v>27/03/2015</v>
      </c>
      <c r="B1409" t="str">
        <f>"32.58"</f>
        <v>32.58</v>
      </c>
      <c r="C1409" t="str">
        <f>"32.6214"</f>
        <v>32.6214</v>
      </c>
    </row>
    <row r="1410" spans="1:3" x14ac:dyDescent="0.25">
      <c r="A1410" t="str">
        <f>"30/03/2015"</f>
        <v>30/03/2015</v>
      </c>
      <c r="B1410" t="str">
        <f>"32.61"</f>
        <v>32.61</v>
      </c>
      <c r="C1410" t="str">
        <f>"32.6605"</f>
        <v>32.6605</v>
      </c>
    </row>
    <row r="1411" spans="1:3" x14ac:dyDescent="0.25">
      <c r="A1411" t="str">
        <f>"31/03/2015"</f>
        <v>31/03/2015</v>
      </c>
      <c r="B1411" t="str">
        <f>"32.558"</f>
        <v>32.558</v>
      </c>
      <c r="C1411" t="str">
        <f>"32.6077"</f>
        <v>32.6077</v>
      </c>
    </row>
    <row r="1412" spans="1:3" x14ac:dyDescent="0.25">
      <c r="A1412" t="str">
        <f>"06/04/2015"</f>
        <v>06/04/2015</v>
      </c>
      <c r="B1412" t="str">
        <f>"32.453"</f>
        <v>32.453</v>
      </c>
      <c r="C1412" t="str">
        <f>"32.4959"</f>
        <v>32.4959</v>
      </c>
    </row>
    <row r="1413" spans="1:3" x14ac:dyDescent="0.25">
      <c r="A1413" t="str">
        <f>"07/04/2015"</f>
        <v>07/04/2015</v>
      </c>
      <c r="B1413" t="str">
        <f>"32.57"</f>
        <v>32.57</v>
      </c>
      <c r="C1413" t="str">
        <f>"32.6167"</f>
        <v>32.6167</v>
      </c>
    </row>
    <row r="1414" spans="1:3" x14ac:dyDescent="0.25">
      <c r="A1414" t="str">
        <f>"08/04/2015"</f>
        <v>08/04/2015</v>
      </c>
      <c r="B1414" t="str">
        <f>"32.588"</f>
        <v>32.588</v>
      </c>
      <c r="C1414" t="str">
        <f>"32.633"</f>
        <v>32.633</v>
      </c>
    </row>
    <row r="1415" spans="1:3" x14ac:dyDescent="0.25">
      <c r="A1415" t="str">
        <f>"09/04/2015"</f>
        <v>09/04/2015</v>
      </c>
      <c r="B1415" t="str">
        <f>"32.578"</f>
        <v>32.578</v>
      </c>
      <c r="C1415" t="str">
        <f>"32.6253"</f>
        <v>32.6253</v>
      </c>
    </row>
    <row r="1416" spans="1:3" x14ac:dyDescent="0.25">
      <c r="A1416" t="str">
        <f>"10/04/2015"</f>
        <v>10/04/2015</v>
      </c>
      <c r="B1416" t="str">
        <f>"32.56"</f>
        <v>32.56</v>
      </c>
      <c r="C1416" t="str">
        <f>"32.6045"</f>
        <v>32.6045</v>
      </c>
    </row>
    <row r="1417" spans="1:3" x14ac:dyDescent="0.25">
      <c r="A1417" t="str">
        <f>"13/04/2015"</f>
        <v>13/04/2015</v>
      </c>
      <c r="B1417" t="str">
        <f>"32.583"</f>
        <v>32.583</v>
      </c>
      <c r="C1417" t="str">
        <f>"32.627"</f>
        <v>32.627</v>
      </c>
    </row>
    <row r="1418" spans="1:3" x14ac:dyDescent="0.25">
      <c r="A1418" t="str">
        <f>"15/04/2015"</f>
        <v>15/04/2015</v>
      </c>
      <c r="B1418" t="str">
        <f>"32.44"</f>
        <v>32.44</v>
      </c>
      <c r="C1418" t="str">
        <f>"32.484"</f>
        <v>32.484</v>
      </c>
    </row>
    <row r="1419" spans="1:3" x14ac:dyDescent="0.25">
      <c r="A1419" t="str">
        <f>"16/04/2015"</f>
        <v>16/04/2015</v>
      </c>
      <c r="B1419" t="str">
        <f>"32.407"</f>
        <v>32.407</v>
      </c>
      <c r="C1419" t="str">
        <f>"32.4502"</f>
        <v>32.4502</v>
      </c>
    </row>
    <row r="1420" spans="1:3" x14ac:dyDescent="0.25">
      <c r="A1420" t="str">
        <f>"17/04/2015"</f>
        <v>17/04/2015</v>
      </c>
      <c r="B1420" t="str">
        <f>"32.412"</f>
        <v>32.412</v>
      </c>
      <c r="C1420" t="str">
        <f>"32.4542"</f>
        <v>32.4542</v>
      </c>
    </row>
    <row r="1421" spans="1:3" x14ac:dyDescent="0.25">
      <c r="A1421" t="str">
        <f>"20/04/2015"</f>
        <v>20/04/2015</v>
      </c>
      <c r="B1421" t="str">
        <f>"32.413"</f>
        <v>32.413</v>
      </c>
      <c r="C1421" t="str">
        <f>"32.4587"</f>
        <v>32.4587</v>
      </c>
    </row>
    <row r="1422" spans="1:3" x14ac:dyDescent="0.25">
      <c r="A1422" t="str">
        <f>"21/04/2015"</f>
        <v>21/04/2015</v>
      </c>
      <c r="B1422" t="str">
        <f>"32.392"</f>
        <v>32.392</v>
      </c>
      <c r="C1422" t="str">
        <f>"32.4398"</f>
        <v>32.4398</v>
      </c>
    </row>
    <row r="1423" spans="1:3" x14ac:dyDescent="0.25">
      <c r="A1423" t="str">
        <f>"22/04/2015"</f>
        <v>22/04/2015</v>
      </c>
      <c r="B1423" t="str">
        <f>"32.391"</f>
        <v>32.391</v>
      </c>
      <c r="C1423" t="str">
        <f>"32.4349"</f>
        <v>32.4349</v>
      </c>
    </row>
    <row r="1424" spans="1:3" x14ac:dyDescent="0.25">
      <c r="A1424" t="str">
        <f>"23/04/2015"</f>
        <v>23/04/2015</v>
      </c>
      <c r="B1424" t="str">
        <f>"32.455"</f>
        <v>32.455</v>
      </c>
      <c r="C1424" t="str">
        <f>"32.4998"</f>
        <v>32.4998</v>
      </c>
    </row>
    <row r="1425" spans="1:3" x14ac:dyDescent="0.25">
      <c r="A1425" t="str">
        <f>"24/04/2015"</f>
        <v>24/04/2015</v>
      </c>
      <c r="B1425" t="str">
        <f>"32.57"</f>
        <v>32.57</v>
      </c>
      <c r="C1425" t="str">
        <f>"32.6136"</f>
        <v>32.6136</v>
      </c>
    </row>
    <row r="1426" spans="1:3" x14ac:dyDescent="0.25">
      <c r="A1426" t="str">
        <f>"27/04/2015"</f>
        <v>27/04/2015</v>
      </c>
      <c r="B1426" t="str">
        <f>"32.618"</f>
        <v>32.618</v>
      </c>
      <c r="C1426" t="str">
        <f>"32.662"</f>
        <v>32.662</v>
      </c>
    </row>
    <row r="1427" spans="1:3" x14ac:dyDescent="0.25">
      <c r="A1427" t="str">
        <f>"28/04/2015"</f>
        <v>28/04/2015</v>
      </c>
      <c r="B1427" t="str">
        <f>"32.645"</f>
        <v>32.645</v>
      </c>
      <c r="C1427" t="str">
        <f>"32.6884"</f>
        <v>32.6884</v>
      </c>
    </row>
    <row r="1428" spans="1:3" x14ac:dyDescent="0.25">
      <c r="A1428" t="str">
        <f>"29/04/2015"</f>
        <v>29/04/2015</v>
      </c>
      <c r="B1428" t="str">
        <f>"32.853"</f>
        <v>32.853</v>
      </c>
      <c r="C1428" t="str">
        <f>"32.8995"</f>
        <v>32.8995</v>
      </c>
    </row>
    <row r="1429" spans="1:3" x14ac:dyDescent="0.25">
      <c r="A1429" t="str">
        <f>"30/04/2015"</f>
        <v>30/04/2015</v>
      </c>
      <c r="B1429" t="str">
        <f>"33.033"</f>
        <v>33.033</v>
      </c>
      <c r="C1429" t="str">
        <f>"33.0713"</f>
        <v>33.0713</v>
      </c>
    </row>
    <row r="1430" spans="1:3" x14ac:dyDescent="0.25">
      <c r="A1430" t="str">
        <f>"05/05/2015"</f>
        <v>05/05/2015</v>
      </c>
      <c r="B1430" t="str">
        <f>"33.375"</f>
        <v>33.375</v>
      </c>
      <c r="C1430" t="str">
        <f>"33.4069"</f>
        <v>33.4069</v>
      </c>
    </row>
    <row r="1431" spans="1:3" x14ac:dyDescent="0.25">
      <c r="A1431" t="str">
        <f>"06/05/2015"</f>
        <v>06/05/2015</v>
      </c>
      <c r="B1431" t="str">
        <f>"33.265"</f>
        <v>33.265</v>
      </c>
      <c r="C1431" t="str">
        <f>"33.3016"</f>
        <v>33.3016</v>
      </c>
    </row>
    <row r="1432" spans="1:3" x14ac:dyDescent="0.25">
      <c r="A1432" t="str">
        <f>"07/05/2015"</f>
        <v>07/05/2015</v>
      </c>
      <c r="B1432" t="str">
        <f>"33.541"</f>
        <v>33.541</v>
      </c>
      <c r="C1432" t="str">
        <f>"33.5785"</f>
        <v>33.5785</v>
      </c>
    </row>
    <row r="1433" spans="1:3" x14ac:dyDescent="0.25">
      <c r="A1433" t="str">
        <f>"08/05/2015"</f>
        <v>08/05/2015</v>
      </c>
      <c r="B1433" t="str">
        <f>"33.564"</f>
        <v>33.564</v>
      </c>
      <c r="C1433" t="str">
        <f>"33.5987"</f>
        <v>33.5987</v>
      </c>
    </row>
    <row r="1434" spans="1:3" x14ac:dyDescent="0.25">
      <c r="A1434" t="str">
        <f>"11/05/2015"</f>
        <v>11/05/2015</v>
      </c>
      <c r="B1434" t="str">
        <f>"33.76"</f>
        <v>33.76</v>
      </c>
      <c r="C1434" t="str">
        <f>"33.7977"</f>
        <v>33.7977</v>
      </c>
    </row>
    <row r="1435" spans="1:3" x14ac:dyDescent="0.25">
      <c r="A1435" t="str">
        <f>"12/05/2015"</f>
        <v>12/05/2015</v>
      </c>
      <c r="B1435" t="str">
        <f>"33.77"</f>
        <v>33.77</v>
      </c>
      <c r="C1435" t="str">
        <f>"33.8072"</f>
        <v>33.8072</v>
      </c>
    </row>
    <row r="1436" spans="1:3" x14ac:dyDescent="0.25">
      <c r="A1436" t="str">
        <f>"13/05/2015"</f>
        <v>13/05/2015</v>
      </c>
      <c r="B1436" t="str">
        <f>"33.528"</f>
        <v>33.528</v>
      </c>
      <c r="C1436" t="str">
        <f>"33.5634"</f>
        <v>33.5634</v>
      </c>
    </row>
    <row r="1437" spans="1:3" x14ac:dyDescent="0.25">
      <c r="A1437" t="str">
        <f>"14/05/2015"</f>
        <v>14/05/2015</v>
      </c>
      <c r="B1437" t="str">
        <f>"33.489"</f>
        <v>33.489</v>
      </c>
      <c r="C1437" t="str">
        <f>"33.5248"</f>
        <v>33.5248</v>
      </c>
    </row>
    <row r="1438" spans="1:3" x14ac:dyDescent="0.25">
      <c r="A1438" t="str">
        <f>"15/05/2015"</f>
        <v>15/05/2015</v>
      </c>
      <c r="B1438" t="str">
        <f>"33.514"</f>
        <v>33.514</v>
      </c>
      <c r="C1438" t="str">
        <f>"33.55"</f>
        <v>33.55</v>
      </c>
    </row>
    <row r="1439" spans="1:3" x14ac:dyDescent="0.25">
      <c r="A1439" t="str">
        <f>"18/05/2015"</f>
        <v>18/05/2015</v>
      </c>
      <c r="B1439" t="str">
        <f>"33.435"</f>
        <v>33.435</v>
      </c>
      <c r="C1439" t="str">
        <f>"33.4748"</f>
        <v>33.4748</v>
      </c>
    </row>
    <row r="1440" spans="1:3" x14ac:dyDescent="0.25">
      <c r="A1440" t="str">
        <f>"19/05/2015"</f>
        <v>19/05/2015</v>
      </c>
      <c r="B1440" t="str">
        <f>"33.563"</f>
        <v>33.563</v>
      </c>
      <c r="C1440" t="str">
        <f>"33.6019"</f>
        <v>33.6019</v>
      </c>
    </row>
    <row r="1441" spans="1:3" x14ac:dyDescent="0.25">
      <c r="A1441" t="str">
        <f>"20/05/2015"</f>
        <v>20/05/2015</v>
      </c>
      <c r="B1441" t="str">
        <f>"33.60"</f>
        <v>33.60</v>
      </c>
      <c r="C1441" t="str">
        <f>"33.6386"</f>
        <v>33.6386</v>
      </c>
    </row>
    <row r="1442" spans="1:3" x14ac:dyDescent="0.25">
      <c r="A1442" t="str">
        <f>"21/05/2015"</f>
        <v>21/05/2015</v>
      </c>
      <c r="B1442" t="str">
        <f>"33.461"</f>
        <v>33.461</v>
      </c>
      <c r="C1442" t="str">
        <f>"33.4982"</f>
        <v>33.4982</v>
      </c>
    </row>
    <row r="1443" spans="1:3" x14ac:dyDescent="0.25">
      <c r="A1443" t="str">
        <f>"22/05/2015"</f>
        <v>22/05/2015</v>
      </c>
      <c r="B1443" t="str">
        <f>"33.49"</f>
        <v>33.49</v>
      </c>
      <c r="C1443" t="str">
        <f>"33.5272"</f>
        <v>33.5272</v>
      </c>
    </row>
    <row r="1444" spans="1:3" x14ac:dyDescent="0.25">
      <c r="A1444" t="str">
        <f>"25/05/2015"</f>
        <v>25/05/2015</v>
      </c>
      <c r="B1444" t="str">
        <f>"33.611"</f>
        <v>33.611</v>
      </c>
      <c r="C1444" t="str">
        <f>"33.6525"</f>
        <v>33.6525</v>
      </c>
    </row>
    <row r="1445" spans="1:3" x14ac:dyDescent="0.25">
      <c r="A1445" t="str">
        <f>"26/05/2015"</f>
        <v>26/05/2015</v>
      </c>
      <c r="B1445" t="str">
        <f>"33.757"</f>
        <v>33.757</v>
      </c>
      <c r="C1445" t="str">
        <f>"33.7948"</f>
        <v>33.7948</v>
      </c>
    </row>
    <row r="1446" spans="1:3" x14ac:dyDescent="0.25">
      <c r="A1446" t="str">
        <f>"27/05/2015"</f>
        <v>27/05/2015</v>
      </c>
      <c r="B1446" t="str">
        <f>"33.82"</f>
        <v>33.82</v>
      </c>
      <c r="C1446" t="str">
        <f>"33.8583"</f>
        <v>33.8583</v>
      </c>
    </row>
    <row r="1447" spans="1:3" x14ac:dyDescent="0.25">
      <c r="A1447" t="str">
        <f>"28/05/2015"</f>
        <v>28/05/2015</v>
      </c>
      <c r="B1447" t="str">
        <f>"33.783"</f>
        <v>33.783</v>
      </c>
      <c r="C1447" t="str">
        <f>"33.8211"</f>
        <v>33.8211</v>
      </c>
    </row>
    <row r="1448" spans="1:3" x14ac:dyDescent="0.25">
      <c r="A1448" t="str">
        <f>"29/05/2015"</f>
        <v>29/05/2015</v>
      </c>
      <c r="B1448" t="str">
        <f>"33.71"</f>
        <v>33.71</v>
      </c>
      <c r="C1448" t="str">
        <f>"33.7472"</f>
        <v>33.7472</v>
      </c>
    </row>
    <row r="1449" spans="1:3" x14ac:dyDescent="0.25">
      <c r="A1449" t="str">
        <f>"01/06/2015"</f>
        <v>01/06/2015</v>
      </c>
      <c r="B1449" t="str">
        <f>"33.74"</f>
        <v>33.74</v>
      </c>
      <c r="C1449" t="str">
        <f>"33.7763"</f>
        <v>33.7763</v>
      </c>
    </row>
    <row r="1450" spans="1:3" x14ac:dyDescent="0.25">
      <c r="A1450" t="str">
        <f>"02/06/2015"</f>
        <v>02/06/2015</v>
      </c>
      <c r="B1450" t="str">
        <f>"33.735"</f>
        <v>33.735</v>
      </c>
      <c r="C1450" t="str">
        <f>"33.7755"</f>
        <v>33.7755</v>
      </c>
    </row>
    <row r="1451" spans="1:3" x14ac:dyDescent="0.25">
      <c r="A1451" t="str">
        <f>"03/06/2015"</f>
        <v>03/06/2015</v>
      </c>
      <c r="B1451" t="str">
        <f>"33.66"</f>
        <v>33.66</v>
      </c>
      <c r="C1451" t="str">
        <f>"33.7001"</f>
        <v>33.7001</v>
      </c>
    </row>
    <row r="1452" spans="1:3" x14ac:dyDescent="0.25">
      <c r="A1452" t="str">
        <f>"04/06/2015"</f>
        <v>04/06/2015</v>
      </c>
      <c r="B1452" t="str">
        <f>"33.757"</f>
        <v>33.757</v>
      </c>
      <c r="C1452" t="str">
        <f>"33.7959"</f>
        <v>33.7959</v>
      </c>
    </row>
    <row r="1453" spans="1:3" x14ac:dyDescent="0.25">
      <c r="A1453" t="str">
        <f>"05/06/2015"</f>
        <v>05/06/2015</v>
      </c>
      <c r="B1453" t="str">
        <f>"33.92"</f>
        <v>33.92</v>
      </c>
      <c r="C1453" t="str">
        <f>"33.9584"</f>
        <v>33.9584</v>
      </c>
    </row>
    <row r="1454" spans="1:3" x14ac:dyDescent="0.25">
      <c r="A1454" t="str">
        <f>"08/06/2015"</f>
        <v>08/06/2015</v>
      </c>
      <c r="B1454" t="str">
        <f>"33.76"</f>
        <v>33.76</v>
      </c>
      <c r="C1454" t="str">
        <f>"33.7981"</f>
        <v>33.7981</v>
      </c>
    </row>
    <row r="1455" spans="1:3" x14ac:dyDescent="0.25">
      <c r="A1455" t="str">
        <f>"09/06/2015"</f>
        <v>09/06/2015</v>
      </c>
      <c r="B1455" t="str">
        <f>"33.747"</f>
        <v>33.747</v>
      </c>
      <c r="C1455" t="str">
        <f>"33.7858"</f>
        <v>33.7858</v>
      </c>
    </row>
    <row r="1456" spans="1:3" x14ac:dyDescent="0.25">
      <c r="A1456" t="str">
        <f>"10/06/2015"</f>
        <v>10/06/2015</v>
      </c>
      <c r="B1456" t="str">
        <f>"33.614"</f>
        <v>33.614</v>
      </c>
      <c r="C1456" t="str">
        <f>"33.6526"</f>
        <v>33.6526</v>
      </c>
    </row>
    <row r="1457" spans="1:3" x14ac:dyDescent="0.25">
      <c r="A1457" t="str">
        <f>"11/06/2015"</f>
        <v>11/06/2015</v>
      </c>
      <c r="B1457" t="str">
        <f>"33.725"</f>
        <v>33.725</v>
      </c>
      <c r="C1457" t="str">
        <f>"33.7621"</f>
        <v>33.7621</v>
      </c>
    </row>
    <row r="1458" spans="1:3" x14ac:dyDescent="0.25">
      <c r="A1458" t="str">
        <f>"12/06/2015"</f>
        <v>12/06/2015</v>
      </c>
      <c r="B1458" t="str">
        <f>"33.65"</f>
        <v>33.65</v>
      </c>
      <c r="C1458" t="str">
        <f>"33.6867"</f>
        <v>33.6867</v>
      </c>
    </row>
    <row r="1459" spans="1:3" x14ac:dyDescent="0.25">
      <c r="A1459" t="str">
        <f>"15/06/2015"</f>
        <v>15/06/2015</v>
      </c>
      <c r="B1459" t="str">
        <f>"33.69"</f>
        <v>33.69</v>
      </c>
      <c r="C1459" t="str">
        <f>"33.7267"</f>
        <v>33.7267</v>
      </c>
    </row>
    <row r="1460" spans="1:3" x14ac:dyDescent="0.25">
      <c r="A1460" t="str">
        <f>"16/06/2015"</f>
        <v>16/06/2015</v>
      </c>
      <c r="B1460" t="str">
        <f>"33.706"</f>
        <v>33.706</v>
      </c>
      <c r="C1460" t="str">
        <f>"33.7447"</f>
        <v>33.7447</v>
      </c>
    </row>
    <row r="1461" spans="1:3" x14ac:dyDescent="0.25">
      <c r="A1461" t="str">
        <f>"17/06/2015"</f>
        <v>17/06/2015</v>
      </c>
      <c r="B1461" t="str">
        <f>"33.697"</f>
        <v>33.697</v>
      </c>
      <c r="C1461" t="str">
        <f>"33.7349"</f>
        <v>33.7349</v>
      </c>
    </row>
    <row r="1462" spans="1:3" x14ac:dyDescent="0.25">
      <c r="A1462" t="str">
        <f>"18/06/2015"</f>
        <v>18/06/2015</v>
      </c>
      <c r="B1462" t="str">
        <f>"33.666"</f>
        <v>33.666</v>
      </c>
      <c r="C1462" t="str">
        <f>"33.7031"</f>
        <v>33.7031</v>
      </c>
    </row>
    <row r="1463" spans="1:3" x14ac:dyDescent="0.25">
      <c r="A1463" t="str">
        <f>"19/06/2015"</f>
        <v>19/06/2015</v>
      </c>
      <c r="B1463" t="str">
        <f>"33.66"</f>
        <v>33.66</v>
      </c>
      <c r="C1463" t="str">
        <f>"33.6964"</f>
        <v>33.6964</v>
      </c>
    </row>
    <row r="1464" spans="1:3" x14ac:dyDescent="0.25">
      <c r="A1464" t="str">
        <f>"22/06/2015"</f>
        <v>22/06/2015</v>
      </c>
      <c r="B1464" t="str">
        <f>"33.72"</f>
        <v>33.72</v>
      </c>
      <c r="C1464" t="str">
        <f>"33.7563"</f>
        <v>33.7563</v>
      </c>
    </row>
    <row r="1465" spans="1:3" x14ac:dyDescent="0.25">
      <c r="A1465" t="str">
        <f>"23/06/2015"</f>
        <v>23/06/2015</v>
      </c>
      <c r="B1465" t="str">
        <f>"33.782"</f>
        <v>33.782</v>
      </c>
      <c r="C1465" t="str">
        <f>"33.8208"</f>
        <v>33.8208</v>
      </c>
    </row>
    <row r="1466" spans="1:3" x14ac:dyDescent="0.25">
      <c r="A1466" t="str">
        <f>"24/06/2015"</f>
        <v>24/06/2015</v>
      </c>
      <c r="B1466" t="str">
        <f>"33.802"</f>
        <v>33.802</v>
      </c>
      <c r="C1466" t="str">
        <f>"33.8401"</f>
        <v>33.8401</v>
      </c>
    </row>
    <row r="1467" spans="1:3" x14ac:dyDescent="0.25">
      <c r="A1467" t="str">
        <f>"25/06/2015"</f>
        <v>25/06/2015</v>
      </c>
      <c r="B1467" t="str">
        <f>"33.786"</f>
        <v>33.786</v>
      </c>
      <c r="C1467" t="str">
        <f>"33.8227"</f>
        <v>33.8227</v>
      </c>
    </row>
    <row r="1468" spans="1:3" x14ac:dyDescent="0.25">
      <c r="A1468" t="str">
        <f>"26/06/2015"</f>
        <v>26/06/2015</v>
      </c>
      <c r="B1468" t="str">
        <f>"33.81"</f>
        <v>33.81</v>
      </c>
      <c r="C1468" t="str">
        <f>"33.8461"</f>
        <v>33.8461</v>
      </c>
    </row>
    <row r="1469" spans="1:3" x14ac:dyDescent="0.25">
      <c r="A1469" t="str">
        <f>"29/06/2015"</f>
        <v>29/06/2015</v>
      </c>
      <c r="B1469" t="str">
        <f>"33.84"</f>
        <v>33.84</v>
      </c>
      <c r="C1469" t="str">
        <f>"33.877"</f>
        <v>33.877</v>
      </c>
    </row>
    <row r="1470" spans="1:3" x14ac:dyDescent="0.25">
      <c r="A1470" t="str">
        <f>"30/06/2015"</f>
        <v>30/06/2015</v>
      </c>
      <c r="B1470" t="str">
        <f>"33.817"</f>
        <v>33.817</v>
      </c>
      <c r="C1470" t="str">
        <f>"33.855"</f>
        <v>33.855</v>
      </c>
    </row>
    <row r="1471" spans="1:3" x14ac:dyDescent="0.25">
      <c r="A1471" t="str">
        <f>"01/07/2015"</f>
        <v>01/07/2015</v>
      </c>
      <c r="B1471" t="str">
        <f>"33.838"</f>
        <v>33.838</v>
      </c>
      <c r="C1471" t="str">
        <f>"33.8753"</f>
        <v>33.8753</v>
      </c>
    </row>
    <row r="1472" spans="1:3" x14ac:dyDescent="0.25">
      <c r="A1472" t="str">
        <f>"02/07/2015"</f>
        <v>02/07/2015</v>
      </c>
      <c r="B1472" t="str">
        <f>"33.822"</f>
        <v>33.822</v>
      </c>
      <c r="C1472" t="str">
        <f>"33.8596"</f>
        <v>33.8596</v>
      </c>
    </row>
    <row r="1473" spans="1:3" x14ac:dyDescent="0.25">
      <c r="A1473" t="str">
        <f>"03/07/2015"</f>
        <v>03/07/2015</v>
      </c>
      <c r="B1473" t="str">
        <f>"33.78"</f>
        <v>33.78</v>
      </c>
      <c r="C1473" t="str">
        <f>"33.8176"</f>
        <v>33.8176</v>
      </c>
    </row>
    <row r="1474" spans="1:3" x14ac:dyDescent="0.25">
      <c r="A1474" t="str">
        <f>"06/07/2015"</f>
        <v>06/07/2015</v>
      </c>
      <c r="B1474" t="str">
        <f>"33.865"</f>
        <v>33.865</v>
      </c>
      <c r="C1474" t="str">
        <f>"33.9059"</f>
        <v>33.9059</v>
      </c>
    </row>
    <row r="1475" spans="1:3" x14ac:dyDescent="0.25">
      <c r="A1475" t="str">
        <f>"07/07/2015"</f>
        <v>07/07/2015</v>
      </c>
      <c r="B1475" t="str">
        <f>"34.012"</f>
        <v>34.012</v>
      </c>
      <c r="C1475" t="str">
        <f>"34.0528"</f>
        <v>34.0528</v>
      </c>
    </row>
    <row r="1476" spans="1:3" x14ac:dyDescent="0.25">
      <c r="A1476" t="str">
        <f>"08/07/2015"</f>
        <v>08/07/2015</v>
      </c>
      <c r="B1476" t="str">
        <f>"33.976"</f>
        <v>33.976</v>
      </c>
      <c r="C1476" t="str">
        <f>"34.0163"</f>
        <v>34.0163</v>
      </c>
    </row>
    <row r="1477" spans="1:3" x14ac:dyDescent="0.25">
      <c r="A1477" t="str">
        <f>"09/07/2015"</f>
        <v>09/07/2015</v>
      </c>
      <c r="B1477" t="str">
        <f>"33.959"</f>
        <v>33.959</v>
      </c>
      <c r="C1477" t="str">
        <f>"34.0002"</f>
        <v>34.0002</v>
      </c>
    </row>
    <row r="1478" spans="1:3" x14ac:dyDescent="0.25">
      <c r="A1478" t="str">
        <f>"10/07/2015"</f>
        <v>10/07/2015</v>
      </c>
      <c r="B1478" t="str">
        <f>"33.94"</f>
        <v>33.94</v>
      </c>
      <c r="C1478" t="str">
        <f>"33.98"</f>
        <v>33.98</v>
      </c>
    </row>
    <row r="1479" spans="1:3" x14ac:dyDescent="0.25">
      <c r="A1479" t="str">
        <f>"13/07/2015"</f>
        <v>13/07/2015</v>
      </c>
      <c r="B1479" t="str">
        <f>"34.051"</f>
        <v>34.051</v>
      </c>
      <c r="C1479" t="str">
        <f>"34.091"</f>
        <v>34.091</v>
      </c>
    </row>
    <row r="1480" spans="1:3" x14ac:dyDescent="0.25">
      <c r="A1480" t="str">
        <f>"14/07/2015"</f>
        <v>14/07/2015</v>
      </c>
      <c r="B1480" t="str">
        <f>"34.059"</f>
        <v>34.059</v>
      </c>
      <c r="C1480" t="str">
        <f>"34.0993"</f>
        <v>34.0993</v>
      </c>
    </row>
    <row r="1481" spans="1:3" x14ac:dyDescent="0.25">
      <c r="A1481" t="str">
        <f>"15/07/2015"</f>
        <v>15/07/2015</v>
      </c>
      <c r="B1481" t="str">
        <f>"34.194"</f>
        <v>34.194</v>
      </c>
      <c r="C1481" t="str">
        <f>"34.234"</f>
        <v>34.234</v>
      </c>
    </row>
    <row r="1482" spans="1:3" x14ac:dyDescent="0.25">
      <c r="A1482" t="str">
        <f>"16/07/2015"</f>
        <v>16/07/2015</v>
      </c>
      <c r="B1482" t="str">
        <f>"34.21"</f>
        <v>34.21</v>
      </c>
      <c r="C1482" t="str">
        <f>"34.2496"</f>
        <v>34.2496</v>
      </c>
    </row>
    <row r="1483" spans="1:3" x14ac:dyDescent="0.25">
      <c r="A1483" t="str">
        <f>"17/07/2015"</f>
        <v>17/07/2015</v>
      </c>
      <c r="B1483" t="str">
        <f>"34.23"</f>
        <v>34.23</v>
      </c>
      <c r="C1483" t="str">
        <f>"34.2701"</f>
        <v>34.2701</v>
      </c>
    </row>
    <row r="1484" spans="1:3" x14ac:dyDescent="0.25">
      <c r="A1484" t="str">
        <f>"20/07/2015"</f>
        <v>20/07/2015</v>
      </c>
      <c r="B1484" t="str">
        <f>"34.49"</f>
        <v>34.49</v>
      </c>
      <c r="C1484" t="str">
        <f>"34.5336"</f>
        <v>34.5336</v>
      </c>
    </row>
    <row r="1485" spans="1:3" x14ac:dyDescent="0.25">
      <c r="A1485" t="str">
        <f>"21/07/2015"</f>
        <v>21/07/2015</v>
      </c>
      <c r="B1485" t="str">
        <f>"34.441"</f>
        <v>34.441</v>
      </c>
      <c r="C1485" t="str">
        <f>"34.484"</f>
        <v>34.484</v>
      </c>
    </row>
    <row r="1486" spans="1:3" x14ac:dyDescent="0.25">
      <c r="A1486" t="str">
        <f>"22/07/2015"</f>
        <v>22/07/2015</v>
      </c>
      <c r="B1486" t="str">
        <f>"34.745"</f>
        <v>34.745</v>
      </c>
      <c r="C1486" t="str">
        <f>"34.7863"</f>
        <v>34.7863</v>
      </c>
    </row>
    <row r="1487" spans="1:3" x14ac:dyDescent="0.25">
      <c r="A1487" t="str">
        <f>"23/07/2015"</f>
        <v>23/07/2015</v>
      </c>
      <c r="B1487" t="str">
        <f>"34.851"</f>
        <v>34.851</v>
      </c>
      <c r="C1487" t="str">
        <f>"34.8936"</f>
        <v>34.8936</v>
      </c>
    </row>
    <row r="1488" spans="1:3" x14ac:dyDescent="0.25">
      <c r="A1488" t="str">
        <f>"24/07/2015"</f>
        <v>24/07/2015</v>
      </c>
      <c r="B1488" t="str">
        <f>"34.89"</f>
        <v>34.89</v>
      </c>
      <c r="C1488" t="str">
        <f>"34.9334"</f>
        <v>34.9334</v>
      </c>
    </row>
    <row r="1489" spans="1:3" x14ac:dyDescent="0.25">
      <c r="A1489" t="str">
        <f>"27/07/2015"</f>
        <v>27/07/2015</v>
      </c>
      <c r="B1489" t="str">
        <f>"34.893"</f>
        <v>34.893</v>
      </c>
      <c r="C1489" t="str">
        <f>"34.9379"</f>
        <v>34.9379</v>
      </c>
    </row>
    <row r="1490" spans="1:3" x14ac:dyDescent="0.25">
      <c r="A1490" t="str">
        <f>"28/07/2015"</f>
        <v>28/07/2015</v>
      </c>
      <c r="B1490" t="str">
        <f>"34.854"</f>
        <v>34.854</v>
      </c>
      <c r="C1490" t="str">
        <f>"34.897"</f>
        <v>34.897</v>
      </c>
    </row>
    <row r="1491" spans="1:3" x14ac:dyDescent="0.25">
      <c r="A1491" t="str">
        <f>"29/07/2015"</f>
        <v>29/07/2015</v>
      </c>
      <c r="B1491" t="str">
        <f>"34.927"</f>
        <v>34.927</v>
      </c>
      <c r="C1491" t="str">
        <f>"34.9735"</f>
        <v>34.9735</v>
      </c>
    </row>
    <row r="1492" spans="1:3" x14ac:dyDescent="0.25">
      <c r="A1492" t="str">
        <f>"30/07/2015"</f>
        <v>30/07/2015</v>
      </c>
      <c r="B1492" t="str">
        <f>"35.188"</f>
        <v>35.188</v>
      </c>
      <c r="C1492" t="str">
        <f>"35.233"</f>
        <v>35.233</v>
      </c>
    </row>
    <row r="1493" spans="1:3" x14ac:dyDescent="0.25">
      <c r="A1493" t="str">
        <f>"31/07/2015"</f>
        <v>31/07/2015</v>
      </c>
      <c r="B1493" t="str">
        <f>"35.015"</f>
        <v>35.015</v>
      </c>
      <c r="C1493" t="str">
        <f>"35.0594"</f>
        <v>35.0594</v>
      </c>
    </row>
    <row r="1494" spans="1:3" x14ac:dyDescent="0.25">
      <c r="A1494" t="str">
        <f>"03/08/2015"</f>
        <v>03/08/2015</v>
      </c>
      <c r="B1494" t="str">
        <f>"35.125"</f>
        <v>35.125</v>
      </c>
      <c r="C1494" t="str">
        <f>"35.1712"</f>
        <v>35.1712</v>
      </c>
    </row>
    <row r="1495" spans="1:3" x14ac:dyDescent="0.25">
      <c r="A1495" t="str">
        <f>"04/08/2015"</f>
        <v>04/08/2015</v>
      </c>
      <c r="B1495" t="str">
        <f>"35.137"</f>
        <v>35.137</v>
      </c>
      <c r="C1495" t="str">
        <f>"35.1813"</f>
        <v>35.1813</v>
      </c>
    </row>
    <row r="1496" spans="1:3" x14ac:dyDescent="0.25">
      <c r="A1496" t="str">
        <f>"05/08/2015"</f>
        <v>05/08/2015</v>
      </c>
      <c r="B1496" t="str">
        <f>"35.19"</f>
        <v>35.19</v>
      </c>
      <c r="C1496" t="str">
        <f>"35.2342"</f>
        <v>35.2342</v>
      </c>
    </row>
    <row r="1497" spans="1:3" x14ac:dyDescent="0.25">
      <c r="A1497" t="str">
        <f>"06/08/2015"</f>
        <v>06/08/2015</v>
      </c>
      <c r="B1497" t="str">
        <f>"35.131"</f>
        <v>35.131</v>
      </c>
      <c r="C1497" t="str">
        <f>"35.1772"</f>
        <v>35.1772</v>
      </c>
    </row>
    <row r="1498" spans="1:3" x14ac:dyDescent="0.25">
      <c r="A1498" t="str">
        <f>"07/08/2015"</f>
        <v>07/08/2015</v>
      </c>
      <c r="B1498" t="str">
        <f>"35.15"</f>
        <v>35.15</v>
      </c>
      <c r="C1498" t="str">
        <f>"35.1945"</f>
        <v>35.1945</v>
      </c>
    </row>
    <row r="1499" spans="1:3" x14ac:dyDescent="0.25">
      <c r="A1499" t="str">
        <f>"10/08/2015"</f>
        <v>10/08/2015</v>
      </c>
      <c r="B1499" t="str">
        <f>"35.114"</f>
        <v>35.114</v>
      </c>
      <c r="C1499" t="str">
        <f>"35.1601"</f>
        <v>35.1601</v>
      </c>
    </row>
    <row r="1500" spans="1:3" x14ac:dyDescent="0.25">
      <c r="A1500" t="str">
        <f>"11/08/2015"</f>
        <v>11/08/2015</v>
      </c>
      <c r="B1500" t="str">
        <f>"35.369"</f>
        <v>35.369</v>
      </c>
      <c r="C1500" t="str">
        <f>"35.4139"</f>
        <v>35.4139</v>
      </c>
    </row>
    <row r="1501" spans="1:3" x14ac:dyDescent="0.25">
      <c r="A1501" t="str">
        <f>"12/08/2015"</f>
        <v>12/08/2015</v>
      </c>
      <c r="B1501" t="str">
        <f>"35.978"</f>
        <v>35.978</v>
      </c>
      <c r="C1501" t="str">
        <f>"36.0217"</f>
        <v>36.0217</v>
      </c>
    </row>
    <row r="1502" spans="1:3" x14ac:dyDescent="0.25">
      <c r="A1502" t="str">
        <f>"13/08/2015"</f>
        <v>13/08/2015</v>
      </c>
      <c r="B1502" t="str">
        <f>"35.173"</f>
        <v>35.173</v>
      </c>
      <c r="C1502" t="str">
        <f>"35.2192"</f>
        <v>35.2192</v>
      </c>
    </row>
    <row r="1503" spans="1:3" x14ac:dyDescent="0.25">
      <c r="A1503" t="str">
        <f>"14/08/2015"</f>
        <v>14/08/2015</v>
      </c>
      <c r="B1503" t="str">
        <f>"35.27"</f>
        <v>35.27</v>
      </c>
      <c r="C1503" t="str">
        <f>"35.3176"</f>
        <v>35.3176</v>
      </c>
    </row>
    <row r="1504" spans="1:3" x14ac:dyDescent="0.25">
      <c r="A1504" t="str">
        <f>"17/08/2015"</f>
        <v>17/08/2015</v>
      </c>
      <c r="B1504" t="str">
        <f>"35.562"</f>
        <v>35.562</v>
      </c>
      <c r="C1504" t="str">
        <f>"35.6126"</f>
        <v>35.6126</v>
      </c>
    </row>
    <row r="1505" spans="1:3" x14ac:dyDescent="0.25">
      <c r="A1505" t="str">
        <f>"19/08/2015"</f>
        <v>19/08/2015</v>
      </c>
      <c r="B1505" t="str">
        <f>"35.602"</f>
        <v>35.602</v>
      </c>
      <c r="C1505" t="str">
        <f>"35.6511"</f>
        <v>35.6511</v>
      </c>
    </row>
    <row r="1506" spans="1:3" x14ac:dyDescent="0.25">
      <c r="A1506" t="str">
        <f>"20/08/2015"</f>
        <v>20/08/2015</v>
      </c>
      <c r="B1506" t="str">
        <f>"35.616"</f>
        <v>35.616</v>
      </c>
      <c r="C1506" t="str">
        <f>"35.6681"</f>
        <v>35.6681</v>
      </c>
    </row>
    <row r="1507" spans="1:3" x14ac:dyDescent="0.25">
      <c r="A1507" t="str">
        <f>"21/08/2015"</f>
        <v>21/08/2015</v>
      </c>
      <c r="B1507" t="str">
        <f>"35.71"</f>
        <v>35.71</v>
      </c>
      <c r="C1507" t="str">
        <f>"35.7672"</f>
        <v>35.7672</v>
      </c>
    </row>
    <row r="1508" spans="1:3" x14ac:dyDescent="0.25">
      <c r="A1508" t="str">
        <f>"25/08/2015"</f>
        <v>25/08/2015</v>
      </c>
      <c r="B1508" t="str">
        <f>"35.587"</f>
        <v>35.587</v>
      </c>
      <c r="C1508" t="str">
        <f>"35.6725"</f>
        <v>35.6725</v>
      </c>
    </row>
    <row r="1509" spans="1:3" x14ac:dyDescent="0.25">
      <c r="A1509" t="str">
        <f>"26/08/2015"</f>
        <v>26/08/2015</v>
      </c>
      <c r="B1509" t="str">
        <f>"35.668"</f>
        <v>35.668</v>
      </c>
      <c r="C1509" t="str">
        <f>"35.7429"</f>
        <v>35.7429</v>
      </c>
    </row>
    <row r="1510" spans="1:3" x14ac:dyDescent="0.25">
      <c r="A1510" t="str">
        <f>"27/08/2015"</f>
        <v>27/08/2015</v>
      </c>
      <c r="B1510" t="str">
        <f>"35.673"</f>
        <v>35.673</v>
      </c>
      <c r="C1510" t="str">
        <f>"35.7231"</f>
        <v>35.7231</v>
      </c>
    </row>
    <row r="1511" spans="1:3" x14ac:dyDescent="0.25">
      <c r="A1511" t="str">
        <f>"28/08/2015"</f>
        <v>28/08/2015</v>
      </c>
      <c r="B1511" t="str">
        <f>"35.87"</f>
        <v>35.87</v>
      </c>
      <c r="C1511" t="str">
        <f>"35.925"</f>
        <v>35.925</v>
      </c>
    </row>
    <row r="1512" spans="1:3" x14ac:dyDescent="0.25">
      <c r="A1512" t="str">
        <f>"31/08/2015"</f>
        <v>31/08/2015</v>
      </c>
      <c r="B1512" t="str">
        <f>"35.852"</f>
        <v>35.852</v>
      </c>
      <c r="C1512" t="str">
        <f>"35.905"</f>
        <v>35.905</v>
      </c>
    </row>
    <row r="1513" spans="1:3" x14ac:dyDescent="0.25">
      <c r="A1513" t="str">
        <f>"01/09/2015"</f>
        <v>01/09/2015</v>
      </c>
      <c r="B1513" t="str">
        <f>"35.78"</f>
        <v>35.78</v>
      </c>
      <c r="C1513" t="str">
        <f>"35.8306"</f>
        <v>35.8306</v>
      </c>
    </row>
    <row r="1514" spans="1:3" x14ac:dyDescent="0.25">
      <c r="A1514" t="str">
        <f>"02/09/2015"</f>
        <v>02/09/2015</v>
      </c>
      <c r="B1514" t="str">
        <f>"35.801"</f>
        <v>35.801</v>
      </c>
      <c r="C1514" t="str">
        <f>"35.8513"</f>
        <v>35.8513</v>
      </c>
    </row>
    <row r="1515" spans="1:3" x14ac:dyDescent="0.25">
      <c r="A1515" t="str">
        <f>"03/09/2015"</f>
        <v>03/09/2015</v>
      </c>
      <c r="B1515" t="str">
        <f>"35.863"</f>
        <v>35.863</v>
      </c>
      <c r="C1515" t="str">
        <f>"35.9104"</f>
        <v>35.9104</v>
      </c>
    </row>
    <row r="1516" spans="1:3" x14ac:dyDescent="0.25">
      <c r="A1516" t="str">
        <f>"04/09/2015"</f>
        <v>04/09/2015</v>
      </c>
      <c r="B1516" t="str">
        <f>"35.98"</f>
        <v>35.98</v>
      </c>
      <c r="C1516" t="str">
        <f>"36.0272"</f>
        <v>36.0272</v>
      </c>
    </row>
    <row r="1517" spans="1:3" x14ac:dyDescent="0.25">
      <c r="A1517" t="str">
        <f>"07/09/2015"</f>
        <v>07/09/2015</v>
      </c>
      <c r="B1517" t="str">
        <f>"36.177"</f>
        <v>36.177</v>
      </c>
      <c r="C1517" t="str">
        <f>"36.224"</f>
        <v>36.224</v>
      </c>
    </row>
    <row r="1518" spans="1:3" x14ac:dyDescent="0.25">
      <c r="A1518" t="str">
        <f>"08/09/2015"</f>
        <v>08/09/2015</v>
      </c>
      <c r="B1518" t="str">
        <f>"36.05"</f>
        <v>36.05</v>
      </c>
      <c r="C1518" t="str">
        <f>"36.1018"</f>
        <v>36.1018</v>
      </c>
    </row>
    <row r="1519" spans="1:3" x14ac:dyDescent="0.25">
      <c r="A1519" t="str">
        <f>"09/09/2015"</f>
        <v>09/09/2015</v>
      </c>
      <c r="B1519" t="str">
        <f>"36.227"</f>
        <v>36.227</v>
      </c>
      <c r="C1519" t="str">
        <f>"36.2758"</f>
        <v>36.2758</v>
      </c>
    </row>
    <row r="1520" spans="1:3" x14ac:dyDescent="0.25">
      <c r="A1520" t="str">
        <f>"10/09/2015"</f>
        <v>10/09/2015</v>
      </c>
      <c r="B1520" t="str">
        <f>"36.055"</f>
        <v>36.055</v>
      </c>
      <c r="C1520" t="str">
        <f>"36.0985"</f>
        <v>36.0985</v>
      </c>
    </row>
    <row r="1521" spans="1:3" x14ac:dyDescent="0.25">
      <c r="A1521" t="str">
        <f>"11/09/2015"</f>
        <v>11/09/2015</v>
      </c>
      <c r="B1521" t="str">
        <f>"36.06"</f>
        <v>36.06</v>
      </c>
      <c r="C1521" t="str">
        <f>"36.1031"</f>
        <v>36.1031</v>
      </c>
    </row>
    <row r="1522" spans="1:3" x14ac:dyDescent="0.25">
      <c r="A1522" t="str">
        <f>"14/09/2015"</f>
        <v>14/09/2015</v>
      </c>
      <c r="B1522" t="str">
        <f>"36.04"</f>
        <v>36.04</v>
      </c>
      <c r="C1522" t="str">
        <f>"36.0827"</f>
        <v>36.0827</v>
      </c>
    </row>
    <row r="1523" spans="1:3" x14ac:dyDescent="0.25">
      <c r="A1523" t="str">
        <f>"15/09/2015"</f>
        <v>15/09/2015</v>
      </c>
      <c r="B1523" t="str">
        <f>"35.94"</f>
        <v>35.94</v>
      </c>
      <c r="C1523" t="str">
        <f>"35.9825"</f>
        <v>35.9825</v>
      </c>
    </row>
    <row r="1524" spans="1:3" x14ac:dyDescent="0.25">
      <c r="A1524" t="str">
        <f>"16/09/2015"</f>
        <v>16/09/2015</v>
      </c>
      <c r="B1524" t="str">
        <f>"35.878"</f>
        <v>35.878</v>
      </c>
      <c r="C1524" t="str">
        <f>"35.9195"</f>
        <v>35.9195</v>
      </c>
    </row>
    <row r="1525" spans="1:3" x14ac:dyDescent="0.25">
      <c r="A1525" t="str">
        <f>"18/09/2015"</f>
        <v>18/09/2015</v>
      </c>
      <c r="B1525" t="str">
        <f>"35.66"</f>
        <v>35.66</v>
      </c>
      <c r="C1525" t="str">
        <f>"35.6995"</f>
        <v>35.6995</v>
      </c>
    </row>
    <row r="1526" spans="1:3" x14ac:dyDescent="0.25">
      <c r="A1526" t="str">
        <f>"21/09/2015"</f>
        <v>21/09/2015</v>
      </c>
      <c r="B1526" t="str">
        <f>"35.85"</f>
        <v>35.85</v>
      </c>
      <c r="C1526" t="str">
        <f>"35.8943"</f>
        <v>35.8943</v>
      </c>
    </row>
    <row r="1527" spans="1:3" x14ac:dyDescent="0.25">
      <c r="A1527" t="str">
        <f>"22/09/2015"</f>
        <v>22/09/2015</v>
      </c>
      <c r="B1527" t="str">
        <f>"36.091"</f>
        <v>36.091</v>
      </c>
      <c r="C1527" t="str">
        <f>"36.1358"</f>
        <v>36.1358</v>
      </c>
    </row>
    <row r="1528" spans="1:3" x14ac:dyDescent="0.25">
      <c r="A1528" t="str">
        <f>"23/09/2015"</f>
        <v>23/09/2015</v>
      </c>
      <c r="B1528" t="str">
        <f>"36.253"</f>
        <v>36.253</v>
      </c>
      <c r="C1528" t="str">
        <f>"36.2988"</f>
        <v>36.2988</v>
      </c>
    </row>
    <row r="1529" spans="1:3" x14ac:dyDescent="0.25">
      <c r="A1529" t="str">
        <f>"24/09/2015"</f>
        <v>24/09/2015</v>
      </c>
      <c r="B1529" t="str">
        <f>"36.309"</f>
        <v>36.309</v>
      </c>
      <c r="C1529" t="str">
        <f>"36.3546"</f>
        <v>36.3546</v>
      </c>
    </row>
    <row r="1530" spans="1:3" x14ac:dyDescent="0.25">
      <c r="A1530" t="str">
        <f>"28/09/2015"</f>
        <v>28/09/2015</v>
      </c>
      <c r="B1530" t="str">
        <f>"36.415"</f>
        <v>36.415</v>
      </c>
      <c r="C1530" t="str">
        <f>"36.4595"</f>
        <v>36.4595</v>
      </c>
    </row>
    <row r="1531" spans="1:3" x14ac:dyDescent="0.25">
      <c r="A1531" t="str">
        <f>"29/09/2015"</f>
        <v>29/09/2015</v>
      </c>
      <c r="B1531" t="str">
        <f>"36.453"</f>
        <v>36.453</v>
      </c>
      <c r="C1531" t="str">
        <f>"36.5006"</f>
        <v>36.5006</v>
      </c>
    </row>
    <row r="1532" spans="1:3" x14ac:dyDescent="0.25">
      <c r="A1532" t="str">
        <f>"30/09/2015"</f>
        <v>30/09/2015</v>
      </c>
      <c r="B1532" t="str">
        <f>"36.398"</f>
        <v>36.398</v>
      </c>
      <c r="C1532" t="str">
        <f>"36.4413"</f>
        <v>36.4413</v>
      </c>
    </row>
    <row r="1533" spans="1:3" x14ac:dyDescent="0.25">
      <c r="A1533" t="str">
        <f>"01/10/2015"</f>
        <v>01/10/2015</v>
      </c>
      <c r="B1533" t="str">
        <f>"36.518"</f>
        <v>36.518</v>
      </c>
      <c r="C1533" t="str">
        <f>"36.5617"</f>
        <v>36.5617</v>
      </c>
    </row>
    <row r="1534" spans="1:3" x14ac:dyDescent="0.25">
      <c r="A1534" t="str">
        <f>"05/10/2015"</f>
        <v>05/10/2015</v>
      </c>
      <c r="B1534" t="str">
        <f>"36.305"</f>
        <v>36.305</v>
      </c>
      <c r="C1534" t="str">
        <f>"36.3505"</f>
        <v>36.3505</v>
      </c>
    </row>
    <row r="1535" spans="1:3" x14ac:dyDescent="0.25">
      <c r="A1535" t="str">
        <f>"06/10/2015"</f>
        <v>06/10/2015</v>
      </c>
      <c r="B1535" t="str">
        <f>"36.254"</f>
        <v>36.254</v>
      </c>
      <c r="C1535" t="str">
        <f>"36.2968"</f>
        <v>36.2968</v>
      </c>
    </row>
    <row r="1536" spans="1:3" x14ac:dyDescent="0.25">
      <c r="A1536" t="str">
        <f>"07/10/2015"</f>
        <v>07/10/2015</v>
      </c>
      <c r="B1536" t="str">
        <f>"35.915"</f>
        <v>35.915</v>
      </c>
      <c r="C1536" t="str">
        <f>"35.957"</f>
        <v>35.957</v>
      </c>
    </row>
    <row r="1537" spans="1:3" x14ac:dyDescent="0.25">
      <c r="A1537" t="str">
        <f>"08/10/2015"</f>
        <v>08/10/2015</v>
      </c>
      <c r="B1537" t="str">
        <f>"35.797"</f>
        <v>35.797</v>
      </c>
      <c r="C1537" t="str">
        <f>"35.8391"</f>
        <v>35.8391</v>
      </c>
    </row>
    <row r="1538" spans="1:3" x14ac:dyDescent="0.25">
      <c r="A1538" t="str">
        <f>"09/10/2015"</f>
        <v>09/10/2015</v>
      </c>
      <c r="B1538" t="str">
        <f>"35.55"</f>
        <v>35.55</v>
      </c>
      <c r="C1538" t="str">
        <f>"35.5924"</f>
        <v>35.5924</v>
      </c>
    </row>
    <row r="1539" spans="1:3" x14ac:dyDescent="0.25">
      <c r="A1539" t="str">
        <f>"12/10/2015"</f>
        <v>12/10/2015</v>
      </c>
      <c r="B1539" t="str">
        <f>"35.38"</f>
        <v>35.38</v>
      </c>
      <c r="C1539" t="str">
        <f>"35.424"</f>
        <v>35.424</v>
      </c>
    </row>
    <row r="1540" spans="1:3" x14ac:dyDescent="0.25">
      <c r="A1540" t="str">
        <f>"13/10/2015"</f>
        <v>13/10/2015</v>
      </c>
      <c r="B1540" t="str">
        <f>"35.687"</f>
        <v>35.687</v>
      </c>
      <c r="C1540" t="str">
        <f>"35.7348"</f>
        <v>35.7348</v>
      </c>
    </row>
    <row r="1541" spans="1:3" x14ac:dyDescent="0.25">
      <c r="A1541" t="str">
        <f>"14/10/2015"</f>
        <v>14/10/2015</v>
      </c>
      <c r="B1541" t="str">
        <f>"35.42"</f>
        <v>35.42</v>
      </c>
      <c r="C1541" t="str">
        <f>"35.4642"</f>
        <v>35.4642</v>
      </c>
    </row>
    <row r="1542" spans="1:3" x14ac:dyDescent="0.25">
      <c r="A1542" t="str">
        <f>"15/10/2015"</f>
        <v>15/10/2015</v>
      </c>
      <c r="B1542" t="str">
        <f>"35.23"</f>
        <v>35.23</v>
      </c>
      <c r="C1542" t="str">
        <f>"35.2728"</f>
        <v>35.2728</v>
      </c>
    </row>
    <row r="1543" spans="1:3" x14ac:dyDescent="0.25">
      <c r="A1543" t="str">
        <f>"16/10/2015"</f>
        <v>16/10/2015</v>
      </c>
      <c r="B1543" t="str">
        <f>"35.28"</f>
        <v>35.28</v>
      </c>
      <c r="C1543" t="str">
        <f>"35.3228"</f>
        <v>35.3228</v>
      </c>
    </row>
    <row r="1544" spans="1:3" x14ac:dyDescent="0.25">
      <c r="A1544" t="str">
        <f>"19/10/2015"</f>
        <v>19/10/2015</v>
      </c>
      <c r="B1544" t="str">
        <f>"35.508"</f>
        <v>35.508</v>
      </c>
      <c r="C1544" t="str">
        <f>"35.5536"</f>
        <v>35.5536</v>
      </c>
    </row>
    <row r="1545" spans="1:3" x14ac:dyDescent="0.25">
      <c r="A1545" t="str">
        <f>"20/10/2015"</f>
        <v>20/10/2015</v>
      </c>
      <c r="B1545" t="str">
        <f>"35.46"</f>
        <v>35.46</v>
      </c>
      <c r="C1545" t="str">
        <f>"35.5065"</f>
        <v>35.5065</v>
      </c>
    </row>
    <row r="1546" spans="1:3" x14ac:dyDescent="0.25">
      <c r="A1546" t="str">
        <f>"21/10/2015"</f>
        <v>21/10/2015</v>
      </c>
      <c r="B1546" t="str">
        <f>"35.397"</f>
        <v>35.397</v>
      </c>
      <c r="C1546" t="str">
        <f>"35.441"</f>
        <v>35.441</v>
      </c>
    </row>
    <row r="1547" spans="1:3" x14ac:dyDescent="0.25">
      <c r="A1547" t="str">
        <f>"23/10/2015"</f>
        <v>23/10/2015</v>
      </c>
      <c r="B1547" t="str">
        <f>"35.583"</f>
        <v>35.583</v>
      </c>
      <c r="C1547" t="str">
        <f>"35.6259"</f>
        <v>35.6259</v>
      </c>
    </row>
    <row r="1548" spans="1:3" x14ac:dyDescent="0.25">
      <c r="A1548" t="str">
        <f>"26/10/2015"</f>
        <v>26/10/2015</v>
      </c>
      <c r="B1548" t="str">
        <f>"35.504"</f>
        <v>35.504</v>
      </c>
      <c r="C1548" t="str">
        <f>"35.5496"</f>
        <v>35.5496</v>
      </c>
    </row>
    <row r="1549" spans="1:3" x14ac:dyDescent="0.25">
      <c r="A1549" t="str">
        <f>"27/10/2015"</f>
        <v>27/10/2015</v>
      </c>
      <c r="B1549" t="str">
        <f>"35.56"</f>
        <v>35.56</v>
      </c>
      <c r="C1549" t="str">
        <f>"35.6037"</f>
        <v>35.6037</v>
      </c>
    </row>
    <row r="1550" spans="1:3" x14ac:dyDescent="0.25">
      <c r="A1550" t="str">
        <f>"29/10/2015"</f>
        <v>29/10/2015</v>
      </c>
      <c r="B1550" t="str">
        <f>"35.707"</f>
        <v>35.707</v>
      </c>
      <c r="C1550" t="str">
        <f>"35.7503"</f>
        <v>35.7503</v>
      </c>
    </row>
    <row r="1551" spans="1:3" x14ac:dyDescent="0.25">
      <c r="A1551" t="str">
        <f>"30/10/2015"</f>
        <v>30/10/2015</v>
      </c>
      <c r="B1551" t="str">
        <f>"35.657"</f>
        <v>35.657</v>
      </c>
      <c r="C1551" t="str">
        <f>"35.6978"</f>
        <v>35.6978</v>
      </c>
    </row>
    <row r="1552" spans="1:3" x14ac:dyDescent="0.25">
      <c r="A1552" t="str">
        <f>"02/11/2015"</f>
        <v>02/11/2015</v>
      </c>
      <c r="B1552" t="str">
        <f>"35.59"</f>
        <v>35.59</v>
      </c>
      <c r="C1552" t="str">
        <f>"35.6302"</f>
        <v>35.6302</v>
      </c>
    </row>
    <row r="1553" spans="1:3" x14ac:dyDescent="0.25">
      <c r="A1553" t="str">
        <f>"03/11/2015"</f>
        <v>03/11/2015</v>
      </c>
      <c r="B1553" t="str">
        <f>"35.60"</f>
        <v>35.60</v>
      </c>
      <c r="C1553" t="str">
        <f>"35.6426"</f>
        <v>35.6426</v>
      </c>
    </row>
    <row r="1554" spans="1:3" x14ac:dyDescent="0.25">
      <c r="A1554" t="str">
        <f>"04/11/2015"</f>
        <v>04/11/2015</v>
      </c>
      <c r="B1554" t="str">
        <f>"35.562"</f>
        <v>35.562</v>
      </c>
      <c r="C1554" t="str">
        <f>"35.6034"</f>
        <v>35.6034</v>
      </c>
    </row>
    <row r="1555" spans="1:3" x14ac:dyDescent="0.25">
      <c r="A1555" t="str">
        <f>"05/11/2015"</f>
        <v>05/11/2015</v>
      </c>
      <c r="B1555" t="str">
        <f>"35.58"</f>
        <v>35.58</v>
      </c>
      <c r="C1555" t="str">
        <f>"35.6185"</f>
        <v>35.6185</v>
      </c>
    </row>
    <row r="1556" spans="1:3" x14ac:dyDescent="0.25">
      <c r="A1556" t="str">
        <f>"06/11/2015"</f>
        <v>06/11/2015</v>
      </c>
      <c r="B1556" t="str">
        <f>"35.885"</f>
        <v>35.885</v>
      </c>
      <c r="C1556" t="str">
        <f>"35.924"</f>
        <v>35.924</v>
      </c>
    </row>
    <row r="1557" spans="1:3" x14ac:dyDescent="0.25">
      <c r="A1557" t="str">
        <f>"09/11/2015"</f>
        <v>09/11/2015</v>
      </c>
      <c r="B1557" t="str">
        <f>"35.942"</f>
        <v>35.942</v>
      </c>
      <c r="C1557" t="str">
        <f>"35.9827"</f>
        <v>35.9827</v>
      </c>
    </row>
    <row r="1558" spans="1:3" x14ac:dyDescent="0.25">
      <c r="A1558" t="str">
        <f>"10/11/2015"</f>
        <v>10/11/2015</v>
      </c>
      <c r="B1558" t="str">
        <f>"35.90"</f>
        <v>35.90</v>
      </c>
      <c r="C1558" t="str">
        <f>"35.9409"</f>
        <v>35.9409</v>
      </c>
    </row>
    <row r="1559" spans="1:3" x14ac:dyDescent="0.25">
      <c r="A1559" t="str">
        <f>"13/11/2015"</f>
        <v>13/11/2015</v>
      </c>
      <c r="B1559" t="str">
        <f>"35.97"</f>
        <v>35.97</v>
      </c>
      <c r="C1559" t="str">
        <f>"36.0081"</f>
        <v>36.0081</v>
      </c>
    </row>
    <row r="1560" spans="1:3" x14ac:dyDescent="0.25">
      <c r="A1560" t="str">
        <f>"16/11/2015"</f>
        <v>16/11/2015</v>
      </c>
      <c r="B1560" t="str">
        <f>"35.991"</f>
        <v>35.991</v>
      </c>
      <c r="C1560" t="str">
        <f>"36.0292"</f>
        <v>36.0292</v>
      </c>
    </row>
    <row r="1561" spans="1:3" x14ac:dyDescent="0.25">
      <c r="A1561" t="str">
        <f>"17/11/2015"</f>
        <v>17/11/2015</v>
      </c>
      <c r="B1561" t="str">
        <f>"36.025"</f>
        <v>36.025</v>
      </c>
      <c r="C1561" t="str">
        <f>"36.0656"</f>
        <v>36.0656</v>
      </c>
    </row>
    <row r="1562" spans="1:3" x14ac:dyDescent="0.25">
      <c r="A1562" t="str">
        <f>"18/11/2015"</f>
        <v>18/11/2015</v>
      </c>
      <c r="B1562" t="str">
        <f>"36.007"</f>
        <v>36.007</v>
      </c>
      <c r="C1562" t="str">
        <f>"36.0461"</f>
        <v>36.0461</v>
      </c>
    </row>
    <row r="1563" spans="1:3" x14ac:dyDescent="0.25">
      <c r="A1563" t="str">
        <f>"19/11/2015"</f>
        <v>19/11/2015</v>
      </c>
      <c r="B1563" t="str">
        <f>"35.884"</f>
        <v>35.884</v>
      </c>
      <c r="C1563" t="str">
        <f>"35.923"</f>
        <v>35.923</v>
      </c>
    </row>
    <row r="1564" spans="1:3" x14ac:dyDescent="0.25">
      <c r="A1564" t="str">
        <f>"20/11/2015"</f>
        <v>20/11/2015</v>
      </c>
      <c r="B1564" t="str">
        <f>"35.77"</f>
        <v>35.77</v>
      </c>
      <c r="C1564" t="str">
        <f>"35.8094"</f>
        <v>35.8094</v>
      </c>
    </row>
    <row r="1565" spans="1:3" x14ac:dyDescent="0.25">
      <c r="A1565" t="str">
        <f>"23/11/2015"</f>
        <v>23/11/2015</v>
      </c>
      <c r="B1565" t="str">
        <f>"35.88"</f>
        <v>35.88</v>
      </c>
      <c r="C1565" t="str">
        <f>"35.9223"</f>
        <v>35.9223</v>
      </c>
    </row>
    <row r="1566" spans="1:3" x14ac:dyDescent="0.25">
      <c r="A1566" t="str">
        <f>"24/11/2015"</f>
        <v>24/11/2015</v>
      </c>
      <c r="B1566" t="str">
        <f>"35.762"</f>
        <v>35.762</v>
      </c>
      <c r="C1566" t="str">
        <f>"35.8014"</f>
        <v>35.8014</v>
      </c>
    </row>
    <row r="1567" spans="1:3" x14ac:dyDescent="0.25">
      <c r="A1567" t="str">
        <f>"26/11/2015"</f>
        <v>26/11/2015</v>
      </c>
      <c r="B1567" t="str">
        <f>"35.75"</f>
        <v>35.75</v>
      </c>
      <c r="C1567" t="str">
        <f>"35.7886"</f>
        <v>35.7886</v>
      </c>
    </row>
    <row r="1568" spans="1:3" x14ac:dyDescent="0.25">
      <c r="A1568" t="str">
        <f>"27/11/2015"</f>
        <v>27/11/2015</v>
      </c>
      <c r="B1568" t="str">
        <f>"35.92"</f>
        <v>35.92</v>
      </c>
      <c r="C1568" t="str">
        <f>"35.9628"</f>
        <v>35.9628</v>
      </c>
    </row>
    <row r="1569" spans="1:3" x14ac:dyDescent="0.25">
      <c r="A1569" t="str">
        <f>"30/11/2015"</f>
        <v>30/11/2015</v>
      </c>
      <c r="B1569" t="str">
        <f>"35.83"</f>
        <v>35.83</v>
      </c>
      <c r="C1569" t="str">
        <f>"35.8722"</f>
        <v>35.8722</v>
      </c>
    </row>
    <row r="1570" spans="1:3" x14ac:dyDescent="0.25">
      <c r="A1570" t="str">
        <f>"01/12/2015"</f>
        <v>01/12/2015</v>
      </c>
      <c r="B1570" t="str">
        <f>"35.771"</f>
        <v>35.771</v>
      </c>
      <c r="C1570" t="str">
        <f>"35.8117"</f>
        <v>35.8117</v>
      </c>
    </row>
    <row r="1571" spans="1:3" x14ac:dyDescent="0.25">
      <c r="A1571" t="str">
        <f>"02/12/2015"</f>
        <v>02/12/2015</v>
      </c>
      <c r="B1571" t="str">
        <f>"35.89"</f>
        <v>35.89</v>
      </c>
      <c r="C1571" t="str">
        <f>"35.9389"</f>
        <v>35.9389</v>
      </c>
    </row>
    <row r="1572" spans="1:3" x14ac:dyDescent="0.25">
      <c r="A1572" t="str">
        <f>"03/12/2015"</f>
        <v>03/12/2015</v>
      </c>
      <c r="B1572" t="str">
        <f>"35.905"</f>
        <v>35.905</v>
      </c>
      <c r="C1572" t="str">
        <f>"35.943"</f>
        <v>35.943</v>
      </c>
    </row>
    <row r="1573" spans="1:3" x14ac:dyDescent="0.25">
      <c r="A1573" t="str">
        <f>"04/12/2015"</f>
        <v>04/12/2015</v>
      </c>
      <c r="B1573" t="str">
        <f>"35.81"</f>
        <v>35.81</v>
      </c>
      <c r="C1573" t="str">
        <f>"35.8516"</f>
        <v>35.8516</v>
      </c>
    </row>
    <row r="1574" spans="1:3" x14ac:dyDescent="0.25">
      <c r="A1574" t="str">
        <f>"07/12/2015"</f>
        <v>07/12/2015</v>
      </c>
      <c r="B1574" t="str">
        <f>"35.91"</f>
        <v>35.91</v>
      </c>
      <c r="C1574" t="str">
        <f>"35.9517"</f>
        <v>35.9517</v>
      </c>
    </row>
    <row r="1575" spans="1:3" x14ac:dyDescent="0.25">
      <c r="A1575" t="str">
        <f>"08/12/2015"</f>
        <v>08/12/2015</v>
      </c>
      <c r="B1575" t="str">
        <f>"35.985"</f>
        <v>35.985</v>
      </c>
      <c r="C1575" t="str">
        <f>"36.023"</f>
        <v>36.023</v>
      </c>
    </row>
    <row r="1576" spans="1:3" x14ac:dyDescent="0.25">
      <c r="A1576" t="str">
        <f>"09/12/2015"</f>
        <v>09/12/2015</v>
      </c>
      <c r="B1576" t="str">
        <f>"36.009"</f>
        <v>36.009</v>
      </c>
      <c r="C1576" t="str">
        <f>"36.0471"</f>
        <v>36.0471</v>
      </c>
    </row>
    <row r="1577" spans="1:3" x14ac:dyDescent="0.25">
      <c r="A1577" t="str">
        <f>"10/12/2015"</f>
        <v>10/12/2015</v>
      </c>
      <c r="B1577" t="str">
        <f>"36.088"</f>
        <v>36.088</v>
      </c>
      <c r="C1577" t="str">
        <f>"36.126"</f>
        <v>36.126</v>
      </c>
    </row>
    <row r="1578" spans="1:3" x14ac:dyDescent="0.25">
      <c r="A1578" t="str">
        <f>"11/12/2015"</f>
        <v>11/12/2015</v>
      </c>
      <c r="B1578" t="str">
        <f>"36.19"</f>
        <v>36.19</v>
      </c>
      <c r="C1578" t="str">
        <f>"36.2253"</f>
        <v>36.2253</v>
      </c>
    </row>
    <row r="1579" spans="1:3" x14ac:dyDescent="0.25">
      <c r="A1579" t="str">
        <f>"14/12/2015"</f>
        <v>14/12/2015</v>
      </c>
      <c r="B1579" t="str">
        <f>"36.135"</f>
        <v>36.135</v>
      </c>
      <c r="C1579" t="str">
        <f>"36.174"</f>
        <v>36.174</v>
      </c>
    </row>
    <row r="1580" spans="1:3" x14ac:dyDescent="0.25">
      <c r="A1580" t="str">
        <f>"15/12/2015"</f>
        <v>15/12/2015</v>
      </c>
      <c r="B1580" t="str">
        <f>"36.00"</f>
        <v>36.00</v>
      </c>
      <c r="C1580" t="str">
        <f>"36.0366"</f>
        <v>36.0366</v>
      </c>
    </row>
    <row r="1581" spans="1:3" x14ac:dyDescent="0.25">
      <c r="A1581" t="str">
        <f>"16/12/2015"</f>
        <v>16/12/2015</v>
      </c>
      <c r="B1581" t="str">
        <f>"35.98"</f>
        <v>35.98</v>
      </c>
      <c r="C1581" t="str">
        <f>"36.0138"</f>
        <v>36.0138</v>
      </c>
    </row>
    <row r="1582" spans="1:3" x14ac:dyDescent="0.25">
      <c r="A1582" t="str">
        <f>"17/12/2015"</f>
        <v>17/12/2015</v>
      </c>
      <c r="B1582" t="str">
        <f>"36.20"</f>
        <v>36.20</v>
      </c>
      <c r="C1582" t="str">
        <f>"36.3328"</f>
        <v>36.3328</v>
      </c>
    </row>
    <row r="1583" spans="1:3" x14ac:dyDescent="0.25">
      <c r="A1583" t="str">
        <f>"18/12/2015"</f>
        <v>18/12/2015</v>
      </c>
      <c r="B1583" t="str">
        <f>"36.19"</f>
        <v>36.19</v>
      </c>
      <c r="C1583" t="str">
        <f>"36.242"</f>
        <v>36.242</v>
      </c>
    </row>
    <row r="1584" spans="1:3" x14ac:dyDescent="0.25">
      <c r="A1584" t="str">
        <f>"21/12/2015"</f>
        <v>21/12/2015</v>
      </c>
      <c r="B1584" t="str">
        <f>"36.16"</f>
        <v>36.16</v>
      </c>
      <c r="C1584" t="str">
        <f>"36.193"</f>
        <v>36.193</v>
      </c>
    </row>
    <row r="1585" spans="1:3" x14ac:dyDescent="0.25">
      <c r="A1585" t="str">
        <f>"22/12/2015"</f>
        <v>22/12/2015</v>
      </c>
      <c r="B1585" t="str">
        <f>"36.09"</f>
        <v>36.09</v>
      </c>
      <c r="C1585" t="str">
        <f>"36.1203"</f>
        <v>36.1203</v>
      </c>
    </row>
    <row r="1586" spans="1:3" x14ac:dyDescent="0.25">
      <c r="A1586" t="str">
        <f>"23/12/2015"</f>
        <v>23/12/2015</v>
      </c>
      <c r="B1586" t="str">
        <f>"36.06"</f>
        <v>36.06</v>
      </c>
      <c r="C1586" t="str">
        <f>"36.0886"</f>
        <v>36.0886</v>
      </c>
    </row>
    <row r="1587" spans="1:3" x14ac:dyDescent="0.25">
      <c r="A1587" t="str">
        <f>"28/12/2015"</f>
        <v>28/12/2015</v>
      </c>
      <c r="B1587" t="str">
        <f>"36.14"</f>
        <v>36.14</v>
      </c>
      <c r="C1587" t="str">
        <f>"36.1685"</f>
        <v>36.1685</v>
      </c>
    </row>
    <row r="1588" spans="1:3" x14ac:dyDescent="0.25">
      <c r="A1588" t="str">
        <f>"29/12/2015"</f>
        <v>29/12/2015</v>
      </c>
      <c r="B1588" t="str">
        <f>"36.112"</f>
        <v>36.112</v>
      </c>
      <c r="C1588" t="str">
        <f>"36.1426"</f>
        <v>36.1426</v>
      </c>
    </row>
    <row r="1589" spans="1:3" x14ac:dyDescent="0.25">
      <c r="A1589" t="str">
        <f>"30/12/2015"</f>
        <v>30/12/2015</v>
      </c>
      <c r="B1589" t="str">
        <f>"36.01"</f>
        <v>36.01</v>
      </c>
      <c r="C1589" t="str">
        <f>"36.0411"</f>
        <v>36.0411</v>
      </c>
    </row>
    <row r="1590" spans="1:3" x14ac:dyDescent="0.25">
      <c r="A1590" t="str">
        <f>"31/12/2015"</f>
        <v>31/12/2015</v>
      </c>
      <c r="B1590" t="str">
        <f>"36.055"</f>
        <v>36.055</v>
      </c>
      <c r="C1590" t="str">
        <f>"36.0858"</f>
        <v>36.0858</v>
      </c>
    </row>
    <row r="1591" spans="1:3" x14ac:dyDescent="0.25">
      <c r="A1591" t="str">
        <f>"01/01/2016"</f>
        <v>01/01/2016</v>
      </c>
      <c r="B1591" t="str">
        <f>"36.04"</f>
        <v>36.04</v>
      </c>
      <c r="C1591" t="str">
        <f>"36.071"</f>
        <v>36.071</v>
      </c>
    </row>
    <row r="1592" spans="1:3" x14ac:dyDescent="0.25">
      <c r="A1592" t="str">
        <f>"04/01/2016"</f>
        <v>04/01/2016</v>
      </c>
      <c r="B1592" t="str">
        <f>"36.16"</f>
        <v>36.16</v>
      </c>
      <c r="C1592" t="str">
        <f>"36.192"</f>
        <v>36.192</v>
      </c>
    </row>
    <row r="1593" spans="1:3" x14ac:dyDescent="0.25">
      <c r="A1593" t="str">
        <f>"05/01/2016"</f>
        <v>05/01/2016</v>
      </c>
      <c r="B1593" t="str">
        <f>"36.135"</f>
        <v>36.135</v>
      </c>
      <c r="C1593" t="str">
        <f>"36.1685"</f>
        <v>36.1685</v>
      </c>
    </row>
    <row r="1594" spans="1:3" x14ac:dyDescent="0.25">
      <c r="A1594" t="str">
        <f>"06/01/2016"</f>
        <v>06/01/2016</v>
      </c>
      <c r="B1594" t="str">
        <f>"36.202"</f>
        <v>36.202</v>
      </c>
      <c r="C1594" t="str">
        <f>"36.235"</f>
        <v>36.235</v>
      </c>
    </row>
    <row r="1595" spans="1:3" x14ac:dyDescent="0.25">
      <c r="A1595" t="str">
        <f>"07/01/2016"</f>
        <v>07/01/2016</v>
      </c>
      <c r="B1595" t="str">
        <f>"36.29"</f>
        <v>36.29</v>
      </c>
      <c r="C1595" t="str">
        <f>"36.324"</f>
        <v>36.324</v>
      </c>
    </row>
    <row r="1596" spans="1:3" x14ac:dyDescent="0.25">
      <c r="A1596" t="str">
        <f>"08/01/2016"</f>
        <v>08/01/2016</v>
      </c>
      <c r="B1596" t="str">
        <f>"36.23"</f>
        <v>36.23</v>
      </c>
      <c r="C1596" t="str">
        <f>"36.2634"</f>
        <v>36.2634</v>
      </c>
    </row>
    <row r="1597" spans="1:3" x14ac:dyDescent="0.25">
      <c r="A1597" t="str">
        <f>"11/01/2016"</f>
        <v>11/01/2016</v>
      </c>
      <c r="B1597" t="str">
        <f>"36.30"</f>
        <v>36.30</v>
      </c>
      <c r="C1597" t="str">
        <f>"36.3349"</f>
        <v>36.3349</v>
      </c>
    </row>
    <row r="1598" spans="1:3" x14ac:dyDescent="0.25">
      <c r="A1598" t="str">
        <f>"12/01/2016"</f>
        <v>12/01/2016</v>
      </c>
      <c r="B1598" t="str">
        <f>"36.324"</f>
        <v>36.324</v>
      </c>
      <c r="C1598" t="str">
        <f>"36.3582"</f>
        <v>36.3582</v>
      </c>
    </row>
    <row r="1599" spans="1:3" x14ac:dyDescent="0.25">
      <c r="A1599" t="str">
        <f>"13/01/2016"</f>
        <v>13/01/2016</v>
      </c>
      <c r="B1599" t="str">
        <f>"36.275"</f>
        <v>36.275</v>
      </c>
      <c r="C1599" t="str">
        <f>"36.3088"</f>
        <v>36.3088</v>
      </c>
    </row>
    <row r="1600" spans="1:3" x14ac:dyDescent="0.25">
      <c r="A1600" t="str">
        <f>"14/01/2016"</f>
        <v>14/01/2016</v>
      </c>
      <c r="B1600" t="str">
        <f>"36.364"</f>
        <v>36.364</v>
      </c>
      <c r="C1600" t="str">
        <f>"36.3969"</f>
        <v>36.3969</v>
      </c>
    </row>
    <row r="1601" spans="1:3" x14ac:dyDescent="0.25">
      <c r="A1601" t="str">
        <f>"15/01/2016"</f>
        <v>15/01/2016</v>
      </c>
      <c r="B1601" t="str">
        <f>"36.38"</f>
        <v>36.38</v>
      </c>
      <c r="C1601" t="str">
        <f>"36.4133"</f>
        <v>36.4133</v>
      </c>
    </row>
    <row r="1602" spans="1:3" x14ac:dyDescent="0.25">
      <c r="A1602" t="str">
        <f>"18/01/2016"</f>
        <v>18/01/2016</v>
      </c>
      <c r="B1602" t="str">
        <f>"36.32"</f>
        <v>36.32</v>
      </c>
      <c r="C1602" t="str">
        <f>"36.3563"</f>
        <v>36.3563</v>
      </c>
    </row>
    <row r="1603" spans="1:3" x14ac:dyDescent="0.25">
      <c r="A1603" t="str">
        <f>"19/01/2016"</f>
        <v>19/01/2016</v>
      </c>
      <c r="B1603" t="str">
        <f>"36.275"</f>
        <v>36.275</v>
      </c>
      <c r="C1603" t="str">
        <f>"36.3109"</f>
        <v>36.3109</v>
      </c>
    </row>
    <row r="1604" spans="1:3" x14ac:dyDescent="0.25">
      <c r="A1604" t="str">
        <f>"20/01/2016"</f>
        <v>20/01/2016</v>
      </c>
      <c r="B1604" t="str">
        <f>"36.31"</f>
        <v>36.31</v>
      </c>
      <c r="C1604" t="str">
        <f>"36.3437"</f>
        <v>36.3437</v>
      </c>
    </row>
    <row r="1605" spans="1:3" x14ac:dyDescent="0.25">
      <c r="A1605" t="str">
        <f>"21/01/2016"</f>
        <v>21/01/2016</v>
      </c>
      <c r="B1605" t="str">
        <f>"36.30"</f>
        <v>36.30</v>
      </c>
      <c r="C1605" t="str">
        <f>"36.3321"</f>
        <v>36.3321</v>
      </c>
    </row>
    <row r="1606" spans="1:3" x14ac:dyDescent="0.25">
      <c r="A1606" t="str">
        <f>"22/01/2016"</f>
        <v>22/01/2016</v>
      </c>
      <c r="B1606" t="str">
        <f>"36.05"</f>
        <v>36.05</v>
      </c>
      <c r="C1606" t="str">
        <f>"36.0818"</f>
        <v>36.0818</v>
      </c>
    </row>
    <row r="1607" spans="1:3" x14ac:dyDescent="0.25">
      <c r="A1607" t="str">
        <f>"25/01/2016"</f>
        <v>25/01/2016</v>
      </c>
      <c r="B1607" t="str">
        <f>"35.982"</f>
        <v>35.982</v>
      </c>
      <c r="C1607" t="str">
        <f>"36.0159"</f>
        <v>36.0159</v>
      </c>
    </row>
    <row r="1608" spans="1:3" x14ac:dyDescent="0.25">
      <c r="A1608" t="str">
        <f>"27/01/2016"</f>
        <v>27/01/2016</v>
      </c>
      <c r="B1608" t="str">
        <f>"35.83"</f>
        <v>35.83</v>
      </c>
      <c r="C1608" t="str">
        <f>"35.8619"</f>
        <v>35.8619</v>
      </c>
    </row>
    <row r="1609" spans="1:3" x14ac:dyDescent="0.25">
      <c r="A1609" t="str">
        <f>"28/01/2016"</f>
        <v>28/01/2016</v>
      </c>
      <c r="B1609" t="str">
        <f>"35.852"</f>
        <v>35.852</v>
      </c>
      <c r="C1609" t="str">
        <f>"35.8838"</f>
        <v>35.8838</v>
      </c>
    </row>
    <row r="1610" spans="1:3" x14ac:dyDescent="0.25">
      <c r="A1610" t="str">
        <f>"29/01/2016"</f>
        <v>29/01/2016</v>
      </c>
      <c r="B1610" t="str">
        <f>"35.73"</f>
        <v>35.73</v>
      </c>
      <c r="C1610" t="str">
        <f>"35.7603"</f>
        <v>35.7603</v>
      </c>
    </row>
    <row r="1611" spans="1:3" x14ac:dyDescent="0.25">
      <c r="A1611" t="str">
        <f>"01/02/2016"</f>
        <v>01/02/2016</v>
      </c>
      <c r="B1611" t="str">
        <f>"35.61"</f>
        <v>35.61</v>
      </c>
      <c r="C1611" t="str">
        <f>"35.6407"</f>
        <v>35.6407</v>
      </c>
    </row>
    <row r="1612" spans="1:3" x14ac:dyDescent="0.25">
      <c r="A1612" t="str">
        <f>"02/02/2016"</f>
        <v>02/02/2016</v>
      </c>
      <c r="B1612" t="str">
        <f>"35.766"</f>
        <v>35.766</v>
      </c>
      <c r="C1612" t="str">
        <f>"35.797"</f>
        <v>35.797</v>
      </c>
    </row>
    <row r="1613" spans="1:3" x14ac:dyDescent="0.25">
      <c r="A1613" t="str">
        <f>"03/02/2016"</f>
        <v>03/02/2016</v>
      </c>
      <c r="B1613" t="str">
        <f>"35.84"</f>
        <v>35.84</v>
      </c>
      <c r="C1613" t="str">
        <f>"35.873"</f>
        <v>35.873</v>
      </c>
    </row>
    <row r="1614" spans="1:3" x14ac:dyDescent="0.25">
      <c r="A1614" t="str">
        <f>"04/02/2016"</f>
        <v>04/02/2016</v>
      </c>
      <c r="B1614" t="str">
        <f>"35.557"</f>
        <v>35.557</v>
      </c>
      <c r="C1614" t="str">
        <f>"35.5893"</f>
        <v>35.5893</v>
      </c>
    </row>
    <row r="1615" spans="1:3" x14ac:dyDescent="0.25">
      <c r="A1615" t="str">
        <f>"05/02/2016"</f>
        <v>05/02/2016</v>
      </c>
      <c r="B1615" t="str">
        <f>"35.52"</f>
        <v>35.52</v>
      </c>
      <c r="C1615" t="str">
        <f>"35.5526"</f>
        <v>35.5526</v>
      </c>
    </row>
    <row r="1616" spans="1:3" x14ac:dyDescent="0.25">
      <c r="A1616" t="str">
        <f>"08/02/2016"</f>
        <v>08/02/2016</v>
      </c>
      <c r="B1616" t="str">
        <f>"35.53"</f>
        <v>35.53</v>
      </c>
      <c r="C1616" t="str">
        <f>"35.5616"</f>
        <v>35.5616</v>
      </c>
    </row>
    <row r="1617" spans="1:3" x14ac:dyDescent="0.25">
      <c r="A1617" t="str">
        <f>"09/02/2016"</f>
        <v>09/02/2016</v>
      </c>
      <c r="B1617" t="str">
        <f>"35.46"</f>
        <v>35.46</v>
      </c>
      <c r="C1617" t="str">
        <f>"35.4923"</f>
        <v>35.4923</v>
      </c>
    </row>
    <row r="1618" spans="1:3" x14ac:dyDescent="0.25">
      <c r="A1618" t="str">
        <f>"10/02/2016"</f>
        <v>10/02/2016</v>
      </c>
      <c r="B1618" t="str">
        <f>"35.36"</f>
        <v>35.36</v>
      </c>
      <c r="C1618" t="str">
        <f>"35.3928"</f>
        <v>35.3928</v>
      </c>
    </row>
    <row r="1619" spans="1:3" x14ac:dyDescent="0.25">
      <c r="A1619" t="str">
        <f>"11/02/2016"</f>
        <v>11/02/2016</v>
      </c>
      <c r="B1619" t="str">
        <f>"35.254"</f>
        <v>35.254</v>
      </c>
      <c r="C1619" t="str">
        <f>"35.2843"</f>
        <v>35.2843</v>
      </c>
    </row>
    <row r="1620" spans="1:3" x14ac:dyDescent="0.25">
      <c r="A1620" t="str">
        <f>"12/02/2016"</f>
        <v>12/02/2016</v>
      </c>
      <c r="B1620" t="str">
        <f>"35.535"</f>
        <v>35.535</v>
      </c>
      <c r="C1620" t="str">
        <f>"35.5665"</f>
        <v>35.5665</v>
      </c>
    </row>
    <row r="1621" spans="1:3" x14ac:dyDescent="0.25">
      <c r="A1621" t="str">
        <f>"15/02/2016"</f>
        <v>15/02/2016</v>
      </c>
      <c r="B1621" t="str">
        <f>"35.63"</f>
        <v>35.63</v>
      </c>
      <c r="C1621" t="str">
        <f>"35.6614"</f>
        <v>35.6614</v>
      </c>
    </row>
    <row r="1622" spans="1:3" x14ac:dyDescent="0.25">
      <c r="A1622" t="str">
        <f>"16/02/2016"</f>
        <v>16/02/2016</v>
      </c>
      <c r="B1622" t="str">
        <f>"35.62"</f>
        <v>35.62</v>
      </c>
      <c r="C1622" t="str">
        <f>"35.6506"</f>
        <v>35.6506</v>
      </c>
    </row>
    <row r="1623" spans="1:3" x14ac:dyDescent="0.25">
      <c r="A1623" t="str">
        <f>"17/02/2016"</f>
        <v>17/02/2016</v>
      </c>
      <c r="B1623" t="str">
        <f>"35.62"</f>
        <v>35.62</v>
      </c>
      <c r="C1623" t="str">
        <f>"35.6523"</f>
        <v>35.6523</v>
      </c>
    </row>
    <row r="1624" spans="1:3" x14ac:dyDescent="0.25">
      <c r="A1624" t="str">
        <f>"18/02/2016"</f>
        <v>18/02/2016</v>
      </c>
      <c r="B1624" t="str">
        <f>"35.57"</f>
        <v>35.57</v>
      </c>
      <c r="C1624" t="str">
        <f>"35.6001"</f>
        <v>35.6001</v>
      </c>
    </row>
    <row r="1625" spans="1:3" x14ac:dyDescent="0.25">
      <c r="A1625" t="str">
        <f>"22/02/2016"</f>
        <v>22/02/2016</v>
      </c>
      <c r="B1625" t="str">
        <f>"35.79"</f>
        <v>35.79</v>
      </c>
      <c r="C1625" t="str">
        <f>"35.8189"</f>
        <v>35.8189</v>
      </c>
    </row>
    <row r="1626" spans="1:3" x14ac:dyDescent="0.25">
      <c r="A1626" t="str">
        <f>"23/02/2016"</f>
        <v>23/02/2016</v>
      </c>
      <c r="B1626" t="str">
        <f>"35.74"</f>
        <v>35.74</v>
      </c>
      <c r="C1626" t="str">
        <f>"35.7698"</f>
        <v>35.7698</v>
      </c>
    </row>
    <row r="1627" spans="1:3" x14ac:dyDescent="0.25">
      <c r="A1627" t="str">
        <f>"24/02/2016"</f>
        <v>24/02/2016</v>
      </c>
      <c r="B1627" t="str">
        <f>"35.737"</f>
        <v>35.737</v>
      </c>
      <c r="C1627" t="str">
        <f>"35.7673"</f>
        <v>35.7673</v>
      </c>
    </row>
    <row r="1628" spans="1:3" x14ac:dyDescent="0.25">
      <c r="A1628" t="str">
        <f>"25/02/2016"</f>
        <v>25/02/2016</v>
      </c>
      <c r="B1628" t="str">
        <f>"35.673"</f>
        <v>35.673</v>
      </c>
      <c r="C1628" t="str">
        <f>"35.7045"</f>
        <v>35.7045</v>
      </c>
    </row>
    <row r="1629" spans="1:3" x14ac:dyDescent="0.25">
      <c r="A1629" t="str">
        <f>"26/02/2016"</f>
        <v>26/02/2016</v>
      </c>
      <c r="B1629" t="str">
        <f>"35.695"</f>
        <v>35.695</v>
      </c>
      <c r="C1629" t="str">
        <f>"35.7258"</f>
        <v>35.7258</v>
      </c>
    </row>
    <row r="1630" spans="1:3" x14ac:dyDescent="0.25">
      <c r="A1630" t="str">
        <f>"29/02/2016"</f>
        <v>29/02/2016</v>
      </c>
      <c r="B1630" t="str">
        <f>"35.67"</f>
        <v>35.67</v>
      </c>
      <c r="C1630" t="str">
        <f>"35.7027"</f>
        <v>35.7027</v>
      </c>
    </row>
    <row r="1631" spans="1:3" x14ac:dyDescent="0.25">
      <c r="A1631" t="str">
        <f>"01/03/2016"</f>
        <v>01/03/2016</v>
      </c>
      <c r="B1631" t="str">
        <f>"35.64"</f>
        <v>35.64</v>
      </c>
      <c r="C1631" t="str">
        <f>"35.6717"</f>
        <v>35.6717</v>
      </c>
    </row>
    <row r="1632" spans="1:3" x14ac:dyDescent="0.25">
      <c r="A1632" t="str">
        <f>"02/03/2016"</f>
        <v>02/03/2016</v>
      </c>
      <c r="B1632" t="str">
        <f>"35.57"</f>
        <v>35.57</v>
      </c>
      <c r="C1632" t="str">
        <f>"35.5995"</f>
        <v>35.5995</v>
      </c>
    </row>
    <row r="1633" spans="1:3" x14ac:dyDescent="0.25">
      <c r="A1633" t="str">
        <f>"03/03/2016"</f>
        <v>03/03/2016</v>
      </c>
      <c r="B1633" t="str">
        <f>"35.49"</f>
        <v>35.49</v>
      </c>
      <c r="C1633" t="str">
        <f>"35.5186"</f>
        <v>35.5186</v>
      </c>
    </row>
    <row r="1634" spans="1:3" x14ac:dyDescent="0.25">
      <c r="A1634" t="str">
        <f>"04/03/2016"</f>
        <v>04/03/2016</v>
      </c>
      <c r="B1634" t="str">
        <f>"35.412"</f>
        <v>35.412</v>
      </c>
      <c r="C1634" t="str">
        <f>"35.4398"</f>
        <v>35.4398</v>
      </c>
    </row>
    <row r="1635" spans="1:3" x14ac:dyDescent="0.25">
      <c r="A1635" t="str">
        <f>"08/03/2016"</f>
        <v>08/03/2016</v>
      </c>
      <c r="B1635" t="str">
        <f>"35.44"</f>
        <v>35.44</v>
      </c>
      <c r="C1635" t="str">
        <f>"35.4724"</f>
        <v>35.4724</v>
      </c>
    </row>
    <row r="1636" spans="1:3" x14ac:dyDescent="0.25">
      <c r="A1636" t="str">
        <f>"09/03/2016"</f>
        <v>09/03/2016</v>
      </c>
      <c r="B1636" t="str">
        <f>"35.31"</f>
        <v>35.31</v>
      </c>
      <c r="C1636" t="str">
        <f>"35.3413"</f>
        <v>35.3413</v>
      </c>
    </row>
    <row r="1637" spans="1:3" x14ac:dyDescent="0.25">
      <c r="A1637" t="str">
        <f>"10/03/2016"</f>
        <v>10/03/2016</v>
      </c>
      <c r="B1637" t="str">
        <f>"35.325"</f>
        <v>35.325</v>
      </c>
      <c r="C1637" t="str">
        <f>"35.3585"</f>
        <v>35.3585</v>
      </c>
    </row>
    <row r="1638" spans="1:3" x14ac:dyDescent="0.25">
      <c r="A1638" t="str">
        <f>"11/03/2016"</f>
        <v>11/03/2016</v>
      </c>
      <c r="B1638" t="str">
        <f>"35.14"</f>
        <v>35.14</v>
      </c>
      <c r="C1638" t="str">
        <f>"35.1732"</f>
        <v>35.1732</v>
      </c>
    </row>
    <row r="1639" spans="1:3" x14ac:dyDescent="0.25">
      <c r="A1639" t="str">
        <f>"14/03/2016"</f>
        <v>14/03/2016</v>
      </c>
      <c r="B1639" t="str">
        <f>"35.06"</f>
        <v>35.06</v>
      </c>
      <c r="C1639" t="str">
        <f>"35.094"</f>
        <v>35.094</v>
      </c>
    </row>
    <row r="1640" spans="1:3" x14ac:dyDescent="0.25">
      <c r="A1640" t="str">
        <f>"15/03/2016"</f>
        <v>15/03/2016</v>
      </c>
      <c r="B1640" t="str">
        <f>"35.145"</f>
        <v>35.145</v>
      </c>
      <c r="C1640" t="str">
        <f>"35.1773"</f>
        <v>35.1773</v>
      </c>
    </row>
    <row r="1641" spans="1:3" x14ac:dyDescent="0.25">
      <c r="A1641" t="str">
        <f>"16/03/2016"</f>
        <v>16/03/2016</v>
      </c>
      <c r="B1641" t="str">
        <f>"35.05"</f>
        <v>35.05</v>
      </c>
      <c r="C1641" t="str">
        <f>"35.0823"</f>
        <v>35.0823</v>
      </c>
    </row>
    <row r="1642" spans="1:3" x14ac:dyDescent="0.25">
      <c r="A1642" t="str">
        <f>"17/03/2016"</f>
        <v>17/03/2016</v>
      </c>
      <c r="B1642" t="str">
        <f>"34.79"</f>
        <v>34.79</v>
      </c>
      <c r="C1642" t="str">
        <f>"34.8217"</f>
        <v>34.8217</v>
      </c>
    </row>
    <row r="1643" spans="1:3" x14ac:dyDescent="0.25">
      <c r="A1643" t="str">
        <f>"18/03/2016"</f>
        <v>18/03/2016</v>
      </c>
      <c r="B1643" t="str">
        <f>"34.834"</f>
        <v>34.834</v>
      </c>
      <c r="C1643" t="str">
        <f>"34.8647"</f>
        <v>34.8647</v>
      </c>
    </row>
    <row r="1644" spans="1:3" x14ac:dyDescent="0.25">
      <c r="A1644" t="str">
        <f>"21/03/2016"</f>
        <v>21/03/2016</v>
      </c>
      <c r="B1644" t="str">
        <f>"34.91"</f>
        <v>34.91</v>
      </c>
      <c r="C1644" t="str">
        <f>"34.9417"</f>
        <v>34.9417</v>
      </c>
    </row>
    <row r="1645" spans="1:3" x14ac:dyDescent="0.25">
      <c r="A1645" t="str">
        <f>"22/03/2016"</f>
        <v>22/03/2016</v>
      </c>
      <c r="B1645" t="str">
        <f>"34.95"</f>
        <v>34.95</v>
      </c>
      <c r="C1645" t="str">
        <f>"34.9812"</f>
        <v>34.9812</v>
      </c>
    </row>
    <row r="1646" spans="1:3" x14ac:dyDescent="0.25">
      <c r="A1646" t="str">
        <f>"23/03/2016"</f>
        <v>23/03/2016</v>
      </c>
      <c r="B1646" t="str">
        <f>"35.128"</f>
        <v>35.128</v>
      </c>
      <c r="C1646" t="str">
        <f>"35.159"</f>
        <v>35.159</v>
      </c>
    </row>
    <row r="1647" spans="1:3" x14ac:dyDescent="0.25">
      <c r="A1647" t="str">
        <f>"28/03/2016"</f>
        <v>28/03/2016</v>
      </c>
      <c r="B1647" t="str">
        <f>"35.37"</f>
        <v>35.37</v>
      </c>
      <c r="C1647" t="str">
        <f>"35.3981"</f>
        <v>35.3981</v>
      </c>
    </row>
    <row r="1648" spans="1:3" x14ac:dyDescent="0.25">
      <c r="A1648" t="str">
        <f>"29/03/2016"</f>
        <v>29/03/2016</v>
      </c>
      <c r="B1648" t="str">
        <f>"35.45"</f>
        <v>35.45</v>
      </c>
      <c r="C1648" t="str">
        <f>"35.4757"</f>
        <v>35.4757</v>
      </c>
    </row>
    <row r="1649" spans="1:3" x14ac:dyDescent="0.25">
      <c r="A1649" t="str">
        <f>"30/03/2016"</f>
        <v>30/03/2016</v>
      </c>
      <c r="B1649" t="str">
        <f>"35.24"</f>
        <v>35.24</v>
      </c>
      <c r="C1649" t="str">
        <f>"35.2672"</f>
        <v>35.2672</v>
      </c>
    </row>
    <row r="1650" spans="1:3" x14ac:dyDescent="0.25">
      <c r="A1650" t="str">
        <f>"31/03/2016"</f>
        <v>31/03/2016</v>
      </c>
      <c r="B1650" t="str">
        <f>"35.17"</f>
        <v>35.17</v>
      </c>
      <c r="C1650" t="str">
        <f>"35.1961"</f>
        <v>35.1961</v>
      </c>
    </row>
    <row r="1651" spans="1:3" x14ac:dyDescent="0.25">
      <c r="A1651" t="str">
        <f>"04/04/2016"</f>
        <v>04/04/2016</v>
      </c>
      <c r="B1651" t="str">
        <f>"35.27"</f>
        <v>35.27</v>
      </c>
      <c r="C1651" t="str">
        <f>"35.3004"</f>
        <v>35.3004</v>
      </c>
    </row>
    <row r="1652" spans="1:3" x14ac:dyDescent="0.25">
      <c r="A1652" t="str">
        <f>"05/04/2016"</f>
        <v>05/04/2016</v>
      </c>
      <c r="B1652" t="str">
        <f>"35.29"</f>
        <v>35.29</v>
      </c>
      <c r="C1652" t="str">
        <f>"35.3193"</f>
        <v>35.3193</v>
      </c>
    </row>
    <row r="1653" spans="1:3" x14ac:dyDescent="0.25">
      <c r="A1653" t="str">
        <f>"06/04/2016"</f>
        <v>06/04/2016</v>
      </c>
      <c r="B1653" t="str">
        <f>"35.29"</f>
        <v>35.29</v>
      </c>
      <c r="C1653" t="str">
        <f>"35.319"</f>
        <v>35.319</v>
      </c>
    </row>
    <row r="1654" spans="1:3" x14ac:dyDescent="0.25">
      <c r="A1654" t="str">
        <f>"07/04/2016"</f>
        <v>07/04/2016</v>
      </c>
      <c r="B1654" t="str">
        <f>"35.17"</f>
        <v>35.17</v>
      </c>
      <c r="C1654" t="str">
        <f>"35.1977"</f>
        <v>35.1977</v>
      </c>
    </row>
    <row r="1655" spans="1:3" x14ac:dyDescent="0.25">
      <c r="A1655" t="str">
        <f>"11/04/2016"</f>
        <v>11/04/2016</v>
      </c>
      <c r="B1655" t="str">
        <f>"35.09"</f>
        <v>35.09</v>
      </c>
      <c r="C1655" t="str">
        <f>"35.1177"</f>
        <v>35.1177</v>
      </c>
    </row>
    <row r="1656" spans="1:3" x14ac:dyDescent="0.25">
      <c r="A1656" t="str">
        <f>"12/04/2016"</f>
        <v>12/04/2016</v>
      </c>
      <c r="B1656" t="str">
        <f>"35.041"</f>
        <v>35.041</v>
      </c>
      <c r="C1656" t="str">
        <f>"35.0687"</f>
        <v>35.0687</v>
      </c>
    </row>
    <row r="1657" spans="1:3" x14ac:dyDescent="0.25">
      <c r="A1657" t="str">
        <f>"13/04/2016"</f>
        <v>13/04/2016</v>
      </c>
      <c r="B1657" t="str">
        <f>"34.99"</f>
        <v>34.99</v>
      </c>
      <c r="C1657" t="str">
        <f>"35.0179"</f>
        <v>35.0179</v>
      </c>
    </row>
    <row r="1658" spans="1:3" x14ac:dyDescent="0.25">
      <c r="A1658" t="str">
        <f>"18/04/2016"</f>
        <v>18/04/2016</v>
      </c>
      <c r="B1658" t="str">
        <f>"35.035"</f>
        <v>35.035</v>
      </c>
      <c r="C1658" t="str">
        <f>"35.0661"</f>
        <v>35.0661</v>
      </c>
    </row>
    <row r="1659" spans="1:3" x14ac:dyDescent="0.25">
      <c r="A1659" t="str">
        <f>"20/04/2016"</f>
        <v>20/04/2016</v>
      </c>
      <c r="B1659" t="str">
        <f>"34.87"</f>
        <v>34.87</v>
      </c>
      <c r="C1659" t="str">
        <f>"34.9011"</f>
        <v>34.9011</v>
      </c>
    </row>
    <row r="1660" spans="1:3" x14ac:dyDescent="0.25">
      <c r="A1660" t="str">
        <f>"21/04/2016"</f>
        <v>21/04/2016</v>
      </c>
      <c r="B1660" t="str">
        <f>"35.012"</f>
        <v>35.012</v>
      </c>
      <c r="C1660" t="str">
        <f>"35.0435"</f>
        <v>35.0435</v>
      </c>
    </row>
    <row r="1661" spans="1:3" x14ac:dyDescent="0.25">
      <c r="A1661" t="str">
        <f>"22/04/2016"</f>
        <v>22/04/2016</v>
      </c>
      <c r="B1661" t="str">
        <f>"35.02"</f>
        <v>35.02</v>
      </c>
      <c r="C1661" t="str">
        <f>"35.0511"</f>
        <v>35.0511</v>
      </c>
    </row>
    <row r="1662" spans="1:3" x14ac:dyDescent="0.25">
      <c r="A1662" t="str">
        <f>"25/04/2016"</f>
        <v>25/04/2016</v>
      </c>
      <c r="B1662" t="str">
        <f>"35.10"</f>
        <v>35.10</v>
      </c>
      <c r="C1662" t="str">
        <f>"35.1315"</f>
        <v>35.1315</v>
      </c>
    </row>
    <row r="1663" spans="1:3" x14ac:dyDescent="0.25">
      <c r="A1663" t="str">
        <f>"26/04/2016"</f>
        <v>26/04/2016</v>
      </c>
      <c r="B1663" t="str">
        <f>"35.18"</f>
        <v>35.18</v>
      </c>
      <c r="C1663" t="str">
        <f>"35.2137"</f>
        <v>35.2137</v>
      </c>
    </row>
    <row r="1664" spans="1:3" x14ac:dyDescent="0.25">
      <c r="A1664" t="str">
        <f>"27/04/2016"</f>
        <v>27/04/2016</v>
      </c>
      <c r="B1664" t="str">
        <f>"35.135"</f>
        <v>35.135</v>
      </c>
      <c r="C1664" t="str">
        <f>"35.1664"</f>
        <v>35.1664</v>
      </c>
    </row>
    <row r="1665" spans="1:3" x14ac:dyDescent="0.25">
      <c r="A1665" t="str">
        <f>"28/04/2016"</f>
        <v>28/04/2016</v>
      </c>
      <c r="B1665" t="str">
        <f>"35.07"</f>
        <v>35.07</v>
      </c>
      <c r="C1665" t="str">
        <f>"35.099"</f>
        <v>35.099</v>
      </c>
    </row>
    <row r="1666" spans="1:3" x14ac:dyDescent="0.25">
      <c r="A1666" t="str">
        <f>"29/04/2016"</f>
        <v>29/04/2016</v>
      </c>
      <c r="B1666" t="str">
        <f>"34.95"</f>
        <v>34.95</v>
      </c>
      <c r="C1666" t="str">
        <f>"34.9804"</f>
        <v>34.9804</v>
      </c>
    </row>
    <row r="1667" spans="1:3" x14ac:dyDescent="0.25">
      <c r="A1667" t="str">
        <f>"02/05/2016"</f>
        <v>02/05/2016</v>
      </c>
      <c r="B1667" t="str">
        <f>"34.87"</f>
        <v>34.87</v>
      </c>
      <c r="C1667" t="str">
        <f>"34.8974"</f>
        <v>34.8974</v>
      </c>
    </row>
    <row r="1668" spans="1:3" x14ac:dyDescent="0.25">
      <c r="A1668" t="str">
        <f>"03/05/2016"</f>
        <v>03/05/2016</v>
      </c>
      <c r="B1668" t="str">
        <f>"34.87"</f>
        <v>34.87</v>
      </c>
      <c r="C1668" t="str">
        <f>"34.8961"</f>
        <v>34.8961</v>
      </c>
    </row>
    <row r="1669" spans="1:3" x14ac:dyDescent="0.25">
      <c r="A1669" t="str">
        <f>"04/05/2016"</f>
        <v>04/05/2016</v>
      </c>
      <c r="B1669" t="str">
        <f>"35.19"</f>
        <v>35.19</v>
      </c>
      <c r="C1669" t="str">
        <f>"35.2177"</f>
        <v>35.2177</v>
      </c>
    </row>
    <row r="1670" spans="1:3" x14ac:dyDescent="0.25">
      <c r="A1670" t="str">
        <f>"05/05/2016"</f>
        <v>05/05/2016</v>
      </c>
      <c r="B1670" t="str">
        <f>"35.184"</f>
        <v>35.184</v>
      </c>
      <c r="C1670" t="str">
        <f>"35.2088"</f>
        <v>35.2088</v>
      </c>
    </row>
    <row r="1671" spans="1:3" x14ac:dyDescent="0.25">
      <c r="A1671" t="str">
        <f>"06/05/2016"</f>
        <v>06/05/2016</v>
      </c>
      <c r="B1671" t="str">
        <f>"35.154"</f>
        <v>35.154</v>
      </c>
      <c r="C1671" t="str">
        <f>"35.1773"</f>
        <v>35.1773</v>
      </c>
    </row>
    <row r="1672" spans="1:3" x14ac:dyDescent="0.25">
      <c r="A1672" t="str">
        <f>"09/05/2016"</f>
        <v>09/05/2016</v>
      </c>
      <c r="B1672" t="str">
        <f>"35.14"</f>
        <v>35.14</v>
      </c>
      <c r="C1672" t="str">
        <f>"35.1695"</f>
        <v>35.1695</v>
      </c>
    </row>
    <row r="1673" spans="1:3" x14ac:dyDescent="0.25">
      <c r="A1673" t="str">
        <f>"10/05/2016"</f>
        <v>10/05/2016</v>
      </c>
      <c r="B1673" t="str">
        <f>"35.243"</f>
        <v>35.243</v>
      </c>
      <c r="C1673" t="str">
        <f>"35.2707"</f>
        <v>35.2707</v>
      </c>
    </row>
    <row r="1674" spans="1:3" x14ac:dyDescent="0.25">
      <c r="A1674" t="str">
        <f>"11/05/2016"</f>
        <v>11/05/2016</v>
      </c>
      <c r="B1674" t="str">
        <f>"35.28"</f>
        <v>35.28</v>
      </c>
      <c r="C1674" t="str">
        <f>"35.3069"</f>
        <v>35.3069</v>
      </c>
    </row>
    <row r="1675" spans="1:3" x14ac:dyDescent="0.25">
      <c r="A1675" t="str">
        <f>"12/05/2016"</f>
        <v>12/05/2016</v>
      </c>
      <c r="B1675" t="str">
        <f>"35.33"</f>
        <v>35.33</v>
      </c>
      <c r="C1675" t="str">
        <f>"35.3564"</f>
        <v>35.3564</v>
      </c>
    </row>
    <row r="1676" spans="1:3" x14ac:dyDescent="0.25">
      <c r="A1676" t="str">
        <f>"13/05/2016"</f>
        <v>13/05/2016</v>
      </c>
      <c r="B1676" t="str">
        <f>"35.44"</f>
        <v>35.44</v>
      </c>
      <c r="C1676" t="str">
        <f>"35.4642"</f>
        <v>35.4642</v>
      </c>
    </row>
    <row r="1677" spans="1:3" x14ac:dyDescent="0.25">
      <c r="A1677" t="str">
        <f>"16/05/2016"</f>
        <v>16/05/2016</v>
      </c>
      <c r="B1677" t="str">
        <f>"35.38"</f>
        <v>35.38</v>
      </c>
      <c r="C1677" t="str">
        <f>"35.4042"</f>
        <v>35.4042</v>
      </c>
    </row>
    <row r="1678" spans="1:3" x14ac:dyDescent="0.25">
      <c r="A1678" t="str">
        <f>"17/05/2016"</f>
        <v>17/05/2016</v>
      </c>
      <c r="B1678" t="str">
        <f>"35.50"</f>
        <v>35.50</v>
      </c>
      <c r="C1678" t="str">
        <f>"35.524"</f>
        <v>35.524</v>
      </c>
    </row>
    <row r="1679" spans="1:3" x14ac:dyDescent="0.25">
      <c r="A1679" t="str">
        <f>"18/05/2016"</f>
        <v>18/05/2016</v>
      </c>
      <c r="B1679" t="str">
        <f>"35.61"</f>
        <v>35.61</v>
      </c>
      <c r="C1679" t="str">
        <f>"35.6306"</f>
        <v>35.6306</v>
      </c>
    </row>
    <row r="1680" spans="1:3" x14ac:dyDescent="0.25">
      <c r="A1680" t="str">
        <f>"19/05/2016"</f>
        <v>19/05/2016</v>
      </c>
      <c r="B1680" t="str">
        <f>"35.72"</f>
        <v>35.72</v>
      </c>
      <c r="C1680" t="str">
        <f>"35.7386"</f>
        <v>35.7386</v>
      </c>
    </row>
    <row r="1681" spans="1:3" x14ac:dyDescent="0.25">
      <c r="A1681" t="str">
        <f>"20/05/2016"</f>
        <v>20/05/2016</v>
      </c>
      <c r="B1681" t="str">
        <f>"35.688"</f>
        <v>35.688</v>
      </c>
      <c r="C1681" t="str">
        <f>"35.705"</f>
        <v>35.705</v>
      </c>
    </row>
    <row r="1682" spans="1:3" x14ac:dyDescent="0.25">
      <c r="A1682" t="str">
        <f>"23/05/2016"</f>
        <v>23/05/2016</v>
      </c>
      <c r="B1682" t="str">
        <f>"35.675"</f>
        <v>35.675</v>
      </c>
      <c r="C1682" t="str">
        <f>"35.6961"</f>
        <v>35.6961</v>
      </c>
    </row>
    <row r="1683" spans="1:3" x14ac:dyDescent="0.25">
      <c r="A1683" t="str">
        <f>"24/05/2016"</f>
        <v>24/05/2016</v>
      </c>
      <c r="B1683" t="str">
        <f>"35.75"</f>
        <v>35.75</v>
      </c>
      <c r="C1683" t="str">
        <f>"35.7717"</f>
        <v>35.7717</v>
      </c>
    </row>
    <row r="1684" spans="1:3" x14ac:dyDescent="0.25">
      <c r="A1684" t="str">
        <f>"25/05/2016"</f>
        <v>25/05/2016</v>
      </c>
      <c r="B1684" t="str">
        <f>"35.72"</f>
        <v>35.72</v>
      </c>
      <c r="C1684" t="str">
        <f>"35.7424"</f>
        <v>35.7424</v>
      </c>
    </row>
    <row r="1685" spans="1:3" x14ac:dyDescent="0.25">
      <c r="A1685" t="str">
        <f>"26/05/2016"</f>
        <v>26/05/2016</v>
      </c>
      <c r="B1685" t="str">
        <f>"35.61"</f>
        <v>35.61</v>
      </c>
      <c r="C1685" t="str">
        <f>"35.632"</f>
        <v>35.632</v>
      </c>
    </row>
    <row r="1686" spans="1:3" x14ac:dyDescent="0.25">
      <c r="A1686" t="str">
        <f>"27/05/2016"</f>
        <v>27/05/2016</v>
      </c>
      <c r="B1686" t="str">
        <f>"35.675"</f>
        <v>35.675</v>
      </c>
      <c r="C1686" t="str">
        <f>"35.6952"</f>
        <v>35.6952</v>
      </c>
    </row>
    <row r="1687" spans="1:3" x14ac:dyDescent="0.25">
      <c r="A1687" t="str">
        <f>"30/05/2016"</f>
        <v>30/05/2016</v>
      </c>
      <c r="B1687" t="str">
        <f>"35.76"</f>
        <v>35.76</v>
      </c>
      <c r="C1687" t="str">
        <f>"35.7837"</f>
        <v>35.7837</v>
      </c>
    </row>
    <row r="1688" spans="1:3" x14ac:dyDescent="0.25">
      <c r="A1688" t="str">
        <f>"31/05/2016"</f>
        <v>31/05/2016</v>
      </c>
      <c r="B1688" t="str">
        <f>"35.72"</f>
        <v>35.72</v>
      </c>
      <c r="C1688" t="str">
        <f>"35.7437"</f>
        <v>35.7437</v>
      </c>
    </row>
    <row r="1689" spans="1:3" x14ac:dyDescent="0.25">
      <c r="A1689" t="str">
        <f>"01/06/2016"</f>
        <v>01/06/2016</v>
      </c>
      <c r="B1689" t="str">
        <f>"35.68"</f>
        <v>35.68</v>
      </c>
      <c r="C1689" t="str">
        <f>"35.7035"</f>
        <v>35.7035</v>
      </c>
    </row>
    <row r="1690" spans="1:3" x14ac:dyDescent="0.25">
      <c r="A1690" t="str">
        <f>"02/06/2016"</f>
        <v>02/06/2016</v>
      </c>
      <c r="B1690" t="str">
        <f>"35.62"</f>
        <v>35.62</v>
      </c>
      <c r="C1690" t="str">
        <f>"35.6431"</f>
        <v>35.6431</v>
      </c>
    </row>
    <row r="1691" spans="1:3" x14ac:dyDescent="0.25">
      <c r="A1691" t="str">
        <f>"03/06/2016"</f>
        <v>03/06/2016</v>
      </c>
      <c r="B1691" t="str">
        <f>"35.633"</f>
        <v>35.633</v>
      </c>
      <c r="C1691" t="str">
        <f>"35.656"</f>
        <v>35.656</v>
      </c>
    </row>
    <row r="1692" spans="1:3" x14ac:dyDescent="0.25">
      <c r="A1692" t="str">
        <f>"06/06/2016"</f>
        <v>06/06/2016</v>
      </c>
      <c r="B1692" t="str">
        <f>"35.29"</f>
        <v>35.29</v>
      </c>
      <c r="C1692" t="str">
        <f>"35.3154"</f>
        <v>35.3154</v>
      </c>
    </row>
    <row r="1693" spans="1:3" x14ac:dyDescent="0.25">
      <c r="A1693" t="str">
        <f>"07/06/2016"</f>
        <v>07/06/2016</v>
      </c>
      <c r="B1693" t="str">
        <f>"35.24"</f>
        <v>35.24</v>
      </c>
      <c r="C1693" t="str">
        <f>"35.2664"</f>
        <v>35.2664</v>
      </c>
    </row>
    <row r="1694" spans="1:3" x14ac:dyDescent="0.25">
      <c r="A1694" t="str">
        <f>"08/06/2016"</f>
        <v>08/06/2016</v>
      </c>
      <c r="B1694" t="str">
        <f>"35.22"</f>
        <v>35.22</v>
      </c>
      <c r="C1694" t="str">
        <f>"35.2443"</f>
        <v>35.2443</v>
      </c>
    </row>
    <row r="1695" spans="1:3" x14ac:dyDescent="0.25">
      <c r="A1695" t="str">
        <f>"09/06/2016"</f>
        <v>09/06/2016</v>
      </c>
      <c r="B1695" t="str">
        <f>"35.22"</f>
        <v>35.22</v>
      </c>
      <c r="C1695" t="str">
        <f>"35.2432"</f>
        <v>35.2432</v>
      </c>
    </row>
    <row r="1696" spans="1:3" x14ac:dyDescent="0.25">
      <c r="A1696" t="str">
        <f>"10/06/2016"</f>
        <v>10/06/2016</v>
      </c>
      <c r="B1696" t="str">
        <f>"35.27"</f>
        <v>35.27</v>
      </c>
      <c r="C1696" t="str">
        <f>"35.2924"</f>
        <v>35.2924</v>
      </c>
    </row>
    <row r="1697" spans="1:3" x14ac:dyDescent="0.25">
      <c r="A1697" t="str">
        <f>"13/06/2016"</f>
        <v>13/06/2016</v>
      </c>
      <c r="B1697" t="str">
        <f>"35.19"</f>
        <v>35.19</v>
      </c>
      <c r="C1697" t="str">
        <f>"35.2125"</f>
        <v>35.2125</v>
      </c>
    </row>
    <row r="1698" spans="1:3" x14ac:dyDescent="0.25">
      <c r="A1698" t="str">
        <f>"14/06/2016"</f>
        <v>14/06/2016</v>
      </c>
      <c r="B1698" t="str">
        <f>"35.31"</f>
        <v>35.31</v>
      </c>
      <c r="C1698" t="str">
        <f>"35.3358"</f>
        <v>35.3358</v>
      </c>
    </row>
    <row r="1699" spans="1:3" x14ac:dyDescent="0.25">
      <c r="A1699" t="str">
        <f>"15/06/2016"</f>
        <v>15/06/2016</v>
      </c>
      <c r="B1699" t="str">
        <f>"35.33"</f>
        <v>35.33</v>
      </c>
      <c r="C1699" t="str">
        <f>"35.3563"</f>
        <v>35.3563</v>
      </c>
    </row>
    <row r="1700" spans="1:3" x14ac:dyDescent="0.25">
      <c r="A1700" t="str">
        <f>"16/06/2016"</f>
        <v>16/06/2016</v>
      </c>
      <c r="B1700" t="str">
        <f>"35.25"</f>
        <v>35.25</v>
      </c>
      <c r="C1700" t="str">
        <f>"35.2763"</f>
        <v>35.2763</v>
      </c>
    </row>
    <row r="1701" spans="1:3" x14ac:dyDescent="0.25">
      <c r="A1701" t="str">
        <f>"17/06/2016"</f>
        <v>17/06/2016</v>
      </c>
      <c r="B1701" t="str">
        <f>"35.25"</f>
        <v>35.25</v>
      </c>
      <c r="C1701" t="str">
        <f>"35.2739"</f>
        <v>35.2739</v>
      </c>
    </row>
    <row r="1702" spans="1:3" x14ac:dyDescent="0.25">
      <c r="A1702" t="str">
        <f>"20/06/2016"</f>
        <v>20/06/2016</v>
      </c>
      <c r="B1702" t="str">
        <f>"35.22"</f>
        <v>35.22</v>
      </c>
      <c r="C1702" t="str">
        <f>"35.2435"</f>
        <v>35.2435</v>
      </c>
    </row>
    <row r="1703" spans="1:3" x14ac:dyDescent="0.25">
      <c r="A1703" t="str">
        <f>"21/06/2016"</f>
        <v>21/06/2016</v>
      </c>
      <c r="B1703" t="str">
        <f>"35.173"</f>
        <v>35.173</v>
      </c>
      <c r="C1703" t="str">
        <f>"35.1966"</f>
        <v>35.1966</v>
      </c>
    </row>
    <row r="1704" spans="1:3" x14ac:dyDescent="0.25">
      <c r="A1704" t="str">
        <f>"22/06/2016"</f>
        <v>22/06/2016</v>
      </c>
      <c r="B1704" t="str">
        <f>"35.255"</f>
        <v>35.255</v>
      </c>
      <c r="C1704" t="str">
        <f>"35.2779"</f>
        <v>35.2779</v>
      </c>
    </row>
    <row r="1705" spans="1:3" x14ac:dyDescent="0.25">
      <c r="A1705" t="str">
        <f>"23/06/2016"</f>
        <v>23/06/2016</v>
      </c>
      <c r="B1705" t="str">
        <f>"35.18"</f>
        <v>35.18</v>
      </c>
      <c r="C1705" t="str">
        <f>"35.2013"</f>
        <v>35.2013</v>
      </c>
    </row>
    <row r="1706" spans="1:3" x14ac:dyDescent="0.25">
      <c r="A1706" t="str">
        <f>"24/06/2016"</f>
        <v>24/06/2016</v>
      </c>
      <c r="B1706" t="str">
        <f>"35.349"</f>
        <v>35.349</v>
      </c>
      <c r="C1706" t="str">
        <f>"35.3696"</f>
        <v>35.3696</v>
      </c>
    </row>
    <row r="1707" spans="1:3" x14ac:dyDescent="0.25">
      <c r="A1707" t="str">
        <f>"27/06/2016"</f>
        <v>27/06/2016</v>
      </c>
      <c r="B1707" t="str">
        <f>"35.36"</f>
        <v>35.36</v>
      </c>
      <c r="C1707" t="str">
        <f>"35.3837"</f>
        <v>35.3837</v>
      </c>
    </row>
    <row r="1708" spans="1:3" x14ac:dyDescent="0.25">
      <c r="A1708" t="str">
        <f>"28/06/2016"</f>
        <v>28/06/2016</v>
      </c>
      <c r="B1708" t="str">
        <f>"35.305"</f>
        <v>35.305</v>
      </c>
      <c r="C1708" t="str">
        <f>"35.3249"</f>
        <v>35.3249</v>
      </c>
    </row>
    <row r="1709" spans="1:3" x14ac:dyDescent="0.25">
      <c r="A1709" t="str">
        <f>"29/06/2016"</f>
        <v>29/06/2016</v>
      </c>
      <c r="B1709" t="str">
        <f>"35.24"</f>
        <v>35.24</v>
      </c>
      <c r="C1709" t="str">
        <f>"35.2618"</f>
        <v>35.2618</v>
      </c>
    </row>
    <row r="1710" spans="1:3" x14ac:dyDescent="0.25">
      <c r="A1710" t="str">
        <f>"30/06/2016"</f>
        <v>30/06/2016</v>
      </c>
      <c r="B1710" t="str">
        <f>"35.143"</f>
        <v>35.143</v>
      </c>
      <c r="C1710" t="str">
        <f>"35.164"</f>
        <v>35.164</v>
      </c>
    </row>
    <row r="1711" spans="1:3" x14ac:dyDescent="0.25">
      <c r="A1711" t="str">
        <f>"01/07/2016"</f>
        <v>01/07/2016</v>
      </c>
      <c r="B1711" t="str">
        <f>"35.091"</f>
        <v>35.091</v>
      </c>
      <c r="C1711" t="str">
        <f>"35.1116"</f>
        <v>35.1116</v>
      </c>
    </row>
    <row r="1712" spans="1:3" x14ac:dyDescent="0.25">
      <c r="A1712" t="str">
        <f>"04/07/2016"</f>
        <v>04/07/2016</v>
      </c>
      <c r="B1712" t="str">
        <f>"35.051"</f>
        <v>35.051</v>
      </c>
      <c r="C1712" t="str">
        <f>"35.073"</f>
        <v>35.073</v>
      </c>
    </row>
    <row r="1713" spans="1:3" x14ac:dyDescent="0.25">
      <c r="A1713" t="str">
        <f>"05/07/2016"</f>
        <v>05/07/2016</v>
      </c>
      <c r="B1713" t="str">
        <f>"35.14"</f>
        <v>35.14</v>
      </c>
      <c r="C1713" t="str">
        <f>"35.1615"</f>
        <v>35.1615</v>
      </c>
    </row>
    <row r="1714" spans="1:3" x14ac:dyDescent="0.25">
      <c r="A1714" t="str">
        <f>"07/07/2016"</f>
        <v>07/07/2016</v>
      </c>
      <c r="B1714" t="str">
        <f>"35.19"</f>
        <v>35.19</v>
      </c>
      <c r="C1714" t="str">
        <f>"35.2134"</f>
        <v>35.2134</v>
      </c>
    </row>
    <row r="1715" spans="1:3" x14ac:dyDescent="0.25">
      <c r="A1715" t="str">
        <f>"08/07/2016"</f>
        <v>08/07/2016</v>
      </c>
      <c r="B1715" t="str">
        <f>"35.26"</f>
        <v>35.26</v>
      </c>
      <c r="C1715" t="str">
        <f>"35.2861"</f>
        <v>35.2861</v>
      </c>
    </row>
    <row r="1716" spans="1:3" x14ac:dyDescent="0.25">
      <c r="A1716" t="str">
        <f>"11/07/2016"</f>
        <v>11/07/2016</v>
      </c>
      <c r="B1716" t="str">
        <f>"35.13"</f>
        <v>35.13</v>
      </c>
      <c r="C1716" t="str">
        <f>"35.1559"</f>
        <v>35.1559</v>
      </c>
    </row>
    <row r="1717" spans="1:3" x14ac:dyDescent="0.25">
      <c r="A1717" t="str">
        <f>"12/07/2016"</f>
        <v>12/07/2016</v>
      </c>
      <c r="B1717" t="str">
        <f>"35.153"</f>
        <v>35.153</v>
      </c>
      <c r="C1717" t="str">
        <f>"35.1781"</f>
        <v>35.1781</v>
      </c>
    </row>
    <row r="1718" spans="1:3" x14ac:dyDescent="0.25">
      <c r="A1718" t="str">
        <f>"13/07/2016"</f>
        <v>13/07/2016</v>
      </c>
      <c r="B1718" t="str">
        <f>"35.17"</f>
        <v>35.17</v>
      </c>
      <c r="C1718" t="str">
        <f>"35.1947"</f>
        <v>35.1947</v>
      </c>
    </row>
    <row r="1719" spans="1:3" x14ac:dyDescent="0.25">
      <c r="A1719" t="str">
        <f>"14/07/2016"</f>
        <v>14/07/2016</v>
      </c>
      <c r="B1719" t="str">
        <f>"35.04"</f>
        <v>35.04</v>
      </c>
      <c r="C1719" t="str">
        <f>"35.065"</f>
        <v>35.065</v>
      </c>
    </row>
    <row r="1720" spans="1:3" x14ac:dyDescent="0.25">
      <c r="A1720" t="str">
        <f>"15/07/2016"</f>
        <v>15/07/2016</v>
      </c>
      <c r="B1720" t="str">
        <f>"34.95"</f>
        <v>34.95</v>
      </c>
      <c r="C1720" t="str">
        <f>"34.9764"</f>
        <v>34.9764</v>
      </c>
    </row>
    <row r="1721" spans="1:3" x14ac:dyDescent="0.25">
      <c r="A1721" t="str">
        <f>"18/07/2016"</f>
        <v>18/07/2016</v>
      </c>
      <c r="B1721" t="str">
        <f>"35.005"</f>
        <v>35.005</v>
      </c>
      <c r="C1721" t="str">
        <f>"35.0302"</f>
        <v>35.0302</v>
      </c>
    </row>
    <row r="1722" spans="1:3" x14ac:dyDescent="0.25">
      <c r="A1722" t="str">
        <f>"19/07/2016"</f>
        <v>19/07/2016</v>
      </c>
      <c r="B1722" t="str">
        <f>"34.973"</f>
        <v>34.973</v>
      </c>
      <c r="C1722" t="str">
        <f>"34.9984"</f>
        <v>34.9984</v>
      </c>
    </row>
    <row r="1723" spans="1:3" x14ac:dyDescent="0.25">
      <c r="A1723" t="str">
        <f>"20/07/2016"</f>
        <v>20/07/2016</v>
      </c>
      <c r="B1723" t="str">
        <f>"34.996"</f>
        <v>34.996</v>
      </c>
      <c r="C1723" t="str">
        <f>"35.0223"</f>
        <v>35.0223</v>
      </c>
    </row>
    <row r="1724" spans="1:3" x14ac:dyDescent="0.25">
      <c r="A1724" t="str">
        <f>"21/07/2016"</f>
        <v>21/07/2016</v>
      </c>
      <c r="B1724" t="str">
        <f>"35.01"</f>
        <v>35.01</v>
      </c>
      <c r="C1724" t="str">
        <f>"35.0377"</f>
        <v>35.0377</v>
      </c>
    </row>
    <row r="1725" spans="1:3" x14ac:dyDescent="0.25">
      <c r="A1725" t="str">
        <f>"22/07/2016"</f>
        <v>22/07/2016</v>
      </c>
      <c r="B1725" t="str">
        <f>"34.945"</f>
        <v>34.945</v>
      </c>
      <c r="C1725" t="str">
        <f>"34.9715"</f>
        <v>34.9715</v>
      </c>
    </row>
    <row r="1726" spans="1:3" x14ac:dyDescent="0.25">
      <c r="A1726" t="str">
        <f>"25/07/2016"</f>
        <v>25/07/2016</v>
      </c>
      <c r="B1726" t="str">
        <f>"35.06"</f>
        <v>35.06</v>
      </c>
      <c r="C1726" t="str">
        <f>"35.0876"</f>
        <v>35.0876</v>
      </c>
    </row>
    <row r="1727" spans="1:3" x14ac:dyDescent="0.25">
      <c r="A1727" t="str">
        <f>"26/07/2016"</f>
        <v>26/07/2016</v>
      </c>
      <c r="B1727" t="str">
        <f>"35.02"</f>
        <v>35.02</v>
      </c>
      <c r="C1727" t="str">
        <f>"35.0474"</f>
        <v>35.0474</v>
      </c>
    </row>
    <row r="1728" spans="1:3" x14ac:dyDescent="0.25">
      <c r="A1728" t="str">
        <f>"27/07/2016"</f>
        <v>27/07/2016</v>
      </c>
      <c r="B1728" t="str">
        <f>"34.98"</f>
        <v>34.98</v>
      </c>
      <c r="C1728" t="str">
        <f>"35.0064"</f>
        <v>35.0064</v>
      </c>
    </row>
    <row r="1729" spans="1:3" x14ac:dyDescent="0.25">
      <c r="A1729" t="str">
        <f>"28/07/2016"</f>
        <v>28/07/2016</v>
      </c>
      <c r="B1729" t="str">
        <f>"34.913"</f>
        <v>34.913</v>
      </c>
      <c r="C1729" t="str">
        <f>"34.9378"</f>
        <v>34.9378</v>
      </c>
    </row>
    <row r="1730" spans="1:3" x14ac:dyDescent="0.25">
      <c r="A1730" t="str">
        <f>"29/07/2016"</f>
        <v>29/07/2016</v>
      </c>
      <c r="B1730" t="str">
        <f>"34.84"</f>
        <v>34.84</v>
      </c>
      <c r="C1730" t="str">
        <f>"34.8635"</f>
        <v>34.8635</v>
      </c>
    </row>
    <row r="1731" spans="1:3" x14ac:dyDescent="0.25">
      <c r="A1731" t="str">
        <f>"01/08/2016"</f>
        <v>01/08/2016</v>
      </c>
      <c r="B1731" t="str">
        <f>"34.78"</f>
        <v>34.78</v>
      </c>
      <c r="C1731" t="str">
        <f>"34.8057"</f>
        <v>34.8057</v>
      </c>
    </row>
    <row r="1732" spans="1:3" x14ac:dyDescent="0.25">
      <c r="A1732" t="str">
        <f>"02/08/2016"</f>
        <v>02/08/2016</v>
      </c>
      <c r="B1732" t="str">
        <f>"34.76"</f>
        <v>34.76</v>
      </c>
      <c r="C1732" t="str">
        <f>"34.7837"</f>
        <v>34.7837</v>
      </c>
    </row>
    <row r="1733" spans="1:3" x14ac:dyDescent="0.25">
      <c r="A1733" t="str">
        <f>"03/08/2016"</f>
        <v>03/08/2016</v>
      </c>
      <c r="B1733" t="str">
        <f>"34.95"</f>
        <v>34.95</v>
      </c>
      <c r="C1733" t="str">
        <f>"34.9737"</f>
        <v>34.9737</v>
      </c>
    </row>
    <row r="1734" spans="1:3" x14ac:dyDescent="0.25">
      <c r="A1734" t="str">
        <f>"04/08/2016"</f>
        <v>04/08/2016</v>
      </c>
      <c r="B1734" t="str">
        <f>"34.94"</f>
        <v>34.94</v>
      </c>
      <c r="C1734" t="str">
        <f>"34.9621"</f>
        <v>34.9621</v>
      </c>
    </row>
    <row r="1735" spans="1:3" x14ac:dyDescent="0.25">
      <c r="A1735" t="str">
        <f>"05/08/2016"</f>
        <v>05/08/2016</v>
      </c>
      <c r="B1735" t="str">
        <f>"34.85"</f>
        <v>34.85</v>
      </c>
      <c r="C1735" t="str">
        <f>"34.874"</f>
        <v>34.874</v>
      </c>
    </row>
    <row r="1736" spans="1:3" x14ac:dyDescent="0.25">
      <c r="A1736" t="str">
        <f>"08/08/2016"</f>
        <v>08/08/2016</v>
      </c>
      <c r="B1736" t="str">
        <f>"34.979"</f>
        <v>34.979</v>
      </c>
      <c r="C1736" t="str">
        <f>"35.0004"</f>
        <v>35.0004</v>
      </c>
    </row>
    <row r="1737" spans="1:3" x14ac:dyDescent="0.25">
      <c r="A1737" t="str">
        <f>"09/08/2016"</f>
        <v>09/08/2016</v>
      </c>
      <c r="B1737" t="str">
        <f>"34.98"</f>
        <v>34.98</v>
      </c>
      <c r="C1737" t="str">
        <f>"35.0037"</f>
        <v>35.0037</v>
      </c>
    </row>
    <row r="1738" spans="1:3" x14ac:dyDescent="0.25">
      <c r="A1738" t="str">
        <f>"10/08/2016"</f>
        <v>10/08/2016</v>
      </c>
      <c r="B1738" t="str">
        <f>"34.761"</f>
        <v>34.761</v>
      </c>
      <c r="C1738" t="str">
        <f>"34.7841"</f>
        <v>34.7841</v>
      </c>
    </row>
    <row r="1739" spans="1:3" x14ac:dyDescent="0.25">
      <c r="A1739" t="str">
        <f>"11/08/2016"</f>
        <v>11/08/2016</v>
      </c>
      <c r="B1739" t="str">
        <f>"34.77"</f>
        <v>34.77</v>
      </c>
      <c r="C1739" t="str">
        <f>"34.7915"</f>
        <v>34.7915</v>
      </c>
    </row>
    <row r="1740" spans="1:3" x14ac:dyDescent="0.25">
      <c r="A1740" t="str">
        <f>"12/08/2016"</f>
        <v>12/08/2016</v>
      </c>
      <c r="B1740" t="str">
        <f>"34.845"</f>
        <v>34.845</v>
      </c>
      <c r="C1740" t="str">
        <f>"34.8669"</f>
        <v>34.8669</v>
      </c>
    </row>
    <row r="1741" spans="1:3" x14ac:dyDescent="0.25">
      <c r="A1741" t="str">
        <f>"16/08/2016"</f>
        <v>16/08/2016</v>
      </c>
      <c r="B1741" t="str">
        <f>"34.59"</f>
        <v>34.59</v>
      </c>
      <c r="C1741" t="str">
        <f>"34.6132"</f>
        <v>34.6132</v>
      </c>
    </row>
    <row r="1742" spans="1:3" x14ac:dyDescent="0.25">
      <c r="A1742" t="str">
        <f>"18/08/2016"</f>
        <v>18/08/2016</v>
      </c>
      <c r="B1742" t="str">
        <f>"34.60"</f>
        <v>34.60</v>
      </c>
      <c r="C1742" t="str">
        <f>"34.6228"</f>
        <v>34.6228</v>
      </c>
    </row>
    <row r="1743" spans="1:3" x14ac:dyDescent="0.25">
      <c r="A1743" t="str">
        <f>"19/08/2016"</f>
        <v>19/08/2016</v>
      </c>
      <c r="B1743" t="str">
        <f>"34.65"</f>
        <v>34.65</v>
      </c>
      <c r="C1743" t="str">
        <f>"34.6736"</f>
        <v>34.6736</v>
      </c>
    </row>
    <row r="1744" spans="1:3" x14ac:dyDescent="0.25">
      <c r="A1744" t="str">
        <f>"22/08/2016"</f>
        <v>22/08/2016</v>
      </c>
      <c r="B1744" t="str">
        <f>"34.74"</f>
        <v>34.74</v>
      </c>
      <c r="C1744" t="str">
        <f>"34.7657"</f>
        <v>34.7657</v>
      </c>
    </row>
    <row r="1745" spans="1:3" x14ac:dyDescent="0.25">
      <c r="A1745" t="str">
        <f>"23/08/2016"</f>
        <v>23/08/2016</v>
      </c>
      <c r="B1745" t="str">
        <f>"34.61"</f>
        <v>34.61</v>
      </c>
      <c r="C1745" t="str">
        <f>"34.6336"</f>
        <v>34.6336</v>
      </c>
    </row>
    <row r="1746" spans="1:3" x14ac:dyDescent="0.25">
      <c r="A1746" t="str">
        <f>"24/08/2016"</f>
        <v>24/08/2016</v>
      </c>
      <c r="B1746" t="str">
        <f>"34.67"</f>
        <v>34.67</v>
      </c>
      <c r="C1746" t="str">
        <f>"34.6943"</f>
        <v>34.6943</v>
      </c>
    </row>
    <row r="1747" spans="1:3" x14ac:dyDescent="0.25">
      <c r="A1747" t="str">
        <f>"25/08/2016"</f>
        <v>25/08/2016</v>
      </c>
      <c r="B1747" t="str">
        <f>"34.57"</f>
        <v>34.57</v>
      </c>
      <c r="C1747" t="str">
        <f>"34.5929"</f>
        <v>34.5929</v>
      </c>
    </row>
    <row r="1748" spans="1:3" x14ac:dyDescent="0.25">
      <c r="A1748" t="str">
        <f>"26/08/2016"</f>
        <v>26/08/2016</v>
      </c>
      <c r="B1748" t="str">
        <f>"34.58"</f>
        <v>34.58</v>
      </c>
      <c r="C1748" t="str">
        <f>"34.6031"</f>
        <v>34.6031</v>
      </c>
    </row>
    <row r="1749" spans="1:3" x14ac:dyDescent="0.25">
      <c r="A1749" t="str">
        <f>"29/08/2016"</f>
        <v>29/08/2016</v>
      </c>
      <c r="B1749" t="str">
        <f>"34.606"</f>
        <v>34.606</v>
      </c>
      <c r="C1749" t="str">
        <f>"34.6287"</f>
        <v>34.6287</v>
      </c>
    </row>
    <row r="1750" spans="1:3" x14ac:dyDescent="0.25">
      <c r="A1750" t="str">
        <f>"30/08/2016"</f>
        <v>30/08/2016</v>
      </c>
      <c r="B1750" t="str">
        <f>"34.566"</f>
        <v>34.566</v>
      </c>
      <c r="C1750" t="str">
        <f>"34.586"</f>
        <v>34.586</v>
      </c>
    </row>
    <row r="1751" spans="1:3" x14ac:dyDescent="0.25">
      <c r="A1751" t="str">
        <f>"31/08/2016"</f>
        <v>31/08/2016</v>
      </c>
      <c r="B1751" t="str">
        <f>"34.63"</f>
        <v>34.63</v>
      </c>
      <c r="C1751" t="str">
        <f>"34.6498"</f>
        <v>34.6498</v>
      </c>
    </row>
    <row r="1752" spans="1:3" x14ac:dyDescent="0.25">
      <c r="A1752" t="str">
        <f>"01/09/2016"</f>
        <v>01/09/2016</v>
      </c>
      <c r="B1752" t="str">
        <f>"34.65"</f>
        <v>34.65</v>
      </c>
      <c r="C1752" t="str">
        <f>"34.6699"</f>
        <v>34.6699</v>
      </c>
    </row>
    <row r="1753" spans="1:3" x14ac:dyDescent="0.25">
      <c r="A1753" t="str">
        <f>"02/09/2016"</f>
        <v>02/09/2016</v>
      </c>
      <c r="B1753" t="str">
        <f>"34.63"</f>
        <v>34.63</v>
      </c>
      <c r="C1753" t="str">
        <f>"34.6498"</f>
        <v>34.6498</v>
      </c>
    </row>
    <row r="1754" spans="1:3" x14ac:dyDescent="0.25">
      <c r="A1754" t="str">
        <f>"06/09/2016"</f>
        <v>06/09/2016</v>
      </c>
      <c r="B1754" t="str">
        <f>"34.67"</f>
        <v>34.67</v>
      </c>
      <c r="C1754" t="str">
        <f>"34.6891"</f>
        <v>34.6891</v>
      </c>
    </row>
    <row r="1755" spans="1:3" x14ac:dyDescent="0.25">
      <c r="A1755" t="str">
        <f>"07/09/2016"</f>
        <v>07/09/2016</v>
      </c>
      <c r="B1755" t="str">
        <f>"34.643"</f>
        <v>34.643</v>
      </c>
      <c r="C1755" t="str">
        <f>"34.6627"</f>
        <v>34.6627</v>
      </c>
    </row>
    <row r="1756" spans="1:3" x14ac:dyDescent="0.25">
      <c r="A1756" t="str">
        <f>"08/09/2016"</f>
        <v>08/09/2016</v>
      </c>
      <c r="B1756" t="str">
        <f>"34.685"</f>
        <v>34.685</v>
      </c>
      <c r="C1756" t="str">
        <f>"34.7042"</f>
        <v>34.7042</v>
      </c>
    </row>
    <row r="1757" spans="1:3" x14ac:dyDescent="0.25">
      <c r="A1757" t="str">
        <f>"09/09/2016"</f>
        <v>09/09/2016</v>
      </c>
      <c r="B1757" t="str">
        <f>"34.76"</f>
        <v>34.76</v>
      </c>
      <c r="C1757" t="str">
        <f>"34.7767"</f>
        <v>34.7767</v>
      </c>
    </row>
    <row r="1758" spans="1:3" x14ac:dyDescent="0.25">
      <c r="A1758" t="str">
        <f>"12/09/2016"</f>
        <v>12/09/2016</v>
      </c>
      <c r="B1758" t="str">
        <f>"34.907"</f>
        <v>34.907</v>
      </c>
      <c r="C1758" t="str">
        <f>"34.9243"</f>
        <v>34.9243</v>
      </c>
    </row>
    <row r="1759" spans="1:3" x14ac:dyDescent="0.25">
      <c r="A1759" t="str">
        <f>"14/09/2016"</f>
        <v>14/09/2016</v>
      </c>
      <c r="B1759" t="str">
        <f>"34.965"</f>
        <v>34.965</v>
      </c>
      <c r="C1759" t="str">
        <f>"34.9821"</f>
        <v>34.9821</v>
      </c>
    </row>
    <row r="1760" spans="1:3" x14ac:dyDescent="0.25">
      <c r="A1760" t="str">
        <f>"15/09/2016"</f>
        <v>15/09/2016</v>
      </c>
      <c r="B1760" t="str">
        <f>"34.93"</f>
        <v>34.93</v>
      </c>
      <c r="C1760" t="str">
        <f>"34.9468"</f>
        <v>34.9468</v>
      </c>
    </row>
    <row r="1761" spans="1:3" x14ac:dyDescent="0.25">
      <c r="A1761" t="str">
        <f>"16/09/2016"</f>
        <v>16/09/2016</v>
      </c>
      <c r="B1761" t="str">
        <f>"34.92"</f>
        <v>34.92</v>
      </c>
      <c r="C1761" t="str">
        <f>"34.9347"</f>
        <v>34.9347</v>
      </c>
    </row>
    <row r="1762" spans="1:3" x14ac:dyDescent="0.25">
      <c r="A1762" t="str">
        <f>"19/09/2016"</f>
        <v>19/09/2016</v>
      </c>
      <c r="B1762" t="str">
        <f>"34.84"</f>
        <v>34.84</v>
      </c>
      <c r="C1762" t="str">
        <f>"34.857"</f>
        <v>34.857</v>
      </c>
    </row>
    <row r="1763" spans="1:3" x14ac:dyDescent="0.25">
      <c r="A1763" t="str">
        <f>"20/09/2016"</f>
        <v>20/09/2016</v>
      </c>
      <c r="B1763" t="str">
        <f>"34.80"</f>
        <v>34.80</v>
      </c>
      <c r="C1763" t="str">
        <f>"34.8179"</f>
        <v>34.8179</v>
      </c>
    </row>
    <row r="1764" spans="1:3" x14ac:dyDescent="0.25">
      <c r="A1764" t="str">
        <f>"21/09/2016"</f>
        <v>21/09/2016</v>
      </c>
      <c r="B1764" t="str">
        <f>"34.755"</f>
        <v>34.755</v>
      </c>
      <c r="C1764" t="str">
        <f>"34.7728"</f>
        <v>34.7728</v>
      </c>
    </row>
    <row r="1765" spans="1:3" x14ac:dyDescent="0.25">
      <c r="A1765" t="str">
        <f>"22/09/2016"</f>
        <v>22/09/2016</v>
      </c>
      <c r="B1765" t="str">
        <f>"34.667"</f>
        <v>34.667</v>
      </c>
      <c r="C1765" t="str">
        <f>"34.6854"</f>
        <v>34.6854</v>
      </c>
    </row>
    <row r="1766" spans="1:3" x14ac:dyDescent="0.25">
      <c r="A1766" t="str">
        <f>"23/09/2016"</f>
        <v>23/09/2016</v>
      </c>
      <c r="B1766" t="str">
        <f>"34.675"</f>
        <v>34.675</v>
      </c>
      <c r="C1766" t="str">
        <f>"34.6937"</f>
        <v>34.6937</v>
      </c>
    </row>
    <row r="1767" spans="1:3" x14ac:dyDescent="0.25">
      <c r="A1767" t="str">
        <f>"26/09/2016"</f>
        <v>26/09/2016</v>
      </c>
      <c r="B1767" t="str">
        <f>"34.64"</f>
        <v>34.64</v>
      </c>
      <c r="C1767" t="str">
        <f>"34.6587"</f>
        <v>34.6587</v>
      </c>
    </row>
    <row r="1768" spans="1:3" x14ac:dyDescent="0.25">
      <c r="A1768" t="str">
        <f>"27/09/2016"</f>
        <v>27/09/2016</v>
      </c>
      <c r="B1768" t="str">
        <f>"34.591"</f>
        <v>34.591</v>
      </c>
      <c r="C1768" t="str">
        <f>"34.6107"</f>
        <v>34.6107</v>
      </c>
    </row>
    <row r="1769" spans="1:3" x14ac:dyDescent="0.25">
      <c r="A1769" t="str">
        <f>"28/09/2016"</f>
        <v>28/09/2016</v>
      </c>
      <c r="B1769" t="str">
        <f>"34.625"</f>
        <v>34.625</v>
      </c>
      <c r="C1769" t="str">
        <f>"34.6427"</f>
        <v>34.6427</v>
      </c>
    </row>
    <row r="1770" spans="1:3" x14ac:dyDescent="0.25">
      <c r="A1770" t="str">
        <f>"29/09/2016"</f>
        <v>29/09/2016</v>
      </c>
      <c r="B1770" t="str">
        <f>"34.622"</f>
        <v>34.622</v>
      </c>
      <c r="C1770" t="str">
        <f>"34.6393"</f>
        <v>34.6393</v>
      </c>
    </row>
    <row r="1771" spans="1:3" x14ac:dyDescent="0.25">
      <c r="A1771" t="str">
        <f>"30/09/2016"</f>
        <v>30/09/2016</v>
      </c>
      <c r="B1771" t="str">
        <f>"34.688"</f>
        <v>34.688</v>
      </c>
      <c r="C1771" t="str">
        <f>"34.706"</f>
        <v>34.706</v>
      </c>
    </row>
    <row r="1772" spans="1:3" x14ac:dyDescent="0.25">
      <c r="A1772" t="str">
        <f>"03/10/2016"</f>
        <v>03/10/2016</v>
      </c>
      <c r="B1772" t="str">
        <f>"34.64"</f>
        <v>34.64</v>
      </c>
      <c r="C1772" t="str">
        <f>"34.6585"</f>
        <v>34.6585</v>
      </c>
    </row>
    <row r="1773" spans="1:3" x14ac:dyDescent="0.25">
      <c r="A1773" t="str">
        <f>"04/10/2016"</f>
        <v>04/10/2016</v>
      </c>
      <c r="B1773" t="str">
        <f>"34.706"</f>
        <v>34.706</v>
      </c>
      <c r="C1773" t="str">
        <f>"34.7204"</f>
        <v>34.7204</v>
      </c>
    </row>
    <row r="1774" spans="1:3" x14ac:dyDescent="0.25">
      <c r="A1774" t="str">
        <f>"05/10/2016"</f>
        <v>05/10/2016</v>
      </c>
      <c r="B1774" t="str">
        <f>"34.815"</f>
        <v>34.815</v>
      </c>
      <c r="C1774" t="str">
        <f>"34.8286"</f>
        <v>34.8286</v>
      </c>
    </row>
    <row r="1775" spans="1:3" x14ac:dyDescent="0.25">
      <c r="A1775" t="str">
        <f>"06/10/2016"</f>
        <v>06/10/2016</v>
      </c>
      <c r="B1775" t="str">
        <f>"34.865"</f>
        <v>34.865</v>
      </c>
      <c r="C1775" t="str">
        <f>"34.8808"</f>
        <v>34.8808</v>
      </c>
    </row>
    <row r="1776" spans="1:3" x14ac:dyDescent="0.25">
      <c r="A1776" t="str">
        <f>"07/10/2016"</f>
        <v>07/10/2016</v>
      </c>
      <c r="B1776" t="str">
        <f>"34.915"</f>
        <v>34.915</v>
      </c>
      <c r="C1776" t="str">
        <f>"34.928"</f>
        <v>34.928</v>
      </c>
    </row>
    <row r="1777" spans="1:3" x14ac:dyDescent="0.25">
      <c r="A1777" t="str">
        <f>"10/10/2016"</f>
        <v>10/10/2016</v>
      </c>
      <c r="B1777" t="str">
        <f>"35.083"</f>
        <v>35.083</v>
      </c>
      <c r="C1777" t="str">
        <f>"35.0957"</f>
        <v>35.0957</v>
      </c>
    </row>
    <row r="1778" spans="1:3" x14ac:dyDescent="0.25">
      <c r="A1778" t="str">
        <f>"13/10/2016"</f>
        <v>13/10/2016</v>
      </c>
      <c r="B1778" t="str">
        <f>"35.596"</f>
        <v>35.596</v>
      </c>
      <c r="C1778" t="str">
        <f>"35.6135"</f>
        <v>35.6135</v>
      </c>
    </row>
    <row r="1779" spans="1:3" x14ac:dyDescent="0.25">
      <c r="A1779" t="str">
        <f>"14/10/2016"</f>
        <v>14/10/2016</v>
      </c>
      <c r="B1779" t="str">
        <f>"35.32"</f>
        <v>35.32</v>
      </c>
      <c r="C1779" t="str">
        <f>"35.3383"</f>
        <v>35.3383</v>
      </c>
    </row>
    <row r="1780" spans="1:3" x14ac:dyDescent="0.25">
      <c r="A1780" t="str">
        <f>"17/10/2016"</f>
        <v>17/10/2016</v>
      </c>
      <c r="B1780" t="str">
        <f>"35.29"</f>
        <v>35.29</v>
      </c>
      <c r="C1780" t="str">
        <f>"35.3103"</f>
        <v>35.3103</v>
      </c>
    </row>
    <row r="1781" spans="1:3" x14ac:dyDescent="0.25">
      <c r="A1781" t="str">
        <f>"18/10/2016"</f>
        <v>18/10/2016</v>
      </c>
      <c r="B1781" t="str">
        <f>"35.185"</f>
        <v>35.185</v>
      </c>
      <c r="C1781" t="str">
        <f>"35.2049"</f>
        <v>35.2049</v>
      </c>
    </row>
    <row r="1782" spans="1:3" x14ac:dyDescent="0.25">
      <c r="A1782" t="str">
        <f>"19/10/2016"</f>
        <v>19/10/2016</v>
      </c>
      <c r="B1782" t="str">
        <f>"34.905"</f>
        <v>34.905</v>
      </c>
      <c r="C1782" t="str">
        <f>"34.927"</f>
        <v>34.927</v>
      </c>
    </row>
    <row r="1783" spans="1:3" x14ac:dyDescent="0.25">
      <c r="A1783" t="str">
        <f>"20/10/2016"</f>
        <v>20/10/2016</v>
      </c>
      <c r="B1783" t="str">
        <f>"35.011"</f>
        <v>35.011</v>
      </c>
      <c r="C1783" t="str">
        <f>"35.0329"</f>
        <v>35.0329</v>
      </c>
    </row>
    <row r="1784" spans="1:3" x14ac:dyDescent="0.25">
      <c r="A1784" t="str">
        <f>"21/10/2016"</f>
        <v>21/10/2016</v>
      </c>
      <c r="B1784" t="str">
        <f>"35.149"</f>
        <v>35.149</v>
      </c>
      <c r="C1784" t="str">
        <f>"35.1761"</f>
        <v>35.1761</v>
      </c>
    </row>
    <row r="1785" spans="1:3" x14ac:dyDescent="0.25">
      <c r="A1785" t="str">
        <f>"24/10/2016"</f>
        <v>24/10/2016</v>
      </c>
      <c r="B1785" t="str">
        <f>"35.021"</f>
        <v>35.021</v>
      </c>
      <c r="C1785" t="str">
        <f>"35.0477"</f>
        <v>35.0477</v>
      </c>
    </row>
    <row r="1786" spans="1:3" x14ac:dyDescent="0.25">
      <c r="A1786" t="str">
        <f>"25/10/2016"</f>
        <v>25/10/2016</v>
      </c>
      <c r="B1786" t="str">
        <f>"34.96"</f>
        <v>34.96</v>
      </c>
      <c r="C1786" t="str">
        <f>"34.9873"</f>
        <v>34.9873</v>
      </c>
    </row>
    <row r="1787" spans="1:3" x14ac:dyDescent="0.25">
      <c r="A1787" t="str">
        <f>"26/10/2016"</f>
        <v>26/10/2016</v>
      </c>
      <c r="B1787" t="str">
        <f>"34.994"</f>
        <v>34.994</v>
      </c>
      <c r="C1787" t="str">
        <f>"35.0223"</f>
        <v>35.0223</v>
      </c>
    </row>
    <row r="1788" spans="1:3" x14ac:dyDescent="0.25">
      <c r="A1788" t="str">
        <f>"27/10/2016"</f>
        <v>27/10/2016</v>
      </c>
      <c r="B1788" t="str">
        <f>"35.095"</f>
        <v>35.095</v>
      </c>
      <c r="C1788" t="str">
        <f>"35.1219"</f>
        <v>35.1219</v>
      </c>
    </row>
    <row r="1789" spans="1:3" x14ac:dyDescent="0.25">
      <c r="A1789" t="str">
        <f>"28/10/2016"</f>
        <v>28/10/2016</v>
      </c>
      <c r="B1789" t="str">
        <f>"35.10"</f>
        <v>35.10</v>
      </c>
      <c r="C1789" t="str">
        <f>"35.1266"</f>
        <v>35.1266</v>
      </c>
    </row>
    <row r="1790" spans="1:3" x14ac:dyDescent="0.25">
      <c r="A1790" t="str">
        <f>"01/11/2016"</f>
        <v>01/11/2016</v>
      </c>
      <c r="B1790" t="str">
        <f>"35.008"</f>
        <v>35.008</v>
      </c>
      <c r="C1790" t="str">
        <f>"35.0359"</f>
        <v>35.0359</v>
      </c>
    </row>
    <row r="1791" spans="1:3" x14ac:dyDescent="0.25">
      <c r="A1791" t="str">
        <f>"02/11/2016"</f>
        <v>02/11/2016</v>
      </c>
      <c r="B1791" t="str">
        <f>"35.06"</f>
        <v>35.06</v>
      </c>
      <c r="C1791" t="str">
        <f>"35.0872"</f>
        <v>35.0872</v>
      </c>
    </row>
    <row r="1792" spans="1:3" x14ac:dyDescent="0.25">
      <c r="A1792" t="str">
        <f>"03/11/2016"</f>
        <v>03/11/2016</v>
      </c>
      <c r="B1792" t="str">
        <f>"34.934"</f>
        <v>34.934</v>
      </c>
      <c r="C1792" t="str">
        <f>"34.9611"</f>
        <v>34.9611</v>
      </c>
    </row>
    <row r="1793" spans="1:3" x14ac:dyDescent="0.25">
      <c r="A1793" t="str">
        <f>"04/11/2016"</f>
        <v>04/11/2016</v>
      </c>
      <c r="B1793" t="str">
        <f>"35.00"</f>
        <v>35.00</v>
      </c>
      <c r="C1793" t="str">
        <f>"35.0271"</f>
        <v>35.0271</v>
      </c>
    </row>
    <row r="1794" spans="1:3" x14ac:dyDescent="0.25">
      <c r="A1794" t="str">
        <f>"07/11/2016"</f>
        <v>07/11/2016</v>
      </c>
      <c r="B1794" t="str">
        <f>"35.015"</f>
        <v>35.015</v>
      </c>
      <c r="C1794" t="str">
        <f>"35.0421"</f>
        <v>35.0421</v>
      </c>
    </row>
    <row r="1795" spans="1:3" x14ac:dyDescent="0.25">
      <c r="A1795" t="str">
        <f>"08/11/2016"</f>
        <v>08/11/2016</v>
      </c>
      <c r="B1795" t="str">
        <f>"34.97"</f>
        <v>34.97</v>
      </c>
      <c r="C1795" t="str">
        <f>"34.9971"</f>
        <v>34.9971</v>
      </c>
    </row>
    <row r="1796" spans="1:3" x14ac:dyDescent="0.25">
      <c r="A1796" t="str">
        <f>"09/11/2016"</f>
        <v>09/11/2016</v>
      </c>
      <c r="B1796" t="str">
        <f>"34.96"</f>
        <v>34.96</v>
      </c>
      <c r="C1796" t="str">
        <f>"34.9871"</f>
        <v>34.9871</v>
      </c>
    </row>
    <row r="1797" spans="1:3" x14ac:dyDescent="0.25">
      <c r="A1797" t="str">
        <f>"10/11/2016"</f>
        <v>10/11/2016</v>
      </c>
      <c r="B1797" t="str">
        <f>"35.12"</f>
        <v>35.12</v>
      </c>
      <c r="C1797" t="str">
        <f>"35.1445"</f>
        <v>35.1445</v>
      </c>
    </row>
    <row r="1798" spans="1:3" x14ac:dyDescent="0.25">
      <c r="A1798" t="str">
        <f>"11/11/2016"</f>
        <v>11/11/2016</v>
      </c>
      <c r="B1798" t="str">
        <f>"35.26"</f>
        <v>35.26</v>
      </c>
      <c r="C1798" t="str">
        <f>"35.2845"</f>
        <v>35.2845</v>
      </c>
    </row>
    <row r="1799" spans="1:3" x14ac:dyDescent="0.25">
      <c r="A1799" t="str">
        <f>"15/11/2016"</f>
        <v>15/11/2016</v>
      </c>
      <c r="B1799" t="str">
        <f>"35.37"</f>
        <v>35.37</v>
      </c>
      <c r="C1799" t="str">
        <f>"35.3912"</f>
        <v>35.3912</v>
      </c>
    </row>
    <row r="1800" spans="1:3" x14ac:dyDescent="0.25">
      <c r="A1800" t="str">
        <f>"16/11/2016"</f>
        <v>16/11/2016</v>
      </c>
      <c r="B1800" t="str">
        <f>"35.482"</f>
        <v>35.482</v>
      </c>
      <c r="C1800" t="str">
        <f>"35.5029"</f>
        <v>35.5029</v>
      </c>
    </row>
    <row r="1801" spans="1:3" x14ac:dyDescent="0.25">
      <c r="A1801" t="str">
        <f>"17/11/2016"</f>
        <v>17/11/2016</v>
      </c>
      <c r="B1801" t="str">
        <f>"35.458"</f>
        <v>35.458</v>
      </c>
      <c r="C1801" t="str">
        <f>"35.4781"</f>
        <v>35.4781</v>
      </c>
    </row>
    <row r="1802" spans="1:3" x14ac:dyDescent="0.25">
      <c r="A1802" t="str">
        <f>"18/11/2016"</f>
        <v>18/11/2016</v>
      </c>
      <c r="B1802" t="str">
        <f>"35.63"</f>
        <v>35.63</v>
      </c>
      <c r="C1802" t="str">
        <f>"35.6493"</f>
        <v>35.6493</v>
      </c>
    </row>
    <row r="1803" spans="1:3" x14ac:dyDescent="0.25">
      <c r="A1803" t="str">
        <f>"21/11/2016"</f>
        <v>21/11/2016</v>
      </c>
      <c r="B1803" t="str">
        <f>"35.58"</f>
        <v>35.58</v>
      </c>
      <c r="C1803" t="str">
        <f>"35.5986"</f>
        <v>35.5986</v>
      </c>
    </row>
    <row r="1804" spans="1:3" x14ac:dyDescent="0.25">
      <c r="A1804" t="str">
        <f>"22/11/2016"</f>
        <v>22/11/2016</v>
      </c>
      <c r="B1804" t="str">
        <f>"35.44"</f>
        <v>35.44</v>
      </c>
      <c r="C1804" t="str">
        <f>"35.4595"</f>
        <v>35.4595</v>
      </c>
    </row>
    <row r="1805" spans="1:3" x14ac:dyDescent="0.25">
      <c r="A1805" t="str">
        <f>"23/11/2016"</f>
        <v>23/11/2016</v>
      </c>
      <c r="B1805" t="str">
        <f>"35.523"</f>
        <v>35.523</v>
      </c>
      <c r="C1805" t="str">
        <f>"35.5428"</f>
        <v>35.5428</v>
      </c>
    </row>
    <row r="1806" spans="1:3" x14ac:dyDescent="0.25">
      <c r="A1806" t="str">
        <f>"24/11/2016"</f>
        <v>24/11/2016</v>
      </c>
      <c r="B1806" t="str">
        <f>"35.65"</f>
        <v>35.65</v>
      </c>
      <c r="C1806" t="str">
        <f>"35.6676"</f>
        <v>35.6676</v>
      </c>
    </row>
    <row r="1807" spans="1:3" x14ac:dyDescent="0.25">
      <c r="A1807" t="str">
        <f>"25/11/2016"</f>
        <v>25/11/2016</v>
      </c>
      <c r="B1807" t="str">
        <f>"35.68"</f>
        <v>35.68</v>
      </c>
      <c r="C1807" t="str">
        <f>"35.6901"</f>
        <v>35.6901</v>
      </c>
    </row>
    <row r="1808" spans="1:3" x14ac:dyDescent="0.25">
      <c r="A1808" t="str">
        <f>"28/11/2016"</f>
        <v>28/11/2016</v>
      </c>
      <c r="B1808" t="str">
        <f>"35.604"</f>
        <v>35.604</v>
      </c>
      <c r="C1808" t="str">
        <f>"35.6163"</f>
        <v>35.6163</v>
      </c>
    </row>
    <row r="1809" spans="1:3" x14ac:dyDescent="0.25">
      <c r="A1809" t="str">
        <f>"29/11/2016"</f>
        <v>29/11/2016</v>
      </c>
      <c r="B1809" t="str">
        <f>"35.601"</f>
        <v>35.601</v>
      </c>
      <c r="C1809" t="str">
        <f>"35.6117"</f>
        <v>35.6117</v>
      </c>
    </row>
    <row r="1810" spans="1:3" x14ac:dyDescent="0.25">
      <c r="A1810" t="str">
        <f>"30/11/2016"</f>
        <v>30/11/2016</v>
      </c>
      <c r="B1810" t="str">
        <f>"35.681"</f>
        <v>35.681</v>
      </c>
      <c r="C1810" t="str">
        <f>"35.6906"</f>
        <v>35.6906</v>
      </c>
    </row>
    <row r="1811" spans="1:3" x14ac:dyDescent="0.25">
      <c r="A1811" t="str">
        <f>"01/12/2016"</f>
        <v>01/12/2016</v>
      </c>
      <c r="B1811" t="str">
        <f>"35.711"</f>
        <v>35.711</v>
      </c>
      <c r="C1811" t="str">
        <f>"35.7189"</f>
        <v>35.7189</v>
      </c>
    </row>
    <row r="1812" spans="1:3" x14ac:dyDescent="0.25">
      <c r="A1812" t="str">
        <f>"02/12/2016"</f>
        <v>02/12/2016</v>
      </c>
      <c r="B1812" t="str">
        <f>"35.677"</f>
        <v>35.677</v>
      </c>
      <c r="C1812" t="str">
        <f>"35.682"</f>
        <v>35.682</v>
      </c>
    </row>
    <row r="1813" spans="1:3" x14ac:dyDescent="0.25">
      <c r="A1813" t="str">
        <f>"05/12/2016"</f>
        <v>05/12/2016</v>
      </c>
      <c r="B1813" t="str">
        <f>"35.63"</f>
        <v>35.63</v>
      </c>
      <c r="C1813" t="str">
        <f>"35.6342"</f>
        <v>35.6342</v>
      </c>
    </row>
    <row r="1814" spans="1:3" x14ac:dyDescent="0.25">
      <c r="A1814" t="str">
        <f>"06/12/2016"</f>
        <v>06/12/2016</v>
      </c>
      <c r="B1814" t="str">
        <f>"35.63"</f>
        <v>35.63</v>
      </c>
      <c r="C1814" t="str">
        <f>"35.6401"</f>
        <v>35.6401</v>
      </c>
    </row>
    <row r="1815" spans="1:3" x14ac:dyDescent="0.25">
      <c r="A1815" t="str">
        <f>"07/12/2016"</f>
        <v>07/12/2016</v>
      </c>
      <c r="B1815" t="str">
        <f>"35.641"</f>
        <v>35.641</v>
      </c>
      <c r="C1815" t="str">
        <f>"35.6515"</f>
        <v>35.6515</v>
      </c>
    </row>
    <row r="1816" spans="1:3" x14ac:dyDescent="0.25">
      <c r="A1816" t="str">
        <f>"08/12/2016"</f>
        <v>08/12/2016</v>
      </c>
      <c r="B1816" t="str">
        <f>"35.61"</f>
        <v>35.61</v>
      </c>
      <c r="C1816" t="str">
        <f>"35.6205"</f>
        <v>35.6205</v>
      </c>
    </row>
    <row r="1817" spans="1:3" x14ac:dyDescent="0.25">
      <c r="A1817" t="str">
        <f>"09/12/2016"</f>
        <v>09/12/2016</v>
      </c>
      <c r="B1817" t="str">
        <f>"35.645"</f>
        <v>35.645</v>
      </c>
      <c r="C1817" t="str">
        <f>"35.6546"</f>
        <v>35.6546</v>
      </c>
    </row>
    <row r="1818" spans="1:3" x14ac:dyDescent="0.25">
      <c r="A1818" t="str">
        <f>"13/12/2016"</f>
        <v>13/12/2016</v>
      </c>
      <c r="B1818" t="str">
        <f>"35.592"</f>
        <v>35.592</v>
      </c>
      <c r="C1818" t="str">
        <f>"35.6022"</f>
        <v>35.6022</v>
      </c>
    </row>
    <row r="1819" spans="1:3" x14ac:dyDescent="0.25">
      <c r="A1819" t="str">
        <f>"14/12/2016"</f>
        <v>14/12/2016</v>
      </c>
      <c r="B1819" t="str">
        <f>"35.59"</f>
        <v>35.59</v>
      </c>
      <c r="C1819" t="str">
        <f>"35.5993"</f>
        <v>35.5993</v>
      </c>
    </row>
    <row r="1820" spans="1:3" x14ac:dyDescent="0.25">
      <c r="A1820" t="str">
        <f>"15/12/2016"</f>
        <v>15/12/2016</v>
      </c>
      <c r="B1820" t="str">
        <f>"35.726"</f>
        <v>35.726</v>
      </c>
      <c r="C1820" t="str">
        <f>"35.7303"</f>
        <v>35.7303</v>
      </c>
    </row>
    <row r="1821" spans="1:3" x14ac:dyDescent="0.25">
      <c r="A1821" t="str">
        <f>"16/12/2016"</f>
        <v>16/12/2016</v>
      </c>
      <c r="B1821" t="str">
        <f>"35.812"</f>
        <v>35.812</v>
      </c>
      <c r="C1821" t="str">
        <f>"35.8142"</f>
        <v>35.8142</v>
      </c>
    </row>
    <row r="1822" spans="1:3" x14ac:dyDescent="0.25">
      <c r="A1822" t="str">
        <f>"19/12/2016"</f>
        <v>19/12/2016</v>
      </c>
      <c r="B1822" t="str">
        <f>"35.90"</f>
        <v>35.90</v>
      </c>
      <c r="C1822" t="str">
        <f>"35.901"</f>
        <v>35.901</v>
      </c>
    </row>
    <row r="1823" spans="1:3" x14ac:dyDescent="0.25">
      <c r="A1823" t="str">
        <f>"20/12/2016"</f>
        <v>20/12/2016</v>
      </c>
      <c r="B1823" t="str">
        <f>"36.036"</f>
        <v>36.036</v>
      </c>
      <c r="C1823" t="str">
        <f>"36.0369"</f>
        <v>36.0369</v>
      </c>
    </row>
    <row r="1824" spans="1:3" x14ac:dyDescent="0.25">
      <c r="A1824" t="str">
        <f>"21/12/2016"</f>
        <v>21/12/2016</v>
      </c>
      <c r="B1824" t="str">
        <f>"36.018"</f>
        <v>36.018</v>
      </c>
      <c r="C1824" t="str">
        <f>"36.0173"</f>
        <v>36.0173</v>
      </c>
    </row>
    <row r="1825" spans="1:3" x14ac:dyDescent="0.25">
      <c r="A1825" t="str">
        <f>"22/12/2016"</f>
        <v>22/12/2016</v>
      </c>
      <c r="B1825" t="str">
        <f>"36.033"</f>
        <v>36.033</v>
      </c>
      <c r="C1825" t="str">
        <f>"36.0347"</f>
        <v>36.0347</v>
      </c>
    </row>
    <row r="1826" spans="1:3" x14ac:dyDescent="0.25">
      <c r="A1826" t="str">
        <f>"23/12/2016"</f>
        <v>23/12/2016</v>
      </c>
      <c r="B1826" t="str">
        <f>"36.025"</f>
        <v>36.025</v>
      </c>
      <c r="C1826" t="str">
        <f>"36.0237"</f>
        <v>36.0237</v>
      </c>
    </row>
    <row r="1827" spans="1:3" x14ac:dyDescent="0.25">
      <c r="A1827" t="str">
        <f>"26/12/2016"</f>
        <v>26/12/2016</v>
      </c>
      <c r="B1827" t="str">
        <f>"35.99"</f>
        <v>35.99</v>
      </c>
      <c r="C1827" t="str">
        <f>"35.9923"</f>
        <v>35.9923</v>
      </c>
    </row>
    <row r="1828" spans="1:3" x14ac:dyDescent="0.25">
      <c r="A1828" t="str">
        <f>"27/12/2016"</f>
        <v>27/12/2016</v>
      </c>
      <c r="B1828" t="str">
        <f>"36.015"</f>
        <v>36.015</v>
      </c>
      <c r="C1828" t="str">
        <f>"36.0188"</f>
        <v>36.0188</v>
      </c>
    </row>
    <row r="1829" spans="1:3" x14ac:dyDescent="0.25">
      <c r="A1829" t="str">
        <f>"28/12/2016"</f>
        <v>28/12/2016</v>
      </c>
      <c r="B1829" t="str">
        <f>"36.04"</f>
        <v>36.04</v>
      </c>
      <c r="C1829" t="str">
        <f>"36.0395"</f>
        <v>36.0395</v>
      </c>
    </row>
    <row r="1830" spans="1:3" x14ac:dyDescent="0.25">
      <c r="A1830" t="str">
        <f>"29/12/2016"</f>
        <v>29/12/2016</v>
      </c>
      <c r="B1830" t="str">
        <f>"35.96"</f>
        <v>35.96</v>
      </c>
      <c r="C1830" t="str">
        <f>"35.9664"</f>
        <v>35.9664</v>
      </c>
    </row>
    <row r="1831" spans="1:3" x14ac:dyDescent="0.25">
      <c r="A1831" t="str">
        <f>"30/12/2016"</f>
        <v>30/12/2016</v>
      </c>
      <c r="B1831" t="str">
        <f>"35.811"</f>
        <v>35.811</v>
      </c>
      <c r="C1831" t="str">
        <f>"35.8186"</f>
        <v>35.8186</v>
      </c>
    </row>
    <row r="1832" spans="1:3" x14ac:dyDescent="0.25">
      <c r="A1832" t="str">
        <f>"02/01/2017"</f>
        <v>02/01/2017</v>
      </c>
      <c r="B1832" t="str">
        <f>"35.811"</f>
        <v>35.811</v>
      </c>
      <c r="C1832" t="str">
        <f>"35.8186"</f>
        <v>35.8186</v>
      </c>
    </row>
    <row r="1833" spans="1:3" x14ac:dyDescent="0.25">
      <c r="A1833" t="str">
        <f>"03/01/2017"</f>
        <v>03/01/2017</v>
      </c>
      <c r="B1833" t="str">
        <f>"35.811"</f>
        <v>35.811</v>
      </c>
      <c r="C1833" t="str">
        <f>"35.8186"</f>
        <v>35.8186</v>
      </c>
    </row>
    <row r="1834" spans="1:3" x14ac:dyDescent="0.25">
      <c r="A1834" t="str">
        <f>"04/01/2017"</f>
        <v>04/01/2017</v>
      </c>
      <c r="B1834" t="str">
        <f>"35.83"</f>
        <v>35.83</v>
      </c>
      <c r="C1834" t="str">
        <f>"35.8388"</f>
        <v>35.8388</v>
      </c>
    </row>
    <row r="1835" spans="1:3" x14ac:dyDescent="0.25">
      <c r="A1835" t="str">
        <f>"05/01/2017"</f>
        <v>05/01/2017</v>
      </c>
      <c r="B1835" t="str">
        <f>"35.795"</f>
        <v>35.795</v>
      </c>
      <c r="C1835" t="str">
        <f>"35.8051"</f>
        <v>35.8051</v>
      </c>
    </row>
    <row r="1836" spans="1:3" x14ac:dyDescent="0.25">
      <c r="A1836" t="str">
        <f>"06/01/2017"</f>
        <v>06/01/2017</v>
      </c>
      <c r="B1836" t="str">
        <f>"35.70"</f>
        <v>35.70</v>
      </c>
      <c r="C1836" t="str">
        <f>"35.7133"</f>
        <v>35.7133</v>
      </c>
    </row>
    <row r="1837" spans="1:3" x14ac:dyDescent="0.25">
      <c r="A1837" t="str">
        <f>"09/01/2017"</f>
        <v>09/01/2017</v>
      </c>
      <c r="B1837" t="str">
        <f>"35.77"</f>
        <v>35.77</v>
      </c>
      <c r="C1837" t="str">
        <f>"35.7838"</f>
        <v>35.7838</v>
      </c>
    </row>
    <row r="1838" spans="1:3" x14ac:dyDescent="0.25">
      <c r="A1838" t="str">
        <f>"10/01/2017"</f>
        <v>10/01/2017</v>
      </c>
      <c r="B1838" t="str">
        <f>"35.616"</f>
        <v>35.616</v>
      </c>
      <c r="C1838" t="str">
        <f>"35.6282"</f>
        <v>35.6282</v>
      </c>
    </row>
    <row r="1839" spans="1:3" x14ac:dyDescent="0.25">
      <c r="A1839" t="str">
        <f>"11/01/2017"</f>
        <v>11/01/2017</v>
      </c>
      <c r="B1839" t="str">
        <f>"35.572"</f>
        <v>35.572</v>
      </c>
      <c r="C1839" t="str">
        <f>"35.5843"</f>
        <v>35.5843</v>
      </c>
    </row>
    <row r="1840" spans="1:3" x14ac:dyDescent="0.25">
      <c r="A1840" t="str">
        <f>"12/01/2017"</f>
        <v>12/01/2017</v>
      </c>
      <c r="B1840" t="str">
        <f>"35.385"</f>
        <v>35.385</v>
      </c>
      <c r="C1840" t="str">
        <f>"35.3977"</f>
        <v>35.3977</v>
      </c>
    </row>
    <row r="1841" spans="1:3" x14ac:dyDescent="0.25">
      <c r="A1841" t="str">
        <f>"13/01/2017"</f>
        <v>13/01/2017</v>
      </c>
      <c r="B1841" t="str">
        <f>"35.416"</f>
        <v>35.416</v>
      </c>
      <c r="C1841" t="str">
        <f>"35.4296"</f>
        <v>35.4296</v>
      </c>
    </row>
    <row r="1842" spans="1:3" x14ac:dyDescent="0.25">
      <c r="A1842" t="str">
        <f>"16/01/2017"</f>
        <v>16/01/2017</v>
      </c>
      <c r="B1842" t="str">
        <f>"35.47"</f>
        <v>35.47</v>
      </c>
      <c r="C1842" t="str">
        <f>"35.4842"</f>
        <v>35.4842</v>
      </c>
    </row>
    <row r="1843" spans="1:3" x14ac:dyDescent="0.25">
      <c r="A1843" t="str">
        <f>"17/01/2017"</f>
        <v>17/01/2017</v>
      </c>
      <c r="B1843" t="str">
        <f>"35.313"</f>
        <v>35.313</v>
      </c>
      <c r="C1843" t="str">
        <f>"35.3264"</f>
        <v>35.3264</v>
      </c>
    </row>
    <row r="1844" spans="1:3" x14ac:dyDescent="0.25">
      <c r="A1844" t="str">
        <f>"18/01/2017"</f>
        <v>18/01/2017</v>
      </c>
      <c r="B1844" t="str">
        <f>"35.313"</f>
        <v>35.313</v>
      </c>
      <c r="C1844" t="str">
        <f>"35.3251"</f>
        <v>35.3251</v>
      </c>
    </row>
    <row r="1845" spans="1:3" x14ac:dyDescent="0.25">
      <c r="A1845" t="str">
        <f>"19/01/2017"</f>
        <v>19/01/2017</v>
      </c>
      <c r="B1845" t="str">
        <f>"35.385"</f>
        <v>35.385</v>
      </c>
      <c r="C1845" t="str">
        <f>"35.3971"</f>
        <v>35.3971</v>
      </c>
    </row>
    <row r="1846" spans="1:3" x14ac:dyDescent="0.25">
      <c r="A1846" t="str">
        <f>"20/01/2017"</f>
        <v>20/01/2017</v>
      </c>
      <c r="B1846" t="str">
        <f>"35.43"</f>
        <v>35.43</v>
      </c>
      <c r="C1846" t="str">
        <f>"35.442"</f>
        <v>35.442</v>
      </c>
    </row>
    <row r="1847" spans="1:3" x14ac:dyDescent="0.25">
      <c r="A1847" t="str">
        <f>"23/01/2017"</f>
        <v>23/01/2017</v>
      </c>
      <c r="B1847" t="str">
        <f>"35.303"</f>
        <v>35.303</v>
      </c>
      <c r="C1847" t="str">
        <f>"35.3159"</f>
        <v>35.3159</v>
      </c>
    </row>
    <row r="1848" spans="1:3" x14ac:dyDescent="0.25">
      <c r="A1848" t="str">
        <f>"24/01/2017"</f>
        <v>24/01/2017</v>
      </c>
      <c r="B1848" t="str">
        <f>"35.21"</f>
        <v>35.21</v>
      </c>
      <c r="C1848" t="str">
        <f>"35.2245"</f>
        <v>35.2245</v>
      </c>
    </row>
    <row r="1849" spans="1:3" x14ac:dyDescent="0.25">
      <c r="A1849" t="str">
        <f>"25/01/2017"</f>
        <v>25/01/2017</v>
      </c>
      <c r="B1849" t="str">
        <f>"35.245"</f>
        <v>35.245</v>
      </c>
      <c r="C1849" t="str">
        <f>"35.2582"</f>
        <v>35.2582</v>
      </c>
    </row>
    <row r="1850" spans="1:3" x14ac:dyDescent="0.25">
      <c r="A1850" t="str">
        <f>"27/01/2017"</f>
        <v>27/01/2017</v>
      </c>
      <c r="B1850" t="str">
        <f>"35.30"</f>
        <v>35.30</v>
      </c>
      <c r="C1850" t="str">
        <f>"35.312"</f>
        <v>35.312</v>
      </c>
    </row>
    <row r="1851" spans="1:3" x14ac:dyDescent="0.25">
      <c r="A1851" t="str">
        <f>"30/01/2017"</f>
        <v>30/01/2017</v>
      </c>
      <c r="B1851" t="str">
        <f>"35.262"</f>
        <v>35.262</v>
      </c>
      <c r="C1851" t="str">
        <f>"35.2746"</f>
        <v>35.2746</v>
      </c>
    </row>
    <row r="1852" spans="1:3" x14ac:dyDescent="0.25">
      <c r="A1852" t="str">
        <f>"31/01/2017"</f>
        <v>31/01/2017</v>
      </c>
      <c r="B1852" t="str">
        <f>"35.226"</f>
        <v>35.226</v>
      </c>
      <c r="C1852" t="str">
        <f>"35.2369"</f>
        <v>35.2369</v>
      </c>
    </row>
    <row r="1853" spans="1:3" x14ac:dyDescent="0.25">
      <c r="A1853" t="str">
        <f>"01/02/2017"</f>
        <v>01/02/2017</v>
      </c>
      <c r="B1853" t="str">
        <f>"35.15"</f>
        <v>35.15</v>
      </c>
      <c r="C1853" t="str">
        <f>"35.1604"</f>
        <v>35.1604</v>
      </c>
    </row>
    <row r="1854" spans="1:3" x14ac:dyDescent="0.25">
      <c r="A1854" t="str">
        <f>"02/02/2017"</f>
        <v>02/02/2017</v>
      </c>
      <c r="B1854" t="str">
        <f>"35.081"</f>
        <v>35.081</v>
      </c>
      <c r="C1854" t="str">
        <f>"35.0903"</f>
        <v>35.0903</v>
      </c>
    </row>
    <row r="1855" spans="1:3" x14ac:dyDescent="0.25">
      <c r="A1855" t="str">
        <f>"03/02/2017"</f>
        <v>03/02/2017</v>
      </c>
      <c r="B1855" t="str">
        <f>"35.075"</f>
        <v>35.075</v>
      </c>
      <c r="C1855" t="str">
        <f>"35.0843"</f>
        <v>35.0843</v>
      </c>
    </row>
    <row r="1856" spans="1:3" x14ac:dyDescent="0.25">
      <c r="A1856" t="str">
        <f>"06/02/2017"</f>
        <v>06/02/2017</v>
      </c>
      <c r="B1856" t="str">
        <f>"35.024"</f>
        <v>35.024</v>
      </c>
      <c r="C1856" t="str">
        <f>"35.033"</f>
        <v>35.033</v>
      </c>
    </row>
    <row r="1857" spans="1:3" x14ac:dyDescent="0.25">
      <c r="A1857" t="str">
        <f>"07/02/2017"</f>
        <v>07/02/2017</v>
      </c>
      <c r="B1857" t="str">
        <f>"35.065"</f>
        <v>35.065</v>
      </c>
      <c r="C1857" t="str">
        <f>"35.0755"</f>
        <v>35.0755</v>
      </c>
    </row>
    <row r="1858" spans="1:3" x14ac:dyDescent="0.25">
      <c r="A1858" t="str">
        <f>"08/02/2017"</f>
        <v>08/02/2017</v>
      </c>
      <c r="B1858" t="str">
        <f>"35.055"</f>
        <v>35.055</v>
      </c>
      <c r="C1858" t="str">
        <f>"35.0659"</f>
        <v>35.0659</v>
      </c>
    </row>
    <row r="1859" spans="1:3" x14ac:dyDescent="0.25">
      <c r="A1859" t="str">
        <f>"09/02/2017"</f>
        <v>09/02/2017</v>
      </c>
      <c r="B1859" t="str">
        <f>"35.02"</f>
        <v>35.02</v>
      </c>
      <c r="C1859" t="str">
        <f>"35.0318"</f>
        <v>35.0318</v>
      </c>
    </row>
    <row r="1860" spans="1:3" x14ac:dyDescent="0.25">
      <c r="A1860" t="str">
        <f>"10/02/2017"</f>
        <v>10/02/2017</v>
      </c>
      <c r="B1860" t="str">
        <f>"35.085"</f>
        <v>35.085</v>
      </c>
      <c r="C1860" t="str">
        <f>"35.0965"</f>
        <v>35.0965</v>
      </c>
    </row>
    <row r="1861" spans="1:3" x14ac:dyDescent="0.25">
      <c r="A1861" t="str">
        <f>"13/02/2017"</f>
        <v>13/02/2017</v>
      </c>
      <c r="B1861" t="str">
        <f>"35.085"</f>
        <v>35.085</v>
      </c>
      <c r="C1861" t="str">
        <f>"35.0965"</f>
        <v>35.0965</v>
      </c>
    </row>
    <row r="1862" spans="1:3" x14ac:dyDescent="0.25">
      <c r="A1862" t="str">
        <f>"14/02/2017"</f>
        <v>14/02/2017</v>
      </c>
      <c r="B1862" t="str">
        <f>"34.994"</f>
        <v>34.994</v>
      </c>
      <c r="C1862" t="str">
        <f>"35.0054"</f>
        <v>35.0054</v>
      </c>
    </row>
    <row r="1863" spans="1:3" x14ac:dyDescent="0.25">
      <c r="A1863" t="str">
        <f>"15/02/2017"</f>
        <v>15/02/2017</v>
      </c>
      <c r="B1863" t="str">
        <f>"35.02"</f>
        <v>35.02</v>
      </c>
      <c r="C1863" t="str">
        <f>"35.0305"</f>
        <v>35.0305</v>
      </c>
    </row>
    <row r="1864" spans="1:3" x14ac:dyDescent="0.25">
      <c r="A1864" t="str">
        <f>"16/02/2017"</f>
        <v>16/02/2017</v>
      </c>
      <c r="B1864" t="str">
        <f>"35.01"</f>
        <v>35.01</v>
      </c>
      <c r="C1864" t="str">
        <f>"35.0208"</f>
        <v>35.0208</v>
      </c>
    </row>
    <row r="1865" spans="1:3" x14ac:dyDescent="0.25">
      <c r="A1865" t="str">
        <f>"17/02/2017"</f>
        <v>17/02/2017</v>
      </c>
      <c r="B1865" t="str">
        <f>"35.00"</f>
        <v>35.00</v>
      </c>
      <c r="C1865" t="str">
        <f>"35.0114"</f>
        <v>35.0114</v>
      </c>
    </row>
    <row r="1866" spans="1:3" x14ac:dyDescent="0.25">
      <c r="A1866" t="str">
        <f>"20/02/2017"</f>
        <v>20/02/2017</v>
      </c>
      <c r="B1866" t="str">
        <f>"35.044"</f>
        <v>35.044</v>
      </c>
      <c r="C1866" t="str">
        <f>"35.0561"</f>
        <v>35.0561</v>
      </c>
    </row>
    <row r="1867" spans="1:3" x14ac:dyDescent="0.25">
      <c r="A1867" t="str">
        <f>"22/02/2017"</f>
        <v>22/02/2017</v>
      </c>
      <c r="B1867" t="str">
        <f>"35.03"</f>
        <v>35.03</v>
      </c>
      <c r="C1867" t="str">
        <f>"35.0414"</f>
        <v>35.0414</v>
      </c>
    </row>
    <row r="1868" spans="1:3" x14ac:dyDescent="0.25">
      <c r="A1868" t="str">
        <f>"23/02/2017"</f>
        <v>23/02/2017</v>
      </c>
      <c r="B1868" t="str">
        <f>"35.00"</f>
        <v>35.00</v>
      </c>
      <c r="C1868" t="str">
        <f>"35.0114"</f>
        <v>35.0114</v>
      </c>
    </row>
    <row r="1869" spans="1:3" x14ac:dyDescent="0.25">
      <c r="A1869" t="str">
        <f>"27/02/2017"</f>
        <v>27/02/2017</v>
      </c>
      <c r="B1869" t="str">
        <f>"34.865"</f>
        <v>34.865</v>
      </c>
      <c r="C1869" t="str">
        <f>"34.8789"</f>
        <v>34.8789</v>
      </c>
    </row>
    <row r="1870" spans="1:3" x14ac:dyDescent="0.25">
      <c r="A1870" t="str">
        <f>"28/02/2017"</f>
        <v>28/02/2017</v>
      </c>
      <c r="B1870" t="str">
        <f>"34.91"</f>
        <v>34.91</v>
      </c>
      <c r="C1870" t="str">
        <f>"34.9231"</f>
        <v>34.9231</v>
      </c>
    </row>
    <row r="1871" spans="1:3" x14ac:dyDescent="0.25">
      <c r="A1871" t="str">
        <f>"01/03/2017"</f>
        <v>01/03/2017</v>
      </c>
      <c r="B1871" t="str">
        <f>"34.981"</f>
        <v>34.981</v>
      </c>
      <c r="C1871" t="str">
        <f>"34.994"</f>
        <v>34.994</v>
      </c>
    </row>
    <row r="1872" spans="1:3" x14ac:dyDescent="0.25">
      <c r="A1872" t="str">
        <f>"02/03/2017"</f>
        <v>02/03/2017</v>
      </c>
      <c r="B1872" t="str">
        <f>"35.002"</f>
        <v>35.002</v>
      </c>
      <c r="C1872" t="str">
        <f>"35.0145"</f>
        <v>35.0145</v>
      </c>
    </row>
    <row r="1873" spans="1:3" x14ac:dyDescent="0.25">
      <c r="A1873" t="str">
        <f>"03/03/2017"</f>
        <v>03/03/2017</v>
      </c>
      <c r="B1873" t="str">
        <f>"35.05"</f>
        <v>35.05</v>
      </c>
      <c r="C1873" t="str">
        <f>"35.0634"</f>
        <v>35.0634</v>
      </c>
    </row>
    <row r="1874" spans="1:3" x14ac:dyDescent="0.25">
      <c r="A1874" t="str">
        <f>"06/03/2017"</f>
        <v>06/03/2017</v>
      </c>
      <c r="B1874" t="str">
        <f>"35.035"</f>
        <v>35.035</v>
      </c>
      <c r="C1874" t="str">
        <f>"35.049"</f>
        <v>35.049</v>
      </c>
    </row>
    <row r="1875" spans="1:3" x14ac:dyDescent="0.25">
      <c r="A1875" t="str">
        <f>"07/03/2017"</f>
        <v>07/03/2017</v>
      </c>
      <c r="B1875" t="str">
        <f>"35.089"</f>
        <v>35.089</v>
      </c>
      <c r="C1875" t="str">
        <f>"35.1031"</f>
        <v>35.1031</v>
      </c>
    </row>
    <row r="1876" spans="1:3" x14ac:dyDescent="0.25">
      <c r="A1876" t="str">
        <f>"08/03/2017"</f>
        <v>08/03/2017</v>
      </c>
      <c r="B1876" t="str">
        <f>"35.25"</f>
        <v>35.25</v>
      </c>
      <c r="C1876" t="str">
        <f>"35.2639"</f>
        <v>35.2639</v>
      </c>
    </row>
    <row r="1877" spans="1:3" x14ac:dyDescent="0.25">
      <c r="A1877" t="str">
        <f>"09/03/2017"</f>
        <v>09/03/2017</v>
      </c>
      <c r="B1877" t="str">
        <f>"35.365"</f>
        <v>35.365</v>
      </c>
      <c r="C1877" t="str">
        <f>"35.3805"</f>
        <v>35.3805</v>
      </c>
    </row>
    <row r="1878" spans="1:3" x14ac:dyDescent="0.25">
      <c r="A1878" t="str">
        <f>"10/03/2017"</f>
        <v>10/03/2017</v>
      </c>
      <c r="B1878" t="str">
        <f>"35.402"</f>
        <v>35.402</v>
      </c>
      <c r="C1878" t="str">
        <f>"35.4154"</f>
        <v>35.4154</v>
      </c>
    </row>
    <row r="1879" spans="1:3" x14ac:dyDescent="0.25">
      <c r="A1879" t="str">
        <f>"14/03/2017"</f>
        <v>14/03/2017</v>
      </c>
      <c r="B1879" t="str">
        <f>"35.32"</f>
        <v>35.32</v>
      </c>
      <c r="C1879" t="str">
        <f>"35.33"</f>
        <v>35.33</v>
      </c>
    </row>
    <row r="1880" spans="1:3" x14ac:dyDescent="0.25">
      <c r="A1880" t="str">
        <f>"15/03/2017"</f>
        <v>15/03/2017</v>
      </c>
      <c r="B1880" t="str">
        <f>"35.281"</f>
        <v>35.281</v>
      </c>
      <c r="C1880" t="str">
        <f>"35.2916"</f>
        <v>35.2916</v>
      </c>
    </row>
    <row r="1881" spans="1:3" x14ac:dyDescent="0.25">
      <c r="A1881" t="str">
        <f>"16/03/2017"</f>
        <v>16/03/2017</v>
      </c>
      <c r="B1881" t="str">
        <f>"35.045"</f>
        <v>35.045</v>
      </c>
      <c r="C1881" t="str">
        <f>"35.0545"</f>
        <v>35.0545</v>
      </c>
    </row>
    <row r="1882" spans="1:3" x14ac:dyDescent="0.25">
      <c r="A1882" t="str">
        <f>"17/03/2017"</f>
        <v>17/03/2017</v>
      </c>
      <c r="B1882" t="str">
        <f>"34.857"</f>
        <v>34.857</v>
      </c>
      <c r="C1882" t="str">
        <f>"34.8662"</f>
        <v>34.8662</v>
      </c>
    </row>
    <row r="1883" spans="1:3" x14ac:dyDescent="0.25">
      <c r="A1883" t="str">
        <f>"20/03/2017"</f>
        <v>20/03/2017</v>
      </c>
      <c r="B1883" t="str">
        <f>"34.725"</f>
        <v>34.725</v>
      </c>
      <c r="C1883" t="str">
        <f>"34.7343"</f>
        <v>34.7343</v>
      </c>
    </row>
    <row r="1884" spans="1:3" x14ac:dyDescent="0.25">
      <c r="A1884" t="str">
        <f>"21/03/2017"</f>
        <v>21/03/2017</v>
      </c>
      <c r="B1884" t="str">
        <f>"34.68"</f>
        <v>34.68</v>
      </c>
      <c r="C1884" t="str">
        <f>"34.6888"</f>
        <v>34.6888</v>
      </c>
    </row>
    <row r="1885" spans="1:3" x14ac:dyDescent="0.25">
      <c r="A1885" t="str">
        <f>"22/03/2017"</f>
        <v>22/03/2017</v>
      </c>
      <c r="B1885" t="str">
        <f>"34.665"</f>
        <v>34.665</v>
      </c>
      <c r="C1885" t="str">
        <f>"34.675"</f>
        <v>34.675</v>
      </c>
    </row>
    <row r="1886" spans="1:3" x14ac:dyDescent="0.25">
      <c r="A1886" t="str">
        <f>"23/03/2017"</f>
        <v>23/03/2017</v>
      </c>
      <c r="B1886" t="str">
        <f>"34.679"</f>
        <v>34.679</v>
      </c>
      <c r="C1886" t="str">
        <f>"34.689"</f>
        <v>34.689</v>
      </c>
    </row>
    <row r="1887" spans="1:3" x14ac:dyDescent="0.25">
      <c r="A1887" t="str">
        <f>"24/03/2017"</f>
        <v>24/03/2017</v>
      </c>
      <c r="B1887" t="str">
        <f>"34.653"</f>
        <v>34.653</v>
      </c>
      <c r="C1887" t="str">
        <f>"34.6645"</f>
        <v>34.6645</v>
      </c>
    </row>
    <row r="1888" spans="1:3" x14ac:dyDescent="0.25">
      <c r="A1888" t="str">
        <f>"27/03/2017"</f>
        <v>27/03/2017</v>
      </c>
      <c r="B1888" t="str">
        <f>"34.409"</f>
        <v>34.409</v>
      </c>
      <c r="C1888" t="str">
        <f>"34.4213"</f>
        <v>34.4213</v>
      </c>
    </row>
    <row r="1889" spans="1:3" x14ac:dyDescent="0.25">
      <c r="A1889" t="str">
        <f>"29/03/2017"</f>
        <v>29/03/2017</v>
      </c>
      <c r="B1889" t="str">
        <f>"34.448"</f>
        <v>34.448</v>
      </c>
      <c r="C1889" t="str">
        <f>"34.4534"</f>
        <v>34.4534</v>
      </c>
    </row>
    <row r="1890" spans="1:3" x14ac:dyDescent="0.25">
      <c r="A1890" t="str">
        <f>"30/03/2017"</f>
        <v>30/03/2017</v>
      </c>
      <c r="B1890" t="str">
        <f>"34.435"</f>
        <v>34.435</v>
      </c>
      <c r="C1890" t="str">
        <f>"34.4439"</f>
        <v>34.4439</v>
      </c>
    </row>
    <row r="1891" spans="1:3" x14ac:dyDescent="0.25">
      <c r="A1891" t="str">
        <f>"31/03/2017"</f>
        <v>31/03/2017</v>
      </c>
      <c r="B1891" t="str">
        <f>"34.375"</f>
        <v>34.375</v>
      </c>
      <c r="C1891" t="str">
        <f>"34.3861"</f>
        <v>34.3861</v>
      </c>
    </row>
    <row r="1892" spans="1:3" x14ac:dyDescent="0.25">
      <c r="A1892" t="str">
        <f>"03/04/2017"</f>
        <v>03/04/2017</v>
      </c>
      <c r="B1892" t="str">
        <f>"34.359"</f>
        <v>34.359</v>
      </c>
      <c r="C1892" t="str">
        <f>"34.3702"</f>
        <v>34.3702</v>
      </c>
    </row>
    <row r="1893" spans="1:3" x14ac:dyDescent="0.25">
      <c r="A1893" t="str">
        <f>"05/04/2017"</f>
        <v>05/04/2017</v>
      </c>
      <c r="B1893" t="str">
        <f>"34.545"</f>
        <v>34.545</v>
      </c>
      <c r="C1893" t="str">
        <f>"34.5571"</f>
        <v>34.5571</v>
      </c>
    </row>
    <row r="1894" spans="1:3" x14ac:dyDescent="0.25">
      <c r="A1894" t="str">
        <f>"06/04/2017"</f>
        <v>06/04/2017</v>
      </c>
      <c r="B1894" t="str">
        <f>"34.545"</f>
        <v>34.545</v>
      </c>
      <c r="C1894" t="str">
        <f>"34.5571"</f>
        <v>34.5571</v>
      </c>
    </row>
    <row r="1895" spans="1:3" x14ac:dyDescent="0.25">
      <c r="A1895" t="str">
        <f>"07/04/2017"</f>
        <v>07/04/2017</v>
      </c>
      <c r="B1895" t="str">
        <f>"34.604"</f>
        <v>34.604</v>
      </c>
      <c r="C1895" t="str">
        <f>"34.6122"</f>
        <v>34.6122</v>
      </c>
    </row>
    <row r="1896" spans="1:3" x14ac:dyDescent="0.25">
      <c r="A1896" t="str">
        <f>"10/04/2017"</f>
        <v>10/04/2017</v>
      </c>
      <c r="B1896" t="str">
        <f>"34.66"</f>
        <v>34.66</v>
      </c>
      <c r="C1896" t="str">
        <f>"34.6686"</f>
        <v>34.6686</v>
      </c>
    </row>
    <row r="1897" spans="1:3" x14ac:dyDescent="0.25">
      <c r="A1897" t="str">
        <f>"11/04/2017"</f>
        <v>11/04/2017</v>
      </c>
      <c r="B1897" t="str">
        <f>"34.585"</f>
        <v>34.585</v>
      </c>
      <c r="C1897" t="str">
        <f>"34.5935"</f>
        <v>34.5935</v>
      </c>
    </row>
    <row r="1898" spans="1:3" x14ac:dyDescent="0.25">
      <c r="A1898" t="str">
        <f>"12/04/2017"</f>
        <v>12/04/2017</v>
      </c>
      <c r="B1898" t="str">
        <f>"34.535"</f>
        <v>34.535</v>
      </c>
      <c r="C1898" t="str">
        <f>"34.5435"</f>
        <v>34.5435</v>
      </c>
    </row>
    <row r="1899" spans="1:3" x14ac:dyDescent="0.25">
      <c r="A1899" t="str">
        <f>"13/04/2017"</f>
        <v>13/04/2017</v>
      </c>
      <c r="B1899" t="str">
        <f>"34.498"</f>
        <v>34.498</v>
      </c>
      <c r="C1899" t="str">
        <f>"34.5064"</f>
        <v>34.5064</v>
      </c>
    </row>
    <row r="1900" spans="1:3" x14ac:dyDescent="0.25">
      <c r="A1900" t="str">
        <f>"17/04/2017"</f>
        <v>17/04/2017</v>
      </c>
      <c r="B1900" t="str">
        <f>"34.268"</f>
        <v>34.268</v>
      </c>
      <c r="C1900" t="str">
        <f>"34.2768"</f>
        <v>34.2768</v>
      </c>
    </row>
    <row r="1901" spans="1:3" x14ac:dyDescent="0.25">
      <c r="A1901" t="str">
        <f>"18/04/2017"</f>
        <v>18/04/2017</v>
      </c>
      <c r="B1901" t="str">
        <f>"34.39"</f>
        <v>34.39</v>
      </c>
      <c r="C1901" t="str">
        <f>"34.3985"</f>
        <v>34.3985</v>
      </c>
    </row>
    <row r="1902" spans="1:3" x14ac:dyDescent="0.25">
      <c r="A1902" t="str">
        <f>"19/04/2017"</f>
        <v>19/04/2017</v>
      </c>
      <c r="B1902" t="str">
        <f>"34.299"</f>
        <v>34.299</v>
      </c>
      <c r="C1902" t="str">
        <f>"34.308"</f>
        <v>34.308</v>
      </c>
    </row>
    <row r="1903" spans="1:3" x14ac:dyDescent="0.25">
      <c r="A1903" t="str">
        <f>"20/04/2017"</f>
        <v>20/04/2017</v>
      </c>
      <c r="B1903" t="str">
        <f>"34.353"</f>
        <v>34.353</v>
      </c>
      <c r="C1903" t="str">
        <f>"34.3624"</f>
        <v>34.3624</v>
      </c>
    </row>
    <row r="1904" spans="1:3" x14ac:dyDescent="0.25">
      <c r="A1904" t="str">
        <f>"21/04/2017"</f>
        <v>21/04/2017</v>
      </c>
      <c r="B1904" t="str">
        <f>"34.393"</f>
        <v>34.393</v>
      </c>
      <c r="C1904" t="str">
        <f>"34.4019"</f>
        <v>34.4019</v>
      </c>
    </row>
    <row r="1905" spans="1:3" x14ac:dyDescent="0.25">
      <c r="A1905" t="str">
        <f>"24/04/2017"</f>
        <v>24/04/2017</v>
      </c>
      <c r="B1905" t="str">
        <f>"34.365"</f>
        <v>34.365</v>
      </c>
      <c r="C1905" t="str">
        <f>"34.3728"</f>
        <v>34.3728</v>
      </c>
    </row>
    <row r="1906" spans="1:3" x14ac:dyDescent="0.25">
      <c r="A1906" t="str">
        <f>"25/04/2017"</f>
        <v>25/04/2017</v>
      </c>
      <c r="B1906" t="str">
        <f>"34.39"</f>
        <v>34.39</v>
      </c>
      <c r="C1906" t="str">
        <f>"34.3982"</f>
        <v>34.3982</v>
      </c>
    </row>
    <row r="1907" spans="1:3" x14ac:dyDescent="0.25">
      <c r="A1907" t="str">
        <f>"26/04/2017"</f>
        <v>26/04/2017</v>
      </c>
      <c r="B1907" t="str">
        <f>"34.47"</f>
        <v>34.47</v>
      </c>
      <c r="C1907" t="str">
        <f>"34.478"</f>
        <v>34.478</v>
      </c>
    </row>
    <row r="1908" spans="1:3" x14ac:dyDescent="0.25">
      <c r="A1908" t="str">
        <f>"27/04/2017"</f>
        <v>27/04/2017</v>
      </c>
      <c r="B1908" t="str">
        <f>"34.62"</f>
        <v>34.62</v>
      </c>
      <c r="C1908" t="str">
        <f>"34.628"</f>
        <v>34.628</v>
      </c>
    </row>
    <row r="1909" spans="1:3" x14ac:dyDescent="0.25">
      <c r="A1909" t="str">
        <f>"28/04/2017"</f>
        <v>28/04/2017</v>
      </c>
      <c r="B1909" t="str">
        <f>"34.63"</f>
        <v>34.63</v>
      </c>
      <c r="C1909" t="str">
        <f>"34.6381"</f>
        <v>34.6381</v>
      </c>
    </row>
    <row r="1910" spans="1:3" x14ac:dyDescent="0.25">
      <c r="A1910" t="str">
        <f>"02/05/2017"</f>
        <v>02/05/2017</v>
      </c>
      <c r="B1910" t="str">
        <f>"34.51"</f>
        <v>34.51</v>
      </c>
      <c r="C1910" t="str">
        <f>"34.5183"</f>
        <v>34.5183</v>
      </c>
    </row>
    <row r="1911" spans="1:3" x14ac:dyDescent="0.25">
      <c r="A1911" t="str">
        <f>"03/05/2017"</f>
        <v>03/05/2017</v>
      </c>
      <c r="B1911" t="str">
        <f>"34.48"</f>
        <v>34.48</v>
      </c>
      <c r="C1911" t="str">
        <f>"34.4895"</f>
        <v>34.4895</v>
      </c>
    </row>
    <row r="1912" spans="1:3" x14ac:dyDescent="0.25">
      <c r="A1912" t="str">
        <f>"04/05/2017"</f>
        <v>04/05/2017</v>
      </c>
      <c r="B1912" t="str">
        <f>"34.58"</f>
        <v>34.58</v>
      </c>
      <c r="C1912" t="str">
        <f>"34.5894"</f>
        <v>34.5894</v>
      </c>
    </row>
    <row r="1913" spans="1:3" x14ac:dyDescent="0.25">
      <c r="A1913" t="str">
        <f>"05/05/2017"</f>
        <v>05/05/2017</v>
      </c>
      <c r="B1913" t="str">
        <f>"34.69"</f>
        <v>34.69</v>
      </c>
      <c r="C1913" t="str">
        <f>"34.6982"</f>
        <v>34.6982</v>
      </c>
    </row>
    <row r="1914" spans="1:3" x14ac:dyDescent="0.25">
      <c r="A1914" t="str">
        <f>"08/05/2017"</f>
        <v>08/05/2017</v>
      </c>
      <c r="B1914" t="str">
        <f>"34.67"</f>
        <v>34.67</v>
      </c>
      <c r="C1914" t="str">
        <f>"34.6783"</f>
        <v>34.6783</v>
      </c>
    </row>
    <row r="1915" spans="1:3" x14ac:dyDescent="0.25">
      <c r="A1915" t="str">
        <f>"09/05/2017"</f>
        <v>09/05/2017</v>
      </c>
      <c r="B1915" t="str">
        <f>"34.71"</f>
        <v>34.71</v>
      </c>
      <c r="C1915" t="str">
        <f>"34.7179"</f>
        <v>34.7179</v>
      </c>
    </row>
    <row r="1916" spans="1:3" x14ac:dyDescent="0.25">
      <c r="A1916" t="str">
        <f>"11/05/2017"</f>
        <v>11/05/2017</v>
      </c>
      <c r="B1916" t="str">
        <f>"34.76"</f>
        <v>34.76</v>
      </c>
      <c r="C1916" t="str">
        <f>"34.7676"</f>
        <v>34.7676</v>
      </c>
    </row>
    <row r="1917" spans="1:3" x14ac:dyDescent="0.25">
      <c r="A1917" t="str">
        <f>"12/05/2017"</f>
        <v>12/05/2017</v>
      </c>
      <c r="B1917" t="str">
        <f>"34.745"</f>
        <v>34.745</v>
      </c>
      <c r="C1917" t="str">
        <f>"34.7531"</f>
        <v>34.7531</v>
      </c>
    </row>
    <row r="1918" spans="1:3" x14ac:dyDescent="0.25">
      <c r="A1918" t="str">
        <f>"15/05/2017"</f>
        <v>15/05/2017</v>
      </c>
      <c r="B1918" t="str">
        <f>"34.54"</f>
        <v>34.54</v>
      </c>
      <c r="C1918" t="str">
        <f>"34.5486"</f>
        <v>34.5486</v>
      </c>
    </row>
    <row r="1919" spans="1:3" x14ac:dyDescent="0.25">
      <c r="A1919" t="str">
        <f>"16/05/2017"</f>
        <v>16/05/2017</v>
      </c>
      <c r="B1919" t="str">
        <f>"34.53"</f>
        <v>34.53</v>
      </c>
      <c r="C1919" t="str">
        <f>"34.5389"</f>
        <v>34.5389</v>
      </c>
    </row>
    <row r="1920" spans="1:3" x14ac:dyDescent="0.25">
      <c r="A1920" t="str">
        <f>"17/05/2017"</f>
        <v>17/05/2017</v>
      </c>
      <c r="B1920" t="str">
        <f>"34.52"</f>
        <v>34.52</v>
      </c>
      <c r="C1920" t="str">
        <f>"34.529"</f>
        <v>34.529</v>
      </c>
    </row>
    <row r="1921" spans="1:3" x14ac:dyDescent="0.25">
      <c r="A1921" t="str">
        <f>"18/05/2017"</f>
        <v>18/05/2017</v>
      </c>
      <c r="B1921" t="str">
        <f>"34.515"</f>
        <v>34.515</v>
      </c>
      <c r="C1921" t="str">
        <f>"34.5242"</f>
        <v>34.5242</v>
      </c>
    </row>
    <row r="1922" spans="1:3" x14ac:dyDescent="0.25">
      <c r="A1922" t="str">
        <f>"19/05/2017"</f>
        <v>19/05/2017</v>
      </c>
      <c r="B1922" t="str">
        <f>"34.40"</f>
        <v>34.40</v>
      </c>
      <c r="C1922" t="str">
        <f>"34.4091"</f>
        <v>34.4091</v>
      </c>
    </row>
    <row r="1923" spans="1:3" x14ac:dyDescent="0.25">
      <c r="A1923" t="str">
        <f>"22/05/2017"</f>
        <v>22/05/2017</v>
      </c>
      <c r="B1923" t="str">
        <f>"34.405"</f>
        <v>34.405</v>
      </c>
      <c r="C1923" t="str">
        <f>"34.414"</f>
        <v>34.414</v>
      </c>
    </row>
    <row r="1924" spans="1:3" x14ac:dyDescent="0.25">
      <c r="A1924" t="str">
        <f>"23/05/2017"</f>
        <v>23/05/2017</v>
      </c>
      <c r="B1924" t="str">
        <f>"34.42"</f>
        <v>34.42</v>
      </c>
      <c r="C1924" t="str">
        <f>"34.4289"</f>
        <v>34.4289</v>
      </c>
    </row>
    <row r="1925" spans="1:3" x14ac:dyDescent="0.25">
      <c r="A1925" t="str">
        <f>"24/05/2017"</f>
        <v>24/05/2017</v>
      </c>
      <c r="B1925" t="str">
        <f>"34.39"</f>
        <v>34.39</v>
      </c>
      <c r="C1925" t="str">
        <f>"34.3991"</f>
        <v>34.3991</v>
      </c>
    </row>
    <row r="1926" spans="1:3" x14ac:dyDescent="0.25">
      <c r="A1926" t="str">
        <f>"25/05/2017"</f>
        <v>25/05/2017</v>
      </c>
      <c r="B1926" t="str">
        <f>"34.235"</f>
        <v>34.235</v>
      </c>
      <c r="C1926" t="str">
        <f>"34.2435"</f>
        <v>34.2435</v>
      </c>
    </row>
    <row r="1927" spans="1:3" x14ac:dyDescent="0.25">
      <c r="A1927" t="str">
        <f>"26/05/2017"</f>
        <v>26/05/2017</v>
      </c>
      <c r="B1927" t="str">
        <f>"34.065"</f>
        <v>34.065</v>
      </c>
      <c r="C1927" t="str">
        <f>"34.0731"</f>
        <v>34.0731</v>
      </c>
    </row>
    <row r="1928" spans="1:3" x14ac:dyDescent="0.25">
      <c r="A1928" t="str">
        <f>"29/05/2017"</f>
        <v>29/05/2017</v>
      </c>
      <c r="B1928" t="str">
        <f>"34.125"</f>
        <v>34.125</v>
      </c>
      <c r="C1928" t="str">
        <f>"34.1336"</f>
        <v>34.1336</v>
      </c>
    </row>
    <row r="1929" spans="1:3" x14ac:dyDescent="0.25">
      <c r="A1929" t="str">
        <f>"30/05/2017"</f>
        <v>30/05/2017</v>
      </c>
      <c r="B1929" t="str">
        <f>"34.135"</f>
        <v>34.135</v>
      </c>
      <c r="C1929" t="str">
        <f>"34.1422"</f>
        <v>34.1422</v>
      </c>
    </row>
    <row r="1930" spans="1:3" x14ac:dyDescent="0.25">
      <c r="A1930" t="str">
        <f>"31/05/2017"</f>
        <v>31/05/2017</v>
      </c>
      <c r="B1930" t="str">
        <f>"34.055"</f>
        <v>34.055</v>
      </c>
      <c r="C1930" t="str">
        <f>"34.0622"</f>
        <v>34.0622</v>
      </c>
    </row>
    <row r="1931" spans="1:3" x14ac:dyDescent="0.25">
      <c r="A1931" t="str">
        <f>"01/06/2017"</f>
        <v>01/06/2017</v>
      </c>
      <c r="B1931" t="str">
        <f>"34.13"</f>
        <v>34.13</v>
      </c>
      <c r="C1931" t="str">
        <f>"34.1349"</f>
        <v>34.1349</v>
      </c>
    </row>
    <row r="1932" spans="1:3" x14ac:dyDescent="0.25">
      <c r="A1932" t="str">
        <f>"02/06/2017"</f>
        <v>02/06/2017</v>
      </c>
      <c r="B1932" t="str">
        <f>"34.145"</f>
        <v>34.145</v>
      </c>
      <c r="C1932" t="str">
        <f>"34.1495"</f>
        <v>34.1495</v>
      </c>
    </row>
    <row r="1933" spans="1:3" x14ac:dyDescent="0.25">
      <c r="A1933" t="str">
        <f>"05/06/2017"</f>
        <v>05/06/2017</v>
      </c>
      <c r="B1933" t="str">
        <f>"34.005"</f>
        <v>34.005</v>
      </c>
      <c r="C1933" t="str">
        <f>"34.0091"</f>
        <v>34.0091</v>
      </c>
    </row>
    <row r="1934" spans="1:3" x14ac:dyDescent="0.25">
      <c r="A1934" t="str">
        <f>"06/06/2017"</f>
        <v>06/06/2017</v>
      </c>
      <c r="B1934" t="str">
        <f>"34.02"</f>
        <v>34.02</v>
      </c>
      <c r="C1934" t="str">
        <f>"34.0233"</f>
        <v>34.0233</v>
      </c>
    </row>
    <row r="1935" spans="1:3" x14ac:dyDescent="0.25">
      <c r="A1935" t="str">
        <f>"07/06/2017"</f>
        <v>07/06/2017</v>
      </c>
      <c r="B1935" t="str">
        <f>"34.00"</f>
        <v>34.00</v>
      </c>
      <c r="C1935" t="str">
        <f>"34.0018"</f>
        <v>34.0018</v>
      </c>
    </row>
    <row r="1936" spans="1:3" x14ac:dyDescent="0.25">
      <c r="A1936" t="str">
        <f>"08/06/2017"</f>
        <v>08/06/2017</v>
      </c>
      <c r="B1936" t="str">
        <f>"34.055"</f>
        <v>34.055</v>
      </c>
      <c r="C1936" t="str">
        <f>"34.0567"</f>
        <v>34.0567</v>
      </c>
    </row>
    <row r="1937" spans="1:3" x14ac:dyDescent="0.25">
      <c r="A1937" t="str">
        <f>"09/06/2017"</f>
        <v>09/06/2017</v>
      </c>
      <c r="B1937" t="str">
        <f>"34.06"</f>
        <v>34.06</v>
      </c>
      <c r="C1937" t="str">
        <f>"34.0614"</f>
        <v>34.0614</v>
      </c>
    </row>
    <row r="1938" spans="1:3" x14ac:dyDescent="0.25">
      <c r="A1938" t="str">
        <f>"12/06/2017"</f>
        <v>12/06/2017</v>
      </c>
      <c r="B1938" t="str">
        <f>"34.075"</f>
        <v>34.075</v>
      </c>
      <c r="C1938" t="str">
        <f>"34.0763"</f>
        <v>34.0763</v>
      </c>
    </row>
    <row r="1939" spans="1:3" x14ac:dyDescent="0.25">
      <c r="A1939" t="str">
        <f>"13/06/2017"</f>
        <v>13/06/2017</v>
      </c>
      <c r="B1939" t="str">
        <f>"33.94"</f>
        <v>33.94</v>
      </c>
      <c r="C1939" t="str">
        <f>"33.9419"</f>
        <v>33.9419</v>
      </c>
    </row>
    <row r="1940" spans="1:3" x14ac:dyDescent="0.25">
      <c r="A1940" t="str">
        <f>"14/06/2017"</f>
        <v>14/06/2017</v>
      </c>
      <c r="B1940" t="str">
        <f>"33.93"</f>
        <v>33.93</v>
      </c>
      <c r="C1940" t="str">
        <f>"33.9322"</f>
        <v>33.9322</v>
      </c>
    </row>
    <row r="1941" spans="1:3" x14ac:dyDescent="0.25">
      <c r="A1941" t="str">
        <f>"15/06/2017"</f>
        <v>15/06/2017</v>
      </c>
      <c r="B1941" t="str">
        <f>"33.995"</f>
        <v>33.995</v>
      </c>
      <c r="C1941" t="str">
        <f>"33.9979"</f>
        <v>33.9979</v>
      </c>
    </row>
    <row r="1942" spans="1:3" x14ac:dyDescent="0.25">
      <c r="A1942" t="str">
        <f>"16/06/2017"</f>
        <v>16/06/2017</v>
      </c>
      <c r="B1942" t="str">
        <f>"33.975"</f>
        <v>33.975</v>
      </c>
      <c r="C1942" t="str">
        <f>"33.976"</f>
        <v>33.976</v>
      </c>
    </row>
    <row r="1943" spans="1:3" x14ac:dyDescent="0.25">
      <c r="A1943" t="str">
        <f>"19/06/2017"</f>
        <v>19/06/2017</v>
      </c>
      <c r="B1943" t="str">
        <f>"33.95"</f>
        <v>33.95</v>
      </c>
      <c r="C1943" t="str">
        <f>"33.951"</f>
        <v>33.951</v>
      </c>
    </row>
    <row r="1944" spans="1:3" x14ac:dyDescent="0.25">
      <c r="A1944" t="str">
        <f>"20/06/2017"</f>
        <v>20/06/2017</v>
      </c>
      <c r="B1944" t="str">
        <f>"33.99"</f>
        <v>33.99</v>
      </c>
      <c r="C1944" t="str">
        <f>"33.9905"</f>
        <v>33.9905</v>
      </c>
    </row>
    <row r="1945" spans="1:3" x14ac:dyDescent="0.25">
      <c r="A1945" t="str">
        <f>"21/06/2017"</f>
        <v>21/06/2017</v>
      </c>
      <c r="B1945" t="str">
        <f>"33.995"</f>
        <v>33.995</v>
      </c>
      <c r="C1945" t="str">
        <f>"33.9963"</f>
        <v>33.9963</v>
      </c>
    </row>
    <row r="1946" spans="1:3" x14ac:dyDescent="0.25">
      <c r="A1946" t="str">
        <f>"22/06/2017"</f>
        <v>22/06/2017</v>
      </c>
      <c r="B1946" t="str">
        <f>"34.005"</f>
        <v>34.005</v>
      </c>
      <c r="C1946" t="str">
        <f>"34.0041"</f>
        <v>34.0041</v>
      </c>
    </row>
    <row r="1947" spans="1:3" x14ac:dyDescent="0.25">
      <c r="A1947" t="str">
        <f>"23/06/2017"</f>
        <v>23/06/2017</v>
      </c>
      <c r="B1947" t="str">
        <f>"33.95"</f>
        <v>33.95</v>
      </c>
      <c r="C1947" t="str">
        <f>"33.9472"</f>
        <v>33.9472</v>
      </c>
    </row>
    <row r="1948" spans="1:3" x14ac:dyDescent="0.25">
      <c r="A1948" t="str">
        <f>"27/06/2017"</f>
        <v>27/06/2017</v>
      </c>
      <c r="B1948" t="str">
        <f>"33.985"</f>
        <v>33.985</v>
      </c>
      <c r="C1948" t="str">
        <f>"33.9794"</f>
        <v>33.9794</v>
      </c>
    </row>
    <row r="1949" spans="1:3" x14ac:dyDescent="0.25">
      <c r="A1949" t="str">
        <f>"28/06/2017"</f>
        <v>28/06/2017</v>
      </c>
      <c r="B1949" t="str">
        <f>"34.005"</f>
        <v>34.005</v>
      </c>
      <c r="C1949" t="str">
        <f>"34.0061"</f>
        <v>34.0061</v>
      </c>
    </row>
    <row r="1950" spans="1:3" x14ac:dyDescent="0.25">
      <c r="A1950" t="str">
        <f>"29/06/2017"</f>
        <v>29/06/2017</v>
      </c>
      <c r="B1950" t="str">
        <f>"33.98"</f>
        <v>33.98</v>
      </c>
      <c r="C1950" t="str">
        <f>"33.9833"</f>
        <v>33.9833</v>
      </c>
    </row>
    <row r="1951" spans="1:3" x14ac:dyDescent="0.25">
      <c r="A1951" t="str">
        <f>"30/06/2017"</f>
        <v>30/06/2017</v>
      </c>
      <c r="B1951" t="str">
        <f>"33.98"</f>
        <v>33.98</v>
      </c>
      <c r="C1951" t="str">
        <f>"33.9817"</f>
        <v>33.9817</v>
      </c>
    </row>
    <row r="1952" spans="1:3" x14ac:dyDescent="0.25">
      <c r="A1952" t="str">
        <f>"03/07/2017"</f>
        <v>03/07/2017</v>
      </c>
      <c r="B1952" t="str">
        <f>"33.99"</f>
        <v>33.99</v>
      </c>
      <c r="C1952" t="str">
        <f>"33.9895"</f>
        <v>33.9895</v>
      </c>
    </row>
    <row r="1953" spans="1:3" x14ac:dyDescent="0.25">
      <c r="A1953" t="str">
        <f>"04/07/2017"</f>
        <v>04/07/2017</v>
      </c>
      <c r="B1953" t="str">
        <f>"34.025"</f>
        <v>34.025</v>
      </c>
      <c r="C1953" t="str">
        <f>"34.0222"</f>
        <v>34.0222</v>
      </c>
    </row>
    <row r="1954" spans="1:3" x14ac:dyDescent="0.25">
      <c r="A1954" t="str">
        <f>"05/07/2017"</f>
        <v>05/07/2017</v>
      </c>
      <c r="B1954" t="str">
        <f>"33.995"</f>
        <v>33.995</v>
      </c>
      <c r="C1954" t="str">
        <f>"33.992"</f>
        <v>33.992</v>
      </c>
    </row>
    <row r="1955" spans="1:3" x14ac:dyDescent="0.25">
      <c r="A1955" t="str">
        <f>"06/07/2017"</f>
        <v>06/07/2017</v>
      </c>
      <c r="B1955" t="str">
        <f>"34.085"</f>
        <v>34.085</v>
      </c>
      <c r="C1955" t="str">
        <f>"34.0846"</f>
        <v>34.0846</v>
      </c>
    </row>
    <row r="1956" spans="1:3" x14ac:dyDescent="0.25">
      <c r="A1956" t="str">
        <f>"07/07/2017"</f>
        <v>07/07/2017</v>
      </c>
      <c r="B1956" t="str">
        <f>"34.09"</f>
        <v>34.09</v>
      </c>
      <c r="C1956" t="str">
        <f>"34.0887"</f>
        <v>34.0887</v>
      </c>
    </row>
    <row r="1957" spans="1:3" x14ac:dyDescent="0.25">
      <c r="A1957" t="str">
        <f>"10/07/2017"</f>
        <v>10/07/2017</v>
      </c>
      <c r="B1957" t="str">
        <f>"34.095"</f>
        <v>34.095</v>
      </c>
      <c r="C1957" t="str">
        <f>"34.094"</f>
        <v>34.094</v>
      </c>
    </row>
    <row r="1958" spans="1:3" x14ac:dyDescent="0.25">
      <c r="A1958" t="str">
        <f>"11/07/2017"</f>
        <v>11/07/2017</v>
      </c>
      <c r="B1958" t="str">
        <f>"34.11"</f>
        <v>34.11</v>
      </c>
      <c r="C1958" t="str">
        <f>"34.1082"</f>
        <v>34.1082</v>
      </c>
    </row>
    <row r="1959" spans="1:3" x14ac:dyDescent="0.25">
      <c r="A1959" t="str">
        <f>"12/07/2017"</f>
        <v>12/07/2017</v>
      </c>
      <c r="B1959" t="str">
        <f>"34.05"</f>
        <v>34.05</v>
      </c>
      <c r="C1959" t="str">
        <f>"34.0513"</f>
        <v>34.0513</v>
      </c>
    </row>
    <row r="1960" spans="1:3" x14ac:dyDescent="0.25">
      <c r="A1960" t="str">
        <f>"13/07/2017"</f>
        <v>13/07/2017</v>
      </c>
      <c r="B1960" t="str">
        <f>"33.96"</f>
        <v>33.96</v>
      </c>
      <c r="C1960" t="str">
        <f>"33.961"</f>
        <v>33.961</v>
      </c>
    </row>
    <row r="1961" spans="1:3" x14ac:dyDescent="0.25">
      <c r="A1961" t="str">
        <f>"14/07/2017"</f>
        <v>14/07/2017</v>
      </c>
      <c r="B1961" t="str">
        <f>"33.87"</f>
        <v>33.87</v>
      </c>
      <c r="C1961" t="str">
        <f>"33.8711"</f>
        <v>33.8711</v>
      </c>
    </row>
    <row r="1962" spans="1:3" x14ac:dyDescent="0.25">
      <c r="A1962" t="str">
        <f>"17/07/2017"</f>
        <v>17/07/2017</v>
      </c>
      <c r="B1962" t="str">
        <f>"33.715"</f>
        <v>33.715</v>
      </c>
      <c r="C1962" t="str">
        <f>"33.7142"</f>
        <v>33.7142</v>
      </c>
    </row>
    <row r="1963" spans="1:3" x14ac:dyDescent="0.25">
      <c r="A1963" t="str">
        <f>"18/07/2017"</f>
        <v>18/07/2017</v>
      </c>
      <c r="B1963" t="str">
        <f>"33.61"</f>
        <v>33.61</v>
      </c>
      <c r="C1963" t="str">
        <f>"33.6092"</f>
        <v>33.6092</v>
      </c>
    </row>
    <row r="1964" spans="1:3" x14ac:dyDescent="0.25">
      <c r="A1964" t="str">
        <f>"19/07/2017"</f>
        <v>19/07/2017</v>
      </c>
      <c r="B1964" t="str">
        <f>"33.63"</f>
        <v>33.63</v>
      </c>
      <c r="C1964" t="str">
        <f>"33.6303"</f>
        <v>33.6303</v>
      </c>
    </row>
    <row r="1965" spans="1:3" x14ac:dyDescent="0.25">
      <c r="A1965" t="str">
        <f>"20/07/2017"</f>
        <v>20/07/2017</v>
      </c>
      <c r="B1965" t="str">
        <f>"33.685"</f>
        <v>33.685</v>
      </c>
      <c r="C1965" t="str">
        <f>"33.6853"</f>
        <v>33.6853</v>
      </c>
    </row>
    <row r="1966" spans="1:3" x14ac:dyDescent="0.25">
      <c r="A1966" t="str">
        <f>"21/07/2017"</f>
        <v>21/07/2017</v>
      </c>
      <c r="B1966" t="str">
        <f>"33.46"</f>
        <v>33.46</v>
      </c>
      <c r="C1966" t="str">
        <f>"33.4613"</f>
        <v>33.4613</v>
      </c>
    </row>
    <row r="1967" spans="1:3" x14ac:dyDescent="0.25">
      <c r="A1967" t="str">
        <f>"24/07/2017"</f>
        <v>24/07/2017</v>
      </c>
      <c r="B1967" t="str">
        <f>"33.415"</f>
        <v>33.415</v>
      </c>
      <c r="C1967" t="str">
        <f>"33.4163"</f>
        <v>33.4163</v>
      </c>
    </row>
    <row r="1968" spans="1:3" x14ac:dyDescent="0.25">
      <c r="A1968" t="str">
        <f>"25/07/2017"</f>
        <v>25/07/2017</v>
      </c>
      <c r="B1968" t="str">
        <f>"33.48"</f>
        <v>33.48</v>
      </c>
      <c r="C1968" t="str">
        <f>"33.4833"</f>
        <v>33.4833</v>
      </c>
    </row>
    <row r="1969" spans="1:3" x14ac:dyDescent="0.25">
      <c r="A1969" t="str">
        <f>"26/07/2017"</f>
        <v>26/07/2017</v>
      </c>
      <c r="B1969" t="str">
        <f>"33.485"</f>
        <v>33.485</v>
      </c>
      <c r="C1969" t="str">
        <f>"33.486"</f>
        <v>33.486</v>
      </c>
    </row>
    <row r="1970" spans="1:3" x14ac:dyDescent="0.25">
      <c r="A1970" t="str">
        <f>"27/07/2017"</f>
        <v>27/07/2017</v>
      </c>
      <c r="B1970" t="str">
        <f>"33.34"</f>
        <v>33.34</v>
      </c>
      <c r="C1970" t="str">
        <f>"33.3446"</f>
        <v>33.3446</v>
      </c>
    </row>
    <row r="1971" spans="1:3" x14ac:dyDescent="0.25">
      <c r="A1971" t="str">
        <f>"28/07/2017"</f>
        <v>28/07/2017</v>
      </c>
      <c r="B1971" t="str">
        <f>"33.34"</f>
        <v>33.34</v>
      </c>
      <c r="C1971" t="str">
        <f>"33.3446"</f>
        <v>33.3446</v>
      </c>
    </row>
    <row r="1972" spans="1:3" x14ac:dyDescent="0.25">
      <c r="A1972" t="str">
        <f>"31/07/2017"</f>
        <v>31/07/2017</v>
      </c>
      <c r="B1972" t="str">
        <f>"33.29"</f>
        <v>33.29</v>
      </c>
      <c r="C1972" t="str">
        <f>"33.2838"</f>
        <v>33.2838</v>
      </c>
    </row>
    <row r="1973" spans="1:3" x14ac:dyDescent="0.25">
      <c r="A1973" t="str">
        <f>"01/08/2017"</f>
        <v>01/08/2017</v>
      </c>
      <c r="B1973" t="str">
        <f>"33.29"</f>
        <v>33.29</v>
      </c>
      <c r="C1973" t="str">
        <f>"33.2855"</f>
        <v>33.2855</v>
      </c>
    </row>
    <row r="1974" spans="1:3" x14ac:dyDescent="0.25">
      <c r="A1974" t="str">
        <f>"02/08/2017"</f>
        <v>02/08/2017</v>
      </c>
      <c r="B1974" t="str">
        <f>"33.29"</f>
        <v>33.29</v>
      </c>
      <c r="C1974" t="str">
        <f>"33.2875"</f>
        <v>33.2875</v>
      </c>
    </row>
    <row r="1975" spans="1:3" x14ac:dyDescent="0.25">
      <c r="A1975" t="str">
        <f>"03/08/2017"</f>
        <v>03/08/2017</v>
      </c>
      <c r="B1975" t="str">
        <f>"33.27"</f>
        <v>33.27</v>
      </c>
      <c r="C1975" t="str">
        <f>"33.267"</f>
        <v>33.267</v>
      </c>
    </row>
    <row r="1976" spans="1:3" x14ac:dyDescent="0.25">
      <c r="A1976" t="str">
        <f>"04/08/2017"</f>
        <v>04/08/2017</v>
      </c>
      <c r="B1976" t="str">
        <f>"33.255"</f>
        <v>33.255</v>
      </c>
      <c r="C1976" t="str">
        <f>"33.252"</f>
        <v>33.252</v>
      </c>
    </row>
    <row r="1977" spans="1:3" x14ac:dyDescent="0.25">
      <c r="A1977" t="str">
        <f>"07/08/2017"</f>
        <v>07/08/2017</v>
      </c>
      <c r="B1977" t="str">
        <f>"33.315"</f>
        <v>33.315</v>
      </c>
      <c r="C1977" t="str">
        <f>"33.3103"</f>
        <v>33.3103</v>
      </c>
    </row>
    <row r="1978" spans="1:3" x14ac:dyDescent="0.25">
      <c r="A1978" t="str">
        <f>"08/08/2017"</f>
        <v>08/08/2017</v>
      </c>
      <c r="B1978" t="str">
        <f>"33.27"</f>
        <v>33.27</v>
      </c>
      <c r="C1978" t="str">
        <f>"33.2633"</f>
        <v>33.2633</v>
      </c>
    </row>
    <row r="1979" spans="1:3" x14ac:dyDescent="0.25">
      <c r="A1979" t="str">
        <f>"09/08/2017"</f>
        <v>09/08/2017</v>
      </c>
      <c r="B1979" t="str">
        <f>"33.27"</f>
        <v>33.27</v>
      </c>
      <c r="C1979" t="str">
        <f>"33.261"</f>
        <v>33.261</v>
      </c>
    </row>
    <row r="1980" spans="1:3" x14ac:dyDescent="0.25">
      <c r="A1980" t="str">
        <f>"10/08/2017"</f>
        <v>10/08/2017</v>
      </c>
      <c r="B1980" t="str">
        <f>"33.26"</f>
        <v>33.26</v>
      </c>
      <c r="C1980" t="str">
        <f>"33.2518"</f>
        <v>33.2518</v>
      </c>
    </row>
    <row r="1981" spans="1:3" x14ac:dyDescent="0.25">
      <c r="A1981" t="str">
        <f>"11/08/2017"</f>
        <v>11/08/2017</v>
      </c>
      <c r="B1981" t="str">
        <f>"33.25"</f>
        <v>33.25</v>
      </c>
      <c r="C1981" t="str">
        <f>"33.244"</f>
        <v>33.244</v>
      </c>
    </row>
    <row r="1982" spans="1:3" x14ac:dyDescent="0.25">
      <c r="A1982" t="str">
        <f>"14/08/2017"</f>
        <v>14/08/2017</v>
      </c>
      <c r="B1982" t="str">
        <f>"33.25"</f>
        <v>33.25</v>
      </c>
      <c r="C1982" t="str">
        <f>"33.244"</f>
        <v>33.244</v>
      </c>
    </row>
    <row r="1983" spans="1:3" x14ac:dyDescent="0.25">
      <c r="A1983" t="str">
        <f>"16/08/2017"</f>
        <v>16/08/2017</v>
      </c>
      <c r="B1983" t="str">
        <f>"33.32"</f>
        <v>33.32</v>
      </c>
      <c r="C1983" t="str">
        <f>"33.316"</f>
        <v>33.316</v>
      </c>
    </row>
    <row r="1984" spans="1:3" x14ac:dyDescent="0.25">
      <c r="A1984" t="str">
        <f>"18/08/2017"</f>
        <v>18/08/2017</v>
      </c>
      <c r="B1984" t="str">
        <f>"33.23"</f>
        <v>33.23</v>
      </c>
      <c r="C1984" t="str">
        <f>"33.2259"</f>
        <v>33.2259</v>
      </c>
    </row>
    <row r="1985" spans="1:3" x14ac:dyDescent="0.25">
      <c r="A1985" t="str">
        <f>"21/08/2017"</f>
        <v>21/08/2017</v>
      </c>
      <c r="B1985" t="str">
        <f>"33.27"</f>
        <v>33.27</v>
      </c>
      <c r="C1985" t="str">
        <f>"33.2615"</f>
        <v>33.2615</v>
      </c>
    </row>
    <row r="1986" spans="1:3" x14ac:dyDescent="0.25">
      <c r="A1986" t="str">
        <f>"22/08/2017"</f>
        <v>22/08/2017</v>
      </c>
      <c r="B1986" t="str">
        <f>"33.27"</f>
        <v>33.27</v>
      </c>
      <c r="C1986" t="str">
        <f>"33.2653"</f>
        <v>33.2653</v>
      </c>
    </row>
    <row r="1987" spans="1:3" x14ac:dyDescent="0.25">
      <c r="A1987" t="str">
        <f>"23/08/2017"</f>
        <v>23/08/2017</v>
      </c>
      <c r="B1987" t="str">
        <f>"33.37"</f>
        <v>33.37</v>
      </c>
      <c r="C1987" t="str">
        <f>"33.3663"</f>
        <v>33.3663</v>
      </c>
    </row>
    <row r="1988" spans="1:3" x14ac:dyDescent="0.25">
      <c r="A1988" t="str">
        <f>"24/08/2017"</f>
        <v>24/08/2017</v>
      </c>
      <c r="B1988" t="str">
        <f>"33.365"</f>
        <v>33.365</v>
      </c>
      <c r="C1988" t="str">
        <f>"33.3624"</f>
        <v>33.3624</v>
      </c>
    </row>
    <row r="1989" spans="1:3" x14ac:dyDescent="0.25">
      <c r="A1989" t="str">
        <f>"28/08/2017"</f>
        <v>28/08/2017</v>
      </c>
      <c r="B1989" t="str">
        <f>"33.235"</f>
        <v>33.235</v>
      </c>
      <c r="C1989" t="str">
        <f>"33.2322"</f>
        <v>33.2322</v>
      </c>
    </row>
    <row r="1990" spans="1:3" x14ac:dyDescent="0.25">
      <c r="A1990" t="str">
        <f>"29/08/2017"</f>
        <v>29/08/2017</v>
      </c>
      <c r="B1990" t="str">
        <f>"33.20"</f>
        <v>33.20</v>
      </c>
      <c r="C1990" t="str">
        <f>"33.1982"</f>
        <v>33.1982</v>
      </c>
    </row>
    <row r="1991" spans="1:3" x14ac:dyDescent="0.25">
      <c r="A1991" t="str">
        <f>"30/08/2017"</f>
        <v>30/08/2017</v>
      </c>
      <c r="B1991" t="str">
        <f>"33.215"</f>
        <v>33.215</v>
      </c>
      <c r="C1991" t="str">
        <f>"33.213"</f>
        <v>33.213</v>
      </c>
    </row>
    <row r="1992" spans="1:3" x14ac:dyDescent="0.25">
      <c r="A1992" t="str">
        <f>"31/08/2017"</f>
        <v>31/08/2017</v>
      </c>
      <c r="B1992" t="str">
        <f>"33.21"</f>
        <v>33.21</v>
      </c>
      <c r="C1992" t="str">
        <f>"33.2048"</f>
        <v>33.2048</v>
      </c>
    </row>
    <row r="1993" spans="1:3" x14ac:dyDescent="0.25">
      <c r="A1993" t="str">
        <f>"01/09/2017"</f>
        <v>01/09/2017</v>
      </c>
      <c r="B1993" t="str">
        <f>"33.195"</f>
        <v>33.195</v>
      </c>
      <c r="C1993" t="str">
        <f>"33.1913"</f>
        <v>33.1913</v>
      </c>
    </row>
    <row r="1994" spans="1:3" x14ac:dyDescent="0.25">
      <c r="A1994" t="str">
        <f>"04/09/2017"</f>
        <v>04/09/2017</v>
      </c>
      <c r="B1994" t="str">
        <f>"33.19"</f>
        <v>33.19</v>
      </c>
      <c r="C1994" t="str">
        <f>"33.1859"</f>
        <v>33.1859</v>
      </c>
    </row>
    <row r="1995" spans="1:3" x14ac:dyDescent="0.25">
      <c r="A1995" t="str">
        <f>"05/09/2017"</f>
        <v>05/09/2017</v>
      </c>
      <c r="B1995" t="str">
        <f>"33.185"</f>
        <v>33.185</v>
      </c>
      <c r="C1995" t="str">
        <f>"33.1682"</f>
        <v>33.1682</v>
      </c>
    </row>
    <row r="1996" spans="1:3" x14ac:dyDescent="0.25">
      <c r="A1996" t="str">
        <f>"06/09/2017"</f>
        <v>06/09/2017</v>
      </c>
      <c r="B1996" t="str">
        <f>"33.16"</f>
        <v>33.16</v>
      </c>
      <c r="C1996" t="str">
        <f>"33.1495"</f>
        <v>33.1495</v>
      </c>
    </row>
    <row r="1997" spans="1:3" x14ac:dyDescent="0.25">
      <c r="A1997" t="str">
        <f>"07/09/2017"</f>
        <v>07/09/2017</v>
      </c>
      <c r="B1997" t="str">
        <f>"33.085"</f>
        <v>33.085</v>
      </c>
      <c r="C1997" t="str">
        <f>"33.0723"</f>
        <v>33.0723</v>
      </c>
    </row>
    <row r="1998" spans="1:3" x14ac:dyDescent="0.25">
      <c r="A1998" t="str">
        <f>"08/09/2017"</f>
        <v>08/09/2017</v>
      </c>
      <c r="B1998" t="str">
        <f>"33.115"</f>
        <v>33.115</v>
      </c>
      <c r="C1998" t="str">
        <f>"33.099"</f>
        <v>33.099</v>
      </c>
    </row>
    <row r="1999" spans="1:3" x14ac:dyDescent="0.25">
      <c r="A1999" t="str">
        <f>"11/09/2017"</f>
        <v>11/09/2017</v>
      </c>
      <c r="B1999" t="str">
        <f>"33.135"</f>
        <v>33.135</v>
      </c>
      <c r="C1999" t="str">
        <f>"33.115"</f>
        <v>33.115</v>
      </c>
    </row>
    <row r="2000" spans="1:3" x14ac:dyDescent="0.25">
      <c r="A2000" t="str">
        <f>"12/09/2017"</f>
        <v>12/09/2017</v>
      </c>
      <c r="B2000" t="str">
        <f>"33.12"</f>
        <v>33.12</v>
      </c>
      <c r="C2000" t="str">
        <f>"33.0997"</f>
        <v>33.0997</v>
      </c>
    </row>
    <row r="2001" spans="1:3" x14ac:dyDescent="0.25">
      <c r="A2001" t="str">
        <f>"13/09/2017"</f>
        <v>13/09/2017</v>
      </c>
      <c r="B2001" t="str">
        <f>"33.11"</f>
        <v>33.11</v>
      </c>
      <c r="C2001" t="str">
        <f>"33.0912"</f>
        <v>33.0912</v>
      </c>
    </row>
    <row r="2002" spans="1:3" x14ac:dyDescent="0.25">
      <c r="A2002" t="str">
        <f>"14/09/2017"</f>
        <v>14/09/2017</v>
      </c>
      <c r="B2002" t="str">
        <f>"33.115"</f>
        <v>33.115</v>
      </c>
      <c r="C2002" t="str">
        <f>"33.0995"</f>
        <v>33.0995</v>
      </c>
    </row>
    <row r="2003" spans="1:3" x14ac:dyDescent="0.25">
      <c r="A2003" t="str">
        <f>"15/09/2017"</f>
        <v>15/09/2017</v>
      </c>
      <c r="B2003" t="str">
        <f>"33.08"</f>
        <v>33.08</v>
      </c>
      <c r="C2003" t="str">
        <f>"33.0645"</f>
        <v>33.0645</v>
      </c>
    </row>
    <row r="2004" spans="1:3" x14ac:dyDescent="0.25">
      <c r="A2004" t="str">
        <f>"18/09/2017"</f>
        <v>18/09/2017</v>
      </c>
      <c r="B2004" t="str">
        <f>"33.09"</f>
        <v>33.09</v>
      </c>
      <c r="C2004" t="str">
        <f>"33.0753"</f>
        <v>33.0753</v>
      </c>
    </row>
    <row r="2005" spans="1:3" x14ac:dyDescent="0.25">
      <c r="A2005" t="str">
        <f>"19/09/2017"</f>
        <v>19/09/2017</v>
      </c>
      <c r="B2005" t="str">
        <f>"33.09"</f>
        <v>33.09</v>
      </c>
      <c r="C2005" t="str">
        <f>"33.0722"</f>
        <v>33.0722</v>
      </c>
    </row>
    <row r="2006" spans="1:3" x14ac:dyDescent="0.25">
      <c r="A2006" t="str">
        <f>"20/09/2017"</f>
        <v>20/09/2017</v>
      </c>
      <c r="B2006" t="str">
        <f>"33.09"</f>
        <v>33.09</v>
      </c>
      <c r="C2006" t="str">
        <f>"33.0733"</f>
        <v>33.0733</v>
      </c>
    </row>
    <row r="2007" spans="1:3" x14ac:dyDescent="0.25">
      <c r="A2007" t="str">
        <f>"21/09/2017"</f>
        <v>21/09/2017</v>
      </c>
      <c r="B2007" t="str">
        <f>"33.14"</f>
        <v>33.14</v>
      </c>
      <c r="C2007" t="str">
        <f>"33.1225"</f>
        <v>33.1225</v>
      </c>
    </row>
    <row r="2008" spans="1:3" x14ac:dyDescent="0.25">
      <c r="A2008" t="str">
        <f>"22/09/2017"</f>
        <v>22/09/2017</v>
      </c>
      <c r="B2008" t="str">
        <f>"33.10"</f>
        <v>33.10</v>
      </c>
      <c r="C2008" t="str">
        <f>"33.0825"</f>
        <v>33.0825</v>
      </c>
    </row>
    <row r="2009" spans="1:3" x14ac:dyDescent="0.25">
      <c r="A2009" t="str">
        <f>"25/09/2017"</f>
        <v>25/09/2017</v>
      </c>
      <c r="B2009" t="str">
        <f>"33.12"</f>
        <v>33.12</v>
      </c>
      <c r="C2009" t="str">
        <f>"33.1062"</f>
        <v>33.1062</v>
      </c>
    </row>
    <row r="2010" spans="1:3" x14ac:dyDescent="0.25">
      <c r="A2010" t="str">
        <f>"26/09/2017"</f>
        <v>26/09/2017</v>
      </c>
      <c r="B2010" t="str">
        <f>"33.185"</f>
        <v>33.185</v>
      </c>
      <c r="C2010" t="str">
        <f>"33.1715"</f>
        <v>33.1715</v>
      </c>
    </row>
    <row r="2011" spans="1:3" x14ac:dyDescent="0.25">
      <c r="A2011" t="str">
        <f>"27/09/2017"</f>
        <v>27/09/2017</v>
      </c>
      <c r="B2011" t="str">
        <f>"33.30"</f>
        <v>33.30</v>
      </c>
      <c r="C2011" t="str">
        <f>"33.2892"</f>
        <v>33.2892</v>
      </c>
    </row>
    <row r="2012" spans="1:3" x14ac:dyDescent="0.25">
      <c r="A2012" t="str">
        <f>"28/09/2017"</f>
        <v>28/09/2017</v>
      </c>
      <c r="B2012" t="str">
        <f>"33.455"</f>
        <v>33.455</v>
      </c>
      <c r="C2012" t="str">
        <f>"33.454"</f>
        <v>33.454</v>
      </c>
    </row>
    <row r="2013" spans="1:3" x14ac:dyDescent="0.25">
      <c r="A2013" t="str">
        <f>"29/09/2017"</f>
        <v>29/09/2017</v>
      </c>
      <c r="B2013" t="str">
        <f>"33.35"</f>
        <v>33.35</v>
      </c>
      <c r="C2013" t="str">
        <f>"33.3412"</f>
        <v>33.3412</v>
      </c>
    </row>
    <row r="2014" spans="1:3" x14ac:dyDescent="0.25">
      <c r="A2014" t="str">
        <f>"03/10/2017"</f>
        <v>03/10/2017</v>
      </c>
      <c r="B2014" t="str">
        <f>"33.455"</f>
        <v>33.455</v>
      </c>
      <c r="C2014" t="str">
        <f>"33.452"</f>
        <v>33.452</v>
      </c>
    </row>
    <row r="2015" spans="1:3" x14ac:dyDescent="0.25">
      <c r="A2015" t="str">
        <f>"04/10/2017"</f>
        <v>04/10/2017</v>
      </c>
      <c r="B2015" t="str">
        <f>"33.37"</f>
        <v>33.37</v>
      </c>
      <c r="C2015" t="str">
        <f>"33.3655"</f>
        <v>33.3655</v>
      </c>
    </row>
    <row r="2016" spans="1:3" x14ac:dyDescent="0.25">
      <c r="A2016" t="str">
        <f>"05/10/2017"</f>
        <v>05/10/2017</v>
      </c>
      <c r="B2016" t="str">
        <f>"33.34"</f>
        <v>33.34</v>
      </c>
      <c r="C2016" t="str">
        <f>"33.3343"</f>
        <v>33.3343</v>
      </c>
    </row>
    <row r="2017" spans="1:3" x14ac:dyDescent="0.25">
      <c r="A2017" t="str">
        <f>"06/10/2017"</f>
        <v>06/10/2017</v>
      </c>
      <c r="B2017" t="str">
        <f>"33.45"</f>
        <v>33.45</v>
      </c>
      <c r="C2017" t="str">
        <f>"33.4475"</f>
        <v>33.4475</v>
      </c>
    </row>
    <row r="2018" spans="1:3" x14ac:dyDescent="0.25">
      <c r="A2018" t="str">
        <f>"09/10/2017"</f>
        <v>09/10/2017</v>
      </c>
      <c r="B2018" t="str">
        <f>"33.405"</f>
        <v>33.405</v>
      </c>
      <c r="C2018" t="str">
        <f>"33.401"</f>
        <v>33.401</v>
      </c>
    </row>
    <row r="2019" spans="1:3" x14ac:dyDescent="0.25">
      <c r="A2019" t="str">
        <f>"10/10/2017"</f>
        <v>10/10/2017</v>
      </c>
      <c r="B2019" t="str">
        <f>"33.27"</f>
        <v>33.27</v>
      </c>
      <c r="C2019" t="str">
        <f>"33.2637"</f>
        <v>33.2637</v>
      </c>
    </row>
    <row r="2020" spans="1:3" x14ac:dyDescent="0.25">
      <c r="A2020" t="str">
        <f>"11/10/2017"</f>
        <v>11/10/2017</v>
      </c>
      <c r="B2020" t="str">
        <f>"33.215"</f>
        <v>33.215</v>
      </c>
      <c r="C2020" t="str">
        <f>"33.2107"</f>
        <v>33.2107</v>
      </c>
    </row>
    <row r="2021" spans="1:3" x14ac:dyDescent="0.25">
      <c r="A2021" t="str">
        <f>"12/10/2017"</f>
        <v>12/10/2017</v>
      </c>
      <c r="B2021" t="str">
        <f>"33.14"</f>
        <v>33.14</v>
      </c>
      <c r="C2021" t="str">
        <f>"33.1395"</f>
        <v>33.1395</v>
      </c>
    </row>
    <row r="2022" spans="1:3" x14ac:dyDescent="0.25">
      <c r="A2022" t="str">
        <f>"13/10/2017"</f>
        <v>13/10/2017</v>
      </c>
      <c r="B2022" t="str">
        <f>"33.14"</f>
        <v>33.14</v>
      </c>
      <c r="C2022" t="str">
        <f>"33.1395"</f>
        <v>33.1395</v>
      </c>
    </row>
    <row r="2023" spans="1:3" x14ac:dyDescent="0.25">
      <c r="A2023" t="str">
        <f>"16/10/2017"</f>
        <v>16/10/2017</v>
      </c>
      <c r="B2023" t="str">
        <f>"33.065"</f>
        <v>33.065</v>
      </c>
      <c r="C2023" t="str">
        <f>"33.0643"</f>
        <v>33.0643</v>
      </c>
    </row>
    <row r="2024" spans="1:3" x14ac:dyDescent="0.25">
      <c r="A2024" t="str">
        <f>"17/10/2017"</f>
        <v>17/10/2017</v>
      </c>
      <c r="B2024" t="str">
        <f>"33.12"</f>
        <v>33.12</v>
      </c>
      <c r="C2024" t="str">
        <f>"33.1197"</f>
        <v>33.1197</v>
      </c>
    </row>
    <row r="2025" spans="1:3" x14ac:dyDescent="0.25">
      <c r="A2025" t="str">
        <f>"18/10/2017"</f>
        <v>18/10/2017</v>
      </c>
      <c r="B2025" t="str">
        <f>"33.165"</f>
        <v>33.165</v>
      </c>
      <c r="C2025" t="str">
        <f>"33.165"</f>
        <v>33.165</v>
      </c>
    </row>
    <row r="2026" spans="1:3" x14ac:dyDescent="0.25">
      <c r="A2026" t="str">
        <f>"23/10/2017"</f>
        <v>23/10/2017</v>
      </c>
      <c r="B2026" t="str">
        <f>"33.20"</f>
        <v>33.20</v>
      </c>
      <c r="C2026" t="str">
        <f>"33.1972"</f>
        <v>33.1972</v>
      </c>
    </row>
    <row r="2027" spans="1:3" x14ac:dyDescent="0.25">
      <c r="A2027" t="str">
        <f>"24/10/2017"</f>
        <v>24/10/2017</v>
      </c>
      <c r="B2027" t="str">
        <f>"33.19"</f>
        <v>33.19</v>
      </c>
      <c r="C2027" t="str">
        <f>"33.1887"</f>
        <v>33.1887</v>
      </c>
    </row>
    <row r="2028" spans="1:3" x14ac:dyDescent="0.25">
      <c r="A2028" t="str">
        <f>"25/10/2017"</f>
        <v>25/10/2017</v>
      </c>
      <c r="B2028" t="str">
        <f>"33.235"</f>
        <v>33.235</v>
      </c>
      <c r="C2028" t="str">
        <f>"33.2333"</f>
        <v>33.2333</v>
      </c>
    </row>
    <row r="2029" spans="1:3" x14ac:dyDescent="0.25">
      <c r="A2029" t="str">
        <f>"26/10/2017"</f>
        <v>26/10/2017</v>
      </c>
      <c r="B2029" t="str">
        <f>"33.235"</f>
        <v>33.235</v>
      </c>
      <c r="C2029" t="str">
        <f>"33.2333"</f>
        <v>33.2333</v>
      </c>
    </row>
    <row r="2030" spans="1:3" x14ac:dyDescent="0.25">
      <c r="A2030" t="str">
        <f>"27/10/2017"</f>
        <v>27/10/2017</v>
      </c>
      <c r="B2030" t="str">
        <f>"33.31"</f>
        <v>33.31</v>
      </c>
      <c r="C2030" t="str">
        <f>"33.3097"</f>
        <v>33.3097</v>
      </c>
    </row>
    <row r="2031" spans="1:3" x14ac:dyDescent="0.25">
      <c r="A2031" t="str">
        <f>"30/10/2017"</f>
        <v>30/10/2017</v>
      </c>
      <c r="B2031" t="str">
        <f>"33.265"</f>
        <v>33.265</v>
      </c>
      <c r="C2031" t="str">
        <f>"33.2662"</f>
        <v>33.2662</v>
      </c>
    </row>
    <row r="2032" spans="1:3" x14ac:dyDescent="0.25">
      <c r="A2032" t="str">
        <f>"31/10/2017"</f>
        <v>31/10/2017</v>
      </c>
      <c r="B2032" t="str">
        <f>"33.24"</f>
        <v>33.24</v>
      </c>
      <c r="C2032" t="str">
        <f>"33.24"</f>
        <v>33.24</v>
      </c>
    </row>
    <row r="2033" spans="1:3" x14ac:dyDescent="0.25">
      <c r="A2033" t="str">
        <f>"01/11/2017"</f>
        <v>01/11/2017</v>
      </c>
      <c r="B2033" t="str">
        <f>"33.145"</f>
        <v>33.145</v>
      </c>
      <c r="C2033" t="str">
        <f>"33.1446"</f>
        <v>33.1446</v>
      </c>
    </row>
    <row r="2034" spans="1:3" x14ac:dyDescent="0.25">
      <c r="A2034" t="str">
        <f>"02/11/2017"</f>
        <v>02/11/2017</v>
      </c>
      <c r="B2034" t="str">
        <f>"33.13"</f>
        <v>33.13</v>
      </c>
      <c r="C2034" t="str">
        <f>"33.1275"</f>
        <v>33.1275</v>
      </c>
    </row>
    <row r="2035" spans="1:3" x14ac:dyDescent="0.25">
      <c r="A2035" t="str">
        <f>"03/11/2017"</f>
        <v>03/11/2017</v>
      </c>
      <c r="B2035" t="str">
        <f>"33.13"</f>
        <v>33.13</v>
      </c>
      <c r="C2035" t="str">
        <f>"33.1275"</f>
        <v>33.1275</v>
      </c>
    </row>
    <row r="2036" spans="1:3" x14ac:dyDescent="0.25">
      <c r="A2036" t="str">
        <f>"06/11/2017"</f>
        <v>06/11/2017</v>
      </c>
      <c r="B2036" t="str">
        <f>"33.155"</f>
        <v>33.155</v>
      </c>
      <c r="C2036" t="str">
        <f>"33.1538"</f>
        <v>33.1538</v>
      </c>
    </row>
    <row r="2037" spans="1:3" x14ac:dyDescent="0.25">
      <c r="A2037" t="str">
        <f>"07/11/2017"</f>
        <v>07/11/2017</v>
      </c>
      <c r="B2037" t="str">
        <f>"33.165"</f>
        <v>33.165</v>
      </c>
      <c r="C2037" t="str">
        <f>"33.1628"</f>
        <v>33.1628</v>
      </c>
    </row>
    <row r="2038" spans="1:3" x14ac:dyDescent="0.25">
      <c r="A2038" t="str">
        <f>"08/11/2017"</f>
        <v>08/11/2017</v>
      </c>
      <c r="B2038" t="str">
        <f>"33.13"</f>
        <v>33.13</v>
      </c>
      <c r="C2038" t="str">
        <f>"33.126"</f>
        <v>33.126</v>
      </c>
    </row>
    <row r="2039" spans="1:3" x14ac:dyDescent="0.25">
      <c r="A2039" t="str">
        <f>"09/11/2017"</f>
        <v>09/11/2017</v>
      </c>
      <c r="B2039" t="str">
        <f>"33.115"</f>
        <v>33.115</v>
      </c>
      <c r="C2039" t="str">
        <f>"33.1077"</f>
        <v>33.1077</v>
      </c>
    </row>
    <row r="2040" spans="1:3" x14ac:dyDescent="0.25">
      <c r="A2040" t="str">
        <f>"10/11/2017"</f>
        <v>10/11/2017</v>
      </c>
      <c r="B2040" t="str">
        <f>"33.135"</f>
        <v>33.135</v>
      </c>
      <c r="C2040" t="str">
        <f>"33.1223"</f>
        <v>33.1223</v>
      </c>
    </row>
    <row r="2041" spans="1:3" x14ac:dyDescent="0.25">
      <c r="A2041" t="str">
        <f>"13/11/2017"</f>
        <v>13/11/2017</v>
      </c>
      <c r="B2041" t="str">
        <f>"33.075"</f>
        <v>33.075</v>
      </c>
      <c r="C2041" t="str">
        <f>"33.064"</f>
        <v>33.064</v>
      </c>
    </row>
    <row r="2042" spans="1:3" x14ac:dyDescent="0.25">
      <c r="A2042" t="str">
        <f>"14/11/2017"</f>
        <v>14/11/2017</v>
      </c>
      <c r="B2042" t="str">
        <f>"33.09"</f>
        <v>33.09</v>
      </c>
      <c r="C2042" t="str">
        <f>"33.0835"</f>
        <v>33.0835</v>
      </c>
    </row>
    <row r="2043" spans="1:3" x14ac:dyDescent="0.25">
      <c r="A2043" t="str">
        <f>"15/11/2017"</f>
        <v>15/11/2017</v>
      </c>
      <c r="B2043" t="str">
        <f>"33.025"</f>
        <v>33.025</v>
      </c>
      <c r="C2043" t="str">
        <f>"33.016"</f>
        <v>33.016</v>
      </c>
    </row>
    <row r="2044" spans="1:3" x14ac:dyDescent="0.25">
      <c r="A2044" t="str">
        <f>"16/11/2017"</f>
        <v>16/11/2017</v>
      </c>
      <c r="B2044" t="str">
        <f>"32.97"</f>
        <v>32.97</v>
      </c>
      <c r="C2044" t="str">
        <f>"32.96"</f>
        <v>32.96</v>
      </c>
    </row>
    <row r="2045" spans="1:3" x14ac:dyDescent="0.25">
      <c r="A2045" t="str">
        <f>"17/11/2017"</f>
        <v>17/11/2017</v>
      </c>
      <c r="B2045" t="str">
        <f>"32.865"</f>
        <v>32.865</v>
      </c>
      <c r="C2045" t="str">
        <f>"32.853"</f>
        <v>32.853</v>
      </c>
    </row>
    <row r="2046" spans="1:3" x14ac:dyDescent="0.25">
      <c r="A2046" t="str">
        <f>"20/11/2017"</f>
        <v>20/11/2017</v>
      </c>
      <c r="B2046" t="str">
        <f>"32.785"</f>
        <v>32.785</v>
      </c>
      <c r="C2046" t="str">
        <f>"32.7756"</f>
        <v>32.7756</v>
      </c>
    </row>
    <row r="2047" spans="1:3" x14ac:dyDescent="0.25">
      <c r="A2047" t="str">
        <f>"21/11/2017"</f>
        <v>21/11/2017</v>
      </c>
      <c r="B2047" t="str">
        <f>"32.78"</f>
        <v>32.78</v>
      </c>
      <c r="C2047" t="str">
        <f>"32.7713"</f>
        <v>32.7713</v>
      </c>
    </row>
    <row r="2048" spans="1:3" x14ac:dyDescent="0.25">
      <c r="A2048" t="str">
        <f>"22/11/2017"</f>
        <v>22/11/2017</v>
      </c>
      <c r="B2048" t="str">
        <f>"32.735"</f>
        <v>32.735</v>
      </c>
      <c r="C2048" t="str">
        <f>"32.7261"</f>
        <v>32.7261</v>
      </c>
    </row>
    <row r="2049" spans="1:3" x14ac:dyDescent="0.25">
      <c r="A2049" t="str">
        <f>"23/11/2017"</f>
        <v>23/11/2017</v>
      </c>
      <c r="B2049" t="str">
        <f>"32.685"</f>
        <v>32.685</v>
      </c>
      <c r="C2049" t="str">
        <f>"32.6765"</f>
        <v>32.6765</v>
      </c>
    </row>
    <row r="2050" spans="1:3" x14ac:dyDescent="0.25">
      <c r="A2050" t="str">
        <f>"24/11/2017"</f>
        <v>24/11/2017</v>
      </c>
      <c r="B2050" t="str">
        <f>"32.69"</f>
        <v>32.69</v>
      </c>
      <c r="C2050" t="str">
        <f>"32.6799"</f>
        <v>32.6799</v>
      </c>
    </row>
    <row r="2051" spans="1:3" x14ac:dyDescent="0.25">
      <c r="A2051" t="str">
        <f>"27/11/2017"</f>
        <v>27/11/2017</v>
      </c>
      <c r="B2051" t="str">
        <f>"32.66"</f>
        <v>32.66</v>
      </c>
      <c r="C2051" t="str">
        <f>"32.6446"</f>
        <v>32.6446</v>
      </c>
    </row>
    <row r="2052" spans="1:3" x14ac:dyDescent="0.25">
      <c r="A2052" t="str">
        <f>"28/11/2017"</f>
        <v>28/11/2017</v>
      </c>
      <c r="B2052" t="str">
        <f>"32.575"</f>
        <v>32.575</v>
      </c>
      <c r="C2052" t="str">
        <f>"32.5599"</f>
        <v>32.5599</v>
      </c>
    </row>
    <row r="2053" spans="1:3" x14ac:dyDescent="0.25">
      <c r="A2053" t="str">
        <f>"29/11/2017"</f>
        <v>29/11/2017</v>
      </c>
      <c r="B2053" t="str">
        <f>"32.525"</f>
        <v>32.525</v>
      </c>
      <c r="C2053" t="str">
        <f>"32.5009"</f>
        <v>32.5009</v>
      </c>
    </row>
    <row r="2054" spans="1:3" x14ac:dyDescent="0.25">
      <c r="A2054" t="str">
        <f>"30/11/2017"</f>
        <v>30/11/2017</v>
      </c>
      <c r="B2054" t="str">
        <f>"32.665"</f>
        <v>32.665</v>
      </c>
      <c r="C2054" t="str">
        <f>"32.6648"</f>
        <v>32.6648</v>
      </c>
    </row>
    <row r="2055" spans="1:3" x14ac:dyDescent="0.25">
      <c r="A2055" t="str">
        <f>"04/12/2017"</f>
        <v>04/12/2017</v>
      </c>
      <c r="B2055" t="str">
        <f>"32.67"</f>
        <v>32.67</v>
      </c>
      <c r="C2055" t="str">
        <f>"32.6474"</f>
        <v>32.6474</v>
      </c>
    </row>
    <row r="2056" spans="1:3" x14ac:dyDescent="0.25">
      <c r="A2056" t="str">
        <f>"05/12/2017"</f>
        <v>05/12/2017</v>
      </c>
      <c r="B2056" t="str">
        <f>"32.625"</f>
        <v>32.625</v>
      </c>
      <c r="C2056" t="str">
        <f>"32.6001"</f>
        <v>32.6001</v>
      </c>
    </row>
    <row r="2057" spans="1:3" x14ac:dyDescent="0.25">
      <c r="A2057" t="str">
        <f>"06/12/2017"</f>
        <v>06/12/2017</v>
      </c>
      <c r="B2057" t="str">
        <f>"32.62"</f>
        <v>32.62</v>
      </c>
      <c r="C2057" t="str">
        <f>"32.5937"</f>
        <v>32.5937</v>
      </c>
    </row>
    <row r="2058" spans="1:3" x14ac:dyDescent="0.25">
      <c r="A2058" t="str">
        <f>"07/12/2017"</f>
        <v>07/12/2017</v>
      </c>
      <c r="B2058" t="str">
        <f>"32.64"</f>
        <v>32.64</v>
      </c>
      <c r="C2058" t="str">
        <f>"32.6175"</f>
        <v>32.6175</v>
      </c>
    </row>
    <row r="2059" spans="1:3" x14ac:dyDescent="0.25">
      <c r="A2059" t="str">
        <f>"08/12/2017"</f>
        <v>08/12/2017</v>
      </c>
      <c r="B2059" t="str">
        <f>"32.675"</f>
        <v>32.675</v>
      </c>
      <c r="C2059" t="str">
        <f>"32.649"</f>
        <v>32.649</v>
      </c>
    </row>
    <row r="2060" spans="1:3" x14ac:dyDescent="0.25">
      <c r="A2060" t="str">
        <f>"11/12/2017"</f>
        <v>11/12/2017</v>
      </c>
      <c r="B2060" t="str">
        <f>"32.675"</f>
        <v>32.675</v>
      </c>
      <c r="C2060" t="str">
        <f>"32.649"</f>
        <v>32.649</v>
      </c>
    </row>
    <row r="2061" spans="1:3" x14ac:dyDescent="0.25">
      <c r="A2061" t="str">
        <f>"12/12/2017"</f>
        <v>12/12/2017</v>
      </c>
      <c r="B2061" t="str">
        <f>"32.615"</f>
        <v>32.615</v>
      </c>
      <c r="C2061" t="str">
        <f>"32.5877"</f>
        <v>32.5877</v>
      </c>
    </row>
    <row r="2062" spans="1:3" x14ac:dyDescent="0.25">
      <c r="A2062" t="str">
        <f>"13/12/2017"</f>
        <v>13/12/2017</v>
      </c>
      <c r="B2062" t="str">
        <f>"32.59"</f>
        <v>32.59</v>
      </c>
      <c r="C2062" t="str">
        <f>"32.5627"</f>
        <v>32.5627</v>
      </c>
    </row>
    <row r="2063" spans="1:3" x14ac:dyDescent="0.25">
      <c r="A2063" t="str">
        <f>"14/12/2017"</f>
        <v>14/12/2017</v>
      </c>
      <c r="B2063" t="str">
        <f>"32.535"</f>
        <v>32.535</v>
      </c>
      <c r="C2063" t="str">
        <f>"32.5049"</f>
        <v>32.5049</v>
      </c>
    </row>
    <row r="2064" spans="1:3" x14ac:dyDescent="0.25">
      <c r="A2064" t="str">
        <f>"15/12/2017"</f>
        <v>15/12/2017</v>
      </c>
      <c r="B2064" t="str">
        <f>"32.525"</f>
        <v>32.525</v>
      </c>
      <c r="C2064" t="str">
        <f>"32.4943"</f>
        <v>32.4943</v>
      </c>
    </row>
    <row r="2065" spans="1:3" x14ac:dyDescent="0.25">
      <c r="A2065" t="str">
        <f>"18/12/2017"</f>
        <v>18/12/2017</v>
      </c>
      <c r="B2065" t="str">
        <f>"32.63"</f>
        <v>32.63</v>
      </c>
      <c r="C2065" t="str">
        <f>"32.5845"</f>
        <v>32.5845</v>
      </c>
    </row>
    <row r="2066" spans="1:3" x14ac:dyDescent="0.25">
      <c r="A2066" t="str">
        <f>"19/12/2017"</f>
        <v>19/12/2017</v>
      </c>
      <c r="B2066" t="str">
        <f>"32.69"</f>
        <v>32.69</v>
      </c>
      <c r="C2066" t="str">
        <f>"32.6422"</f>
        <v>32.6422</v>
      </c>
    </row>
    <row r="2067" spans="1:3" x14ac:dyDescent="0.25">
      <c r="A2067" t="str">
        <f>"20/12/2017"</f>
        <v>20/12/2017</v>
      </c>
      <c r="B2067" t="str">
        <f>"32.745"</f>
        <v>32.745</v>
      </c>
      <c r="C2067" t="str">
        <f>"32.6694"</f>
        <v>32.6694</v>
      </c>
    </row>
    <row r="2068" spans="1:3" x14ac:dyDescent="0.25">
      <c r="A2068" t="str">
        <f>"21/12/2017"</f>
        <v>21/12/2017</v>
      </c>
      <c r="B2068" t="str">
        <f>"32.745"</f>
        <v>32.745</v>
      </c>
      <c r="C2068" t="str">
        <f>"32.6775"</f>
        <v>32.6775</v>
      </c>
    </row>
    <row r="2069" spans="1:3" x14ac:dyDescent="0.25">
      <c r="A2069" t="str">
        <f>"22/12/2017"</f>
        <v>22/12/2017</v>
      </c>
      <c r="B2069" t="str">
        <f>"32.76"</f>
        <v>32.76</v>
      </c>
      <c r="C2069" t="str">
        <f>"32.7052"</f>
        <v>32.7052</v>
      </c>
    </row>
    <row r="2070" spans="1:3" x14ac:dyDescent="0.25">
      <c r="A2070" t="str">
        <f>"26/12/2017"</f>
        <v>26/12/2017</v>
      </c>
      <c r="B2070" t="str">
        <f>"32.805"</f>
        <v>32.805</v>
      </c>
      <c r="C2070" t="str">
        <f>"32.7475"</f>
        <v>32.7475</v>
      </c>
    </row>
    <row r="2071" spans="1:3" x14ac:dyDescent="0.25">
      <c r="A2071" t="str">
        <f>"27/12/2017"</f>
        <v>27/12/2017</v>
      </c>
      <c r="B2071" t="str">
        <f>"32.80"</f>
        <v>32.80</v>
      </c>
      <c r="C2071" t="str">
        <f>"32.7487"</f>
        <v>32.7487</v>
      </c>
    </row>
    <row r="2072" spans="1:3" x14ac:dyDescent="0.25">
      <c r="A2072" t="str">
        <f>"28/12/2017"</f>
        <v>28/12/2017</v>
      </c>
      <c r="B2072" t="str">
        <f>"32.67"</f>
        <v>32.67</v>
      </c>
      <c r="C2072" t="str">
        <f>"32.6562"</f>
        <v>32.6562</v>
      </c>
    </row>
    <row r="2073" spans="1:3" x14ac:dyDescent="0.25">
      <c r="A2073" t="str">
        <f>"29/12/2017"</f>
        <v>29/12/2017</v>
      </c>
      <c r="B2073" t="str">
        <f>"32.59"</f>
        <v>32.59</v>
      </c>
      <c r="C2073" t="str">
        <f>"32.5706"</f>
        <v>32.5706</v>
      </c>
    </row>
    <row r="2074" spans="1:3" x14ac:dyDescent="0.25">
      <c r="A2074" t="str">
        <f>"02/01/2018"</f>
        <v>02/01/2018</v>
      </c>
      <c r="B2074" t="str">
        <f>"32.59"</f>
        <v>32.59</v>
      </c>
      <c r="C2074" t="str">
        <f>"32.5706"</f>
        <v>32.5706</v>
      </c>
    </row>
    <row r="2075" spans="1:3" x14ac:dyDescent="0.25">
      <c r="A2075" t="str">
        <f>"03/01/2018"</f>
        <v>03/01/2018</v>
      </c>
      <c r="B2075" t="str">
        <f>"32.32"</f>
        <v>32.32</v>
      </c>
      <c r="C2075" t="str">
        <f>"32.3039"</f>
        <v>32.3039</v>
      </c>
    </row>
    <row r="2076" spans="1:3" x14ac:dyDescent="0.25">
      <c r="A2076" t="str">
        <f>"04/01/2018"</f>
        <v>04/01/2018</v>
      </c>
      <c r="B2076" t="str">
        <f>"32.245"</f>
        <v>32.245</v>
      </c>
      <c r="C2076" t="str">
        <f>"32.2269"</f>
        <v>32.2269</v>
      </c>
    </row>
    <row r="2077" spans="1:3" x14ac:dyDescent="0.25">
      <c r="A2077" t="str">
        <f>"05/01/2018"</f>
        <v>05/01/2018</v>
      </c>
      <c r="B2077" t="str">
        <f>"32.24"</f>
        <v>32.24</v>
      </c>
      <c r="C2077" t="str">
        <f>"32.221"</f>
        <v>32.221</v>
      </c>
    </row>
    <row r="2078" spans="1:3" x14ac:dyDescent="0.25">
      <c r="A2078" t="str">
        <f>"08/01/2018"</f>
        <v>08/01/2018</v>
      </c>
      <c r="B2078" t="str">
        <f>"32.21"</f>
        <v>32.21</v>
      </c>
      <c r="C2078" t="str">
        <f>"32.1958"</f>
        <v>32.1958</v>
      </c>
    </row>
    <row r="2079" spans="1:3" x14ac:dyDescent="0.25">
      <c r="A2079" t="str">
        <f>"09/01/2018"</f>
        <v>09/01/2018</v>
      </c>
      <c r="B2079" t="str">
        <f>"32.26"</f>
        <v>32.26</v>
      </c>
      <c r="C2079" t="str">
        <f>"32.2475"</f>
        <v>32.2475</v>
      </c>
    </row>
    <row r="2080" spans="1:3" x14ac:dyDescent="0.25">
      <c r="A2080" t="str">
        <f>"10/01/2018"</f>
        <v>10/01/2018</v>
      </c>
      <c r="B2080" t="str">
        <f>"32.155"</f>
        <v>32.155</v>
      </c>
      <c r="C2080" t="str">
        <f>"32.144"</f>
        <v>32.144</v>
      </c>
    </row>
    <row r="2081" spans="1:3" x14ac:dyDescent="0.25">
      <c r="A2081" t="str">
        <f>"11/01/2018"</f>
        <v>11/01/2018</v>
      </c>
      <c r="B2081" t="str">
        <f>"32.02"</f>
        <v>32.02</v>
      </c>
      <c r="C2081" t="str">
        <f>"32.012"</f>
        <v>32.012</v>
      </c>
    </row>
    <row r="2082" spans="1:3" x14ac:dyDescent="0.25">
      <c r="A2082" t="str">
        <f>"12/01/2018"</f>
        <v>12/01/2018</v>
      </c>
      <c r="B2082" t="str">
        <f>"31.98"</f>
        <v>31.98</v>
      </c>
      <c r="C2082" t="str">
        <f>"31.9698"</f>
        <v>31.9698</v>
      </c>
    </row>
    <row r="2083" spans="1:3" x14ac:dyDescent="0.25">
      <c r="A2083" t="str">
        <f>"15/01/2018"</f>
        <v>15/01/2018</v>
      </c>
      <c r="B2083" t="str">
        <f>"31.915"</f>
        <v>31.915</v>
      </c>
      <c r="C2083" t="str">
        <f>"31.9037"</f>
        <v>31.9037</v>
      </c>
    </row>
    <row r="2084" spans="1:3" x14ac:dyDescent="0.25">
      <c r="A2084" t="str">
        <f>"16/01/2018"</f>
        <v>16/01/2018</v>
      </c>
      <c r="B2084" t="str">
        <f>"32.00"</f>
        <v>32.00</v>
      </c>
      <c r="C2084" t="str">
        <f>"31.9897"</f>
        <v>31.9897</v>
      </c>
    </row>
    <row r="2085" spans="1:3" x14ac:dyDescent="0.25">
      <c r="A2085" t="str">
        <f>"17/01/2018"</f>
        <v>17/01/2018</v>
      </c>
      <c r="B2085" t="str">
        <f>"31.96"</f>
        <v>31.96</v>
      </c>
      <c r="C2085" t="str">
        <f>"31.9494"</f>
        <v>31.9494</v>
      </c>
    </row>
    <row r="2086" spans="1:3" x14ac:dyDescent="0.25">
      <c r="A2086" t="str">
        <f>"18/01/2018"</f>
        <v>18/01/2018</v>
      </c>
      <c r="B2086" t="str">
        <f>"31.95"</f>
        <v>31.95</v>
      </c>
      <c r="C2086" t="str">
        <f>"31.94"</f>
        <v>31.94</v>
      </c>
    </row>
    <row r="2087" spans="1:3" x14ac:dyDescent="0.25">
      <c r="A2087" t="str">
        <f>"19/01/2018"</f>
        <v>19/01/2018</v>
      </c>
      <c r="B2087" t="str">
        <f>"31.895"</f>
        <v>31.895</v>
      </c>
      <c r="C2087" t="str">
        <f>"31.8838"</f>
        <v>31.8838</v>
      </c>
    </row>
    <row r="2088" spans="1:3" x14ac:dyDescent="0.25">
      <c r="A2088" t="str">
        <f>"22/01/2018"</f>
        <v>22/01/2018</v>
      </c>
      <c r="B2088" t="str">
        <f>"31.85"</f>
        <v>31.85</v>
      </c>
      <c r="C2088" t="str">
        <f>"31.8354"</f>
        <v>31.8354</v>
      </c>
    </row>
    <row r="2089" spans="1:3" x14ac:dyDescent="0.25">
      <c r="A2089" t="str">
        <f>"23/01/2018"</f>
        <v>23/01/2018</v>
      </c>
      <c r="B2089" t="str">
        <f>"31.845"</f>
        <v>31.845</v>
      </c>
      <c r="C2089" t="str">
        <f>"31.8326"</f>
        <v>31.8326</v>
      </c>
    </row>
    <row r="2090" spans="1:3" x14ac:dyDescent="0.25">
      <c r="A2090" t="str">
        <f>"24/01/2018"</f>
        <v>24/01/2018</v>
      </c>
      <c r="B2090" t="str">
        <f>"31.645"</f>
        <v>31.645</v>
      </c>
      <c r="C2090" t="str">
        <f>"31.6323"</f>
        <v>31.6323</v>
      </c>
    </row>
    <row r="2091" spans="1:3" x14ac:dyDescent="0.25">
      <c r="A2091" t="str">
        <f>"25/01/2018"</f>
        <v>25/01/2018</v>
      </c>
      <c r="B2091" t="str">
        <f>"31.465"</f>
        <v>31.465</v>
      </c>
      <c r="C2091" t="str">
        <f>"31.4513"</f>
        <v>31.4513</v>
      </c>
    </row>
    <row r="2092" spans="1:3" x14ac:dyDescent="0.25">
      <c r="A2092" t="str">
        <f>"29/01/2018"</f>
        <v>29/01/2018</v>
      </c>
      <c r="B2092" t="str">
        <f>"31.435"</f>
        <v>31.435</v>
      </c>
      <c r="C2092" t="str">
        <f>"31.4176"</f>
        <v>31.4176</v>
      </c>
    </row>
    <row r="2093" spans="1:3" x14ac:dyDescent="0.25">
      <c r="A2093" t="str">
        <f>"30/01/2018"</f>
        <v>30/01/2018</v>
      </c>
      <c r="B2093" t="str">
        <f>"31.45"</f>
        <v>31.45</v>
      </c>
      <c r="C2093" t="str">
        <f>"31.4326"</f>
        <v>31.4326</v>
      </c>
    </row>
    <row r="2094" spans="1:3" x14ac:dyDescent="0.25">
      <c r="A2094" t="str">
        <f>"31/01/2018"</f>
        <v>31/01/2018</v>
      </c>
      <c r="B2094" t="str">
        <f>"31.34"</f>
        <v>31.34</v>
      </c>
      <c r="C2094" t="str">
        <f>"31.3237"</f>
        <v>31.3237</v>
      </c>
    </row>
    <row r="2095" spans="1:3" x14ac:dyDescent="0.25">
      <c r="A2095" t="str">
        <f>"01/02/2018"</f>
        <v>01/02/2018</v>
      </c>
      <c r="B2095" t="str">
        <f>"31.36"</f>
        <v>31.36</v>
      </c>
      <c r="C2095" t="str">
        <f>"31.3466"</f>
        <v>31.3466</v>
      </c>
    </row>
    <row r="2096" spans="1:3" x14ac:dyDescent="0.25">
      <c r="A2096" t="str">
        <f>"02/02/2018"</f>
        <v>02/02/2018</v>
      </c>
      <c r="B2096" t="str">
        <f>"31.395"</f>
        <v>31.395</v>
      </c>
      <c r="C2096" t="str">
        <f>"31.377"</f>
        <v>31.377</v>
      </c>
    </row>
    <row r="2097" spans="1:3" x14ac:dyDescent="0.25">
      <c r="A2097" t="str">
        <f>"05/02/2018"</f>
        <v>05/02/2018</v>
      </c>
      <c r="B2097" t="str">
        <f>"31.53"</f>
        <v>31.53</v>
      </c>
      <c r="C2097" t="str">
        <f>"31.5104"</f>
        <v>31.5104</v>
      </c>
    </row>
    <row r="2098" spans="1:3" x14ac:dyDescent="0.25">
      <c r="A2098" t="str">
        <f>"06/02/2018"</f>
        <v>06/02/2018</v>
      </c>
      <c r="B2098" t="str">
        <f>"31.545"</f>
        <v>31.545</v>
      </c>
      <c r="C2098" t="str">
        <f>"31.5262"</f>
        <v>31.5262</v>
      </c>
    </row>
    <row r="2099" spans="1:3" x14ac:dyDescent="0.25">
      <c r="A2099" t="str">
        <f>"07/02/2018"</f>
        <v>07/02/2018</v>
      </c>
      <c r="B2099" t="str">
        <f>"31.575"</f>
        <v>31.575</v>
      </c>
      <c r="C2099" t="str">
        <f>"31.5532"</f>
        <v>31.5532</v>
      </c>
    </row>
    <row r="2100" spans="1:3" x14ac:dyDescent="0.25">
      <c r="A2100" t="str">
        <f>"08/02/2018"</f>
        <v>08/02/2018</v>
      </c>
      <c r="B2100" t="str">
        <f>"31.875"</f>
        <v>31.875</v>
      </c>
      <c r="C2100" t="str">
        <f>"31.855"</f>
        <v>31.855</v>
      </c>
    </row>
    <row r="2101" spans="1:3" x14ac:dyDescent="0.25">
      <c r="A2101" t="str">
        <f>"09/02/2018"</f>
        <v>09/02/2018</v>
      </c>
      <c r="B2101" t="str">
        <f>"31.74"</f>
        <v>31.74</v>
      </c>
      <c r="C2101" t="str">
        <f>"31.7218"</f>
        <v>31.7218</v>
      </c>
    </row>
    <row r="2102" spans="1:3" x14ac:dyDescent="0.25">
      <c r="A2102" t="str">
        <f>"12/02/2018"</f>
        <v>12/02/2018</v>
      </c>
      <c r="B2102" t="str">
        <f>"31.69"</f>
        <v>31.69</v>
      </c>
      <c r="C2102" t="str">
        <f>"31.6702"</f>
        <v>31.6702</v>
      </c>
    </row>
    <row r="2103" spans="1:3" x14ac:dyDescent="0.25">
      <c r="A2103" t="str">
        <f>"14/02/2018"</f>
        <v>14/02/2018</v>
      </c>
      <c r="B2103" t="str">
        <f>"31.51"</f>
        <v>31.51</v>
      </c>
      <c r="C2103" t="str">
        <f>"31.4913"</f>
        <v>31.4913</v>
      </c>
    </row>
    <row r="2104" spans="1:3" x14ac:dyDescent="0.25">
      <c r="A2104" t="str">
        <f>"15/02/2018"</f>
        <v>15/02/2018</v>
      </c>
      <c r="B2104" t="str">
        <f>"31.305"</f>
        <v>31.305</v>
      </c>
      <c r="C2104" t="str">
        <f>"31.2847"</f>
        <v>31.2847</v>
      </c>
    </row>
    <row r="2105" spans="1:3" x14ac:dyDescent="0.25">
      <c r="A2105" t="str">
        <f>"16/02/2018"</f>
        <v>16/02/2018</v>
      </c>
      <c r="B2105" t="str">
        <f>"31.27"</f>
        <v>31.27</v>
      </c>
      <c r="C2105" t="str">
        <f>"31.2497"</f>
        <v>31.2497</v>
      </c>
    </row>
    <row r="2106" spans="1:3" x14ac:dyDescent="0.25">
      <c r="A2106" t="str">
        <f>"20/02/2018"</f>
        <v>20/02/2018</v>
      </c>
      <c r="B2106" t="str">
        <f>"31.51"</f>
        <v>31.51</v>
      </c>
      <c r="C2106" t="str">
        <f>"31.4925"</f>
        <v>31.4925</v>
      </c>
    </row>
    <row r="2107" spans="1:3" x14ac:dyDescent="0.25">
      <c r="A2107" t="str">
        <f>"21/02/2018"</f>
        <v>21/02/2018</v>
      </c>
      <c r="B2107" t="str">
        <f>"31.495"</f>
        <v>31.495</v>
      </c>
      <c r="C2107" t="str">
        <f>"31.477"</f>
        <v>31.477</v>
      </c>
    </row>
    <row r="2108" spans="1:3" x14ac:dyDescent="0.25">
      <c r="A2108" t="str">
        <f>"22/02/2018"</f>
        <v>22/02/2018</v>
      </c>
      <c r="B2108" t="str">
        <f>"31.565"</f>
        <v>31.565</v>
      </c>
      <c r="C2108" t="str">
        <f>"31.5466"</f>
        <v>31.5466</v>
      </c>
    </row>
    <row r="2109" spans="1:3" x14ac:dyDescent="0.25">
      <c r="A2109" t="str">
        <f>"23/02/2018"</f>
        <v>23/02/2018</v>
      </c>
      <c r="B2109" t="str">
        <f>"31.475"</f>
        <v>31.475</v>
      </c>
      <c r="C2109" t="str">
        <f>"31.4568"</f>
        <v>31.4568</v>
      </c>
    </row>
    <row r="2110" spans="1:3" x14ac:dyDescent="0.25">
      <c r="A2110" t="str">
        <f>"26/02/2018"</f>
        <v>26/02/2018</v>
      </c>
      <c r="B2110" t="str">
        <f>"31.33"</f>
        <v>31.33</v>
      </c>
      <c r="C2110" t="str">
        <f>"31.307"</f>
        <v>31.307</v>
      </c>
    </row>
    <row r="2111" spans="1:3" x14ac:dyDescent="0.25">
      <c r="A2111" t="str">
        <f>"27/02/2018"</f>
        <v>27/02/2018</v>
      </c>
      <c r="B2111" t="str">
        <f>"31.38"</f>
        <v>31.38</v>
      </c>
      <c r="C2111" t="str">
        <f>"31.3543"</f>
        <v>31.3543</v>
      </c>
    </row>
    <row r="2112" spans="1:3" x14ac:dyDescent="0.25">
      <c r="A2112" t="str">
        <f>"28/02/2018"</f>
        <v>28/02/2018</v>
      </c>
      <c r="B2112" t="str">
        <f>"31.40"</f>
        <v>31.40</v>
      </c>
      <c r="C2112" t="str">
        <f>"31.3742"</f>
        <v>31.3742</v>
      </c>
    </row>
    <row r="2113" spans="1:3" x14ac:dyDescent="0.25">
      <c r="A2113" t="str">
        <f>"01/03/2018"</f>
        <v>01/03/2018</v>
      </c>
      <c r="B2113" t="str">
        <f>"31.40"</f>
        <v>31.40</v>
      </c>
      <c r="C2113" t="str">
        <f>"31.3755"</f>
        <v>31.3755</v>
      </c>
    </row>
    <row r="2114" spans="1:3" x14ac:dyDescent="0.25">
      <c r="A2114" t="str">
        <f>"05/03/2018"</f>
        <v>05/03/2018</v>
      </c>
      <c r="B2114" t="str">
        <f>"31.455"</f>
        <v>31.455</v>
      </c>
      <c r="C2114" t="str">
        <f>"31.4315"</f>
        <v>31.4315</v>
      </c>
    </row>
    <row r="2115" spans="1:3" x14ac:dyDescent="0.25">
      <c r="A2115" t="str">
        <f>"06/03/2018"</f>
        <v>06/03/2018</v>
      </c>
      <c r="B2115" t="str">
        <f>"31.395"</f>
        <v>31.395</v>
      </c>
      <c r="C2115" t="str">
        <f>"31.3716"</f>
        <v>31.3716</v>
      </c>
    </row>
    <row r="2116" spans="1:3" x14ac:dyDescent="0.25">
      <c r="A2116" t="str">
        <f>"07/03/2018"</f>
        <v>07/03/2018</v>
      </c>
      <c r="B2116" t="str">
        <f>"31.335"</f>
        <v>31.335</v>
      </c>
      <c r="C2116" t="str">
        <f>"31.3139"</f>
        <v>31.3139</v>
      </c>
    </row>
    <row r="2117" spans="1:3" x14ac:dyDescent="0.25">
      <c r="A2117" t="str">
        <f>"08/03/2018"</f>
        <v>08/03/2018</v>
      </c>
      <c r="B2117" t="str">
        <f>"31.39"</f>
        <v>31.39</v>
      </c>
      <c r="C2117" t="str">
        <f>"31.3678"</f>
        <v>31.3678</v>
      </c>
    </row>
    <row r="2118" spans="1:3" x14ac:dyDescent="0.25">
      <c r="A2118" t="str">
        <f>"09/03/2018"</f>
        <v>09/03/2018</v>
      </c>
      <c r="B2118" t="str">
        <f>"31.375"</f>
        <v>31.375</v>
      </c>
      <c r="C2118" t="str">
        <f>"31.3521"</f>
        <v>31.3521</v>
      </c>
    </row>
    <row r="2119" spans="1:3" x14ac:dyDescent="0.25">
      <c r="A2119" t="str">
        <f>"12/03/2018"</f>
        <v>12/03/2018</v>
      </c>
      <c r="B2119" t="str">
        <f>"31.325"</f>
        <v>31.325</v>
      </c>
      <c r="C2119" t="str">
        <f>"31.3002"</f>
        <v>31.3002</v>
      </c>
    </row>
    <row r="2120" spans="1:3" x14ac:dyDescent="0.25">
      <c r="A2120" t="str">
        <f>"13/03/2018"</f>
        <v>13/03/2018</v>
      </c>
      <c r="B2120" t="str">
        <f>"31.275"</f>
        <v>31.275</v>
      </c>
      <c r="C2120" t="str">
        <f>"31.249"</f>
        <v>31.249</v>
      </c>
    </row>
    <row r="2121" spans="1:3" x14ac:dyDescent="0.25">
      <c r="A2121" t="str">
        <f>"14/03/2018"</f>
        <v>14/03/2018</v>
      </c>
      <c r="B2121" t="str">
        <f>"31.145"</f>
        <v>31.145</v>
      </c>
      <c r="C2121" t="str">
        <f>"31.119"</f>
        <v>31.119</v>
      </c>
    </row>
    <row r="2122" spans="1:3" x14ac:dyDescent="0.25">
      <c r="A2122" t="str">
        <f>"15/03/2018"</f>
        <v>15/03/2018</v>
      </c>
      <c r="B2122" t="str">
        <f>"31.175"</f>
        <v>31.175</v>
      </c>
      <c r="C2122" t="str">
        <f>"31.1472"</f>
        <v>31.1472</v>
      </c>
    </row>
    <row r="2123" spans="1:3" x14ac:dyDescent="0.25">
      <c r="A2123" t="str">
        <f>"16/03/2018"</f>
        <v>16/03/2018</v>
      </c>
      <c r="B2123" t="str">
        <f>"31.195"</f>
        <v>31.195</v>
      </c>
      <c r="C2123" t="str">
        <f>"31.1629"</f>
        <v>31.1629</v>
      </c>
    </row>
    <row r="2124" spans="1:3" x14ac:dyDescent="0.25">
      <c r="A2124" t="str">
        <f>"19/03/2018"</f>
        <v>19/03/2018</v>
      </c>
      <c r="B2124" t="str">
        <f>"31.22"</f>
        <v>31.22</v>
      </c>
      <c r="C2124" t="str">
        <f>"31.1896"</f>
        <v>31.1896</v>
      </c>
    </row>
    <row r="2125" spans="1:3" x14ac:dyDescent="0.25">
      <c r="A2125" t="str">
        <f>"20/03/2018"</f>
        <v>20/03/2018</v>
      </c>
      <c r="B2125" t="str">
        <f>"31.19"</f>
        <v>31.19</v>
      </c>
      <c r="C2125" t="str">
        <f>"31.1582"</f>
        <v>31.1582</v>
      </c>
    </row>
    <row r="2126" spans="1:3" x14ac:dyDescent="0.25">
      <c r="A2126" t="str">
        <f>"21/03/2018"</f>
        <v>21/03/2018</v>
      </c>
      <c r="B2126" t="str">
        <f>"31.235"</f>
        <v>31.235</v>
      </c>
      <c r="C2126" t="str">
        <f>"31.2019"</f>
        <v>31.2019</v>
      </c>
    </row>
    <row r="2127" spans="1:3" x14ac:dyDescent="0.25">
      <c r="A2127" t="str">
        <f>"22/03/2018"</f>
        <v>22/03/2018</v>
      </c>
      <c r="B2127" t="str">
        <f>"31.275"</f>
        <v>31.275</v>
      </c>
      <c r="C2127" t="str">
        <f>"31.2475"</f>
        <v>31.2475</v>
      </c>
    </row>
    <row r="2128" spans="1:3" x14ac:dyDescent="0.25">
      <c r="A2128" t="str">
        <f>"23/03/2018"</f>
        <v>23/03/2018</v>
      </c>
      <c r="B2128" t="str">
        <f>"31.235"</f>
        <v>31.235</v>
      </c>
      <c r="C2128" t="str">
        <f>"31.2063"</f>
        <v>31.2063</v>
      </c>
    </row>
    <row r="2129" spans="1:3" x14ac:dyDescent="0.25">
      <c r="A2129" t="str">
        <f>"26/03/2018"</f>
        <v>26/03/2018</v>
      </c>
      <c r="B2129" t="str">
        <f>"31.155"</f>
        <v>31.155</v>
      </c>
      <c r="C2129" t="str">
        <f>"31.1211"</f>
        <v>31.1211</v>
      </c>
    </row>
    <row r="2130" spans="1:3" x14ac:dyDescent="0.25">
      <c r="A2130" t="str">
        <f>"27/03/2018"</f>
        <v>27/03/2018</v>
      </c>
      <c r="B2130" t="str">
        <f>"31.19"</f>
        <v>31.19</v>
      </c>
      <c r="C2130" t="str">
        <f>"31.1539"</f>
        <v>31.1539</v>
      </c>
    </row>
    <row r="2131" spans="1:3" x14ac:dyDescent="0.25">
      <c r="A2131" t="str">
        <f>"28/03/2018"</f>
        <v>28/03/2018</v>
      </c>
      <c r="B2131" t="str">
        <f>"31.265"</f>
        <v>31.265</v>
      </c>
      <c r="C2131" t="str">
        <f>"31.2219"</f>
        <v>31.2219</v>
      </c>
    </row>
    <row r="2132" spans="1:3" x14ac:dyDescent="0.25">
      <c r="A2132" t="str">
        <f>"03/04/2018"</f>
        <v>03/04/2018</v>
      </c>
      <c r="B2132" t="str">
        <f>"31.205"</f>
        <v>31.205</v>
      </c>
      <c r="C2132" t="str">
        <f>"31.1773"</f>
        <v>31.1773</v>
      </c>
    </row>
    <row r="2133" spans="1:3" x14ac:dyDescent="0.25">
      <c r="A2133" t="str">
        <f>"04/04/2018"</f>
        <v>04/04/2018</v>
      </c>
      <c r="B2133" t="str">
        <f>"31.25"</f>
        <v>31.25</v>
      </c>
      <c r="C2133" t="str">
        <f>"31.2216"</f>
        <v>31.2216</v>
      </c>
    </row>
    <row r="2134" spans="1:3" x14ac:dyDescent="0.25">
      <c r="A2134" t="str">
        <f>"05/04/2018"</f>
        <v>05/04/2018</v>
      </c>
      <c r="B2134" t="str">
        <f>"31.225"</f>
        <v>31.225</v>
      </c>
      <c r="C2134" t="str">
        <f>"31.1962"</f>
        <v>31.1962</v>
      </c>
    </row>
    <row r="2135" spans="1:3" x14ac:dyDescent="0.25">
      <c r="A2135" t="str">
        <f>"06/04/2018"</f>
        <v>06/04/2018</v>
      </c>
      <c r="B2135" t="str">
        <f>"31.225"</f>
        <v>31.225</v>
      </c>
      <c r="C2135" t="str">
        <f>"31.1962"</f>
        <v>31.1962</v>
      </c>
    </row>
    <row r="2136" spans="1:3" x14ac:dyDescent="0.25">
      <c r="A2136" t="str">
        <f>"09/04/2018"</f>
        <v>09/04/2018</v>
      </c>
      <c r="B2136" t="str">
        <f>"31.265"</f>
        <v>31.265</v>
      </c>
      <c r="C2136" t="str">
        <f>"31.2353"</f>
        <v>31.2353</v>
      </c>
    </row>
    <row r="2137" spans="1:3" x14ac:dyDescent="0.25">
      <c r="A2137" t="str">
        <f>"10/04/2018"</f>
        <v>10/04/2018</v>
      </c>
      <c r="B2137" t="str">
        <f>"31.225"</f>
        <v>31.225</v>
      </c>
      <c r="C2137" t="str">
        <f>"31.1951"</f>
        <v>31.1951</v>
      </c>
    </row>
    <row r="2138" spans="1:3" x14ac:dyDescent="0.25">
      <c r="A2138" t="str">
        <f>"11/04/2018"</f>
        <v>11/04/2018</v>
      </c>
      <c r="B2138" t="str">
        <f>"31.175"</f>
        <v>31.175</v>
      </c>
      <c r="C2138" t="str">
        <f>"31.1461"</f>
        <v>31.1461</v>
      </c>
    </row>
    <row r="2139" spans="1:3" x14ac:dyDescent="0.25">
      <c r="A2139" t="str">
        <f>"12/04/2018"</f>
        <v>12/04/2018</v>
      </c>
      <c r="B2139" t="str">
        <f>"31.205"</f>
        <v>31.205</v>
      </c>
      <c r="C2139" t="str">
        <f>"31.1777"</f>
        <v>31.1777</v>
      </c>
    </row>
    <row r="2140" spans="1:3" x14ac:dyDescent="0.25">
      <c r="A2140" t="str">
        <f>"13/04/2018"</f>
        <v>13/04/2018</v>
      </c>
      <c r="B2140" t="str">
        <f>"31.205"</f>
        <v>31.205</v>
      </c>
      <c r="C2140" t="str">
        <f>"31.1777"</f>
        <v>31.1777</v>
      </c>
    </row>
    <row r="2141" spans="1:3" x14ac:dyDescent="0.25">
      <c r="A2141" t="str">
        <f>"16/04/2018"</f>
        <v>16/04/2018</v>
      </c>
      <c r="B2141" t="str">
        <f>"31.205"</f>
        <v>31.205</v>
      </c>
      <c r="C2141" t="str">
        <f>"31.1777"</f>
        <v>31.1777</v>
      </c>
    </row>
    <row r="2142" spans="1:3" x14ac:dyDescent="0.25">
      <c r="A2142" t="str">
        <f>"17/04/2018"</f>
        <v>17/04/2018</v>
      </c>
      <c r="B2142" t="str">
        <f>"31.225"</f>
        <v>31.225</v>
      </c>
      <c r="C2142" t="str">
        <f>"31.1974"</f>
        <v>31.1974</v>
      </c>
    </row>
    <row r="2143" spans="1:3" x14ac:dyDescent="0.25">
      <c r="A2143" t="str">
        <f>"18/04/2018"</f>
        <v>18/04/2018</v>
      </c>
      <c r="B2143" t="str">
        <f>"31.25"</f>
        <v>31.25</v>
      </c>
      <c r="C2143" t="str">
        <f>"31.2233"</f>
        <v>31.2233</v>
      </c>
    </row>
    <row r="2144" spans="1:3" x14ac:dyDescent="0.25">
      <c r="A2144" t="str">
        <f>"19/04/2018"</f>
        <v>19/04/2018</v>
      </c>
      <c r="B2144" t="str">
        <f>"31.235"</f>
        <v>31.235</v>
      </c>
      <c r="C2144" t="str">
        <f>"31.2096"</f>
        <v>31.2096</v>
      </c>
    </row>
    <row r="2145" spans="1:3" x14ac:dyDescent="0.25">
      <c r="A2145" t="str">
        <f>"20/04/2018"</f>
        <v>20/04/2018</v>
      </c>
      <c r="B2145" t="str">
        <f>"31.335"</f>
        <v>31.335</v>
      </c>
      <c r="C2145" t="str">
        <f>"31.3069"</f>
        <v>31.3069</v>
      </c>
    </row>
    <row r="2146" spans="1:3" x14ac:dyDescent="0.25">
      <c r="A2146" t="str">
        <f>"23/04/2018"</f>
        <v>23/04/2018</v>
      </c>
      <c r="B2146" t="str">
        <f>"31.52"</f>
        <v>31.52</v>
      </c>
      <c r="C2146" t="str">
        <f>"31.4923"</f>
        <v>31.4923</v>
      </c>
    </row>
    <row r="2147" spans="1:3" x14ac:dyDescent="0.25">
      <c r="A2147" t="str">
        <f>"24/04/2018"</f>
        <v>24/04/2018</v>
      </c>
      <c r="B2147" t="str">
        <f>"31.44"</f>
        <v>31.44</v>
      </c>
      <c r="C2147" t="str">
        <f>"31.4106"</f>
        <v>31.4106</v>
      </c>
    </row>
    <row r="2148" spans="1:3" x14ac:dyDescent="0.25">
      <c r="A2148" t="str">
        <f>"25/04/2018"</f>
        <v>25/04/2018</v>
      </c>
      <c r="B2148" t="str">
        <f>"31.555"</f>
        <v>31.555</v>
      </c>
      <c r="C2148" t="str">
        <f>"31.5263"</f>
        <v>31.5263</v>
      </c>
    </row>
    <row r="2149" spans="1:3" x14ac:dyDescent="0.25">
      <c r="A2149" t="str">
        <f>"26/04/2018"</f>
        <v>26/04/2018</v>
      </c>
      <c r="B2149" t="str">
        <f>"31.57"</f>
        <v>31.57</v>
      </c>
      <c r="C2149" t="str">
        <f>"31.5448"</f>
        <v>31.5448</v>
      </c>
    </row>
    <row r="2150" spans="1:3" x14ac:dyDescent="0.25">
      <c r="A2150" t="str">
        <f>"27/04/2018"</f>
        <v>27/04/2018</v>
      </c>
      <c r="B2150" t="str">
        <f>"31.60"</f>
        <v>31.60</v>
      </c>
      <c r="C2150" t="str">
        <f>"31.5752"</f>
        <v>31.5752</v>
      </c>
    </row>
    <row r="2151" spans="1:3" x14ac:dyDescent="0.25">
      <c r="A2151" t="str">
        <f>"02/05/2018"</f>
        <v>02/05/2018</v>
      </c>
      <c r="B2151" t="str">
        <f>"31.735"</f>
        <v>31.735</v>
      </c>
      <c r="C2151" t="str">
        <f>"31.7106"</f>
        <v>31.7106</v>
      </c>
    </row>
    <row r="2152" spans="1:3" x14ac:dyDescent="0.25">
      <c r="A2152" t="str">
        <f>"03/05/2018"</f>
        <v>03/05/2018</v>
      </c>
      <c r="B2152" t="str">
        <f>"31.65"</f>
        <v>31.65</v>
      </c>
      <c r="C2152" t="str">
        <f>"31.6269"</f>
        <v>31.6269</v>
      </c>
    </row>
    <row r="2153" spans="1:3" x14ac:dyDescent="0.25">
      <c r="A2153" t="str">
        <f>"04/05/2018"</f>
        <v>04/05/2018</v>
      </c>
      <c r="B2153" t="str">
        <f>"31.77"</f>
        <v>31.77</v>
      </c>
      <c r="C2153" t="str">
        <f>"31.7444"</f>
        <v>31.7444</v>
      </c>
    </row>
    <row r="2154" spans="1:3" x14ac:dyDescent="0.25">
      <c r="A2154" t="str">
        <f>"07/05/2018"</f>
        <v>07/05/2018</v>
      </c>
      <c r="B2154" t="str">
        <f>"31.86"</f>
        <v>31.86</v>
      </c>
      <c r="C2154" t="str">
        <f>"31.83"</f>
        <v>31.83</v>
      </c>
    </row>
    <row r="2155" spans="1:3" x14ac:dyDescent="0.25">
      <c r="A2155" t="str">
        <f>"08/05/2018"</f>
        <v>08/05/2018</v>
      </c>
      <c r="B2155" t="str">
        <f>"31.915"</f>
        <v>31.915</v>
      </c>
      <c r="C2155" t="str">
        <f>"31.8872"</f>
        <v>31.8872</v>
      </c>
    </row>
    <row r="2156" spans="1:3" x14ac:dyDescent="0.25">
      <c r="A2156" t="str">
        <f>"09/05/2018"</f>
        <v>09/05/2018</v>
      </c>
      <c r="B2156" t="str">
        <f>"32.135"</f>
        <v>32.135</v>
      </c>
      <c r="C2156" t="str">
        <f>"32.1054"</f>
        <v>32.1054</v>
      </c>
    </row>
    <row r="2157" spans="1:3" x14ac:dyDescent="0.25">
      <c r="A2157" t="str">
        <f>"10/05/2018"</f>
        <v>10/05/2018</v>
      </c>
      <c r="B2157" t="str">
        <f>"32.065"</f>
        <v>32.065</v>
      </c>
      <c r="C2157" t="str">
        <f>"32.038"</f>
        <v>32.038</v>
      </c>
    </row>
    <row r="2158" spans="1:3" x14ac:dyDescent="0.25">
      <c r="A2158" t="str">
        <f>"11/05/2018"</f>
        <v>11/05/2018</v>
      </c>
      <c r="B2158" t="str">
        <f>"31.86"</f>
        <v>31.86</v>
      </c>
      <c r="C2158" t="str">
        <f>"31.8325"</f>
        <v>31.8325</v>
      </c>
    </row>
    <row r="2159" spans="1:3" x14ac:dyDescent="0.25">
      <c r="A2159" t="str">
        <f>"14/05/2018"</f>
        <v>14/05/2018</v>
      </c>
      <c r="B2159" t="str">
        <f>"31.82"</f>
        <v>31.82</v>
      </c>
      <c r="C2159" t="str">
        <f>"31.7912"</f>
        <v>31.7912</v>
      </c>
    </row>
    <row r="2160" spans="1:3" x14ac:dyDescent="0.25">
      <c r="A2160" t="str">
        <f>"15/05/2018"</f>
        <v>15/05/2018</v>
      </c>
      <c r="B2160" t="str">
        <f>"31.935"</f>
        <v>31.935</v>
      </c>
      <c r="C2160" t="str">
        <f>"31.9075"</f>
        <v>31.9075</v>
      </c>
    </row>
    <row r="2161" spans="1:3" x14ac:dyDescent="0.25">
      <c r="A2161" t="str">
        <f>"16/05/2018"</f>
        <v>16/05/2018</v>
      </c>
      <c r="B2161" t="str">
        <f>"32.14"</f>
        <v>32.14</v>
      </c>
      <c r="C2161" t="str">
        <f>"32.1122"</f>
        <v>32.1122</v>
      </c>
    </row>
    <row r="2162" spans="1:3" x14ac:dyDescent="0.25">
      <c r="A2162" t="str">
        <f>"17/05/2018"</f>
        <v>17/05/2018</v>
      </c>
      <c r="B2162" t="str">
        <f>"32.075"</f>
        <v>32.075</v>
      </c>
      <c r="C2162" t="str">
        <f>"32.048"</f>
        <v>32.048</v>
      </c>
    </row>
    <row r="2163" spans="1:3" x14ac:dyDescent="0.25">
      <c r="A2163" t="str">
        <f>"18/05/2018"</f>
        <v>18/05/2018</v>
      </c>
      <c r="B2163" t="str">
        <f>"32.20"</f>
        <v>32.20</v>
      </c>
      <c r="C2163" t="str">
        <f>"32.1731"</f>
        <v>32.1731</v>
      </c>
    </row>
    <row r="2164" spans="1:3" x14ac:dyDescent="0.25">
      <c r="A2164" t="str">
        <f>"21/05/2018"</f>
        <v>21/05/2018</v>
      </c>
      <c r="B2164" t="str">
        <f>"32.235"</f>
        <v>32.235</v>
      </c>
      <c r="C2164" t="str">
        <f>"32.2083"</f>
        <v>32.2083</v>
      </c>
    </row>
    <row r="2165" spans="1:3" x14ac:dyDescent="0.25">
      <c r="A2165" t="str">
        <f>"22/05/2018"</f>
        <v>22/05/2018</v>
      </c>
      <c r="B2165" t="str">
        <f>"32.055"</f>
        <v>32.055</v>
      </c>
      <c r="C2165" t="str">
        <f>"32.0285"</f>
        <v>32.0285</v>
      </c>
    </row>
    <row r="2166" spans="1:3" x14ac:dyDescent="0.25">
      <c r="A2166" t="str">
        <f>"23/05/2018"</f>
        <v>23/05/2018</v>
      </c>
      <c r="B2166" t="str">
        <f>"32.14"</f>
        <v>32.14</v>
      </c>
      <c r="C2166" t="str">
        <f>"32.1103"</f>
        <v>32.1103</v>
      </c>
    </row>
    <row r="2167" spans="1:3" x14ac:dyDescent="0.25">
      <c r="A2167" t="str">
        <f>"24/05/2018"</f>
        <v>24/05/2018</v>
      </c>
      <c r="B2167" t="str">
        <f>"32.05"</f>
        <v>32.05</v>
      </c>
      <c r="C2167" t="str">
        <f>"32.0211"</f>
        <v>32.0211</v>
      </c>
    </row>
    <row r="2168" spans="1:3" x14ac:dyDescent="0.25">
      <c r="A2168" t="str">
        <f>"25/05/2018"</f>
        <v>25/05/2018</v>
      </c>
      <c r="B2168" t="str">
        <f>"31.925"</f>
        <v>31.925</v>
      </c>
      <c r="C2168" t="str">
        <f>"31.8972"</f>
        <v>31.8972</v>
      </c>
    </row>
    <row r="2169" spans="1:3" x14ac:dyDescent="0.25">
      <c r="A2169" t="str">
        <f>"28/05/2018"</f>
        <v>28/05/2018</v>
      </c>
      <c r="B2169" t="str">
        <f>"32.005"</f>
        <v>32.005</v>
      </c>
      <c r="C2169" t="str">
        <f>"31.9768"</f>
        <v>31.9768</v>
      </c>
    </row>
    <row r="2170" spans="1:3" x14ac:dyDescent="0.25">
      <c r="A2170" t="str">
        <f>"29/05/2018"</f>
        <v>29/05/2018</v>
      </c>
      <c r="B2170" t="str">
        <f>"32.005"</f>
        <v>32.005</v>
      </c>
      <c r="C2170" t="str">
        <f>"31.9761"</f>
        <v>31.9761</v>
      </c>
    </row>
    <row r="2171" spans="1:3" x14ac:dyDescent="0.25">
      <c r="A2171" t="str">
        <f>"30/05/2018"</f>
        <v>30/05/2018</v>
      </c>
      <c r="B2171" t="str">
        <f>"32.15"</f>
        <v>32.15</v>
      </c>
      <c r="C2171" t="str">
        <f>"32.1183"</f>
        <v>32.1183</v>
      </c>
    </row>
    <row r="2172" spans="1:3" x14ac:dyDescent="0.25">
      <c r="A2172" t="str">
        <f>"31/05/2018"</f>
        <v>31/05/2018</v>
      </c>
      <c r="B2172" t="str">
        <f>"32.01"</f>
        <v>32.01</v>
      </c>
      <c r="C2172" t="str">
        <f>"31.9792"</f>
        <v>31.9792</v>
      </c>
    </row>
    <row r="2173" spans="1:3" x14ac:dyDescent="0.25">
      <c r="A2173" t="str">
        <f>"01/06/2018"</f>
        <v>01/06/2018</v>
      </c>
      <c r="B2173" t="str">
        <f>"32.015"</f>
        <v>32.015</v>
      </c>
      <c r="C2173" t="str">
        <f>"31.9826"</f>
        <v>31.9826</v>
      </c>
    </row>
    <row r="2174" spans="1:3" x14ac:dyDescent="0.25">
      <c r="A2174" t="str">
        <f>"04/06/2018"</f>
        <v>04/06/2018</v>
      </c>
      <c r="B2174" t="str">
        <f>"31.975"</f>
        <v>31.975</v>
      </c>
      <c r="C2174" t="str">
        <f>"31.9415"</f>
        <v>31.9415</v>
      </c>
    </row>
    <row r="2175" spans="1:3" x14ac:dyDescent="0.25">
      <c r="A2175" t="str">
        <f>"05/06/2018"</f>
        <v>05/06/2018</v>
      </c>
      <c r="B2175" t="str">
        <f>"31.95"</f>
        <v>31.95</v>
      </c>
      <c r="C2175" t="str">
        <f>"31.913"</f>
        <v>31.913</v>
      </c>
    </row>
    <row r="2176" spans="1:3" x14ac:dyDescent="0.25">
      <c r="A2176" t="str">
        <f>"06/06/2018"</f>
        <v>06/06/2018</v>
      </c>
      <c r="B2176" t="str">
        <f>"31.92"</f>
        <v>31.92</v>
      </c>
      <c r="C2176" t="str">
        <f>"31.885"</f>
        <v>31.885</v>
      </c>
    </row>
    <row r="2177" spans="1:3" x14ac:dyDescent="0.25">
      <c r="A2177" t="str">
        <f>"07/06/2018"</f>
        <v>07/06/2018</v>
      </c>
      <c r="B2177" t="str">
        <f>"31.955"</f>
        <v>31.955</v>
      </c>
      <c r="C2177" t="str">
        <f>"31.9245"</f>
        <v>31.9245</v>
      </c>
    </row>
    <row r="2178" spans="1:3" x14ac:dyDescent="0.25">
      <c r="A2178" t="str">
        <f>"08/06/2018"</f>
        <v>08/06/2018</v>
      </c>
      <c r="B2178" t="str">
        <f>"32.065"</f>
        <v>32.065</v>
      </c>
      <c r="C2178" t="str">
        <f>"32.0341"</f>
        <v>32.0341</v>
      </c>
    </row>
    <row r="2179" spans="1:3" x14ac:dyDescent="0.25">
      <c r="A2179" t="str">
        <f>"11/06/2018"</f>
        <v>11/06/2018</v>
      </c>
      <c r="B2179" t="str">
        <f>"32.065"</f>
        <v>32.065</v>
      </c>
      <c r="C2179" t="str">
        <f>"32.0353"</f>
        <v>32.0353</v>
      </c>
    </row>
    <row r="2180" spans="1:3" x14ac:dyDescent="0.25">
      <c r="A2180" t="str">
        <f>"12/06/2018"</f>
        <v>12/06/2018</v>
      </c>
      <c r="B2180" t="str">
        <f>"32.075"</f>
        <v>32.075</v>
      </c>
      <c r="C2180" t="str">
        <f>"32.0435"</f>
        <v>32.0435</v>
      </c>
    </row>
    <row r="2181" spans="1:3" x14ac:dyDescent="0.25">
      <c r="A2181" t="str">
        <f>"13/06/2018"</f>
        <v>13/06/2018</v>
      </c>
      <c r="B2181" t="str">
        <f>"32.165"</f>
        <v>32.165</v>
      </c>
      <c r="C2181" t="str">
        <f>"32.1326"</f>
        <v>32.1326</v>
      </c>
    </row>
    <row r="2182" spans="1:3" x14ac:dyDescent="0.25">
      <c r="A2182" t="str">
        <f>"14/06/2018"</f>
        <v>14/06/2018</v>
      </c>
      <c r="B2182" t="str">
        <f>"32.14"</f>
        <v>32.14</v>
      </c>
      <c r="C2182" t="str">
        <f>"32.1073"</f>
        <v>32.1073</v>
      </c>
    </row>
    <row r="2183" spans="1:3" x14ac:dyDescent="0.25">
      <c r="A2183" t="str">
        <f>"15/06/2018"</f>
        <v>15/06/2018</v>
      </c>
      <c r="B2183" t="str">
        <f>"32.42"</f>
        <v>32.42</v>
      </c>
      <c r="C2183" t="str">
        <f>"32.3911"</f>
        <v>32.3911</v>
      </c>
    </row>
    <row r="2184" spans="1:3" x14ac:dyDescent="0.25">
      <c r="A2184" t="str">
        <f>"18/06/2018"</f>
        <v>18/06/2018</v>
      </c>
      <c r="B2184" t="str">
        <f>"32.68"</f>
        <v>32.68</v>
      </c>
      <c r="C2184" t="str">
        <f>"32.654"</f>
        <v>32.654</v>
      </c>
    </row>
    <row r="2185" spans="1:3" x14ac:dyDescent="0.25">
      <c r="A2185" t="str">
        <f>"19/06/2018"</f>
        <v>19/06/2018</v>
      </c>
      <c r="B2185" t="str">
        <f>"32.815"</f>
        <v>32.815</v>
      </c>
      <c r="C2185" t="str">
        <f>"32.786"</f>
        <v>32.786</v>
      </c>
    </row>
    <row r="2186" spans="1:3" x14ac:dyDescent="0.25">
      <c r="A2186" t="str">
        <f>"20/06/2018"</f>
        <v>20/06/2018</v>
      </c>
      <c r="B2186" t="str">
        <f>"32.80"</f>
        <v>32.80</v>
      </c>
      <c r="C2186" t="str">
        <f>"32.7702"</f>
        <v>32.7702</v>
      </c>
    </row>
    <row r="2187" spans="1:3" x14ac:dyDescent="0.25">
      <c r="A2187" t="str">
        <f>"21/06/2018"</f>
        <v>21/06/2018</v>
      </c>
      <c r="B2187" t="str">
        <f>"32.99"</f>
        <v>32.99</v>
      </c>
      <c r="C2187" t="str">
        <f>"32.9628"</f>
        <v>32.9628</v>
      </c>
    </row>
    <row r="2188" spans="1:3" x14ac:dyDescent="0.25">
      <c r="A2188" t="str">
        <f>"22/06/2018"</f>
        <v>22/06/2018</v>
      </c>
      <c r="B2188" t="str">
        <f>"32.925"</f>
        <v>32.925</v>
      </c>
      <c r="C2188" t="str">
        <f>"32.8989"</f>
        <v>32.8989</v>
      </c>
    </row>
    <row r="2189" spans="1:3" x14ac:dyDescent="0.25">
      <c r="A2189" t="str">
        <f>"25/06/2018"</f>
        <v>25/06/2018</v>
      </c>
      <c r="B2189" t="str">
        <f>"32.97"</f>
        <v>32.97</v>
      </c>
      <c r="C2189" t="str">
        <f>"32.9429"</f>
        <v>32.9429</v>
      </c>
    </row>
    <row r="2190" spans="1:3" x14ac:dyDescent="0.25">
      <c r="A2190" t="str">
        <f>"26/06/2018"</f>
        <v>26/06/2018</v>
      </c>
      <c r="B2190" t="str">
        <f>"33.01"</f>
        <v>33.01</v>
      </c>
      <c r="C2190" t="str">
        <f>"32.9837"</f>
        <v>32.9837</v>
      </c>
    </row>
    <row r="2191" spans="1:3" x14ac:dyDescent="0.25">
      <c r="A2191" t="str">
        <f>"27/06/2018"</f>
        <v>27/06/2018</v>
      </c>
      <c r="B2191" t="str">
        <f>"33.02"</f>
        <v>33.02</v>
      </c>
      <c r="C2191" t="str">
        <f>"32.995"</f>
        <v>32.995</v>
      </c>
    </row>
    <row r="2192" spans="1:3" x14ac:dyDescent="0.25">
      <c r="A2192" t="str">
        <f>"28/06/2018"</f>
        <v>28/06/2018</v>
      </c>
      <c r="B2192" t="str">
        <f>"33.13"</f>
        <v>33.13</v>
      </c>
      <c r="C2192" t="str">
        <f>"33.1069"</f>
        <v>33.1069</v>
      </c>
    </row>
    <row r="2193" spans="1:3" x14ac:dyDescent="0.25">
      <c r="A2193" t="str">
        <f>"29/06/2018"</f>
        <v>29/06/2018</v>
      </c>
      <c r="B2193" t="str">
        <f>"33.13"</f>
        <v>33.13</v>
      </c>
      <c r="C2193" t="str">
        <f>"33.1075"</f>
        <v>33.1075</v>
      </c>
    </row>
    <row r="2194" spans="1:3" x14ac:dyDescent="0.25">
      <c r="A2194" t="str">
        <f>"02/07/2018"</f>
        <v>02/07/2018</v>
      </c>
      <c r="B2194" t="str">
        <f>"33.15"</f>
        <v>33.15</v>
      </c>
      <c r="C2194" t="str">
        <f>"33.1267"</f>
        <v>33.1267</v>
      </c>
    </row>
    <row r="2195" spans="1:3" x14ac:dyDescent="0.25">
      <c r="A2195" t="str">
        <f>"03/07/2018"</f>
        <v>03/07/2018</v>
      </c>
      <c r="B2195" t="str">
        <f>"33.205"</f>
        <v>33.205</v>
      </c>
      <c r="C2195" t="str">
        <f>"33.1825"</f>
        <v>33.1825</v>
      </c>
    </row>
    <row r="2196" spans="1:3" x14ac:dyDescent="0.25">
      <c r="A2196" t="str">
        <f>"04/07/2018"</f>
        <v>04/07/2018</v>
      </c>
      <c r="B2196" t="str">
        <f>"33.145"</f>
        <v>33.145</v>
      </c>
      <c r="C2196" t="str">
        <f>"33.1228"</f>
        <v>33.1228</v>
      </c>
    </row>
    <row r="2197" spans="1:3" x14ac:dyDescent="0.25">
      <c r="A2197" t="str">
        <f>"05/07/2018"</f>
        <v>05/07/2018</v>
      </c>
      <c r="B2197" t="str">
        <f>"33.24"</f>
        <v>33.24</v>
      </c>
      <c r="C2197" t="str">
        <f>"33.2197"</f>
        <v>33.2197</v>
      </c>
    </row>
    <row r="2198" spans="1:3" x14ac:dyDescent="0.25">
      <c r="A2198" t="str">
        <f>"06/07/2018"</f>
        <v>06/07/2018</v>
      </c>
      <c r="B2198" t="str">
        <f>"33.18"</f>
        <v>33.18</v>
      </c>
      <c r="C2198" t="str">
        <f>"33.1609"</f>
        <v>33.1609</v>
      </c>
    </row>
    <row r="2199" spans="1:3" x14ac:dyDescent="0.25">
      <c r="A2199" t="str">
        <f>"09/07/2018"</f>
        <v>09/07/2018</v>
      </c>
      <c r="B2199" t="str">
        <f>"33.15"</f>
        <v>33.15</v>
      </c>
      <c r="C2199" t="str">
        <f>"33.1297"</f>
        <v>33.1297</v>
      </c>
    </row>
    <row r="2200" spans="1:3" x14ac:dyDescent="0.25">
      <c r="A2200" t="str">
        <f>"10/07/2018"</f>
        <v>10/07/2018</v>
      </c>
      <c r="B2200" t="str">
        <f>"33.18"</f>
        <v>33.18</v>
      </c>
      <c r="C2200" t="str">
        <f>"33.1577"</f>
        <v>33.1577</v>
      </c>
    </row>
    <row r="2201" spans="1:3" x14ac:dyDescent="0.25">
      <c r="A2201" t="str">
        <f>"11/07/2018"</f>
        <v>11/07/2018</v>
      </c>
      <c r="B2201" t="str">
        <f>"33.31"</f>
        <v>33.31</v>
      </c>
      <c r="C2201" t="str">
        <f>"33.2885"</f>
        <v>33.2885</v>
      </c>
    </row>
    <row r="2202" spans="1:3" x14ac:dyDescent="0.25">
      <c r="A2202" t="str">
        <f>"12/07/2018"</f>
        <v>12/07/2018</v>
      </c>
      <c r="B2202" t="str">
        <f>"33.275"</f>
        <v>33.275</v>
      </c>
      <c r="C2202" t="str">
        <f>"33.2526"</f>
        <v>33.2526</v>
      </c>
    </row>
    <row r="2203" spans="1:3" x14ac:dyDescent="0.25">
      <c r="A2203" t="str">
        <f>"13/07/2018"</f>
        <v>13/07/2018</v>
      </c>
      <c r="B2203" t="str">
        <f>"33.345"</f>
        <v>33.345</v>
      </c>
      <c r="C2203" t="str">
        <f>"33.3246"</f>
        <v>33.3246</v>
      </c>
    </row>
    <row r="2204" spans="1:3" x14ac:dyDescent="0.25">
      <c r="A2204" t="str">
        <f>"16/07/2018"</f>
        <v>16/07/2018</v>
      </c>
      <c r="B2204" t="str">
        <f>"33.295"</f>
        <v>33.295</v>
      </c>
      <c r="C2204" t="str">
        <f>"33.275"</f>
        <v>33.275</v>
      </c>
    </row>
    <row r="2205" spans="1:3" x14ac:dyDescent="0.25">
      <c r="A2205" t="str">
        <f>"17/07/2018"</f>
        <v>17/07/2018</v>
      </c>
      <c r="B2205" t="str">
        <f>"33.26"</f>
        <v>33.26</v>
      </c>
      <c r="C2205" t="str">
        <f>"33.241"</f>
        <v>33.241</v>
      </c>
    </row>
    <row r="2206" spans="1:3" x14ac:dyDescent="0.25">
      <c r="A2206" t="str">
        <f>"18/07/2018"</f>
        <v>18/07/2018</v>
      </c>
      <c r="B2206" t="str">
        <f>"33.36"</f>
        <v>33.36</v>
      </c>
      <c r="C2206" t="str">
        <f>"33.344"</f>
        <v>33.344</v>
      </c>
    </row>
    <row r="2207" spans="1:3" x14ac:dyDescent="0.25">
      <c r="A2207" t="str">
        <f>"19/07/2018"</f>
        <v>19/07/2018</v>
      </c>
      <c r="B2207" t="str">
        <f>"33.45"</f>
        <v>33.45</v>
      </c>
      <c r="C2207" t="str">
        <f>"33.4343"</f>
        <v>33.4343</v>
      </c>
    </row>
    <row r="2208" spans="1:3" x14ac:dyDescent="0.25">
      <c r="A2208" t="str">
        <f>"20/07/2018"</f>
        <v>20/07/2018</v>
      </c>
      <c r="B2208" t="str">
        <f>"33.42"</f>
        <v>33.42</v>
      </c>
      <c r="C2208" t="str">
        <f>"33.4049"</f>
        <v>33.4049</v>
      </c>
    </row>
    <row r="2209" spans="1:3" x14ac:dyDescent="0.25">
      <c r="A2209" t="str">
        <f>"23/07/2018"</f>
        <v>23/07/2018</v>
      </c>
      <c r="B2209" t="str">
        <f>"33.45"</f>
        <v>33.45</v>
      </c>
      <c r="C2209" t="str">
        <f>"33.4305"</f>
        <v>33.4305</v>
      </c>
    </row>
    <row r="2210" spans="1:3" x14ac:dyDescent="0.25">
      <c r="A2210" t="str">
        <f>"24/07/2018"</f>
        <v>24/07/2018</v>
      </c>
      <c r="B2210" t="str">
        <f>"33.425"</f>
        <v>33.425</v>
      </c>
      <c r="C2210" t="str">
        <f>"33.4055"</f>
        <v>33.4055</v>
      </c>
    </row>
    <row r="2211" spans="1:3" x14ac:dyDescent="0.25">
      <c r="A2211" t="str">
        <f>"25/07/2018"</f>
        <v>25/07/2018</v>
      </c>
      <c r="B2211" t="str">
        <f>"33.295"</f>
        <v>33.295</v>
      </c>
      <c r="C2211" t="str">
        <f>"33.274"</f>
        <v>33.274</v>
      </c>
    </row>
    <row r="2212" spans="1:3" x14ac:dyDescent="0.25">
      <c r="A2212" t="str">
        <f>"26/07/2018"</f>
        <v>26/07/2018</v>
      </c>
      <c r="B2212" t="str">
        <f>"33.30"</f>
        <v>33.30</v>
      </c>
      <c r="C2212" t="str">
        <f>"33.2775"</f>
        <v>33.2775</v>
      </c>
    </row>
    <row r="2213" spans="1:3" x14ac:dyDescent="0.25">
      <c r="A2213" t="str">
        <f>"27/07/2018"</f>
        <v>27/07/2018</v>
      </c>
      <c r="B2213" t="str">
        <f>"33.30"</f>
        <v>33.30</v>
      </c>
      <c r="C2213" t="str">
        <f>"33.2803"</f>
        <v>33.2803</v>
      </c>
    </row>
    <row r="2214" spans="1:3" x14ac:dyDescent="0.25">
      <c r="A2214" t="str">
        <f>"30/07/2018"</f>
        <v>30/07/2018</v>
      </c>
      <c r="B2214" t="str">
        <f>"33.30"</f>
        <v>33.30</v>
      </c>
      <c r="C2214" t="str">
        <f>"33.2803"</f>
        <v>33.2803</v>
      </c>
    </row>
    <row r="2215" spans="1:3" x14ac:dyDescent="0.25">
      <c r="A2215" t="str">
        <f>"31/07/2018"</f>
        <v>31/07/2018</v>
      </c>
      <c r="B2215" t="str">
        <f>"33.28"</f>
        <v>33.28</v>
      </c>
      <c r="C2215" t="str">
        <f>"33.2575"</f>
        <v>33.2575</v>
      </c>
    </row>
    <row r="2216" spans="1:3" x14ac:dyDescent="0.25">
      <c r="A2216" t="str">
        <f>"01/08/2018"</f>
        <v>01/08/2018</v>
      </c>
      <c r="B2216" t="str">
        <f>"33.14"</f>
        <v>33.14</v>
      </c>
      <c r="C2216" t="str">
        <f>"33.1202"</f>
        <v>33.1202</v>
      </c>
    </row>
    <row r="2217" spans="1:3" x14ac:dyDescent="0.25">
      <c r="A2217" t="str">
        <f>"02/08/2018"</f>
        <v>02/08/2018</v>
      </c>
      <c r="B2217" t="str">
        <f>"33.32"</f>
        <v>33.32</v>
      </c>
      <c r="C2217" t="str">
        <f>"33.3005"</f>
        <v>33.3005</v>
      </c>
    </row>
    <row r="2218" spans="1:3" x14ac:dyDescent="0.25">
      <c r="A2218" t="str">
        <f>"03/08/2018"</f>
        <v>03/08/2018</v>
      </c>
      <c r="B2218" t="str">
        <f>"33.35"</f>
        <v>33.35</v>
      </c>
      <c r="C2218" t="str">
        <f>"33.331"</f>
        <v>33.331</v>
      </c>
    </row>
    <row r="2219" spans="1:3" x14ac:dyDescent="0.25">
      <c r="A2219" t="str">
        <f>"06/08/2018"</f>
        <v>06/08/2018</v>
      </c>
      <c r="B2219" t="str">
        <f>"33.33"</f>
        <v>33.33</v>
      </c>
      <c r="C2219" t="str">
        <f>"33.3091"</f>
        <v>33.3091</v>
      </c>
    </row>
    <row r="2220" spans="1:3" x14ac:dyDescent="0.25">
      <c r="A2220" t="str">
        <f>"07/08/2018"</f>
        <v>07/08/2018</v>
      </c>
      <c r="B2220" t="str">
        <f>"33.235"</f>
        <v>33.235</v>
      </c>
      <c r="C2220" t="str">
        <f>"33.2129"</f>
        <v>33.2129</v>
      </c>
    </row>
    <row r="2221" spans="1:3" x14ac:dyDescent="0.25">
      <c r="A2221" t="str">
        <f>"08/08/2018"</f>
        <v>08/08/2018</v>
      </c>
      <c r="B2221" t="str">
        <f>"33.215"</f>
        <v>33.215</v>
      </c>
      <c r="C2221" t="str">
        <f>"33.1917"</f>
        <v>33.1917</v>
      </c>
    </row>
    <row r="2222" spans="1:3" x14ac:dyDescent="0.25">
      <c r="A2222" t="str">
        <f>"09/08/2018"</f>
        <v>09/08/2018</v>
      </c>
      <c r="B2222" t="str">
        <f>"33.185"</f>
        <v>33.185</v>
      </c>
      <c r="C2222" t="str">
        <f>"33.1626"</f>
        <v>33.1626</v>
      </c>
    </row>
    <row r="2223" spans="1:3" x14ac:dyDescent="0.25">
      <c r="A2223" t="str">
        <f>"10/08/2018"</f>
        <v>10/08/2018</v>
      </c>
      <c r="B2223" t="str">
        <f>"33.27"</f>
        <v>33.27</v>
      </c>
      <c r="C2223" t="str">
        <f>"33.2463"</f>
        <v>33.2463</v>
      </c>
    </row>
    <row r="2224" spans="1:3" x14ac:dyDescent="0.25">
      <c r="A2224" t="str">
        <f>"13/08/2018"</f>
        <v>13/08/2018</v>
      </c>
      <c r="B2224" t="str">
        <f>"33.27"</f>
        <v>33.27</v>
      </c>
      <c r="C2224" t="str">
        <f>"33.2463"</f>
        <v>33.2463</v>
      </c>
    </row>
    <row r="2225" spans="1:3" x14ac:dyDescent="0.25">
      <c r="A2225" t="str">
        <f>"14/08/2018"</f>
        <v>14/08/2018</v>
      </c>
      <c r="B2225" t="str">
        <f>"33.28"</f>
        <v>33.28</v>
      </c>
      <c r="C2225" t="str">
        <f>"33.257"</f>
        <v>33.257</v>
      </c>
    </row>
    <row r="2226" spans="1:3" x14ac:dyDescent="0.25">
      <c r="A2226" t="str">
        <f>"16/08/2018"</f>
        <v>16/08/2018</v>
      </c>
      <c r="B2226" t="str">
        <f>"33.30"</f>
        <v>33.30</v>
      </c>
      <c r="C2226" t="str">
        <f>"33.2783"</f>
        <v>33.2783</v>
      </c>
    </row>
    <row r="2227" spans="1:3" x14ac:dyDescent="0.25">
      <c r="A2227" t="str">
        <f>"20/08/2018"</f>
        <v>20/08/2018</v>
      </c>
      <c r="B2227" t="str">
        <f>"33.06"</f>
        <v>33.06</v>
      </c>
      <c r="C2227" t="str">
        <f>"33.0374"</f>
        <v>33.0374</v>
      </c>
    </row>
    <row r="2228" spans="1:3" x14ac:dyDescent="0.25">
      <c r="A2228" t="str">
        <f>"21/08/2018"</f>
        <v>21/08/2018</v>
      </c>
      <c r="B2228" t="str">
        <f>"32.725"</f>
        <v>32.725</v>
      </c>
      <c r="C2228" t="str">
        <f>"32.7028"</f>
        <v>32.7028</v>
      </c>
    </row>
    <row r="2229" spans="1:3" x14ac:dyDescent="0.25">
      <c r="A2229" t="str">
        <f>"23/08/2018"</f>
        <v>23/08/2018</v>
      </c>
      <c r="B2229" t="str">
        <f>"32.805"</f>
        <v>32.805</v>
      </c>
      <c r="C2229" t="str">
        <f>"32.7816"</f>
        <v>32.7816</v>
      </c>
    </row>
    <row r="2230" spans="1:3" x14ac:dyDescent="0.25">
      <c r="A2230" t="str">
        <f>"24/08/2018"</f>
        <v>24/08/2018</v>
      </c>
      <c r="B2230" t="str">
        <f>"32.755"</f>
        <v>32.755</v>
      </c>
      <c r="C2230" t="str">
        <f>"32.731"</f>
        <v>32.731</v>
      </c>
    </row>
    <row r="2231" spans="1:3" x14ac:dyDescent="0.25">
      <c r="A2231" t="str">
        <f>"27/08/2018"</f>
        <v>27/08/2018</v>
      </c>
      <c r="B2231" t="str">
        <f>"32.595"</f>
        <v>32.595</v>
      </c>
      <c r="C2231" t="str">
        <f>"32.5713"</f>
        <v>32.5713</v>
      </c>
    </row>
    <row r="2232" spans="1:3" x14ac:dyDescent="0.25">
      <c r="A2232" t="str">
        <f>"28/08/2018"</f>
        <v>28/08/2018</v>
      </c>
      <c r="B2232" t="str">
        <f>"32.565"</f>
        <v>32.565</v>
      </c>
      <c r="C2232" t="str">
        <f>"32.5414"</f>
        <v>32.5414</v>
      </c>
    </row>
    <row r="2233" spans="1:3" x14ac:dyDescent="0.25">
      <c r="A2233" t="str">
        <f>"29/08/2018"</f>
        <v>29/08/2018</v>
      </c>
      <c r="B2233" t="str">
        <f>"32.72"</f>
        <v>32.72</v>
      </c>
      <c r="C2233" t="str">
        <f>"32.6968"</f>
        <v>32.6968</v>
      </c>
    </row>
    <row r="2234" spans="1:3" x14ac:dyDescent="0.25">
      <c r="A2234" t="str">
        <f>"30/08/2018"</f>
        <v>30/08/2018</v>
      </c>
      <c r="B2234" t="str">
        <f>"32.715"</f>
        <v>32.715</v>
      </c>
      <c r="C2234" t="str">
        <f>"32.6898"</f>
        <v>32.6898</v>
      </c>
    </row>
    <row r="2235" spans="1:3" x14ac:dyDescent="0.25">
      <c r="A2235" t="str">
        <f>"31/08/2018"</f>
        <v>31/08/2018</v>
      </c>
      <c r="B2235" t="str">
        <f>"32.74"</f>
        <v>32.74</v>
      </c>
      <c r="C2235" t="str">
        <f>"32.714"</f>
        <v>32.714</v>
      </c>
    </row>
    <row r="2236" spans="1:3" x14ac:dyDescent="0.25">
      <c r="A2236" t="str">
        <f>"03/09/2018"</f>
        <v>03/09/2018</v>
      </c>
      <c r="B2236" t="str">
        <f>"32.74"</f>
        <v>32.74</v>
      </c>
      <c r="C2236" t="str">
        <f>"32.7147"</f>
        <v>32.7147</v>
      </c>
    </row>
    <row r="2237" spans="1:3" x14ac:dyDescent="0.25">
      <c r="A2237" t="str">
        <f>"04/09/2018"</f>
        <v>04/09/2018</v>
      </c>
      <c r="B2237" t="str">
        <f>"32.82"</f>
        <v>32.82</v>
      </c>
      <c r="C2237" t="str">
        <f>"32.791"</f>
        <v>32.791</v>
      </c>
    </row>
    <row r="2238" spans="1:3" x14ac:dyDescent="0.25">
      <c r="A2238" t="str">
        <f>"05/09/2018"</f>
        <v>05/09/2018</v>
      </c>
      <c r="B2238" t="str">
        <f>"32.84"</f>
        <v>32.84</v>
      </c>
      <c r="C2238" t="str">
        <f>"32.8102"</f>
        <v>32.8102</v>
      </c>
    </row>
    <row r="2239" spans="1:3" x14ac:dyDescent="0.25">
      <c r="A2239" t="str">
        <f>"06/09/2018"</f>
        <v>06/09/2018</v>
      </c>
      <c r="B2239" t="str">
        <f>"32.815"</f>
        <v>32.815</v>
      </c>
      <c r="C2239" t="str">
        <f>"32.7865"</f>
        <v>32.7865</v>
      </c>
    </row>
    <row r="2240" spans="1:3" x14ac:dyDescent="0.25">
      <c r="A2240" t="str">
        <f>"07/09/2018"</f>
        <v>07/09/2018</v>
      </c>
      <c r="B2240" t="str">
        <f>"32.80"</f>
        <v>32.80</v>
      </c>
      <c r="C2240" t="str">
        <f>"32.7739"</f>
        <v>32.7739</v>
      </c>
    </row>
    <row r="2241" spans="1:3" x14ac:dyDescent="0.25">
      <c r="A2241" t="str">
        <f>"10/09/2018"</f>
        <v>10/09/2018</v>
      </c>
      <c r="B2241" t="str">
        <f>"32.855"</f>
        <v>32.855</v>
      </c>
      <c r="C2241" t="str">
        <f>"32.829"</f>
        <v>32.829</v>
      </c>
    </row>
    <row r="2242" spans="1:3" x14ac:dyDescent="0.25">
      <c r="A2242" t="str">
        <f>"11/09/2018"</f>
        <v>11/09/2018</v>
      </c>
      <c r="B2242" t="str">
        <f>"32.79"</f>
        <v>32.79</v>
      </c>
      <c r="C2242" t="str">
        <f>"32.76"</f>
        <v>32.76</v>
      </c>
    </row>
    <row r="2243" spans="1:3" x14ac:dyDescent="0.25">
      <c r="A2243" t="str">
        <f>"12/09/2018"</f>
        <v>12/09/2018</v>
      </c>
      <c r="B2243" t="str">
        <f>"32.80"</f>
        <v>32.80</v>
      </c>
      <c r="C2243" t="str">
        <f>"32.772"</f>
        <v>32.772</v>
      </c>
    </row>
    <row r="2244" spans="1:3" x14ac:dyDescent="0.25">
      <c r="A2244" t="str">
        <f>"14/09/2018"</f>
        <v>14/09/2018</v>
      </c>
      <c r="B2244" t="str">
        <f>"32.575"</f>
        <v>32.575</v>
      </c>
      <c r="C2244" t="str">
        <f>"32.5479"</f>
        <v>32.5479</v>
      </c>
    </row>
    <row r="2245" spans="1:3" x14ac:dyDescent="0.25">
      <c r="A2245" t="str">
        <f>"17/09/2018"</f>
        <v>17/09/2018</v>
      </c>
      <c r="B2245" t="str">
        <f>"32.645"</f>
        <v>32.645</v>
      </c>
      <c r="C2245" t="str">
        <f>"32.6177"</f>
        <v>32.6177</v>
      </c>
    </row>
    <row r="2246" spans="1:3" x14ac:dyDescent="0.25">
      <c r="A2246" t="str">
        <f>"18/09/2018"</f>
        <v>18/09/2018</v>
      </c>
      <c r="B2246" t="str">
        <f>"32.58"</f>
        <v>32.58</v>
      </c>
      <c r="C2246" t="str">
        <f>"32.552"</f>
        <v>32.552</v>
      </c>
    </row>
    <row r="2247" spans="1:3" x14ac:dyDescent="0.25">
      <c r="A2247" t="str">
        <f>"19/09/2018"</f>
        <v>19/09/2018</v>
      </c>
      <c r="B2247" t="str">
        <f>"32.455"</f>
        <v>32.455</v>
      </c>
      <c r="C2247" t="str">
        <f>"32.4279"</f>
        <v>32.4279</v>
      </c>
    </row>
    <row r="2248" spans="1:3" x14ac:dyDescent="0.25">
      <c r="A2248" t="str">
        <f>"21/09/2018"</f>
        <v>21/09/2018</v>
      </c>
      <c r="B2248" t="str">
        <f>"32.39"</f>
        <v>32.39</v>
      </c>
      <c r="C2248" t="str">
        <f>"32.3605"</f>
        <v>32.3605</v>
      </c>
    </row>
    <row r="2249" spans="1:3" x14ac:dyDescent="0.25">
      <c r="A2249" t="str">
        <f>"24/09/2018"</f>
        <v>24/09/2018</v>
      </c>
      <c r="B2249" t="str">
        <f>"32.435"</f>
        <v>32.435</v>
      </c>
      <c r="C2249" t="str">
        <f>"32.4051"</f>
        <v>32.4051</v>
      </c>
    </row>
    <row r="2250" spans="1:3" x14ac:dyDescent="0.25">
      <c r="A2250" t="str">
        <f>"25/09/2018"</f>
        <v>25/09/2018</v>
      </c>
      <c r="B2250" t="str">
        <f>"32.435"</f>
        <v>32.435</v>
      </c>
      <c r="C2250" t="str">
        <f>"32.405"</f>
        <v>32.405</v>
      </c>
    </row>
    <row r="2251" spans="1:3" x14ac:dyDescent="0.25">
      <c r="A2251" t="str">
        <f>"26/09/2018"</f>
        <v>26/09/2018</v>
      </c>
      <c r="B2251" t="str">
        <f>"32.46"</f>
        <v>32.46</v>
      </c>
      <c r="C2251" t="str">
        <f>"32.4305"</f>
        <v>32.4305</v>
      </c>
    </row>
    <row r="2252" spans="1:3" x14ac:dyDescent="0.25">
      <c r="A2252" t="str">
        <f>"27/09/2018"</f>
        <v>27/09/2018</v>
      </c>
      <c r="B2252" t="str">
        <f>"32.41"</f>
        <v>32.41</v>
      </c>
      <c r="C2252" t="str">
        <f>"32.3809"</f>
        <v>32.3809</v>
      </c>
    </row>
    <row r="2253" spans="1:3" x14ac:dyDescent="0.25">
      <c r="A2253" t="str">
        <f>"28/09/2018"</f>
        <v>28/09/2018</v>
      </c>
      <c r="B2253" t="str">
        <f>"32.35"</f>
        <v>32.35</v>
      </c>
      <c r="C2253" t="str">
        <f>"32.322"</f>
        <v>32.322</v>
      </c>
    </row>
    <row r="2254" spans="1:3" x14ac:dyDescent="0.25">
      <c r="A2254" t="str">
        <f>"01/10/2018"</f>
        <v>01/10/2018</v>
      </c>
      <c r="B2254" t="str">
        <f>"32.245"</f>
        <v>32.245</v>
      </c>
      <c r="C2254" t="str">
        <f>"32.2157"</f>
        <v>32.2157</v>
      </c>
    </row>
    <row r="2255" spans="1:3" x14ac:dyDescent="0.25">
      <c r="A2255" t="str">
        <f>"03/10/2018"</f>
        <v>03/10/2018</v>
      </c>
      <c r="B2255" t="str">
        <f>"32.37"</f>
        <v>32.37</v>
      </c>
      <c r="C2255" t="str">
        <f>"32.3415"</f>
        <v>32.3415</v>
      </c>
    </row>
    <row r="2256" spans="1:3" x14ac:dyDescent="0.25">
      <c r="A2256" t="str">
        <f>"04/10/2018"</f>
        <v>04/10/2018</v>
      </c>
      <c r="B2256" t="str">
        <f>"32.63"</f>
        <v>32.63</v>
      </c>
      <c r="C2256" t="str">
        <f>"32.6025"</f>
        <v>32.6025</v>
      </c>
    </row>
    <row r="2257" spans="1:3" x14ac:dyDescent="0.25">
      <c r="A2257" t="str">
        <f>"05/10/2018"</f>
        <v>05/10/2018</v>
      </c>
      <c r="B2257" t="str">
        <f>"32.875"</f>
        <v>32.875</v>
      </c>
      <c r="C2257" t="str">
        <f>"32.8485"</f>
        <v>32.8485</v>
      </c>
    </row>
    <row r="2258" spans="1:3" x14ac:dyDescent="0.25">
      <c r="A2258" t="str">
        <f>"08/10/2018"</f>
        <v>08/10/2018</v>
      </c>
      <c r="B2258" t="str">
        <f>"32.99"</f>
        <v>32.99</v>
      </c>
      <c r="C2258" t="str">
        <f>"32.9624"</f>
        <v>32.9624</v>
      </c>
    </row>
    <row r="2259" spans="1:3" x14ac:dyDescent="0.25">
      <c r="A2259" t="str">
        <f>"09/10/2018"</f>
        <v>09/10/2018</v>
      </c>
      <c r="B2259" t="str">
        <f>"33.03"</f>
        <v>33.03</v>
      </c>
      <c r="C2259" t="str">
        <f>"33.0062"</f>
        <v>33.0062</v>
      </c>
    </row>
    <row r="2260" spans="1:3" x14ac:dyDescent="0.25">
      <c r="A2260" t="str">
        <f>"10/10/2018"</f>
        <v>10/10/2018</v>
      </c>
      <c r="B2260" t="str">
        <f>"32.965"</f>
        <v>32.965</v>
      </c>
      <c r="C2260" t="str">
        <f>"32.9415"</f>
        <v>32.9415</v>
      </c>
    </row>
    <row r="2261" spans="1:3" x14ac:dyDescent="0.25">
      <c r="A2261" t="str">
        <f>"11/10/2018"</f>
        <v>11/10/2018</v>
      </c>
      <c r="B2261" t="str">
        <f>"32.775"</f>
        <v>32.775</v>
      </c>
      <c r="C2261" t="str">
        <f>"32.7509"</f>
        <v>32.7509</v>
      </c>
    </row>
    <row r="2262" spans="1:3" x14ac:dyDescent="0.25">
      <c r="A2262" t="str">
        <f>"12/10/2018"</f>
        <v>12/10/2018</v>
      </c>
      <c r="B2262" t="str">
        <f>"32.76"</f>
        <v>32.76</v>
      </c>
      <c r="C2262" t="str">
        <f>"32.7368"</f>
        <v>32.7368</v>
      </c>
    </row>
    <row r="2263" spans="1:3" x14ac:dyDescent="0.25">
      <c r="A2263" t="str">
        <f>"15/10/2018"</f>
        <v>15/10/2018</v>
      </c>
      <c r="B2263" t="str">
        <f>"32.76"</f>
        <v>32.76</v>
      </c>
      <c r="C2263" t="str">
        <f>"32.7368"</f>
        <v>32.7368</v>
      </c>
    </row>
    <row r="2264" spans="1:3" x14ac:dyDescent="0.25">
      <c r="A2264" t="str">
        <f>"16/10/2018"</f>
        <v>16/10/2018</v>
      </c>
      <c r="B2264" t="str">
        <f>"32.655"</f>
        <v>32.655</v>
      </c>
      <c r="C2264" t="str">
        <f>"32.6314"</f>
        <v>32.6314</v>
      </c>
    </row>
    <row r="2265" spans="1:3" x14ac:dyDescent="0.25">
      <c r="A2265" t="str">
        <f>"17/10/2018"</f>
        <v>17/10/2018</v>
      </c>
      <c r="B2265" t="str">
        <f>"32.525"</f>
        <v>32.525</v>
      </c>
      <c r="C2265" t="str">
        <f>"32.5035"</f>
        <v>32.5035</v>
      </c>
    </row>
    <row r="2266" spans="1:3" x14ac:dyDescent="0.25">
      <c r="A2266" t="str">
        <f>"19/10/2018"</f>
        <v>19/10/2018</v>
      </c>
      <c r="B2266" t="str">
        <f>"32.62"</f>
        <v>32.62</v>
      </c>
      <c r="C2266" t="str">
        <f>"32.601"</f>
        <v>32.601</v>
      </c>
    </row>
    <row r="2267" spans="1:3" x14ac:dyDescent="0.25">
      <c r="A2267" t="str">
        <f>"22/10/2018"</f>
        <v>22/10/2018</v>
      </c>
      <c r="B2267" t="str">
        <f>"32.78"</f>
        <v>32.78</v>
      </c>
      <c r="C2267" t="str">
        <f>"32.7605"</f>
        <v>32.7605</v>
      </c>
    </row>
    <row r="2268" spans="1:3" x14ac:dyDescent="0.25">
      <c r="A2268" t="str">
        <f>"23/10/2018"</f>
        <v>23/10/2018</v>
      </c>
      <c r="B2268" t="str">
        <f>"32.78"</f>
        <v>32.78</v>
      </c>
      <c r="C2268" t="str">
        <f>"32.7603"</f>
        <v>32.7603</v>
      </c>
    </row>
    <row r="2269" spans="1:3" x14ac:dyDescent="0.25">
      <c r="A2269" t="str">
        <f>"24/10/2018"</f>
        <v>24/10/2018</v>
      </c>
      <c r="B2269" t="str">
        <f>"32.89"</f>
        <v>32.89</v>
      </c>
      <c r="C2269" t="str">
        <f>"32.8724"</f>
        <v>32.8724</v>
      </c>
    </row>
    <row r="2270" spans="1:3" x14ac:dyDescent="0.25">
      <c r="A2270" t="str">
        <f>"25/10/2018"</f>
        <v>25/10/2018</v>
      </c>
      <c r="B2270" t="str">
        <f>"32.915"</f>
        <v>32.915</v>
      </c>
      <c r="C2270" t="str">
        <f>"32.8991"</f>
        <v>32.8991</v>
      </c>
    </row>
    <row r="2271" spans="1:3" x14ac:dyDescent="0.25">
      <c r="A2271" t="str">
        <f>"26/10/2018"</f>
        <v>26/10/2018</v>
      </c>
      <c r="B2271" t="str">
        <f>"33.125"</f>
        <v>33.125</v>
      </c>
      <c r="C2271" t="str">
        <f>"33.1072"</f>
        <v>33.1072</v>
      </c>
    </row>
    <row r="2272" spans="1:3" x14ac:dyDescent="0.25">
      <c r="A2272" t="str">
        <f>"29/10/2018"</f>
        <v>29/10/2018</v>
      </c>
      <c r="B2272" t="str">
        <f>"33.155"</f>
        <v>33.155</v>
      </c>
      <c r="C2272" t="str">
        <f>"33.1376"</f>
        <v>33.1376</v>
      </c>
    </row>
    <row r="2273" spans="1:3" x14ac:dyDescent="0.25">
      <c r="A2273" t="str">
        <f>"30/10/2018"</f>
        <v>30/10/2018</v>
      </c>
      <c r="B2273" t="str">
        <f>"33.255"</f>
        <v>33.255</v>
      </c>
      <c r="C2273" t="str">
        <f>"33.2325"</f>
        <v>33.2325</v>
      </c>
    </row>
    <row r="2274" spans="1:3" x14ac:dyDescent="0.25">
      <c r="A2274" t="str">
        <f>"31/10/2018"</f>
        <v>31/10/2018</v>
      </c>
      <c r="B2274" t="str">
        <f>"33.16"</f>
        <v>33.16</v>
      </c>
      <c r="C2274" t="str">
        <f>"33.1388"</f>
        <v>33.1388</v>
      </c>
    </row>
    <row r="2275" spans="1:3" x14ac:dyDescent="0.25">
      <c r="A2275" t="str">
        <f>"01/11/2018"</f>
        <v>01/11/2018</v>
      </c>
      <c r="B2275" t="str">
        <f>"32.97"</f>
        <v>32.97</v>
      </c>
      <c r="C2275" t="str">
        <f>"32.9494"</f>
        <v>32.9494</v>
      </c>
    </row>
    <row r="2276" spans="1:3" x14ac:dyDescent="0.25">
      <c r="A2276" t="str">
        <f>"02/11/2018"</f>
        <v>02/11/2018</v>
      </c>
      <c r="B2276" t="str">
        <f>"32.835"</f>
        <v>32.835</v>
      </c>
      <c r="C2276" t="str">
        <f>"32.8148"</f>
        <v>32.8148</v>
      </c>
    </row>
    <row r="2277" spans="1:3" x14ac:dyDescent="0.25">
      <c r="A2277" t="str">
        <f>"05/11/2018"</f>
        <v>05/11/2018</v>
      </c>
      <c r="B2277" t="str">
        <f>"32.975"</f>
        <v>32.975</v>
      </c>
      <c r="C2277" t="str">
        <f>"32.955"</f>
        <v>32.955</v>
      </c>
    </row>
    <row r="2278" spans="1:3" x14ac:dyDescent="0.25">
      <c r="A2278" t="str">
        <f>"06/11/2018"</f>
        <v>06/11/2018</v>
      </c>
      <c r="B2278" t="str">
        <f>"32.965"</f>
        <v>32.965</v>
      </c>
      <c r="C2278" t="str">
        <f>"32.9493"</f>
        <v>32.9493</v>
      </c>
    </row>
    <row r="2279" spans="1:3" x14ac:dyDescent="0.25">
      <c r="A2279" t="str">
        <f>"09/11/2018"</f>
        <v>09/11/2018</v>
      </c>
      <c r="B2279" t="str">
        <f>"33.06"</f>
        <v>33.06</v>
      </c>
      <c r="C2279" t="str">
        <f>"33.0459"</f>
        <v>33.0459</v>
      </c>
    </row>
    <row r="2280" spans="1:3" x14ac:dyDescent="0.25">
      <c r="A2280" t="str">
        <f>"12/11/2018"</f>
        <v>12/11/2018</v>
      </c>
      <c r="B2280" t="str">
        <f>"33.115"</f>
        <v>33.115</v>
      </c>
      <c r="C2280" t="str">
        <f>"33.103"</f>
        <v>33.103</v>
      </c>
    </row>
    <row r="2281" spans="1:3" x14ac:dyDescent="0.25">
      <c r="A2281" t="str">
        <f>"13/11/2018"</f>
        <v>13/11/2018</v>
      </c>
      <c r="B2281" t="str">
        <f>"33.025"</f>
        <v>33.025</v>
      </c>
      <c r="C2281" t="str">
        <f>"33.013"</f>
        <v>33.013</v>
      </c>
    </row>
    <row r="2282" spans="1:3" x14ac:dyDescent="0.25">
      <c r="A2282" t="str">
        <f>"14/11/2018"</f>
        <v>14/11/2018</v>
      </c>
      <c r="B2282" t="str">
        <f>"33.00"</f>
        <v>33.00</v>
      </c>
      <c r="C2282" t="str">
        <f>"32.984"</f>
        <v>32.984</v>
      </c>
    </row>
    <row r="2283" spans="1:3" x14ac:dyDescent="0.25">
      <c r="A2283" t="str">
        <f>"15/11/2018"</f>
        <v>15/11/2018</v>
      </c>
      <c r="B2283" t="str">
        <f>"32.995"</f>
        <v>32.995</v>
      </c>
      <c r="C2283" t="str">
        <f>"32.9772"</f>
        <v>32.9772</v>
      </c>
    </row>
    <row r="2284" spans="1:3" x14ac:dyDescent="0.25">
      <c r="A2284" t="str">
        <f>"16/11/2018"</f>
        <v>16/11/2018</v>
      </c>
      <c r="B2284" t="str">
        <f>"32.99"</f>
        <v>32.99</v>
      </c>
      <c r="C2284" t="str">
        <f>"32.9721"</f>
        <v>32.9721</v>
      </c>
    </row>
    <row r="2285" spans="1:3" x14ac:dyDescent="0.25">
      <c r="A2285" t="str">
        <f>"19/11/2018"</f>
        <v>19/11/2018</v>
      </c>
      <c r="B2285" t="str">
        <f>"32.905"</f>
        <v>32.905</v>
      </c>
      <c r="C2285" t="str">
        <f>"32.8869"</f>
        <v>32.8869</v>
      </c>
    </row>
    <row r="2286" spans="1:3" x14ac:dyDescent="0.25">
      <c r="A2286" t="str">
        <f>"20/11/2018"</f>
        <v>20/11/2018</v>
      </c>
      <c r="B2286" t="str">
        <f>"32.98"</f>
        <v>32.98</v>
      </c>
      <c r="C2286" t="str">
        <f>"32.9629"</f>
        <v>32.9629</v>
      </c>
    </row>
    <row r="2287" spans="1:3" x14ac:dyDescent="0.25">
      <c r="A2287" t="str">
        <f>"22/11/2018"</f>
        <v>22/11/2018</v>
      </c>
      <c r="B2287" t="str">
        <f>"32.995"</f>
        <v>32.995</v>
      </c>
      <c r="C2287" t="str">
        <f>"32.9851"</f>
        <v>32.9851</v>
      </c>
    </row>
    <row r="2288" spans="1:3" x14ac:dyDescent="0.25">
      <c r="A2288" t="str">
        <f>"26/11/2018"</f>
        <v>26/11/2018</v>
      </c>
      <c r="B2288" t="str">
        <f>"33.035"</f>
        <v>33.035</v>
      </c>
      <c r="C2288" t="str">
        <f>"33.0239"</f>
        <v>33.0239</v>
      </c>
    </row>
    <row r="2289" spans="1:3" x14ac:dyDescent="0.25">
      <c r="A2289" t="str">
        <f>"27/11/2018"</f>
        <v>27/11/2018</v>
      </c>
      <c r="B2289" t="str">
        <f>"33.015"</f>
        <v>33.015</v>
      </c>
      <c r="C2289" t="str">
        <f>"32.9935"</f>
        <v>32.9935</v>
      </c>
    </row>
    <row r="2290" spans="1:3" x14ac:dyDescent="0.25">
      <c r="A2290" t="str">
        <f>"28/11/2018"</f>
        <v>28/11/2018</v>
      </c>
      <c r="B2290" t="str">
        <f>"33.025"</f>
        <v>33.025</v>
      </c>
      <c r="C2290" t="str">
        <f>"33.00"</f>
        <v>33.00</v>
      </c>
    </row>
    <row r="2291" spans="1:3" x14ac:dyDescent="0.25">
      <c r="A2291" t="str">
        <f>"29/11/2018"</f>
        <v>29/11/2018</v>
      </c>
      <c r="B2291" t="str">
        <f>"32.96"</f>
        <v>32.96</v>
      </c>
      <c r="C2291" t="str">
        <f>"32.9247"</f>
        <v>32.9247</v>
      </c>
    </row>
    <row r="2292" spans="1:3" x14ac:dyDescent="0.25">
      <c r="A2292" t="str">
        <f>"30/11/2018"</f>
        <v>30/11/2018</v>
      </c>
      <c r="B2292" t="str">
        <f>"32.89"</f>
        <v>32.89</v>
      </c>
      <c r="C2292" t="str">
        <f>"32.8511"</f>
        <v>32.8511</v>
      </c>
    </row>
    <row r="2293" spans="1:3" x14ac:dyDescent="0.25">
      <c r="A2293" t="str">
        <f>"03/12/2018"</f>
        <v>03/12/2018</v>
      </c>
      <c r="B2293" t="str">
        <f>"32.765"</f>
        <v>32.765</v>
      </c>
      <c r="C2293" t="str">
        <f>"32.724"</f>
        <v>32.724</v>
      </c>
    </row>
    <row r="2294" spans="1:3" x14ac:dyDescent="0.25">
      <c r="A2294" t="str">
        <f>"04/12/2018"</f>
        <v>04/12/2018</v>
      </c>
      <c r="B2294" t="str">
        <f>"32.715"</f>
        <v>32.715</v>
      </c>
      <c r="C2294" t="str">
        <f>"32.6743"</f>
        <v>32.6743</v>
      </c>
    </row>
    <row r="2295" spans="1:3" x14ac:dyDescent="0.25">
      <c r="A2295" t="str">
        <f>"05/12/2018"</f>
        <v>05/12/2018</v>
      </c>
      <c r="B2295" t="str">
        <f>"32.715"</f>
        <v>32.715</v>
      </c>
      <c r="C2295" t="str">
        <f>"32.6743"</f>
        <v>32.6743</v>
      </c>
    </row>
    <row r="2296" spans="1:3" x14ac:dyDescent="0.25">
      <c r="A2296" t="str">
        <f>"06/12/2018"</f>
        <v>06/12/2018</v>
      </c>
      <c r="B2296" t="str">
        <f>"32.835"</f>
        <v>32.835</v>
      </c>
      <c r="C2296" t="str">
        <f>"32.7959"</f>
        <v>32.7959</v>
      </c>
    </row>
    <row r="2297" spans="1:3" x14ac:dyDescent="0.25">
      <c r="A2297" t="str">
        <f>"07/12/2018"</f>
        <v>07/12/2018</v>
      </c>
      <c r="B2297" t="str">
        <f>"32.81"</f>
        <v>32.81</v>
      </c>
      <c r="C2297" t="str">
        <f>"32.7707"</f>
        <v>32.7707</v>
      </c>
    </row>
    <row r="2298" spans="1:3" x14ac:dyDescent="0.25">
      <c r="A2298" t="str">
        <f>"10/12/2018"</f>
        <v>10/12/2018</v>
      </c>
      <c r="B2298" t="str">
        <f>"32.81"</f>
        <v>32.81</v>
      </c>
      <c r="C2298" t="str">
        <f>"32.7707"</f>
        <v>32.7707</v>
      </c>
    </row>
    <row r="2299" spans="1:3" x14ac:dyDescent="0.25">
      <c r="A2299" t="str">
        <f>"11/12/2018"</f>
        <v>11/12/2018</v>
      </c>
      <c r="B2299" t="str">
        <f>"32.805"</f>
        <v>32.805</v>
      </c>
      <c r="C2299" t="str">
        <f>"32.7654"</f>
        <v>32.7654</v>
      </c>
    </row>
    <row r="2300" spans="1:3" x14ac:dyDescent="0.25">
      <c r="A2300" t="str">
        <f>"12/12/2018"</f>
        <v>12/12/2018</v>
      </c>
      <c r="B2300" t="str">
        <f>"32.775"</f>
        <v>32.775</v>
      </c>
      <c r="C2300" t="str">
        <f>"32.737"</f>
        <v>32.737</v>
      </c>
    </row>
    <row r="2301" spans="1:3" x14ac:dyDescent="0.25">
      <c r="A2301" t="str">
        <f>"13/12/2018"</f>
        <v>13/12/2018</v>
      </c>
      <c r="B2301" t="str">
        <f>"32.725"</f>
        <v>32.725</v>
      </c>
      <c r="C2301" t="str">
        <f>"32.6895"</f>
        <v>32.6895</v>
      </c>
    </row>
    <row r="2302" spans="1:3" x14ac:dyDescent="0.25">
      <c r="A2302" t="str">
        <f>"14/12/2018"</f>
        <v>14/12/2018</v>
      </c>
      <c r="B2302" t="str">
        <f>"32.805"</f>
        <v>32.805</v>
      </c>
      <c r="C2302" t="str">
        <f>"32.7733"</f>
        <v>32.7733</v>
      </c>
    </row>
    <row r="2303" spans="1:3" x14ac:dyDescent="0.25">
      <c r="A2303" t="str">
        <f>"17/12/2018"</f>
        <v>17/12/2018</v>
      </c>
      <c r="B2303" t="str">
        <f>"32.79"</f>
        <v>32.79</v>
      </c>
      <c r="C2303" t="str">
        <f>"32.761"</f>
        <v>32.761</v>
      </c>
    </row>
    <row r="2304" spans="1:3" x14ac:dyDescent="0.25">
      <c r="A2304" t="str">
        <f>"18/12/2018"</f>
        <v>18/12/2018</v>
      </c>
      <c r="B2304" t="str">
        <f>"32.755"</f>
        <v>32.755</v>
      </c>
      <c r="C2304" t="str">
        <f>"32.7285"</f>
        <v>32.7285</v>
      </c>
    </row>
    <row r="2305" spans="1:3" x14ac:dyDescent="0.25">
      <c r="A2305" t="str">
        <f>"19/12/2018"</f>
        <v>19/12/2018</v>
      </c>
      <c r="B2305" t="str">
        <f>"32.71"</f>
        <v>32.71</v>
      </c>
      <c r="C2305" t="str">
        <f>"32.6873"</f>
        <v>32.6873</v>
      </c>
    </row>
    <row r="2306" spans="1:3" x14ac:dyDescent="0.25">
      <c r="A2306" t="str">
        <f>"20/12/2018"</f>
        <v>20/12/2018</v>
      </c>
      <c r="B2306" t="str">
        <f>"32.69"</f>
        <v>32.69</v>
      </c>
      <c r="C2306" t="str">
        <f>"32.6661"</f>
        <v>32.6661</v>
      </c>
    </row>
    <row r="2307" spans="1:3" x14ac:dyDescent="0.25">
      <c r="A2307" t="str">
        <f>"21/12/2018"</f>
        <v>21/12/2018</v>
      </c>
      <c r="B2307" t="str">
        <f>"32.67"</f>
        <v>32.67</v>
      </c>
      <c r="C2307" t="str">
        <f>"32.6474"</f>
        <v>32.6474</v>
      </c>
    </row>
    <row r="2308" spans="1:3" x14ac:dyDescent="0.25">
      <c r="A2308" t="str">
        <f>"24/12/2018"</f>
        <v>24/12/2018</v>
      </c>
      <c r="B2308" t="str">
        <f>"32.585"</f>
        <v>32.585</v>
      </c>
      <c r="C2308" t="str">
        <f>"32.5653"</f>
        <v>32.5653</v>
      </c>
    </row>
    <row r="2309" spans="1:3" x14ac:dyDescent="0.25">
      <c r="A2309" t="str">
        <f>"26/12/2018"</f>
        <v>26/12/2018</v>
      </c>
      <c r="B2309" t="str">
        <f>"32.585"</f>
        <v>32.585</v>
      </c>
      <c r="C2309" t="str">
        <f>"32.5651"</f>
        <v>32.5651</v>
      </c>
    </row>
    <row r="2310" spans="1:3" x14ac:dyDescent="0.25">
      <c r="A2310" t="str">
        <f>"27/12/2018"</f>
        <v>27/12/2018</v>
      </c>
      <c r="B2310" t="str">
        <f>"32.565"</f>
        <v>32.565</v>
      </c>
      <c r="C2310" t="str">
        <f>"32.547"</f>
        <v>32.547</v>
      </c>
    </row>
    <row r="2311" spans="1:3" x14ac:dyDescent="0.25">
      <c r="A2311" t="str">
        <f>"28/12/2018"</f>
        <v>28/12/2018</v>
      </c>
      <c r="B2311" t="str">
        <f>"32.41"</f>
        <v>32.41</v>
      </c>
      <c r="C2311" t="str">
        <f>"32.3937"</f>
        <v>32.3937</v>
      </c>
    </row>
    <row r="2312" spans="1:3" x14ac:dyDescent="0.25">
      <c r="A2312" t="str">
        <f>"31/12/2018"</f>
        <v>31/12/2018</v>
      </c>
      <c r="B2312" t="str">
        <f>"32.555"</f>
        <v>32.555</v>
      </c>
      <c r="C2312" t="str">
        <f>"32.5392"</f>
        <v>32.5392</v>
      </c>
    </row>
    <row r="2313" spans="1:3" x14ac:dyDescent="0.25">
      <c r="A2313" t="str">
        <f>"01/01/2019"</f>
        <v>01/01/2019</v>
      </c>
      <c r="B2313" t="str">
        <f>"32.555"</f>
        <v>32.555</v>
      </c>
      <c r="C2313" t="str">
        <f>"32.5392"</f>
        <v>32.5392</v>
      </c>
    </row>
    <row r="2314" spans="1:3" x14ac:dyDescent="0.25">
      <c r="A2314" t="str">
        <f>"02/01/2019"</f>
        <v>02/01/2019</v>
      </c>
      <c r="B2314" t="str">
        <f>"32.265"</f>
        <v>32.265</v>
      </c>
      <c r="C2314" t="str">
        <f>"32.2465"</f>
        <v>32.2465</v>
      </c>
    </row>
    <row r="2315" spans="1:3" x14ac:dyDescent="0.25">
      <c r="A2315" t="str">
        <f>"03/01/2019"</f>
        <v>03/01/2019</v>
      </c>
      <c r="B2315" t="str">
        <f>"32.175"</f>
        <v>32.175</v>
      </c>
      <c r="C2315" t="str">
        <f>"32.1568"</f>
        <v>32.1568</v>
      </c>
    </row>
    <row r="2316" spans="1:3" x14ac:dyDescent="0.25">
      <c r="A2316" t="str">
        <f>"04/01/2019"</f>
        <v>04/01/2019</v>
      </c>
      <c r="B2316" t="str">
        <f>"32.095"</f>
        <v>32.095</v>
      </c>
      <c r="C2316" t="str">
        <f>"32.0775"</f>
        <v>32.0775</v>
      </c>
    </row>
    <row r="2317" spans="1:3" x14ac:dyDescent="0.25">
      <c r="A2317" t="str">
        <f>"07/01/2019"</f>
        <v>07/01/2019</v>
      </c>
      <c r="B2317" t="str">
        <f>"32.01"</f>
        <v>32.01</v>
      </c>
      <c r="C2317" t="str">
        <f>"31.9891"</f>
        <v>31.9891</v>
      </c>
    </row>
    <row r="2318" spans="1:3" x14ac:dyDescent="0.25">
      <c r="A2318" t="str">
        <f>"08/01/2019"</f>
        <v>08/01/2019</v>
      </c>
      <c r="B2318" t="str">
        <f>"32.085"</f>
        <v>32.085</v>
      </c>
      <c r="C2318" t="str">
        <f>"32.065"</f>
        <v>32.065</v>
      </c>
    </row>
    <row r="2319" spans="1:3" x14ac:dyDescent="0.25">
      <c r="A2319" t="str">
        <f>"09/01/2019"</f>
        <v>09/01/2019</v>
      </c>
      <c r="B2319" t="str">
        <f>"32.03"</f>
        <v>32.03</v>
      </c>
      <c r="C2319" t="str">
        <f>"32.0102"</f>
        <v>32.0102</v>
      </c>
    </row>
    <row r="2320" spans="1:3" x14ac:dyDescent="0.25">
      <c r="A2320" t="str">
        <f>"10/01/2019"</f>
        <v>10/01/2019</v>
      </c>
      <c r="B2320" t="str">
        <f>"31.93"</f>
        <v>31.93</v>
      </c>
      <c r="C2320" t="str">
        <f>"31.9104"</f>
        <v>31.9104</v>
      </c>
    </row>
    <row r="2321" spans="1:3" x14ac:dyDescent="0.25">
      <c r="A2321" t="str">
        <f>"11/01/2019"</f>
        <v>11/01/2019</v>
      </c>
      <c r="B2321" t="str">
        <f>"31.92"</f>
        <v>31.92</v>
      </c>
      <c r="C2321" t="str">
        <f>"31.8998"</f>
        <v>31.8998</v>
      </c>
    </row>
    <row r="2322" spans="1:3" x14ac:dyDescent="0.25">
      <c r="A2322" t="str">
        <f>"14/01/2019"</f>
        <v>14/01/2019</v>
      </c>
      <c r="B2322" t="str">
        <f>"31.97"</f>
        <v>31.97</v>
      </c>
      <c r="C2322" t="str">
        <f>"31.948"</f>
        <v>31.948</v>
      </c>
    </row>
    <row r="2323" spans="1:3" x14ac:dyDescent="0.25">
      <c r="A2323" t="str">
        <f>"15/01/2019"</f>
        <v>15/01/2019</v>
      </c>
      <c r="B2323" t="str">
        <f>"31.905"</f>
        <v>31.905</v>
      </c>
      <c r="C2323" t="str">
        <f>"31.8838"</f>
        <v>31.8838</v>
      </c>
    </row>
    <row r="2324" spans="1:3" x14ac:dyDescent="0.25">
      <c r="A2324" t="str">
        <f>"16/01/2019"</f>
        <v>16/01/2019</v>
      </c>
      <c r="B2324" t="str">
        <f>"31.705"</f>
        <v>31.705</v>
      </c>
      <c r="C2324" t="str">
        <f>"31.684"</f>
        <v>31.684</v>
      </c>
    </row>
    <row r="2325" spans="1:3" x14ac:dyDescent="0.25">
      <c r="A2325" t="str">
        <f>"17/01/2019"</f>
        <v>17/01/2019</v>
      </c>
      <c r="B2325" t="str">
        <f>"31.74"</f>
        <v>31.74</v>
      </c>
      <c r="C2325" t="str">
        <f>"31.7188"</f>
        <v>31.7188</v>
      </c>
    </row>
    <row r="2326" spans="1:3" x14ac:dyDescent="0.25">
      <c r="A2326" t="str">
        <f>"18/01/2019"</f>
        <v>18/01/2019</v>
      </c>
      <c r="B2326" t="str">
        <f>"31.71"</f>
        <v>31.71</v>
      </c>
      <c r="C2326" t="str">
        <f>"31.6893"</f>
        <v>31.6893</v>
      </c>
    </row>
    <row r="2327" spans="1:3" x14ac:dyDescent="0.25">
      <c r="A2327" t="str">
        <f>"21/01/2019"</f>
        <v>21/01/2019</v>
      </c>
      <c r="B2327" t="str">
        <f>"31.79"</f>
        <v>31.79</v>
      </c>
      <c r="C2327" t="str">
        <f>"31.7719"</f>
        <v>31.7719</v>
      </c>
    </row>
    <row r="2328" spans="1:3" x14ac:dyDescent="0.25">
      <c r="A2328" t="str">
        <f>"22/01/2019"</f>
        <v>22/01/2019</v>
      </c>
      <c r="B2328" t="str">
        <f>"31.82"</f>
        <v>31.82</v>
      </c>
      <c r="C2328" t="str">
        <f>"31.8057"</f>
        <v>31.8057</v>
      </c>
    </row>
    <row r="2329" spans="1:3" x14ac:dyDescent="0.25">
      <c r="A2329" t="str">
        <f>"23/01/2019"</f>
        <v>23/01/2019</v>
      </c>
      <c r="B2329" t="str">
        <f>"31.745"</f>
        <v>31.745</v>
      </c>
      <c r="C2329" t="str">
        <f>"31.7292"</f>
        <v>31.7292</v>
      </c>
    </row>
    <row r="2330" spans="1:3" x14ac:dyDescent="0.25">
      <c r="A2330" t="str">
        <f>"24/01/2019"</f>
        <v>24/01/2019</v>
      </c>
      <c r="B2330" t="str">
        <f>"31.735"</f>
        <v>31.735</v>
      </c>
      <c r="C2330" t="str">
        <f>"31.7165"</f>
        <v>31.7165</v>
      </c>
    </row>
    <row r="2331" spans="1:3" x14ac:dyDescent="0.25">
      <c r="A2331" t="str">
        <f>"25/01/2019"</f>
        <v>25/01/2019</v>
      </c>
      <c r="B2331" t="str">
        <f>"31.665"</f>
        <v>31.665</v>
      </c>
      <c r="C2331" t="str">
        <f>"31.6488"</f>
        <v>31.6488</v>
      </c>
    </row>
    <row r="2332" spans="1:3" x14ac:dyDescent="0.25">
      <c r="A2332" t="str">
        <f>"28/01/2019"</f>
        <v>28/01/2019</v>
      </c>
      <c r="B2332" t="str">
        <f>"31.55"</f>
        <v>31.55</v>
      </c>
      <c r="C2332" t="str">
        <f>"31.534"</f>
        <v>31.534</v>
      </c>
    </row>
    <row r="2333" spans="1:3" x14ac:dyDescent="0.25">
      <c r="A2333" t="str">
        <f>"29/01/2019"</f>
        <v>29/01/2019</v>
      </c>
      <c r="B2333" t="str">
        <f>"31.535"</f>
        <v>31.535</v>
      </c>
      <c r="C2333" t="str">
        <f>"31.5177"</f>
        <v>31.5177</v>
      </c>
    </row>
    <row r="2334" spans="1:3" x14ac:dyDescent="0.25">
      <c r="A2334" t="str">
        <f>"30/01/2019"</f>
        <v>30/01/2019</v>
      </c>
      <c r="B2334" t="str">
        <f>"31.40"</f>
        <v>31.40</v>
      </c>
      <c r="C2334" t="str">
        <f>"31.3815"</f>
        <v>31.3815</v>
      </c>
    </row>
    <row r="2335" spans="1:3" x14ac:dyDescent="0.25">
      <c r="A2335" t="str">
        <f>"31/01/2019"</f>
        <v>31/01/2019</v>
      </c>
      <c r="B2335" t="str">
        <f>"31.245"</f>
        <v>31.245</v>
      </c>
      <c r="C2335" t="str">
        <f>"31.2259"</f>
        <v>31.2259</v>
      </c>
    </row>
    <row r="2336" spans="1:3" x14ac:dyDescent="0.25">
      <c r="A2336" t="str">
        <f>"01/02/2019"</f>
        <v>01/02/2019</v>
      </c>
      <c r="B2336" t="str">
        <f>"31.295"</f>
        <v>31.295</v>
      </c>
      <c r="C2336" t="str">
        <f>"31.277"</f>
        <v>31.277</v>
      </c>
    </row>
    <row r="2337" spans="1:3" x14ac:dyDescent="0.25">
      <c r="A2337" t="str">
        <f>"04/02/2019"</f>
        <v>04/02/2019</v>
      </c>
      <c r="B2337" t="str">
        <f>"31.325"</f>
        <v>31.325</v>
      </c>
      <c r="C2337" t="str">
        <f>"31.3065"</f>
        <v>31.3065</v>
      </c>
    </row>
    <row r="2338" spans="1:3" x14ac:dyDescent="0.25">
      <c r="A2338" t="str">
        <f>"05/02/2019"</f>
        <v>05/02/2019</v>
      </c>
      <c r="B2338" t="str">
        <f>"31.30"</f>
        <v>31.30</v>
      </c>
      <c r="C2338" t="str">
        <f>"31.2801"</f>
        <v>31.2801</v>
      </c>
    </row>
    <row r="2339" spans="1:3" x14ac:dyDescent="0.25">
      <c r="A2339" t="str">
        <f>"06/02/2019"</f>
        <v>06/02/2019</v>
      </c>
      <c r="B2339" t="str">
        <f>"31.28"</f>
        <v>31.28</v>
      </c>
      <c r="C2339" t="str">
        <f>"31.261"</f>
        <v>31.261</v>
      </c>
    </row>
    <row r="2340" spans="1:3" x14ac:dyDescent="0.25">
      <c r="A2340" t="str">
        <f>"07/02/2019"</f>
        <v>07/02/2019</v>
      </c>
      <c r="B2340" t="str">
        <f>"31.265"</f>
        <v>31.265</v>
      </c>
      <c r="C2340" t="str">
        <f>"31.2449"</f>
        <v>31.2449</v>
      </c>
    </row>
    <row r="2341" spans="1:3" x14ac:dyDescent="0.25">
      <c r="A2341" t="str">
        <f>"08/02/2019"</f>
        <v>08/02/2019</v>
      </c>
      <c r="B2341" t="str">
        <f>"31.48"</f>
        <v>31.48</v>
      </c>
      <c r="C2341" t="str">
        <f>"31.4616"</f>
        <v>31.4616</v>
      </c>
    </row>
    <row r="2342" spans="1:3" x14ac:dyDescent="0.25">
      <c r="A2342" t="str">
        <f>"11/02/2019"</f>
        <v>11/02/2019</v>
      </c>
      <c r="B2342" t="str">
        <f>"31.38"</f>
        <v>31.38</v>
      </c>
      <c r="C2342" t="str">
        <f>"31.3634"</f>
        <v>31.3634</v>
      </c>
    </row>
    <row r="2343" spans="1:3" x14ac:dyDescent="0.25">
      <c r="A2343" t="str">
        <f>"12/02/2019"</f>
        <v>12/02/2019</v>
      </c>
      <c r="B2343" t="str">
        <f>"31.385"</f>
        <v>31.385</v>
      </c>
      <c r="C2343" t="str">
        <f>"31.3695"</f>
        <v>31.3695</v>
      </c>
    </row>
    <row r="2344" spans="1:3" x14ac:dyDescent="0.25">
      <c r="A2344" t="str">
        <f>"13/02/2019"</f>
        <v>13/02/2019</v>
      </c>
      <c r="B2344" t="str">
        <f>"31.33"</f>
        <v>31.33</v>
      </c>
      <c r="C2344" t="str">
        <f>"31.3121"</f>
        <v>31.3121</v>
      </c>
    </row>
    <row r="2345" spans="1:3" x14ac:dyDescent="0.25">
      <c r="A2345" t="str">
        <f>"14/02/2019"</f>
        <v>14/02/2019</v>
      </c>
      <c r="B2345" t="str">
        <f>"31.37"</f>
        <v>31.37</v>
      </c>
      <c r="C2345" t="str">
        <f>"31.3533"</f>
        <v>31.3533</v>
      </c>
    </row>
    <row r="2346" spans="1:3" x14ac:dyDescent="0.25">
      <c r="A2346" t="str">
        <f>"15/02/2019"</f>
        <v>15/02/2019</v>
      </c>
      <c r="B2346" t="str">
        <f>"31.285"</f>
        <v>31.285</v>
      </c>
      <c r="C2346" t="str">
        <f>"31.2686"</f>
        <v>31.2686</v>
      </c>
    </row>
    <row r="2347" spans="1:3" x14ac:dyDescent="0.25">
      <c r="A2347" t="str">
        <f>"18/02/2019"</f>
        <v>18/02/2019</v>
      </c>
      <c r="B2347" t="str">
        <f>"31.215"</f>
        <v>31.215</v>
      </c>
      <c r="C2347" t="str">
        <f>"31.20"</f>
        <v>31.20</v>
      </c>
    </row>
    <row r="2348" spans="1:3" x14ac:dyDescent="0.25">
      <c r="A2348" t="str">
        <f>"20/02/2019"</f>
        <v>20/02/2019</v>
      </c>
      <c r="B2348" t="str">
        <f>"31.085"</f>
        <v>31.085</v>
      </c>
      <c r="C2348" t="str">
        <f>"31.0695"</f>
        <v>31.0695</v>
      </c>
    </row>
    <row r="2349" spans="1:3" x14ac:dyDescent="0.25">
      <c r="A2349" t="str">
        <f>"21/02/2019"</f>
        <v>21/02/2019</v>
      </c>
      <c r="B2349" t="str">
        <f>"31.125"</f>
        <v>31.125</v>
      </c>
      <c r="C2349" t="str">
        <f>"31.1105"</f>
        <v>31.1105</v>
      </c>
    </row>
    <row r="2350" spans="1:3" x14ac:dyDescent="0.25">
      <c r="A2350" t="str">
        <f>"22/02/2019"</f>
        <v>22/02/2019</v>
      </c>
      <c r="B2350" t="str">
        <f>"31.335"</f>
        <v>31.335</v>
      </c>
      <c r="C2350" t="str">
        <f>"31.3183"</f>
        <v>31.3183</v>
      </c>
    </row>
    <row r="2351" spans="1:3" x14ac:dyDescent="0.25">
      <c r="A2351" t="str">
        <f>"25/02/2019"</f>
        <v>25/02/2019</v>
      </c>
      <c r="B2351" t="str">
        <f>"31.30"</f>
        <v>31.30</v>
      </c>
      <c r="C2351" t="str">
        <f>"31.2831"</f>
        <v>31.2831</v>
      </c>
    </row>
    <row r="2352" spans="1:3" x14ac:dyDescent="0.25">
      <c r="A2352" t="str">
        <f>"26/02/2019"</f>
        <v>26/02/2019</v>
      </c>
      <c r="B2352" t="str">
        <f>"31.31"</f>
        <v>31.31</v>
      </c>
      <c r="C2352" t="str">
        <f>"31.2912"</f>
        <v>31.2912</v>
      </c>
    </row>
    <row r="2353" spans="1:3" x14ac:dyDescent="0.25">
      <c r="A2353" t="str">
        <f>"27/02/2019"</f>
        <v>27/02/2019</v>
      </c>
      <c r="B2353" t="str">
        <f>"31.39"</f>
        <v>31.39</v>
      </c>
      <c r="C2353" t="str">
        <f>"31.37"</f>
        <v>31.37</v>
      </c>
    </row>
    <row r="2354" spans="1:3" x14ac:dyDescent="0.25">
      <c r="A2354" t="str">
        <f>"28/02/2019"</f>
        <v>28/02/2019</v>
      </c>
      <c r="B2354" t="str">
        <f>"31.52"</f>
        <v>31.52</v>
      </c>
      <c r="C2354" t="str">
        <f>"31.5024"</f>
        <v>31.5024</v>
      </c>
    </row>
    <row r="2355" spans="1:3" x14ac:dyDescent="0.25">
      <c r="A2355" t="str">
        <f>"01/03/2019"</f>
        <v>01/03/2019</v>
      </c>
      <c r="B2355" t="str">
        <f>"31.725"</f>
        <v>31.725</v>
      </c>
      <c r="C2355" t="str">
        <f>"31.7068"</f>
        <v>31.7068</v>
      </c>
    </row>
    <row r="2356" spans="1:3" x14ac:dyDescent="0.25">
      <c r="A2356" t="str">
        <f>"05/03/2019"</f>
        <v>05/03/2019</v>
      </c>
      <c r="B2356" t="str">
        <f>"31.765"</f>
        <v>31.765</v>
      </c>
      <c r="C2356" t="str">
        <f>"31.7458"</f>
        <v>31.7458</v>
      </c>
    </row>
    <row r="2357" spans="1:3" x14ac:dyDescent="0.25">
      <c r="A2357" t="str">
        <f>"06/03/2019"</f>
        <v>06/03/2019</v>
      </c>
      <c r="B2357" t="str">
        <f>"31.84"</f>
        <v>31.84</v>
      </c>
      <c r="C2357" t="str">
        <f>"31.8215"</f>
        <v>31.8215</v>
      </c>
    </row>
    <row r="2358" spans="1:3" x14ac:dyDescent="0.25">
      <c r="A2358" t="str">
        <f>"07/03/2019"</f>
        <v>07/03/2019</v>
      </c>
      <c r="B2358" t="str">
        <f>"31.795"</f>
        <v>31.795</v>
      </c>
      <c r="C2358" t="str">
        <f>"31.7749"</f>
        <v>31.7749</v>
      </c>
    </row>
    <row r="2359" spans="1:3" x14ac:dyDescent="0.25">
      <c r="A2359" t="str">
        <f>"08/03/2019"</f>
        <v>08/03/2019</v>
      </c>
      <c r="B2359" t="str">
        <f>"31.77"</f>
        <v>31.77</v>
      </c>
      <c r="C2359" t="str">
        <f>"31.75"</f>
        <v>31.75</v>
      </c>
    </row>
    <row r="2360" spans="1:3" x14ac:dyDescent="0.25">
      <c r="A2360" t="str">
        <f>"11/03/2019"</f>
        <v>11/03/2019</v>
      </c>
      <c r="B2360" t="str">
        <f>"31.745"</f>
        <v>31.745</v>
      </c>
      <c r="C2360" t="str">
        <f>"31.7212"</f>
        <v>31.7212</v>
      </c>
    </row>
    <row r="2361" spans="1:3" x14ac:dyDescent="0.25">
      <c r="A2361" t="str">
        <f>"12/03/2019"</f>
        <v>12/03/2019</v>
      </c>
      <c r="B2361" t="str">
        <f>"31.65"</f>
        <v>31.65</v>
      </c>
      <c r="C2361" t="str">
        <f>"31.6274"</f>
        <v>31.6274</v>
      </c>
    </row>
    <row r="2362" spans="1:3" x14ac:dyDescent="0.25">
      <c r="A2362" t="str">
        <f>"13/03/2019"</f>
        <v>13/03/2019</v>
      </c>
      <c r="B2362" t="str">
        <f>"31.655"</f>
        <v>31.655</v>
      </c>
      <c r="C2362" t="str">
        <f>"31.6335"</f>
        <v>31.6335</v>
      </c>
    </row>
    <row r="2363" spans="1:3" x14ac:dyDescent="0.25">
      <c r="A2363" t="str">
        <f>"14/03/2019"</f>
        <v>14/03/2019</v>
      </c>
      <c r="B2363" t="str">
        <f>"31.745"</f>
        <v>31.745</v>
      </c>
      <c r="C2363" t="str">
        <f>"31.7217"</f>
        <v>31.7217</v>
      </c>
    </row>
    <row r="2364" spans="1:3" x14ac:dyDescent="0.25">
      <c r="A2364" t="str">
        <f>"18/03/2019"</f>
        <v>18/03/2019</v>
      </c>
      <c r="B2364" t="str">
        <f>"31.70"</f>
        <v>31.70</v>
      </c>
      <c r="C2364" t="str">
        <f>"31.673"</f>
        <v>31.673</v>
      </c>
    </row>
    <row r="2365" spans="1:3" x14ac:dyDescent="0.25">
      <c r="A2365" t="str">
        <f>"19/03/2019"</f>
        <v>19/03/2019</v>
      </c>
      <c r="B2365" t="str">
        <f>"31.675"</f>
        <v>31.675</v>
      </c>
      <c r="C2365" t="str">
        <f>"31.6491"</f>
        <v>31.6491</v>
      </c>
    </row>
    <row r="2366" spans="1:3" x14ac:dyDescent="0.25">
      <c r="A2366" t="str">
        <f>"20/03/2019"</f>
        <v>20/03/2019</v>
      </c>
      <c r="B2366" t="str">
        <f>"31.75"</f>
        <v>31.75</v>
      </c>
      <c r="C2366" t="str">
        <f>"31.7245"</f>
        <v>31.7245</v>
      </c>
    </row>
    <row r="2367" spans="1:3" x14ac:dyDescent="0.25">
      <c r="A2367" t="str">
        <f>"22/03/2019"</f>
        <v>22/03/2019</v>
      </c>
      <c r="B2367" t="str">
        <f>"31.685"</f>
        <v>31.685</v>
      </c>
      <c r="C2367" t="str">
        <f>"31.662"</f>
        <v>31.662</v>
      </c>
    </row>
    <row r="2368" spans="1:3" x14ac:dyDescent="0.25">
      <c r="A2368" t="str">
        <f>"25/03/2019"</f>
        <v>25/03/2019</v>
      </c>
      <c r="B2368" t="str">
        <f>"31.605"</f>
        <v>31.605</v>
      </c>
      <c r="C2368" t="str">
        <f>"31.5815"</f>
        <v>31.5815</v>
      </c>
    </row>
    <row r="2369" spans="1:3" x14ac:dyDescent="0.25">
      <c r="A2369" t="str">
        <f>"26/03/2019"</f>
        <v>26/03/2019</v>
      </c>
      <c r="B2369" t="str">
        <f>"31.66"</f>
        <v>31.66</v>
      </c>
      <c r="C2369" t="str">
        <f>"31.6361"</f>
        <v>31.6361</v>
      </c>
    </row>
    <row r="2370" spans="1:3" x14ac:dyDescent="0.25">
      <c r="A2370" t="str">
        <f>"27/03/2019"</f>
        <v>27/03/2019</v>
      </c>
      <c r="B2370" t="str">
        <f>"31.785"</f>
        <v>31.785</v>
      </c>
      <c r="C2370" t="str">
        <f>"31.7599"</f>
        <v>31.7599</v>
      </c>
    </row>
    <row r="2371" spans="1:3" x14ac:dyDescent="0.25">
      <c r="A2371" t="str">
        <f>"28/03/2019"</f>
        <v>28/03/2019</v>
      </c>
      <c r="B2371" t="str">
        <f>"31.78"</f>
        <v>31.78</v>
      </c>
      <c r="C2371" t="str">
        <f>"31.7552"</f>
        <v>31.7552</v>
      </c>
    </row>
    <row r="2372" spans="1:3" x14ac:dyDescent="0.25">
      <c r="A2372" t="str">
        <f>"29/03/2019"</f>
        <v>29/03/2019</v>
      </c>
      <c r="B2372" t="str">
        <f>"31.745"</f>
        <v>31.745</v>
      </c>
      <c r="C2372" t="str">
        <f>"31.7212"</f>
        <v>31.7212</v>
      </c>
    </row>
    <row r="2373" spans="1:3" x14ac:dyDescent="0.25">
      <c r="A2373" t="str">
        <f>"02/04/2019"</f>
        <v>02/04/2019</v>
      </c>
      <c r="B2373" t="str">
        <f>"31.77"</f>
        <v>31.77</v>
      </c>
      <c r="C2373" t="str">
        <f>"31.7482"</f>
        <v>31.7482</v>
      </c>
    </row>
    <row r="2374" spans="1:3" x14ac:dyDescent="0.25">
      <c r="A2374" t="str">
        <f>"03/04/2019"</f>
        <v>03/04/2019</v>
      </c>
      <c r="B2374" t="str">
        <f>"31.725"</f>
        <v>31.725</v>
      </c>
      <c r="C2374" t="str">
        <f>"31.7044"</f>
        <v>31.7044</v>
      </c>
    </row>
    <row r="2375" spans="1:3" x14ac:dyDescent="0.25">
      <c r="A2375" t="str">
        <f>"04/04/2019"</f>
        <v>04/04/2019</v>
      </c>
      <c r="B2375" t="str">
        <f>"31.785"</f>
        <v>31.785</v>
      </c>
      <c r="C2375" t="str">
        <f>"31.766"</f>
        <v>31.766</v>
      </c>
    </row>
    <row r="2376" spans="1:3" x14ac:dyDescent="0.25">
      <c r="A2376" t="str">
        <f>"05/04/2019"</f>
        <v>05/04/2019</v>
      </c>
      <c r="B2376" t="str">
        <f>"31.88"</f>
        <v>31.88</v>
      </c>
      <c r="C2376" t="str">
        <f>"31.8608"</f>
        <v>31.8608</v>
      </c>
    </row>
    <row r="2377" spans="1:3" x14ac:dyDescent="0.25">
      <c r="A2377" t="str">
        <f>"08/04/2019"</f>
        <v>08/04/2019</v>
      </c>
      <c r="B2377" t="str">
        <f>"31.88"</f>
        <v>31.88</v>
      </c>
      <c r="C2377" t="str">
        <f>"31.8608"</f>
        <v>31.8608</v>
      </c>
    </row>
    <row r="2378" spans="1:3" x14ac:dyDescent="0.25">
      <c r="A2378" t="str">
        <f>"09/04/2019"</f>
        <v>09/04/2019</v>
      </c>
      <c r="B2378" t="str">
        <f>"31.80"</f>
        <v>31.80</v>
      </c>
      <c r="C2378" t="str">
        <f>"31.7779"</f>
        <v>31.7779</v>
      </c>
    </row>
    <row r="2379" spans="1:3" x14ac:dyDescent="0.25">
      <c r="A2379" t="str">
        <f>"10/04/2019"</f>
        <v>10/04/2019</v>
      </c>
      <c r="B2379" t="str">
        <f>"31.78"</f>
        <v>31.78</v>
      </c>
      <c r="C2379" t="str">
        <f>"31.759"</f>
        <v>31.759</v>
      </c>
    </row>
    <row r="2380" spans="1:3" x14ac:dyDescent="0.25">
      <c r="A2380" t="str">
        <f>"11/04/2019"</f>
        <v>11/04/2019</v>
      </c>
      <c r="B2380" t="str">
        <f>"31.795"</f>
        <v>31.795</v>
      </c>
      <c r="C2380" t="str">
        <f>"31.7763"</f>
        <v>31.7763</v>
      </c>
    </row>
    <row r="2381" spans="1:3" x14ac:dyDescent="0.25">
      <c r="A2381" t="str">
        <f>"12/04/2019"</f>
        <v>12/04/2019</v>
      </c>
      <c r="B2381" t="str">
        <f>"31.77"</f>
        <v>31.77</v>
      </c>
      <c r="C2381" t="str">
        <f>"31.7485"</f>
        <v>31.7485</v>
      </c>
    </row>
    <row r="2382" spans="1:3" x14ac:dyDescent="0.25">
      <c r="A2382" t="str">
        <f>"15/04/2019"</f>
        <v>15/04/2019</v>
      </c>
      <c r="B2382" t="str">
        <f>"31.77"</f>
        <v>31.77</v>
      </c>
      <c r="C2382" t="str">
        <f>"31.7485"</f>
        <v>31.7485</v>
      </c>
    </row>
    <row r="2383" spans="1:3" x14ac:dyDescent="0.25">
      <c r="A2383" t="str">
        <f>"16/04/2019"</f>
        <v>16/04/2019</v>
      </c>
      <c r="B2383" t="str">
        <f>"31.77"</f>
        <v>31.77</v>
      </c>
      <c r="C2383" t="str">
        <f>"31.7485"</f>
        <v>31.7485</v>
      </c>
    </row>
    <row r="2384" spans="1:3" x14ac:dyDescent="0.25">
      <c r="A2384" t="str">
        <f>"18/04/2019"</f>
        <v>18/04/2019</v>
      </c>
      <c r="B2384" t="str">
        <f>"31.83"</f>
        <v>31.83</v>
      </c>
      <c r="C2384" t="str">
        <f>"31.8099"</f>
        <v>31.8099</v>
      </c>
    </row>
    <row r="2385" spans="1:3" x14ac:dyDescent="0.25">
      <c r="A2385" t="str">
        <f>"22/04/2019"</f>
        <v>22/04/2019</v>
      </c>
      <c r="B2385" t="str">
        <f>"31.875"</f>
        <v>31.875</v>
      </c>
      <c r="C2385" t="str">
        <f>"31.855"</f>
        <v>31.855</v>
      </c>
    </row>
    <row r="2386" spans="1:3" x14ac:dyDescent="0.25">
      <c r="A2386" t="str">
        <f>"23/04/2019"</f>
        <v>23/04/2019</v>
      </c>
      <c r="B2386" t="str">
        <f>"31.945"</f>
        <v>31.945</v>
      </c>
      <c r="C2386" t="str">
        <f>"31.9251"</f>
        <v>31.9251</v>
      </c>
    </row>
    <row r="2387" spans="1:3" x14ac:dyDescent="0.25">
      <c r="A2387" t="str">
        <f>"24/04/2019"</f>
        <v>24/04/2019</v>
      </c>
      <c r="B2387" t="str">
        <f>"32.00"</f>
        <v>32.00</v>
      </c>
      <c r="C2387" t="str">
        <f>"31.9803"</f>
        <v>31.9803</v>
      </c>
    </row>
    <row r="2388" spans="1:3" x14ac:dyDescent="0.25">
      <c r="A2388" t="str">
        <f>"25/04/2019"</f>
        <v>25/04/2019</v>
      </c>
      <c r="B2388" t="str">
        <f>"32.11"</f>
        <v>32.11</v>
      </c>
      <c r="C2388" t="str">
        <f>"32.0908"</f>
        <v>32.0908</v>
      </c>
    </row>
    <row r="2389" spans="1:3" x14ac:dyDescent="0.25">
      <c r="A2389" t="str">
        <f>"26/04/2019"</f>
        <v>26/04/2019</v>
      </c>
      <c r="B2389" t="str">
        <f>"31.98"</f>
        <v>31.98</v>
      </c>
      <c r="C2389" t="str">
        <f>"31.9597"</f>
        <v>31.9597</v>
      </c>
    </row>
    <row r="2390" spans="1:3" x14ac:dyDescent="0.25">
      <c r="A2390" t="str">
        <f>"30/04/2019"</f>
        <v>30/04/2019</v>
      </c>
      <c r="B2390" t="str">
        <f>"31.93"</f>
        <v>31.93</v>
      </c>
      <c r="C2390" t="str">
        <f>"31.9091"</f>
        <v>31.9091</v>
      </c>
    </row>
    <row r="2391" spans="1:3" x14ac:dyDescent="0.25">
      <c r="A2391" t="str">
        <f>"02/05/2019"</f>
        <v>02/05/2019</v>
      </c>
      <c r="B2391" t="str">
        <f>"32.02"</f>
        <v>32.02</v>
      </c>
      <c r="C2391" t="str">
        <f>"31.9995"</f>
        <v>31.9995</v>
      </c>
    </row>
    <row r="2392" spans="1:3" x14ac:dyDescent="0.25">
      <c r="A2392" t="str">
        <f>"03/05/2019"</f>
        <v>03/05/2019</v>
      </c>
      <c r="B2392" t="str">
        <f>"32.04"</f>
        <v>32.04</v>
      </c>
      <c r="C2392" t="str">
        <f>"32.0174"</f>
        <v>32.0174</v>
      </c>
    </row>
    <row r="2393" spans="1:3" x14ac:dyDescent="0.25">
      <c r="A2393" t="str">
        <f>"06/05/2019"</f>
        <v>06/05/2019</v>
      </c>
      <c r="B2393" t="str">
        <f>"32.04"</f>
        <v>32.04</v>
      </c>
      <c r="C2393" t="str">
        <f>"32.0174"</f>
        <v>32.0174</v>
      </c>
    </row>
    <row r="2394" spans="1:3" x14ac:dyDescent="0.25">
      <c r="A2394" t="str">
        <f>"07/05/2019"</f>
        <v>07/05/2019</v>
      </c>
      <c r="B2394" t="str">
        <f>"31.905"</f>
        <v>31.905</v>
      </c>
      <c r="C2394" t="str">
        <f>"31.8832"</f>
        <v>31.8832</v>
      </c>
    </row>
    <row r="2395" spans="1:3" x14ac:dyDescent="0.25">
      <c r="A2395" t="str">
        <f>"08/05/2019"</f>
        <v>08/05/2019</v>
      </c>
      <c r="B2395" t="str">
        <f>"31.805"</f>
        <v>31.805</v>
      </c>
      <c r="C2395" t="str">
        <f>"31.7835"</f>
        <v>31.7835</v>
      </c>
    </row>
    <row r="2396" spans="1:3" x14ac:dyDescent="0.25">
      <c r="A2396" t="str">
        <f>"09/05/2019"</f>
        <v>09/05/2019</v>
      </c>
      <c r="B2396" t="str">
        <f>"31.775"</f>
        <v>31.775</v>
      </c>
      <c r="C2396" t="str">
        <f>"31.7538"</f>
        <v>31.7538</v>
      </c>
    </row>
    <row r="2397" spans="1:3" x14ac:dyDescent="0.25">
      <c r="A2397" t="str">
        <f>"10/05/2019"</f>
        <v>10/05/2019</v>
      </c>
      <c r="B2397" t="str">
        <f>"31.60"</f>
        <v>31.60</v>
      </c>
      <c r="C2397" t="str">
        <f>"31.5782"</f>
        <v>31.5782</v>
      </c>
    </row>
    <row r="2398" spans="1:3" x14ac:dyDescent="0.25">
      <c r="A2398" t="str">
        <f>"13/05/2019"</f>
        <v>13/05/2019</v>
      </c>
      <c r="B2398" t="str">
        <f>"31.69"</f>
        <v>31.69</v>
      </c>
      <c r="C2398" t="str">
        <f>"31.6654"</f>
        <v>31.6654</v>
      </c>
    </row>
    <row r="2399" spans="1:3" x14ac:dyDescent="0.25">
      <c r="A2399" t="str">
        <f>"14/05/2019"</f>
        <v>14/05/2019</v>
      </c>
      <c r="B2399" t="str">
        <f>"31.515"</f>
        <v>31.515</v>
      </c>
      <c r="C2399" t="str">
        <f>"31.4927"</f>
        <v>31.4927</v>
      </c>
    </row>
    <row r="2400" spans="1:3" x14ac:dyDescent="0.25">
      <c r="A2400" t="str">
        <f>"15/05/2019"</f>
        <v>15/05/2019</v>
      </c>
      <c r="B2400" t="str">
        <f>"31.61"</f>
        <v>31.61</v>
      </c>
      <c r="C2400" t="str">
        <f>"31.5878"</f>
        <v>31.5878</v>
      </c>
    </row>
    <row r="2401" spans="1:3" x14ac:dyDescent="0.25">
      <c r="A2401" t="str">
        <f>"16/05/2019"</f>
        <v>16/05/2019</v>
      </c>
      <c r="B2401" t="str">
        <f>"31.605"</f>
        <v>31.605</v>
      </c>
      <c r="C2401" t="str">
        <f>"31.583"</f>
        <v>31.583</v>
      </c>
    </row>
    <row r="2402" spans="1:3" x14ac:dyDescent="0.25">
      <c r="A2402" t="str">
        <f>"17/05/2019"</f>
        <v>17/05/2019</v>
      </c>
      <c r="B2402" t="str">
        <f>"31.755"</f>
        <v>31.755</v>
      </c>
      <c r="C2402" t="str">
        <f>"31.7337"</f>
        <v>31.7337</v>
      </c>
    </row>
    <row r="2403" spans="1:3" x14ac:dyDescent="0.25">
      <c r="A2403" t="str">
        <f>"20/05/2019"</f>
        <v>20/05/2019</v>
      </c>
      <c r="B2403" t="str">
        <f>"31.755"</f>
        <v>31.755</v>
      </c>
      <c r="C2403" t="str">
        <f>"31.7337"</f>
        <v>31.7337</v>
      </c>
    </row>
    <row r="2404" spans="1:3" x14ac:dyDescent="0.25">
      <c r="A2404" t="str">
        <f>"21/05/2019"</f>
        <v>21/05/2019</v>
      </c>
      <c r="B2404" t="str">
        <f>"31.92"</f>
        <v>31.92</v>
      </c>
      <c r="C2404" t="str">
        <f>"31.8992"</f>
        <v>31.8992</v>
      </c>
    </row>
    <row r="2405" spans="1:3" x14ac:dyDescent="0.25">
      <c r="A2405" t="str">
        <f>"22/05/2019"</f>
        <v>22/05/2019</v>
      </c>
      <c r="B2405" t="str">
        <f>"31.945"</f>
        <v>31.945</v>
      </c>
      <c r="C2405" t="str">
        <f>"31.9254"</f>
        <v>31.9254</v>
      </c>
    </row>
    <row r="2406" spans="1:3" x14ac:dyDescent="0.25">
      <c r="A2406" t="str">
        <f>"23/05/2019"</f>
        <v>23/05/2019</v>
      </c>
      <c r="B2406" t="str">
        <f>"31.995"</f>
        <v>31.995</v>
      </c>
      <c r="C2406" t="str">
        <f>"31.9751"</f>
        <v>31.9751</v>
      </c>
    </row>
    <row r="2407" spans="1:3" x14ac:dyDescent="0.25">
      <c r="A2407" t="str">
        <f>"24/05/2019"</f>
        <v>24/05/2019</v>
      </c>
      <c r="B2407" t="str">
        <f>"31.86"</f>
        <v>31.86</v>
      </c>
      <c r="C2407" t="str">
        <f>"31.8405"</f>
        <v>31.8405</v>
      </c>
    </row>
    <row r="2408" spans="1:3" x14ac:dyDescent="0.25">
      <c r="A2408" t="str">
        <f>"27/05/2019"</f>
        <v>27/05/2019</v>
      </c>
      <c r="B2408" t="str">
        <f>"31.835"</f>
        <v>31.835</v>
      </c>
      <c r="C2408" t="str">
        <f>"31.8155"</f>
        <v>31.8155</v>
      </c>
    </row>
    <row r="2409" spans="1:3" x14ac:dyDescent="0.25">
      <c r="A2409" t="str">
        <f>"28/05/2019"</f>
        <v>28/05/2019</v>
      </c>
      <c r="B2409" t="str">
        <f>"31.805"</f>
        <v>31.805</v>
      </c>
      <c r="C2409" t="str">
        <f>"31.7862"</f>
        <v>31.7862</v>
      </c>
    </row>
    <row r="2410" spans="1:3" x14ac:dyDescent="0.25">
      <c r="A2410" t="str">
        <f>"29/05/2019"</f>
        <v>29/05/2019</v>
      </c>
      <c r="B2410" t="str">
        <f>"31.82"</f>
        <v>31.82</v>
      </c>
      <c r="C2410" t="str">
        <f>"31.8012"</f>
        <v>31.8012</v>
      </c>
    </row>
    <row r="2411" spans="1:3" x14ac:dyDescent="0.25">
      <c r="A2411" t="str">
        <f>"30/05/2019"</f>
        <v>30/05/2019</v>
      </c>
      <c r="B2411" t="str">
        <f>"31.805"</f>
        <v>31.805</v>
      </c>
      <c r="C2411" t="str">
        <f>"31.7845"</f>
        <v>31.7845</v>
      </c>
    </row>
    <row r="2412" spans="1:3" x14ac:dyDescent="0.25">
      <c r="A2412" t="str">
        <f>"31/05/2019"</f>
        <v>31/05/2019</v>
      </c>
      <c r="B2412" t="str">
        <f>"31.785"</f>
        <v>31.785</v>
      </c>
      <c r="C2412" t="str">
        <f>"31.764"</f>
        <v>31.764</v>
      </c>
    </row>
    <row r="2413" spans="1:3" x14ac:dyDescent="0.25">
      <c r="A2413" t="str">
        <f>"03/06/2019"</f>
        <v>03/06/2019</v>
      </c>
      <c r="B2413" t="str">
        <f>"31.65"</f>
        <v>31.65</v>
      </c>
      <c r="C2413" t="str">
        <f>"31.629"</f>
        <v>31.629</v>
      </c>
    </row>
    <row r="2414" spans="1:3" x14ac:dyDescent="0.25">
      <c r="A2414" t="str">
        <f>"04/06/2019"</f>
        <v>04/06/2019</v>
      </c>
      <c r="B2414" t="str">
        <f>"31.365"</f>
        <v>31.365</v>
      </c>
      <c r="C2414" t="str">
        <f>"31.3413"</f>
        <v>31.3413</v>
      </c>
    </row>
    <row r="2415" spans="1:3" x14ac:dyDescent="0.25">
      <c r="A2415" t="str">
        <f>"06/06/2019"</f>
        <v>06/06/2019</v>
      </c>
      <c r="B2415" t="str">
        <f>"31.34"</f>
        <v>31.34</v>
      </c>
      <c r="C2415" t="str">
        <f>"31.3183"</f>
        <v>31.3183</v>
      </c>
    </row>
    <row r="2416" spans="1:3" x14ac:dyDescent="0.25">
      <c r="A2416" t="str">
        <f>"07/06/2019"</f>
        <v>07/06/2019</v>
      </c>
      <c r="B2416" t="str">
        <f>"31.375"</f>
        <v>31.375</v>
      </c>
      <c r="C2416" t="str">
        <f>"31.355"</f>
        <v>31.355</v>
      </c>
    </row>
    <row r="2417" spans="1:3" x14ac:dyDescent="0.25">
      <c r="A2417" t="str">
        <f>"10/06/2019"</f>
        <v>10/06/2019</v>
      </c>
      <c r="B2417" t="str">
        <f>"31.345"</f>
        <v>31.345</v>
      </c>
      <c r="C2417" t="str">
        <f>"31.326"</f>
        <v>31.326</v>
      </c>
    </row>
    <row r="2418" spans="1:3" x14ac:dyDescent="0.25">
      <c r="A2418" t="str">
        <f>"11/06/2019"</f>
        <v>11/06/2019</v>
      </c>
      <c r="B2418" t="str">
        <f>"31.305"</f>
        <v>31.305</v>
      </c>
      <c r="C2418" t="str">
        <f>"31.2872"</f>
        <v>31.2872</v>
      </c>
    </row>
    <row r="2419" spans="1:3" x14ac:dyDescent="0.25">
      <c r="A2419" t="str">
        <f>"12/06/2019"</f>
        <v>12/06/2019</v>
      </c>
      <c r="B2419" t="str">
        <f>"31.24"</f>
        <v>31.24</v>
      </c>
      <c r="C2419" t="str">
        <f>"31.2222"</f>
        <v>31.2222</v>
      </c>
    </row>
    <row r="2420" spans="1:3" x14ac:dyDescent="0.25">
      <c r="A2420" t="str">
        <f>"13/06/2019"</f>
        <v>13/06/2019</v>
      </c>
      <c r="B2420" t="str">
        <f>"31.23"</f>
        <v>31.23</v>
      </c>
      <c r="C2420" t="str">
        <f>"31.2128"</f>
        <v>31.2128</v>
      </c>
    </row>
    <row r="2421" spans="1:3" x14ac:dyDescent="0.25">
      <c r="A2421" t="str">
        <f>"14/06/2019"</f>
        <v>14/06/2019</v>
      </c>
      <c r="B2421" t="str">
        <f>"31.15"</f>
        <v>31.15</v>
      </c>
      <c r="C2421" t="str">
        <f>"31.1325"</f>
        <v>31.1325</v>
      </c>
    </row>
    <row r="2422" spans="1:3" x14ac:dyDescent="0.25">
      <c r="A2422" t="str">
        <f>"17/06/2019"</f>
        <v>17/06/2019</v>
      </c>
      <c r="B2422" t="str">
        <f>"31.32"</f>
        <v>31.32</v>
      </c>
      <c r="C2422" t="str">
        <f>"31.3023"</f>
        <v>31.3023</v>
      </c>
    </row>
    <row r="2423" spans="1:3" x14ac:dyDescent="0.25">
      <c r="A2423" t="str">
        <f>"18/06/2019"</f>
        <v>18/06/2019</v>
      </c>
      <c r="B2423" t="str">
        <f>"31.365"</f>
        <v>31.365</v>
      </c>
      <c r="C2423" t="str">
        <f>"31.3463"</f>
        <v>31.3463</v>
      </c>
    </row>
    <row r="2424" spans="1:3" x14ac:dyDescent="0.25">
      <c r="A2424" t="str">
        <f>"19/06/2019"</f>
        <v>19/06/2019</v>
      </c>
      <c r="B2424" t="str">
        <f>"31.24"</f>
        <v>31.24</v>
      </c>
      <c r="C2424" t="str">
        <f>"31.2201"</f>
        <v>31.2201</v>
      </c>
    </row>
    <row r="2425" spans="1:3" x14ac:dyDescent="0.25">
      <c r="A2425" t="str">
        <f>"20/06/2019"</f>
        <v>20/06/2019</v>
      </c>
      <c r="B2425" t="str">
        <f>"30.92"</f>
        <v>30.92</v>
      </c>
      <c r="C2425" t="str">
        <f>"30.9005"</f>
        <v>30.9005</v>
      </c>
    </row>
    <row r="2426" spans="1:3" x14ac:dyDescent="0.25">
      <c r="A2426" t="str">
        <f>"21/06/2019"</f>
        <v>21/06/2019</v>
      </c>
      <c r="B2426" t="str">
        <f>"30.86"</f>
        <v>30.86</v>
      </c>
      <c r="C2426" t="str">
        <f>"30.8375"</f>
        <v>30.8375</v>
      </c>
    </row>
    <row r="2427" spans="1:3" x14ac:dyDescent="0.25">
      <c r="A2427" t="str">
        <f>"24/06/2019"</f>
        <v>24/06/2019</v>
      </c>
      <c r="B2427" t="str">
        <f>"30.755"</f>
        <v>30.755</v>
      </c>
      <c r="C2427" t="str">
        <f>"30.7329"</f>
        <v>30.7329</v>
      </c>
    </row>
    <row r="2428" spans="1:3" x14ac:dyDescent="0.25">
      <c r="A2428" t="str">
        <f>"25/06/2019"</f>
        <v>25/06/2019</v>
      </c>
      <c r="B2428" t="str">
        <f>"30.755"</f>
        <v>30.755</v>
      </c>
      <c r="C2428" t="str">
        <f>"30.7313"</f>
        <v>30.7313</v>
      </c>
    </row>
    <row r="2429" spans="1:3" x14ac:dyDescent="0.25">
      <c r="A2429" t="str">
        <f>"26/06/2019"</f>
        <v>26/06/2019</v>
      </c>
      <c r="B2429" t="str">
        <f>"30.745"</f>
        <v>30.745</v>
      </c>
      <c r="C2429" t="str">
        <f>"30.7233"</f>
        <v>30.7233</v>
      </c>
    </row>
    <row r="2430" spans="1:3" x14ac:dyDescent="0.25">
      <c r="A2430" t="str">
        <f>"27/06/2019"</f>
        <v>27/06/2019</v>
      </c>
      <c r="B2430" t="str">
        <f>"30.775"</f>
        <v>30.775</v>
      </c>
      <c r="C2430" t="str">
        <f>"30.755"</f>
        <v>30.755</v>
      </c>
    </row>
    <row r="2431" spans="1:3" x14ac:dyDescent="0.25">
      <c r="A2431" t="str">
        <f>"28/06/2019"</f>
        <v>28/06/2019</v>
      </c>
      <c r="B2431" t="str">
        <f>"30.675"</f>
        <v>30.675</v>
      </c>
      <c r="C2431" t="str">
        <f>"30.655"</f>
        <v>30.655</v>
      </c>
    </row>
    <row r="2432" spans="1:3" x14ac:dyDescent="0.25">
      <c r="A2432" t="str">
        <f>"01/07/2019"</f>
        <v>01/07/2019</v>
      </c>
      <c r="B2432" t="str">
        <f>"30.62"</f>
        <v>30.62</v>
      </c>
      <c r="C2432" t="str">
        <f>"30.5983"</f>
        <v>30.5983</v>
      </c>
    </row>
    <row r="2433" spans="1:3" x14ac:dyDescent="0.25">
      <c r="A2433" t="str">
        <f>"02/07/2019"</f>
        <v>02/07/2019</v>
      </c>
      <c r="B2433" t="str">
        <f>"30.695"</f>
        <v>30.695</v>
      </c>
      <c r="C2433" t="str">
        <f>"30.6744"</f>
        <v>30.6744</v>
      </c>
    </row>
    <row r="2434" spans="1:3" x14ac:dyDescent="0.25">
      <c r="A2434" t="str">
        <f>"03/07/2019"</f>
        <v>03/07/2019</v>
      </c>
      <c r="B2434" t="str">
        <f>"30.565"</f>
        <v>30.565</v>
      </c>
      <c r="C2434" t="str">
        <f>"30.5429"</f>
        <v>30.5429</v>
      </c>
    </row>
    <row r="2435" spans="1:3" x14ac:dyDescent="0.25">
      <c r="A2435" t="str">
        <f>"04/07/2019"</f>
        <v>04/07/2019</v>
      </c>
      <c r="B2435" t="str">
        <f>"30.62"</f>
        <v>30.62</v>
      </c>
      <c r="C2435" t="str">
        <f>"30.5982"</f>
        <v>30.5982</v>
      </c>
    </row>
    <row r="2436" spans="1:3" x14ac:dyDescent="0.25">
      <c r="A2436" t="str">
        <f>"05/07/2019"</f>
        <v>05/07/2019</v>
      </c>
      <c r="B2436" t="str">
        <f>"30.655"</f>
        <v>30.655</v>
      </c>
      <c r="C2436" t="str">
        <f>"30.6332"</f>
        <v>30.6332</v>
      </c>
    </row>
    <row r="2437" spans="1:3" x14ac:dyDescent="0.25">
      <c r="A2437" t="str">
        <f>"08/07/2019"</f>
        <v>08/07/2019</v>
      </c>
      <c r="B2437" t="str">
        <f>"30.82"</f>
        <v>30.82</v>
      </c>
      <c r="C2437" t="str">
        <f>"30.797"</f>
        <v>30.797</v>
      </c>
    </row>
    <row r="2438" spans="1:3" x14ac:dyDescent="0.25">
      <c r="A2438" t="str">
        <f>"09/07/2019"</f>
        <v>09/07/2019</v>
      </c>
      <c r="B2438" t="str">
        <f>"30.835"</f>
        <v>30.835</v>
      </c>
      <c r="C2438" t="str">
        <f>"30.812"</f>
        <v>30.812</v>
      </c>
    </row>
    <row r="2439" spans="1:3" x14ac:dyDescent="0.25">
      <c r="A2439" t="str">
        <f>"10/07/2019"</f>
        <v>10/07/2019</v>
      </c>
      <c r="B2439" t="str">
        <f>"30.885"</f>
        <v>30.885</v>
      </c>
      <c r="C2439" t="str">
        <f>"30.8627"</f>
        <v>30.8627</v>
      </c>
    </row>
    <row r="2440" spans="1:3" x14ac:dyDescent="0.25">
      <c r="A2440" t="str">
        <f>"11/07/2019"</f>
        <v>11/07/2019</v>
      </c>
      <c r="B2440" t="str">
        <f>"30.60"</f>
        <v>30.60</v>
      </c>
      <c r="C2440" t="str">
        <f>"30.579"</f>
        <v>30.579</v>
      </c>
    </row>
    <row r="2441" spans="1:3" x14ac:dyDescent="0.25">
      <c r="A2441" t="str">
        <f>"12/07/2019"</f>
        <v>12/07/2019</v>
      </c>
      <c r="B2441" t="str">
        <f>"30.87"</f>
        <v>30.87</v>
      </c>
      <c r="C2441" t="str">
        <f>"30.8465"</f>
        <v>30.8465</v>
      </c>
    </row>
    <row r="2442" spans="1:3" x14ac:dyDescent="0.25">
      <c r="A2442" t="str">
        <f>"15/07/2019"</f>
        <v>15/07/2019</v>
      </c>
      <c r="B2442" t="str">
        <f>"30.87"</f>
        <v>30.87</v>
      </c>
      <c r="C2442" t="str">
        <f>"30.847"</f>
        <v>30.847</v>
      </c>
    </row>
    <row r="2443" spans="1:3" x14ac:dyDescent="0.25">
      <c r="A2443" t="str">
        <f>"16/07/2019"</f>
        <v>16/07/2019</v>
      </c>
      <c r="B2443" t="str">
        <f>"30.87"</f>
        <v>30.87</v>
      </c>
      <c r="C2443" t="str">
        <f>"30.8531"</f>
        <v>30.8531</v>
      </c>
    </row>
    <row r="2444" spans="1:3" x14ac:dyDescent="0.25">
      <c r="A2444" t="str">
        <f>"17/07/2019"</f>
        <v>17/07/2019</v>
      </c>
      <c r="B2444" t="str">
        <f>"30.925"</f>
        <v>30.925</v>
      </c>
      <c r="C2444" t="str">
        <f>"30.90"</f>
        <v>30.90</v>
      </c>
    </row>
    <row r="2445" spans="1:3" x14ac:dyDescent="0.25">
      <c r="A2445" t="str">
        <f>"18/07/2019"</f>
        <v>18/07/2019</v>
      </c>
      <c r="B2445" t="str">
        <f>"30.89"</f>
        <v>30.89</v>
      </c>
      <c r="C2445" t="str">
        <f>"30.8683"</f>
        <v>30.8683</v>
      </c>
    </row>
    <row r="2446" spans="1:3" x14ac:dyDescent="0.25">
      <c r="A2446" t="str">
        <f>"19/07/2019"</f>
        <v>19/07/2019</v>
      </c>
      <c r="B2446" t="str">
        <f>"30.76"</f>
        <v>30.76</v>
      </c>
      <c r="C2446" t="str">
        <f>"30.7385"</f>
        <v>30.7385</v>
      </c>
    </row>
    <row r="2447" spans="1:3" x14ac:dyDescent="0.25">
      <c r="A2447" t="str">
        <f>"22/07/2019"</f>
        <v>22/07/2019</v>
      </c>
      <c r="B2447" t="str">
        <f>"30.85"</f>
        <v>30.85</v>
      </c>
      <c r="C2447" t="str">
        <f>"30.8275"</f>
        <v>30.8275</v>
      </c>
    </row>
    <row r="2448" spans="1:3" x14ac:dyDescent="0.25">
      <c r="A2448" t="str">
        <f>"23/07/2019"</f>
        <v>23/07/2019</v>
      </c>
      <c r="B2448" t="str">
        <f>"30.915"</f>
        <v>30.915</v>
      </c>
      <c r="C2448" t="str">
        <f>"30.8937"</f>
        <v>30.8937</v>
      </c>
    </row>
    <row r="2449" spans="1:3" x14ac:dyDescent="0.25">
      <c r="A2449" t="str">
        <f>"24/07/2019"</f>
        <v>24/07/2019</v>
      </c>
      <c r="B2449" t="str">
        <f>"30.93"</f>
        <v>30.93</v>
      </c>
      <c r="C2449" t="str">
        <f>"30.91"</f>
        <v>30.91</v>
      </c>
    </row>
    <row r="2450" spans="1:3" x14ac:dyDescent="0.25">
      <c r="A2450" t="str">
        <f>"25/07/2019"</f>
        <v>25/07/2019</v>
      </c>
      <c r="B2450" t="str">
        <f>"30.91"</f>
        <v>30.91</v>
      </c>
      <c r="C2450" t="str">
        <f>"30.888"</f>
        <v>30.888</v>
      </c>
    </row>
    <row r="2451" spans="1:3" x14ac:dyDescent="0.25">
      <c r="A2451" t="str">
        <f>"26/07/2019"</f>
        <v>26/07/2019</v>
      </c>
      <c r="B2451" t="str">
        <f>"30.935"</f>
        <v>30.935</v>
      </c>
      <c r="C2451" t="str">
        <f>"30.9122"</f>
        <v>30.9122</v>
      </c>
    </row>
    <row r="2452" spans="1:3" x14ac:dyDescent="0.25">
      <c r="A2452" t="str">
        <f>"29/07/2019"</f>
        <v>29/07/2019</v>
      </c>
      <c r="B2452" t="str">
        <f>"30.935"</f>
        <v>30.935</v>
      </c>
      <c r="C2452" t="str">
        <f>"30.9122"</f>
        <v>30.9122</v>
      </c>
    </row>
    <row r="2453" spans="1:3" x14ac:dyDescent="0.25">
      <c r="A2453" t="str">
        <f>"30/07/2019"</f>
        <v>30/07/2019</v>
      </c>
      <c r="B2453" t="str">
        <f>"30.82"</f>
        <v>30.82</v>
      </c>
      <c r="C2453" t="str">
        <f>"30.7965"</f>
        <v>30.7965</v>
      </c>
    </row>
    <row r="2454" spans="1:3" x14ac:dyDescent="0.25">
      <c r="A2454" t="str">
        <f>"31/07/2019"</f>
        <v>31/07/2019</v>
      </c>
      <c r="B2454" t="str">
        <f>"30.76"</f>
        <v>30.76</v>
      </c>
      <c r="C2454" t="str">
        <f>"30.7385"</f>
        <v>30.7385</v>
      </c>
    </row>
    <row r="2455" spans="1:3" x14ac:dyDescent="0.25">
      <c r="A2455" t="str">
        <f>"01/08/2019"</f>
        <v>01/08/2019</v>
      </c>
      <c r="B2455" t="str">
        <f>"30.87"</f>
        <v>30.87</v>
      </c>
      <c r="C2455" t="str">
        <f>"30.8503"</f>
        <v>30.8503</v>
      </c>
    </row>
    <row r="2456" spans="1:3" x14ac:dyDescent="0.25">
      <c r="A2456" t="str">
        <f>"02/08/2019"</f>
        <v>02/08/2019</v>
      </c>
      <c r="B2456" t="str">
        <f>"30.815"</f>
        <v>30.815</v>
      </c>
      <c r="C2456" t="str">
        <f>"30.7975"</f>
        <v>30.7975</v>
      </c>
    </row>
    <row r="2457" spans="1:3" x14ac:dyDescent="0.25">
      <c r="A2457" t="str">
        <f>"05/08/2019"</f>
        <v>05/08/2019</v>
      </c>
      <c r="B2457" t="str">
        <f>"30.80"</f>
        <v>30.80</v>
      </c>
      <c r="C2457" t="str">
        <f>"30.7805"</f>
        <v>30.7805</v>
      </c>
    </row>
    <row r="2458" spans="1:3" x14ac:dyDescent="0.25">
      <c r="A2458" t="str">
        <f>"06/08/2019"</f>
        <v>06/08/2019</v>
      </c>
      <c r="B2458" t="str">
        <f>"30.77"</f>
        <v>30.77</v>
      </c>
      <c r="C2458" t="str">
        <f>"30.753"</f>
        <v>30.753</v>
      </c>
    </row>
    <row r="2459" spans="1:3" x14ac:dyDescent="0.25">
      <c r="A2459" t="str">
        <f>"07/08/2019"</f>
        <v>07/08/2019</v>
      </c>
      <c r="B2459" t="str">
        <f>"30.765"</f>
        <v>30.765</v>
      </c>
      <c r="C2459" t="str">
        <f>"30.748"</f>
        <v>30.748</v>
      </c>
    </row>
    <row r="2460" spans="1:3" x14ac:dyDescent="0.25">
      <c r="A2460" t="str">
        <f>"08/08/2019"</f>
        <v>08/08/2019</v>
      </c>
      <c r="B2460" t="str">
        <f>"30.76"</f>
        <v>30.76</v>
      </c>
      <c r="C2460" t="str">
        <f>"30.7375"</f>
        <v>30.7375</v>
      </c>
    </row>
    <row r="2461" spans="1:3" x14ac:dyDescent="0.25">
      <c r="A2461" t="str">
        <f>"09/08/2019"</f>
        <v>09/08/2019</v>
      </c>
      <c r="B2461" t="str">
        <f>"30.735"</f>
        <v>30.735</v>
      </c>
      <c r="C2461" t="str">
        <f>"30.715"</f>
        <v>30.715</v>
      </c>
    </row>
    <row r="2462" spans="1:3" x14ac:dyDescent="0.25">
      <c r="A2462" t="str">
        <f>"13/08/2019"</f>
        <v>13/08/2019</v>
      </c>
      <c r="B2462" t="str">
        <f>"30.885"</f>
        <v>30.885</v>
      </c>
      <c r="C2462" t="str">
        <f>"30.8618"</f>
        <v>30.8618</v>
      </c>
    </row>
    <row r="2463" spans="1:3" x14ac:dyDescent="0.25">
      <c r="A2463" t="str">
        <f>"14/08/2019"</f>
        <v>14/08/2019</v>
      </c>
      <c r="B2463" t="str">
        <f>"30.815"</f>
        <v>30.815</v>
      </c>
      <c r="C2463" t="str">
        <f>"30.7928"</f>
        <v>30.7928</v>
      </c>
    </row>
    <row r="2464" spans="1:3" x14ac:dyDescent="0.25">
      <c r="A2464" t="str">
        <f>"16/08/2019"</f>
        <v>16/08/2019</v>
      </c>
      <c r="B2464" t="str">
        <f>"30.91"</f>
        <v>30.91</v>
      </c>
      <c r="C2464" t="str">
        <f>"30.8901"</f>
        <v>30.8901</v>
      </c>
    </row>
    <row r="2465" spans="1:3" x14ac:dyDescent="0.25">
      <c r="A2465" t="str">
        <f>"19/08/2019"</f>
        <v>19/08/2019</v>
      </c>
      <c r="B2465" t="str">
        <f>"30.875"</f>
        <v>30.875</v>
      </c>
      <c r="C2465" t="str">
        <f>"30.854"</f>
        <v>30.854</v>
      </c>
    </row>
    <row r="2466" spans="1:3" x14ac:dyDescent="0.25">
      <c r="A2466" t="str">
        <f>"20/08/2019"</f>
        <v>20/08/2019</v>
      </c>
      <c r="B2466" t="str">
        <f>"30.825"</f>
        <v>30.825</v>
      </c>
      <c r="C2466" t="str">
        <f>"30.804"</f>
        <v>30.804</v>
      </c>
    </row>
    <row r="2467" spans="1:3" x14ac:dyDescent="0.25">
      <c r="A2467" t="str">
        <f>"21/08/2019"</f>
        <v>21/08/2019</v>
      </c>
      <c r="B2467" t="str">
        <f>"30.78"</f>
        <v>30.78</v>
      </c>
      <c r="C2467" t="str">
        <f>"30.759"</f>
        <v>30.759</v>
      </c>
    </row>
    <row r="2468" spans="1:3" x14ac:dyDescent="0.25">
      <c r="A2468" t="str">
        <f>"22/08/2019"</f>
        <v>22/08/2019</v>
      </c>
      <c r="B2468" t="str">
        <f>"30.785"</f>
        <v>30.785</v>
      </c>
      <c r="C2468" t="str">
        <f>"30.765"</f>
        <v>30.765</v>
      </c>
    </row>
    <row r="2469" spans="1:3" x14ac:dyDescent="0.25">
      <c r="A2469" t="str">
        <f>"23/08/2019"</f>
        <v>23/08/2019</v>
      </c>
      <c r="B2469" t="str">
        <f>"30.72"</f>
        <v>30.72</v>
      </c>
      <c r="C2469" t="str">
        <f>"30.70"</f>
        <v>30.70</v>
      </c>
    </row>
    <row r="2470" spans="1:3" x14ac:dyDescent="0.25">
      <c r="A2470" t="str">
        <f>"26/08/2019"</f>
        <v>26/08/2019</v>
      </c>
      <c r="B2470" t="str">
        <f>"30.615"</f>
        <v>30.615</v>
      </c>
      <c r="C2470" t="str">
        <f>"30.5933"</f>
        <v>30.5933</v>
      </c>
    </row>
    <row r="2471" spans="1:3" x14ac:dyDescent="0.25">
      <c r="A2471" t="str">
        <f>"27/08/2019"</f>
        <v>27/08/2019</v>
      </c>
      <c r="B2471" t="str">
        <f>"30.595"</f>
        <v>30.595</v>
      </c>
      <c r="C2471" t="str">
        <f>"30.572"</f>
        <v>30.572</v>
      </c>
    </row>
    <row r="2472" spans="1:3" x14ac:dyDescent="0.25">
      <c r="A2472" t="str">
        <f>"28/08/2019"</f>
        <v>28/08/2019</v>
      </c>
      <c r="B2472" t="str">
        <f>"30.635"</f>
        <v>30.635</v>
      </c>
      <c r="C2472" t="str">
        <f>"30.6111"</f>
        <v>30.6111</v>
      </c>
    </row>
    <row r="2473" spans="1:3" x14ac:dyDescent="0.25">
      <c r="A2473" t="str">
        <f>"29/08/2019"</f>
        <v>29/08/2019</v>
      </c>
      <c r="B2473" t="str">
        <f>"30.594"</f>
        <v>30.594</v>
      </c>
      <c r="C2473" t="str">
        <f>"30.5712"</f>
        <v>30.5712</v>
      </c>
    </row>
    <row r="2474" spans="1:3" x14ac:dyDescent="0.25">
      <c r="A2474" t="str">
        <f>"30/08/2019"</f>
        <v>30/08/2019</v>
      </c>
      <c r="B2474" t="str">
        <f>"30.58"</f>
        <v>30.58</v>
      </c>
      <c r="C2474" t="str">
        <f>"30.5571"</f>
        <v>30.5571</v>
      </c>
    </row>
    <row r="2475" spans="1:3" x14ac:dyDescent="0.25">
      <c r="A2475" t="str">
        <f>"03/09/2019"</f>
        <v>03/09/2019</v>
      </c>
      <c r="B2475" t="str">
        <f>"30.66"</f>
        <v>30.66</v>
      </c>
      <c r="C2475" t="str">
        <f>"30.6386"</f>
        <v>30.6386</v>
      </c>
    </row>
    <row r="2476" spans="1:3" x14ac:dyDescent="0.25">
      <c r="A2476" t="str">
        <f>"04/09/2019"</f>
        <v>04/09/2019</v>
      </c>
      <c r="B2476" t="str">
        <f>"30.61"</f>
        <v>30.61</v>
      </c>
      <c r="C2476" t="str">
        <f>"30.5902"</f>
        <v>30.5902</v>
      </c>
    </row>
    <row r="2477" spans="1:3" x14ac:dyDescent="0.25">
      <c r="A2477" t="str">
        <f>"05/09/2019"</f>
        <v>05/09/2019</v>
      </c>
      <c r="B2477" t="str">
        <f>"30.56"</f>
        <v>30.56</v>
      </c>
      <c r="C2477" t="str">
        <f>"30.5398"</f>
        <v>30.5398</v>
      </c>
    </row>
    <row r="2478" spans="1:3" x14ac:dyDescent="0.25">
      <c r="A2478" t="str">
        <f>"06/09/2019"</f>
        <v>06/09/2019</v>
      </c>
      <c r="B2478" t="str">
        <f>"30.66"</f>
        <v>30.66</v>
      </c>
      <c r="C2478" t="str">
        <f>"30.6399"</f>
        <v>30.6399</v>
      </c>
    </row>
    <row r="2479" spans="1:3" x14ac:dyDescent="0.25">
      <c r="A2479" t="str">
        <f>"09/09/2019"</f>
        <v>09/09/2019</v>
      </c>
      <c r="B2479" t="str">
        <f>"30.645"</f>
        <v>30.645</v>
      </c>
      <c r="C2479" t="str">
        <f>"30.6256"</f>
        <v>30.6256</v>
      </c>
    </row>
    <row r="2480" spans="1:3" x14ac:dyDescent="0.25">
      <c r="A2480" t="str">
        <f>"11/09/2019"</f>
        <v>11/09/2019</v>
      </c>
      <c r="B2480" t="str">
        <f>"30.59"</f>
        <v>30.59</v>
      </c>
      <c r="C2480" t="str">
        <f>"30.5713"</f>
        <v>30.5713</v>
      </c>
    </row>
    <row r="2481" spans="1:3" x14ac:dyDescent="0.25">
      <c r="A2481" t="str">
        <f>"12/09/2019"</f>
        <v>12/09/2019</v>
      </c>
      <c r="B2481" t="str">
        <f>"30.46"</f>
        <v>30.46</v>
      </c>
      <c r="C2481" t="str">
        <f>"30.4424"</f>
        <v>30.4424</v>
      </c>
    </row>
    <row r="2482" spans="1:3" x14ac:dyDescent="0.25">
      <c r="A2482" t="str">
        <f>"16/09/2019"</f>
        <v>16/09/2019</v>
      </c>
      <c r="B2482" t="str">
        <f>"30.475"</f>
        <v>30.475</v>
      </c>
      <c r="C2482" t="str">
        <f>"30.459"</f>
        <v>30.459</v>
      </c>
    </row>
    <row r="2483" spans="1:3" x14ac:dyDescent="0.25">
      <c r="A2483" t="str">
        <f>"17/09/2019"</f>
        <v>17/09/2019</v>
      </c>
      <c r="B2483" t="str">
        <f>"30.565"</f>
        <v>30.565</v>
      </c>
      <c r="C2483" t="str">
        <f>"30.5513"</f>
        <v>30.5513</v>
      </c>
    </row>
    <row r="2484" spans="1:3" x14ac:dyDescent="0.25">
      <c r="A2484" t="str">
        <f>"18/09/2019"</f>
        <v>18/09/2019</v>
      </c>
      <c r="B2484" t="str">
        <f>"30.535"</f>
        <v>30.535</v>
      </c>
      <c r="C2484" t="str">
        <f>"30.5217"</f>
        <v>30.5217</v>
      </c>
    </row>
    <row r="2485" spans="1:3" x14ac:dyDescent="0.25">
      <c r="A2485" t="str">
        <f>"19/09/2019"</f>
        <v>19/09/2019</v>
      </c>
      <c r="B2485" t="str">
        <f>"30.57"</f>
        <v>30.57</v>
      </c>
      <c r="C2485" t="str">
        <f>"30.5538"</f>
        <v>30.5538</v>
      </c>
    </row>
    <row r="2486" spans="1:3" x14ac:dyDescent="0.25">
      <c r="A2486" t="str">
        <f>"20/09/2019"</f>
        <v>20/09/2019</v>
      </c>
      <c r="B2486" t="str">
        <f>"30.495"</f>
        <v>30.495</v>
      </c>
      <c r="C2486" t="str">
        <f>"30.4805"</f>
        <v>30.4805</v>
      </c>
    </row>
    <row r="2487" spans="1:3" x14ac:dyDescent="0.25">
      <c r="A2487" t="str">
        <f>"23/09/2019"</f>
        <v>23/09/2019</v>
      </c>
      <c r="B2487" t="str">
        <f>"30.50"</f>
        <v>30.50</v>
      </c>
      <c r="C2487" t="str">
        <f>"30.4863"</f>
        <v>30.4863</v>
      </c>
    </row>
    <row r="2488" spans="1:3" x14ac:dyDescent="0.25">
      <c r="A2488" t="str">
        <f>"24/09/2019"</f>
        <v>24/09/2019</v>
      </c>
      <c r="B2488" t="str">
        <f>"30.575"</f>
        <v>30.575</v>
      </c>
      <c r="C2488" t="str">
        <f>"30.5601"</f>
        <v>30.5601</v>
      </c>
    </row>
    <row r="2489" spans="1:3" x14ac:dyDescent="0.25">
      <c r="A2489" t="str">
        <f>"25/09/2019"</f>
        <v>25/09/2019</v>
      </c>
      <c r="B2489" t="str">
        <f>"30.55"</f>
        <v>30.55</v>
      </c>
      <c r="C2489" t="str">
        <f>"30.5352"</f>
        <v>30.5352</v>
      </c>
    </row>
    <row r="2490" spans="1:3" x14ac:dyDescent="0.25">
      <c r="A2490" t="str">
        <f>"26/09/2019"</f>
        <v>26/09/2019</v>
      </c>
      <c r="B2490" t="str">
        <f>"30.61"</f>
        <v>30.61</v>
      </c>
      <c r="C2490" t="str">
        <f>"30.595"</f>
        <v>30.595</v>
      </c>
    </row>
    <row r="2491" spans="1:3" x14ac:dyDescent="0.25">
      <c r="A2491" t="str">
        <f>"27/09/2019"</f>
        <v>27/09/2019</v>
      </c>
      <c r="B2491" t="str">
        <f>"30.645"</f>
        <v>30.645</v>
      </c>
      <c r="C2491" t="str">
        <f>"30.63"</f>
        <v>30.63</v>
      </c>
    </row>
    <row r="2492" spans="1:3" x14ac:dyDescent="0.25">
      <c r="A2492" t="str">
        <f>"30/09/2019"</f>
        <v>30/09/2019</v>
      </c>
      <c r="B2492" t="str">
        <f>"30.59"</f>
        <v>30.59</v>
      </c>
      <c r="C2492" t="str">
        <f>"30.5745"</f>
        <v>30.5745</v>
      </c>
    </row>
    <row r="2493" spans="1:3" x14ac:dyDescent="0.25">
      <c r="A2493" t="str">
        <f>"01/10/2019"</f>
        <v>01/10/2019</v>
      </c>
      <c r="B2493" t="str">
        <f>"30.66"</f>
        <v>30.66</v>
      </c>
      <c r="C2493" t="str">
        <f>"30.6454"</f>
        <v>30.6454</v>
      </c>
    </row>
    <row r="2494" spans="1:3" x14ac:dyDescent="0.25">
      <c r="A2494" t="str">
        <f>"03/10/2019"</f>
        <v>03/10/2019</v>
      </c>
      <c r="B2494" t="str">
        <f>"30.575"</f>
        <v>30.575</v>
      </c>
      <c r="C2494" t="str">
        <f>"30.564"</f>
        <v>30.564</v>
      </c>
    </row>
    <row r="2495" spans="1:3" x14ac:dyDescent="0.25">
      <c r="A2495" t="str">
        <f>"04/10/2019"</f>
        <v>04/10/2019</v>
      </c>
      <c r="B2495" t="str">
        <f>"30.445"</f>
        <v>30.445</v>
      </c>
      <c r="C2495" t="str">
        <f>"30.4352"</f>
        <v>30.4352</v>
      </c>
    </row>
    <row r="2496" spans="1:3" x14ac:dyDescent="0.25">
      <c r="A2496" t="str">
        <f>"07/10/2019"</f>
        <v>07/10/2019</v>
      </c>
      <c r="B2496" t="str">
        <f>"30.47"</f>
        <v>30.47</v>
      </c>
      <c r="C2496" t="str">
        <f>"30.4601"</f>
        <v>30.4601</v>
      </c>
    </row>
    <row r="2497" spans="1:3" x14ac:dyDescent="0.25">
      <c r="A2497" t="str">
        <f>"09/10/2019"</f>
        <v>09/10/2019</v>
      </c>
      <c r="B2497" t="str">
        <f>"30.335"</f>
        <v>30.335</v>
      </c>
      <c r="C2497" t="str">
        <f>"30.3261"</f>
        <v>30.3261</v>
      </c>
    </row>
    <row r="2498" spans="1:3" x14ac:dyDescent="0.25">
      <c r="A2498" t="str">
        <f>"10/10/2019"</f>
        <v>10/10/2019</v>
      </c>
      <c r="B2498" t="str">
        <f>"30.40"</f>
        <v>30.40</v>
      </c>
      <c r="C2498" t="str">
        <f>"30.393"</f>
        <v>30.393</v>
      </c>
    </row>
    <row r="2499" spans="1:3" x14ac:dyDescent="0.25">
      <c r="A2499" t="str">
        <f>"11/10/2019"</f>
        <v>11/10/2019</v>
      </c>
      <c r="B2499" t="str">
        <f>"30.40"</f>
        <v>30.40</v>
      </c>
      <c r="C2499" t="str">
        <f>"30.3931"</f>
        <v>30.3931</v>
      </c>
    </row>
    <row r="2500" spans="1:3" x14ac:dyDescent="0.25">
      <c r="A2500" t="str">
        <f>"14/10/2019"</f>
        <v>14/10/2019</v>
      </c>
      <c r="B2500" t="str">
        <f>"30.40"</f>
        <v>30.40</v>
      </c>
      <c r="C2500" t="str">
        <f>"30.3931"</f>
        <v>30.3931</v>
      </c>
    </row>
    <row r="2501" spans="1:3" x14ac:dyDescent="0.25">
      <c r="A2501" t="str">
        <f>"15/10/2019"</f>
        <v>15/10/2019</v>
      </c>
      <c r="B2501" t="str">
        <f>"30.375"</f>
        <v>30.375</v>
      </c>
      <c r="C2501" t="str">
        <f>"30.3687"</f>
        <v>30.3687</v>
      </c>
    </row>
    <row r="2502" spans="1:3" x14ac:dyDescent="0.25">
      <c r="A2502" t="str">
        <f>"16/10/2019"</f>
        <v>16/10/2019</v>
      </c>
      <c r="B2502" t="str">
        <f>"30.41"</f>
        <v>30.41</v>
      </c>
      <c r="C2502" t="str">
        <f>"30.408"</f>
        <v>30.408</v>
      </c>
    </row>
    <row r="2503" spans="1:3" x14ac:dyDescent="0.25">
      <c r="A2503" t="str">
        <f>"17/10/2019"</f>
        <v>17/10/2019</v>
      </c>
      <c r="B2503" t="str">
        <f>"30.33"</f>
        <v>30.33</v>
      </c>
      <c r="C2503" t="str">
        <f>"30.3265"</f>
        <v>30.3265</v>
      </c>
    </row>
    <row r="2504" spans="1:3" x14ac:dyDescent="0.25">
      <c r="A2504" t="str">
        <f>"18/10/2019"</f>
        <v>18/10/2019</v>
      </c>
      <c r="B2504" t="str">
        <f>"30.31"</f>
        <v>30.31</v>
      </c>
      <c r="C2504" t="str">
        <f>"30.3046"</f>
        <v>30.3046</v>
      </c>
    </row>
    <row r="2505" spans="1:3" x14ac:dyDescent="0.25">
      <c r="A2505" t="str">
        <f>"22/10/2019"</f>
        <v>22/10/2019</v>
      </c>
      <c r="B2505" t="str">
        <f>"30.305"</f>
        <v>30.305</v>
      </c>
      <c r="C2505" t="str">
        <f>"30.2988"</f>
        <v>30.2988</v>
      </c>
    </row>
    <row r="2506" spans="1:3" x14ac:dyDescent="0.25">
      <c r="A2506" t="str">
        <f>"23/10/2019"</f>
        <v>23/10/2019</v>
      </c>
      <c r="B2506" t="str">
        <f>"30.305"</f>
        <v>30.305</v>
      </c>
      <c r="C2506" t="str">
        <f>"30.2979"</f>
        <v>30.2979</v>
      </c>
    </row>
    <row r="2507" spans="1:3" x14ac:dyDescent="0.25">
      <c r="A2507" t="str">
        <f>"24/10/2019"</f>
        <v>24/10/2019</v>
      </c>
      <c r="B2507" t="str">
        <f>"30.285"</f>
        <v>30.285</v>
      </c>
      <c r="C2507" t="str">
        <f>"30.2784"</f>
        <v>30.2784</v>
      </c>
    </row>
    <row r="2508" spans="1:3" x14ac:dyDescent="0.25">
      <c r="A2508" t="str">
        <f>"25/10/2019"</f>
        <v>25/10/2019</v>
      </c>
      <c r="B2508" t="str">
        <f>"30.225"</f>
        <v>30.225</v>
      </c>
      <c r="C2508" t="str">
        <f>"30.2174"</f>
        <v>30.2174</v>
      </c>
    </row>
    <row r="2509" spans="1:3" x14ac:dyDescent="0.25">
      <c r="A2509" t="str">
        <f>"29/10/2019"</f>
        <v>29/10/2019</v>
      </c>
      <c r="B2509" t="str">
        <f>"30.205"</f>
        <v>30.205</v>
      </c>
      <c r="C2509" t="str">
        <f>"30.1968"</f>
        <v>30.1968</v>
      </c>
    </row>
    <row r="2510" spans="1:3" x14ac:dyDescent="0.25">
      <c r="A2510" t="str">
        <f>"30/10/2019"</f>
        <v>30/10/2019</v>
      </c>
      <c r="B2510" t="str">
        <f>"30.235"</f>
        <v>30.235</v>
      </c>
      <c r="C2510" t="str">
        <f>"30.2266"</f>
        <v>30.2266</v>
      </c>
    </row>
    <row r="2511" spans="1:3" x14ac:dyDescent="0.25">
      <c r="A2511" t="str">
        <f>"31/10/2019"</f>
        <v>31/10/2019</v>
      </c>
      <c r="B2511" t="str">
        <f>"30.195"</f>
        <v>30.195</v>
      </c>
      <c r="C2511" t="str">
        <f>"30.1892"</f>
        <v>30.1892</v>
      </c>
    </row>
    <row r="2512" spans="1:3" x14ac:dyDescent="0.25">
      <c r="A2512" t="str">
        <f>"01/11/2019"</f>
        <v>01/11/2019</v>
      </c>
      <c r="B2512" t="str">
        <f>"30.175"</f>
        <v>30.175</v>
      </c>
      <c r="C2512" t="str">
        <f>"30.1692"</f>
        <v>30.1692</v>
      </c>
    </row>
    <row r="2513" spans="1:3" x14ac:dyDescent="0.25">
      <c r="A2513" t="str">
        <f>"04/11/2019"</f>
        <v>04/11/2019</v>
      </c>
      <c r="B2513" t="str">
        <f>"30.17"</f>
        <v>30.17</v>
      </c>
      <c r="C2513" t="str">
        <f>"30.1643"</f>
        <v>30.1643</v>
      </c>
    </row>
    <row r="2514" spans="1:3" x14ac:dyDescent="0.25">
      <c r="A2514" t="str">
        <f>"05/11/2019"</f>
        <v>05/11/2019</v>
      </c>
      <c r="B2514" t="str">
        <f>"30.21"</f>
        <v>30.21</v>
      </c>
      <c r="C2514" t="str">
        <f>"30.2025"</f>
        <v>30.2025</v>
      </c>
    </row>
    <row r="2515" spans="1:3" x14ac:dyDescent="0.25">
      <c r="A2515" t="str">
        <f>"06/11/2019"</f>
        <v>06/11/2019</v>
      </c>
      <c r="B2515" t="str">
        <f>"30.305"</f>
        <v>30.305</v>
      </c>
      <c r="C2515" t="str">
        <f>"30.295"</f>
        <v>30.295</v>
      </c>
    </row>
    <row r="2516" spans="1:3" x14ac:dyDescent="0.25">
      <c r="A2516" t="str">
        <f>"07/11/2019"</f>
        <v>07/11/2019</v>
      </c>
      <c r="B2516" t="str">
        <f>"30.34"</f>
        <v>30.34</v>
      </c>
      <c r="C2516" t="str">
        <f>"30.3295"</f>
        <v>30.3295</v>
      </c>
    </row>
    <row r="2517" spans="1:3" x14ac:dyDescent="0.25">
      <c r="A2517" t="str">
        <f>"08/11/2019"</f>
        <v>08/11/2019</v>
      </c>
      <c r="B2517" t="str">
        <f>"30.385"</f>
        <v>30.385</v>
      </c>
      <c r="C2517" t="str">
        <f>"30.3733"</f>
        <v>30.3733</v>
      </c>
    </row>
    <row r="2518" spans="1:3" x14ac:dyDescent="0.25">
      <c r="A2518" t="str">
        <f>"11/11/2019"</f>
        <v>11/11/2019</v>
      </c>
      <c r="B2518" t="str">
        <f>"30.35"</f>
        <v>30.35</v>
      </c>
      <c r="C2518" t="str">
        <f>"30.3389"</f>
        <v>30.3389</v>
      </c>
    </row>
    <row r="2519" spans="1:3" x14ac:dyDescent="0.25">
      <c r="A2519" t="str">
        <f>"13/11/2019"</f>
        <v>13/11/2019</v>
      </c>
      <c r="B2519" t="str">
        <f>"30.25"</f>
        <v>30.25</v>
      </c>
      <c r="C2519" t="str">
        <f>"30.2374"</f>
        <v>30.2374</v>
      </c>
    </row>
    <row r="2520" spans="1:3" x14ac:dyDescent="0.25">
      <c r="A2520" t="str">
        <f>"14/11/2019"</f>
        <v>14/11/2019</v>
      </c>
      <c r="B2520" t="str">
        <f>"30.215"</f>
        <v>30.215</v>
      </c>
      <c r="C2520" t="str">
        <f>"30.2034"</f>
        <v>30.2034</v>
      </c>
    </row>
    <row r="2521" spans="1:3" x14ac:dyDescent="0.25">
      <c r="A2521" t="str">
        <f>"15/11/2019"</f>
        <v>15/11/2019</v>
      </c>
      <c r="B2521" t="str">
        <f>"30.225"</f>
        <v>30.225</v>
      </c>
      <c r="C2521" t="str">
        <f>"30.2125"</f>
        <v>30.2125</v>
      </c>
    </row>
    <row r="2522" spans="1:3" x14ac:dyDescent="0.25">
      <c r="A2522" t="str">
        <f>"18/11/2019"</f>
        <v>18/11/2019</v>
      </c>
      <c r="B2522" t="str">
        <f>"30.25"</f>
        <v>30.25</v>
      </c>
      <c r="C2522" t="str">
        <f>"30.2382"</f>
        <v>30.2382</v>
      </c>
    </row>
    <row r="2523" spans="1:3" x14ac:dyDescent="0.25">
      <c r="A2523" t="str">
        <f>"19/11/2019"</f>
        <v>19/11/2019</v>
      </c>
      <c r="B2523" t="str">
        <f>"30.21"</f>
        <v>30.21</v>
      </c>
      <c r="C2523" t="str">
        <f>"30.1983"</f>
        <v>30.1983</v>
      </c>
    </row>
    <row r="2524" spans="1:3" x14ac:dyDescent="0.25">
      <c r="A2524" t="str">
        <f>"20/11/2019"</f>
        <v>20/11/2019</v>
      </c>
      <c r="B2524" t="str">
        <f>"30.19"</f>
        <v>30.19</v>
      </c>
      <c r="C2524" t="str">
        <f>"30.1794"</f>
        <v>30.1794</v>
      </c>
    </row>
    <row r="2525" spans="1:3" x14ac:dyDescent="0.25">
      <c r="A2525" t="str">
        <f>"21/11/2019"</f>
        <v>21/11/2019</v>
      </c>
      <c r="B2525" t="str">
        <f>"30.21"</f>
        <v>30.21</v>
      </c>
      <c r="C2525" t="str">
        <f>"30.1993"</f>
        <v>30.1993</v>
      </c>
    </row>
    <row r="2526" spans="1:3" x14ac:dyDescent="0.25">
      <c r="A2526" t="str">
        <f>"22/11/2019"</f>
        <v>22/11/2019</v>
      </c>
      <c r="B2526" t="str">
        <f>"30.195"</f>
        <v>30.195</v>
      </c>
      <c r="C2526" t="str">
        <f>"30.1832"</f>
        <v>30.1832</v>
      </c>
    </row>
    <row r="2527" spans="1:3" x14ac:dyDescent="0.25">
      <c r="A2527" t="str">
        <f>"25/11/2019"</f>
        <v>25/11/2019</v>
      </c>
      <c r="B2527" t="str">
        <f>"30.225"</f>
        <v>30.225</v>
      </c>
      <c r="C2527" t="str">
        <f>"30.2133"</f>
        <v>30.2133</v>
      </c>
    </row>
    <row r="2528" spans="1:3" x14ac:dyDescent="0.25">
      <c r="A2528" t="str">
        <f>"26/11/2019"</f>
        <v>26/11/2019</v>
      </c>
      <c r="B2528" t="str">
        <f>"30.205"</f>
        <v>30.205</v>
      </c>
      <c r="C2528" t="str">
        <f>"30.1924"</f>
        <v>30.1924</v>
      </c>
    </row>
    <row r="2529" spans="1:3" x14ac:dyDescent="0.25">
      <c r="A2529" t="str">
        <f>"27/11/2019"</f>
        <v>27/11/2019</v>
      </c>
      <c r="B2529" t="str">
        <f>"30.24"</f>
        <v>30.24</v>
      </c>
      <c r="C2529" t="str">
        <f>"30.225"</f>
        <v>30.225</v>
      </c>
    </row>
    <row r="2530" spans="1:3" x14ac:dyDescent="0.25">
      <c r="A2530" t="str">
        <f>"28/11/2019"</f>
        <v>28/11/2019</v>
      </c>
      <c r="B2530" t="str">
        <f>"30.24"</f>
        <v>30.24</v>
      </c>
      <c r="C2530" t="str">
        <f>"30.2221"</f>
        <v>30.2221</v>
      </c>
    </row>
    <row r="2531" spans="1:3" x14ac:dyDescent="0.25">
      <c r="A2531" t="str">
        <f>"29/11/2019"</f>
        <v>29/11/2019</v>
      </c>
      <c r="B2531" t="str">
        <f>"30.24"</f>
        <v>30.24</v>
      </c>
      <c r="C2531" t="str">
        <f>"30.221"</f>
        <v>30.221</v>
      </c>
    </row>
    <row r="2532" spans="1:3" x14ac:dyDescent="0.25">
      <c r="A2532" t="str">
        <f>"02/12/2019"</f>
        <v>02/12/2019</v>
      </c>
      <c r="B2532" t="str">
        <f>"30.275"</f>
        <v>30.275</v>
      </c>
      <c r="C2532" t="str">
        <f>"30.253"</f>
        <v>30.253</v>
      </c>
    </row>
    <row r="2533" spans="1:3" x14ac:dyDescent="0.25">
      <c r="A2533" t="str">
        <f>"03/12/2019"</f>
        <v>03/12/2019</v>
      </c>
      <c r="B2533" t="str">
        <f>"30.275"</f>
        <v>30.275</v>
      </c>
      <c r="C2533" t="str">
        <f>"30.2551"</f>
        <v>30.2551</v>
      </c>
    </row>
    <row r="2534" spans="1:3" x14ac:dyDescent="0.25">
      <c r="A2534" t="str">
        <f>"04/12/2019"</f>
        <v>04/12/2019</v>
      </c>
      <c r="B2534" t="str">
        <f>"30.295"</f>
        <v>30.295</v>
      </c>
      <c r="C2534" t="str">
        <f>"30.2751"</f>
        <v>30.2751</v>
      </c>
    </row>
    <row r="2535" spans="1:3" x14ac:dyDescent="0.25">
      <c r="A2535" t="str">
        <f>"05/12/2019"</f>
        <v>05/12/2019</v>
      </c>
      <c r="B2535" t="str">
        <f>"30.295"</f>
        <v>30.295</v>
      </c>
      <c r="C2535" t="str">
        <f>"30.2742"</f>
        <v>30.2742</v>
      </c>
    </row>
    <row r="2536" spans="1:3" x14ac:dyDescent="0.25">
      <c r="A2536" t="str">
        <f>"06/12/2019"</f>
        <v>06/12/2019</v>
      </c>
      <c r="B2536" t="str">
        <f>"30.34"</f>
        <v>30.34</v>
      </c>
      <c r="C2536" t="str">
        <f>"30.3196"</f>
        <v>30.3196</v>
      </c>
    </row>
    <row r="2537" spans="1:3" x14ac:dyDescent="0.25">
      <c r="A2537" t="str">
        <f>"09/12/2019"</f>
        <v>09/12/2019</v>
      </c>
      <c r="B2537" t="str">
        <f>"30.305"</f>
        <v>30.305</v>
      </c>
      <c r="C2537" t="str">
        <f>"30.2845"</f>
        <v>30.2845</v>
      </c>
    </row>
    <row r="2538" spans="1:3" x14ac:dyDescent="0.25">
      <c r="A2538" t="str">
        <f>"10/12/2019"</f>
        <v>10/12/2019</v>
      </c>
      <c r="B2538" t="str">
        <f>"30.305"</f>
        <v>30.305</v>
      </c>
      <c r="C2538" t="str">
        <f>"30.2843"</f>
        <v>30.2843</v>
      </c>
    </row>
    <row r="2539" spans="1:3" x14ac:dyDescent="0.25">
      <c r="A2539" t="str">
        <f>"11/12/2019"</f>
        <v>11/12/2019</v>
      </c>
      <c r="B2539" t="str">
        <f>"30.32"</f>
        <v>30.32</v>
      </c>
      <c r="C2539" t="str">
        <f>"30.2995"</f>
        <v>30.2995</v>
      </c>
    </row>
    <row r="2540" spans="1:3" x14ac:dyDescent="0.25">
      <c r="A2540" t="str">
        <f>"12/12/2019"</f>
        <v>12/12/2019</v>
      </c>
      <c r="B2540" t="str">
        <f>"30.185"</f>
        <v>30.185</v>
      </c>
      <c r="C2540" t="str">
        <f>"30.1643"</f>
        <v>30.1643</v>
      </c>
    </row>
    <row r="2541" spans="1:3" x14ac:dyDescent="0.25">
      <c r="A2541" t="str">
        <f>"13/12/2019"</f>
        <v>13/12/2019</v>
      </c>
      <c r="B2541" t="str">
        <f>"30.18"</f>
        <v>30.18</v>
      </c>
      <c r="C2541" t="str">
        <f>"30.1598"</f>
        <v>30.1598</v>
      </c>
    </row>
    <row r="2542" spans="1:3" x14ac:dyDescent="0.25">
      <c r="A2542" t="str">
        <f>"16/12/2019"</f>
        <v>16/12/2019</v>
      </c>
      <c r="B2542" t="str">
        <f>"30.24"</f>
        <v>30.24</v>
      </c>
      <c r="C2542" t="str">
        <f>"30.2178"</f>
        <v>30.2178</v>
      </c>
    </row>
    <row r="2543" spans="1:3" x14ac:dyDescent="0.25">
      <c r="A2543" t="str">
        <f>"17/12/2019"</f>
        <v>17/12/2019</v>
      </c>
      <c r="B2543" t="str">
        <f>"30.255"</f>
        <v>30.255</v>
      </c>
      <c r="C2543" t="str">
        <f>"30.2321"</f>
        <v>30.2321</v>
      </c>
    </row>
    <row r="2544" spans="1:3" x14ac:dyDescent="0.25">
      <c r="A2544" t="str">
        <f>"18/12/2019"</f>
        <v>18/12/2019</v>
      </c>
      <c r="B2544" t="str">
        <f>"30.23"</f>
        <v>30.23</v>
      </c>
      <c r="C2544" t="str">
        <f>"30.2085"</f>
        <v>30.2085</v>
      </c>
    </row>
    <row r="2545" spans="1:3" x14ac:dyDescent="0.25">
      <c r="A2545" t="str">
        <f>"19/12/2019"</f>
        <v>19/12/2019</v>
      </c>
      <c r="B2545" t="str">
        <f>"30.21"</f>
        <v>30.21</v>
      </c>
      <c r="C2545" t="str">
        <f>"30.1895"</f>
        <v>30.1895</v>
      </c>
    </row>
    <row r="2546" spans="1:3" x14ac:dyDescent="0.25">
      <c r="A2546" t="str">
        <f>"20/12/2019"</f>
        <v>20/12/2019</v>
      </c>
      <c r="B2546" t="str">
        <f>"30.21"</f>
        <v>30.21</v>
      </c>
      <c r="C2546" t="str">
        <f>"30.192"</f>
        <v>30.192</v>
      </c>
    </row>
    <row r="2547" spans="1:3" x14ac:dyDescent="0.25">
      <c r="A2547" t="str">
        <f>"23/12/2019"</f>
        <v>23/12/2019</v>
      </c>
      <c r="B2547" t="str">
        <f>"30.175"</f>
        <v>30.175</v>
      </c>
      <c r="C2547" t="str">
        <f>"30.1568"</f>
        <v>30.1568</v>
      </c>
    </row>
    <row r="2548" spans="1:3" x14ac:dyDescent="0.25">
      <c r="A2548" t="str">
        <f>"24/12/2019"</f>
        <v>24/12/2019</v>
      </c>
      <c r="B2548" t="str">
        <f>"30.165"</f>
        <v>30.165</v>
      </c>
      <c r="C2548" t="str">
        <f>"30.1461"</f>
        <v>30.1461</v>
      </c>
    </row>
    <row r="2549" spans="1:3" x14ac:dyDescent="0.25">
      <c r="A2549" t="str">
        <f>"26/12/2019"</f>
        <v>26/12/2019</v>
      </c>
      <c r="B2549" t="str">
        <f>"30.175"</f>
        <v>30.175</v>
      </c>
      <c r="C2549" t="str">
        <f>"30.154"</f>
        <v>30.154</v>
      </c>
    </row>
    <row r="2550" spans="1:3" x14ac:dyDescent="0.25">
      <c r="A2550" t="str">
        <f>"27/12/2019"</f>
        <v>27/12/2019</v>
      </c>
      <c r="B2550" t="str">
        <f>"30.155"</f>
        <v>30.155</v>
      </c>
      <c r="C2550" t="str">
        <f>"30.1377"</f>
        <v>30.1377</v>
      </c>
    </row>
    <row r="2551" spans="1:3" x14ac:dyDescent="0.25">
      <c r="A2551" t="str">
        <f>"30/12/2019"</f>
        <v>30/12/2019</v>
      </c>
      <c r="B2551" t="str">
        <f>"29.975"</f>
        <v>29.975</v>
      </c>
      <c r="C2551" t="str">
        <f>"29.9552"</f>
        <v>29.9552</v>
      </c>
    </row>
    <row r="2552" spans="1:3" x14ac:dyDescent="0.25">
      <c r="A2552" t="str">
        <f>"31/12/2019"</f>
        <v>31/12/2019</v>
      </c>
      <c r="B2552" t="str">
        <f>"29.975"</f>
        <v>29.975</v>
      </c>
      <c r="C2552" t="str">
        <f>"29.9552"</f>
        <v>29.9552</v>
      </c>
    </row>
    <row r="2553" spans="1:3" x14ac:dyDescent="0.25">
      <c r="A2553" t="str">
        <f>"02/01/2020"</f>
        <v>02/01/2020</v>
      </c>
      <c r="B2553" t="str">
        <f>"30.15"</f>
        <v>30.15</v>
      </c>
      <c r="C2553" t="str">
        <f>"30.1286"</f>
        <v>30.1286</v>
      </c>
    </row>
    <row r="2554" spans="1:3" x14ac:dyDescent="0.25">
      <c r="A2554" t="str">
        <f>"03/01/2020"</f>
        <v>03/01/2020</v>
      </c>
      <c r="B2554" t="str">
        <f>"30.16"</f>
        <v>30.16</v>
      </c>
      <c r="C2554" t="str">
        <f>"30.135"</f>
        <v>30.135</v>
      </c>
    </row>
    <row r="2555" spans="1:3" x14ac:dyDescent="0.25">
      <c r="A2555" t="str">
        <f>"06/01/2020"</f>
        <v>06/01/2020</v>
      </c>
      <c r="B2555" t="str">
        <f>"30.145"</f>
        <v>30.145</v>
      </c>
      <c r="C2555" t="str">
        <f>"30.1166"</f>
        <v>30.1166</v>
      </c>
    </row>
    <row r="2556" spans="1:3" x14ac:dyDescent="0.25">
      <c r="A2556" t="str">
        <f>"07/01/2020"</f>
        <v>07/01/2020</v>
      </c>
      <c r="B2556" t="str">
        <f>"30.185"</f>
        <v>30.185</v>
      </c>
      <c r="C2556" t="str">
        <f>"30.1647"</f>
        <v>30.1647</v>
      </c>
    </row>
    <row r="2557" spans="1:3" x14ac:dyDescent="0.25">
      <c r="A2557" t="str">
        <f>"08/01/2020"</f>
        <v>08/01/2020</v>
      </c>
      <c r="B2557" t="str">
        <f>"30.345"</f>
        <v>30.345</v>
      </c>
      <c r="C2557" t="str">
        <f>"30.3278"</f>
        <v>30.3278</v>
      </c>
    </row>
    <row r="2558" spans="1:3" x14ac:dyDescent="0.25">
      <c r="A2558" t="str">
        <f>"09/01/2020"</f>
        <v>09/01/2020</v>
      </c>
      <c r="B2558" t="str">
        <f>"30.305"</f>
        <v>30.305</v>
      </c>
      <c r="C2558" t="str">
        <f>"30.2885"</f>
        <v>30.2885</v>
      </c>
    </row>
    <row r="2559" spans="1:3" x14ac:dyDescent="0.25">
      <c r="A2559" t="str">
        <f>"10/01/2020"</f>
        <v>10/01/2020</v>
      </c>
      <c r="B2559" t="str">
        <f>"30.25"</f>
        <v>30.25</v>
      </c>
      <c r="C2559" t="str">
        <f>"30.2331"</f>
        <v>30.2331</v>
      </c>
    </row>
    <row r="2560" spans="1:3" x14ac:dyDescent="0.25">
      <c r="A2560" t="str">
        <f>"13/01/2020"</f>
        <v>13/01/2020</v>
      </c>
      <c r="B2560" t="str">
        <f>"30.20"</f>
        <v>30.20</v>
      </c>
      <c r="C2560" t="str">
        <f>"30.1821"</f>
        <v>30.1821</v>
      </c>
    </row>
    <row r="2561" spans="1:3" x14ac:dyDescent="0.25">
      <c r="A2561" t="str">
        <f>"14/01/2020"</f>
        <v>14/01/2020</v>
      </c>
      <c r="B2561" t="str">
        <f>"30.255"</f>
        <v>30.255</v>
      </c>
      <c r="C2561" t="str">
        <f>"30.2357"</f>
        <v>30.2357</v>
      </c>
    </row>
    <row r="2562" spans="1:3" x14ac:dyDescent="0.25">
      <c r="A2562" t="str">
        <f>"15/01/2020"</f>
        <v>15/01/2020</v>
      </c>
      <c r="B2562" t="str">
        <f>"30.285"</f>
        <v>30.285</v>
      </c>
      <c r="C2562" t="str">
        <f>"30.2667"</f>
        <v>30.2667</v>
      </c>
    </row>
    <row r="2563" spans="1:3" x14ac:dyDescent="0.25">
      <c r="A2563" t="str">
        <f>"16/01/2020"</f>
        <v>16/01/2020</v>
      </c>
      <c r="B2563" t="str">
        <f>"30.375"</f>
        <v>30.375</v>
      </c>
      <c r="C2563" t="str">
        <f>"30.3572"</f>
        <v>30.3572</v>
      </c>
    </row>
    <row r="2564" spans="1:3" x14ac:dyDescent="0.25">
      <c r="A2564" t="str">
        <f>"17/01/2020"</f>
        <v>17/01/2020</v>
      </c>
      <c r="B2564" t="str">
        <f>"30.39"</f>
        <v>30.39</v>
      </c>
      <c r="C2564" t="str">
        <f>"30.3734"</f>
        <v>30.3734</v>
      </c>
    </row>
    <row r="2565" spans="1:3" x14ac:dyDescent="0.25">
      <c r="A2565" t="str">
        <f>"20/01/2020"</f>
        <v>20/01/2020</v>
      </c>
      <c r="B2565" t="str">
        <f>"30.35"</f>
        <v>30.35</v>
      </c>
      <c r="C2565" t="str">
        <f>"30.332"</f>
        <v>30.332</v>
      </c>
    </row>
    <row r="2566" spans="1:3" x14ac:dyDescent="0.25">
      <c r="A2566" t="str">
        <f>"21/01/2020"</f>
        <v>21/01/2020</v>
      </c>
      <c r="B2566" t="str">
        <f>"30.385"</f>
        <v>30.385</v>
      </c>
      <c r="C2566" t="str">
        <f>"30.3675"</f>
        <v>30.3675</v>
      </c>
    </row>
    <row r="2567" spans="1:3" x14ac:dyDescent="0.25">
      <c r="A2567" t="str">
        <f>"22/01/2020"</f>
        <v>22/01/2020</v>
      </c>
      <c r="B2567" t="str">
        <f>"30.375"</f>
        <v>30.375</v>
      </c>
      <c r="C2567" t="str">
        <f>"30.3581"</f>
        <v>30.3581</v>
      </c>
    </row>
    <row r="2568" spans="1:3" x14ac:dyDescent="0.25">
      <c r="A2568" t="str">
        <f>"23/01/2020"</f>
        <v>23/01/2020</v>
      </c>
      <c r="B2568" t="str">
        <f>"30.46"</f>
        <v>30.46</v>
      </c>
      <c r="C2568" t="str">
        <f>"30.4437"</f>
        <v>30.4437</v>
      </c>
    </row>
    <row r="2569" spans="1:3" x14ac:dyDescent="0.25">
      <c r="A2569" t="str">
        <f>"24/01/2020"</f>
        <v>24/01/2020</v>
      </c>
      <c r="B2569" t="str">
        <f>"30.565"</f>
        <v>30.565</v>
      </c>
      <c r="C2569" t="str">
        <f>"30.5463"</f>
        <v>30.5463</v>
      </c>
    </row>
    <row r="2570" spans="1:3" x14ac:dyDescent="0.25">
      <c r="A2570" t="str">
        <f>"27/01/2020"</f>
        <v>27/01/2020</v>
      </c>
      <c r="B2570" t="str">
        <f>"30.71"</f>
        <v>30.71</v>
      </c>
      <c r="C2570" t="str">
        <f>"30.693"</f>
        <v>30.693</v>
      </c>
    </row>
    <row r="2571" spans="1:3" x14ac:dyDescent="0.25">
      <c r="A2571" t="str">
        <f>"28/01/2020"</f>
        <v>28/01/2020</v>
      </c>
      <c r="B2571" t="str">
        <f>"30.89"</f>
        <v>30.89</v>
      </c>
      <c r="C2571" t="str">
        <f>"30.8735"</f>
        <v>30.8735</v>
      </c>
    </row>
    <row r="2572" spans="1:3" x14ac:dyDescent="0.25">
      <c r="A2572" t="str">
        <f>"29/01/2020"</f>
        <v>29/01/2020</v>
      </c>
      <c r="B2572" t="str">
        <f>"31.01"</f>
        <v>31.01</v>
      </c>
      <c r="C2572" t="str">
        <f>"30.9932"</f>
        <v>30.9932</v>
      </c>
    </row>
    <row r="2573" spans="1:3" x14ac:dyDescent="0.25">
      <c r="A2573" t="str">
        <f>"30/01/2020"</f>
        <v>30/01/2020</v>
      </c>
      <c r="B2573" t="str">
        <f>"31.125"</f>
        <v>31.125</v>
      </c>
      <c r="C2573" t="str">
        <f>"31.1092"</f>
        <v>31.1092</v>
      </c>
    </row>
    <row r="2574" spans="1:3" x14ac:dyDescent="0.25">
      <c r="A2574" t="str">
        <f>"31/01/2020"</f>
        <v>31/01/2020</v>
      </c>
      <c r="B2574" t="str">
        <f>"31.135"</f>
        <v>31.135</v>
      </c>
      <c r="C2574" t="str">
        <f>"31.1183"</f>
        <v>31.1183</v>
      </c>
    </row>
    <row r="2575" spans="1:3" x14ac:dyDescent="0.25">
      <c r="A2575" t="str">
        <f>"03/02/2020"</f>
        <v>03/02/2020</v>
      </c>
      <c r="B2575" t="str">
        <f>"31.095"</f>
        <v>31.095</v>
      </c>
      <c r="C2575" t="str">
        <f>"31.0794"</f>
        <v>31.0794</v>
      </c>
    </row>
    <row r="2576" spans="1:3" x14ac:dyDescent="0.25">
      <c r="A2576" t="str">
        <f>"04/02/2020"</f>
        <v>04/02/2020</v>
      </c>
      <c r="B2576" t="str">
        <f>"30.93"</f>
        <v>30.93</v>
      </c>
      <c r="C2576" t="str">
        <f>"30.9139"</f>
        <v>30.9139</v>
      </c>
    </row>
    <row r="2577" spans="1:3" x14ac:dyDescent="0.25">
      <c r="A2577" t="str">
        <f>"05/02/2020"</f>
        <v>05/02/2020</v>
      </c>
      <c r="B2577" t="str">
        <f>"30.945"</f>
        <v>30.945</v>
      </c>
      <c r="C2577" t="str">
        <f>"30.9269"</f>
        <v>30.9269</v>
      </c>
    </row>
    <row r="2578" spans="1:3" x14ac:dyDescent="0.25">
      <c r="A2578" t="str">
        <f>"06/02/2020"</f>
        <v>06/02/2020</v>
      </c>
      <c r="B2578" t="str">
        <f>"31.08"</f>
        <v>31.08</v>
      </c>
      <c r="C2578" t="str">
        <f>"31.063"</f>
        <v>31.063</v>
      </c>
    </row>
    <row r="2579" spans="1:3" x14ac:dyDescent="0.25">
      <c r="A2579" t="str">
        <f>"07/02/2020"</f>
        <v>07/02/2020</v>
      </c>
      <c r="B2579" t="str">
        <f>"31.305"</f>
        <v>31.305</v>
      </c>
      <c r="C2579" t="str">
        <f>"31.2874"</f>
        <v>31.2874</v>
      </c>
    </row>
    <row r="2580" spans="1:3" x14ac:dyDescent="0.25">
      <c r="A2580" t="str">
        <f>"10/02/2020"</f>
        <v>10/02/2020</v>
      </c>
      <c r="B2580" t="str">
        <f>"31.305"</f>
        <v>31.305</v>
      </c>
      <c r="C2580" t="str">
        <f>"31.2874"</f>
        <v>31.2874</v>
      </c>
    </row>
    <row r="2581" spans="1:3" x14ac:dyDescent="0.25">
      <c r="A2581" t="str">
        <f>"11/02/2020"</f>
        <v>11/02/2020</v>
      </c>
      <c r="B2581" t="str">
        <f>"31.26"</f>
        <v>31.26</v>
      </c>
      <c r="C2581" t="str">
        <f>"31.243"</f>
        <v>31.243</v>
      </c>
    </row>
    <row r="2582" spans="1:3" x14ac:dyDescent="0.25">
      <c r="A2582" t="str">
        <f>"12/02/2020"</f>
        <v>12/02/2020</v>
      </c>
      <c r="B2582" t="str">
        <f>"31.15"</f>
        <v>31.15</v>
      </c>
      <c r="C2582" t="str">
        <f>"31.1326"</f>
        <v>31.1326</v>
      </c>
    </row>
    <row r="2583" spans="1:3" x14ac:dyDescent="0.25">
      <c r="A2583" t="str">
        <f>"13/02/2020"</f>
        <v>13/02/2020</v>
      </c>
      <c r="B2583" t="str">
        <f>"31.125"</f>
        <v>31.125</v>
      </c>
      <c r="C2583" t="str">
        <f>"31.1075"</f>
        <v>31.1075</v>
      </c>
    </row>
    <row r="2584" spans="1:3" x14ac:dyDescent="0.25">
      <c r="A2584" t="str">
        <f>"14/02/2020"</f>
        <v>14/02/2020</v>
      </c>
      <c r="B2584" t="str">
        <f>"31.16"</f>
        <v>31.16</v>
      </c>
      <c r="C2584" t="str">
        <f>"31.1429"</f>
        <v>31.1429</v>
      </c>
    </row>
    <row r="2585" spans="1:3" x14ac:dyDescent="0.25">
      <c r="A2585" t="str">
        <f>"17/02/2020"</f>
        <v>17/02/2020</v>
      </c>
      <c r="B2585" t="str">
        <f>"31.175"</f>
        <v>31.175</v>
      </c>
      <c r="C2585" t="str">
        <f>"31.1566"</f>
        <v>31.1566</v>
      </c>
    </row>
    <row r="2586" spans="1:3" x14ac:dyDescent="0.25">
      <c r="A2586" t="str">
        <f>"18/02/2020"</f>
        <v>18/02/2020</v>
      </c>
      <c r="B2586" t="str">
        <f>"31.22"</f>
        <v>31.22</v>
      </c>
      <c r="C2586" t="str">
        <f>"31.2019"</f>
        <v>31.2019</v>
      </c>
    </row>
    <row r="2587" spans="1:3" x14ac:dyDescent="0.25">
      <c r="A2587" t="str">
        <f>"20/02/2020"</f>
        <v>20/02/2020</v>
      </c>
      <c r="B2587" t="str">
        <f>"31.44"</f>
        <v>31.44</v>
      </c>
      <c r="C2587" t="str">
        <f>"31.4218"</f>
        <v>31.4218</v>
      </c>
    </row>
    <row r="2588" spans="1:3" x14ac:dyDescent="0.25">
      <c r="A2588" t="str">
        <f>"24/02/2020"</f>
        <v>24/02/2020</v>
      </c>
      <c r="B2588" t="str">
        <f>"31.70"</f>
        <v>31.70</v>
      </c>
      <c r="C2588" t="str">
        <f>"31.6852"</f>
        <v>31.6852</v>
      </c>
    </row>
    <row r="2589" spans="1:3" x14ac:dyDescent="0.25">
      <c r="A2589" t="str">
        <f>"25/02/2020"</f>
        <v>25/02/2020</v>
      </c>
      <c r="B2589" t="str">
        <f>"31.725"</f>
        <v>31.725</v>
      </c>
      <c r="C2589" t="str">
        <f>"31.7102"</f>
        <v>31.7102</v>
      </c>
    </row>
    <row r="2590" spans="1:3" x14ac:dyDescent="0.25">
      <c r="A2590" t="str">
        <f>"26/02/2020"</f>
        <v>26/02/2020</v>
      </c>
      <c r="B2590" t="str">
        <f>"31.87"</f>
        <v>31.87</v>
      </c>
      <c r="C2590" t="str">
        <f>"31.8522"</f>
        <v>31.8522</v>
      </c>
    </row>
    <row r="2591" spans="1:3" x14ac:dyDescent="0.25">
      <c r="A2591" t="str">
        <f>"27/02/2020"</f>
        <v>27/02/2020</v>
      </c>
      <c r="B2591" t="str">
        <f>"31.665"</f>
        <v>31.665</v>
      </c>
      <c r="C2591" t="str">
        <f>"31.6476"</f>
        <v>31.6476</v>
      </c>
    </row>
    <row r="2592" spans="1:3" x14ac:dyDescent="0.25">
      <c r="A2592" t="str">
        <f>"28/02/2020"</f>
        <v>28/02/2020</v>
      </c>
      <c r="B2592" t="str">
        <f>"31.565"</f>
        <v>31.565</v>
      </c>
      <c r="C2592" t="str">
        <f>"31.5478"</f>
        <v>31.5478</v>
      </c>
    </row>
    <row r="2593" spans="1:3" x14ac:dyDescent="0.25">
      <c r="A2593" t="str">
        <f>"02/03/2020"</f>
        <v>02/03/2020</v>
      </c>
      <c r="B2593" t="str">
        <f>"31.38"</f>
        <v>31.38</v>
      </c>
      <c r="C2593" t="str">
        <f>"31.3618"</f>
        <v>31.3618</v>
      </c>
    </row>
    <row r="2594" spans="1:3" x14ac:dyDescent="0.25">
      <c r="A2594" t="str">
        <f>"03/03/2020"</f>
        <v>03/03/2020</v>
      </c>
      <c r="B2594" t="str">
        <f>"31.53"</f>
        <v>31.53</v>
      </c>
      <c r="C2594" t="str">
        <f>"31.5127"</f>
        <v>31.5127</v>
      </c>
    </row>
    <row r="2595" spans="1:3" x14ac:dyDescent="0.25">
      <c r="A2595" t="str">
        <f>"04/03/2020"</f>
        <v>04/03/2020</v>
      </c>
      <c r="B2595" t="str">
        <f>"31.34"</f>
        <v>31.34</v>
      </c>
      <c r="C2595" t="str">
        <f>"31.3362"</f>
        <v>31.3362</v>
      </c>
    </row>
    <row r="2596" spans="1:3" x14ac:dyDescent="0.25">
      <c r="A2596" t="str">
        <f>"05/03/2020"</f>
        <v>05/03/2020</v>
      </c>
      <c r="B2596" t="str">
        <f>"31.56"</f>
        <v>31.56</v>
      </c>
      <c r="C2596" t="str">
        <f>"31.5543"</f>
        <v>31.5543</v>
      </c>
    </row>
    <row r="2597" spans="1:3" x14ac:dyDescent="0.25">
      <c r="A2597" t="str">
        <f>"06/03/2020"</f>
        <v>06/03/2020</v>
      </c>
      <c r="B2597" t="str">
        <f>"31.425"</f>
        <v>31.425</v>
      </c>
      <c r="C2597" t="str">
        <f>"31.4185"</f>
        <v>31.4185</v>
      </c>
    </row>
    <row r="2598" spans="1:3" x14ac:dyDescent="0.25">
      <c r="A2598" t="str">
        <f>"09/03/2020"</f>
        <v>09/03/2020</v>
      </c>
      <c r="B2598" t="str">
        <f>"31.545"</f>
        <v>31.545</v>
      </c>
      <c r="C2598" t="str">
        <f>"31.533"</f>
        <v>31.533</v>
      </c>
    </row>
    <row r="2599" spans="1:3" x14ac:dyDescent="0.25">
      <c r="A2599" t="str">
        <f>"11/03/2020"</f>
        <v>11/03/2020</v>
      </c>
      <c r="B2599" t="str">
        <f>"31.44"</f>
        <v>31.44</v>
      </c>
      <c r="C2599" t="str">
        <f>"31.434"</f>
        <v>31.434</v>
      </c>
    </row>
    <row r="2600" spans="1:3" x14ac:dyDescent="0.25">
      <c r="A2600" t="str">
        <f>"12/03/2020"</f>
        <v>12/03/2020</v>
      </c>
      <c r="B2600" t="str">
        <f>"31.58"</f>
        <v>31.58</v>
      </c>
      <c r="C2600" t="str">
        <f>"31.5751"</f>
        <v>31.5751</v>
      </c>
    </row>
    <row r="2601" spans="1:3" x14ac:dyDescent="0.25">
      <c r="A2601" t="str">
        <f>"13/03/2020"</f>
        <v>13/03/2020</v>
      </c>
      <c r="B2601" t="str">
        <f>"31.81"</f>
        <v>31.81</v>
      </c>
      <c r="C2601" t="str">
        <f>"31.7987"</f>
        <v>31.7987</v>
      </c>
    </row>
    <row r="2602" spans="1:3" x14ac:dyDescent="0.25">
      <c r="A2602" t="str">
        <f>"16/03/2020"</f>
        <v>16/03/2020</v>
      </c>
      <c r="B2602" t="str">
        <f>"32.13"</f>
        <v>32.13</v>
      </c>
      <c r="C2602" t="str">
        <f>"32.133"</f>
        <v>32.133</v>
      </c>
    </row>
    <row r="2603" spans="1:3" x14ac:dyDescent="0.25">
      <c r="A2603" t="str">
        <f>"17/03/2020"</f>
        <v>17/03/2020</v>
      </c>
      <c r="B2603" t="str">
        <f>"32.13"</f>
        <v>32.13</v>
      </c>
      <c r="C2603" t="str">
        <f>"32.1245"</f>
        <v>32.1245</v>
      </c>
    </row>
    <row r="2604" spans="1:3" x14ac:dyDescent="0.25">
      <c r="A2604" t="str">
        <f>"18/03/2020"</f>
        <v>18/03/2020</v>
      </c>
      <c r="B2604" t="str">
        <f>"32.495"</f>
        <v>32.495</v>
      </c>
      <c r="C2604" t="str">
        <f>"32.4846"</f>
        <v>32.4846</v>
      </c>
    </row>
    <row r="2605" spans="1:3" x14ac:dyDescent="0.25">
      <c r="A2605" t="str">
        <f>"19/03/2020"</f>
        <v>19/03/2020</v>
      </c>
      <c r="B2605" t="str">
        <f>"32.59"</f>
        <v>32.59</v>
      </c>
      <c r="C2605" t="str">
        <f>"32.5884"</f>
        <v>32.5884</v>
      </c>
    </row>
    <row r="2606" spans="1:3" x14ac:dyDescent="0.25">
      <c r="A2606" t="str">
        <f>"20/03/2020"</f>
        <v>20/03/2020</v>
      </c>
      <c r="B2606" t="str">
        <f>"32.645"</f>
        <v>32.645</v>
      </c>
      <c r="C2606" t="str">
        <f>"32.6451"</f>
        <v>32.6451</v>
      </c>
    </row>
    <row r="2607" spans="1:3" x14ac:dyDescent="0.25">
      <c r="A2607" t="str">
        <f>"23/03/2020"</f>
        <v>23/03/2020</v>
      </c>
      <c r="B2607" t="str">
        <f>"32.98"</f>
        <v>32.98</v>
      </c>
      <c r="C2607" t="str">
        <f>"32.9775"</f>
        <v>32.9775</v>
      </c>
    </row>
    <row r="2608" spans="1:3" x14ac:dyDescent="0.25">
      <c r="A2608" t="str">
        <f>"24/03/2020"</f>
        <v>24/03/2020</v>
      </c>
      <c r="B2608" t="str">
        <f>"32.95"</f>
        <v>32.95</v>
      </c>
      <c r="C2608" t="str">
        <f>"32.9487"</f>
        <v>32.9487</v>
      </c>
    </row>
    <row r="2609" spans="1:3" x14ac:dyDescent="0.25">
      <c r="A2609" t="str">
        <f>"26/03/2020"</f>
        <v>26/03/2020</v>
      </c>
      <c r="B2609" t="str">
        <f>"32.72"</f>
        <v>32.72</v>
      </c>
      <c r="C2609" t="str">
        <f>"32.7177"</f>
        <v>32.7177</v>
      </c>
    </row>
    <row r="2610" spans="1:3" x14ac:dyDescent="0.25">
      <c r="A2610" t="str">
        <f>"27/03/2020"</f>
        <v>27/03/2020</v>
      </c>
      <c r="B2610" t="str">
        <f>"32.615"</f>
        <v>32.615</v>
      </c>
      <c r="C2610" t="str">
        <f>"32.6137"</f>
        <v>32.6137</v>
      </c>
    </row>
    <row r="2611" spans="1:3" x14ac:dyDescent="0.25">
      <c r="A2611" t="str">
        <f>"30/03/2020"</f>
        <v>30/03/2020</v>
      </c>
      <c r="B2611" t="str">
        <f>"32.675"</f>
        <v>32.675</v>
      </c>
      <c r="C2611" t="str">
        <f>"32.68"</f>
        <v>32.68</v>
      </c>
    </row>
    <row r="2612" spans="1:3" x14ac:dyDescent="0.25">
      <c r="A2612" t="str">
        <f>"31/03/2020"</f>
        <v>31/03/2020</v>
      </c>
      <c r="B2612" t="str">
        <f>"32.67"</f>
        <v>32.67</v>
      </c>
      <c r="C2612" t="str">
        <f>"32.6725"</f>
        <v>32.6725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D06D4-4FF3-4FC3-9BE8-9C91D0532DB5}">
  <dimension ref="A2:C2612"/>
  <sheetViews>
    <sheetView workbookViewId="0">
      <selection activeCell="C128" sqref="C128"/>
    </sheetView>
  </sheetViews>
  <sheetFormatPr defaultRowHeight="15" x14ac:dyDescent="0.25"/>
  <cols>
    <col min="1" max="1" width="10.7109375" bestFit="1" customWidth="1"/>
    <col min="3" max="3" width="9.140625" customWidth="1"/>
  </cols>
  <sheetData>
    <row r="2" spans="1:3" x14ac:dyDescent="0.25">
      <c r="A2" t="str">
        <f>"29/05/2009"</f>
        <v>29/05/2009</v>
      </c>
      <c r="B2" t="str">
        <f>"32.55"</f>
        <v>32.55</v>
      </c>
      <c r="C2" t="str">
        <f>"32.55"</f>
        <v>32.55</v>
      </c>
    </row>
    <row r="3" spans="1:3" x14ac:dyDescent="0.25">
      <c r="A3" t="str">
        <f>"01/06/2009"</f>
        <v>01/06/2009</v>
      </c>
      <c r="B3" t="str">
        <f>"32.364"</f>
        <v>32.364</v>
      </c>
      <c r="C3" t="str">
        <f>"32.364"</f>
        <v>32.364</v>
      </c>
    </row>
    <row r="4" spans="1:3" x14ac:dyDescent="0.25">
      <c r="A4" t="str">
        <f>"02/06/2009"</f>
        <v>02/06/2009</v>
      </c>
      <c r="B4" t="str">
        <f>"32.32"</f>
        <v>32.32</v>
      </c>
      <c r="C4" t="str">
        <f>"32.3199"</f>
        <v>32.3199</v>
      </c>
    </row>
    <row r="5" spans="1:3" x14ac:dyDescent="0.25">
      <c r="A5" t="str">
        <f>"03/06/2009"</f>
        <v>03/06/2009</v>
      </c>
      <c r="B5" t="str">
        <f>"32.50"</f>
        <v>32.50</v>
      </c>
      <c r="C5" t="str">
        <f>"32.4999"</f>
        <v>32.4999</v>
      </c>
    </row>
    <row r="6" spans="1:3" x14ac:dyDescent="0.25">
      <c r="A6" t="str">
        <f>"04/06/2009"</f>
        <v>04/06/2009</v>
      </c>
      <c r="B6" t="str">
        <f>"32.668"</f>
        <v>32.668</v>
      </c>
      <c r="C6" t="str">
        <f>"32.6679"</f>
        <v>32.6679</v>
      </c>
    </row>
    <row r="7" spans="1:3" x14ac:dyDescent="0.25">
      <c r="A7" t="str">
        <f>"05/06/2009"</f>
        <v>05/06/2009</v>
      </c>
      <c r="B7" t="str">
        <f>"32.554"</f>
        <v>32.554</v>
      </c>
      <c r="C7" t="str">
        <f>"32.5539"</f>
        <v>32.5539</v>
      </c>
    </row>
    <row r="8" spans="1:3" x14ac:dyDescent="0.25">
      <c r="A8" t="str">
        <f>"08/06/2009"</f>
        <v>08/06/2009</v>
      </c>
      <c r="B8" t="str">
        <f>"32.824"</f>
        <v>32.824</v>
      </c>
      <c r="C8" t="str">
        <f>"32.8239"</f>
        <v>32.8239</v>
      </c>
    </row>
    <row r="9" spans="1:3" x14ac:dyDescent="0.25">
      <c r="A9" t="str">
        <f>"09/06/2009"</f>
        <v>09/06/2009</v>
      </c>
      <c r="B9" t="str">
        <f>"32.923"</f>
        <v>32.923</v>
      </c>
      <c r="C9" t="str">
        <f>"32.9229"</f>
        <v>32.9229</v>
      </c>
    </row>
    <row r="10" spans="1:3" x14ac:dyDescent="0.25">
      <c r="A10" t="str">
        <f>"10/06/2009"</f>
        <v>10/06/2009</v>
      </c>
      <c r="B10" t="str">
        <f>"32.728"</f>
        <v>32.728</v>
      </c>
      <c r="C10" t="str">
        <f>"32.7279"</f>
        <v>32.7279</v>
      </c>
    </row>
    <row r="11" spans="1:3" x14ac:dyDescent="0.25">
      <c r="A11" t="str">
        <f>"11/06/2009"</f>
        <v>11/06/2009</v>
      </c>
      <c r="B11" t="str">
        <f>"32.719"</f>
        <v>32.719</v>
      </c>
      <c r="C11" t="str">
        <f>"32.7189"</f>
        <v>32.7189</v>
      </c>
    </row>
    <row r="12" spans="1:3" x14ac:dyDescent="0.25">
      <c r="A12" t="str">
        <f>"12/06/2009"</f>
        <v>12/06/2009</v>
      </c>
      <c r="B12" t="str">
        <f>"32.757"</f>
        <v>32.757</v>
      </c>
      <c r="C12" t="str">
        <f>"32.7569"</f>
        <v>32.7569</v>
      </c>
    </row>
    <row r="13" spans="1:3" x14ac:dyDescent="0.25">
      <c r="A13" t="str">
        <f>"15/06/2009"</f>
        <v>15/06/2009</v>
      </c>
      <c r="B13" t="str">
        <f>"32.891"</f>
        <v>32.891</v>
      </c>
      <c r="C13" t="str">
        <f>"32.8909"</f>
        <v>32.8909</v>
      </c>
    </row>
    <row r="14" spans="1:3" x14ac:dyDescent="0.25">
      <c r="A14" t="str">
        <f>"16/06/2009"</f>
        <v>16/06/2009</v>
      </c>
      <c r="B14" t="str">
        <f>"32.935"</f>
        <v>32.935</v>
      </c>
      <c r="C14" t="str">
        <f>"32.9349"</f>
        <v>32.9349</v>
      </c>
    </row>
    <row r="15" spans="1:3" x14ac:dyDescent="0.25">
      <c r="A15" t="str">
        <f>"17/06/2009"</f>
        <v>17/06/2009</v>
      </c>
      <c r="B15" t="str">
        <f>"32.902"</f>
        <v>32.902</v>
      </c>
      <c r="C15" t="str">
        <f>"32.9019"</f>
        <v>32.9019</v>
      </c>
    </row>
    <row r="16" spans="1:3" x14ac:dyDescent="0.25">
      <c r="A16" t="str">
        <f>"18/06/2009"</f>
        <v>18/06/2009</v>
      </c>
      <c r="B16" t="str">
        <f>"32.92"</f>
        <v>32.92</v>
      </c>
      <c r="C16" t="str">
        <f>"32.9199"</f>
        <v>32.9199</v>
      </c>
    </row>
    <row r="17" spans="1:3" x14ac:dyDescent="0.25">
      <c r="A17" t="str">
        <f>"19/06/2009"</f>
        <v>19/06/2009</v>
      </c>
      <c r="B17" t="str">
        <f>"32.87"</f>
        <v>32.87</v>
      </c>
      <c r="C17" t="str">
        <f>"32.8699"</f>
        <v>32.8699</v>
      </c>
    </row>
    <row r="18" spans="1:3" x14ac:dyDescent="0.25">
      <c r="A18" t="str">
        <f>"22/06/2009"</f>
        <v>22/06/2009</v>
      </c>
      <c r="B18" t="str">
        <f>"32.90"</f>
        <v>32.90</v>
      </c>
      <c r="C18" t="str">
        <f>"32.8999"</f>
        <v>32.8999</v>
      </c>
    </row>
    <row r="19" spans="1:3" x14ac:dyDescent="0.25">
      <c r="A19" t="str">
        <f>"23/06/2009"</f>
        <v>23/06/2009</v>
      </c>
      <c r="B19" t="str">
        <f>"32.955"</f>
        <v>32.955</v>
      </c>
      <c r="C19" t="str">
        <f>"32.9549"</f>
        <v>32.9549</v>
      </c>
    </row>
    <row r="20" spans="1:3" x14ac:dyDescent="0.25">
      <c r="A20" t="str">
        <f>"24/06/2009"</f>
        <v>24/06/2009</v>
      </c>
      <c r="B20" t="str">
        <f>"32.866"</f>
        <v>32.866</v>
      </c>
      <c r="C20" t="str">
        <f>"32.8659"</f>
        <v>32.8659</v>
      </c>
    </row>
    <row r="21" spans="1:3" x14ac:dyDescent="0.25">
      <c r="A21" t="str">
        <f>"25/06/2009"</f>
        <v>25/06/2009</v>
      </c>
      <c r="B21" t="str">
        <f>"32.865"</f>
        <v>32.865</v>
      </c>
      <c r="C21" t="str">
        <f>"32.8649"</f>
        <v>32.8649</v>
      </c>
    </row>
    <row r="22" spans="1:3" x14ac:dyDescent="0.25">
      <c r="A22" t="str">
        <f>"26/06/2009"</f>
        <v>26/06/2009</v>
      </c>
      <c r="B22" t="str">
        <f>"32.944"</f>
        <v>32.944</v>
      </c>
      <c r="C22" t="str">
        <f>"32.944"</f>
        <v>32.944</v>
      </c>
    </row>
    <row r="23" spans="1:3" x14ac:dyDescent="0.25">
      <c r="A23" t="str">
        <f>"29/06/2009"</f>
        <v>29/06/2009</v>
      </c>
      <c r="B23" t="str">
        <f>"32.925"</f>
        <v>32.925</v>
      </c>
      <c r="C23" t="str">
        <f>"32.925"</f>
        <v>32.925</v>
      </c>
    </row>
    <row r="24" spans="1:3" x14ac:dyDescent="0.25">
      <c r="A24" t="str">
        <f>"30/06/2009"</f>
        <v>30/06/2009</v>
      </c>
      <c r="B24" t="str">
        <f>"32.858"</f>
        <v>32.858</v>
      </c>
      <c r="C24" t="str">
        <f>"32.8579"</f>
        <v>32.8579</v>
      </c>
    </row>
    <row r="25" spans="1:3" x14ac:dyDescent="0.25">
      <c r="A25" t="str">
        <f>"01/07/2009"</f>
        <v>01/07/2009</v>
      </c>
      <c r="B25" t="str">
        <f>"32.759"</f>
        <v>32.759</v>
      </c>
      <c r="C25" t="str">
        <f>"32.7589"</f>
        <v>32.7589</v>
      </c>
    </row>
    <row r="26" spans="1:3" x14ac:dyDescent="0.25">
      <c r="A26" t="str">
        <f>"03/07/2009"</f>
        <v>03/07/2009</v>
      </c>
      <c r="B26" t="str">
        <f>"32.905"</f>
        <v>32.905</v>
      </c>
      <c r="C26" t="str">
        <f>"32.9041"</f>
        <v>32.9041</v>
      </c>
    </row>
    <row r="27" spans="1:3" x14ac:dyDescent="0.25">
      <c r="A27" t="str">
        <f>"06/07/2009"</f>
        <v>06/07/2009</v>
      </c>
      <c r="B27" t="str">
        <f>"32.932"</f>
        <v>32.932</v>
      </c>
      <c r="C27" t="str">
        <f>"32.9319"</f>
        <v>32.9319</v>
      </c>
    </row>
    <row r="28" spans="1:3" x14ac:dyDescent="0.25">
      <c r="A28" t="str">
        <f>"07/07/2009"</f>
        <v>07/07/2009</v>
      </c>
      <c r="B28" t="str">
        <f>"32.98"</f>
        <v>32.98</v>
      </c>
      <c r="C28" t="str">
        <f>"32.9799"</f>
        <v>32.9799</v>
      </c>
    </row>
    <row r="29" spans="1:3" x14ac:dyDescent="0.25">
      <c r="A29" t="str">
        <f>"08/07/2009"</f>
        <v>08/07/2009</v>
      </c>
      <c r="B29" t="str">
        <f>"33.049"</f>
        <v>33.049</v>
      </c>
      <c r="C29" t="str">
        <f>"33.0489"</f>
        <v>33.0489</v>
      </c>
    </row>
    <row r="30" spans="1:3" x14ac:dyDescent="0.25">
      <c r="A30" t="str">
        <f>"09/07/2009"</f>
        <v>09/07/2009</v>
      </c>
      <c r="B30" t="str">
        <f>"33.003"</f>
        <v>33.003</v>
      </c>
      <c r="C30" t="str">
        <f>"33.0029"</f>
        <v>33.0029</v>
      </c>
    </row>
    <row r="31" spans="1:3" x14ac:dyDescent="0.25">
      <c r="A31" t="str">
        <f>"10/07/2009"</f>
        <v>10/07/2009</v>
      </c>
      <c r="B31" t="str">
        <f>"32.997"</f>
        <v>32.997</v>
      </c>
      <c r="C31" t="str">
        <f>"32.9969"</f>
        <v>32.9969</v>
      </c>
    </row>
    <row r="32" spans="1:3" x14ac:dyDescent="0.25">
      <c r="A32" t="str">
        <f>"13/07/2009"</f>
        <v>13/07/2009</v>
      </c>
      <c r="B32" t="str">
        <f>"33.14"</f>
        <v>33.14</v>
      </c>
      <c r="C32" t="str">
        <f>"33.1399"</f>
        <v>33.1399</v>
      </c>
    </row>
    <row r="33" spans="1:3" x14ac:dyDescent="0.25">
      <c r="A33" t="str">
        <f>"14/07/2009"</f>
        <v>14/07/2009</v>
      </c>
      <c r="B33" t="str">
        <f>"33.085"</f>
        <v>33.085</v>
      </c>
      <c r="C33" t="str">
        <f>"33.0849"</f>
        <v>33.0849</v>
      </c>
    </row>
    <row r="34" spans="1:3" x14ac:dyDescent="0.25">
      <c r="A34" t="str">
        <f>"15/07/2009"</f>
        <v>15/07/2009</v>
      </c>
      <c r="B34" t="str">
        <f>"32.985"</f>
        <v>32.985</v>
      </c>
      <c r="C34" t="str">
        <f>"32.9849"</f>
        <v>32.9849</v>
      </c>
    </row>
    <row r="35" spans="1:3" x14ac:dyDescent="0.25">
      <c r="A35" t="str">
        <f>"16/07/2009"</f>
        <v>16/07/2009</v>
      </c>
      <c r="B35" t="str">
        <f>"32.924"</f>
        <v>32.924</v>
      </c>
      <c r="C35" t="str">
        <f>"32.9239"</f>
        <v>32.9239</v>
      </c>
    </row>
    <row r="36" spans="1:3" x14ac:dyDescent="0.25">
      <c r="A36" t="str">
        <f>"17/07/2009"</f>
        <v>17/07/2009</v>
      </c>
      <c r="B36" t="str">
        <f>"32.947"</f>
        <v>32.947</v>
      </c>
      <c r="C36" t="str">
        <f>"32.9469"</f>
        <v>32.9469</v>
      </c>
    </row>
    <row r="37" spans="1:3" x14ac:dyDescent="0.25">
      <c r="A37" t="str">
        <f>"20/07/2009"</f>
        <v>20/07/2009</v>
      </c>
      <c r="B37" t="str">
        <f>"32.83"</f>
        <v>32.83</v>
      </c>
      <c r="C37" t="str">
        <f>"32.8299"</f>
        <v>32.8299</v>
      </c>
    </row>
    <row r="38" spans="1:3" x14ac:dyDescent="0.25">
      <c r="A38" t="str">
        <f>"21/07/2009"</f>
        <v>21/07/2009</v>
      </c>
      <c r="B38" t="str">
        <f>"32.80"</f>
        <v>32.80</v>
      </c>
      <c r="C38" t="str">
        <f>"32.7999"</f>
        <v>32.7999</v>
      </c>
    </row>
    <row r="39" spans="1:3" x14ac:dyDescent="0.25">
      <c r="A39" t="str">
        <f>"22/07/2009"</f>
        <v>22/07/2009</v>
      </c>
      <c r="B39" t="str">
        <f>"32.803"</f>
        <v>32.803</v>
      </c>
      <c r="C39" t="str">
        <f>"32.8018"</f>
        <v>32.8018</v>
      </c>
    </row>
    <row r="40" spans="1:3" x14ac:dyDescent="0.25">
      <c r="A40" t="str">
        <f>"23/07/2009"</f>
        <v>23/07/2009</v>
      </c>
      <c r="B40" t="str">
        <f>"32.82"</f>
        <v>32.82</v>
      </c>
      <c r="C40" t="str">
        <f>"32.8199"</f>
        <v>32.8199</v>
      </c>
    </row>
    <row r="41" spans="1:3" x14ac:dyDescent="0.25">
      <c r="A41" t="str">
        <f>"24/07/2009"</f>
        <v>24/07/2009</v>
      </c>
      <c r="B41" t="str">
        <f>"32.796"</f>
        <v>32.796</v>
      </c>
      <c r="C41" t="str">
        <f>"32.7959"</f>
        <v>32.7959</v>
      </c>
    </row>
    <row r="42" spans="1:3" x14ac:dyDescent="0.25">
      <c r="A42" t="str">
        <f>"27/07/2009"</f>
        <v>27/07/2009</v>
      </c>
      <c r="B42" t="str">
        <f>"32.847"</f>
        <v>32.847</v>
      </c>
      <c r="C42" t="str">
        <f>"32.8469"</f>
        <v>32.8469</v>
      </c>
    </row>
    <row r="43" spans="1:3" x14ac:dyDescent="0.25">
      <c r="A43" t="str">
        <f>"28/07/2009"</f>
        <v>28/07/2009</v>
      </c>
      <c r="B43" t="str">
        <f>"32.768"</f>
        <v>32.768</v>
      </c>
      <c r="C43" t="str">
        <f>"32.7679"</f>
        <v>32.7679</v>
      </c>
    </row>
    <row r="44" spans="1:3" x14ac:dyDescent="0.25">
      <c r="A44" t="str">
        <f>"29/07/2009"</f>
        <v>29/07/2009</v>
      </c>
      <c r="B44" t="str">
        <f>"32.84"</f>
        <v>32.84</v>
      </c>
      <c r="C44" t="str">
        <f>"32.8399"</f>
        <v>32.8399</v>
      </c>
    </row>
    <row r="45" spans="1:3" x14ac:dyDescent="0.25">
      <c r="A45" t="str">
        <f>"30/07/2009"</f>
        <v>30/07/2009</v>
      </c>
      <c r="B45" t="str">
        <f>"32.868"</f>
        <v>32.868</v>
      </c>
      <c r="C45" t="str">
        <f>"32.8679"</f>
        <v>32.8679</v>
      </c>
    </row>
    <row r="46" spans="1:3" x14ac:dyDescent="0.25">
      <c r="A46" t="str">
        <f>"31/07/2009"</f>
        <v>31/07/2009</v>
      </c>
      <c r="B46" t="str">
        <f>"32.765"</f>
        <v>32.765</v>
      </c>
      <c r="C46" t="str">
        <f>"32.7649"</f>
        <v>32.7649</v>
      </c>
    </row>
    <row r="47" spans="1:3" x14ac:dyDescent="0.25">
      <c r="A47" t="str">
        <f>"03/08/2009"</f>
        <v>03/08/2009</v>
      </c>
      <c r="B47" t="str">
        <f>"32.767"</f>
        <v>32.767</v>
      </c>
      <c r="C47" t="str">
        <f>"32.7669"</f>
        <v>32.7669</v>
      </c>
    </row>
    <row r="48" spans="1:3" x14ac:dyDescent="0.25">
      <c r="A48" t="str">
        <f>"04/08/2009"</f>
        <v>04/08/2009</v>
      </c>
      <c r="B48" t="str">
        <f>"32.686"</f>
        <v>32.686</v>
      </c>
      <c r="C48" t="str">
        <f>"32.6859"</f>
        <v>32.6859</v>
      </c>
    </row>
    <row r="49" spans="1:3" x14ac:dyDescent="0.25">
      <c r="A49" t="str">
        <f>"05/08/2009"</f>
        <v>05/08/2009</v>
      </c>
      <c r="B49" t="str">
        <f>"32.68"</f>
        <v>32.68</v>
      </c>
      <c r="C49" t="str">
        <f>"32.6799"</f>
        <v>32.6799</v>
      </c>
    </row>
    <row r="50" spans="1:3" x14ac:dyDescent="0.25">
      <c r="A50" t="str">
        <f>"06/08/2009"</f>
        <v>06/08/2009</v>
      </c>
      <c r="B50" t="str">
        <f>"32.74"</f>
        <v>32.74</v>
      </c>
      <c r="C50" t="str">
        <f>"32.74"</f>
        <v>32.74</v>
      </c>
    </row>
    <row r="51" spans="1:3" x14ac:dyDescent="0.25">
      <c r="A51" t="str">
        <f>"07/08/2009"</f>
        <v>07/08/2009</v>
      </c>
      <c r="B51" t="str">
        <f>"32.793"</f>
        <v>32.793</v>
      </c>
      <c r="C51" t="str">
        <f>"32.793"</f>
        <v>32.793</v>
      </c>
    </row>
    <row r="52" spans="1:3" x14ac:dyDescent="0.25">
      <c r="A52" t="str">
        <f>"10/08/2009"</f>
        <v>10/08/2009</v>
      </c>
      <c r="B52" t="str">
        <f>"32.812"</f>
        <v>32.812</v>
      </c>
      <c r="C52" t="str">
        <f>"32.8119"</f>
        <v>32.8119</v>
      </c>
    </row>
    <row r="53" spans="1:3" x14ac:dyDescent="0.25">
      <c r="A53" t="str">
        <f>"11/08/2009"</f>
        <v>11/08/2009</v>
      </c>
      <c r="B53" t="str">
        <f>"32.88"</f>
        <v>32.88</v>
      </c>
      <c r="C53" t="str">
        <f>"32.8799"</f>
        <v>32.8799</v>
      </c>
    </row>
    <row r="54" spans="1:3" x14ac:dyDescent="0.25">
      <c r="A54" t="str">
        <f>"12/08/2009"</f>
        <v>12/08/2009</v>
      </c>
      <c r="B54" t="str">
        <f>"32.893"</f>
        <v>32.893</v>
      </c>
      <c r="C54" t="str">
        <f>"32.8929"</f>
        <v>32.8929</v>
      </c>
    </row>
    <row r="55" spans="1:3" x14ac:dyDescent="0.25">
      <c r="A55" t="str">
        <f>"13/08/2009"</f>
        <v>13/08/2009</v>
      </c>
      <c r="B55" t="str">
        <f>"32.914"</f>
        <v>32.914</v>
      </c>
      <c r="C55" t="str">
        <f>"32.914"</f>
        <v>32.914</v>
      </c>
    </row>
    <row r="56" spans="1:3" x14ac:dyDescent="0.25">
      <c r="A56" t="str">
        <f>"14/08/2009"</f>
        <v>14/08/2009</v>
      </c>
      <c r="B56" t="str">
        <f>"32.892"</f>
        <v>32.892</v>
      </c>
      <c r="C56" t="str">
        <f>"32.8919"</f>
        <v>32.8919</v>
      </c>
    </row>
    <row r="57" spans="1:3" x14ac:dyDescent="0.25">
      <c r="A57" t="str">
        <f>"17/08/2009"</f>
        <v>17/08/2009</v>
      </c>
      <c r="B57" t="str">
        <f>"32.927"</f>
        <v>32.927</v>
      </c>
      <c r="C57" t="str">
        <f>"32.927"</f>
        <v>32.927</v>
      </c>
    </row>
    <row r="58" spans="1:3" x14ac:dyDescent="0.25">
      <c r="A58" t="str">
        <f>"18/08/2009"</f>
        <v>18/08/2009</v>
      </c>
      <c r="B58" t="str">
        <f>"32.988"</f>
        <v>32.988</v>
      </c>
      <c r="C58" t="str">
        <f>"32.988"</f>
        <v>32.988</v>
      </c>
    </row>
    <row r="59" spans="1:3" x14ac:dyDescent="0.25">
      <c r="A59" t="str">
        <f>"20/08/2009"</f>
        <v>20/08/2009</v>
      </c>
      <c r="B59" t="str">
        <f>"32.989"</f>
        <v>32.989</v>
      </c>
      <c r="C59" t="str">
        <f>"32.989"</f>
        <v>32.989</v>
      </c>
    </row>
    <row r="60" spans="1:3" x14ac:dyDescent="0.25">
      <c r="A60" t="str">
        <f>"21/08/2009"</f>
        <v>21/08/2009</v>
      </c>
      <c r="B60" t="str">
        <f>"32.92"</f>
        <v>32.92</v>
      </c>
      <c r="C60" t="str">
        <f>"32.9199"</f>
        <v>32.9199</v>
      </c>
    </row>
    <row r="61" spans="1:3" x14ac:dyDescent="0.25">
      <c r="A61" t="str">
        <f>"24/08/2009"</f>
        <v>24/08/2009</v>
      </c>
      <c r="B61" t="str">
        <f>"32.835"</f>
        <v>32.835</v>
      </c>
      <c r="C61" t="str">
        <f>"32.8349"</f>
        <v>32.8349</v>
      </c>
    </row>
    <row r="62" spans="1:3" x14ac:dyDescent="0.25">
      <c r="A62" t="str">
        <f>"25/08/2009"</f>
        <v>25/08/2009</v>
      </c>
      <c r="B62" t="str">
        <f>"32.906"</f>
        <v>32.906</v>
      </c>
      <c r="C62" t="str">
        <f>"32.906"</f>
        <v>32.906</v>
      </c>
    </row>
    <row r="63" spans="1:3" x14ac:dyDescent="0.25">
      <c r="A63" t="str">
        <f>"26/08/2009"</f>
        <v>26/08/2009</v>
      </c>
      <c r="B63" t="str">
        <f>"32.928"</f>
        <v>32.928</v>
      </c>
      <c r="C63" t="str">
        <f>"32.928"</f>
        <v>32.928</v>
      </c>
    </row>
    <row r="64" spans="1:3" x14ac:dyDescent="0.25">
      <c r="A64" t="str">
        <f>"27/08/2009"</f>
        <v>27/08/2009</v>
      </c>
      <c r="B64" t="str">
        <f>"32.937"</f>
        <v>32.937</v>
      </c>
      <c r="C64" t="str">
        <f>"32.9369"</f>
        <v>32.9369</v>
      </c>
    </row>
    <row r="65" spans="1:3" x14ac:dyDescent="0.25">
      <c r="A65" t="str">
        <f>"28/08/2009"</f>
        <v>28/08/2009</v>
      </c>
      <c r="B65" t="str">
        <f>"32.864"</f>
        <v>32.864</v>
      </c>
      <c r="C65" t="str">
        <f>"32.8639"</f>
        <v>32.8639</v>
      </c>
    </row>
    <row r="66" spans="1:3" x14ac:dyDescent="0.25">
      <c r="A66" t="str">
        <f>"31/08/2009"</f>
        <v>31/08/2009</v>
      </c>
      <c r="B66" t="str">
        <f>"32.915"</f>
        <v>32.915</v>
      </c>
      <c r="C66" t="str">
        <f>"32.9149"</f>
        <v>32.9149</v>
      </c>
    </row>
    <row r="67" spans="1:3" x14ac:dyDescent="0.25">
      <c r="A67" t="str">
        <f>"01/09/2009"</f>
        <v>01/09/2009</v>
      </c>
      <c r="B67" t="str">
        <f>"32.878"</f>
        <v>32.878</v>
      </c>
      <c r="C67" t="str">
        <f>"32.8779"</f>
        <v>32.8779</v>
      </c>
    </row>
    <row r="68" spans="1:3" x14ac:dyDescent="0.25">
      <c r="A68" t="str">
        <f>"02/09/2009"</f>
        <v>02/09/2009</v>
      </c>
      <c r="B68" t="str">
        <f>"32.8915"</f>
        <v>32.8915</v>
      </c>
      <c r="C68" t="str">
        <f>"32.8915"</f>
        <v>32.8915</v>
      </c>
    </row>
    <row r="69" spans="1:3" x14ac:dyDescent="0.25">
      <c r="A69" t="str">
        <f>"03/09/2009"</f>
        <v>03/09/2009</v>
      </c>
      <c r="B69" t="str">
        <f>"32.882"</f>
        <v>32.882</v>
      </c>
      <c r="C69" t="str">
        <f>"32.8819"</f>
        <v>32.8819</v>
      </c>
    </row>
    <row r="70" spans="1:3" x14ac:dyDescent="0.25">
      <c r="A70" t="str">
        <f>"04/09/2009"</f>
        <v>04/09/2009</v>
      </c>
      <c r="B70" t="str">
        <f>"32.915"</f>
        <v>32.915</v>
      </c>
      <c r="C70" t="str">
        <f>"32.9149"</f>
        <v>32.9149</v>
      </c>
    </row>
    <row r="71" spans="1:3" x14ac:dyDescent="0.25">
      <c r="A71" t="str">
        <f>"07/09/2009"</f>
        <v>07/09/2009</v>
      </c>
      <c r="B71" t="str">
        <f>"32.838"</f>
        <v>32.838</v>
      </c>
      <c r="C71" t="str">
        <f>"32.838"</f>
        <v>32.838</v>
      </c>
    </row>
    <row r="72" spans="1:3" x14ac:dyDescent="0.25">
      <c r="A72" t="str">
        <f>"08/09/2009"</f>
        <v>08/09/2009</v>
      </c>
      <c r="B72" t="str">
        <f>"32.805"</f>
        <v>32.805</v>
      </c>
      <c r="C72" t="str">
        <f>"32.8049"</f>
        <v>32.8049</v>
      </c>
    </row>
    <row r="73" spans="1:3" x14ac:dyDescent="0.25">
      <c r="A73" t="str">
        <f>"09/09/2009"</f>
        <v>09/09/2009</v>
      </c>
      <c r="B73" t="str">
        <f>"32.69"</f>
        <v>32.69</v>
      </c>
      <c r="C73" t="str">
        <f>"32.69"</f>
        <v>32.69</v>
      </c>
    </row>
    <row r="74" spans="1:3" x14ac:dyDescent="0.25">
      <c r="A74" t="str">
        <f>"10/09/2009"</f>
        <v>10/09/2009</v>
      </c>
      <c r="B74" t="str">
        <f>"32.673"</f>
        <v>32.673</v>
      </c>
      <c r="C74" t="str">
        <f>"32.6729"</f>
        <v>32.6729</v>
      </c>
    </row>
    <row r="75" spans="1:3" x14ac:dyDescent="0.25">
      <c r="A75" t="str">
        <f>"11/09/2009"</f>
        <v>11/09/2009</v>
      </c>
      <c r="B75" t="str">
        <f>"32.632"</f>
        <v>32.632</v>
      </c>
      <c r="C75" t="str">
        <f>"32.6319"</f>
        <v>32.6319</v>
      </c>
    </row>
    <row r="76" spans="1:3" x14ac:dyDescent="0.25">
      <c r="A76" t="str">
        <f>"14/09/2009"</f>
        <v>14/09/2009</v>
      </c>
      <c r="B76" t="str">
        <f>"32.642"</f>
        <v>32.642</v>
      </c>
      <c r="C76" t="str">
        <f>"32.642"</f>
        <v>32.642</v>
      </c>
    </row>
    <row r="77" spans="1:3" x14ac:dyDescent="0.25">
      <c r="A77" t="str">
        <f>"15/09/2009"</f>
        <v>15/09/2009</v>
      </c>
      <c r="B77" t="str">
        <f>"32.641"</f>
        <v>32.641</v>
      </c>
      <c r="C77" t="str">
        <f>"32.6409"</f>
        <v>32.6409</v>
      </c>
    </row>
    <row r="78" spans="1:3" x14ac:dyDescent="0.25">
      <c r="A78" t="str">
        <f>"16/09/2009"</f>
        <v>16/09/2009</v>
      </c>
      <c r="B78" t="str">
        <f>"32.565"</f>
        <v>32.565</v>
      </c>
      <c r="C78" t="str">
        <f>"32.5649"</f>
        <v>32.5649</v>
      </c>
    </row>
    <row r="79" spans="1:3" x14ac:dyDescent="0.25">
      <c r="A79" t="str">
        <f>"17/09/2009"</f>
        <v>17/09/2009</v>
      </c>
      <c r="B79" t="str">
        <f>"32.367"</f>
        <v>32.367</v>
      </c>
      <c r="C79" t="str">
        <f>"32.3669"</f>
        <v>32.3669</v>
      </c>
    </row>
    <row r="80" spans="1:3" x14ac:dyDescent="0.25">
      <c r="A80" t="str">
        <f>"18/09/2009"</f>
        <v>18/09/2009</v>
      </c>
      <c r="B80" t="str">
        <f>"32.439"</f>
        <v>32.439</v>
      </c>
      <c r="C80" t="str">
        <f>"32.4389"</f>
        <v>32.4389</v>
      </c>
    </row>
    <row r="81" spans="1:3" x14ac:dyDescent="0.25">
      <c r="A81" t="str">
        <f>"22/09/2009"</f>
        <v>22/09/2009</v>
      </c>
      <c r="B81" t="str">
        <f>"32.372"</f>
        <v>32.372</v>
      </c>
      <c r="C81" t="str">
        <f>"32.3719"</f>
        <v>32.3719</v>
      </c>
    </row>
    <row r="82" spans="1:3" x14ac:dyDescent="0.25">
      <c r="A82" t="str">
        <f>"23/09/2009"</f>
        <v>23/09/2009</v>
      </c>
      <c r="B82" t="str">
        <f>"32.345"</f>
        <v>32.345</v>
      </c>
      <c r="C82" t="str">
        <f>"32.3449"</f>
        <v>32.3449</v>
      </c>
    </row>
    <row r="83" spans="1:3" x14ac:dyDescent="0.25">
      <c r="A83" t="str">
        <f>"24/09/2009"</f>
        <v>24/09/2009</v>
      </c>
      <c r="B83" t="str">
        <f>"32.425"</f>
        <v>32.425</v>
      </c>
      <c r="C83" t="str">
        <f>"32.4249"</f>
        <v>32.4249</v>
      </c>
    </row>
    <row r="84" spans="1:3" x14ac:dyDescent="0.25">
      <c r="A84" t="str">
        <f>"25/09/2009"</f>
        <v>25/09/2009</v>
      </c>
      <c r="B84" t="str">
        <f>"32.448"</f>
        <v>32.448</v>
      </c>
      <c r="C84" t="str">
        <f>"32.4479"</f>
        <v>32.4479</v>
      </c>
    </row>
    <row r="85" spans="1:3" x14ac:dyDescent="0.25">
      <c r="A85" t="str">
        <f>"29/09/2009"</f>
        <v>29/09/2009</v>
      </c>
      <c r="B85" t="str">
        <f>"32.387"</f>
        <v>32.387</v>
      </c>
      <c r="C85" t="str">
        <f>"32.387"</f>
        <v>32.387</v>
      </c>
    </row>
    <row r="86" spans="1:3" x14ac:dyDescent="0.25">
      <c r="A86" t="str">
        <f>"01/10/2009"</f>
        <v>01/10/2009</v>
      </c>
      <c r="B86" t="str">
        <f>"32.129"</f>
        <v>32.129</v>
      </c>
      <c r="C86" t="str">
        <f>"32.1289"</f>
        <v>32.1289</v>
      </c>
    </row>
    <row r="87" spans="1:3" x14ac:dyDescent="0.25">
      <c r="A87" t="str">
        <f>"05/10/2009"</f>
        <v>05/10/2009</v>
      </c>
      <c r="B87" t="str">
        <f>"32.262"</f>
        <v>32.262</v>
      </c>
      <c r="C87" t="str">
        <f>"32.2619"</f>
        <v>32.2619</v>
      </c>
    </row>
    <row r="88" spans="1:3" x14ac:dyDescent="0.25">
      <c r="A88" t="str">
        <f>"06/10/2009"</f>
        <v>06/10/2009</v>
      </c>
      <c r="B88" t="str">
        <f>"32.138"</f>
        <v>32.138</v>
      </c>
      <c r="C88" t="str">
        <f>"32.1379"</f>
        <v>32.1379</v>
      </c>
    </row>
    <row r="89" spans="1:3" x14ac:dyDescent="0.25">
      <c r="A89" t="str">
        <f>"07/10/2009"</f>
        <v>07/10/2009</v>
      </c>
      <c r="B89" t="str">
        <f>"32.183"</f>
        <v>32.183</v>
      </c>
      <c r="C89" t="str">
        <f>"32.1829"</f>
        <v>32.1829</v>
      </c>
    </row>
    <row r="90" spans="1:3" x14ac:dyDescent="0.25">
      <c r="A90" t="str">
        <f>"08/10/2009"</f>
        <v>08/10/2009</v>
      </c>
      <c r="B90" t="str">
        <f>"32.133"</f>
        <v>32.133</v>
      </c>
      <c r="C90" t="str">
        <f>"32.1329"</f>
        <v>32.1329</v>
      </c>
    </row>
    <row r="91" spans="1:3" x14ac:dyDescent="0.25">
      <c r="A91" t="str">
        <f>"09/10/2009"</f>
        <v>09/10/2009</v>
      </c>
      <c r="B91" t="str">
        <f>"32.23"</f>
        <v>32.23</v>
      </c>
      <c r="C91" t="str">
        <f>"32.2299"</f>
        <v>32.2299</v>
      </c>
    </row>
    <row r="92" spans="1:3" x14ac:dyDescent="0.25">
      <c r="A92" t="str">
        <f>"12/10/2009"</f>
        <v>12/10/2009</v>
      </c>
      <c r="B92" t="str">
        <f>"32.272"</f>
        <v>32.272</v>
      </c>
      <c r="C92" t="str">
        <f>"32.2719"</f>
        <v>32.2719</v>
      </c>
    </row>
    <row r="93" spans="1:3" x14ac:dyDescent="0.25">
      <c r="A93" t="str">
        <f>"14/10/2009"</f>
        <v>14/10/2009</v>
      </c>
      <c r="B93" t="str">
        <f>"32.248"</f>
        <v>32.248</v>
      </c>
      <c r="C93" t="str">
        <f>"32.2479"</f>
        <v>32.2479</v>
      </c>
    </row>
    <row r="94" spans="1:3" x14ac:dyDescent="0.25">
      <c r="A94" t="str">
        <f>"15/10/2009"</f>
        <v>15/10/2009</v>
      </c>
      <c r="B94" t="str">
        <f>"32.216"</f>
        <v>32.216</v>
      </c>
      <c r="C94" t="str">
        <f>"32.2159"</f>
        <v>32.2159</v>
      </c>
    </row>
    <row r="95" spans="1:3" x14ac:dyDescent="0.25">
      <c r="A95" t="str">
        <f>"16/10/2009"</f>
        <v>16/10/2009</v>
      </c>
      <c r="B95" t="str">
        <f>"32.265"</f>
        <v>32.265</v>
      </c>
      <c r="C95" t="str">
        <f>"32.2649"</f>
        <v>32.2649</v>
      </c>
    </row>
    <row r="96" spans="1:3" x14ac:dyDescent="0.25">
      <c r="A96" t="str">
        <f>"20/10/2009"</f>
        <v>20/10/2009</v>
      </c>
      <c r="B96" t="str">
        <f>"32.265"</f>
        <v>32.265</v>
      </c>
      <c r="C96" t="str">
        <f>"32.2649"</f>
        <v>32.2649</v>
      </c>
    </row>
    <row r="97" spans="1:3" x14ac:dyDescent="0.25">
      <c r="A97" t="str">
        <f>"21/10/2009"</f>
        <v>21/10/2009</v>
      </c>
      <c r="B97" t="str">
        <f>"32.366"</f>
        <v>32.366</v>
      </c>
      <c r="C97" t="str">
        <f>"32.3659"</f>
        <v>32.3659</v>
      </c>
    </row>
    <row r="98" spans="1:3" x14ac:dyDescent="0.25">
      <c r="A98" t="str">
        <f>"22/10/2009"</f>
        <v>22/10/2009</v>
      </c>
      <c r="B98" t="str">
        <f>"32.388"</f>
        <v>32.388</v>
      </c>
      <c r="C98" t="str">
        <f>"32.388"</f>
        <v>32.388</v>
      </c>
    </row>
    <row r="99" spans="1:3" x14ac:dyDescent="0.25">
      <c r="A99" t="str">
        <f>"23/10/2009"</f>
        <v>23/10/2009</v>
      </c>
      <c r="B99" t="str">
        <f>"32.409"</f>
        <v>32.409</v>
      </c>
      <c r="C99" t="str">
        <f>"32.4089"</f>
        <v>32.4089</v>
      </c>
    </row>
    <row r="100" spans="1:3" x14ac:dyDescent="0.25">
      <c r="A100" t="str">
        <f>"26/10/2009"</f>
        <v>26/10/2009</v>
      </c>
      <c r="B100" t="str">
        <f>"32.381"</f>
        <v>32.381</v>
      </c>
      <c r="C100" t="str">
        <f>"32.3809"</f>
        <v>32.3809</v>
      </c>
    </row>
    <row r="101" spans="1:3" x14ac:dyDescent="0.25">
      <c r="A101" t="str">
        <f>"27/10/2009"</f>
        <v>27/10/2009</v>
      </c>
      <c r="B101" t="str">
        <f>"32.47"</f>
        <v>32.47</v>
      </c>
      <c r="C101" t="str">
        <f>"32.47"</f>
        <v>32.47</v>
      </c>
    </row>
    <row r="102" spans="1:3" x14ac:dyDescent="0.25">
      <c r="A102" t="str">
        <f>"28/10/2009"</f>
        <v>28/10/2009</v>
      </c>
      <c r="B102" t="str">
        <f>"32.496"</f>
        <v>32.496</v>
      </c>
      <c r="C102" t="str">
        <f>"32.4959"</f>
        <v>32.4959</v>
      </c>
    </row>
    <row r="103" spans="1:3" x14ac:dyDescent="0.25">
      <c r="A103" t="str">
        <f>"29/10/2009"</f>
        <v>29/10/2009</v>
      </c>
      <c r="B103" t="str">
        <f>"32.591"</f>
        <v>32.591</v>
      </c>
      <c r="C103" t="str">
        <f>"32.5909"</f>
        <v>32.5909</v>
      </c>
    </row>
    <row r="104" spans="1:3" x14ac:dyDescent="0.25">
      <c r="A104" t="str">
        <f>"30/10/2009"</f>
        <v>30/10/2009</v>
      </c>
      <c r="B104" t="str">
        <f>"32.498"</f>
        <v>32.498</v>
      </c>
      <c r="C104" t="str">
        <f>"32.4979"</f>
        <v>32.4979</v>
      </c>
    </row>
    <row r="105" spans="1:3" x14ac:dyDescent="0.25">
      <c r="A105" t="str">
        <f>"03/11/2009"</f>
        <v>03/11/2009</v>
      </c>
      <c r="B105" t="str">
        <f>"32.522"</f>
        <v>32.522</v>
      </c>
      <c r="C105" t="str">
        <f>"32.522"</f>
        <v>32.522</v>
      </c>
    </row>
    <row r="106" spans="1:3" x14ac:dyDescent="0.25">
      <c r="A106" t="str">
        <f>"04/11/2009"</f>
        <v>04/11/2009</v>
      </c>
      <c r="B106" t="str">
        <f>"32.558"</f>
        <v>32.558</v>
      </c>
      <c r="C106" t="str">
        <f>"32.5579"</f>
        <v>32.5579</v>
      </c>
    </row>
    <row r="107" spans="1:3" x14ac:dyDescent="0.25">
      <c r="A107" t="str">
        <f>"05/11/2009"</f>
        <v>05/11/2009</v>
      </c>
      <c r="B107" t="str">
        <f>"32.553"</f>
        <v>32.553</v>
      </c>
      <c r="C107" t="str">
        <f>"32.5529"</f>
        <v>32.5529</v>
      </c>
    </row>
    <row r="108" spans="1:3" x14ac:dyDescent="0.25">
      <c r="A108" t="str">
        <f>"06/11/2009"</f>
        <v>06/11/2009</v>
      </c>
      <c r="B108" t="str">
        <f>"32.485"</f>
        <v>32.485</v>
      </c>
      <c r="C108" t="str">
        <f>"32.4849"</f>
        <v>32.4849</v>
      </c>
    </row>
    <row r="109" spans="1:3" x14ac:dyDescent="0.25">
      <c r="A109" t="str">
        <f>"09/11/2009"</f>
        <v>09/11/2009</v>
      </c>
      <c r="B109" t="str">
        <f>"32.357"</f>
        <v>32.357</v>
      </c>
      <c r="C109" t="str">
        <f>"32.357"</f>
        <v>32.357</v>
      </c>
    </row>
    <row r="110" spans="1:3" x14ac:dyDescent="0.25">
      <c r="A110" t="str">
        <f>"10/11/2009"</f>
        <v>10/11/2009</v>
      </c>
      <c r="B110" t="str">
        <f>"32.326"</f>
        <v>32.326</v>
      </c>
      <c r="C110" t="str">
        <f>"32.326"</f>
        <v>32.326</v>
      </c>
    </row>
    <row r="111" spans="1:3" x14ac:dyDescent="0.25">
      <c r="A111" t="str">
        <f>"11/11/2009"</f>
        <v>11/11/2009</v>
      </c>
      <c r="B111" t="str">
        <f>"32.355"</f>
        <v>32.355</v>
      </c>
      <c r="C111" t="str">
        <f>"32.355"</f>
        <v>32.355</v>
      </c>
    </row>
    <row r="112" spans="1:3" x14ac:dyDescent="0.25">
      <c r="A112" t="str">
        <f>"12/11/2009"</f>
        <v>12/11/2009</v>
      </c>
      <c r="B112" t="str">
        <f>"32.30"</f>
        <v>32.30</v>
      </c>
      <c r="C112" t="str">
        <f>"32.2999"</f>
        <v>32.2999</v>
      </c>
    </row>
    <row r="113" spans="1:3" x14ac:dyDescent="0.25">
      <c r="A113" t="str">
        <f>"13/11/2009"</f>
        <v>13/11/2009</v>
      </c>
      <c r="B113" t="str">
        <f>"32.298"</f>
        <v>32.298</v>
      </c>
      <c r="C113" t="str">
        <f>"32.298"</f>
        <v>32.298</v>
      </c>
    </row>
    <row r="114" spans="1:3" x14ac:dyDescent="0.25">
      <c r="A114" t="str">
        <f>"16/11/2009"</f>
        <v>16/11/2009</v>
      </c>
      <c r="B114" t="str">
        <f>"32.195"</f>
        <v>32.195</v>
      </c>
      <c r="C114" t="str">
        <f>"32.1949"</f>
        <v>32.1949</v>
      </c>
    </row>
    <row r="115" spans="1:3" x14ac:dyDescent="0.25">
      <c r="A115" t="str">
        <f>"17/11/2009"</f>
        <v>17/11/2009</v>
      </c>
      <c r="B115" t="str">
        <f>"32.114"</f>
        <v>32.114</v>
      </c>
      <c r="C115" t="str">
        <f>"32.1139"</f>
        <v>32.1139</v>
      </c>
    </row>
    <row r="116" spans="1:3" x14ac:dyDescent="0.25">
      <c r="A116" t="str">
        <f>"18/11/2009"</f>
        <v>18/11/2009</v>
      </c>
      <c r="B116" t="str">
        <f>"32.132"</f>
        <v>32.132</v>
      </c>
      <c r="C116" t="str">
        <f>"32.1319"</f>
        <v>32.1319</v>
      </c>
    </row>
    <row r="117" spans="1:3" x14ac:dyDescent="0.25">
      <c r="A117" t="str">
        <f>"19/11/2009"</f>
        <v>19/11/2009</v>
      </c>
      <c r="B117" t="str">
        <f>"32.186"</f>
        <v>32.186</v>
      </c>
      <c r="C117" t="str">
        <f>"32.186"</f>
        <v>32.186</v>
      </c>
    </row>
    <row r="118" spans="1:3" x14ac:dyDescent="0.25">
      <c r="A118" t="str">
        <f>"20/11/2009"</f>
        <v>20/11/2009</v>
      </c>
      <c r="B118" t="str">
        <f>"32.34"</f>
        <v>32.34</v>
      </c>
      <c r="C118" t="str">
        <f>"32.3399"</f>
        <v>32.3399</v>
      </c>
    </row>
    <row r="119" spans="1:3" x14ac:dyDescent="0.25">
      <c r="A119" t="str">
        <f>"23/11/2009"</f>
        <v>23/11/2009</v>
      </c>
      <c r="B119" t="str">
        <f>"32.303"</f>
        <v>32.303</v>
      </c>
      <c r="C119" t="str">
        <f>"32.303"</f>
        <v>32.303</v>
      </c>
    </row>
    <row r="120" spans="1:3" x14ac:dyDescent="0.25">
      <c r="A120" t="str">
        <f>"24/11/2009"</f>
        <v>24/11/2009</v>
      </c>
      <c r="B120" t="str">
        <f>"32.28"</f>
        <v>32.28</v>
      </c>
      <c r="C120" t="str">
        <f>"32.28"</f>
        <v>32.28</v>
      </c>
    </row>
    <row r="121" spans="1:3" x14ac:dyDescent="0.25">
      <c r="A121" t="str">
        <f>"25/11/2009"</f>
        <v>25/11/2009</v>
      </c>
      <c r="B121" t="str">
        <f>"32.257"</f>
        <v>32.257</v>
      </c>
      <c r="C121" t="str">
        <f>"32.257"</f>
        <v>32.257</v>
      </c>
    </row>
    <row r="122" spans="1:3" x14ac:dyDescent="0.25">
      <c r="A122" t="str">
        <f>"26/11/2009"</f>
        <v>26/11/2009</v>
      </c>
      <c r="B122" t="str">
        <f>"32.19"</f>
        <v>32.19</v>
      </c>
      <c r="C122" t="str">
        <f>"32.19"</f>
        <v>32.19</v>
      </c>
    </row>
    <row r="123" spans="1:3" x14ac:dyDescent="0.25">
      <c r="A123" t="str">
        <f>"27/11/2009"</f>
        <v>27/11/2009</v>
      </c>
      <c r="B123" t="str">
        <f>"32.321"</f>
        <v>32.321</v>
      </c>
      <c r="C123" t="str">
        <f>"32.3209"</f>
        <v>32.3209</v>
      </c>
    </row>
    <row r="124" spans="1:3" x14ac:dyDescent="0.25">
      <c r="A124" t="str">
        <f>"30/11/2009"</f>
        <v>30/11/2009</v>
      </c>
      <c r="B124" t="str">
        <f>"32.194"</f>
        <v>32.194</v>
      </c>
      <c r="C124" t="str">
        <f>"32.194"</f>
        <v>32.194</v>
      </c>
    </row>
    <row r="125" spans="1:3" x14ac:dyDescent="0.25">
      <c r="A125" t="str">
        <f>"01/12/2009"</f>
        <v>01/12/2009</v>
      </c>
      <c r="B125" t="str">
        <f>"32.202"</f>
        <v>32.202</v>
      </c>
      <c r="C125" t="str">
        <f>"32.202"</f>
        <v>32.202</v>
      </c>
    </row>
    <row r="126" spans="1:3" x14ac:dyDescent="0.25">
      <c r="A126" t="str">
        <f>"02/12/2009"</f>
        <v>02/12/2009</v>
      </c>
      <c r="B126" t="str">
        <f>"32.139"</f>
        <v>32.139</v>
      </c>
      <c r="C126" t="str">
        <f>"32.139"</f>
        <v>32.139</v>
      </c>
    </row>
    <row r="127" spans="1:3" x14ac:dyDescent="0.25">
      <c r="A127" t="str">
        <f>"03/12/2009"</f>
        <v>03/12/2009</v>
      </c>
      <c r="B127" t="str">
        <f>"32.166"</f>
        <v>32.166</v>
      </c>
      <c r="C127" t="s">
        <v>3</v>
      </c>
    </row>
    <row r="128" spans="1:3" x14ac:dyDescent="0.25">
      <c r="A128" t="str">
        <f>"04/12/2009"</f>
        <v>04/12/2009</v>
      </c>
      <c r="B128" t="str">
        <f>"32.163"</f>
        <v>32.163</v>
      </c>
      <c r="C128" t="str">
        <f>"32.1569"</f>
        <v>32.1569</v>
      </c>
    </row>
    <row r="129" spans="1:3" x14ac:dyDescent="0.25">
      <c r="A129" t="str">
        <f>"07/12/2009"</f>
        <v>07/12/2009</v>
      </c>
      <c r="B129" t="str">
        <f>"32.22"</f>
        <v>32.22</v>
      </c>
      <c r="C129" t="str">
        <f>"32.22"</f>
        <v>32.22</v>
      </c>
    </row>
    <row r="130" spans="1:3" x14ac:dyDescent="0.25">
      <c r="A130" t="str">
        <f>"08/12/2009"</f>
        <v>08/12/2009</v>
      </c>
      <c r="B130" t="str">
        <f>"32.236"</f>
        <v>32.236</v>
      </c>
      <c r="C130" t="str">
        <f>"32.236"</f>
        <v>32.236</v>
      </c>
    </row>
    <row r="131" spans="1:3" x14ac:dyDescent="0.25">
      <c r="A131" t="str">
        <f>"09/12/2009"</f>
        <v>09/12/2009</v>
      </c>
      <c r="B131" t="str">
        <f>"32.288"</f>
        <v>32.288</v>
      </c>
      <c r="C131" t="str">
        <f>"32.288"</f>
        <v>32.288</v>
      </c>
    </row>
    <row r="132" spans="1:3" x14ac:dyDescent="0.25">
      <c r="A132" t="str">
        <f>"10/12/2009"</f>
        <v>10/12/2009</v>
      </c>
      <c r="B132" t="str">
        <f>"32.312"</f>
        <v>32.312</v>
      </c>
      <c r="C132" t="str">
        <f>"32.3119"</f>
        <v>32.3119</v>
      </c>
    </row>
    <row r="133" spans="1:3" x14ac:dyDescent="0.25">
      <c r="A133" t="str">
        <f>"11/12/2009"</f>
        <v>11/12/2009</v>
      </c>
      <c r="B133" t="str">
        <f>"32.234"</f>
        <v>32.234</v>
      </c>
      <c r="C133" t="s">
        <v>3</v>
      </c>
    </row>
    <row r="134" spans="1:3" x14ac:dyDescent="0.25">
      <c r="A134" t="str">
        <f>"14/12/2009"</f>
        <v>14/12/2009</v>
      </c>
      <c r="B134" t="str">
        <f>"32.282"</f>
        <v>32.282</v>
      </c>
      <c r="C134" t="str">
        <f>"32.282"</f>
        <v>32.282</v>
      </c>
    </row>
    <row r="135" spans="1:3" x14ac:dyDescent="0.25">
      <c r="A135" t="str">
        <f>"15/12/2009"</f>
        <v>15/12/2009</v>
      </c>
      <c r="B135" t="str">
        <f>"32.281"</f>
        <v>32.281</v>
      </c>
      <c r="C135" t="str">
        <f>"32.281"</f>
        <v>32.281</v>
      </c>
    </row>
    <row r="136" spans="1:3" x14ac:dyDescent="0.25">
      <c r="A136" t="str">
        <f>"16/12/2009"</f>
        <v>16/12/2009</v>
      </c>
      <c r="B136" t="str">
        <f>"32.309"</f>
        <v>32.309</v>
      </c>
      <c r="C136" t="str">
        <f>"32.309"</f>
        <v>32.309</v>
      </c>
    </row>
    <row r="137" spans="1:3" x14ac:dyDescent="0.25">
      <c r="A137" t="str">
        <f>"17/12/2009"</f>
        <v>17/12/2009</v>
      </c>
      <c r="B137" t="str">
        <f>"32.337"</f>
        <v>32.337</v>
      </c>
      <c r="C137" t="str">
        <f>"32.337"</f>
        <v>32.337</v>
      </c>
    </row>
    <row r="138" spans="1:3" x14ac:dyDescent="0.25">
      <c r="A138" t="str">
        <f>"18/12/2009"</f>
        <v>18/12/2009</v>
      </c>
      <c r="B138" t="str">
        <f>"32.351"</f>
        <v>32.351</v>
      </c>
      <c r="C138" t="str">
        <f>"32.351"</f>
        <v>32.351</v>
      </c>
    </row>
    <row r="139" spans="1:3" x14ac:dyDescent="0.25">
      <c r="A139" t="str">
        <f>"21/12/2009"</f>
        <v>21/12/2009</v>
      </c>
      <c r="B139" t="str">
        <f>"32.381"</f>
        <v>32.381</v>
      </c>
      <c r="C139" t="str">
        <f>"32.381"</f>
        <v>32.381</v>
      </c>
    </row>
    <row r="140" spans="1:3" x14ac:dyDescent="0.25">
      <c r="A140" t="str">
        <f>"22/12/2009"</f>
        <v>22/12/2009</v>
      </c>
      <c r="B140" t="str">
        <f>"32.378"</f>
        <v>32.378</v>
      </c>
      <c r="C140" t="str">
        <f>"32.3779"</f>
        <v>32.3779</v>
      </c>
    </row>
    <row r="141" spans="1:3" x14ac:dyDescent="0.25">
      <c r="A141" t="str">
        <f>"23/12/2009"</f>
        <v>23/12/2009</v>
      </c>
      <c r="B141" t="str">
        <f>"32.354"</f>
        <v>32.354</v>
      </c>
      <c r="C141" t="str">
        <f>"32.354"</f>
        <v>32.354</v>
      </c>
    </row>
    <row r="142" spans="1:3" x14ac:dyDescent="0.25">
      <c r="A142" t="str">
        <f>"24/12/2009"</f>
        <v>24/12/2009</v>
      </c>
      <c r="B142" t="str">
        <f>"32.262"</f>
        <v>32.262</v>
      </c>
      <c r="C142" t="str">
        <f>"32.262"</f>
        <v>32.262</v>
      </c>
    </row>
    <row r="143" spans="1:3" x14ac:dyDescent="0.25">
      <c r="A143" t="str">
        <f>"29/12/2009"</f>
        <v>29/12/2009</v>
      </c>
      <c r="B143" t="str">
        <f>"32.291"</f>
        <v>32.291</v>
      </c>
      <c r="C143" t="str">
        <f>"32.291"</f>
        <v>32.291</v>
      </c>
    </row>
    <row r="144" spans="1:3" x14ac:dyDescent="0.25">
      <c r="A144" t="str">
        <f>"30/12/2009"</f>
        <v>30/12/2009</v>
      </c>
      <c r="B144" t="str">
        <f>"32.279"</f>
        <v>32.279</v>
      </c>
      <c r="C144" t="str">
        <f>"32.279"</f>
        <v>32.279</v>
      </c>
    </row>
    <row r="145" spans="1:3" x14ac:dyDescent="0.25">
      <c r="A145" t="str">
        <f>"31/12/2009"</f>
        <v>31/12/2009</v>
      </c>
      <c r="B145" t="str">
        <f>"32.156"</f>
        <v>32.156</v>
      </c>
      <c r="C145" t="str">
        <f>"32.156"</f>
        <v>32.156</v>
      </c>
    </row>
    <row r="146" spans="1:3" x14ac:dyDescent="0.25">
      <c r="A146" t="str">
        <f>"01/01/2010"</f>
        <v>01/01/2010</v>
      </c>
      <c r="B146" t="str">
        <f>"32.03"</f>
        <v>32.03</v>
      </c>
      <c r="C146" t="str">
        <f>"32.03"</f>
        <v>32.03</v>
      </c>
    </row>
    <row r="147" spans="1:3" x14ac:dyDescent="0.25">
      <c r="A147" t="str">
        <f>"04/01/2010"</f>
        <v>04/01/2010</v>
      </c>
      <c r="B147" t="str">
        <f>"31.872"</f>
        <v>31.872</v>
      </c>
      <c r="C147" t="str">
        <f>"31.872"</f>
        <v>31.872</v>
      </c>
    </row>
    <row r="148" spans="1:3" x14ac:dyDescent="0.25">
      <c r="A148" t="str">
        <f>"05/01/2010"</f>
        <v>05/01/2010</v>
      </c>
      <c r="B148" t="str">
        <f>"31.803"</f>
        <v>31.803</v>
      </c>
      <c r="C148" t="str">
        <f>"31.803"</f>
        <v>31.803</v>
      </c>
    </row>
    <row r="149" spans="1:3" x14ac:dyDescent="0.25">
      <c r="A149" t="str">
        <f>"06/01/2010"</f>
        <v>06/01/2010</v>
      </c>
      <c r="B149" t="str">
        <f>"31.835"</f>
        <v>31.835</v>
      </c>
      <c r="C149" t="str">
        <f>"31.8349"</f>
        <v>31.8349</v>
      </c>
    </row>
    <row r="150" spans="1:3" x14ac:dyDescent="0.25">
      <c r="A150" t="str">
        <f>"07/01/2010"</f>
        <v>07/01/2010</v>
      </c>
      <c r="B150" t="str">
        <f>"31.83"</f>
        <v>31.83</v>
      </c>
      <c r="C150" t="str">
        <f>"31.83"</f>
        <v>31.83</v>
      </c>
    </row>
    <row r="151" spans="1:3" x14ac:dyDescent="0.25">
      <c r="A151" t="str">
        <f>"08/01/2010"</f>
        <v>08/01/2010</v>
      </c>
      <c r="B151" t="str">
        <f>"31.867"</f>
        <v>31.867</v>
      </c>
      <c r="C151" t="str">
        <f>"31.867"</f>
        <v>31.867</v>
      </c>
    </row>
    <row r="152" spans="1:3" x14ac:dyDescent="0.25">
      <c r="A152" t="str">
        <f>"11/01/2010"</f>
        <v>11/01/2010</v>
      </c>
      <c r="B152" t="str">
        <f>"31.735"</f>
        <v>31.735</v>
      </c>
      <c r="C152" t="str">
        <f>"31.735"</f>
        <v>31.735</v>
      </c>
    </row>
    <row r="153" spans="1:3" x14ac:dyDescent="0.25">
      <c r="A153" t="str">
        <f>"12/01/2010"</f>
        <v>12/01/2010</v>
      </c>
      <c r="B153" t="str">
        <f>"31.782"</f>
        <v>31.782</v>
      </c>
      <c r="C153" t="str">
        <f>"31.782"</f>
        <v>31.782</v>
      </c>
    </row>
    <row r="154" spans="1:3" x14ac:dyDescent="0.25">
      <c r="A154" t="str">
        <f>"13/01/2010"</f>
        <v>13/01/2010</v>
      </c>
      <c r="B154" t="str">
        <f>"31.808"</f>
        <v>31.808</v>
      </c>
      <c r="C154" t="str">
        <f>"31.808"</f>
        <v>31.808</v>
      </c>
    </row>
    <row r="155" spans="1:3" x14ac:dyDescent="0.25">
      <c r="A155" t="str">
        <f>"14/01/2010"</f>
        <v>14/01/2010</v>
      </c>
      <c r="B155" t="str">
        <f>"31.753"</f>
        <v>31.753</v>
      </c>
      <c r="C155" t="str">
        <f>"31.753"</f>
        <v>31.753</v>
      </c>
    </row>
    <row r="156" spans="1:3" x14ac:dyDescent="0.25">
      <c r="A156" t="str">
        <f>"15/01/2010"</f>
        <v>15/01/2010</v>
      </c>
      <c r="B156" t="str">
        <f>"31.733"</f>
        <v>31.733</v>
      </c>
      <c r="C156" t="str">
        <f>"31.733"</f>
        <v>31.733</v>
      </c>
    </row>
    <row r="157" spans="1:3" x14ac:dyDescent="0.25">
      <c r="A157" t="str">
        <f>"18/01/2010"</f>
        <v>18/01/2010</v>
      </c>
      <c r="B157" t="str">
        <f>"31.773"</f>
        <v>31.773</v>
      </c>
      <c r="C157" t="str">
        <f>"31.773"</f>
        <v>31.773</v>
      </c>
    </row>
    <row r="158" spans="1:3" x14ac:dyDescent="0.25">
      <c r="A158" t="str">
        <f>"19/01/2010"</f>
        <v>19/01/2010</v>
      </c>
      <c r="B158" t="str">
        <f>"31.778"</f>
        <v>31.778</v>
      </c>
      <c r="C158" t="str">
        <f>"31.778"</f>
        <v>31.778</v>
      </c>
    </row>
    <row r="159" spans="1:3" x14ac:dyDescent="0.25">
      <c r="A159" t="str">
        <f>"20/01/2010"</f>
        <v>20/01/2010</v>
      </c>
      <c r="B159" t="str">
        <f>"31.821"</f>
        <v>31.821</v>
      </c>
      <c r="C159" t="str">
        <f>"31.821"</f>
        <v>31.821</v>
      </c>
    </row>
    <row r="160" spans="1:3" x14ac:dyDescent="0.25">
      <c r="A160" t="str">
        <f>"21/01/2010"</f>
        <v>21/01/2010</v>
      </c>
      <c r="B160" t="str">
        <f>"31.909"</f>
        <v>31.909</v>
      </c>
      <c r="C160" t="str">
        <f>"31.909"</f>
        <v>31.909</v>
      </c>
    </row>
    <row r="161" spans="1:3" x14ac:dyDescent="0.25">
      <c r="A161" t="str">
        <f>"22/01/2010"</f>
        <v>22/01/2010</v>
      </c>
      <c r="B161" t="str">
        <f>"31.969"</f>
        <v>31.969</v>
      </c>
      <c r="C161" t="str">
        <f>"31.969"</f>
        <v>31.969</v>
      </c>
    </row>
    <row r="162" spans="1:3" x14ac:dyDescent="0.25">
      <c r="A162" t="str">
        <f>"25/01/2010"</f>
        <v>25/01/2010</v>
      </c>
      <c r="B162" t="str">
        <f>"31.948"</f>
        <v>31.948</v>
      </c>
      <c r="C162" t="str">
        <f>"31.948"</f>
        <v>31.948</v>
      </c>
    </row>
    <row r="163" spans="1:3" x14ac:dyDescent="0.25">
      <c r="A163" t="str">
        <f>"27/01/2010"</f>
        <v>27/01/2010</v>
      </c>
      <c r="B163" t="str">
        <f>"32.013"</f>
        <v>32.013</v>
      </c>
      <c r="C163" t="str">
        <f>"32.013"</f>
        <v>32.013</v>
      </c>
    </row>
    <row r="164" spans="1:3" x14ac:dyDescent="0.25">
      <c r="A164" t="str">
        <f>"28/01/2010"</f>
        <v>28/01/2010</v>
      </c>
      <c r="B164" t="str">
        <f>"31.988"</f>
        <v>31.988</v>
      </c>
      <c r="C164" t="str">
        <f>"31.988"</f>
        <v>31.988</v>
      </c>
    </row>
    <row r="165" spans="1:3" x14ac:dyDescent="0.25">
      <c r="A165" t="str">
        <f>"29/01/2010"</f>
        <v>29/01/2010</v>
      </c>
      <c r="B165" t="str">
        <f>"31.968"</f>
        <v>31.968</v>
      </c>
      <c r="C165" t="str">
        <f>"31.968"</f>
        <v>31.968</v>
      </c>
    </row>
    <row r="166" spans="1:3" x14ac:dyDescent="0.25">
      <c r="A166" t="str">
        <f>"01/02/2010"</f>
        <v>01/02/2010</v>
      </c>
      <c r="B166" t="str">
        <f>"32.037"</f>
        <v>32.037</v>
      </c>
      <c r="C166" t="str">
        <f>"32.037"</f>
        <v>32.037</v>
      </c>
    </row>
    <row r="167" spans="1:3" x14ac:dyDescent="0.25">
      <c r="A167" t="str">
        <f>"02/02/2010"</f>
        <v>02/02/2010</v>
      </c>
      <c r="B167" t="str">
        <f>"32.043"</f>
        <v>32.043</v>
      </c>
      <c r="C167" t="str">
        <f>"32.0429"</f>
        <v>32.0429</v>
      </c>
    </row>
    <row r="168" spans="1:3" x14ac:dyDescent="0.25">
      <c r="A168" t="str">
        <f>"03/02/2010"</f>
        <v>03/02/2010</v>
      </c>
      <c r="B168" t="str">
        <f>"32.00"</f>
        <v>32.00</v>
      </c>
      <c r="C168" t="str">
        <f>"32.00"</f>
        <v>32.00</v>
      </c>
    </row>
    <row r="169" spans="1:3" x14ac:dyDescent="0.25">
      <c r="A169" t="str">
        <f>"04/02/2010"</f>
        <v>04/02/2010</v>
      </c>
      <c r="B169" t="str">
        <f>"31.993"</f>
        <v>31.993</v>
      </c>
      <c r="C169" t="str">
        <f>"31.993"</f>
        <v>31.993</v>
      </c>
    </row>
    <row r="170" spans="1:3" x14ac:dyDescent="0.25">
      <c r="A170" t="str">
        <f>"05/02/2010"</f>
        <v>05/02/2010</v>
      </c>
      <c r="B170" t="str">
        <f>"32.073"</f>
        <v>32.073</v>
      </c>
      <c r="C170" t="str">
        <f>"32.073"</f>
        <v>32.073</v>
      </c>
    </row>
    <row r="171" spans="1:3" x14ac:dyDescent="0.25">
      <c r="A171" t="str">
        <f>"08/02/2010"</f>
        <v>08/02/2010</v>
      </c>
      <c r="B171" t="str">
        <f>"32.111"</f>
        <v>32.111</v>
      </c>
      <c r="C171" t="str">
        <f>"32.111"</f>
        <v>32.111</v>
      </c>
    </row>
    <row r="172" spans="1:3" x14ac:dyDescent="0.25">
      <c r="A172" t="str">
        <f>"09/02/2010"</f>
        <v>09/02/2010</v>
      </c>
      <c r="B172" t="str">
        <f>"32.11"</f>
        <v>32.11</v>
      </c>
      <c r="C172" t="str">
        <f>"32.11"</f>
        <v>32.11</v>
      </c>
    </row>
    <row r="173" spans="1:3" x14ac:dyDescent="0.25">
      <c r="A173" t="str">
        <f>"10/02/2010"</f>
        <v>10/02/2010</v>
      </c>
      <c r="B173" t="str">
        <f>"32.048"</f>
        <v>32.048</v>
      </c>
      <c r="C173" t="str">
        <f>"32.048"</f>
        <v>32.048</v>
      </c>
    </row>
    <row r="174" spans="1:3" x14ac:dyDescent="0.25">
      <c r="A174" t="str">
        <f>"11/02/2010"</f>
        <v>11/02/2010</v>
      </c>
      <c r="B174" t="str">
        <f>"32.063"</f>
        <v>32.063</v>
      </c>
      <c r="C174" t="str">
        <f>"32.0629"</f>
        <v>32.0629</v>
      </c>
    </row>
    <row r="175" spans="1:3" x14ac:dyDescent="0.25">
      <c r="A175" t="str">
        <f>"15/02/2010"</f>
        <v>15/02/2010</v>
      </c>
      <c r="B175" t="str">
        <f>"32.12"</f>
        <v>32.12</v>
      </c>
      <c r="C175" t="str">
        <f>"32.12"</f>
        <v>32.12</v>
      </c>
    </row>
    <row r="176" spans="1:3" x14ac:dyDescent="0.25">
      <c r="A176" t="str">
        <f>"16/02/2010"</f>
        <v>16/02/2010</v>
      </c>
      <c r="B176" t="str">
        <f>"32.12"</f>
        <v>32.12</v>
      </c>
      <c r="C176" t="str">
        <f>"32.12"</f>
        <v>32.12</v>
      </c>
    </row>
    <row r="177" spans="1:3" x14ac:dyDescent="0.25">
      <c r="A177" t="str">
        <f>"17/02/2010"</f>
        <v>17/02/2010</v>
      </c>
      <c r="B177" t="str">
        <f>"32.06"</f>
        <v>32.06</v>
      </c>
      <c r="C177" t="str">
        <f>"32.06"</f>
        <v>32.06</v>
      </c>
    </row>
    <row r="178" spans="1:3" x14ac:dyDescent="0.25">
      <c r="A178" t="str">
        <f>"18/02/2010"</f>
        <v>18/02/2010</v>
      </c>
      <c r="B178" t="str">
        <f>"32.05"</f>
        <v>32.05</v>
      </c>
      <c r="C178" t="str">
        <f>"32.05"</f>
        <v>32.05</v>
      </c>
    </row>
    <row r="179" spans="1:3" x14ac:dyDescent="0.25">
      <c r="A179" t="str">
        <f>"19/02/2010"</f>
        <v>19/02/2010</v>
      </c>
      <c r="B179" t="str">
        <f>"32.09"</f>
        <v>32.09</v>
      </c>
      <c r="C179" t="str">
        <f>"32.09"</f>
        <v>32.09</v>
      </c>
    </row>
    <row r="180" spans="1:3" x14ac:dyDescent="0.25">
      <c r="A180" t="str">
        <f>"22/02/2010"</f>
        <v>22/02/2010</v>
      </c>
      <c r="B180" t="str">
        <f>"32.012"</f>
        <v>32.012</v>
      </c>
      <c r="C180" t="str">
        <f>"32.0119"</f>
        <v>32.0119</v>
      </c>
    </row>
    <row r="181" spans="1:3" x14ac:dyDescent="0.25">
      <c r="A181" t="str">
        <f>"23/02/2010"</f>
        <v>23/02/2010</v>
      </c>
      <c r="B181" t="str">
        <f>"32.053"</f>
        <v>32.053</v>
      </c>
      <c r="C181" t="str">
        <f>"32.053"</f>
        <v>32.053</v>
      </c>
    </row>
    <row r="182" spans="1:3" x14ac:dyDescent="0.25">
      <c r="A182" t="str">
        <f>"24/02/2010"</f>
        <v>24/02/2010</v>
      </c>
      <c r="B182" t="str">
        <f>"32.045"</f>
        <v>32.045</v>
      </c>
      <c r="C182" t="str">
        <f>"32.0449"</f>
        <v>32.0449</v>
      </c>
    </row>
    <row r="183" spans="1:3" x14ac:dyDescent="0.25">
      <c r="A183" t="str">
        <f>"25/02/2010"</f>
        <v>25/02/2010</v>
      </c>
      <c r="B183" t="str">
        <f>"32.075"</f>
        <v>32.075</v>
      </c>
      <c r="C183" t="str">
        <f>"32.0749"</f>
        <v>32.0749</v>
      </c>
    </row>
    <row r="184" spans="1:3" x14ac:dyDescent="0.25">
      <c r="A184" t="str">
        <f>"26/02/2010"</f>
        <v>26/02/2010</v>
      </c>
      <c r="B184" t="str">
        <f>"32.073"</f>
        <v>32.073</v>
      </c>
      <c r="C184" t="str">
        <f>"32.073"</f>
        <v>32.073</v>
      </c>
    </row>
    <row r="185" spans="1:3" x14ac:dyDescent="0.25">
      <c r="A185" t="str">
        <f>"02/03/2010"</f>
        <v>02/03/2010</v>
      </c>
      <c r="B185" t="str">
        <f>"32.019"</f>
        <v>32.019</v>
      </c>
      <c r="C185" t="str">
        <f>"32.019"</f>
        <v>32.019</v>
      </c>
    </row>
    <row r="186" spans="1:3" x14ac:dyDescent="0.25">
      <c r="A186" t="str">
        <f>"03/03/2010"</f>
        <v>03/03/2010</v>
      </c>
      <c r="B186" t="str">
        <f>"31.99"</f>
        <v>31.99</v>
      </c>
      <c r="C186" t="str">
        <f>"31.9899"</f>
        <v>31.9899</v>
      </c>
    </row>
    <row r="187" spans="1:3" x14ac:dyDescent="0.25">
      <c r="A187" t="str">
        <f>"04/03/2010"</f>
        <v>04/03/2010</v>
      </c>
      <c r="B187" t="str">
        <f>"31.96"</f>
        <v>31.96</v>
      </c>
      <c r="C187" t="str">
        <f>"31.96"</f>
        <v>31.96</v>
      </c>
    </row>
    <row r="188" spans="1:3" x14ac:dyDescent="0.25">
      <c r="A188" t="str">
        <f>"05/03/2010"</f>
        <v>05/03/2010</v>
      </c>
      <c r="B188" t="str">
        <f>"31.925"</f>
        <v>31.925</v>
      </c>
      <c r="C188" t="str">
        <f>"31.925"</f>
        <v>31.925</v>
      </c>
    </row>
    <row r="189" spans="1:3" x14ac:dyDescent="0.25">
      <c r="A189" t="str">
        <f>"08/03/2010"</f>
        <v>08/03/2010</v>
      </c>
      <c r="B189" t="str">
        <f>"31.879"</f>
        <v>31.879</v>
      </c>
      <c r="C189" t="str">
        <f>"31.879"</f>
        <v>31.879</v>
      </c>
    </row>
    <row r="190" spans="1:3" x14ac:dyDescent="0.25">
      <c r="A190" t="str">
        <f>"09/03/2010"</f>
        <v>09/03/2010</v>
      </c>
      <c r="B190" t="str">
        <f>"31.858"</f>
        <v>31.858</v>
      </c>
      <c r="C190" t="str">
        <f>"31.858"</f>
        <v>31.858</v>
      </c>
    </row>
    <row r="191" spans="1:3" x14ac:dyDescent="0.25">
      <c r="A191" t="str">
        <f>"10/03/2010"</f>
        <v>10/03/2010</v>
      </c>
      <c r="B191" t="str">
        <f>"31.751"</f>
        <v>31.751</v>
      </c>
      <c r="C191" t="str">
        <f>"31.751"</f>
        <v>31.751</v>
      </c>
    </row>
    <row r="192" spans="1:3" x14ac:dyDescent="0.25">
      <c r="A192" t="str">
        <f>"11/03/2010"</f>
        <v>11/03/2010</v>
      </c>
      <c r="B192" t="str">
        <f>"31.79"</f>
        <v>31.79</v>
      </c>
      <c r="C192" t="str">
        <f>"31.79"</f>
        <v>31.79</v>
      </c>
    </row>
    <row r="193" spans="1:3" x14ac:dyDescent="0.25">
      <c r="A193" t="str">
        <f>"12/03/2010"</f>
        <v>12/03/2010</v>
      </c>
      <c r="B193" t="str">
        <f>"31.781"</f>
        <v>31.781</v>
      </c>
      <c r="C193" t="str">
        <f>"31.781"</f>
        <v>31.781</v>
      </c>
    </row>
    <row r="194" spans="1:3" x14ac:dyDescent="0.25">
      <c r="A194" t="str">
        <f>"15/03/2010"</f>
        <v>15/03/2010</v>
      </c>
      <c r="B194" t="str">
        <f>"31.798"</f>
        <v>31.798</v>
      </c>
      <c r="C194" t="str">
        <f>"31.798"</f>
        <v>31.798</v>
      </c>
    </row>
    <row r="195" spans="1:3" x14ac:dyDescent="0.25">
      <c r="A195" t="str">
        <f>"17/03/2010"</f>
        <v>17/03/2010</v>
      </c>
      <c r="B195" t="str">
        <f>"31.741"</f>
        <v>31.741</v>
      </c>
      <c r="C195" t="str">
        <f>"31.741"</f>
        <v>31.741</v>
      </c>
    </row>
    <row r="196" spans="1:3" x14ac:dyDescent="0.25">
      <c r="A196" t="str">
        <f>"18/03/2010"</f>
        <v>18/03/2010</v>
      </c>
      <c r="B196" t="str">
        <f>"31.69"</f>
        <v>31.69</v>
      </c>
      <c r="C196" t="str">
        <f>"31.69"</f>
        <v>31.69</v>
      </c>
    </row>
    <row r="197" spans="1:3" x14ac:dyDescent="0.25">
      <c r="A197" t="str">
        <f>"19/03/2010"</f>
        <v>19/03/2010</v>
      </c>
      <c r="B197" t="str">
        <f>"31.729"</f>
        <v>31.729</v>
      </c>
      <c r="C197" t="str">
        <f>"31.729"</f>
        <v>31.729</v>
      </c>
    </row>
    <row r="198" spans="1:3" x14ac:dyDescent="0.25">
      <c r="A198" t="str">
        <f>"22/03/2010"</f>
        <v>22/03/2010</v>
      </c>
      <c r="B198" t="str">
        <f>"31.796"</f>
        <v>31.796</v>
      </c>
      <c r="C198" t="str">
        <f>"31.796"</f>
        <v>31.796</v>
      </c>
    </row>
    <row r="199" spans="1:3" x14ac:dyDescent="0.25">
      <c r="A199" t="str">
        <f>"23/03/2010"</f>
        <v>23/03/2010</v>
      </c>
      <c r="B199" t="str">
        <f>"31.8075"</f>
        <v>31.8075</v>
      </c>
      <c r="C199" t="str">
        <f>"31.8075"</f>
        <v>31.8075</v>
      </c>
    </row>
    <row r="200" spans="1:3" x14ac:dyDescent="0.25">
      <c r="A200" t="str">
        <f>"25/03/2010"</f>
        <v>25/03/2010</v>
      </c>
      <c r="B200" t="str">
        <f>"31.83"</f>
        <v>31.83</v>
      </c>
      <c r="C200" t="str">
        <f>"31.83"</f>
        <v>31.83</v>
      </c>
    </row>
    <row r="201" spans="1:3" x14ac:dyDescent="0.25">
      <c r="A201" t="str">
        <f>"26/03/2010"</f>
        <v>26/03/2010</v>
      </c>
      <c r="B201" t="str">
        <f>"31.872"</f>
        <v>31.872</v>
      </c>
      <c r="C201" t="str">
        <f>"31.872"</f>
        <v>31.872</v>
      </c>
    </row>
    <row r="202" spans="1:3" x14ac:dyDescent="0.25">
      <c r="A202" t="str">
        <f>"29/03/2010"</f>
        <v>29/03/2010</v>
      </c>
      <c r="B202" t="str">
        <f>"31.803"</f>
        <v>31.803</v>
      </c>
      <c r="C202" t="str">
        <f>"31.803"</f>
        <v>31.803</v>
      </c>
    </row>
    <row r="203" spans="1:3" x14ac:dyDescent="0.25">
      <c r="A203" t="str">
        <f>"30/03/2010"</f>
        <v>30/03/2010</v>
      </c>
      <c r="B203" t="str">
        <f>"31.773"</f>
        <v>31.773</v>
      </c>
      <c r="C203" t="str">
        <f>"31.773"</f>
        <v>31.773</v>
      </c>
    </row>
    <row r="204" spans="1:3" x14ac:dyDescent="0.25">
      <c r="A204" t="str">
        <f>"31/03/2010"</f>
        <v>31/03/2010</v>
      </c>
      <c r="B204" t="str">
        <f>"31.769"</f>
        <v>31.769</v>
      </c>
      <c r="C204" t="str">
        <f>"31.7689"</f>
        <v>31.7689</v>
      </c>
    </row>
    <row r="205" spans="1:3" x14ac:dyDescent="0.25">
      <c r="A205" t="str">
        <f>"05/04/2010"</f>
        <v>05/04/2010</v>
      </c>
      <c r="B205" t="str">
        <f>"31.73"</f>
        <v>31.73</v>
      </c>
      <c r="C205" t="str">
        <f>"31.73"</f>
        <v>31.73</v>
      </c>
    </row>
    <row r="206" spans="1:3" x14ac:dyDescent="0.25">
      <c r="A206" t="str">
        <f>"06/04/2010"</f>
        <v>06/04/2010</v>
      </c>
      <c r="B206" t="str">
        <f>"31.679"</f>
        <v>31.679</v>
      </c>
      <c r="C206" t="str">
        <f>"31.679"</f>
        <v>31.679</v>
      </c>
    </row>
    <row r="207" spans="1:3" x14ac:dyDescent="0.25">
      <c r="A207" t="str">
        <f>"07/04/2010"</f>
        <v>07/04/2010</v>
      </c>
      <c r="B207" t="str">
        <f>"31.575"</f>
        <v>31.575</v>
      </c>
      <c r="C207" t="str">
        <f>"31.575"</f>
        <v>31.575</v>
      </c>
    </row>
    <row r="208" spans="1:3" x14ac:dyDescent="0.25">
      <c r="A208" t="str">
        <f>"08/04/2010"</f>
        <v>08/04/2010</v>
      </c>
      <c r="B208" t="str">
        <f>"31.575"</f>
        <v>31.575</v>
      </c>
      <c r="C208" t="str">
        <f>"31.575"</f>
        <v>31.575</v>
      </c>
    </row>
    <row r="209" spans="1:3" x14ac:dyDescent="0.25">
      <c r="A209" t="str">
        <f>"09/04/2010"</f>
        <v>09/04/2010</v>
      </c>
      <c r="B209" t="str">
        <f>"31.564"</f>
        <v>31.564</v>
      </c>
      <c r="C209" t="str">
        <f>"31.564"</f>
        <v>31.564</v>
      </c>
    </row>
    <row r="210" spans="1:3" x14ac:dyDescent="0.25">
      <c r="A210" t="str">
        <f>"12/04/2010"</f>
        <v>12/04/2010</v>
      </c>
      <c r="B210" t="str">
        <f>"31.501"</f>
        <v>31.501</v>
      </c>
      <c r="C210" t="str">
        <f>"31.5009"</f>
        <v>31.5009</v>
      </c>
    </row>
    <row r="211" spans="1:3" x14ac:dyDescent="0.25">
      <c r="A211" t="str">
        <f>"13/04/2010"</f>
        <v>13/04/2010</v>
      </c>
      <c r="B211" t="str">
        <f>"31.556"</f>
        <v>31.556</v>
      </c>
      <c r="C211" t="str">
        <f>"31.556"</f>
        <v>31.556</v>
      </c>
    </row>
    <row r="212" spans="1:3" x14ac:dyDescent="0.25">
      <c r="A212" t="str">
        <f>"15/04/2010"</f>
        <v>15/04/2010</v>
      </c>
      <c r="B212" t="str">
        <f>"31.366"</f>
        <v>31.366</v>
      </c>
      <c r="C212" t="str">
        <f>"31.366"</f>
        <v>31.366</v>
      </c>
    </row>
    <row r="213" spans="1:3" x14ac:dyDescent="0.25">
      <c r="A213" t="str">
        <f>"16/04/2010"</f>
        <v>16/04/2010</v>
      </c>
      <c r="B213" t="str">
        <f>"31.367"</f>
        <v>31.367</v>
      </c>
      <c r="C213" t="str">
        <f>"31.367"</f>
        <v>31.367</v>
      </c>
    </row>
    <row r="214" spans="1:3" x14ac:dyDescent="0.25">
      <c r="A214" t="str">
        <f>"19/04/2010"</f>
        <v>19/04/2010</v>
      </c>
      <c r="B214" t="str">
        <f>"31.435"</f>
        <v>31.435</v>
      </c>
      <c r="C214" t="str">
        <f>"31.435"</f>
        <v>31.435</v>
      </c>
    </row>
    <row r="215" spans="1:3" x14ac:dyDescent="0.25">
      <c r="A215" t="str">
        <f>"20/04/2010"</f>
        <v>20/04/2010</v>
      </c>
      <c r="B215" t="str">
        <f>"31.43"</f>
        <v>31.43</v>
      </c>
      <c r="C215" t="str">
        <f>"31.4299"</f>
        <v>31.4299</v>
      </c>
    </row>
    <row r="216" spans="1:3" x14ac:dyDescent="0.25">
      <c r="A216" t="str">
        <f>"21/04/2010"</f>
        <v>21/04/2010</v>
      </c>
      <c r="B216" t="str">
        <f>"31.36"</f>
        <v>31.36</v>
      </c>
      <c r="C216" t="str">
        <f>"31.36"</f>
        <v>31.36</v>
      </c>
    </row>
    <row r="217" spans="1:3" x14ac:dyDescent="0.25">
      <c r="A217" t="str">
        <f>"22/04/2010"</f>
        <v>22/04/2010</v>
      </c>
      <c r="B217" t="str">
        <f>"31.388"</f>
        <v>31.388</v>
      </c>
      <c r="C217" t="str">
        <f>"31.388"</f>
        <v>31.388</v>
      </c>
    </row>
    <row r="218" spans="1:3" x14ac:dyDescent="0.25">
      <c r="A218" t="str">
        <f>"23/04/2010"</f>
        <v>23/04/2010</v>
      </c>
      <c r="B218" t="str">
        <f>"31.358"</f>
        <v>31.358</v>
      </c>
      <c r="C218" t="str">
        <f>"31.358"</f>
        <v>31.358</v>
      </c>
    </row>
    <row r="219" spans="1:3" x14ac:dyDescent="0.25">
      <c r="A219" t="str">
        <f>"26/04/2010"</f>
        <v>26/04/2010</v>
      </c>
      <c r="B219" t="str">
        <f>"31.31"</f>
        <v>31.31</v>
      </c>
      <c r="C219" t="str">
        <f>"31.31"</f>
        <v>31.31</v>
      </c>
    </row>
    <row r="220" spans="1:3" x14ac:dyDescent="0.25">
      <c r="A220" t="str">
        <f>"27/04/2010"</f>
        <v>27/04/2010</v>
      </c>
      <c r="B220" t="str">
        <f>"31.286"</f>
        <v>31.286</v>
      </c>
      <c r="C220" t="str">
        <f>"31.2859"</f>
        <v>31.2859</v>
      </c>
    </row>
    <row r="221" spans="1:3" x14ac:dyDescent="0.25">
      <c r="A221" t="str">
        <f>"28/04/2010"</f>
        <v>28/04/2010</v>
      </c>
      <c r="B221" t="str">
        <f>"31.378"</f>
        <v>31.378</v>
      </c>
      <c r="C221" t="str">
        <f>"31.378"</f>
        <v>31.378</v>
      </c>
    </row>
    <row r="222" spans="1:3" x14ac:dyDescent="0.25">
      <c r="A222" t="str">
        <f>"29/04/2010"</f>
        <v>29/04/2010</v>
      </c>
      <c r="B222" t="str">
        <f>"31.406"</f>
        <v>31.406</v>
      </c>
      <c r="C222" t="str">
        <f>"31.406"</f>
        <v>31.406</v>
      </c>
    </row>
    <row r="223" spans="1:3" x14ac:dyDescent="0.25">
      <c r="A223" t="str">
        <f>"30/04/2010"</f>
        <v>30/04/2010</v>
      </c>
      <c r="B223" t="str">
        <f>"31.363"</f>
        <v>31.363</v>
      </c>
      <c r="C223" t="str">
        <f>"31.363"</f>
        <v>31.363</v>
      </c>
    </row>
    <row r="224" spans="1:3" x14ac:dyDescent="0.25">
      <c r="A224" t="str">
        <f>"03/05/2010"</f>
        <v>03/05/2010</v>
      </c>
      <c r="B224" t="str">
        <f>"31.392"</f>
        <v>31.392</v>
      </c>
      <c r="C224" t="str">
        <f>"31.392"</f>
        <v>31.392</v>
      </c>
    </row>
    <row r="225" spans="1:3" x14ac:dyDescent="0.25">
      <c r="A225" t="str">
        <f>"04/05/2010"</f>
        <v>04/05/2010</v>
      </c>
      <c r="B225" t="str">
        <f>"31.395"</f>
        <v>31.395</v>
      </c>
      <c r="C225" t="str">
        <f>"31.395"</f>
        <v>31.395</v>
      </c>
    </row>
    <row r="226" spans="1:3" x14ac:dyDescent="0.25">
      <c r="A226" t="str">
        <f>"05/05/2010"</f>
        <v>05/05/2010</v>
      </c>
      <c r="B226" t="str">
        <f>"31.505"</f>
        <v>31.505</v>
      </c>
      <c r="C226" t="str">
        <f>"31.505"</f>
        <v>31.505</v>
      </c>
    </row>
    <row r="227" spans="1:3" x14ac:dyDescent="0.25">
      <c r="A227" t="str">
        <f>"06/05/2010"</f>
        <v>06/05/2010</v>
      </c>
      <c r="B227" t="str">
        <f>"31.585"</f>
        <v>31.585</v>
      </c>
      <c r="C227" t="str">
        <f>"31.585"</f>
        <v>31.585</v>
      </c>
    </row>
    <row r="228" spans="1:3" x14ac:dyDescent="0.25">
      <c r="A228" t="str">
        <f>"07/05/2010"</f>
        <v>07/05/2010</v>
      </c>
      <c r="B228" t="str">
        <f>"31.74"</f>
        <v>31.74</v>
      </c>
      <c r="C228" t="str">
        <f>"31.74"</f>
        <v>31.74</v>
      </c>
    </row>
    <row r="229" spans="1:3" x14ac:dyDescent="0.25">
      <c r="A229" t="str">
        <f>"10/05/2010"</f>
        <v>10/05/2010</v>
      </c>
      <c r="B229" t="str">
        <f>"31.62"</f>
        <v>31.62</v>
      </c>
      <c r="C229" t="str">
        <f>"31.6199"</f>
        <v>31.6199</v>
      </c>
    </row>
    <row r="230" spans="1:3" x14ac:dyDescent="0.25">
      <c r="A230" t="str">
        <f>"11/05/2010"</f>
        <v>11/05/2010</v>
      </c>
      <c r="B230" t="str">
        <f>"31.52"</f>
        <v>31.52</v>
      </c>
      <c r="C230" t="str">
        <f>"31.5199"</f>
        <v>31.5199</v>
      </c>
    </row>
    <row r="231" spans="1:3" x14ac:dyDescent="0.25">
      <c r="A231" t="str">
        <f>"12/05/2010"</f>
        <v>12/05/2010</v>
      </c>
      <c r="B231" t="str">
        <f>"31.689"</f>
        <v>31.689</v>
      </c>
      <c r="C231" t="str">
        <f>"31.6889"</f>
        <v>31.6889</v>
      </c>
    </row>
    <row r="232" spans="1:3" x14ac:dyDescent="0.25">
      <c r="A232" t="str">
        <f>"13/05/2010"</f>
        <v>13/05/2010</v>
      </c>
      <c r="B232" t="str">
        <f>"31.63"</f>
        <v>31.63</v>
      </c>
      <c r="C232" t="str">
        <f>"31.63"</f>
        <v>31.63</v>
      </c>
    </row>
    <row r="233" spans="1:3" x14ac:dyDescent="0.25">
      <c r="A233" t="str">
        <f>"14/05/2010"</f>
        <v>14/05/2010</v>
      </c>
      <c r="B233" t="str">
        <f>"31.65"</f>
        <v>31.65</v>
      </c>
      <c r="C233" t="str">
        <f>"31.6499"</f>
        <v>31.6499</v>
      </c>
    </row>
    <row r="234" spans="1:3" x14ac:dyDescent="0.25">
      <c r="A234" t="str">
        <f>"17/05/2010"</f>
        <v>17/05/2010</v>
      </c>
      <c r="B234" t="str">
        <f>"31.812"</f>
        <v>31.812</v>
      </c>
      <c r="C234" t="str">
        <f>"31.812"</f>
        <v>31.812</v>
      </c>
    </row>
    <row r="235" spans="1:3" x14ac:dyDescent="0.25">
      <c r="A235" t="str">
        <f>"18/05/2010"</f>
        <v>18/05/2010</v>
      </c>
      <c r="B235" t="str">
        <f>"31.876"</f>
        <v>31.876</v>
      </c>
      <c r="C235" t="str">
        <f>"31.876"</f>
        <v>31.876</v>
      </c>
    </row>
    <row r="236" spans="1:3" x14ac:dyDescent="0.25">
      <c r="A236" t="str">
        <f>"19/05/2010"</f>
        <v>19/05/2010</v>
      </c>
      <c r="B236" t="str">
        <f>"31.948"</f>
        <v>31.948</v>
      </c>
      <c r="C236" t="str">
        <f>"31.948"</f>
        <v>31.948</v>
      </c>
    </row>
    <row r="237" spans="1:3" x14ac:dyDescent="0.25">
      <c r="A237" t="str">
        <f>"20/05/2010"</f>
        <v>20/05/2010</v>
      </c>
      <c r="B237" t="str">
        <f>"32.059"</f>
        <v>32.059</v>
      </c>
      <c r="C237" t="str">
        <f>"32.059"</f>
        <v>32.059</v>
      </c>
    </row>
    <row r="238" spans="1:3" x14ac:dyDescent="0.25">
      <c r="A238" t="str">
        <f>"21/05/2010"</f>
        <v>21/05/2010</v>
      </c>
      <c r="B238" t="str">
        <f>"32.127"</f>
        <v>32.127</v>
      </c>
      <c r="C238" t="str">
        <f>"32.127"</f>
        <v>32.127</v>
      </c>
    </row>
    <row r="239" spans="1:3" x14ac:dyDescent="0.25">
      <c r="A239" t="str">
        <f>"24/05/2010"</f>
        <v>24/05/2010</v>
      </c>
      <c r="B239" t="str">
        <f>"32.112"</f>
        <v>32.112</v>
      </c>
      <c r="C239" t="str">
        <f>"32.112"</f>
        <v>32.112</v>
      </c>
    </row>
    <row r="240" spans="1:3" x14ac:dyDescent="0.25">
      <c r="A240" t="str">
        <f>"25/05/2010"</f>
        <v>25/05/2010</v>
      </c>
      <c r="B240" t="str">
        <f>"32.219"</f>
        <v>32.219</v>
      </c>
      <c r="C240" t="str">
        <f>"32.2189"</f>
        <v>32.2189</v>
      </c>
    </row>
    <row r="241" spans="1:3" x14ac:dyDescent="0.25">
      <c r="A241" t="str">
        <f>"26/05/2010"</f>
        <v>26/05/2010</v>
      </c>
      <c r="B241" t="str">
        <f>"32.279"</f>
        <v>32.279</v>
      </c>
      <c r="C241" t="str">
        <f>"32.2785"</f>
        <v>32.2785</v>
      </c>
    </row>
    <row r="242" spans="1:3" x14ac:dyDescent="0.25">
      <c r="A242" t="str">
        <f>"28/05/2010"</f>
        <v>28/05/2010</v>
      </c>
      <c r="B242" t="str">
        <f>"32.04"</f>
        <v>32.04</v>
      </c>
      <c r="C242" t="str">
        <f>"32.0399"</f>
        <v>32.0399</v>
      </c>
    </row>
    <row r="243" spans="1:3" x14ac:dyDescent="0.25">
      <c r="A243" t="str">
        <f>"31/05/2010"</f>
        <v>31/05/2010</v>
      </c>
      <c r="B243" t="str">
        <f>"31.974"</f>
        <v>31.974</v>
      </c>
      <c r="C243" t="str">
        <f>"31.9739"</f>
        <v>31.9739</v>
      </c>
    </row>
    <row r="244" spans="1:3" x14ac:dyDescent="0.25">
      <c r="A244" t="str">
        <f>"01/06/2010"</f>
        <v>01/06/2010</v>
      </c>
      <c r="B244" t="str">
        <f>"32.15"</f>
        <v>32.15</v>
      </c>
      <c r="C244" t="str">
        <f>"32.1498"</f>
        <v>32.1498</v>
      </c>
    </row>
    <row r="245" spans="1:3" x14ac:dyDescent="0.25">
      <c r="A245" t="str">
        <f>"02/06/2010"</f>
        <v>02/06/2010</v>
      </c>
      <c r="B245" t="str">
        <f>"32.297"</f>
        <v>32.297</v>
      </c>
      <c r="C245" t="str">
        <f>"32.2968"</f>
        <v>32.2968</v>
      </c>
    </row>
    <row r="246" spans="1:3" x14ac:dyDescent="0.25">
      <c r="A246" t="str">
        <f>"03/06/2010"</f>
        <v>03/06/2010</v>
      </c>
      <c r="B246" t="str">
        <f>"32.109"</f>
        <v>32.109</v>
      </c>
      <c r="C246" t="str">
        <f>"32.1088"</f>
        <v>32.1088</v>
      </c>
    </row>
    <row r="247" spans="1:3" x14ac:dyDescent="0.25">
      <c r="A247" t="str">
        <f>"04/06/2010"</f>
        <v>04/06/2010</v>
      </c>
      <c r="B247" t="str">
        <f>"32.163"</f>
        <v>32.163</v>
      </c>
      <c r="C247" t="str">
        <f>"32.1629"</f>
        <v>32.1629</v>
      </c>
    </row>
    <row r="248" spans="1:3" x14ac:dyDescent="0.25">
      <c r="A248" t="str">
        <f>"07/06/2010"</f>
        <v>07/06/2010</v>
      </c>
      <c r="B248" t="str">
        <f>"32.444"</f>
        <v>32.444</v>
      </c>
      <c r="C248" t="str">
        <f>"32.4439"</f>
        <v>32.4439</v>
      </c>
    </row>
    <row r="249" spans="1:3" x14ac:dyDescent="0.25">
      <c r="A249" t="str">
        <f>"08/06/2010"</f>
        <v>08/06/2010</v>
      </c>
      <c r="B249" t="str">
        <f>"32.364"</f>
        <v>32.364</v>
      </c>
      <c r="C249" t="str">
        <f>"32.3639"</f>
        <v>32.3639</v>
      </c>
    </row>
    <row r="250" spans="1:3" x14ac:dyDescent="0.25">
      <c r="A250" t="str">
        <f>"09/06/2010"</f>
        <v>09/06/2010</v>
      </c>
      <c r="B250" t="str">
        <f>"32.406"</f>
        <v>32.406</v>
      </c>
      <c r="C250" t="str">
        <f>"32.4059"</f>
        <v>32.4059</v>
      </c>
    </row>
    <row r="251" spans="1:3" x14ac:dyDescent="0.25">
      <c r="A251" t="str">
        <f>"10/06/2010"</f>
        <v>10/06/2010</v>
      </c>
      <c r="B251" t="str">
        <f>"32.439"</f>
        <v>32.439</v>
      </c>
      <c r="C251" t="str">
        <f>"32.4389"</f>
        <v>32.4389</v>
      </c>
    </row>
    <row r="252" spans="1:3" x14ac:dyDescent="0.25">
      <c r="A252" t="str">
        <f>"11/06/2010"</f>
        <v>11/06/2010</v>
      </c>
      <c r="B252" t="str">
        <f>"32.343"</f>
        <v>32.343</v>
      </c>
      <c r="C252" t="str">
        <f>"32.343"</f>
        <v>32.343</v>
      </c>
    </row>
    <row r="253" spans="1:3" x14ac:dyDescent="0.25">
      <c r="A253" t="str">
        <f>"14/06/2010"</f>
        <v>14/06/2010</v>
      </c>
      <c r="B253" t="str">
        <f>"32.279"</f>
        <v>32.279</v>
      </c>
      <c r="C253" t="str">
        <f>"32.2789"</f>
        <v>32.2789</v>
      </c>
    </row>
    <row r="254" spans="1:3" x14ac:dyDescent="0.25">
      <c r="A254" t="str">
        <f>"15/06/2010"</f>
        <v>15/06/2010</v>
      </c>
      <c r="B254" t="str">
        <f>"32.277"</f>
        <v>32.277</v>
      </c>
      <c r="C254" t="str">
        <f>"32.2769"</f>
        <v>32.2769</v>
      </c>
    </row>
    <row r="255" spans="1:3" x14ac:dyDescent="0.25">
      <c r="A255" t="str">
        <f>"16/06/2010"</f>
        <v>16/06/2010</v>
      </c>
      <c r="B255" t="str">
        <f>"32.26"</f>
        <v>32.26</v>
      </c>
      <c r="C255" t="str">
        <f>"32.2599"</f>
        <v>32.2599</v>
      </c>
    </row>
    <row r="256" spans="1:3" x14ac:dyDescent="0.25">
      <c r="A256" t="str">
        <f>"17/06/2010"</f>
        <v>17/06/2010</v>
      </c>
      <c r="B256" t="str">
        <f>"32.271"</f>
        <v>32.271</v>
      </c>
      <c r="C256" t="str">
        <f>"32.2709"</f>
        <v>32.2709</v>
      </c>
    </row>
    <row r="257" spans="1:3" x14ac:dyDescent="0.25">
      <c r="A257" t="str">
        <f>"18/06/2010"</f>
        <v>18/06/2010</v>
      </c>
      <c r="B257" t="str">
        <f>"32.154"</f>
        <v>32.154</v>
      </c>
      <c r="C257" t="str">
        <f>"32.1539"</f>
        <v>32.1539</v>
      </c>
    </row>
    <row r="258" spans="1:3" x14ac:dyDescent="0.25">
      <c r="A258" t="str">
        <f>"21/06/2010"</f>
        <v>21/06/2010</v>
      </c>
      <c r="B258" t="str">
        <f>"31.819"</f>
        <v>31.819</v>
      </c>
      <c r="C258" t="str">
        <f>"31.8189"</f>
        <v>31.8189</v>
      </c>
    </row>
    <row r="259" spans="1:3" x14ac:dyDescent="0.25">
      <c r="A259" t="str">
        <f>"22/06/2010"</f>
        <v>22/06/2010</v>
      </c>
      <c r="B259" t="str">
        <f>"31.80"</f>
        <v>31.80</v>
      </c>
      <c r="C259" t="str">
        <f>"31.7999"</f>
        <v>31.7999</v>
      </c>
    </row>
    <row r="260" spans="1:3" x14ac:dyDescent="0.25">
      <c r="A260" t="str">
        <f>"23/06/2010"</f>
        <v>23/06/2010</v>
      </c>
      <c r="B260" t="str">
        <f>"32.005"</f>
        <v>32.005</v>
      </c>
      <c r="C260" t="str">
        <f>"32.0049"</f>
        <v>32.0049</v>
      </c>
    </row>
    <row r="261" spans="1:3" x14ac:dyDescent="0.25">
      <c r="A261" t="str">
        <f>"24/06/2010"</f>
        <v>24/06/2010</v>
      </c>
      <c r="B261" t="str">
        <f>"32.007"</f>
        <v>32.007</v>
      </c>
      <c r="C261" t="str">
        <f>"32.0069"</f>
        <v>32.0069</v>
      </c>
    </row>
    <row r="262" spans="1:3" x14ac:dyDescent="0.25">
      <c r="A262" t="str">
        <f>"25/06/2010"</f>
        <v>25/06/2010</v>
      </c>
      <c r="B262" t="str">
        <f>"32.095"</f>
        <v>32.095</v>
      </c>
      <c r="C262" t="str">
        <f>"32.095"</f>
        <v>32.095</v>
      </c>
    </row>
    <row r="263" spans="1:3" x14ac:dyDescent="0.25">
      <c r="A263" t="str">
        <f>"28/06/2010"</f>
        <v>28/06/2010</v>
      </c>
      <c r="B263" t="str">
        <f>"31.992"</f>
        <v>31.992</v>
      </c>
      <c r="C263" t="str">
        <f>"31.9919"</f>
        <v>31.9919</v>
      </c>
    </row>
    <row r="264" spans="1:3" x14ac:dyDescent="0.25">
      <c r="A264" t="str">
        <f>"29/06/2010"</f>
        <v>29/06/2010</v>
      </c>
      <c r="B264" t="str">
        <f>"32.091"</f>
        <v>32.091</v>
      </c>
      <c r="C264" t="str">
        <f>"32.0909"</f>
        <v>32.0909</v>
      </c>
    </row>
    <row r="265" spans="1:3" x14ac:dyDescent="0.25">
      <c r="A265" t="str">
        <f>"30/06/2010"</f>
        <v>30/06/2010</v>
      </c>
      <c r="B265" t="str">
        <f>"32.183"</f>
        <v>32.183</v>
      </c>
      <c r="C265" t="str">
        <f>"32.1829"</f>
        <v>32.1829</v>
      </c>
    </row>
    <row r="266" spans="1:3" x14ac:dyDescent="0.25">
      <c r="A266" t="str">
        <f>"01/07/2010"</f>
        <v>01/07/2010</v>
      </c>
      <c r="B266" t="str">
        <f>"32.276"</f>
        <v>32.276</v>
      </c>
      <c r="C266" t="str">
        <f>"32.2759"</f>
        <v>32.2759</v>
      </c>
    </row>
    <row r="267" spans="1:3" x14ac:dyDescent="0.25">
      <c r="A267" t="str">
        <f>"02/07/2010"</f>
        <v>02/07/2010</v>
      </c>
      <c r="B267" t="str">
        <f>"32.20"</f>
        <v>32.20</v>
      </c>
      <c r="C267" t="str">
        <f>"32.1999"</f>
        <v>32.1999</v>
      </c>
    </row>
    <row r="268" spans="1:3" x14ac:dyDescent="0.25">
      <c r="A268" t="str">
        <f>"05/07/2010"</f>
        <v>05/07/2010</v>
      </c>
      <c r="B268" t="str">
        <f>"32.238"</f>
        <v>32.238</v>
      </c>
      <c r="C268" t="str">
        <f>"32.2379"</f>
        <v>32.2379</v>
      </c>
    </row>
    <row r="269" spans="1:3" x14ac:dyDescent="0.25">
      <c r="A269" t="str">
        <f>"06/07/2010"</f>
        <v>06/07/2010</v>
      </c>
      <c r="B269" t="str">
        <f>"32.198"</f>
        <v>32.198</v>
      </c>
      <c r="C269" t="str">
        <f>"32.1979"</f>
        <v>32.1979</v>
      </c>
    </row>
    <row r="270" spans="1:3" x14ac:dyDescent="0.25">
      <c r="A270" t="str">
        <f>"07/07/2010"</f>
        <v>07/07/2010</v>
      </c>
      <c r="B270" t="str">
        <f>"32.179"</f>
        <v>32.179</v>
      </c>
      <c r="C270" t="str">
        <f>"32.1789"</f>
        <v>32.1789</v>
      </c>
    </row>
    <row r="271" spans="1:3" x14ac:dyDescent="0.25">
      <c r="A271" t="str">
        <f>"08/07/2010"</f>
        <v>08/07/2010</v>
      </c>
      <c r="B271" t="str">
        <f>"32.095"</f>
        <v>32.095</v>
      </c>
      <c r="C271" t="str">
        <f>"32.0949"</f>
        <v>32.0949</v>
      </c>
    </row>
    <row r="272" spans="1:3" x14ac:dyDescent="0.25">
      <c r="A272" t="str">
        <f>"09/07/2010"</f>
        <v>09/07/2010</v>
      </c>
      <c r="B272" t="str">
        <f>"32.046"</f>
        <v>32.046</v>
      </c>
      <c r="C272" t="str">
        <f>"32.0459"</f>
        <v>32.0459</v>
      </c>
    </row>
    <row r="273" spans="1:3" x14ac:dyDescent="0.25">
      <c r="A273" t="str">
        <f>"12/07/2010"</f>
        <v>12/07/2010</v>
      </c>
      <c r="B273" t="str">
        <f>"32.042"</f>
        <v>32.042</v>
      </c>
      <c r="C273" t="str">
        <f>"32.042"</f>
        <v>32.042</v>
      </c>
    </row>
    <row r="274" spans="1:3" x14ac:dyDescent="0.25">
      <c r="A274" t="str">
        <f>"13/07/2010"</f>
        <v>13/07/2010</v>
      </c>
      <c r="B274" t="str">
        <f>"32.123"</f>
        <v>32.123</v>
      </c>
      <c r="C274" t="str">
        <f>"32.1229"</f>
        <v>32.1229</v>
      </c>
    </row>
    <row r="275" spans="1:3" x14ac:dyDescent="0.25">
      <c r="A275" t="str">
        <f>"14/07/2010"</f>
        <v>14/07/2010</v>
      </c>
      <c r="B275" t="str">
        <f>"32.148"</f>
        <v>32.148</v>
      </c>
      <c r="C275" t="str">
        <f>"32.148"</f>
        <v>32.148</v>
      </c>
    </row>
    <row r="276" spans="1:3" x14ac:dyDescent="0.25">
      <c r="A276" t="str">
        <f>"15/07/2010"</f>
        <v>15/07/2010</v>
      </c>
      <c r="B276" t="str">
        <f>"32.122"</f>
        <v>32.122</v>
      </c>
      <c r="C276" t="str">
        <f>"32.1219"</f>
        <v>32.1219</v>
      </c>
    </row>
    <row r="277" spans="1:3" x14ac:dyDescent="0.25">
      <c r="A277" t="str">
        <f>"16/07/2010"</f>
        <v>16/07/2010</v>
      </c>
      <c r="B277" t="str">
        <f>"32.119"</f>
        <v>32.119</v>
      </c>
      <c r="C277" t="str">
        <f>"32.1189"</f>
        <v>32.1189</v>
      </c>
    </row>
    <row r="278" spans="1:3" x14ac:dyDescent="0.25">
      <c r="A278" t="str">
        <f>"19/07/2010"</f>
        <v>19/07/2010</v>
      </c>
      <c r="B278" t="str">
        <f>"32.165"</f>
        <v>32.165</v>
      </c>
      <c r="C278" t="str">
        <f>"32.1649"</f>
        <v>32.1649</v>
      </c>
    </row>
    <row r="279" spans="1:3" x14ac:dyDescent="0.25">
      <c r="A279" t="str">
        <f>"20/07/2010"</f>
        <v>20/07/2010</v>
      </c>
      <c r="B279" t="str">
        <f>"32.118"</f>
        <v>32.118</v>
      </c>
      <c r="C279" t="str">
        <f>"32.1179"</f>
        <v>32.1179</v>
      </c>
    </row>
    <row r="280" spans="1:3" x14ac:dyDescent="0.25">
      <c r="A280" t="str">
        <f>"21/07/2010"</f>
        <v>21/07/2010</v>
      </c>
      <c r="B280" t="str">
        <f>"32.139"</f>
        <v>32.139</v>
      </c>
      <c r="C280" t="str">
        <f>"32.139"</f>
        <v>32.139</v>
      </c>
    </row>
    <row r="281" spans="1:3" x14ac:dyDescent="0.25">
      <c r="A281" t="str">
        <f>"22/07/2010"</f>
        <v>22/07/2010</v>
      </c>
      <c r="B281" t="str">
        <f>"32.203"</f>
        <v>32.203</v>
      </c>
      <c r="C281" t="str">
        <f>"32.2029"</f>
        <v>32.2029</v>
      </c>
    </row>
    <row r="282" spans="1:3" x14ac:dyDescent="0.25">
      <c r="A282" t="str">
        <f>"23/07/2010"</f>
        <v>23/07/2010</v>
      </c>
      <c r="B282" t="str">
        <f>"32.119"</f>
        <v>32.119</v>
      </c>
      <c r="C282" t="str">
        <f>"32.119"</f>
        <v>32.119</v>
      </c>
    </row>
    <row r="283" spans="1:3" x14ac:dyDescent="0.25">
      <c r="A283" t="str">
        <f>"26/07/2010"</f>
        <v>26/07/2010</v>
      </c>
      <c r="B283" t="str">
        <f>"32.124"</f>
        <v>32.124</v>
      </c>
      <c r="C283" t="str">
        <f>"32.1239"</f>
        <v>32.1239</v>
      </c>
    </row>
    <row r="284" spans="1:3" x14ac:dyDescent="0.25">
      <c r="A284" t="str">
        <f>"27/07/2010"</f>
        <v>27/07/2010</v>
      </c>
      <c r="B284" t="str">
        <f>"32.015"</f>
        <v>32.015</v>
      </c>
      <c r="C284" t="str">
        <f>"32.015"</f>
        <v>32.015</v>
      </c>
    </row>
    <row r="285" spans="1:3" x14ac:dyDescent="0.25">
      <c r="A285" t="str">
        <f>"28/07/2010"</f>
        <v>28/07/2010</v>
      </c>
      <c r="B285" t="str">
        <f>"32.02"</f>
        <v>32.02</v>
      </c>
      <c r="C285" t="str">
        <f>"32.0199"</f>
        <v>32.0199</v>
      </c>
    </row>
    <row r="286" spans="1:3" x14ac:dyDescent="0.25">
      <c r="A286" t="str">
        <f>"29/07/2010"</f>
        <v>29/07/2010</v>
      </c>
      <c r="B286" t="str">
        <f>"32.034"</f>
        <v>32.034</v>
      </c>
      <c r="C286" t="str">
        <f>"32.034"</f>
        <v>32.034</v>
      </c>
    </row>
    <row r="287" spans="1:3" x14ac:dyDescent="0.25">
      <c r="A287" t="str">
        <f>"30/07/2010"</f>
        <v>30/07/2010</v>
      </c>
      <c r="B287" t="str">
        <f>"31.978"</f>
        <v>31.978</v>
      </c>
      <c r="C287" t="str">
        <f>"31.978"</f>
        <v>31.978</v>
      </c>
    </row>
    <row r="288" spans="1:3" x14ac:dyDescent="0.25">
      <c r="A288" t="str">
        <f>"02/08/2010"</f>
        <v>02/08/2010</v>
      </c>
      <c r="B288" t="str">
        <f>"31.806"</f>
        <v>31.806</v>
      </c>
      <c r="C288" t="str">
        <f>"31.8059"</f>
        <v>31.8059</v>
      </c>
    </row>
    <row r="289" spans="1:3" x14ac:dyDescent="0.25">
      <c r="A289" t="str">
        <f>"03/08/2010"</f>
        <v>03/08/2010</v>
      </c>
      <c r="B289" t="str">
        <f>"31.782"</f>
        <v>31.782</v>
      </c>
      <c r="C289" t="str">
        <f>"31.782"</f>
        <v>31.782</v>
      </c>
    </row>
    <row r="290" spans="1:3" x14ac:dyDescent="0.25">
      <c r="A290" t="str">
        <f>"04/08/2010"</f>
        <v>04/08/2010</v>
      </c>
      <c r="B290" t="str">
        <f>"31.799"</f>
        <v>31.799</v>
      </c>
      <c r="C290" t="str">
        <f>"31.7989"</f>
        <v>31.7989</v>
      </c>
    </row>
    <row r="291" spans="1:3" x14ac:dyDescent="0.25">
      <c r="A291" t="str">
        <f>"05/08/2010"</f>
        <v>05/08/2010</v>
      </c>
      <c r="B291" t="str">
        <f>"31.84"</f>
        <v>31.84</v>
      </c>
      <c r="C291" t="str">
        <f>"31.8399"</f>
        <v>31.8399</v>
      </c>
    </row>
    <row r="292" spans="1:3" x14ac:dyDescent="0.25">
      <c r="A292" t="str">
        <f>"06/08/2010"</f>
        <v>06/08/2010</v>
      </c>
      <c r="B292" t="str">
        <f>"31.76"</f>
        <v>31.76</v>
      </c>
      <c r="C292" t="str">
        <f>"31.7599"</f>
        <v>31.7599</v>
      </c>
    </row>
    <row r="293" spans="1:3" x14ac:dyDescent="0.25">
      <c r="A293" t="str">
        <f>"09/08/2010"</f>
        <v>09/08/2010</v>
      </c>
      <c r="B293" t="str">
        <f>"31.695"</f>
        <v>31.695</v>
      </c>
      <c r="C293" t="str">
        <f>"31.6949"</f>
        <v>31.6949</v>
      </c>
    </row>
    <row r="294" spans="1:3" x14ac:dyDescent="0.25">
      <c r="A294" t="str">
        <f>"10/08/2010"</f>
        <v>10/08/2010</v>
      </c>
      <c r="B294" t="str">
        <f>"31.7725"</f>
        <v>31.7725</v>
      </c>
      <c r="C294" t="str">
        <f>"31.7724"</f>
        <v>31.7724</v>
      </c>
    </row>
    <row r="295" spans="1:3" x14ac:dyDescent="0.25">
      <c r="A295" t="str">
        <f>"11/08/2010"</f>
        <v>11/08/2010</v>
      </c>
      <c r="B295" t="str">
        <f>"31.80"</f>
        <v>31.80</v>
      </c>
      <c r="C295" t="str">
        <f>"31.7999"</f>
        <v>31.7999</v>
      </c>
    </row>
    <row r="296" spans="1:3" x14ac:dyDescent="0.25">
      <c r="A296" t="str">
        <f>"12/08/2010"</f>
        <v>12/08/2010</v>
      </c>
      <c r="B296" t="str">
        <f>"31.94"</f>
        <v>31.94</v>
      </c>
      <c r="C296" t="str">
        <f>"31.9399"</f>
        <v>31.9399</v>
      </c>
    </row>
    <row r="297" spans="1:3" x14ac:dyDescent="0.25">
      <c r="A297" t="str">
        <f>"13/08/2010"</f>
        <v>13/08/2010</v>
      </c>
      <c r="B297" t="str">
        <f>"31.909"</f>
        <v>31.909</v>
      </c>
      <c r="C297" t="str">
        <f>"31.9089"</f>
        <v>31.9089</v>
      </c>
    </row>
    <row r="298" spans="1:3" x14ac:dyDescent="0.25">
      <c r="A298" t="str">
        <f>"16/08/2010"</f>
        <v>16/08/2010</v>
      </c>
      <c r="B298" t="str">
        <f>"31.952"</f>
        <v>31.952</v>
      </c>
      <c r="C298" t="str">
        <f>"31.9519"</f>
        <v>31.9519</v>
      </c>
    </row>
    <row r="299" spans="1:3" x14ac:dyDescent="0.25">
      <c r="A299" t="str">
        <f>"17/08/2010"</f>
        <v>17/08/2010</v>
      </c>
      <c r="B299" t="str">
        <f>"31.904"</f>
        <v>31.904</v>
      </c>
      <c r="C299" t="str">
        <f>"31.904"</f>
        <v>31.904</v>
      </c>
    </row>
    <row r="300" spans="1:3" x14ac:dyDescent="0.25">
      <c r="A300" t="str">
        <f>"18/08/2010"</f>
        <v>18/08/2010</v>
      </c>
      <c r="B300" t="str">
        <f>"31.933"</f>
        <v>31.933</v>
      </c>
      <c r="C300" t="str">
        <f>"31.933"</f>
        <v>31.933</v>
      </c>
    </row>
    <row r="301" spans="1:3" x14ac:dyDescent="0.25">
      <c r="A301" t="str">
        <f>"20/08/2010"</f>
        <v>20/08/2010</v>
      </c>
      <c r="B301" t="str">
        <f>"31.927"</f>
        <v>31.927</v>
      </c>
      <c r="C301" t="str">
        <f>"31.927"</f>
        <v>31.927</v>
      </c>
    </row>
    <row r="302" spans="1:3" x14ac:dyDescent="0.25">
      <c r="A302" t="str">
        <f>"23/08/2010"</f>
        <v>23/08/2010</v>
      </c>
      <c r="B302" t="str">
        <f>"31.936"</f>
        <v>31.936</v>
      </c>
      <c r="C302" t="str">
        <f>"31.9358"</f>
        <v>31.9358</v>
      </c>
    </row>
    <row r="303" spans="1:3" x14ac:dyDescent="0.25">
      <c r="A303" t="str">
        <f>"24/08/2010"</f>
        <v>24/08/2010</v>
      </c>
      <c r="B303" t="str">
        <f>"31.96"</f>
        <v>31.96</v>
      </c>
      <c r="C303" t="str">
        <f>"31.9598"</f>
        <v>31.9598</v>
      </c>
    </row>
    <row r="304" spans="1:3" x14ac:dyDescent="0.25">
      <c r="A304" t="str">
        <f>"25/08/2010"</f>
        <v>25/08/2010</v>
      </c>
      <c r="B304" t="str">
        <f>"32.043"</f>
        <v>32.043</v>
      </c>
      <c r="C304" t="str">
        <f>"32.043"</f>
        <v>32.043</v>
      </c>
    </row>
    <row r="305" spans="1:3" x14ac:dyDescent="0.25">
      <c r="A305" t="str">
        <f>"26/08/2010"</f>
        <v>26/08/2010</v>
      </c>
      <c r="B305" t="str">
        <f>"31.981"</f>
        <v>31.981</v>
      </c>
      <c r="C305" t="str">
        <f>"31.9808"</f>
        <v>31.9808</v>
      </c>
    </row>
    <row r="306" spans="1:3" x14ac:dyDescent="0.25">
      <c r="A306" t="str">
        <f>"27/08/2010"</f>
        <v>27/08/2010</v>
      </c>
      <c r="B306" t="str">
        <f>"32.017"</f>
        <v>32.017</v>
      </c>
      <c r="C306" t="str">
        <f>"32.0169"</f>
        <v>32.0169</v>
      </c>
    </row>
    <row r="307" spans="1:3" x14ac:dyDescent="0.25">
      <c r="A307" t="str">
        <f>"30/08/2010"</f>
        <v>30/08/2010</v>
      </c>
      <c r="B307" t="str">
        <f>"32.008"</f>
        <v>32.008</v>
      </c>
      <c r="C307" t="str">
        <f>"32.008"</f>
        <v>32.008</v>
      </c>
    </row>
    <row r="308" spans="1:3" x14ac:dyDescent="0.25">
      <c r="A308" t="str">
        <f>"31/08/2010"</f>
        <v>31/08/2010</v>
      </c>
      <c r="B308" t="str">
        <f>"32.038"</f>
        <v>32.038</v>
      </c>
      <c r="C308" t="str">
        <f>"32.0379"</f>
        <v>32.0379</v>
      </c>
    </row>
    <row r="309" spans="1:3" x14ac:dyDescent="0.25">
      <c r="A309" t="str">
        <f>"01/09/2010"</f>
        <v>01/09/2010</v>
      </c>
      <c r="B309" t="str">
        <f>"32.028"</f>
        <v>32.028</v>
      </c>
      <c r="C309" t="str">
        <f>"32.028"</f>
        <v>32.028</v>
      </c>
    </row>
    <row r="310" spans="1:3" x14ac:dyDescent="0.25">
      <c r="A310" t="str">
        <f>"02/09/2010"</f>
        <v>02/09/2010</v>
      </c>
      <c r="B310" t="str">
        <f>"32.018"</f>
        <v>32.018</v>
      </c>
      <c r="C310" t="str">
        <f>"32.0178"</f>
        <v>32.0178</v>
      </c>
    </row>
    <row r="311" spans="1:3" x14ac:dyDescent="0.25">
      <c r="A311" t="str">
        <f>"03/09/2010"</f>
        <v>03/09/2010</v>
      </c>
      <c r="B311" t="str">
        <f>"31.978"</f>
        <v>31.978</v>
      </c>
      <c r="C311" t="str">
        <f>"31.978"</f>
        <v>31.978</v>
      </c>
    </row>
    <row r="312" spans="1:3" x14ac:dyDescent="0.25">
      <c r="A312" t="str">
        <f>"06/09/2010"</f>
        <v>06/09/2010</v>
      </c>
      <c r="B312" t="str">
        <f>"31.885"</f>
        <v>31.885</v>
      </c>
      <c r="C312" t="str">
        <f>"31.8849"</f>
        <v>31.8849</v>
      </c>
    </row>
    <row r="313" spans="1:3" x14ac:dyDescent="0.25">
      <c r="A313" t="str">
        <f>"07/09/2010"</f>
        <v>07/09/2010</v>
      </c>
      <c r="B313" t="str">
        <f>"31.93"</f>
        <v>31.93</v>
      </c>
      <c r="C313" t="str">
        <f>"31.9299"</f>
        <v>31.9299</v>
      </c>
    </row>
    <row r="314" spans="1:3" x14ac:dyDescent="0.25">
      <c r="A314" t="str">
        <f>"08/09/2010"</f>
        <v>08/09/2010</v>
      </c>
      <c r="B314" t="str">
        <f>"31.984"</f>
        <v>31.984</v>
      </c>
      <c r="C314" t="str">
        <f>"31.9839"</f>
        <v>31.9839</v>
      </c>
    </row>
    <row r="315" spans="1:3" x14ac:dyDescent="0.25">
      <c r="A315" t="str">
        <f>"09/09/2010"</f>
        <v>09/09/2010</v>
      </c>
      <c r="B315" t="str">
        <f>"31.908"</f>
        <v>31.908</v>
      </c>
      <c r="C315" t="str">
        <f>"31.9079"</f>
        <v>31.9079</v>
      </c>
    </row>
    <row r="316" spans="1:3" x14ac:dyDescent="0.25">
      <c r="A316" t="str">
        <f>"13/09/2010"</f>
        <v>13/09/2010</v>
      </c>
      <c r="B316" t="str">
        <f>"31.76"</f>
        <v>31.76</v>
      </c>
      <c r="C316" t="str">
        <f>"31.7599"</f>
        <v>31.7599</v>
      </c>
    </row>
    <row r="317" spans="1:3" x14ac:dyDescent="0.25">
      <c r="A317" t="str">
        <f>"14/09/2010"</f>
        <v>14/09/2010</v>
      </c>
      <c r="B317" t="str">
        <f>"31.759"</f>
        <v>31.759</v>
      </c>
      <c r="C317" t="str">
        <f>"31.7588"</f>
        <v>31.7588</v>
      </c>
    </row>
    <row r="318" spans="1:3" x14ac:dyDescent="0.25">
      <c r="A318" t="str">
        <f>"15/09/2010"</f>
        <v>15/09/2010</v>
      </c>
      <c r="B318" t="str">
        <f>"31.792"</f>
        <v>31.792</v>
      </c>
      <c r="C318" t="str">
        <f>"31.7919"</f>
        <v>31.7919</v>
      </c>
    </row>
    <row r="319" spans="1:3" x14ac:dyDescent="0.25">
      <c r="A319" t="str">
        <f>"16/09/2010"</f>
        <v>16/09/2010</v>
      </c>
      <c r="B319" t="str">
        <f>"31.768"</f>
        <v>31.768</v>
      </c>
      <c r="C319" t="str">
        <f>"31.7679"</f>
        <v>31.7679</v>
      </c>
    </row>
    <row r="320" spans="1:3" x14ac:dyDescent="0.25">
      <c r="A320" t="str">
        <f>"17/09/2010"</f>
        <v>17/09/2010</v>
      </c>
      <c r="B320" t="str">
        <f>"31.706"</f>
        <v>31.706</v>
      </c>
      <c r="C320" t="str">
        <f>"31.7058"</f>
        <v>31.7058</v>
      </c>
    </row>
    <row r="321" spans="1:3" x14ac:dyDescent="0.25">
      <c r="A321" t="str">
        <f>"20/09/2010"</f>
        <v>20/09/2010</v>
      </c>
      <c r="B321" t="str">
        <f>"31.657"</f>
        <v>31.657</v>
      </c>
      <c r="C321" t="str">
        <f>"31.6568"</f>
        <v>31.6568</v>
      </c>
    </row>
    <row r="322" spans="1:3" x14ac:dyDescent="0.25">
      <c r="A322" t="str">
        <f>"21/09/2010"</f>
        <v>21/09/2010</v>
      </c>
      <c r="B322" t="str">
        <f>"31.626"</f>
        <v>31.626</v>
      </c>
      <c r="C322" t="str">
        <f>"31.6259"</f>
        <v>31.6259</v>
      </c>
    </row>
    <row r="323" spans="1:3" x14ac:dyDescent="0.25">
      <c r="A323" t="str">
        <f>"22/09/2010"</f>
        <v>22/09/2010</v>
      </c>
      <c r="B323" t="str">
        <f>"31.555"</f>
        <v>31.555</v>
      </c>
      <c r="C323" t="str">
        <f>"31.5549"</f>
        <v>31.5549</v>
      </c>
    </row>
    <row r="324" spans="1:3" x14ac:dyDescent="0.25">
      <c r="A324" t="str">
        <f>"23/09/2010"</f>
        <v>23/09/2010</v>
      </c>
      <c r="B324" t="str">
        <f>"31.545"</f>
        <v>31.545</v>
      </c>
      <c r="C324" t="str">
        <f>"31.5449"</f>
        <v>31.5449</v>
      </c>
    </row>
    <row r="325" spans="1:3" x14ac:dyDescent="0.25">
      <c r="A325" t="str">
        <f>"24/09/2010"</f>
        <v>24/09/2010</v>
      </c>
      <c r="B325" t="str">
        <f>"31.536"</f>
        <v>31.536</v>
      </c>
      <c r="C325" t="str">
        <f>"31.5359"</f>
        <v>31.5359</v>
      </c>
    </row>
    <row r="326" spans="1:3" x14ac:dyDescent="0.25">
      <c r="A326" t="str">
        <f>"27/09/2010"</f>
        <v>27/09/2010</v>
      </c>
      <c r="B326" t="str">
        <f>"31.427"</f>
        <v>31.427</v>
      </c>
      <c r="C326" t="str">
        <f>"31.4269"</f>
        <v>31.4269</v>
      </c>
    </row>
    <row r="327" spans="1:3" x14ac:dyDescent="0.25">
      <c r="A327" t="str">
        <f>"28/09/2010"</f>
        <v>28/09/2010</v>
      </c>
      <c r="B327" t="str">
        <f>"31.40"</f>
        <v>31.40</v>
      </c>
      <c r="C327" t="str">
        <f>"31.3999"</f>
        <v>31.3999</v>
      </c>
    </row>
    <row r="328" spans="1:3" x14ac:dyDescent="0.25">
      <c r="A328" t="str">
        <f>"29/09/2010"</f>
        <v>29/09/2010</v>
      </c>
      <c r="B328" t="str">
        <f>"31.292"</f>
        <v>31.292</v>
      </c>
      <c r="C328" t="str">
        <f>"31.2919"</f>
        <v>31.2919</v>
      </c>
    </row>
    <row r="329" spans="1:3" x14ac:dyDescent="0.25">
      <c r="A329" t="str">
        <f>"01/10/2010"</f>
        <v>01/10/2010</v>
      </c>
      <c r="B329" t="str">
        <f>"31.114"</f>
        <v>31.114</v>
      </c>
      <c r="C329" t="str">
        <f>"31.1139"</f>
        <v>31.1139</v>
      </c>
    </row>
    <row r="330" spans="1:3" x14ac:dyDescent="0.25">
      <c r="A330" t="str">
        <f>"04/10/2010"</f>
        <v>04/10/2010</v>
      </c>
      <c r="B330" t="str">
        <f>"31.007"</f>
        <v>31.007</v>
      </c>
      <c r="C330" t="str">
        <f>"31.0069"</f>
        <v>31.0069</v>
      </c>
    </row>
    <row r="331" spans="1:3" x14ac:dyDescent="0.25">
      <c r="A331" t="str">
        <f>"05/10/2010"</f>
        <v>05/10/2010</v>
      </c>
      <c r="B331" t="str">
        <f>"31.138"</f>
        <v>31.138</v>
      </c>
      <c r="C331" t="str">
        <f>"31.1379"</f>
        <v>31.1379</v>
      </c>
    </row>
    <row r="332" spans="1:3" x14ac:dyDescent="0.25">
      <c r="A332" t="str">
        <f>"06/10/2010"</f>
        <v>06/10/2010</v>
      </c>
      <c r="B332" t="str">
        <f>"30.827"</f>
        <v>30.827</v>
      </c>
      <c r="C332" t="str">
        <f>"30.827"</f>
        <v>30.827</v>
      </c>
    </row>
    <row r="333" spans="1:3" x14ac:dyDescent="0.25">
      <c r="A333" t="str">
        <f>"07/10/2010"</f>
        <v>07/10/2010</v>
      </c>
      <c r="B333" t="str">
        <f>"30.763"</f>
        <v>30.763</v>
      </c>
      <c r="C333" t="str">
        <f>"30.7629"</f>
        <v>30.7629</v>
      </c>
    </row>
    <row r="334" spans="1:3" x14ac:dyDescent="0.25">
      <c r="A334" t="str">
        <f>"08/10/2010"</f>
        <v>08/10/2010</v>
      </c>
      <c r="B334" t="str">
        <f>"30.79"</f>
        <v>30.79</v>
      </c>
      <c r="C334" t="str">
        <f>"30.79"</f>
        <v>30.79</v>
      </c>
    </row>
    <row r="335" spans="1:3" x14ac:dyDescent="0.25">
      <c r="A335" t="str">
        <f>"11/10/2010"</f>
        <v>11/10/2010</v>
      </c>
      <c r="B335" t="str">
        <f>"30.77"</f>
        <v>30.77</v>
      </c>
      <c r="C335" t="str">
        <f>"30.7699"</f>
        <v>30.7699</v>
      </c>
    </row>
    <row r="336" spans="1:3" x14ac:dyDescent="0.25">
      <c r="A336" t="str">
        <f>"12/10/2010"</f>
        <v>12/10/2010</v>
      </c>
      <c r="B336" t="str">
        <f>"30.947"</f>
        <v>30.947</v>
      </c>
      <c r="C336" t="str">
        <f>"30.9469"</f>
        <v>30.9469</v>
      </c>
    </row>
    <row r="337" spans="1:3" x14ac:dyDescent="0.25">
      <c r="A337" t="str">
        <f>"13/10/2010"</f>
        <v>13/10/2010</v>
      </c>
      <c r="B337" t="str">
        <f>"30.859"</f>
        <v>30.859</v>
      </c>
      <c r="C337" t="str">
        <f>"30.859"</f>
        <v>30.859</v>
      </c>
    </row>
    <row r="338" spans="1:3" x14ac:dyDescent="0.25">
      <c r="A338" t="str">
        <f>"14/10/2010"</f>
        <v>14/10/2010</v>
      </c>
      <c r="B338" t="str">
        <f>"30.705"</f>
        <v>30.705</v>
      </c>
      <c r="C338" t="str">
        <f>"30.7049"</f>
        <v>30.7049</v>
      </c>
    </row>
    <row r="339" spans="1:3" x14ac:dyDescent="0.25">
      <c r="A339" t="str">
        <f>"15/10/2010"</f>
        <v>15/10/2010</v>
      </c>
      <c r="B339" t="str">
        <f>"30.712"</f>
        <v>30.712</v>
      </c>
      <c r="C339" t="str">
        <f>"30.7119"</f>
        <v>30.7119</v>
      </c>
    </row>
    <row r="340" spans="1:3" x14ac:dyDescent="0.25">
      <c r="A340" t="str">
        <f>"18/10/2010"</f>
        <v>18/10/2010</v>
      </c>
      <c r="B340" t="str">
        <f>"30.818"</f>
        <v>30.818</v>
      </c>
      <c r="C340" t="str">
        <f>"30.8179"</f>
        <v>30.8179</v>
      </c>
    </row>
    <row r="341" spans="1:3" x14ac:dyDescent="0.25">
      <c r="A341" t="str">
        <f>"19/10/2010"</f>
        <v>19/10/2010</v>
      </c>
      <c r="B341" t="str">
        <f>"30.905"</f>
        <v>30.905</v>
      </c>
      <c r="C341" t="str">
        <f>"30.9049"</f>
        <v>30.9049</v>
      </c>
    </row>
    <row r="342" spans="1:3" x14ac:dyDescent="0.25">
      <c r="A342" t="str">
        <f>"20/10/2010"</f>
        <v>20/10/2010</v>
      </c>
      <c r="B342" t="str">
        <f>"30.858"</f>
        <v>30.858</v>
      </c>
      <c r="C342" t="str">
        <f>"30.8579"</f>
        <v>30.8579</v>
      </c>
    </row>
    <row r="343" spans="1:3" x14ac:dyDescent="0.25">
      <c r="A343" t="str">
        <f>"21/10/2010"</f>
        <v>21/10/2010</v>
      </c>
      <c r="B343" t="str">
        <f>"30.806"</f>
        <v>30.806</v>
      </c>
      <c r="C343" t="str">
        <f>"30.8059"</f>
        <v>30.8059</v>
      </c>
    </row>
    <row r="344" spans="1:3" x14ac:dyDescent="0.25">
      <c r="A344" t="str">
        <f>"22/10/2010"</f>
        <v>22/10/2010</v>
      </c>
      <c r="B344" t="str">
        <f>"30.802"</f>
        <v>30.802</v>
      </c>
      <c r="C344" t="str">
        <f>"30.8019"</f>
        <v>30.8019</v>
      </c>
    </row>
    <row r="345" spans="1:3" x14ac:dyDescent="0.25">
      <c r="A345" t="str">
        <f>"25/10/2010"</f>
        <v>25/10/2010</v>
      </c>
      <c r="B345" t="str">
        <f>"30.652"</f>
        <v>30.652</v>
      </c>
      <c r="C345" t="str">
        <f>"30.6519"</f>
        <v>30.6519</v>
      </c>
    </row>
    <row r="346" spans="1:3" x14ac:dyDescent="0.25">
      <c r="A346" t="str">
        <f>"26/10/2010"</f>
        <v>26/10/2010</v>
      </c>
      <c r="B346" t="str">
        <f>"30.56"</f>
        <v>30.56</v>
      </c>
      <c r="C346" t="str">
        <f>"30.5599"</f>
        <v>30.5599</v>
      </c>
    </row>
    <row r="347" spans="1:3" x14ac:dyDescent="0.25">
      <c r="A347" t="str">
        <f>"27/10/2010"</f>
        <v>27/10/2010</v>
      </c>
      <c r="B347" t="str">
        <f>"30.784"</f>
        <v>30.784</v>
      </c>
      <c r="C347" t="str">
        <f>"30.7839"</f>
        <v>30.7839</v>
      </c>
    </row>
    <row r="348" spans="1:3" x14ac:dyDescent="0.25">
      <c r="A348" t="str">
        <f>"28/10/2010"</f>
        <v>28/10/2010</v>
      </c>
      <c r="B348" t="str">
        <f>"30.6725"</f>
        <v>30.6725</v>
      </c>
      <c r="C348" t="str">
        <f>"30.6724"</f>
        <v>30.6724</v>
      </c>
    </row>
    <row r="349" spans="1:3" x14ac:dyDescent="0.25">
      <c r="A349" t="str">
        <f>"29/10/2010"</f>
        <v>29/10/2010</v>
      </c>
      <c r="B349" t="str">
        <f>"30.595"</f>
        <v>30.595</v>
      </c>
      <c r="C349" t="str">
        <f>"30.5949"</f>
        <v>30.5949</v>
      </c>
    </row>
    <row r="350" spans="1:3" x14ac:dyDescent="0.25">
      <c r="A350" t="str">
        <f>"01/11/2010"</f>
        <v>01/11/2010</v>
      </c>
      <c r="B350" t="str">
        <f>"30.468"</f>
        <v>30.468</v>
      </c>
      <c r="C350" t="str">
        <f>"30.4679"</f>
        <v>30.4679</v>
      </c>
    </row>
    <row r="351" spans="1:3" x14ac:dyDescent="0.25">
      <c r="A351" t="str">
        <f>"02/11/2010"</f>
        <v>02/11/2010</v>
      </c>
      <c r="B351" t="str">
        <f>"30.49"</f>
        <v>30.49</v>
      </c>
      <c r="C351" t="str">
        <f>"30.4899"</f>
        <v>30.4899</v>
      </c>
    </row>
    <row r="352" spans="1:3" x14ac:dyDescent="0.25">
      <c r="A352" t="str">
        <f>"03/11/2010"</f>
        <v>03/11/2010</v>
      </c>
      <c r="B352" t="str">
        <f>"30.429"</f>
        <v>30.429</v>
      </c>
      <c r="C352" t="str">
        <f>"30.4289"</f>
        <v>30.4289</v>
      </c>
    </row>
    <row r="353" spans="1:3" x14ac:dyDescent="0.25">
      <c r="A353" t="str">
        <f>"04/11/2010"</f>
        <v>04/11/2010</v>
      </c>
      <c r="B353" t="str">
        <f>"30.283"</f>
        <v>30.283</v>
      </c>
      <c r="C353" t="str">
        <f>"30.2829"</f>
        <v>30.2829</v>
      </c>
    </row>
    <row r="354" spans="1:3" x14ac:dyDescent="0.25">
      <c r="A354" t="str">
        <f>"08/11/2010"</f>
        <v>08/11/2010</v>
      </c>
      <c r="B354" t="str">
        <f>"30.165"</f>
        <v>30.165</v>
      </c>
      <c r="C354" t="str">
        <f>"30.1649"</f>
        <v>30.1649</v>
      </c>
    </row>
    <row r="355" spans="1:3" x14ac:dyDescent="0.25">
      <c r="A355" t="str">
        <f>"09/11/2010"</f>
        <v>09/11/2010</v>
      </c>
      <c r="B355" t="str">
        <f>"30.19"</f>
        <v>30.19</v>
      </c>
      <c r="C355" t="str">
        <f>"30.1899"</f>
        <v>30.1899</v>
      </c>
    </row>
    <row r="356" spans="1:3" x14ac:dyDescent="0.25">
      <c r="A356" t="str">
        <f>"10/11/2010"</f>
        <v>10/11/2010</v>
      </c>
      <c r="B356" t="str">
        <f>"30.196"</f>
        <v>30.196</v>
      </c>
      <c r="C356" t="str">
        <f>"30.1959"</f>
        <v>30.1959</v>
      </c>
    </row>
    <row r="357" spans="1:3" x14ac:dyDescent="0.25">
      <c r="A357" t="str">
        <f>"11/11/2010"</f>
        <v>11/11/2010</v>
      </c>
      <c r="B357" t="str">
        <f>"30.04"</f>
        <v>30.04</v>
      </c>
      <c r="C357" t="str">
        <f>"30.0399"</f>
        <v>30.0399</v>
      </c>
    </row>
    <row r="358" spans="1:3" x14ac:dyDescent="0.25">
      <c r="A358" t="str">
        <f>"12/11/2010"</f>
        <v>12/11/2010</v>
      </c>
      <c r="B358" t="str">
        <f>"30.222"</f>
        <v>30.222</v>
      </c>
      <c r="C358" t="str">
        <f>"30.2219"</f>
        <v>30.2219</v>
      </c>
    </row>
    <row r="359" spans="1:3" x14ac:dyDescent="0.25">
      <c r="A359" t="str">
        <f>"15/11/2010"</f>
        <v>15/11/2010</v>
      </c>
      <c r="B359" t="str">
        <f>"30.29"</f>
        <v>30.29</v>
      </c>
      <c r="C359" t="str">
        <f>"30.2899"</f>
        <v>30.2899</v>
      </c>
    </row>
    <row r="360" spans="1:3" x14ac:dyDescent="0.25">
      <c r="A360" t="str">
        <f>"16/11/2010"</f>
        <v>16/11/2010</v>
      </c>
      <c r="B360" t="str">
        <f>"30.267"</f>
        <v>30.267</v>
      </c>
      <c r="C360" t="str">
        <f>"30.2669"</f>
        <v>30.2669</v>
      </c>
    </row>
    <row r="361" spans="1:3" x14ac:dyDescent="0.25">
      <c r="A361" t="str">
        <f>"18/11/2010"</f>
        <v>18/11/2010</v>
      </c>
      <c r="B361" t="str">
        <f>"30.41"</f>
        <v>30.41</v>
      </c>
      <c r="C361" t="str">
        <f>"30.4099"</f>
        <v>30.4099</v>
      </c>
    </row>
    <row r="362" spans="1:3" x14ac:dyDescent="0.25">
      <c r="A362" t="str">
        <f>"22/11/2010"</f>
        <v>22/11/2010</v>
      </c>
      <c r="B362" t="str">
        <f>"30.269"</f>
        <v>30.269</v>
      </c>
      <c r="C362" t="str">
        <f>"30.2689"</f>
        <v>30.2689</v>
      </c>
    </row>
    <row r="363" spans="1:3" x14ac:dyDescent="0.25">
      <c r="A363" t="str">
        <f>"23/11/2010"</f>
        <v>23/11/2010</v>
      </c>
      <c r="B363" t="str">
        <f>"30.389"</f>
        <v>30.389</v>
      </c>
      <c r="C363" t="str">
        <f>"30.3889"</f>
        <v>30.3889</v>
      </c>
    </row>
    <row r="364" spans="1:3" x14ac:dyDescent="0.25">
      <c r="A364" t="str">
        <f>"24/11/2010"</f>
        <v>24/11/2010</v>
      </c>
      <c r="B364" t="str">
        <f>"30.48"</f>
        <v>30.48</v>
      </c>
      <c r="C364" t="str">
        <f>"30.4799"</f>
        <v>30.4799</v>
      </c>
    </row>
    <row r="365" spans="1:3" x14ac:dyDescent="0.25">
      <c r="A365" t="str">
        <f>"25/11/2010"</f>
        <v>25/11/2010</v>
      </c>
      <c r="B365" t="str">
        <f>"30.4255"</f>
        <v>30.4255</v>
      </c>
      <c r="C365" t="str">
        <f>"30.4254"</f>
        <v>30.4254</v>
      </c>
    </row>
    <row r="366" spans="1:3" x14ac:dyDescent="0.25">
      <c r="A366" t="str">
        <f>"26/11/2010"</f>
        <v>26/11/2010</v>
      </c>
      <c r="B366" t="str">
        <f>"30.421"</f>
        <v>30.421</v>
      </c>
      <c r="C366" t="str">
        <f>"30.4209"</f>
        <v>30.4209</v>
      </c>
    </row>
    <row r="367" spans="1:3" x14ac:dyDescent="0.25">
      <c r="A367" t="str">
        <f>"29/11/2010"</f>
        <v>29/11/2010</v>
      </c>
      <c r="B367" t="str">
        <f>"30.496"</f>
        <v>30.496</v>
      </c>
      <c r="C367" t="str">
        <f>"30.4959"</f>
        <v>30.4959</v>
      </c>
    </row>
    <row r="368" spans="1:3" x14ac:dyDescent="0.25">
      <c r="A368" t="str">
        <f>"30/11/2010"</f>
        <v>30/11/2010</v>
      </c>
      <c r="B368" t="str">
        <f>"30.4725"</f>
        <v>30.4725</v>
      </c>
      <c r="C368" t="str">
        <f>"30.4723"</f>
        <v>30.4723</v>
      </c>
    </row>
    <row r="369" spans="1:3" x14ac:dyDescent="0.25">
      <c r="A369" t="str">
        <f>"01/12/2010"</f>
        <v>01/12/2010</v>
      </c>
      <c r="B369" t="str">
        <f>"30.459"</f>
        <v>30.459</v>
      </c>
      <c r="C369" t="str">
        <f>"30.4589"</f>
        <v>30.4589</v>
      </c>
    </row>
    <row r="370" spans="1:3" x14ac:dyDescent="0.25">
      <c r="A370" t="str">
        <f>"02/12/2010"</f>
        <v>02/12/2010</v>
      </c>
      <c r="B370" t="str">
        <f>"30.37"</f>
        <v>30.37</v>
      </c>
      <c r="C370" t="str">
        <f>"30.3698"</f>
        <v>30.3698</v>
      </c>
    </row>
    <row r="371" spans="1:3" x14ac:dyDescent="0.25">
      <c r="A371" t="str">
        <f>"03/12/2010"</f>
        <v>03/12/2010</v>
      </c>
      <c r="B371" t="str">
        <f>"30.35"</f>
        <v>30.35</v>
      </c>
      <c r="C371" t="str">
        <f>"30.3499"</f>
        <v>30.3499</v>
      </c>
    </row>
    <row r="372" spans="1:3" x14ac:dyDescent="0.25">
      <c r="A372" t="str">
        <f>"06/12/2010"</f>
        <v>06/12/2010</v>
      </c>
      <c r="B372" t="str">
        <f>"30.148"</f>
        <v>30.148</v>
      </c>
      <c r="C372" t="str">
        <f>"30.1479"</f>
        <v>30.1479</v>
      </c>
    </row>
    <row r="373" spans="1:3" x14ac:dyDescent="0.25">
      <c r="A373" t="str">
        <f>"07/12/2010"</f>
        <v>07/12/2010</v>
      </c>
      <c r="B373" t="str">
        <f>"30.1215"</f>
        <v>30.1215</v>
      </c>
      <c r="C373" t="str">
        <f>"30.1214"</f>
        <v>30.1214</v>
      </c>
    </row>
    <row r="374" spans="1:3" x14ac:dyDescent="0.25">
      <c r="A374" t="str">
        <f>"08/12/2010"</f>
        <v>08/12/2010</v>
      </c>
      <c r="B374" t="str">
        <f>"30.164"</f>
        <v>30.164</v>
      </c>
      <c r="C374" t="str">
        <f>"30.1638"</f>
        <v>30.1638</v>
      </c>
    </row>
    <row r="375" spans="1:3" x14ac:dyDescent="0.25">
      <c r="A375" t="str">
        <f>"09/12/2010"</f>
        <v>09/12/2010</v>
      </c>
      <c r="B375" t="str">
        <f>"30.117"</f>
        <v>30.117</v>
      </c>
      <c r="C375" t="str">
        <f>"30.1169"</f>
        <v>30.1169</v>
      </c>
    </row>
    <row r="376" spans="1:3" x14ac:dyDescent="0.25">
      <c r="A376" t="str">
        <f>"10/12/2010"</f>
        <v>10/12/2010</v>
      </c>
      <c r="B376" t="str">
        <f>"30.055"</f>
        <v>30.055</v>
      </c>
      <c r="C376" t="str">
        <f>"30.0548"</f>
        <v>30.0548</v>
      </c>
    </row>
    <row r="377" spans="1:3" x14ac:dyDescent="0.25">
      <c r="A377" t="str">
        <f>"13/12/2010"</f>
        <v>13/12/2010</v>
      </c>
      <c r="B377" t="str">
        <f>"30.045"</f>
        <v>30.045</v>
      </c>
      <c r="C377" t="str">
        <f>"30.0448"</f>
        <v>30.0448</v>
      </c>
    </row>
    <row r="378" spans="1:3" x14ac:dyDescent="0.25">
      <c r="A378" t="str">
        <f>"14/12/2010"</f>
        <v>14/12/2010</v>
      </c>
      <c r="B378" t="str">
        <f>"29.919"</f>
        <v>29.919</v>
      </c>
      <c r="C378" t="str">
        <f>"29.9188"</f>
        <v>29.9188</v>
      </c>
    </row>
    <row r="379" spans="1:3" x14ac:dyDescent="0.25">
      <c r="A379" t="str">
        <f>"15/12/2010"</f>
        <v>15/12/2010</v>
      </c>
      <c r="B379" t="str">
        <f>"29.912"</f>
        <v>29.912</v>
      </c>
      <c r="C379" t="str">
        <f>"29.9118"</f>
        <v>29.9118</v>
      </c>
    </row>
    <row r="380" spans="1:3" x14ac:dyDescent="0.25">
      <c r="A380" t="str">
        <f>"16/12/2010"</f>
        <v>16/12/2010</v>
      </c>
      <c r="B380" t="str">
        <f>"29.85"</f>
        <v>29.85</v>
      </c>
      <c r="C380" t="str">
        <f>"29.8499"</f>
        <v>29.8499</v>
      </c>
    </row>
    <row r="381" spans="1:3" x14ac:dyDescent="0.25">
      <c r="A381" t="str">
        <f>"20/12/2010"</f>
        <v>20/12/2010</v>
      </c>
      <c r="B381" t="str">
        <f>"29.9355"</f>
        <v>29.9355</v>
      </c>
      <c r="C381" t="str">
        <f>"29.9353"</f>
        <v>29.9353</v>
      </c>
    </row>
    <row r="382" spans="1:3" x14ac:dyDescent="0.25">
      <c r="A382" t="str">
        <f>"21/12/2010"</f>
        <v>21/12/2010</v>
      </c>
      <c r="B382" t="str">
        <f>"29.891"</f>
        <v>29.891</v>
      </c>
      <c r="C382" t="str">
        <f>"29.8908"</f>
        <v>29.8908</v>
      </c>
    </row>
    <row r="383" spans="1:3" x14ac:dyDescent="0.25">
      <c r="A383" t="str">
        <f>"22/12/2010"</f>
        <v>22/12/2010</v>
      </c>
      <c r="B383" t="str">
        <f>"29.951"</f>
        <v>29.951</v>
      </c>
      <c r="C383" t="str">
        <f>"29.9508"</f>
        <v>29.9508</v>
      </c>
    </row>
    <row r="384" spans="1:3" x14ac:dyDescent="0.25">
      <c r="A384" t="str">
        <f>"23/12/2010"</f>
        <v>23/12/2010</v>
      </c>
      <c r="B384" t="str">
        <f>"29.845"</f>
        <v>29.845</v>
      </c>
      <c r="C384" t="str">
        <f>"29.8448"</f>
        <v>29.8448</v>
      </c>
    </row>
    <row r="385" spans="1:3" x14ac:dyDescent="0.25">
      <c r="A385" t="str">
        <f>"24/12/2010"</f>
        <v>24/12/2010</v>
      </c>
      <c r="B385" t="str">
        <f>"29.828"</f>
        <v>29.828</v>
      </c>
      <c r="C385" t="str">
        <f>"29.8277"</f>
        <v>29.8277</v>
      </c>
    </row>
    <row r="386" spans="1:3" x14ac:dyDescent="0.25">
      <c r="A386" t="str">
        <f>"27/12/2010"</f>
        <v>27/12/2010</v>
      </c>
      <c r="B386" t="str">
        <f>"29.522"</f>
        <v>29.522</v>
      </c>
      <c r="C386" t="str">
        <f>"29.5216"</f>
        <v>29.5216</v>
      </c>
    </row>
    <row r="387" spans="1:3" x14ac:dyDescent="0.25">
      <c r="A387" t="str">
        <f>"28/12/2010"</f>
        <v>28/12/2010</v>
      </c>
      <c r="B387" t="str">
        <f>"29.462"</f>
        <v>29.462</v>
      </c>
      <c r="C387" t="str">
        <f>"29.4616"</f>
        <v>29.4616</v>
      </c>
    </row>
    <row r="388" spans="1:3" x14ac:dyDescent="0.25">
      <c r="A388" t="str">
        <f>"29/12/2010"</f>
        <v>29/12/2010</v>
      </c>
      <c r="B388" t="str">
        <f>"29.398"</f>
        <v>29.398</v>
      </c>
      <c r="C388" t="str">
        <f>"29.3978"</f>
        <v>29.3978</v>
      </c>
    </row>
    <row r="389" spans="1:3" x14ac:dyDescent="0.25">
      <c r="A389" t="str">
        <f>"30/12/2010"</f>
        <v>30/12/2010</v>
      </c>
      <c r="B389" t="str">
        <f>"29.206"</f>
        <v>29.206</v>
      </c>
      <c r="C389" t="str">
        <f>"29.2057"</f>
        <v>29.2057</v>
      </c>
    </row>
    <row r="390" spans="1:3" x14ac:dyDescent="0.25">
      <c r="A390" t="str">
        <f>"31/12/2010"</f>
        <v>31/12/2010</v>
      </c>
      <c r="B390" t="str">
        <f>"29.14"</f>
        <v>29.14</v>
      </c>
      <c r="C390" t="str">
        <f>"29.1398"</f>
        <v>29.1398</v>
      </c>
    </row>
    <row r="391" spans="1:3" x14ac:dyDescent="0.25">
      <c r="A391" t="str">
        <f>"03/01/2011"</f>
        <v>03/01/2011</v>
      </c>
      <c r="B391" t="str">
        <f>"29.12"</f>
        <v>29.12</v>
      </c>
      <c r="C391" t="str">
        <f>"29.1198"</f>
        <v>29.1198</v>
      </c>
    </row>
    <row r="392" spans="1:3" x14ac:dyDescent="0.25">
      <c r="A392" t="str">
        <f>"04/01/2011"</f>
        <v>04/01/2011</v>
      </c>
      <c r="B392" t="str">
        <f>"29.10"</f>
        <v>29.10</v>
      </c>
      <c r="C392" t="str">
        <f>"29.0998"</f>
        <v>29.0998</v>
      </c>
    </row>
    <row r="393" spans="1:3" x14ac:dyDescent="0.25">
      <c r="A393" t="str">
        <f>"05/01/2011"</f>
        <v>05/01/2011</v>
      </c>
      <c r="B393" t="str">
        <f>"29.227"</f>
        <v>29.227</v>
      </c>
      <c r="C393" t="str">
        <f>"29.2268"</f>
        <v>29.2268</v>
      </c>
    </row>
    <row r="394" spans="1:3" x14ac:dyDescent="0.25">
      <c r="A394" t="str">
        <f>"06/01/2011"</f>
        <v>06/01/2011</v>
      </c>
      <c r="B394" t="str">
        <f>"29.23"</f>
        <v>29.23</v>
      </c>
      <c r="C394" t="str">
        <f>"29.2298"</f>
        <v>29.2298</v>
      </c>
    </row>
    <row r="395" spans="1:3" x14ac:dyDescent="0.25">
      <c r="A395" t="str">
        <f>"07/01/2011"</f>
        <v>07/01/2011</v>
      </c>
      <c r="B395" t="str">
        <f>"29.32"</f>
        <v>29.32</v>
      </c>
      <c r="C395" t="str">
        <f>"29.3198"</f>
        <v>29.3198</v>
      </c>
    </row>
    <row r="396" spans="1:3" x14ac:dyDescent="0.25">
      <c r="A396" t="str">
        <f>"10/01/2011"</f>
        <v>10/01/2011</v>
      </c>
      <c r="B396" t="str">
        <f>"29.222"</f>
        <v>29.222</v>
      </c>
      <c r="C396" t="str">
        <f>"29.2219"</f>
        <v>29.2219</v>
      </c>
    </row>
    <row r="397" spans="1:3" x14ac:dyDescent="0.25">
      <c r="A397" t="str">
        <f>"11/01/2011"</f>
        <v>11/01/2011</v>
      </c>
      <c r="B397" t="str">
        <f>"29.202"</f>
        <v>29.202</v>
      </c>
      <c r="C397" t="str">
        <f>"29.2018"</f>
        <v>29.2018</v>
      </c>
    </row>
    <row r="398" spans="1:3" x14ac:dyDescent="0.25">
      <c r="A398" t="str">
        <f>"12/01/2011"</f>
        <v>12/01/2011</v>
      </c>
      <c r="B398" t="str">
        <f>"29.06"</f>
        <v>29.06</v>
      </c>
      <c r="C398" t="str">
        <f>"29.0599"</f>
        <v>29.0599</v>
      </c>
    </row>
    <row r="399" spans="1:3" x14ac:dyDescent="0.25">
      <c r="A399" t="str">
        <f>"13/01/2011"</f>
        <v>13/01/2011</v>
      </c>
      <c r="B399" t="str">
        <f>"29.032"</f>
        <v>29.032</v>
      </c>
      <c r="C399" t="str">
        <f>"29.0319"</f>
        <v>29.0319</v>
      </c>
    </row>
    <row r="400" spans="1:3" x14ac:dyDescent="0.25">
      <c r="A400" t="str">
        <f>"14/01/2011"</f>
        <v>14/01/2011</v>
      </c>
      <c r="B400" t="str">
        <f>"29.016"</f>
        <v>29.016</v>
      </c>
      <c r="C400" t="str">
        <f>"29.0158"</f>
        <v>29.0158</v>
      </c>
    </row>
    <row r="401" spans="1:3" x14ac:dyDescent="0.25">
      <c r="A401" t="str">
        <f>"17/01/2011"</f>
        <v>17/01/2011</v>
      </c>
      <c r="B401" t="str">
        <f>"29.015"</f>
        <v>29.015</v>
      </c>
      <c r="C401" t="str">
        <f>"29.0148"</f>
        <v>29.0148</v>
      </c>
    </row>
    <row r="402" spans="1:3" x14ac:dyDescent="0.25">
      <c r="A402" t="str">
        <f>"18/01/2011"</f>
        <v>18/01/2011</v>
      </c>
      <c r="B402" t="str">
        <f>"29.016"</f>
        <v>29.016</v>
      </c>
      <c r="C402" t="str">
        <f>"29.0158"</f>
        <v>29.0158</v>
      </c>
    </row>
    <row r="403" spans="1:3" x14ac:dyDescent="0.25">
      <c r="A403" t="str">
        <f>"19/01/2011"</f>
        <v>19/01/2011</v>
      </c>
      <c r="B403" t="str">
        <f>"29.015"</f>
        <v>29.015</v>
      </c>
      <c r="C403" t="str">
        <f>"29.0149"</f>
        <v>29.0149</v>
      </c>
    </row>
    <row r="404" spans="1:3" x14ac:dyDescent="0.25">
      <c r="A404" t="str">
        <f>"20/01/2011"</f>
        <v>20/01/2011</v>
      </c>
      <c r="B404" t="str">
        <f>"29.036"</f>
        <v>29.036</v>
      </c>
      <c r="C404" t="str">
        <f>"29.0358"</f>
        <v>29.0358</v>
      </c>
    </row>
    <row r="405" spans="1:3" x14ac:dyDescent="0.25">
      <c r="A405" t="str">
        <f>"21/01/2011"</f>
        <v>21/01/2011</v>
      </c>
      <c r="B405" t="str">
        <f>"29.079"</f>
        <v>29.079</v>
      </c>
      <c r="C405" t="str">
        <f>"29.0788"</f>
        <v>29.0788</v>
      </c>
    </row>
    <row r="406" spans="1:3" x14ac:dyDescent="0.25">
      <c r="A406" t="str">
        <f>"24/01/2011"</f>
        <v>24/01/2011</v>
      </c>
      <c r="B406" t="str">
        <f>"29.051"</f>
        <v>29.051</v>
      </c>
      <c r="C406" t="str">
        <f>"29.0508"</f>
        <v>29.0508</v>
      </c>
    </row>
    <row r="407" spans="1:3" x14ac:dyDescent="0.25">
      <c r="A407" t="str">
        <f>"25/01/2011"</f>
        <v>25/01/2011</v>
      </c>
      <c r="B407" t="str">
        <f>"29.02"</f>
        <v>29.02</v>
      </c>
      <c r="C407" t="str">
        <f>"29.0199"</f>
        <v>29.0199</v>
      </c>
    </row>
    <row r="408" spans="1:3" x14ac:dyDescent="0.25">
      <c r="A408" t="str">
        <f>"27/01/2011"</f>
        <v>27/01/2011</v>
      </c>
      <c r="B408" t="str">
        <f>"29.038"</f>
        <v>29.038</v>
      </c>
      <c r="C408" t="str">
        <f>"29.0379"</f>
        <v>29.0379</v>
      </c>
    </row>
    <row r="409" spans="1:3" x14ac:dyDescent="0.25">
      <c r="A409" t="str">
        <f>"28/01/2011"</f>
        <v>28/01/2011</v>
      </c>
      <c r="B409" t="str">
        <f>"29.019"</f>
        <v>29.019</v>
      </c>
      <c r="C409" t="str">
        <f>"29.0189"</f>
        <v>29.0189</v>
      </c>
    </row>
    <row r="410" spans="1:3" x14ac:dyDescent="0.25">
      <c r="A410" t="str">
        <f>"31/01/2011"</f>
        <v>31/01/2011</v>
      </c>
      <c r="B410" t="str">
        <f>"29.034"</f>
        <v>29.034</v>
      </c>
      <c r="C410" t="str">
        <f>"29.0339"</f>
        <v>29.0339</v>
      </c>
    </row>
    <row r="411" spans="1:3" x14ac:dyDescent="0.25">
      <c r="A411" t="str">
        <f>"01/02/2011"</f>
        <v>01/02/2011</v>
      </c>
      <c r="B411" t="str">
        <f>"29.041"</f>
        <v>29.041</v>
      </c>
      <c r="C411" t="str">
        <f>"29.0409"</f>
        <v>29.0409</v>
      </c>
    </row>
    <row r="412" spans="1:3" x14ac:dyDescent="0.25">
      <c r="A412" t="str">
        <f>"02/02/2011"</f>
        <v>02/02/2011</v>
      </c>
      <c r="B412" t="str">
        <f>"29.04"</f>
        <v>29.04</v>
      </c>
      <c r="C412" t="str">
        <f>"29.0399"</f>
        <v>29.0399</v>
      </c>
    </row>
    <row r="413" spans="1:3" x14ac:dyDescent="0.25">
      <c r="A413" t="str">
        <f>"03/02/2011"</f>
        <v>03/02/2011</v>
      </c>
      <c r="B413" t="str">
        <f>"29.04"</f>
        <v>29.04</v>
      </c>
      <c r="C413" t="str">
        <f>"29.0399"</f>
        <v>29.0399</v>
      </c>
    </row>
    <row r="414" spans="1:3" x14ac:dyDescent="0.25">
      <c r="A414" t="str">
        <f>"04/02/2011"</f>
        <v>04/02/2011</v>
      </c>
      <c r="B414" t="str">
        <f>"29.04"</f>
        <v>29.04</v>
      </c>
      <c r="C414" t="str">
        <f>"29.0399"</f>
        <v>29.0399</v>
      </c>
    </row>
    <row r="415" spans="1:3" x14ac:dyDescent="0.25">
      <c r="A415" t="str">
        <f>"07/02/2011"</f>
        <v>07/02/2011</v>
      </c>
      <c r="B415" t="str">
        <f>"29.105"</f>
        <v>29.105</v>
      </c>
      <c r="C415" t="str">
        <f>"29.1049"</f>
        <v>29.1049</v>
      </c>
    </row>
    <row r="416" spans="1:3" x14ac:dyDescent="0.25">
      <c r="A416" t="str">
        <f>"08/02/2011"</f>
        <v>08/02/2011</v>
      </c>
      <c r="B416" t="str">
        <f>"28.917"</f>
        <v>28.917</v>
      </c>
      <c r="C416" t="str">
        <f>"28.9169"</f>
        <v>28.9169</v>
      </c>
    </row>
    <row r="417" spans="1:3" x14ac:dyDescent="0.25">
      <c r="A417" t="str">
        <f>"09/02/2011"</f>
        <v>09/02/2011</v>
      </c>
      <c r="B417" t="str">
        <f>"28.77"</f>
        <v>28.77</v>
      </c>
      <c r="C417" t="str">
        <f>"28.7698"</f>
        <v>28.7698</v>
      </c>
    </row>
    <row r="418" spans="1:3" x14ac:dyDescent="0.25">
      <c r="A418" t="str">
        <f>"10/02/2011"</f>
        <v>10/02/2011</v>
      </c>
      <c r="B418" t="str">
        <f>"28.868"</f>
        <v>28.868</v>
      </c>
      <c r="C418" t="str">
        <f>"28.8678"</f>
        <v>28.8678</v>
      </c>
    </row>
    <row r="419" spans="1:3" x14ac:dyDescent="0.25">
      <c r="A419" t="str">
        <f>"11/02/2011"</f>
        <v>11/02/2011</v>
      </c>
      <c r="B419" t="str">
        <f>"29.10"</f>
        <v>29.10</v>
      </c>
      <c r="C419" t="str">
        <f>"29.0999"</f>
        <v>29.0999</v>
      </c>
    </row>
    <row r="420" spans="1:3" x14ac:dyDescent="0.25">
      <c r="A420" t="str">
        <f>"14/02/2011"</f>
        <v>14/02/2011</v>
      </c>
      <c r="B420" t="str">
        <f>"29.358"</f>
        <v>29.358</v>
      </c>
      <c r="C420" t="str">
        <f>"29.3579"</f>
        <v>29.3579</v>
      </c>
    </row>
    <row r="421" spans="1:3" x14ac:dyDescent="0.25">
      <c r="A421" t="str">
        <f>"15/02/2011"</f>
        <v>15/02/2011</v>
      </c>
      <c r="B421" t="str">
        <f>"29.40"</f>
        <v>29.40</v>
      </c>
      <c r="C421" t="str">
        <f>"29.3999"</f>
        <v>29.3999</v>
      </c>
    </row>
    <row r="422" spans="1:3" x14ac:dyDescent="0.25">
      <c r="A422" t="str">
        <f>"17/02/2011"</f>
        <v>17/02/2011</v>
      </c>
      <c r="B422" t="str">
        <f>"29.394"</f>
        <v>29.394</v>
      </c>
      <c r="C422" t="str">
        <f>"29.3939"</f>
        <v>29.3939</v>
      </c>
    </row>
    <row r="423" spans="1:3" x14ac:dyDescent="0.25">
      <c r="A423" t="str">
        <f>"18/02/2011"</f>
        <v>18/02/2011</v>
      </c>
      <c r="B423" t="str">
        <f>"29.341"</f>
        <v>29.341</v>
      </c>
      <c r="C423" t="str">
        <f>"29.3408"</f>
        <v>29.3408</v>
      </c>
    </row>
    <row r="424" spans="1:3" x14ac:dyDescent="0.25">
      <c r="A424" t="str">
        <f>"21/02/2011"</f>
        <v>21/02/2011</v>
      </c>
      <c r="B424" t="str">
        <f>"29.369"</f>
        <v>29.369</v>
      </c>
      <c r="C424" t="str">
        <f>"29.3689"</f>
        <v>29.3689</v>
      </c>
    </row>
    <row r="425" spans="1:3" x14ac:dyDescent="0.25">
      <c r="A425" t="str">
        <f>"22/02/2011"</f>
        <v>22/02/2011</v>
      </c>
      <c r="B425" t="str">
        <f>"29.569"</f>
        <v>29.569</v>
      </c>
      <c r="C425" t="str">
        <f>"29.5689"</f>
        <v>29.5689</v>
      </c>
    </row>
    <row r="426" spans="1:3" x14ac:dyDescent="0.25">
      <c r="A426" t="str">
        <f>"23/02/2011"</f>
        <v>23/02/2011</v>
      </c>
      <c r="B426" t="str">
        <f>"29.566"</f>
        <v>29.566</v>
      </c>
      <c r="C426" t="str">
        <f>"29.5658"</f>
        <v>29.5658</v>
      </c>
    </row>
    <row r="427" spans="1:3" x14ac:dyDescent="0.25">
      <c r="A427" t="str">
        <f>"24/02/2011"</f>
        <v>24/02/2011</v>
      </c>
      <c r="B427" t="str">
        <f>"29.70"</f>
        <v>29.70</v>
      </c>
      <c r="C427" t="str">
        <f>"29.6998"</f>
        <v>29.6998</v>
      </c>
    </row>
    <row r="428" spans="1:3" x14ac:dyDescent="0.25">
      <c r="A428" t="str">
        <f>"25/02/2011"</f>
        <v>25/02/2011</v>
      </c>
      <c r="B428" t="str">
        <f>"29.75"</f>
        <v>29.75</v>
      </c>
      <c r="C428" t="str">
        <f>"29.7498"</f>
        <v>29.7498</v>
      </c>
    </row>
    <row r="429" spans="1:3" x14ac:dyDescent="0.25">
      <c r="A429" t="str">
        <f>"28/02/2011"</f>
        <v>28/02/2011</v>
      </c>
      <c r="B429" t="str">
        <f>"29.765"</f>
        <v>29.765</v>
      </c>
      <c r="C429" t="str">
        <f>"29.7649"</f>
        <v>29.7649</v>
      </c>
    </row>
    <row r="430" spans="1:3" x14ac:dyDescent="0.25">
      <c r="A430" t="str">
        <f>"01/03/2011"</f>
        <v>01/03/2011</v>
      </c>
      <c r="B430" t="str">
        <f>"29.603"</f>
        <v>29.603</v>
      </c>
      <c r="C430" t="str">
        <f>"29.6028"</f>
        <v>29.6028</v>
      </c>
    </row>
    <row r="431" spans="1:3" x14ac:dyDescent="0.25">
      <c r="A431" t="str">
        <f>"03/03/2011"</f>
        <v>03/03/2011</v>
      </c>
      <c r="B431" t="str">
        <f>"29.58"</f>
        <v>29.58</v>
      </c>
      <c r="C431" t="str">
        <f>"29.5799"</f>
        <v>29.5799</v>
      </c>
    </row>
    <row r="432" spans="1:3" x14ac:dyDescent="0.25">
      <c r="A432" t="str">
        <f>"04/03/2011"</f>
        <v>04/03/2011</v>
      </c>
      <c r="B432" t="str">
        <f>"29.35"</f>
        <v>29.35</v>
      </c>
      <c r="C432" t="str">
        <f>"29.3498"</f>
        <v>29.3498</v>
      </c>
    </row>
    <row r="433" spans="1:3" x14ac:dyDescent="0.25">
      <c r="A433" t="str">
        <f>"07/03/2011"</f>
        <v>07/03/2011</v>
      </c>
      <c r="B433" t="str">
        <f>"29.40"</f>
        <v>29.40</v>
      </c>
      <c r="C433" t="str">
        <f>"29.3999"</f>
        <v>29.3999</v>
      </c>
    </row>
    <row r="434" spans="1:3" x14ac:dyDescent="0.25">
      <c r="A434" t="str">
        <f>"08/03/2011"</f>
        <v>08/03/2011</v>
      </c>
      <c r="B434" t="str">
        <f>"29.349"</f>
        <v>29.349</v>
      </c>
      <c r="C434" t="str">
        <f>"29.3489"</f>
        <v>29.3489</v>
      </c>
    </row>
    <row r="435" spans="1:3" x14ac:dyDescent="0.25">
      <c r="A435" t="str">
        <f>"09/03/2011"</f>
        <v>09/03/2011</v>
      </c>
      <c r="B435" t="str">
        <f>"29.35"</f>
        <v>29.35</v>
      </c>
      <c r="C435" t="str">
        <f>"29.3499"</f>
        <v>29.3499</v>
      </c>
    </row>
    <row r="436" spans="1:3" x14ac:dyDescent="0.25">
      <c r="A436" t="str">
        <f>"10/03/2011"</f>
        <v>10/03/2011</v>
      </c>
      <c r="B436" t="str">
        <f>"29.458"</f>
        <v>29.458</v>
      </c>
      <c r="C436" t="str">
        <f>"29.4578"</f>
        <v>29.4578</v>
      </c>
    </row>
    <row r="437" spans="1:3" x14ac:dyDescent="0.25">
      <c r="A437" t="str">
        <f>"11/03/2011"</f>
        <v>11/03/2011</v>
      </c>
      <c r="B437" t="str">
        <f>"29.57"</f>
        <v>29.57</v>
      </c>
      <c r="C437" t="str">
        <f>"29.5699"</f>
        <v>29.5699</v>
      </c>
    </row>
    <row r="438" spans="1:3" x14ac:dyDescent="0.25">
      <c r="A438" t="str">
        <f>"14/03/2011"</f>
        <v>14/03/2011</v>
      </c>
      <c r="B438" t="str">
        <f>"29.58"</f>
        <v>29.58</v>
      </c>
      <c r="C438" t="str">
        <f>"29.5798"</f>
        <v>29.5798</v>
      </c>
    </row>
    <row r="439" spans="1:3" x14ac:dyDescent="0.25">
      <c r="A439" t="str">
        <f>"15/03/2011"</f>
        <v>15/03/2011</v>
      </c>
      <c r="B439" t="str">
        <f>"29.613"</f>
        <v>29.613</v>
      </c>
      <c r="C439" t="str">
        <f>"29.6128"</f>
        <v>29.6128</v>
      </c>
    </row>
    <row r="440" spans="1:3" x14ac:dyDescent="0.25">
      <c r="A440" t="str">
        <f>"16/03/2011"</f>
        <v>16/03/2011</v>
      </c>
      <c r="B440" t="str">
        <f>"29.532"</f>
        <v>29.532</v>
      </c>
      <c r="C440" t="str">
        <f>"29.5318"</f>
        <v>29.5318</v>
      </c>
    </row>
    <row r="441" spans="1:3" x14ac:dyDescent="0.25">
      <c r="A441" t="str">
        <f>"17/03/2011"</f>
        <v>17/03/2011</v>
      </c>
      <c r="B441" t="str">
        <f>"29.594"</f>
        <v>29.594</v>
      </c>
      <c r="C441" t="str">
        <f>"29.5938"</f>
        <v>29.5938</v>
      </c>
    </row>
    <row r="442" spans="1:3" x14ac:dyDescent="0.25">
      <c r="A442" t="str">
        <f>"18/03/2011"</f>
        <v>18/03/2011</v>
      </c>
      <c r="B442" t="str">
        <f>"29.556"</f>
        <v>29.556</v>
      </c>
      <c r="C442" t="str">
        <f>"29.5558"</f>
        <v>29.5558</v>
      </c>
    </row>
    <row r="443" spans="1:3" x14ac:dyDescent="0.25">
      <c r="A443" t="str">
        <f>"21/03/2011"</f>
        <v>21/03/2011</v>
      </c>
      <c r="B443" t="str">
        <f>"29.569"</f>
        <v>29.569</v>
      </c>
      <c r="C443" t="str">
        <f>"29.5688"</f>
        <v>29.5688</v>
      </c>
    </row>
    <row r="444" spans="1:3" x14ac:dyDescent="0.25">
      <c r="A444" t="str">
        <f>"22/03/2011"</f>
        <v>22/03/2011</v>
      </c>
      <c r="B444" t="str">
        <f>"29.556"</f>
        <v>29.556</v>
      </c>
      <c r="C444" t="str">
        <f>"29.5558"</f>
        <v>29.5558</v>
      </c>
    </row>
    <row r="445" spans="1:3" x14ac:dyDescent="0.25">
      <c r="A445" t="str">
        <f>"23/03/2011"</f>
        <v>23/03/2011</v>
      </c>
      <c r="B445" t="str">
        <f>"29.581"</f>
        <v>29.581</v>
      </c>
      <c r="C445" t="str">
        <f>"29.5808"</f>
        <v>29.5808</v>
      </c>
    </row>
    <row r="446" spans="1:3" x14ac:dyDescent="0.25">
      <c r="A446" t="str">
        <f>"24/03/2011"</f>
        <v>24/03/2011</v>
      </c>
      <c r="B446" t="str">
        <f>"29.595"</f>
        <v>29.595</v>
      </c>
      <c r="C446" t="str">
        <f>"29.5949"</f>
        <v>29.5949</v>
      </c>
    </row>
    <row r="447" spans="1:3" x14ac:dyDescent="0.25">
      <c r="A447" t="str">
        <f>"25/03/2011"</f>
        <v>25/03/2011</v>
      </c>
      <c r="B447" t="str">
        <f>"29.505"</f>
        <v>29.505</v>
      </c>
      <c r="C447" t="str">
        <f>"29.5049"</f>
        <v>29.5049</v>
      </c>
    </row>
    <row r="448" spans="1:3" x14ac:dyDescent="0.25">
      <c r="A448" t="str">
        <f>"28/03/2011"</f>
        <v>28/03/2011</v>
      </c>
      <c r="B448" t="str">
        <f>"29.496"</f>
        <v>29.496</v>
      </c>
      <c r="C448" t="str">
        <f>"29.4959"</f>
        <v>29.4959</v>
      </c>
    </row>
    <row r="449" spans="1:3" x14ac:dyDescent="0.25">
      <c r="A449" t="str">
        <f>"29/03/2011"</f>
        <v>29/03/2011</v>
      </c>
      <c r="B449" t="str">
        <f>"29.50"</f>
        <v>29.50</v>
      </c>
      <c r="C449" t="str">
        <f>"29.4998"</f>
        <v>29.4998</v>
      </c>
    </row>
    <row r="450" spans="1:3" x14ac:dyDescent="0.25">
      <c r="A450" t="str">
        <f>"30/03/2011"</f>
        <v>30/03/2011</v>
      </c>
      <c r="B450" t="str">
        <f>"29.466"</f>
        <v>29.466</v>
      </c>
      <c r="C450" t="str">
        <f>"29.4658"</f>
        <v>29.4658</v>
      </c>
    </row>
    <row r="451" spans="1:3" x14ac:dyDescent="0.25">
      <c r="A451" t="str">
        <f>"31/03/2011"</f>
        <v>31/03/2011</v>
      </c>
      <c r="B451" t="str">
        <f>"29.48"</f>
        <v>29.48</v>
      </c>
      <c r="C451" t="str">
        <f>"29.4799"</f>
        <v>29.4799</v>
      </c>
    </row>
    <row r="452" spans="1:3" x14ac:dyDescent="0.25">
      <c r="A452" t="str">
        <f>"01/04/2011"</f>
        <v>01/04/2011</v>
      </c>
      <c r="B452" t="str">
        <f>"29.34"</f>
        <v>29.34</v>
      </c>
      <c r="C452" t="str">
        <f>"29.3398"</f>
        <v>29.3398</v>
      </c>
    </row>
    <row r="453" spans="1:3" x14ac:dyDescent="0.25">
      <c r="A453" t="str">
        <f>"05/04/2011"</f>
        <v>05/04/2011</v>
      </c>
      <c r="B453" t="str">
        <f>"29.16"</f>
        <v>29.16</v>
      </c>
      <c r="C453" t="str">
        <f>"29.1599"</f>
        <v>29.1599</v>
      </c>
    </row>
    <row r="454" spans="1:3" x14ac:dyDescent="0.25">
      <c r="A454" t="str">
        <f>"06/04/2011"</f>
        <v>06/04/2011</v>
      </c>
      <c r="B454" t="str">
        <f>"29.003"</f>
        <v>29.003</v>
      </c>
      <c r="C454" t="str">
        <f>"29.0029"</f>
        <v>29.0029</v>
      </c>
    </row>
    <row r="455" spans="1:3" x14ac:dyDescent="0.25">
      <c r="A455" t="str">
        <f>"07/04/2011"</f>
        <v>07/04/2011</v>
      </c>
      <c r="B455" t="str">
        <f>"28.957"</f>
        <v>28.957</v>
      </c>
      <c r="C455" t="str">
        <f>"28.9568"</f>
        <v>28.9568</v>
      </c>
    </row>
    <row r="456" spans="1:3" x14ac:dyDescent="0.25">
      <c r="A456" t="str">
        <f>"08/04/2011"</f>
        <v>08/04/2011</v>
      </c>
      <c r="B456" t="str">
        <f>"28.973"</f>
        <v>28.973</v>
      </c>
      <c r="C456" t="str">
        <f>"28.9729"</f>
        <v>28.9729</v>
      </c>
    </row>
    <row r="457" spans="1:3" x14ac:dyDescent="0.25">
      <c r="A457" t="str">
        <f>"11/04/2011"</f>
        <v>11/04/2011</v>
      </c>
      <c r="B457" t="str">
        <f>"28.942"</f>
        <v>28.942</v>
      </c>
      <c r="C457" t="str">
        <f>"28.9419"</f>
        <v>28.9419</v>
      </c>
    </row>
    <row r="458" spans="1:3" x14ac:dyDescent="0.25">
      <c r="A458" t="str">
        <f>"13/04/2011"</f>
        <v>13/04/2011</v>
      </c>
      <c r="B458" t="str">
        <f>"29.075"</f>
        <v>29.075</v>
      </c>
      <c r="C458" t="str">
        <f>"29.0749"</f>
        <v>29.0749</v>
      </c>
    </row>
    <row r="459" spans="1:3" x14ac:dyDescent="0.25">
      <c r="A459" t="str">
        <f>"15/04/2011"</f>
        <v>15/04/2011</v>
      </c>
      <c r="B459" t="str">
        <f>"29.03"</f>
        <v>29.03</v>
      </c>
      <c r="C459" t="str">
        <f>"29.0299"</f>
        <v>29.0299</v>
      </c>
    </row>
    <row r="460" spans="1:3" x14ac:dyDescent="0.25">
      <c r="A460" t="str">
        <f>"18/04/2011"</f>
        <v>18/04/2011</v>
      </c>
      <c r="B460" t="str">
        <f>"29.08"</f>
        <v>29.08</v>
      </c>
      <c r="C460" t="str">
        <f>"29.0799"</f>
        <v>29.0799</v>
      </c>
    </row>
    <row r="461" spans="1:3" x14ac:dyDescent="0.25">
      <c r="A461" t="str">
        <f>"19/04/2011"</f>
        <v>19/04/2011</v>
      </c>
      <c r="B461" t="str">
        <f>"29.15"</f>
        <v>29.15</v>
      </c>
      <c r="C461" t="str">
        <f>"29.1499"</f>
        <v>29.1499</v>
      </c>
    </row>
    <row r="462" spans="1:3" x14ac:dyDescent="0.25">
      <c r="A462" t="str">
        <f>"20/04/2011"</f>
        <v>20/04/2011</v>
      </c>
      <c r="B462" t="str">
        <f>"28.995"</f>
        <v>28.995</v>
      </c>
      <c r="C462" t="str">
        <f>"28.9949"</f>
        <v>28.9949</v>
      </c>
    </row>
    <row r="463" spans="1:3" x14ac:dyDescent="0.25">
      <c r="A463" t="str">
        <f>"21/04/2011"</f>
        <v>21/04/2011</v>
      </c>
      <c r="B463" t="str">
        <f>"28.911"</f>
        <v>28.911</v>
      </c>
      <c r="C463" t="str">
        <f>"28.9109"</f>
        <v>28.9109</v>
      </c>
    </row>
    <row r="464" spans="1:3" x14ac:dyDescent="0.25">
      <c r="A464" t="str">
        <f>"25/04/2011"</f>
        <v>25/04/2011</v>
      </c>
      <c r="B464" t="str">
        <f>"28.93"</f>
        <v>28.93</v>
      </c>
      <c r="C464" t="str">
        <f>"28.9292"</f>
        <v>28.9292</v>
      </c>
    </row>
    <row r="465" spans="1:3" x14ac:dyDescent="0.25">
      <c r="A465" t="str">
        <f>"26/04/2011"</f>
        <v>26/04/2011</v>
      </c>
      <c r="B465" t="str">
        <f>"28.94"</f>
        <v>28.94</v>
      </c>
      <c r="C465" t="str">
        <f>"28.94"</f>
        <v>28.94</v>
      </c>
    </row>
    <row r="466" spans="1:3" x14ac:dyDescent="0.25">
      <c r="A466" t="str">
        <f>"27/04/2011"</f>
        <v>27/04/2011</v>
      </c>
      <c r="B466" t="str">
        <f>"28.85"</f>
        <v>28.85</v>
      </c>
      <c r="C466" t="str">
        <f>"28.85"</f>
        <v>28.85</v>
      </c>
    </row>
    <row r="467" spans="1:3" x14ac:dyDescent="0.25">
      <c r="A467" t="str">
        <f>"28/04/2011"</f>
        <v>28/04/2011</v>
      </c>
      <c r="B467" t="str">
        <f>"28.721"</f>
        <v>28.721</v>
      </c>
      <c r="C467" t="str">
        <f>"28.721"</f>
        <v>28.721</v>
      </c>
    </row>
    <row r="468" spans="1:3" x14ac:dyDescent="0.25">
      <c r="A468" t="str">
        <f>"29/04/2011"</f>
        <v>29/04/2011</v>
      </c>
      <c r="B468" t="str">
        <f>"28.68"</f>
        <v>28.68</v>
      </c>
      <c r="C468" t="str">
        <f>"28.6799"</f>
        <v>28.6799</v>
      </c>
    </row>
    <row r="469" spans="1:3" x14ac:dyDescent="0.25">
      <c r="A469" t="str">
        <f>"02/05/2011"</f>
        <v>02/05/2011</v>
      </c>
      <c r="B469" t="str">
        <f>"28.56"</f>
        <v>28.56</v>
      </c>
      <c r="C469" t="str">
        <f>"28.56"</f>
        <v>28.56</v>
      </c>
    </row>
    <row r="470" spans="1:3" x14ac:dyDescent="0.25">
      <c r="A470" t="str">
        <f>"03/05/2011"</f>
        <v>03/05/2011</v>
      </c>
      <c r="B470" t="str">
        <f>"28.576"</f>
        <v>28.576</v>
      </c>
      <c r="C470" t="str">
        <f>"28.576"</f>
        <v>28.576</v>
      </c>
    </row>
    <row r="471" spans="1:3" x14ac:dyDescent="0.25">
      <c r="A471" t="str">
        <f>"04/05/2011"</f>
        <v>04/05/2011</v>
      </c>
      <c r="B471" t="str">
        <f>"28.58"</f>
        <v>28.58</v>
      </c>
      <c r="C471" t="str">
        <f>"28.5799"</f>
        <v>28.5799</v>
      </c>
    </row>
    <row r="472" spans="1:3" x14ac:dyDescent="0.25">
      <c r="A472" t="str">
        <f>"05/05/2011"</f>
        <v>05/05/2011</v>
      </c>
      <c r="B472" t="str">
        <f>"28.605"</f>
        <v>28.605</v>
      </c>
      <c r="C472" t="str">
        <f>"28.6049"</f>
        <v>28.6049</v>
      </c>
    </row>
    <row r="473" spans="1:3" x14ac:dyDescent="0.25">
      <c r="A473" t="str">
        <f>"06/05/2011"</f>
        <v>06/05/2011</v>
      </c>
      <c r="B473" t="str">
        <f>"28.663"</f>
        <v>28.663</v>
      </c>
      <c r="C473" t="str">
        <f>"28.663"</f>
        <v>28.663</v>
      </c>
    </row>
    <row r="474" spans="1:3" x14ac:dyDescent="0.25">
      <c r="A474" t="str">
        <f>"09/05/2011"</f>
        <v>09/05/2011</v>
      </c>
      <c r="B474" t="str">
        <f>"28.594"</f>
        <v>28.594</v>
      </c>
      <c r="C474" t="str">
        <f>"28.594"</f>
        <v>28.594</v>
      </c>
    </row>
    <row r="475" spans="1:3" x14ac:dyDescent="0.25">
      <c r="A475" t="str">
        <f>"10/05/2011"</f>
        <v>10/05/2011</v>
      </c>
      <c r="B475" t="str">
        <f>"28.569"</f>
        <v>28.569</v>
      </c>
      <c r="C475" t="str">
        <f>"28.569"</f>
        <v>28.569</v>
      </c>
    </row>
    <row r="476" spans="1:3" x14ac:dyDescent="0.25">
      <c r="A476" t="str">
        <f>"11/05/2011"</f>
        <v>11/05/2011</v>
      </c>
      <c r="B476" t="str">
        <f>"28.519"</f>
        <v>28.519</v>
      </c>
      <c r="C476" t="str">
        <f>"28.519"</f>
        <v>28.519</v>
      </c>
    </row>
    <row r="477" spans="1:3" x14ac:dyDescent="0.25">
      <c r="A477" t="str">
        <f>"12/05/2011"</f>
        <v>12/05/2011</v>
      </c>
      <c r="B477" t="str">
        <f>"28.596"</f>
        <v>28.596</v>
      </c>
      <c r="C477" t="str">
        <f>"28.5959"</f>
        <v>28.5959</v>
      </c>
    </row>
    <row r="478" spans="1:3" x14ac:dyDescent="0.25">
      <c r="A478" t="str">
        <f>"13/05/2011"</f>
        <v>13/05/2011</v>
      </c>
      <c r="B478" t="str">
        <f>"28.673"</f>
        <v>28.673</v>
      </c>
      <c r="C478" t="str">
        <f>"28.6729"</f>
        <v>28.6729</v>
      </c>
    </row>
    <row r="479" spans="1:3" x14ac:dyDescent="0.25">
      <c r="A479" t="str">
        <f>"16/05/2011"</f>
        <v>16/05/2011</v>
      </c>
      <c r="B479" t="str">
        <f>"28.809"</f>
        <v>28.809</v>
      </c>
      <c r="C479" t="str">
        <f>"28.809"</f>
        <v>28.809</v>
      </c>
    </row>
    <row r="480" spans="1:3" x14ac:dyDescent="0.25">
      <c r="A480" t="str">
        <f>"18/05/2011"</f>
        <v>18/05/2011</v>
      </c>
      <c r="B480" t="str">
        <f>"28.784"</f>
        <v>28.784</v>
      </c>
      <c r="C480" t="str">
        <f>"28.784"</f>
        <v>28.784</v>
      </c>
    </row>
    <row r="481" spans="1:3" x14ac:dyDescent="0.25">
      <c r="A481" t="str">
        <f>"19/05/2011"</f>
        <v>19/05/2011</v>
      </c>
      <c r="B481" t="str">
        <f>"28.792"</f>
        <v>28.792</v>
      </c>
      <c r="C481" t="str">
        <f>"28.792"</f>
        <v>28.792</v>
      </c>
    </row>
    <row r="482" spans="1:3" x14ac:dyDescent="0.25">
      <c r="A482" t="str">
        <f>"20/05/2011"</f>
        <v>20/05/2011</v>
      </c>
      <c r="B482" t="str">
        <f>"28.772"</f>
        <v>28.772</v>
      </c>
      <c r="C482" t="str">
        <f>"28.772"</f>
        <v>28.772</v>
      </c>
    </row>
    <row r="483" spans="1:3" x14ac:dyDescent="0.25">
      <c r="A483" t="str">
        <f>"23/05/2011"</f>
        <v>23/05/2011</v>
      </c>
      <c r="B483" t="str">
        <f>"28.898"</f>
        <v>28.898</v>
      </c>
      <c r="C483" t="str">
        <f>"28.898"</f>
        <v>28.898</v>
      </c>
    </row>
    <row r="484" spans="1:3" x14ac:dyDescent="0.25">
      <c r="A484" t="str">
        <f>"24/05/2011"</f>
        <v>24/05/2011</v>
      </c>
      <c r="B484" t="str">
        <f>"28.907"</f>
        <v>28.907</v>
      </c>
      <c r="C484" t="str">
        <f>"28.907"</f>
        <v>28.907</v>
      </c>
    </row>
    <row r="485" spans="1:3" x14ac:dyDescent="0.25">
      <c r="A485" t="str">
        <f>"25/05/2011"</f>
        <v>25/05/2011</v>
      </c>
      <c r="B485" t="str">
        <f>"28.933"</f>
        <v>28.933</v>
      </c>
      <c r="C485" t="str">
        <f>"28.9329"</f>
        <v>28.9329</v>
      </c>
    </row>
    <row r="486" spans="1:3" x14ac:dyDescent="0.25">
      <c r="A486" t="str">
        <f>"26/05/2011"</f>
        <v>26/05/2011</v>
      </c>
      <c r="B486" t="str">
        <f>"28.877"</f>
        <v>28.877</v>
      </c>
      <c r="C486" t="str">
        <f>"28.8769"</f>
        <v>28.8769</v>
      </c>
    </row>
    <row r="487" spans="1:3" x14ac:dyDescent="0.25">
      <c r="A487" t="str">
        <f>"27/05/2011"</f>
        <v>27/05/2011</v>
      </c>
      <c r="B487" t="str">
        <f>"28.805"</f>
        <v>28.805</v>
      </c>
      <c r="C487" t="str">
        <f>"28.805"</f>
        <v>28.805</v>
      </c>
    </row>
    <row r="488" spans="1:3" x14ac:dyDescent="0.25">
      <c r="A488" t="str">
        <f>"30/05/2011"</f>
        <v>30/05/2011</v>
      </c>
      <c r="B488" t="str">
        <f>"28.777"</f>
        <v>28.777</v>
      </c>
      <c r="C488" t="str">
        <f>"28.777"</f>
        <v>28.777</v>
      </c>
    </row>
    <row r="489" spans="1:3" x14ac:dyDescent="0.25">
      <c r="A489" t="str">
        <f>"31/05/2011"</f>
        <v>31/05/2011</v>
      </c>
      <c r="B489" t="str">
        <f>"28.688"</f>
        <v>28.688</v>
      </c>
      <c r="C489" t="str">
        <f>"28.688"</f>
        <v>28.688</v>
      </c>
    </row>
    <row r="490" spans="1:3" x14ac:dyDescent="0.25">
      <c r="A490" t="str">
        <f>"01/06/2011"</f>
        <v>01/06/2011</v>
      </c>
      <c r="B490" t="str">
        <f>"28.59"</f>
        <v>28.59</v>
      </c>
      <c r="C490" t="str">
        <f>"28.5899"</f>
        <v>28.5899</v>
      </c>
    </row>
    <row r="491" spans="1:3" x14ac:dyDescent="0.25">
      <c r="A491" t="str">
        <f>"02/06/2011"</f>
        <v>02/06/2011</v>
      </c>
      <c r="B491" t="str">
        <f>"28.654"</f>
        <v>28.654</v>
      </c>
      <c r="C491" t="str">
        <f>"28.654"</f>
        <v>28.654</v>
      </c>
    </row>
    <row r="492" spans="1:3" x14ac:dyDescent="0.25">
      <c r="A492" t="str">
        <f>"03/06/2011"</f>
        <v>03/06/2011</v>
      </c>
      <c r="B492" t="str">
        <f>"28.664"</f>
        <v>28.664</v>
      </c>
      <c r="C492" t="str">
        <f>"28.664"</f>
        <v>28.664</v>
      </c>
    </row>
    <row r="493" spans="1:3" x14ac:dyDescent="0.25">
      <c r="A493" t="str">
        <f>"06/06/2011"</f>
        <v>06/06/2011</v>
      </c>
      <c r="B493" t="str">
        <f>"28.75"</f>
        <v>28.75</v>
      </c>
      <c r="C493" t="str">
        <f>"28.75"</f>
        <v>28.75</v>
      </c>
    </row>
    <row r="494" spans="1:3" x14ac:dyDescent="0.25">
      <c r="A494" t="str">
        <f>"07/06/2011"</f>
        <v>07/06/2011</v>
      </c>
      <c r="B494" t="str">
        <f>"28.694"</f>
        <v>28.694</v>
      </c>
      <c r="C494" t="str">
        <f>"28.694"</f>
        <v>28.694</v>
      </c>
    </row>
    <row r="495" spans="1:3" x14ac:dyDescent="0.25">
      <c r="A495" t="str">
        <f>"08/06/2011"</f>
        <v>08/06/2011</v>
      </c>
      <c r="B495" t="str">
        <f>"28.692"</f>
        <v>28.692</v>
      </c>
      <c r="C495" t="str">
        <f>"28.692"</f>
        <v>28.692</v>
      </c>
    </row>
    <row r="496" spans="1:3" x14ac:dyDescent="0.25">
      <c r="A496" t="str">
        <f>"09/06/2011"</f>
        <v>09/06/2011</v>
      </c>
      <c r="B496" t="str">
        <f>"28.734"</f>
        <v>28.734</v>
      </c>
      <c r="C496" t="str">
        <f>"28.734"</f>
        <v>28.734</v>
      </c>
    </row>
    <row r="497" spans="1:3" x14ac:dyDescent="0.25">
      <c r="A497" t="str">
        <f>"13/06/2011"</f>
        <v>13/06/2011</v>
      </c>
      <c r="B497" t="str">
        <f>"28.827"</f>
        <v>28.827</v>
      </c>
      <c r="C497" t="str">
        <f>"28.827"</f>
        <v>28.827</v>
      </c>
    </row>
    <row r="498" spans="1:3" x14ac:dyDescent="0.25">
      <c r="A498" t="str">
        <f>"14/06/2011"</f>
        <v>14/06/2011</v>
      </c>
      <c r="B498" t="str">
        <f>"28.786"</f>
        <v>28.786</v>
      </c>
      <c r="C498" t="str">
        <f>"28.786"</f>
        <v>28.786</v>
      </c>
    </row>
    <row r="499" spans="1:3" x14ac:dyDescent="0.25">
      <c r="A499" t="str">
        <f>"15/06/2011"</f>
        <v>15/06/2011</v>
      </c>
      <c r="B499" t="str">
        <f>"28.829"</f>
        <v>28.829</v>
      </c>
      <c r="C499" t="str">
        <f>"28.829"</f>
        <v>28.829</v>
      </c>
    </row>
    <row r="500" spans="1:3" x14ac:dyDescent="0.25">
      <c r="A500" t="str">
        <f>"16/06/2011"</f>
        <v>16/06/2011</v>
      </c>
      <c r="B500" t="str">
        <f>"28.96"</f>
        <v>28.96</v>
      </c>
      <c r="C500" t="str">
        <f>"28.96"</f>
        <v>28.96</v>
      </c>
    </row>
    <row r="501" spans="1:3" x14ac:dyDescent="0.25">
      <c r="A501" t="str">
        <f>"17/06/2011"</f>
        <v>17/06/2011</v>
      </c>
      <c r="B501" t="str">
        <f>"28.933"</f>
        <v>28.933</v>
      </c>
      <c r="C501" t="str">
        <f>"28.9329"</f>
        <v>28.9329</v>
      </c>
    </row>
    <row r="502" spans="1:3" x14ac:dyDescent="0.25">
      <c r="A502" t="str">
        <f>"20/06/2011"</f>
        <v>20/06/2011</v>
      </c>
      <c r="B502" t="str">
        <f>"28.945"</f>
        <v>28.945</v>
      </c>
      <c r="C502" t="str">
        <f>"28.945"</f>
        <v>28.945</v>
      </c>
    </row>
    <row r="503" spans="1:3" x14ac:dyDescent="0.25">
      <c r="A503" t="str">
        <f>"21/06/2011"</f>
        <v>21/06/2011</v>
      </c>
      <c r="B503" t="str">
        <f>"28.977"</f>
        <v>28.977</v>
      </c>
      <c r="C503" t="str">
        <f>"28.9769"</f>
        <v>28.9769</v>
      </c>
    </row>
    <row r="504" spans="1:3" x14ac:dyDescent="0.25">
      <c r="A504" t="str">
        <f>"22/06/2011"</f>
        <v>22/06/2011</v>
      </c>
      <c r="B504" t="str">
        <f>"28.888"</f>
        <v>28.888</v>
      </c>
      <c r="C504" t="str">
        <f>"28.888"</f>
        <v>28.888</v>
      </c>
    </row>
    <row r="505" spans="1:3" x14ac:dyDescent="0.25">
      <c r="A505" t="str">
        <f>"23/06/2011"</f>
        <v>23/06/2011</v>
      </c>
      <c r="B505" t="str">
        <f>"28.878"</f>
        <v>28.878</v>
      </c>
      <c r="C505" t="str">
        <f>"28.8779"</f>
        <v>28.8779</v>
      </c>
    </row>
    <row r="506" spans="1:3" x14ac:dyDescent="0.25">
      <c r="A506" t="str">
        <f>"24/06/2011"</f>
        <v>24/06/2011</v>
      </c>
      <c r="B506" t="str">
        <f>"28.895"</f>
        <v>28.895</v>
      </c>
      <c r="C506" t="str">
        <f>"28.8949"</f>
        <v>28.8949</v>
      </c>
    </row>
    <row r="507" spans="1:3" x14ac:dyDescent="0.25">
      <c r="A507" t="str">
        <f>"27/06/2011"</f>
        <v>27/06/2011</v>
      </c>
      <c r="B507" t="str">
        <f>"28.946"</f>
        <v>28.946</v>
      </c>
      <c r="C507" t="str">
        <f>"28.9459"</f>
        <v>28.9459</v>
      </c>
    </row>
    <row r="508" spans="1:3" x14ac:dyDescent="0.25">
      <c r="A508" t="str">
        <f>"28/06/2011"</f>
        <v>28/06/2011</v>
      </c>
      <c r="B508" t="str">
        <f>"28.952"</f>
        <v>28.952</v>
      </c>
      <c r="C508" t="str">
        <f>"28.9519"</f>
        <v>28.9519</v>
      </c>
    </row>
    <row r="509" spans="1:3" x14ac:dyDescent="0.25">
      <c r="A509" t="str">
        <f>"29/06/2011"</f>
        <v>29/06/2011</v>
      </c>
      <c r="B509" t="str">
        <f>"28.897"</f>
        <v>28.897</v>
      </c>
      <c r="C509" t="str">
        <f>"28.8969"</f>
        <v>28.8969</v>
      </c>
    </row>
    <row r="510" spans="1:3" x14ac:dyDescent="0.25">
      <c r="A510" t="str">
        <f>"30/06/2011"</f>
        <v>30/06/2011</v>
      </c>
      <c r="B510" t="str">
        <f>"28.722"</f>
        <v>28.722</v>
      </c>
      <c r="C510" t="str">
        <f>"28.7219"</f>
        <v>28.7219</v>
      </c>
    </row>
    <row r="511" spans="1:3" x14ac:dyDescent="0.25">
      <c r="A511" t="str">
        <f>"01/07/2011"</f>
        <v>01/07/2011</v>
      </c>
      <c r="B511" t="str">
        <f>"28.705"</f>
        <v>28.705</v>
      </c>
      <c r="C511" t="str">
        <f>"28.705"</f>
        <v>28.705</v>
      </c>
    </row>
    <row r="512" spans="1:3" x14ac:dyDescent="0.25">
      <c r="A512" t="str">
        <f>"04/07/2011"</f>
        <v>04/07/2011</v>
      </c>
      <c r="B512" t="str">
        <f>"28.68"</f>
        <v>28.68</v>
      </c>
      <c r="C512" t="str">
        <f>"28.6799"</f>
        <v>28.6799</v>
      </c>
    </row>
    <row r="513" spans="1:3" x14ac:dyDescent="0.25">
      <c r="A513" t="str">
        <f>"05/07/2011"</f>
        <v>05/07/2011</v>
      </c>
      <c r="B513" t="str">
        <f>"28.773"</f>
        <v>28.773</v>
      </c>
      <c r="C513" t="str">
        <f>"28.7729"</f>
        <v>28.7729</v>
      </c>
    </row>
    <row r="514" spans="1:3" x14ac:dyDescent="0.25">
      <c r="A514" t="str">
        <f>"06/07/2011"</f>
        <v>06/07/2011</v>
      </c>
      <c r="B514" t="str">
        <f>"28.77"</f>
        <v>28.77</v>
      </c>
      <c r="C514" t="str">
        <f>"28.77"</f>
        <v>28.77</v>
      </c>
    </row>
    <row r="515" spans="1:3" x14ac:dyDescent="0.25">
      <c r="A515" t="str">
        <f>"07/07/2011"</f>
        <v>07/07/2011</v>
      </c>
      <c r="B515" t="str">
        <f>"28.81"</f>
        <v>28.81</v>
      </c>
      <c r="C515" t="str">
        <f>"28.81"</f>
        <v>28.81</v>
      </c>
    </row>
    <row r="516" spans="1:3" x14ac:dyDescent="0.25">
      <c r="A516" t="str">
        <f>"08/07/2011"</f>
        <v>08/07/2011</v>
      </c>
      <c r="B516" t="str">
        <f>"28.765"</f>
        <v>28.765</v>
      </c>
      <c r="C516" t="str">
        <f>"28.765"</f>
        <v>28.765</v>
      </c>
    </row>
    <row r="517" spans="1:3" x14ac:dyDescent="0.25">
      <c r="A517" t="str">
        <f>"11/07/2011"</f>
        <v>11/07/2011</v>
      </c>
      <c r="B517" t="str">
        <f>"28.813"</f>
        <v>28.813</v>
      </c>
      <c r="C517" t="str">
        <f>"28.813"</f>
        <v>28.813</v>
      </c>
    </row>
    <row r="518" spans="1:3" x14ac:dyDescent="0.25">
      <c r="A518" t="str">
        <f>"12/07/2011"</f>
        <v>12/07/2011</v>
      </c>
      <c r="B518" t="str">
        <f>"28.919"</f>
        <v>28.919</v>
      </c>
      <c r="C518" t="str">
        <f>"28.919"</f>
        <v>28.919</v>
      </c>
    </row>
    <row r="519" spans="1:3" x14ac:dyDescent="0.25">
      <c r="A519" t="str">
        <f>"13/07/2011"</f>
        <v>13/07/2011</v>
      </c>
      <c r="B519" t="str">
        <f>"28.886"</f>
        <v>28.886</v>
      </c>
      <c r="C519" t="str">
        <f>"28.886"</f>
        <v>28.886</v>
      </c>
    </row>
    <row r="520" spans="1:3" x14ac:dyDescent="0.25">
      <c r="A520" t="str">
        <f>"14/07/2011"</f>
        <v>14/07/2011</v>
      </c>
      <c r="B520" t="str">
        <f>"28.84"</f>
        <v>28.84</v>
      </c>
      <c r="C520" t="str">
        <f>"28.84"</f>
        <v>28.84</v>
      </c>
    </row>
    <row r="521" spans="1:3" x14ac:dyDescent="0.25">
      <c r="A521" t="str">
        <f>"15/07/2011"</f>
        <v>15/07/2011</v>
      </c>
      <c r="B521" t="str">
        <f>"28.872"</f>
        <v>28.872</v>
      </c>
      <c r="C521" t="str">
        <f>"28.872"</f>
        <v>28.872</v>
      </c>
    </row>
    <row r="522" spans="1:3" x14ac:dyDescent="0.25">
      <c r="A522" t="str">
        <f>"18/07/2011"</f>
        <v>18/07/2011</v>
      </c>
      <c r="B522" t="str">
        <f>"28.941"</f>
        <v>28.941</v>
      </c>
      <c r="C522" t="str">
        <f>"28.941"</f>
        <v>28.941</v>
      </c>
    </row>
    <row r="523" spans="1:3" x14ac:dyDescent="0.25">
      <c r="A523" t="str">
        <f>"19/07/2011"</f>
        <v>19/07/2011</v>
      </c>
      <c r="B523" t="str">
        <f>"28.923"</f>
        <v>28.923</v>
      </c>
      <c r="C523" t="str">
        <f>"28.923"</f>
        <v>28.923</v>
      </c>
    </row>
    <row r="524" spans="1:3" x14ac:dyDescent="0.25">
      <c r="A524" t="str">
        <f>"20/07/2011"</f>
        <v>20/07/2011</v>
      </c>
      <c r="B524" t="str">
        <f>"28.878"</f>
        <v>28.878</v>
      </c>
      <c r="C524" t="str">
        <f>"28.878"</f>
        <v>28.878</v>
      </c>
    </row>
    <row r="525" spans="1:3" x14ac:dyDescent="0.25">
      <c r="A525" t="str">
        <f>"21/07/2011"</f>
        <v>21/07/2011</v>
      </c>
      <c r="B525" t="str">
        <f>"28.86"</f>
        <v>28.86</v>
      </c>
      <c r="C525" t="str">
        <f>"28.8599"</f>
        <v>28.8599</v>
      </c>
    </row>
    <row r="526" spans="1:3" x14ac:dyDescent="0.25">
      <c r="A526" t="str">
        <f>"22/07/2011"</f>
        <v>22/07/2011</v>
      </c>
      <c r="B526" t="str">
        <f>"28.852"</f>
        <v>28.852</v>
      </c>
      <c r="C526" t="str">
        <f>"28.8519"</f>
        <v>28.8519</v>
      </c>
    </row>
    <row r="527" spans="1:3" x14ac:dyDescent="0.25">
      <c r="A527" t="str">
        <f>"25/07/2011"</f>
        <v>25/07/2011</v>
      </c>
      <c r="B527" t="str">
        <f>"28.848"</f>
        <v>28.848</v>
      </c>
      <c r="C527" t="str">
        <f>"28.848"</f>
        <v>28.848</v>
      </c>
    </row>
    <row r="528" spans="1:3" x14ac:dyDescent="0.25">
      <c r="A528" t="str">
        <f>"26/07/2011"</f>
        <v>26/07/2011</v>
      </c>
      <c r="B528" t="str">
        <f>"28.795"</f>
        <v>28.795</v>
      </c>
      <c r="C528" t="str">
        <f>"28.795"</f>
        <v>28.795</v>
      </c>
    </row>
    <row r="529" spans="1:3" x14ac:dyDescent="0.25">
      <c r="A529" t="str">
        <f>"27/07/2011"</f>
        <v>27/07/2011</v>
      </c>
      <c r="B529" t="str">
        <f>"28.784"</f>
        <v>28.784</v>
      </c>
      <c r="C529" t="str">
        <f>"28.7839"</f>
        <v>28.7839</v>
      </c>
    </row>
    <row r="530" spans="1:3" x14ac:dyDescent="0.25">
      <c r="A530" t="str">
        <f>"28/07/2011"</f>
        <v>28/07/2011</v>
      </c>
      <c r="B530" t="str">
        <f>"28.806"</f>
        <v>28.806</v>
      </c>
      <c r="C530" t="str">
        <f>"28.8059"</f>
        <v>28.8059</v>
      </c>
    </row>
    <row r="531" spans="1:3" x14ac:dyDescent="0.25">
      <c r="A531" t="str">
        <f>"29/07/2011"</f>
        <v>29/07/2011</v>
      </c>
      <c r="B531" t="str">
        <f>"28.827"</f>
        <v>28.827</v>
      </c>
      <c r="C531" t="str">
        <f>"28.827"</f>
        <v>28.827</v>
      </c>
    </row>
    <row r="532" spans="1:3" x14ac:dyDescent="0.25">
      <c r="A532" t="str">
        <f>"01/08/2011"</f>
        <v>01/08/2011</v>
      </c>
      <c r="B532" t="str">
        <f>"28.807"</f>
        <v>28.807</v>
      </c>
      <c r="C532" t="str">
        <f>"28.807"</f>
        <v>28.807</v>
      </c>
    </row>
    <row r="533" spans="1:3" x14ac:dyDescent="0.25">
      <c r="A533" t="str">
        <f>"02/08/2011"</f>
        <v>02/08/2011</v>
      </c>
      <c r="B533" t="str">
        <f>"28.85"</f>
        <v>28.85</v>
      </c>
      <c r="C533" t="str">
        <f>"28.85"</f>
        <v>28.85</v>
      </c>
    </row>
    <row r="534" spans="1:3" x14ac:dyDescent="0.25">
      <c r="A534" t="str">
        <f>"03/08/2011"</f>
        <v>03/08/2011</v>
      </c>
      <c r="B534" t="str">
        <f>"28.908"</f>
        <v>28.908</v>
      </c>
      <c r="C534" t="str">
        <f>"28.908"</f>
        <v>28.908</v>
      </c>
    </row>
    <row r="535" spans="1:3" x14ac:dyDescent="0.25">
      <c r="A535" t="str">
        <f>"04/08/2011"</f>
        <v>04/08/2011</v>
      </c>
      <c r="B535" t="str">
        <f>"28.897"</f>
        <v>28.897</v>
      </c>
      <c r="C535" t="str">
        <f>"28.897"</f>
        <v>28.897</v>
      </c>
    </row>
    <row r="536" spans="1:3" x14ac:dyDescent="0.25">
      <c r="A536" t="str">
        <f>"09/08/2011"</f>
        <v>09/08/2011</v>
      </c>
      <c r="B536" t="str">
        <f>"29.059"</f>
        <v>29.059</v>
      </c>
      <c r="C536" t="str">
        <f>"29.0589"</f>
        <v>29.0589</v>
      </c>
    </row>
    <row r="537" spans="1:3" x14ac:dyDescent="0.25">
      <c r="A537" t="str">
        <f>"10/08/2011"</f>
        <v>10/08/2011</v>
      </c>
      <c r="B537" t="str">
        <f>"28.973"</f>
        <v>28.973</v>
      </c>
      <c r="C537" t="str">
        <f>"28.973"</f>
        <v>28.973</v>
      </c>
    </row>
    <row r="538" spans="1:3" x14ac:dyDescent="0.25">
      <c r="A538" t="str">
        <f>"11/08/2011"</f>
        <v>11/08/2011</v>
      </c>
      <c r="B538" t="str">
        <f>"28.997"</f>
        <v>28.997</v>
      </c>
      <c r="C538" t="str">
        <f>"28.9968"</f>
        <v>28.9968</v>
      </c>
    </row>
    <row r="539" spans="1:3" x14ac:dyDescent="0.25">
      <c r="A539" t="str">
        <f>"12/08/2011"</f>
        <v>12/08/2011</v>
      </c>
      <c r="B539" t="str">
        <f>"28.978"</f>
        <v>28.978</v>
      </c>
      <c r="C539" t="str">
        <f>"28.9779"</f>
        <v>28.9779</v>
      </c>
    </row>
    <row r="540" spans="1:3" x14ac:dyDescent="0.25">
      <c r="A540" t="str">
        <f>"16/08/2011"</f>
        <v>16/08/2011</v>
      </c>
      <c r="B540" t="str">
        <f>"28.878"</f>
        <v>28.878</v>
      </c>
      <c r="C540" t="str">
        <f>"28.8779"</f>
        <v>28.8779</v>
      </c>
    </row>
    <row r="541" spans="1:3" x14ac:dyDescent="0.25">
      <c r="A541" t="str">
        <f>"17/08/2011"</f>
        <v>17/08/2011</v>
      </c>
      <c r="B541" t="str">
        <f>"28.949"</f>
        <v>28.949</v>
      </c>
      <c r="C541" t="str">
        <f>"28.9489"</f>
        <v>28.9489</v>
      </c>
    </row>
    <row r="542" spans="1:3" x14ac:dyDescent="0.25">
      <c r="A542" t="str">
        <f>"18/08/2011"</f>
        <v>18/08/2011</v>
      </c>
      <c r="B542" t="str">
        <f>"28.965"</f>
        <v>28.965</v>
      </c>
      <c r="C542" t="str">
        <f>"28.9649"</f>
        <v>28.9649</v>
      </c>
    </row>
    <row r="543" spans="1:3" x14ac:dyDescent="0.25">
      <c r="A543" t="str">
        <f>"19/08/2011"</f>
        <v>19/08/2011</v>
      </c>
      <c r="B543" t="str">
        <f>"29.014"</f>
        <v>29.014</v>
      </c>
      <c r="C543" t="str">
        <f>"29.0138"</f>
        <v>29.0138</v>
      </c>
    </row>
    <row r="544" spans="1:3" x14ac:dyDescent="0.25">
      <c r="A544" t="str">
        <f>"22/08/2011"</f>
        <v>22/08/2011</v>
      </c>
      <c r="B544" t="str">
        <f>"29.027"</f>
        <v>29.027</v>
      </c>
      <c r="C544" t="str">
        <f>"29.0267"</f>
        <v>29.0267</v>
      </c>
    </row>
    <row r="545" spans="1:3" x14ac:dyDescent="0.25">
      <c r="A545" t="str">
        <f>"23/08/2011"</f>
        <v>23/08/2011</v>
      </c>
      <c r="B545" t="str">
        <f>"29.017"</f>
        <v>29.017</v>
      </c>
      <c r="C545" t="str">
        <f>"29.0167"</f>
        <v>29.0167</v>
      </c>
    </row>
    <row r="546" spans="1:3" x14ac:dyDescent="0.25">
      <c r="A546" t="str">
        <f>"24/08/2011"</f>
        <v>24/08/2011</v>
      </c>
      <c r="B546" t="str">
        <f>"29.012"</f>
        <v>29.012</v>
      </c>
      <c r="C546" t="str">
        <f>"29.0118"</f>
        <v>29.0118</v>
      </c>
    </row>
    <row r="547" spans="1:3" x14ac:dyDescent="0.25">
      <c r="A547" t="str">
        <f>"25/08/2011"</f>
        <v>25/08/2011</v>
      </c>
      <c r="B547" t="str">
        <f>"29.033"</f>
        <v>29.033</v>
      </c>
      <c r="C547" t="str">
        <f>"29.0328"</f>
        <v>29.0328</v>
      </c>
    </row>
    <row r="548" spans="1:3" x14ac:dyDescent="0.25">
      <c r="A548" t="str">
        <f>"26/08/2011"</f>
        <v>26/08/2011</v>
      </c>
      <c r="B548" t="str">
        <f>"29.036"</f>
        <v>29.036</v>
      </c>
      <c r="C548" t="str">
        <f>"29.0358"</f>
        <v>29.0358</v>
      </c>
    </row>
    <row r="549" spans="1:3" x14ac:dyDescent="0.25">
      <c r="A549" t="str">
        <f>"29/08/2011"</f>
        <v>29/08/2011</v>
      </c>
      <c r="B549" t="str">
        <f>"29.02"</f>
        <v>29.02</v>
      </c>
      <c r="C549" t="str">
        <f>"29.0199"</f>
        <v>29.0199</v>
      </c>
    </row>
    <row r="550" spans="1:3" x14ac:dyDescent="0.25">
      <c r="A550" t="str">
        <f>"30/08/2011"</f>
        <v>30/08/2011</v>
      </c>
      <c r="B550" t="str">
        <f>"29.035"</f>
        <v>29.035</v>
      </c>
      <c r="C550" t="str">
        <f>"29.0349"</f>
        <v>29.0349</v>
      </c>
    </row>
    <row r="551" spans="1:3" x14ac:dyDescent="0.25">
      <c r="A551" t="str">
        <f>"02/09/2011"</f>
        <v>02/09/2011</v>
      </c>
      <c r="B551" t="str">
        <f>"29.021"</f>
        <v>29.021</v>
      </c>
      <c r="C551" t="str">
        <f>"29.0209"</f>
        <v>29.0209</v>
      </c>
    </row>
    <row r="552" spans="1:3" x14ac:dyDescent="0.25">
      <c r="A552" t="str">
        <f>"05/09/2011"</f>
        <v>05/09/2011</v>
      </c>
      <c r="B552" t="str">
        <f>"29.0325"</f>
        <v>29.0325</v>
      </c>
      <c r="C552" t="str">
        <f>"29.0324"</f>
        <v>29.0324</v>
      </c>
    </row>
    <row r="553" spans="1:3" x14ac:dyDescent="0.25">
      <c r="A553" t="str">
        <f>"06/09/2011"</f>
        <v>06/09/2011</v>
      </c>
      <c r="B553" t="str">
        <f>"29.089"</f>
        <v>29.089</v>
      </c>
      <c r="C553" t="str">
        <f>"29.0888"</f>
        <v>29.0888</v>
      </c>
    </row>
    <row r="554" spans="1:3" x14ac:dyDescent="0.25">
      <c r="A554" t="str">
        <f>"07/09/2011"</f>
        <v>07/09/2011</v>
      </c>
      <c r="B554" t="str">
        <f>"29.083"</f>
        <v>29.083</v>
      </c>
      <c r="C554" t="str">
        <f>"29.0828"</f>
        <v>29.0828</v>
      </c>
    </row>
    <row r="555" spans="1:3" x14ac:dyDescent="0.25">
      <c r="A555" t="str">
        <f>"08/09/2011"</f>
        <v>08/09/2011</v>
      </c>
      <c r="B555" t="str">
        <f>"29.12"</f>
        <v>29.12</v>
      </c>
      <c r="C555" t="str">
        <f>"29.1199"</f>
        <v>29.1199</v>
      </c>
    </row>
    <row r="556" spans="1:3" x14ac:dyDescent="0.25">
      <c r="A556" t="str">
        <f>"09/09/2011"</f>
        <v>09/09/2011</v>
      </c>
      <c r="B556" t="str">
        <f>"29.197"</f>
        <v>29.197</v>
      </c>
      <c r="C556" t="str">
        <f>"29.1969"</f>
        <v>29.1969</v>
      </c>
    </row>
    <row r="557" spans="1:3" x14ac:dyDescent="0.25">
      <c r="A557" t="str">
        <f>"12/09/2011"</f>
        <v>12/09/2011</v>
      </c>
      <c r="B557" t="str">
        <f>"29.395"</f>
        <v>29.395</v>
      </c>
      <c r="C557" t="str">
        <f>"29.3949"</f>
        <v>29.3949</v>
      </c>
    </row>
    <row r="558" spans="1:3" x14ac:dyDescent="0.25">
      <c r="A558" t="str">
        <f>"13/09/2011"</f>
        <v>13/09/2011</v>
      </c>
      <c r="B558" t="str">
        <f>"29.447"</f>
        <v>29.447</v>
      </c>
      <c r="C558" t="str">
        <f>"29.4468"</f>
        <v>29.4468</v>
      </c>
    </row>
    <row r="559" spans="1:3" x14ac:dyDescent="0.25">
      <c r="A559" t="str">
        <f>"14/09/2011"</f>
        <v>14/09/2011</v>
      </c>
      <c r="B559" t="str">
        <f>"29.626"</f>
        <v>29.626</v>
      </c>
      <c r="C559" t="str">
        <f>"29.6258"</f>
        <v>29.6258</v>
      </c>
    </row>
    <row r="560" spans="1:3" x14ac:dyDescent="0.25">
      <c r="A560" t="str">
        <f>"15/09/2011"</f>
        <v>15/09/2011</v>
      </c>
      <c r="B560" t="str">
        <f>"29.64"</f>
        <v>29.64</v>
      </c>
      <c r="C560" t="str">
        <f>"29.6398"</f>
        <v>29.6398</v>
      </c>
    </row>
    <row r="561" spans="1:3" x14ac:dyDescent="0.25">
      <c r="A561" t="str">
        <f>"16/09/2011"</f>
        <v>16/09/2011</v>
      </c>
      <c r="B561" t="str">
        <f>"29.54"</f>
        <v>29.54</v>
      </c>
      <c r="C561" t="str">
        <f>"29.5398"</f>
        <v>29.5398</v>
      </c>
    </row>
    <row r="562" spans="1:3" x14ac:dyDescent="0.25">
      <c r="A562" t="str">
        <f>"19/09/2011"</f>
        <v>19/09/2011</v>
      </c>
      <c r="B562" t="str">
        <f>"29.674"</f>
        <v>29.674</v>
      </c>
      <c r="C562" t="str">
        <f>"29.6738"</f>
        <v>29.6738</v>
      </c>
    </row>
    <row r="563" spans="1:3" x14ac:dyDescent="0.25">
      <c r="A563" t="str">
        <f>"20/09/2011"</f>
        <v>20/09/2011</v>
      </c>
      <c r="B563" t="str">
        <f>"29.966"</f>
        <v>29.966</v>
      </c>
      <c r="C563" t="str">
        <f>"29.9658"</f>
        <v>29.9658</v>
      </c>
    </row>
    <row r="564" spans="1:3" x14ac:dyDescent="0.25">
      <c r="A564" t="str">
        <f>"21/09/2011"</f>
        <v>21/09/2011</v>
      </c>
      <c r="B564" t="str">
        <f>"29.891"</f>
        <v>29.891</v>
      </c>
      <c r="C564" t="str">
        <f>"29.8908"</f>
        <v>29.8908</v>
      </c>
    </row>
    <row r="565" spans="1:3" x14ac:dyDescent="0.25">
      <c r="A565" t="str">
        <f>"22/09/2011"</f>
        <v>22/09/2011</v>
      </c>
      <c r="B565" t="str">
        <f>"30.345"</f>
        <v>30.345</v>
      </c>
      <c r="C565" t="str">
        <f>"30.3447"</f>
        <v>30.3447</v>
      </c>
    </row>
    <row r="566" spans="1:3" x14ac:dyDescent="0.25">
      <c r="A566" t="str">
        <f>"23/09/2011"</f>
        <v>23/09/2011</v>
      </c>
      <c r="B566" t="str">
        <f>"30.592"</f>
        <v>30.592</v>
      </c>
      <c r="C566" t="str">
        <f>"30.5917"</f>
        <v>30.5917</v>
      </c>
    </row>
    <row r="567" spans="1:3" x14ac:dyDescent="0.25">
      <c r="A567" t="str">
        <f>"26/09/2011"</f>
        <v>26/09/2011</v>
      </c>
      <c r="B567" t="str">
        <f>"30.584"</f>
        <v>30.584</v>
      </c>
      <c r="C567" t="str">
        <f>"30.5838"</f>
        <v>30.5838</v>
      </c>
    </row>
    <row r="568" spans="1:3" x14ac:dyDescent="0.25">
      <c r="A568" t="str">
        <f>"27/09/2011"</f>
        <v>27/09/2011</v>
      </c>
      <c r="B568" t="str">
        <f>"30.485"</f>
        <v>30.485</v>
      </c>
      <c r="C568" t="str">
        <f>"30.4847"</f>
        <v>30.4847</v>
      </c>
    </row>
    <row r="569" spans="1:3" x14ac:dyDescent="0.25">
      <c r="A569" t="str">
        <f>"28/09/2011"</f>
        <v>28/09/2011</v>
      </c>
      <c r="B569" t="str">
        <f>"30.462"</f>
        <v>30.462</v>
      </c>
      <c r="C569" t="str">
        <f>"30.4617"</f>
        <v>30.4617</v>
      </c>
    </row>
    <row r="570" spans="1:3" x14ac:dyDescent="0.25">
      <c r="A570" t="str">
        <f>"29/09/2011"</f>
        <v>29/09/2011</v>
      </c>
      <c r="B570" t="str">
        <f>"30.444"</f>
        <v>30.444</v>
      </c>
      <c r="C570" t="str">
        <f>"30.4438"</f>
        <v>30.4438</v>
      </c>
    </row>
    <row r="571" spans="1:3" x14ac:dyDescent="0.25">
      <c r="A571" t="str">
        <f>"30/09/2011"</f>
        <v>30/09/2011</v>
      </c>
      <c r="B571" t="str">
        <f>"30.563"</f>
        <v>30.563</v>
      </c>
      <c r="C571" t="str">
        <f>"30.5628"</f>
        <v>30.5628</v>
      </c>
    </row>
    <row r="572" spans="1:3" x14ac:dyDescent="0.25">
      <c r="A572" t="str">
        <f>"03/10/2011"</f>
        <v>03/10/2011</v>
      </c>
      <c r="B572" t="str">
        <f>"30.638"</f>
        <v>30.638</v>
      </c>
      <c r="C572" t="str">
        <f>"30.6379"</f>
        <v>30.6379</v>
      </c>
    </row>
    <row r="573" spans="1:3" x14ac:dyDescent="0.25">
      <c r="A573" t="str">
        <f>"04/10/2011"</f>
        <v>04/10/2011</v>
      </c>
      <c r="B573" t="str">
        <f>"30.664"</f>
        <v>30.664</v>
      </c>
      <c r="C573" t="str">
        <f>"30.6638"</f>
        <v>30.6638</v>
      </c>
    </row>
    <row r="574" spans="1:3" x14ac:dyDescent="0.25">
      <c r="A574" t="str">
        <f>"05/10/2011"</f>
        <v>05/10/2011</v>
      </c>
      <c r="B574" t="str">
        <f>"30.623"</f>
        <v>30.623</v>
      </c>
      <c r="C574" t="str">
        <f>"30.6229"</f>
        <v>30.6229</v>
      </c>
    </row>
    <row r="575" spans="1:3" x14ac:dyDescent="0.25">
      <c r="A575" t="str">
        <f>"07/10/2011"</f>
        <v>07/10/2011</v>
      </c>
      <c r="B575" t="str">
        <f>"30.525"</f>
        <v>30.525</v>
      </c>
      <c r="C575" t="str">
        <f>"30.5248"</f>
        <v>30.5248</v>
      </c>
    </row>
    <row r="576" spans="1:3" x14ac:dyDescent="0.25">
      <c r="A576" t="str">
        <f>"10/10/2011"</f>
        <v>10/10/2011</v>
      </c>
      <c r="B576" t="str">
        <f>"30.42"</f>
        <v>30.42</v>
      </c>
      <c r="C576" t="str">
        <f>"30.4199"</f>
        <v>30.4199</v>
      </c>
    </row>
    <row r="577" spans="1:3" x14ac:dyDescent="0.25">
      <c r="A577" t="str">
        <f>"11/10/2011"</f>
        <v>11/10/2011</v>
      </c>
      <c r="B577" t="str">
        <f>"30.35"</f>
        <v>30.35</v>
      </c>
      <c r="C577" t="str">
        <f>"30.3499"</f>
        <v>30.3499</v>
      </c>
    </row>
    <row r="578" spans="1:3" x14ac:dyDescent="0.25">
      <c r="A578" t="str">
        <f>"12/10/2011"</f>
        <v>12/10/2011</v>
      </c>
      <c r="B578" t="str">
        <f>"30.43"</f>
        <v>30.43</v>
      </c>
      <c r="C578" t="str">
        <f>"30.4298"</f>
        <v>30.4298</v>
      </c>
    </row>
    <row r="579" spans="1:3" x14ac:dyDescent="0.25">
      <c r="A579" t="str">
        <f>"13/10/2011"</f>
        <v>13/10/2011</v>
      </c>
      <c r="B579" t="str">
        <f>"30.325"</f>
        <v>30.325</v>
      </c>
      <c r="C579" t="str">
        <f>"30.3248"</f>
        <v>30.3248</v>
      </c>
    </row>
    <row r="580" spans="1:3" x14ac:dyDescent="0.25">
      <c r="A580" t="str">
        <f>"14/10/2011"</f>
        <v>14/10/2011</v>
      </c>
      <c r="B580" t="str">
        <f>"30.319"</f>
        <v>30.319</v>
      </c>
      <c r="C580" t="str">
        <f>"30.3188"</f>
        <v>30.3188</v>
      </c>
    </row>
    <row r="581" spans="1:3" x14ac:dyDescent="0.25">
      <c r="A581" t="str">
        <f>"17/10/2011"</f>
        <v>17/10/2011</v>
      </c>
      <c r="B581" t="str">
        <f>"30.14"</f>
        <v>30.14</v>
      </c>
      <c r="C581" t="str">
        <f>"30.1398"</f>
        <v>30.1398</v>
      </c>
    </row>
    <row r="582" spans="1:3" x14ac:dyDescent="0.25">
      <c r="A582" t="str">
        <f>"18/10/2011"</f>
        <v>18/10/2011</v>
      </c>
      <c r="B582" t="str">
        <f>"30.086"</f>
        <v>30.086</v>
      </c>
      <c r="C582" t="str">
        <f>"30.0858"</f>
        <v>30.0858</v>
      </c>
    </row>
    <row r="583" spans="1:3" x14ac:dyDescent="0.25">
      <c r="A583" t="str">
        <f>"19/10/2011"</f>
        <v>19/10/2011</v>
      </c>
      <c r="B583" t="str">
        <f>"30.094"</f>
        <v>30.094</v>
      </c>
      <c r="C583" t="str">
        <f>"30.0938"</f>
        <v>30.0938</v>
      </c>
    </row>
    <row r="584" spans="1:3" x14ac:dyDescent="0.25">
      <c r="A584" t="str">
        <f>"20/10/2011"</f>
        <v>20/10/2011</v>
      </c>
      <c r="B584" t="str">
        <f>"30.27"</f>
        <v>30.27</v>
      </c>
      <c r="C584" t="str">
        <f>"30.2698"</f>
        <v>30.2698</v>
      </c>
    </row>
    <row r="585" spans="1:3" x14ac:dyDescent="0.25">
      <c r="A585" t="str">
        <f>"21/10/2011"</f>
        <v>21/10/2011</v>
      </c>
      <c r="B585" t="str">
        <f>"30.35"</f>
        <v>30.35</v>
      </c>
      <c r="C585" t="str">
        <f>"30.3498"</f>
        <v>30.3498</v>
      </c>
    </row>
    <row r="586" spans="1:3" x14ac:dyDescent="0.25">
      <c r="A586" t="str">
        <f>"24/10/2011"</f>
        <v>24/10/2011</v>
      </c>
      <c r="B586" t="str">
        <f>"30.13"</f>
        <v>30.13</v>
      </c>
      <c r="C586" t="str">
        <f>"30.1298"</f>
        <v>30.1298</v>
      </c>
    </row>
    <row r="587" spans="1:3" x14ac:dyDescent="0.25">
      <c r="A587" t="str">
        <f>"25/10/2011"</f>
        <v>25/10/2011</v>
      </c>
      <c r="B587" t="str">
        <f>"30.138"</f>
        <v>30.138</v>
      </c>
      <c r="C587" t="str">
        <f>"30.1378"</f>
        <v>30.1378</v>
      </c>
    </row>
    <row r="588" spans="1:3" x14ac:dyDescent="0.25">
      <c r="A588" t="str">
        <f>"28/10/2011"</f>
        <v>28/10/2011</v>
      </c>
      <c r="B588" t="str">
        <f>"29.91"</f>
        <v>29.91</v>
      </c>
      <c r="C588" t="str">
        <f>"29.9098"</f>
        <v>29.9098</v>
      </c>
    </row>
    <row r="589" spans="1:3" x14ac:dyDescent="0.25">
      <c r="A589" t="str">
        <f>"31/10/2011"</f>
        <v>31/10/2011</v>
      </c>
      <c r="B589" t="str">
        <f>"29.927"</f>
        <v>29.927</v>
      </c>
      <c r="C589" t="str">
        <f>"29.9268"</f>
        <v>29.9268</v>
      </c>
    </row>
    <row r="590" spans="1:3" x14ac:dyDescent="0.25">
      <c r="A590" t="str">
        <f>"01/11/2011"</f>
        <v>01/11/2011</v>
      </c>
      <c r="B590" t="str">
        <f>"30.025"</f>
        <v>30.025</v>
      </c>
      <c r="C590" t="str">
        <f>"30.0249"</f>
        <v>30.0249</v>
      </c>
    </row>
    <row r="591" spans="1:3" x14ac:dyDescent="0.25">
      <c r="A591" t="str">
        <f>"02/11/2011"</f>
        <v>02/11/2011</v>
      </c>
      <c r="B591" t="str">
        <f>"30.14"</f>
        <v>30.14</v>
      </c>
      <c r="C591" t="str">
        <f>"30.1399"</f>
        <v>30.1399</v>
      </c>
    </row>
    <row r="592" spans="1:3" x14ac:dyDescent="0.25">
      <c r="A592" t="str">
        <f>"03/11/2011"</f>
        <v>03/11/2011</v>
      </c>
      <c r="B592" t="str">
        <f>"30.21"</f>
        <v>30.21</v>
      </c>
      <c r="C592" t="str">
        <f>"30.2099"</f>
        <v>30.2099</v>
      </c>
    </row>
    <row r="593" spans="1:3" x14ac:dyDescent="0.25">
      <c r="A593" t="str">
        <f>"04/11/2011"</f>
        <v>04/11/2011</v>
      </c>
      <c r="B593" t="str">
        <f>"30.009"</f>
        <v>30.009</v>
      </c>
      <c r="C593" t="str">
        <f>"30.0089"</f>
        <v>30.0089</v>
      </c>
    </row>
    <row r="594" spans="1:3" x14ac:dyDescent="0.25">
      <c r="A594" t="str">
        <f>"08/11/2011"</f>
        <v>08/11/2011</v>
      </c>
      <c r="B594" t="str">
        <f>"30.077"</f>
        <v>30.077</v>
      </c>
      <c r="C594" t="str">
        <f>"30.0769"</f>
        <v>30.0769</v>
      </c>
    </row>
    <row r="595" spans="1:3" x14ac:dyDescent="0.25">
      <c r="A595" t="str">
        <f>"09/11/2011"</f>
        <v>09/11/2011</v>
      </c>
      <c r="B595" t="str">
        <f>"30.049"</f>
        <v>30.049</v>
      </c>
      <c r="C595" t="str">
        <f>"30.0488"</f>
        <v>30.0488</v>
      </c>
    </row>
    <row r="596" spans="1:3" x14ac:dyDescent="0.25">
      <c r="A596" t="str">
        <f>"11/11/2011"</f>
        <v>11/11/2011</v>
      </c>
      <c r="B596" t="str">
        <f>"30.138"</f>
        <v>30.138</v>
      </c>
      <c r="C596" t="str">
        <f>"30.1378"</f>
        <v>30.1378</v>
      </c>
    </row>
    <row r="597" spans="1:3" x14ac:dyDescent="0.25">
      <c r="A597" t="str">
        <f>"14/11/2011"</f>
        <v>14/11/2011</v>
      </c>
      <c r="B597" t="str">
        <f>"30.164"</f>
        <v>30.164</v>
      </c>
      <c r="C597" t="str">
        <f>"30.1639"</f>
        <v>30.1639</v>
      </c>
    </row>
    <row r="598" spans="1:3" x14ac:dyDescent="0.25">
      <c r="A598" t="str">
        <f>"15/11/2011"</f>
        <v>15/11/2011</v>
      </c>
      <c r="B598" t="str">
        <f>"30.201"</f>
        <v>30.201</v>
      </c>
      <c r="C598" t="str">
        <f>"30.2009"</f>
        <v>30.2009</v>
      </c>
    </row>
    <row r="599" spans="1:3" x14ac:dyDescent="0.25">
      <c r="A599" t="str">
        <f>"16/11/2011"</f>
        <v>16/11/2011</v>
      </c>
      <c r="B599" t="str">
        <f>"30.222"</f>
        <v>30.222</v>
      </c>
      <c r="C599" t="str">
        <f>"30.2218"</f>
        <v>30.2218</v>
      </c>
    </row>
    <row r="600" spans="1:3" x14ac:dyDescent="0.25">
      <c r="A600" t="str">
        <f>"17/11/2011"</f>
        <v>17/11/2011</v>
      </c>
      <c r="B600" t="str">
        <f>"30.205"</f>
        <v>30.205</v>
      </c>
      <c r="C600" t="str">
        <f>"30.2048"</f>
        <v>30.2048</v>
      </c>
    </row>
    <row r="601" spans="1:3" x14ac:dyDescent="0.25">
      <c r="A601" t="str">
        <f>"18/11/2011"</f>
        <v>18/11/2011</v>
      </c>
      <c r="B601" t="str">
        <f>"30.24"</f>
        <v>30.24</v>
      </c>
      <c r="C601" t="str">
        <f>"30.2399"</f>
        <v>30.2399</v>
      </c>
    </row>
    <row r="602" spans="1:3" x14ac:dyDescent="0.25">
      <c r="A602" t="str">
        <f>"21/11/2011"</f>
        <v>21/11/2011</v>
      </c>
      <c r="B602" t="str">
        <f>"30.252"</f>
        <v>30.252</v>
      </c>
      <c r="C602" t="str">
        <f>"30.2518"</f>
        <v>30.2518</v>
      </c>
    </row>
    <row r="603" spans="1:3" x14ac:dyDescent="0.25">
      <c r="A603" t="str">
        <f>"22/11/2011"</f>
        <v>22/11/2011</v>
      </c>
      <c r="B603" t="str">
        <f>"30.315"</f>
        <v>30.315</v>
      </c>
      <c r="C603" t="str">
        <f>"30.3148"</f>
        <v>30.3148</v>
      </c>
    </row>
    <row r="604" spans="1:3" x14ac:dyDescent="0.25">
      <c r="A604" t="str">
        <f>"23/11/2011"</f>
        <v>23/11/2011</v>
      </c>
      <c r="B604" t="str">
        <f>"30.385"</f>
        <v>30.385</v>
      </c>
      <c r="C604" t="str">
        <f>"30.3849"</f>
        <v>30.3849</v>
      </c>
    </row>
    <row r="605" spans="1:3" x14ac:dyDescent="0.25">
      <c r="A605" t="str">
        <f>"24/11/2011"</f>
        <v>24/11/2011</v>
      </c>
      <c r="B605" t="str">
        <f>"30.41"</f>
        <v>30.41</v>
      </c>
      <c r="C605" t="str">
        <f>"30.4099"</f>
        <v>30.4099</v>
      </c>
    </row>
    <row r="606" spans="1:3" x14ac:dyDescent="0.25">
      <c r="A606" t="str">
        <f>"25/11/2011"</f>
        <v>25/11/2011</v>
      </c>
      <c r="B606" t="str">
        <f>"30.48"</f>
        <v>30.48</v>
      </c>
      <c r="C606" t="str">
        <f>"30.4799"</f>
        <v>30.4799</v>
      </c>
    </row>
    <row r="607" spans="1:3" x14ac:dyDescent="0.25">
      <c r="A607" t="str">
        <f>"28/11/2011"</f>
        <v>28/11/2011</v>
      </c>
      <c r="B607" t="str">
        <f>"30.457"</f>
        <v>30.457</v>
      </c>
      <c r="C607" t="str">
        <f>"30.4569"</f>
        <v>30.4569</v>
      </c>
    </row>
    <row r="608" spans="1:3" x14ac:dyDescent="0.25">
      <c r="A608" t="str">
        <f>"29/11/2011"</f>
        <v>29/11/2011</v>
      </c>
      <c r="B608" t="str">
        <f>"30.335"</f>
        <v>30.335</v>
      </c>
      <c r="C608" t="str">
        <f>"30.3348"</f>
        <v>30.3348</v>
      </c>
    </row>
    <row r="609" spans="1:3" x14ac:dyDescent="0.25">
      <c r="A609" t="str">
        <f>"30/11/2011"</f>
        <v>30/11/2011</v>
      </c>
      <c r="B609" t="str">
        <f>"30.32"</f>
        <v>30.32</v>
      </c>
      <c r="C609" t="str">
        <f>"30.3198"</f>
        <v>30.3198</v>
      </c>
    </row>
    <row r="610" spans="1:3" x14ac:dyDescent="0.25">
      <c r="A610" t="str">
        <f>"01/12/2011"</f>
        <v>01/12/2011</v>
      </c>
      <c r="B610" t="str">
        <f>"30.125"</f>
        <v>30.125</v>
      </c>
      <c r="C610" t="str">
        <f>"30.1248"</f>
        <v>30.1248</v>
      </c>
    </row>
    <row r="611" spans="1:3" x14ac:dyDescent="0.25">
      <c r="A611" t="str">
        <f>"02/12/2011"</f>
        <v>02/12/2011</v>
      </c>
      <c r="B611" t="str">
        <f>"30.16"</f>
        <v>30.16</v>
      </c>
      <c r="C611" t="str">
        <f>"30.1599"</f>
        <v>30.1599</v>
      </c>
    </row>
    <row r="612" spans="1:3" x14ac:dyDescent="0.25">
      <c r="A612" t="str">
        <f>"05/12/2011"</f>
        <v>05/12/2011</v>
      </c>
      <c r="B612" t="str">
        <f>"30.18"</f>
        <v>30.18</v>
      </c>
      <c r="C612" t="str">
        <f>"30.1799"</f>
        <v>30.1799</v>
      </c>
    </row>
    <row r="613" spans="1:3" x14ac:dyDescent="0.25">
      <c r="A613" t="str">
        <f>"07/12/2011"</f>
        <v>07/12/2011</v>
      </c>
      <c r="B613" t="str">
        <f>"30.165"</f>
        <v>30.165</v>
      </c>
      <c r="C613" t="str">
        <f>"30.1648"</f>
        <v>30.1648</v>
      </c>
    </row>
    <row r="614" spans="1:3" x14ac:dyDescent="0.25">
      <c r="A614" t="str">
        <f>"08/12/2011"</f>
        <v>08/12/2011</v>
      </c>
      <c r="B614" t="str">
        <f>"30.175"</f>
        <v>30.175</v>
      </c>
      <c r="C614" t="str">
        <f>"30.1748"</f>
        <v>30.1748</v>
      </c>
    </row>
    <row r="615" spans="1:3" x14ac:dyDescent="0.25">
      <c r="A615" t="str">
        <f>"09/12/2011"</f>
        <v>09/12/2011</v>
      </c>
      <c r="B615" t="str">
        <f>"30.215"</f>
        <v>30.215</v>
      </c>
      <c r="C615" t="str">
        <f>"30.2149"</f>
        <v>30.2149</v>
      </c>
    </row>
    <row r="616" spans="1:3" x14ac:dyDescent="0.25">
      <c r="A616" t="str">
        <f>"12/12/2011"</f>
        <v>12/12/2011</v>
      </c>
      <c r="B616" t="str">
        <f>"30.26"</f>
        <v>30.26</v>
      </c>
      <c r="C616" t="str">
        <f>"30.2598"</f>
        <v>30.2598</v>
      </c>
    </row>
    <row r="617" spans="1:3" x14ac:dyDescent="0.25">
      <c r="A617" t="str">
        <f>"13/12/2011"</f>
        <v>13/12/2011</v>
      </c>
      <c r="B617" t="str">
        <f>"30.255"</f>
        <v>30.255</v>
      </c>
      <c r="C617" t="str">
        <f>"30.2548"</f>
        <v>30.2548</v>
      </c>
    </row>
    <row r="618" spans="1:3" x14ac:dyDescent="0.25">
      <c r="A618" t="str">
        <f>"14/12/2011"</f>
        <v>14/12/2011</v>
      </c>
      <c r="B618" t="str">
        <f>"30.275"</f>
        <v>30.275</v>
      </c>
      <c r="C618" t="str">
        <f>"30.2748"</f>
        <v>30.2748</v>
      </c>
    </row>
    <row r="619" spans="1:3" x14ac:dyDescent="0.25">
      <c r="A619" t="str">
        <f>"15/12/2011"</f>
        <v>15/12/2011</v>
      </c>
      <c r="B619" t="str">
        <f>"30.36"</f>
        <v>30.36</v>
      </c>
      <c r="C619" t="str">
        <f>"30.3599"</f>
        <v>30.3599</v>
      </c>
    </row>
    <row r="620" spans="1:3" x14ac:dyDescent="0.25">
      <c r="A620" t="str">
        <f>"16/12/2011"</f>
        <v>16/12/2011</v>
      </c>
      <c r="B620" t="str">
        <f>"30.34"</f>
        <v>30.34</v>
      </c>
      <c r="C620" t="str">
        <f>"30.3399"</f>
        <v>30.3399</v>
      </c>
    </row>
    <row r="621" spans="1:3" x14ac:dyDescent="0.25">
      <c r="A621" t="str">
        <f>"19/12/2011"</f>
        <v>19/12/2011</v>
      </c>
      <c r="B621" t="str">
        <f>"30.365"</f>
        <v>30.365</v>
      </c>
      <c r="C621" t="str">
        <f>"30.3648"</f>
        <v>30.3648</v>
      </c>
    </row>
    <row r="622" spans="1:3" x14ac:dyDescent="0.25">
      <c r="A622" t="str">
        <f>"20/12/2011"</f>
        <v>20/12/2011</v>
      </c>
      <c r="B622" t="str">
        <f>"30.33"</f>
        <v>30.33</v>
      </c>
      <c r="C622" t="str">
        <f>"30.3298"</f>
        <v>30.3298</v>
      </c>
    </row>
    <row r="623" spans="1:3" x14ac:dyDescent="0.25">
      <c r="A623" t="str">
        <f>"21/12/2011"</f>
        <v>21/12/2011</v>
      </c>
      <c r="B623" t="str">
        <f>"30.253"</f>
        <v>30.253</v>
      </c>
      <c r="C623" t="str">
        <f>"30.2528"</f>
        <v>30.2528</v>
      </c>
    </row>
    <row r="624" spans="1:3" x14ac:dyDescent="0.25">
      <c r="A624" t="str">
        <f>"22/12/2011"</f>
        <v>22/12/2011</v>
      </c>
      <c r="B624" t="str">
        <f>"30.32"</f>
        <v>30.32</v>
      </c>
      <c r="C624" t="str">
        <f>"30.3198"</f>
        <v>30.3198</v>
      </c>
    </row>
    <row r="625" spans="1:3" x14ac:dyDescent="0.25">
      <c r="A625" t="str">
        <f>"23/12/2011"</f>
        <v>23/12/2011</v>
      </c>
      <c r="B625" t="str">
        <f>"30.30"</f>
        <v>30.30</v>
      </c>
      <c r="C625" t="str">
        <f>"30.2999"</f>
        <v>30.2999</v>
      </c>
    </row>
    <row r="626" spans="1:3" x14ac:dyDescent="0.25">
      <c r="A626" t="str">
        <f>"26/12/2011"</f>
        <v>26/12/2011</v>
      </c>
      <c r="B626" t="str">
        <f>"30.308"</f>
        <v>30.308</v>
      </c>
      <c r="C626" t="str">
        <f>"30.3078"</f>
        <v>30.3078</v>
      </c>
    </row>
    <row r="627" spans="1:3" x14ac:dyDescent="0.25">
      <c r="A627" t="str">
        <f>"27/12/2011"</f>
        <v>27/12/2011</v>
      </c>
      <c r="B627" t="str">
        <f>"30.309"</f>
        <v>30.309</v>
      </c>
      <c r="C627" t="str">
        <f>"30.3089"</f>
        <v>30.3089</v>
      </c>
    </row>
    <row r="628" spans="1:3" x14ac:dyDescent="0.25">
      <c r="A628" t="str">
        <f>"28/12/2011"</f>
        <v>28/12/2011</v>
      </c>
      <c r="B628" t="str">
        <f>"30.307"</f>
        <v>30.307</v>
      </c>
      <c r="C628" t="str">
        <f>"30.3069"</f>
        <v>30.3069</v>
      </c>
    </row>
    <row r="629" spans="1:3" x14ac:dyDescent="0.25">
      <c r="A629" t="str">
        <f>"29/12/2011"</f>
        <v>29/12/2011</v>
      </c>
      <c r="B629" t="str">
        <f>"30.287"</f>
        <v>30.287</v>
      </c>
      <c r="C629" t="str">
        <f>"30.2869"</f>
        <v>30.2869</v>
      </c>
    </row>
    <row r="630" spans="1:3" x14ac:dyDescent="0.25">
      <c r="A630" t="str">
        <f>"30/12/2011"</f>
        <v>30/12/2011</v>
      </c>
      <c r="B630" t="str">
        <f>"30.31"</f>
        <v>30.31</v>
      </c>
      <c r="C630" t="str">
        <f>"30.3099"</f>
        <v>30.3099</v>
      </c>
    </row>
    <row r="631" spans="1:3" x14ac:dyDescent="0.25">
      <c r="A631" t="str">
        <f>"02/01/2012"</f>
        <v>02/01/2012</v>
      </c>
      <c r="B631" t="str">
        <f>"30.34"</f>
        <v>30.34</v>
      </c>
      <c r="C631" t="str">
        <f>"30.3399"</f>
        <v>30.3399</v>
      </c>
    </row>
    <row r="632" spans="1:3" x14ac:dyDescent="0.25">
      <c r="A632" t="str">
        <f>"03/01/2012"</f>
        <v>03/01/2012</v>
      </c>
      <c r="B632" t="str">
        <f>"30.297"</f>
        <v>30.297</v>
      </c>
      <c r="C632" t="str">
        <f>"30.2969"</f>
        <v>30.2969</v>
      </c>
    </row>
    <row r="633" spans="1:3" x14ac:dyDescent="0.25">
      <c r="A633" t="str">
        <f>"04/01/2012"</f>
        <v>04/01/2012</v>
      </c>
      <c r="B633" t="str">
        <f>"30.268"</f>
        <v>30.268</v>
      </c>
      <c r="C633" t="str">
        <f>"30.2679"</f>
        <v>30.2679</v>
      </c>
    </row>
    <row r="634" spans="1:3" x14ac:dyDescent="0.25">
      <c r="A634" t="str">
        <f>"05/01/2012"</f>
        <v>05/01/2012</v>
      </c>
      <c r="B634" t="str">
        <f>"30.269"</f>
        <v>30.269</v>
      </c>
      <c r="C634" t="str">
        <f>"30.2689"</f>
        <v>30.2689</v>
      </c>
    </row>
    <row r="635" spans="1:3" x14ac:dyDescent="0.25">
      <c r="A635" t="str">
        <f>"06/01/2012"</f>
        <v>06/01/2012</v>
      </c>
      <c r="B635" t="str">
        <f>"30.206"</f>
        <v>30.206</v>
      </c>
      <c r="C635" t="str">
        <f>"30.2059"</f>
        <v>30.2059</v>
      </c>
    </row>
    <row r="636" spans="1:3" x14ac:dyDescent="0.25">
      <c r="A636" t="str">
        <f>"09/01/2012"</f>
        <v>09/01/2012</v>
      </c>
      <c r="B636" t="str">
        <f>"30.232"</f>
        <v>30.232</v>
      </c>
      <c r="C636" t="str">
        <f>"30.2318"</f>
        <v>30.2318</v>
      </c>
    </row>
    <row r="637" spans="1:3" x14ac:dyDescent="0.25">
      <c r="A637" t="str">
        <f>"10/01/2012"</f>
        <v>10/01/2012</v>
      </c>
      <c r="B637" t="str">
        <f>"29.94"</f>
        <v>29.94</v>
      </c>
      <c r="C637" t="str">
        <f>"29.9399"</f>
        <v>29.9399</v>
      </c>
    </row>
    <row r="638" spans="1:3" x14ac:dyDescent="0.25">
      <c r="A638" t="str">
        <f>"11/01/2012"</f>
        <v>11/01/2012</v>
      </c>
      <c r="B638" t="str">
        <f>"29.885"</f>
        <v>29.885</v>
      </c>
      <c r="C638" t="str">
        <f>"29.8849"</f>
        <v>29.8849</v>
      </c>
    </row>
    <row r="639" spans="1:3" x14ac:dyDescent="0.25">
      <c r="A639" t="str">
        <f>"12/01/2012"</f>
        <v>12/01/2012</v>
      </c>
      <c r="B639" t="str">
        <f>"29.958"</f>
        <v>29.958</v>
      </c>
      <c r="C639" t="str">
        <f>"29.9578"</f>
        <v>29.9578</v>
      </c>
    </row>
    <row r="640" spans="1:3" x14ac:dyDescent="0.25">
      <c r="A640" t="str">
        <f>"13/01/2012"</f>
        <v>13/01/2012</v>
      </c>
      <c r="B640" t="str">
        <f>"29.97"</f>
        <v>29.97</v>
      </c>
      <c r="C640" t="str">
        <f>"29.9699"</f>
        <v>29.9699</v>
      </c>
    </row>
    <row r="641" spans="1:3" x14ac:dyDescent="0.25">
      <c r="A641" t="str">
        <f>"16/01/2012"</f>
        <v>16/01/2012</v>
      </c>
      <c r="B641" t="str">
        <f>"30.045"</f>
        <v>30.045</v>
      </c>
      <c r="C641" t="str">
        <f>"30.0449"</f>
        <v>30.0449</v>
      </c>
    </row>
    <row r="642" spans="1:3" x14ac:dyDescent="0.25">
      <c r="A642" t="str">
        <f>"17/01/2012"</f>
        <v>17/01/2012</v>
      </c>
      <c r="B642" t="str">
        <f>"30.003"</f>
        <v>30.003</v>
      </c>
      <c r="C642" t="str">
        <f>"30.0029"</f>
        <v>30.0029</v>
      </c>
    </row>
    <row r="643" spans="1:3" x14ac:dyDescent="0.25">
      <c r="A643" t="str">
        <f>"18/01/2012"</f>
        <v>18/01/2012</v>
      </c>
      <c r="B643" t="str">
        <f>"29.98"</f>
        <v>29.98</v>
      </c>
      <c r="C643" t="str">
        <f>"29.9799"</f>
        <v>29.9799</v>
      </c>
    </row>
    <row r="644" spans="1:3" x14ac:dyDescent="0.25">
      <c r="A644" t="str">
        <f>"19/01/2012"</f>
        <v>19/01/2012</v>
      </c>
      <c r="B644" t="str">
        <f>"29.935"</f>
        <v>29.935</v>
      </c>
      <c r="C644" t="str">
        <f>"29.9349"</f>
        <v>29.9349</v>
      </c>
    </row>
    <row r="645" spans="1:3" x14ac:dyDescent="0.25">
      <c r="A645" t="str">
        <f>"20/01/2012"</f>
        <v>20/01/2012</v>
      </c>
      <c r="B645" t="str">
        <f>"29.97"</f>
        <v>29.97</v>
      </c>
      <c r="C645" t="str">
        <f>"29.9699"</f>
        <v>29.9699</v>
      </c>
    </row>
    <row r="646" spans="1:3" x14ac:dyDescent="0.25">
      <c r="A646" t="str">
        <f>"23/01/2012"</f>
        <v>23/01/2012</v>
      </c>
      <c r="B646" t="str">
        <f>"29.99"</f>
        <v>29.99</v>
      </c>
      <c r="C646" t="str">
        <f>"29.9899"</f>
        <v>29.9899</v>
      </c>
    </row>
    <row r="647" spans="1:3" x14ac:dyDescent="0.25">
      <c r="A647" t="str">
        <f>"24/01/2012"</f>
        <v>24/01/2012</v>
      </c>
      <c r="B647" t="str">
        <f>"29.99"</f>
        <v>29.99</v>
      </c>
      <c r="C647" t="str">
        <f>"29.9899"</f>
        <v>29.9899</v>
      </c>
    </row>
    <row r="648" spans="1:3" x14ac:dyDescent="0.25">
      <c r="A648" t="str">
        <f>"25/01/2012"</f>
        <v>25/01/2012</v>
      </c>
      <c r="B648" t="str">
        <f>"29.96"</f>
        <v>29.96</v>
      </c>
      <c r="C648" t="str">
        <f>"29.9599"</f>
        <v>29.9599</v>
      </c>
    </row>
    <row r="649" spans="1:3" x14ac:dyDescent="0.25">
      <c r="A649" t="str">
        <f>"27/01/2012"</f>
        <v>27/01/2012</v>
      </c>
      <c r="B649" t="str">
        <f>"29.78"</f>
        <v>29.78</v>
      </c>
      <c r="C649" t="str">
        <f>"29.7799"</f>
        <v>29.7799</v>
      </c>
    </row>
    <row r="650" spans="1:3" x14ac:dyDescent="0.25">
      <c r="A650" t="str">
        <f>"30/01/2012"</f>
        <v>30/01/2012</v>
      </c>
      <c r="B650" t="str">
        <f>"29.81"</f>
        <v>29.81</v>
      </c>
      <c r="C650" t="str">
        <f>"29.8099"</f>
        <v>29.8099</v>
      </c>
    </row>
    <row r="651" spans="1:3" x14ac:dyDescent="0.25">
      <c r="A651" t="str">
        <f>"31/01/2012"</f>
        <v>31/01/2012</v>
      </c>
      <c r="B651" t="str">
        <f>"29.545"</f>
        <v>29.545</v>
      </c>
      <c r="C651" t="str">
        <f>"29.5449"</f>
        <v>29.5449</v>
      </c>
    </row>
    <row r="652" spans="1:3" x14ac:dyDescent="0.25">
      <c r="A652" t="str">
        <f>"01/02/2012"</f>
        <v>01/02/2012</v>
      </c>
      <c r="B652" t="str">
        <f>"29.635"</f>
        <v>29.635</v>
      </c>
      <c r="C652" t="str">
        <f>"29.6349"</f>
        <v>29.6349</v>
      </c>
    </row>
    <row r="653" spans="1:3" x14ac:dyDescent="0.25">
      <c r="A653" t="str">
        <f>"02/02/2012"</f>
        <v>02/02/2012</v>
      </c>
      <c r="B653" t="str">
        <f>"29.519"</f>
        <v>29.519</v>
      </c>
      <c r="C653" t="str">
        <f>"29.5189"</f>
        <v>29.5189</v>
      </c>
    </row>
    <row r="654" spans="1:3" x14ac:dyDescent="0.25">
      <c r="A654" t="str">
        <f>"03/02/2012"</f>
        <v>03/02/2012</v>
      </c>
      <c r="B654" t="str">
        <f>"29.528"</f>
        <v>29.528</v>
      </c>
      <c r="C654" t="str">
        <f>"29.5279"</f>
        <v>29.5279</v>
      </c>
    </row>
    <row r="655" spans="1:3" x14ac:dyDescent="0.25">
      <c r="A655" t="str">
        <f>"06/02/2012"</f>
        <v>06/02/2012</v>
      </c>
      <c r="B655" t="str">
        <f>"29.559"</f>
        <v>29.559</v>
      </c>
      <c r="C655" t="str">
        <f>"29.5589"</f>
        <v>29.5589</v>
      </c>
    </row>
    <row r="656" spans="1:3" x14ac:dyDescent="0.25">
      <c r="A656" t="str">
        <f>"07/02/2012"</f>
        <v>07/02/2012</v>
      </c>
      <c r="B656" t="str">
        <f>"29.595"</f>
        <v>29.595</v>
      </c>
      <c r="C656" t="str">
        <f>"29.5949"</f>
        <v>29.5949</v>
      </c>
    </row>
    <row r="657" spans="1:3" x14ac:dyDescent="0.25">
      <c r="A657" t="str">
        <f>"08/02/2012"</f>
        <v>08/02/2012</v>
      </c>
      <c r="B657" t="str">
        <f>"29.512"</f>
        <v>29.512</v>
      </c>
      <c r="C657" t="str">
        <f>"29.512"</f>
        <v>29.512</v>
      </c>
    </row>
    <row r="658" spans="1:3" x14ac:dyDescent="0.25">
      <c r="A658" t="str">
        <f>"09/02/2012"</f>
        <v>09/02/2012</v>
      </c>
      <c r="B658" t="str">
        <f>"29.465"</f>
        <v>29.465</v>
      </c>
      <c r="C658" t="str">
        <f>"29.4649"</f>
        <v>29.4649</v>
      </c>
    </row>
    <row r="659" spans="1:3" x14ac:dyDescent="0.25">
      <c r="A659" t="str">
        <f>"10/02/2012"</f>
        <v>10/02/2012</v>
      </c>
      <c r="B659" t="str">
        <f>"29.51"</f>
        <v>29.51</v>
      </c>
      <c r="C659" t="str">
        <f>"29.5099"</f>
        <v>29.5099</v>
      </c>
    </row>
    <row r="660" spans="1:3" x14ac:dyDescent="0.25">
      <c r="A660" t="str">
        <f>"13/02/2012"</f>
        <v>13/02/2012</v>
      </c>
      <c r="B660" t="str">
        <f>"29.50"</f>
        <v>29.50</v>
      </c>
      <c r="C660" t="str">
        <f>"29.50"</f>
        <v>29.50</v>
      </c>
    </row>
    <row r="661" spans="1:3" x14ac:dyDescent="0.25">
      <c r="A661" t="str">
        <f>"14/02/2012"</f>
        <v>14/02/2012</v>
      </c>
      <c r="B661" t="str">
        <f>"29.57"</f>
        <v>29.57</v>
      </c>
      <c r="C661" t="str">
        <f>"29.5699"</f>
        <v>29.5699</v>
      </c>
    </row>
    <row r="662" spans="1:3" x14ac:dyDescent="0.25">
      <c r="A662" t="str">
        <f>"15/02/2012"</f>
        <v>15/02/2012</v>
      </c>
      <c r="B662" t="str">
        <f>"29.54"</f>
        <v>29.54</v>
      </c>
      <c r="C662" t="str">
        <f>"29.5399"</f>
        <v>29.5399</v>
      </c>
    </row>
    <row r="663" spans="1:3" x14ac:dyDescent="0.25">
      <c r="A663" t="str">
        <f>"16/02/2012"</f>
        <v>16/02/2012</v>
      </c>
      <c r="B663" t="str">
        <f>"29.58"</f>
        <v>29.58</v>
      </c>
      <c r="C663" t="str">
        <f>"29.5799"</f>
        <v>29.5799</v>
      </c>
    </row>
    <row r="664" spans="1:3" x14ac:dyDescent="0.25">
      <c r="A664" t="str">
        <f>"17/02/2012"</f>
        <v>17/02/2012</v>
      </c>
      <c r="B664" t="str">
        <f>"29.567"</f>
        <v>29.567</v>
      </c>
      <c r="C664" t="str">
        <f>"29.5669"</f>
        <v>29.5669</v>
      </c>
    </row>
    <row r="665" spans="1:3" x14ac:dyDescent="0.25">
      <c r="A665" t="str">
        <f>"21/02/2012"</f>
        <v>21/02/2012</v>
      </c>
      <c r="B665" t="str">
        <f>"29.57"</f>
        <v>29.57</v>
      </c>
      <c r="C665" t="str">
        <f>"29.57"</f>
        <v>29.57</v>
      </c>
    </row>
    <row r="666" spans="1:3" x14ac:dyDescent="0.25">
      <c r="A666" t="str">
        <f>"22/02/2012"</f>
        <v>22/02/2012</v>
      </c>
      <c r="B666" t="str">
        <f>"29.549"</f>
        <v>29.549</v>
      </c>
      <c r="C666" t="str">
        <f>"29.5489"</f>
        <v>29.5489</v>
      </c>
    </row>
    <row r="667" spans="1:3" x14ac:dyDescent="0.25">
      <c r="A667" t="str">
        <f>"23/02/2012"</f>
        <v>23/02/2012</v>
      </c>
      <c r="B667" t="str">
        <f>"29.57"</f>
        <v>29.57</v>
      </c>
      <c r="C667" t="str">
        <f>"29.5699"</f>
        <v>29.5699</v>
      </c>
    </row>
    <row r="668" spans="1:3" x14ac:dyDescent="0.25">
      <c r="A668" t="str">
        <f>"24/02/2012"</f>
        <v>24/02/2012</v>
      </c>
      <c r="B668" t="str">
        <f>"29.58"</f>
        <v>29.58</v>
      </c>
      <c r="C668" t="str">
        <f>"29.5799"</f>
        <v>29.5799</v>
      </c>
    </row>
    <row r="669" spans="1:3" x14ac:dyDescent="0.25">
      <c r="A669" t="str">
        <f>"27/02/2012"</f>
        <v>27/02/2012</v>
      </c>
      <c r="B669" t="str">
        <f>"29.634"</f>
        <v>29.634</v>
      </c>
      <c r="C669" t="str">
        <f>"29.6339"</f>
        <v>29.6339</v>
      </c>
    </row>
    <row r="670" spans="1:3" x14ac:dyDescent="0.25">
      <c r="A670" t="str">
        <f>"28/02/2012"</f>
        <v>28/02/2012</v>
      </c>
      <c r="B670" t="str">
        <f>"29.611"</f>
        <v>29.611</v>
      </c>
      <c r="C670" t="str">
        <f>"29.6109"</f>
        <v>29.6109</v>
      </c>
    </row>
    <row r="671" spans="1:3" x14ac:dyDescent="0.25">
      <c r="A671" t="str">
        <f t="shared" ref="A671" si="0">"29/02/2012"</f>
        <v>29/02/2012</v>
      </c>
      <c r="B671" t="str">
        <f t="shared" ref="B671:C671" si="1">"29.38"</f>
        <v>29.38</v>
      </c>
      <c r="C671" t="str">
        <f t="shared" si="1"/>
        <v>29.38</v>
      </c>
    </row>
    <row r="672" spans="1:3" x14ac:dyDescent="0.25">
      <c r="A672" t="str">
        <f>"01/03/2012"</f>
        <v>01/03/2012</v>
      </c>
      <c r="B672" t="str">
        <f>"29.41"</f>
        <v>29.41</v>
      </c>
      <c r="C672" t="str">
        <f>"29.41"</f>
        <v>29.41</v>
      </c>
    </row>
    <row r="673" spans="1:3" x14ac:dyDescent="0.25">
      <c r="A673" t="str">
        <f>"02/03/2012"</f>
        <v>02/03/2012</v>
      </c>
      <c r="B673" t="str">
        <f>"29.428"</f>
        <v>29.428</v>
      </c>
      <c r="C673" t="str">
        <f>"29.4279"</f>
        <v>29.4279</v>
      </c>
    </row>
    <row r="674" spans="1:3" x14ac:dyDescent="0.25">
      <c r="A674" t="str">
        <f>"05/03/2012"</f>
        <v>05/03/2012</v>
      </c>
      <c r="B674" t="str">
        <f>"29.51"</f>
        <v>29.51</v>
      </c>
      <c r="C674" t="str">
        <f>"29.51"</f>
        <v>29.51</v>
      </c>
    </row>
    <row r="675" spans="1:3" x14ac:dyDescent="0.25">
      <c r="A675" t="str">
        <f>"06/03/2012"</f>
        <v>06/03/2012</v>
      </c>
      <c r="B675" t="str">
        <f>"29.521"</f>
        <v>29.521</v>
      </c>
      <c r="C675" t="str">
        <f>"29.521"</f>
        <v>29.521</v>
      </c>
    </row>
    <row r="676" spans="1:3" x14ac:dyDescent="0.25">
      <c r="A676" t="str">
        <f>"07/03/2012"</f>
        <v>07/03/2012</v>
      </c>
      <c r="B676" t="str">
        <f>"29.525"</f>
        <v>29.525</v>
      </c>
      <c r="C676" t="str">
        <f>"29.525"</f>
        <v>29.525</v>
      </c>
    </row>
    <row r="677" spans="1:3" x14ac:dyDescent="0.25">
      <c r="A677" t="str">
        <f>"09/03/2012"</f>
        <v>09/03/2012</v>
      </c>
      <c r="B677" t="str">
        <f>"29.47"</f>
        <v>29.47</v>
      </c>
      <c r="C677" t="str">
        <f>"29.47"</f>
        <v>29.47</v>
      </c>
    </row>
    <row r="678" spans="1:3" x14ac:dyDescent="0.25">
      <c r="A678" t="str">
        <f>"12/03/2012"</f>
        <v>12/03/2012</v>
      </c>
      <c r="B678" t="str">
        <f>"29.517"</f>
        <v>29.517</v>
      </c>
      <c r="C678" t="str">
        <f>"29.517"</f>
        <v>29.517</v>
      </c>
    </row>
    <row r="679" spans="1:3" x14ac:dyDescent="0.25">
      <c r="A679" t="str">
        <f>"13/03/2012"</f>
        <v>13/03/2012</v>
      </c>
      <c r="B679" t="str">
        <f>"29.482"</f>
        <v>29.482</v>
      </c>
      <c r="C679" t="str">
        <f>"29.482"</f>
        <v>29.482</v>
      </c>
    </row>
    <row r="680" spans="1:3" x14ac:dyDescent="0.25">
      <c r="A680" t="str">
        <f>"14/03/2012"</f>
        <v>14/03/2012</v>
      </c>
      <c r="B680" t="str">
        <f>"29.522"</f>
        <v>29.522</v>
      </c>
      <c r="C680" t="str">
        <f>"29.522"</f>
        <v>29.522</v>
      </c>
    </row>
    <row r="681" spans="1:3" x14ac:dyDescent="0.25">
      <c r="A681" t="str">
        <f>"15/03/2012"</f>
        <v>15/03/2012</v>
      </c>
      <c r="B681" t="str">
        <f>"29.55"</f>
        <v>29.55</v>
      </c>
      <c r="C681" t="str">
        <f>"29.55"</f>
        <v>29.55</v>
      </c>
    </row>
    <row r="682" spans="1:3" x14ac:dyDescent="0.25">
      <c r="A682" t="str">
        <f>"16/03/2012"</f>
        <v>16/03/2012</v>
      </c>
      <c r="B682" t="str">
        <f>"29.539"</f>
        <v>29.539</v>
      </c>
      <c r="C682" t="str">
        <f>"29.539"</f>
        <v>29.539</v>
      </c>
    </row>
    <row r="683" spans="1:3" x14ac:dyDescent="0.25">
      <c r="A683" t="str">
        <f>"19/03/2012"</f>
        <v>19/03/2012</v>
      </c>
      <c r="B683" t="str">
        <f>"29.51"</f>
        <v>29.51</v>
      </c>
      <c r="C683" t="str">
        <f>"29.51"</f>
        <v>29.51</v>
      </c>
    </row>
    <row r="684" spans="1:3" x14ac:dyDescent="0.25">
      <c r="A684" t="str">
        <f>"20/03/2012"</f>
        <v>20/03/2012</v>
      </c>
      <c r="B684" t="str">
        <f>"29.517"</f>
        <v>29.517</v>
      </c>
      <c r="C684" t="str">
        <f>"29.517"</f>
        <v>29.517</v>
      </c>
    </row>
    <row r="685" spans="1:3" x14ac:dyDescent="0.25">
      <c r="A685" t="str">
        <f>"21/03/2012"</f>
        <v>21/03/2012</v>
      </c>
      <c r="B685" t="str">
        <f>"29.545"</f>
        <v>29.545</v>
      </c>
      <c r="C685" t="str">
        <f>"29.545"</f>
        <v>29.545</v>
      </c>
    </row>
    <row r="686" spans="1:3" x14ac:dyDescent="0.25">
      <c r="A686" t="str">
        <f>"22/03/2012"</f>
        <v>22/03/2012</v>
      </c>
      <c r="B686" t="str">
        <f>"29.615"</f>
        <v>29.615</v>
      </c>
      <c r="C686" t="str">
        <f>"29.615"</f>
        <v>29.615</v>
      </c>
    </row>
    <row r="687" spans="1:3" x14ac:dyDescent="0.25">
      <c r="A687" t="str">
        <f>"26/03/2012"</f>
        <v>26/03/2012</v>
      </c>
      <c r="B687" t="str">
        <f>"29.65"</f>
        <v>29.65</v>
      </c>
      <c r="C687" t="str">
        <f>"29.65"</f>
        <v>29.65</v>
      </c>
    </row>
    <row r="688" spans="1:3" x14ac:dyDescent="0.25">
      <c r="A688" t="str">
        <f>"27/03/2012"</f>
        <v>27/03/2012</v>
      </c>
      <c r="B688" t="str">
        <f>"29.576"</f>
        <v>29.576</v>
      </c>
      <c r="C688" t="str">
        <f>"29.576"</f>
        <v>29.576</v>
      </c>
    </row>
    <row r="689" spans="1:3" x14ac:dyDescent="0.25">
      <c r="A689" t="str">
        <f>"28/03/2012"</f>
        <v>28/03/2012</v>
      </c>
      <c r="B689" t="str">
        <f>"29.545"</f>
        <v>29.545</v>
      </c>
      <c r="C689" t="str">
        <f>"29.545"</f>
        <v>29.545</v>
      </c>
    </row>
    <row r="690" spans="1:3" x14ac:dyDescent="0.25">
      <c r="A690" t="str">
        <f>"29/03/2012"</f>
        <v>29/03/2012</v>
      </c>
      <c r="B690" t="str">
        <f>"29.565"</f>
        <v>29.565</v>
      </c>
      <c r="C690" t="str">
        <f>"29.565"</f>
        <v>29.565</v>
      </c>
    </row>
    <row r="691" spans="1:3" x14ac:dyDescent="0.25">
      <c r="A691" t="str">
        <f>"30/03/2012"</f>
        <v>30/03/2012</v>
      </c>
      <c r="B691" t="str">
        <f>"29.532"</f>
        <v>29.532</v>
      </c>
      <c r="C691" t="str">
        <f>"29.532"</f>
        <v>29.532</v>
      </c>
    </row>
    <row r="692" spans="1:3" x14ac:dyDescent="0.25">
      <c r="A692" t="str">
        <f>"03/04/2012"</f>
        <v>03/04/2012</v>
      </c>
      <c r="B692" t="str">
        <f>"29.47"</f>
        <v>29.47</v>
      </c>
      <c r="C692" t="str">
        <f>"29.47"</f>
        <v>29.47</v>
      </c>
    </row>
    <row r="693" spans="1:3" x14ac:dyDescent="0.25">
      <c r="A693" t="str">
        <f>"04/04/2012"</f>
        <v>04/04/2012</v>
      </c>
      <c r="B693" t="str">
        <f>"29.51"</f>
        <v>29.51</v>
      </c>
      <c r="C693" t="str">
        <f>"29.51"</f>
        <v>29.51</v>
      </c>
    </row>
    <row r="694" spans="1:3" x14ac:dyDescent="0.25">
      <c r="A694" t="str">
        <f>"10/04/2012"</f>
        <v>10/04/2012</v>
      </c>
      <c r="B694" t="str">
        <f>"29.516"</f>
        <v>29.516</v>
      </c>
      <c r="C694" t="str">
        <f>"29.516"</f>
        <v>29.516</v>
      </c>
    </row>
    <row r="695" spans="1:3" x14ac:dyDescent="0.25">
      <c r="A695" t="str">
        <f>"11/04/2012"</f>
        <v>11/04/2012</v>
      </c>
      <c r="B695" t="str">
        <f>"29.51"</f>
        <v>29.51</v>
      </c>
      <c r="C695" t="str">
        <f>"29.51"</f>
        <v>29.51</v>
      </c>
    </row>
    <row r="696" spans="1:3" x14ac:dyDescent="0.25">
      <c r="A696" t="str">
        <f>"12/04/2012"</f>
        <v>12/04/2012</v>
      </c>
      <c r="B696" t="str">
        <f>"29.517"</f>
        <v>29.517</v>
      </c>
      <c r="C696" t="str">
        <f>"29.517"</f>
        <v>29.517</v>
      </c>
    </row>
    <row r="697" spans="1:3" x14ac:dyDescent="0.25">
      <c r="A697" t="str">
        <f>"13/04/2012"</f>
        <v>13/04/2012</v>
      </c>
      <c r="B697" t="str">
        <f>"29.503"</f>
        <v>29.503</v>
      </c>
      <c r="C697" t="str">
        <f>"29.503"</f>
        <v>29.503</v>
      </c>
    </row>
    <row r="698" spans="1:3" x14ac:dyDescent="0.25">
      <c r="A698" t="str">
        <f>"16/04/2012"</f>
        <v>16/04/2012</v>
      </c>
      <c r="B698" t="str">
        <f>"29.522"</f>
        <v>29.522</v>
      </c>
      <c r="C698" t="str">
        <f>"29.522"</f>
        <v>29.522</v>
      </c>
    </row>
    <row r="699" spans="1:3" x14ac:dyDescent="0.25">
      <c r="A699" t="str">
        <f>"17/04/2012"</f>
        <v>17/04/2012</v>
      </c>
      <c r="B699" t="str">
        <f>"29.514"</f>
        <v>29.514</v>
      </c>
      <c r="C699" t="str">
        <f>"29.514"</f>
        <v>29.514</v>
      </c>
    </row>
    <row r="700" spans="1:3" x14ac:dyDescent="0.25">
      <c r="A700" t="str">
        <f>"18/04/2012"</f>
        <v>18/04/2012</v>
      </c>
      <c r="B700" t="str">
        <f>"29.51"</f>
        <v>29.51</v>
      </c>
      <c r="C700" t="str">
        <f>"29.51"</f>
        <v>29.51</v>
      </c>
    </row>
    <row r="701" spans="1:3" x14ac:dyDescent="0.25">
      <c r="A701" t="str">
        <f>"19/04/2012"</f>
        <v>19/04/2012</v>
      </c>
      <c r="B701" t="str">
        <f>"29.505"</f>
        <v>29.505</v>
      </c>
      <c r="C701" t="str">
        <f>"29.505"</f>
        <v>29.505</v>
      </c>
    </row>
    <row r="702" spans="1:3" x14ac:dyDescent="0.25">
      <c r="A702" t="str">
        <f>"20/04/2012"</f>
        <v>20/04/2012</v>
      </c>
      <c r="B702" t="str">
        <f>"29.502"</f>
        <v>29.502</v>
      </c>
      <c r="C702" t="str">
        <f>"29.502"</f>
        <v>29.502</v>
      </c>
    </row>
    <row r="703" spans="1:3" x14ac:dyDescent="0.25">
      <c r="A703" t="str">
        <f>"23/04/2012"</f>
        <v>23/04/2012</v>
      </c>
      <c r="B703" t="str">
        <f>"29.491"</f>
        <v>29.491</v>
      </c>
      <c r="C703" t="str">
        <f>"29.491"</f>
        <v>29.491</v>
      </c>
    </row>
    <row r="704" spans="1:3" x14ac:dyDescent="0.25">
      <c r="A704" t="str">
        <f>"24/04/2012"</f>
        <v>24/04/2012</v>
      </c>
      <c r="B704" t="str">
        <f>"29.49"</f>
        <v>29.49</v>
      </c>
      <c r="C704" t="str">
        <f>"29.49"</f>
        <v>29.49</v>
      </c>
    </row>
    <row r="705" spans="1:3" x14ac:dyDescent="0.25">
      <c r="A705" t="str">
        <f>"25/04/2012"</f>
        <v>25/04/2012</v>
      </c>
      <c r="B705" t="str">
        <f>"29.47"</f>
        <v>29.47</v>
      </c>
      <c r="C705" t="str">
        <f>"29.47"</f>
        <v>29.47</v>
      </c>
    </row>
    <row r="706" spans="1:3" x14ac:dyDescent="0.25">
      <c r="A706" t="str">
        <f>"26/04/2012"</f>
        <v>26/04/2012</v>
      </c>
      <c r="B706" t="str">
        <f>"29.39"</f>
        <v>29.39</v>
      </c>
      <c r="C706" t="str">
        <f>"29.39"</f>
        <v>29.39</v>
      </c>
    </row>
    <row r="707" spans="1:3" x14ac:dyDescent="0.25">
      <c r="A707" t="str">
        <f>"27/04/2012"</f>
        <v>27/04/2012</v>
      </c>
      <c r="B707" t="str">
        <f>"29.246"</f>
        <v>29.246</v>
      </c>
      <c r="C707" t="str">
        <f>"29.246"</f>
        <v>29.246</v>
      </c>
    </row>
    <row r="708" spans="1:3" x14ac:dyDescent="0.25">
      <c r="A708" t="str">
        <f>"30/04/2012"</f>
        <v>30/04/2012</v>
      </c>
      <c r="B708" t="str">
        <f>"29.155"</f>
        <v>29.155</v>
      </c>
      <c r="C708" t="str">
        <f>"29.155"</f>
        <v>29.155</v>
      </c>
    </row>
    <row r="709" spans="1:3" x14ac:dyDescent="0.25">
      <c r="A709" t="str">
        <f>"02/05/2012"</f>
        <v>02/05/2012</v>
      </c>
      <c r="B709" t="str">
        <f>"29.20"</f>
        <v>29.20</v>
      </c>
      <c r="C709" t="str">
        <f>"29.20"</f>
        <v>29.20</v>
      </c>
    </row>
    <row r="710" spans="1:3" x14ac:dyDescent="0.25">
      <c r="A710" t="str">
        <f>"03/05/2012"</f>
        <v>03/05/2012</v>
      </c>
      <c r="B710" t="str">
        <f>"29.225"</f>
        <v>29.225</v>
      </c>
      <c r="C710" t="str">
        <f>"29.225"</f>
        <v>29.225</v>
      </c>
    </row>
    <row r="711" spans="1:3" x14ac:dyDescent="0.25">
      <c r="A711" t="str">
        <f>"04/05/2012"</f>
        <v>04/05/2012</v>
      </c>
      <c r="B711" t="str">
        <f>"29.235"</f>
        <v>29.235</v>
      </c>
      <c r="C711" t="str">
        <f>"29.235"</f>
        <v>29.235</v>
      </c>
    </row>
    <row r="712" spans="1:3" x14ac:dyDescent="0.25">
      <c r="A712" t="str">
        <f>"07/05/2012"</f>
        <v>07/05/2012</v>
      </c>
      <c r="B712" t="str">
        <f>"29.335"</f>
        <v>29.335</v>
      </c>
      <c r="C712" t="str">
        <f>"29.335"</f>
        <v>29.335</v>
      </c>
    </row>
    <row r="713" spans="1:3" x14ac:dyDescent="0.25">
      <c r="A713" t="str">
        <f>"08/05/2012"</f>
        <v>08/05/2012</v>
      </c>
      <c r="B713" t="str">
        <f>"29.315"</f>
        <v>29.315</v>
      </c>
      <c r="C713" t="str">
        <f>"29.315"</f>
        <v>29.315</v>
      </c>
    </row>
    <row r="714" spans="1:3" x14ac:dyDescent="0.25">
      <c r="A714" t="str">
        <f>"09/05/2012"</f>
        <v>09/05/2012</v>
      </c>
      <c r="B714" t="str">
        <f>"29.364"</f>
        <v>29.364</v>
      </c>
      <c r="C714" t="str">
        <f>"29.364"</f>
        <v>29.364</v>
      </c>
    </row>
    <row r="715" spans="1:3" x14ac:dyDescent="0.25">
      <c r="A715" t="str">
        <f>"10/05/2012"</f>
        <v>10/05/2012</v>
      </c>
      <c r="B715" t="str">
        <f>"29.353"</f>
        <v>29.353</v>
      </c>
      <c r="C715" t="str">
        <f>"29.353"</f>
        <v>29.353</v>
      </c>
    </row>
    <row r="716" spans="1:3" x14ac:dyDescent="0.25">
      <c r="A716" t="str">
        <f>"11/05/2012"</f>
        <v>11/05/2012</v>
      </c>
      <c r="B716" t="str">
        <f>"29.372"</f>
        <v>29.372</v>
      </c>
      <c r="C716" t="str">
        <f>"29.372"</f>
        <v>29.372</v>
      </c>
    </row>
    <row r="717" spans="1:3" x14ac:dyDescent="0.25">
      <c r="A717" t="str">
        <f>"14/05/2012"</f>
        <v>14/05/2012</v>
      </c>
      <c r="B717" t="str">
        <f>"29.537"</f>
        <v>29.537</v>
      </c>
      <c r="C717" t="str">
        <f>"29.537"</f>
        <v>29.537</v>
      </c>
    </row>
    <row r="718" spans="1:3" x14ac:dyDescent="0.25">
      <c r="A718" t="str">
        <f>"15/05/2012"</f>
        <v>15/05/2012</v>
      </c>
      <c r="B718" t="str">
        <f>"29.507"</f>
        <v>29.507</v>
      </c>
      <c r="C718" t="str">
        <f>"29.507"</f>
        <v>29.507</v>
      </c>
    </row>
    <row r="719" spans="1:3" x14ac:dyDescent="0.25">
      <c r="A719" t="str">
        <f>"16/05/2012"</f>
        <v>16/05/2012</v>
      </c>
      <c r="B719" t="str">
        <f>"29.595"</f>
        <v>29.595</v>
      </c>
      <c r="C719" t="str">
        <f>"29.595"</f>
        <v>29.595</v>
      </c>
    </row>
    <row r="720" spans="1:3" x14ac:dyDescent="0.25">
      <c r="A720" t="str">
        <f>"17/05/2012"</f>
        <v>17/05/2012</v>
      </c>
      <c r="B720" t="str">
        <f>"29.51"</f>
        <v>29.51</v>
      </c>
      <c r="C720" t="str">
        <f>"29.51"</f>
        <v>29.51</v>
      </c>
    </row>
    <row r="721" spans="1:3" x14ac:dyDescent="0.25">
      <c r="A721" t="str">
        <f>"18/05/2012"</f>
        <v>18/05/2012</v>
      </c>
      <c r="B721" t="str">
        <f>"29.61"</f>
        <v>29.61</v>
      </c>
      <c r="C721" t="str">
        <f>"29.61"</f>
        <v>29.61</v>
      </c>
    </row>
    <row r="722" spans="1:3" x14ac:dyDescent="0.25">
      <c r="A722" t="str">
        <f>"21/05/2012"</f>
        <v>21/05/2012</v>
      </c>
      <c r="B722" t="str">
        <f>"29.55"</f>
        <v>29.55</v>
      </c>
      <c r="C722" t="str">
        <f>"29.55"</f>
        <v>29.55</v>
      </c>
    </row>
    <row r="723" spans="1:3" x14ac:dyDescent="0.25">
      <c r="A723" t="str">
        <f>"22/05/2012"</f>
        <v>22/05/2012</v>
      </c>
      <c r="B723" t="str">
        <f>"29.54"</f>
        <v>29.54</v>
      </c>
      <c r="C723" t="str">
        <f>"29.54"</f>
        <v>29.54</v>
      </c>
    </row>
    <row r="724" spans="1:3" x14ac:dyDescent="0.25">
      <c r="A724" t="str">
        <f>"23/05/2012"</f>
        <v>23/05/2012</v>
      </c>
      <c r="B724" t="str">
        <f>"29.545"</f>
        <v>29.545</v>
      </c>
      <c r="C724" t="str">
        <f>"29.545"</f>
        <v>29.545</v>
      </c>
    </row>
    <row r="725" spans="1:3" x14ac:dyDescent="0.25">
      <c r="A725" t="str">
        <f>"24/05/2012"</f>
        <v>24/05/2012</v>
      </c>
      <c r="B725" t="str">
        <f>"29.586"</f>
        <v>29.586</v>
      </c>
      <c r="C725" t="str">
        <f>"29.586"</f>
        <v>29.586</v>
      </c>
    </row>
    <row r="726" spans="1:3" x14ac:dyDescent="0.25">
      <c r="A726" t="str">
        <f>"25/05/2012"</f>
        <v>25/05/2012</v>
      </c>
      <c r="B726" t="str">
        <f>"29.63"</f>
        <v>29.63</v>
      </c>
      <c r="C726" t="str">
        <f>"29.63"</f>
        <v>29.63</v>
      </c>
    </row>
    <row r="727" spans="1:3" x14ac:dyDescent="0.25">
      <c r="A727" t="str">
        <f>"28/05/2012"</f>
        <v>28/05/2012</v>
      </c>
      <c r="B727" t="str">
        <f>"29.61"</f>
        <v>29.61</v>
      </c>
      <c r="C727" t="str">
        <f>"29.6099"</f>
        <v>29.6099</v>
      </c>
    </row>
    <row r="728" spans="1:3" x14ac:dyDescent="0.25">
      <c r="A728" t="str">
        <f>"29/05/2012"</f>
        <v>29/05/2012</v>
      </c>
      <c r="B728" t="str">
        <f>"29.614"</f>
        <v>29.614</v>
      </c>
      <c r="C728" t="str">
        <f>"29.614"</f>
        <v>29.614</v>
      </c>
    </row>
    <row r="729" spans="1:3" x14ac:dyDescent="0.25">
      <c r="A729" t="str">
        <f>"30/05/2012"</f>
        <v>30/05/2012</v>
      </c>
      <c r="B729" t="str">
        <f>"29.704"</f>
        <v>29.704</v>
      </c>
      <c r="C729" t="str">
        <f>"29.7039"</f>
        <v>29.7039</v>
      </c>
    </row>
    <row r="730" spans="1:3" x14ac:dyDescent="0.25">
      <c r="A730" t="str">
        <f>"31/05/2012"</f>
        <v>31/05/2012</v>
      </c>
      <c r="B730" t="str">
        <f>"29.859"</f>
        <v>29.859</v>
      </c>
      <c r="C730" t="str">
        <f>"29.8589"</f>
        <v>29.8589</v>
      </c>
    </row>
    <row r="731" spans="1:3" x14ac:dyDescent="0.25">
      <c r="A731" t="str">
        <f>"01/06/2012"</f>
        <v>01/06/2012</v>
      </c>
      <c r="B731" t="str">
        <f>"30.00"</f>
        <v>30.00</v>
      </c>
      <c r="C731" t="str">
        <f>"29.9999"</f>
        <v>29.9999</v>
      </c>
    </row>
    <row r="732" spans="1:3" x14ac:dyDescent="0.25">
      <c r="A732" t="str">
        <f>"04/06/2012"</f>
        <v>04/06/2012</v>
      </c>
      <c r="B732" t="str">
        <f>"30.043"</f>
        <v>30.043</v>
      </c>
      <c r="C732" t="str">
        <f>"30.043"</f>
        <v>30.043</v>
      </c>
    </row>
    <row r="733" spans="1:3" x14ac:dyDescent="0.25">
      <c r="A733" t="str">
        <f>"05/06/2012"</f>
        <v>05/06/2012</v>
      </c>
      <c r="B733" t="str">
        <f>"29.995"</f>
        <v>29.995</v>
      </c>
      <c r="C733" t="str">
        <f>"29.995"</f>
        <v>29.995</v>
      </c>
    </row>
    <row r="734" spans="1:3" x14ac:dyDescent="0.25">
      <c r="A734" t="str">
        <f>"06/06/2012"</f>
        <v>06/06/2012</v>
      </c>
      <c r="B734" t="str">
        <f>"29.89"</f>
        <v>29.89</v>
      </c>
      <c r="C734" t="str">
        <f>"29.89"</f>
        <v>29.89</v>
      </c>
    </row>
    <row r="735" spans="1:3" x14ac:dyDescent="0.25">
      <c r="A735" t="str">
        <f>"07/06/2012"</f>
        <v>07/06/2012</v>
      </c>
      <c r="B735" t="str">
        <f>"29.85"</f>
        <v>29.85</v>
      </c>
      <c r="C735" t="str">
        <f>"29.8499"</f>
        <v>29.8499</v>
      </c>
    </row>
    <row r="736" spans="1:3" x14ac:dyDescent="0.25">
      <c r="A736" t="str">
        <f>"08/06/2012"</f>
        <v>08/06/2012</v>
      </c>
      <c r="B736" t="str">
        <f>"29.93"</f>
        <v>29.93</v>
      </c>
      <c r="C736" t="str">
        <f>"29.93"</f>
        <v>29.93</v>
      </c>
    </row>
    <row r="737" spans="1:3" x14ac:dyDescent="0.25">
      <c r="A737" t="str">
        <f>"11/06/2012"</f>
        <v>11/06/2012</v>
      </c>
      <c r="B737" t="str">
        <f>"29.896"</f>
        <v>29.896</v>
      </c>
      <c r="C737" t="str">
        <f>"29.896"</f>
        <v>29.896</v>
      </c>
    </row>
    <row r="738" spans="1:3" x14ac:dyDescent="0.25">
      <c r="A738" t="str">
        <f>"12/06/2012"</f>
        <v>12/06/2012</v>
      </c>
      <c r="B738" t="str">
        <f>"29.992"</f>
        <v>29.992</v>
      </c>
      <c r="C738" t="str">
        <f>"29.992"</f>
        <v>29.992</v>
      </c>
    </row>
    <row r="739" spans="1:3" x14ac:dyDescent="0.25">
      <c r="A739" t="str">
        <f>"13/06/2012"</f>
        <v>13/06/2012</v>
      </c>
      <c r="B739" t="str">
        <f>"29.969"</f>
        <v>29.969</v>
      </c>
      <c r="C739" t="str">
        <f>"29.9689"</f>
        <v>29.9689</v>
      </c>
    </row>
    <row r="740" spans="1:3" x14ac:dyDescent="0.25">
      <c r="A740" t="str">
        <f>"14/06/2012"</f>
        <v>14/06/2012</v>
      </c>
      <c r="B740" t="str">
        <f>"29.98"</f>
        <v>29.98</v>
      </c>
      <c r="C740" t="str">
        <f>"29.98"</f>
        <v>29.98</v>
      </c>
    </row>
    <row r="741" spans="1:3" x14ac:dyDescent="0.25">
      <c r="A741" t="str">
        <f>"15/06/2012"</f>
        <v>15/06/2012</v>
      </c>
      <c r="B741" t="str">
        <f>"29.90"</f>
        <v>29.90</v>
      </c>
      <c r="C741" t="str">
        <f>"29.90"</f>
        <v>29.90</v>
      </c>
    </row>
    <row r="742" spans="1:3" x14ac:dyDescent="0.25">
      <c r="A742" t="str">
        <f>"18/06/2012"</f>
        <v>18/06/2012</v>
      </c>
      <c r="B742" t="str">
        <f>"29.852"</f>
        <v>29.852</v>
      </c>
      <c r="C742" t="str">
        <f>"29.8519"</f>
        <v>29.8519</v>
      </c>
    </row>
    <row r="743" spans="1:3" x14ac:dyDescent="0.25">
      <c r="A743" t="str">
        <f>"19/06/2012"</f>
        <v>19/06/2012</v>
      </c>
      <c r="B743" t="str">
        <f>"29.85"</f>
        <v>29.85</v>
      </c>
      <c r="C743" t="str">
        <f>"29.8495"</f>
        <v>29.8495</v>
      </c>
    </row>
    <row r="744" spans="1:3" x14ac:dyDescent="0.25">
      <c r="A744" t="str">
        <f>"20/06/2012"</f>
        <v>20/06/2012</v>
      </c>
      <c r="B744" t="str">
        <f>"29.87"</f>
        <v>29.87</v>
      </c>
      <c r="C744" t="str">
        <f>"29.87"</f>
        <v>29.87</v>
      </c>
    </row>
    <row r="745" spans="1:3" x14ac:dyDescent="0.25">
      <c r="A745" t="str">
        <f>"21/06/2012"</f>
        <v>21/06/2012</v>
      </c>
      <c r="B745" t="str">
        <f>"29.88"</f>
        <v>29.88</v>
      </c>
      <c r="C745" t="str">
        <f>"29.88"</f>
        <v>29.88</v>
      </c>
    </row>
    <row r="746" spans="1:3" x14ac:dyDescent="0.25">
      <c r="A746" t="str">
        <f>"22/06/2012"</f>
        <v>22/06/2012</v>
      </c>
      <c r="B746" t="str">
        <f>"29.985"</f>
        <v>29.985</v>
      </c>
      <c r="C746" t="str">
        <f>"29.985"</f>
        <v>29.985</v>
      </c>
    </row>
    <row r="747" spans="1:3" x14ac:dyDescent="0.25">
      <c r="A747" t="str">
        <f>"25/06/2012"</f>
        <v>25/06/2012</v>
      </c>
      <c r="B747" t="str">
        <f>"29.965"</f>
        <v>29.965</v>
      </c>
      <c r="C747" t="str">
        <f>"29.965"</f>
        <v>29.965</v>
      </c>
    </row>
    <row r="748" spans="1:3" x14ac:dyDescent="0.25">
      <c r="A748" t="str">
        <f>"26/06/2012"</f>
        <v>26/06/2012</v>
      </c>
      <c r="B748" t="str">
        <f>"29.99"</f>
        <v>29.99</v>
      </c>
      <c r="C748" t="str">
        <f>"29.9899"</f>
        <v>29.9899</v>
      </c>
    </row>
    <row r="749" spans="1:3" x14ac:dyDescent="0.25">
      <c r="A749" t="str">
        <f>"27/06/2012"</f>
        <v>27/06/2012</v>
      </c>
      <c r="B749" t="str">
        <f>"29.93"</f>
        <v>29.93</v>
      </c>
      <c r="C749" t="str">
        <f>"29.93"</f>
        <v>29.93</v>
      </c>
    </row>
    <row r="750" spans="1:3" x14ac:dyDescent="0.25">
      <c r="A750" t="str">
        <f>"28/06/2012"</f>
        <v>28/06/2012</v>
      </c>
      <c r="B750" t="str">
        <f>"29.90"</f>
        <v>29.90</v>
      </c>
      <c r="C750" t="str">
        <f>"29.8999"</f>
        <v>29.8999</v>
      </c>
    </row>
    <row r="751" spans="1:3" x14ac:dyDescent="0.25">
      <c r="A751" t="str">
        <f>"29/06/2012"</f>
        <v>29/06/2012</v>
      </c>
      <c r="B751" t="str">
        <f t="shared" ref="B751:C751" si="2">"29.875"</f>
        <v>29.875</v>
      </c>
      <c r="C751" t="str">
        <f t="shared" si="2"/>
        <v>29.875</v>
      </c>
    </row>
    <row r="752" spans="1:3" x14ac:dyDescent="0.25">
      <c r="A752" t="str">
        <f>"02/07/2012"</f>
        <v>02/07/2012</v>
      </c>
      <c r="B752" t="str">
        <f>"29.885"</f>
        <v>29.885</v>
      </c>
      <c r="C752" t="str">
        <f>"29.885"</f>
        <v>29.885</v>
      </c>
    </row>
    <row r="753" spans="1:3" x14ac:dyDescent="0.25">
      <c r="A753" t="str">
        <f>"03/07/2012"</f>
        <v>03/07/2012</v>
      </c>
      <c r="B753" t="str">
        <f>"29.875"</f>
        <v>29.875</v>
      </c>
      <c r="C753" t="str">
        <f>"29.875"</f>
        <v>29.875</v>
      </c>
    </row>
    <row r="754" spans="1:3" x14ac:dyDescent="0.25">
      <c r="A754" t="str">
        <f>"04/07/2012"</f>
        <v>04/07/2012</v>
      </c>
      <c r="B754" t="str">
        <f>"29.835"</f>
        <v>29.835</v>
      </c>
      <c r="C754" t="str">
        <f>"29.835"</f>
        <v>29.835</v>
      </c>
    </row>
    <row r="755" spans="1:3" x14ac:dyDescent="0.25">
      <c r="A755" t="str">
        <f>"05/07/2012"</f>
        <v>05/07/2012</v>
      </c>
      <c r="B755" t="str">
        <f>"29.875"</f>
        <v>29.875</v>
      </c>
      <c r="C755" t="str">
        <f>"29.875"</f>
        <v>29.875</v>
      </c>
    </row>
    <row r="756" spans="1:3" x14ac:dyDescent="0.25">
      <c r="A756" t="str">
        <f>"06/07/2012"</f>
        <v>06/07/2012</v>
      </c>
      <c r="B756" t="str">
        <f>"29.883"</f>
        <v>29.883</v>
      </c>
      <c r="C756" t="str">
        <f>"29.8829"</f>
        <v>29.8829</v>
      </c>
    </row>
    <row r="757" spans="1:3" x14ac:dyDescent="0.25">
      <c r="A757" t="str">
        <f>"09/07/2012"</f>
        <v>09/07/2012</v>
      </c>
      <c r="B757" t="str">
        <f>"29.931"</f>
        <v>29.931</v>
      </c>
      <c r="C757" t="str">
        <f>"29.931"</f>
        <v>29.931</v>
      </c>
    </row>
    <row r="758" spans="1:3" x14ac:dyDescent="0.25">
      <c r="A758" t="str">
        <f>"10/07/2012"</f>
        <v>10/07/2012</v>
      </c>
      <c r="B758" t="str">
        <f>"29.939"</f>
        <v>29.939</v>
      </c>
      <c r="C758" t="str">
        <f>"29.9389"</f>
        <v>29.9389</v>
      </c>
    </row>
    <row r="759" spans="1:3" x14ac:dyDescent="0.25">
      <c r="A759" t="str">
        <f>"11/07/2012"</f>
        <v>11/07/2012</v>
      </c>
      <c r="B759" t="str">
        <f>"29.963"</f>
        <v>29.963</v>
      </c>
      <c r="C759" t="str">
        <f>"29.9629"</f>
        <v>29.9629</v>
      </c>
    </row>
    <row r="760" spans="1:3" x14ac:dyDescent="0.25">
      <c r="A760" t="str">
        <f>"12/07/2012"</f>
        <v>12/07/2012</v>
      </c>
      <c r="B760" t="str">
        <f>"29.962"</f>
        <v>29.962</v>
      </c>
      <c r="C760" t="str">
        <f>"29.9619"</f>
        <v>29.9619</v>
      </c>
    </row>
    <row r="761" spans="1:3" x14ac:dyDescent="0.25">
      <c r="A761" t="str">
        <f>"13/07/2012"</f>
        <v>13/07/2012</v>
      </c>
      <c r="B761" t="str">
        <f>"29.98"</f>
        <v>29.98</v>
      </c>
      <c r="C761" t="str">
        <f>"29.9799"</f>
        <v>29.9799</v>
      </c>
    </row>
    <row r="762" spans="1:3" x14ac:dyDescent="0.25">
      <c r="A762" t="str">
        <f>"16/07/2012"</f>
        <v>16/07/2012</v>
      </c>
      <c r="B762" t="str">
        <f>"30.02"</f>
        <v>30.02</v>
      </c>
      <c r="C762" t="str">
        <f>"30.0199"</f>
        <v>30.0199</v>
      </c>
    </row>
    <row r="763" spans="1:3" x14ac:dyDescent="0.25">
      <c r="A763" t="str">
        <f>"17/07/2012"</f>
        <v>17/07/2012</v>
      </c>
      <c r="B763" t="str">
        <f>"29.971"</f>
        <v>29.971</v>
      </c>
      <c r="C763" t="str">
        <f>"29.9709"</f>
        <v>29.9709</v>
      </c>
    </row>
    <row r="764" spans="1:3" x14ac:dyDescent="0.25">
      <c r="A764" t="str">
        <f>"18/07/2012"</f>
        <v>18/07/2012</v>
      </c>
      <c r="B764" t="str">
        <f>"29.982"</f>
        <v>29.982</v>
      </c>
      <c r="C764" t="str">
        <f>"29.982"</f>
        <v>29.982</v>
      </c>
    </row>
    <row r="765" spans="1:3" x14ac:dyDescent="0.25">
      <c r="A765" t="str">
        <f>"19/07/2012"</f>
        <v>19/07/2012</v>
      </c>
      <c r="B765" t="str">
        <f>"29.97"</f>
        <v>29.97</v>
      </c>
      <c r="C765" t="str">
        <f>"29.9699"</f>
        <v>29.9699</v>
      </c>
    </row>
    <row r="766" spans="1:3" x14ac:dyDescent="0.25">
      <c r="A766" t="str">
        <f>"20/07/2012"</f>
        <v>20/07/2012</v>
      </c>
      <c r="B766" t="str">
        <f>"30.004"</f>
        <v>30.004</v>
      </c>
      <c r="C766" t="str">
        <f>"30.0039"</f>
        <v>30.0039</v>
      </c>
    </row>
    <row r="767" spans="1:3" x14ac:dyDescent="0.25">
      <c r="A767" t="str">
        <f>"23/07/2012"</f>
        <v>23/07/2012</v>
      </c>
      <c r="B767" t="str">
        <f>"30.08"</f>
        <v>30.08</v>
      </c>
      <c r="C767" t="str">
        <f>"30.08"</f>
        <v>30.08</v>
      </c>
    </row>
    <row r="768" spans="1:3" x14ac:dyDescent="0.25">
      <c r="A768" t="str">
        <f>"24/07/2012"</f>
        <v>24/07/2012</v>
      </c>
      <c r="B768" t="str">
        <f>"30.096"</f>
        <v>30.096</v>
      </c>
      <c r="C768" t="str">
        <f>"30.096"</f>
        <v>30.096</v>
      </c>
    </row>
    <row r="769" spans="1:3" x14ac:dyDescent="0.25">
      <c r="A769" t="str">
        <f>"25/07/2012"</f>
        <v>25/07/2012</v>
      </c>
      <c r="B769" t="str">
        <f>"30.14"</f>
        <v>30.14</v>
      </c>
      <c r="C769" t="str">
        <f>"30.14"</f>
        <v>30.14</v>
      </c>
    </row>
    <row r="770" spans="1:3" x14ac:dyDescent="0.25">
      <c r="A770" t="str">
        <f>"26/07/2012"</f>
        <v>26/07/2012</v>
      </c>
      <c r="B770" t="str">
        <f>"30.135"</f>
        <v>30.135</v>
      </c>
      <c r="C770" t="str">
        <f>"30.135"</f>
        <v>30.135</v>
      </c>
    </row>
    <row r="771" spans="1:3" x14ac:dyDescent="0.25">
      <c r="A771" t="str">
        <f>"27/07/2012"</f>
        <v>27/07/2012</v>
      </c>
      <c r="B771" t="str">
        <f>"30.083"</f>
        <v>30.083</v>
      </c>
      <c r="C771" t="str">
        <f>"30.083"</f>
        <v>30.083</v>
      </c>
    </row>
    <row r="772" spans="1:3" x14ac:dyDescent="0.25">
      <c r="A772" t="str">
        <f>"30/07/2012"</f>
        <v>30/07/2012</v>
      </c>
      <c r="B772" t="str">
        <f>"30.071"</f>
        <v>30.071</v>
      </c>
      <c r="C772" t="str">
        <f>"30.071"</f>
        <v>30.071</v>
      </c>
    </row>
    <row r="773" spans="1:3" x14ac:dyDescent="0.25">
      <c r="A773" t="str">
        <f>"31/07/2012"</f>
        <v>31/07/2012</v>
      </c>
      <c r="B773" t="str">
        <f>"29.978"</f>
        <v>29.978</v>
      </c>
      <c r="C773" t="str">
        <f>"29.978"</f>
        <v>29.978</v>
      </c>
    </row>
    <row r="774" spans="1:3" x14ac:dyDescent="0.25">
      <c r="A774" t="str">
        <f>"01/08/2012"</f>
        <v>01/08/2012</v>
      </c>
      <c r="B774" t="str">
        <f>"29.965"</f>
        <v>29.965</v>
      </c>
      <c r="C774" t="str">
        <f>"29.965"</f>
        <v>29.965</v>
      </c>
    </row>
    <row r="775" spans="1:3" x14ac:dyDescent="0.25">
      <c r="A775" t="str">
        <f>"02/08/2012"</f>
        <v>02/08/2012</v>
      </c>
      <c r="B775" t="str">
        <f>"29.995"</f>
        <v>29.995</v>
      </c>
      <c r="C775" t="str">
        <f>"29.995"</f>
        <v>29.995</v>
      </c>
    </row>
    <row r="776" spans="1:3" x14ac:dyDescent="0.25">
      <c r="A776" t="str">
        <f>"03/08/2012"</f>
        <v>03/08/2012</v>
      </c>
      <c r="B776" t="str">
        <f>"29.989"</f>
        <v>29.989</v>
      </c>
      <c r="C776" t="str">
        <f>"29.989"</f>
        <v>29.989</v>
      </c>
    </row>
    <row r="777" spans="1:3" x14ac:dyDescent="0.25">
      <c r="A777" t="str">
        <f>"06/08/2012"</f>
        <v>06/08/2012</v>
      </c>
      <c r="B777" t="str">
        <f>"29.964"</f>
        <v>29.964</v>
      </c>
      <c r="C777" t="str">
        <f>"29.964"</f>
        <v>29.964</v>
      </c>
    </row>
    <row r="778" spans="1:3" x14ac:dyDescent="0.25">
      <c r="A778" t="str">
        <f>"07/08/2012"</f>
        <v>07/08/2012</v>
      </c>
      <c r="B778" t="str">
        <f>"29.945"</f>
        <v>29.945</v>
      </c>
      <c r="C778" t="str">
        <f>"29.945"</f>
        <v>29.945</v>
      </c>
    </row>
    <row r="779" spans="1:3" x14ac:dyDescent="0.25">
      <c r="A779" t="str">
        <f>"08/08/2012"</f>
        <v>08/08/2012</v>
      </c>
      <c r="B779" t="str">
        <f>"29.99"</f>
        <v>29.99</v>
      </c>
      <c r="C779" t="str">
        <f>"29.99"</f>
        <v>29.99</v>
      </c>
    </row>
    <row r="780" spans="1:3" x14ac:dyDescent="0.25">
      <c r="A780" t="str">
        <f>"09/08/2012"</f>
        <v>09/08/2012</v>
      </c>
      <c r="B780" t="str">
        <f>"29.94"</f>
        <v>29.94</v>
      </c>
      <c r="C780" t="str">
        <f>"29.94"</f>
        <v>29.94</v>
      </c>
    </row>
    <row r="781" spans="1:3" x14ac:dyDescent="0.25">
      <c r="A781" t="str">
        <f>"10/08/2012"</f>
        <v>10/08/2012</v>
      </c>
      <c r="B781" t="str">
        <f>"29.965"</f>
        <v>29.965</v>
      </c>
      <c r="C781" t="str">
        <f>"29.965"</f>
        <v>29.965</v>
      </c>
    </row>
    <row r="782" spans="1:3" x14ac:dyDescent="0.25">
      <c r="A782" t="str">
        <f>"13/08/2012"</f>
        <v>13/08/2012</v>
      </c>
      <c r="B782" t="str">
        <f>"29.98"</f>
        <v>29.98</v>
      </c>
      <c r="C782" t="str">
        <f>"29.98"</f>
        <v>29.98</v>
      </c>
    </row>
    <row r="783" spans="1:3" x14ac:dyDescent="0.25">
      <c r="A783" t="str">
        <f>"14/08/2012"</f>
        <v>14/08/2012</v>
      </c>
      <c r="B783" t="str">
        <f>"29.955"</f>
        <v>29.955</v>
      </c>
      <c r="C783" t="str">
        <f>"29.955"</f>
        <v>29.955</v>
      </c>
    </row>
    <row r="784" spans="1:3" x14ac:dyDescent="0.25">
      <c r="A784" t="str">
        <f>"16/08/2012"</f>
        <v>16/08/2012</v>
      </c>
      <c r="B784" t="str">
        <f>"30.008"</f>
        <v>30.008</v>
      </c>
      <c r="C784" t="str">
        <f>"30.008"</f>
        <v>30.008</v>
      </c>
    </row>
    <row r="785" spans="1:3" x14ac:dyDescent="0.25">
      <c r="A785" t="str">
        <f>"17/08/2012"</f>
        <v>17/08/2012</v>
      </c>
      <c r="B785" t="str">
        <f>"30.01"</f>
        <v>30.01</v>
      </c>
      <c r="C785" t="str">
        <f>"30.01"</f>
        <v>30.01</v>
      </c>
    </row>
    <row r="786" spans="1:3" x14ac:dyDescent="0.25">
      <c r="A786" t="str">
        <f>"21/08/2012"</f>
        <v>21/08/2012</v>
      </c>
      <c r="B786" t="str">
        <f>"29.963"</f>
        <v>29.963</v>
      </c>
      <c r="C786" t="str">
        <f>"29.963"</f>
        <v>29.963</v>
      </c>
    </row>
    <row r="787" spans="1:3" x14ac:dyDescent="0.25">
      <c r="A787" t="str">
        <f>"22/08/2012"</f>
        <v>22/08/2012</v>
      </c>
      <c r="B787" t="str">
        <f>"29.994"</f>
        <v>29.994</v>
      </c>
      <c r="C787" t="str">
        <f>"29.994"</f>
        <v>29.994</v>
      </c>
    </row>
    <row r="788" spans="1:3" x14ac:dyDescent="0.25">
      <c r="A788" t="str">
        <f>"23/08/2012"</f>
        <v>23/08/2012</v>
      </c>
      <c r="B788" t="str">
        <f>"29.95"</f>
        <v>29.95</v>
      </c>
      <c r="C788" t="str">
        <f>"29.95"</f>
        <v>29.95</v>
      </c>
    </row>
    <row r="789" spans="1:3" x14ac:dyDescent="0.25">
      <c r="A789" t="str">
        <f>"24/08/2012"</f>
        <v>24/08/2012</v>
      </c>
      <c r="B789" t="str">
        <f>"29.997"</f>
        <v>29.997</v>
      </c>
      <c r="C789" t="str">
        <f>"29.997"</f>
        <v>29.997</v>
      </c>
    </row>
    <row r="790" spans="1:3" x14ac:dyDescent="0.25">
      <c r="A790" t="str">
        <f>"27/08/2012"</f>
        <v>27/08/2012</v>
      </c>
      <c r="B790" t="str">
        <f>"29.947"</f>
        <v>29.947</v>
      </c>
      <c r="C790" t="str">
        <f>"29.947"</f>
        <v>29.947</v>
      </c>
    </row>
    <row r="791" spans="1:3" x14ac:dyDescent="0.25">
      <c r="A791" t="str">
        <f>"28/08/2012"</f>
        <v>28/08/2012</v>
      </c>
      <c r="B791" t="str">
        <f>"29.957"</f>
        <v>29.957</v>
      </c>
      <c r="C791" t="str">
        <f>"29.957"</f>
        <v>29.957</v>
      </c>
    </row>
    <row r="792" spans="1:3" x14ac:dyDescent="0.25">
      <c r="A792" t="str">
        <f>"29/08/2012"</f>
        <v>29/08/2012</v>
      </c>
      <c r="B792" t="str">
        <f>"29.937"</f>
        <v>29.937</v>
      </c>
      <c r="C792" t="str">
        <f>"29.937"</f>
        <v>29.937</v>
      </c>
    </row>
    <row r="793" spans="1:3" x14ac:dyDescent="0.25">
      <c r="A793" t="str">
        <f>"30/08/2012"</f>
        <v>30/08/2012</v>
      </c>
      <c r="B793" t="str">
        <f>"29.945"</f>
        <v>29.945</v>
      </c>
      <c r="C793" t="str">
        <f>"29.945"</f>
        <v>29.945</v>
      </c>
    </row>
    <row r="794" spans="1:3" x14ac:dyDescent="0.25">
      <c r="A794" t="str">
        <f>"31/08/2012"</f>
        <v>31/08/2012</v>
      </c>
      <c r="B794" t="str">
        <f>"29.90"</f>
        <v>29.90</v>
      </c>
      <c r="C794" t="str">
        <f>"29.90"</f>
        <v>29.90</v>
      </c>
    </row>
    <row r="795" spans="1:3" x14ac:dyDescent="0.25">
      <c r="A795" t="str">
        <f>"03/09/2012"</f>
        <v>03/09/2012</v>
      </c>
      <c r="B795" t="str">
        <f>"29.87"</f>
        <v>29.87</v>
      </c>
      <c r="C795" t="str">
        <f>"29.87"</f>
        <v>29.87</v>
      </c>
    </row>
    <row r="796" spans="1:3" x14ac:dyDescent="0.25">
      <c r="A796" t="str">
        <f>"04/09/2012"</f>
        <v>04/09/2012</v>
      </c>
      <c r="B796" t="str">
        <f>"29.825"</f>
        <v>29.825</v>
      </c>
      <c r="C796" t="str">
        <f>"29.825"</f>
        <v>29.825</v>
      </c>
    </row>
    <row r="797" spans="1:3" x14ac:dyDescent="0.25">
      <c r="A797" t="str">
        <f>"05/09/2012"</f>
        <v>05/09/2012</v>
      </c>
      <c r="B797" t="str">
        <f>"29.853"</f>
        <v>29.853</v>
      </c>
      <c r="C797" t="str">
        <f>"29.853"</f>
        <v>29.853</v>
      </c>
    </row>
    <row r="798" spans="1:3" x14ac:dyDescent="0.25">
      <c r="A798" t="str">
        <f>"06/09/2012"</f>
        <v>06/09/2012</v>
      </c>
      <c r="B798" t="str">
        <f>"29.867"</f>
        <v>29.867</v>
      </c>
      <c r="C798" t="str">
        <f>"29.867"</f>
        <v>29.867</v>
      </c>
    </row>
    <row r="799" spans="1:3" x14ac:dyDescent="0.25">
      <c r="A799" t="str">
        <f>"07/09/2012"</f>
        <v>07/09/2012</v>
      </c>
      <c r="B799" t="str">
        <f>"29.765"</f>
        <v>29.765</v>
      </c>
      <c r="C799" t="str">
        <f>"29.765"</f>
        <v>29.765</v>
      </c>
    </row>
    <row r="800" spans="1:3" x14ac:dyDescent="0.25">
      <c r="A800" t="str">
        <f>"10/09/2012"</f>
        <v>10/09/2012</v>
      </c>
      <c r="B800" t="str">
        <f>"29.715"</f>
        <v>29.715</v>
      </c>
      <c r="C800" t="str">
        <f>"29.715"</f>
        <v>29.715</v>
      </c>
    </row>
    <row r="801" spans="1:3" x14ac:dyDescent="0.25">
      <c r="A801" t="str">
        <f>"11/09/2012"</f>
        <v>11/09/2012</v>
      </c>
      <c r="B801" t="str">
        <f>"29.701"</f>
        <v>29.701</v>
      </c>
      <c r="C801" t="str">
        <f>"29.701"</f>
        <v>29.701</v>
      </c>
    </row>
    <row r="802" spans="1:3" x14ac:dyDescent="0.25">
      <c r="A802" t="str">
        <f>"12/09/2012"</f>
        <v>12/09/2012</v>
      </c>
      <c r="B802" t="str">
        <f>"29.60"</f>
        <v>29.60</v>
      </c>
      <c r="C802" t="str">
        <f>"29.60"</f>
        <v>29.60</v>
      </c>
    </row>
    <row r="803" spans="1:3" x14ac:dyDescent="0.25">
      <c r="A803" t="str">
        <f>"13/09/2012"</f>
        <v>13/09/2012</v>
      </c>
      <c r="B803" t="str">
        <f>"29.625"</f>
        <v>29.625</v>
      </c>
      <c r="C803" t="str">
        <f>"29.625"</f>
        <v>29.625</v>
      </c>
    </row>
    <row r="804" spans="1:3" x14ac:dyDescent="0.25">
      <c r="A804" t="str">
        <f>"14/09/2012"</f>
        <v>14/09/2012</v>
      </c>
      <c r="B804" t="str">
        <f>"29.398"</f>
        <v>29.398</v>
      </c>
      <c r="C804" t="str">
        <f>"29.398"</f>
        <v>29.398</v>
      </c>
    </row>
    <row r="805" spans="1:3" x14ac:dyDescent="0.25">
      <c r="A805" t="str">
        <f>"17/09/2012"</f>
        <v>17/09/2012</v>
      </c>
      <c r="B805" t="str">
        <f>"29.269"</f>
        <v>29.269</v>
      </c>
      <c r="C805" t="str">
        <f>"29.269"</f>
        <v>29.269</v>
      </c>
    </row>
    <row r="806" spans="1:3" x14ac:dyDescent="0.25">
      <c r="A806" t="str">
        <f>"18/09/2012"</f>
        <v>18/09/2012</v>
      </c>
      <c r="B806" t="str">
        <f>"29.35"</f>
        <v>29.35</v>
      </c>
      <c r="C806" t="str">
        <f>"29.35"</f>
        <v>29.35</v>
      </c>
    </row>
    <row r="807" spans="1:3" x14ac:dyDescent="0.25">
      <c r="A807" t="str">
        <f>"20/09/2012"</f>
        <v>20/09/2012</v>
      </c>
      <c r="B807" t="str">
        <f>"29.36"</f>
        <v>29.36</v>
      </c>
      <c r="C807" t="str">
        <f>"29.36"</f>
        <v>29.36</v>
      </c>
    </row>
    <row r="808" spans="1:3" x14ac:dyDescent="0.25">
      <c r="A808" t="str">
        <f>"21/09/2012"</f>
        <v>21/09/2012</v>
      </c>
      <c r="B808" t="str">
        <f>"29.30"</f>
        <v>29.30</v>
      </c>
      <c r="C808" t="str">
        <f>"29.30"</f>
        <v>29.30</v>
      </c>
    </row>
    <row r="809" spans="1:3" x14ac:dyDescent="0.25">
      <c r="A809" t="str">
        <f>"24/09/2012"</f>
        <v>24/09/2012</v>
      </c>
      <c r="B809" t="str">
        <f>"29.40"</f>
        <v>29.40</v>
      </c>
      <c r="C809" t="str">
        <f>"29.40"</f>
        <v>29.40</v>
      </c>
    </row>
    <row r="810" spans="1:3" x14ac:dyDescent="0.25">
      <c r="A810" t="str">
        <f>"25/09/2012"</f>
        <v>25/09/2012</v>
      </c>
      <c r="B810" t="str">
        <f>"29.343"</f>
        <v>29.343</v>
      </c>
      <c r="C810" t="str">
        <f>"29.343"</f>
        <v>29.343</v>
      </c>
    </row>
    <row r="811" spans="1:3" x14ac:dyDescent="0.25">
      <c r="A811" t="str">
        <f>"26/09/2012"</f>
        <v>26/09/2012</v>
      </c>
      <c r="B811" t="str">
        <f>"29.402"</f>
        <v>29.402</v>
      </c>
      <c r="C811" t="str">
        <f>"29.402"</f>
        <v>29.402</v>
      </c>
    </row>
    <row r="812" spans="1:3" x14ac:dyDescent="0.25">
      <c r="A812" t="str">
        <f>"27/09/2012"</f>
        <v>27/09/2012</v>
      </c>
      <c r="B812" t="str">
        <f>"29.382"</f>
        <v>29.382</v>
      </c>
      <c r="C812" t="str">
        <f>"29.382"</f>
        <v>29.382</v>
      </c>
    </row>
    <row r="813" spans="1:3" x14ac:dyDescent="0.25">
      <c r="A813" t="str">
        <f>"28/09/2012"</f>
        <v>28/09/2012</v>
      </c>
      <c r="B813" t="str">
        <f>"29.33"</f>
        <v>29.33</v>
      </c>
      <c r="C813" t="str">
        <f>"29.33"</f>
        <v>29.33</v>
      </c>
    </row>
    <row r="814" spans="1:3" x14ac:dyDescent="0.25">
      <c r="A814" t="str">
        <f>"01/10/2012"</f>
        <v>01/10/2012</v>
      </c>
      <c r="B814" t="str">
        <f>"29.305"</f>
        <v>29.305</v>
      </c>
      <c r="C814" t="str">
        <f>"29.305"</f>
        <v>29.305</v>
      </c>
    </row>
    <row r="815" spans="1:3" x14ac:dyDescent="0.25">
      <c r="A815" t="str">
        <f>"03/10/2012"</f>
        <v>03/10/2012</v>
      </c>
      <c r="B815" t="str">
        <f>"29.33"</f>
        <v>29.33</v>
      </c>
      <c r="C815" t="str">
        <f>"29.33"</f>
        <v>29.33</v>
      </c>
    </row>
    <row r="816" spans="1:3" x14ac:dyDescent="0.25">
      <c r="A816" t="str">
        <f>"04/10/2012"</f>
        <v>04/10/2012</v>
      </c>
      <c r="B816" t="str">
        <f>"29.31"</f>
        <v>29.31</v>
      </c>
      <c r="C816" t="str">
        <f>"29.31"</f>
        <v>29.31</v>
      </c>
    </row>
    <row r="817" spans="1:3" x14ac:dyDescent="0.25">
      <c r="A817" t="str">
        <f>"05/10/2012"</f>
        <v>05/10/2012</v>
      </c>
      <c r="B817" t="str">
        <f>"29.235"</f>
        <v>29.235</v>
      </c>
      <c r="C817" t="str">
        <f>"29.235"</f>
        <v>29.235</v>
      </c>
    </row>
    <row r="818" spans="1:3" x14ac:dyDescent="0.25">
      <c r="A818" t="str">
        <f>"08/10/2012"</f>
        <v>08/10/2012</v>
      </c>
      <c r="B818" t="str">
        <f>"29.282"</f>
        <v>29.282</v>
      </c>
      <c r="C818" t="str">
        <f>"29.282"</f>
        <v>29.282</v>
      </c>
    </row>
    <row r="819" spans="1:3" x14ac:dyDescent="0.25">
      <c r="A819" t="str">
        <f>"09/10/2012"</f>
        <v>09/10/2012</v>
      </c>
      <c r="B819" t="str">
        <f>"29.30"</f>
        <v>29.30</v>
      </c>
      <c r="C819" t="str">
        <f>"29.30"</f>
        <v>29.30</v>
      </c>
    </row>
    <row r="820" spans="1:3" x14ac:dyDescent="0.25">
      <c r="A820" t="str">
        <f>"10/10/2012"</f>
        <v>10/10/2012</v>
      </c>
      <c r="B820" t="str">
        <f>"29.325"</f>
        <v>29.325</v>
      </c>
      <c r="C820" t="str">
        <f>"29.325"</f>
        <v>29.325</v>
      </c>
    </row>
    <row r="821" spans="1:3" x14ac:dyDescent="0.25">
      <c r="A821" t="str">
        <f>"11/10/2012"</f>
        <v>11/10/2012</v>
      </c>
      <c r="B821" t="str">
        <f>"29.292"</f>
        <v>29.292</v>
      </c>
      <c r="C821" t="str">
        <f>"29.292"</f>
        <v>29.292</v>
      </c>
    </row>
    <row r="822" spans="1:3" x14ac:dyDescent="0.25">
      <c r="A822" t="str">
        <f>"12/10/2012"</f>
        <v>12/10/2012</v>
      </c>
      <c r="B822" t="str">
        <f>"29.258"</f>
        <v>29.258</v>
      </c>
      <c r="C822" t="str">
        <f>"29.258"</f>
        <v>29.258</v>
      </c>
    </row>
    <row r="823" spans="1:3" x14ac:dyDescent="0.25">
      <c r="A823" t="str">
        <f>"15/10/2012"</f>
        <v>15/10/2012</v>
      </c>
      <c r="B823" t="str">
        <f>"29.215"</f>
        <v>29.215</v>
      </c>
      <c r="C823" t="str">
        <f>"29.215"</f>
        <v>29.215</v>
      </c>
    </row>
    <row r="824" spans="1:3" x14ac:dyDescent="0.25">
      <c r="A824" t="str">
        <f>"16/10/2012"</f>
        <v>16/10/2012</v>
      </c>
      <c r="B824" t="str">
        <f>"29.213"</f>
        <v>29.213</v>
      </c>
      <c r="C824" t="str">
        <f>"29.213"</f>
        <v>29.213</v>
      </c>
    </row>
    <row r="825" spans="1:3" x14ac:dyDescent="0.25">
      <c r="A825" t="str">
        <f>"17/10/2012"</f>
        <v>17/10/2012</v>
      </c>
      <c r="B825" t="str">
        <f>"29.175"</f>
        <v>29.175</v>
      </c>
      <c r="C825" t="str">
        <f>"29.175"</f>
        <v>29.175</v>
      </c>
    </row>
    <row r="826" spans="1:3" x14ac:dyDescent="0.25">
      <c r="A826" t="str">
        <f>"18/10/2012"</f>
        <v>18/10/2012</v>
      </c>
      <c r="B826" t="str">
        <f>"29.239"</f>
        <v>29.239</v>
      </c>
      <c r="C826" t="str">
        <f>"29.239"</f>
        <v>29.239</v>
      </c>
    </row>
    <row r="827" spans="1:3" x14ac:dyDescent="0.25">
      <c r="A827" t="str">
        <f>"19/10/2012"</f>
        <v>19/10/2012</v>
      </c>
      <c r="B827" t="str">
        <f>"29.245"</f>
        <v>29.245</v>
      </c>
      <c r="C827" t="str">
        <f>"29.245"</f>
        <v>29.245</v>
      </c>
    </row>
    <row r="828" spans="1:3" x14ac:dyDescent="0.25">
      <c r="A828" t="str">
        <f>"22/10/2012"</f>
        <v>22/10/2012</v>
      </c>
      <c r="B828" t="str">
        <f>"29.288"</f>
        <v>29.288</v>
      </c>
      <c r="C828" t="str">
        <f>"29.288"</f>
        <v>29.288</v>
      </c>
    </row>
    <row r="829" spans="1:3" x14ac:dyDescent="0.25">
      <c r="A829" t="str">
        <f>"23/10/2012"</f>
        <v>23/10/2012</v>
      </c>
      <c r="B829" t="str">
        <f>"29.267"</f>
        <v>29.267</v>
      </c>
      <c r="C829" t="str">
        <f>"29.267"</f>
        <v>29.267</v>
      </c>
    </row>
    <row r="830" spans="1:3" x14ac:dyDescent="0.25">
      <c r="A830" t="str">
        <f>"25/10/2012"</f>
        <v>25/10/2012</v>
      </c>
      <c r="B830" t="str">
        <f>"29.248"</f>
        <v>29.248</v>
      </c>
      <c r="C830" t="str">
        <f>"29.248"</f>
        <v>29.248</v>
      </c>
    </row>
    <row r="831" spans="1:3" x14ac:dyDescent="0.25">
      <c r="A831" t="str">
        <f>"26/10/2012"</f>
        <v>26/10/2012</v>
      </c>
      <c r="B831" t="str">
        <f>"29.275"</f>
        <v>29.275</v>
      </c>
      <c r="C831" t="str">
        <f>"29.275"</f>
        <v>29.275</v>
      </c>
    </row>
    <row r="832" spans="1:3" x14ac:dyDescent="0.25">
      <c r="A832" t="str">
        <f>"29/10/2012"</f>
        <v>29/10/2012</v>
      </c>
      <c r="B832" t="str">
        <f>"29.257"</f>
        <v>29.257</v>
      </c>
      <c r="C832" t="str">
        <f>"29.257"</f>
        <v>29.257</v>
      </c>
    </row>
    <row r="833" spans="1:3" x14ac:dyDescent="0.25">
      <c r="A833" t="str">
        <f>"30/10/2012"</f>
        <v>30/10/2012</v>
      </c>
      <c r="B833" t="str">
        <f>"29.215"</f>
        <v>29.215</v>
      </c>
      <c r="C833" t="str">
        <f>"29.215"</f>
        <v>29.215</v>
      </c>
    </row>
    <row r="834" spans="1:3" x14ac:dyDescent="0.25">
      <c r="A834" t="str">
        <f>"31/10/2012"</f>
        <v>31/10/2012</v>
      </c>
      <c r="B834" t="str">
        <f>"29.205"</f>
        <v>29.205</v>
      </c>
      <c r="C834" t="str">
        <f>"29.205"</f>
        <v>29.205</v>
      </c>
    </row>
    <row r="835" spans="1:3" x14ac:dyDescent="0.25">
      <c r="A835" t="str">
        <f>"01/11/2012"</f>
        <v>01/11/2012</v>
      </c>
      <c r="B835" t="str">
        <f>"29.234"</f>
        <v>29.234</v>
      </c>
      <c r="C835" t="str">
        <f>"29.234"</f>
        <v>29.234</v>
      </c>
    </row>
    <row r="836" spans="1:3" x14ac:dyDescent="0.25">
      <c r="A836" t="str">
        <f>"02/11/2012"</f>
        <v>02/11/2012</v>
      </c>
      <c r="B836" t="str">
        <f>"29.23"</f>
        <v>29.23</v>
      </c>
      <c r="C836" t="str">
        <f>"29.23"</f>
        <v>29.23</v>
      </c>
    </row>
    <row r="837" spans="1:3" x14ac:dyDescent="0.25">
      <c r="A837" t="str">
        <f>"05/11/2012"</f>
        <v>05/11/2012</v>
      </c>
      <c r="B837" t="str">
        <f>"29.24"</f>
        <v>29.24</v>
      </c>
      <c r="C837" t="str">
        <f>"29.24"</f>
        <v>29.24</v>
      </c>
    </row>
    <row r="838" spans="1:3" x14ac:dyDescent="0.25">
      <c r="A838" t="str">
        <f>"06/11/2012"</f>
        <v>06/11/2012</v>
      </c>
      <c r="B838" t="str">
        <f>"29.231"</f>
        <v>29.231</v>
      </c>
      <c r="C838" t="str">
        <f>"29.231"</f>
        <v>29.231</v>
      </c>
    </row>
    <row r="839" spans="1:3" x14ac:dyDescent="0.25">
      <c r="A839" t="str">
        <f>"07/11/2012"</f>
        <v>07/11/2012</v>
      </c>
      <c r="B839" t="str">
        <f>"29.163"</f>
        <v>29.163</v>
      </c>
      <c r="C839" t="str">
        <f>"29.163"</f>
        <v>29.163</v>
      </c>
    </row>
    <row r="840" spans="1:3" x14ac:dyDescent="0.25">
      <c r="A840" t="str">
        <f>"08/11/2012"</f>
        <v>08/11/2012</v>
      </c>
      <c r="B840" t="str">
        <f>"29.113"</f>
        <v>29.113</v>
      </c>
      <c r="C840" t="str">
        <f>"29.113"</f>
        <v>29.113</v>
      </c>
    </row>
    <row r="841" spans="1:3" x14ac:dyDescent="0.25">
      <c r="A841" t="str">
        <f>"09/11/2012"</f>
        <v>09/11/2012</v>
      </c>
      <c r="B841" t="str">
        <f>"29.04"</f>
        <v>29.04</v>
      </c>
      <c r="C841" t="str">
        <f>"29.04"</f>
        <v>29.04</v>
      </c>
    </row>
    <row r="842" spans="1:3" x14ac:dyDescent="0.25">
      <c r="A842" t="str">
        <f>"12/11/2012"</f>
        <v>12/11/2012</v>
      </c>
      <c r="B842" t="str">
        <f>"28.983"</f>
        <v>28.983</v>
      </c>
      <c r="C842" t="str">
        <f>"28.983"</f>
        <v>28.983</v>
      </c>
    </row>
    <row r="843" spans="1:3" x14ac:dyDescent="0.25">
      <c r="A843" t="str">
        <f>"15/11/2012"</f>
        <v>15/11/2012</v>
      </c>
      <c r="B843" t="str">
        <f>"29.08"</f>
        <v>29.08</v>
      </c>
      <c r="C843" t="str">
        <f>"29.08"</f>
        <v>29.08</v>
      </c>
    </row>
    <row r="844" spans="1:3" x14ac:dyDescent="0.25">
      <c r="A844" t="str">
        <f>"16/11/2012"</f>
        <v>16/11/2012</v>
      </c>
      <c r="B844" t="str">
        <f>"29.154"</f>
        <v>29.154</v>
      </c>
      <c r="C844" t="str">
        <f>"29.154"</f>
        <v>29.154</v>
      </c>
    </row>
    <row r="845" spans="1:3" x14ac:dyDescent="0.25">
      <c r="A845" t="str">
        <f>"19/11/2012"</f>
        <v>19/11/2012</v>
      </c>
      <c r="B845" t="str">
        <f>"29.144"</f>
        <v>29.144</v>
      </c>
      <c r="C845" t="str">
        <f>"29.144"</f>
        <v>29.144</v>
      </c>
    </row>
    <row r="846" spans="1:3" x14ac:dyDescent="0.25">
      <c r="A846" t="str">
        <f>"20/11/2012"</f>
        <v>20/11/2012</v>
      </c>
      <c r="B846" t="str">
        <f>"29.133"</f>
        <v>29.133</v>
      </c>
      <c r="C846" t="str">
        <f>"29.133"</f>
        <v>29.133</v>
      </c>
    </row>
    <row r="847" spans="1:3" x14ac:dyDescent="0.25">
      <c r="A847" t="str">
        <f>"21/11/2012"</f>
        <v>21/11/2012</v>
      </c>
      <c r="B847" t="str">
        <f>"29.197"</f>
        <v>29.197</v>
      </c>
      <c r="C847" t="str">
        <f>"29.197"</f>
        <v>29.197</v>
      </c>
    </row>
    <row r="848" spans="1:3" x14ac:dyDescent="0.25">
      <c r="A848" t="str">
        <f>"22/11/2012"</f>
        <v>22/11/2012</v>
      </c>
      <c r="B848" t="str">
        <f>"29.172"</f>
        <v>29.172</v>
      </c>
      <c r="C848" t="str">
        <f>"29.172"</f>
        <v>29.172</v>
      </c>
    </row>
    <row r="849" spans="1:3" x14ac:dyDescent="0.25">
      <c r="A849" t="str">
        <f>"23/11/2012"</f>
        <v>23/11/2012</v>
      </c>
      <c r="B849" t="str">
        <f>"29.16"</f>
        <v>29.16</v>
      </c>
      <c r="C849" t="str">
        <f>"29.16"</f>
        <v>29.16</v>
      </c>
    </row>
    <row r="850" spans="1:3" x14ac:dyDescent="0.25">
      <c r="A850" t="str">
        <f>"26/11/2012"</f>
        <v>26/11/2012</v>
      </c>
      <c r="B850" t="str">
        <f>"29.142"</f>
        <v>29.142</v>
      </c>
      <c r="C850" t="str">
        <f>"29.142"</f>
        <v>29.142</v>
      </c>
    </row>
    <row r="851" spans="1:3" x14ac:dyDescent="0.25">
      <c r="A851" t="str">
        <f>"27/11/2012"</f>
        <v>27/11/2012</v>
      </c>
      <c r="B851" t="str">
        <f>"29.109"</f>
        <v>29.109</v>
      </c>
      <c r="C851" t="str">
        <f>"29.109"</f>
        <v>29.109</v>
      </c>
    </row>
    <row r="852" spans="1:3" x14ac:dyDescent="0.25">
      <c r="A852" t="str">
        <f>"29/11/2012"</f>
        <v>29/11/2012</v>
      </c>
      <c r="B852" t="str">
        <f>"29.154"</f>
        <v>29.154</v>
      </c>
      <c r="C852" t="str">
        <f>"29.154"</f>
        <v>29.154</v>
      </c>
    </row>
    <row r="853" spans="1:3" x14ac:dyDescent="0.25">
      <c r="A853" t="str">
        <f>"30/11/2012"</f>
        <v>30/11/2012</v>
      </c>
      <c r="B853" t="str">
        <f>"29.12"</f>
        <v>29.12</v>
      </c>
      <c r="C853" t="str">
        <f>"29.12"</f>
        <v>29.12</v>
      </c>
    </row>
    <row r="854" spans="1:3" x14ac:dyDescent="0.25">
      <c r="A854" t="str">
        <f>"03/12/2012"</f>
        <v>03/12/2012</v>
      </c>
      <c r="B854" t="str">
        <f>"29.065"</f>
        <v>29.065</v>
      </c>
      <c r="C854" t="str">
        <f>"29.065"</f>
        <v>29.065</v>
      </c>
    </row>
    <row r="855" spans="1:3" x14ac:dyDescent="0.25">
      <c r="A855" t="str">
        <f>"04/12/2012"</f>
        <v>04/12/2012</v>
      </c>
      <c r="B855" t="str">
        <f>"29.099"</f>
        <v>29.099</v>
      </c>
      <c r="C855" t="str">
        <f>"29.099"</f>
        <v>29.099</v>
      </c>
    </row>
    <row r="856" spans="1:3" x14ac:dyDescent="0.25">
      <c r="A856" t="str">
        <f>"05/12/2012"</f>
        <v>05/12/2012</v>
      </c>
      <c r="B856" t="str">
        <f t="shared" ref="B856:C856" si="3">"29.09"</f>
        <v>29.09</v>
      </c>
      <c r="C856" t="str">
        <f t="shared" si="3"/>
        <v>29.09</v>
      </c>
    </row>
    <row r="857" spans="1:3" x14ac:dyDescent="0.25">
      <c r="A857" t="str">
        <f>"06/12/2012"</f>
        <v>06/12/2012</v>
      </c>
      <c r="B857" t="str">
        <f>"29.102"</f>
        <v>29.102</v>
      </c>
      <c r="C857" t="str">
        <f>"29.102"</f>
        <v>29.102</v>
      </c>
    </row>
    <row r="858" spans="1:3" x14ac:dyDescent="0.25">
      <c r="A858" t="str">
        <f>"07/12/2012"</f>
        <v>07/12/2012</v>
      </c>
      <c r="B858" t="str">
        <f>"29.097"</f>
        <v>29.097</v>
      </c>
      <c r="C858" t="str">
        <f>"29.097"</f>
        <v>29.097</v>
      </c>
    </row>
    <row r="859" spans="1:3" x14ac:dyDescent="0.25">
      <c r="A859" t="str">
        <f>"10/12/2012"</f>
        <v>10/12/2012</v>
      </c>
      <c r="B859" t="str">
        <f>"29.116"</f>
        <v>29.116</v>
      </c>
      <c r="C859" t="str">
        <f>"29.116"</f>
        <v>29.116</v>
      </c>
    </row>
    <row r="860" spans="1:3" x14ac:dyDescent="0.25">
      <c r="A860" t="str">
        <f>"11/12/2012"</f>
        <v>11/12/2012</v>
      </c>
      <c r="B860" t="str">
        <f>"29.123"</f>
        <v>29.123</v>
      </c>
      <c r="C860" t="str">
        <f>"29.123"</f>
        <v>29.123</v>
      </c>
    </row>
    <row r="861" spans="1:3" x14ac:dyDescent="0.25">
      <c r="A861" t="str">
        <f>"12/12/2012"</f>
        <v>12/12/2012</v>
      </c>
      <c r="B861" t="str">
        <f>"29.103"</f>
        <v>29.103</v>
      </c>
      <c r="C861" t="str">
        <f>"29.103"</f>
        <v>29.103</v>
      </c>
    </row>
    <row r="862" spans="1:3" x14ac:dyDescent="0.25">
      <c r="A862" t="str">
        <f>"13/12/2012"</f>
        <v>13/12/2012</v>
      </c>
      <c r="B862" t="str">
        <f>"29.084"</f>
        <v>29.084</v>
      </c>
      <c r="C862" t="str">
        <f>"29.084"</f>
        <v>29.084</v>
      </c>
    </row>
    <row r="863" spans="1:3" x14ac:dyDescent="0.25">
      <c r="A863" t="str">
        <f>"14/12/2012"</f>
        <v>14/12/2012</v>
      </c>
      <c r="B863" t="str">
        <f>"29.072"</f>
        <v>29.072</v>
      </c>
      <c r="C863" t="str">
        <f>"29.072"</f>
        <v>29.072</v>
      </c>
    </row>
    <row r="864" spans="1:3" x14ac:dyDescent="0.25">
      <c r="A864" t="str">
        <f>"17/12/2012"</f>
        <v>17/12/2012</v>
      </c>
      <c r="B864" t="str">
        <f>"29.077"</f>
        <v>29.077</v>
      </c>
      <c r="C864" t="str">
        <f>"29.077"</f>
        <v>29.077</v>
      </c>
    </row>
    <row r="865" spans="1:3" x14ac:dyDescent="0.25">
      <c r="A865" t="str">
        <f>"18/12/2012"</f>
        <v>18/12/2012</v>
      </c>
      <c r="B865" t="str">
        <f>"29.082"</f>
        <v>29.082</v>
      </c>
      <c r="C865" t="str">
        <f>"29.082"</f>
        <v>29.082</v>
      </c>
    </row>
    <row r="866" spans="1:3" x14ac:dyDescent="0.25">
      <c r="A866" t="str">
        <f>"19/12/2012"</f>
        <v>19/12/2012</v>
      </c>
      <c r="B866" t="str">
        <f>"29.078"</f>
        <v>29.078</v>
      </c>
      <c r="C866" t="str">
        <f>"29.078"</f>
        <v>29.078</v>
      </c>
    </row>
    <row r="867" spans="1:3" x14ac:dyDescent="0.25">
      <c r="A867" t="str">
        <f>"20/12/2012"</f>
        <v>20/12/2012</v>
      </c>
      <c r="B867" t="str">
        <f>"29.046"</f>
        <v>29.046</v>
      </c>
      <c r="C867" t="str">
        <f>"29.046"</f>
        <v>29.046</v>
      </c>
    </row>
    <row r="868" spans="1:3" x14ac:dyDescent="0.25">
      <c r="A868" t="str">
        <f>"21/12/2012"</f>
        <v>21/12/2012</v>
      </c>
      <c r="B868" t="str">
        <f>"29.082"</f>
        <v>29.082</v>
      </c>
      <c r="C868" t="str">
        <f>"29.082"</f>
        <v>29.082</v>
      </c>
    </row>
    <row r="869" spans="1:3" x14ac:dyDescent="0.25">
      <c r="A869" t="str">
        <f>"24/12/2012"</f>
        <v>24/12/2012</v>
      </c>
      <c r="B869" t="str">
        <f>"29.073"</f>
        <v>29.073</v>
      </c>
      <c r="C869" t="str">
        <f>"29.073"</f>
        <v>29.073</v>
      </c>
    </row>
    <row r="870" spans="1:3" x14ac:dyDescent="0.25">
      <c r="A870" t="str">
        <f>"26/12/2012"</f>
        <v>26/12/2012</v>
      </c>
      <c r="B870" t="str">
        <f>"29.04"</f>
        <v>29.04</v>
      </c>
      <c r="C870" t="str">
        <f>"29.04"</f>
        <v>29.04</v>
      </c>
    </row>
    <row r="871" spans="1:3" x14ac:dyDescent="0.25">
      <c r="A871" t="str">
        <f>"27/12/2012"</f>
        <v>27/12/2012</v>
      </c>
      <c r="B871" t="str">
        <f>"29.064"</f>
        <v>29.064</v>
      </c>
      <c r="C871" t="str">
        <f>"29.064"</f>
        <v>29.064</v>
      </c>
    </row>
    <row r="872" spans="1:3" x14ac:dyDescent="0.25">
      <c r="A872" t="str">
        <f>"28/12/2012"</f>
        <v>28/12/2012</v>
      </c>
      <c r="B872" t="str">
        <f>"29.061"</f>
        <v>29.061</v>
      </c>
      <c r="C872" t="str">
        <f>"29.061"</f>
        <v>29.061</v>
      </c>
    </row>
    <row r="873" spans="1:3" x14ac:dyDescent="0.25">
      <c r="A873" t="str">
        <f>"31/12/2012"</f>
        <v>31/12/2012</v>
      </c>
      <c r="B873" t="str">
        <f>"29.053"</f>
        <v>29.053</v>
      </c>
      <c r="C873" t="str">
        <f>"29.053"</f>
        <v>29.053</v>
      </c>
    </row>
    <row r="874" spans="1:3" x14ac:dyDescent="0.25">
      <c r="A874" t="str">
        <f>"01/01/2013"</f>
        <v>01/01/2013</v>
      </c>
      <c r="B874" t="str">
        <f>"29.082"</f>
        <v>29.082</v>
      </c>
      <c r="C874" t="str">
        <f>"29.082"</f>
        <v>29.082</v>
      </c>
    </row>
    <row r="875" spans="1:3" x14ac:dyDescent="0.25">
      <c r="A875" t="str">
        <f>"02/01/2013"</f>
        <v>02/01/2013</v>
      </c>
      <c r="B875" t="str">
        <f>"29.004"</f>
        <v>29.004</v>
      </c>
      <c r="C875" t="str">
        <f>"29.004"</f>
        <v>29.004</v>
      </c>
    </row>
    <row r="876" spans="1:3" x14ac:dyDescent="0.25">
      <c r="A876" t="str">
        <f>"03/01/2013"</f>
        <v>03/01/2013</v>
      </c>
      <c r="B876" t="str">
        <f>"29.039"</f>
        <v>29.039</v>
      </c>
      <c r="C876" t="str">
        <f>"29.039"</f>
        <v>29.039</v>
      </c>
    </row>
    <row r="877" spans="1:3" x14ac:dyDescent="0.25">
      <c r="A877" t="str">
        <f>"04/01/2013"</f>
        <v>04/01/2013</v>
      </c>
      <c r="B877" t="str">
        <f>"29.039"</f>
        <v>29.039</v>
      </c>
      <c r="C877" t="str">
        <f>"29.039"</f>
        <v>29.039</v>
      </c>
    </row>
    <row r="878" spans="1:3" x14ac:dyDescent="0.25">
      <c r="A878" t="str">
        <f>"07/01/2013"</f>
        <v>07/01/2013</v>
      </c>
      <c r="B878" t="str">
        <f>"29.01"</f>
        <v>29.01</v>
      </c>
      <c r="C878" t="str">
        <f>"29.01"</f>
        <v>29.01</v>
      </c>
    </row>
    <row r="879" spans="1:3" x14ac:dyDescent="0.25">
      <c r="A879" t="str">
        <f>"08/01/2013"</f>
        <v>08/01/2013</v>
      </c>
      <c r="B879" t="str">
        <f>"29.05"</f>
        <v>29.05</v>
      </c>
      <c r="C879" t="str">
        <f>"29.05"</f>
        <v>29.05</v>
      </c>
    </row>
    <row r="880" spans="1:3" x14ac:dyDescent="0.25">
      <c r="A880" t="str">
        <f>"09/01/2013"</f>
        <v>09/01/2013</v>
      </c>
      <c r="B880" t="str">
        <f>"29.063"</f>
        <v>29.063</v>
      </c>
      <c r="C880" t="str">
        <f>"29.063"</f>
        <v>29.063</v>
      </c>
    </row>
    <row r="881" spans="1:3" x14ac:dyDescent="0.25">
      <c r="A881" t="str">
        <f>"10/01/2013"</f>
        <v>10/01/2013</v>
      </c>
      <c r="B881" t="str">
        <f>"29.034"</f>
        <v>29.034</v>
      </c>
      <c r="C881" t="str">
        <f>"29.034"</f>
        <v>29.034</v>
      </c>
    </row>
    <row r="882" spans="1:3" x14ac:dyDescent="0.25">
      <c r="A882" t="str">
        <f>"11/01/2013"</f>
        <v>11/01/2013</v>
      </c>
      <c r="B882" t="str">
        <f>"28.985"</f>
        <v>28.985</v>
      </c>
      <c r="C882" t="str">
        <f>"28.985"</f>
        <v>28.985</v>
      </c>
    </row>
    <row r="883" spans="1:3" x14ac:dyDescent="0.25">
      <c r="A883" t="str">
        <f>"14/01/2013"</f>
        <v>14/01/2013</v>
      </c>
      <c r="B883" t="str">
        <f>"28.974"</f>
        <v>28.974</v>
      </c>
      <c r="C883" t="str">
        <f>"28.974"</f>
        <v>28.974</v>
      </c>
    </row>
    <row r="884" spans="1:3" x14ac:dyDescent="0.25">
      <c r="A884" t="str">
        <f>"15/01/2013"</f>
        <v>15/01/2013</v>
      </c>
      <c r="B884" t="str">
        <f>"28.977"</f>
        <v>28.977</v>
      </c>
      <c r="C884" t="str">
        <f>"28.977"</f>
        <v>28.977</v>
      </c>
    </row>
    <row r="885" spans="1:3" x14ac:dyDescent="0.25">
      <c r="A885" t="str">
        <f>"16/01/2013"</f>
        <v>16/01/2013</v>
      </c>
      <c r="B885" t="str">
        <f>"28.995"</f>
        <v>28.995</v>
      </c>
      <c r="C885" t="str">
        <f>"28.995"</f>
        <v>28.995</v>
      </c>
    </row>
    <row r="886" spans="1:3" x14ac:dyDescent="0.25">
      <c r="A886" t="str">
        <f>"17/01/2013"</f>
        <v>17/01/2013</v>
      </c>
      <c r="B886" t="str">
        <f>"29.005"</f>
        <v>29.005</v>
      </c>
      <c r="C886" t="str">
        <f>"29.005"</f>
        <v>29.005</v>
      </c>
    </row>
    <row r="887" spans="1:3" x14ac:dyDescent="0.25">
      <c r="A887" t="str">
        <f>"18/01/2013"</f>
        <v>18/01/2013</v>
      </c>
      <c r="B887" t="str">
        <f>"28.9795"</f>
        <v>28.9795</v>
      </c>
      <c r="C887" t="str">
        <f>"28.9795"</f>
        <v>28.9795</v>
      </c>
    </row>
    <row r="888" spans="1:3" x14ac:dyDescent="0.25">
      <c r="A888" t="str">
        <f>"21/01/2013"</f>
        <v>21/01/2013</v>
      </c>
      <c r="B888" t="str">
        <f>"28.988"</f>
        <v>28.988</v>
      </c>
      <c r="C888" t="str">
        <f>"28.988"</f>
        <v>28.988</v>
      </c>
    </row>
    <row r="889" spans="1:3" x14ac:dyDescent="0.25">
      <c r="A889" t="str">
        <f>"22/01/2013"</f>
        <v>22/01/2013</v>
      </c>
      <c r="B889" t="str">
        <f>"29.01"</f>
        <v>29.01</v>
      </c>
      <c r="C889" t="str">
        <f>"29.01"</f>
        <v>29.01</v>
      </c>
    </row>
    <row r="890" spans="1:3" x14ac:dyDescent="0.25">
      <c r="A890" t="str">
        <f>"23/01/2013"</f>
        <v>23/01/2013</v>
      </c>
      <c r="B890" t="str">
        <f>"29.005"</f>
        <v>29.005</v>
      </c>
      <c r="C890" t="str">
        <f>"29.005"</f>
        <v>29.005</v>
      </c>
    </row>
    <row r="891" spans="1:3" x14ac:dyDescent="0.25">
      <c r="A891" t="str">
        <f>"24/01/2013"</f>
        <v>24/01/2013</v>
      </c>
      <c r="B891" t="str">
        <f>"29.052"</f>
        <v>29.052</v>
      </c>
      <c r="C891" t="str">
        <f>"29.052"</f>
        <v>29.052</v>
      </c>
    </row>
    <row r="892" spans="1:3" x14ac:dyDescent="0.25">
      <c r="A892" t="str">
        <f>"28/01/2013"</f>
        <v>28/01/2013</v>
      </c>
      <c r="B892" t="str">
        <f>"29.4605"</f>
        <v>29.4605</v>
      </c>
      <c r="C892" t="str">
        <f>"29.4605"</f>
        <v>29.4605</v>
      </c>
    </row>
    <row r="893" spans="1:3" x14ac:dyDescent="0.25">
      <c r="A893" t="str">
        <f>"29/01/2013"</f>
        <v>29/01/2013</v>
      </c>
      <c r="B893" t="str">
        <f>"29.6295"</f>
        <v>29.6295</v>
      </c>
      <c r="C893" t="str">
        <f>"29.6295"</f>
        <v>29.6295</v>
      </c>
    </row>
    <row r="894" spans="1:3" x14ac:dyDescent="0.25">
      <c r="A894" t="str">
        <f>"30/01/2013"</f>
        <v>30/01/2013</v>
      </c>
      <c r="B894" t="str">
        <f>"29.5685"</f>
        <v>29.5685</v>
      </c>
      <c r="C894" t="str">
        <f>"29.5685"</f>
        <v>29.5685</v>
      </c>
    </row>
    <row r="895" spans="1:3" x14ac:dyDescent="0.25">
      <c r="A895" t="str">
        <f>"31/01/2013"</f>
        <v>31/01/2013</v>
      </c>
      <c r="B895" t="str">
        <f>"29.593"</f>
        <v>29.593</v>
      </c>
      <c r="C895" t="str">
        <f>"29.593"</f>
        <v>29.593</v>
      </c>
    </row>
    <row r="896" spans="1:3" x14ac:dyDescent="0.25">
      <c r="A896" t="str">
        <f>"01/02/2013"</f>
        <v>01/02/2013</v>
      </c>
      <c r="B896" t="str">
        <f>"29.6535"</f>
        <v>29.6535</v>
      </c>
      <c r="C896" t="str">
        <f>"29.6535"</f>
        <v>29.6535</v>
      </c>
    </row>
    <row r="897" spans="1:3" x14ac:dyDescent="0.25">
      <c r="A897" t="str">
        <f>"04/02/2013"</f>
        <v>04/02/2013</v>
      </c>
      <c r="B897" t="str">
        <f>"29.6325"</f>
        <v>29.6325</v>
      </c>
      <c r="C897" t="str">
        <f>"29.6325"</f>
        <v>29.6325</v>
      </c>
    </row>
    <row r="898" spans="1:3" x14ac:dyDescent="0.25">
      <c r="A898" t="str">
        <f>"05/02/2013"</f>
        <v>05/02/2013</v>
      </c>
      <c r="B898" t="str">
        <f>"29.55"</f>
        <v>29.55</v>
      </c>
      <c r="C898" t="str">
        <f>"29.55"</f>
        <v>29.55</v>
      </c>
    </row>
    <row r="899" spans="1:3" x14ac:dyDescent="0.25">
      <c r="A899" t="str">
        <f>"06/02/2013"</f>
        <v>06/02/2013</v>
      </c>
      <c r="B899" t="str">
        <f>"29.50"</f>
        <v>29.50</v>
      </c>
      <c r="C899" t="str">
        <f>"29.50"</f>
        <v>29.50</v>
      </c>
    </row>
    <row r="900" spans="1:3" x14ac:dyDescent="0.25">
      <c r="A900" t="str">
        <f>"07/02/2013"</f>
        <v>07/02/2013</v>
      </c>
      <c r="B900" t="str">
        <f>"29.5715"</f>
        <v>29.5715</v>
      </c>
      <c r="C900" t="str">
        <f>"29.5715"</f>
        <v>29.5715</v>
      </c>
    </row>
    <row r="901" spans="1:3" x14ac:dyDescent="0.25">
      <c r="A901" t="str">
        <f>"08/02/2013"</f>
        <v>08/02/2013</v>
      </c>
      <c r="B901" t="str">
        <f>"29.656"</f>
        <v>29.656</v>
      </c>
      <c r="C901" t="str">
        <f>"29.656"</f>
        <v>29.656</v>
      </c>
    </row>
    <row r="902" spans="1:3" x14ac:dyDescent="0.25">
      <c r="A902" t="str">
        <f>"11/02/2013"</f>
        <v>11/02/2013</v>
      </c>
      <c r="B902" t="str">
        <f>"29.78"</f>
        <v>29.78</v>
      </c>
      <c r="C902" t="str">
        <f>"29.78"</f>
        <v>29.78</v>
      </c>
    </row>
    <row r="903" spans="1:3" x14ac:dyDescent="0.25">
      <c r="A903" t="str">
        <f>"12/02/2013"</f>
        <v>12/02/2013</v>
      </c>
      <c r="B903" t="str">
        <f>"29.80"</f>
        <v>29.80</v>
      </c>
      <c r="C903" t="str">
        <f>"29.80"</f>
        <v>29.80</v>
      </c>
    </row>
    <row r="904" spans="1:3" x14ac:dyDescent="0.25">
      <c r="A904" t="str">
        <f>"13/02/2013"</f>
        <v>13/02/2013</v>
      </c>
      <c r="B904" t="str">
        <f>"29.748"</f>
        <v>29.748</v>
      </c>
      <c r="C904" t="str">
        <f>"29.748"</f>
        <v>29.748</v>
      </c>
    </row>
    <row r="905" spans="1:3" x14ac:dyDescent="0.25">
      <c r="A905" t="str">
        <f>"14/02/2013"</f>
        <v>14/02/2013</v>
      </c>
      <c r="B905" t="str">
        <f>"29.681"</f>
        <v>29.681</v>
      </c>
      <c r="C905" t="str">
        <f>"29.681"</f>
        <v>29.681</v>
      </c>
    </row>
    <row r="906" spans="1:3" x14ac:dyDescent="0.25">
      <c r="A906" t="str">
        <f>"15/02/2013"</f>
        <v>15/02/2013</v>
      </c>
      <c r="B906" t="str">
        <f>"29.555"</f>
        <v>29.555</v>
      </c>
      <c r="C906" t="str">
        <f>"29.555"</f>
        <v>29.555</v>
      </c>
    </row>
    <row r="907" spans="1:3" x14ac:dyDescent="0.25">
      <c r="A907" t="str">
        <f>"18/02/2013"</f>
        <v>18/02/2013</v>
      </c>
      <c r="B907" t="str">
        <f>"29.6755"</f>
        <v>29.6755</v>
      </c>
      <c r="C907" t="str">
        <f>"29.6755"</f>
        <v>29.6755</v>
      </c>
    </row>
    <row r="908" spans="1:3" x14ac:dyDescent="0.25">
      <c r="A908" t="str">
        <f>"20/02/2013"</f>
        <v>20/02/2013</v>
      </c>
      <c r="B908" t="str">
        <f>"29.582"</f>
        <v>29.582</v>
      </c>
      <c r="C908" t="str">
        <f>"29.582"</f>
        <v>29.582</v>
      </c>
    </row>
    <row r="909" spans="1:3" x14ac:dyDescent="0.25">
      <c r="A909" t="str">
        <f>"21/02/2013"</f>
        <v>21/02/2013</v>
      </c>
      <c r="B909" t="str">
        <f>"29.671"</f>
        <v>29.671</v>
      </c>
      <c r="C909" t="str">
        <f>"29.671"</f>
        <v>29.671</v>
      </c>
    </row>
    <row r="910" spans="1:3" x14ac:dyDescent="0.25">
      <c r="A910" t="str">
        <f>"22/02/2013"</f>
        <v>22/02/2013</v>
      </c>
      <c r="B910" t="str">
        <f>"29.641"</f>
        <v>29.641</v>
      </c>
      <c r="C910" t="str">
        <f>"29.641"</f>
        <v>29.641</v>
      </c>
    </row>
    <row r="911" spans="1:3" x14ac:dyDescent="0.25">
      <c r="A911" t="str">
        <f>"25/02/2013"</f>
        <v>25/02/2013</v>
      </c>
      <c r="B911" t="str">
        <f>"29.6985"</f>
        <v>29.6985</v>
      </c>
      <c r="C911" t="str">
        <f>"29.6984"</f>
        <v>29.6984</v>
      </c>
    </row>
    <row r="912" spans="1:3" x14ac:dyDescent="0.25">
      <c r="A912" t="str">
        <f>"26/02/2013"</f>
        <v>26/02/2013</v>
      </c>
      <c r="B912" t="str">
        <f>"29.711"</f>
        <v>29.711</v>
      </c>
      <c r="C912" t="str">
        <f>"29.711"</f>
        <v>29.711</v>
      </c>
    </row>
    <row r="913" spans="1:3" x14ac:dyDescent="0.25">
      <c r="A913" t="str">
        <f>"27/02/2013"</f>
        <v>27/02/2013</v>
      </c>
      <c r="B913" t="str">
        <f>"29.705"</f>
        <v>29.705</v>
      </c>
      <c r="C913" t="str">
        <f>"29.7049"</f>
        <v>29.7049</v>
      </c>
    </row>
    <row r="914" spans="1:3" x14ac:dyDescent="0.25">
      <c r="A914" t="str">
        <f>"28/02/2013"</f>
        <v>28/02/2013</v>
      </c>
      <c r="B914" t="str">
        <f>"29.692"</f>
        <v>29.692</v>
      </c>
      <c r="C914" t="str">
        <f>"29.692"</f>
        <v>29.692</v>
      </c>
    </row>
    <row r="915" spans="1:3" x14ac:dyDescent="0.25">
      <c r="A915" t="str">
        <f>"01/03/2013"</f>
        <v>01/03/2013</v>
      </c>
      <c r="B915" t="str">
        <f>"29.681"</f>
        <v>29.681</v>
      </c>
      <c r="C915" t="str">
        <f>"29.681"</f>
        <v>29.681</v>
      </c>
    </row>
    <row r="916" spans="1:3" x14ac:dyDescent="0.25">
      <c r="A916" t="str">
        <f>"04/03/2013"</f>
        <v>04/03/2013</v>
      </c>
      <c r="B916" t="str">
        <f>"29.71"</f>
        <v>29.71</v>
      </c>
      <c r="C916" t="str">
        <f>"29.7099"</f>
        <v>29.7099</v>
      </c>
    </row>
    <row r="917" spans="1:3" x14ac:dyDescent="0.25">
      <c r="A917" t="str">
        <f>"05/03/2013"</f>
        <v>05/03/2013</v>
      </c>
      <c r="B917" t="str">
        <f>"29.7295"</f>
        <v>29.7295</v>
      </c>
      <c r="C917" t="str">
        <f>"29.7294"</f>
        <v>29.7294</v>
      </c>
    </row>
    <row r="918" spans="1:3" x14ac:dyDescent="0.25">
      <c r="A918" t="str">
        <f>"06/03/2013"</f>
        <v>06/03/2013</v>
      </c>
      <c r="B918" t="str">
        <f>"29.638"</f>
        <v>29.638</v>
      </c>
      <c r="C918" t="str">
        <f>"29.6379"</f>
        <v>29.6379</v>
      </c>
    </row>
    <row r="919" spans="1:3" x14ac:dyDescent="0.25">
      <c r="A919" t="str">
        <f>"07/03/2013"</f>
        <v>07/03/2013</v>
      </c>
      <c r="B919" t="str">
        <f>"29.6995"</f>
        <v>29.6995</v>
      </c>
      <c r="C919" t="str">
        <f>"29.6994"</f>
        <v>29.6994</v>
      </c>
    </row>
    <row r="920" spans="1:3" x14ac:dyDescent="0.25">
      <c r="A920" t="str">
        <f>"08/03/2013"</f>
        <v>08/03/2013</v>
      </c>
      <c r="B920" t="str">
        <f>"29.6795"</f>
        <v>29.6795</v>
      </c>
      <c r="C920" t="str">
        <f>"29.6795"</f>
        <v>29.6795</v>
      </c>
    </row>
    <row r="921" spans="1:3" x14ac:dyDescent="0.25">
      <c r="A921" t="str">
        <f>"11/03/2013"</f>
        <v>11/03/2013</v>
      </c>
      <c r="B921" t="str">
        <f>"29.72"</f>
        <v>29.72</v>
      </c>
      <c r="C921" t="str">
        <f>"29.72"</f>
        <v>29.72</v>
      </c>
    </row>
    <row r="922" spans="1:3" x14ac:dyDescent="0.25">
      <c r="A922" t="str">
        <f>"12/03/2013"</f>
        <v>12/03/2013</v>
      </c>
      <c r="B922" t="str">
        <f>"29.699"</f>
        <v>29.699</v>
      </c>
      <c r="C922" t="str">
        <f>"29.699"</f>
        <v>29.699</v>
      </c>
    </row>
    <row r="923" spans="1:3" x14ac:dyDescent="0.25">
      <c r="A923" t="str">
        <f>"13/03/2013"</f>
        <v>13/03/2013</v>
      </c>
      <c r="B923" t="str">
        <f>"29.678"</f>
        <v>29.678</v>
      </c>
      <c r="C923" t="str">
        <f>"29.6779"</f>
        <v>29.6779</v>
      </c>
    </row>
    <row r="924" spans="1:3" x14ac:dyDescent="0.25">
      <c r="A924" t="str">
        <f>"14/03/2013"</f>
        <v>14/03/2013</v>
      </c>
      <c r="B924" t="str">
        <f>"29.711"</f>
        <v>29.711</v>
      </c>
      <c r="C924" t="str">
        <f>"29.7109"</f>
        <v>29.7109</v>
      </c>
    </row>
    <row r="925" spans="1:3" x14ac:dyDescent="0.25">
      <c r="A925" t="str">
        <f>"15/03/2013"</f>
        <v>15/03/2013</v>
      </c>
      <c r="B925" t="str">
        <f>"29.736"</f>
        <v>29.736</v>
      </c>
      <c r="C925" t="str">
        <f>"29.736"</f>
        <v>29.736</v>
      </c>
    </row>
    <row r="926" spans="1:3" x14ac:dyDescent="0.25">
      <c r="A926" t="str">
        <f>"18/03/2013"</f>
        <v>18/03/2013</v>
      </c>
      <c r="B926" t="str">
        <f>"29.779"</f>
        <v>29.779</v>
      </c>
      <c r="C926" t="str">
        <f>"29.7789"</f>
        <v>29.7789</v>
      </c>
    </row>
    <row r="927" spans="1:3" x14ac:dyDescent="0.25">
      <c r="A927" t="str">
        <f>"19/03/2013"</f>
        <v>19/03/2013</v>
      </c>
      <c r="B927" t="str">
        <f>"29.76"</f>
        <v>29.76</v>
      </c>
      <c r="C927" t="str">
        <f>"29.7599"</f>
        <v>29.7599</v>
      </c>
    </row>
    <row r="928" spans="1:3" x14ac:dyDescent="0.25">
      <c r="A928" t="str">
        <f>"20/03/2013"</f>
        <v>20/03/2013</v>
      </c>
      <c r="B928" t="str">
        <f>"29.814"</f>
        <v>29.814</v>
      </c>
      <c r="C928" t="str">
        <f>"29.8139"</f>
        <v>29.8139</v>
      </c>
    </row>
    <row r="929" spans="1:3" x14ac:dyDescent="0.25">
      <c r="A929" t="str">
        <f>"21/03/2013"</f>
        <v>21/03/2013</v>
      </c>
      <c r="B929" t="str">
        <f>"29.8205"</f>
        <v>29.8205</v>
      </c>
      <c r="C929" t="str">
        <f>"29.8204"</f>
        <v>29.8204</v>
      </c>
    </row>
    <row r="930" spans="1:3" x14ac:dyDescent="0.25">
      <c r="A930" t="str">
        <f>"22/03/2013"</f>
        <v>22/03/2013</v>
      </c>
      <c r="B930" t="str">
        <f>"29.871"</f>
        <v>29.871</v>
      </c>
      <c r="C930" t="str">
        <f>"29.8709"</f>
        <v>29.8709</v>
      </c>
    </row>
    <row r="931" spans="1:3" x14ac:dyDescent="0.25">
      <c r="A931" t="str">
        <f>"25/03/2013"</f>
        <v>25/03/2013</v>
      </c>
      <c r="B931" t="str">
        <f>"29.904"</f>
        <v>29.904</v>
      </c>
      <c r="C931" t="str">
        <f>"29.9038"</f>
        <v>29.9038</v>
      </c>
    </row>
    <row r="932" spans="1:3" x14ac:dyDescent="0.25">
      <c r="A932" t="str">
        <f>"26/03/2013"</f>
        <v>26/03/2013</v>
      </c>
      <c r="B932" t="str">
        <f>"29.867"</f>
        <v>29.867</v>
      </c>
      <c r="C932" t="str">
        <f>"29.8667"</f>
        <v>29.8667</v>
      </c>
    </row>
    <row r="933" spans="1:3" x14ac:dyDescent="0.25">
      <c r="A933" t="str">
        <f>"28/03/2013"</f>
        <v>28/03/2013</v>
      </c>
      <c r="B933" t="str">
        <f>"29.953"</f>
        <v>29.953</v>
      </c>
      <c r="C933" t="str">
        <f>"29.9529"</f>
        <v>29.9529</v>
      </c>
    </row>
    <row r="934" spans="1:3" x14ac:dyDescent="0.25">
      <c r="A934" t="str">
        <f>"02/04/2013"</f>
        <v>02/04/2013</v>
      </c>
      <c r="B934" t="str">
        <f>"29.86"</f>
        <v>29.86</v>
      </c>
      <c r="C934" t="str">
        <f>"29.8599"</f>
        <v>29.8599</v>
      </c>
    </row>
    <row r="935" spans="1:3" x14ac:dyDescent="0.25">
      <c r="A935" t="str">
        <f>"03/04/2013"</f>
        <v>03/04/2013</v>
      </c>
      <c r="B935" t="str">
        <f>"29.862"</f>
        <v>29.862</v>
      </c>
      <c r="C935" t="str">
        <f>"29.8619"</f>
        <v>29.8619</v>
      </c>
    </row>
    <row r="936" spans="1:3" x14ac:dyDescent="0.25">
      <c r="A936" t="str">
        <f>"04/04/2013"</f>
        <v>04/04/2013</v>
      </c>
      <c r="B936" t="str">
        <f>"29.93"</f>
        <v>29.93</v>
      </c>
      <c r="C936" t="str">
        <f>"29.9299"</f>
        <v>29.9299</v>
      </c>
    </row>
    <row r="937" spans="1:3" x14ac:dyDescent="0.25">
      <c r="A937" t="str">
        <f>"05/04/2013"</f>
        <v>05/04/2013</v>
      </c>
      <c r="B937" t="str">
        <f>"29.964"</f>
        <v>29.964</v>
      </c>
      <c r="C937" t="str">
        <f>"29.9639"</f>
        <v>29.9639</v>
      </c>
    </row>
    <row r="938" spans="1:3" x14ac:dyDescent="0.25">
      <c r="A938" t="str">
        <f>"08/04/2013"</f>
        <v>08/04/2013</v>
      </c>
      <c r="B938" t="str">
        <f>"30.0425"</f>
        <v>30.0425</v>
      </c>
      <c r="C938" t="str">
        <f>"30.0424"</f>
        <v>30.0424</v>
      </c>
    </row>
    <row r="939" spans="1:3" x14ac:dyDescent="0.25">
      <c r="A939" t="str">
        <f>"09/04/2013"</f>
        <v>09/04/2013</v>
      </c>
      <c r="B939" t="str">
        <f>"30.087"</f>
        <v>30.087</v>
      </c>
      <c r="C939" t="str">
        <f>"30.0867"</f>
        <v>30.0867</v>
      </c>
    </row>
    <row r="940" spans="1:3" x14ac:dyDescent="0.25">
      <c r="A940" t="str">
        <f>"10/04/2013"</f>
        <v>10/04/2013</v>
      </c>
      <c r="B940" t="str">
        <f>"30.015"</f>
        <v>30.015</v>
      </c>
      <c r="C940" t="str">
        <f>"30.0149"</f>
        <v>30.0149</v>
      </c>
    </row>
    <row r="941" spans="1:3" x14ac:dyDescent="0.25">
      <c r="A941" t="str">
        <f>"12/04/2013"</f>
        <v>12/04/2013</v>
      </c>
      <c r="B941" t="str">
        <f>"29.95"</f>
        <v>29.95</v>
      </c>
      <c r="C941" t="str">
        <f>"29.9499"</f>
        <v>29.9499</v>
      </c>
    </row>
    <row r="942" spans="1:3" x14ac:dyDescent="0.25">
      <c r="A942" t="str">
        <f>"15/04/2013"</f>
        <v>15/04/2013</v>
      </c>
      <c r="B942" t="str">
        <f>"29.956"</f>
        <v>29.956</v>
      </c>
      <c r="C942" t="str">
        <f>"29.9559"</f>
        <v>29.9559</v>
      </c>
    </row>
    <row r="943" spans="1:3" x14ac:dyDescent="0.25">
      <c r="A943" t="str">
        <f>"16/04/2013"</f>
        <v>16/04/2013</v>
      </c>
      <c r="B943" t="str">
        <f>"29.9125"</f>
        <v>29.9125</v>
      </c>
      <c r="C943" t="str">
        <f>"29.9125"</f>
        <v>29.9125</v>
      </c>
    </row>
    <row r="944" spans="1:3" x14ac:dyDescent="0.25">
      <c r="A944" t="str">
        <f>"17/04/2013"</f>
        <v>17/04/2013</v>
      </c>
      <c r="B944" t="str">
        <f>"29.879"</f>
        <v>29.879</v>
      </c>
      <c r="C944" t="str">
        <f>"29.8789"</f>
        <v>29.8789</v>
      </c>
    </row>
    <row r="945" spans="1:3" x14ac:dyDescent="0.25">
      <c r="A945" t="str">
        <f>"18/04/2013"</f>
        <v>18/04/2013</v>
      </c>
      <c r="B945" t="str">
        <f>"29.90"</f>
        <v>29.90</v>
      </c>
      <c r="C945" t="str">
        <f>"29.90"</f>
        <v>29.90</v>
      </c>
    </row>
    <row r="946" spans="1:3" x14ac:dyDescent="0.25">
      <c r="A946" t="str">
        <f>"22/04/2013"</f>
        <v>22/04/2013</v>
      </c>
      <c r="B946" t="str">
        <f>"29.828"</f>
        <v>29.828</v>
      </c>
      <c r="C946" t="str">
        <f>"29.8279"</f>
        <v>29.8279</v>
      </c>
    </row>
    <row r="947" spans="1:3" x14ac:dyDescent="0.25">
      <c r="A947" t="str">
        <f>"23/04/2013"</f>
        <v>23/04/2013</v>
      </c>
      <c r="B947" t="str">
        <f>"29.876"</f>
        <v>29.876</v>
      </c>
      <c r="C947" t="str">
        <f>"29.876"</f>
        <v>29.876</v>
      </c>
    </row>
    <row r="948" spans="1:3" x14ac:dyDescent="0.25">
      <c r="A948" t="str">
        <f>"25/04/2013"</f>
        <v>25/04/2013</v>
      </c>
      <c r="B948" t="str">
        <f>"29.708"</f>
        <v>29.708</v>
      </c>
      <c r="C948" t="str">
        <f>"29.7079"</f>
        <v>29.7079</v>
      </c>
    </row>
    <row r="949" spans="1:3" x14ac:dyDescent="0.25">
      <c r="A949" t="str">
        <f>"26/04/2013"</f>
        <v>26/04/2013</v>
      </c>
      <c r="B949" t="str">
        <f>"29.638"</f>
        <v>29.638</v>
      </c>
      <c r="C949" t="str">
        <f>"29.638"</f>
        <v>29.638</v>
      </c>
    </row>
    <row r="950" spans="1:3" x14ac:dyDescent="0.25">
      <c r="A950" t="str">
        <f>"29/04/2013"</f>
        <v>29/04/2013</v>
      </c>
      <c r="B950" t="str">
        <f>"29.56"</f>
        <v>29.56</v>
      </c>
      <c r="C950" t="str">
        <f>"29.5599"</f>
        <v>29.5599</v>
      </c>
    </row>
    <row r="951" spans="1:3" x14ac:dyDescent="0.25">
      <c r="A951" t="str">
        <f>"30/04/2013"</f>
        <v>30/04/2013</v>
      </c>
      <c r="B951" t="str">
        <f>"29.495"</f>
        <v>29.495</v>
      </c>
      <c r="C951" t="str">
        <f>"29.495"</f>
        <v>29.495</v>
      </c>
    </row>
    <row r="952" spans="1:3" x14ac:dyDescent="0.25">
      <c r="A952" t="str">
        <f>"02/05/2013"</f>
        <v>02/05/2013</v>
      </c>
      <c r="B952" t="str">
        <f>"29.56"</f>
        <v>29.56</v>
      </c>
      <c r="C952" t="str">
        <f>"29.56"</f>
        <v>29.56</v>
      </c>
    </row>
    <row r="953" spans="1:3" x14ac:dyDescent="0.25">
      <c r="A953" t="str">
        <f>"03/05/2013"</f>
        <v>03/05/2013</v>
      </c>
      <c r="B953" t="str">
        <f>"29.532"</f>
        <v>29.532</v>
      </c>
      <c r="C953" t="str">
        <f>"29.532"</f>
        <v>29.532</v>
      </c>
    </row>
    <row r="954" spans="1:3" x14ac:dyDescent="0.25">
      <c r="A954" t="str">
        <f>"06/05/2013"</f>
        <v>06/05/2013</v>
      </c>
      <c r="B954" t="str">
        <f>"29.534"</f>
        <v>29.534</v>
      </c>
      <c r="C954" t="str">
        <f>"29.5339"</f>
        <v>29.5339</v>
      </c>
    </row>
    <row r="955" spans="1:3" x14ac:dyDescent="0.25">
      <c r="A955" t="str">
        <f>"07/05/2013"</f>
        <v>07/05/2013</v>
      </c>
      <c r="B955" t="str">
        <f>"29.536"</f>
        <v>29.536</v>
      </c>
      <c r="C955" t="str">
        <f>"29.5359"</f>
        <v>29.5359</v>
      </c>
    </row>
    <row r="956" spans="1:3" x14ac:dyDescent="0.25">
      <c r="A956" t="str">
        <f>"08/05/2013"</f>
        <v>08/05/2013</v>
      </c>
      <c r="B956" t="str">
        <f>"29.4725"</f>
        <v>29.4725</v>
      </c>
      <c r="C956" t="str">
        <f>"29.4725"</f>
        <v>29.4725</v>
      </c>
    </row>
    <row r="957" spans="1:3" x14ac:dyDescent="0.25">
      <c r="A957" t="str">
        <f>"09/05/2013"</f>
        <v>09/05/2013</v>
      </c>
      <c r="B957" t="str">
        <f>"29.41"</f>
        <v>29.41</v>
      </c>
      <c r="C957" t="str">
        <f>"29.4099"</f>
        <v>29.4099</v>
      </c>
    </row>
    <row r="958" spans="1:3" x14ac:dyDescent="0.25">
      <c r="A958" t="str">
        <f>"10/05/2013"</f>
        <v>10/05/2013</v>
      </c>
      <c r="B958" t="str">
        <f>"29.614"</f>
        <v>29.614</v>
      </c>
      <c r="C958" t="str">
        <f>"29.614"</f>
        <v>29.614</v>
      </c>
    </row>
    <row r="959" spans="1:3" x14ac:dyDescent="0.25">
      <c r="A959" t="str">
        <f>"13/05/2013"</f>
        <v>13/05/2013</v>
      </c>
      <c r="B959" t="str">
        <f>"29.804"</f>
        <v>29.804</v>
      </c>
      <c r="C959" t="str">
        <f>"29.804"</f>
        <v>29.804</v>
      </c>
    </row>
    <row r="960" spans="1:3" x14ac:dyDescent="0.25">
      <c r="A960" t="str">
        <f>"14/05/2013"</f>
        <v>14/05/2013</v>
      </c>
      <c r="B960" t="str">
        <f>"29.802"</f>
        <v>29.802</v>
      </c>
      <c r="C960" t="str">
        <f>"29.8019"</f>
        <v>29.8019</v>
      </c>
    </row>
    <row r="961" spans="1:3" x14ac:dyDescent="0.25">
      <c r="A961" t="str">
        <f>"15/05/2013"</f>
        <v>15/05/2013</v>
      </c>
      <c r="B961" t="str">
        <f>"29.914"</f>
        <v>29.914</v>
      </c>
      <c r="C961" t="str">
        <f>"29.914"</f>
        <v>29.914</v>
      </c>
    </row>
    <row r="962" spans="1:3" x14ac:dyDescent="0.25">
      <c r="A962" t="str">
        <f>"16/05/2013"</f>
        <v>16/05/2013</v>
      </c>
      <c r="B962" t="str">
        <f>"29.9985"</f>
        <v>29.9985</v>
      </c>
      <c r="C962" t="str">
        <f>"29.9985"</f>
        <v>29.9985</v>
      </c>
    </row>
    <row r="963" spans="1:3" x14ac:dyDescent="0.25">
      <c r="A963" t="str">
        <f>"17/05/2013"</f>
        <v>17/05/2013</v>
      </c>
      <c r="B963" t="str">
        <f>"29.972"</f>
        <v>29.972</v>
      </c>
      <c r="C963" t="str">
        <f>"29.9719"</f>
        <v>29.9719</v>
      </c>
    </row>
    <row r="964" spans="1:3" x14ac:dyDescent="0.25">
      <c r="A964" t="str">
        <f>"20/05/2013"</f>
        <v>20/05/2013</v>
      </c>
      <c r="B964" t="str">
        <f>"29.987"</f>
        <v>29.987</v>
      </c>
      <c r="C964" t="str">
        <f>"29.987"</f>
        <v>29.987</v>
      </c>
    </row>
    <row r="965" spans="1:3" x14ac:dyDescent="0.25">
      <c r="A965" t="str">
        <f>"21/05/2013"</f>
        <v>21/05/2013</v>
      </c>
      <c r="B965" t="str">
        <f>"29.829"</f>
        <v>29.829</v>
      </c>
      <c r="C965" t="str">
        <f>"29.829"</f>
        <v>29.829</v>
      </c>
    </row>
    <row r="966" spans="1:3" x14ac:dyDescent="0.25">
      <c r="A966" t="str">
        <f>"22/05/2013"</f>
        <v>22/05/2013</v>
      </c>
      <c r="B966" t="str">
        <f>"29.827"</f>
        <v>29.827</v>
      </c>
      <c r="C966" t="str">
        <f>"29.827"</f>
        <v>29.827</v>
      </c>
    </row>
    <row r="967" spans="1:3" x14ac:dyDescent="0.25">
      <c r="A967" t="str">
        <f>"23/05/2013"</f>
        <v>23/05/2013</v>
      </c>
      <c r="B967" t="str">
        <f>"29.9895"</f>
        <v>29.9895</v>
      </c>
      <c r="C967" t="str">
        <f>"29.9895"</f>
        <v>29.9895</v>
      </c>
    </row>
    <row r="968" spans="1:3" x14ac:dyDescent="0.25">
      <c r="A968" t="str">
        <f>"24/05/2013"</f>
        <v>24/05/2013</v>
      </c>
      <c r="B968" t="str">
        <f>"29.918"</f>
        <v>29.918</v>
      </c>
      <c r="C968" t="str">
        <f>"29.918"</f>
        <v>29.918</v>
      </c>
    </row>
    <row r="969" spans="1:3" x14ac:dyDescent="0.25">
      <c r="A969" t="str">
        <f>"27/05/2013"</f>
        <v>27/05/2013</v>
      </c>
      <c r="B969" t="str">
        <f>"29.8945"</f>
        <v>29.8945</v>
      </c>
      <c r="C969" t="str">
        <f>"29.8945"</f>
        <v>29.8945</v>
      </c>
    </row>
    <row r="970" spans="1:3" x14ac:dyDescent="0.25">
      <c r="A970" t="str">
        <f>"28/05/2013"</f>
        <v>28/05/2013</v>
      </c>
      <c r="B970" t="str">
        <f>"29.903"</f>
        <v>29.903</v>
      </c>
      <c r="C970" t="str">
        <f>"29.9029"</f>
        <v>29.9029</v>
      </c>
    </row>
    <row r="971" spans="1:3" x14ac:dyDescent="0.25">
      <c r="A971" t="str">
        <f>"29/05/2013"</f>
        <v>29/05/2013</v>
      </c>
      <c r="B971" t="str">
        <f>"29.993"</f>
        <v>29.993</v>
      </c>
      <c r="C971" t="str">
        <f>"29.9929"</f>
        <v>29.9929</v>
      </c>
    </row>
    <row r="972" spans="1:3" x14ac:dyDescent="0.25">
      <c r="A972" t="str">
        <f>"30/05/2013"</f>
        <v>30/05/2013</v>
      </c>
      <c r="B972" t="str">
        <f>"30.01"</f>
        <v>30.01</v>
      </c>
      <c r="C972" t="str">
        <f>"30.0099"</f>
        <v>30.0099</v>
      </c>
    </row>
    <row r="973" spans="1:3" x14ac:dyDescent="0.25">
      <c r="A973" t="str">
        <f>"31/05/2013"</f>
        <v>31/05/2013</v>
      </c>
      <c r="B973" t="str">
        <f>"29.953"</f>
        <v>29.953</v>
      </c>
      <c r="C973" t="str">
        <f>"29.953"</f>
        <v>29.953</v>
      </c>
    </row>
    <row r="974" spans="1:3" x14ac:dyDescent="0.25">
      <c r="A974" t="str">
        <f>"03/06/2013"</f>
        <v>03/06/2013</v>
      </c>
      <c r="B974" t="str">
        <f>"29.968"</f>
        <v>29.968</v>
      </c>
      <c r="C974" t="str">
        <f>"29.9679"</f>
        <v>29.9679</v>
      </c>
    </row>
    <row r="975" spans="1:3" x14ac:dyDescent="0.25">
      <c r="A975" t="str">
        <f>"04/06/2013"</f>
        <v>04/06/2013</v>
      </c>
      <c r="B975" t="str">
        <f>"29.957"</f>
        <v>29.957</v>
      </c>
      <c r="C975" t="str">
        <f>"29.9569"</f>
        <v>29.9569</v>
      </c>
    </row>
    <row r="976" spans="1:3" x14ac:dyDescent="0.25">
      <c r="A976" t="str">
        <f>"05/06/2013"</f>
        <v>05/06/2013</v>
      </c>
      <c r="B976" t="str">
        <f>"29.8325"</f>
        <v>29.8325</v>
      </c>
      <c r="C976" t="str">
        <f>"29.8324"</f>
        <v>29.8324</v>
      </c>
    </row>
    <row r="977" spans="1:3" x14ac:dyDescent="0.25">
      <c r="A977" t="str">
        <f>"06/06/2013"</f>
        <v>06/06/2013</v>
      </c>
      <c r="B977" t="str">
        <f>"29.814"</f>
        <v>29.814</v>
      </c>
      <c r="C977" t="str">
        <f>"29.8139"</f>
        <v>29.8139</v>
      </c>
    </row>
    <row r="978" spans="1:3" x14ac:dyDescent="0.25">
      <c r="A978" t="str">
        <f>"07/06/2013"</f>
        <v>07/06/2013</v>
      </c>
      <c r="B978" t="str">
        <f>"29.686"</f>
        <v>29.686</v>
      </c>
      <c r="C978" t="str">
        <f>"29.6859"</f>
        <v>29.6859</v>
      </c>
    </row>
    <row r="979" spans="1:3" x14ac:dyDescent="0.25">
      <c r="A979" t="str">
        <f>"10/06/2013"</f>
        <v>10/06/2013</v>
      </c>
      <c r="B979" t="str">
        <f>"29.862"</f>
        <v>29.862</v>
      </c>
      <c r="C979" t="str">
        <f>"29.862"</f>
        <v>29.862</v>
      </c>
    </row>
    <row r="980" spans="1:3" x14ac:dyDescent="0.25">
      <c r="A980" t="str">
        <f>"11/06/2013"</f>
        <v>11/06/2013</v>
      </c>
      <c r="B980" t="str">
        <f>"29.979"</f>
        <v>29.979</v>
      </c>
      <c r="C980" t="str">
        <f>"29.9789"</f>
        <v>29.9789</v>
      </c>
    </row>
    <row r="981" spans="1:3" x14ac:dyDescent="0.25">
      <c r="A981" t="str">
        <f>"12/06/2013"</f>
        <v>12/06/2013</v>
      </c>
      <c r="B981" t="str">
        <f>"29.91"</f>
        <v>29.91</v>
      </c>
      <c r="C981" t="str">
        <f>"29.91"</f>
        <v>29.91</v>
      </c>
    </row>
    <row r="982" spans="1:3" x14ac:dyDescent="0.25">
      <c r="A982" t="str">
        <f>"13/06/2013"</f>
        <v>13/06/2013</v>
      </c>
      <c r="B982" t="str">
        <f>"29.957"</f>
        <v>29.957</v>
      </c>
      <c r="C982" t="str">
        <f>"29.9569"</f>
        <v>29.9569</v>
      </c>
    </row>
    <row r="983" spans="1:3" x14ac:dyDescent="0.25">
      <c r="A983" t="str">
        <f>"14/06/2013"</f>
        <v>14/06/2013</v>
      </c>
      <c r="B983" t="str">
        <f>"29.902"</f>
        <v>29.902</v>
      </c>
      <c r="C983" t="str">
        <f>"29.902"</f>
        <v>29.902</v>
      </c>
    </row>
    <row r="984" spans="1:3" x14ac:dyDescent="0.25">
      <c r="A984" t="str">
        <f>"17/06/2013"</f>
        <v>17/06/2013</v>
      </c>
      <c r="B984" t="str">
        <f>"29.888"</f>
        <v>29.888</v>
      </c>
      <c r="C984" t="str">
        <f>"29.8879"</f>
        <v>29.8879</v>
      </c>
    </row>
    <row r="985" spans="1:3" x14ac:dyDescent="0.25">
      <c r="A985" t="str">
        <f>"18/06/2013"</f>
        <v>18/06/2013</v>
      </c>
      <c r="B985" t="str">
        <f>"29.94"</f>
        <v>29.94</v>
      </c>
      <c r="C985" t="str">
        <f>"29.9399"</f>
        <v>29.9399</v>
      </c>
    </row>
    <row r="986" spans="1:3" x14ac:dyDescent="0.25">
      <c r="A986" t="str">
        <f>"19/06/2013"</f>
        <v>19/06/2013</v>
      </c>
      <c r="B986" t="str">
        <f>"29.908"</f>
        <v>29.908</v>
      </c>
      <c r="C986" t="str">
        <f>"29.9079"</f>
        <v>29.9079</v>
      </c>
    </row>
    <row r="987" spans="1:3" x14ac:dyDescent="0.25">
      <c r="A987" t="str">
        <f>"20/06/2013"</f>
        <v>20/06/2013</v>
      </c>
      <c r="B987" t="str">
        <f>"30.033"</f>
        <v>30.033</v>
      </c>
      <c r="C987" t="str">
        <f>"30.033"</f>
        <v>30.033</v>
      </c>
    </row>
    <row r="988" spans="1:3" x14ac:dyDescent="0.25">
      <c r="A988" t="str">
        <f>"21/06/2013"</f>
        <v>21/06/2013</v>
      </c>
      <c r="B988" t="str">
        <f>"30.067"</f>
        <v>30.067</v>
      </c>
      <c r="C988" t="str">
        <f>"30.067"</f>
        <v>30.067</v>
      </c>
    </row>
    <row r="989" spans="1:3" x14ac:dyDescent="0.25">
      <c r="A989" t="str">
        <f>"24/06/2013"</f>
        <v>24/06/2013</v>
      </c>
      <c r="B989" t="str">
        <f>"30.1325"</f>
        <v>30.1325</v>
      </c>
      <c r="C989" t="str">
        <f>"30.1324"</f>
        <v>30.1324</v>
      </c>
    </row>
    <row r="990" spans="1:3" x14ac:dyDescent="0.25">
      <c r="A990" t="str">
        <f>"25/06/2013"</f>
        <v>25/06/2013</v>
      </c>
      <c r="B990" t="str">
        <f>"30.189"</f>
        <v>30.189</v>
      </c>
      <c r="C990" t="str">
        <f>"30.1889"</f>
        <v>30.1889</v>
      </c>
    </row>
    <row r="991" spans="1:3" x14ac:dyDescent="0.25">
      <c r="A991" t="str">
        <f>"26/06/2013"</f>
        <v>26/06/2013</v>
      </c>
      <c r="B991" t="str">
        <f>"30.1115"</f>
        <v>30.1115</v>
      </c>
      <c r="C991" t="str">
        <f>"30.1114"</f>
        <v>30.1114</v>
      </c>
    </row>
    <row r="992" spans="1:3" x14ac:dyDescent="0.25">
      <c r="A992" t="str">
        <f>"27/06/2013"</f>
        <v>27/06/2013</v>
      </c>
      <c r="B992" t="str">
        <f>"30.039"</f>
        <v>30.039</v>
      </c>
      <c r="C992" t="str">
        <f>"30.039"</f>
        <v>30.039</v>
      </c>
    </row>
    <row r="993" spans="1:3" x14ac:dyDescent="0.25">
      <c r="A993" t="str">
        <f>"28/06/2013"</f>
        <v>28/06/2013</v>
      </c>
      <c r="B993" t="str">
        <f>"30.066"</f>
        <v>30.066</v>
      </c>
      <c r="C993" t="str">
        <f>"30.066"</f>
        <v>30.066</v>
      </c>
    </row>
    <row r="994" spans="1:3" x14ac:dyDescent="0.25">
      <c r="A994" t="str">
        <f>"01/07/2013"</f>
        <v>01/07/2013</v>
      </c>
      <c r="B994" t="str">
        <f>"29.999"</f>
        <v>29.999</v>
      </c>
      <c r="C994" t="str">
        <f>"29.999"</f>
        <v>29.999</v>
      </c>
    </row>
    <row r="995" spans="1:3" x14ac:dyDescent="0.25">
      <c r="A995" t="str">
        <f>"02/07/2013"</f>
        <v>02/07/2013</v>
      </c>
      <c r="B995" t="str">
        <f>"30.035"</f>
        <v>30.035</v>
      </c>
      <c r="C995" t="str">
        <f>"30.0349"</f>
        <v>30.0349</v>
      </c>
    </row>
    <row r="996" spans="1:3" x14ac:dyDescent="0.25">
      <c r="A996" t="str">
        <f>"03/07/2013"</f>
        <v>03/07/2013</v>
      </c>
      <c r="B996" t="str">
        <f>"30.038"</f>
        <v>30.038</v>
      </c>
      <c r="C996" t="str">
        <f>"30.038"</f>
        <v>30.038</v>
      </c>
    </row>
    <row r="997" spans="1:3" x14ac:dyDescent="0.25">
      <c r="A997" t="str">
        <f>"04/07/2013"</f>
        <v>04/07/2013</v>
      </c>
      <c r="B997" t="str">
        <f>"30.068"</f>
        <v>30.068</v>
      </c>
      <c r="C997" t="str">
        <f>"30.0679"</f>
        <v>30.0679</v>
      </c>
    </row>
    <row r="998" spans="1:3" x14ac:dyDescent="0.25">
      <c r="A998" t="str">
        <f>"05/07/2013"</f>
        <v>05/07/2013</v>
      </c>
      <c r="B998" t="str">
        <f>"30.091"</f>
        <v>30.091</v>
      </c>
      <c r="C998" t="str">
        <f>"30.091"</f>
        <v>30.091</v>
      </c>
    </row>
    <row r="999" spans="1:3" x14ac:dyDescent="0.25">
      <c r="A999" t="str">
        <f>"08/07/2013"</f>
        <v>08/07/2013</v>
      </c>
      <c r="B999" t="str">
        <f>"30.172"</f>
        <v>30.172</v>
      </c>
      <c r="C999" t="str">
        <f>"30.1719"</f>
        <v>30.1719</v>
      </c>
    </row>
    <row r="1000" spans="1:3" x14ac:dyDescent="0.25">
      <c r="A1000" t="str">
        <f>"09/07/2013"</f>
        <v>09/07/2013</v>
      </c>
      <c r="B1000" t="str">
        <f>"30.1175"</f>
        <v>30.1175</v>
      </c>
      <c r="C1000" t="str">
        <f>"30.1175"</f>
        <v>30.1175</v>
      </c>
    </row>
    <row r="1001" spans="1:3" x14ac:dyDescent="0.25">
      <c r="A1001" t="str">
        <f>"10/07/2013"</f>
        <v>10/07/2013</v>
      </c>
      <c r="B1001" t="str">
        <f>"30.09"</f>
        <v>30.09</v>
      </c>
      <c r="C1001" t="str">
        <f>"30.0899"</f>
        <v>30.0899</v>
      </c>
    </row>
    <row r="1002" spans="1:3" x14ac:dyDescent="0.25">
      <c r="A1002" t="str">
        <f>"11/07/2013"</f>
        <v>11/07/2013</v>
      </c>
      <c r="B1002" t="str">
        <f>"29.872"</f>
        <v>29.872</v>
      </c>
      <c r="C1002" t="str">
        <f>"29.872"</f>
        <v>29.872</v>
      </c>
    </row>
    <row r="1003" spans="1:3" x14ac:dyDescent="0.25">
      <c r="A1003" t="str">
        <f>"12/07/2013"</f>
        <v>12/07/2013</v>
      </c>
      <c r="B1003" t="str">
        <f>"29.908"</f>
        <v>29.908</v>
      </c>
      <c r="C1003" t="str">
        <f>"29.908"</f>
        <v>29.908</v>
      </c>
    </row>
    <row r="1004" spans="1:3" x14ac:dyDescent="0.25">
      <c r="A1004" t="str">
        <f>"15/07/2013"</f>
        <v>15/07/2013</v>
      </c>
      <c r="B1004" t="str">
        <f>"29.90"</f>
        <v>29.90</v>
      </c>
      <c r="C1004" t="str">
        <f>"29.90"</f>
        <v>29.90</v>
      </c>
    </row>
    <row r="1005" spans="1:3" x14ac:dyDescent="0.25">
      <c r="A1005" t="str">
        <f>"16/07/2013"</f>
        <v>16/07/2013</v>
      </c>
      <c r="B1005" t="str">
        <f>"29.847"</f>
        <v>29.847</v>
      </c>
      <c r="C1005" t="str">
        <f>"29.847"</f>
        <v>29.847</v>
      </c>
    </row>
    <row r="1006" spans="1:3" x14ac:dyDescent="0.25">
      <c r="A1006" t="str">
        <f>"17/07/2013"</f>
        <v>17/07/2013</v>
      </c>
      <c r="B1006" t="str">
        <f>"29.829"</f>
        <v>29.829</v>
      </c>
      <c r="C1006" t="str">
        <f>"29.8289"</f>
        <v>29.8289</v>
      </c>
    </row>
    <row r="1007" spans="1:3" x14ac:dyDescent="0.25">
      <c r="A1007" t="str">
        <f>"18/07/2013"</f>
        <v>18/07/2013</v>
      </c>
      <c r="B1007" t="str">
        <f>"29.981"</f>
        <v>29.981</v>
      </c>
      <c r="C1007" t="str">
        <f>"29.9809"</f>
        <v>29.9809</v>
      </c>
    </row>
    <row r="1008" spans="1:3" x14ac:dyDescent="0.25">
      <c r="A1008" t="str">
        <f>"19/07/2013"</f>
        <v>19/07/2013</v>
      </c>
      <c r="B1008" t="str">
        <f>"29.976"</f>
        <v>29.976</v>
      </c>
      <c r="C1008" t="str">
        <f>"29.9759"</f>
        <v>29.9759</v>
      </c>
    </row>
    <row r="1009" spans="1:3" x14ac:dyDescent="0.25">
      <c r="A1009" t="str">
        <f>"22/07/2013"</f>
        <v>22/07/2013</v>
      </c>
      <c r="B1009" t="str">
        <f>"29.907"</f>
        <v>29.907</v>
      </c>
      <c r="C1009" t="str">
        <f>"29.9069"</f>
        <v>29.9069</v>
      </c>
    </row>
    <row r="1010" spans="1:3" x14ac:dyDescent="0.25">
      <c r="A1010" t="str">
        <f>"23/07/2013"</f>
        <v>23/07/2013</v>
      </c>
      <c r="B1010" t="str">
        <f>"29.912"</f>
        <v>29.912</v>
      </c>
      <c r="C1010" t="str">
        <f>"29.9119"</f>
        <v>29.9119</v>
      </c>
    </row>
    <row r="1011" spans="1:3" x14ac:dyDescent="0.25">
      <c r="A1011" t="str">
        <f>"24/07/2013"</f>
        <v>24/07/2013</v>
      </c>
      <c r="B1011" t="str">
        <f>"29.9305"</f>
        <v>29.9305</v>
      </c>
      <c r="C1011" t="str">
        <f>"29.9305"</f>
        <v>29.9305</v>
      </c>
    </row>
    <row r="1012" spans="1:3" x14ac:dyDescent="0.25">
      <c r="A1012" t="str">
        <f>"25/07/2013"</f>
        <v>25/07/2013</v>
      </c>
      <c r="B1012" t="str">
        <f>"29.996"</f>
        <v>29.996</v>
      </c>
      <c r="C1012" t="str">
        <f>"29.996"</f>
        <v>29.996</v>
      </c>
    </row>
    <row r="1013" spans="1:3" x14ac:dyDescent="0.25">
      <c r="A1013" t="str">
        <f>"26/07/2013"</f>
        <v>26/07/2013</v>
      </c>
      <c r="B1013" t="str">
        <f>"29.924"</f>
        <v>29.924</v>
      </c>
      <c r="C1013" t="str">
        <f>"29.9239"</f>
        <v>29.9239</v>
      </c>
    </row>
    <row r="1014" spans="1:3" x14ac:dyDescent="0.25">
      <c r="A1014" t="str">
        <f>"29/07/2013"</f>
        <v>29/07/2013</v>
      </c>
      <c r="B1014" t="str">
        <f>"29.963"</f>
        <v>29.963</v>
      </c>
      <c r="C1014" t="str">
        <f>"29.9629"</f>
        <v>29.9629</v>
      </c>
    </row>
    <row r="1015" spans="1:3" x14ac:dyDescent="0.25">
      <c r="A1015" t="str">
        <f>"30/07/2013"</f>
        <v>30/07/2013</v>
      </c>
      <c r="B1015" t="str">
        <f>"29.973"</f>
        <v>29.973</v>
      </c>
      <c r="C1015" t="str">
        <f>"29.9729"</f>
        <v>29.9729</v>
      </c>
    </row>
    <row r="1016" spans="1:3" x14ac:dyDescent="0.25">
      <c r="A1016" t="str">
        <f>"31/07/2013"</f>
        <v>31/07/2013</v>
      </c>
      <c r="B1016" t="str">
        <f>"30.015"</f>
        <v>30.015</v>
      </c>
      <c r="C1016" t="str">
        <f>"30.0149"</f>
        <v>30.0149</v>
      </c>
    </row>
    <row r="1017" spans="1:3" x14ac:dyDescent="0.25">
      <c r="A1017" t="str">
        <f>"01/08/2013"</f>
        <v>01/08/2013</v>
      </c>
      <c r="B1017" t="str">
        <f>"30.014"</f>
        <v>30.014</v>
      </c>
      <c r="C1017" t="str">
        <f>"30.0139"</f>
        <v>30.0139</v>
      </c>
    </row>
    <row r="1018" spans="1:3" x14ac:dyDescent="0.25">
      <c r="A1018" t="str">
        <f>"02/08/2013"</f>
        <v>02/08/2013</v>
      </c>
      <c r="B1018" t="str">
        <f>"30.02"</f>
        <v>30.02</v>
      </c>
      <c r="C1018" t="str">
        <f>"30.0199"</f>
        <v>30.0199</v>
      </c>
    </row>
    <row r="1019" spans="1:3" x14ac:dyDescent="0.25">
      <c r="A1019" t="str">
        <f>"05/08/2013"</f>
        <v>05/08/2013</v>
      </c>
      <c r="B1019" t="str">
        <f>"29.971"</f>
        <v>29.971</v>
      </c>
      <c r="C1019" t="str">
        <f>"29.971"</f>
        <v>29.971</v>
      </c>
    </row>
    <row r="1020" spans="1:3" x14ac:dyDescent="0.25">
      <c r="A1020" t="str">
        <f>"06/08/2013"</f>
        <v>06/08/2013</v>
      </c>
      <c r="B1020" t="str">
        <f>"29.975"</f>
        <v>29.975</v>
      </c>
      <c r="C1020" t="str">
        <f>"29.9749"</f>
        <v>29.9749</v>
      </c>
    </row>
    <row r="1021" spans="1:3" x14ac:dyDescent="0.25">
      <c r="A1021" t="str">
        <f>"07/08/2013"</f>
        <v>07/08/2013</v>
      </c>
      <c r="B1021" t="str">
        <f>"29.974"</f>
        <v>29.974</v>
      </c>
      <c r="C1021" t="str">
        <f>"29.9739"</f>
        <v>29.9739</v>
      </c>
    </row>
    <row r="1022" spans="1:3" x14ac:dyDescent="0.25">
      <c r="A1022" t="str">
        <f>"08/08/2013"</f>
        <v>08/08/2013</v>
      </c>
      <c r="B1022" t="str">
        <f>"29.952"</f>
        <v>29.952</v>
      </c>
      <c r="C1022" t="str">
        <f>"29.9519"</f>
        <v>29.9519</v>
      </c>
    </row>
    <row r="1023" spans="1:3" x14ac:dyDescent="0.25">
      <c r="A1023" t="str">
        <f>"12/08/2013"</f>
        <v>12/08/2013</v>
      </c>
      <c r="B1023" t="str">
        <f>"29.9685"</f>
        <v>29.9685</v>
      </c>
      <c r="C1023" t="str">
        <f>"29.9684"</f>
        <v>29.9684</v>
      </c>
    </row>
    <row r="1024" spans="1:3" x14ac:dyDescent="0.25">
      <c r="A1024" t="str">
        <f>"13/08/2013"</f>
        <v>13/08/2013</v>
      </c>
      <c r="B1024" t="str">
        <f>"29.98"</f>
        <v>29.98</v>
      </c>
      <c r="C1024" t="str">
        <f>"29.9799"</f>
        <v>29.9799</v>
      </c>
    </row>
    <row r="1025" spans="1:3" x14ac:dyDescent="0.25">
      <c r="A1025" t="str">
        <f>"14/08/2013"</f>
        <v>14/08/2013</v>
      </c>
      <c r="B1025" t="str">
        <f>"29.998"</f>
        <v>29.998</v>
      </c>
      <c r="C1025" t="str">
        <f>"29.9979"</f>
        <v>29.9979</v>
      </c>
    </row>
    <row r="1026" spans="1:3" x14ac:dyDescent="0.25">
      <c r="A1026" t="str">
        <f>"16/08/2013"</f>
        <v>16/08/2013</v>
      </c>
      <c r="B1026" t="str">
        <f>"29.942"</f>
        <v>29.942</v>
      </c>
      <c r="C1026" t="str">
        <f>"29.9419"</f>
        <v>29.9419</v>
      </c>
    </row>
    <row r="1027" spans="1:3" x14ac:dyDescent="0.25">
      <c r="A1027" t="str">
        <f>"19/08/2013"</f>
        <v>19/08/2013</v>
      </c>
      <c r="B1027" t="str">
        <f>"29.978"</f>
        <v>29.978</v>
      </c>
      <c r="C1027" t="str">
        <f>"29.9779"</f>
        <v>29.9779</v>
      </c>
    </row>
    <row r="1028" spans="1:3" x14ac:dyDescent="0.25">
      <c r="A1028" t="str">
        <f>"20/08/2013"</f>
        <v>20/08/2013</v>
      </c>
      <c r="B1028" t="str">
        <f>"29.995"</f>
        <v>29.995</v>
      </c>
      <c r="C1028" t="str">
        <f>"29.9949"</f>
        <v>29.9949</v>
      </c>
    </row>
    <row r="1029" spans="1:3" x14ac:dyDescent="0.25">
      <c r="A1029" t="str">
        <f>"21/08/2013"</f>
        <v>21/08/2013</v>
      </c>
      <c r="B1029" t="str">
        <f>"29.9755"</f>
        <v>29.9755</v>
      </c>
      <c r="C1029" t="str">
        <f>"29.9755"</f>
        <v>29.9755</v>
      </c>
    </row>
    <row r="1030" spans="1:3" x14ac:dyDescent="0.25">
      <c r="A1030" t="str">
        <f>"22/08/2013"</f>
        <v>22/08/2013</v>
      </c>
      <c r="B1030" t="str">
        <f>"30.005"</f>
        <v>30.005</v>
      </c>
      <c r="C1030" t="str">
        <f>"30.0049"</f>
        <v>30.0049</v>
      </c>
    </row>
    <row r="1031" spans="1:3" x14ac:dyDescent="0.25">
      <c r="A1031" t="str">
        <f>"23/08/2013"</f>
        <v>23/08/2013</v>
      </c>
      <c r="B1031" t="str">
        <f>"29.98"</f>
        <v>29.98</v>
      </c>
      <c r="C1031" t="str">
        <f>"29.9799"</f>
        <v>29.9799</v>
      </c>
    </row>
    <row r="1032" spans="1:3" x14ac:dyDescent="0.25">
      <c r="A1032" t="str">
        <f>"26/08/2013"</f>
        <v>26/08/2013</v>
      </c>
      <c r="B1032" t="str">
        <f>"29.97"</f>
        <v>29.97</v>
      </c>
      <c r="C1032" t="str">
        <f>"29.9699"</f>
        <v>29.9699</v>
      </c>
    </row>
    <row r="1033" spans="1:3" x14ac:dyDescent="0.25">
      <c r="A1033" t="str">
        <f>"27/08/2013"</f>
        <v>27/08/2013</v>
      </c>
      <c r="B1033" t="str">
        <f>"29.982"</f>
        <v>29.982</v>
      </c>
      <c r="C1033" t="str">
        <f>"29.9819"</f>
        <v>29.9819</v>
      </c>
    </row>
    <row r="1034" spans="1:3" x14ac:dyDescent="0.25">
      <c r="A1034" t="str">
        <f>"28/08/2013"</f>
        <v>28/08/2013</v>
      </c>
      <c r="B1034" t="str">
        <f>"30.017"</f>
        <v>30.017</v>
      </c>
      <c r="C1034" t="str">
        <f>"30.0169"</f>
        <v>30.0169</v>
      </c>
    </row>
    <row r="1035" spans="1:3" x14ac:dyDescent="0.25">
      <c r="A1035" t="str">
        <f>"29/08/2013"</f>
        <v>29/08/2013</v>
      </c>
      <c r="B1035" t="str">
        <f>"29.957"</f>
        <v>29.957</v>
      </c>
      <c r="C1035" t="str">
        <f>"29.9569"</f>
        <v>29.9569</v>
      </c>
    </row>
    <row r="1036" spans="1:3" x14ac:dyDescent="0.25">
      <c r="A1036" t="str">
        <f>"30/08/2013"</f>
        <v>30/08/2013</v>
      </c>
      <c r="B1036" t="str">
        <f>"29.948"</f>
        <v>29.948</v>
      </c>
      <c r="C1036" t="str">
        <f>"29.9479"</f>
        <v>29.9479</v>
      </c>
    </row>
    <row r="1037" spans="1:3" x14ac:dyDescent="0.25">
      <c r="A1037" t="str">
        <f>"02/09/2013"</f>
        <v>02/09/2013</v>
      </c>
      <c r="B1037" t="str">
        <f>"29.815"</f>
        <v>29.815</v>
      </c>
      <c r="C1037" t="str">
        <f>"29.8149"</f>
        <v>29.8149</v>
      </c>
    </row>
    <row r="1038" spans="1:3" x14ac:dyDescent="0.25">
      <c r="A1038" t="str">
        <f>"03/09/2013"</f>
        <v>03/09/2013</v>
      </c>
      <c r="B1038" t="str">
        <f>"29.782"</f>
        <v>29.782</v>
      </c>
      <c r="C1038" t="str">
        <f>"29.7819"</f>
        <v>29.7819</v>
      </c>
    </row>
    <row r="1039" spans="1:3" x14ac:dyDescent="0.25">
      <c r="A1039" t="str">
        <f>"04/09/2013"</f>
        <v>04/09/2013</v>
      </c>
      <c r="B1039" t="str">
        <f>"29.83"</f>
        <v>29.83</v>
      </c>
      <c r="C1039" t="str">
        <f>"29.8299"</f>
        <v>29.8299</v>
      </c>
    </row>
    <row r="1040" spans="1:3" x14ac:dyDescent="0.25">
      <c r="A1040" t="str">
        <f>"05/09/2013"</f>
        <v>05/09/2013</v>
      </c>
      <c r="B1040" t="str">
        <f>"29.774"</f>
        <v>29.774</v>
      </c>
      <c r="C1040" t="str">
        <f>"29.7739"</f>
        <v>29.7739</v>
      </c>
    </row>
    <row r="1041" spans="1:3" x14ac:dyDescent="0.25">
      <c r="A1041" t="str">
        <f>"06/09/2013"</f>
        <v>06/09/2013</v>
      </c>
      <c r="B1041" t="str">
        <f>"29.818"</f>
        <v>29.818</v>
      </c>
      <c r="C1041" t="str">
        <f>"29.8179"</f>
        <v>29.8179</v>
      </c>
    </row>
    <row r="1042" spans="1:3" x14ac:dyDescent="0.25">
      <c r="A1042" t="str">
        <f>"10/09/2013"</f>
        <v>10/09/2013</v>
      </c>
      <c r="B1042" t="str">
        <f>"29.694"</f>
        <v>29.694</v>
      </c>
      <c r="C1042" t="str">
        <f>"29.6939"</f>
        <v>29.6939</v>
      </c>
    </row>
    <row r="1043" spans="1:3" x14ac:dyDescent="0.25">
      <c r="A1043" t="str">
        <f>"11/09/2013"</f>
        <v>11/09/2013</v>
      </c>
      <c r="B1043" t="str">
        <f>"29.805"</f>
        <v>29.805</v>
      </c>
      <c r="C1043" t="str">
        <f>"29.8049"</f>
        <v>29.8049</v>
      </c>
    </row>
    <row r="1044" spans="1:3" x14ac:dyDescent="0.25">
      <c r="A1044" t="str">
        <f>"12/09/2013"</f>
        <v>12/09/2013</v>
      </c>
      <c r="B1044" t="str">
        <f>"29.709"</f>
        <v>29.709</v>
      </c>
      <c r="C1044" t="str">
        <f>"29.7089"</f>
        <v>29.7089</v>
      </c>
    </row>
    <row r="1045" spans="1:3" x14ac:dyDescent="0.25">
      <c r="A1045" t="str">
        <f>"13/09/2013"</f>
        <v>13/09/2013</v>
      </c>
      <c r="B1045" t="str">
        <f>"29.727"</f>
        <v>29.727</v>
      </c>
      <c r="C1045" t="str">
        <f>"29.7269"</f>
        <v>29.7269</v>
      </c>
    </row>
    <row r="1046" spans="1:3" x14ac:dyDescent="0.25">
      <c r="A1046" t="str">
        <f>"16/09/2013"</f>
        <v>16/09/2013</v>
      </c>
      <c r="B1046" t="str">
        <f>"29.674"</f>
        <v>29.674</v>
      </c>
      <c r="C1046" t="str">
        <f>"29.6739"</f>
        <v>29.6739</v>
      </c>
    </row>
    <row r="1047" spans="1:3" x14ac:dyDescent="0.25">
      <c r="A1047" t="str">
        <f>"17/09/2013"</f>
        <v>17/09/2013</v>
      </c>
      <c r="B1047" t="str">
        <f>"29.666"</f>
        <v>29.666</v>
      </c>
      <c r="C1047" t="str">
        <f>"29.6659"</f>
        <v>29.6659</v>
      </c>
    </row>
    <row r="1048" spans="1:3" x14ac:dyDescent="0.25">
      <c r="A1048" t="str">
        <f>"18/09/2013"</f>
        <v>18/09/2013</v>
      </c>
      <c r="B1048" t="str">
        <f>"29.68"</f>
        <v>29.68</v>
      </c>
      <c r="C1048" t="str">
        <f>"29.6799"</f>
        <v>29.6799</v>
      </c>
    </row>
    <row r="1049" spans="1:3" x14ac:dyDescent="0.25">
      <c r="A1049" t="str">
        <f>"19/09/2013"</f>
        <v>19/09/2013</v>
      </c>
      <c r="B1049" t="str">
        <f>"29.465"</f>
        <v>29.465</v>
      </c>
      <c r="C1049" t="str">
        <f>"29.4649"</f>
        <v>29.4649</v>
      </c>
    </row>
    <row r="1050" spans="1:3" x14ac:dyDescent="0.25">
      <c r="A1050" t="str">
        <f>"20/09/2013"</f>
        <v>20/09/2013</v>
      </c>
      <c r="B1050" t="str">
        <f>"29.54"</f>
        <v>29.54</v>
      </c>
      <c r="C1050" t="str">
        <f>"29.5399"</f>
        <v>29.5399</v>
      </c>
    </row>
    <row r="1051" spans="1:3" x14ac:dyDescent="0.25">
      <c r="A1051" t="str">
        <f>"23/09/2013"</f>
        <v>23/09/2013</v>
      </c>
      <c r="B1051" t="str">
        <f>"29.5905"</f>
        <v>29.5905</v>
      </c>
      <c r="C1051" t="str">
        <f>"29.5903"</f>
        <v>29.5903</v>
      </c>
    </row>
    <row r="1052" spans="1:3" x14ac:dyDescent="0.25">
      <c r="A1052" t="str">
        <f>"24/09/2013"</f>
        <v>24/09/2013</v>
      </c>
      <c r="B1052" t="str">
        <f>"29.61"</f>
        <v>29.61</v>
      </c>
      <c r="C1052" t="str">
        <f>"29.6099"</f>
        <v>29.6099</v>
      </c>
    </row>
    <row r="1053" spans="1:3" x14ac:dyDescent="0.25">
      <c r="A1053" t="str">
        <f>"25/09/2013"</f>
        <v>25/09/2013</v>
      </c>
      <c r="B1053" t="str">
        <f>"29.6305"</f>
        <v>29.6305</v>
      </c>
      <c r="C1053" t="str">
        <f>"29.6304"</f>
        <v>29.6304</v>
      </c>
    </row>
    <row r="1054" spans="1:3" x14ac:dyDescent="0.25">
      <c r="A1054" t="str">
        <f>"26/09/2013"</f>
        <v>26/09/2013</v>
      </c>
      <c r="B1054" t="str">
        <f>"29.587"</f>
        <v>29.587</v>
      </c>
      <c r="C1054" t="str">
        <f>"29.5869"</f>
        <v>29.5869</v>
      </c>
    </row>
    <row r="1055" spans="1:3" x14ac:dyDescent="0.25">
      <c r="A1055" t="str">
        <f>"27/09/2013"</f>
        <v>27/09/2013</v>
      </c>
      <c r="B1055" t="str">
        <f>"29.601"</f>
        <v>29.601</v>
      </c>
      <c r="C1055" t="str">
        <f>"29.6009"</f>
        <v>29.6009</v>
      </c>
    </row>
    <row r="1056" spans="1:3" x14ac:dyDescent="0.25">
      <c r="A1056" t="str">
        <f>"30/09/2013"</f>
        <v>30/09/2013</v>
      </c>
      <c r="B1056" t="str">
        <f>"29.5905"</f>
        <v>29.5905</v>
      </c>
      <c r="C1056" t="str">
        <f>"29.5904"</f>
        <v>29.5904</v>
      </c>
    </row>
    <row r="1057" spans="1:3" x14ac:dyDescent="0.25">
      <c r="A1057" t="str">
        <f>"01/10/2013"</f>
        <v>01/10/2013</v>
      </c>
      <c r="B1057" t="str">
        <f>"29.573"</f>
        <v>29.573</v>
      </c>
      <c r="C1057" t="str">
        <f>"29.5729"</f>
        <v>29.5729</v>
      </c>
    </row>
    <row r="1058" spans="1:3" x14ac:dyDescent="0.25">
      <c r="A1058" t="str">
        <f>"03/10/2013"</f>
        <v>03/10/2013</v>
      </c>
      <c r="B1058" t="str">
        <f>"29.4295"</f>
        <v>29.4295</v>
      </c>
      <c r="C1058" t="str">
        <f>"29.4294"</f>
        <v>29.4294</v>
      </c>
    </row>
    <row r="1059" spans="1:3" x14ac:dyDescent="0.25">
      <c r="A1059" t="str">
        <f>"04/10/2013"</f>
        <v>04/10/2013</v>
      </c>
      <c r="B1059" t="str">
        <f>"29.382"</f>
        <v>29.382</v>
      </c>
      <c r="C1059" t="str">
        <f>"29.3819"</f>
        <v>29.3819</v>
      </c>
    </row>
    <row r="1060" spans="1:3" x14ac:dyDescent="0.25">
      <c r="A1060" t="str">
        <f>"07/10/2013"</f>
        <v>07/10/2013</v>
      </c>
      <c r="B1060" t="str">
        <f>"29.401"</f>
        <v>29.401</v>
      </c>
      <c r="C1060" t="str">
        <f>"29.4009"</f>
        <v>29.4009</v>
      </c>
    </row>
    <row r="1061" spans="1:3" x14ac:dyDescent="0.25">
      <c r="A1061" t="str">
        <f>"08/10/2013"</f>
        <v>08/10/2013</v>
      </c>
      <c r="B1061" t="str">
        <f>"29.418"</f>
        <v>29.418</v>
      </c>
      <c r="C1061" t="str">
        <f>"29.4179"</f>
        <v>29.4179</v>
      </c>
    </row>
    <row r="1062" spans="1:3" x14ac:dyDescent="0.25">
      <c r="A1062" t="str">
        <f>"09/10/2013"</f>
        <v>09/10/2013</v>
      </c>
      <c r="B1062" t="str">
        <f>"29.458"</f>
        <v>29.458</v>
      </c>
      <c r="C1062" t="str">
        <f>"29.4579"</f>
        <v>29.4579</v>
      </c>
    </row>
    <row r="1063" spans="1:3" x14ac:dyDescent="0.25">
      <c r="A1063" t="str">
        <f>"10/10/2013"</f>
        <v>10/10/2013</v>
      </c>
      <c r="B1063" t="str">
        <f>"29.447"</f>
        <v>29.447</v>
      </c>
      <c r="C1063" t="str">
        <f>"29.4469"</f>
        <v>29.4469</v>
      </c>
    </row>
    <row r="1064" spans="1:3" x14ac:dyDescent="0.25">
      <c r="A1064" t="str">
        <f>"11/10/2013"</f>
        <v>11/10/2013</v>
      </c>
      <c r="B1064" t="str">
        <f>"29.402"</f>
        <v>29.402</v>
      </c>
      <c r="C1064" t="str">
        <f>"29.4019"</f>
        <v>29.4019</v>
      </c>
    </row>
    <row r="1065" spans="1:3" x14ac:dyDescent="0.25">
      <c r="A1065" t="str">
        <f>"14/10/2013"</f>
        <v>14/10/2013</v>
      </c>
      <c r="B1065" t="str">
        <f>"29.395"</f>
        <v>29.395</v>
      </c>
      <c r="C1065" t="str">
        <f>"29.3949"</f>
        <v>29.3949</v>
      </c>
    </row>
    <row r="1066" spans="1:3" x14ac:dyDescent="0.25">
      <c r="A1066" t="str">
        <f>"15/10/2013"</f>
        <v>15/10/2013</v>
      </c>
      <c r="B1066" t="str">
        <f>"29.37"</f>
        <v>29.37</v>
      </c>
      <c r="C1066" t="str">
        <f>"29.3698"</f>
        <v>29.3698</v>
      </c>
    </row>
    <row r="1067" spans="1:3" x14ac:dyDescent="0.25">
      <c r="A1067" t="str">
        <f>"17/10/2013"</f>
        <v>17/10/2013</v>
      </c>
      <c r="B1067" t="str">
        <f>"29.383"</f>
        <v>29.383</v>
      </c>
      <c r="C1067" t="str">
        <f>"29.3829"</f>
        <v>29.3829</v>
      </c>
    </row>
    <row r="1068" spans="1:3" x14ac:dyDescent="0.25">
      <c r="A1068" t="str">
        <f>"18/10/2013"</f>
        <v>18/10/2013</v>
      </c>
      <c r="B1068" t="str">
        <f>"29.384"</f>
        <v>29.384</v>
      </c>
      <c r="C1068" t="str">
        <f>"29.3839"</f>
        <v>29.3839</v>
      </c>
    </row>
    <row r="1069" spans="1:3" x14ac:dyDescent="0.25">
      <c r="A1069" t="str">
        <f>"21/10/2013"</f>
        <v>21/10/2013</v>
      </c>
      <c r="B1069" t="str">
        <f>"29.409"</f>
        <v>29.409</v>
      </c>
      <c r="C1069" t="str">
        <f>"29.4089"</f>
        <v>29.4089</v>
      </c>
    </row>
    <row r="1070" spans="1:3" x14ac:dyDescent="0.25">
      <c r="A1070" t="str">
        <f>"22/10/2013"</f>
        <v>22/10/2013</v>
      </c>
      <c r="B1070" t="str">
        <f>"29.425"</f>
        <v>29.425</v>
      </c>
      <c r="C1070" t="str">
        <f>"29.4248"</f>
        <v>29.4248</v>
      </c>
    </row>
    <row r="1071" spans="1:3" x14ac:dyDescent="0.25">
      <c r="A1071" t="str">
        <f>"23/10/2013"</f>
        <v>23/10/2013</v>
      </c>
      <c r="B1071" t="str">
        <f>"29.405"</f>
        <v>29.405</v>
      </c>
      <c r="C1071" t="str">
        <f>"29.4047"</f>
        <v>29.4047</v>
      </c>
    </row>
    <row r="1072" spans="1:3" x14ac:dyDescent="0.25">
      <c r="A1072" t="str">
        <f>"24/10/2013"</f>
        <v>24/10/2013</v>
      </c>
      <c r="B1072" t="str">
        <f>"29.396"</f>
        <v>29.396</v>
      </c>
      <c r="C1072" t="str">
        <f>"29.3956"</f>
        <v>29.3956</v>
      </c>
    </row>
    <row r="1073" spans="1:3" x14ac:dyDescent="0.25">
      <c r="A1073" t="str">
        <f>"25/10/2013"</f>
        <v>25/10/2013</v>
      </c>
      <c r="B1073" t="str">
        <f>"29.41"</f>
        <v>29.41</v>
      </c>
      <c r="C1073" t="str">
        <f>"29.4098"</f>
        <v>29.4098</v>
      </c>
    </row>
    <row r="1074" spans="1:3" x14ac:dyDescent="0.25">
      <c r="A1074" t="str">
        <f>"28/10/2013"</f>
        <v>28/10/2013</v>
      </c>
      <c r="B1074" t="str">
        <f>"29.407"</f>
        <v>29.407</v>
      </c>
      <c r="C1074" t="str">
        <f>"29.4068"</f>
        <v>29.4068</v>
      </c>
    </row>
    <row r="1075" spans="1:3" x14ac:dyDescent="0.25">
      <c r="A1075" t="str">
        <f>"29/10/2013"</f>
        <v>29/10/2013</v>
      </c>
      <c r="B1075" t="str">
        <f>"29.422"</f>
        <v>29.422</v>
      </c>
      <c r="C1075" t="str">
        <f>"29.4217"</f>
        <v>29.4217</v>
      </c>
    </row>
    <row r="1076" spans="1:3" x14ac:dyDescent="0.25">
      <c r="A1076" t="str">
        <f>"30/10/2013"</f>
        <v>30/10/2013</v>
      </c>
      <c r="B1076" t="str">
        <f>"29.4365"</f>
        <v>29.4365</v>
      </c>
      <c r="C1076" t="str">
        <f>"29.4363"</f>
        <v>29.4363</v>
      </c>
    </row>
    <row r="1077" spans="1:3" x14ac:dyDescent="0.25">
      <c r="A1077" t="str">
        <f>"31/10/2013"</f>
        <v>31/10/2013</v>
      </c>
      <c r="B1077" t="str">
        <f>"29.405"</f>
        <v>29.405</v>
      </c>
      <c r="C1077" t="str">
        <f>"29.4049"</f>
        <v>29.4049</v>
      </c>
    </row>
    <row r="1078" spans="1:3" x14ac:dyDescent="0.25">
      <c r="A1078" t="str">
        <f>"01/11/2013"</f>
        <v>01/11/2013</v>
      </c>
      <c r="B1078" t="str">
        <f>"29.433"</f>
        <v>29.433</v>
      </c>
      <c r="C1078" t="str">
        <f>"29.4329"</f>
        <v>29.4329</v>
      </c>
    </row>
    <row r="1079" spans="1:3" x14ac:dyDescent="0.25">
      <c r="A1079" t="str">
        <f>"05/11/2013"</f>
        <v>05/11/2013</v>
      </c>
      <c r="B1079" t="str">
        <f>"29.4125"</f>
        <v>29.4125</v>
      </c>
      <c r="C1079" t="str">
        <f>"29.4124"</f>
        <v>29.4124</v>
      </c>
    </row>
    <row r="1080" spans="1:3" x14ac:dyDescent="0.25">
      <c r="A1080" t="str">
        <f>"06/11/2013"</f>
        <v>06/11/2013</v>
      </c>
      <c r="B1080" t="str">
        <f>"29.43"</f>
        <v>29.43</v>
      </c>
      <c r="C1080" t="str">
        <f>"29.4298"</f>
        <v>29.4298</v>
      </c>
    </row>
    <row r="1081" spans="1:3" x14ac:dyDescent="0.25">
      <c r="A1081" t="str">
        <f>"07/11/2013"</f>
        <v>07/11/2013</v>
      </c>
      <c r="B1081" t="str">
        <f>"29.424"</f>
        <v>29.424</v>
      </c>
      <c r="C1081" t="str">
        <f>"29.4238"</f>
        <v>29.4238</v>
      </c>
    </row>
    <row r="1082" spans="1:3" x14ac:dyDescent="0.25">
      <c r="A1082" t="str">
        <f>"08/11/2013"</f>
        <v>08/11/2013</v>
      </c>
      <c r="B1082" t="str">
        <f>"29.418"</f>
        <v>29.418</v>
      </c>
      <c r="C1082" t="str">
        <f>"29.4179"</f>
        <v>29.4179</v>
      </c>
    </row>
    <row r="1083" spans="1:3" x14ac:dyDescent="0.25">
      <c r="A1083" t="str">
        <f>"11/11/2013"</f>
        <v>11/11/2013</v>
      </c>
      <c r="B1083" t="str">
        <f>"29.484"</f>
        <v>29.484</v>
      </c>
      <c r="C1083" t="str">
        <f>"29.4839"</f>
        <v>29.4839</v>
      </c>
    </row>
    <row r="1084" spans="1:3" x14ac:dyDescent="0.25">
      <c r="A1084" t="str">
        <f>"12/11/2013"</f>
        <v>12/11/2013</v>
      </c>
      <c r="B1084" t="str">
        <f>"29.566"</f>
        <v>29.566</v>
      </c>
      <c r="C1084" t="str">
        <f>"29.5658"</f>
        <v>29.5658</v>
      </c>
    </row>
    <row r="1085" spans="1:3" x14ac:dyDescent="0.25">
      <c r="A1085" t="str">
        <f>"13/11/2013"</f>
        <v>13/11/2013</v>
      </c>
      <c r="B1085" t="str">
        <f>"29.61"</f>
        <v>29.61</v>
      </c>
      <c r="C1085" t="str">
        <f>"29.6099"</f>
        <v>29.6099</v>
      </c>
    </row>
    <row r="1086" spans="1:3" x14ac:dyDescent="0.25">
      <c r="A1086" t="str">
        <f>"14/11/2013"</f>
        <v>14/11/2013</v>
      </c>
      <c r="B1086" t="str">
        <f>"29.561"</f>
        <v>29.561</v>
      </c>
      <c r="C1086" t="str">
        <f>"29.5609"</f>
        <v>29.5609</v>
      </c>
    </row>
    <row r="1087" spans="1:3" x14ac:dyDescent="0.25">
      <c r="A1087" t="str">
        <f>"18/11/2013"</f>
        <v>18/11/2013</v>
      </c>
      <c r="B1087" t="str">
        <f>"29.539"</f>
        <v>29.539</v>
      </c>
      <c r="C1087" t="str">
        <f>"29.5389"</f>
        <v>29.5389</v>
      </c>
    </row>
    <row r="1088" spans="1:3" x14ac:dyDescent="0.25">
      <c r="A1088" t="str">
        <f>"19/11/2013"</f>
        <v>19/11/2013</v>
      </c>
      <c r="B1088" t="str">
        <f>"29.478"</f>
        <v>29.478</v>
      </c>
      <c r="C1088" t="str">
        <f>"29.4778"</f>
        <v>29.4778</v>
      </c>
    </row>
    <row r="1089" spans="1:3" x14ac:dyDescent="0.25">
      <c r="A1089" t="str">
        <f>"20/11/2013"</f>
        <v>20/11/2013</v>
      </c>
      <c r="B1089" t="str">
        <f>"29.491"</f>
        <v>29.491</v>
      </c>
      <c r="C1089" t="str">
        <f>"29.4908"</f>
        <v>29.4908</v>
      </c>
    </row>
    <row r="1090" spans="1:3" x14ac:dyDescent="0.25">
      <c r="A1090" t="str">
        <f>"21/11/2013"</f>
        <v>21/11/2013</v>
      </c>
      <c r="B1090" t="str">
        <f>"29.5825"</f>
        <v>29.5825</v>
      </c>
      <c r="C1090" t="str">
        <f>"29.5823"</f>
        <v>29.5823</v>
      </c>
    </row>
    <row r="1091" spans="1:3" x14ac:dyDescent="0.25">
      <c r="A1091" t="str">
        <f>"22/11/2013"</f>
        <v>22/11/2013</v>
      </c>
      <c r="B1091" t="str">
        <f>"29.574"</f>
        <v>29.574</v>
      </c>
      <c r="C1091" t="str">
        <f>"29.5738"</f>
        <v>29.5738</v>
      </c>
    </row>
    <row r="1092" spans="1:3" x14ac:dyDescent="0.25">
      <c r="A1092" t="str">
        <f>"25/11/2013"</f>
        <v>25/11/2013</v>
      </c>
      <c r="B1092" t="str">
        <f>"29.594"</f>
        <v>29.594</v>
      </c>
      <c r="C1092" t="str">
        <f>"29.5937"</f>
        <v>29.5937</v>
      </c>
    </row>
    <row r="1093" spans="1:3" x14ac:dyDescent="0.25">
      <c r="A1093" t="str">
        <f>"26/11/2013"</f>
        <v>26/11/2013</v>
      </c>
      <c r="B1093" t="str">
        <f>"29.597"</f>
        <v>29.597</v>
      </c>
      <c r="C1093" t="str">
        <f>"29.5967"</f>
        <v>29.5967</v>
      </c>
    </row>
    <row r="1094" spans="1:3" x14ac:dyDescent="0.25">
      <c r="A1094" t="str">
        <f>"27/11/2013"</f>
        <v>27/11/2013</v>
      </c>
      <c r="B1094" t="str">
        <f>"29.611"</f>
        <v>29.611</v>
      </c>
      <c r="C1094" t="str">
        <f>"29.6107"</f>
        <v>29.6107</v>
      </c>
    </row>
    <row r="1095" spans="1:3" x14ac:dyDescent="0.25">
      <c r="A1095" t="str">
        <f>"28/11/2013"</f>
        <v>28/11/2013</v>
      </c>
      <c r="B1095" t="str">
        <f>"29.608"</f>
        <v>29.608</v>
      </c>
      <c r="C1095" t="str">
        <f>"29.6077"</f>
        <v>29.6077</v>
      </c>
    </row>
    <row r="1096" spans="1:3" x14ac:dyDescent="0.25">
      <c r="A1096" t="str">
        <f>"29/11/2013"</f>
        <v>29/11/2013</v>
      </c>
      <c r="B1096" t="str">
        <f>"29.608"</f>
        <v>29.608</v>
      </c>
      <c r="C1096" t="str">
        <f>"29.6077"</f>
        <v>29.6077</v>
      </c>
    </row>
    <row r="1097" spans="1:3" x14ac:dyDescent="0.25">
      <c r="A1097" t="str">
        <f>"02/12/2013"</f>
        <v>02/12/2013</v>
      </c>
      <c r="B1097" t="str">
        <f>"29.5805"</f>
        <v>29.5805</v>
      </c>
      <c r="C1097" t="str">
        <f>"29.5801"</f>
        <v>29.5801</v>
      </c>
    </row>
    <row r="1098" spans="1:3" x14ac:dyDescent="0.25">
      <c r="A1098" t="str">
        <f>"03/12/2013"</f>
        <v>03/12/2013</v>
      </c>
      <c r="B1098" t="str">
        <f>"29.591"</f>
        <v>29.591</v>
      </c>
      <c r="C1098" t="str">
        <f>"29.5905"</f>
        <v>29.5905</v>
      </c>
    </row>
    <row r="1099" spans="1:3" x14ac:dyDescent="0.25">
      <c r="A1099" t="str">
        <f>"04/12/2013"</f>
        <v>04/12/2013</v>
      </c>
      <c r="B1099" t="str">
        <f>"29.582"</f>
        <v>29.582</v>
      </c>
      <c r="C1099" t="str">
        <f>"29.5815"</f>
        <v>29.5815</v>
      </c>
    </row>
    <row r="1100" spans="1:3" x14ac:dyDescent="0.25">
      <c r="A1100" t="str">
        <f>"05/12/2013"</f>
        <v>05/12/2013</v>
      </c>
      <c r="B1100" t="str">
        <f>"29.603"</f>
        <v>29.603</v>
      </c>
      <c r="C1100" t="str">
        <f>"29.6026"</f>
        <v>29.6026</v>
      </c>
    </row>
    <row r="1101" spans="1:3" x14ac:dyDescent="0.25">
      <c r="A1101" t="str">
        <f>"06/12/2013"</f>
        <v>06/12/2013</v>
      </c>
      <c r="B1101" t="str">
        <f>"29.577"</f>
        <v>29.577</v>
      </c>
      <c r="C1101" t="str">
        <f>"29.5766"</f>
        <v>29.5766</v>
      </c>
    </row>
    <row r="1102" spans="1:3" x14ac:dyDescent="0.25">
      <c r="A1102" t="str">
        <f>"09/12/2013"</f>
        <v>09/12/2013</v>
      </c>
      <c r="B1102" t="str">
        <f>"29.557"</f>
        <v>29.557</v>
      </c>
      <c r="C1102" t="str">
        <f>"29.5566"</f>
        <v>29.5566</v>
      </c>
    </row>
    <row r="1103" spans="1:3" x14ac:dyDescent="0.25">
      <c r="A1103" t="str">
        <f>"10/12/2013"</f>
        <v>10/12/2013</v>
      </c>
      <c r="B1103" t="str">
        <f>"29.557"</f>
        <v>29.557</v>
      </c>
      <c r="C1103" t="str">
        <f>"29.5566"</f>
        <v>29.5566</v>
      </c>
    </row>
    <row r="1104" spans="1:3" x14ac:dyDescent="0.25">
      <c r="A1104" t="str">
        <f>"11/12/2013"</f>
        <v>11/12/2013</v>
      </c>
      <c r="B1104" t="str">
        <f>"29.567"</f>
        <v>29.567</v>
      </c>
      <c r="C1104" t="str">
        <f>"29.5665"</f>
        <v>29.5665</v>
      </c>
    </row>
    <row r="1105" spans="1:3" x14ac:dyDescent="0.25">
      <c r="A1105" t="str">
        <f>"12/12/2013"</f>
        <v>12/12/2013</v>
      </c>
      <c r="B1105" t="str">
        <f>"29.616"</f>
        <v>29.616</v>
      </c>
      <c r="C1105" t="str">
        <f>"29.6154"</f>
        <v>29.6154</v>
      </c>
    </row>
    <row r="1106" spans="1:3" x14ac:dyDescent="0.25">
      <c r="A1106" t="str">
        <f>"13/12/2013"</f>
        <v>13/12/2013</v>
      </c>
      <c r="B1106" t="str">
        <f>"29.62"</f>
        <v>29.62</v>
      </c>
      <c r="C1106" t="str">
        <f>"29.6194"</f>
        <v>29.6194</v>
      </c>
    </row>
    <row r="1107" spans="1:3" x14ac:dyDescent="0.25">
      <c r="A1107" t="str">
        <f>"16/12/2013"</f>
        <v>16/12/2013</v>
      </c>
      <c r="B1107" t="str">
        <f>"29.621"</f>
        <v>29.621</v>
      </c>
      <c r="C1107" t="str">
        <f>"29.6203"</f>
        <v>29.6203</v>
      </c>
    </row>
    <row r="1108" spans="1:3" x14ac:dyDescent="0.25">
      <c r="A1108" t="str">
        <f>"17/12/2013"</f>
        <v>17/12/2013</v>
      </c>
      <c r="B1108" t="str">
        <f>"29.643"</f>
        <v>29.643</v>
      </c>
      <c r="C1108" t="str">
        <f>"29.6423"</f>
        <v>29.6423</v>
      </c>
    </row>
    <row r="1109" spans="1:3" x14ac:dyDescent="0.25">
      <c r="A1109" t="str">
        <f>"18/12/2013"</f>
        <v>18/12/2013</v>
      </c>
      <c r="B1109" t="str">
        <f>"29.686"</f>
        <v>29.686</v>
      </c>
      <c r="C1109" t="str">
        <f>"29.6856"</f>
        <v>29.6856</v>
      </c>
    </row>
    <row r="1110" spans="1:3" x14ac:dyDescent="0.25">
      <c r="A1110" t="str">
        <f>"19/12/2013"</f>
        <v>19/12/2013</v>
      </c>
      <c r="B1110" t="str">
        <f>"29.805"</f>
        <v>29.805</v>
      </c>
      <c r="C1110" t="str">
        <f>"29.8046"</f>
        <v>29.8046</v>
      </c>
    </row>
    <row r="1111" spans="1:3" x14ac:dyDescent="0.25">
      <c r="A1111" t="str">
        <f>"20/12/2013"</f>
        <v>20/12/2013</v>
      </c>
      <c r="B1111" t="str">
        <f>"29.912"</f>
        <v>29.912</v>
      </c>
      <c r="C1111" t="str">
        <f>"29.9118"</f>
        <v>29.9118</v>
      </c>
    </row>
    <row r="1112" spans="1:3" x14ac:dyDescent="0.25">
      <c r="A1112" t="str">
        <f>"23/12/2013"</f>
        <v>23/12/2013</v>
      </c>
      <c r="B1112" t="str">
        <f>"29.96"</f>
        <v>29.96</v>
      </c>
      <c r="C1112" t="str">
        <f>"29.9596"</f>
        <v>29.9596</v>
      </c>
    </row>
    <row r="1113" spans="1:3" x14ac:dyDescent="0.25">
      <c r="A1113" t="str">
        <f>"24/12/2013"</f>
        <v>24/12/2013</v>
      </c>
      <c r="B1113" t="str">
        <f>"30.007"</f>
        <v>30.007</v>
      </c>
      <c r="C1113" t="str">
        <f>"30.0068"</f>
        <v>30.0068</v>
      </c>
    </row>
    <row r="1114" spans="1:3" x14ac:dyDescent="0.25">
      <c r="A1114" t="str">
        <f>"26/12/2013"</f>
        <v>26/12/2013</v>
      </c>
      <c r="B1114" t="str">
        <f>"30.001"</f>
        <v>30.001</v>
      </c>
      <c r="C1114" t="str">
        <f>"30.0007"</f>
        <v>30.0007</v>
      </c>
    </row>
    <row r="1115" spans="1:3" x14ac:dyDescent="0.25">
      <c r="A1115" t="str">
        <f>"27/12/2013"</f>
        <v>27/12/2013</v>
      </c>
      <c r="B1115" t="str">
        <f>"29.979"</f>
        <v>29.979</v>
      </c>
      <c r="C1115" t="str">
        <f>"29.9786"</f>
        <v>29.9786</v>
      </c>
    </row>
    <row r="1116" spans="1:3" x14ac:dyDescent="0.25">
      <c r="A1116" t="str">
        <f>"30/12/2013"</f>
        <v>30/12/2013</v>
      </c>
      <c r="B1116" t="str">
        <f>"29.936"</f>
        <v>29.936</v>
      </c>
      <c r="C1116" t="str">
        <f>"29.9358"</f>
        <v>29.9358</v>
      </c>
    </row>
    <row r="1117" spans="1:3" x14ac:dyDescent="0.25">
      <c r="A1117" t="str">
        <f>"31/12/2013"</f>
        <v>31/12/2013</v>
      </c>
      <c r="B1117" t="str">
        <f>"29.856"</f>
        <v>29.856</v>
      </c>
      <c r="C1117" t="str">
        <f>"29.8558"</f>
        <v>29.8558</v>
      </c>
    </row>
    <row r="1118" spans="1:3" x14ac:dyDescent="0.25">
      <c r="A1118" t="str">
        <f>"01/01/2014"</f>
        <v>01/01/2014</v>
      </c>
      <c r="B1118" t="str">
        <f>"29.833"</f>
        <v>29.833</v>
      </c>
      <c r="C1118" t="str">
        <f>"29.8328"</f>
        <v>29.8328</v>
      </c>
    </row>
    <row r="1119" spans="1:3" x14ac:dyDescent="0.25">
      <c r="A1119" t="str">
        <f>"02/01/2014"</f>
        <v>02/01/2014</v>
      </c>
      <c r="B1119" t="str">
        <f>"29.866"</f>
        <v>29.866</v>
      </c>
      <c r="C1119" t="str">
        <f>"29.8658"</f>
        <v>29.8658</v>
      </c>
    </row>
    <row r="1120" spans="1:3" x14ac:dyDescent="0.25">
      <c r="A1120" t="str">
        <f>"03/01/2014"</f>
        <v>03/01/2014</v>
      </c>
      <c r="B1120" t="str">
        <f>"29.9665"</f>
        <v>29.9665</v>
      </c>
      <c r="C1120" t="str">
        <f>"29.9663"</f>
        <v>29.9663</v>
      </c>
    </row>
    <row r="1121" spans="1:3" x14ac:dyDescent="0.25">
      <c r="A1121" t="str">
        <f>"06/01/2014"</f>
        <v>06/01/2014</v>
      </c>
      <c r="B1121" t="str">
        <f>"30.015"</f>
        <v>30.015</v>
      </c>
      <c r="C1121" t="str">
        <f>"30.0148"</f>
        <v>30.0148</v>
      </c>
    </row>
    <row r="1122" spans="1:3" x14ac:dyDescent="0.25">
      <c r="A1122" t="str">
        <f>"07/01/2014"</f>
        <v>07/01/2014</v>
      </c>
      <c r="B1122" t="str">
        <f>"30.089"</f>
        <v>30.089</v>
      </c>
      <c r="C1122" t="str">
        <f>"30.0888"</f>
        <v>30.0888</v>
      </c>
    </row>
    <row r="1123" spans="1:3" x14ac:dyDescent="0.25">
      <c r="A1123" t="str">
        <f>"08/01/2014"</f>
        <v>08/01/2014</v>
      </c>
      <c r="B1123" t="str">
        <f>"30.09"</f>
        <v>30.09</v>
      </c>
      <c r="C1123" t="str">
        <f>"30.0898"</f>
        <v>30.0898</v>
      </c>
    </row>
    <row r="1124" spans="1:3" x14ac:dyDescent="0.25">
      <c r="A1124" t="str">
        <f>"09/01/2014"</f>
        <v>09/01/2014</v>
      </c>
      <c r="B1124" t="str">
        <f>"30.118"</f>
        <v>30.118</v>
      </c>
      <c r="C1124" t="str">
        <f>"30.1178"</f>
        <v>30.1178</v>
      </c>
    </row>
    <row r="1125" spans="1:3" x14ac:dyDescent="0.25">
      <c r="A1125" t="str">
        <f>"10/01/2014"</f>
        <v>10/01/2014</v>
      </c>
      <c r="B1125" t="str">
        <f>"30.036"</f>
        <v>30.036</v>
      </c>
      <c r="C1125" t="str">
        <f>"30.0358"</f>
        <v>30.0358</v>
      </c>
    </row>
    <row r="1126" spans="1:3" x14ac:dyDescent="0.25">
      <c r="A1126" t="str">
        <f>"16/01/2014"</f>
        <v>16/01/2014</v>
      </c>
      <c r="B1126" t="str">
        <f>"30.086"</f>
        <v>30.086</v>
      </c>
      <c r="C1126" t="str">
        <f>"30.0857"</f>
        <v>30.0857</v>
      </c>
    </row>
    <row r="1127" spans="1:3" x14ac:dyDescent="0.25">
      <c r="A1127" t="str">
        <f>"17/01/2014"</f>
        <v>17/01/2014</v>
      </c>
      <c r="B1127" t="str">
        <f>"30.084"</f>
        <v>30.084</v>
      </c>
      <c r="C1127" t="str">
        <f>"30.0838"</f>
        <v>30.0838</v>
      </c>
    </row>
    <row r="1128" spans="1:3" x14ac:dyDescent="0.25">
      <c r="A1128" t="str">
        <f>"20/01/2014"</f>
        <v>20/01/2014</v>
      </c>
      <c r="B1128" t="str">
        <f>"0.00"</f>
        <v>0.00</v>
      </c>
      <c r="C1128" t="str">
        <f>"0.00"</f>
        <v>0.00</v>
      </c>
    </row>
    <row r="1129" spans="1:3" x14ac:dyDescent="0.25">
      <c r="A1129" t="str">
        <f>"21/01/2014"</f>
        <v>21/01/2014</v>
      </c>
      <c r="B1129" t="str">
        <f>"30.136"</f>
        <v>30.136</v>
      </c>
      <c r="C1129" t="str">
        <f>"30.1357"</f>
        <v>30.1357</v>
      </c>
    </row>
    <row r="1130" spans="1:3" x14ac:dyDescent="0.25">
      <c r="A1130" t="str">
        <f>"22/01/2014"</f>
        <v>22/01/2014</v>
      </c>
      <c r="B1130" t="str">
        <f>"30.175"</f>
        <v>30.175</v>
      </c>
      <c r="C1130" t="str">
        <f>"30.1747"</f>
        <v>30.1747</v>
      </c>
    </row>
    <row r="1131" spans="1:3" x14ac:dyDescent="0.25">
      <c r="A1131" t="str">
        <f>"23/01/2014"</f>
        <v>23/01/2014</v>
      </c>
      <c r="B1131" t="str">
        <f>"30.202"</f>
        <v>30.202</v>
      </c>
      <c r="C1131" t="str">
        <f>"30.2017"</f>
        <v>30.2017</v>
      </c>
    </row>
    <row r="1132" spans="1:3" x14ac:dyDescent="0.25">
      <c r="A1132" t="str">
        <f>"24/01/2014"</f>
        <v>24/01/2014</v>
      </c>
      <c r="B1132" t="str">
        <f>"30.22"</f>
        <v>30.22</v>
      </c>
      <c r="C1132" t="str">
        <f>"30.2198"</f>
        <v>30.2198</v>
      </c>
    </row>
    <row r="1133" spans="1:3" x14ac:dyDescent="0.25">
      <c r="A1133" t="str">
        <f>"27/01/2014"</f>
        <v>27/01/2014</v>
      </c>
      <c r="B1133" t="str">
        <f>"30.357"</f>
        <v>30.357</v>
      </c>
      <c r="C1133" t="str">
        <f>"30.3567"</f>
        <v>30.3567</v>
      </c>
    </row>
    <row r="1134" spans="1:3" x14ac:dyDescent="0.25">
      <c r="A1134" t="str">
        <f>"28/01/2014"</f>
        <v>28/01/2014</v>
      </c>
      <c r="B1134" t="str">
        <f>"30.371"</f>
        <v>30.371</v>
      </c>
      <c r="C1134" t="str">
        <f>"30.3708"</f>
        <v>30.3708</v>
      </c>
    </row>
    <row r="1135" spans="1:3" x14ac:dyDescent="0.25">
      <c r="A1135" t="str">
        <f>"29/01/2014"</f>
        <v>29/01/2014</v>
      </c>
      <c r="B1135" t="str">
        <f>"30.294"</f>
        <v>30.294</v>
      </c>
      <c r="C1135" t="str">
        <f>"30.2938"</f>
        <v>30.2938</v>
      </c>
    </row>
    <row r="1136" spans="1:3" x14ac:dyDescent="0.25">
      <c r="A1136" t="str">
        <f>"30/01/2014"</f>
        <v>30/01/2014</v>
      </c>
      <c r="B1136" t="str">
        <f>"30.352"</f>
        <v>30.352</v>
      </c>
      <c r="C1136" t="str">
        <f>"30.3518"</f>
        <v>30.3518</v>
      </c>
    </row>
    <row r="1137" spans="1:3" x14ac:dyDescent="0.25">
      <c r="A1137" t="str">
        <f>"31/01/2014"</f>
        <v>31/01/2014</v>
      </c>
      <c r="B1137" t="str">
        <f>"30.357"</f>
        <v>30.357</v>
      </c>
      <c r="C1137" t="str">
        <f>"30.3568"</f>
        <v>30.3568</v>
      </c>
    </row>
    <row r="1138" spans="1:3" x14ac:dyDescent="0.25">
      <c r="A1138" t="str">
        <f>"03/02/2014"</f>
        <v>03/02/2014</v>
      </c>
      <c r="B1138" t="str">
        <f>"30.343"</f>
        <v>30.343</v>
      </c>
      <c r="C1138" t="str">
        <f>"30.3428"</f>
        <v>30.3428</v>
      </c>
    </row>
    <row r="1139" spans="1:3" x14ac:dyDescent="0.25">
      <c r="A1139" t="str">
        <f>"04/02/2014"</f>
        <v>04/02/2014</v>
      </c>
      <c r="B1139" t="str">
        <f>"30.325"</f>
        <v>30.325</v>
      </c>
      <c r="C1139" t="str">
        <f>"30.3248"</f>
        <v>30.3248</v>
      </c>
    </row>
    <row r="1140" spans="1:3" x14ac:dyDescent="0.25">
      <c r="A1140" t="str">
        <f>"05/02/2014"</f>
        <v>05/02/2014</v>
      </c>
      <c r="B1140" t="str">
        <f>"30.33"</f>
        <v>30.33</v>
      </c>
      <c r="C1140" t="str">
        <f>"30.3297"</f>
        <v>30.3297</v>
      </c>
    </row>
    <row r="1141" spans="1:3" x14ac:dyDescent="0.25">
      <c r="A1141" t="str">
        <f>"06/02/2014"</f>
        <v>06/02/2014</v>
      </c>
      <c r="B1141" t="str">
        <f>"30.274"</f>
        <v>30.274</v>
      </c>
      <c r="C1141" t="str">
        <f>"30.2737"</f>
        <v>30.2737</v>
      </c>
    </row>
    <row r="1142" spans="1:3" x14ac:dyDescent="0.25">
      <c r="A1142" t="str">
        <f>"07/02/2014"</f>
        <v>07/02/2014</v>
      </c>
      <c r="B1142" t="str">
        <f>"30.283"</f>
        <v>30.283</v>
      </c>
      <c r="C1142" t="str">
        <f>"30.2828"</f>
        <v>30.2828</v>
      </c>
    </row>
    <row r="1143" spans="1:3" x14ac:dyDescent="0.25">
      <c r="A1143" t="str">
        <f>"10/02/2014"</f>
        <v>10/02/2014</v>
      </c>
      <c r="B1143" t="str">
        <f>"30.299"</f>
        <v>30.299</v>
      </c>
      <c r="C1143" t="str">
        <f>"30.2988"</f>
        <v>30.2988</v>
      </c>
    </row>
    <row r="1144" spans="1:3" x14ac:dyDescent="0.25">
      <c r="A1144" t="str">
        <f>"11/02/2014"</f>
        <v>11/02/2014</v>
      </c>
      <c r="B1144" t="str">
        <f>"30.347"</f>
        <v>30.347</v>
      </c>
      <c r="C1144" t="str">
        <f>"30.3468"</f>
        <v>30.3468</v>
      </c>
    </row>
    <row r="1145" spans="1:3" x14ac:dyDescent="0.25">
      <c r="A1145" t="str">
        <f>"12/02/2014"</f>
        <v>12/02/2014</v>
      </c>
      <c r="B1145" t="str">
        <f>"30.289"</f>
        <v>30.289</v>
      </c>
      <c r="C1145" t="str">
        <f>"30.2888"</f>
        <v>30.2888</v>
      </c>
    </row>
    <row r="1146" spans="1:3" x14ac:dyDescent="0.25">
      <c r="A1146" t="str">
        <f>"13/02/2014"</f>
        <v>13/02/2014</v>
      </c>
      <c r="B1146" t="str">
        <f>"30.32"</f>
        <v>30.32</v>
      </c>
      <c r="C1146" t="str">
        <f>"30.3198"</f>
        <v>30.3198</v>
      </c>
    </row>
    <row r="1147" spans="1:3" x14ac:dyDescent="0.25">
      <c r="A1147" t="str">
        <f>"14/02/2014"</f>
        <v>14/02/2014</v>
      </c>
      <c r="B1147" t="str">
        <f>"30.301"</f>
        <v>30.301</v>
      </c>
      <c r="C1147" t="str">
        <f>"30.3008"</f>
        <v>30.3008</v>
      </c>
    </row>
    <row r="1148" spans="1:3" x14ac:dyDescent="0.25">
      <c r="A1148" t="str">
        <f>"17/02/2014"</f>
        <v>17/02/2014</v>
      </c>
      <c r="B1148" t="str">
        <f>"30.232"</f>
        <v>30.232</v>
      </c>
      <c r="C1148" t="str">
        <f>"30.2318"</f>
        <v>30.2318</v>
      </c>
    </row>
    <row r="1149" spans="1:3" x14ac:dyDescent="0.25">
      <c r="A1149" t="str">
        <f>"18/02/2014"</f>
        <v>18/02/2014</v>
      </c>
      <c r="B1149" t="str">
        <f>"30.291"</f>
        <v>30.291</v>
      </c>
      <c r="C1149" t="str">
        <f>"30.2908"</f>
        <v>30.2908</v>
      </c>
    </row>
    <row r="1150" spans="1:3" x14ac:dyDescent="0.25">
      <c r="A1150" t="str">
        <f>"19/02/2014"</f>
        <v>19/02/2014</v>
      </c>
      <c r="B1150" t="str">
        <f>"30.292"</f>
        <v>30.292</v>
      </c>
      <c r="C1150" t="str">
        <f>"30.2917"</f>
        <v>30.2917</v>
      </c>
    </row>
    <row r="1151" spans="1:3" x14ac:dyDescent="0.25">
      <c r="A1151" t="str">
        <f>"20/02/2014"</f>
        <v>20/02/2014</v>
      </c>
      <c r="B1151" t="str">
        <f>"30.301"</f>
        <v>30.301</v>
      </c>
      <c r="C1151" t="str">
        <f>"30.3008"</f>
        <v>30.3008</v>
      </c>
    </row>
    <row r="1152" spans="1:3" x14ac:dyDescent="0.25">
      <c r="A1152" t="str">
        <f>"21/02/2014"</f>
        <v>21/02/2014</v>
      </c>
      <c r="B1152" t="str">
        <f>"30.329"</f>
        <v>30.329</v>
      </c>
      <c r="C1152" t="str">
        <f>"30.3288"</f>
        <v>30.3288</v>
      </c>
    </row>
    <row r="1153" spans="1:3" x14ac:dyDescent="0.25">
      <c r="A1153" t="str">
        <f>"24/02/2014"</f>
        <v>24/02/2014</v>
      </c>
      <c r="B1153" t="str">
        <f>"30.343"</f>
        <v>30.343</v>
      </c>
      <c r="C1153" t="str">
        <f>"30.3428"</f>
        <v>30.3428</v>
      </c>
    </row>
    <row r="1154" spans="1:3" x14ac:dyDescent="0.25">
      <c r="A1154" t="str">
        <f>"25/02/2014"</f>
        <v>25/02/2014</v>
      </c>
      <c r="B1154" t="str">
        <f>"30.353"</f>
        <v>30.353</v>
      </c>
      <c r="C1154" t="str">
        <f>"30.3528"</f>
        <v>30.3528</v>
      </c>
    </row>
    <row r="1155" spans="1:3" x14ac:dyDescent="0.25">
      <c r="A1155" t="str">
        <f>"26/02/2014"</f>
        <v>26/02/2014</v>
      </c>
      <c r="B1155" t="str">
        <f>"30.316"</f>
        <v>30.316</v>
      </c>
      <c r="C1155" t="str">
        <f>"30.3158"</f>
        <v>30.3158</v>
      </c>
    </row>
    <row r="1156" spans="1:3" x14ac:dyDescent="0.25">
      <c r="A1156" t="str">
        <f>"28/02/2014"</f>
        <v>28/02/2014</v>
      </c>
      <c r="B1156" t="str">
        <f>"30.329"</f>
        <v>30.329</v>
      </c>
      <c r="C1156" t="str">
        <f>"30.3288"</f>
        <v>30.3288</v>
      </c>
    </row>
    <row r="1157" spans="1:3" x14ac:dyDescent="0.25">
      <c r="A1157" t="str">
        <f>"03/03/2014"</f>
        <v>03/03/2014</v>
      </c>
      <c r="B1157" t="str">
        <f>"30.306"</f>
        <v>30.306</v>
      </c>
      <c r="C1157" t="str">
        <f>"30.3057"</f>
        <v>30.3057</v>
      </c>
    </row>
    <row r="1158" spans="1:3" x14ac:dyDescent="0.25">
      <c r="A1158" t="str">
        <f>"04/03/2014"</f>
        <v>04/03/2014</v>
      </c>
      <c r="B1158" t="str">
        <f>"30.299"</f>
        <v>30.299</v>
      </c>
      <c r="C1158" t="str">
        <f>"30.2987"</f>
        <v>30.2987</v>
      </c>
    </row>
    <row r="1159" spans="1:3" x14ac:dyDescent="0.25">
      <c r="A1159" t="str">
        <f>"05/03/2014"</f>
        <v>05/03/2014</v>
      </c>
      <c r="B1159" t="str">
        <f>"30.29"</f>
        <v>30.29</v>
      </c>
      <c r="C1159" t="str">
        <f>"30.2897"</f>
        <v>30.2897</v>
      </c>
    </row>
    <row r="1160" spans="1:3" x14ac:dyDescent="0.25">
      <c r="A1160" t="str">
        <f>"06/03/2014"</f>
        <v>06/03/2014</v>
      </c>
      <c r="B1160" t="str">
        <f>"30.288"</f>
        <v>30.288</v>
      </c>
      <c r="C1160" t="str">
        <f>"30.2878"</f>
        <v>30.2878</v>
      </c>
    </row>
    <row r="1161" spans="1:3" x14ac:dyDescent="0.25">
      <c r="A1161" t="str">
        <f>"07/03/2014"</f>
        <v>07/03/2014</v>
      </c>
      <c r="B1161" t="str">
        <f>"30.269"</f>
        <v>30.269</v>
      </c>
      <c r="C1161" t="str">
        <f>"30.2688"</f>
        <v>30.2688</v>
      </c>
    </row>
    <row r="1162" spans="1:3" x14ac:dyDescent="0.25">
      <c r="A1162" t="str">
        <f>"10/03/2014"</f>
        <v>10/03/2014</v>
      </c>
      <c r="B1162" t="str">
        <f>"30.289"</f>
        <v>30.289</v>
      </c>
      <c r="C1162" t="str">
        <f>"30.2888"</f>
        <v>30.2888</v>
      </c>
    </row>
    <row r="1163" spans="1:3" x14ac:dyDescent="0.25">
      <c r="A1163" t="str">
        <f>"11/03/2014"</f>
        <v>11/03/2014</v>
      </c>
      <c r="B1163" t="str">
        <f>"30.286"</f>
        <v>30.286</v>
      </c>
      <c r="C1163" t="str">
        <f>"30.2858"</f>
        <v>30.2858</v>
      </c>
    </row>
    <row r="1164" spans="1:3" x14ac:dyDescent="0.25">
      <c r="A1164" t="str">
        <f>"12/03/2014"</f>
        <v>12/03/2014</v>
      </c>
      <c r="B1164" t="str">
        <f>"30.329"</f>
        <v>30.329</v>
      </c>
      <c r="C1164" t="str">
        <f>"30.3288"</f>
        <v>30.3288</v>
      </c>
    </row>
    <row r="1165" spans="1:3" x14ac:dyDescent="0.25">
      <c r="A1165" t="str">
        <f>"13/03/2014"</f>
        <v>13/03/2014</v>
      </c>
      <c r="B1165" t="str">
        <f>"30.323"</f>
        <v>30.323</v>
      </c>
      <c r="C1165" t="str">
        <f>"30.3228"</f>
        <v>30.3228</v>
      </c>
    </row>
    <row r="1166" spans="1:3" x14ac:dyDescent="0.25">
      <c r="A1166" t="str">
        <f>"14/03/2014"</f>
        <v>14/03/2014</v>
      </c>
      <c r="B1166" t="str">
        <f>"30.327"</f>
        <v>30.327</v>
      </c>
      <c r="C1166" t="str">
        <f>"30.3268"</f>
        <v>30.3268</v>
      </c>
    </row>
    <row r="1167" spans="1:3" x14ac:dyDescent="0.25">
      <c r="A1167" t="str">
        <f>"18/03/2014"</f>
        <v>18/03/2014</v>
      </c>
      <c r="B1167" t="str">
        <f>"30.3345"</f>
        <v>30.3345</v>
      </c>
      <c r="C1167" t="str">
        <f>"30.3343"</f>
        <v>30.3343</v>
      </c>
    </row>
    <row r="1168" spans="1:3" x14ac:dyDescent="0.25">
      <c r="A1168" t="str">
        <f>"19/03/2014"</f>
        <v>19/03/2014</v>
      </c>
      <c r="B1168" t="str">
        <f>"30.43"</f>
        <v>30.43</v>
      </c>
      <c r="C1168" t="str">
        <f>"30.4298"</f>
        <v>30.4298</v>
      </c>
    </row>
    <row r="1169" spans="1:3" x14ac:dyDescent="0.25">
      <c r="A1169" t="str">
        <f>"20/03/2014"</f>
        <v>20/03/2014</v>
      </c>
      <c r="B1169" t="str">
        <f>"30.541"</f>
        <v>30.541</v>
      </c>
      <c r="C1169" t="str">
        <f>"30.5408"</f>
        <v>30.5408</v>
      </c>
    </row>
    <row r="1170" spans="1:3" x14ac:dyDescent="0.25">
      <c r="A1170" t="str">
        <f>"21/03/2014"</f>
        <v>21/03/2014</v>
      </c>
      <c r="B1170" t="str">
        <f>"30.6255"</f>
        <v>30.6255</v>
      </c>
      <c r="C1170" t="str">
        <f>"30.6253"</f>
        <v>30.6253</v>
      </c>
    </row>
    <row r="1171" spans="1:3" x14ac:dyDescent="0.25">
      <c r="A1171" t="str">
        <f>"24/03/2014"</f>
        <v>24/03/2014</v>
      </c>
      <c r="B1171" t="str">
        <f>"30.584"</f>
        <v>30.584</v>
      </c>
      <c r="C1171" t="str">
        <f>"30.5837"</f>
        <v>30.5837</v>
      </c>
    </row>
    <row r="1172" spans="1:3" x14ac:dyDescent="0.25">
      <c r="A1172" t="str">
        <f>"25/03/2014"</f>
        <v>25/03/2014</v>
      </c>
      <c r="B1172" t="str">
        <f>"30.534"</f>
        <v>30.534</v>
      </c>
      <c r="C1172" t="str">
        <f>"30.5338"</f>
        <v>30.5338</v>
      </c>
    </row>
    <row r="1173" spans="1:3" x14ac:dyDescent="0.25">
      <c r="A1173" t="str">
        <f>"26/03/2014"</f>
        <v>26/03/2014</v>
      </c>
      <c r="B1173" t="str">
        <f>"30.552"</f>
        <v>30.552</v>
      </c>
      <c r="C1173" t="str">
        <f>"30.5518"</f>
        <v>30.5518</v>
      </c>
    </row>
    <row r="1174" spans="1:3" x14ac:dyDescent="0.25">
      <c r="A1174" t="str">
        <f>"27/03/2014"</f>
        <v>27/03/2014</v>
      </c>
      <c r="B1174" t="str">
        <f>"30.55"</f>
        <v>30.55</v>
      </c>
      <c r="C1174" t="str">
        <f>"30.5498"</f>
        <v>30.5498</v>
      </c>
    </row>
    <row r="1175" spans="1:3" x14ac:dyDescent="0.25">
      <c r="A1175" t="str">
        <f>"28/03/2014"</f>
        <v>28/03/2014</v>
      </c>
      <c r="B1175" t="str">
        <f>"30.507"</f>
        <v>30.507</v>
      </c>
      <c r="C1175" t="str">
        <f>"30.5067"</f>
        <v>30.5067</v>
      </c>
    </row>
    <row r="1176" spans="1:3" x14ac:dyDescent="0.25">
      <c r="A1176" t="str">
        <f>"02/04/2014"</f>
        <v>02/04/2014</v>
      </c>
      <c r="B1176" t="str">
        <f>"30.284"</f>
        <v>30.284</v>
      </c>
      <c r="C1176" t="str">
        <f>"30.2838"</f>
        <v>30.2838</v>
      </c>
    </row>
    <row r="1177" spans="1:3" x14ac:dyDescent="0.25">
      <c r="A1177" t="str">
        <f>"03/04/2014"</f>
        <v>03/04/2014</v>
      </c>
      <c r="B1177" t="str">
        <f>"30.302"</f>
        <v>30.302</v>
      </c>
      <c r="C1177" t="str">
        <f>"30.3018"</f>
        <v>30.3018</v>
      </c>
    </row>
    <row r="1178" spans="1:3" x14ac:dyDescent="0.25">
      <c r="A1178" t="str">
        <f>"04/04/2014"</f>
        <v>04/04/2014</v>
      </c>
      <c r="B1178" t="str">
        <f>"30.307"</f>
        <v>30.307</v>
      </c>
      <c r="C1178" t="str">
        <f>"30.3068"</f>
        <v>30.3068</v>
      </c>
    </row>
    <row r="1179" spans="1:3" x14ac:dyDescent="0.25">
      <c r="A1179" t="str">
        <f>"07/04/2014"</f>
        <v>07/04/2014</v>
      </c>
      <c r="B1179" t="str">
        <f>"30.245"</f>
        <v>30.245</v>
      </c>
      <c r="C1179" t="str">
        <f>"30.2448"</f>
        <v>30.2448</v>
      </c>
    </row>
    <row r="1180" spans="1:3" x14ac:dyDescent="0.25">
      <c r="A1180" t="str">
        <f>"09/04/2014"</f>
        <v>09/04/2014</v>
      </c>
      <c r="B1180" t="str">
        <f>"30.079"</f>
        <v>30.079</v>
      </c>
      <c r="C1180" t="str">
        <f>"30.0788"</f>
        <v>30.0788</v>
      </c>
    </row>
    <row r="1181" spans="1:3" x14ac:dyDescent="0.25">
      <c r="A1181" t="str">
        <f>"10/04/2014"</f>
        <v>10/04/2014</v>
      </c>
      <c r="B1181" t="str">
        <f>"30.042"</f>
        <v>30.042</v>
      </c>
      <c r="C1181" t="str">
        <f>"30.0418"</f>
        <v>30.0418</v>
      </c>
    </row>
    <row r="1182" spans="1:3" x14ac:dyDescent="0.25">
      <c r="A1182" t="str">
        <f>"11/04/2014"</f>
        <v>11/04/2014</v>
      </c>
      <c r="B1182" t="str">
        <f>"30.069"</f>
        <v>30.069</v>
      </c>
      <c r="C1182" t="str">
        <f>"30.0688"</f>
        <v>30.0688</v>
      </c>
    </row>
    <row r="1183" spans="1:3" x14ac:dyDescent="0.25">
      <c r="A1183" t="str">
        <f>"15/04/2014"</f>
        <v>15/04/2014</v>
      </c>
      <c r="B1183" t="str">
        <f>"30.24"</f>
        <v>30.24</v>
      </c>
      <c r="C1183" t="str">
        <f>"30.2398"</f>
        <v>30.2398</v>
      </c>
    </row>
    <row r="1184" spans="1:3" x14ac:dyDescent="0.25">
      <c r="A1184" t="str">
        <f>"16/04/2014"</f>
        <v>16/04/2014</v>
      </c>
      <c r="B1184" t="str">
        <f>"30.148"</f>
        <v>30.148</v>
      </c>
      <c r="C1184" t="str">
        <f>"30.1478"</f>
        <v>30.1478</v>
      </c>
    </row>
    <row r="1185" spans="1:3" x14ac:dyDescent="0.25">
      <c r="A1185" t="str">
        <f>"17/04/2014"</f>
        <v>17/04/2014</v>
      </c>
      <c r="B1185" t="str">
        <f>"30.171"</f>
        <v>30.171</v>
      </c>
      <c r="C1185" t="str">
        <f>"30.1708"</f>
        <v>30.1708</v>
      </c>
    </row>
    <row r="1186" spans="1:3" x14ac:dyDescent="0.25">
      <c r="A1186" t="str">
        <f>"21/04/2014"</f>
        <v>21/04/2014</v>
      </c>
      <c r="B1186" t="str">
        <f>"30.237"</f>
        <v>30.237</v>
      </c>
      <c r="C1186" t="str">
        <f>"30.2368"</f>
        <v>30.2368</v>
      </c>
    </row>
    <row r="1187" spans="1:3" x14ac:dyDescent="0.25">
      <c r="A1187" t="str">
        <f>"22/04/2014"</f>
        <v>22/04/2014</v>
      </c>
      <c r="B1187" t="str">
        <f>"30.288"</f>
        <v>30.288</v>
      </c>
      <c r="C1187" t="str">
        <f>"30.2878"</f>
        <v>30.2878</v>
      </c>
    </row>
    <row r="1188" spans="1:3" x14ac:dyDescent="0.25">
      <c r="A1188" t="str">
        <f>"23/04/2014"</f>
        <v>23/04/2014</v>
      </c>
      <c r="B1188" t="str">
        <f>"30.298"</f>
        <v>30.298</v>
      </c>
      <c r="C1188" t="str">
        <f>"30.2978"</f>
        <v>30.2978</v>
      </c>
    </row>
    <row r="1189" spans="1:3" x14ac:dyDescent="0.25">
      <c r="A1189" t="str">
        <f>"25/04/2014"</f>
        <v>25/04/2014</v>
      </c>
      <c r="B1189" t="str">
        <f>"30.309"</f>
        <v>30.309</v>
      </c>
      <c r="C1189" t="str">
        <f>"30.3088"</f>
        <v>30.3088</v>
      </c>
    </row>
    <row r="1190" spans="1:3" x14ac:dyDescent="0.25">
      <c r="A1190" t="str">
        <f>"28/04/2014"</f>
        <v>28/04/2014</v>
      </c>
      <c r="B1190" t="str">
        <f>"30.251"</f>
        <v>30.251</v>
      </c>
      <c r="C1190" t="str">
        <f>"30.2508"</f>
        <v>30.2508</v>
      </c>
    </row>
    <row r="1191" spans="1:3" x14ac:dyDescent="0.25">
      <c r="A1191" t="str">
        <f>"29/04/2014"</f>
        <v>29/04/2014</v>
      </c>
      <c r="B1191" t="str">
        <f>"30.199"</f>
        <v>30.199</v>
      </c>
      <c r="C1191" t="str">
        <f>"30.1988"</f>
        <v>30.1988</v>
      </c>
    </row>
    <row r="1192" spans="1:3" x14ac:dyDescent="0.25">
      <c r="A1192" t="str">
        <f>"30/04/2014"</f>
        <v>30/04/2014</v>
      </c>
      <c r="B1192" t="str">
        <f>"30.223"</f>
        <v>30.223</v>
      </c>
      <c r="C1192" t="str">
        <f>"30.2228"</f>
        <v>30.2228</v>
      </c>
    </row>
    <row r="1193" spans="1:3" x14ac:dyDescent="0.25">
      <c r="A1193" t="str">
        <f>"02/05/2014"</f>
        <v>02/05/2014</v>
      </c>
      <c r="B1193" t="str">
        <f>"30.18"</f>
        <v>30.18</v>
      </c>
      <c r="C1193" t="str">
        <f>"30.1798"</f>
        <v>30.1798</v>
      </c>
    </row>
    <row r="1194" spans="1:3" x14ac:dyDescent="0.25">
      <c r="A1194" t="str">
        <f>"05/05/2014"</f>
        <v>05/05/2014</v>
      </c>
      <c r="B1194" t="str">
        <f>"30.132"</f>
        <v>30.132</v>
      </c>
      <c r="C1194" t="str">
        <f>"30.1318"</f>
        <v>30.1318</v>
      </c>
    </row>
    <row r="1195" spans="1:3" x14ac:dyDescent="0.25">
      <c r="A1195" t="str">
        <f>"06/05/2014"</f>
        <v>06/05/2014</v>
      </c>
      <c r="B1195" t="str">
        <f>"30.136"</f>
        <v>30.136</v>
      </c>
      <c r="C1195" t="str">
        <f>"30.1358"</f>
        <v>30.1358</v>
      </c>
    </row>
    <row r="1196" spans="1:3" x14ac:dyDescent="0.25">
      <c r="A1196" t="str">
        <f>"07/05/2014"</f>
        <v>07/05/2014</v>
      </c>
      <c r="B1196" t="str">
        <f>"30.13"</f>
        <v>30.13</v>
      </c>
      <c r="C1196" t="str">
        <f>"30.1298"</f>
        <v>30.1298</v>
      </c>
    </row>
    <row r="1197" spans="1:3" x14ac:dyDescent="0.25">
      <c r="A1197" t="str">
        <f>"08/05/2014"</f>
        <v>08/05/2014</v>
      </c>
      <c r="B1197" t="str">
        <f>"30.099"</f>
        <v>30.099</v>
      </c>
      <c r="C1197" t="str">
        <f>"30.0988"</f>
        <v>30.0988</v>
      </c>
    </row>
    <row r="1198" spans="1:3" x14ac:dyDescent="0.25">
      <c r="A1198" t="str">
        <f>"09/05/2014"</f>
        <v>09/05/2014</v>
      </c>
      <c r="B1198" t="str">
        <f>"30.086"</f>
        <v>30.086</v>
      </c>
      <c r="C1198" t="str">
        <f>"30.0858"</f>
        <v>30.0858</v>
      </c>
    </row>
    <row r="1199" spans="1:3" x14ac:dyDescent="0.25">
      <c r="A1199" t="str">
        <f>"12/05/2014"</f>
        <v>12/05/2014</v>
      </c>
      <c r="B1199" t="str">
        <f>"30.15"</f>
        <v>30.15</v>
      </c>
      <c r="C1199" t="str">
        <f>"30.1498"</f>
        <v>30.1498</v>
      </c>
    </row>
    <row r="1200" spans="1:3" x14ac:dyDescent="0.25">
      <c r="A1200" t="str">
        <f>"13/05/2014"</f>
        <v>13/05/2014</v>
      </c>
      <c r="B1200" t="str">
        <f>"30.187"</f>
        <v>30.187</v>
      </c>
      <c r="C1200" t="str">
        <f>"30.1868"</f>
        <v>30.1868</v>
      </c>
    </row>
    <row r="1201" spans="1:3" x14ac:dyDescent="0.25">
      <c r="A1201" t="str">
        <f>"15/05/2014"</f>
        <v>15/05/2014</v>
      </c>
      <c r="B1201" t="str">
        <f>"30.164"</f>
        <v>30.164</v>
      </c>
      <c r="C1201" t="str">
        <f>"30.1638"</f>
        <v>30.1638</v>
      </c>
    </row>
    <row r="1202" spans="1:3" x14ac:dyDescent="0.25">
      <c r="A1202" t="str">
        <f>"16/05/2014"</f>
        <v>16/05/2014</v>
      </c>
      <c r="B1202" t="str">
        <f>"30.164"</f>
        <v>30.164</v>
      </c>
      <c r="C1202" t="str">
        <f>"30.1639"</f>
        <v>30.1639</v>
      </c>
    </row>
    <row r="1203" spans="1:3" x14ac:dyDescent="0.25">
      <c r="A1203" t="str">
        <f>"19/05/2014"</f>
        <v>19/05/2014</v>
      </c>
      <c r="B1203" t="str">
        <f>"30.132"</f>
        <v>30.132</v>
      </c>
      <c r="C1203" t="str">
        <f>"30.1318"</f>
        <v>30.1318</v>
      </c>
    </row>
    <row r="1204" spans="1:3" x14ac:dyDescent="0.25">
      <c r="A1204" t="str">
        <f>"20/05/2014"</f>
        <v>20/05/2014</v>
      </c>
      <c r="B1204" t="str">
        <f>"30.19"</f>
        <v>30.19</v>
      </c>
      <c r="C1204" t="str">
        <f>"30.1899"</f>
        <v>30.1899</v>
      </c>
    </row>
    <row r="1205" spans="1:3" x14ac:dyDescent="0.25">
      <c r="A1205" t="str">
        <f>"21/05/2014"</f>
        <v>21/05/2014</v>
      </c>
      <c r="B1205" t="str">
        <f>"30.166"</f>
        <v>30.166</v>
      </c>
      <c r="C1205" t="str">
        <f>"30.1659"</f>
        <v>30.1659</v>
      </c>
    </row>
    <row r="1206" spans="1:3" x14ac:dyDescent="0.25">
      <c r="A1206" t="str">
        <f>"22/05/2014"</f>
        <v>22/05/2014</v>
      </c>
      <c r="B1206" t="str">
        <f>"30.131"</f>
        <v>30.131</v>
      </c>
      <c r="C1206" t="str">
        <f>"30.1309"</f>
        <v>30.1309</v>
      </c>
    </row>
    <row r="1207" spans="1:3" x14ac:dyDescent="0.25">
      <c r="A1207" t="str">
        <f>"23/05/2014"</f>
        <v>23/05/2014</v>
      </c>
      <c r="B1207" t="str">
        <f>"30.126"</f>
        <v>30.126</v>
      </c>
      <c r="C1207" t="str">
        <f>"30.1259"</f>
        <v>30.1259</v>
      </c>
    </row>
    <row r="1208" spans="1:3" x14ac:dyDescent="0.25">
      <c r="A1208" t="str">
        <f>"26/05/2014"</f>
        <v>26/05/2014</v>
      </c>
      <c r="B1208" t="str">
        <f>"30.10"</f>
        <v>30.10</v>
      </c>
      <c r="C1208" t="str">
        <f>"30.0999"</f>
        <v>30.0999</v>
      </c>
    </row>
    <row r="1209" spans="1:3" x14ac:dyDescent="0.25">
      <c r="A1209" t="str">
        <f>"27/05/2014"</f>
        <v>27/05/2014</v>
      </c>
      <c r="B1209" t="str">
        <f>"30.132"</f>
        <v>30.132</v>
      </c>
      <c r="C1209" t="str">
        <f>"30.1319"</f>
        <v>30.1319</v>
      </c>
    </row>
    <row r="1210" spans="1:3" x14ac:dyDescent="0.25">
      <c r="A1210" t="str">
        <f>"28/05/2014"</f>
        <v>28/05/2014</v>
      </c>
      <c r="B1210" t="str">
        <f>"30.118"</f>
        <v>30.118</v>
      </c>
      <c r="C1210" t="str">
        <f>"30.1179"</f>
        <v>30.1179</v>
      </c>
    </row>
    <row r="1211" spans="1:3" x14ac:dyDescent="0.25">
      <c r="A1211" t="str">
        <f>"29/05/2014"</f>
        <v>29/05/2014</v>
      </c>
      <c r="B1211" t="str">
        <f>"30.047"</f>
        <v>30.047</v>
      </c>
      <c r="C1211" t="str">
        <f>"30.0469"</f>
        <v>30.0469</v>
      </c>
    </row>
    <row r="1212" spans="1:3" x14ac:dyDescent="0.25">
      <c r="A1212" t="str">
        <f>"30/05/2014"</f>
        <v>30/05/2014</v>
      </c>
      <c r="B1212" t="str">
        <f>"29.982"</f>
        <v>29.982</v>
      </c>
      <c r="C1212" t="str">
        <f>"29.9819"</f>
        <v>29.9819</v>
      </c>
    </row>
    <row r="1213" spans="1:3" x14ac:dyDescent="0.25">
      <c r="A1213" t="str">
        <f>"02/06/2014"</f>
        <v>02/06/2014</v>
      </c>
      <c r="B1213" t="str">
        <f>"30.046"</f>
        <v>30.046</v>
      </c>
      <c r="C1213" t="str">
        <f>"30.0459"</f>
        <v>30.0459</v>
      </c>
    </row>
    <row r="1214" spans="1:3" x14ac:dyDescent="0.25">
      <c r="A1214" t="str">
        <f>"03/06/2014"</f>
        <v>03/06/2014</v>
      </c>
      <c r="B1214" t="str">
        <f>"30.015"</f>
        <v>30.015</v>
      </c>
      <c r="C1214" t="str">
        <f>"30.0149"</f>
        <v>30.0149</v>
      </c>
    </row>
    <row r="1215" spans="1:3" x14ac:dyDescent="0.25">
      <c r="A1215" t="str">
        <f>"04/06/2014"</f>
        <v>04/06/2014</v>
      </c>
      <c r="B1215" t="str">
        <f>"30.043"</f>
        <v>30.043</v>
      </c>
      <c r="C1215" t="str">
        <f>"30.0429"</f>
        <v>30.0429</v>
      </c>
    </row>
    <row r="1216" spans="1:3" x14ac:dyDescent="0.25">
      <c r="A1216" t="str">
        <f>"05/06/2014"</f>
        <v>05/06/2014</v>
      </c>
      <c r="B1216" t="str">
        <f>"30.041"</f>
        <v>30.041</v>
      </c>
      <c r="C1216" t="str">
        <f>"30.0409"</f>
        <v>30.0409</v>
      </c>
    </row>
    <row r="1217" spans="1:3" x14ac:dyDescent="0.25">
      <c r="A1217" t="str">
        <f>"06/06/2014"</f>
        <v>06/06/2014</v>
      </c>
      <c r="B1217" t="str">
        <f>"30.023"</f>
        <v>30.023</v>
      </c>
      <c r="C1217" t="str">
        <f>"30.0229"</f>
        <v>30.0229</v>
      </c>
    </row>
    <row r="1218" spans="1:3" x14ac:dyDescent="0.25">
      <c r="A1218" t="str">
        <f>"09/06/2014"</f>
        <v>09/06/2014</v>
      </c>
      <c r="B1218" t="str">
        <f>"30.007"</f>
        <v>30.007</v>
      </c>
      <c r="C1218" t="str">
        <f>"30.0069"</f>
        <v>30.0069</v>
      </c>
    </row>
    <row r="1219" spans="1:3" x14ac:dyDescent="0.25">
      <c r="A1219" t="str">
        <f>"10/06/2014"</f>
        <v>10/06/2014</v>
      </c>
      <c r="B1219" t="str">
        <f>"29.999"</f>
        <v>29.999</v>
      </c>
      <c r="C1219" t="str">
        <f>"29.9989"</f>
        <v>29.9989</v>
      </c>
    </row>
    <row r="1220" spans="1:3" x14ac:dyDescent="0.25">
      <c r="A1220" t="str">
        <f>"11/06/2014"</f>
        <v>11/06/2014</v>
      </c>
      <c r="B1220" t="str">
        <f>"29.991"</f>
        <v>29.991</v>
      </c>
      <c r="C1220" t="str">
        <f>"29.9909"</f>
        <v>29.9909</v>
      </c>
    </row>
    <row r="1221" spans="1:3" x14ac:dyDescent="0.25">
      <c r="A1221" t="str">
        <f>"12/06/2014"</f>
        <v>12/06/2014</v>
      </c>
      <c r="B1221" t="str">
        <f>"30.00"</f>
        <v>30.00</v>
      </c>
      <c r="C1221" t="str">
        <f>"29.9999"</f>
        <v>29.9999</v>
      </c>
    </row>
    <row r="1222" spans="1:3" x14ac:dyDescent="0.25">
      <c r="A1222" t="str">
        <f>"13/06/2014"</f>
        <v>13/06/2014</v>
      </c>
      <c r="B1222" t="str">
        <f>"30.006"</f>
        <v>30.006</v>
      </c>
      <c r="C1222" t="str">
        <f>"30.0059"</f>
        <v>30.0059</v>
      </c>
    </row>
    <row r="1223" spans="1:3" x14ac:dyDescent="0.25">
      <c r="A1223" t="str">
        <f>"16/06/2014"</f>
        <v>16/06/2014</v>
      </c>
      <c r="B1223" t="str">
        <f>"30.003"</f>
        <v>30.003</v>
      </c>
      <c r="C1223" t="str">
        <f>"30.0029"</f>
        <v>30.0029</v>
      </c>
    </row>
    <row r="1224" spans="1:3" x14ac:dyDescent="0.25">
      <c r="A1224" t="str">
        <f>"17/06/2014"</f>
        <v>17/06/2014</v>
      </c>
      <c r="B1224" t="str">
        <f>"30.018"</f>
        <v>30.018</v>
      </c>
      <c r="C1224" t="str">
        <f>"30.0179"</f>
        <v>30.0179</v>
      </c>
    </row>
    <row r="1225" spans="1:3" x14ac:dyDescent="0.25">
      <c r="A1225" t="str">
        <f>"18/06/2014"</f>
        <v>18/06/2014</v>
      </c>
      <c r="B1225" t="str">
        <f>"30.03"</f>
        <v>30.03</v>
      </c>
      <c r="C1225" t="str">
        <f>"30.03"</f>
        <v>30.03</v>
      </c>
    </row>
    <row r="1226" spans="1:3" x14ac:dyDescent="0.25">
      <c r="A1226" t="str">
        <f>"19/06/2014"</f>
        <v>19/06/2014</v>
      </c>
      <c r="B1226" t="str">
        <f>"29.988"</f>
        <v>29.988</v>
      </c>
      <c r="C1226" t="str">
        <f>"29.988"</f>
        <v>29.988</v>
      </c>
    </row>
    <row r="1227" spans="1:3" x14ac:dyDescent="0.25">
      <c r="A1227" t="str">
        <f>"20/06/2014"</f>
        <v>20/06/2014</v>
      </c>
      <c r="B1227" t="str">
        <f>"29.981"</f>
        <v>29.981</v>
      </c>
      <c r="C1227" t="str">
        <f>"29.9809"</f>
        <v>29.9809</v>
      </c>
    </row>
    <row r="1228" spans="1:3" x14ac:dyDescent="0.25">
      <c r="A1228" t="str">
        <f>"23/06/2014"</f>
        <v>23/06/2014</v>
      </c>
      <c r="B1228" t="str">
        <f>"29.99"</f>
        <v>29.99</v>
      </c>
      <c r="C1228" t="str">
        <f>"29.99"</f>
        <v>29.99</v>
      </c>
    </row>
    <row r="1229" spans="1:3" x14ac:dyDescent="0.25">
      <c r="A1229" t="str">
        <f>"24/06/2014"</f>
        <v>24/06/2014</v>
      </c>
      <c r="B1229" t="str">
        <f>"29.977"</f>
        <v>29.977</v>
      </c>
      <c r="C1229" t="str">
        <f>"29.977"</f>
        <v>29.977</v>
      </c>
    </row>
    <row r="1230" spans="1:3" x14ac:dyDescent="0.25">
      <c r="A1230" t="str">
        <f>"25/06/2014"</f>
        <v>25/06/2014</v>
      </c>
      <c r="B1230" t="str">
        <f>"29.983"</f>
        <v>29.983</v>
      </c>
      <c r="C1230" t="str">
        <f>"29.983"</f>
        <v>29.983</v>
      </c>
    </row>
    <row r="1231" spans="1:3" x14ac:dyDescent="0.25">
      <c r="A1231" t="str">
        <f>"26/06/2014"</f>
        <v>26/06/2014</v>
      </c>
      <c r="B1231" t="str">
        <f>"29.936"</f>
        <v>29.936</v>
      </c>
      <c r="C1231" t="str">
        <f>"29.936"</f>
        <v>29.936</v>
      </c>
    </row>
    <row r="1232" spans="1:3" x14ac:dyDescent="0.25">
      <c r="A1232" t="str">
        <f>"27/06/2014"</f>
        <v>27/06/2014</v>
      </c>
      <c r="B1232" t="str">
        <f>"29.896"</f>
        <v>29.896</v>
      </c>
      <c r="C1232" t="str">
        <f>"29.896"</f>
        <v>29.896</v>
      </c>
    </row>
    <row r="1233" spans="1:3" x14ac:dyDescent="0.25">
      <c r="A1233" t="str">
        <f>"30/06/2014"</f>
        <v>30/06/2014</v>
      </c>
      <c r="B1233" t="str">
        <f>"29.858"</f>
        <v>29.858</v>
      </c>
      <c r="C1233" t="str">
        <f>"29.8579"</f>
        <v>29.8579</v>
      </c>
    </row>
    <row r="1234" spans="1:3" x14ac:dyDescent="0.25">
      <c r="A1234" t="str">
        <f>"01/07/2014"</f>
        <v>01/07/2014</v>
      </c>
      <c r="B1234" t="str">
        <f>"29.893"</f>
        <v>29.893</v>
      </c>
      <c r="C1234" t="str">
        <f>"29.893"</f>
        <v>29.893</v>
      </c>
    </row>
    <row r="1235" spans="1:3" x14ac:dyDescent="0.25">
      <c r="A1235" t="str">
        <f>"02/07/2014"</f>
        <v>02/07/2014</v>
      </c>
      <c r="B1235" t="str">
        <f>"29.862"</f>
        <v>29.862</v>
      </c>
      <c r="C1235" t="str">
        <f>"29.8619"</f>
        <v>29.8619</v>
      </c>
    </row>
    <row r="1236" spans="1:3" x14ac:dyDescent="0.25">
      <c r="A1236" t="str">
        <f>"03/07/2014"</f>
        <v>03/07/2014</v>
      </c>
      <c r="B1236" t="str">
        <f>"29.878"</f>
        <v>29.878</v>
      </c>
      <c r="C1236" t="str">
        <f>"29.8779"</f>
        <v>29.8779</v>
      </c>
    </row>
    <row r="1237" spans="1:3" x14ac:dyDescent="0.25">
      <c r="A1237" t="str">
        <f>"04/07/2014"</f>
        <v>04/07/2014</v>
      </c>
      <c r="B1237" t="str">
        <f>"29.883"</f>
        <v>29.883</v>
      </c>
      <c r="C1237" t="str">
        <f>"29.883"</f>
        <v>29.883</v>
      </c>
    </row>
    <row r="1238" spans="1:3" x14ac:dyDescent="0.25">
      <c r="A1238" t="str">
        <f>"07/07/2014"</f>
        <v>07/07/2014</v>
      </c>
      <c r="B1238" t="str">
        <f>"29.902"</f>
        <v>29.902</v>
      </c>
      <c r="C1238" t="str">
        <f>"29.902"</f>
        <v>29.902</v>
      </c>
    </row>
    <row r="1239" spans="1:3" x14ac:dyDescent="0.25">
      <c r="A1239" t="str">
        <f>"08/07/2014"</f>
        <v>08/07/2014</v>
      </c>
      <c r="B1239" t="str">
        <f>"29.97"</f>
        <v>29.97</v>
      </c>
      <c r="C1239" t="str">
        <f>"29.97"</f>
        <v>29.97</v>
      </c>
    </row>
    <row r="1240" spans="1:3" x14ac:dyDescent="0.25">
      <c r="A1240" t="str">
        <f>"09/07/2014"</f>
        <v>09/07/2014</v>
      </c>
      <c r="B1240" t="str">
        <f>"29.904"</f>
        <v>29.904</v>
      </c>
      <c r="C1240" t="str">
        <f>"29.904"</f>
        <v>29.904</v>
      </c>
    </row>
    <row r="1241" spans="1:3" x14ac:dyDescent="0.25">
      <c r="A1241" t="str">
        <f>"10/07/2014"</f>
        <v>10/07/2014</v>
      </c>
      <c r="B1241" t="str">
        <f>"29.893"</f>
        <v>29.893</v>
      </c>
      <c r="C1241" t="str">
        <f>"29.893"</f>
        <v>29.893</v>
      </c>
    </row>
    <row r="1242" spans="1:3" x14ac:dyDescent="0.25">
      <c r="A1242" t="str">
        <f>"11/07/2014"</f>
        <v>11/07/2014</v>
      </c>
      <c r="B1242" t="str">
        <f>"29.94"</f>
        <v>29.94</v>
      </c>
      <c r="C1242" t="str">
        <f>"29.94"</f>
        <v>29.94</v>
      </c>
    </row>
    <row r="1243" spans="1:3" x14ac:dyDescent="0.25">
      <c r="A1243" t="str">
        <f>"14/07/2014"</f>
        <v>14/07/2014</v>
      </c>
      <c r="B1243" t="str">
        <f>"29.949"</f>
        <v>29.949</v>
      </c>
      <c r="C1243" t="str">
        <f>"29.9489"</f>
        <v>29.9489</v>
      </c>
    </row>
    <row r="1244" spans="1:3" x14ac:dyDescent="0.25">
      <c r="A1244" t="str">
        <f>"15/07/2014"</f>
        <v>15/07/2014</v>
      </c>
      <c r="B1244" t="str">
        <f>"29.9975"</f>
        <v>29.9975</v>
      </c>
      <c r="C1244" t="str">
        <f>"29.9975"</f>
        <v>29.9975</v>
      </c>
    </row>
    <row r="1245" spans="1:3" x14ac:dyDescent="0.25">
      <c r="A1245" t="str">
        <f>"16/07/2014"</f>
        <v>16/07/2014</v>
      </c>
      <c r="B1245" t="str">
        <f>"30.0095"</f>
        <v>30.0095</v>
      </c>
      <c r="C1245" t="str">
        <f>"30.0095"</f>
        <v>30.0095</v>
      </c>
    </row>
    <row r="1246" spans="1:3" x14ac:dyDescent="0.25">
      <c r="A1246" t="str">
        <f>"17/07/2014"</f>
        <v>17/07/2014</v>
      </c>
      <c r="B1246" t="str">
        <f>"30.007"</f>
        <v>30.007</v>
      </c>
      <c r="C1246" t="str">
        <f>"30.007"</f>
        <v>30.007</v>
      </c>
    </row>
    <row r="1247" spans="1:3" x14ac:dyDescent="0.25">
      <c r="A1247" t="str">
        <f>"18/07/2014"</f>
        <v>18/07/2014</v>
      </c>
      <c r="B1247" t="str">
        <f>"29.991"</f>
        <v>29.991</v>
      </c>
      <c r="C1247" t="str">
        <f>"29.991"</f>
        <v>29.991</v>
      </c>
    </row>
    <row r="1248" spans="1:3" x14ac:dyDescent="0.25">
      <c r="A1248" t="str">
        <f>"21/07/2014"</f>
        <v>21/07/2014</v>
      </c>
      <c r="B1248" t="str">
        <f>"29.982"</f>
        <v>29.982</v>
      </c>
      <c r="C1248" t="str">
        <f>"29.9819"</f>
        <v>29.9819</v>
      </c>
    </row>
    <row r="1249" spans="1:3" x14ac:dyDescent="0.25">
      <c r="A1249" t="str">
        <f>"22/07/2014"</f>
        <v>22/07/2014</v>
      </c>
      <c r="B1249" t="str">
        <f>"29.982"</f>
        <v>29.982</v>
      </c>
      <c r="C1249" t="str">
        <f>"29.982"</f>
        <v>29.982</v>
      </c>
    </row>
    <row r="1250" spans="1:3" x14ac:dyDescent="0.25">
      <c r="A1250" t="str">
        <f>"23/07/2014"</f>
        <v>23/07/2014</v>
      </c>
      <c r="B1250" t="str">
        <f>"29.979"</f>
        <v>29.979</v>
      </c>
      <c r="C1250" t="str">
        <f>"29.979"</f>
        <v>29.979</v>
      </c>
    </row>
    <row r="1251" spans="1:3" x14ac:dyDescent="0.25">
      <c r="A1251" t="str">
        <f>"24/07/2014"</f>
        <v>24/07/2014</v>
      </c>
      <c r="B1251" t="str">
        <f>"29.978"</f>
        <v>29.978</v>
      </c>
      <c r="C1251" t="str">
        <f>"29.978"</f>
        <v>29.978</v>
      </c>
    </row>
    <row r="1252" spans="1:3" x14ac:dyDescent="0.25">
      <c r="A1252" t="str">
        <f>"25/07/2014"</f>
        <v>25/07/2014</v>
      </c>
      <c r="B1252" t="str">
        <f>"29.984"</f>
        <v>29.984</v>
      </c>
      <c r="C1252" t="str">
        <f>"29.984"</f>
        <v>29.984</v>
      </c>
    </row>
    <row r="1253" spans="1:3" x14ac:dyDescent="0.25">
      <c r="A1253" t="str">
        <f>"28/07/2014"</f>
        <v>28/07/2014</v>
      </c>
      <c r="B1253" t="str">
        <f>"29.97"</f>
        <v>29.97</v>
      </c>
      <c r="C1253" t="str">
        <f>"29.97"</f>
        <v>29.97</v>
      </c>
    </row>
    <row r="1254" spans="1:3" x14ac:dyDescent="0.25">
      <c r="A1254" t="str">
        <f>"30/07/2014"</f>
        <v>30/07/2014</v>
      </c>
      <c r="B1254" t="str">
        <f>"29.954"</f>
        <v>29.954</v>
      </c>
      <c r="C1254" t="str">
        <f>"29.954"</f>
        <v>29.954</v>
      </c>
    </row>
    <row r="1255" spans="1:3" x14ac:dyDescent="0.25">
      <c r="A1255" t="str">
        <f>"31/07/2014"</f>
        <v>31/07/2014</v>
      </c>
      <c r="B1255" t="str">
        <f>"29.994"</f>
        <v>29.994</v>
      </c>
      <c r="C1255" t="str">
        <f>"29.994"</f>
        <v>29.994</v>
      </c>
    </row>
    <row r="1256" spans="1:3" x14ac:dyDescent="0.25">
      <c r="A1256" t="str">
        <f>"01/08/2014"</f>
        <v>01/08/2014</v>
      </c>
      <c r="B1256" t="str">
        <f>"30.036"</f>
        <v>30.036</v>
      </c>
      <c r="C1256" t="str">
        <f>"30.036"</f>
        <v>30.036</v>
      </c>
    </row>
    <row r="1257" spans="1:3" x14ac:dyDescent="0.25">
      <c r="A1257" t="str">
        <f>"04/08/2014"</f>
        <v>04/08/2014</v>
      </c>
      <c r="B1257" t="str">
        <f>"29.989"</f>
        <v>29.989</v>
      </c>
      <c r="C1257" t="str">
        <f>"29.989"</f>
        <v>29.989</v>
      </c>
    </row>
    <row r="1258" spans="1:3" x14ac:dyDescent="0.25">
      <c r="A1258" t="str">
        <f>"05/08/2014"</f>
        <v>05/08/2014</v>
      </c>
      <c r="B1258" t="str">
        <f>"29.99"</f>
        <v>29.99</v>
      </c>
      <c r="C1258" t="str">
        <f>"29.99"</f>
        <v>29.99</v>
      </c>
    </row>
    <row r="1259" spans="1:3" x14ac:dyDescent="0.25">
      <c r="A1259" t="str">
        <f>"06/08/2014"</f>
        <v>06/08/2014</v>
      </c>
      <c r="B1259" t="str">
        <f>"29.998"</f>
        <v>29.998</v>
      </c>
      <c r="C1259" t="str">
        <f>"29.998"</f>
        <v>29.998</v>
      </c>
    </row>
    <row r="1260" spans="1:3" x14ac:dyDescent="0.25">
      <c r="A1260" t="str">
        <f>"07/08/2014"</f>
        <v>07/08/2014</v>
      </c>
      <c r="B1260" t="str">
        <f>"30.005"</f>
        <v>30.005</v>
      </c>
      <c r="C1260" t="str">
        <f>"30.005"</f>
        <v>30.005</v>
      </c>
    </row>
    <row r="1261" spans="1:3" x14ac:dyDescent="0.25">
      <c r="A1261" t="str">
        <f>"08/08/2014"</f>
        <v>08/08/2014</v>
      </c>
      <c r="B1261" t="str">
        <f>"30.025"</f>
        <v>30.025</v>
      </c>
      <c r="C1261" t="str">
        <f>"30.025"</f>
        <v>30.025</v>
      </c>
    </row>
    <row r="1262" spans="1:3" x14ac:dyDescent="0.25">
      <c r="A1262" t="str">
        <f>"11/08/2014"</f>
        <v>11/08/2014</v>
      </c>
      <c r="B1262" t="str">
        <f>"29.996"</f>
        <v>29.996</v>
      </c>
      <c r="C1262" t="str">
        <f>"29.996"</f>
        <v>29.996</v>
      </c>
    </row>
    <row r="1263" spans="1:3" x14ac:dyDescent="0.25">
      <c r="A1263" t="str">
        <f>"12/08/2014"</f>
        <v>12/08/2014</v>
      </c>
      <c r="B1263" t="str">
        <f>"30.005"</f>
        <v>30.005</v>
      </c>
      <c r="C1263" t="str">
        <f>"30.0051"</f>
        <v>30.0051</v>
      </c>
    </row>
    <row r="1264" spans="1:3" x14ac:dyDescent="0.25">
      <c r="A1264" t="str">
        <f>"13/08/2014"</f>
        <v>13/08/2014</v>
      </c>
      <c r="B1264" t="str">
        <f>"30.009"</f>
        <v>30.009</v>
      </c>
      <c r="C1264" t="str">
        <f>"30.009"</f>
        <v>30.009</v>
      </c>
    </row>
    <row r="1265" spans="1:3" x14ac:dyDescent="0.25">
      <c r="A1265" t="str">
        <f>"14/08/2014"</f>
        <v>14/08/2014</v>
      </c>
      <c r="B1265" t="str">
        <f>"29.996"</f>
        <v>29.996</v>
      </c>
      <c r="C1265" t="str">
        <f>"29.996"</f>
        <v>29.996</v>
      </c>
    </row>
    <row r="1266" spans="1:3" x14ac:dyDescent="0.25">
      <c r="A1266" t="str">
        <f>"19/08/2014"</f>
        <v>19/08/2014</v>
      </c>
      <c r="B1266" t="str">
        <f>"29.979"</f>
        <v>29.979</v>
      </c>
      <c r="C1266" t="str">
        <f>"29.9789"</f>
        <v>29.9789</v>
      </c>
    </row>
    <row r="1267" spans="1:3" x14ac:dyDescent="0.25">
      <c r="A1267" t="str">
        <f>"20/08/2014"</f>
        <v>20/08/2014</v>
      </c>
      <c r="B1267" t="str">
        <f>"29.991"</f>
        <v>29.991</v>
      </c>
      <c r="C1267" t="str">
        <f>"29.9909"</f>
        <v>29.9909</v>
      </c>
    </row>
    <row r="1268" spans="1:3" x14ac:dyDescent="0.25">
      <c r="A1268" t="str">
        <f>"21/08/2014"</f>
        <v>21/08/2014</v>
      </c>
      <c r="B1268" t="str">
        <f>"30.00"</f>
        <v>30.00</v>
      </c>
      <c r="C1268" t="str">
        <f>"29.9999"</f>
        <v>29.9999</v>
      </c>
    </row>
    <row r="1269" spans="1:3" x14ac:dyDescent="0.25">
      <c r="A1269" t="str">
        <f>"22/08/2014"</f>
        <v>22/08/2014</v>
      </c>
      <c r="B1269" t="str">
        <f>"29.974"</f>
        <v>29.974</v>
      </c>
      <c r="C1269" t="str">
        <f>"29.974"</f>
        <v>29.974</v>
      </c>
    </row>
    <row r="1270" spans="1:3" x14ac:dyDescent="0.25">
      <c r="A1270" t="str">
        <f>"25/08/2014"</f>
        <v>25/08/2014</v>
      </c>
      <c r="B1270" t="str">
        <f>"29.979"</f>
        <v>29.979</v>
      </c>
      <c r="C1270" t="str">
        <f>"29.979"</f>
        <v>29.979</v>
      </c>
    </row>
    <row r="1271" spans="1:3" x14ac:dyDescent="0.25">
      <c r="A1271" t="str">
        <f>"26/08/2014"</f>
        <v>26/08/2014</v>
      </c>
      <c r="B1271" t="str">
        <f>"29.968"</f>
        <v>29.968</v>
      </c>
      <c r="C1271" t="str">
        <f>"29.968"</f>
        <v>29.968</v>
      </c>
    </row>
    <row r="1272" spans="1:3" x14ac:dyDescent="0.25">
      <c r="A1272" t="str">
        <f>"27/08/2014"</f>
        <v>27/08/2014</v>
      </c>
      <c r="B1272" t="str">
        <f>"29.9405"</f>
        <v>29.9405</v>
      </c>
      <c r="C1272" t="str">
        <f>"29.9405"</f>
        <v>29.9405</v>
      </c>
    </row>
    <row r="1273" spans="1:3" x14ac:dyDescent="0.25">
      <c r="A1273" t="str">
        <f>"28/08/2014"</f>
        <v>28/08/2014</v>
      </c>
      <c r="B1273" t="str">
        <f>"29.893"</f>
        <v>29.893</v>
      </c>
      <c r="C1273" t="str">
        <f>"29.893"</f>
        <v>29.893</v>
      </c>
    </row>
    <row r="1274" spans="1:3" x14ac:dyDescent="0.25">
      <c r="A1274" t="str">
        <f>"01/09/2014"</f>
        <v>01/09/2014</v>
      </c>
      <c r="B1274" t="str">
        <f>"29.873"</f>
        <v>29.873</v>
      </c>
      <c r="C1274" t="str">
        <f>"29.873"</f>
        <v>29.873</v>
      </c>
    </row>
    <row r="1275" spans="1:3" x14ac:dyDescent="0.25">
      <c r="A1275" t="str">
        <f>"02/09/2014"</f>
        <v>02/09/2014</v>
      </c>
      <c r="B1275" t="str">
        <f>"29.924"</f>
        <v>29.924</v>
      </c>
      <c r="C1275" t="str">
        <f>"29.924"</f>
        <v>29.924</v>
      </c>
    </row>
    <row r="1276" spans="1:3" x14ac:dyDescent="0.25">
      <c r="A1276" t="str">
        <f>"03/09/2014"</f>
        <v>03/09/2014</v>
      </c>
      <c r="B1276" t="str">
        <f>"29.9425"</f>
        <v>29.9425</v>
      </c>
      <c r="C1276" t="str">
        <f>"29.9425"</f>
        <v>29.9425</v>
      </c>
    </row>
    <row r="1277" spans="1:3" x14ac:dyDescent="0.25">
      <c r="A1277" t="str">
        <f>"04/09/2014"</f>
        <v>04/09/2014</v>
      </c>
      <c r="B1277" t="str">
        <f>"29.902"</f>
        <v>29.902</v>
      </c>
      <c r="C1277" t="str">
        <f>"29.902"</f>
        <v>29.902</v>
      </c>
    </row>
    <row r="1278" spans="1:3" x14ac:dyDescent="0.25">
      <c r="A1278" t="str">
        <f>"05/09/2014"</f>
        <v>05/09/2014</v>
      </c>
      <c r="B1278" t="str">
        <f>"29.947"</f>
        <v>29.947</v>
      </c>
      <c r="C1278" t="str">
        <f>"29.947"</f>
        <v>29.947</v>
      </c>
    </row>
    <row r="1279" spans="1:3" x14ac:dyDescent="0.25">
      <c r="A1279" t="str">
        <f>"08/09/2014"</f>
        <v>08/09/2014</v>
      </c>
      <c r="B1279" t="str">
        <f>"29.913"</f>
        <v>29.913</v>
      </c>
      <c r="C1279" t="str">
        <f>"29.913"</f>
        <v>29.913</v>
      </c>
    </row>
    <row r="1280" spans="1:3" x14ac:dyDescent="0.25">
      <c r="A1280" t="str">
        <f>"09/09/2014"</f>
        <v>09/09/2014</v>
      </c>
      <c r="B1280" t="str">
        <f>"29.952"</f>
        <v>29.952</v>
      </c>
      <c r="C1280" t="str">
        <f>"29.952"</f>
        <v>29.952</v>
      </c>
    </row>
    <row r="1281" spans="1:3" x14ac:dyDescent="0.25">
      <c r="A1281" t="str">
        <f>"10/09/2014"</f>
        <v>10/09/2014</v>
      </c>
      <c r="B1281" t="str">
        <f>"29.976"</f>
        <v>29.976</v>
      </c>
      <c r="C1281" t="str">
        <f>"29.9759"</f>
        <v>29.9759</v>
      </c>
    </row>
    <row r="1282" spans="1:3" x14ac:dyDescent="0.25">
      <c r="A1282" t="str">
        <f>"11/09/2014"</f>
        <v>11/09/2014</v>
      </c>
      <c r="B1282" t="str">
        <f>"29.981"</f>
        <v>29.981</v>
      </c>
      <c r="C1282" t="str">
        <f>"29.9809"</f>
        <v>29.9809</v>
      </c>
    </row>
    <row r="1283" spans="1:3" x14ac:dyDescent="0.25">
      <c r="A1283" t="str">
        <f>"12/09/2014"</f>
        <v>12/09/2014</v>
      </c>
      <c r="B1283" t="str">
        <f>"30.034"</f>
        <v>30.034</v>
      </c>
      <c r="C1283" t="str">
        <f>"30.034"</f>
        <v>30.034</v>
      </c>
    </row>
    <row r="1284" spans="1:3" x14ac:dyDescent="0.25">
      <c r="A1284" t="str">
        <f>"15/09/2014"</f>
        <v>15/09/2014</v>
      </c>
      <c r="B1284" t="str">
        <f>"30.046"</f>
        <v>30.046</v>
      </c>
      <c r="C1284" t="str">
        <f>"30.046"</f>
        <v>30.046</v>
      </c>
    </row>
    <row r="1285" spans="1:3" x14ac:dyDescent="0.25">
      <c r="A1285" t="str">
        <f>"16/09/2014"</f>
        <v>16/09/2014</v>
      </c>
      <c r="B1285" t="str">
        <f>"30.144"</f>
        <v>30.144</v>
      </c>
      <c r="C1285" t="str">
        <f>"30.1439"</f>
        <v>30.1439</v>
      </c>
    </row>
    <row r="1286" spans="1:3" x14ac:dyDescent="0.25">
      <c r="A1286" t="str">
        <f>"17/09/2014"</f>
        <v>17/09/2014</v>
      </c>
      <c r="B1286" t="str">
        <f>"30.141"</f>
        <v>30.141</v>
      </c>
      <c r="C1286" t="str">
        <f>"30.141"</f>
        <v>30.141</v>
      </c>
    </row>
    <row r="1287" spans="1:3" x14ac:dyDescent="0.25">
      <c r="A1287" t="str">
        <f>"18/09/2014"</f>
        <v>18/09/2014</v>
      </c>
      <c r="B1287" t="str">
        <f>"30.2715"</f>
        <v>30.2715</v>
      </c>
      <c r="C1287" t="str">
        <f>"30.2714"</f>
        <v>30.2714</v>
      </c>
    </row>
    <row r="1288" spans="1:3" x14ac:dyDescent="0.25">
      <c r="A1288" t="str">
        <f>"19/09/2014"</f>
        <v>19/09/2014</v>
      </c>
      <c r="B1288" t="str">
        <f>"30.251"</f>
        <v>30.251</v>
      </c>
      <c r="C1288" t="str">
        <f>"30.251"</f>
        <v>30.251</v>
      </c>
    </row>
    <row r="1289" spans="1:3" x14ac:dyDescent="0.25">
      <c r="A1289" t="str">
        <f>"22/09/2014"</f>
        <v>22/09/2014</v>
      </c>
      <c r="B1289" t="str">
        <f>"30.192"</f>
        <v>30.192</v>
      </c>
      <c r="C1289" t="str">
        <f>"30.192"</f>
        <v>30.192</v>
      </c>
    </row>
    <row r="1290" spans="1:3" x14ac:dyDescent="0.25">
      <c r="A1290" t="str">
        <f>"23/09/2014"</f>
        <v>23/09/2014</v>
      </c>
      <c r="B1290" t="str">
        <f>"30.24"</f>
        <v>30.24</v>
      </c>
      <c r="C1290" t="str">
        <f>"30.2399"</f>
        <v>30.2399</v>
      </c>
    </row>
    <row r="1291" spans="1:3" x14ac:dyDescent="0.25">
      <c r="A1291" t="str">
        <f>"24/09/2014"</f>
        <v>24/09/2014</v>
      </c>
      <c r="B1291" t="str">
        <f>"30.238"</f>
        <v>30.238</v>
      </c>
      <c r="C1291" t="str">
        <f>"30.238"</f>
        <v>30.238</v>
      </c>
    </row>
    <row r="1292" spans="1:3" x14ac:dyDescent="0.25">
      <c r="A1292" t="str">
        <f>"25/09/2014"</f>
        <v>25/09/2014</v>
      </c>
      <c r="B1292" t="str">
        <f>"30.286"</f>
        <v>30.286</v>
      </c>
      <c r="C1292" t="str">
        <f>"30.286"</f>
        <v>30.286</v>
      </c>
    </row>
    <row r="1293" spans="1:3" x14ac:dyDescent="0.25">
      <c r="A1293" t="str">
        <f>"26/09/2014"</f>
        <v>26/09/2014</v>
      </c>
      <c r="B1293" t="str">
        <f>"30.3125"</f>
        <v>30.3125</v>
      </c>
      <c r="C1293" t="str">
        <f>"30.3124"</f>
        <v>30.3124</v>
      </c>
    </row>
    <row r="1294" spans="1:3" x14ac:dyDescent="0.25">
      <c r="A1294" t="str">
        <f>"29/09/2014"</f>
        <v>29/09/2014</v>
      </c>
      <c r="B1294" t="str">
        <f>"30.472"</f>
        <v>30.472</v>
      </c>
      <c r="C1294" t="str">
        <f>"30.472"</f>
        <v>30.472</v>
      </c>
    </row>
    <row r="1295" spans="1:3" x14ac:dyDescent="0.25">
      <c r="A1295" t="str">
        <f>"30/09/2014"</f>
        <v>30/09/2014</v>
      </c>
      <c r="B1295" t="str">
        <f>"30.438"</f>
        <v>30.438</v>
      </c>
      <c r="C1295" t="str">
        <f>"30.438"</f>
        <v>30.438</v>
      </c>
    </row>
    <row r="1296" spans="1:3" x14ac:dyDescent="0.25">
      <c r="A1296" t="str">
        <f>"01/10/2014"</f>
        <v>01/10/2014</v>
      </c>
      <c r="B1296" t="str">
        <f>"30.486"</f>
        <v>30.486</v>
      </c>
      <c r="C1296" t="str">
        <f>"30.486"</f>
        <v>30.486</v>
      </c>
    </row>
    <row r="1297" spans="1:3" x14ac:dyDescent="0.25">
      <c r="A1297" t="str">
        <f>"07/10/2014"</f>
        <v>07/10/2014</v>
      </c>
      <c r="B1297" t="str">
        <f>"30.443"</f>
        <v>30.443</v>
      </c>
      <c r="C1297" t="str">
        <f>"30.443"</f>
        <v>30.443</v>
      </c>
    </row>
    <row r="1298" spans="1:3" x14ac:dyDescent="0.25">
      <c r="A1298" t="str">
        <f>"08/10/2014"</f>
        <v>08/10/2014</v>
      </c>
      <c r="B1298" t="str">
        <f>"30.431"</f>
        <v>30.431</v>
      </c>
      <c r="C1298" t="str">
        <f>"30.431"</f>
        <v>30.431</v>
      </c>
    </row>
    <row r="1299" spans="1:3" x14ac:dyDescent="0.25">
      <c r="A1299" t="str">
        <f>"09/10/2014"</f>
        <v>09/10/2014</v>
      </c>
      <c r="B1299" t="str">
        <f>"30.37"</f>
        <v>30.37</v>
      </c>
      <c r="C1299" t="str">
        <f>"30.3699"</f>
        <v>30.3699</v>
      </c>
    </row>
    <row r="1300" spans="1:3" x14ac:dyDescent="0.25">
      <c r="A1300" t="str">
        <f>"10/10/2014"</f>
        <v>10/10/2014</v>
      </c>
      <c r="B1300" t="str">
        <f>"30.379"</f>
        <v>30.379</v>
      </c>
      <c r="C1300" t="str">
        <f>"30.379"</f>
        <v>30.379</v>
      </c>
    </row>
    <row r="1301" spans="1:3" x14ac:dyDescent="0.25">
      <c r="A1301" t="str">
        <f>"13/10/2014"</f>
        <v>13/10/2014</v>
      </c>
      <c r="B1301" t="str">
        <f t="shared" ref="B1301:C1301" si="4">"30.403"</f>
        <v>30.403</v>
      </c>
      <c r="C1301" t="str">
        <f t="shared" si="4"/>
        <v>30.403</v>
      </c>
    </row>
    <row r="1302" spans="1:3" x14ac:dyDescent="0.25">
      <c r="A1302" t="str">
        <f>"14/10/2014"</f>
        <v>14/10/2014</v>
      </c>
      <c r="B1302" t="str">
        <f>"30.404"</f>
        <v>30.404</v>
      </c>
      <c r="C1302" t="str">
        <f>"30.404"</f>
        <v>30.404</v>
      </c>
    </row>
    <row r="1303" spans="1:3" x14ac:dyDescent="0.25">
      <c r="A1303" t="str">
        <f>"16/10/2014"</f>
        <v>16/10/2014</v>
      </c>
      <c r="B1303" t="str">
        <f>"30.3915"</f>
        <v>30.3915</v>
      </c>
      <c r="C1303" t="str">
        <f>"30.3915"</f>
        <v>30.3915</v>
      </c>
    </row>
    <row r="1304" spans="1:3" x14ac:dyDescent="0.25">
      <c r="A1304" t="str">
        <f>"17/10/2014"</f>
        <v>17/10/2014</v>
      </c>
      <c r="B1304" t="str">
        <f>"30.412"</f>
        <v>30.412</v>
      </c>
      <c r="C1304" t="str">
        <f>"30.412"</f>
        <v>30.412</v>
      </c>
    </row>
    <row r="1305" spans="1:3" x14ac:dyDescent="0.25">
      <c r="A1305" t="str">
        <f>"20/10/2014"</f>
        <v>20/10/2014</v>
      </c>
      <c r="B1305" t="str">
        <f>"30.393"</f>
        <v>30.393</v>
      </c>
      <c r="C1305" t="str">
        <f>"30.393"</f>
        <v>30.393</v>
      </c>
    </row>
    <row r="1306" spans="1:3" x14ac:dyDescent="0.25">
      <c r="A1306" t="str">
        <f>"21/10/2014"</f>
        <v>21/10/2014</v>
      </c>
      <c r="B1306" t="str">
        <f>"30.363"</f>
        <v>30.363</v>
      </c>
      <c r="C1306" t="str">
        <f>"30.363"</f>
        <v>30.363</v>
      </c>
    </row>
    <row r="1307" spans="1:3" x14ac:dyDescent="0.25">
      <c r="A1307" t="str">
        <f>"22/10/2014"</f>
        <v>22/10/2014</v>
      </c>
      <c r="B1307" t="str">
        <f>"30.375"</f>
        <v>30.375</v>
      </c>
      <c r="C1307" t="str">
        <f>"30.375"</f>
        <v>30.375</v>
      </c>
    </row>
    <row r="1308" spans="1:3" x14ac:dyDescent="0.25">
      <c r="A1308" t="str">
        <f>"27/10/2014"</f>
        <v>27/10/2014</v>
      </c>
      <c r="B1308" t="str">
        <f>"30.389"</f>
        <v>30.389</v>
      </c>
      <c r="C1308" t="str">
        <f>"30.3889"</f>
        <v>30.3889</v>
      </c>
    </row>
    <row r="1309" spans="1:3" x14ac:dyDescent="0.25">
      <c r="A1309" t="str">
        <f>"28/10/2014"</f>
        <v>28/10/2014</v>
      </c>
      <c r="B1309" t="str">
        <f>"30.397"</f>
        <v>30.397</v>
      </c>
      <c r="C1309" t="str">
        <f>"30.3969"</f>
        <v>30.3969</v>
      </c>
    </row>
    <row r="1310" spans="1:3" x14ac:dyDescent="0.25">
      <c r="A1310" t="str">
        <f>"29/10/2014"</f>
        <v>29/10/2014</v>
      </c>
      <c r="B1310" t="str">
        <f>"30.37"</f>
        <v>30.37</v>
      </c>
      <c r="C1310" t="str">
        <f>"30.3699"</f>
        <v>30.3699</v>
      </c>
    </row>
    <row r="1311" spans="1:3" x14ac:dyDescent="0.25">
      <c r="A1311" t="str">
        <f>"30/10/2014"</f>
        <v>30/10/2014</v>
      </c>
      <c r="B1311" t="str">
        <f>"30.387"</f>
        <v>30.387</v>
      </c>
      <c r="C1311" t="str">
        <f>"30.387"</f>
        <v>30.387</v>
      </c>
    </row>
    <row r="1312" spans="1:3" x14ac:dyDescent="0.25">
      <c r="A1312" t="str">
        <f>"31/10/2014"</f>
        <v>31/10/2014</v>
      </c>
      <c r="B1312" t="str">
        <f>"30.392"</f>
        <v>30.392</v>
      </c>
      <c r="C1312" t="str">
        <f>"30.3919"</f>
        <v>30.3919</v>
      </c>
    </row>
    <row r="1313" spans="1:3" x14ac:dyDescent="0.25">
      <c r="A1313" t="str">
        <f>"03/11/2014"</f>
        <v>03/11/2014</v>
      </c>
      <c r="B1313" t="str">
        <f>"30.487"</f>
        <v>30.487</v>
      </c>
      <c r="C1313" t="str">
        <f>"30.4869"</f>
        <v>30.4869</v>
      </c>
    </row>
    <row r="1314" spans="1:3" x14ac:dyDescent="0.25">
      <c r="A1314" t="str">
        <f>"05/11/2014"</f>
        <v>05/11/2014</v>
      </c>
      <c r="B1314" t="str">
        <f>"30.51"</f>
        <v>30.51</v>
      </c>
      <c r="C1314" t="str">
        <f>"30.51"</f>
        <v>30.51</v>
      </c>
    </row>
    <row r="1315" spans="1:3" x14ac:dyDescent="0.25">
      <c r="A1315" t="str">
        <f>"07/11/2014"</f>
        <v>07/11/2014</v>
      </c>
      <c r="B1315" t="str">
        <f>"30.637"</f>
        <v>30.637</v>
      </c>
      <c r="C1315" t="str">
        <f>"30.6369"</f>
        <v>30.6369</v>
      </c>
    </row>
    <row r="1316" spans="1:3" x14ac:dyDescent="0.25">
      <c r="A1316" t="str">
        <f>"10/11/2014"</f>
        <v>10/11/2014</v>
      </c>
      <c r="B1316" t="str">
        <f>"30.5775"</f>
        <v>30.5775</v>
      </c>
      <c r="C1316" t="str">
        <f>"30.5775"</f>
        <v>30.5775</v>
      </c>
    </row>
    <row r="1317" spans="1:3" x14ac:dyDescent="0.25">
      <c r="A1317" t="str">
        <f>"11/11/2014"</f>
        <v>11/11/2014</v>
      </c>
      <c r="B1317" t="str">
        <f>"30.5585"</f>
        <v>30.5585</v>
      </c>
      <c r="C1317" t="str">
        <f>"30.5585"</f>
        <v>30.5585</v>
      </c>
    </row>
    <row r="1318" spans="1:3" x14ac:dyDescent="0.25">
      <c r="A1318" t="str">
        <f>"12/11/2014"</f>
        <v>12/11/2014</v>
      </c>
      <c r="B1318" t="str">
        <f>"30.641"</f>
        <v>30.641</v>
      </c>
      <c r="C1318" t="str">
        <f>"30.641"</f>
        <v>30.641</v>
      </c>
    </row>
    <row r="1319" spans="1:3" x14ac:dyDescent="0.25">
      <c r="A1319" t="str">
        <f>"13/11/2014"</f>
        <v>13/11/2014</v>
      </c>
      <c r="B1319" t="str">
        <f>"30.619"</f>
        <v>30.619</v>
      </c>
      <c r="C1319" t="str">
        <f>"30.619"</f>
        <v>30.619</v>
      </c>
    </row>
    <row r="1320" spans="1:3" x14ac:dyDescent="0.25">
      <c r="A1320" t="str">
        <f>"14/11/2014"</f>
        <v>14/11/2014</v>
      </c>
      <c r="B1320" t="str">
        <f>"30.643"</f>
        <v>30.643</v>
      </c>
      <c r="C1320" t="str">
        <f>"30.643"</f>
        <v>30.643</v>
      </c>
    </row>
    <row r="1321" spans="1:3" x14ac:dyDescent="0.25">
      <c r="A1321" t="str">
        <f>"17/11/2014"</f>
        <v>17/11/2014</v>
      </c>
      <c r="B1321" t="str">
        <f>"30.674"</f>
        <v>30.674</v>
      </c>
      <c r="C1321" t="str">
        <f>"30.674"</f>
        <v>30.674</v>
      </c>
    </row>
    <row r="1322" spans="1:3" x14ac:dyDescent="0.25">
      <c r="A1322" t="str">
        <f>"18/11/2014"</f>
        <v>18/11/2014</v>
      </c>
      <c r="B1322" t="str">
        <f>"30.7135"</f>
        <v>30.7135</v>
      </c>
      <c r="C1322" t="str">
        <f>"30.7135"</f>
        <v>30.7135</v>
      </c>
    </row>
    <row r="1323" spans="1:3" x14ac:dyDescent="0.25">
      <c r="A1323" t="str">
        <f>"19/11/2014"</f>
        <v>19/11/2014</v>
      </c>
      <c r="B1323" t="str">
        <f>"30.798"</f>
        <v>30.798</v>
      </c>
      <c r="C1323" t="str">
        <f>"30.798"</f>
        <v>30.798</v>
      </c>
    </row>
    <row r="1324" spans="1:3" x14ac:dyDescent="0.25">
      <c r="A1324" t="str">
        <f>"20/11/2014"</f>
        <v>20/11/2014</v>
      </c>
      <c r="B1324" t="str">
        <f>"30.9415"</f>
        <v>30.9415</v>
      </c>
      <c r="C1324" t="str">
        <f>"30.9415"</f>
        <v>30.9415</v>
      </c>
    </row>
    <row r="1325" spans="1:3" x14ac:dyDescent="0.25">
      <c r="A1325" t="str">
        <f>"21/11/2014"</f>
        <v>21/11/2014</v>
      </c>
      <c r="B1325" t="str">
        <f>"30.9345"</f>
        <v>30.9345</v>
      </c>
      <c r="C1325" t="str">
        <f>"30.9345"</f>
        <v>30.9345</v>
      </c>
    </row>
    <row r="1326" spans="1:3" x14ac:dyDescent="0.25">
      <c r="A1326" t="str">
        <f>"24/11/2014"</f>
        <v>24/11/2014</v>
      </c>
      <c r="B1326" t="str">
        <f>"30.922"</f>
        <v>30.922</v>
      </c>
      <c r="C1326" t="str">
        <f>"30.922"</f>
        <v>30.922</v>
      </c>
    </row>
    <row r="1327" spans="1:3" x14ac:dyDescent="0.25">
      <c r="A1327" t="str">
        <f>"25/11/2014"</f>
        <v>25/11/2014</v>
      </c>
      <c r="B1327" t="str">
        <f>"30.925"</f>
        <v>30.925</v>
      </c>
      <c r="C1327" t="str">
        <f>"30.925"</f>
        <v>30.925</v>
      </c>
    </row>
    <row r="1328" spans="1:3" x14ac:dyDescent="0.25">
      <c r="A1328" t="str">
        <f>"26/11/2014"</f>
        <v>26/11/2014</v>
      </c>
      <c r="B1328" t="str">
        <f>"30.891"</f>
        <v>30.891</v>
      </c>
      <c r="C1328" t="str">
        <f>"30.891"</f>
        <v>30.891</v>
      </c>
    </row>
    <row r="1329" spans="1:3" x14ac:dyDescent="0.25">
      <c r="A1329" t="str">
        <f>"27/11/2014"</f>
        <v>27/11/2014</v>
      </c>
      <c r="B1329" t="str">
        <f>"30.875"</f>
        <v>30.875</v>
      </c>
      <c r="C1329" t="str">
        <f>"30.875"</f>
        <v>30.875</v>
      </c>
    </row>
    <row r="1330" spans="1:3" x14ac:dyDescent="0.25">
      <c r="A1330" t="str">
        <f>"28/11/2014"</f>
        <v>28/11/2014</v>
      </c>
      <c r="B1330" t="str">
        <f>"30.9705"</f>
        <v>30.9705</v>
      </c>
      <c r="C1330" t="str">
        <f>"30.9704"</f>
        <v>30.9704</v>
      </c>
    </row>
    <row r="1331" spans="1:3" x14ac:dyDescent="0.25">
      <c r="A1331" t="str">
        <f>"01/12/2014"</f>
        <v>01/12/2014</v>
      </c>
      <c r="B1331" t="str">
        <f>"31.055"</f>
        <v>31.055</v>
      </c>
      <c r="C1331" t="str">
        <f>"31.055"</f>
        <v>31.055</v>
      </c>
    </row>
    <row r="1332" spans="1:3" x14ac:dyDescent="0.25">
      <c r="A1332" t="str">
        <f>"02/12/2014"</f>
        <v>02/12/2014</v>
      </c>
      <c r="B1332" t="str">
        <f>"31.04"</f>
        <v>31.04</v>
      </c>
      <c r="C1332" t="str">
        <f>"31.04"</f>
        <v>31.04</v>
      </c>
    </row>
    <row r="1333" spans="1:3" x14ac:dyDescent="0.25">
      <c r="A1333" t="str">
        <f>"04/12/2014"</f>
        <v>04/12/2014</v>
      </c>
      <c r="B1333" t="str">
        <f>"31.158"</f>
        <v>31.158</v>
      </c>
      <c r="C1333" t="str">
        <f>"31.158"</f>
        <v>31.158</v>
      </c>
    </row>
    <row r="1334" spans="1:3" x14ac:dyDescent="0.25">
      <c r="A1334" t="str">
        <f>"05/12/2014"</f>
        <v>05/12/2014</v>
      </c>
      <c r="B1334" t="str">
        <f>"31.118"</f>
        <v>31.118</v>
      </c>
      <c r="C1334" t="str">
        <f>"31.118"</f>
        <v>31.118</v>
      </c>
    </row>
    <row r="1335" spans="1:3" x14ac:dyDescent="0.25">
      <c r="A1335" t="str">
        <f>"08/12/2014"</f>
        <v>08/12/2014</v>
      </c>
      <c r="B1335" t="str">
        <f>"31.193"</f>
        <v>31.193</v>
      </c>
      <c r="C1335" t="str">
        <f>"31.193"</f>
        <v>31.193</v>
      </c>
    </row>
    <row r="1336" spans="1:3" x14ac:dyDescent="0.25">
      <c r="A1336" t="str">
        <f>"09/12/2014"</f>
        <v>09/12/2014</v>
      </c>
      <c r="B1336" t="str">
        <f>"31.207"</f>
        <v>31.207</v>
      </c>
      <c r="C1336" t="str">
        <f>"31.207"</f>
        <v>31.207</v>
      </c>
    </row>
    <row r="1337" spans="1:3" x14ac:dyDescent="0.25">
      <c r="A1337" t="str">
        <f>"10/12/2014"</f>
        <v>10/12/2014</v>
      </c>
      <c r="B1337" t="str">
        <f>"31.195"</f>
        <v>31.195</v>
      </c>
      <c r="C1337" t="str">
        <f>"31.195"</f>
        <v>31.195</v>
      </c>
    </row>
    <row r="1338" spans="1:3" x14ac:dyDescent="0.25">
      <c r="A1338" t="str">
        <f>"11/12/2014"</f>
        <v>11/12/2014</v>
      </c>
      <c r="B1338" t="str">
        <f>"31.191"</f>
        <v>31.191</v>
      </c>
      <c r="C1338" t="str">
        <f>"31.191"</f>
        <v>31.191</v>
      </c>
    </row>
    <row r="1339" spans="1:3" x14ac:dyDescent="0.25">
      <c r="A1339" t="str">
        <f>"12/12/2014"</f>
        <v>12/12/2014</v>
      </c>
      <c r="B1339" t="str">
        <f>"31.292"</f>
        <v>31.292</v>
      </c>
      <c r="C1339" t="str">
        <f>"31.292"</f>
        <v>31.292</v>
      </c>
    </row>
    <row r="1340" spans="1:3" x14ac:dyDescent="0.25">
      <c r="A1340" t="str">
        <f>"15/12/2014"</f>
        <v>15/12/2014</v>
      </c>
      <c r="B1340" t="str">
        <f>"31.33"</f>
        <v>31.33</v>
      </c>
      <c r="C1340" t="str">
        <f>"31.3299"</f>
        <v>31.3299</v>
      </c>
    </row>
    <row r="1341" spans="1:3" x14ac:dyDescent="0.25">
      <c r="A1341" t="str">
        <f>"16/12/2014"</f>
        <v>16/12/2014</v>
      </c>
      <c r="B1341" t="str">
        <f>"31.2835"</f>
        <v>31.2835</v>
      </c>
      <c r="C1341" t="str">
        <f>"31.2836"</f>
        <v>31.2836</v>
      </c>
    </row>
    <row r="1342" spans="1:3" x14ac:dyDescent="0.25">
      <c r="A1342" t="str">
        <f>"17/12/2014"</f>
        <v>17/12/2014</v>
      </c>
      <c r="B1342" t="str">
        <f>"31.327"</f>
        <v>31.327</v>
      </c>
      <c r="C1342" t="str">
        <f>"31.3271"</f>
        <v>31.3271</v>
      </c>
    </row>
    <row r="1343" spans="1:3" x14ac:dyDescent="0.25">
      <c r="A1343" t="str">
        <f>"18/12/2014"</f>
        <v>18/12/2014</v>
      </c>
      <c r="B1343" t="str">
        <f>"31.4165"</f>
        <v>31.4165</v>
      </c>
      <c r="C1343" t="str">
        <f>"31.4165"</f>
        <v>31.4165</v>
      </c>
    </row>
    <row r="1344" spans="1:3" x14ac:dyDescent="0.25">
      <c r="A1344" t="str">
        <f>"19/12/2014"</f>
        <v>19/12/2014</v>
      </c>
      <c r="B1344" t="str">
        <f>"31.475"</f>
        <v>31.475</v>
      </c>
      <c r="C1344" t="str">
        <f>"31.475"</f>
        <v>31.475</v>
      </c>
    </row>
    <row r="1345" spans="1:3" x14ac:dyDescent="0.25">
      <c r="A1345" t="str">
        <f>"22/12/2014"</f>
        <v>22/12/2014</v>
      </c>
      <c r="B1345" t="str">
        <f>"31.546"</f>
        <v>31.546</v>
      </c>
      <c r="C1345" t="str">
        <f>"31.546"</f>
        <v>31.546</v>
      </c>
    </row>
    <row r="1346" spans="1:3" x14ac:dyDescent="0.25">
      <c r="A1346" t="str">
        <f>"23/12/2014"</f>
        <v>23/12/2014</v>
      </c>
      <c r="B1346" t="str">
        <f>"31.682"</f>
        <v>31.682</v>
      </c>
      <c r="C1346" t="str">
        <f>"31.682"</f>
        <v>31.682</v>
      </c>
    </row>
    <row r="1347" spans="1:3" x14ac:dyDescent="0.25">
      <c r="A1347" t="str">
        <f>"24/12/2014"</f>
        <v>24/12/2014</v>
      </c>
      <c r="B1347" t="str">
        <f>"31.841"</f>
        <v>31.841</v>
      </c>
      <c r="C1347" t="str">
        <f>"31.8411"</f>
        <v>31.8411</v>
      </c>
    </row>
    <row r="1348" spans="1:3" x14ac:dyDescent="0.25">
      <c r="A1348" t="str">
        <f>"26/12/2014"</f>
        <v>26/12/2014</v>
      </c>
      <c r="B1348" t="str">
        <f>"31.717"</f>
        <v>31.717</v>
      </c>
      <c r="C1348" t="str">
        <f>"31.7171"</f>
        <v>31.7171</v>
      </c>
    </row>
    <row r="1349" spans="1:3" x14ac:dyDescent="0.25">
      <c r="A1349" t="str">
        <f>"29/12/2014"</f>
        <v>29/12/2014</v>
      </c>
      <c r="B1349" t="str">
        <f>"31.754"</f>
        <v>31.754</v>
      </c>
      <c r="C1349" t="str">
        <f>"31.754"</f>
        <v>31.754</v>
      </c>
    </row>
    <row r="1350" spans="1:3" x14ac:dyDescent="0.25">
      <c r="A1350" t="str">
        <f>"30/12/2014"</f>
        <v>30/12/2014</v>
      </c>
      <c r="B1350" t="str">
        <f>"31.751"</f>
        <v>31.751</v>
      </c>
      <c r="C1350" t="str">
        <f>"31.7511"</f>
        <v>31.7511</v>
      </c>
    </row>
    <row r="1351" spans="1:3" x14ac:dyDescent="0.25">
      <c r="A1351" t="str">
        <f>"31/12/2014"</f>
        <v>31/12/2014</v>
      </c>
      <c r="B1351" t="str">
        <f>"31.6875"</f>
        <v>31.6875</v>
      </c>
      <c r="C1351" t="str">
        <f>"31.6876"</f>
        <v>31.6876</v>
      </c>
    </row>
    <row r="1352" spans="1:3" x14ac:dyDescent="0.25">
      <c r="A1352" t="str">
        <f>"01/01/2015"</f>
        <v>01/01/2015</v>
      </c>
      <c r="B1352" t="str">
        <f>"31.676"</f>
        <v>31.676</v>
      </c>
      <c r="C1352" t="str">
        <f>"31.6761"</f>
        <v>31.6761</v>
      </c>
    </row>
    <row r="1353" spans="1:3" x14ac:dyDescent="0.25">
      <c r="A1353" t="str">
        <f>"02/01/2015"</f>
        <v>02/01/2015</v>
      </c>
      <c r="B1353" t="str">
        <f>"31.738"</f>
        <v>31.738</v>
      </c>
      <c r="C1353" t="str">
        <f>"31.7381"</f>
        <v>31.7381</v>
      </c>
    </row>
    <row r="1354" spans="1:3" x14ac:dyDescent="0.25">
      <c r="A1354" t="str">
        <f>"05/01/2015"</f>
        <v>05/01/2015</v>
      </c>
      <c r="B1354" t="str">
        <f>"32.0155"</f>
        <v>32.0155</v>
      </c>
      <c r="C1354" t="str">
        <f>"32.0155"</f>
        <v>32.0155</v>
      </c>
    </row>
    <row r="1355" spans="1:3" x14ac:dyDescent="0.25">
      <c r="A1355" t="str">
        <f>"06/01/2015"</f>
        <v>06/01/2015</v>
      </c>
      <c r="B1355" t="str">
        <f>"31.998"</f>
        <v>31.998</v>
      </c>
      <c r="C1355" t="str">
        <f>"31.998"</f>
        <v>31.998</v>
      </c>
    </row>
    <row r="1356" spans="1:3" x14ac:dyDescent="0.25">
      <c r="A1356" t="str">
        <f>"07/01/2015"</f>
        <v>07/01/2015</v>
      </c>
      <c r="B1356" t="str">
        <f>"31.975"</f>
        <v>31.975</v>
      </c>
      <c r="C1356" t="str">
        <f>"31.975"</f>
        <v>31.975</v>
      </c>
    </row>
    <row r="1357" spans="1:3" x14ac:dyDescent="0.25">
      <c r="A1357" t="str">
        <f>"08/01/2015"</f>
        <v>08/01/2015</v>
      </c>
      <c r="B1357" t="str">
        <f>"31.994"</f>
        <v>31.994</v>
      </c>
      <c r="C1357" t="str">
        <f>"31.994"</f>
        <v>31.994</v>
      </c>
    </row>
    <row r="1358" spans="1:3" x14ac:dyDescent="0.25">
      <c r="A1358" t="str">
        <f>"09/01/2015"</f>
        <v>09/01/2015</v>
      </c>
      <c r="B1358" t="str">
        <f>"31.956"</f>
        <v>31.956</v>
      </c>
      <c r="C1358" t="str">
        <f>"31.956"</f>
        <v>31.956</v>
      </c>
    </row>
    <row r="1359" spans="1:3" x14ac:dyDescent="0.25">
      <c r="A1359" t="str">
        <f>"12/01/2015"</f>
        <v>12/01/2015</v>
      </c>
      <c r="B1359" t="str">
        <f>"31.847"</f>
        <v>31.847</v>
      </c>
      <c r="C1359" t="str">
        <f>"31.847"</f>
        <v>31.847</v>
      </c>
    </row>
    <row r="1360" spans="1:3" x14ac:dyDescent="0.25">
      <c r="A1360" t="str">
        <f>"13/01/2015"</f>
        <v>13/01/2015</v>
      </c>
      <c r="B1360" t="str">
        <f>"31.814"</f>
        <v>31.814</v>
      </c>
      <c r="C1360" t="str">
        <f>"31.814"</f>
        <v>31.814</v>
      </c>
    </row>
    <row r="1361" spans="1:3" x14ac:dyDescent="0.25">
      <c r="A1361" t="str">
        <f>"14/01/2015"</f>
        <v>14/01/2015</v>
      </c>
      <c r="B1361" t="str">
        <f>"31.794"</f>
        <v>31.794</v>
      </c>
      <c r="C1361" t="str">
        <f>"31.794"</f>
        <v>31.794</v>
      </c>
    </row>
    <row r="1362" spans="1:3" x14ac:dyDescent="0.25">
      <c r="A1362" t="str">
        <f>"15/01/2015"</f>
        <v>15/01/2015</v>
      </c>
      <c r="B1362" t="str">
        <f>"31.746"</f>
        <v>31.746</v>
      </c>
      <c r="C1362" t="str">
        <f>"31.746"</f>
        <v>31.746</v>
      </c>
    </row>
    <row r="1363" spans="1:3" x14ac:dyDescent="0.25">
      <c r="A1363" t="str">
        <f>"16/01/2015"</f>
        <v>16/01/2015</v>
      </c>
      <c r="B1363" t="str">
        <f>"31.5915"</f>
        <v>31.5915</v>
      </c>
      <c r="C1363" t="str">
        <f>"31.5915"</f>
        <v>31.5915</v>
      </c>
    </row>
    <row r="1364" spans="1:3" x14ac:dyDescent="0.25">
      <c r="A1364" t="str">
        <f>"19/01/2015"</f>
        <v>19/01/2015</v>
      </c>
      <c r="B1364" t="str">
        <f>"31.5195"</f>
        <v>31.5195</v>
      </c>
      <c r="C1364" t="str">
        <f>"31.5195"</f>
        <v>31.5195</v>
      </c>
    </row>
    <row r="1365" spans="1:3" x14ac:dyDescent="0.25">
      <c r="A1365" t="str">
        <f>"20/01/2015"</f>
        <v>20/01/2015</v>
      </c>
      <c r="B1365" t="str">
        <f>"31.602"</f>
        <v>31.602</v>
      </c>
      <c r="C1365" t="str">
        <f>"31.602"</f>
        <v>31.602</v>
      </c>
    </row>
    <row r="1366" spans="1:3" x14ac:dyDescent="0.25">
      <c r="A1366" t="str">
        <f>"21/01/2015"</f>
        <v>21/01/2015</v>
      </c>
      <c r="B1366" t="str">
        <f>"31.564"</f>
        <v>31.564</v>
      </c>
      <c r="C1366" t="str">
        <f>"31.564"</f>
        <v>31.564</v>
      </c>
    </row>
    <row r="1367" spans="1:3" x14ac:dyDescent="0.25">
      <c r="A1367" t="str">
        <f>"22/01/2015"</f>
        <v>22/01/2015</v>
      </c>
      <c r="B1367" t="str">
        <f>"31.447"</f>
        <v>31.447</v>
      </c>
      <c r="C1367" t="str">
        <f>"31.447"</f>
        <v>31.447</v>
      </c>
    </row>
    <row r="1368" spans="1:3" x14ac:dyDescent="0.25">
      <c r="A1368" t="str">
        <f>"23/01/2015"</f>
        <v>23/01/2015</v>
      </c>
      <c r="B1368" t="str">
        <f>"31.316"</f>
        <v>31.316</v>
      </c>
      <c r="C1368" t="str">
        <f>"31.316"</f>
        <v>31.316</v>
      </c>
    </row>
    <row r="1369" spans="1:3" x14ac:dyDescent="0.25">
      <c r="A1369" t="str">
        <f>"27/01/2015"</f>
        <v>27/01/2015</v>
      </c>
      <c r="B1369" t="str">
        <f>"31.272"</f>
        <v>31.272</v>
      </c>
      <c r="C1369" t="str">
        <f>"31.2721"</f>
        <v>31.2721</v>
      </c>
    </row>
    <row r="1370" spans="1:3" x14ac:dyDescent="0.25">
      <c r="A1370" t="str">
        <f>"28/01/2015"</f>
        <v>28/01/2015</v>
      </c>
      <c r="B1370" t="str">
        <f>"31.236"</f>
        <v>31.236</v>
      </c>
      <c r="C1370" t="str">
        <f>"31.2361"</f>
        <v>31.2361</v>
      </c>
    </row>
    <row r="1371" spans="1:3" x14ac:dyDescent="0.25">
      <c r="A1371" t="str">
        <f>"29/01/2015"</f>
        <v>29/01/2015</v>
      </c>
      <c r="B1371" t="str">
        <f>"31.461"</f>
        <v>31.461</v>
      </c>
      <c r="C1371" t="str">
        <f>"31.461"</f>
        <v>31.461</v>
      </c>
    </row>
    <row r="1372" spans="1:3" x14ac:dyDescent="0.25">
      <c r="A1372" t="str">
        <f>"30/01/2015"</f>
        <v>30/01/2015</v>
      </c>
      <c r="B1372" t="str">
        <f>"31.5385"</f>
        <v>31.5385</v>
      </c>
      <c r="C1372" t="str">
        <f>"31.5386"</f>
        <v>31.5386</v>
      </c>
    </row>
    <row r="1373" spans="1:3" x14ac:dyDescent="0.25">
      <c r="A1373" t="str">
        <f>"02/02/2015"</f>
        <v>02/02/2015</v>
      </c>
      <c r="B1373" t="str">
        <f>"31.713"</f>
        <v>31.713</v>
      </c>
      <c r="C1373" t="str">
        <f>"31.713"</f>
        <v>31.713</v>
      </c>
    </row>
    <row r="1374" spans="1:3" x14ac:dyDescent="0.25">
      <c r="A1374" t="str">
        <f>"03/02/2015"</f>
        <v>03/02/2015</v>
      </c>
      <c r="B1374" t="str">
        <f>"31.592"</f>
        <v>31.592</v>
      </c>
      <c r="C1374" t="str">
        <f>"31.592"</f>
        <v>31.592</v>
      </c>
    </row>
    <row r="1375" spans="1:3" x14ac:dyDescent="0.25">
      <c r="A1375" t="str">
        <f>"04/02/2015"</f>
        <v>04/02/2015</v>
      </c>
      <c r="B1375" t="str">
        <f>"31.4275"</f>
        <v>31.4275</v>
      </c>
      <c r="C1375" t="str">
        <f>"31.4275"</f>
        <v>31.4275</v>
      </c>
    </row>
    <row r="1376" spans="1:3" x14ac:dyDescent="0.25">
      <c r="A1376" t="str">
        <f>"05/02/2015"</f>
        <v>05/02/2015</v>
      </c>
      <c r="B1376" t="str">
        <f>"31.435"</f>
        <v>31.435</v>
      </c>
      <c r="C1376" t="str">
        <f>"31.435"</f>
        <v>31.435</v>
      </c>
    </row>
    <row r="1377" spans="1:3" x14ac:dyDescent="0.25">
      <c r="A1377" t="str">
        <f>"06/02/2015"</f>
        <v>06/02/2015</v>
      </c>
      <c r="B1377" t="str">
        <f>"31.426"</f>
        <v>31.426</v>
      </c>
      <c r="C1377" t="str">
        <f>"31.426"</f>
        <v>31.426</v>
      </c>
    </row>
    <row r="1378" spans="1:3" x14ac:dyDescent="0.25">
      <c r="A1378" t="str">
        <f>"09/02/2015"</f>
        <v>09/02/2015</v>
      </c>
      <c r="B1378" t="str">
        <f>"31.531"</f>
        <v>31.531</v>
      </c>
      <c r="C1378" t="str">
        <f>"31.531"</f>
        <v>31.531</v>
      </c>
    </row>
    <row r="1379" spans="1:3" x14ac:dyDescent="0.25">
      <c r="A1379" t="str">
        <f>"10/02/2015"</f>
        <v>10/02/2015</v>
      </c>
      <c r="B1379" t="str">
        <f>"31.478"</f>
        <v>31.478</v>
      </c>
      <c r="C1379" t="str">
        <f>"31.478"</f>
        <v>31.478</v>
      </c>
    </row>
    <row r="1380" spans="1:3" x14ac:dyDescent="0.25">
      <c r="A1380" t="str">
        <f>"11/02/2015"</f>
        <v>11/02/2015</v>
      </c>
      <c r="B1380" t="str">
        <f>"31.509"</f>
        <v>31.509</v>
      </c>
      <c r="C1380" t="str">
        <f>"31.509"</f>
        <v>31.509</v>
      </c>
    </row>
    <row r="1381" spans="1:3" x14ac:dyDescent="0.25">
      <c r="A1381" t="str">
        <f>"12/02/2015"</f>
        <v>12/02/2015</v>
      </c>
      <c r="B1381" t="str">
        <f>"31.597"</f>
        <v>31.597</v>
      </c>
      <c r="C1381" t="str">
        <f>"31.597"</f>
        <v>31.597</v>
      </c>
    </row>
    <row r="1382" spans="1:3" x14ac:dyDescent="0.25">
      <c r="A1382" t="str">
        <f>"13/02/2015"</f>
        <v>13/02/2015</v>
      </c>
      <c r="B1382" t="str">
        <f>"31.366"</f>
        <v>31.366</v>
      </c>
      <c r="C1382" t="str">
        <f>"31.366"</f>
        <v>31.366</v>
      </c>
    </row>
    <row r="1383" spans="1:3" x14ac:dyDescent="0.25">
      <c r="A1383" t="str">
        <f>"16/02/2015"</f>
        <v>16/02/2015</v>
      </c>
      <c r="B1383" t="str">
        <f>"31.397"</f>
        <v>31.397</v>
      </c>
      <c r="C1383" t="str">
        <f>"31.397"</f>
        <v>31.397</v>
      </c>
    </row>
    <row r="1384" spans="1:3" x14ac:dyDescent="0.25">
      <c r="A1384" t="str">
        <f>"18/02/2015"</f>
        <v>18/02/2015</v>
      </c>
      <c r="B1384" t="str">
        <f>"31.663"</f>
        <v>31.663</v>
      </c>
      <c r="C1384" t="str">
        <f>"31.663"</f>
        <v>31.663</v>
      </c>
    </row>
    <row r="1385" spans="1:3" x14ac:dyDescent="0.25">
      <c r="A1385" t="str">
        <f>"20/02/2015"</f>
        <v>20/02/2015</v>
      </c>
      <c r="B1385" t="str">
        <f>"31.747"</f>
        <v>31.747</v>
      </c>
      <c r="C1385" t="str">
        <f>"31.747"</f>
        <v>31.747</v>
      </c>
    </row>
    <row r="1386" spans="1:3" x14ac:dyDescent="0.25">
      <c r="A1386" t="str">
        <f>"23/02/2015"</f>
        <v>23/02/2015</v>
      </c>
      <c r="B1386" t="str">
        <f>"31.718"</f>
        <v>31.718</v>
      </c>
      <c r="C1386" t="str">
        <f>"31.718"</f>
        <v>31.718</v>
      </c>
    </row>
    <row r="1387" spans="1:3" x14ac:dyDescent="0.25">
      <c r="A1387" t="str">
        <f>"24/02/2015"</f>
        <v>24/02/2015</v>
      </c>
      <c r="B1387" t="str">
        <f>"31.688"</f>
        <v>31.688</v>
      </c>
      <c r="C1387" t="str">
        <f>"31.688"</f>
        <v>31.688</v>
      </c>
    </row>
    <row r="1388" spans="1:3" x14ac:dyDescent="0.25">
      <c r="A1388" t="str">
        <f>"25/02/2015"</f>
        <v>25/02/2015</v>
      </c>
      <c r="B1388" t="str">
        <f>"31.449"</f>
        <v>31.449</v>
      </c>
      <c r="C1388" t="str">
        <f>"31.449"</f>
        <v>31.449</v>
      </c>
    </row>
    <row r="1389" spans="1:3" x14ac:dyDescent="0.25">
      <c r="A1389" t="str">
        <f>"26/02/2015"</f>
        <v>26/02/2015</v>
      </c>
      <c r="B1389" t="str">
        <f>"31.367"</f>
        <v>31.367</v>
      </c>
      <c r="C1389" t="str">
        <f>"31.367"</f>
        <v>31.367</v>
      </c>
    </row>
    <row r="1390" spans="1:3" x14ac:dyDescent="0.25">
      <c r="A1390" t="str">
        <f>"27/02/2015"</f>
        <v>27/02/2015</v>
      </c>
      <c r="B1390" t="str">
        <f>"31.463"</f>
        <v>31.463</v>
      </c>
      <c r="C1390" t="str">
        <f>"31.463"</f>
        <v>31.463</v>
      </c>
    </row>
    <row r="1391" spans="1:3" x14ac:dyDescent="0.25">
      <c r="A1391" t="str">
        <f>"02/03/2015"</f>
        <v>02/03/2015</v>
      </c>
      <c r="B1391" t="str">
        <f>"31.435"</f>
        <v>31.435</v>
      </c>
      <c r="C1391" t="str">
        <f>"31.435"</f>
        <v>31.435</v>
      </c>
    </row>
    <row r="1392" spans="1:3" x14ac:dyDescent="0.25">
      <c r="A1392" t="str">
        <f>"03/03/2015"</f>
        <v>03/03/2015</v>
      </c>
      <c r="B1392" t="str">
        <f>"31.382"</f>
        <v>31.382</v>
      </c>
      <c r="C1392" t="str">
        <f>"31.382"</f>
        <v>31.382</v>
      </c>
    </row>
    <row r="1393" spans="1:3" x14ac:dyDescent="0.25">
      <c r="A1393" t="str">
        <f>"04/03/2015"</f>
        <v>04/03/2015</v>
      </c>
      <c r="B1393" t="str">
        <f>"31.48"</f>
        <v>31.48</v>
      </c>
      <c r="C1393" t="str">
        <f>"31.48"</f>
        <v>31.48</v>
      </c>
    </row>
    <row r="1394" spans="1:3" x14ac:dyDescent="0.25">
      <c r="A1394" t="str">
        <f>"05/03/2015"</f>
        <v>05/03/2015</v>
      </c>
      <c r="B1394" t="str">
        <f>"31.507"</f>
        <v>31.507</v>
      </c>
      <c r="C1394" t="str">
        <f>"31.507"</f>
        <v>31.507</v>
      </c>
    </row>
    <row r="1395" spans="1:3" x14ac:dyDescent="0.25">
      <c r="A1395" t="str">
        <f>"09/03/2015"</f>
        <v>09/03/2015</v>
      </c>
      <c r="B1395" t="str">
        <f>"31.503"</f>
        <v>31.503</v>
      </c>
      <c r="C1395" t="str">
        <f>"31.503"</f>
        <v>31.503</v>
      </c>
    </row>
    <row r="1396" spans="1:3" x14ac:dyDescent="0.25">
      <c r="A1396" t="str">
        <f>"10/03/2015"</f>
        <v>10/03/2015</v>
      </c>
      <c r="B1396" t="str">
        <f>"31.546"</f>
        <v>31.546</v>
      </c>
      <c r="C1396" t="str">
        <f>"31.546"</f>
        <v>31.546</v>
      </c>
    </row>
    <row r="1397" spans="1:3" x14ac:dyDescent="0.25">
      <c r="A1397" t="str">
        <f>"11/03/2015"</f>
        <v>11/03/2015</v>
      </c>
      <c r="B1397" t="str">
        <f>"31.656"</f>
        <v>31.656</v>
      </c>
      <c r="C1397" t="str">
        <f>"31.656"</f>
        <v>31.656</v>
      </c>
    </row>
    <row r="1398" spans="1:3" x14ac:dyDescent="0.25">
      <c r="A1398" t="str">
        <f>"12/03/2015"</f>
        <v>12/03/2015</v>
      </c>
      <c r="B1398" t="str">
        <f>"31.638"</f>
        <v>31.638</v>
      </c>
      <c r="C1398" t="str">
        <f>"31.638"</f>
        <v>31.638</v>
      </c>
    </row>
    <row r="1399" spans="1:3" x14ac:dyDescent="0.25">
      <c r="A1399" t="str">
        <f>"13/03/2015"</f>
        <v>13/03/2015</v>
      </c>
      <c r="B1399" t="str">
        <f>"31.624"</f>
        <v>31.624</v>
      </c>
      <c r="C1399" t="str">
        <f>"31.624"</f>
        <v>31.624</v>
      </c>
    </row>
    <row r="1400" spans="1:3" x14ac:dyDescent="0.25">
      <c r="A1400" t="str">
        <f>"16/03/2015"</f>
        <v>16/03/2015</v>
      </c>
      <c r="B1400" t="str">
        <f>"31.644"</f>
        <v>31.644</v>
      </c>
      <c r="C1400" t="str">
        <f>"31.644"</f>
        <v>31.644</v>
      </c>
    </row>
    <row r="1401" spans="1:3" x14ac:dyDescent="0.25">
      <c r="A1401" t="str">
        <f>"17/03/2015"</f>
        <v>17/03/2015</v>
      </c>
      <c r="B1401" t="str">
        <f>"31.572"</f>
        <v>31.572</v>
      </c>
      <c r="C1401" t="str">
        <f>"31.572"</f>
        <v>31.572</v>
      </c>
    </row>
    <row r="1402" spans="1:3" x14ac:dyDescent="0.25">
      <c r="A1402" t="str">
        <f>"18/03/2015"</f>
        <v>18/03/2015</v>
      </c>
      <c r="B1402" t="str">
        <f>"31.642"</f>
        <v>31.642</v>
      </c>
      <c r="C1402" t="str">
        <f>"31.642"</f>
        <v>31.642</v>
      </c>
    </row>
    <row r="1403" spans="1:3" x14ac:dyDescent="0.25">
      <c r="A1403" t="str">
        <f>"19/03/2015"</f>
        <v>19/03/2015</v>
      </c>
      <c r="B1403" t="str">
        <f>"31.45"</f>
        <v>31.45</v>
      </c>
      <c r="C1403" t="str">
        <f>"31.45"</f>
        <v>31.45</v>
      </c>
    </row>
    <row r="1404" spans="1:3" x14ac:dyDescent="0.25">
      <c r="A1404" t="str">
        <f>"20/03/2015"</f>
        <v>20/03/2015</v>
      </c>
      <c r="B1404" t="str">
        <f>"31.482"</f>
        <v>31.482</v>
      </c>
      <c r="C1404" t="str">
        <f>"31.482"</f>
        <v>31.482</v>
      </c>
    </row>
    <row r="1405" spans="1:3" x14ac:dyDescent="0.25">
      <c r="A1405" t="str">
        <f>"23/03/2015"</f>
        <v>23/03/2015</v>
      </c>
      <c r="B1405" t="str">
        <f>"31.446"</f>
        <v>31.446</v>
      </c>
      <c r="C1405" t="str">
        <f>"31.446"</f>
        <v>31.446</v>
      </c>
    </row>
    <row r="1406" spans="1:3" x14ac:dyDescent="0.25">
      <c r="A1406" t="str">
        <f>"24/03/2015"</f>
        <v>24/03/2015</v>
      </c>
      <c r="B1406" t="str">
        <f>"31.319"</f>
        <v>31.319</v>
      </c>
      <c r="C1406" t="str">
        <f>"31.319"</f>
        <v>31.319</v>
      </c>
    </row>
    <row r="1407" spans="1:3" x14ac:dyDescent="0.25">
      <c r="A1407" t="str">
        <f>"25/03/2015"</f>
        <v>25/03/2015</v>
      </c>
      <c r="B1407" t="str">
        <f>"31.267"</f>
        <v>31.267</v>
      </c>
      <c r="C1407" t="str">
        <f>"31.267"</f>
        <v>31.267</v>
      </c>
    </row>
    <row r="1408" spans="1:3" x14ac:dyDescent="0.25">
      <c r="A1408" t="str">
        <f>"26/03/2015"</f>
        <v>26/03/2015</v>
      </c>
      <c r="B1408" t="str">
        <f>"31.257"</f>
        <v>31.257</v>
      </c>
      <c r="C1408" t="str">
        <f>"31.257"</f>
        <v>31.257</v>
      </c>
    </row>
    <row r="1409" spans="1:3" x14ac:dyDescent="0.25">
      <c r="A1409" t="str">
        <f>"27/03/2015"</f>
        <v>27/03/2015</v>
      </c>
      <c r="B1409" t="str">
        <f>"31.27"</f>
        <v>31.27</v>
      </c>
      <c r="C1409" t="str">
        <f>"31.27"</f>
        <v>31.27</v>
      </c>
    </row>
    <row r="1410" spans="1:3" x14ac:dyDescent="0.25">
      <c r="A1410" t="str">
        <f>"30/03/2015"</f>
        <v>30/03/2015</v>
      </c>
      <c r="B1410" t="str">
        <f>"31.318"</f>
        <v>31.318</v>
      </c>
      <c r="C1410" t="str">
        <f>"31.318"</f>
        <v>31.318</v>
      </c>
    </row>
    <row r="1411" spans="1:3" x14ac:dyDescent="0.25">
      <c r="A1411" t="str">
        <f>"31/03/2015"</f>
        <v>31/03/2015</v>
      </c>
      <c r="B1411" t="str">
        <f>"31.316"</f>
        <v>31.316</v>
      </c>
      <c r="C1411" t="str">
        <f>"31.316"</f>
        <v>31.316</v>
      </c>
    </row>
    <row r="1412" spans="1:3" x14ac:dyDescent="0.25">
      <c r="A1412" t="str">
        <f>"06/04/2015"</f>
        <v>06/04/2015</v>
      </c>
      <c r="B1412" t="str">
        <f>"30.93"</f>
        <v>30.93</v>
      </c>
      <c r="C1412" t="str">
        <f>"30.93"</f>
        <v>30.93</v>
      </c>
    </row>
    <row r="1413" spans="1:3" x14ac:dyDescent="0.25">
      <c r="A1413" t="str">
        <f>"07/04/2015"</f>
        <v>07/04/2015</v>
      </c>
      <c r="B1413" t="str">
        <f>"31.026"</f>
        <v>31.026</v>
      </c>
      <c r="C1413" t="str">
        <f>"31.026"</f>
        <v>31.026</v>
      </c>
    </row>
    <row r="1414" spans="1:3" x14ac:dyDescent="0.25">
      <c r="A1414" t="str">
        <f>"08/04/2015"</f>
        <v>08/04/2015</v>
      </c>
      <c r="B1414" t="str">
        <f>"31.07"</f>
        <v>31.07</v>
      </c>
      <c r="C1414" t="str">
        <f>"31.07"</f>
        <v>31.07</v>
      </c>
    </row>
    <row r="1415" spans="1:3" x14ac:dyDescent="0.25">
      <c r="A1415" t="str">
        <f>"09/04/2015"</f>
        <v>09/04/2015</v>
      </c>
      <c r="B1415" t="str">
        <f>"31.143"</f>
        <v>31.143</v>
      </c>
      <c r="C1415" t="str">
        <f>"31.143"</f>
        <v>31.143</v>
      </c>
    </row>
    <row r="1416" spans="1:3" x14ac:dyDescent="0.25">
      <c r="A1416" t="str">
        <f>"10/04/2015"</f>
        <v>10/04/2015</v>
      </c>
      <c r="B1416" t="str">
        <f>"31.238"</f>
        <v>31.238</v>
      </c>
      <c r="C1416" t="str">
        <f>"31.238"</f>
        <v>31.238</v>
      </c>
    </row>
    <row r="1417" spans="1:3" x14ac:dyDescent="0.25">
      <c r="A1417" t="str">
        <f>"13/04/2015"</f>
        <v>13/04/2015</v>
      </c>
      <c r="B1417" t="str">
        <f>"31.342"</f>
        <v>31.342</v>
      </c>
      <c r="C1417" t="str">
        <f>"31.342"</f>
        <v>31.342</v>
      </c>
    </row>
    <row r="1418" spans="1:3" x14ac:dyDescent="0.25">
      <c r="A1418" t="str">
        <f>"15/04/2015"</f>
        <v>15/04/2015</v>
      </c>
      <c r="B1418" t="str">
        <f>"31.322"</f>
        <v>31.322</v>
      </c>
      <c r="C1418" t="str">
        <f>"31.322"</f>
        <v>31.322</v>
      </c>
    </row>
    <row r="1419" spans="1:3" x14ac:dyDescent="0.25">
      <c r="A1419" t="str">
        <f>"16/04/2015"</f>
        <v>16/04/2015</v>
      </c>
      <c r="B1419" t="str">
        <f>"31.172"</f>
        <v>31.172</v>
      </c>
      <c r="C1419" t="str">
        <f>"31.172"</f>
        <v>31.172</v>
      </c>
    </row>
    <row r="1420" spans="1:3" x14ac:dyDescent="0.25">
      <c r="A1420" t="str">
        <f>"17/04/2015"</f>
        <v>17/04/2015</v>
      </c>
      <c r="B1420" t="str">
        <f>"31.046"</f>
        <v>31.046</v>
      </c>
      <c r="C1420" t="str">
        <f>"31.046"</f>
        <v>31.046</v>
      </c>
    </row>
    <row r="1421" spans="1:3" x14ac:dyDescent="0.25">
      <c r="A1421" t="str">
        <f>"20/04/2015"</f>
        <v>20/04/2015</v>
      </c>
      <c r="B1421" t="str">
        <f>"31.003"</f>
        <v>31.003</v>
      </c>
      <c r="C1421" t="str">
        <f>"31.003"</f>
        <v>31.003</v>
      </c>
    </row>
    <row r="1422" spans="1:3" x14ac:dyDescent="0.25">
      <c r="A1422" t="str">
        <f>"21/04/2015"</f>
        <v>21/04/2015</v>
      </c>
      <c r="B1422" t="str">
        <f>"31.13"</f>
        <v>31.13</v>
      </c>
      <c r="C1422" t="str">
        <f>"31.13"</f>
        <v>31.13</v>
      </c>
    </row>
    <row r="1423" spans="1:3" x14ac:dyDescent="0.25">
      <c r="A1423" t="str">
        <f>"22/04/2015"</f>
        <v>22/04/2015</v>
      </c>
      <c r="B1423" t="str">
        <f>"31.092"</f>
        <v>31.092</v>
      </c>
      <c r="C1423" t="str">
        <f>"31.092"</f>
        <v>31.092</v>
      </c>
    </row>
    <row r="1424" spans="1:3" x14ac:dyDescent="0.25">
      <c r="A1424" t="str">
        <f>"23/04/2015"</f>
        <v>23/04/2015</v>
      </c>
      <c r="B1424" t="str">
        <f>"31.131"</f>
        <v>31.131</v>
      </c>
      <c r="C1424" t="str">
        <f>"31.131"</f>
        <v>31.131</v>
      </c>
    </row>
    <row r="1425" spans="1:3" x14ac:dyDescent="0.25">
      <c r="A1425" t="str">
        <f>"24/04/2015"</f>
        <v>24/04/2015</v>
      </c>
      <c r="B1425" t="str">
        <f>"30.843"</f>
        <v>30.843</v>
      </c>
      <c r="C1425" t="str">
        <f>"30.843"</f>
        <v>30.843</v>
      </c>
    </row>
    <row r="1426" spans="1:3" x14ac:dyDescent="0.25">
      <c r="A1426" t="str">
        <f>"27/04/2015"</f>
        <v>27/04/2015</v>
      </c>
      <c r="B1426" t="str">
        <f>"30.604"</f>
        <v>30.604</v>
      </c>
      <c r="C1426" t="str">
        <f>"30.604"</f>
        <v>30.604</v>
      </c>
    </row>
    <row r="1427" spans="1:3" x14ac:dyDescent="0.25">
      <c r="A1427" t="str">
        <f>"28/04/2015"</f>
        <v>28/04/2015</v>
      </c>
      <c r="B1427" t="str">
        <f>"30.559"</f>
        <v>30.559</v>
      </c>
      <c r="C1427" t="str">
        <f>"30.559"</f>
        <v>30.559</v>
      </c>
    </row>
    <row r="1428" spans="1:3" x14ac:dyDescent="0.25">
      <c r="A1428" t="str">
        <f>"29/04/2015"</f>
        <v>29/04/2015</v>
      </c>
      <c r="B1428" t="str">
        <f>"30.473"</f>
        <v>30.473</v>
      </c>
      <c r="C1428" t="str">
        <f>"30.473"</f>
        <v>30.473</v>
      </c>
    </row>
    <row r="1429" spans="1:3" x14ac:dyDescent="0.25">
      <c r="A1429" t="str">
        <f>"30/04/2015"</f>
        <v>30/04/2015</v>
      </c>
      <c r="B1429" t="str">
        <f>"30.632"</f>
        <v>30.632</v>
      </c>
      <c r="C1429" t="str">
        <f>"30.632"</f>
        <v>30.632</v>
      </c>
    </row>
    <row r="1430" spans="1:3" x14ac:dyDescent="0.25">
      <c r="A1430" t="str">
        <f>"05/05/2015"</f>
        <v>05/05/2015</v>
      </c>
      <c r="B1430" t="str">
        <f>"30.702"</f>
        <v>30.702</v>
      </c>
      <c r="C1430" t="str">
        <f>"30.702"</f>
        <v>30.702</v>
      </c>
    </row>
    <row r="1431" spans="1:3" x14ac:dyDescent="0.25">
      <c r="A1431" t="str">
        <f>"06/05/2015"</f>
        <v>06/05/2015</v>
      </c>
      <c r="B1431" t="str">
        <f>"30.65"</f>
        <v>30.65</v>
      </c>
      <c r="C1431" t="str">
        <f>"30.65"</f>
        <v>30.65</v>
      </c>
    </row>
    <row r="1432" spans="1:3" x14ac:dyDescent="0.25">
      <c r="A1432" t="str">
        <f>"07/05/2015"</f>
        <v>07/05/2015</v>
      </c>
      <c r="B1432" t="str">
        <f>"30.745"</f>
        <v>30.745</v>
      </c>
      <c r="C1432" t="str">
        <f>"30.745"</f>
        <v>30.745</v>
      </c>
    </row>
    <row r="1433" spans="1:3" x14ac:dyDescent="0.25">
      <c r="A1433" t="str">
        <f>"08/05/2015"</f>
        <v>08/05/2015</v>
      </c>
      <c r="B1433" t="str">
        <f>"30.711"</f>
        <v>30.711</v>
      </c>
      <c r="C1433" t="str">
        <f>"30.711"</f>
        <v>30.711</v>
      </c>
    </row>
    <row r="1434" spans="1:3" x14ac:dyDescent="0.25">
      <c r="A1434" t="str">
        <f>"11/05/2015"</f>
        <v>11/05/2015</v>
      </c>
      <c r="B1434" t="str">
        <f>"30.78"</f>
        <v>30.78</v>
      </c>
      <c r="C1434" t="str">
        <f>"30.78"</f>
        <v>30.78</v>
      </c>
    </row>
    <row r="1435" spans="1:3" x14ac:dyDescent="0.25">
      <c r="A1435" t="str">
        <f>"12/05/2015"</f>
        <v>12/05/2015</v>
      </c>
      <c r="B1435" t="str">
        <f>"30.751"</f>
        <v>30.751</v>
      </c>
      <c r="C1435" t="str">
        <f>"30.751"</f>
        <v>30.751</v>
      </c>
    </row>
    <row r="1436" spans="1:3" x14ac:dyDescent="0.25">
      <c r="A1436" t="str">
        <f>"13/05/2015"</f>
        <v>13/05/2015</v>
      </c>
      <c r="B1436" t="str">
        <f>"30.71"</f>
        <v>30.71</v>
      </c>
      <c r="C1436" t="str">
        <f>"30.71"</f>
        <v>30.71</v>
      </c>
    </row>
    <row r="1437" spans="1:3" x14ac:dyDescent="0.25">
      <c r="A1437" t="str">
        <f>"14/05/2015"</f>
        <v>14/05/2015</v>
      </c>
      <c r="B1437" t="str">
        <f>"30.556"</f>
        <v>30.556</v>
      </c>
      <c r="C1437" t="str">
        <f>"30.556"</f>
        <v>30.556</v>
      </c>
    </row>
    <row r="1438" spans="1:3" x14ac:dyDescent="0.25">
      <c r="A1438" t="str">
        <f>"15/05/2015"</f>
        <v>15/05/2015</v>
      </c>
      <c r="B1438" t="str">
        <f>"30.456"</f>
        <v>30.456</v>
      </c>
      <c r="C1438" t="str">
        <f>"30.456"</f>
        <v>30.456</v>
      </c>
    </row>
    <row r="1439" spans="1:3" x14ac:dyDescent="0.25">
      <c r="A1439" t="str">
        <f>"18/05/2015"</f>
        <v>18/05/2015</v>
      </c>
      <c r="B1439" t="str">
        <f>"30.592"</f>
        <v>30.592</v>
      </c>
      <c r="C1439" t="str">
        <f>"30.592"</f>
        <v>30.592</v>
      </c>
    </row>
    <row r="1440" spans="1:3" x14ac:dyDescent="0.25">
      <c r="A1440" t="str">
        <f>"19/05/2015"</f>
        <v>19/05/2015</v>
      </c>
      <c r="B1440" t="str">
        <f>"30.472"</f>
        <v>30.472</v>
      </c>
      <c r="C1440" t="str">
        <f>"30.472"</f>
        <v>30.472</v>
      </c>
    </row>
    <row r="1441" spans="1:3" x14ac:dyDescent="0.25">
      <c r="A1441" t="str">
        <f>"20/05/2015"</f>
        <v>20/05/2015</v>
      </c>
      <c r="B1441" t="str">
        <f>"30.533"</f>
        <v>30.533</v>
      </c>
      <c r="C1441" t="str">
        <f>"30.533"</f>
        <v>30.533</v>
      </c>
    </row>
    <row r="1442" spans="1:3" x14ac:dyDescent="0.25">
      <c r="A1442" t="str">
        <f>"21/05/2015"</f>
        <v>21/05/2015</v>
      </c>
      <c r="B1442" t="str">
        <f>"30.65"</f>
        <v>30.65</v>
      </c>
      <c r="C1442" t="str">
        <f>"30.65"</f>
        <v>30.65</v>
      </c>
    </row>
    <row r="1443" spans="1:3" x14ac:dyDescent="0.25">
      <c r="A1443" t="str">
        <f>"22/05/2015"</f>
        <v>22/05/2015</v>
      </c>
      <c r="B1443" t="str">
        <f>"30.541"</f>
        <v>30.541</v>
      </c>
      <c r="C1443" t="str">
        <f>"30.541"</f>
        <v>30.541</v>
      </c>
    </row>
    <row r="1444" spans="1:3" x14ac:dyDescent="0.25">
      <c r="A1444" t="str">
        <f>"25/05/2015"</f>
        <v>25/05/2015</v>
      </c>
      <c r="B1444" t="str">
        <f>"30.571"</f>
        <v>30.571</v>
      </c>
      <c r="C1444" t="str">
        <f>"30.571"</f>
        <v>30.571</v>
      </c>
    </row>
    <row r="1445" spans="1:3" x14ac:dyDescent="0.25">
      <c r="A1445" t="str">
        <f>"26/05/2015"</f>
        <v>26/05/2015</v>
      </c>
      <c r="B1445" t="str">
        <f>"30.70"</f>
        <v>30.70</v>
      </c>
      <c r="C1445" t="str">
        <f>"30.70"</f>
        <v>30.70</v>
      </c>
    </row>
    <row r="1446" spans="1:3" x14ac:dyDescent="0.25">
      <c r="A1446" t="str">
        <f>"27/05/2015"</f>
        <v>27/05/2015</v>
      </c>
      <c r="B1446" t="str">
        <f>"30.725"</f>
        <v>30.725</v>
      </c>
      <c r="C1446" t="str">
        <f>"30.725"</f>
        <v>30.725</v>
      </c>
    </row>
    <row r="1447" spans="1:3" x14ac:dyDescent="0.25">
      <c r="A1447" t="str">
        <f>"28/05/2015"</f>
        <v>28/05/2015</v>
      </c>
      <c r="B1447" t="str">
        <f>"30.608"</f>
        <v>30.608</v>
      </c>
      <c r="C1447" t="str">
        <f>"30.608"</f>
        <v>30.608</v>
      </c>
    </row>
    <row r="1448" spans="1:3" x14ac:dyDescent="0.25">
      <c r="A1448" t="str">
        <f>"29/05/2015"</f>
        <v>29/05/2015</v>
      </c>
      <c r="B1448" t="str">
        <f>"30.707"</f>
        <v>30.707</v>
      </c>
      <c r="C1448" t="str">
        <f>"30.707"</f>
        <v>30.707</v>
      </c>
    </row>
    <row r="1449" spans="1:3" x14ac:dyDescent="0.25">
      <c r="A1449" t="str">
        <f>"01/06/2015"</f>
        <v>01/06/2015</v>
      </c>
      <c r="B1449" t="str">
        <f>"30.861"</f>
        <v>30.861</v>
      </c>
      <c r="C1449" t="str">
        <f>"30.861"</f>
        <v>30.861</v>
      </c>
    </row>
    <row r="1450" spans="1:3" x14ac:dyDescent="0.25">
      <c r="A1450" t="str">
        <f>"02/06/2015"</f>
        <v>02/06/2015</v>
      </c>
      <c r="B1450" t="str">
        <f>"30.89"</f>
        <v>30.89</v>
      </c>
      <c r="C1450" t="str">
        <f>"30.89"</f>
        <v>30.89</v>
      </c>
    </row>
    <row r="1451" spans="1:3" x14ac:dyDescent="0.25">
      <c r="A1451" t="str">
        <f>"03/06/2015"</f>
        <v>03/06/2015</v>
      </c>
      <c r="B1451" t="str">
        <f>"30.818"</f>
        <v>30.818</v>
      </c>
      <c r="C1451" t="str">
        <f>"30.818"</f>
        <v>30.818</v>
      </c>
    </row>
    <row r="1452" spans="1:3" x14ac:dyDescent="0.25">
      <c r="A1452" t="str">
        <f>"04/06/2015"</f>
        <v>04/06/2015</v>
      </c>
      <c r="B1452" t="str">
        <f>"31.062"</f>
        <v>31.062</v>
      </c>
      <c r="C1452" t="str">
        <f>"31.062"</f>
        <v>31.062</v>
      </c>
    </row>
    <row r="1453" spans="1:3" x14ac:dyDescent="0.25">
      <c r="A1453" t="str">
        <f>"05/06/2015"</f>
        <v>05/06/2015</v>
      </c>
      <c r="B1453" t="str">
        <f>"31.032"</f>
        <v>31.032</v>
      </c>
      <c r="C1453" t="str">
        <f>"31.032"</f>
        <v>31.032</v>
      </c>
    </row>
    <row r="1454" spans="1:3" x14ac:dyDescent="0.25">
      <c r="A1454" t="str">
        <f>"08/06/2015"</f>
        <v>08/06/2015</v>
      </c>
      <c r="B1454" t="str">
        <f>"31.275"</f>
        <v>31.275</v>
      </c>
      <c r="C1454" t="str">
        <f>"31.275"</f>
        <v>31.275</v>
      </c>
    </row>
    <row r="1455" spans="1:3" x14ac:dyDescent="0.25">
      <c r="A1455" t="str">
        <f>"09/06/2015"</f>
        <v>09/06/2015</v>
      </c>
      <c r="B1455" t="str">
        <f>"31.154"</f>
        <v>31.154</v>
      </c>
      <c r="C1455" t="str">
        <f>"31.154"</f>
        <v>31.154</v>
      </c>
    </row>
    <row r="1456" spans="1:3" x14ac:dyDescent="0.25">
      <c r="A1456" t="str">
        <f>"10/06/2015"</f>
        <v>10/06/2015</v>
      </c>
      <c r="B1456" t="str">
        <f>"30.898"</f>
        <v>30.898</v>
      </c>
      <c r="C1456" t="str">
        <f>"30.898"</f>
        <v>30.898</v>
      </c>
    </row>
    <row r="1457" spans="1:3" x14ac:dyDescent="0.25">
      <c r="A1457" t="str">
        <f>"11/06/2015"</f>
        <v>11/06/2015</v>
      </c>
      <c r="B1457" t="str">
        <f>"30.941"</f>
        <v>30.941</v>
      </c>
      <c r="C1457" t="str">
        <f>"30.941"</f>
        <v>30.941</v>
      </c>
    </row>
    <row r="1458" spans="1:3" x14ac:dyDescent="0.25">
      <c r="A1458" t="str">
        <f>"12/06/2015"</f>
        <v>12/06/2015</v>
      </c>
      <c r="B1458" t="str">
        <f>"31.226"</f>
        <v>31.226</v>
      </c>
      <c r="C1458" t="str">
        <f>"31.226"</f>
        <v>31.226</v>
      </c>
    </row>
    <row r="1459" spans="1:3" x14ac:dyDescent="0.25">
      <c r="A1459" t="str">
        <f>"15/06/2015"</f>
        <v>15/06/2015</v>
      </c>
      <c r="B1459" t="str">
        <f>"30.962"</f>
        <v>30.962</v>
      </c>
      <c r="C1459" t="str">
        <f>"30.962"</f>
        <v>30.962</v>
      </c>
    </row>
    <row r="1460" spans="1:3" x14ac:dyDescent="0.25">
      <c r="A1460" t="str">
        <f>"16/06/2015"</f>
        <v>16/06/2015</v>
      </c>
      <c r="B1460" t="str">
        <f>"31.266"</f>
        <v>31.266</v>
      </c>
      <c r="C1460" t="str">
        <f>"31.2656"</f>
        <v>31.2656</v>
      </c>
    </row>
    <row r="1461" spans="1:3" x14ac:dyDescent="0.25">
      <c r="A1461" t="str">
        <f>"17/06/2015"</f>
        <v>17/06/2015</v>
      </c>
      <c r="B1461" t="str">
        <f>"30.927"</f>
        <v>30.927</v>
      </c>
      <c r="C1461" t="str">
        <f>"30.9269"</f>
        <v>30.9269</v>
      </c>
    </row>
    <row r="1462" spans="1:3" x14ac:dyDescent="0.25">
      <c r="A1462" t="str">
        <f>"18/06/2015"</f>
        <v>18/06/2015</v>
      </c>
      <c r="B1462" t="str">
        <f>"30.749"</f>
        <v>30.749</v>
      </c>
      <c r="C1462" t="str">
        <f>"30.7489"</f>
        <v>30.7489</v>
      </c>
    </row>
    <row r="1463" spans="1:3" x14ac:dyDescent="0.25">
      <c r="A1463" t="str">
        <f>"19/06/2015"</f>
        <v>19/06/2015</v>
      </c>
      <c r="B1463" t="str">
        <f>"30.787"</f>
        <v>30.787</v>
      </c>
      <c r="C1463" t="str">
        <f>"30.7869"</f>
        <v>30.7869</v>
      </c>
    </row>
    <row r="1464" spans="1:3" x14ac:dyDescent="0.25">
      <c r="A1464" t="str">
        <f>"22/06/2015"</f>
        <v>22/06/2015</v>
      </c>
      <c r="B1464" t="str">
        <f>"30.774"</f>
        <v>30.774</v>
      </c>
      <c r="C1464" t="str">
        <f>"30.7739"</f>
        <v>30.7739</v>
      </c>
    </row>
    <row r="1465" spans="1:3" x14ac:dyDescent="0.25">
      <c r="A1465" t="str">
        <f>"23/06/2015"</f>
        <v>23/06/2015</v>
      </c>
      <c r="B1465" t="str">
        <f>"30.853"</f>
        <v>30.853</v>
      </c>
      <c r="C1465" t="str">
        <f>"30.8529"</f>
        <v>30.8529</v>
      </c>
    </row>
    <row r="1466" spans="1:3" x14ac:dyDescent="0.25">
      <c r="A1466" t="str">
        <f>"24/06/2015"</f>
        <v>24/06/2015</v>
      </c>
      <c r="B1466" t="str">
        <f>"30.917"</f>
        <v>30.917</v>
      </c>
      <c r="C1466" t="str">
        <f>"30.917"</f>
        <v>30.917</v>
      </c>
    </row>
    <row r="1467" spans="1:3" x14ac:dyDescent="0.25">
      <c r="A1467" t="str">
        <f>"25/06/2015"</f>
        <v>25/06/2015</v>
      </c>
      <c r="B1467" t="str">
        <f>"30.948"</f>
        <v>30.948</v>
      </c>
      <c r="C1467" t="str">
        <f>"30.948"</f>
        <v>30.948</v>
      </c>
    </row>
    <row r="1468" spans="1:3" x14ac:dyDescent="0.25">
      <c r="A1468" t="str">
        <f>"26/06/2015"</f>
        <v>26/06/2015</v>
      </c>
      <c r="B1468" t="str">
        <f>"30.941"</f>
        <v>30.941</v>
      </c>
      <c r="C1468" t="str">
        <f>"30.941"</f>
        <v>30.941</v>
      </c>
    </row>
    <row r="1469" spans="1:3" x14ac:dyDescent="0.25">
      <c r="A1469" t="str">
        <f>"29/06/2015"</f>
        <v>29/06/2015</v>
      </c>
      <c r="B1469" t="str">
        <f>"31.178"</f>
        <v>31.178</v>
      </c>
      <c r="C1469" t="str">
        <f>"31.178"</f>
        <v>31.178</v>
      </c>
    </row>
    <row r="1470" spans="1:3" x14ac:dyDescent="0.25">
      <c r="A1470" t="str">
        <f>"30/06/2015"</f>
        <v>30/06/2015</v>
      </c>
      <c r="B1470" t="str">
        <f>"30.885"</f>
        <v>30.885</v>
      </c>
      <c r="C1470" t="str">
        <f>"30.885"</f>
        <v>30.885</v>
      </c>
    </row>
    <row r="1471" spans="1:3" x14ac:dyDescent="0.25">
      <c r="A1471" t="str">
        <f>"01/07/2015"</f>
        <v>01/07/2015</v>
      </c>
      <c r="B1471" t="str">
        <f>"30.911"</f>
        <v>30.911</v>
      </c>
      <c r="C1471" t="str">
        <f>"30.911"</f>
        <v>30.911</v>
      </c>
    </row>
    <row r="1472" spans="1:3" x14ac:dyDescent="0.25">
      <c r="A1472" t="str">
        <f>"02/07/2015"</f>
        <v>02/07/2015</v>
      </c>
      <c r="B1472" t="str">
        <f>"30.929"</f>
        <v>30.929</v>
      </c>
      <c r="C1472" t="str">
        <f>"30.929"</f>
        <v>30.929</v>
      </c>
    </row>
    <row r="1473" spans="1:3" x14ac:dyDescent="0.25">
      <c r="A1473" t="str">
        <f>"03/07/2015"</f>
        <v>03/07/2015</v>
      </c>
      <c r="B1473" t="str">
        <f>"30.887"</f>
        <v>30.887</v>
      </c>
      <c r="C1473" t="str">
        <f>"30.887"</f>
        <v>30.887</v>
      </c>
    </row>
    <row r="1474" spans="1:3" x14ac:dyDescent="0.25">
      <c r="A1474" t="str">
        <f>"06/07/2015"</f>
        <v>06/07/2015</v>
      </c>
      <c r="B1474" t="str">
        <f>"30.932"</f>
        <v>30.932</v>
      </c>
      <c r="C1474" t="str">
        <f>"30.9319"</f>
        <v>30.9319</v>
      </c>
    </row>
    <row r="1475" spans="1:3" x14ac:dyDescent="0.25">
      <c r="A1475" t="str">
        <f>"07/07/2015"</f>
        <v>07/07/2015</v>
      </c>
      <c r="B1475" t="str">
        <f>"31.01"</f>
        <v>31.01</v>
      </c>
      <c r="C1475" t="str">
        <f>"31.0099"</f>
        <v>31.0099</v>
      </c>
    </row>
    <row r="1476" spans="1:3" x14ac:dyDescent="0.25">
      <c r="A1476" t="str">
        <f>"08/07/2015"</f>
        <v>08/07/2015</v>
      </c>
      <c r="B1476" t="str">
        <f>"31.081"</f>
        <v>31.081</v>
      </c>
      <c r="C1476" t="str">
        <f>"31.0809"</f>
        <v>31.0809</v>
      </c>
    </row>
    <row r="1477" spans="1:3" x14ac:dyDescent="0.25">
      <c r="A1477" t="str">
        <f>"09/07/2015"</f>
        <v>09/07/2015</v>
      </c>
      <c r="B1477" t="str">
        <f>"31.124"</f>
        <v>31.124</v>
      </c>
      <c r="C1477" t="str">
        <f>"31.1239"</f>
        <v>31.1239</v>
      </c>
    </row>
    <row r="1478" spans="1:3" x14ac:dyDescent="0.25">
      <c r="A1478" t="str">
        <f>"10/07/2015"</f>
        <v>10/07/2015</v>
      </c>
      <c r="B1478" t="str">
        <f>"31.008"</f>
        <v>31.008</v>
      </c>
      <c r="C1478" t="str">
        <f>"31.0079"</f>
        <v>31.0079</v>
      </c>
    </row>
    <row r="1479" spans="1:3" x14ac:dyDescent="0.25">
      <c r="A1479" t="str">
        <f>"13/07/2015"</f>
        <v>13/07/2015</v>
      </c>
      <c r="B1479" t="str">
        <f>"31.011"</f>
        <v>31.011</v>
      </c>
      <c r="C1479" t="str">
        <f>"31.0109"</f>
        <v>31.0109</v>
      </c>
    </row>
    <row r="1480" spans="1:3" x14ac:dyDescent="0.25">
      <c r="A1480" t="str">
        <f>"14/07/2015"</f>
        <v>14/07/2015</v>
      </c>
      <c r="B1480" t="str">
        <f>"31.089"</f>
        <v>31.089</v>
      </c>
      <c r="C1480" t="str">
        <f>"31.0889"</f>
        <v>31.0889</v>
      </c>
    </row>
    <row r="1481" spans="1:3" x14ac:dyDescent="0.25">
      <c r="A1481" t="str">
        <f>"15/07/2015"</f>
        <v>15/07/2015</v>
      </c>
      <c r="B1481" t="str">
        <f>"31.271"</f>
        <v>31.271</v>
      </c>
      <c r="C1481" t="str">
        <f>"31.2709"</f>
        <v>31.2709</v>
      </c>
    </row>
    <row r="1482" spans="1:3" x14ac:dyDescent="0.25">
      <c r="A1482" t="str">
        <f>"16/07/2015"</f>
        <v>16/07/2015</v>
      </c>
      <c r="B1482" t="str">
        <f>"31.144"</f>
        <v>31.144</v>
      </c>
      <c r="C1482" t="str">
        <f>"31.1439"</f>
        <v>31.1439</v>
      </c>
    </row>
    <row r="1483" spans="1:3" x14ac:dyDescent="0.25">
      <c r="A1483" t="str">
        <f>"17/07/2015"</f>
        <v>17/07/2015</v>
      </c>
      <c r="B1483" t="str">
        <f>"31.083"</f>
        <v>31.083</v>
      </c>
      <c r="C1483" t="str">
        <f>"31.0829"</f>
        <v>31.0829</v>
      </c>
    </row>
    <row r="1484" spans="1:3" x14ac:dyDescent="0.25">
      <c r="A1484" t="str">
        <f>"20/07/2015"</f>
        <v>20/07/2015</v>
      </c>
      <c r="B1484" t="str">
        <f>"31.194"</f>
        <v>31.194</v>
      </c>
      <c r="C1484" t="str">
        <f>"31.1939"</f>
        <v>31.1939</v>
      </c>
    </row>
    <row r="1485" spans="1:3" x14ac:dyDescent="0.25">
      <c r="A1485" t="str">
        <f>"21/07/2015"</f>
        <v>21/07/2015</v>
      </c>
      <c r="B1485" t="str">
        <f>"31.207"</f>
        <v>31.207</v>
      </c>
      <c r="C1485" t="str">
        <f>"31.207"</f>
        <v>31.207</v>
      </c>
    </row>
    <row r="1486" spans="1:3" x14ac:dyDescent="0.25">
      <c r="A1486" t="str">
        <f>"22/07/2015"</f>
        <v>22/07/2015</v>
      </c>
      <c r="B1486" t="str">
        <f>"31.199"</f>
        <v>31.199</v>
      </c>
      <c r="C1486" t="str">
        <f>"31.199"</f>
        <v>31.199</v>
      </c>
    </row>
    <row r="1487" spans="1:3" x14ac:dyDescent="0.25">
      <c r="A1487" t="str">
        <f>"23/07/2015"</f>
        <v>23/07/2015</v>
      </c>
      <c r="B1487" t="str">
        <f>"31.2725"</f>
        <v>31.2725</v>
      </c>
      <c r="C1487" t="str">
        <f>"31.2725"</f>
        <v>31.2725</v>
      </c>
    </row>
    <row r="1488" spans="1:3" x14ac:dyDescent="0.25">
      <c r="A1488" t="str">
        <f>"24/07/2015"</f>
        <v>24/07/2015</v>
      </c>
      <c r="B1488" t="str">
        <f>"31.424"</f>
        <v>31.424</v>
      </c>
      <c r="C1488" t="str">
        <f>"31.424"</f>
        <v>31.424</v>
      </c>
    </row>
    <row r="1489" spans="1:3" x14ac:dyDescent="0.25">
      <c r="A1489" t="str">
        <f>"27/07/2015"</f>
        <v>27/07/2015</v>
      </c>
      <c r="B1489" t="str">
        <f>"31.524"</f>
        <v>31.524</v>
      </c>
      <c r="C1489" t="str">
        <f>"31.5239"</f>
        <v>31.5239</v>
      </c>
    </row>
    <row r="1490" spans="1:3" x14ac:dyDescent="0.25">
      <c r="A1490" t="str">
        <f>"28/07/2015"</f>
        <v>28/07/2015</v>
      </c>
      <c r="B1490" t="str">
        <f>"31.575"</f>
        <v>31.575</v>
      </c>
      <c r="C1490" t="str">
        <f>"31.575"</f>
        <v>31.575</v>
      </c>
    </row>
    <row r="1491" spans="1:3" x14ac:dyDescent="0.25">
      <c r="A1491" t="str">
        <f>"29/07/2015"</f>
        <v>29/07/2015</v>
      </c>
      <c r="B1491" t="str">
        <f>"31.466"</f>
        <v>31.466</v>
      </c>
      <c r="C1491" t="str">
        <f>"31.466"</f>
        <v>31.466</v>
      </c>
    </row>
    <row r="1492" spans="1:3" x14ac:dyDescent="0.25">
      <c r="A1492" t="str">
        <f>"30/07/2015"</f>
        <v>30/07/2015</v>
      </c>
      <c r="B1492" t="str">
        <f>"31.60"</f>
        <v>31.60</v>
      </c>
      <c r="C1492" t="str">
        <f>"31.5999"</f>
        <v>31.5999</v>
      </c>
    </row>
    <row r="1493" spans="1:3" x14ac:dyDescent="0.25">
      <c r="A1493" t="str">
        <f>"31/07/2015"</f>
        <v>31/07/2015</v>
      </c>
      <c r="B1493" t="str">
        <f>"31.682"</f>
        <v>31.682</v>
      </c>
      <c r="C1493" t="str">
        <f>"31.6819"</f>
        <v>31.6819</v>
      </c>
    </row>
    <row r="1494" spans="1:3" x14ac:dyDescent="0.25">
      <c r="A1494" t="str">
        <f>"03/08/2015"</f>
        <v>03/08/2015</v>
      </c>
      <c r="B1494" t="str">
        <f>"31.686"</f>
        <v>31.686</v>
      </c>
      <c r="C1494" t="str">
        <f>"31.686"</f>
        <v>31.686</v>
      </c>
    </row>
    <row r="1495" spans="1:3" x14ac:dyDescent="0.25">
      <c r="A1495" t="str">
        <f>"04/08/2015"</f>
        <v>04/08/2015</v>
      </c>
      <c r="B1495" t="str">
        <f>"31.665"</f>
        <v>31.665</v>
      </c>
      <c r="C1495" t="str">
        <f>"31.6649"</f>
        <v>31.6649</v>
      </c>
    </row>
    <row r="1496" spans="1:3" x14ac:dyDescent="0.25">
      <c r="A1496" t="str">
        <f>"05/08/2015"</f>
        <v>05/08/2015</v>
      </c>
      <c r="B1496" t="str">
        <f>"31.749"</f>
        <v>31.749</v>
      </c>
      <c r="C1496" t="str">
        <f>"31.749"</f>
        <v>31.749</v>
      </c>
    </row>
    <row r="1497" spans="1:3" x14ac:dyDescent="0.25">
      <c r="A1497" t="str">
        <f>"06/08/2015"</f>
        <v>06/08/2015</v>
      </c>
      <c r="B1497" t="str">
        <f>"31.68"</f>
        <v>31.68</v>
      </c>
      <c r="C1497" t="str">
        <f>"31.68"</f>
        <v>31.68</v>
      </c>
    </row>
    <row r="1498" spans="1:3" x14ac:dyDescent="0.25">
      <c r="A1498" t="str">
        <f>"07/08/2015"</f>
        <v>07/08/2015</v>
      </c>
      <c r="B1498" t="str">
        <f>"31.651"</f>
        <v>31.651</v>
      </c>
      <c r="C1498" t="str">
        <f>"31.6509"</f>
        <v>31.6509</v>
      </c>
    </row>
    <row r="1499" spans="1:3" x14ac:dyDescent="0.25">
      <c r="A1499" t="str">
        <f>"10/08/2015"</f>
        <v>10/08/2015</v>
      </c>
      <c r="B1499" t="str">
        <f>"31.645"</f>
        <v>31.645</v>
      </c>
      <c r="C1499" t="str">
        <f>"31.645"</f>
        <v>31.645</v>
      </c>
    </row>
    <row r="1500" spans="1:3" x14ac:dyDescent="0.25">
      <c r="A1500" t="str">
        <f>"11/08/2015"</f>
        <v>11/08/2015</v>
      </c>
      <c r="B1500" t="str">
        <f>"32.05"</f>
        <v>32.05</v>
      </c>
      <c r="C1500" t="str">
        <f>"32.05"</f>
        <v>32.05</v>
      </c>
    </row>
    <row r="1501" spans="1:3" x14ac:dyDescent="0.25">
      <c r="A1501" t="str">
        <f>"12/08/2015"</f>
        <v>12/08/2015</v>
      </c>
      <c r="B1501" t="str">
        <f>"32.35"</f>
        <v>32.35</v>
      </c>
      <c r="C1501" t="str">
        <f>"32.35"</f>
        <v>32.35</v>
      </c>
    </row>
    <row r="1502" spans="1:3" x14ac:dyDescent="0.25">
      <c r="A1502" t="str">
        <f>"13/08/2015"</f>
        <v>13/08/2015</v>
      </c>
      <c r="B1502" t="str">
        <f>"32.365"</f>
        <v>32.365</v>
      </c>
      <c r="C1502" t="str">
        <f>"32.365"</f>
        <v>32.365</v>
      </c>
    </row>
    <row r="1503" spans="1:3" x14ac:dyDescent="0.25">
      <c r="A1503" t="str">
        <f>"14/08/2015"</f>
        <v>14/08/2015</v>
      </c>
      <c r="B1503" t="str">
        <f>"32.161"</f>
        <v>32.161</v>
      </c>
      <c r="C1503" t="str">
        <f>"32.161"</f>
        <v>32.161</v>
      </c>
    </row>
    <row r="1504" spans="1:3" x14ac:dyDescent="0.25">
      <c r="A1504" t="str">
        <f>"17/08/2015"</f>
        <v>17/08/2015</v>
      </c>
      <c r="B1504" t="str">
        <f>"32.447"</f>
        <v>32.447</v>
      </c>
      <c r="C1504" t="str">
        <f>"32.447"</f>
        <v>32.447</v>
      </c>
    </row>
    <row r="1505" spans="1:3" x14ac:dyDescent="0.25">
      <c r="A1505" t="str">
        <f>"19/08/2015"</f>
        <v>19/08/2015</v>
      </c>
      <c r="B1505" t="str">
        <f>"32.666"</f>
        <v>32.666</v>
      </c>
      <c r="C1505" t="str">
        <f>"32.666"</f>
        <v>32.666</v>
      </c>
    </row>
    <row r="1506" spans="1:3" x14ac:dyDescent="0.25">
      <c r="A1506" t="str">
        <f>"20/08/2015"</f>
        <v>20/08/2015</v>
      </c>
      <c r="B1506" t="str">
        <f>"32.58"</f>
        <v>32.58</v>
      </c>
      <c r="C1506" t="str">
        <f>"32.58"</f>
        <v>32.58</v>
      </c>
    </row>
    <row r="1507" spans="1:3" x14ac:dyDescent="0.25">
      <c r="A1507" t="str">
        <f>"21/08/2015"</f>
        <v>21/08/2015</v>
      </c>
      <c r="B1507" t="str">
        <f>"32.73"</f>
        <v>32.73</v>
      </c>
      <c r="C1507" t="str">
        <f>"32.73"</f>
        <v>32.73</v>
      </c>
    </row>
    <row r="1508" spans="1:3" x14ac:dyDescent="0.25">
      <c r="A1508" t="str">
        <f>"25/08/2015"</f>
        <v>25/08/2015</v>
      </c>
      <c r="B1508" t="str">
        <f>"32.54"</f>
        <v>32.54</v>
      </c>
      <c r="C1508" t="str">
        <f>"32.54"</f>
        <v>32.54</v>
      </c>
    </row>
    <row r="1509" spans="1:3" x14ac:dyDescent="0.25">
      <c r="A1509" t="str">
        <f>"26/08/2015"</f>
        <v>26/08/2015</v>
      </c>
      <c r="B1509" t="str">
        <f>"32.765"</f>
        <v>32.765</v>
      </c>
      <c r="C1509" t="str">
        <f>"32.765"</f>
        <v>32.765</v>
      </c>
    </row>
    <row r="1510" spans="1:3" x14ac:dyDescent="0.25">
      <c r="A1510" t="str">
        <f>"27/08/2015"</f>
        <v>27/08/2015</v>
      </c>
      <c r="B1510" t="str">
        <f>"32.166"</f>
        <v>32.166</v>
      </c>
      <c r="C1510" t="str">
        <f>"32.166"</f>
        <v>32.166</v>
      </c>
    </row>
    <row r="1511" spans="1:3" x14ac:dyDescent="0.25">
      <c r="A1511" t="str">
        <f>"28/08/2015"</f>
        <v>28/08/2015</v>
      </c>
      <c r="B1511" t="str">
        <f>"32.249"</f>
        <v>32.249</v>
      </c>
      <c r="C1511" t="str">
        <f>"32.249"</f>
        <v>32.249</v>
      </c>
    </row>
    <row r="1512" spans="1:3" x14ac:dyDescent="0.25">
      <c r="A1512" t="str">
        <f>"31/08/2015"</f>
        <v>31/08/2015</v>
      </c>
      <c r="B1512" t="str">
        <f>"32.808"</f>
        <v>32.808</v>
      </c>
      <c r="C1512" t="str">
        <f>"32.808"</f>
        <v>32.808</v>
      </c>
    </row>
    <row r="1513" spans="1:3" x14ac:dyDescent="0.25">
      <c r="A1513" t="str">
        <f>"01/09/2015"</f>
        <v>01/09/2015</v>
      </c>
      <c r="B1513" t="str">
        <f>"32.417"</f>
        <v>32.417</v>
      </c>
      <c r="C1513" t="str">
        <f>"32.417"</f>
        <v>32.417</v>
      </c>
    </row>
    <row r="1514" spans="1:3" x14ac:dyDescent="0.25">
      <c r="A1514" t="str">
        <f>"02/09/2015"</f>
        <v>02/09/2015</v>
      </c>
      <c r="B1514" t="str">
        <f>"32.76"</f>
        <v>32.76</v>
      </c>
      <c r="C1514" t="str">
        <f>"32.76"</f>
        <v>32.76</v>
      </c>
    </row>
    <row r="1515" spans="1:3" x14ac:dyDescent="0.25">
      <c r="A1515" t="str">
        <f>"03/09/2015"</f>
        <v>03/09/2015</v>
      </c>
      <c r="B1515" t="str">
        <f>"32.514"</f>
        <v>32.514</v>
      </c>
      <c r="C1515" t="str">
        <f>"32.5139"</f>
        <v>32.5139</v>
      </c>
    </row>
    <row r="1516" spans="1:3" x14ac:dyDescent="0.25">
      <c r="A1516" t="str">
        <f>"04/09/2015"</f>
        <v>04/09/2015</v>
      </c>
      <c r="B1516" t="str">
        <f>"32.833"</f>
        <v>32.833</v>
      </c>
      <c r="C1516" t="str">
        <f>"32.833"</f>
        <v>32.833</v>
      </c>
    </row>
    <row r="1517" spans="1:3" x14ac:dyDescent="0.25">
      <c r="A1517" t="str">
        <f>"07/09/2015"</f>
        <v>07/09/2015</v>
      </c>
      <c r="B1517" t="str">
        <f>"32.839"</f>
        <v>32.839</v>
      </c>
      <c r="C1517" t="str">
        <f>"32.839"</f>
        <v>32.839</v>
      </c>
    </row>
    <row r="1518" spans="1:3" x14ac:dyDescent="0.25">
      <c r="A1518" t="str">
        <f>"08/09/2015"</f>
        <v>08/09/2015</v>
      </c>
      <c r="B1518" t="str">
        <f>"32.958"</f>
        <v>32.958</v>
      </c>
      <c r="C1518" t="str">
        <f>"32.958"</f>
        <v>32.958</v>
      </c>
    </row>
    <row r="1519" spans="1:3" x14ac:dyDescent="0.25">
      <c r="A1519" t="str">
        <f>"09/09/2015"</f>
        <v>09/09/2015</v>
      </c>
      <c r="B1519" t="str">
        <f>"32.58"</f>
        <v>32.58</v>
      </c>
      <c r="C1519" t="str">
        <f>"32.58"</f>
        <v>32.58</v>
      </c>
    </row>
    <row r="1520" spans="1:3" x14ac:dyDescent="0.25">
      <c r="A1520" t="str">
        <f>"10/09/2015"</f>
        <v>10/09/2015</v>
      </c>
      <c r="B1520" t="str">
        <f>"32.535"</f>
        <v>32.535</v>
      </c>
      <c r="C1520" t="str">
        <f>"32.5349"</f>
        <v>32.5349</v>
      </c>
    </row>
    <row r="1521" spans="1:3" x14ac:dyDescent="0.25">
      <c r="A1521" t="str">
        <f>"11/09/2015"</f>
        <v>11/09/2015</v>
      </c>
      <c r="B1521" t="str">
        <f>"32.71"</f>
        <v>32.71</v>
      </c>
      <c r="C1521" t="str">
        <f>"32.7099"</f>
        <v>32.7099</v>
      </c>
    </row>
    <row r="1522" spans="1:3" x14ac:dyDescent="0.25">
      <c r="A1522" t="str">
        <f>"14/09/2015"</f>
        <v>14/09/2015</v>
      </c>
      <c r="B1522" t="str">
        <f>"32.71"</f>
        <v>32.71</v>
      </c>
      <c r="C1522" t="str">
        <f>"32.7099"</f>
        <v>32.7099</v>
      </c>
    </row>
    <row r="1523" spans="1:3" x14ac:dyDescent="0.25">
      <c r="A1523" t="str">
        <f>"15/09/2015"</f>
        <v>15/09/2015</v>
      </c>
      <c r="B1523" t="str">
        <f>"32.535"</f>
        <v>32.535</v>
      </c>
      <c r="C1523" t="str">
        <f>"32.5349"</f>
        <v>32.5349</v>
      </c>
    </row>
    <row r="1524" spans="1:3" x14ac:dyDescent="0.25">
      <c r="A1524" t="str">
        <f>"16/09/2015"</f>
        <v>16/09/2015</v>
      </c>
      <c r="B1524" t="str">
        <f>"32.475"</f>
        <v>32.475</v>
      </c>
      <c r="C1524" t="str">
        <f>"32.4749"</f>
        <v>32.4749</v>
      </c>
    </row>
    <row r="1525" spans="1:3" x14ac:dyDescent="0.25">
      <c r="A1525" t="str">
        <f>"18/09/2015"</f>
        <v>18/09/2015</v>
      </c>
      <c r="B1525" t="str">
        <f>"32.504"</f>
        <v>32.504</v>
      </c>
      <c r="C1525" t="str">
        <f>"32.5039"</f>
        <v>32.5039</v>
      </c>
    </row>
    <row r="1526" spans="1:3" x14ac:dyDescent="0.25">
      <c r="A1526" t="str">
        <f>"21/09/2015"</f>
        <v>21/09/2015</v>
      </c>
      <c r="B1526" t="str">
        <f>"32.569"</f>
        <v>32.569</v>
      </c>
      <c r="C1526" t="str">
        <f>"32.5689"</f>
        <v>32.5689</v>
      </c>
    </row>
    <row r="1527" spans="1:3" x14ac:dyDescent="0.25">
      <c r="A1527" t="str">
        <f>"22/09/2015"</f>
        <v>22/09/2015</v>
      </c>
      <c r="B1527" t="str">
        <f>"32.93"</f>
        <v>32.93</v>
      </c>
      <c r="C1527" t="str">
        <f>"32.9299"</f>
        <v>32.9299</v>
      </c>
    </row>
    <row r="1528" spans="1:3" x14ac:dyDescent="0.25">
      <c r="A1528" t="str">
        <f>"23/09/2015"</f>
        <v>23/09/2015</v>
      </c>
      <c r="B1528" t="str">
        <f>"33.21"</f>
        <v>33.21</v>
      </c>
      <c r="C1528" t="str">
        <f>"33.2099"</f>
        <v>33.2099</v>
      </c>
    </row>
    <row r="1529" spans="1:3" x14ac:dyDescent="0.25">
      <c r="A1529" t="str">
        <f>"24/09/2015"</f>
        <v>24/09/2015</v>
      </c>
      <c r="B1529" t="str">
        <f>"33.245"</f>
        <v>33.245</v>
      </c>
      <c r="C1529" t="str">
        <f>"33.245"</f>
        <v>33.245</v>
      </c>
    </row>
    <row r="1530" spans="1:3" x14ac:dyDescent="0.25">
      <c r="A1530" t="str">
        <f>"28/09/2015"</f>
        <v>28/09/2015</v>
      </c>
      <c r="B1530" t="str">
        <f>"33.096"</f>
        <v>33.096</v>
      </c>
      <c r="C1530" t="str">
        <f>"33.096"</f>
        <v>33.096</v>
      </c>
    </row>
    <row r="1531" spans="1:3" x14ac:dyDescent="0.25">
      <c r="A1531" t="str">
        <f>"29/09/2015"</f>
        <v>29/09/2015</v>
      </c>
      <c r="B1531" t="str">
        <f>"33.152"</f>
        <v>33.152</v>
      </c>
      <c r="C1531" t="str">
        <f>"33.152"</f>
        <v>33.152</v>
      </c>
    </row>
    <row r="1532" spans="1:3" x14ac:dyDescent="0.25">
      <c r="A1532" t="str">
        <f>"30/09/2015"</f>
        <v>30/09/2015</v>
      </c>
      <c r="B1532" t="str">
        <f>"33.10"</f>
        <v>33.10</v>
      </c>
      <c r="C1532" t="str">
        <f>"33.10"</f>
        <v>33.10</v>
      </c>
    </row>
    <row r="1533" spans="1:3" x14ac:dyDescent="0.25">
      <c r="A1533" t="str">
        <f>"01/10/2015"</f>
        <v>01/10/2015</v>
      </c>
      <c r="B1533" t="str">
        <f>"33.02"</f>
        <v>33.02</v>
      </c>
      <c r="C1533" t="str">
        <f>"33.02"</f>
        <v>33.02</v>
      </c>
    </row>
    <row r="1534" spans="1:3" x14ac:dyDescent="0.25">
      <c r="A1534" t="str">
        <f>"05/10/2015"</f>
        <v>05/10/2015</v>
      </c>
      <c r="B1534" t="str">
        <f>"32.679"</f>
        <v>32.679</v>
      </c>
      <c r="C1534" t="str">
        <f>"32.679"</f>
        <v>32.679</v>
      </c>
    </row>
    <row r="1535" spans="1:3" x14ac:dyDescent="0.25">
      <c r="A1535" t="str">
        <f>"06/10/2015"</f>
        <v>06/10/2015</v>
      </c>
      <c r="B1535" t="str">
        <f>"32.937"</f>
        <v>32.937</v>
      </c>
      <c r="C1535" t="str">
        <f>"32.937"</f>
        <v>32.937</v>
      </c>
    </row>
    <row r="1536" spans="1:3" x14ac:dyDescent="0.25">
      <c r="A1536" t="str">
        <f>"07/10/2015"</f>
        <v>07/10/2015</v>
      </c>
      <c r="B1536" t="str">
        <f>"32.437"</f>
        <v>32.437</v>
      </c>
      <c r="C1536" t="str">
        <f>"32.437"</f>
        <v>32.437</v>
      </c>
    </row>
    <row r="1537" spans="1:3" x14ac:dyDescent="0.25">
      <c r="A1537" t="str">
        <f>"08/10/2015"</f>
        <v>08/10/2015</v>
      </c>
      <c r="B1537" t="str">
        <f>"32.607"</f>
        <v>32.607</v>
      </c>
      <c r="C1537" t="str">
        <f>"32.607"</f>
        <v>32.607</v>
      </c>
    </row>
    <row r="1538" spans="1:3" x14ac:dyDescent="0.25">
      <c r="A1538" t="str">
        <f>"09/10/2015"</f>
        <v>09/10/2015</v>
      </c>
      <c r="B1538" t="str">
        <f>"32.323"</f>
        <v>32.323</v>
      </c>
      <c r="C1538" t="str">
        <f>"32.323"</f>
        <v>32.323</v>
      </c>
    </row>
    <row r="1539" spans="1:3" x14ac:dyDescent="0.25">
      <c r="A1539" t="str">
        <f>"12/10/2015"</f>
        <v>12/10/2015</v>
      </c>
      <c r="B1539" t="str">
        <f>"32.31"</f>
        <v>32.31</v>
      </c>
      <c r="C1539" t="str">
        <f>"32.31"</f>
        <v>32.31</v>
      </c>
    </row>
    <row r="1540" spans="1:3" x14ac:dyDescent="0.25">
      <c r="A1540" t="str">
        <f>"13/10/2015"</f>
        <v>13/10/2015</v>
      </c>
      <c r="B1540" t="str">
        <f>"32.71"</f>
        <v>32.71</v>
      </c>
      <c r="C1540" t="str">
        <f>"32.71"</f>
        <v>32.71</v>
      </c>
    </row>
    <row r="1541" spans="1:3" x14ac:dyDescent="0.25">
      <c r="A1541" t="str">
        <f>"14/10/2015"</f>
        <v>14/10/2015</v>
      </c>
      <c r="B1541" t="str">
        <f>"32.49"</f>
        <v>32.49</v>
      </c>
      <c r="C1541" t="str">
        <f>"32.49"</f>
        <v>32.49</v>
      </c>
    </row>
    <row r="1542" spans="1:3" x14ac:dyDescent="0.25">
      <c r="A1542" t="str">
        <f>"15/10/2015"</f>
        <v>15/10/2015</v>
      </c>
      <c r="B1542" t="str">
        <f>"32.42"</f>
        <v>32.42</v>
      </c>
      <c r="C1542" t="str">
        <f>"32.42"</f>
        <v>32.42</v>
      </c>
    </row>
    <row r="1543" spans="1:3" x14ac:dyDescent="0.25">
      <c r="A1543" t="str">
        <f>"16/10/2015"</f>
        <v>16/10/2015</v>
      </c>
      <c r="B1543" t="str">
        <f>"32.307"</f>
        <v>32.307</v>
      </c>
      <c r="C1543" t="str">
        <f>"32.307"</f>
        <v>32.307</v>
      </c>
    </row>
    <row r="1544" spans="1:3" x14ac:dyDescent="0.25">
      <c r="A1544" t="str">
        <f>"19/10/2015"</f>
        <v>19/10/2015</v>
      </c>
      <c r="B1544" t="str">
        <f>"32.416"</f>
        <v>32.416</v>
      </c>
      <c r="C1544" t="str">
        <f>"32.416"</f>
        <v>32.416</v>
      </c>
    </row>
    <row r="1545" spans="1:3" x14ac:dyDescent="0.25">
      <c r="A1545" t="str">
        <f>"20/10/2015"</f>
        <v>20/10/2015</v>
      </c>
      <c r="B1545" t="str">
        <f>"32.36"</f>
        <v>32.36</v>
      </c>
      <c r="C1545" t="str">
        <f>"32.36"</f>
        <v>32.36</v>
      </c>
    </row>
    <row r="1546" spans="1:3" x14ac:dyDescent="0.25">
      <c r="A1546" t="str">
        <f>"21/10/2015"</f>
        <v>21/10/2015</v>
      </c>
      <c r="B1546" t="str">
        <f>"32.4427"</f>
        <v>32.4427</v>
      </c>
      <c r="C1546" t="str">
        <f>"32.4427"</f>
        <v>32.4427</v>
      </c>
    </row>
    <row r="1547" spans="1:3" x14ac:dyDescent="0.25">
      <c r="A1547" t="str">
        <f>"23/10/2015"</f>
        <v>23/10/2015</v>
      </c>
      <c r="B1547" t="str">
        <f>"32.383"</f>
        <v>32.383</v>
      </c>
      <c r="C1547" t="str">
        <f>"32.383"</f>
        <v>32.383</v>
      </c>
    </row>
    <row r="1548" spans="1:3" x14ac:dyDescent="0.25">
      <c r="A1548" t="str">
        <f>"26/10/2015"</f>
        <v>26/10/2015</v>
      </c>
      <c r="B1548" t="str">
        <f>"32.696"</f>
        <v>32.696</v>
      </c>
      <c r="C1548" t="str">
        <f>"32.696"</f>
        <v>32.696</v>
      </c>
    </row>
    <row r="1549" spans="1:3" x14ac:dyDescent="0.25">
      <c r="A1549" t="str">
        <f>"27/10/2015"</f>
        <v>27/10/2015</v>
      </c>
      <c r="B1549" t="str">
        <f>"32.63"</f>
        <v>32.63</v>
      </c>
      <c r="C1549" t="str">
        <f>"0.18"</f>
        <v>0.18</v>
      </c>
    </row>
    <row r="1550" spans="1:3" x14ac:dyDescent="0.25">
      <c r="A1550" t="str">
        <f>"29/10/2015"</f>
        <v>29/10/2015</v>
      </c>
      <c r="B1550" t="str">
        <f>"32.626"</f>
        <v>32.626</v>
      </c>
      <c r="C1550" t="str">
        <f>"32.626"</f>
        <v>32.626</v>
      </c>
    </row>
    <row r="1551" spans="1:3" x14ac:dyDescent="0.25">
      <c r="A1551" t="str">
        <f>"30/10/2015"</f>
        <v>30/10/2015</v>
      </c>
      <c r="B1551" t="str">
        <f>"32.77"</f>
        <v>32.77</v>
      </c>
      <c r="C1551" t="str">
        <f>"32.77"</f>
        <v>32.77</v>
      </c>
    </row>
    <row r="1552" spans="1:3" x14ac:dyDescent="0.25">
      <c r="A1552" t="str">
        <f>"02/11/2015"</f>
        <v>02/11/2015</v>
      </c>
      <c r="B1552" t="str">
        <f>"32.72"</f>
        <v>32.72</v>
      </c>
      <c r="C1552" t="str">
        <f>"32.72"</f>
        <v>32.72</v>
      </c>
    </row>
    <row r="1553" spans="1:3" x14ac:dyDescent="0.25">
      <c r="A1553" t="str">
        <f>"03/11/2015"</f>
        <v>03/11/2015</v>
      </c>
      <c r="B1553" t="str">
        <f>"32.61"</f>
        <v>32.61</v>
      </c>
      <c r="C1553" t="str">
        <f>"32.61"</f>
        <v>32.61</v>
      </c>
    </row>
    <row r="1554" spans="1:3" x14ac:dyDescent="0.25">
      <c r="A1554" t="str">
        <f>"04/11/2015"</f>
        <v>04/11/2015</v>
      </c>
      <c r="B1554" t="str">
        <f>"32.327"</f>
        <v>32.327</v>
      </c>
      <c r="C1554" t="str">
        <f>"32.327"</f>
        <v>32.327</v>
      </c>
    </row>
    <row r="1555" spans="1:3" x14ac:dyDescent="0.25">
      <c r="A1555" t="str">
        <f>"05/11/2015"</f>
        <v>05/11/2015</v>
      </c>
      <c r="B1555" t="str">
        <f>"32.463"</f>
        <v>32.463</v>
      </c>
      <c r="C1555" t="str">
        <f>"32.463"</f>
        <v>32.463</v>
      </c>
    </row>
    <row r="1556" spans="1:3" x14ac:dyDescent="0.25">
      <c r="A1556" t="str">
        <f>"06/11/2015"</f>
        <v>06/11/2015</v>
      </c>
      <c r="B1556" t="str">
        <f>"32.695"</f>
        <v>32.695</v>
      </c>
      <c r="C1556" t="str">
        <f>"32.695"</f>
        <v>32.695</v>
      </c>
    </row>
    <row r="1557" spans="1:3" x14ac:dyDescent="0.25">
      <c r="A1557" t="str">
        <f>"09/11/2015"</f>
        <v>09/11/2015</v>
      </c>
      <c r="B1557" t="str">
        <f>"32.756"</f>
        <v>32.756</v>
      </c>
      <c r="C1557" t="str">
        <f>"32.756"</f>
        <v>32.756</v>
      </c>
    </row>
    <row r="1558" spans="1:3" x14ac:dyDescent="0.25">
      <c r="A1558" t="str">
        <f>"10/11/2015"</f>
        <v>10/11/2015</v>
      </c>
      <c r="B1558" t="str">
        <f>"32.83"</f>
        <v>32.83</v>
      </c>
      <c r="C1558" t="str">
        <f>"32.83"</f>
        <v>32.83</v>
      </c>
    </row>
    <row r="1559" spans="1:3" x14ac:dyDescent="0.25">
      <c r="A1559" t="str">
        <f>"13/11/2015"</f>
        <v>13/11/2015</v>
      </c>
      <c r="B1559" t="str">
        <f>"32.84"</f>
        <v>32.84</v>
      </c>
      <c r="C1559" t="str">
        <f>"32.84"</f>
        <v>32.84</v>
      </c>
    </row>
    <row r="1560" spans="1:3" x14ac:dyDescent="0.25">
      <c r="A1560" t="str">
        <f>"16/11/2015"</f>
        <v>16/11/2015</v>
      </c>
      <c r="B1560" t="str">
        <f>"32.986"</f>
        <v>32.986</v>
      </c>
      <c r="C1560" t="str">
        <f>"32.986"</f>
        <v>32.986</v>
      </c>
    </row>
    <row r="1561" spans="1:3" x14ac:dyDescent="0.25">
      <c r="A1561" t="str">
        <f>"17/11/2015"</f>
        <v>17/11/2015</v>
      </c>
      <c r="B1561" t="str">
        <f>"32.89"</f>
        <v>32.89</v>
      </c>
      <c r="C1561" t="str">
        <f>"32.89"</f>
        <v>32.89</v>
      </c>
    </row>
    <row r="1562" spans="1:3" x14ac:dyDescent="0.25">
      <c r="A1562" t="str">
        <f>"18/11/2015"</f>
        <v>18/11/2015</v>
      </c>
      <c r="B1562" t="str">
        <f>"32.95"</f>
        <v>32.95</v>
      </c>
      <c r="C1562" t="str">
        <f>"32.95"</f>
        <v>32.95</v>
      </c>
    </row>
    <row r="1563" spans="1:3" x14ac:dyDescent="0.25">
      <c r="A1563" t="str">
        <f>"19/11/2015"</f>
        <v>19/11/2015</v>
      </c>
      <c r="B1563" t="str">
        <f>"32.675"</f>
        <v>32.675</v>
      </c>
      <c r="C1563" t="str">
        <f>"32.675"</f>
        <v>32.675</v>
      </c>
    </row>
    <row r="1564" spans="1:3" x14ac:dyDescent="0.25">
      <c r="A1564" t="str">
        <f>"20/11/2015"</f>
        <v>20/11/2015</v>
      </c>
      <c r="B1564" t="str">
        <f>"32.629"</f>
        <v>32.629</v>
      </c>
      <c r="C1564" t="str">
        <f>"32.629"</f>
        <v>32.629</v>
      </c>
    </row>
    <row r="1565" spans="1:3" x14ac:dyDescent="0.25">
      <c r="A1565" t="str">
        <f>"23/11/2015"</f>
        <v>23/11/2015</v>
      </c>
      <c r="B1565" t="str">
        <f>"32.747"</f>
        <v>32.747</v>
      </c>
      <c r="C1565" t="str">
        <f>"32.747"</f>
        <v>32.747</v>
      </c>
    </row>
    <row r="1566" spans="1:3" x14ac:dyDescent="0.25">
      <c r="A1566" t="str">
        <f>"24/11/2015"</f>
        <v>24/11/2015</v>
      </c>
      <c r="B1566" t="str">
        <f>"32.73"</f>
        <v>32.73</v>
      </c>
      <c r="C1566" t="str">
        <f>"32.73"</f>
        <v>32.73</v>
      </c>
    </row>
    <row r="1567" spans="1:3" x14ac:dyDescent="0.25">
      <c r="A1567" t="str">
        <f>"26/11/2015"</f>
        <v>26/11/2015</v>
      </c>
      <c r="B1567" t="str">
        <f>"32.558"</f>
        <v>32.558</v>
      </c>
      <c r="C1567" t="str">
        <f>"32.558"</f>
        <v>32.558</v>
      </c>
    </row>
    <row r="1568" spans="1:3" x14ac:dyDescent="0.25">
      <c r="A1568" t="str">
        <f>"27/11/2015"</f>
        <v>27/11/2015</v>
      </c>
      <c r="B1568" t="str">
        <f>"32.668"</f>
        <v>32.668</v>
      </c>
      <c r="C1568" t="str">
        <f>"32.668"</f>
        <v>32.668</v>
      </c>
    </row>
    <row r="1569" spans="1:3" x14ac:dyDescent="0.25">
      <c r="A1569" t="str">
        <f>"30/11/2015"</f>
        <v>30/11/2015</v>
      </c>
      <c r="B1569" t="str">
        <f>"32.782"</f>
        <v>32.782</v>
      </c>
      <c r="C1569" t="str">
        <f>"32.782"</f>
        <v>32.782</v>
      </c>
    </row>
    <row r="1570" spans="1:3" x14ac:dyDescent="0.25">
      <c r="A1570" t="str">
        <f>"01/12/2015"</f>
        <v>01/12/2015</v>
      </c>
      <c r="B1570" t="str">
        <f>"32.743"</f>
        <v>32.743</v>
      </c>
      <c r="C1570" t="str">
        <f>"32.743"</f>
        <v>32.743</v>
      </c>
    </row>
    <row r="1571" spans="1:3" x14ac:dyDescent="0.25">
      <c r="A1571" t="str">
        <f>"02/12/2015"</f>
        <v>02/12/2015</v>
      </c>
      <c r="B1571" t="str">
        <f>"32.886"</f>
        <v>32.886</v>
      </c>
      <c r="C1571" t="str">
        <f>"32.886"</f>
        <v>32.886</v>
      </c>
    </row>
    <row r="1572" spans="1:3" x14ac:dyDescent="0.25">
      <c r="A1572" t="str">
        <f>"03/12/2015"</f>
        <v>03/12/2015</v>
      </c>
      <c r="B1572" t="str">
        <f>"32.804"</f>
        <v>32.804</v>
      </c>
      <c r="C1572" t="str">
        <f>"32.804"</f>
        <v>32.804</v>
      </c>
    </row>
    <row r="1573" spans="1:3" x14ac:dyDescent="0.25">
      <c r="A1573" t="str">
        <f>"04/12/2015"</f>
        <v>04/12/2015</v>
      </c>
      <c r="B1573" t="str">
        <f>"32.711"</f>
        <v>32.711</v>
      </c>
      <c r="C1573" t="str">
        <f>"32.711"</f>
        <v>32.711</v>
      </c>
    </row>
    <row r="1574" spans="1:3" x14ac:dyDescent="0.25">
      <c r="A1574" t="str">
        <f>"07/12/2015"</f>
        <v>07/12/2015</v>
      </c>
      <c r="B1574" t="str">
        <f>"32.756"</f>
        <v>32.756</v>
      </c>
      <c r="C1574" t="str">
        <f>"32.756"</f>
        <v>32.756</v>
      </c>
    </row>
    <row r="1575" spans="1:3" x14ac:dyDescent="0.25">
      <c r="A1575" t="str">
        <f>"08/12/2015"</f>
        <v>08/12/2015</v>
      </c>
      <c r="B1575" t="str">
        <f>"32.822"</f>
        <v>32.822</v>
      </c>
      <c r="C1575" t="str">
        <f>"32.822"</f>
        <v>32.822</v>
      </c>
    </row>
    <row r="1576" spans="1:3" x14ac:dyDescent="0.25">
      <c r="A1576" t="str">
        <f>"09/12/2015"</f>
        <v>09/12/2015</v>
      </c>
      <c r="B1576" t="str">
        <f>"32.877"</f>
        <v>32.877</v>
      </c>
      <c r="C1576" t="str">
        <f>"32.877"</f>
        <v>32.877</v>
      </c>
    </row>
    <row r="1577" spans="1:3" x14ac:dyDescent="0.25">
      <c r="A1577" t="str">
        <f>"10/12/2015"</f>
        <v>10/12/2015</v>
      </c>
      <c r="B1577" t="str">
        <f>"32.859"</f>
        <v>32.859</v>
      </c>
      <c r="C1577" t="str">
        <f>"32.859"</f>
        <v>32.859</v>
      </c>
    </row>
    <row r="1578" spans="1:3" x14ac:dyDescent="0.25">
      <c r="A1578" t="str">
        <f>"11/12/2015"</f>
        <v>11/12/2015</v>
      </c>
      <c r="B1578" t="str">
        <f>"32.842"</f>
        <v>32.842</v>
      </c>
      <c r="C1578" t="str">
        <f>"32.8419"</f>
        <v>32.8419</v>
      </c>
    </row>
    <row r="1579" spans="1:3" x14ac:dyDescent="0.25">
      <c r="A1579" t="str">
        <f>"14/12/2015"</f>
        <v>14/12/2015</v>
      </c>
      <c r="B1579" t="str">
        <f>"32.808"</f>
        <v>32.808</v>
      </c>
      <c r="C1579" t="str">
        <f>"32.8079"</f>
        <v>32.8079</v>
      </c>
    </row>
    <row r="1580" spans="1:3" x14ac:dyDescent="0.25">
      <c r="A1580" t="str">
        <f>"15/12/2015"</f>
        <v>15/12/2015</v>
      </c>
      <c r="B1580" t="str">
        <f>"32.73"</f>
        <v>32.73</v>
      </c>
      <c r="C1580" t="str">
        <f>"32.7299"</f>
        <v>32.7299</v>
      </c>
    </row>
    <row r="1581" spans="1:3" x14ac:dyDescent="0.25">
      <c r="A1581" t="str">
        <f>"16/12/2015"</f>
        <v>16/12/2015</v>
      </c>
      <c r="B1581" t="str">
        <f>"32.925"</f>
        <v>32.925</v>
      </c>
      <c r="C1581" t="str">
        <f>"32.9249"</f>
        <v>32.9249</v>
      </c>
    </row>
    <row r="1582" spans="1:3" x14ac:dyDescent="0.25">
      <c r="A1582" t="str">
        <f>"17/12/2015"</f>
        <v>17/12/2015</v>
      </c>
      <c r="B1582" t="str">
        <f>"32.836"</f>
        <v>32.836</v>
      </c>
      <c r="C1582" t="str">
        <f>"32.8098"</f>
        <v>32.8098</v>
      </c>
    </row>
    <row r="1583" spans="1:3" x14ac:dyDescent="0.25">
      <c r="A1583" t="str">
        <f>"18/12/2015"</f>
        <v>18/12/2015</v>
      </c>
      <c r="B1583" t="str">
        <f>"32.998"</f>
        <v>32.998</v>
      </c>
      <c r="C1583" t="str">
        <f>"32.9978"</f>
        <v>32.9978</v>
      </c>
    </row>
    <row r="1584" spans="1:3" x14ac:dyDescent="0.25">
      <c r="A1584" t="str">
        <f>"21/12/2015"</f>
        <v>21/12/2015</v>
      </c>
      <c r="B1584" t="str">
        <f>"32.90"</f>
        <v>32.90</v>
      </c>
      <c r="C1584" t="str">
        <f>"32.8998"</f>
        <v>32.8998</v>
      </c>
    </row>
    <row r="1585" spans="1:3" x14ac:dyDescent="0.25">
      <c r="A1585" t="str">
        <f>"22/12/2015"</f>
        <v>22/12/2015</v>
      </c>
      <c r="B1585" t="str">
        <f>"32.871"</f>
        <v>32.871</v>
      </c>
      <c r="C1585" t="str">
        <f>"32.8709"</f>
        <v>32.8709</v>
      </c>
    </row>
    <row r="1586" spans="1:3" x14ac:dyDescent="0.25">
      <c r="A1586" t="str">
        <f>"23/12/2015"</f>
        <v>23/12/2015</v>
      </c>
      <c r="B1586" t="str">
        <f>"32.848"</f>
        <v>32.848</v>
      </c>
      <c r="C1586" t="str">
        <f>"32.8479"</f>
        <v>32.8479</v>
      </c>
    </row>
    <row r="1587" spans="1:3" x14ac:dyDescent="0.25">
      <c r="A1587" t="str">
        <f>"28/12/2015"</f>
        <v>28/12/2015</v>
      </c>
      <c r="B1587" t="str">
        <f>"32.909"</f>
        <v>32.909</v>
      </c>
      <c r="C1587" t="str">
        <f>"32.909"</f>
        <v>32.909</v>
      </c>
    </row>
    <row r="1588" spans="1:3" x14ac:dyDescent="0.25">
      <c r="A1588" t="str">
        <f>"29/12/2015"</f>
        <v>29/12/2015</v>
      </c>
      <c r="B1588" t="str">
        <f>"32.847"</f>
        <v>32.847</v>
      </c>
      <c r="C1588" t="str">
        <f>"32.847"</f>
        <v>32.847</v>
      </c>
    </row>
    <row r="1589" spans="1:3" x14ac:dyDescent="0.25">
      <c r="A1589" t="str">
        <f>"30/12/2015"</f>
        <v>30/12/2015</v>
      </c>
      <c r="B1589" t="str">
        <f>"32.95"</f>
        <v>32.95</v>
      </c>
      <c r="C1589" t="str">
        <f>"32.95"</f>
        <v>32.95</v>
      </c>
    </row>
    <row r="1590" spans="1:3" x14ac:dyDescent="0.25">
      <c r="A1590" t="str">
        <f>"31/12/2015"</f>
        <v>31/12/2015</v>
      </c>
      <c r="B1590" t="str">
        <f>"32.904"</f>
        <v>32.904</v>
      </c>
      <c r="C1590" t="str">
        <f>"32.904"</f>
        <v>32.904</v>
      </c>
    </row>
    <row r="1591" spans="1:3" x14ac:dyDescent="0.25">
      <c r="A1591" t="str">
        <f>"01/01/2016"</f>
        <v>01/01/2016</v>
      </c>
      <c r="B1591" t="str">
        <f>"32.855"</f>
        <v>32.855</v>
      </c>
      <c r="C1591" t="str">
        <f>"32.855"</f>
        <v>32.855</v>
      </c>
    </row>
    <row r="1592" spans="1:3" x14ac:dyDescent="0.25">
      <c r="A1592" t="str">
        <f>"04/01/2016"</f>
        <v>04/01/2016</v>
      </c>
      <c r="B1592" t="str">
        <f>"33.07"</f>
        <v>33.07</v>
      </c>
      <c r="C1592" t="str">
        <f>"33.07"</f>
        <v>33.07</v>
      </c>
    </row>
    <row r="1593" spans="1:3" x14ac:dyDescent="0.25">
      <c r="A1593" t="str">
        <f>"05/01/2016"</f>
        <v>05/01/2016</v>
      </c>
      <c r="B1593" t="str">
        <f>"33.24"</f>
        <v>33.24</v>
      </c>
      <c r="C1593" t="str">
        <f>"33.24"</f>
        <v>33.24</v>
      </c>
    </row>
    <row r="1594" spans="1:3" x14ac:dyDescent="0.25">
      <c r="A1594" t="str">
        <f>"06/01/2016"</f>
        <v>06/01/2016</v>
      </c>
      <c r="B1594" t="str">
        <f>"33.232"</f>
        <v>33.232</v>
      </c>
      <c r="C1594" t="str">
        <f>"33.232"</f>
        <v>33.232</v>
      </c>
    </row>
    <row r="1595" spans="1:3" x14ac:dyDescent="0.25">
      <c r="A1595" t="str">
        <f>"07/01/2016"</f>
        <v>07/01/2016</v>
      </c>
      <c r="B1595" t="str">
        <f>"33.333"</f>
        <v>33.333</v>
      </c>
      <c r="C1595" t="str">
        <f>"33.333"</f>
        <v>33.333</v>
      </c>
    </row>
    <row r="1596" spans="1:3" x14ac:dyDescent="0.25">
      <c r="A1596" t="str">
        <f>"08/01/2016"</f>
        <v>08/01/2016</v>
      </c>
      <c r="B1596" t="str">
        <f>"33.305"</f>
        <v>33.305</v>
      </c>
      <c r="C1596" t="str">
        <f>"33.305"</f>
        <v>33.305</v>
      </c>
    </row>
    <row r="1597" spans="1:3" x14ac:dyDescent="0.25">
      <c r="A1597" t="str">
        <f>"11/01/2016"</f>
        <v>11/01/2016</v>
      </c>
      <c r="B1597" t="str">
        <f>"33.41"</f>
        <v>33.41</v>
      </c>
      <c r="C1597" t="str">
        <f>"33.41"</f>
        <v>33.41</v>
      </c>
    </row>
    <row r="1598" spans="1:3" x14ac:dyDescent="0.25">
      <c r="A1598" t="str">
        <f>"12/01/2016"</f>
        <v>12/01/2016</v>
      </c>
      <c r="B1598" t="str">
        <f>"33.495"</f>
        <v>33.495</v>
      </c>
      <c r="C1598" t="str">
        <f>"33.495"</f>
        <v>33.495</v>
      </c>
    </row>
    <row r="1599" spans="1:3" x14ac:dyDescent="0.25">
      <c r="A1599" t="str">
        <f>"13/01/2016"</f>
        <v>13/01/2016</v>
      </c>
      <c r="B1599" t="str">
        <f>"33.59"</f>
        <v>33.59</v>
      </c>
      <c r="C1599" t="str">
        <f>"33.59"</f>
        <v>33.59</v>
      </c>
    </row>
    <row r="1600" spans="1:3" x14ac:dyDescent="0.25">
      <c r="A1600" t="str">
        <f>"14/01/2016"</f>
        <v>14/01/2016</v>
      </c>
      <c r="B1600" t="str">
        <f>"33.722"</f>
        <v>33.722</v>
      </c>
      <c r="C1600" t="str">
        <f>"33.722"</f>
        <v>33.722</v>
      </c>
    </row>
    <row r="1601" spans="1:3" x14ac:dyDescent="0.25">
      <c r="A1601" t="str">
        <f>"15/01/2016"</f>
        <v>15/01/2016</v>
      </c>
      <c r="B1601" t="str">
        <f>"33.78"</f>
        <v>33.78</v>
      </c>
      <c r="C1601" t="str">
        <f>"33.78"</f>
        <v>33.78</v>
      </c>
    </row>
    <row r="1602" spans="1:3" x14ac:dyDescent="0.25">
      <c r="A1602" t="str">
        <f>"18/01/2016"</f>
        <v>18/01/2016</v>
      </c>
      <c r="B1602" t="str">
        <f>"33.583"</f>
        <v>33.583</v>
      </c>
      <c r="C1602" t="str">
        <f>"33.583"</f>
        <v>33.583</v>
      </c>
    </row>
    <row r="1603" spans="1:3" x14ac:dyDescent="0.25">
      <c r="A1603" t="str">
        <f>"19/01/2016"</f>
        <v>19/01/2016</v>
      </c>
      <c r="B1603" t="str">
        <f>"33.682"</f>
        <v>33.682</v>
      </c>
      <c r="C1603" t="str">
        <f>"33.682"</f>
        <v>33.682</v>
      </c>
    </row>
    <row r="1604" spans="1:3" x14ac:dyDescent="0.25">
      <c r="A1604" t="str">
        <f>"20/01/2016"</f>
        <v>20/01/2016</v>
      </c>
      <c r="B1604" t="str">
        <f>"33.705"</f>
        <v>33.705</v>
      </c>
      <c r="C1604" t="str">
        <f>"33.705"</f>
        <v>33.705</v>
      </c>
    </row>
    <row r="1605" spans="1:3" x14ac:dyDescent="0.25">
      <c r="A1605" t="str">
        <f>"21/01/2016"</f>
        <v>21/01/2016</v>
      </c>
      <c r="B1605" t="str">
        <f>"33.797"</f>
        <v>33.797</v>
      </c>
      <c r="C1605" t="str">
        <f>"33.797"</f>
        <v>33.797</v>
      </c>
    </row>
    <row r="1606" spans="1:3" x14ac:dyDescent="0.25">
      <c r="A1606" t="str">
        <f>"22/01/2016"</f>
        <v>22/01/2016</v>
      </c>
      <c r="B1606" t="str">
        <f>"33.536"</f>
        <v>33.536</v>
      </c>
      <c r="C1606" t="str">
        <f>"33.536"</f>
        <v>33.536</v>
      </c>
    </row>
    <row r="1607" spans="1:3" x14ac:dyDescent="0.25">
      <c r="A1607" t="str">
        <f>"25/01/2016"</f>
        <v>25/01/2016</v>
      </c>
      <c r="B1607" t="str">
        <f>"33.539"</f>
        <v>33.539</v>
      </c>
      <c r="C1607" t="str">
        <f>"33.539"</f>
        <v>33.539</v>
      </c>
    </row>
    <row r="1608" spans="1:3" x14ac:dyDescent="0.25">
      <c r="A1608" t="str">
        <f>"27/01/2016"</f>
        <v>27/01/2016</v>
      </c>
      <c r="B1608" t="str">
        <f>"33.611"</f>
        <v>33.611</v>
      </c>
      <c r="C1608" t="str">
        <f>"33.611"</f>
        <v>33.611</v>
      </c>
    </row>
    <row r="1609" spans="1:3" x14ac:dyDescent="0.25">
      <c r="A1609" t="str">
        <f>"28/01/2016"</f>
        <v>28/01/2016</v>
      </c>
      <c r="B1609" t="str">
        <f>"33.595"</f>
        <v>33.595</v>
      </c>
      <c r="C1609" t="str">
        <f>"33.5951"</f>
        <v>33.5951</v>
      </c>
    </row>
    <row r="1610" spans="1:3" x14ac:dyDescent="0.25">
      <c r="A1610" t="str">
        <f>"29/01/2016"</f>
        <v>29/01/2016</v>
      </c>
      <c r="B1610" t="str">
        <f>"33.335"</f>
        <v>33.335</v>
      </c>
      <c r="C1610" t="str">
        <f>"33.335"</f>
        <v>33.335</v>
      </c>
    </row>
    <row r="1611" spans="1:3" x14ac:dyDescent="0.25">
      <c r="A1611" t="str">
        <f>"01/02/2016"</f>
        <v>01/02/2016</v>
      </c>
      <c r="B1611" t="str">
        <f>"33.458"</f>
        <v>33.458</v>
      </c>
      <c r="C1611" t="str">
        <f>"33.458"</f>
        <v>33.458</v>
      </c>
    </row>
    <row r="1612" spans="1:3" x14ac:dyDescent="0.25">
      <c r="A1612" t="str">
        <f>"02/02/2016"</f>
        <v>02/02/2016</v>
      </c>
      <c r="B1612" t="str">
        <f>"33.454"</f>
        <v>33.454</v>
      </c>
      <c r="C1612" t="str">
        <f>"33.454"</f>
        <v>33.454</v>
      </c>
    </row>
    <row r="1613" spans="1:3" x14ac:dyDescent="0.25">
      <c r="A1613" t="str">
        <f>"03/02/2016"</f>
        <v>03/02/2016</v>
      </c>
      <c r="B1613" t="str">
        <f>"33.591"</f>
        <v>33.591</v>
      </c>
      <c r="C1613" t="str">
        <f>"33.591"</f>
        <v>33.591</v>
      </c>
    </row>
    <row r="1614" spans="1:3" x14ac:dyDescent="0.25">
      <c r="A1614" t="str">
        <f>"04/02/2016"</f>
        <v>04/02/2016</v>
      </c>
      <c r="B1614" t="str">
        <f>"33.399"</f>
        <v>33.399</v>
      </c>
      <c r="C1614" t="str">
        <f>"33.399"</f>
        <v>33.399</v>
      </c>
    </row>
    <row r="1615" spans="1:3" x14ac:dyDescent="0.25">
      <c r="A1615" t="str">
        <f>"05/02/2016"</f>
        <v>05/02/2016</v>
      </c>
      <c r="B1615" t="str">
        <f>"33.221"</f>
        <v>33.221</v>
      </c>
      <c r="C1615" t="str">
        <f>"33.221"</f>
        <v>33.221</v>
      </c>
    </row>
    <row r="1616" spans="1:3" x14ac:dyDescent="0.25">
      <c r="A1616" t="str">
        <f>"08/02/2016"</f>
        <v>08/02/2016</v>
      </c>
      <c r="B1616" t="str">
        <f>"33.333"</f>
        <v>33.333</v>
      </c>
      <c r="C1616" t="str">
        <f>"33.333"</f>
        <v>33.333</v>
      </c>
    </row>
    <row r="1617" spans="1:3" x14ac:dyDescent="0.25">
      <c r="A1617" t="str">
        <f>"09/02/2016"</f>
        <v>09/02/2016</v>
      </c>
      <c r="B1617" t="str">
        <f>"33.401"</f>
        <v>33.401</v>
      </c>
      <c r="C1617" t="str">
        <f>"33.401"</f>
        <v>33.401</v>
      </c>
    </row>
    <row r="1618" spans="1:3" x14ac:dyDescent="0.25">
      <c r="A1618" t="str">
        <f>"10/02/2016"</f>
        <v>10/02/2016</v>
      </c>
      <c r="B1618" t="str">
        <f>"33.186"</f>
        <v>33.186</v>
      </c>
      <c r="C1618" t="str">
        <f>"33.186"</f>
        <v>33.186</v>
      </c>
    </row>
    <row r="1619" spans="1:3" x14ac:dyDescent="0.25">
      <c r="A1619" t="str">
        <f>"11/02/2016"</f>
        <v>11/02/2016</v>
      </c>
      <c r="B1619" t="str">
        <f>"33.078"</f>
        <v>33.078</v>
      </c>
      <c r="C1619" t="str">
        <f>"33.078"</f>
        <v>33.078</v>
      </c>
    </row>
    <row r="1620" spans="1:3" x14ac:dyDescent="0.25">
      <c r="A1620" t="str">
        <f>"12/02/2016"</f>
        <v>12/02/2016</v>
      </c>
      <c r="B1620" t="str">
        <f>"33.038"</f>
        <v>33.038</v>
      </c>
      <c r="C1620" t="str">
        <f>"33.038"</f>
        <v>33.038</v>
      </c>
    </row>
    <row r="1621" spans="1:3" x14ac:dyDescent="0.25">
      <c r="A1621" t="str">
        <f>"15/02/2016"</f>
        <v>15/02/2016</v>
      </c>
      <c r="B1621" t="str">
        <f>"32.91"</f>
        <v>32.91</v>
      </c>
      <c r="C1621" t="str">
        <f>"32.91"</f>
        <v>32.91</v>
      </c>
    </row>
    <row r="1622" spans="1:3" x14ac:dyDescent="0.25">
      <c r="A1622" t="str">
        <f>"16/02/2016"</f>
        <v>16/02/2016</v>
      </c>
      <c r="B1622" t="str">
        <f>"33.163"</f>
        <v>33.163</v>
      </c>
      <c r="C1622" t="str">
        <f>"33.163"</f>
        <v>33.163</v>
      </c>
    </row>
    <row r="1623" spans="1:3" x14ac:dyDescent="0.25">
      <c r="A1623" t="str">
        <f>"17/02/2016"</f>
        <v>17/02/2016</v>
      </c>
      <c r="B1623" t="str">
        <f>"33.495"</f>
        <v>33.495</v>
      </c>
      <c r="C1623" t="str">
        <f>"33.495"</f>
        <v>33.495</v>
      </c>
    </row>
    <row r="1624" spans="1:3" x14ac:dyDescent="0.25">
      <c r="A1624" t="str">
        <f>"18/02/2016"</f>
        <v>18/02/2016</v>
      </c>
      <c r="B1624" t="str">
        <f>"33.234"</f>
        <v>33.234</v>
      </c>
      <c r="C1624" t="str">
        <f>"33.234"</f>
        <v>33.234</v>
      </c>
    </row>
    <row r="1625" spans="1:3" x14ac:dyDescent="0.25">
      <c r="A1625" t="str">
        <f>"22/02/2016"</f>
        <v>22/02/2016</v>
      </c>
      <c r="B1625" t="str">
        <f>"33.24"</f>
        <v>33.24</v>
      </c>
      <c r="C1625" t="str">
        <f>"33.24"</f>
        <v>33.24</v>
      </c>
    </row>
    <row r="1626" spans="1:3" x14ac:dyDescent="0.25">
      <c r="A1626" t="str">
        <f>"23/02/2016"</f>
        <v>23/02/2016</v>
      </c>
      <c r="B1626" t="str">
        <f>"33.252"</f>
        <v>33.252</v>
      </c>
      <c r="C1626" t="str">
        <f>"33.252"</f>
        <v>33.252</v>
      </c>
    </row>
    <row r="1627" spans="1:3" x14ac:dyDescent="0.25">
      <c r="A1627" t="str">
        <f>"24/02/2016"</f>
        <v>24/02/2016</v>
      </c>
      <c r="B1627" t="str">
        <f>"33.297"</f>
        <v>33.297</v>
      </c>
      <c r="C1627" t="str">
        <f>"33.297"</f>
        <v>33.297</v>
      </c>
    </row>
    <row r="1628" spans="1:3" x14ac:dyDescent="0.25">
      <c r="A1628" t="str">
        <f>"25/02/2016"</f>
        <v>25/02/2016</v>
      </c>
      <c r="B1628" t="str">
        <f>"33.286"</f>
        <v>33.286</v>
      </c>
      <c r="C1628" t="str">
        <f>"33.286"</f>
        <v>33.286</v>
      </c>
    </row>
    <row r="1629" spans="1:3" x14ac:dyDescent="0.25">
      <c r="A1629" t="str">
        <f>"26/02/2016"</f>
        <v>26/02/2016</v>
      </c>
      <c r="B1629" t="str">
        <f>"33.258"</f>
        <v>33.258</v>
      </c>
      <c r="C1629" t="str">
        <f>"33.258"</f>
        <v>33.258</v>
      </c>
    </row>
    <row r="1630" spans="1:3" x14ac:dyDescent="0.25">
      <c r="A1630" t="str">
        <f>"29/02/2016"</f>
        <v>29/02/2016</v>
      </c>
      <c r="B1630" t="str">
        <f>"33.327"</f>
        <v>33.327</v>
      </c>
      <c r="C1630" t="str">
        <f>"33.327"</f>
        <v>33.327</v>
      </c>
    </row>
    <row r="1631" spans="1:3" x14ac:dyDescent="0.25">
      <c r="A1631" t="str">
        <f>"01/03/2016"</f>
        <v>01/03/2016</v>
      </c>
      <c r="B1631" t="str">
        <f>"33.127"</f>
        <v>33.127</v>
      </c>
      <c r="C1631" t="str">
        <f>"33.127"</f>
        <v>33.127</v>
      </c>
    </row>
    <row r="1632" spans="1:3" x14ac:dyDescent="0.25">
      <c r="A1632" t="str">
        <f>"02/03/2016"</f>
        <v>02/03/2016</v>
      </c>
      <c r="B1632" t="str">
        <f>"33.122"</f>
        <v>33.122</v>
      </c>
      <c r="C1632" t="str">
        <f>"33.122"</f>
        <v>33.122</v>
      </c>
    </row>
    <row r="1633" spans="1:3" x14ac:dyDescent="0.25">
      <c r="A1633" t="str">
        <f>"03/03/2016"</f>
        <v>03/03/2016</v>
      </c>
      <c r="B1633" t="str">
        <f>"33.157"</f>
        <v>33.157</v>
      </c>
      <c r="C1633" t="str">
        <f>"33.157"</f>
        <v>33.157</v>
      </c>
    </row>
    <row r="1634" spans="1:3" x14ac:dyDescent="0.25">
      <c r="A1634" t="str">
        <f>"04/03/2016"</f>
        <v>04/03/2016</v>
      </c>
      <c r="B1634" t="str">
        <f>"33.082"</f>
        <v>33.082</v>
      </c>
      <c r="C1634" t="str">
        <f>"33.082"</f>
        <v>33.082</v>
      </c>
    </row>
    <row r="1635" spans="1:3" x14ac:dyDescent="0.25">
      <c r="A1635" t="str">
        <f>"08/03/2016"</f>
        <v>08/03/2016</v>
      </c>
      <c r="B1635" t="str">
        <f>"32.762"</f>
        <v>32.762</v>
      </c>
      <c r="C1635" t="str">
        <f>"32.762"</f>
        <v>32.762</v>
      </c>
    </row>
    <row r="1636" spans="1:3" x14ac:dyDescent="0.25">
      <c r="A1636" t="str">
        <f>"09/03/2016"</f>
        <v>09/03/2016</v>
      </c>
      <c r="B1636" t="str">
        <f>"32.882"</f>
        <v>32.882</v>
      </c>
      <c r="C1636" t="str">
        <f>"32.882"</f>
        <v>32.882</v>
      </c>
    </row>
    <row r="1637" spans="1:3" x14ac:dyDescent="0.25">
      <c r="A1637" t="str">
        <f>"10/03/2016"</f>
        <v>10/03/2016</v>
      </c>
      <c r="B1637" t="str">
        <f>"32.918"</f>
        <v>32.918</v>
      </c>
      <c r="C1637" t="str">
        <f>"32.918"</f>
        <v>32.918</v>
      </c>
    </row>
    <row r="1638" spans="1:3" x14ac:dyDescent="0.25">
      <c r="A1638" t="str">
        <f>"11/03/2016"</f>
        <v>11/03/2016</v>
      </c>
      <c r="B1638" t="str">
        <f>"32.802"</f>
        <v>32.802</v>
      </c>
      <c r="C1638" t="str">
        <f>"32.802"</f>
        <v>32.802</v>
      </c>
    </row>
    <row r="1639" spans="1:3" x14ac:dyDescent="0.25">
      <c r="A1639" t="str">
        <f>"14/03/2016"</f>
        <v>14/03/2016</v>
      </c>
      <c r="B1639" t="str">
        <f>"32.861"</f>
        <v>32.861</v>
      </c>
      <c r="C1639" t="str">
        <f>"32.861"</f>
        <v>32.861</v>
      </c>
    </row>
    <row r="1640" spans="1:3" x14ac:dyDescent="0.25">
      <c r="A1640" t="str">
        <f>"15/03/2016"</f>
        <v>15/03/2016</v>
      </c>
      <c r="B1640" t="str">
        <f>"32.833"</f>
        <v>32.833</v>
      </c>
      <c r="C1640" t="str">
        <f>"32.833"</f>
        <v>32.833</v>
      </c>
    </row>
    <row r="1641" spans="1:3" x14ac:dyDescent="0.25">
      <c r="A1641" t="str">
        <f>"16/03/2016"</f>
        <v>16/03/2016</v>
      </c>
      <c r="B1641" t="str">
        <f>"32.817"</f>
        <v>32.817</v>
      </c>
      <c r="C1641" t="str">
        <f>"32.817"</f>
        <v>32.817</v>
      </c>
    </row>
    <row r="1642" spans="1:3" x14ac:dyDescent="0.25">
      <c r="A1642" t="str">
        <f>"17/03/2016"</f>
        <v>17/03/2016</v>
      </c>
      <c r="B1642" t="str">
        <f>"32.605"</f>
        <v>32.605</v>
      </c>
      <c r="C1642" t="str">
        <f>"32.605"</f>
        <v>32.605</v>
      </c>
    </row>
    <row r="1643" spans="1:3" x14ac:dyDescent="0.25">
      <c r="A1643" t="str">
        <f>"18/03/2016"</f>
        <v>18/03/2016</v>
      </c>
      <c r="B1643" t="str">
        <f>"32.369"</f>
        <v>32.369</v>
      </c>
      <c r="C1643" t="str">
        <f>"32.369"</f>
        <v>32.369</v>
      </c>
    </row>
    <row r="1644" spans="1:3" x14ac:dyDescent="0.25">
      <c r="A1644" t="str">
        <f>"21/03/2016"</f>
        <v>21/03/2016</v>
      </c>
      <c r="B1644" t="str">
        <f>"32.411"</f>
        <v>32.411</v>
      </c>
      <c r="C1644" t="str">
        <f>"32.411"</f>
        <v>32.411</v>
      </c>
    </row>
    <row r="1645" spans="1:3" x14ac:dyDescent="0.25">
      <c r="A1645" t="str">
        <f>"22/03/2016"</f>
        <v>22/03/2016</v>
      </c>
      <c r="B1645" t="str">
        <f>"32.46"</f>
        <v>32.46</v>
      </c>
      <c r="C1645" t="str">
        <f>"32.46"</f>
        <v>32.46</v>
      </c>
    </row>
    <row r="1646" spans="1:3" x14ac:dyDescent="0.25">
      <c r="A1646" t="str">
        <f>"23/03/2016"</f>
        <v>23/03/2016</v>
      </c>
      <c r="B1646" t="str">
        <f>"32.608"</f>
        <v>32.608</v>
      </c>
      <c r="C1646" t="str">
        <f>"32.608"</f>
        <v>32.608</v>
      </c>
    </row>
    <row r="1647" spans="1:3" x14ac:dyDescent="0.25">
      <c r="A1647" t="str">
        <f>"28/03/2016"</f>
        <v>28/03/2016</v>
      </c>
      <c r="B1647" t="str">
        <f>"32.66"</f>
        <v>32.66</v>
      </c>
      <c r="C1647" t="str">
        <f>"32.66"</f>
        <v>32.66</v>
      </c>
    </row>
    <row r="1648" spans="1:3" x14ac:dyDescent="0.25">
      <c r="A1648" t="str">
        <f>"29/03/2016"</f>
        <v>29/03/2016</v>
      </c>
      <c r="B1648" t="str">
        <f>"32.695"</f>
        <v>32.695</v>
      </c>
      <c r="C1648" t="str">
        <f>"32.695"</f>
        <v>32.695</v>
      </c>
    </row>
    <row r="1649" spans="1:3" x14ac:dyDescent="0.25">
      <c r="A1649" t="str">
        <f>"30/03/2016"</f>
        <v>30/03/2016</v>
      </c>
      <c r="B1649" t="str">
        <f>"32.273"</f>
        <v>32.273</v>
      </c>
      <c r="C1649" t="str">
        <f>"32.2729"</f>
        <v>32.2729</v>
      </c>
    </row>
    <row r="1650" spans="1:3" x14ac:dyDescent="0.25">
      <c r="A1650" t="str">
        <f>"31/03/2016"</f>
        <v>31/03/2016</v>
      </c>
      <c r="B1650" t="str">
        <f>"32.227"</f>
        <v>32.227</v>
      </c>
      <c r="C1650" t="str">
        <f>"32.2434"</f>
        <v>32.2434</v>
      </c>
    </row>
    <row r="1651" spans="1:3" x14ac:dyDescent="0.25">
      <c r="A1651" t="str">
        <f>"04/04/2016"</f>
        <v>04/04/2016</v>
      </c>
      <c r="B1651" t="str">
        <f>"32.309"</f>
        <v>32.309</v>
      </c>
      <c r="C1651" t="str">
        <f>"32.309"</f>
        <v>32.309</v>
      </c>
    </row>
    <row r="1652" spans="1:3" x14ac:dyDescent="0.25">
      <c r="A1652" t="str">
        <f>"05/04/2016"</f>
        <v>05/04/2016</v>
      </c>
      <c r="B1652" t="str">
        <f>"32.384"</f>
        <v>32.384</v>
      </c>
      <c r="C1652" t="str">
        <f>"32.384"</f>
        <v>32.384</v>
      </c>
    </row>
    <row r="1653" spans="1:3" x14ac:dyDescent="0.25">
      <c r="A1653" t="str">
        <f>"06/04/2016"</f>
        <v>06/04/2016</v>
      </c>
      <c r="B1653" t="str">
        <f>"32.43"</f>
        <v>32.43</v>
      </c>
      <c r="C1653" t="str">
        <f>"32.43"</f>
        <v>32.43</v>
      </c>
    </row>
    <row r="1654" spans="1:3" x14ac:dyDescent="0.25">
      <c r="A1654" t="str">
        <f>"07/04/2016"</f>
        <v>07/04/2016</v>
      </c>
      <c r="B1654" t="str">
        <f>"32.363"</f>
        <v>32.363</v>
      </c>
      <c r="C1654" t="str">
        <f>"32.363"</f>
        <v>32.363</v>
      </c>
    </row>
    <row r="1655" spans="1:3" x14ac:dyDescent="0.25">
      <c r="A1655" t="str">
        <f>"11/04/2016"</f>
        <v>11/04/2016</v>
      </c>
      <c r="B1655" t="str">
        <f>"32.391"</f>
        <v>32.391</v>
      </c>
      <c r="C1655" t="str">
        <f>"32.391"</f>
        <v>32.391</v>
      </c>
    </row>
    <row r="1656" spans="1:3" x14ac:dyDescent="0.25">
      <c r="A1656" t="str">
        <f>"12/04/2016"</f>
        <v>12/04/2016</v>
      </c>
      <c r="B1656" t="str">
        <f>"32.365"</f>
        <v>32.365</v>
      </c>
      <c r="C1656" t="str">
        <f>"32.365"</f>
        <v>32.365</v>
      </c>
    </row>
    <row r="1657" spans="1:3" x14ac:dyDescent="0.25">
      <c r="A1657" t="str">
        <f>"13/04/2016"</f>
        <v>13/04/2016</v>
      </c>
      <c r="B1657" t="str">
        <f>"32.337"</f>
        <v>32.337</v>
      </c>
      <c r="C1657" t="str">
        <f>"32.337"</f>
        <v>32.337</v>
      </c>
    </row>
    <row r="1658" spans="1:3" x14ac:dyDescent="0.25">
      <c r="A1658" t="str">
        <f>"18/04/2016"</f>
        <v>18/04/2016</v>
      </c>
      <c r="B1658" t="str">
        <f>"32.404"</f>
        <v>32.404</v>
      </c>
      <c r="C1658" t="str">
        <f>"32.404"</f>
        <v>32.404</v>
      </c>
    </row>
    <row r="1659" spans="1:3" x14ac:dyDescent="0.25">
      <c r="A1659" t="str">
        <f>"20/04/2016"</f>
        <v>20/04/2016</v>
      </c>
      <c r="B1659" t="str">
        <f>"32.248"</f>
        <v>32.248</v>
      </c>
      <c r="C1659" t="str">
        <f>"32.248"</f>
        <v>32.248</v>
      </c>
    </row>
    <row r="1660" spans="1:3" x14ac:dyDescent="0.25">
      <c r="A1660" t="str">
        <f>"21/04/2016"</f>
        <v>21/04/2016</v>
      </c>
      <c r="B1660" t="str">
        <f>"32.295"</f>
        <v>32.295</v>
      </c>
      <c r="C1660" t="str">
        <f>"32.295"</f>
        <v>32.295</v>
      </c>
    </row>
    <row r="1661" spans="1:3" x14ac:dyDescent="0.25">
      <c r="A1661" t="str">
        <f>"22/04/2016"</f>
        <v>22/04/2016</v>
      </c>
      <c r="B1661" t="str">
        <f>"32.349"</f>
        <v>32.349</v>
      </c>
      <c r="C1661" t="str">
        <f>"32.3489"</f>
        <v>32.3489</v>
      </c>
    </row>
    <row r="1662" spans="1:3" x14ac:dyDescent="0.25">
      <c r="A1662" t="str">
        <f>"25/04/2016"</f>
        <v>25/04/2016</v>
      </c>
      <c r="B1662" t="str">
        <f>"32.361"</f>
        <v>32.361</v>
      </c>
      <c r="C1662" t="str">
        <f>"32.361"</f>
        <v>32.361</v>
      </c>
    </row>
    <row r="1663" spans="1:3" x14ac:dyDescent="0.25">
      <c r="A1663" t="str">
        <f>"26/04/2016"</f>
        <v>26/04/2016</v>
      </c>
      <c r="B1663" t="str">
        <f>"32.362"</f>
        <v>32.362</v>
      </c>
      <c r="C1663" t="str">
        <f>"32.3619"</f>
        <v>32.3619</v>
      </c>
    </row>
    <row r="1664" spans="1:3" x14ac:dyDescent="0.25">
      <c r="A1664" t="str">
        <f>"27/04/2016"</f>
        <v>27/04/2016</v>
      </c>
      <c r="B1664" t="str">
        <f>"32.346"</f>
        <v>32.346</v>
      </c>
      <c r="C1664" t="str">
        <f>"32.346"</f>
        <v>32.346</v>
      </c>
    </row>
    <row r="1665" spans="1:3" x14ac:dyDescent="0.25">
      <c r="A1665" t="str">
        <f>"28/04/2016"</f>
        <v>28/04/2016</v>
      </c>
      <c r="B1665" t="str">
        <f>"32.314"</f>
        <v>32.314</v>
      </c>
      <c r="C1665" t="str">
        <f>"32.314"</f>
        <v>32.314</v>
      </c>
    </row>
    <row r="1666" spans="1:3" x14ac:dyDescent="0.25">
      <c r="A1666" t="str">
        <f>"29/04/2016"</f>
        <v>29/04/2016</v>
      </c>
      <c r="B1666" t="str">
        <f>"32.275"</f>
        <v>32.275</v>
      </c>
      <c r="C1666" t="str">
        <f>"32.275"</f>
        <v>32.275</v>
      </c>
    </row>
    <row r="1667" spans="1:3" x14ac:dyDescent="0.25">
      <c r="A1667" t="str">
        <f>"02/05/2016"</f>
        <v>02/05/2016</v>
      </c>
      <c r="B1667" t="str">
        <f>"32.236"</f>
        <v>32.236</v>
      </c>
      <c r="C1667" t="str">
        <f>"32.236"</f>
        <v>32.236</v>
      </c>
    </row>
    <row r="1668" spans="1:3" x14ac:dyDescent="0.25">
      <c r="A1668" t="str">
        <f>"03/05/2016"</f>
        <v>03/05/2016</v>
      </c>
      <c r="B1668" t="str">
        <f>"32.233"</f>
        <v>32.233</v>
      </c>
      <c r="C1668" t="str">
        <f>"32.2329"</f>
        <v>32.2329</v>
      </c>
    </row>
    <row r="1669" spans="1:3" x14ac:dyDescent="0.25">
      <c r="A1669" t="str">
        <f>"04/05/2016"</f>
        <v>04/05/2016</v>
      </c>
      <c r="B1669" t="str">
        <f>"32.357"</f>
        <v>32.357</v>
      </c>
      <c r="C1669" t="str">
        <f>"32.357"</f>
        <v>32.357</v>
      </c>
    </row>
    <row r="1670" spans="1:3" x14ac:dyDescent="0.25">
      <c r="A1670" t="str">
        <f>"05/05/2016"</f>
        <v>05/05/2016</v>
      </c>
      <c r="B1670" t="str">
        <f>"32.377"</f>
        <v>32.377</v>
      </c>
      <c r="C1670" t="str">
        <f>"32.377"</f>
        <v>32.377</v>
      </c>
    </row>
    <row r="1671" spans="1:3" x14ac:dyDescent="0.25">
      <c r="A1671" t="str">
        <f>"06/05/2016"</f>
        <v>06/05/2016</v>
      </c>
      <c r="B1671" t="str">
        <f>"32.41"</f>
        <v>32.41</v>
      </c>
      <c r="C1671" t="str">
        <f>"32.41"</f>
        <v>32.41</v>
      </c>
    </row>
    <row r="1672" spans="1:3" x14ac:dyDescent="0.25">
      <c r="A1672" t="str">
        <f>"09/05/2016"</f>
        <v>09/05/2016</v>
      </c>
      <c r="B1672" t="str">
        <f>"32.415"</f>
        <v>32.415</v>
      </c>
      <c r="C1672" t="str">
        <f>"32.4149"</f>
        <v>32.4149</v>
      </c>
    </row>
    <row r="1673" spans="1:3" x14ac:dyDescent="0.25">
      <c r="A1673" t="str">
        <f>"10/05/2016"</f>
        <v>10/05/2016</v>
      </c>
      <c r="B1673" t="str">
        <f>"32.534"</f>
        <v>32.534</v>
      </c>
      <c r="C1673" t="str">
        <f>"32.5339"</f>
        <v>32.5339</v>
      </c>
    </row>
    <row r="1674" spans="1:3" x14ac:dyDescent="0.25">
      <c r="A1674" t="str">
        <f>"11/05/2016"</f>
        <v>11/05/2016</v>
      </c>
      <c r="B1674" t="str">
        <f>"32.528"</f>
        <v>32.528</v>
      </c>
      <c r="C1674" t="str">
        <f>"32.5279"</f>
        <v>32.5279</v>
      </c>
    </row>
    <row r="1675" spans="1:3" x14ac:dyDescent="0.25">
      <c r="A1675" t="str">
        <f>"12/05/2016"</f>
        <v>12/05/2016</v>
      </c>
      <c r="B1675" t="str">
        <f>"32.542"</f>
        <v>32.542</v>
      </c>
      <c r="C1675" t="str">
        <f>"32.5419"</f>
        <v>32.5419</v>
      </c>
    </row>
    <row r="1676" spans="1:3" x14ac:dyDescent="0.25">
      <c r="A1676" t="str">
        <f>"13/05/2016"</f>
        <v>13/05/2016</v>
      </c>
      <c r="B1676" t="str">
        <f>"32.626"</f>
        <v>32.626</v>
      </c>
      <c r="C1676" t="str">
        <f>"32.6259"</f>
        <v>32.6259</v>
      </c>
    </row>
    <row r="1677" spans="1:3" x14ac:dyDescent="0.25">
      <c r="A1677" t="str">
        <f>"16/05/2016"</f>
        <v>16/05/2016</v>
      </c>
      <c r="B1677" t="str">
        <f>"32.705"</f>
        <v>32.705</v>
      </c>
      <c r="C1677" t="str">
        <f>"32.7049"</f>
        <v>32.7049</v>
      </c>
    </row>
    <row r="1678" spans="1:3" x14ac:dyDescent="0.25">
      <c r="A1678" t="str">
        <f>"17/05/2016"</f>
        <v>17/05/2016</v>
      </c>
      <c r="B1678" t="str">
        <f>"32.628"</f>
        <v>32.628</v>
      </c>
      <c r="C1678" t="str">
        <f>"32.6279"</f>
        <v>32.6279</v>
      </c>
    </row>
    <row r="1679" spans="1:3" x14ac:dyDescent="0.25">
      <c r="A1679" t="str">
        <f>"18/05/2016"</f>
        <v>18/05/2016</v>
      </c>
      <c r="B1679" t="str">
        <f>"32.704"</f>
        <v>32.704</v>
      </c>
      <c r="C1679" t="str">
        <f>"32.7039"</f>
        <v>32.7039</v>
      </c>
    </row>
    <row r="1680" spans="1:3" x14ac:dyDescent="0.25">
      <c r="A1680" t="str">
        <f>"19/05/2016"</f>
        <v>19/05/2016</v>
      </c>
      <c r="B1680" t="str">
        <f>"32.801"</f>
        <v>32.801</v>
      </c>
      <c r="C1680" t="str">
        <f>"32.8009"</f>
        <v>32.8009</v>
      </c>
    </row>
    <row r="1681" spans="1:3" x14ac:dyDescent="0.25">
      <c r="A1681" t="str">
        <f>"20/05/2016"</f>
        <v>20/05/2016</v>
      </c>
      <c r="B1681" t="str">
        <f>"32.752"</f>
        <v>32.752</v>
      </c>
      <c r="C1681" t="str">
        <f>"32.7519"</f>
        <v>32.7519</v>
      </c>
    </row>
    <row r="1682" spans="1:3" x14ac:dyDescent="0.25">
      <c r="A1682" t="str">
        <f>"23/05/2016"</f>
        <v>23/05/2016</v>
      </c>
      <c r="B1682" t="str">
        <f>"32.659"</f>
        <v>32.659</v>
      </c>
      <c r="C1682" t="str">
        <f>"32.6589"</f>
        <v>32.6589</v>
      </c>
    </row>
    <row r="1683" spans="1:3" x14ac:dyDescent="0.25">
      <c r="A1683" t="str">
        <f>"24/05/2016"</f>
        <v>24/05/2016</v>
      </c>
      <c r="B1683" t="str">
        <f>"32.663"</f>
        <v>32.663</v>
      </c>
      <c r="C1683" t="str">
        <f>"32.6629"</f>
        <v>32.6629</v>
      </c>
    </row>
    <row r="1684" spans="1:3" x14ac:dyDescent="0.25">
      <c r="A1684" t="str">
        <f>"25/05/2016"</f>
        <v>25/05/2016</v>
      </c>
      <c r="B1684" t="str">
        <f>"32.652"</f>
        <v>32.652</v>
      </c>
      <c r="C1684" t="str">
        <f>"32.6519"</f>
        <v>32.6519</v>
      </c>
    </row>
    <row r="1685" spans="1:3" x14ac:dyDescent="0.25">
      <c r="A1685" t="str">
        <f>"26/05/2016"</f>
        <v>26/05/2016</v>
      </c>
      <c r="B1685" t="str">
        <f>"32.576"</f>
        <v>32.576</v>
      </c>
      <c r="C1685" t="str">
        <f>"32.5759"</f>
        <v>32.5759</v>
      </c>
    </row>
    <row r="1686" spans="1:3" x14ac:dyDescent="0.25">
      <c r="A1686" t="str">
        <f>"27/05/2016"</f>
        <v>27/05/2016</v>
      </c>
      <c r="B1686" t="str">
        <f>"32.528"</f>
        <v>32.528</v>
      </c>
      <c r="C1686" t="str">
        <f>"32.5278"</f>
        <v>32.5278</v>
      </c>
    </row>
    <row r="1687" spans="1:3" x14ac:dyDescent="0.25">
      <c r="A1687" t="str">
        <f>"30/05/2016"</f>
        <v>30/05/2016</v>
      </c>
      <c r="B1687" t="str">
        <f>"32.679"</f>
        <v>32.679</v>
      </c>
      <c r="C1687" t="str">
        <f>"32.6788"</f>
        <v>32.6788</v>
      </c>
    </row>
    <row r="1688" spans="1:3" x14ac:dyDescent="0.25">
      <c r="A1688" t="str">
        <f>"31/05/2016"</f>
        <v>31/05/2016</v>
      </c>
      <c r="B1688" t="str">
        <f>"32.628"</f>
        <v>32.628</v>
      </c>
      <c r="C1688" t="str">
        <f>"32.6278"</f>
        <v>32.6278</v>
      </c>
    </row>
    <row r="1689" spans="1:3" x14ac:dyDescent="0.25">
      <c r="A1689" t="str">
        <f>"01/06/2016"</f>
        <v>01/06/2016</v>
      </c>
      <c r="B1689" t="str">
        <f>"32.621"</f>
        <v>32.621</v>
      </c>
      <c r="C1689" t="str">
        <f>"32.6208"</f>
        <v>32.6208</v>
      </c>
    </row>
    <row r="1690" spans="1:3" x14ac:dyDescent="0.25">
      <c r="A1690" t="str">
        <f>"02/06/2016"</f>
        <v>02/06/2016</v>
      </c>
      <c r="B1690" t="str">
        <f>"32.611"</f>
        <v>32.611</v>
      </c>
      <c r="C1690" t="str">
        <f>"32.6109"</f>
        <v>32.6109</v>
      </c>
    </row>
    <row r="1691" spans="1:3" x14ac:dyDescent="0.25">
      <c r="A1691" t="str">
        <f>"03/06/2016"</f>
        <v>03/06/2016</v>
      </c>
      <c r="B1691" t="str">
        <f>"32.608"</f>
        <v>32.608</v>
      </c>
      <c r="C1691" t="str">
        <f>"32.6079"</f>
        <v>32.6079</v>
      </c>
    </row>
    <row r="1692" spans="1:3" x14ac:dyDescent="0.25">
      <c r="A1692" t="str">
        <f>"06/06/2016"</f>
        <v>06/06/2016</v>
      </c>
      <c r="B1692" t="str">
        <f>"32.402"</f>
        <v>32.402</v>
      </c>
      <c r="C1692" t="str">
        <f>"32.4019"</f>
        <v>32.4019</v>
      </c>
    </row>
    <row r="1693" spans="1:3" x14ac:dyDescent="0.25">
      <c r="A1693" t="str">
        <f>"07/06/2016"</f>
        <v>07/06/2016</v>
      </c>
      <c r="B1693" t="str">
        <f>"32.338"</f>
        <v>32.338</v>
      </c>
      <c r="C1693" t="str">
        <f>"32.3379"</f>
        <v>32.3379</v>
      </c>
    </row>
    <row r="1694" spans="1:3" x14ac:dyDescent="0.25">
      <c r="A1694" t="str">
        <f>"08/06/2016"</f>
        <v>08/06/2016</v>
      </c>
      <c r="B1694" t="str">
        <f>"32.225"</f>
        <v>32.225</v>
      </c>
      <c r="C1694" t="str">
        <f>"32.2249"</f>
        <v>32.2249</v>
      </c>
    </row>
    <row r="1695" spans="1:3" x14ac:dyDescent="0.25">
      <c r="A1695" t="str">
        <f>"09/06/2016"</f>
        <v>09/06/2016</v>
      </c>
      <c r="B1695" t="str">
        <f>"32.225"</f>
        <v>32.225</v>
      </c>
      <c r="C1695" t="str">
        <f>"32.2248"</f>
        <v>32.2248</v>
      </c>
    </row>
    <row r="1696" spans="1:3" x14ac:dyDescent="0.25">
      <c r="A1696" t="str">
        <f>"10/06/2016"</f>
        <v>10/06/2016</v>
      </c>
      <c r="B1696" t="str">
        <f>"32.225"</f>
        <v>32.225</v>
      </c>
      <c r="C1696" t="str">
        <f>"32.2248"</f>
        <v>32.2248</v>
      </c>
    </row>
    <row r="1697" spans="1:3" x14ac:dyDescent="0.25">
      <c r="A1697" t="str">
        <f>"13/06/2016"</f>
        <v>13/06/2016</v>
      </c>
      <c r="B1697" t="str">
        <f>"32.435"</f>
        <v>32.435</v>
      </c>
      <c r="C1697" t="str">
        <f>"32.4349"</f>
        <v>32.4349</v>
      </c>
    </row>
    <row r="1698" spans="1:3" x14ac:dyDescent="0.25">
      <c r="A1698" t="str">
        <f>"14/06/2016"</f>
        <v>14/06/2016</v>
      </c>
      <c r="B1698" t="str">
        <f>"32.423"</f>
        <v>32.423</v>
      </c>
      <c r="C1698" t="str">
        <f>"32.4229"</f>
        <v>32.4229</v>
      </c>
    </row>
    <row r="1699" spans="1:3" x14ac:dyDescent="0.25">
      <c r="A1699" t="str">
        <f>"15/06/2016"</f>
        <v>15/06/2016</v>
      </c>
      <c r="B1699" t="str">
        <f>"32.465"</f>
        <v>32.465</v>
      </c>
      <c r="C1699" t="str">
        <f>"32.4649"</f>
        <v>32.4649</v>
      </c>
    </row>
    <row r="1700" spans="1:3" x14ac:dyDescent="0.25">
      <c r="A1700" t="str">
        <f>"16/06/2016"</f>
        <v>16/06/2016</v>
      </c>
      <c r="B1700" t="str">
        <f>"32.392"</f>
        <v>32.392</v>
      </c>
      <c r="C1700" t="str">
        <f>"32.3919"</f>
        <v>32.3919</v>
      </c>
    </row>
    <row r="1701" spans="1:3" x14ac:dyDescent="0.25">
      <c r="A1701" t="str">
        <f>"17/06/2016"</f>
        <v>17/06/2016</v>
      </c>
      <c r="B1701" t="str">
        <f>"32.384"</f>
        <v>32.384</v>
      </c>
      <c r="C1701" t="str">
        <f>"32.3839"</f>
        <v>32.3839</v>
      </c>
    </row>
    <row r="1702" spans="1:3" x14ac:dyDescent="0.25">
      <c r="A1702" t="str">
        <f>"20/06/2016"</f>
        <v>20/06/2016</v>
      </c>
      <c r="B1702" t="str">
        <f>"32.258"</f>
        <v>32.258</v>
      </c>
      <c r="C1702" t="str">
        <f>"32.2579"</f>
        <v>32.2579</v>
      </c>
    </row>
    <row r="1703" spans="1:3" x14ac:dyDescent="0.25">
      <c r="A1703" t="str">
        <f>"21/06/2016"</f>
        <v>21/06/2016</v>
      </c>
      <c r="B1703" t="str">
        <f>"32.258"</f>
        <v>32.258</v>
      </c>
      <c r="C1703" t="str">
        <f>"32.2579"</f>
        <v>32.2579</v>
      </c>
    </row>
    <row r="1704" spans="1:3" x14ac:dyDescent="0.25">
      <c r="A1704" t="str">
        <f>"22/06/2016"</f>
        <v>22/06/2016</v>
      </c>
      <c r="B1704" t="str">
        <f>"32.224"</f>
        <v>32.224</v>
      </c>
      <c r="C1704" t="str">
        <f>"32.2239"</f>
        <v>32.2239</v>
      </c>
    </row>
    <row r="1705" spans="1:3" x14ac:dyDescent="0.25">
      <c r="A1705" t="str">
        <f>"23/06/2016"</f>
        <v>23/06/2016</v>
      </c>
      <c r="B1705" t="str">
        <f>"32.19"</f>
        <v>32.19</v>
      </c>
      <c r="C1705" t="str">
        <f>"32.1899"</f>
        <v>32.1899</v>
      </c>
    </row>
    <row r="1706" spans="1:3" x14ac:dyDescent="0.25">
      <c r="A1706" t="str">
        <f>"24/06/2016"</f>
        <v>24/06/2016</v>
      </c>
      <c r="B1706" t="str">
        <f>"32.502"</f>
        <v>32.502</v>
      </c>
      <c r="C1706" t="str">
        <f>"32.5018"</f>
        <v>32.5018</v>
      </c>
    </row>
    <row r="1707" spans="1:3" x14ac:dyDescent="0.25">
      <c r="A1707" t="str">
        <f>"27/06/2016"</f>
        <v>27/06/2016</v>
      </c>
      <c r="B1707" t="str">
        <f>"32.53"</f>
        <v>32.53</v>
      </c>
      <c r="C1707" t="str">
        <f>"32.5298"</f>
        <v>32.5298</v>
      </c>
    </row>
    <row r="1708" spans="1:3" x14ac:dyDescent="0.25">
      <c r="A1708" t="str">
        <f>"28/06/2016"</f>
        <v>28/06/2016</v>
      </c>
      <c r="B1708" t="str">
        <f>"32.432"</f>
        <v>32.432</v>
      </c>
      <c r="C1708" t="str">
        <f>"32.4318"</f>
        <v>32.4318</v>
      </c>
    </row>
    <row r="1709" spans="1:3" x14ac:dyDescent="0.25">
      <c r="A1709" t="str">
        <f>"29/06/2016"</f>
        <v>29/06/2016</v>
      </c>
      <c r="B1709" t="str">
        <f>"32.342"</f>
        <v>32.342</v>
      </c>
      <c r="C1709" t="str">
        <f>"32.3418"</f>
        <v>32.3418</v>
      </c>
    </row>
    <row r="1710" spans="1:3" x14ac:dyDescent="0.25">
      <c r="A1710" t="str">
        <f>"30/06/2016"</f>
        <v>30/06/2016</v>
      </c>
      <c r="B1710" t="str">
        <f>"32.287"</f>
        <v>32.287</v>
      </c>
      <c r="C1710" t="str">
        <f>"32.2868"</f>
        <v>32.2868</v>
      </c>
    </row>
    <row r="1711" spans="1:3" x14ac:dyDescent="0.25">
      <c r="A1711" t="str">
        <f>"01/07/2016"</f>
        <v>01/07/2016</v>
      </c>
      <c r="B1711" t="str">
        <f>"32.218"</f>
        <v>32.218</v>
      </c>
      <c r="C1711" t="str">
        <f>"32.2178"</f>
        <v>32.2178</v>
      </c>
    </row>
    <row r="1712" spans="1:3" x14ac:dyDescent="0.25">
      <c r="A1712" t="str">
        <f>"04/07/2016"</f>
        <v>04/07/2016</v>
      </c>
      <c r="B1712" t="str">
        <f>"32.19"</f>
        <v>32.19</v>
      </c>
      <c r="C1712" t="str">
        <f>"32.1898"</f>
        <v>32.1898</v>
      </c>
    </row>
    <row r="1713" spans="1:3" x14ac:dyDescent="0.25">
      <c r="A1713" t="str">
        <f>"05/07/2016"</f>
        <v>05/07/2016</v>
      </c>
      <c r="B1713" t="str">
        <f>"32.278"</f>
        <v>32.278</v>
      </c>
      <c r="C1713" t="str">
        <f>"32.2778"</f>
        <v>32.2778</v>
      </c>
    </row>
    <row r="1714" spans="1:3" x14ac:dyDescent="0.25">
      <c r="A1714" t="str">
        <f>"07/07/2016"</f>
        <v>07/07/2016</v>
      </c>
      <c r="B1714" t="str">
        <f>"32.292"</f>
        <v>32.292</v>
      </c>
      <c r="C1714" t="str">
        <f>"32.2918"</f>
        <v>32.2918</v>
      </c>
    </row>
    <row r="1715" spans="1:3" x14ac:dyDescent="0.25">
      <c r="A1715" t="str">
        <f>"08/07/2016"</f>
        <v>08/07/2016</v>
      </c>
      <c r="B1715" t="str">
        <f>"32.305"</f>
        <v>32.305</v>
      </c>
      <c r="C1715" t="str">
        <f>"32.3048"</f>
        <v>32.3048</v>
      </c>
    </row>
    <row r="1716" spans="1:3" x14ac:dyDescent="0.25">
      <c r="A1716" t="str">
        <f>"11/07/2016"</f>
        <v>11/07/2016</v>
      </c>
      <c r="B1716" t="str">
        <f>"32.201"</f>
        <v>32.201</v>
      </c>
      <c r="C1716" t="str">
        <f>"32.2008"</f>
        <v>32.2008</v>
      </c>
    </row>
    <row r="1717" spans="1:3" x14ac:dyDescent="0.25">
      <c r="A1717" t="str">
        <f>"12/07/2016"</f>
        <v>12/07/2016</v>
      </c>
      <c r="B1717" t="str">
        <f>"32.221"</f>
        <v>32.221</v>
      </c>
      <c r="C1717" t="str">
        <f>"32.2208"</f>
        <v>32.2208</v>
      </c>
    </row>
    <row r="1718" spans="1:3" x14ac:dyDescent="0.25">
      <c r="A1718" t="str">
        <f>"13/07/2016"</f>
        <v>13/07/2016</v>
      </c>
      <c r="B1718" t="str">
        <f>"32.185"</f>
        <v>32.185</v>
      </c>
      <c r="C1718" t="str">
        <f>"32.1848"</f>
        <v>32.1848</v>
      </c>
    </row>
    <row r="1719" spans="1:3" x14ac:dyDescent="0.25">
      <c r="A1719" t="str">
        <f>"14/07/2016"</f>
        <v>14/07/2016</v>
      </c>
      <c r="B1719" t="str">
        <f>"32.074"</f>
        <v>32.074</v>
      </c>
      <c r="C1719" t="str">
        <f>"32.0739"</f>
        <v>32.0739</v>
      </c>
    </row>
    <row r="1720" spans="1:3" x14ac:dyDescent="0.25">
      <c r="A1720" t="str">
        <f>"15/07/2016"</f>
        <v>15/07/2016</v>
      </c>
      <c r="B1720" t="str">
        <f>"31.99"</f>
        <v>31.99</v>
      </c>
      <c r="C1720" t="str">
        <f>"31.9899"</f>
        <v>31.9899</v>
      </c>
    </row>
    <row r="1721" spans="1:3" x14ac:dyDescent="0.25">
      <c r="A1721" t="str">
        <f>"18/07/2016"</f>
        <v>18/07/2016</v>
      </c>
      <c r="B1721" t="str">
        <f>"32.024"</f>
        <v>32.024</v>
      </c>
      <c r="C1721" t="str">
        <f>"32.0238"</f>
        <v>32.0238</v>
      </c>
    </row>
    <row r="1722" spans="1:3" x14ac:dyDescent="0.25">
      <c r="A1722" t="str">
        <f>"19/07/2016"</f>
        <v>19/07/2016</v>
      </c>
      <c r="B1722" t="str">
        <f>"32.004"</f>
        <v>32.004</v>
      </c>
      <c r="C1722" t="str">
        <f>"32.0038"</f>
        <v>32.0038</v>
      </c>
    </row>
    <row r="1723" spans="1:3" x14ac:dyDescent="0.25">
      <c r="A1723" t="str">
        <f>"20/07/2016"</f>
        <v>20/07/2016</v>
      </c>
      <c r="B1723" t="str">
        <f>"32.051"</f>
        <v>32.051</v>
      </c>
      <c r="C1723" t="str">
        <f>"32.0509"</f>
        <v>32.0509</v>
      </c>
    </row>
    <row r="1724" spans="1:3" x14ac:dyDescent="0.25">
      <c r="A1724" t="str">
        <f>"21/07/2016"</f>
        <v>21/07/2016</v>
      </c>
      <c r="B1724" t="str">
        <f>"32.06"</f>
        <v>32.06</v>
      </c>
      <c r="C1724" t="str">
        <f>"32.0599"</f>
        <v>32.0599</v>
      </c>
    </row>
    <row r="1725" spans="1:3" x14ac:dyDescent="0.25">
      <c r="A1725" t="str">
        <f>"22/07/2016"</f>
        <v>22/07/2016</v>
      </c>
      <c r="B1725" t="str">
        <f>"32.069"</f>
        <v>32.069</v>
      </c>
      <c r="C1725" t="str">
        <f>"32.0689"</f>
        <v>32.0689</v>
      </c>
    </row>
    <row r="1726" spans="1:3" x14ac:dyDescent="0.25">
      <c r="A1726" t="str">
        <f>"25/07/2016"</f>
        <v>25/07/2016</v>
      </c>
      <c r="B1726" t="str">
        <f>"32.14"</f>
        <v>32.14</v>
      </c>
      <c r="C1726" t="str">
        <f>"32.1399"</f>
        <v>32.1399</v>
      </c>
    </row>
    <row r="1727" spans="1:3" x14ac:dyDescent="0.25">
      <c r="A1727" t="str">
        <f>"26/07/2016"</f>
        <v>26/07/2016</v>
      </c>
      <c r="B1727" t="str">
        <f>"32.107"</f>
        <v>32.107</v>
      </c>
      <c r="C1727" t="str">
        <f>"32.1069"</f>
        <v>32.1069</v>
      </c>
    </row>
    <row r="1728" spans="1:3" x14ac:dyDescent="0.25">
      <c r="A1728" t="str">
        <f>"27/07/2016"</f>
        <v>27/07/2016</v>
      </c>
      <c r="B1728" t="str">
        <f>"32.068"</f>
        <v>32.068</v>
      </c>
      <c r="C1728" t="str">
        <f>"32.0679"</f>
        <v>32.0679</v>
      </c>
    </row>
    <row r="1729" spans="1:3" x14ac:dyDescent="0.25">
      <c r="A1729" t="str">
        <f>"28/07/2016"</f>
        <v>28/07/2016</v>
      </c>
      <c r="B1729" t="str">
        <f>"31.961"</f>
        <v>31.961</v>
      </c>
      <c r="C1729" t="str">
        <f>"31.9609"</f>
        <v>31.9609</v>
      </c>
    </row>
    <row r="1730" spans="1:3" x14ac:dyDescent="0.25">
      <c r="A1730" t="str">
        <f>"29/07/2016"</f>
        <v>29/07/2016</v>
      </c>
      <c r="B1730" t="str">
        <f>"31.927"</f>
        <v>31.927</v>
      </c>
      <c r="C1730" t="str">
        <f>"31.9269"</f>
        <v>31.9269</v>
      </c>
    </row>
    <row r="1731" spans="1:3" x14ac:dyDescent="0.25">
      <c r="A1731" t="str">
        <f>"01/08/2016"</f>
        <v>01/08/2016</v>
      </c>
      <c r="B1731" t="str">
        <f>"31.64"</f>
        <v>31.64</v>
      </c>
      <c r="C1731" t="str">
        <f>"31.6399"</f>
        <v>31.6399</v>
      </c>
    </row>
    <row r="1732" spans="1:3" x14ac:dyDescent="0.25">
      <c r="A1732" t="str">
        <f>"02/08/2016"</f>
        <v>02/08/2016</v>
      </c>
      <c r="B1732" t="str">
        <f>"31.681"</f>
        <v>31.681</v>
      </c>
      <c r="C1732" t="str">
        <f>"31.6809"</f>
        <v>31.6809</v>
      </c>
    </row>
    <row r="1733" spans="1:3" x14ac:dyDescent="0.25">
      <c r="A1733" t="str">
        <f>"03/08/2016"</f>
        <v>03/08/2016</v>
      </c>
      <c r="B1733" t="str">
        <f>"31.75"</f>
        <v>31.75</v>
      </c>
      <c r="C1733" t="str">
        <f>"31.7499"</f>
        <v>31.7499</v>
      </c>
    </row>
    <row r="1734" spans="1:3" x14ac:dyDescent="0.25">
      <c r="A1734" t="str">
        <f>"04/08/2016"</f>
        <v>04/08/2016</v>
      </c>
      <c r="B1734" t="str">
        <f>"31.71"</f>
        <v>31.71</v>
      </c>
      <c r="C1734" t="str">
        <f>"31.7099"</f>
        <v>31.7099</v>
      </c>
    </row>
    <row r="1735" spans="1:3" x14ac:dyDescent="0.25">
      <c r="A1735" t="str">
        <f>"05/08/2016"</f>
        <v>05/08/2016</v>
      </c>
      <c r="B1735" t="str">
        <f>"31.575"</f>
        <v>31.575</v>
      </c>
      <c r="C1735" t="str">
        <f>"31.5749"</f>
        <v>31.5749</v>
      </c>
    </row>
    <row r="1736" spans="1:3" x14ac:dyDescent="0.25">
      <c r="A1736" t="str">
        <f>"08/08/2016"</f>
        <v>08/08/2016</v>
      </c>
      <c r="B1736" t="str">
        <f>"31.51"</f>
        <v>31.51</v>
      </c>
      <c r="C1736" t="str">
        <f>"31.5099"</f>
        <v>31.5099</v>
      </c>
    </row>
    <row r="1737" spans="1:3" x14ac:dyDescent="0.25">
      <c r="A1737" t="str">
        <f>"09/08/2016"</f>
        <v>09/08/2016</v>
      </c>
      <c r="B1737" t="str">
        <f>"31.453"</f>
        <v>31.453</v>
      </c>
      <c r="C1737" t="str">
        <f>"31.4529"</f>
        <v>31.4529</v>
      </c>
    </row>
    <row r="1738" spans="1:3" x14ac:dyDescent="0.25">
      <c r="A1738" t="str">
        <f>"10/08/2016"</f>
        <v>10/08/2016</v>
      </c>
      <c r="B1738" t="str">
        <f>"31.225"</f>
        <v>31.225</v>
      </c>
      <c r="C1738" t="str">
        <f>"31.2249"</f>
        <v>31.2249</v>
      </c>
    </row>
    <row r="1739" spans="1:3" x14ac:dyDescent="0.25">
      <c r="A1739" t="str">
        <f>"11/08/2016"</f>
        <v>11/08/2016</v>
      </c>
      <c r="B1739" t="str">
        <f>"31.325"</f>
        <v>31.325</v>
      </c>
      <c r="C1739" t="str">
        <f>"31.3249"</f>
        <v>31.3249</v>
      </c>
    </row>
    <row r="1740" spans="1:3" x14ac:dyDescent="0.25">
      <c r="A1740" t="str">
        <f>"12/08/2016"</f>
        <v>12/08/2016</v>
      </c>
      <c r="B1740" t="str">
        <f>"31.343"</f>
        <v>31.343</v>
      </c>
      <c r="C1740" t="str">
        <f>"31.3429"</f>
        <v>31.3429</v>
      </c>
    </row>
    <row r="1741" spans="1:3" x14ac:dyDescent="0.25">
      <c r="A1741" t="str">
        <f>"16/08/2016"</f>
        <v>16/08/2016</v>
      </c>
      <c r="B1741" t="str">
        <f>"31.28"</f>
        <v>31.28</v>
      </c>
      <c r="C1741" t="str">
        <f>"31.2799"</f>
        <v>31.2799</v>
      </c>
    </row>
    <row r="1742" spans="1:3" x14ac:dyDescent="0.25">
      <c r="A1742" t="str">
        <f>"18/08/2016"</f>
        <v>18/08/2016</v>
      </c>
      <c r="B1742" t="str">
        <f>"31.401"</f>
        <v>31.401</v>
      </c>
      <c r="C1742" t="str">
        <f>"31.4009"</f>
        <v>31.4009</v>
      </c>
    </row>
    <row r="1743" spans="1:3" x14ac:dyDescent="0.25">
      <c r="A1743" t="str">
        <f>"19/08/2016"</f>
        <v>19/08/2016</v>
      </c>
      <c r="B1743" t="str">
        <f>"31.617"</f>
        <v>31.617</v>
      </c>
      <c r="C1743" t="str">
        <f>"31.6169"</f>
        <v>31.6169</v>
      </c>
    </row>
    <row r="1744" spans="1:3" x14ac:dyDescent="0.25">
      <c r="A1744" t="str">
        <f>"22/08/2016"</f>
        <v>22/08/2016</v>
      </c>
      <c r="B1744" t="str">
        <f>"31.84"</f>
        <v>31.84</v>
      </c>
      <c r="C1744" t="str">
        <f>"31.8398"</f>
        <v>31.8398</v>
      </c>
    </row>
    <row r="1745" spans="1:3" x14ac:dyDescent="0.25">
      <c r="A1745" t="str">
        <f>"23/08/2016"</f>
        <v>23/08/2016</v>
      </c>
      <c r="B1745" t="str">
        <f>"31.732"</f>
        <v>31.732</v>
      </c>
      <c r="C1745" t="str">
        <f>"31.7318"</f>
        <v>31.7318</v>
      </c>
    </row>
    <row r="1746" spans="1:3" x14ac:dyDescent="0.25">
      <c r="A1746" t="str">
        <f>"24/08/2016"</f>
        <v>24/08/2016</v>
      </c>
      <c r="B1746" t="str">
        <f>"31.768"</f>
        <v>31.768</v>
      </c>
      <c r="C1746" t="str">
        <f>"31.7678"</f>
        <v>31.7678</v>
      </c>
    </row>
    <row r="1747" spans="1:3" x14ac:dyDescent="0.25">
      <c r="A1747" t="str">
        <f>"25/08/2016"</f>
        <v>25/08/2016</v>
      </c>
      <c r="B1747" t="str">
        <f>"31.67"</f>
        <v>31.67</v>
      </c>
      <c r="C1747" t="str">
        <f>"31.6698"</f>
        <v>31.6698</v>
      </c>
    </row>
    <row r="1748" spans="1:3" x14ac:dyDescent="0.25">
      <c r="A1748" t="str">
        <f>"26/08/2016"</f>
        <v>26/08/2016</v>
      </c>
      <c r="B1748" t="str">
        <f>"31.671"</f>
        <v>31.671</v>
      </c>
      <c r="C1748" t="str">
        <f>"31.6708"</f>
        <v>31.6708</v>
      </c>
    </row>
    <row r="1749" spans="1:3" x14ac:dyDescent="0.25">
      <c r="A1749" t="str">
        <f>"29/08/2016"</f>
        <v>29/08/2016</v>
      </c>
      <c r="B1749" t="str">
        <f>"31.801"</f>
        <v>31.801</v>
      </c>
      <c r="C1749" t="str">
        <f>"31.8008"</f>
        <v>31.8008</v>
      </c>
    </row>
    <row r="1750" spans="1:3" x14ac:dyDescent="0.25">
      <c r="A1750" t="str">
        <f>"30/08/2016"</f>
        <v>30/08/2016</v>
      </c>
      <c r="B1750" t="str">
        <f>"31.72"</f>
        <v>31.72</v>
      </c>
      <c r="C1750" t="str">
        <f>"31.7198"</f>
        <v>31.7198</v>
      </c>
    </row>
    <row r="1751" spans="1:3" x14ac:dyDescent="0.25">
      <c r="A1751" t="str">
        <f>"31/08/2016"</f>
        <v>31/08/2016</v>
      </c>
      <c r="B1751" t="str">
        <f>"31.728"</f>
        <v>31.728</v>
      </c>
      <c r="C1751" t="str">
        <f>"31.7278"</f>
        <v>31.7278</v>
      </c>
    </row>
    <row r="1752" spans="1:3" x14ac:dyDescent="0.25">
      <c r="A1752" t="str">
        <f>"01/09/2016"</f>
        <v>01/09/2016</v>
      </c>
      <c r="B1752" t="str">
        <f>"31.736"</f>
        <v>31.736</v>
      </c>
      <c r="C1752" t="str">
        <f>"31.7358"</f>
        <v>31.7358</v>
      </c>
    </row>
    <row r="1753" spans="1:3" x14ac:dyDescent="0.25">
      <c r="A1753" t="str">
        <f>"02/09/2016"</f>
        <v>02/09/2016</v>
      </c>
      <c r="B1753" t="str">
        <f>"31.703"</f>
        <v>31.703</v>
      </c>
      <c r="C1753" t="str">
        <f>"31.7028"</f>
        <v>31.7028</v>
      </c>
    </row>
    <row r="1754" spans="1:3" x14ac:dyDescent="0.25">
      <c r="A1754" t="str">
        <f>"06/09/2016"</f>
        <v>06/09/2016</v>
      </c>
      <c r="B1754" t="str">
        <f>"31.42"</f>
        <v>31.42</v>
      </c>
      <c r="C1754" t="str">
        <f>"31.4198"</f>
        <v>31.4198</v>
      </c>
    </row>
    <row r="1755" spans="1:3" x14ac:dyDescent="0.25">
      <c r="A1755" t="str">
        <f>"07/09/2016"</f>
        <v>07/09/2016</v>
      </c>
      <c r="B1755" t="str">
        <f>"31.238"</f>
        <v>31.238</v>
      </c>
      <c r="C1755" t="str">
        <f>"31.2378"</f>
        <v>31.2378</v>
      </c>
    </row>
    <row r="1756" spans="1:3" x14ac:dyDescent="0.25">
      <c r="A1756" t="str">
        <f>"08/09/2016"</f>
        <v>08/09/2016</v>
      </c>
      <c r="B1756" t="str">
        <f>"31.325"</f>
        <v>31.325</v>
      </c>
      <c r="C1756" t="str">
        <f>"31.3248"</f>
        <v>31.3248</v>
      </c>
    </row>
    <row r="1757" spans="1:3" x14ac:dyDescent="0.25">
      <c r="A1757" t="str">
        <f>"09/09/2016"</f>
        <v>09/09/2016</v>
      </c>
      <c r="B1757" t="str">
        <f>"31.429"</f>
        <v>31.429</v>
      </c>
      <c r="C1757" t="str">
        <f>"31.4288"</f>
        <v>31.4288</v>
      </c>
    </row>
    <row r="1758" spans="1:3" x14ac:dyDescent="0.25">
      <c r="A1758" t="str">
        <f>"12/09/2016"</f>
        <v>12/09/2016</v>
      </c>
      <c r="B1758" t="str">
        <f>"31.765"</f>
        <v>31.765</v>
      </c>
      <c r="C1758" t="str">
        <f>"31.7648"</f>
        <v>31.7648</v>
      </c>
    </row>
    <row r="1759" spans="1:3" x14ac:dyDescent="0.25">
      <c r="A1759" t="str">
        <f>"14/09/2016"</f>
        <v>14/09/2016</v>
      </c>
      <c r="B1759" t="str">
        <f>"31.75"</f>
        <v>31.75</v>
      </c>
      <c r="C1759" t="str">
        <f>"31.7498"</f>
        <v>31.7498</v>
      </c>
    </row>
    <row r="1760" spans="1:3" x14ac:dyDescent="0.25">
      <c r="A1760" t="str">
        <f>"15/09/2016"</f>
        <v>15/09/2016</v>
      </c>
      <c r="B1760" t="str">
        <f>"31.687"</f>
        <v>31.687</v>
      </c>
      <c r="C1760" t="str">
        <f>"31.6868"</f>
        <v>31.6868</v>
      </c>
    </row>
    <row r="1761" spans="1:3" x14ac:dyDescent="0.25">
      <c r="A1761" t="str">
        <f>"16/09/2016"</f>
        <v>16/09/2016</v>
      </c>
      <c r="B1761" t="str">
        <f>"31.687"</f>
        <v>31.687</v>
      </c>
      <c r="C1761" t="str">
        <f>"31.6868"</f>
        <v>31.6868</v>
      </c>
    </row>
    <row r="1762" spans="1:3" x14ac:dyDescent="0.25">
      <c r="A1762" t="str">
        <f>"19/09/2016"</f>
        <v>19/09/2016</v>
      </c>
      <c r="B1762" t="str">
        <f>"31.448"</f>
        <v>31.448</v>
      </c>
      <c r="C1762" t="str">
        <f>"31.4478"</f>
        <v>31.4478</v>
      </c>
    </row>
    <row r="1763" spans="1:3" x14ac:dyDescent="0.25">
      <c r="A1763" t="str">
        <f>"20/09/2016"</f>
        <v>20/09/2016</v>
      </c>
      <c r="B1763" t="str">
        <f>"31.367"</f>
        <v>31.367</v>
      </c>
      <c r="C1763" t="str">
        <f>"31.3668"</f>
        <v>31.3668</v>
      </c>
    </row>
    <row r="1764" spans="1:3" x14ac:dyDescent="0.25">
      <c r="A1764" t="str">
        <f>"21/09/2016"</f>
        <v>21/09/2016</v>
      </c>
      <c r="B1764" t="str">
        <f>"31.43"</f>
        <v>31.43</v>
      </c>
      <c r="C1764" t="str">
        <f>"31.4298"</f>
        <v>31.4298</v>
      </c>
    </row>
    <row r="1765" spans="1:3" x14ac:dyDescent="0.25">
      <c r="A1765" t="str">
        <f>"22/09/2016"</f>
        <v>22/09/2016</v>
      </c>
      <c r="B1765" t="str">
        <f>"31.402"</f>
        <v>31.402</v>
      </c>
      <c r="C1765" t="str">
        <f>"31.4018"</f>
        <v>31.4018</v>
      </c>
    </row>
    <row r="1766" spans="1:3" x14ac:dyDescent="0.25">
      <c r="A1766" t="str">
        <f>"23/09/2016"</f>
        <v>23/09/2016</v>
      </c>
      <c r="B1766" t="str">
        <f>"31.373"</f>
        <v>31.373</v>
      </c>
      <c r="C1766" t="str">
        <f>"31.3728"</f>
        <v>31.3728</v>
      </c>
    </row>
    <row r="1767" spans="1:3" x14ac:dyDescent="0.25">
      <c r="A1767" t="str">
        <f>"26/09/2016"</f>
        <v>26/09/2016</v>
      </c>
      <c r="B1767" t="str">
        <f>"31.432"</f>
        <v>31.432</v>
      </c>
      <c r="C1767" t="str">
        <f>"31.4318"</f>
        <v>31.4318</v>
      </c>
    </row>
    <row r="1768" spans="1:3" x14ac:dyDescent="0.25">
      <c r="A1768" t="str">
        <f>"27/09/2016"</f>
        <v>27/09/2016</v>
      </c>
      <c r="B1768" t="str">
        <f>"31.515"</f>
        <v>31.515</v>
      </c>
      <c r="C1768" t="str">
        <f>"31.5148"</f>
        <v>31.5148</v>
      </c>
    </row>
    <row r="1769" spans="1:3" x14ac:dyDescent="0.25">
      <c r="A1769" t="str">
        <f>"28/09/2016"</f>
        <v>28/09/2016</v>
      </c>
      <c r="B1769" t="str">
        <f>"31.515"</f>
        <v>31.515</v>
      </c>
      <c r="C1769" t="str">
        <f>"31.5148"</f>
        <v>31.5148</v>
      </c>
    </row>
    <row r="1770" spans="1:3" x14ac:dyDescent="0.25">
      <c r="A1770" t="str">
        <f>"29/09/2016"</f>
        <v>29/09/2016</v>
      </c>
      <c r="B1770" t="str">
        <f>"31.365"</f>
        <v>31.365</v>
      </c>
      <c r="C1770" t="str">
        <f>"31.3648"</f>
        <v>31.3648</v>
      </c>
    </row>
    <row r="1771" spans="1:3" x14ac:dyDescent="0.25">
      <c r="A1771" t="str">
        <f>"30/09/2016"</f>
        <v>30/09/2016</v>
      </c>
      <c r="B1771" t="str">
        <f>"31.365"</f>
        <v>31.365</v>
      </c>
      <c r="C1771" t="str">
        <f>"31.3648"</f>
        <v>31.3648</v>
      </c>
    </row>
    <row r="1772" spans="1:3" x14ac:dyDescent="0.25">
      <c r="A1772" t="str">
        <f>"03/10/2016"</f>
        <v>03/10/2016</v>
      </c>
      <c r="B1772" t="str">
        <f>"31.33"</f>
        <v>31.33</v>
      </c>
      <c r="C1772" t="str">
        <f>"31.3298"</f>
        <v>31.3298</v>
      </c>
    </row>
    <row r="1773" spans="1:3" x14ac:dyDescent="0.25">
      <c r="A1773" t="str">
        <f>"04/10/2016"</f>
        <v>04/10/2016</v>
      </c>
      <c r="B1773" t="str">
        <f>"31.347"</f>
        <v>31.347</v>
      </c>
      <c r="C1773" t="str">
        <f>"31.3468"</f>
        <v>31.3468</v>
      </c>
    </row>
    <row r="1774" spans="1:3" x14ac:dyDescent="0.25">
      <c r="A1774" t="str">
        <f>"05/10/2016"</f>
        <v>05/10/2016</v>
      </c>
      <c r="B1774" t="str">
        <f>"31.372"</f>
        <v>31.372</v>
      </c>
      <c r="C1774" t="str">
        <f>"31.3719"</f>
        <v>31.3719</v>
      </c>
    </row>
    <row r="1775" spans="1:3" x14ac:dyDescent="0.25">
      <c r="A1775" t="str">
        <f>"06/10/2016"</f>
        <v>06/10/2016</v>
      </c>
      <c r="B1775" t="str">
        <f>"31.405"</f>
        <v>31.405</v>
      </c>
      <c r="C1775" t="str">
        <f>"31.4048"</f>
        <v>31.4048</v>
      </c>
    </row>
    <row r="1776" spans="1:3" x14ac:dyDescent="0.25">
      <c r="A1776" t="str">
        <f>"07/10/2016"</f>
        <v>07/10/2016</v>
      </c>
      <c r="B1776" t="str">
        <f>"31.479"</f>
        <v>31.479</v>
      </c>
      <c r="C1776" t="str">
        <f>"31.4789"</f>
        <v>31.4789</v>
      </c>
    </row>
    <row r="1777" spans="1:3" x14ac:dyDescent="0.25">
      <c r="A1777" t="str">
        <f>"10/10/2016"</f>
        <v>10/10/2016</v>
      </c>
      <c r="B1777" t="str">
        <f>"31.479"</f>
        <v>31.479</v>
      </c>
      <c r="C1777" t="str">
        <f>"31.4789"</f>
        <v>31.4789</v>
      </c>
    </row>
    <row r="1778" spans="1:3" x14ac:dyDescent="0.25">
      <c r="A1778" t="str">
        <f>"13/10/2016"</f>
        <v>13/10/2016</v>
      </c>
      <c r="B1778" t="str">
        <f>"31.761"</f>
        <v>31.761</v>
      </c>
      <c r="C1778" t="str">
        <f>"31.7609"</f>
        <v>31.7609</v>
      </c>
    </row>
    <row r="1779" spans="1:3" x14ac:dyDescent="0.25">
      <c r="A1779" t="str">
        <f>"14/10/2016"</f>
        <v>14/10/2016</v>
      </c>
      <c r="B1779" t="str">
        <f>"31.674"</f>
        <v>31.674</v>
      </c>
      <c r="C1779" t="str">
        <f>"31.6739"</f>
        <v>31.6739</v>
      </c>
    </row>
    <row r="1780" spans="1:3" x14ac:dyDescent="0.25">
      <c r="A1780" t="str">
        <f>"17/10/2016"</f>
        <v>17/10/2016</v>
      </c>
      <c r="B1780" t="str">
        <f>"31.785"</f>
        <v>31.785</v>
      </c>
      <c r="C1780" t="str">
        <f>"31.7849"</f>
        <v>31.7849</v>
      </c>
    </row>
    <row r="1781" spans="1:3" x14ac:dyDescent="0.25">
      <c r="A1781" t="str">
        <f>"18/10/2016"</f>
        <v>18/10/2016</v>
      </c>
      <c r="B1781" t="str">
        <f>"31.764"</f>
        <v>31.764</v>
      </c>
      <c r="C1781" t="str">
        <f>"31.7639"</f>
        <v>31.7639</v>
      </c>
    </row>
    <row r="1782" spans="1:3" x14ac:dyDescent="0.25">
      <c r="A1782" t="str">
        <f>"19/10/2016"</f>
        <v>19/10/2016</v>
      </c>
      <c r="B1782" t="str">
        <f>"31.519"</f>
        <v>31.519</v>
      </c>
      <c r="C1782" t="str">
        <f>"31.5189"</f>
        <v>31.5189</v>
      </c>
    </row>
    <row r="1783" spans="1:3" x14ac:dyDescent="0.25">
      <c r="A1783" t="str">
        <f>"20/10/2016"</f>
        <v>20/10/2016</v>
      </c>
      <c r="B1783" t="str">
        <f>"31.53"</f>
        <v>31.53</v>
      </c>
      <c r="C1783" t="str">
        <f>"31.5299"</f>
        <v>31.5299</v>
      </c>
    </row>
    <row r="1784" spans="1:3" x14ac:dyDescent="0.25">
      <c r="A1784" t="str">
        <f>"21/10/2016"</f>
        <v>21/10/2016</v>
      </c>
      <c r="B1784" t="str">
        <f>"31.629"</f>
        <v>31.629</v>
      </c>
      <c r="C1784" t="str">
        <f>"31.6289"</f>
        <v>31.6289</v>
      </c>
    </row>
    <row r="1785" spans="1:3" x14ac:dyDescent="0.25">
      <c r="A1785" t="str">
        <f>"24/10/2016"</f>
        <v>24/10/2016</v>
      </c>
      <c r="B1785" t="str">
        <f>"31.683"</f>
        <v>31.683</v>
      </c>
      <c r="C1785" t="str">
        <f>"31.6829"</f>
        <v>31.6829</v>
      </c>
    </row>
    <row r="1786" spans="1:3" x14ac:dyDescent="0.25">
      <c r="A1786" t="str">
        <f>"25/10/2016"</f>
        <v>25/10/2016</v>
      </c>
      <c r="B1786" t="str">
        <f>"31.616"</f>
        <v>31.616</v>
      </c>
      <c r="C1786" t="str">
        <f>"31.6159"</f>
        <v>31.6159</v>
      </c>
    </row>
    <row r="1787" spans="1:3" x14ac:dyDescent="0.25">
      <c r="A1787" t="str">
        <f>"26/10/2016"</f>
        <v>26/10/2016</v>
      </c>
      <c r="B1787" t="str">
        <f>"31.558"</f>
        <v>31.558</v>
      </c>
      <c r="C1787" t="str">
        <f>"31.5579"</f>
        <v>31.5579</v>
      </c>
    </row>
    <row r="1788" spans="1:3" x14ac:dyDescent="0.25">
      <c r="A1788" t="str">
        <f>"27/10/2016"</f>
        <v>27/10/2016</v>
      </c>
      <c r="B1788" t="str">
        <f>"31.683"</f>
        <v>31.683</v>
      </c>
      <c r="C1788" t="str">
        <f>"31.6829"</f>
        <v>31.6829</v>
      </c>
    </row>
    <row r="1789" spans="1:3" x14ac:dyDescent="0.25">
      <c r="A1789" t="str">
        <f>"28/10/2016"</f>
        <v>28/10/2016</v>
      </c>
      <c r="B1789" t="str">
        <f>"31.638"</f>
        <v>31.638</v>
      </c>
      <c r="C1789" t="str">
        <f>"31.6379"</f>
        <v>31.6379</v>
      </c>
    </row>
    <row r="1790" spans="1:3" x14ac:dyDescent="0.25">
      <c r="A1790" t="str">
        <f>"01/11/2016"</f>
        <v>01/11/2016</v>
      </c>
      <c r="B1790" t="str">
        <f>"31.60"</f>
        <v>31.60</v>
      </c>
      <c r="C1790" t="str">
        <f>"31.5999"</f>
        <v>31.5999</v>
      </c>
    </row>
    <row r="1791" spans="1:3" x14ac:dyDescent="0.25">
      <c r="A1791" t="str">
        <f>"02/11/2016"</f>
        <v>02/11/2016</v>
      </c>
      <c r="B1791" t="str">
        <f>"31.589"</f>
        <v>31.589</v>
      </c>
      <c r="C1791" t="str">
        <f>"31.5889"</f>
        <v>31.5889</v>
      </c>
    </row>
    <row r="1792" spans="1:3" x14ac:dyDescent="0.25">
      <c r="A1792" t="str">
        <f>"03/11/2016"</f>
        <v>03/11/2016</v>
      </c>
      <c r="B1792" t="str">
        <f>"31.521"</f>
        <v>31.521</v>
      </c>
      <c r="C1792" t="str">
        <f>"31.5209"</f>
        <v>31.5209</v>
      </c>
    </row>
    <row r="1793" spans="1:3" x14ac:dyDescent="0.25">
      <c r="A1793" t="str">
        <f>"04/11/2016"</f>
        <v>04/11/2016</v>
      </c>
      <c r="B1793" t="str">
        <f>"31.473"</f>
        <v>31.473</v>
      </c>
      <c r="C1793" t="str">
        <f>"31.4729"</f>
        <v>31.4729</v>
      </c>
    </row>
    <row r="1794" spans="1:3" x14ac:dyDescent="0.25">
      <c r="A1794" t="str">
        <f>"07/11/2016"</f>
        <v>07/11/2016</v>
      </c>
      <c r="B1794" t="str">
        <f>"31.52"</f>
        <v>31.52</v>
      </c>
      <c r="C1794" t="str">
        <f>"31.5199"</f>
        <v>31.5199</v>
      </c>
    </row>
    <row r="1795" spans="1:3" x14ac:dyDescent="0.25">
      <c r="A1795" t="str">
        <f>"08/11/2016"</f>
        <v>08/11/2016</v>
      </c>
      <c r="B1795" t="str">
        <f>"31.54"</f>
        <v>31.54</v>
      </c>
      <c r="C1795" t="str">
        <f>"31.5399"</f>
        <v>31.5399</v>
      </c>
    </row>
    <row r="1796" spans="1:3" x14ac:dyDescent="0.25">
      <c r="A1796" t="str">
        <f>"09/11/2016"</f>
        <v>09/11/2016</v>
      </c>
      <c r="B1796" t="str">
        <f>"31.609"</f>
        <v>31.609</v>
      </c>
      <c r="C1796" t="str">
        <f>"31.6089"</f>
        <v>31.6089</v>
      </c>
    </row>
    <row r="1797" spans="1:3" x14ac:dyDescent="0.25">
      <c r="A1797" t="str">
        <f>"10/11/2016"</f>
        <v>10/11/2016</v>
      </c>
      <c r="B1797" t="str">
        <f>"31.589"</f>
        <v>31.589</v>
      </c>
      <c r="C1797" t="str">
        <f>"31.5889"</f>
        <v>31.5889</v>
      </c>
    </row>
    <row r="1798" spans="1:3" x14ac:dyDescent="0.25">
      <c r="A1798" t="str">
        <f>"11/11/2016"</f>
        <v>11/11/2016</v>
      </c>
      <c r="B1798" t="str">
        <f>"31.793"</f>
        <v>31.793</v>
      </c>
      <c r="C1798" t="str">
        <f>"31.7929"</f>
        <v>31.7929</v>
      </c>
    </row>
    <row r="1799" spans="1:3" x14ac:dyDescent="0.25">
      <c r="A1799" t="str">
        <f>"15/11/2016"</f>
        <v>15/11/2016</v>
      </c>
      <c r="B1799" t="str">
        <f>"31.87"</f>
        <v>31.87</v>
      </c>
      <c r="C1799" t="str">
        <f>"31.8699"</f>
        <v>31.8699</v>
      </c>
    </row>
    <row r="1800" spans="1:3" x14ac:dyDescent="0.25">
      <c r="A1800" t="str">
        <f>"16/11/2016"</f>
        <v>16/11/2016</v>
      </c>
      <c r="B1800" t="str">
        <f>"31.85"</f>
        <v>31.85</v>
      </c>
      <c r="C1800" t="str">
        <f>"31.8499"</f>
        <v>31.8499</v>
      </c>
    </row>
    <row r="1801" spans="1:3" x14ac:dyDescent="0.25">
      <c r="A1801" t="str">
        <f>"17/11/2016"</f>
        <v>17/11/2016</v>
      </c>
      <c r="B1801" t="str">
        <f>"31.902"</f>
        <v>31.902</v>
      </c>
      <c r="C1801" t="str">
        <f>"31.9019"</f>
        <v>31.9019</v>
      </c>
    </row>
    <row r="1802" spans="1:3" x14ac:dyDescent="0.25">
      <c r="A1802" t="str">
        <f>"18/11/2016"</f>
        <v>18/11/2016</v>
      </c>
      <c r="B1802" t="str">
        <f>"32.01"</f>
        <v>32.01</v>
      </c>
      <c r="C1802" t="str">
        <f>"32.0099"</f>
        <v>32.0099</v>
      </c>
    </row>
    <row r="1803" spans="1:3" x14ac:dyDescent="0.25">
      <c r="A1803" t="str">
        <f>"21/11/2016"</f>
        <v>21/11/2016</v>
      </c>
      <c r="B1803" t="str">
        <f>"32.007"</f>
        <v>32.007</v>
      </c>
      <c r="C1803" t="str">
        <f>"32.0069"</f>
        <v>32.0069</v>
      </c>
    </row>
    <row r="1804" spans="1:3" x14ac:dyDescent="0.25">
      <c r="A1804" t="str">
        <f>"22/11/2016"</f>
        <v>22/11/2016</v>
      </c>
      <c r="B1804" t="str">
        <f>"31.946"</f>
        <v>31.946</v>
      </c>
      <c r="C1804" t="str">
        <f>"31.9459"</f>
        <v>31.9459</v>
      </c>
    </row>
    <row r="1805" spans="1:3" x14ac:dyDescent="0.25">
      <c r="A1805" t="str">
        <f>"23/11/2016"</f>
        <v>23/11/2016</v>
      </c>
      <c r="B1805" t="str">
        <f>"31.93"</f>
        <v>31.93</v>
      </c>
      <c r="C1805" t="str">
        <f>"31.9299"</f>
        <v>31.9299</v>
      </c>
    </row>
    <row r="1806" spans="1:3" x14ac:dyDescent="0.25">
      <c r="A1806" t="str">
        <f>"24/11/2016"</f>
        <v>24/11/2016</v>
      </c>
      <c r="B1806" t="str">
        <f>"31.927"</f>
        <v>31.927</v>
      </c>
      <c r="C1806" t="str">
        <f>"31.9269"</f>
        <v>31.9269</v>
      </c>
    </row>
    <row r="1807" spans="1:3" x14ac:dyDescent="0.25">
      <c r="A1807" t="str">
        <f>"25/11/2016"</f>
        <v>25/11/2016</v>
      </c>
      <c r="B1807" t="str">
        <f>"31.942"</f>
        <v>31.942</v>
      </c>
      <c r="C1807" t="str">
        <f>"31.9418"</f>
        <v>31.9418</v>
      </c>
    </row>
    <row r="1808" spans="1:3" x14ac:dyDescent="0.25">
      <c r="A1808" t="str">
        <f>"28/11/2016"</f>
        <v>28/11/2016</v>
      </c>
      <c r="B1808" t="str">
        <f>"31.804"</f>
        <v>31.804</v>
      </c>
      <c r="C1808" t="str">
        <f>"31.8037"</f>
        <v>31.8037</v>
      </c>
    </row>
    <row r="1809" spans="1:3" x14ac:dyDescent="0.25">
      <c r="A1809" t="str">
        <f>"29/11/2016"</f>
        <v>29/11/2016</v>
      </c>
      <c r="B1809" t="str">
        <f>"31.84"</f>
        <v>31.84</v>
      </c>
      <c r="C1809" t="str">
        <f>"31.8397"</f>
        <v>31.8397</v>
      </c>
    </row>
    <row r="1810" spans="1:3" x14ac:dyDescent="0.25">
      <c r="A1810" t="str">
        <f>"30/11/2016"</f>
        <v>30/11/2016</v>
      </c>
      <c r="B1810" t="str">
        <f>"31.89"</f>
        <v>31.89</v>
      </c>
      <c r="C1810" t="str">
        <f>"31.8898"</f>
        <v>31.8898</v>
      </c>
    </row>
    <row r="1811" spans="1:3" x14ac:dyDescent="0.25">
      <c r="A1811" t="str">
        <f>"01/12/2016"</f>
        <v>01/12/2016</v>
      </c>
      <c r="B1811" t="str">
        <f>"31.945"</f>
        <v>31.945</v>
      </c>
      <c r="C1811" t="str">
        <f>"31.9447"</f>
        <v>31.9447</v>
      </c>
    </row>
    <row r="1812" spans="1:3" x14ac:dyDescent="0.25">
      <c r="A1812" t="str">
        <f>"02/12/2016"</f>
        <v>02/12/2016</v>
      </c>
      <c r="B1812" t="str">
        <f>"31.962"</f>
        <v>31.962</v>
      </c>
      <c r="C1812" t="str">
        <f>"31.9617"</f>
        <v>31.9617</v>
      </c>
    </row>
    <row r="1813" spans="1:3" x14ac:dyDescent="0.25">
      <c r="A1813" t="str">
        <f>"05/12/2016"</f>
        <v>05/12/2016</v>
      </c>
      <c r="B1813" t="str">
        <f>"31.995"</f>
        <v>31.995</v>
      </c>
      <c r="C1813" t="str">
        <f>"31.9945"</f>
        <v>31.9945</v>
      </c>
    </row>
    <row r="1814" spans="1:3" x14ac:dyDescent="0.25">
      <c r="A1814" t="str">
        <f>"06/12/2016"</f>
        <v>06/12/2016</v>
      </c>
      <c r="B1814" t="str">
        <f>"31.948"</f>
        <v>31.948</v>
      </c>
      <c r="C1814" t="str">
        <f>"31.9477"</f>
        <v>31.9477</v>
      </c>
    </row>
    <row r="1815" spans="1:3" x14ac:dyDescent="0.25">
      <c r="A1815" t="str">
        <f>"07/12/2016"</f>
        <v>07/12/2016</v>
      </c>
      <c r="B1815" t="str">
        <f>"31.902"</f>
        <v>31.902</v>
      </c>
      <c r="C1815" t="str">
        <f>"31.9017"</f>
        <v>31.9017</v>
      </c>
    </row>
    <row r="1816" spans="1:3" x14ac:dyDescent="0.25">
      <c r="A1816" t="str">
        <f>"08/12/2016"</f>
        <v>08/12/2016</v>
      </c>
      <c r="B1816" t="str">
        <f>"31.754"</f>
        <v>31.754</v>
      </c>
      <c r="C1816" t="str">
        <f>"31.7537"</f>
        <v>31.7537</v>
      </c>
    </row>
    <row r="1817" spans="1:3" x14ac:dyDescent="0.25">
      <c r="A1817" t="str">
        <f>"09/12/2016"</f>
        <v>09/12/2016</v>
      </c>
      <c r="B1817" t="str">
        <f>"31.862"</f>
        <v>31.862</v>
      </c>
      <c r="C1817" t="str">
        <f>"31.8616"</f>
        <v>31.8616</v>
      </c>
    </row>
    <row r="1818" spans="1:3" x14ac:dyDescent="0.25">
      <c r="A1818" t="str">
        <f>"13/12/2016"</f>
        <v>13/12/2016</v>
      </c>
      <c r="B1818" t="str">
        <f>"31.865"</f>
        <v>31.865</v>
      </c>
      <c r="C1818" t="str">
        <f>"31.8645"</f>
        <v>31.8645</v>
      </c>
    </row>
    <row r="1819" spans="1:3" x14ac:dyDescent="0.25">
      <c r="A1819" t="str">
        <f>"14/12/2016"</f>
        <v>14/12/2016</v>
      </c>
      <c r="B1819" t="str">
        <f>"31.807"</f>
        <v>31.807</v>
      </c>
      <c r="C1819" t="str">
        <f>"31.8065"</f>
        <v>31.8065</v>
      </c>
    </row>
    <row r="1820" spans="1:3" x14ac:dyDescent="0.25">
      <c r="A1820" t="str">
        <f>"15/12/2016"</f>
        <v>15/12/2016</v>
      </c>
      <c r="B1820" t="str">
        <f>"31.949"</f>
        <v>31.949</v>
      </c>
      <c r="C1820" t="str">
        <f>"31.9484"</f>
        <v>31.9484</v>
      </c>
    </row>
    <row r="1821" spans="1:3" x14ac:dyDescent="0.25">
      <c r="A1821" t="str">
        <f>"16/12/2016"</f>
        <v>16/12/2016</v>
      </c>
      <c r="B1821" t="str">
        <f>"31.969"</f>
        <v>31.969</v>
      </c>
      <c r="C1821" t="str">
        <f>"31.9685"</f>
        <v>31.9685</v>
      </c>
    </row>
    <row r="1822" spans="1:3" x14ac:dyDescent="0.25">
      <c r="A1822" t="str">
        <f>"19/12/2016"</f>
        <v>19/12/2016</v>
      </c>
      <c r="B1822" t="str">
        <f>"31.972"</f>
        <v>31.972</v>
      </c>
      <c r="C1822" t="str">
        <f>"31.9716"</f>
        <v>31.9716</v>
      </c>
    </row>
    <row r="1823" spans="1:3" x14ac:dyDescent="0.25">
      <c r="A1823" t="str">
        <f>"20/12/2016"</f>
        <v>20/12/2016</v>
      </c>
      <c r="B1823" t="str">
        <f>"32.006"</f>
        <v>32.006</v>
      </c>
      <c r="C1823" t="str">
        <f>"32.0055"</f>
        <v>32.0055</v>
      </c>
    </row>
    <row r="1824" spans="1:3" x14ac:dyDescent="0.25">
      <c r="A1824" t="str">
        <f>"21/12/2016"</f>
        <v>21/12/2016</v>
      </c>
      <c r="B1824" t="str">
        <f>"32.06"</f>
        <v>32.06</v>
      </c>
      <c r="C1824" t="str">
        <f>"32.0594"</f>
        <v>32.0594</v>
      </c>
    </row>
    <row r="1825" spans="1:3" x14ac:dyDescent="0.25">
      <c r="A1825" t="str">
        <f>"22/12/2016"</f>
        <v>22/12/2016</v>
      </c>
      <c r="B1825" t="str">
        <f>"32.03"</f>
        <v>32.03</v>
      </c>
      <c r="C1825" t="str">
        <f>"32.0295"</f>
        <v>32.0295</v>
      </c>
    </row>
    <row r="1826" spans="1:3" x14ac:dyDescent="0.25">
      <c r="A1826" t="str">
        <f>"23/12/2016"</f>
        <v>23/12/2016</v>
      </c>
      <c r="B1826" t="str">
        <f>"32.165"</f>
        <v>32.165</v>
      </c>
      <c r="C1826" t="str">
        <f>"32.1646"</f>
        <v>32.1646</v>
      </c>
    </row>
    <row r="1827" spans="1:3" x14ac:dyDescent="0.25">
      <c r="A1827" t="str">
        <f>"26/12/2016"</f>
        <v>26/12/2016</v>
      </c>
      <c r="B1827" t="str">
        <f>"32.248"</f>
        <v>32.248</v>
      </c>
      <c r="C1827" t="str">
        <f>"32.2475"</f>
        <v>32.2475</v>
      </c>
    </row>
    <row r="1828" spans="1:3" x14ac:dyDescent="0.25">
      <c r="A1828" t="str">
        <f>"27/12/2016"</f>
        <v>27/12/2016</v>
      </c>
      <c r="B1828" t="str">
        <f>"32.28"</f>
        <v>32.28</v>
      </c>
      <c r="C1828" t="str">
        <f>"32.2794"</f>
        <v>32.2794</v>
      </c>
    </row>
    <row r="1829" spans="1:3" x14ac:dyDescent="0.25">
      <c r="A1829" t="str">
        <f>"28/12/2016"</f>
        <v>28/12/2016</v>
      </c>
      <c r="B1829" t="str">
        <f>"32.311"</f>
        <v>32.311</v>
      </c>
      <c r="C1829" t="str">
        <f>"32.3106"</f>
        <v>32.3106</v>
      </c>
    </row>
    <row r="1830" spans="1:3" x14ac:dyDescent="0.25">
      <c r="A1830" t="str">
        <f>"29/12/2016"</f>
        <v>29/12/2016</v>
      </c>
      <c r="B1830" t="str">
        <f>"32.312"</f>
        <v>32.312</v>
      </c>
      <c r="C1830" t="str">
        <f>"32.3116"</f>
        <v>32.3116</v>
      </c>
    </row>
    <row r="1831" spans="1:3" x14ac:dyDescent="0.25">
      <c r="A1831" t="str">
        <f>"30/12/2016"</f>
        <v>30/12/2016</v>
      </c>
      <c r="B1831" t="str">
        <f>"32.279"</f>
        <v>32.279</v>
      </c>
      <c r="C1831" t="str">
        <f>"32.2786"</f>
        <v>32.2786</v>
      </c>
    </row>
    <row r="1832" spans="1:3" x14ac:dyDescent="0.25">
      <c r="A1832" t="str">
        <f>"02/01/2017"</f>
        <v>02/01/2017</v>
      </c>
      <c r="B1832" t="str">
        <f>"32.279"</f>
        <v>32.279</v>
      </c>
      <c r="C1832" t="str">
        <f>"32.2786"</f>
        <v>32.2786</v>
      </c>
    </row>
    <row r="1833" spans="1:3" x14ac:dyDescent="0.25">
      <c r="A1833" t="str">
        <f>"03/01/2017"</f>
        <v>03/01/2017</v>
      </c>
      <c r="B1833" t="str">
        <f>"32.247"</f>
        <v>32.247</v>
      </c>
      <c r="C1833" t="str">
        <f>"32.2467"</f>
        <v>32.2467</v>
      </c>
    </row>
    <row r="1834" spans="1:3" x14ac:dyDescent="0.25">
      <c r="A1834" t="str">
        <f>"04/01/2017"</f>
        <v>04/01/2017</v>
      </c>
      <c r="B1834" t="str">
        <f>"32.262"</f>
        <v>32.262</v>
      </c>
      <c r="C1834" t="str">
        <f>"32.2617"</f>
        <v>32.2617</v>
      </c>
    </row>
    <row r="1835" spans="1:3" x14ac:dyDescent="0.25">
      <c r="A1835" t="str">
        <f>"05/01/2017"</f>
        <v>05/01/2017</v>
      </c>
      <c r="B1835" t="str">
        <f>"31.965"</f>
        <v>31.965</v>
      </c>
      <c r="C1835" t="str">
        <f>"31.9647"</f>
        <v>31.9647</v>
      </c>
    </row>
    <row r="1836" spans="1:3" x14ac:dyDescent="0.25">
      <c r="A1836" t="str">
        <f>"06/01/2017"</f>
        <v>06/01/2017</v>
      </c>
      <c r="B1836" t="str">
        <f>"31.994"</f>
        <v>31.994</v>
      </c>
      <c r="C1836" t="str">
        <f>"31.9937"</f>
        <v>31.9937</v>
      </c>
    </row>
    <row r="1837" spans="1:3" x14ac:dyDescent="0.25">
      <c r="A1837" t="str">
        <f>"09/01/2017"</f>
        <v>09/01/2017</v>
      </c>
      <c r="B1837" t="str">
        <f>"32.105"</f>
        <v>32.105</v>
      </c>
      <c r="C1837" t="str">
        <f>"32.1047"</f>
        <v>32.1047</v>
      </c>
    </row>
    <row r="1838" spans="1:3" x14ac:dyDescent="0.25">
      <c r="A1838" t="str">
        <f>"10/01/2017"</f>
        <v>10/01/2017</v>
      </c>
      <c r="B1838" t="str">
        <f>"31.946"</f>
        <v>31.946</v>
      </c>
      <c r="C1838" t="str">
        <f>"31.9457"</f>
        <v>31.9457</v>
      </c>
    </row>
    <row r="1839" spans="1:3" x14ac:dyDescent="0.25">
      <c r="A1839" t="str">
        <f>"11/01/2017"</f>
        <v>11/01/2017</v>
      </c>
      <c r="B1839" t="str">
        <f>"31.935"</f>
        <v>31.935</v>
      </c>
      <c r="C1839" t="str">
        <f>"31.9347"</f>
        <v>31.9347</v>
      </c>
    </row>
    <row r="1840" spans="1:3" x14ac:dyDescent="0.25">
      <c r="A1840" t="str">
        <f>"12/01/2017"</f>
        <v>12/01/2017</v>
      </c>
      <c r="B1840" t="str">
        <f>"31.78"</f>
        <v>31.78</v>
      </c>
      <c r="C1840" t="str">
        <f>"31.7798"</f>
        <v>31.7798</v>
      </c>
    </row>
    <row r="1841" spans="1:3" x14ac:dyDescent="0.25">
      <c r="A1841" t="str">
        <f>"13/01/2017"</f>
        <v>13/01/2017</v>
      </c>
      <c r="B1841" t="str">
        <f>"31.602"</f>
        <v>31.602</v>
      </c>
      <c r="C1841" t="str">
        <f>"31.6018"</f>
        <v>31.6018</v>
      </c>
    </row>
    <row r="1842" spans="1:3" x14ac:dyDescent="0.25">
      <c r="A1842" t="str">
        <f>"16/01/2017"</f>
        <v>16/01/2017</v>
      </c>
      <c r="B1842" t="str">
        <f>"31.717"</f>
        <v>31.717</v>
      </c>
      <c r="C1842" t="str">
        <f>"31.7168"</f>
        <v>31.7168</v>
      </c>
    </row>
    <row r="1843" spans="1:3" x14ac:dyDescent="0.25">
      <c r="A1843" t="str">
        <f>"17/01/2017"</f>
        <v>17/01/2017</v>
      </c>
      <c r="B1843" t="str">
        <f>"31.604"</f>
        <v>31.604</v>
      </c>
      <c r="C1843" t="str">
        <f>"31.6037"</f>
        <v>31.6037</v>
      </c>
    </row>
    <row r="1844" spans="1:3" x14ac:dyDescent="0.25">
      <c r="A1844" t="str">
        <f>"18/01/2017"</f>
        <v>18/01/2017</v>
      </c>
      <c r="B1844" t="str">
        <f>"31.598"</f>
        <v>31.598</v>
      </c>
      <c r="C1844" t="str">
        <f>"31.5977"</f>
        <v>31.5977</v>
      </c>
    </row>
    <row r="1845" spans="1:3" x14ac:dyDescent="0.25">
      <c r="A1845" t="str">
        <f>"19/01/2017"</f>
        <v>19/01/2017</v>
      </c>
      <c r="B1845" t="str">
        <f>"31.644"</f>
        <v>31.644</v>
      </c>
      <c r="C1845" t="str">
        <f>"31.6437"</f>
        <v>31.6437</v>
      </c>
    </row>
    <row r="1846" spans="1:3" x14ac:dyDescent="0.25">
      <c r="A1846" t="str">
        <f>"20/01/2017"</f>
        <v>20/01/2017</v>
      </c>
      <c r="B1846" t="str">
        <f>"31.535"</f>
        <v>31.535</v>
      </c>
      <c r="C1846" t="str">
        <f>"31.5348"</f>
        <v>31.5348</v>
      </c>
    </row>
    <row r="1847" spans="1:3" x14ac:dyDescent="0.25">
      <c r="A1847" t="str">
        <f>"23/01/2017"</f>
        <v>23/01/2017</v>
      </c>
      <c r="B1847" t="str">
        <f>"31.437"</f>
        <v>31.437</v>
      </c>
      <c r="C1847" t="str">
        <f>"31.4368"</f>
        <v>31.4368</v>
      </c>
    </row>
    <row r="1848" spans="1:3" x14ac:dyDescent="0.25">
      <c r="A1848" t="str">
        <f>"24/01/2017"</f>
        <v>24/01/2017</v>
      </c>
      <c r="B1848" t="str">
        <f>"31.39"</f>
        <v>31.39</v>
      </c>
      <c r="C1848" t="str">
        <f>"31.3898"</f>
        <v>31.3898</v>
      </c>
    </row>
    <row r="1849" spans="1:3" x14ac:dyDescent="0.25">
      <c r="A1849" t="str">
        <f>"25/01/2017"</f>
        <v>25/01/2017</v>
      </c>
      <c r="B1849" t="str">
        <f>"31.33"</f>
        <v>31.33</v>
      </c>
      <c r="C1849" t="str">
        <f>"31.3298"</f>
        <v>31.3298</v>
      </c>
    </row>
    <row r="1850" spans="1:3" x14ac:dyDescent="0.25">
      <c r="A1850" t="str">
        <f>"27/01/2017"</f>
        <v>27/01/2017</v>
      </c>
      <c r="B1850" t="str">
        <f>"31.394"</f>
        <v>31.394</v>
      </c>
      <c r="C1850" t="str">
        <f>"31.3938"</f>
        <v>31.3938</v>
      </c>
    </row>
    <row r="1851" spans="1:3" x14ac:dyDescent="0.25">
      <c r="A1851" t="str">
        <f>"30/01/2017"</f>
        <v>30/01/2017</v>
      </c>
      <c r="B1851" t="str">
        <f>"31.394"</f>
        <v>31.394</v>
      </c>
      <c r="C1851" t="str">
        <f>"31.3938"</f>
        <v>31.3938</v>
      </c>
    </row>
    <row r="1852" spans="1:3" x14ac:dyDescent="0.25">
      <c r="A1852" t="str">
        <f>"31/01/2017"</f>
        <v>31/01/2017</v>
      </c>
      <c r="B1852" t="str">
        <f>"31.394"</f>
        <v>31.394</v>
      </c>
      <c r="C1852" t="str">
        <f>"31.3938"</f>
        <v>31.3938</v>
      </c>
    </row>
    <row r="1853" spans="1:3" x14ac:dyDescent="0.25">
      <c r="A1853" t="str">
        <f>"01/02/2017"</f>
        <v>01/02/2017</v>
      </c>
      <c r="B1853" t="str">
        <f>"31.394"</f>
        <v>31.394</v>
      </c>
      <c r="C1853" t="str">
        <f>"31.3938"</f>
        <v>31.3938</v>
      </c>
    </row>
    <row r="1854" spans="1:3" x14ac:dyDescent="0.25">
      <c r="A1854" t="str">
        <f>"02/02/2017"</f>
        <v>02/02/2017</v>
      </c>
      <c r="B1854" t="str">
        <f>"31.102"</f>
        <v>31.102</v>
      </c>
      <c r="C1854" t="str">
        <f>"31.1018"</f>
        <v>31.1018</v>
      </c>
    </row>
    <row r="1855" spans="1:3" x14ac:dyDescent="0.25">
      <c r="A1855" t="str">
        <f>"03/02/2017"</f>
        <v>03/02/2017</v>
      </c>
      <c r="B1855" t="str">
        <f>"31.051"</f>
        <v>31.051</v>
      </c>
      <c r="C1855" t="str">
        <f>"31.0508"</f>
        <v>31.0508</v>
      </c>
    </row>
    <row r="1856" spans="1:3" x14ac:dyDescent="0.25">
      <c r="A1856" t="str">
        <f>"06/02/2017"</f>
        <v>06/02/2017</v>
      </c>
      <c r="B1856" t="str">
        <f>"30.942"</f>
        <v>30.942</v>
      </c>
      <c r="C1856" t="str">
        <f>"30.9418"</f>
        <v>30.9418</v>
      </c>
    </row>
    <row r="1857" spans="1:3" x14ac:dyDescent="0.25">
      <c r="A1857" t="str">
        <f>"07/02/2017"</f>
        <v>07/02/2017</v>
      </c>
      <c r="B1857" t="str">
        <f>"31.048"</f>
        <v>31.048</v>
      </c>
      <c r="C1857" t="str">
        <f>"31.0478"</f>
        <v>31.0478</v>
      </c>
    </row>
    <row r="1858" spans="1:3" x14ac:dyDescent="0.25">
      <c r="A1858" t="str">
        <f>"08/02/2017"</f>
        <v>08/02/2017</v>
      </c>
      <c r="B1858" t="str">
        <f>"31.133"</f>
        <v>31.133</v>
      </c>
      <c r="C1858" t="str">
        <f>"31.1328"</f>
        <v>31.1328</v>
      </c>
    </row>
    <row r="1859" spans="1:3" x14ac:dyDescent="0.25">
      <c r="A1859" t="str">
        <f>"09/02/2017"</f>
        <v>09/02/2017</v>
      </c>
      <c r="B1859" t="str">
        <f>"31.045"</f>
        <v>31.045</v>
      </c>
      <c r="C1859" t="str">
        <f>"31.0448"</f>
        <v>31.0448</v>
      </c>
    </row>
    <row r="1860" spans="1:3" x14ac:dyDescent="0.25">
      <c r="A1860" t="str">
        <f>"10/02/2017"</f>
        <v>10/02/2017</v>
      </c>
      <c r="B1860" t="str">
        <f>"31.051"</f>
        <v>31.051</v>
      </c>
      <c r="C1860" t="str">
        <f>"31.0508"</f>
        <v>31.0508</v>
      </c>
    </row>
    <row r="1861" spans="1:3" x14ac:dyDescent="0.25">
      <c r="A1861" t="str">
        <f>"13/02/2017"</f>
        <v>13/02/2017</v>
      </c>
      <c r="B1861" t="str">
        <f>"31.03"</f>
        <v>31.03</v>
      </c>
      <c r="C1861" t="str">
        <f>"31.0298"</f>
        <v>31.0298</v>
      </c>
    </row>
    <row r="1862" spans="1:3" x14ac:dyDescent="0.25">
      <c r="A1862" t="str">
        <f>"14/02/2017"</f>
        <v>14/02/2017</v>
      </c>
      <c r="B1862" t="str">
        <f>"30.876"</f>
        <v>30.876</v>
      </c>
      <c r="C1862" t="str">
        <f>"30.8758"</f>
        <v>30.8758</v>
      </c>
    </row>
    <row r="1863" spans="1:3" x14ac:dyDescent="0.25">
      <c r="A1863" t="str">
        <f>"15/02/2017"</f>
        <v>15/02/2017</v>
      </c>
      <c r="B1863" t="str">
        <f>"30.765"</f>
        <v>30.765</v>
      </c>
      <c r="C1863" t="str">
        <f>"30.7648"</f>
        <v>30.7648</v>
      </c>
    </row>
    <row r="1864" spans="1:3" x14ac:dyDescent="0.25">
      <c r="A1864" t="str">
        <f>"16/02/2017"</f>
        <v>16/02/2017</v>
      </c>
      <c r="B1864" t="str">
        <f>"30.796"</f>
        <v>30.796</v>
      </c>
      <c r="C1864" t="str">
        <f>"30.7958"</f>
        <v>30.7958</v>
      </c>
    </row>
    <row r="1865" spans="1:3" x14ac:dyDescent="0.25">
      <c r="A1865" t="str">
        <f>"17/02/2017"</f>
        <v>17/02/2017</v>
      </c>
      <c r="B1865" t="str">
        <f>"30.775"</f>
        <v>30.775</v>
      </c>
      <c r="C1865" t="str">
        <f>"30.7748"</f>
        <v>30.7748</v>
      </c>
    </row>
    <row r="1866" spans="1:3" x14ac:dyDescent="0.25">
      <c r="A1866" t="str">
        <f>"20/02/2017"</f>
        <v>20/02/2017</v>
      </c>
      <c r="B1866" t="str">
        <f>"30.804"</f>
        <v>30.804</v>
      </c>
      <c r="C1866" t="str">
        <f>"30.8038"</f>
        <v>30.8038</v>
      </c>
    </row>
    <row r="1867" spans="1:3" x14ac:dyDescent="0.25">
      <c r="A1867" t="str">
        <f>"22/02/2017"</f>
        <v>22/02/2017</v>
      </c>
      <c r="B1867" t="str">
        <f>"30.785"</f>
        <v>30.785</v>
      </c>
      <c r="C1867" t="str">
        <f>"30.7847"</f>
        <v>30.7847</v>
      </c>
    </row>
    <row r="1868" spans="1:3" x14ac:dyDescent="0.25">
      <c r="A1868" t="str">
        <f>"23/02/2017"</f>
        <v>23/02/2017</v>
      </c>
      <c r="B1868" t="str">
        <f>"30.748"</f>
        <v>30.748</v>
      </c>
      <c r="C1868" t="str">
        <f>"30.7477"</f>
        <v>30.7477</v>
      </c>
    </row>
    <row r="1869" spans="1:3" x14ac:dyDescent="0.25">
      <c r="A1869" t="str">
        <f>"27/02/2017"</f>
        <v>27/02/2017</v>
      </c>
      <c r="B1869" t="str">
        <f>"30.655"</f>
        <v>30.655</v>
      </c>
      <c r="C1869" t="str">
        <f>"30.6547"</f>
        <v>30.6547</v>
      </c>
    </row>
    <row r="1870" spans="1:3" x14ac:dyDescent="0.25">
      <c r="A1870" t="str">
        <f>"28/02/2017"</f>
        <v>28/02/2017</v>
      </c>
      <c r="B1870" t="str">
        <f>"30.655"</f>
        <v>30.655</v>
      </c>
      <c r="C1870" t="str">
        <f>"30.6547"</f>
        <v>30.6547</v>
      </c>
    </row>
    <row r="1871" spans="1:3" x14ac:dyDescent="0.25">
      <c r="A1871" t="str">
        <f>"01/03/2017"</f>
        <v>01/03/2017</v>
      </c>
      <c r="B1871" t="str">
        <f>"30.78"</f>
        <v>30.78</v>
      </c>
      <c r="C1871" t="str">
        <f>"30.7796"</f>
        <v>30.7796</v>
      </c>
    </row>
    <row r="1872" spans="1:3" x14ac:dyDescent="0.25">
      <c r="A1872" t="str">
        <f>"02/03/2017"</f>
        <v>02/03/2017</v>
      </c>
      <c r="B1872" t="str">
        <f>"30.825"</f>
        <v>30.825</v>
      </c>
      <c r="C1872" t="str">
        <f>"30.8246"</f>
        <v>30.8246</v>
      </c>
    </row>
    <row r="1873" spans="1:3" x14ac:dyDescent="0.25">
      <c r="A1873" t="str">
        <f>"03/03/2017"</f>
        <v>03/03/2017</v>
      </c>
      <c r="B1873" t="str">
        <f>"31.049"</f>
        <v>31.049</v>
      </c>
      <c r="C1873" t="str">
        <f>"31.0487"</f>
        <v>31.0487</v>
      </c>
    </row>
    <row r="1874" spans="1:3" x14ac:dyDescent="0.25">
      <c r="A1874" t="str">
        <f>"06/03/2017"</f>
        <v>06/03/2017</v>
      </c>
      <c r="B1874" t="str">
        <f>"30.988"</f>
        <v>30.988</v>
      </c>
      <c r="C1874" t="str">
        <f>"30.9877"</f>
        <v>30.9877</v>
      </c>
    </row>
    <row r="1875" spans="1:3" x14ac:dyDescent="0.25">
      <c r="A1875" t="str">
        <f>"07/03/2017"</f>
        <v>07/03/2017</v>
      </c>
      <c r="B1875" t="str">
        <f>"30.90"</f>
        <v>30.90</v>
      </c>
      <c r="C1875" t="str">
        <f>"30.8997"</f>
        <v>30.8997</v>
      </c>
    </row>
    <row r="1876" spans="1:3" x14ac:dyDescent="0.25">
      <c r="A1876" t="str">
        <f>"08/03/2017"</f>
        <v>08/03/2017</v>
      </c>
      <c r="B1876" t="str">
        <f>"30.882"</f>
        <v>30.882</v>
      </c>
      <c r="C1876" t="str">
        <f>"30.8817"</f>
        <v>30.8817</v>
      </c>
    </row>
    <row r="1877" spans="1:3" x14ac:dyDescent="0.25">
      <c r="A1877" t="str">
        <f>"09/03/2017"</f>
        <v>09/03/2017</v>
      </c>
      <c r="B1877" t="str">
        <f>"31.021"</f>
        <v>31.021</v>
      </c>
      <c r="C1877" t="str">
        <f>"31.0207"</f>
        <v>31.0207</v>
      </c>
    </row>
    <row r="1878" spans="1:3" x14ac:dyDescent="0.25">
      <c r="A1878" t="str">
        <f>"10/03/2017"</f>
        <v>10/03/2017</v>
      </c>
      <c r="B1878" t="str">
        <f>"31.048"</f>
        <v>31.048</v>
      </c>
      <c r="C1878" t="str">
        <f>"31.0477"</f>
        <v>31.0477</v>
      </c>
    </row>
    <row r="1879" spans="1:3" x14ac:dyDescent="0.25">
      <c r="A1879" t="str">
        <f>"14/03/2017"</f>
        <v>14/03/2017</v>
      </c>
      <c r="B1879" t="str">
        <f>"30.967"</f>
        <v>30.967</v>
      </c>
      <c r="C1879" t="str">
        <f>"30.9667"</f>
        <v>30.9667</v>
      </c>
    </row>
    <row r="1880" spans="1:3" x14ac:dyDescent="0.25">
      <c r="A1880" t="str">
        <f>"15/03/2017"</f>
        <v>15/03/2017</v>
      </c>
      <c r="B1880" t="str">
        <f>"30.934"</f>
        <v>30.934</v>
      </c>
      <c r="C1880" t="str">
        <f>"30.9337"</f>
        <v>30.9337</v>
      </c>
    </row>
    <row r="1881" spans="1:3" x14ac:dyDescent="0.25">
      <c r="A1881" t="str">
        <f>"16/03/2017"</f>
        <v>16/03/2017</v>
      </c>
      <c r="B1881" t="str">
        <f>"30.75"</f>
        <v>30.75</v>
      </c>
      <c r="C1881" t="str">
        <f>"30.7496"</f>
        <v>30.7496</v>
      </c>
    </row>
    <row r="1882" spans="1:3" x14ac:dyDescent="0.25">
      <c r="A1882" t="str">
        <f>"17/03/2017"</f>
        <v>17/03/2017</v>
      </c>
      <c r="B1882" t="str">
        <f>"30.642"</f>
        <v>30.642</v>
      </c>
      <c r="C1882" t="str">
        <f>"30.6416"</f>
        <v>30.6416</v>
      </c>
    </row>
    <row r="1883" spans="1:3" x14ac:dyDescent="0.25">
      <c r="A1883" t="str">
        <f>"20/03/2017"</f>
        <v>20/03/2017</v>
      </c>
      <c r="B1883" t="str">
        <f>"30.542"</f>
        <v>30.542</v>
      </c>
      <c r="C1883" t="str">
        <f>"30.5415"</f>
        <v>30.5415</v>
      </c>
    </row>
    <row r="1884" spans="1:3" x14ac:dyDescent="0.25">
      <c r="A1884" t="str">
        <f>"21/03/2017"</f>
        <v>21/03/2017</v>
      </c>
      <c r="B1884" t="str">
        <f>"30.46"</f>
        <v>30.46</v>
      </c>
      <c r="C1884" t="str">
        <f>"30.4595"</f>
        <v>30.4595</v>
      </c>
    </row>
    <row r="1885" spans="1:3" x14ac:dyDescent="0.25">
      <c r="A1885" t="str">
        <f>"22/03/2017"</f>
        <v>22/03/2017</v>
      </c>
      <c r="B1885" t="str">
        <f>"30.505"</f>
        <v>30.505</v>
      </c>
      <c r="C1885" t="str">
        <f>"30.5046"</f>
        <v>30.5046</v>
      </c>
    </row>
    <row r="1886" spans="1:3" x14ac:dyDescent="0.25">
      <c r="A1886" t="str">
        <f>"23/03/2017"</f>
        <v>23/03/2017</v>
      </c>
      <c r="B1886" t="str">
        <f>"30.538"</f>
        <v>30.538</v>
      </c>
      <c r="C1886" t="str">
        <f>"30.5376"</f>
        <v>30.5376</v>
      </c>
    </row>
    <row r="1887" spans="1:3" x14ac:dyDescent="0.25">
      <c r="A1887" t="str">
        <f>"24/03/2017"</f>
        <v>24/03/2017</v>
      </c>
      <c r="B1887" t="str">
        <f>"30.49"</f>
        <v>30.49</v>
      </c>
      <c r="C1887" t="str">
        <f>"30.4896"</f>
        <v>30.4896</v>
      </c>
    </row>
    <row r="1888" spans="1:3" x14ac:dyDescent="0.25">
      <c r="A1888" t="str">
        <f>"27/03/2017"</f>
        <v>27/03/2017</v>
      </c>
      <c r="B1888" t="str">
        <f>"30.252"</f>
        <v>30.252</v>
      </c>
      <c r="C1888" t="str">
        <f>"30.2516"</f>
        <v>30.2516</v>
      </c>
    </row>
    <row r="1889" spans="1:3" x14ac:dyDescent="0.25">
      <c r="A1889" t="str">
        <f>"29/03/2017"</f>
        <v>29/03/2017</v>
      </c>
      <c r="B1889" t="str">
        <f>"30.285"</f>
        <v>30.285</v>
      </c>
      <c r="C1889" t="str">
        <f>"30.2846"</f>
        <v>30.2846</v>
      </c>
    </row>
    <row r="1890" spans="1:3" x14ac:dyDescent="0.25">
      <c r="A1890" t="str">
        <f>"30/03/2017"</f>
        <v>30/03/2017</v>
      </c>
      <c r="B1890" t="str">
        <f>"30.319"</f>
        <v>30.319</v>
      </c>
      <c r="C1890" t="str">
        <f>"30.3186"</f>
        <v>30.3186</v>
      </c>
    </row>
    <row r="1891" spans="1:3" x14ac:dyDescent="0.25">
      <c r="A1891" t="str">
        <f>"31/03/2017"</f>
        <v>31/03/2017</v>
      </c>
      <c r="B1891" t="str">
        <f>"30.335"</f>
        <v>30.335</v>
      </c>
      <c r="C1891" t="str">
        <f>"30.3346"</f>
        <v>30.3346</v>
      </c>
    </row>
    <row r="1892" spans="1:3" x14ac:dyDescent="0.25">
      <c r="A1892" t="str">
        <f>"03/04/2017"</f>
        <v>03/04/2017</v>
      </c>
      <c r="B1892" t="str">
        <f>"30.335"</f>
        <v>30.335</v>
      </c>
      <c r="C1892" t="str">
        <f>"30.3346"</f>
        <v>30.3346</v>
      </c>
    </row>
    <row r="1893" spans="1:3" x14ac:dyDescent="0.25">
      <c r="A1893" t="str">
        <f>"05/04/2017"</f>
        <v>05/04/2017</v>
      </c>
      <c r="B1893" t="str">
        <f>"30.40"</f>
        <v>30.40</v>
      </c>
      <c r="C1893" t="str">
        <f>"30.3996"</f>
        <v>30.3996</v>
      </c>
    </row>
    <row r="1894" spans="1:3" x14ac:dyDescent="0.25">
      <c r="A1894" t="str">
        <f>"06/04/2017"</f>
        <v>06/04/2017</v>
      </c>
      <c r="B1894" t="str">
        <f>"30.56"</f>
        <v>30.56</v>
      </c>
      <c r="C1894" t="str">
        <f>"30.5597"</f>
        <v>30.5597</v>
      </c>
    </row>
    <row r="1895" spans="1:3" x14ac:dyDescent="0.25">
      <c r="A1895" t="str">
        <f>"07/04/2017"</f>
        <v>07/04/2017</v>
      </c>
      <c r="B1895" t="str">
        <f>"30.612"</f>
        <v>30.612</v>
      </c>
      <c r="C1895" t="str">
        <f>"30.6117"</f>
        <v>30.6117</v>
      </c>
    </row>
    <row r="1896" spans="1:3" x14ac:dyDescent="0.25">
      <c r="A1896" t="str">
        <f>"10/04/2017"</f>
        <v>10/04/2017</v>
      </c>
      <c r="B1896" t="str">
        <f>"30.705"</f>
        <v>30.705</v>
      </c>
      <c r="C1896" t="str">
        <f>"30.7047"</f>
        <v>30.7047</v>
      </c>
    </row>
    <row r="1897" spans="1:3" x14ac:dyDescent="0.25">
      <c r="A1897" t="str">
        <f>"11/04/2017"</f>
        <v>11/04/2017</v>
      </c>
      <c r="B1897" t="str">
        <f>"30.694"</f>
        <v>30.694</v>
      </c>
      <c r="C1897" t="str">
        <f>"30.6936"</f>
        <v>30.6936</v>
      </c>
    </row>
    <row r="1898" spans="1:3" x14ac:dyDescent="0.25">
      <c r="A1898" t="str">
        <f>"12/04/2017"</f>
        <v>12/04/2017</v>
      </c>
      <c r="B1898" t="str">
        <f>"30.631"</f>
        <v>30.631</v>
      </c>
      <c r="C1898" t="str">
        <f>"30.6307"</f>
        <v>30.6307</v>
      </c>
    </row>
    <row r="1899" spans="1:3" x14ac:dyDescent="0.25">
      <c r="A1899" t="str">
        <f>"13/04/2017"</f>
        <v>13/04/2017</v>
      </c>
      <c r="B1899" t="str">
        <f>"30.325"</f>
        <v>30.325</v>
      </c>
      <c r="C1899" t="str">
        <f>"30.3247"</f>
        <v>30.3247</v>
      </c>
    </row>
    <row r="1900" spans="1:3" x14ac:dyDescent="0.25">
      <c r="A1900" t="str">
        <f>"17/04/2017"</f>
        <v>17/04/2017</v>
      </c>
      <c r="B1900" t="str">
        <f>"30.346"</f>
        <v>30.346</v>
      </c>
      <c r="C1900" t="str">
        <f>"30.3457"</f>
        <v>30.3457</v>
      </c>
    </row>
    <row r="1901" spans="1:3" x14ac:dyDescent="0.25">
      <c r="A1901" t="str">
        <f>"18/04/2017"</f>
        <v>18/04/2017</v>
      </c>
      <c r="B1901" t="str">
        <f>"30.406"</f>
        <v>30.406</v>
      </c>
      <c r="C1901" t="str">
        <f>"30.4056"</f>
        <v>30.4056</v>
      </c>
    </row>
    <row r="1902" spans="1:3" x14ac:dyDescent="0.25">
      <c r="A1902" t="str">
        <f>"19/04/2017"</f>
        <v>19/04/2017</v>
      </c>
      <c r="B1902" t="str">
        <f>"30.452"</f>
        <v>30.452</v>
      </c>
      <c r="C1902" t="str">
        <f>"30.4517"</f>
        <v>30.4517</v>
      </c>
    </row>
    <row r="1903" spans="1:3" x14ac:dyDescent="0.25">
      <c r="A1903" t="str">
        <f>"20/04/2017"</f>
        <v>20/04/2017</v>
      </c>
      <c r="B1903" t="str">
        <f>"30.408"</f>
        <v>30.408</v>
      </c>
      <c r="C1903" t="str">
        <f>"30.4077"</f>
        <v>30.4077</v>
      </c>
    </row>
    <row r="1904" spans="1:3" x14ac:dyDescent="0.25">
      <c r="A1904" t="str">
        <f>"21/04/2017"</f>
        <v>21/04/2017</v>
      </c>
      <c r="B1904" t="str">
        <f>"30.363"</f>
        <v>30.363</v>
      </c>
      <c r="C1904" t="str">
        <f>"30.3627"</f>
        <v>30.3627</v>
      </c>
    </row>
    <row r="1905" spans="1:3" x14ac:dyDescent="0.25">
      <c r="A1905" t="str">
        <f>"24/04/2017"</f>
        <v>24/04/2017</v>
      </c>
      <c r="B1905" t="str">
        <f>"30.272"</f>
        <v>30.272</v>
      </c>
      <c r="C1905" t="str">
        <f>"30.2717"</f>
        <v>30.2717</v>
      </c>
    </row>
    <row r="1906" spans="1:3" x14ac:dyDescent="0.25">
      <c r="A1906" t="str">
        <f>"25/04/2017"</f>
        <v>25/04/2017</v>
      </c>
      <c r="B1906" t="str">
        <f>"30.155"</f>
        <v>30.155</v>
      </c>
      <c r="C1906" t="str">
        <f>"30.1546"</f>
        <v>30.1546</v>
      </c>
    </row>
    <row r="1907" spans="1:3" x14ac:dyDescent="0.25">
      <c r="A1907" t="str">
        <f>"26/04/2017"</f>
        <v>26/04/2017</v>
      </c>
      <c r="B1907" t="str">
        <f>"30.14"</f>
        <v>30.14</v>
      </c>
      <c r="C1907" t="str">
        <f>"30.1396"</f>
        <v>30.1396</v>
      </c>
    </row>
    <row r="1908" spans="1:3" x14ac:dyDescent="0.25">
      <c r="A1908" t="str">
        <f>"27/04/2017"</f>
        <v>27/04/2017</v>
      </c>
      <c r="B1908" t="str">
        <f>"30.17"</f>
        <v>30.17</v>
      </c>
      <c r="C1908" t="str">
        <f>"30.1697"</f>
        <v>30.1697</v>
      </c>
    </row>
    <row r="1909" spans="1:3" x14ac:dyDescent="0.25">
      <c r="A1909" t="str">
        <f>"28/04/2017"</f>
        <v>28/04/2017</v>
      </c>
      <c r="B1909" t="str">
        <f>"30.22"</f>
        <v>30.22</v>
      </c>
      <c r="C1909" t="str">
        <f>"30.2197"</f>
        <v>30.2197</v>
      </c>
    </row>
    <row r="1910" spans="1:3" x14ac:dyDescent="0.25">
      <c r="A1910" t="str">
        <f>"02/05/2017"</f>
        <v>02/05/2017</v>
      </c>
      <c r="B1910" t="str">
        <f>"30.06"</f>
        <v>30.06</v>
      </c>
      <c r="C1910" t="str">
        <f>"30.0597"</f>
        <v>30.0597</v>
      </c>
    </row>
    <row r="1911" spans="1:3" x14ac:dyDescent="0.25">
      <c r="A1911" t="str">
        <f>"03/05/2017"</f>
        <v>03/05/2017</v>
      </c>
      <c r="B1911" t="str">
        <f>"30.073"</f>
        <v>30.073</v>
      </c>
      <c r="C1911" t="str">
        <f>"30.0727"</f>
        <v>30.0727</v>
      </c>
    </row>
    <row r="1912" spans="1:3" x14ac:dyDescent="0.25">
      <c r="A1912" t="str">
        <f>"04/05/2017"</f>
        <v>04/05/2017</v>
      </c>
      <c r="B1912" t="str">
        <f>"30.147"</f>
        <v>30.147</v>
      </c>
      <c r="C1912" t="str">
        <f>"30.1467"</f>
        <v>30.1467</v>
      </c>
    </row>
    <row r="1913" spans="1:3" x14ac:dyDescent="0.25">
      <c r="A1913" t="str">
        <f>"05/05/2017"</f>
        <v>05/05/2017</v>
      </c>
      <c r="B1913" t="str">
        <f>"30.182"</f>
        <v>30.182</v>
      </c>
      <c r="C1913" t="str">
        <f>"30.1817"</f>
        <v>30.1817</v>
      </c>
    </row>
    <row r="1914" spans="1:3" x14ac:dyDescent="0.25">
      <c r="A1914" t="str">
        <f>"08/05/2017"</f>
        <v>08/05/2017</v>
      </c>
      <c r="B1914" t="str">
        <f>"30.166"</f>
        <v>30.166</v>
      </c>
      <c r="C1914" t="str">
        <f>"30.1657"</f>
        <v>30.1657</v>
      </c>
    </row>
    <row r="1915" spans="1:3" x14ac:dyDescent="0.25">
      <c r="A1915" t="str">
        <f>"09/05/2017"</f>
        <v>09/05/2017</v>
      </c>
      <c r="B1915" t="str">
        <f>"30.247"</f>
        <v>30.247</v>
      </c>
      <c r="C1915" t="str">
        <f>"30.2467"</f>
        <v>30.2467</v>
      </c>
    </row>
    <row r="1916" spans="1:3" x14ac:dyDescent="0.25">
      <c r="A1916" t="str">
        <f>"11/05/2017"</f>
        <v>11/05/2017</v>
      </c>
      <c r="B1916" t="str">
        <f>"30.216"</f>
        <v>30.216</v>
      </c>
      <c r="C1916" t="str">
        <f>"30.2157"</f>
        <v>30.2157</v>
      </c>
    </row>
    <row r="1917" spans="1:3" x14ac:dyDescent="0.25">
      <c r="A1917" t="str">
        <f>"12/05/2017"</f>
        <v>12/05/2017</v>
      </c>
      <c r="B1917" t="str">
        <f>"30.201"</f>
        <v>30.201</v>
      </c>
      <c r="C1917" t="str">
        <f>"30.2007"</f>
        <v>30.2007</v>
      </c>
    </row>
    <row r="1918" spans="1:3" x14ac:dyDescent="0.25">
      <c r="A1918" t="str">
        <f>"15/05/2017"</f>
        <v>15/05/2017</v>
      </c>
      <c r="B1918" t="str">
        <f>"30.16"</f>
        <v>30.16</v>
      </c>
      <c r="C1918" t="str">
        <f>"30.1597"</f>
        <v>30.1597</v>
      </c>
    </row>
    <row r="1919" spans="1:3" x14ac:dyDescent="0.25">
      <c r="A1919" t="str">
        <f>"16/05/2017"</f>
        <v>16/05/2017</v>
      </c>
      <c r="B1919" t="str">
        <f>"30.115"</f>
        <v>30.115</v>
      </c>
      <c r="C1919" t="str">
        <f>"30.1147"</f>
        <v>30.1147</v>
      </c>
    </row>
    <row r="1920" spans="1:3" x14ac:dyDescent="0.25">
      <c r="A1920" t="str">
        <f>"17/05/2017"</f>
        <v>17/05/2017</v>
      </c>
      <c r="B1920" t="str">
        <f>"30.141"</f>
        <v>30.141</v>
      </c>
      <c r="C1920" t="str">
        <f>"30.1407"</f>
        <v>30.1407</v>
      </c>
    </row>
    <row r="1921" spans="1:3" x14ac:dyDescent="0.25">
      <c r="A1921" t="str">
        <f>"18/05/2017"</f>
        <v>18/05/2017</v>
      </c>
      <c r="B1921" t="str">
        <f>"30.227"</f>
        <v>30.227</v>
      </c>
      <c r="C1921" t="str">
        <f>"30.2267"</f>
        <v>30.2267</v>
      </c>
    </row>
    <row r="1922" spans="1:3" x14ac:dyDescent="0.25">
      <c r="A1922" t="str">
        <f>"19/05/2017"</f>
        <v>19/05/2017</v>
      </c>
      <c r="B1922" t="str">
        <f>"30.212"</f>
        <v>30.212</v>
      </c>
      <c r="C1922" t="str">
        <f>"30.2117"</f>
        <v>30.2117</v>
      </c>
    </row>
    <row r="1923" spans="1:3" x14ac:dyDescent="0.25">
      <c r="A1923" t="str">
        <f>"22/05/2017"</f>
        <v>22/05/2017</v>
      </c>
      <c r="B1923" t="str">
        <f>"30.052"</f>
        <v>30.052</v>
      </c>
      <c r="C1923" t="str">
        <f>"30.0517"</f>
        <v>30.0517</v>
      </c>
    </row>
    <row r="1924" spans="1:3" x14ac:dyDescent="0.25">
      <c r="A1924" t="str">
        <f>"23/05/2017"</f>
        <v>23/05/2017</v>
      </c>
      <c r="B1924" t="str">
        <f>"30.168"</f>
        <v>30.168</v>
      </c>
      <c r="C1924" t="str">
        <f>"30.1678"</f>
        <v>30.1678</v>
      </c>
    </row>
    <row r="1925" spans="1:3" x14ac:dyDescent="0.25">
      <c r="A1925" t="str">
        <f>"24/05/2017"</f>
        <v>24/05/2017</v>
      </c>
      <c r="B1925" t="str">
        <f>"30.183"</f>
        <v>30.183</v>
      </c>
      <c r="C1925" t="str">
        <f>"30.1828"</f>
        <v>30.1828</v>
      </c>
    </row>
    <row r="1926" spans="1:3" x14ac:dyDescent="0.25">
      <c r="A1926" t="str">
        <f>"25/05/2017"</f>
        <v>25/05/2017</v>
      </c>
      <c r="B1926" t="str">
        <f>"30.088"</f>
        <v>30.088</v>
      </c>
      <c r="C1926" t="str">
        <f>"30.0878"</f>
        <v>30.0878</v>
      </c>
    </row>
    <row r="1927" spans="1:3" x14ac:dyDescent="0.25">
      <c r="A1927" t="str">
        <f>"26/05/2017"</f>
        <v>26/05/2017</v>
      </c>
      <c r="B1927" t="str">
        <f>"30.125"</f>
        <v>30.125</v>
      </c>
      <c r="C1927" t="str">
        <f>"30.1248"</f>
        <v>30.1248</v>
      </c>
    </row>
    <row r="1928" spans="1:3" x14ac:dyDescent="0.25">
      <c r="A1928" t="str">
        <f>"29/05/2017"</f>
        <v>29/05/2017</v>
      </c>
      <c r="B1928" t="str">
        <f>"30.125"</f>
        <v>30.125</v>
      </c>
      <c r="C1928" t="str">
        <f>"30.1248"</f>
        <v>30.1248</v>
      </c>
    </row>
    <row r="1929" spans="1:3" x14ac:dyDescent="0.25">
      <c r="A1929" t="str">
        <f>"30/05/2017"</f>
        <v>30/05/2017</v>
      </c>
      <c r="B1929" t="str">
        <f>"30.125"</f>
        <v>30.125</v>
      </c>
      <c r="C1929" t="str">
        <f>"30.1248"</f>
        <v>30.1248</v>
      </c>
    </row>
    <row r="1930" spans="1:3" x14ac:dyDescent="0.25">
      <c r="A1930" t="str">
        <f>"31/05/2017"</f>
        <v>31/05/2017</v>
      </c>
      <c r="B1930" t="str">
        <f>"30.105"</f>
        <v>30.105</v>
      </c>
      <c r="C1930" t="str">
        <f>"30.1048"</f>
        <v>30.1048</v>
      </c>
    </row>
    <row r="1931" spans="1:3" x14ac:dyDescent="0.25">
      <c r="A1931" t="str">
        <f>"01/06/2017"</f>
        <v>01/06/2017</v>
      </c>
      <c r="B1931" t="str">
        <f>"30.117"</f>
        <v>30.117</v>
      </c>
      <c r="C1931" t="str">
        <f>"30.1168"</f>
        <v>30.1168</v>
      </c>
    </row>
    <row r="1932" spans="1:3" x14ac:dyDescent="0.25">
      <c r="A1932" t="str">
        <f>"02/06/2017"</f>
        <v>02/06/2017</v>
      </c>
      <c r="B1932" t="str">
        <f>"30.117"</f>
        <v>30.117</v>
      </c>
      <c r="C1932" t="str">
        <f>"30.1168"</f>
        <v>30.1168</v>
      </c>
    </row>
    <row r="1933" spans="1:3" x14ac:dyDescent="0.25">
      <c r="A1933" t="str">
        <f>"05/06/2017"</f>
        <v>05/06/2017</v>
      </c>
      <c r="B1933" t="str">
        <f>"30.092"</f>
        <v>30.092</v>
      </c>
      <c r="C1933" t="str">
        <f>"30.0918"</f>
        <v>30.0918</v>
      </c>
    </row>
    <row r="1934" spans="1:3" x14ac:dyDescent="0.25">
      <c r="A1934" t="str">
        <f>"06/06/2017"</f>
        <v>06/06/2017</v>
      </c>
      <c r="B1934" t="str">
        <f>"30.096"</f>
        <v>30.096</v>
      </c>
      <c r="C1934" t="str">
        <f>"30.0958"</f>
        <v>30.0958</v>
      </c>
    </row>
    <row r="1935" spans="1:3" x14ac:dyDescent="0.25">
      <c r="A1935" t="str">
        <f>"07/06/2017"</f>
        <v>07/06/2017</v>
      </c>
      <c r="B1935" t="str">
        <f>"30.098"</f>
        <v>30.098</v>
      </c>
      <c r="C1935" t="str">
        <f>"30.0978"</f>
        <v>30.0978</v>
      </c>
    </row>
    <row r="1936" spans="1:3" x14ac:dyDescent="0.25">
      <c r="A1936" t="str">
        <f>"08/06/2017"</f>
        <v>08/06/2017</v>
      </c>
      <c r="B1936" t="str">
        <f>"30.144"</f>
        <v>30.144</v>
      </c>
      <c r="C1936" t="str">
        <f>"30.1438"</f>
        <v>30.1438</v>
      </c>
    </row>
    <row r="1937" spans="1:3" x14ac:dyDescent="0.25">
      <c r="A1937" t="str">
        <f>"09/06/2017"</f>
        <v>09/06/2017</v>
      </c>
      <c r="B1937" t="str">
        <f>"30.109"</f>
        <v>30.109</v>
      </c>
      <c r="C1937" t="str">
        <f>"30.1088"</f>
        <v>30.1088</v>
      </c>
    </row>
    <row r="1938" spans="1:3" x14ac:dyDescent="0.25">
      <c r="A1938" t="str">
        <f>"12/06/2017"</f>
        <v>12/06/2017</v>
      </c>
      <c r="B1938" t="str">
        <f>"30.177"</f>
        <v>30.177</v>
      </c>
      <c r="C1938" t="str">
        <f>"30.1768"</f>
        <v>30.1768</v>
      </c>
    </row>
    <row r="1939" spans="1:3" x14ac:dyDescent="0.25">
      <c r="A1939" t="str">
        <f>"13/06/2017"</f>
        <v>13/06/2017</v>
      </c>
      <c r="B1939" t="str">
        <f>"30.228"</f>
        <v>30.228</v>
      </c>
      <c r="C1939" t="str">
        <f>"30.2277"</f>
        <v>30.2277</v>
      </c>
    </row>
    <row r="1940" spans="1:3" x14ac:dyDescent="0.25">
      <c r="A1940" t="str">
        <f>"14/06/2017"</f>
        <v>14/06/2017</v>
      </c>
      <c r="B1940" t="str">
        <f>"30.235"</f>
        <v>30.235</v>
      </c>
      <c r="C1940" t="str">
        <f>"30.2347"</f>
        <v>30.2347</v>
      </c>
    </row>
    <row r="1941" spans="1:3" x14ac:dyDescent="0.25">
      <c r="A1941" t="str">
        <f>"15/06/2017"</f>
        <v>15/06/2017</v>
      </c>
      <c r="B1941" t="str">
        <f>"30.247"</f>
        <v>30.247</v>
      </c>
      <c r="C1941" t="str">
        <f>"30.2467"</f>
        <v>30.2467</v>
      </c>
    </row>
    <row r="1942" spans="1:3" x14ac:dyDescent="0.25">
      <c r="A1942" t="str">
        <f>"16/06/2017"</f>
        <v>16/06/2017</v>
      </c>
      <c r="B1942" t="str">
        <f>"30.385"</f>
        <v>30.385</v>
      </c>
      <c r="C1942" t="str">
        <f>"30.3847"</f>
        <v>30.3847</v>
      </c>
    </row>
    <row r="1943" spans="1:3" x14ac:dyDescent="0.25">
      <c r="A1943" t="str">
        <f>"19/06/2017"</f>
        <v>19/06/2017</v>
      </c>
      <c r="B1943" t="str">
        <f>"30.377"</f>
        <v>30.377</v>
      </c>
      <c r="C1943" t="str">
        <f>"30.3767"</f>
        <v>30.3767</v>
      </c>
    </row>
    <row r="1944" spans="1:3" x14ac:dyDescent="0.25">
      <c r="A1944" t="str">
        <f>"20/06/2017"</f>
        <v>20/06/2017</v>
      </c>
      <c r="B1944" t="str">
        <f>"30.395"</f>
        <v>30.395</v>
      </c>
      <c r="C1944" t="str">
        <f>"30.3947"</f>
        <v>30.3947</v>
      </c>
    </row>
    <row r="1945" spans="1:3" x14ac:dyDescent="0.25">
      <c r="A1945" t="str">
        <f>"21/06/2017"</f>
        <v>21/06/2017</v>
      </c>
      <c r="B1945" t="str">
        <f>"30.468"</f>
        <v>30.468</v>
      </c>
      <c r="C1945" t="str">
        <f>"30.4677"</f>
        <v>30.4677</v>
      </c>
    </row>
    <row r="1946" spans="1:3" x14ac:dyDescent="0.25">
      <c r="A1946" t="str">
        <f>"22/06/2017"</f>
        <v>22/06/2017</v>
      </c>
      <c r="B1946" t="str">
        <f>"30.44"</f>
        <v>30.44</v>
      </c>
      <c r="C1946" t="str">
        <f>"30.4397"</f>
        <v>30.4397</v>
      </c>
    </row>
    <row r="1947" spans="1:3" x14ac:dyDescent="0.25">
      <c r="A1947" t="str">
        <f>"23/06/2017"</f>
        <v>23/06/2017</v>
      </c>
      <c r="B1947" t="str">
        <f>"30.40"</f>
        <v>30.40</v>
      </c>
      <c r="C1947" t="str">
        <f>"30.3997"</f>
        <v>30.3997</v>
      </c>
    </row>
    <row r="1948" spans="1:3" x14ac:dyDescent="0.25">
      <c r="A1948" t="str">
        <f>"27/06/2017"</f>
        <v>27/06/2017</v>
      </c>
      <c r="B1948" t="str">
        <f>"30.37"</f>
        <v>30.37</v>
      </c>
      <c r="C1948" t="str">
        <f>"30.3697"</f>
        <v>30.3697</v>
      </c>
    </row>
    <row r="1949" spans="1:3" x14ac:dyDescent="0.25">
      <c r="A1949" t="str">
        <f>"28/06/2017"</f>
        <v>28/06/2017</v>
      </c>
      <c r="B1949" t="str">
        <f>"30.439"</f>
        <v>30.439</v>
      </c>
      <c r="C1949" t="str">
        <f>"30.4387"</f>
        <v>30.4387</v>
      </c>
    </row>
    <row r="1950" spans="1:3" x14ac:dyDescent="0.25">
      <c r="A1950" t="str">
        <f>"29/06/2017"</f>
        <v>29/06/2017</v>
      </c>
      <c r="B1950" t="str">
        <f>"30.375"</f>
        <v>30.375</v>
      </c>
      <c r="C1950" t="str">
        <f>"30.3747"</f>
        <v>30.3747</v>
      </c>
    </row>
    <row r="1951" spans="1:3" x14ac:dyDescent="0.25">
      <c r="A1951" t="str">
        <f>"30/06/2017"</f>
        <v>30/06/2017</v>
      </c>
      <c r="B1951" t="str">
        <f>"30.435"</f>
        <v>30.435</v>
      </c>
      <c r="C1951" t="str">
        <f>"30.4347"</f>
        <v>30.4347</v>
      </c>
    </row>
    <row r="1952" spans="1:3" x14ac:dyDescent="0.25">
      <c r="A1952" t="str">
        <f>"03/07/2017"</f>
        <v>03/07/2017</v>
      </c>
      <c r="B1952" t="str">
        <f>"30.428"</f>
        <v>30.428</v>
      </c>
      <c r="C1952" t="str">
        <f>"30.4277"</f>
        <v>30.4277</v>
      </c>
    </row>
    <row r="1953" spans="1:3" x14ac:dyDescent="0.25">
      <c r="A1953" t="str">
        <f>"04/07/2017"</f>
        <v>04/07/2017</v>
      </c>
      <c r="B1953" t="str">
        <f>"30.528"</f>
        <v>30.528</v>
      </c>
      <c r="C1953" t="str">
        <f>"30.5277"</f>
        <v>30.5277</v>
      </c>
    </row>
    <row r="1954" spans="1:3" x14ac:dyDescent="0.25">
      <c r="A1954" t="str">
        <f>"05/07/2017"</f>
        <v>05/07/2017</v>
      </c>
      <c r="B1954" t="str">
        <f>"30.548"</f>
        <v>30.548</v>
      </c>
      <c r="C1954" t="str">
        <f>"30.5477"</f>
        <v>30.5477</v>
      </c>
    </row>
    <row r="1955" spans="1:3" x14ac:dyDescent="0.25">
      <c r="A1955" t="str">
        <f>"06/07/2017"</f>
        <v>06/07/2017</v>
      </c>
      <c r="B1955" t="str">
        <f>"30.601"</f>
        <v>30.601</v>
      </c>
      <c r="C1955" t="str">
        <f>"30.6007"</f>
        <v>30.6007</v>
      </c>
    </row>
    <row r="1956" spans="1:3" x14ac:dyDescent="0.25">
      <c r="A1956" t="str">
        <f>"07/07/2017"</f>
        <v>07/07/2017</v>
      </c>
      <c r="B1956" t="str">
        <f>"30.632"</f>
        <v>30.632</v>
      </c>
      <c r="C1956" t="str">
        <f>"30.6317"</f>
        <v>30.6317</v>
      </c>
    </row>
    <row r="1957" spans="1:3" x14ac:dyDescent="0.25">
      <c r="A1957" t="str">
        <f>"10/07/2017"</f>
        <v>10/07/2017</v>
      </c>
      <c r="B1957" t="str">
        <f>"30.586"</f>
        <v>30.586</v>
      </c>
      <c r="C1957" t="str">
        <f>"30.5857"</f>
        <v>30.5857</v>
      </c>
    </row>
    <row r="1958" spans="1:3" x14ac:dyDescent="0.25">
      <c r="A1958" t="str">
        <f>"11/07/2017"</f>
        <v>11/07/2017</v>
      </c>
      <c r="B1958" t="str">
        <f>"30.593"</f>
        <v>30.593</v>
      </c>
      <c r="C1958" t="str">
        <f>"30.5927"</f>
        <v>30.5927</v>
      </c>
    </row>
    <row r="1959" spans="1:3" x14ac:dyDescent="0.25">
      <c r="A1959" t="str">
        <f>"12/07/2017"</f>
        <v>12/07/2017</v>
      </c>
      <c r="B1959" t="str">
        <f>"30.49"</f>
        <v>30.49</v>
      </c>
      <c r="C1959" t="str">
        <f>"30.4897"</f>
        <v>30.4897</v>
      </c>
    </row>
    <row r="1960" spans="1:3" x14ac:dyDescent="0.25">
      <c r="A1960" t="str">
        <f>"13/07/2017"</f>
        <v>13/07/2017</v>
      </c>
      <c r="B1960" t="str">
        <f>"30.385"</f>
        <v>30.385</v>
      </c>
      <c r="C1960" t="str">
        <f>"30.3847"</f>
        <v>30.3847</v>
      </c>
    </row>
    <row r="1961" spans="1:3" x14ac:dyDescent="0.25">
      <c r="A1961" t="str">
        <f>"14/07/2017"</f>
        <v>14/07/2017</v>
      </c>
      <c r="B1961" t="str">
        <f>"30.417"</f>
        <v>30.417</v>
      </c>
      <c r="C1961" t="str">
        <f>"30.4167"</f>
        <v>30.4167</v>
      </c>
    </row>
    <row r="1962" spans="1:3" x14ac:dyDescent="0.25">
      <c r="A1962" t="str">
        <f>"17/07/2017"</f>
        <v>17/07/2017</v>
      </c>
      <c r="B1962" t="str">
        <f>"30.419"</f>
        <v>30.419</v>
      </c>
      <c r="C1962" t="str">
        <f>"30.4187"</f>
        <v>30.4187</v>
      </c>
    </row>
    <row r="1963" spans="1:3" x14ac:dyDescent="0.25">
      <c r="A1963" t="str">
        <f>"18/07/2017"</f>
        <v>18/07/2017</v>
      </c>
      <c r="B1963" t="str">
        <f>"30.372"</f>
        <v>30.372</v>
      </c>
      <c r="C1963" t="str">
        <f>"30.3717"</f>
        <v>30.3717</v>
      </c>
    </row>
    <row r="1964" spans="1:3" x14ac:dyDescent="0.25">
      <c r="A1964" t="str">
        <f>"19/07/2017"</f>
        <v>19/07/2017</v>
      </c>
      <c r="B1964" t="str">
        <f>"30.397"</f>
        <v>30.397</v>
      </c>
      <c r="C1964" t="str">
        <f>"30.3967"</f>
        <v>30.3967</v>
      </c>
    </row>
    <row r="1965" spans="1:3" x14ac:dyDescent="0.25">
      <c r="A1965" t="str">
        <f>"20/07/2017"</f>
        <v>20/07/2017</v>
      </c>
      <c r="B1965" t="str">
        <f>"30.457"</f>
        <v>30.457</v>
      </c>
      <c r="C1965" t="str">
        <f>"30.4567"</f>
        <v>30.4567</v>
      </c>
    </row>
    <row r="1966" spans="1:3" x14ac:dyDescent="0.25">
      <c r="A1966" t="str">
        <f>"21/07/2017"</f>
        <v>21/07/2017</v>
      </c>
      <c r="B1966" t="str">
        <f>"30.453"</f>
        <v>30.453</v>
      </c>
      <c r="C1966" t="str">
        <f>"30.4527"</f>
        <v>30.4527</v>
      </c>
    </row>
    <row r="1967" spans="1:3" x14ac:dyDescent="0.25">
      <c r="A1967" t="str">
        <f>"24/07/2017"</f>
        <v>24/07/2017</v>
      </c>
      <c r="B1967" t="str">
        <f>"30.359"</f>
        <v>30.359</v>
      </c>
      <c r="C1967" t="str">
        <f>"30.3586"</f>
        <v>30.3586</v>
      </c>
    </row>
    <row r="1968" spans="1:3" x14ac:dyDescent="0.25">
      <c r="A1968" t="str">
        <f>"25/07/2017"</f>
        <v>25/07/2017</v>
      </c>
      <c r="B1968" t="str">
        <f>"30.36"</f>
        <v>30.36</v>
      </c>
      <c r="C1968" t="str">
        <f>"30.3597"</f>
        <v>30.3597</v>
      </c>
    </row>
    <row r="1969" spans="1:3" x14ac:dyDescent="0.25">
      <c r="A1969" t="str">
        <f>"26/07/2017"</f>
        <v>26/07/2017</v>
      </c>
      <c r="B1969" t="str">
        <f>"30.402"</f>
        <v>30.402</v>
      </c>
      <c r="C1969" t="str">
        <f>"30.4017"</f>
        <v>30.4017</v>
      </c>
    </row>
    <row r="1970" spans="1:3" x14ac:dyDescent="0.25">
      <c r="A1970" t="str">
        <f>"27/07/2017"</f>
        <v>27/07/2017</v>
      </c>
      <c r="B1970" t="str">
        <f>"30.252"</f>
        <v>30.252</v>
      </c>
      <c r="C1970" t="str">
        <f>"30.2516"</f>
        <v>30.2516</v>
      </c>
    </row>
    <row r="1971" spans="1:3" x14ac:dyDescent="0.25">
      <c r="A1971" t="str">
        <f>"28/07/2017"</f>
        <v>28/07/2017</v>
      </c>
      <c r="B1971" t="str">
        <f>"30.351"</f>
        <v>30.351</v>
      </c>
      <c r="C1971" t="str">
        <f>"30.3506"</f>
        <v>30.3506</v>
      </c>
    </row>
    <row r="1972" spans="1:3" x14ac:dyDescent="0.25">
      <c r="A1972" t="str">
        <f>"31/07/2017"</f>
        <v>31/07/2017</v>
      </c>
      <c r="B1972" t="str">
        <f>"30.227"</f>
        <v>30.227</v>
      </c>
      <c r="C1972" t="str">
        <f>"30.2266"</f>
        <v>30.2266</v>
      </c>
    </row>
    <row r="1973" spans="1:3" x14ac:dyDescent="0.25">
      <c r="A1973" t="str">
        <f>"01/08/2017"</f>
        <v>01/08/2017</v>
      </c>
      <c r="B1973" t="str">
        <f>"30.256"</f>
        <v>30.256</v>
      </c>
      <c r="C1973" t="str">
        <f>"30.2556"</f>
        <v>30.2556</v>
      </c>
    </row>
    <row r="1974" spans="1:3" x14ac:dyDescent="0.25">
      <c r="A1974" t="str">
        <f>"02/08/2017"</f>
        <v>02/08/2017</v>
      </c>
      <c r="B1974" t="str">
        <f>"30.255"</f>
        <v>30.255</v>
      </c>
      <c r="C1974" t="str">
        <f>"30.2547"</f>
        <v>30.2547</v>
      </c>
    </row>
    <row r="1975" spans="1:3" x14ac:dyDescent="0.25">
      <c r="A1975" t="str">
        <f>"03/08/2017"</f>
        <v>03/08/2017</v>
      </c>
      <c r="B1975" t="str">
        <f>"30.23"</f>
        <v>30.23</v>
      </c>
      <c r="C1975" t="str">
        <f>"30.2297"</f>
        <v>30.2297</v>
      </c>
    </row>
    <row r="1976" spans="1:3" x14ac:dyDescent="0.25">
      <c r="A1976" t="str">
        <f>"04/08/2017"</f>
        <v>04/08/2017</v>
      </c>
      <c r="B1976" t="str">
        <f>"30.252"</f>
        <v>30.252</v>
      </c>
      <c r="C1976" t="str">
        <f>"30.2517"</f>
        <v>30.2517</v>
      </c>
    </row>
    <row r="1977" spans="1:3" x14ac:dyDescent="0.25">
      <c r="A1977" t="str">
        <f>"07/08/2017"</f>
        <v>07/08/2017</v>
      </c>
      <c r="B1977" t="str">
        <f>"30.234"</f>
        <v>30.234</v>
      </c>
      <c r="C1977" t="str">
        <f>"30.2337"</f>
        <v>30.2337</v>
      </c>
    </row>
    <row r="1978" spans="1:3" x14ac:dyDescent="0.25">
      <c r="A1978" t="str">
        <f>"08/08/2017"</f>
        <v>08/08/2017</v>
      </c>
      <c r="B1978" t="str">
        <f>"30.246"</f>
        <v>30.246</v>
      </c>
      <c r="C1978" t="str">
        <f>"30.2457"</f>
        <v>30.2457</v>
      </c>
    </row>
    <row r="1979" spans="1:3" x14ac:dyDescent="0.25">
      <c r="A1979" t="str">
        <f>"09/08/2017"</f>
        <v>09/08/2017</v>
      </c>
      <c r="B1979" t="str">
        <f>"30.219"</f>
        <v>30.219</v>
      </c>
      <c r="C1979" t="str">
        <f>"30.2187"</f>
        <v>30.2187</v>
      </c>
    </row>
    <row r="1980" spans="1:3" x14ac:dyDescent="0.25">
      <c r="A1980" t="str">
        <f>"10/08/2017"</f>
        <v>10/08/2017</v>
      </c>
      <c r="B1980" t="str">
        <f>"30.311"</f>
        <v>30.311</v>
      </c>
      <c r="C1980" t="str">
        <f>"30.3107"</f>
        <v>30.3107</v>
      </c>
    </row>
    <row r="1981" spans="1:3" x14ac:dyDescent="0.25">
      <c r="A1981" t="str">
        <f>"11/08/2017"</f>
        <v>11/08/2017</v>
      </c>
      <c r="B1981" t="str">
        <f>"30.358"</f>
        <v>30.358</v>
      </c>
      <c r="C1981" t="str">
        <f>"30.3577"</f>
        <v>30.3577</v>
      </c>
    </row>
    <row r="1982" spans="1:3" x14ac:dyDescent="0.25">
      <c r="A1982" t="str">
        <f>"14/08/2017"</f>
        <v>14/08/2017</v>
      </c>
      <c r="B1982" t="str">
        <f>"30.305"</f>
        <v>30.305</v>
      </c>
      <c r="C1982" t="str">
        <f>"30.3047"</f>
        <v>30.3047</v>
      </c>
    </row>
    <row r="1983" spans="1:3" x14ac:dyDescent="0.25">
      <c r="A1983" t="str">
        <f>"16/08/2017"</f>
        <v>16/08/2017</v>
      </c>
      <c r="B1983" t="str">
        <f>"30.381"</f>
        <v>30.381</v>
      </c>
      <c r="C1983" t="str">
        <f>"30.3807"</f>
        <v>30.3807</v>
      </c>
    </row>
    <row r="1984" spans="1:3" x14ac:dyDescent="0.25">
      <c r="A1984" t="str">
        <f>"18/08/2017"</f>
        <v>18/08/2017</v>
      </c>
      <c r="B1984" t="str">
        <f>"30.334"</f>
        <v>30.334</v>
      </c>
      <c r="C1984" t="str">
        <f>"30.3337"</f>
        <v>30.3337</v>
      </c>
    </row>
    <row r="1985" spans="1:3" x14ac:dyDescent="0.25">
      <c r="A1985" t="str">
        <f>"21/08/2017"</f>
        <v>21/08/2017</v>
      </c>
      <c r="B1985" t="str">
        <f>"30.33"</f>
        <v>30.33</v>
      </c>
      <c r="C1985" t="str">
        <f>"30.3296"</f>
        <v>30.3296</v>
      </c>
    </row>
    <row r="1986" spans="1:3" x14ac:dyDescent="0.25">
      <c r="A1986" t="str">
        <f>"22/08/2017"</f>
        <v>22/08/2017</v>
      </c>
      <c r="B1986" t="str">
        <f>"30.301"</f>
        <v>30.301</v>
      </c>
      <c r="C1986" t="str">
        <f>"30.3006"</f>
        <v>30.3006</v>
      </c>
    </row>
    <row r="1987" spans="1:3" x14ac:dyDescent="0.25">
      <c r="A1987" t="str">
        <f>"23/08/2017"</f>
        <v>23/08/2017</v>
      </c>
      <c r="B1987" t="str">
        <f>"30.289"</f>
        <v>30.289</v>
      </c>
      <c r="C1987" t="str">
        <f>"30.2887"</f>
        <v>30.2887</v>
      </c>
    </row>
    <row r="1988" spans="1:3" x14ac:dyDescent="0.25">
      <c r="A1988" t="str">
        <f>"24/08/2017"</f>
        <v>24/08/2017</v>
      </c>
      <c r="B1988" t="str">
        <f>"30.266"</f>
        <v>30.266</v>
      </c>
      <c r="C1988" t="str">
        <f>"30.2657"</f>
        <v>30.2657</v>
      </c>
    </row>
    <row r="1989" spans="1:3" x14ac:dyDescent="0.25">
      <c r="A1989" t="str">
        <f>"28/08/2017"</f>
        <v>28/08/2017</v>
      </c>
      <c r="B1989" t="str">
        <f>"30.163"</f>
        <v>30.163</v>
      </c>
      <c r="C1989" t="str">
        <f>"30.1626"</f>
        <v>30.1626</v>
      </c>
    </row>
    <row r="1990" spans="1:3" x14ac:dyDescent="0.25">
      <c r="A1990" t="str">
        <f>"29/08/2017"</f>
        <v>29/08/2017</v>
      </c>
      <c r="B1990" t="str">
        <f>"30.205"</f>
        <v>30.205</v>
      </c>
      <c r="C1990" t="str">
        <f>"30.2047"</f>
        <v>30.2047</v>
      </c>
    </row>
    <row r="1991" spans="1:3" x14ac:dyDescent="0.25">
      <c r="A1991" t="str">
        <f>"30/08/2017"</f>
        <v>30/08/2017</v>
      </c>
      <c r="B1991" t="str">
        <f>"30.14"</f>
        <v>30.14</v>
      </c>
      <c r="C1991" t="str">
        <f>"30.1396"</f>
        <v>30.1396</v>
      </c>
    </row>
    <row r="1992" spans="1:3" x14ac:dyDescent="0.25">
      <c r="A1992" t="str">
        <f>"31/08/2017"</f>
        <v>31/08/2017</v>
      </c>
      <c r="B1992" t="str">
        <f>"30.205"</f>
        <v>30.205</v>
      </c>
      <c r="C1992" t="str">
        <f>"30.2047"</f>
        <v>30.2047</v>
      </c>
    </row>
    <row r="1993" spans="1:3" x14ac:dyDescent="0.25">
      <c r="A1993" t="str">
        <f>"01/09/2017"</f>
        <v>01/09/2017</v>
      </c>
      <c r="B1993" t="str">
        <f>"30.156"</f>
        <v>30.156</v>
      </c>
      <c r="C1993" t="str">
        <f>"30.1557"</f>
        <v>30.1557</v>
      </c>
    </row>
    <row r="1994" spans="1:3" x14ac:dyDescent="0.25">
      <c r="A1994" t="str">
        <f>"04/09/2017"</f>
        <v>04/09/2017</v>
      </c>
      <c r="B1994" t="str">
        <f>"30.086"</f>
        <v>30.086</v>
      </c>
      <c r="C1994" t="str">
        <f>"30.0857"</f>
        <v>30.0857</v>
      </c>
    </row>
    <row r="1995" spans="1:3" x14ac:dyDescent="0.25">
      <c r="A1995" t="str">
        <f>"05/09/2017"</f>
        <v>05/09/2017</v>
      </c>
      <c r="B1995" t="str">
        <f>"30.072"</f>
        <v>30.072</v>
      </c>
      <c r="C1995" t="str">
        <f>"30.0716"</f>
        <v>30.0716</v>
      </c>
    </row>
    <row r="1996" spans="1:3" x14ac:dyDescent="0.25">
      <c r="A1996" t="str">
        <f>"06/09/2017"</f>
        <v>06/09/2017</v>
      </c>
      <c r="B1996" t="str">
        <f>"30.107"</f>
        <v>30.107</v>
      </c>
      <c r="C1996" t="str">
        <f>"30.1067"</f>
        <v>30.1067</v>
      </c>
    </row>
    <row r="1997" spans="1:3" x14ac:dyDescent="0.25">
      <c r="A1997" t="str">
        <f>"07/09/2017"</f>
        <v>07/09/2017</v>
      </c>
      <c r="B1997" t="str">
        <f>"30.045"</f>
        <v>30.045</v>
      </c>
      <c r="C1997" t="str">
        <f>"30.0447"</f>
        <v>30.0447</v>
      </c>
    </row>
    <row r="1998" spans="1:3" x14ac:dyDescent="0.25">
      <c r="A1998" t="str">
        <f>"08/09/2017"</f>
        <v>08/09/2017</v>
      </c>
      <c r="B1998" t="str">
        <f>"30.01"</f>
        <v>30.01</v>
      </c>
      <c r="C1998" t="str">
        <f>"30.0097"</f>
        <v>30.0097</v>
      </c>
    </row>
    <row r="1999" spans="1:3" x14ac:dyDescent="0.25">
      <c r="A1999" t="str">
        <f>"11/09/2017"</f>
        <v>11/09/2017</v>
      </c>
      <c r="B1999" t="str">
        <f>"30.026"</f>
        <v>30.026</v>
      </c>
      <c r="C1999" t="str">
        <f>"30.0257"</f>
        <v>30.0257</v>
      </c>
    </row>
    <row r="2000" spans="1:3" x14ac:dyDescent="0.25">
      <c r="A2000" t="str">
        <f>"12/09/2017"</f>
        <v>12/09/2017</v>
      </c>
      <c r="B2000" t="str">
        <f>"30.03"</f>
        <v>30.03</v>
      </c>
      <c r="C2000" t="str">
        <f>"30.0296"</f>
        <v>30.0296</v>
      </c>
    </row>
    <row r="2001" spans="1:3" x14ac:dyDescent="0.25">
      <c r="A2001" t="str">
        <f>"13/09/2017"</f>
        <v>13/09/2017</v>
      </c>
      <c r="B2001" t="str">
        <f>"30.056"</f>
        <v>30.056</v>
      </c>
      <c r="C2001" t="str">
        <f>"30.0556"</f>
        <v>30.0556</v>
      </c>
    </row>
    <row r="2002" spans="1:3" x14ac:dyDescent="0.25">
      <c r="A2002" t="str">
        <f>"14/09/2017"</f>
        <v>14/09/2017</v>
      </c>
      <c r="B2002" t="str">
        <f>"30.105"</f>
        <v>30.105</v>
      </c>
      <c r="C2002" t="str">
        <f>"30.1046"</f>
        <v>30.1046</v>
      </c>
    </row>
    <row r="2003" spans="1:3" x14ac:dyDescent="0.25">
      <c r="A2003" t="str">
        <f>"15/09/2017"</f>
        <v>15/09/2017</v>
      </c>
      <c r="B2003" t="str">
        <f>"30.092"</f>
        <v>30.092</v>
      </c>
      <c r="C2003" t="str">
        <f>"30.0916"</f>
        <v>30.0916</v>
      </c>
    </row>
    <row r="2004" spans="1:3" x14ac:dyDescent="0.25">
      <c r="A2004" t="str">
        <f>"18/09/2017"</f>
        <v>18/09/2017</v>
      </c>
      <c r="B2004" t="str">
        <f>"30.11"</f>
        <v>30.11</v>
      </c>
      <c r="C2004" t="str">
        <f>"30.1096"</f>
        <v>30.1096</v>
      </c>
    </row>
    <row r="2005" spans="1:3" x14ac:dyDescent="0.25">
      <c r="A2005" t="str">
        <f>"19/09/2017"</f>
        <v>19/09/2017</v>
      </c>
      <c r="B2005" t="str">
        <f>"30.137"</f>
        <v>30.137</v>
      </c>
      <c r="C2005" t="str">
        <f>"30.1366"</f>
        <v>30.1366</v>
      </c>
    </row>
    <row r="2006" spans="1:3" x14ac:dyDescent="0.25">
      <c r="A2006" t="str">
        <f>"20/09/2017"</f>
        <v>20/09/2017</v>
      </c>
      <c r="B2006" t="str">
        <f>"30.102"</f>
        <v>30.102</v>
      </c>
      <c r="C2006" t="str">
        <f>"30.1016"</f>
        <v>30.1016</v>
      </c>
    </row>
    <row r="2007" spans="1:3" x14ac:dyDescent="0.25">
      <c r="A2007" t="str">
        <f>"21/09/2017"</f>
        <v>21/09/2017</v>
      </c>
      <c r="B2007" t="str">
        <f>"30.21"</f>
        <v>30.21</v>
      </c>
      <c r="C2007" t="str">
        <f>"30.2096"</f>
        <v>30.2096</v>
      </c>
    </row>
    <row r="2008" spans="1:3" x14ac:dyDescent="0.25">
      <c r="A2008" t="str">
        <f>"22/09/2017"</f>
        <v>22/09/2017</v>
      </c>
      <c r="B2008" t="str">
        <f>"30.191"</f>
        <v>30.191</v>
      </c>
      <c r="C2008" t="str">
        <f>"30.1906"</f>
        <v>30.1906</v>
      </c>
    </row>
    <row r="2009" spans="1:3" x14ac:dyDescent="0.25">
      <c r="A2009" t="str">
        <f>"25/09/2017"</f>
        <v>25/09/2017</v>
      </c>
      <c r="B2009" t="str">
        <f>"30.172"</f>
        <v>30.172</v>
      </c>
      <c r="C2009" t="str">
        <f>"30.1716"</f>
        <v>30.1716</v>
      </c>
    </row>
    <row r="2010" spans="1:3" x14ac:dyDescent="0.25">
      <c r="A2010" t="str">
        <f>"26/09/2017"</f>
        <v>26/09/2017</v>
      </c>
      <c r="B2010" t="str">
        <f>"30.216"</f>
        <v>30.216</v>
      </c>
      <c r="C2010" t="str">
        <f>"30.2156"</f>
        <v>30.2156</v>
      </c>
    </row>
    <row r="2011" spans="1:3" x14ac:dyDescent="0.25">
      <c r="A2011" t="str">
        <f>"27/09/2017"</f>
        <v>27/09/2017</v>
      </c>
      <c r="B2011" t="str">
        <f>"30.305"</f>
        <v>30.305</v>
      </c>
      <c r="C2011" t="str">
        <f>"30.3045"</f>
        <v>30.3045</v>
      </c>
    </row>
    <row r="2012" spans="1:3" x14ac:dyDescent="0.25">
      <c r="A2012" t="str">
        <f>"28/09/2017"</f>
        <v>28/09/2017</v>
      </c>
      <c r="B2012" t="str">
        <f>"30.416"</f>
        <v>30.416</v>
      </c>
      <c r="C2012" t="str">
        <f>"30.4156"</f>
        <v>30.4156</v>
      </c>
    </row>
    <row r="2013" spans="1:3" x14ac:dyDescent="0.25">
      <c r="A2013" t="str">
        <f>"29/09/2017"</f>
        <v>29/09/2017</v>
      </c>
      <c r="B2013" t="str">
        <f>"30.336"</f>
        <v>30.336</v>
      </c>
      <c r="C2013" t="str">
        <f>"30.3356"</f>
        <v>30.3356</v>
      </c>
    </row>
    <row r="2014" spans="1:3" x14ac:dyDescent="0.25">
      <c r="A2014" t="str">
        <f>"03/10/2017"</f>
        <v>03/10/2017</v>
      </c>
      <c r="B2014" t="str">
        <f>"30.45"</f>
        <v>30.45</v>
      </c>
      <c r="C2014" t="str">
        <f>"30.4496"</f>
        <v>30.4496</v>
      </c>
    </row>
    <row r="2015" spans="1:3" x14ac:dyDescent="0.25">
      <c r="A2015" t="str">
        <f>"04/10/2017"</f>
        <v>04/10/2017</v>
      </c>
      <c r="B2015" t="str">
        <f>"30.45"</f>
        <v>30.45</v>
      </c>
      <c r="C2015" t="str">
        <f>"30.4496"</f>
        <v>30.4496</v>
      </c>
    </row>
    <row r="2016" spans="1:3" x14ac:dyDescent="0.25">
      <c r="A2016" t="str">
        <f>"05/10/2017"</f>
        <v>05/10/2017</v>
      </c>
      <c r="B2016" t="str">
        <f>"30.351"</f>
        <v>30.351</v>
      </c>
      <c r="C2016" t="str">
        <f>"30.3506"</f>
        <v>30.3506</v>
      </c>
    </row>
    <row r="2017" spans="1:3" x14ac:dyDescent="0.25">
      <c r="A2017" t="str">
        <f>"06/10/2017"</f>
        <v>06/10/2017</v>
      </c>
      <c r="B2017" t="str">
        <f>"30.376"</f>
        <v>30.376</v>
      </c>
      <c r="C2017" t="str">
        <f>"30.3756"</f>
        <v>30.3756</v>
      </c>
    </row>
    <row r="2018" spans="1:3" x14ac:dyDescent="0.25">
      <c r="A2018" t="str">
        <f>"09/10/2017"</f>
        <v>09/10/2017</v>
      </c>
      <c r="B2018" t="str">
        <f>"30.376"</f>
        <v>30.376</v>
      </c>
      <c r="C2018" t="str">
        <f>"30.3756"</f>
        <v>30.3756</v>
      </c>
    </row>
    <row r="2019" spans="1:3" x14ac:dyDescent="0.25">
      <c r="A2019" t="str">
        <f>"10/10/2017"</f>
        <v>10/10/2017</v>
      </c>
      <c r="B2019" t="str">
        <f>"30.376"</f>
        <v>30.376</v>
      </c>
      <c r="C2019" t="str">
        <f>"30.3756"</f>
        <v>30.3756</v>
      </c>
    </row>
    <row r="2020" spans="1:3" x14ac:dyDescent="0.25">
      <c r="A2020" t="str">
        <f>"11/10/2017"</f>
        <v>11/10/2017</v>
      </c>
      <c r="B2020" t="str">
        <f>"30.233"</f>
        <v>30.233</v>
      </c>
      <c r="C2020" t="str">
        <f>"30.2326"</f>
        <v>30.2326</v>
      </c>
    </row>
    <row r="2021" spans="1:3" x14ac:dyDescent="0.25">
      <c r="A2021" t="str">
        <f>"12/10/2017"</f>
        <v>12/10/2017</v>
      </c>
      <c r="B2021" t="str">
        <f>"30.213"</f>
        <v>30.213</v>
      </c>
      <c r="C2021" t="str">
        <f>"30.2126"</f>
        <v>30.2126</v>
      </c>
    </row>
    <row r="2022" spans="1:3" x14ac:dyDescent="0.25">
      <c r="A2022" t="str">
        <f>"13/10/2017"</f>
        <v>13/10/2017</v>
      </c>
      <c r="B2022" t="str">
        <f>"30.185"</f>
        <v>30.185</v>
      </c>
      <c r="C2022" t="str">
        <f>"30.1846"</f>
        <v>30.1846</v>
      </c>
    </row>
    <row r="2023" spans="1:3" x14ac:dyDescent="0.25">
      <c r="A2023" t="str">
        <f>"16/10/2017"</f>
        <v>16/10/2017</v>
      </c>
      <c r="B2023" t="str">
        <f>"30.158"</f>
        <v>30.158</v>
      </c>
      <c r="C2023" t="str">
        <f>"30.1576"</f>
        <v>30.1576</v>
      </c>
    </row>
    <row r="2024" spans="1:3" x14ac:dyDescent="0.25">
      <c r="A2024" t="str">
        <f>"17/10/2017"</f>
        <v>17/10/2017</v>
      </c>
      <c r="B2024" t="str">
        <f>"30.206"</f>
        <v>30.206</v>
      </c>
      <c r="C2024" t="str">
        <f>"30.2057"</f>
        <v>30.2057</v>
      </c>
    </row>
    <row r="2025" spans="1:3" x14ac:dyDescent="0.25">
      <c r="A2025" t="str">
        <f>"18/10/2017"</f>
        <v>18/10/2017</v>
      </c>
      <c r="B2025" t="str">
        <f>"30.20"</f>
        <v>30.20</v>
      </c>
      <c r="C2025" t="str">
        <f>"30.1997"</f>
        <v>30.1997</v>
      </c>
    </row>
    <row r="2026" spans="1:3" x14ac:dyDescent="0.25">
      <c r="A2026" t="str">
        <f>"23/10/2017"</f>
        <v>23/10/2017</v>
      </c>
      <c r="B2026" t="str">
        <f>"30.26"</f>
        <v>30.26</v>
      </c>
      <c r="C2026" t="str">
        <f>"30.2596"</f>
        <v>30.2596</v>
      </c>
    </row>
    <row r="2027" spans="1:3" x14ac:dyDescent="0.25">
      <c r="A2027" t="str">
        <f>"24/10/2017"</f>
        <v>24/10/2017</v>
      </c>
      <c r="B2027" t="str">
        <f>"30.272"</f>
        <v>30.272</v>
      </c>
      <c r="C2027" t="str">
        <f>"30.2716"</f>
        <v>30.2716</v>
      </c>
    </row>
    <row r="2028" spans="1:3" x14ac:dyDescent="0.25">
      <c r="A2028" t="str">
        <f>"25/10/2017"</f>
        <v>25/10/2017</v>
      </c>
      <c r="B2028" t="str">
        <f>"30.266"</f>
        <v>30.266</v>
      </c>
      <c r="C2028" t="str">
        <f>"30.2656"</f>
        <v>30.2656</v>
      </c>
    </row>
    <row r="2029" spans="1:3" x14ac:dyDescent="0.25">
      <c r="A2029" t="str">
        <f>"26/10/2017"</f>
        <v>26/10/2017</v>
      </c>
      <c r="B2029" t="str">
        <f>"30.232"</f>
        <v>30.232</v>
      </c>
      <c r="C2029" t="str">
        <f>"30.2316"</f>
        <v>30.2316</v>
      </c>
    </row>
    <row r="2030" spans="1:3" x14ac:dyDescent="0.25">
      <c r="A2030" t="str">
        <f>"27/10/2017"</f>
        <v>27/10/2017</v>
      </c>
      <c r="B2030" t="str">
        <f>"30.278"</f>
        <v>30.278</v>
      </c>
      <c r="C2030" t="str">
        <f>"30.2777"</f>
        <v>30.2777</v>
      </c>
    </row>
    <row r="2031" spans="1:3" x14ac:dyDescent="0.25">
      <c r="A2031" t="str">
        <f>"30/10/2017"</f>
        <v>30/10/2017</v>
      </c>
      <c r="B2031" t="str">
        <f>"30.205"</f>
        <v>30.205</v>
      </c>
      <c r="C2031" t="str">
        <f>"30.2047"</f>
        <v>30.2047</v>
      </c>
    </row>
    <row r="2032" spans="1:3" x14ac:dyDescent="0.25">
      <c r="A2032" t="str">
        <f>"31/10/2017"</f>
        <v>31/10/2017</v>
      </c>
      <c r="B2032" t="str">
        <f>"30.17"</f>
        <v>30.17</v>
      </c>
      <c r="C2032" t="str">
        <f>"30.1697"</f>
        <v>30.1697</v>
      </c>
    </row>
    <row r="2033" spans="1:3" x14ac:dyDescent="0.25">
      <c r="A2033" t="str">
        <f>"01/11/2017"</f>
        <v>01/11/2017</v>
      </c>
      <c r="B2033" t="str">
        <f>"30.175"</f>
        <v>30.175</v>
      </c>
      <c r="C2033" t="str">
        <f>"30.1747"</f>
        <v>30.1747</v>
      </c>
    </row>
    <row r="2034" spans="1:3" x14ac:dyDescent="0.25">
      <c r="A2034" t="str">
        <f>"02/11/2017"</f>
        <v>02/11/2017</v>
      </c>
      <c r="B2034" t="str">
        <f>"30.187"</f>
        <v>30.187</v>
      </c>
      <c r="C2034" t="str">
        <f>"30.1867"</f>
        <v>30.1867</v>
      </c>
    </row>
    <row r="2035" spans="1:3" x14ac:dyDescent="0.25">
      <c r="A2035" t="str">
        <f>"03/11/2017"</f>
        <v>03/11/2017</v>
      </c>
      <c r="B2035" t="str">
        <f>"30.172"</f>
        <v>30.172</v>
      </c>
      <c r="C2035" t="str">
        <f>"30.1717"</f>
        <v>30.1717</v>
      </c>
    </row>
    <row r="2036" spans="1:3" x14ac:dyDescent="0.25">
      <c r="A2036" t="str">
        <f>"06/11/2017"</f>
        <v>06/11/2017</v>
      </c>
      <c r="B2036" t="str">
        <f>"30.204"</f>
        <v>30.204</v>
      </c>
      <c r="C2036" t="str">
        <f>"30.2037"</f>
        <v>30.2037</v>
      </c>
    </row>
    <row r="2037" spans="1:3" x14ac:dyDescent="0.25">
      <c r="A2037" t="str">
        <f>"07/11/2017"</f>
        <v>07/11/2017</v>
      </c>
      <c r="B2037" t="str">
        <f>"30.172"</f>
        <v>30.172</v>
      </c>
      <c r="C2037" t="str">
        <f>"30.1717"</f>
        <v>30.1717</v>
      </c>
    </row>
    <row r="2038" spans="1:3" x14ac:dyDescent="0.25">
      <c r="A2038" t="str">
        <f>"08/11/2017"</f>
        <v>08/11/2017</v>
      </c>
      <c r="B2038" t="str">
        <f>"30.187"</f>
        <v>30.187</v>
      </c>
      <c r="C2038" t="str">
        <f>"30.1867"</f>
        <v>30.1867</v>
      </c>
    </row>
    <row r="2039" spans="1:3" x14ac:dyDescent="0.25">
      <c r="A2039" t="str">
        <f>"09/11/2017"</f>
        <v>09/11/2017</v>
      </c>
      <c r="B2039" t="str">
        <f>"30.183"</f>
        <v>30.183</v>
      </c>
      <c r="C2039" t="str">
        <f>"30.1827"</f>
        <v>30.1827</v>
      </c>
    </row>
    <row r="2040" spans="1:3" x14ac:dyDescent="0.25">
      <c r="A2040" t="str">
        <f>"10/11/2017"</f>
        <v>10/11/2017</v>
      </c>
      <c r="B2040" t="str">
        <f>"30.172"</f>
        <v>30.172</v>
      </c>
      <c r="C2040" t="str">
        <f>"30.1717"</f>
        <v>30.1717</v>
      </c>
    </row>
    <row r="2041" spans="1:3" x14ac:dyDescent="0.25">
      <c r="A2041" t="str">
        <f>"13/11/2017"</f>
        <v>13/11/2017</v>
      </c>
      <c r="B2041" t="str">
        <f>"30.195"</f>
        <v>30.195</v>
      </c>
      <c r="C2041" t="str">
        <f>"30.1947"</f>
        <v>30.1947</v>
      </c>
    </row>
    <row r="2042" spans="1:3" x14ac:dyDescent="0.25">
      <c r="A2042" t="str">
        <f>"14/11/2017"</f>
        <v>14/11/2017</v>
      </c>
      <c r="B2042" t="str">
        <f>"30.181"</f>
        <v>30.181</v>
      </c>
      <c r="C2042" t="str">
        <f>"30.1807"</f>
        <v>30.1807</v>
      </c>
    </row>
    <row r="2043" spans="1:3" x14ac:dyDescent="0.25">
      <c r="A2043" t="str">
        <f>"15/11/2017"</f>
        <v>15/11/2017</v>
      </c>
      <c r="B2043" t="str">
        <f>"30.152"</f>
        <v>30.152</v>
      </c>
      <c r="C2043" t="str">
        <f>"30.1517"</f>
        <v>30.1517</v>
      </c>
    </row>
    <row r="2044" spans="1:3" x14ac:dyDescent="0.25">
      <c r="A2044" t="str">
        <f>"16/11/2017"</f>
        <v>16/11/2017</v>
      </c>
      <c r="B2044" t="str">
        <f>"30.158"</f>
        <v>30.158</v>
      </c>
      <c r="C2044" t="str">
        <f>"30.1577"</f>
        <v>30.1577</v>
      </c>
    </row>
    <row r="2045" spans="1:3" x14ac:dyDescent="0.25">
      <c r="A2045" t="str">
        <f>"17/11/2017"</f>
        <v>17/11/2017</v>
      </c>
      <c r="B2045" t="str">
        <f>"30.13"</f>
        <v>30.13</v>
      </c>
      <c r="C2045" t="str">
        <f>"30.1297"</f>
        <v>30.1297</v>
      </c>
    </row>
    <row r="2046" spans="1:3" x14ac:dyDescent="0.25">
      <c r="A2046" t="str">
        <f>"20/11/2017"</f>
        <v>20/11/2017</v>
      </c>
      <c r="B2046" t="str">
        <f>"30.10"</f>
        <v>30.10</v>
      </c>
      <c r="C2046" t="str">
        <f>"30.0997"</f>
        <v>30.0997</v>
      </c>
    </row>
    <row r="2047" spans="1:3" x14ac:dyDescent="0.25">
      <c r="A2047" t="str">
        <f>"21/11/2017"</f>
        <v>21/11/2017</v>
      </c>
      <c r="B2047" t="str">
        <f>"30.06"</f>
        <v>30.06</v>
      </c>
      <c r="C2047" t="str">
        <f>"30.0596"</f>
        <v>30.0596</v>
      </c>
    </row>
    <row r="2048" spans="1:3" x14ac:dyDescent="0.25">
      <c r="A2048" t="str">
        <f>"22/11/2017"</f>
        <v>22/11/2017</v>
      </c>
      <c r="B2048" t="str">
        <f>"30.02"</f>
        <v>30.02</v>
      </c>
      <c r="C2048" t="str">
        <f>"30.0197"</f>
        <v>30.0197</v>
      </c>
    </row>
    <row r="2049" spans="1:3" x14ac:dyDescent="0.25">
      <c r="A2049" t="str">
        <f>"23/11/2017"</f>
        <v>23/11/2017</v>
      </c>
      <c r="B2049" t="str">
        <f>"30.007"</f>
        <v>30.007</v>
      </c>
      <c r="C2049" t="str">
        <f>"30.0067"</f>
        <v>30.0067</v>
      </c>
    </row>
    <row r="2050" spans="1:3" x14ac:dyDescent="0.25">
      <c r="A2050" t="str">
        <f>"24/11/2017"</f>
        <v>24/11/2017</v>
      </c>
      <c r="B2050" t="str">
        <f>"30.011"</f>
        <v>30.011</v>
      </c>
      <c r="C2050" t="str">
        <f>"30.0107"</f>
        <v>30.0107</v>
      </c>
    </row>
    <row r="2051" spans="1:3" x14ac:dyDescent="0.25">
      <c r="A2051" t="str">
        <f>"27/11/2017"</f>
        <v>27/11/2017</v>
      </c>
      <c r="B2051" t="str">
        <f>"30.006"</f>
        <v>30.006</v>
      </c>
      <c r="C2051" t="str">
        <f>"30.0057"</f>
        <v>30.0057</v>
      </c>
    </row>
    <row r="2052" spans="1:3" x14ac:dyDescent="0.25">
      <c r="A2052" t="str">
        <f>"28/11/2017"</f>
        <v>28/11/2017</v>
      </c>
      <c r="B2052" t="str">
        <f>"30.002"</f>
        <v>30.002</v>
      </c>
      <c r="C2052" t="str">
        <f>"30.0017"</f>
        <v>30.0017</v>
      </c>
    </row>
    <row r="2053" spans="1:3" x14ac:dyDescent="0.25">
      <c r="A2053" t="str">
        <f>"29/11/2017"</f>
        <v>29/11/2017</v>
      </c>
      <c r="B2053" t="str">
        <f>"29.99"</f>
        <v>29.99</v>
      </c>
      <c r="C2053" t="str">
        <f>"29.9896"</f>
        <v>29.9896</v>
      </c>
    </row>
    <row r="2054" spans="1:3" x14ac:dyDescent="0.25">
      <c r="A2054" t="str">
        <f>"30/11/2017"</f>
        <v>30/11/2017</v>
      </c>
      <c r="B2054" t="str">
        <f>"30.01"</f>
        <v>30.01</v>
      </c>
      <c r="C2054" t="str">
        <f>"30.0096"</f>
        <v>30.0096</v>
      </c>
    </row>
    <row r="2055" spans="1:3" x14ac:dyDescent="0.25">
      <c r="A2055" t="str">
        <f>"04/12/2017"</f>
        <v>04/12/2017</v>
      </c>
      <c r="B2055" t="str">
        <f>"30.074"</f>
        <v>30.074</v>
      </c>
      <c r="C2055" t="str">
        <f>"30.0735"</f>
        <v>30.0735</v>
      </c>
    </row>
    <row r="2056" spans="1:3" x14ac:dyDescent="0.25">
      <c r="A2056" t="str">
        <f>"05/12/2017"</f>
        <v>05/12/2017</v>
      </c>
      <c r="B2056" t="str">
        <f>"29.994"</f>
        <v>29.994</v>
      </c>
      <c r="C2056" t="str">
        <f>"29.9935"</f>
        <v>29.9935</v>
      </c>
    </row>
    <row r="2057" spans="1:3" x14ac:dyDescent="0.25">
      <c r="A2057" t="str">
        <f>"06/12/2017"</f>
        <v>06/12/2017</v>
      </c>
      <c r="B2057" t="str">
        <f>"30.01"</f>
        <v>30.01</v>
      </c>
      <c r="C2057" t="str">
        <f>"30.0095"</f>
        <v>30.0095</v>
      </c>
    </row>
    <row r="2058" spans="1:3" x14ac:dyDescent="0.25">
      <c r="A2058" t="str">
        <f>"07/12/2017"</f>
        <v>07/12/2017</v>
      </c>
      <c r="B2058" t="str">
        <f>"30.031"</f>
        <v>30.031</v>
      </c>
      <c r="C2058" t="str">
        <f>"30.0305"</f>
        <v>30.0305</v>
      </c>
    </row>
    <row r="2059" spans="1:3" x14ac:dyDescent="0.25">
      <c r="A2059" t="str">
        <f>"08/12/2017"</f>
        <v>08/12/2017</v>
      </c>
      <c r="B2059" t="str">
        <f>"30.013"</f>
        <v>30.013</v>
      </c>
      <c r="C2059" t="str">
        <f>"30.0125"</f>
        <v>30.0125</v>
      </c>
    </row>
    <row r="2060" spans="1:3" x14ac:dyDescent="0.25">
      <c r="A2060" t="str">
        <f>"11/12/2017"</f>
        <v>11/12/2017</v>
      </c>
      <c r="B2060" t="str">
        <f>"30.028"</f>
        <v>30.028</v>
      </c>
      <c r="C2060" t="str">
        <f>"30.0274"</f>
        <v>30.0274</v>
      </c>
    </row>
    <row r="2061" spans="1:3" x14ac:dyDescent="0.25">
      <c r="A2061" t="str">
        <f>"12/12/2017"</f>
        <v>12/12/2017</v>
      </c>
      <c r="B2061" t="str">
        <f>"30.02"</f>
        <v>30.02</v>
      </c>
      <c r="C2061" t="str">
        <f>"30.0194"</f>
        <v>30.0194</v>
      </c>
    </row>
    <row r="2062" spans="1:3" x14ac:dyDescent="0.25">
      <c r="A2062" t="str">
        <f>"13/12/2017"</f>
        <v>13/12/2017</v>
      </c>
      <c r="B2062" t="str">
        <f>"30.025"</f>
        <v>30.025</v>
      </c>
      <c r="C2062" t="str">
        <f>"30.0244"</f>
        <v>30.0244</v>
      </c>
    </row>
    <row r="2063" spans="1:3" x14ac:dyDescent="0.25">
      <c r="A2063" t="str">
        <f>"14/12/2017"</f>
        <v>14/12/2017</v>
      </c>
      <c r="B2063" t="str">
        <f>"30.007"</f>
        <v>30.007</v>
      </c>
      <c r="C2063" t="str">
        <f>"30.0064"</f>
        <v>30.0064</v>
      </c>
    </row>
    <row r="2064" spans="1:3" x14ac:dyDescent="0.25">
      <c r="A2064" t="str">
        <f>"15/12/2017"</f>
        <v>15/12/2017</v>
      </c>
      <c r="B2064" t="str">
        <f>"29.992"</f>
        <v>29.992</v>
      </c>
      <c r="C2064" t="str">
        <f>"29.9914"</f>
        <v>29.9914</v>
      </c>
    </row>
    <row r="2065" spans="1:3" x14ac:dyDescent="0.25">
      <c r="A2065" t="str">
        <f>"18/12/2017"</f>
        <v>18/12/2017</v>
      </c>
      <c r="B2065" t="str">
        <f>"30.008"</f>
        <v>30.008</v>
      </c>
      <c r="C2065" t="str">
        <f>"30.0073"</f>
        <v>30.0073</v>
      </c>
    </row>
    <row r="2066" spans="1:3" x14ac:dyDescent="0.25">
      <c r="A2066" t="str">
        <f>"19/12/2017"</f>
        <v>19/12/2017</v>
      </c>
      <c r="B2066" t="str">
        <f>"29.99"</f>
        <v>29.99</v>
      </c>
      <c r="C2066" t="str">
        <f>"29.9893"</f>
        <v>29.9893</v>
      </c>
    </row>
    <row r="2067" spans="1:3" x14ac:dyDescent="0.25">
      <c r="A2067" t="str">
        <f>"20/12/2017"</f>
        <v>20/12/2017</v>
      </c>
      <c r="B2067" t="str">
        <f>"30.00"</f>
        <v>30.00</v>
      </c>
      <c r="C2067" t="str">
        <f>"29.9994"</f>
        <v>29.9994</v>
      </c>
    </row>
    <row r="2068" spans="1:3" x14ac:dyDescent="0.25">
      <c r="A2068" t="str">
        <f>"21/12/2017"</f>
        <v>21/12/2017</v>
      </c>
      <c r="B2068" t="str">
        <f>"29.987"</f>
        <v>29.987</v>
      </c>
      <c r="C2068" t="str">
        <f>"29.9864"</f>
        <v>29.9864</v>
      </c>
    </row>
    <row r="2069" spans="1:3" x14ac:dyDescent="0.25">
      <c r="A2069" t="str">
        <f>"22/12/2017"</f>
        <v>22/12/2017</v>
      </c>
      <c r="B2069" t="str">
        <f>"29.968"</f>
        <v>29.968</v>
      </c>
      <c r="C2069" t="str">
        <f>"29.9674"</f>
        <v>29.9674</v>
      </c>
    </row>
    <row r="2070" spans="1:3" x14ac:dyDescent="0.25">
      <c r="A2070" t="str">
        <f>"26/12/2017"</f>
        <v>26/12/2017</v>
      </c>
      <c r="B2070" t="str">
        <f>"29.955"</f>
        <v>29.955</v>
      </c>
      <c r="C2070" t="str">
        <f>"29.9543"</f>
        <v>29.9543</v>
      </c>
    </row>
    <row r="2071" spans="1:3" x14ac:dyDescent="0.25">
      <c r="A2071" t="str">
        <f>"27/12/2017"</f>
        <v>27/12/2017</v>
      </c>
      <c r="B2071" t="str">
        <f>"29.941"</f>
        <v>29.941</v>
      </c>
      <c r="C2071" t="str">
        <f>"29.9403"</f>
        <v>29.9403</v>
      </c>
    </row>
    <row r="2072" spans="1:3" x14ac:dyDescent="0.25">
      <c r="A2072" t="str">
        <f>"28/12/2017"</f>
        <v>28/12/2017</v>
      </c>
      <c r="B2072" t="str">
        <f>"29.84"</f>
        <v>29.84</v>
      </c>
      <c r="C2072" t="str">
        <f>"29.8395"</f>
        <v>29.8395</v>
      </c>
    </row>
    <row r="2073" spans="1:3" x14ac:dyDescent="0.25">
      <c r="A2073" t="str">
        <f>"29/12/2017"</f>
        <v>29/12/2017</v>
      </c>
      <c r="B2073" t="str">
        <f>"29.849"</f>
        <v>29.849</v>
      </c>
      <c r="C2073" t="str">
        <f>"29.8485"</f>
        <v>29.8485</v>
      </c>
    </row>
    <row r="2074" spans="1:3" x14ac:dyDescent="0.25">
      <c r="A2074" t="str">
        <f>"02/01/2018"</f>
        <v>02/01/2018</v>
      </c>
      <c r="B2074" t="str">
        <f>"29.63"</f>
        <v>29.63</v>
      </c>
      <c r="C2074" t="str">
        <f>"29.6296"</f>
        <v>29.6296</v>
      </c>
    </row>
    <row r="2075" spans="1:3" x14ac:dyDescent="0.25">
      <c r="A2075" t="str">
        <f>"03/01/2018"</f>
        <v>03/01/2018</v>
      </c>
      <c r="B2075" t="str">
        <f>"29.60"</f>
        <v>29.60</v>
      </c>
      <c r="C2075" t="str">
        <f>"29.5996"</f>
        <v>29.5996</v>
      </c>
    </row>
    <row r="2076" spans="1:3" x14ac:dyDescent="0.25">
      <c r="A2076" t="str">
        <f>"04/01/2018"</f>
        <v>04/01/2018</v>
      </c>
      <c r="B2076" t="str">
        <f>"29.59"</f>
        <v>29.59</v>
      </c>
      <c r="C2076" t="str">
        <f>"29.5896"</f>
        <v>29.5896</v>
      </c>
    </row>
    <row r="2077" spans="1:3" x14ac:dyDescent="0.25">
      <c r="A2077" t="str">
        <f>"05/01/2018"</f>
        <v>05/01/2018</v>
      </c>
      <c r="B2077" t="str">
        <f>"29.554"</f>
        <v>29.554</v>
      </c>
      <c r="C2077" t="str">
        <f>"29.5537"</f>
        <v>29.5537</v>
      </c>
    </row>
    <row r="2078" spans="1:3" x14ac:dyDescent="0.25">
      <c r="A2078" t="str">
        <f>"08/01/2018"</f>
        <v>08/01/2018</v>
      </c>
      <c r="B2078" t="str">
        <f>"29.523"</f>
        <v>29.523</v>
      </c>
      <c r="C2078" t="str">
        <f>"29.5226"</f>
        <v>29.5226</v>
      </c>
    </row>
    <row r="2079" spans="1:3" x14ac:dyDescent="0.25">
      <c r="A2079" t="str">
        <f>"09/01/2018"</f>
        <v>09/01/2018</v>
      </c>
      <c r="B2079" t="str">
        <f>"29.536"</f>
        <v>29.536</v>
      </c>
      <c r="C2079" t="str">
        <f>"29.5356"</f>
        <v>29.5356</v>
      </c>
    </row>
    <row r="2080" spans="1:3" x14ac:dyDescent="0.25">
      <c r="A2080" t="str">
        <f>"10/01/2018"</f>
        <v>10/01/2018</v>
      </c>
      <c r="B2080" t="str">
        <f>"29.601"</f>
        <v>29.601</v>
      </c>
      <c r="C2080" t="str">
        <f>"29.6007"</f>
        <v>29.6007</v>
      </c>
    </row>
    <row r="2081" spans="1:3" x14ac:dyDescent="0.25">
      <c r="A2081" t="str">
        <f>"11/01/2018"</f>
        <v>11/01/2018</v>
      </c>
      <c r="B2081" t="str">
        <f>"29.63"</f>
        <v>29.63</v>
      </c>
      <c r="C2081" t="str">
        <f>"29.6296"</f>
        <v>29.6296</v>
      </c>
    </row>
    <row r="2082" spans="1:3" x14ac:dyDescent="0.25">
      <c r="A2082" t="str">
        <f>"12/01/2018"</f>
        <v>12/01/2018</v>
      </c>
      <c r="B2082" t="str">
        <f>"29.599"</f>
        <v>29.599</v>
      </c>
      <c r="C2082" t="str">
        <f>"29.5986"</f>
        <v>29.5986</v>
      </c>
    </row>
    <row r="2083" spans="1:3" x14ac:dyDescent="0.25">
      <c r="A2083" t="str">
        <f>"15/01/2018"</f>
        <v>15/01/2018</v>
      </c>
      <c r="B2083" t="str">
        <f>"29.542"</f>
        <v>29.542</v>
      </c>
      <c r="C2083" t="str">
        <f>"29.5416"</f>
        <v>29.5416</v>
      </c>
    </row>
    <row r="2084" spans="1:3" x14ac:dyDescent="0.25">
      <c r="A2084" t="str">
        <f>"16/01/2018"</f>
        <v>16/01/2018</v>
      </c>
      <c r="B2084" t="str">
        <f>"29.555"</f>
        <v>29.555</v>
      </c>
      <c r="C2084" t="str">
        <f>"29.5546"</f>
        <v>29.5546</v>
      </c>
    </row>
    <row r="2085" spans="1:3" x14ac:dyDescent="0.25">
      <c r="A2085" t="str">
        <f>"17/01/2018"</f>
        <v>17/01/2018</v>
      </c>
      <c r="B2085" t="str">
        <f>"29.56"</f>
        <v>29.56</v>
      </c>
      <c r="C2085" t="str">
        <f>"29.5596"</f>
        <v>29.5596</v>
      </c>
    </row>
    <row r="2086" spans="1:3" x14ac:dyDescent="0.25">
      <c r="A2086" t="str">
        <f>"18/01/2018"</f>
        <v>18/01/2018</v>
      </c>
      <c r="B2086" t="str">
        <f>"29.564"</f>
        <v>29.564</v>
      </c>
      <c r="C2086" t="str">
        <f>"29.5636"</f>
        <v>29.5636</v>
      </c>
    </row>
    <row r="2087" spans="1:3" x14ac:dyDescent="0.25">
      <c r="A2087" t="str">
        <f>"19/01/2018"</f>
        <v>19/01/2018</v>
      </c>
      <c r="B2087" t="str">
        <f>"29.43"</f>
        <v>29.43</v>
      </c>
      <c r="C2087" t="str">
        <f>"29.4296"</f>
        <v>29.4296</v>
      </c>
    </row>
    <row r="2088" spans="1:3" x14ac:dyDescent="0.25">
      <c r="A2088" t="str">
        <f>"22/01/2018"</f>
        <v>22/01/2018</v>
      </c>
      <c r="B2088" t="str">
        <f>"29.435"</f>
        <v>29.435</v>
      </c>
      <c r="C2088" t="str">
        <f>"29.4346"</f>
        <v>29.4346</v>
      </c>
    </row>
    <row r="2089" spans="1:3" x14ac:dyDescent="0.25">
      <c r="A2089" t="str">
        <f>"23/01/2018"</f>
        <v>23/01/2018</v>
      </c>
      <c r="B2089" t="str">
        <f>"29.402"</f>
        <v>29.402</v>
      </c>
      <c r="C2089" t="str">
        <f>"29.4016"</f>
        <v>29.4016</v>
      </c>
    </row>
    <row r="2090" spans="1:3" x14ac:dyDescent="0.25">
      <c r="A2090" t="str">
        <f>"24/01/2018"</f>
        <v>24/01/2018</v>
      </c>
      <c r="B2090" t="str">
        <f>"29.301"</f>
        <v>29.301</v>
      </c>
      <c r="C2090" t="str">
        <f>"29.3006"</f>
        <v>29.3006</v>
      </c>
    </row>
    <row r="2091" spans="1:3" x14ac:dyDescent="0.25">
      <c r="A2091" t="str">
        <f>"25/01/2018"</f>
        <v>25/01/2018</v>
      </c>
      <c r="B2091" t="str">
        <f>"29.069"</f>
        <v>29.069</v>
      </c>
      <c r="C2091" t="str">
        <f>"29.0687"</f>
        <v>29.0687</v>
      </c>
    </row>
    <row r="2092" spans="1:3" x14ac:dyDescent="0.25">
      <c r="A2092" t="str">
        <f>"29/01/2018"</f>
        <v>29/01/2018</v>
      </c>
      <c r="B2092" t="str">
        <f>"29.15"</f>
        <v>29.15</v>
      </c>
      <c r="C2092" t="str">
        <f>"29.1497"</f>
        <v>29.1497</v>
      </c>
    </row>
    <row r="2093" spans="1:3" x14ac:dyDescent="0.25">
      <c r="A2093" t="str">
        <f>"30/01/2018"</f>
        <v>30/01/2018</v>
      </c>
      <c r="B2093" t="str">
        <f>"29.24"</f>
        <v>29.24</v>
      </c>
      <c r="C2093" t="str">
        <f>"29.2397"</f>
        <v>29.2397</v>
      </c>
    </row>
    <row r="2094" spans="1:3" x14ac:dyDescent="0.25">
      <c r="A2094" t="str">
        <f>"31/01/2018"</f>
        <v>31/01/2018</v>
      </c>
      <c r="B2094" t="str">
        <f>"29.152"</f>
        <v>29.152</v>
      </c>
      <c r="C2094" t="str">
        <f>"29.1517"</f>
        <v>29.1517</v>
      </c>
    </row>
    <row r="2095" spans="1:3" x14ac:dyDescent="0.25">
      <c r="A2095" t="str">
        <f>"01/02/2018"</f>
        <v>01/02/2018</v>
      </c>
      <c r="B2095" t="str">
        <f>"29.206"</f>
        <v>29.206</v>
      </c>
      <c r="C2095" t="str">
        <f>"29.2057"</f>
        <v>29.2057</v>
      </c>
    </row>
    <row r="2096" spans="1:3" x14ac:dyDescent="0.25">
      <c r="A2096" t="str">
        <f>"02/02/2018"</f>
        <v>02/02/2018</v>
      </c>
      <c r="B2096" t="str">
        <f>"29.235"</f>
        <v>29.235</v>
      </c>
      <c r="C2096" t="str">
        <f>"29.2347"</f>
        <v>29.2347</v>
      </c>
    </row>
    <row r="2097" spans="1:3" x14ac:dyDescent="0.25">
      <c r="A2097" t="str">
        <f>"05/02/2018"</f>
        <v>05/02/2018</v>
      </c>
      <c r="B2097" t="str">
        <f>"29.307"</f>
        <v>29.307</v>
      </c>
      <c r="C2097" t="str">
        <f>"29.3067"</f>
        <v>29.3067</v>
      </c>
    </row>
    <row r="2098" spans="1:3" x14ac:dyDescent="0.25">
      <c r="A2098" t="str">
        <f>"06/02/2018"</f>
        <v>06/02/2018</v>
      </c>
      <c r="B2098" t="str">
        <f>"29.386"</f>
        <v>29.386</v>
      </c>
      <c r="C2098" t="str">
        <f>"29.3857"</f>
        <v>29.3857</v>
      </c>
    </row>
    <row r="2099" spans="1:3" x14ac:dyDescent="0.25">
      <c r="A2099" t="str">
        <f>"07/02/2018"</f>
        <v>07/02/2018</v>
      </c>
      <c r="B2099" t="str">
        <f>"29.272"</f>
        <v>29.272</v>
      </c>
      <c r="C2099" t="str">
        <f>"29.2717"</f>
        <v>29.2717</v>
      </c>
    </row>
    <row r="2100" spans="1:3" x14ac:dyDescent="0.25">
      <c r="A2100" t="str">
        <f>"08/02/2018"</f>
        <v>08/02/2018</v>
      </c>
      <c r="B2100" t="str">
        <f>"29.392"</f>
        <v>29.392</v>
      </c>
      <c r="C2100" t="str">
        <f>"29.3917"</f>
        <v>29.3917</v>
      </c>
    </row>
    <row r="2101" spans="1:3" x14ac:dyDescent="0.25">
      <c r="A2101" t="str">
        <f>"09/02/2018"</f>
        <v>09/02/2018</v>
      </c>
      <c r="B2101" t="str">
        <f>"29.407"</f>
        <v>29.407</v>
      </c>
      <c r="C2101" t="str">
        <f>"29.4067"</f>
        <v>29.4067</v>
      </c>
    </row>
    <row r="2102" spans="1:3" x14ac:dyDescent="0.25">
      <c r="A2102" t="str">
        <f>"12/02/2018"</f>
        <v>12/02/2018</v>
      </c>
      <c r="B2102" t="str">
        <f>"29.402"</f>
        <v>29.402</v>
      </c>
      <c r="C2102" t="str">
        <f>"29.4017"</f>
        <v>29.4017</v>
      </c>
    </row>
    <row r="2103" spans="1:3" x14ac:dyDescent="0.25">
      <c r="A2103" t="str">
        <f>"14/02/2018"</f>
        <v>14/02/2018</v>
      </c>
      <c r="B2103" t="str">
        <f>"29.343"</f>
        <v>29.343</v>
      </c>
      <c r="C2103" t="str">
        <f>"29.3427"</f>
        <v>29.3427</v>
      </c>
    </row>
    <row r="2104" spans="1:3" x14ac:dyDescent="0.25">
      <c r="A2104" t="str">
        <f>"15/02/2018"</f>
        <v>15/02/2018</v>
      </c>
      <c r="B2104" t="str">
        <f>"29.343"</f>
        <v>29.343</v>
      </c>
      <c r="C2104" t="str">
        <f>"29.3427"</f>
        <v>29.3427</v>
      </c>
    </row>
    <row r="2105" spans="1:3" x14ac:dyDescent="0.25">
      <c r="A2105" t="str">
        <f>"16/02/2018"</f>
        <v>16/02/2018</v>
      </c>
      <c r="B2105" t="str">
        <f>"29.343"</f>
        <v>29.343</v>
      </c>
      <c r="C2105" t="str">
        <f>"29.3427"</f>
        <v>29.3427</v>
      </c>
    </row>
    <row r="2106" spans="1:3" x14ac:dyDescent="0.25">
      <c r="A2106" t="str">
        <f>"20/02/2018"</f>
        <v>20/02/2018</v>
      </c>
      <c r="B2106" t="str">
        <f>"29.343"</f>
        <v>29.343</v>
      </c>
      <c r="C2106" t="str">
        <f>"29.3427"</f>
        <v>29.3427</v>
      </c>
    </row>
    <row r="2107" spans="1:3" x14ac:dyDescent="0.25">
      <c r="A2107" t="str">
        <f>"21/02/2018"</f>
        <v>21/02/2018</v>
      </c>
      <c r="B2107" t="str">
        <f>"29.245"</f>
        <v>29.245</v>
      </c>
      <c r="C2107" t="str">
        <f>"29.2447"</f>
        <v>29.2447</v>
      </c>
    </row>
    <row r="2108" spans="1:3" x14ac:dyDescent="0.25">
      <c r="A2108" t="str">
        <f>"22/02/2018"</f>
        <v>22/02/2018</v>
      </c>
      <c r="B2108" t="str">
        <f>"29.301"</f>
        <v>29.301</v>
      </c>
      <c r="C2108" t="str">
        <f>"29.3007"</f>
        <v>29.3007</v>
      </c>
    </row>
    <row r="2109" spans="1:3" x14ac:dyDescent="0.25">
      <c r="A2109" t="str">
        <f>"23/02/2018"</f>
        <v>23/02/2018</v>
      </c>
      <c r="B2109" t="str">
        <f>"29.31"</f>
        <v>29.31</v>
      </c>
      <c r="C2109" t="str">
        <f>"29.3096"</f>
        <v>29.3096</v>
      </c>
    </row>
    <row r="2110" spans="1:3" x14ac:dyDescent="0.25">
      <c r="A2110" t="str">
        <f>"26/02/2018"</f>
        <v>26/02/2018</v>
      </c>
      <c r="B2110" t="str">
        <f>"29.237"</f>
        <v>29.237</v>
      </c>
      <c r="C2110" t="str">
        <f>"29.2366"</f>
        <v>29.2366</v>
      </c>
    </row>
    <row r="2111" spans="1:3" x14ac:dyDescent="0.25">
      <c r="A2111" t="str">
        <f>"27/02/2018"</f>
        <v>27/02/2018</v>
      </c>
      <c r="B2111" t="str">
        <f>"29.23"</f>
        <v>29.23</v>
      </c>
      <c r="C2111" t="str">
        <f>"29.2296"</f>
        <v>29.2296</v>
      </c>
    </row>
    <row r="2112" spans="1:3" x14ac:dyDescent="0.25">
      <c r="A2112" t="str">
        <f>"28/02/2018"</f>
        <v>28/02/2018</v>
      </c>
      <c r="B2112" t="str">
        <f>"29.23"</f>
        <v>29.23</v>
      </c>
      <c r="C2112" t="str">
        <f>"29.2296"</f>
        <v>29.2296</v>
      </c>
    </row>
    <row r="2113" spans="1:3" x14ac:dyDescent="0.25">
      <c r="A2113" t="str">
        <f>"01/03/2018"</f>
        <v>01/03/2018</v>
      </c>
      <c r="B2113" t="str">
        <f>"29.32"</f>
        <v>29.32</v>
      </c>
      <c r="C2113" t="str">
        <f>"29.3195"</f>
        <v>29.3195</v>
      </c>
    </row>
    <row r="2114" spans="1:3" x14ac:dyDescent="0.25">
      <c r="A2114" t="str">
        <f>"05/03/2018"</f>
        <v>05/03/2018</v>
      </c>
      <c r="B2114" t="str">
        <f>"29.292"</f>
        <v>29.292</v>
      </c>
      <c r="C2114" t="str">
        <f>"29.2915"</f>
        <v>29.2915</v>
      </c>
    </row>
    <row r="2115" spans="1:3" x14ac:dyDescent="0.25">
      <c r="A2115" t="str">
        <f>"06/03/2018"</f>
        <v>06/03/2018</v>
      </c>
      <c r="B2115" t="str">
        <f>"29.287"</f>
        <v>29.287</v>
      </c>
      <c r="C2115" t="str">
        <f>"29.2865"</f>
        <v>29.2865</v>
      </c>
    </row>
    <row r="2116" spans="1:3" x14ac:dyDescent="0.25">
      <c r="A2116" t="str">
        <f>"07/03/2018"</f>
        <v>07/03/2018</v>
      </c>
      <c r="B2116" t="str">
        <f>"29.256"</f>
        <v>29.256</v>
      </c>
      <c r="C2116" t="str">
        <f>"29.2555"</f>
        <v>29.2555</v>
      </c>
    </row>
    <row r="2117" spans="1:3" x14ac:dyDescent="0.25">
      <c r="A2117" t="str">
        <f>"08/03/2018"</f>
        <v>08/03/2018</v>
      </c>
      <c r="B2117" t="str">
        <f>"29.262"</f>
        <v>29.262</v>
      </c>
      <c r="C2117" t="str">
        <f>"29.2615"</f>
        <v>29.2615</v>
      </c>
    </row>
    <row r="2118" spans="1:3" x14ac:dyDescent="0.25">
      <c r="A2118" t="str">
        <f>"09/03/2018"</f>
        <v>09/03/2018</v>
      </c>
      <c r="B2118" t="str">
        <f>"29.301"</f>
        <v>29.301</v>
      </c>
      <c r="C2118" t="str">
        <f>"29.3005"</f>
        <v>29.3005</v>
      </c>
    </row>
    <row r="2119" spans="1:3" x14ac:dyDescent="0.25">
      <c r="A2119" t="str">
        <f>"12/03/2018"</f>
        <v>12/03/2018</v>
      </c>
      <c r="B2119" t="str">
        <f>"29.281"</f>
        <v>29.281</v>
      </c>
      <c r="C2119" t="str">
        <f>"29.2805"</f>
        <v>29.2805</v>
      </c>
    </row>
    <row r="2120" spans="1:3" x14ac:dyDescent="0.25">
      <c r="A2120" t="str">
        <f>"13/03/2018"</f>
        <v>13/03/2018</v>
      </c>
      <c r="B2120" t="str">
        <f>"29.252"</f>
        <v>29.252</v>
      </c>
      <c r="C2120" t="str">
        <f>"29.2515"</f>
        <v>29.2515</v>
      </c>
    </row>
    <row r="2121" spans="1:3" x14ac:dyDescent="0.25">
      <c r="A2121" t="str">
        <f>"14/03/2018"</f>
        <v>14/03/2018</v>
      </c>
      <c r="B2121" t="str">
        <f>"29.257"</f>
        <v>29.257</v>
      </c>
      <c r="C2121" t="str">
        <f>"29.2565"</f>
        <v>29.2565</v>
      </c>
    </row>
    <row r="2122" spans="1:3" x14ac:dyDescent="0.25">
      <c r="A2122" t="str">
        <f>"15/03/2018"</f>
        <v>15/03/2018</v>
      </c>
      <c r="B2122" t="str">
        <f>"29.203"</f>
        <v>29.203</v>
      </c>
      <c r="C2122" t="str">
        <f>"29.2024"</f>
        <v>29.2024</v>
      </c>
    </row>
    <row r="2123" spans="1:3" x14ac:dyDescent="0.25">
      <c r="A2123" t="str">
        <f>"16/03/2018"</f>
        <v>16/03/2018</v>
      </c>
      <c r="B2123" t="str">
        <f>"29.231"</f>
        <v>29.231</v>
      </c>
      <c r="C2123" t="str">
        <f>"29.2304"</f>
        <v>29.2304</v>
      </c>
    </row>
    <row r="2124" spans="1:3" x14ac:dyDescent="0.25">
      <c r="A2124" t="str">
        <f>"19/03/2018"</f>
        <v>19/03/2018</v>
      </c>
      <c r="B2124" t="str">
        <f>"29.20"</f>
        <v>29.20</v>
      </c>
      <c r="C2124" t="str">
        <f>"29.1994"</f>
        <v>29.1994</v>
      </c>
    </row>
    <row r="2125" spans="1:3" x14ac:dyDescent="0.25">
      <c r="A2125" t="str">
        <f>"20/03/2018"</f>
        <v>20/03/2018</v>
      </c>
      <c r="B2125" t="str">
        <f>"29.175"</f>
        <v>29.175</v>
      </c>
      <c r="C2125" t="str">
        <f>"29.1744"</f>
        <v>29.1744</v>
      </c>
    </row>
    <row r="2126" spans="1:3" x14ac:dyDescent="0.25">
      <c r="A2126" t="str">
        <f>"21/03/2018"</f>
        <v>21/03/2018</v>
      </c>
      <c r="B2126" t="str">
        <f>"29.19"</f>
        <v>29.19</v>
      </c>
      <c r="C2126" t="str">
        <f>"29.1894"</f>
        <v>29.1894</v>
      </c>
    </row>
    <row r="2127" spans="1:3" x14ac:dyDescent="0.25">
      <c r="A2127" t="str">
        <f>"22/03/2018"</f>
        <v>22/03/2018</v>
      </c>
      <c r="B2127" t="str">
        <f>"29.153"</f>
        <v>29.153</v>
      </c>
      <c r="C2127" t="str">
        <f>"29.1523"</f>
        <v>29.1523</v>
      </c>
    </row>
    <row r="2128" spans="1:3" x14ac:dyDescent="0.25">
      <c r="A2128" t="str">
        <f>"23/03/2018"</f>
        <v>23/03/2018</v>
      </c>
      <c r="B2128" t="str">
        <f>"29.168"</f>
        <v>29.168</v>
      </c>
      <c r="C2128" t="str">
        <f>"29.1673"</f>
        <v>29.1673</v>
      </c>
    </row>
    <row r="2129" spans="1:3" x14ac:dyDescent="0.25">
      <c r="A2129" t="str">
        <f>"26/03/2018"</f>
        <v>26/03/2018</v>
      </c>
      <c r="B2129" t="str">
        <f>"29.153"</f>
        <v>29.153</v>
      </c>
      <c r="C2129" t="str">
        <f>"29.1522"</f>
        <v>29.1522</v>
      </c>
    </row>
    <row r="2130" spans="1:3" x14ac:dyDescent="0.25">
      <c r="A2130" t="str">
        <f>"27/03/2018"</f>
        <v>27/03/2018</v>
      </c>
      <c r="B2130" t="str">
        <f>"29.142"</f>
        <v>29.142</v>
      </c>
      <c r="C2130" t="str">
        <f>"29.1414"</f>
        <v>29.1414</v>
      </c>
    </row>
    <row r="2131" spans="1:3" x14ac:dyDescent="0.25">
      <c r="A2131" t="str">
        <f>"28/03/2018"</f>
        <v>28/03/2018</v>
      </c>
      <c r="B2131" t="str">
        <f>"29.163"</f>
        <v>29.163</v>
      </c>
      <c r="C2131" t="str">
        <f>"29.1624"</f>
        <v>29.1624</v>
      </c>
    </row>
    <row r="2132" spans="1:3" x14ac:dyDescent="0.25">
      <c r="A2132" t="str">
        <f>"03/04/2018"</f>
        <v>03/04/2018</v>
      </c>
      <c r="B2132" t="str">
        <f>"29.15"</f>
        <v>29.15</v>
      </c>
      <c r="C2132" t="str">
        <f>"29.1495"</f>
        <v>29.1495</v>
      </c>
    </row>
    <row r="2133" spans="1:3" x14ac:dyDescent="0.25">
      <c r="A2133" t="str">
        <f>"04/04/2018"</f>
        <v>04/04/2018</v>
      </c>
      <c r="B2133" t="str">
        <f>"29.15"</f>
        <v>29.15</v>
      </c>
      <c r="C2133" t="str">
        <f>"29.1495"</f>
        <v>29.1495</v>
      </c>
    </row>
    <row r="2134" spans="1:3" x14ac:dyDescent="0.25">
      <c r="A2134" t="str">
        <f>"05/04/2018"</f>
        <v>05/04/2018</v>
      </c>
      <c r="B2134" t="str">
        <f>"29.15"</f>
        <v>29.15</v>
      </c>
      <c r="C2134" t="str">
        <f>"29.1495"</f>
        <v>29.1495</v>
      </c>
    </row>
    <row r="2135" spans="1:3" x14ac:dyDescent="0.25">
      <c r="A2135" t="str">
        <f>"06/04/2018"</f>
        <v>06/04/2018</v>
      </c>
      <c r="B2135" t="str">
        <f>"29.15"</f>
        <v>29.15</v>
      </c>
      <c r="C2135" t="str">
        <f>"29.1495"</f>
        <v>29.1495</v>
      </c>
    </row>
    <row r="2136" spans="1:3" x14ac:dyDescent="0.25">
      <c r="A2136" t="str">
        <f>"09/04/2018"</f>
        <v>09/04/2018</v>
      </c>
      <c r="B2136" t="str">
        <f>"29.202"</f>
        <v>29.202</v>
      </c>
      <c r="C2136" t="str">
        <f>"29.2014"</f>
        <v>29.2014</v>
      </c>
    </row>
    <row r="2137" spans="1:3" x14ac:dyDescent="0.25">
      <c r="A2137" t="str">
        <f>"10/04/2018"</f>
        <v>10/04/2018</v>
      </c>
      <c r="B2137" t="str">
        <f>"29.192"</f>
        <v>29.192</v>
      </c>
      <c r="C2137" t="str">
        <f>"29.1915"</f>
        <v>29.1915</v>
      </c>
    </row>
    <row r="2138" spans="1:3" x14ac:dyDescent="0.25">
      <c r="A2138" t="str">
        <f>"11/04/2018"</f>
        <v>11/04/2018</v>
      </c>
      <c r="B2138" t="str">
        <f>"29.201"</f>
        <v>29.201</v>
      </c>
      <c r="C2138" t="str">
        <f>"29.2005"</f>
        <v>29.2005</v>
      </c>
    </row>
    <row r="2139" spans="1:3" x14ac:dyDescent="0.25">
      <c r="A2139" t="str">
        <f>"12/04/2018"</f>
        <v>12/04/2018</v>
      </c>
      <c r="B2139" t="str">
        <f>"29.262"</f>
        <v>29.262</v>
      </c>
      <c r="C2139" t="str">
        <f>"29.2615"</f>
        <v>29.2615</v>
      </c>
    </row>
    <row r="2140" spans="1:3" x14ac:dyDescent="0.25">
      <c r="A2140" t="str">
        <f>"13/04/2018"</f>
        <v>13/04/2018</v>
      </c>
      <c r="B2140" t="str">
        <f>"29.302"</f>
        <v>29.302</v>
      </c>
      <c r="C2140" t="str">
        <f>"29.3015"</f>
        <v>29.3015</v>
      </c>
    </row>
    <row r="2141" spans="1:3" x14ac:dyDescent="0.25">
      <c r="A2141" t="str">
        <f>"16/04/2018"</f>
        <v>16/04/2018</v>
      </c>
      <c r="B2141" t="str">
        <f>"29.426"</f>
        <v>29.426</v>
      </c>
      <c r="C2141" t="str">
        <f>"29.4255"</f>
        <v>29.4255</v>
      </c>
    </row>
    <row r="2142" spans="1:3" x14ac:dyDescent="0.25">
      <c r="A2142" t="str">
        <f>"17/04/2018"</f>
        <v>17/04/2018</v>
      </c>
      <c r="B2142" t="str">
        <f>"29.362"</f>
        <v>29.362</v>
      </c>
      <c r="C2142" t="str">
        <f>"29.3615"</f>
        <v>29.3615</v>
      </c>
    </row>
    <row r="2143" spans="1:3" x14ac:dyDescent="0.25">
      <c r="A2143" t="str">
        <f>"18/04/2018"</f>
        <v>18/04/2018</v>
      </c>
      <c r="B2143" t="str">
        <f>"29.366"</f>
        <v>29.366</v>
      </c>
      <c r="C2143" t="str">
        <f>"29.3655"</f>
        <v>29.3655</v>
      </c>
    </row>
    <row r="2144" spans="1:3" x14ac:dyDescent="0.25">
      <c r="A2144" t="str">
        <f>"19/04/2018"</f>
        <v>19/04/2018</v>
      </c>
      <c r="B2144" t="str">
        <f>"29.342"</f>
        <v>29.342</v>
      </c>
      <c r="C2144" t="str">
        <f>"29.3415"</f>
        <v>29.3415</v>
      </c>
    </row>
    <row r="2145" spans="1:3" x14ac:dyDescent="0.25">
      <c r="A2145" t="str">
        <f>"20/04/2018"</f>
        <v>20/04/2018</v>
      </c>
      <c r="B2145" t="str">
        <f>"29.408"</f>
        <v>29.408</v>
      </c>
      <c r="C2145" t="str">
        <f>"29.4075"</f>
        <v>29.4075</v>
      </c>
    </row>
    <row r="2146" spans="1:3" x14ac:dyDescent="0.25">
      <c r="A2146" t="str">
        <f>"23/04/2018"</f>
        <v>23/04/2018</v>
      </c>
      <c r="B2146" t="str">
        <f>"29.535"</f>
        <v>29.535</v>
      </c>
      <c r="C2146" t="str">
        <f>"29.5345"</f>
        <v>29.5345</v>
      </c>
    </row>
    <row r="2147" spans="1:3" x14ac:dyDescent="0.25">
      <c r="A2147" t="str">
        <f>"24/04/2018"</f>
        <v>24/04/2018</v>
      </c>
      <c r="B2147" t="str">
        <f>"29.616"</f>
        <v>29.616</v>
      </c>
      <c r="C2147" t="str">
        <f>"29.6155"</f>
        <v>29.6155</v>
      </c>
    </row>
    <row r="2148" spans="1:3" x14ac:dyDescent="0.25">
      <c r="A2148" t="str">
        <f>"25/04/2018"</f>
        <v>25/04/2018</v>
      </c>
      <c r="B2148" t="str">
        <f>"29.66"</f>
        <v>29.66</v>
      </c>
      <c r="C2148" t="str">
        <f>"29.6595"</f>
        <v>29.6595</v>
      </c>
    </row>
    <row r="2149" spans="1:3" x14ac:dyDescent="0.25">
      <c r="A2149" t="str">
        <f>"26/04/2018"</f>
        <v>26/04/2018</v>
      </c>
      <c r="B2149" t="str">
        <f>"29.723"</f>
        <v>29.723</v>
      </c>
      <c r="C2149" t="str">
        <f>"29.7225"</f>
        <v>29.7225</v>
      </c>
    </row>
    <row r="2150" spans="1:3" x14ac:dyDescent="0.25">
      <c r="A2150" t="str">
        <f>"27/04/2018"</f>
        <v>27/04/2018</v>
      </c>
      <c r="B2150" t="str">
        <f>"29.636"</f>
        <v>29.636</v>
      </c>
      <c r="C2150" t="str">
        <f>"29.6354"</f>
        <v>29.6354</v>
      </c>
    </row>
    <row r="2151" spans="1:3" x14ac:dyDescent="0.25">
      <c r="A2151" t="str">
        <f>"02/05/2018"</f>
        <v>02/05/2018</v>
      </c>
      <c r="B2151" t="str">
        <f>"29.76"</f>
        <v>29.76</v>
      </c>
      <c r="C2151" t="str">
        <f>"29.7595"</f>
        <v>29.7595</v>
      </c>
    </row>
    <row r="2152" spans="1:3" x14ac:dyDescent="0.25">
      <c r="A2152" t="str">
        <f>"03/05/2018"</f>
        <v>03/05/2018</v>
      </c>
      <c r="B2152" t="str">
        <f>"29.745"</f>
        <v>29.745</v>
      </c>
      <c r="C2152" t="str">
        <f>"29.7445"</f>
        <v>29.7445</v>
      </c>
    </row>
    <row r="2153" spans="1:3" x14ac:dyDescent="0.25">
      <c r="A2153" t="str">
        <f>"04/05/2018"</f>
        <v>04/05/2018</v>
      </c>
      <c r="B2153" t="str">
        <f>"29.716"</f>
        <v>29.716</v>
      </c>
      <c r="C2153" t="str">
        <f>"29.7155"</f>
        <v>29.7155</v>
      </c>
    </row>
    <row r="2154" spans="1:3" x14ac:dyDescent="0.25">
      <c r="A2154" t="str">
        <f>"07/05/2018"</f>
        <v>07/05/2018</v>
      </c>
      <c r="B2154" t="str">
        <f>"29.766"</f>
        <v>29.766</v>
      </c>
      <c r="C2154" t="str">
        <f>"29.7655"</f>
        <v>29.7655</v>
      </c>
    </row>
    <row r="2155" spans="1:3" x14ac:dyDescent="0.25">
      <c r="A2155" t="str">
        <f>"08/05/2018"</f>
        <v>08/05/2018</v>
      </c>
      <c r="B2155" t="str">
        <f>"29.785"</f>
        <v>29.785</v>
      </c>
      <c r="C2155" t="str">
        <f>"29.7845"</f>
        <v>29.7845</v>
      </c>
    </row>
    <row r="2156" spans="1:3" x14ac:dyDescent="0.25">
      <c r="A2156" t="str">
        <f>"09/05/2018"</f>
        <v>09/05/2018</v>
      </c>
      <c r="B2156" t="str">
        <f>"29.929"</f>
        <v>29.929</v>
      </c>
      <c r="C2156" t="str">
        <f>"29.9285"</f>
        <v>29.9285</v>
      </c>
    </row>
    <row r="2157" spans="1:3" x14ac:dyDescent="0.25">
      <c r="A2157" t="str">
        <f>"10/05/2018"</f>
        <v>10/05/2018</v>
      </c>
      <c r="B2157" t="str">
        <f>"29.872"</f>
        <v>29.872</v>
      </c>
      <c r="C2157" t="str">
        <f>"29.8715"</f>
        <v>29.8715</v>
      </c>
    </row>
    <row r="2158" spans="1:3" x14ac:dyDescent="0.25">
      <c r="A2158" t="str">
        <f>"11/05/2018"</f>
        <v>11/05/2018</v>
      </c>
      <c r="B2158" t="str">
        <f>"29.773"</f>
        <v>29.773</v>
      </c>
      <c r="C2158" t="str">
        <f>"29.7725"</f>
        <v>29.7725</v>
      </c>
    </row>
    <row r="2159" spans="1:3" x14ac:dyDescent="0.25">
      <c r="A2159" t="str">
        <f>"14/05/2018"</f>
        <v>14/05/2018</v>
      </c>
      <c r="B2159" t="str">
        <f>"29.742"</f>
        <v>29.742</v>
      </c>
      <c r="C2159" t="str">
        <f>"29.7414"</f>
        <v>29.7414</v>
      </c>
    </row>
    <row r="2160" spans="1:3" x14ac:dyDescent="0.25">
      <c r="A2160" t="str">
        <f>"15/05/2018"</f>
        <v>15/05/2018</v>
      </c>
      <c r="B2160" t="str">
        <f>"29.852"</f>
        <v>29.852</v>
      </c>
      <c r="C2160" t="str">
        <f>"29.8514"</f>
        <v>29.8514</v>
      </c>
    </row>
    <row r="2161" spans="1:3" x14ac:dyDescent="0.25">
      <c r="A2161" t="str">
        <f>"16/05/2018"</f>
        <v>16/05/2018</v>
      </c>
      <c r="B2161" t="str">
        <f>"29.892"</f>
        <v>29.892</v>
      </c>
      <c r="C2161" t="str">
        <f>"29.8914"</f>
        <v>29.8914</v>
      </c>
    </row>
    <row r="2162" spans="1:3" x14ac:dyDescent="0.25">
      <c r="A2162" t="str">
        <f>"17/05/2018"</f>
        <v>17/05/2018</v>
      </c>
      <c r="B2162" t="str">
        <f>"29.906"</f>
        <v>29.906</v>
      </c>
      <c r="C2162" t="str">
        <f>"29.9055"</f>
        <v>29.9055</v>
      </c>
    </row>
    <row r="2163" spans="1:3" x14ac:dyDescent="0.25">
      <c r="A2163" t="str">
        <f>"18/05/2018"</f>
        <v>18/05/2018</v>
      </c>
      <c r="B2163" t="str">
        <f>"29.912"</f>
        <v>29.912</v>
      </c>
      <c r="C2163" t="str">
        <f>"29.9115"</f>
        <v>29.9115</v>
      </c>
    </row>
    <row r="2164" spans="1:3" x14ac:dyDescent="0.25">
      <c r="A2164" t="str">
        <f>"21/05/2018"</f>
        <v>21/05/2018</v>
      </c>
      <c r="B2164" t="str">
        <f>"29.992"</f>
        <v>29.992</v>
      </c>
      <c r="C2164" t="str">
        <f>"29.9914"</f>
        <v>29.9914</v>
      </c>
    </row>
    <row r="2165" spans="1:3" x14ac:dyDescent="0.25">
      <c r="A2165" t="str">
        <f>"22/05/2018"</f>
        <v>22/05/2018</v>
      </c>
      <c r="B2165" t="str">
        <f>"29.923"</f>
        <v>29.923</v>
      </c>
      <c r="C2165" t="str">
        <f>"29.9224"</f>
        <v>29.9224</v>
      </c>
    </row>
    <row r="2166" spans="1:3" x14ac:dyDescent="0.25">
      <c r="A2166" t="str">
        <f>"23/05/2018"</f>
        <v>23/05/2018</v>
      </c>
      <c r="B2166" t="str">
        <f>"29.96"</f>
        <v>29.96</v>
      </c>
      <c r="C2166" t="str">
        <f>"29.9595"</f>
        <v>29.9595</v>
      </c>
    </row>
    <row r="2167" spans="1:3" x14ac:dyDescent="0.25">
      <c r="A2167" t="str">
        <f>"24/05/2018"</f>
        <v>24/05/2018</v>
      </c>
      <c r="B2167" t="str">
        <f>"29.93"</f>
        <v>29.93</v>
      </c>
      <c r="C2167" t="str">
        <f>"29.9295"</f>
        <v>29.9295</v>
      </c>
    </row>
    <row r="2168" spans="1:3" x14ac:dyDescent="0.25">
      <c r="A2168" t="str">
        <f>"25/05/2018"</f>
        <v>25/05/2018</v>
      </c>
      <c r="B2168" t="str">
        <f>"29.952"</f>
        <v>29.952</v>
      </c>
      <c r="C2168" t="str">
        <f>"29.9515"</f>
        <v>29.9515</v>
      </c>
    </row>
    <row r="2169" spans="1:3" x14ac:dyDescent="0.25">
      <c r="A2169" t="str">
        <f>"28/05/2018"</f>
        <v>28/05/2018</v>
      </c>
      <c r="B2169" t="str">
        <f>"29.933"</f>
        <v>29.933</v>
      </c>
      <c r="C2169" t="str">
        <f>"29.9325"</f>
        <v>29.9325</v>
      </c>
    </row>
    <row r="2170" spans="1:3" x14ac:dyDescent="0.25">
      <c r="A2170" t="str">
        <f>"29/05/2018"</f>
        <v>29/05/2018</v>
      </c>
      <c r="B2170" t="str">
        <f>"29.988"</f>
        <v>29.988</v>
      </c>
      <c r="C2170" t="str">
        <f>"29.9875"</f>
        <v>29.9875</v>
      </c>
    </row>
    <row r="2171" spans="1:3" x14ac:dyDescent="0.25">
      <c r="A2171" t="str">
        <f>"30/05/2018"</f>
        <v>30/05/2018</v>
      </c>
      <c r="B2171" t="str">
        <f>"30.036"</f>
        <v>30.036</v>
      </c>
      <c r="C2171" t="str">
        <f>"30.0354"</f>
        <v>30.0354</v>
      </c>
    </row>
    <row r="2172" spans="1:3" x14ac:dyDescent="0.25">
      <c r="A2172" t="str">
        <f>"31/05/2018"</f>
        <v>31/05/2018</v>
      </c>
      <c r="B2172" t="str">
        <f>"29.98"</f>
        <v>29.98</v>
      </c>
      <c r="C2172" t="str">
        <f>"29.9794"</f>
        <v>29.9794</v>
      </c>
    </row>
    <row r="2173" spans="1:3" x14ac:dyDescent="0.25">
      <c r="A2173" t="str">
        <f>"01/06/2018"</f>
        <v>01/06/2018</v>
      </c>
      <c r="B2173" t="str">
        <f>"29.865"</f>
        <v>29.865</v>
      </c>
      <c r="C2173" t="str">
        <f>"29.8644"</f>
        <v>29.8644</v>
      </c>
    </row>
    <row r="2174" spans="1:3" x14ac:dyDescent="0.25">
      <c r="A2174" t="str">
        <f>"04/06/2018"</f>
        <v>04/06/2018</v>
      </c>
      <c r="B2174" t="str">
        <f>"29.818"</f>
        <v>29.818</v>
      </c>
      <c r="C2174" t="str">
        <f>"29.8174"</f>
        <v>29.8174</v>
      </c>
    </row>
    <row r="2175" spans="1:3" x14ac:dyDescent="0.25">
      <c r="A2175" t="str">
        <f>"05/06/2018"</f>
        <v>05/06/2018</v>
      </c>
      <c r="B2175" t="str">
        <f>"29.816"</f>
        <v>29.816</v>
      </c>
      <c r="C2175" t="str">
        <f>"29.8154"</f>
        <v>29.8154</v>
      </c>
    </row>
    <row r="2176" spans="1:3" x14ac:dyDescent="0.25">
      <c r="A2176" t="str">
        <f>"06/06/2018"</f>
        <v>06/06/2018</v>
      </c>
      <c r="B2176" t="str">
        <f>"29.738"</f>
        <v>29.738</v>
      </c>
      <c r="C2176" t="str">
        <f>"29.7374"</f>
        <v>29.7374</v>
      </c>
    </row>
    <row r="2177" spans="1:3" x14ac:dyDescent="0.25">
      <c r="A2177" t="str">
        <f>"07/06/2018"</f>
        <v>07/06/2018</v>
      </c>
      <c r="B2177" t="str">
        <f>"29.742"</f>
        <v>29.742</v>
      </c>
      <c r="C2177" t="str">
        <f>"29.7414"</f>
        <v>29.7414</v>
      </c>
    </row>
    <row r="2178" spans="1:3" x14ac:dyDescent="0.25">
      <c r="A2178" t="str">
        <f>"08/06/2018"</f>
        <v>08/06/2018</v>
      </c>
      <c r="B2178" t="str">
        <f>"29.818"</f>
        <v>29.818</v>
      </c>
      <c r="C2178" t="str">
        <f>"29.8174"</f>
        <v>29.8174</v>
      </c>
    </row>
    <row r="2179" spans="1:3" x14ac:dyDescent="0.25">
      <c r="A2179" t="str">
        <f>"11/06/2018"</f>
        <v>11/06/2018</v>
      </c>
      <c r="B2179" t="str">
        <f>"29.821"</f>
        <v>29.821</v>
      </c>
      <c r="C2179" t="str">
        <f>"29.8204"</f>
        <v>29.8204</v>
      </c>
    </row>
    <row r="2180" spans="1:3" x14ac:dyDescent="0.25">
      <c r="A2180" t="str">
        <f>"12/06/2018"</f>
        <v>12/06/2018</v>
      </c>
      <c r="B2180" t="str">
        <f>"29.86"</f>
        <v>29.86</v>
      </c>
      <c r="C2180" t="str">
        <f>"29.8593"</f>
        <v>29.8593</v>
      </c>
    </row>
    <row r="2181" spans="1:3" x14ac:dyDescent="0.25">
      <c r="A2181" t="str">
        <f>"13/06/2018"</f>
        <v>13/06/2018</v>
      </c>
      <c r="B2181" t="str">
        <f>"29.89"</f>
        <v>29.89</v>
      </c>
      <c r="C2181" t="str">
        <f>"29.8894"</f>
        <v>29.8894</v>
      </c>
    </row>
    <row r="2182" spans="1:3" x14ac:dyDescent="0.25">
      <c r="A2182" t="str">
        <f>"14/06/2018"</f>
        <v>14/06/2018</v>
      </c>
      <c r="B2182" t="str">
        <f>"29.94"</f>
        <v>29.94</v>
      </c>
      <c r="C2182" t="str">
        <f>"29.9394"</f>
        <v>29.9394</v>
      </c>
    </row>
    <row r="2183" spans="1:3" x14ac:dyDescent="0.25">
      <c r="A2183" t="str">
        <f>"15/06/2018"</f>
        <v>15/06/2018</v>
      </c>
      <c r="B2183" t="str">
        <f>"30.005"</f>
        <v>30.005</v>
      </c>
      <c r="C2183" t="str">
        <f>"30.0044"</f>
        <v>30.0044</v>
      </c>
    </row>
    <row r="2184" spans="1:3" x14ac:dyDescent="0.25">
      <c r="A2184" t="str">
        <f>"18/06/2018"</f>
        <v>18/06/2018</v>
      </c>
      <c r="B2184" t="str">
        <f>"30.005"</f>
        <v>30.005</v>
      </c>
      <c r="C2184" t="str">
        <f>"30.0044"</f>
        <v>30.0044</v>
      </c>
    </row>
    <row r="2185" spans="1:3" x14ac:dyDescent="0.25">
      <c r="A2185" t="str">
        <f>"19/06/2018"</f>
        <v>19/06/2018</v>
      </c>
      <c r="B2185" t="str">
        <f>"30.188"</f>
        <v>30.188</v>
      </c>
      <c r="C2185" t="str">
        <f>"30.1874"</f>
        <v>30.1874</v>
      </c>
    </row>
    <row r="2186" spans="1:3" x14ac:dyDescent="0.25">
      <c r="A2186" t="str">
        <f>"20/06/2018"</f>
        <v>20/06/2018</v>
      </c>
      <c r="B2186" t="str">
        <f>"30.17"</f>
        <v>30.17</v>
      </c>
      <c r="C2186" t="str">
        <f>"30.1694"</f>
        <v>30.1694</v>
      </c>
    </row>
    <row r="2187" spans="1:3" x14ac:dyDescent="0.25">
      <c r="A2187" t="str">
        <f>"21/06/2018"</f>
        <v>21/06/2018</v>
      </c>
      <c r="B2187" t="str">
        <f>"30.302"</f>
        <v>30.302</v>
      </c>
      <c r="C2187" t="str">
        <f>"30.3015"</f>
        <v>30.3015</v>
      </c>
    </row>
    <row r="2188" spans="1:3" x14ac:dyDescent="0.25">
      <c r="A2188" t="str">
        <f>"22/06/2018"</f>
        <v>22/06/2018</v>
      </c>
      <c r="B2188" t="str">
        <f>"30.308"</f>
        <v>30.308</v>
      </c>
      <c r="C2188" t="str">
        <f>"30.3074"</f>
        <v>30.3074</v>
      </c>
    </row>
    <row r="2189" spans="1:3" x14ac:dyDescent="0.25">
      <c r="A2189" t="str">
        <f>"25/06/2018"</f>
        <v>25/06/2018</v>
      </c>
      <c r="B2189" t="str">
        <f>"30.403"</f>
        <v>30.403</v>
      </c>
      <c r="C2189" t="str">
        <f>"30.4024"</f>
        <v>30.4024</v>
      </c>
    </row>
    <row r="2190" spans="1:3" x14ac:dyDescent="0.25">
      <c r="A2190" t="str">
        <f>"26/06/2018"</f>
        <v>26/06/2018</v>
      </c>
      <c r="B2190" t="str">
        <f>"30.413"</f>
        <v>30.413</v>
      </c>
      <c r="C2190" t="str">
        <f>"30.4124"</f>
        <v>30.4124</v>
      </c>
    </row>
    <row r="2191" spans="1:3" x14ac:dyDescent="0.25">
      <c r="A2191" t="str">
        <f>"27/06/2018"</f>
        <v>27/06/2018</v>
      </c>
      <c r="B2191" t="str">
        <f>"30.455"</f>
        <v>30.455</v>
      </c>
      <c r="C2191" t="str">
        <f>"30.4545"</f>
        <v>30.4545</v>
      </c>
    </row>
    <row r="2192" spans="1:3" x14ac:dyDescent="0.25">
      <c r="A2192" t="str">
        <f>"28/06/2018"</f>
        <v>28/06/2018</v>
      </c>
      <c r="B2192" t="str">
        <f>"30.59"</f>
        <v>30.59</v>
      </c>
      <c r="C2192" t="str">
        <f>"30.5895"</f>
        <v>30.5895</v>
      </c>
    </row>
    <row r="2193" spans="1:3" x14ac:dyDescent="0.25">
      <c r="A2193" t="str">
        <f>"29/06/2018"</f>
        <v>29/06/2018</v>
      </c>
      <c r="B2193" t="str">
        <f>"30.503"</f>
        <v>30.503</v>
      </c>
      <c r="C2193" t="str">
        <f>"30.5025"</f>
        <v>30.5025</v>
      </c>
    </row>
    <row r="2194" spans="1:3" x14ac:dyDescent="0.25">
      <c r="A2194" t="str">
        <f>"02/07/2018"</f>
        <v>02/07/2018</v>
      </c>
      <c r="B2194" t="str">
        <f>"30.523"</f>
        <v>30.523</v>
      </c>
      <c r="C2194" t="str">
        <f>"30.5225"</f>
        <v>30.5225</v>
      </c>
    </row>
    <row r="2195" spans="1:3" x14ac:dyDescent="0.25">
      <c r="A2195" t="str">
        <f>"03/07/2018"</f>
        <v>03/07/2018</v>
      </c>
      <c r="B2195" t="str">
        <f>"30.59"</f>
        <v>30.59</v>
      </c>
      <c r="C2195" t="str">
        <f>"30.5895"</f>
        <v>30.5895</v>
      </c>
    </row>
    <row r="2196" spans="1:3" x14ac:dyDescent="0.25">
      <c r="A2196" t="str">
        <f>"04/07/2018"</f>
        <v>04/07/2018</v>
      </c>
      <c r="B2196" t="str">
        <f>"30.502"</f>
        <v>30.502</v>
      </c>
      <c r="C2196" t="str">
        <f>"30.5015"</f>
        <v>30.5015</v>
      </c>
    </row>
    <row r="2197" spans="1:3" x14ac:dyDescent="0.25">
      <c r="A2197" t="str">
        <f>"05/07/2018"</f>
        <v>05/07/2018</v>
      </c>
      <c r="B2197" t="str">
        <f>"30.539"</f>
        <v>30.539</v>
      </c>
      <c r="C2197" t="str">
        <f>"30.5385"</f>
        <v>30.5385</v>
      </c>
    </row>
    <row r="2198" spans="1:3" x14ac:dyDescent="0.25">
      <c r="A2198" t="str">
        <f>"06/07/2018"</f>
        <v>06/07/2018</v>
      </c>
      <c r="B2198" t="str">
        <f>"30.502"</f>
        <v>30.502</v>
      </c>
      <c r="C2198" t="str">
        <f>"30.5015"</f>
        <v>30.5015</v>
      </c>
    </row>
    <row r="2199" spans="1:3" x14ac:dyDescent="0.25">
      <c r="A2199" t="str">
        <f>"09/07/2018"</f>
        <v>09/07/2018</v>
      </c>
      <c r="B2199" t="str">
        <f>"30.386"</f>
        <v>30.386</v>
      </c>
      <c r="C2199" t="str">
        <f>"30.3855"</f>
        <v>30.3855</v>
      </c>
    </row>
    <row r="2200" spans="1:3" x14ac:dyDescent="0.25">
      <c r="A2200" t="str">
        <f>"10/07/2018"</f>
        <v>10/07/2018</v>
      </c>
      <c r="B2200" t="str">
        <f>"30.405"</f>
        <v>30.405</v>
      </c>
      <c r="C2200" t="str">
        <f>"30.4045"</f>
        <v>30.4045</v>
      </c>
    </row>
    <row r="2201" spans="1:3" x14ac:dyDescent="0.25">
      <c r="A2201" t="str">
        <f>"11/07/2018"</f>
        <v>11/07/2018</v>
      </c>
      <c r="B2201" t="str">
        <f>"30.483"</f>
        <v>30.483</v>
      </c>
      <c r="C2201" t="str">
        <f>"30.4825"</f>
        <v>30.4825</v>
      </c>
    </row>
    <row r="2202" spans="1:3" x14ac:dyDescent="0.25">
      <c r="A2202" t="str">
        <f>"12/07/2018"</f>
        <v>12/07/2018</v>
      </c>
      <c r="B2202" t="str">
        <f>"30.542"</f>
        <v>30.542</v>
      </c>
      <c r="C2202" t="str">
        <f>"30.5415"</f>
        <v>30.5415</v>
      </c>
    </row>
    <row r="2203" spans="1:3" x14ac:dyDescent="0.25">
      <c r="A2203" t="str">
        <f>"13/07/2018"</f>
        <v>13/07/2018</v>
      </c>
      <c r="B2203" t="str">
        <f>"30.556"</f>
        <v>30.556</v>
      </c>
      <c r="C2203" t="str">
        <f>"30.5555"</f>
        <v>30.5555</v>
      </c>
    </row>
    <row r="2204" spans="1:3" x14ac:dyDescent="0.25">
      <c r="A2204" t="str">
        <f>"16/07/2018"</f>
        <v>16/07/2018</v>
      </c>
      <c r="B2204" t="str">
        <f>"30.582"</f>
        <v>30.582</v>
      </c>
      <c r="C2204" t="str">
        <f>"30.5815"</f>
        <v>30.5815</v>
      </c>
    </row>
    <row r="2205" spans="1:3" x14ac:dyDescent="0.25">
      <c r="A2205" t="str">
        <f>"17/07/2018"</f>
        <v>17/07/2018</v>
      </c>
      <c r="B2205" t="str">
        <f>"30.516"</f>
        <v>30.516</v>
      </c>
      <c r="C2205" t="str">
        <f>"30.5155"</f>
        <v>30.5155</v>
      </c>
    </row>
    <row r="2206" spans="1:3" x14ac:dyDescent="0.25">
      <c r="A2206" t="str">
        <f>"18/07/2018"</f>
        <v>18/07/2018</v>
      </c>
      <c r="B2206" t="str">
        <f>"30.581"</f>
        <v>30.581</v>
      </c>
      <c r="C2206" t="str">
        <f>"30.5806"</f>
        <v>30.5806</v>
      </c>
    </row>
    <row r="2207" spans="1:3" x14ac:dyDescent="0.25">
      <c r="A2207" t="str">
        <f>"19/07/2018"</f>
        <v>19/07/2018</v>
      </c>
      <c r="B2207" t="str">
        <f>"30.635"</f>
        <v>30.635</v>
      </c>
      <c r="C2207" t="str">
        <f>"30.6345"</f>
        <v>30.6345</v>
      </c>
    </row>
    <row r="2208" spans="1:3" x14ac:dyDescent="0.25">
      <c r="A2208" t="str">
        <f>"20/07/2018"</f>
        <v>20/07/2018</v>
      </c>
      <c r="B2208" t="str">
        <f>"30.718"</f>
        <v>30.718</v>
      </c>
      <c r="C2208" t="str">
        <f>"30.7175"</f>
        <v>30.7175</v>
      </c>
    </row>
    <row r="2209" spans="1:3" x14ac:dyDescent="0.25">
      <c r="A2209" t="str">
        <f>"23/07/2018"</f>
        <v>23/07/2018</v>
      </c>
      <c r="B2209" t="str">
        <f>"30.645"</f>
        <v>30.645</v>
      </c>
      <c r="C2209" t="str">
        <f>"30.6445"</f>
        <v>30.6445</v>
      </c>
    </row>
    <row r="2210" spans="1:3" x14ac:dyDescent="0.25">
      <c r="A2210" t="str">
        <f>"24/07/2018"</f>
        <v>24/07/2018</v>
      </c>
      <c r="B2210" t="str">
        <f>"30.722"</f>
        <v>30.722</v>
      </c>
      <c r="C2210" t="str">
        <f>"30.7215"</f>
        <v>30.7215</v>
      </c>
    </row>
    <row r="2211" spans="1:3" x14ac:dyDescent="0.25">
      <c r="A2211" t="str">
        <f>"25/07/2018"</f>
        <v>25/07/2018</v>
      </c>
      <c r="B2211" t="str">
        <f>"30.633"</f>
        <v>30.633</v>
      </c>
      <c r="C2211" t="str">
        <f>"30.6325"</f>
        <v>30.6325</v>
      </c>
    </row>
    <row r="2212" spans="1:3" x14ac:dyDescent="0.25">
      <c r="A2212" t="str">
        <f>"26/07/2018"</f>
        <v>26/07/2018</v>
      </c>
      <c r="B2212" t="str">
        <f>"30.573"</f>
        <v>30.573</v>
      </c>
      <c r="C2212" t="str">
        <f>"30.5725"</f>
        <v>30.5725</v>
      </c>
    </row>
    <row r="2213" spans="1:3" x14ac:dyDescent="0.25">
      <c r="A2213" t="str">
        <f>"27/07/2018"</f>
        <v>27/07/2018</v>
      </c>
      <c r="B2213" t="str">
        <f>"30.594"</f>
        <v>30.594</v>
      </c>
      <c r="C2213" t="str">
        <f>"30.5935"</f>
        <v>30.5935</v>
      </c>
    </row>
    <row r="2214" spans="1:3" x14ac:dyDescent="0.25">
      <c r="A2214" t="str">
        <f>"30/07/2018"</f>
        <v>30/07/2018</v>
      </c>
      <c r="B2214" t="str">
        <f>"30.609"</f>
        <v>30.609</v>
      </c>
      <c r="C2214" t="str">
        <f>"30.6085"</f>
        <v>30.6085</v>
      </c>
    </row>
    <row r="2215" spans="1:3" x14ac:dyDescent="0.25">
      <c r="A2215" t="str">
        <f>"31/07/2018"</f>
        <v>31/07/2018</v>
      </c>
      <c r="B2215" t="str">
        <f>"30.614"</f>
        <v>30.614</v>
      </c>
      <c r="C2215" t="str">
        <f>"30.6135"</f>
        <v>30.6135</v>
      </c>
    </row>
    <row r="2216" spans="1:3" x14ac:dyDescent="0.25">
      <c r="A2216" t="str">
        <f>"01/08/2018"</f>
        <v>01/08/2018</v>
      </c>
      <c r="B2216" t="str">
        <f>"30.616"</f>
        <v>30.616</v>
      </c>
      <c r="C2216" t="str">
        <f>"30.6155"</f>
        <v>30.6155</v>
      </c>
    </row>
    <row r="2217" spans="1:3" x14ac:dyDescent="0.25">
      <c r="A2217" t="str">
        <f>"02/08/2018"</f>
        <v>02/08/2018</v>
      </c>
      <c r="B2217" t="str">
        <f>"30.682"</f>
        <v>30.682</v>
      </c>
      <c r="C2217" t="str">
        <f>"30.6815"</f>
        <v>30.6815</v>
      </c>
    </row>
    <row r="2218" spans="1:3" x14ac:dyDescent="0.25">
      <c r="A2218" t="str">
        <f>"03/08/2018"</f>
        <v>03/08/2018</v>
      </c>
      <c r="B2218" t="str">
        <f>"30.708"</f>
        <v>30.708</v>
      </c>
      <c r="C2218" t="str">
        <f>"30.7075"</f>
        <v>30.7075</v>
      </c>
    </row>
    <row r="2219" spans="1:3" x14ac:dyDescent="0.25">
      <c r="A2219" t="str">
        <f>"06/08/2018"</f>
        <v>06/08/2018</v>
      </c>
      <c r="B2219" t="str">
        <f>"30.632"</f>
        <v>30.632</v>
      </c>
      <c r="C2219" t="str">
        <f>"30.6315"</f>
        <v>30.6315</v>
      </c>
    </row>
    <row r="2220" spans="1:3" x14ac:dyDescent="0.25">
      <c r="A2220" t="str">
        <f>"07/08/2018"</f>
        <v>07/08/2018</v>
      </c>
      <c r="B2220" t="str">
        <f>"30.621"</f>
        <v>30.621</v>
      </c>
      <c r="C2220" t="str">
        <f>"30.6205"</f>
        <v>30.6205</v>
      </c>
    </row>
    <row r="2221" spans="1:3" x14ac:dyDescent="0.25">
      <c r="A2221" t="str">
        <f>"08/08/2018"</f>
        <v>08/08/2018</v>
      </c>
      <c r="B2221" t="str">
        <f>"30.617"</f>
        <v>30.617</v>
      </c>
      <c r="C2221" t="str">
        <f>"30.6165"</f>
        <v>30.6165</v>
      </c>
    </row>
    <row r="2222" spans="1:3" x14ac:dyDescent="0.25">
      <c r="A2222" t="str">
        <f>"09/08/2018"</f>
        <v>09/08/2018</v>
      </c>
      <c r="B2222" t="str">
        <f>"30.626"</f>
        <v>30.626</v>
      </c>
      <c r="C2222" t="str">
        <f>"30.6255"</f>
        <v>30.6255</v>
      </c>
    </row>
    <row r="2223" spans="1:3" x14ac:dyDescent="0.25">
      <c r="A2223" t="str">
        <f>"10/08/2018"</f>
        <v>10/08/2018</v>
      </c>
      <c r="B2223" t="str">
        <f>"30.708"</f>
        <v>30.708</v>
      </c>
      <c r="C2223" t="str">
        <f>"30.7075"</f>
        <v>30.7075</v>
      </c>
    </row>
    <row r="2224" spans="1:3" x14ac:dyDescent="0.25">
      <c r="A2224" t="str">
        <f>"13/08/2018"</f>
        <v>13/08/2018</v>
      </c>
      <c r="B2224" t="str">
        <f>"30.813"</f>
        <v>30.813</v>
      </c>
      <c r="C2224" t="str">
        <f>"30.8125"</f>
        <v>30.8125</v>
      </c>
    </row>
    <row r="2225" spans="1:3" x14ac:dyDescent="0.25">
      <c r="A2225" t="str">
        <f>"14/08/2018"</f>
        <v>14/08/2018</v>
      </c>
      <c r="B2225" t="str">
        <f>"30.81"</f>
        <v>30.81</v>
      </c>
      <c r="C2225" t="str">
        <f>"30.8095"</f>
        <v>30.8095</v>
      </c>
    </row>
    <row r="2226" spans="1:3" x14ac:dyDescent="0.25">
      <c r="A2226" t="str">
        <f>"16/08/2018"</f>
        <v>16/08/2018</v>
      </c>
      <c r="B2226" t="str">
        <f>"30.85"</f>
        <v>30.85</v>
      </c>
      <c r="C2226" t="str">
        <f>"30.8495"</f>
        <v>30.8495</v>
      </c>
    </row>
    <row r="2227" spans="1:3" x14ac:dyDescent="0.25">
      <c r="A2227" t="str">
        <f>"20/08/2018"</f>
        <v>20/08/2018</v>
      </c>
      <c r="B2227" t="str">
        <f>"30.763"</f>
        <v>30.763</v>
      </c>
      <c r="C2227" t="str">
        <f>"30.7625"</f>
        <v>30.7625</v>
      </c>
    </row>
    <row r="2228" spans="1:3" x14ac:dyDescent="0.25">
      <c r="A2228" t="str">
        <f>"21/08/2018"</f>
        <v>21/08/2018</v>
      </c>
      <c r="B2228" t="str">
        <f>"30.73"</f>
        <v>30.73</v>
      </c>
      <c r="C2228" t="str">
        <f>"30.7295"</f>
        <v>30.7295</v>
      </c>
    </row>
    <row r="2229" spans="1:3" x14ac:dyDescent="0.25">
      <c r="A2229" t="str">
        <f>"23/08/2018"</f>
        <v>23/08/2018</v>
      </c>
      <c r="B2229" t="str">
        <f>"30.79"</f>
        <v>30.79</v>
      </c>
      <c r="C2229" t="str">
        <f>"30.7895"</f>
        <v>30.7895</v>
      </c>
    </row>
    <row r="2230" spans="1:3" x14ac:dyDescent="0.25">
      <c r="A2230" t="str">
        <f>"24/08/2018"</f>
        <v>24/08/2018</v>
      </c>
      <c r="B2230" t="str">
        <f>"30.783"</f>
        <v>30.783</v>
      </c>
      <c r="C2230" t="str">
        <f>"30.7825"</f>
        <v>30.7825</v>
      </c>
    </row>
    <row r="2231" spans="1:3" x14ac:dyDescent="0.25">
      <c r="A2231" t="str">
        <f>"27/08/2018"</f>
        <v>27/08/2018</v>
      </c>
      <c r="B2231" t="str">
        <f>"30.772"</f>
        <v>30.772</v>
      </c>
      <c r="C2231" t="str">
        <f>"30.7715"</f>
        <v>30.7715</v>
      </c>
    </row>
    <row r="2232" spans="1:3" x14ac:dyDescent="0.25">
      <c r="A2232" t="str">
        <f>"28/08/2018"</f>
        <v>28/08/2018</v>
      </c>
      <c r="B2232" t="str">
        <f>"30.724"</f>
        <v>30.724</v>
      </c>
      <c r="C2232" t="str">
        <f>"30.7235"</f>
        <v>30.7235</v>
      </c>
    </row>
    <row r="2233" spans="1:3" x14ac:dyDescent="0.25">
      <c r="A2233" t="str">
        <f>"29/08/2018"</f>
        <v>29/08/2018</v>
      </c>
      <c r="B2233" t="str">
        <f>"30.708"</f>
        <v>30.708</v>
      </c>
      <c r="C2233" t="str">
        <f>"30.7076"</f>
        <v>30.7076</v>
      </c>
    </row>
    <row r="2234" spans="1:3" x14ac:dyDescent="0.25">
      <c r="A2234" t="str">
        <f>"30/08/2018"</f>
        <v>30/08/2018</v>
      </c>
      <c r="B2234" t="str">
        <f>"30.711"</f>
        <v>30.711</v>
      </c>
      <c r="C2234" t="str">
        <f>"30.7105"</f>
        <v>30.7105</v>
      </c>
    </row>
    <row r="2235" spans="1:3" x14ac:dyDescent="0.25">
      <c r="A2235" t="str">
        <f>"31/08/2018"</f>
        <v>31/08/2018</v>
      </c>
      <c r="B2235" t="str">
        <f>"30.731"</f>
        <v>30.731</v>
      </c>
      <c r="C2235" t="str">
        <f>"30.7305"</f>
        <v>30.7305</v>
      </c>
    </row>
    <row r="2236" spans="1:3" x14ac:dyDescent="0.25">
      <c r="A2236" t="str">
        <f>"03/09/2018"</f>
        <v>03/09/2018</v>
      </c>
      <c r="B2236" t="str">
        <f>"30.713"</f>
        <v>30.713</v>
      </c>
      <c r="C2236" t="str">
        <f>"30.7125"</f>
        <v>30.7125</v>
      </c>
    </row>
    <row r="2237" spans="1:3" x14ac:dyDescent="0.25">
      <c r="A2237" t="str">
        <f>"04/09/2018"</f>
        <v>04/09/2018</v>
      </c>
      <c r="B2237" t="str">
        <f>"30.766"</f>
        <v>30.766</v>
      </c>
      <c r="C2237" t="str">
        <f>"30.7654"</f>
        <v>30.7654</v>
      </c>
    </row>
    <row r="2238" spans="1:3" x14ac:dyDescent="0.25">
      <c r="A2238" t="str">
        <f>"05/09/2018"</f>
        <v>05/09/2018</v>
      </c>
      <c r="B2238" t="str">
        <f>"30.804"</f>
        <v>30.804</v>
      </c>
      <c r="C2238" t="str">
        <f>"30.8034"</f>
        <v>30.8034</v>
      </c>
    </row>
    <row r="2239" spans="1:3" x14ac:dyDescent="0.25">
      <c r="A2239" t="str">
        <f>"06/09/2018"</f>
        <v>06/09/2018</v>
      </c>
      <c r="B2239" t="str">
        <f>"30.802"</f>
        <v>30.802</v>
      </c>
      <c r="C2239" t="str">
        <f>"30.8014"</f>
        <v>30.8014</v>
      </c>
    </row>
    <row r="2240" spans="1:3" x14ac:dyDescent="0.25">
      <c r="A2240" t="str">
        <f>"07/09/2018"</f>
        <v>07/09/2018</v>
      </c>
      <c r="B2240" t="str">
        <f>"30.778"</f>
        <v>30.778</v>
      </c>
      <c r="C2240" t="str">
        <f>"30.7774"</f>
        <v>30.7774</v>
      </c>
    </row>
    <row r="2241" spans="1:3" x14ac:dyDescent="0.25">
      <c r="A2241" t="str">
        <f>"10/09/2018"</f>
        <v>10/09/2018</v>
      </c>
      <c r="B2241" t="str">
        <f>"30.83"</f>
        <v>30.83</v>
      </c>
      <c r="C2241" t="str">
        <f>"30.8294"</f>
        <v>30.8294</v>
      </c>
    </row>
    <row r="2242" spans="1:3" x14ac:dyDescent="0.25">
      <c r="A2242" t="str">
        <f>"11/09/2018"</f>
        <v>11/09/2018</v>
      </c>
      <c r="B2242" t="str">
        <f>"30.825"</f>
        <v>30.825</v>
      </c>
      <c r="C2242" t="str">
        <f>"30.8244"</f>
        <v>30.8244</v>
      </c>
    </row>
    <row r="2243" spans="1:3" x14ac:dyDescent="0.25">
      <c r="A2243" t="str">
        <f>"12/09/2018"</f>
        <v>12/09/2018</v>
      </c>
      <c r="B2243" t="str">
        <f>"30.826"</f>
        <v>30.826</v>
      </c>
      <c r="C2243" t="str">
        <f>"30.8254"</f>
        <v>30.8254</v>
      </c>
    </row>
    <row r="2244" spans="1:3" x14ac:dyDescent="0.25">
      <c r="A2244" t="str">
        <f>"14/09/2018"</f>
        <v>14/09/2018</v>
      </c>
      <c r="B2244" t="str">
        <f>"30.76"</f>
        <v>30.76</v>
      </c>
      <c r="C2244" t="str">
        <f>"30.7594"</f>
        <v>30.7594</v>
      </c>
    </row>
    <row r="2245" spans="1:3" x14ac:dyDescent="0.25">
      <c r="A2245" t="str">
        <f>"17/09/2018"</f>
        <v>17/09/2018</v>
      </c>
      <c r="B2245" t="str">
        <f>"30.806"</f>
        <v>30.806</v>
      </c>
      <c r="C2245" t="str">
        <f>"30.8054"</f>
        <v>30.8054</v>
      </c>
    </row>
    <row r="2246" spans="1:3" x14ac:dyDescent="0.25">
      <c r="A2246" t="str">
        <f>"18/09/2018"</f>
        <v>18/09/2018</v>
      </c>
      <c r="B2246" t="str">
        <f>"30.814"</f>
        <v>30.814</v>
      </c>
      <c r="C2246" t="str">
        <f>"30.8134"</f>
        <v>30.8134</v>
      </c>
    </row>
    <row r="2247" spans="1:3" x14ac:dyDescent="0.25">
      <c r="A2247" t="str">
        <f>"19/09/2018"</f>
        <v>19/09/2018</v>
      </c>
      <c r="B2247" t="str">
        <f>"30.797"</f>
        <v>30.797</v>
      </c>
      <c r="C2247" t="str">
        <f>"30.7964"</f>
        <v>30.7964</v>
      </c>
    </row>
    <row r="2248" spans="1:3" x14ac:dyDescent="0.25">
      <c r="A2248" t="str">
        <f>"21/09/2018"</f>
        <v>21/09/2018</v>
      </c>
      <c r="B2248" t="str">
        <f>"30.716"</f>
        <v>30.716</v>
      </c>
      <c r="C2248" t="str">
        <f>"30.7155"</f>
        <v>30.7155</v>
      </c>
    </row>
    <row r="2249" spans="1:3" x14ac:dyDescent="0.25">
      <c r="A2249" t="str">
        <f>"24/09/2018"</f>
        <v>24/09/2018</v>
      </c>
      <c r="B2249" t="str">
        <f>"30.716"</f>
        <v>30.716</v>
      </c>
      <c r="C2249" t="str">
        <f>"30.7155"</f>
        <v>30.7155</v>
      </c>
    </row>
    <row r="2250" spans="1:3" x14ac:dyDescent="0.25">
      <c r="A2250" t="str">
        <f>"25/09/2018"</f>
        <v>25/09/2018</v>
      </c>
      <c r="B2250" t="str">
        <f>"30.675"</f>
        <v>30.675</v>
      </c>
      <c r="C2250" t="str">
        <f>"30.6744"</f>
        <v>30.6744</v>
      </c>
    </row>
    <row r="2251" spans="1:3" x14ac:dyDescent="0.25">
      <c r="A2251" t="str">
        <f>"26/09/2018"</f>
        <v>26/09/2018</v>
      </c>
      <c r="B2251" t="str">
        <f>"30.698"</f>
        <v>30.698</v>
      </c>
      <c r="C2251" t="str">
        <f>"30.6974"</f>
        <v>30.6974</v>
      </c>
    </row>
    <row r="2252" spans="1:3" x14ac:dyDescent="0.25">
      <c r="A2252" t="str">
        <f>"27/09/2018"</f>
        <v>27/09/2018</v>
      </c>
      <c r="B2252" t="str">
        <f>"30.602"</f>
        <v>30.602</v>
      </c>
      <c r="C2252" t="str">
        <f>"30.6014"</f>
        <v>30.6014</v>
      </c>
    </row>
    <row r="2253" spans="1:3" x14ac:dyDescent="0.25">
      <c r="A2253" t="str">
        <f>"28/09/2018"</f>
        <v>28/09/2018</v>
      </c>
      <c r="B2253" t="str">
        <f>"30.552"</f>
        <v>30.552</v>
      </c>
      <c r="C2253" t="str">
        <f>"30.5514"</f>
        <v>30.5514</v>
      </c>
    </row>
    <row r="2254" spans="1:3" x14ac:dyDescent="0.25">
      <c r="A2254" t="str">
        <f>"01/10/2018"</f>
        <v>01/10/2018</v>
      </c>
      <c r="B2254" t="str">
        <f>"30.556"</f>
        <v>30.556</v>
      </c>
      <c r="C2254" t="str">
        <f>"30.5554"</f>
        <v>30.5554</v>
      </c>
    </row>
    <row r="2255" spans="1:3" x14ac:dyDescent="0.25">
      <c r="A2255" t="str">
        <f>"03/10/2018"</f>
        <v>03/10/2018</v>
      </c>
      <c r="B2255" t="str">
        <f>"30.67"</f>
        <v>30.67</v>
      </c>
      <c r="C2255" t="str">
        <f>"30.6694"</f>
        <v>30.6694</v>
      </c>
    </row>
    <row r="2256" spans="1:3" x14ac:dyDescent="0.25">
      <c r="A2256" t="str">
        <f>"04/10/2018"</f>
        <v>04/10/2018</v>
      </c>
      <c r="B2256" t="str">
        <f>"30.793"</f>
        <v>30.793</v>
      </c>
      <c r="C2256" t="str">
        <f>"30.7924"</f>
        <v>30.7924</v>
      </c>
    </row>
    <row r="2257" spans="1:3" x14ac:dyDescent="0.25">
      <c r="A2257" t="str">
        <f>"05/10/2018"</f>
        <v>05/10/2018</v>
      </c>
      <c r="B2257" t="str">
        <f>"30.84"</f>
        <v>30.84</v>
      </c>
      <c r="C2257" t="str">
        <f>"30.8395"</f>
        <v>30.8395</v>
      </c>
    </row>
    <row r="2258" spans="1:3" x14ac:dyDescent="0.25">
      <c r="A2258" t="str">
        <f>"08/10/2018"</f>
        <v>08/10/2018</v>
      </c>
      <c r="B2258" t="str">
        <f>"30.928"</f>
        <v>30.928</v>
      </c>
      <c r="C2258" t="str">
        <f>"30.9274"</f>
        <v>30.9274</v>
      </c>
    </row>
    <row r="2259" spans="1:3" x14ac:dyDescent="0.25">
      <c r="A2259" t="str">
        <f>"09/10/2018"</f>
        <v>09/10/2018</v>
      </c>
      <c r="B2259" t="str">
        <f>"30.97"</f>
        <v>30.97</v>
      </c>
      <c r="C2259" t="str">
        <f>"30.9695"</f>
        <v>30.9695</v>
      </c>
    </row>
    <row r="2260" spans="1:3" x14ac:dyDescent="0.25">
      <c r="A2260" t="str">
        <f>"10/10/2018"</f>
        <v>10/10/2018</v>
      </c>
      <c r="B2260" t="str">
        <f>"30.97"</f>
        <v>30.97</v>
      </c>
      <c r="C2260" t="str">
        <f>"30.9695"</f>
        <v>30.9695</v>
      </c>
    </row>
    <row r="2261" spans="1:3" x14ac:dyDescent="0.25">
      <c r="A2261" t="str">
        <f>"11/10/2018"</f>
        <v>11/10/2018</v>
      </c>
      <c r="B2261" t="str">
        <f>"31.106"</f>
        <v>31.106</v>
      </c>
      <c r="C2261" t="str">
        <f>"31.1055"</f>
        <v>31.1055</v>
      </c>
    </row>
    <row r="2262" spans="1:3" x14ac:dyDescent="0.25">
      <c r="A2262" t="str">
        <f>"12/10/2018"</f>
        <v>12/10/2018</v>
      </c>
      <c r="B2262" t="str">
        <f>"30.912"</f>
        <v>30.912</v>
      </c>
      <c r="C2262" t="str">
        <f>"30.9115"</f>
        <v>30.9115</v>
      </c>
    </row>
    <row r="2263" spans="1:3" x14ac:dyDescent="0.25">
      <c r="A2263" t="str">
        <f>"15/10/2018"</f>
        <v>15/10/2018</v>
      </c>
      <c r="B2263" t="str">
        <f>"30.942"</f>
        <v>30.942</v>
      </c>
      <c r="C2263" t="str">
        <f>"30.9414"</f>
        <v>30.9414</v>
      </c>
    </row>
    <row r="2264" spans="1:3" x14ac:dyDescent="0.25">
      <c r="A2264" t="str">
        <f>"16/10/2018"</f>
        <v>16/10/2018</v>
      </c>
      <c r="B2264" t="str">
        <f>"30.922"</f>
        <v>30.922</v>
      </c>
      <c r="C2264" t="str">
        <f>"30.9214"</f>
        <v>30.9214</v>
      </c>
    </row>
    <row r="2265" spans="1:3" x14ac:dyDescent="0.25">
      <c r="A2265" t="str">
        <f>"17/10/2018"</f>
        <v>17/10/2018</v>
      </c>
      <c r="B2265" t="str">
        <f>"30.85"</f>
        <v>30.85</v>
      </c>
      <c r="C2265" t="str">
        <f>"30.8494"</f>
        <v>30.8494</v>
      </c>
    </row>
    <row r="2266" spans="1:3" x14ac:dyDescent="0.25">
      <c r="A2266" t="str">
        <f>"19/10/2018"</f>
        <v>19/10/2018</v>
      </c>
      <c r="B2266" t="str">
        <f>"30.976"</f>
        <v>30.976</v>
      </c>
      <c r="C2266" t="str">
        <f>"30.9754"</f>
        <v>30.9754</v>
      </c>
    </row>
    <row r="2267" spans="1:3" x14ac:dyDescent="0.25">
      <c r="A2267" t="str">
        <f>"22/10/2018"</f>
        <v>22/10/2018</v>
      </c>
      <c r="B2267" t="str">
        <f>"30.923"</f>
        <v>30.923</v>
      </c>
      <c r="C2267" t="str">
        <f>"30.9223"</f>
        <v>30.9223</v>
      </c>
    </row>
    <row r="2268" spans="1:3" x14ac:dyDescent="0.25">
      <c r="A2268" t="str">
        <f>"23/10/2018"</f>
        <v>23/10/2018</v>
      </c>
      <c r="B2268" t="str">
        <f>"30.985"</f>
        <v>30.985</v>
      </c>
      <c r="C2268" t="str">
        <f>"30.9844"</f>
        <v>30.9844</v>
      </c>
    </row>
    <row r="2269" spans="1:3" x14ac:dyDescent="0.25">
      <c r="A2269" t="str">
        <f>"24/10/2018"</f>
        <v>24/10/2018</v>
      </c>
      <c r="B2269" t="str">
        <f>"30.948"</f>
        <v>30.948</v>
      </c>
      <c r="C2269" t="str">
        <f>"30.9474"</f>
        <v>30.9474</v>
      </c>
    </row>
    <row r="2270" spans="1:3" x14ac:dyDescent="0.25">
      <c r="A2270" t="str">
        <f>"25/10/2018"</f>
        <v>25/10/2018</v>
      </c>
      <c r="B2270" t="str">
        <f>"30.998"</f>
        <v>30.998</v>
      </c>
      <c r="C2270" t="str">
        <f>"30.9974"</f>
        <v>30.9974</v>
      </c>
    </row>
    <row r="2271" spans="1:3" x14ac:dyDescent="0.25">
      <c r="A2271" t="str">
        <f>"26/10/2018"</f>
        <v>26/10/2018</v>
      </c>
      <c r="B2271" t="str">
        <f>"31.006"</f>
        <v>31.006</v>
      </c>
      <c r="C2271" t="str">
        <f>"31.0054"</f>
        <v>31.0054</v>
      </c>
    </row>
    <row r="2272" spans="1:3" x14ac:dyDescent="0.25">
      <c r="A2272" t="str">
        <f>"29/10/2018"</f>
        <v>29/10/2018</v>
      </c>
      <c r="B2272" t="str">
        <f>"30.974"</f>
        <v>30.974</v>
      </c>
      <c r="C2272" t="str">
        <f>"30.9734"</f>
        <v>30.9734</v>
      </c>
    </row>
    <row r="2273" spans="1:3" x14ac:dyDescent="0.25">
      <c r="A2273" t="str">
        <f>"30/10/2018"</f>
        <v>30/10/2018</v>
      </c>
      <c r="B2273" t="str">
        <f>"30.984"</f>
        <v>30.984</v>
      </c>
      <c r="C2273" t="str">
        <f>"30.9833"</f>
        <v>30.9833</v>
      </c>
    </row>
    <row r="2274" spans="1:3" x14ac:dyDescent="0.25">
      <c r="A2274" t="str">
        <f>"31/10/2018"</f>
        <v>31/10/2018</v>
      </c>
      <c r="B2274" t="str">
        <f>"30.972"</f>
        <v>30.972</v>
      </c>
      <c r="C2274" t="str">
        <f>"30.9714"</f>
        <v>30.9714</v>
      </c>
    </row>
    <row r="2275" spans="1:3" x14ac:dyDescent="0.25">
      <c r="A2275" t="str">
        <f>"01/11/2018"</f>
        <v>01/11/2018</v>
      </c>
      <c r="B2275" t="str">
        <f>"30.926"</f>
        <v>30.926</v>
      </c>
      <c r="C2275" t="str">
        <f>"30.9254"</f>
        <v>30.9254</v>
      </c>
    </row>
    <row r="2276" spans="1:3" x14ac:dyDescent="0.25">
      <c r="A2276" t="str">
        <f>"02/11/2018"</f>
        <v>02/11/2018</v>
      </c>
      <c r="B2276" t="str">
        <f>"30.74"</f>
        <v>30.74</v>
      </c>
      <c r="C2276" t="str">
        <f>"30.7394"</f>
        <v>30.7394</v>
      </c>
    </row>
    <row r="2277" spans="1:3" x14ac:dyDescent="0.25">
      <c r="A2277" t="str">
        <f>"05/11/2018"</f>
        <v>05/11/2018</v>
      </c>
      <c r="B2277" t="str">
        <f>"30.771"</f>
        <v>30.771</v>
      </c>
      <c r="C2277" t="str">
        <f>"30.7704"</f>
        <v>30.7704</v>
      </c>
    </row>
    <row r="2278" spans="1:3" x14ac:dyDescent="0.25">
      <c r="A2278" t="str">
        <f>"06/11/2018"</f>
        <v>06/11/2018</v>
      </c>
      <c r="B2278" t="str">
        <f>"30.782"</f>
        <v>30.782</v>
      </c>
      <c r="C2278" t="str">
        <f>"30.7814"</f>
        <v>30.7814</v>
      </c>
    </row>
    <row r="2279" spans="1:3" x14ac:dyDescent="0.25">
      <c r="A2279" t="str">
        <f>"09/11/2018"</f>
        <v>09/11/2018</v>
      </c>
      <c r="B2279" t="str">
        <f>"30.763"</f>
        <v>30.763</v>
      </c>
      <c r="C2279" t="str">
        <f>"30.7624"</f>
        <v>30.7624</v>
      </c>
    </row>
    <row r="2280" spans="1:3" x14ac:dyDescent="0.25">
      <c r="A2280" t="str">
        <f>"12/11/2018"</f>
        <v>12/11/2018</v>
      </c>
      <c r="B2280" t="str">
        <f>"30.888"</f>
        <v>30.888</v>
      </c>
      <c r="C2280" t="str">
        <f>"30.8874"</f>
        <v>30.8874</v>
      </c>
    </row>
    <row r="2281" spans="1:3" x14ac:dyDescent="0.25">
      <c r="A2281" t="str">
        <f>"13/11/2018"</f>
        <v>13/11/2018</v>
      </c>
      <c r="B2281" t="str">
        <f>"30.902"</f>
        <v>30.902</v>
      </c>
      <c r="C2281" t="str">
        <f>"30.9014"</f>
        <v>30.9014</v>
      </c>
    </row>
    <row r="2282" spans="1:3" x14ac:dyDescent="0.25">
      <c r="A2282" t="str">
        <f>"14/11/2018"</f>
        <v>14/11/2018</v>
      </c>
      <c r="B2282" t="str">
        <f>"30.933"</f>
        <v>30.933</v>
      </c>
      <c r="C2282" t="str">
        <f>"30.9324"</f>
        <v>30.9324</v>
      </c>
    </row>
    <row r="2283" spans="1:3" x14ac:dyDescent="0.25">
      <c r="A2283" t="str">
        <f>"15/11/2018"</f>
        <v>15/11/2018</v>
      </c>
      <c r="B2283" t="str">
        <f>"30.848"</f>
        <v>30.848</v>
      </c>
      <c r="C2283" t="str">
        <f>"30.8474"</f>
        <v>30.8474</v>
      </c>
    </row>
    <row r="2284" spans="1:3" x14ac:dyDescent="0.25">
      <c r="A2284" t="str">
        <f>"16/11/2018"</f>
        <v>16/11/2018</v>
      </c>
      <c r="B2284" t="str">
        <f>"30.889"</f>
        <v>30.889</v>
      </c>
      <c r="C2284" t="str">
        <f>"30.8884"</f>
        <v>30.8884</v>
      </c>
    </row>
    <row r="2285" spans="1:3" x14ac:dyDescent="0.25">
      <c r="A2285" t="str">
        <f>"19/11/2018"</f>
        <v>19/11/2018</v>
      </c>
      <c r="B2285" t="str">
        <f>"30.906"</f>
        <v>30.906</v>
      </c>
      <c r="C2285" t="str">
        <f>"30.9054"</f>
        <v>30.9054</v>
      </c>
    </row>
    <row r="2286" spans="1:3" x14ac:dyDescent="0.25">
      <c r="A2286" t="str">
        <f>"20/11/2018"</f>
        <v>20/11/2018</v>
      </c>
      <c r="B2286" t="str">
        <f>"30.908"</f>
        <v>30.908</v>
      </c>
      <c r="C2286" t="str">
        <f>"30.9074"</f>
        <v>30.9074</v>
      </c>
    </row>
    <row r="2287" spans="1:3" x14ac:dyDescent="0.25">
      <c r="A2287" t="str">
        <f>"22/11/2018"</f>
        <v>22/11/2018</v>
      </c>
      <c r="B2287" t="str">
        <f>"30.895"</f>
        <v>30.895</v>
      </c>
      <c r="C2287" t="str">
        <f>"30.8944"</f>
        <v>30.8944</v>
      </c>
    </row>
    <row r="2288" spans="1:3" x14ac:dyDescent="0.25">
      <c r="A2288" t="str">
        <f>"26/11/2018"</f>
        <v>26/11/2018</v>
      </c>
      <c r="B2288" t="str">
        <f>"30.888"</f>
        <v>30.888</v>
      </c>
      <c r="C2288" t="str">
        <f>"30.8874"</f>
        <v>30.8874</v>
      </c>
    </row>
    <row r="2289" spans="1:3" x14ac:dyDescent="0.25">
      <c r="A2289" t="str">
        <f>"27/11/2018"</f>
        <v>27/11/2018</v>
      </c>
      <c r="B2289" t="str">
        <f>"30.901"</f>
        <v>30.901</v>
      </c>
      <c r="C2289" t="str">
        <f>"30.9005"</f>
        <v>30.9005</v>
      </c>
    </row>
    <row r="2290" spans="1:3" x14ac:dyDescent="0.25">
      <c r="A2290" t="str">
        <f>"28/11/2018"</f>
        <v>28/11/2018</v>
      </c>
      <c r="B2290" t="str">
        <f>"30.911"</f>
        <v>30.911</v>
      </c>
      <c r="C2290" t="str">
        <f>"30.9105"</f>
        <v>30.9105</v>
      </c>
    </row>
    <row r="2291" spans="1:3" x14ac:dyDescent="0.25">
      <c r="A2291" t="str">
        <f>"29/11/2018"</f>
        <v>29/11/2018</v>
      </c>
      <c r="B2291" t="str">
        <f>"30.84"</f>
        <v>30.84</v>
      </c>
      <c r="C2291" t="str">
        <f>"30.8392"</f>
        <v>30.8392</v>
      </c>
    </row>
    <row r="2292" spans="1:3" x14ac:dyDescent="0.25">
      <c r="A2292" t="str">
        <f>"30/11/2018"</f>
        <v>30/11/2018</v>
      </c>
      <c r="B2292" t="str">
        <f>"30.85"</f>
        <v>30.85</v>
      </c>
      <c r="C2292" t="str">
        <f>"30.8493"</f>
        <v>30.8493</v>
      </c>
    </row>
    <row r="2293" spans="1:3" x14ac:dyDescent="0.25">
      <c r="A2293" t="str">
        <f>"03/12/2018"</f>
        <v>03/12/2018</v>
      </c>
      <c r="B2293" t="str">
        <f>"30.755"</f>
        <v>30.755</v>
      </c>
      <c r="C2293" t="str">
        <f>"30.7542"</f>
        <v>30.7542</v>
      </c>
    </row>
    <row r="2294" spans="1:3" x14ac:dyDescent="0.25">
      <c r="A2294" t="str">
        <f>"04/12/2018"</f>
        <v>04/12/2018</v>
      </c>
      <c r="B2294" t="str">
        <f>"30.705"</f>
        <v>30.705</v>
      </c>
      <c r="C2294" t="str">
        <f>"30.7042"</f>
        <v>30.7042</v>
      </c>
    </row>
    <row r="2295" spans="1:3" x14ac:dyDescent="0.25">
      <c r="A2295" t="str">
        <f>"05/12/2018"</f>
        <v>05/12/2018</v>
      </c>
      <c r="B2295" t="str">
        <f>"30.806"</f>
        <v>30.806</v>
      </c>
      <c r="C2295" t="str">
        <f>"30.8052"</f>
        <v>30.8052</v>
      </c>
    </row>
    <row r="2296" spans="1:3" x14ac:dyDescent="0.25">
      <c r="A2296" t="str">
        <f>"06/12/2018"</f>
        <v>06/12/2018</v>
      </c>
      <c r="B2296" t="str">
        <f>"30.857"</f>
        <v>30.857</v>
      </c>
      <c r="C2296" t="str">
        <f>"30.8562"</f>
        <v>30.8562</v>
      </c>
    </row>
    <row r="2297" spans="1:3" x14ac:dyDescent="0.25">
      <c r="A2297" t="str">
        <f>"07/12/2018"</f>
        <v>07/12/2018</v>
      </c>
      <c r="B2297" t="str">
        <f>"30.844"</f>
        <v>30.844</v>
      </c>
      <c r="C2297" t="str">
        <f>"30.8432"</f>
        <v>30.8432</v>
      </c>
    </row>
    <row r="2298" spans="1:3" x14ac:dyDescent="0.25">
      <c r="A2298" t="str">
        <f>"10/12/2018"</f>
        <v>10/12/2018</v>
      </c>
      <c r="B2298" t="str">
        <f>"30.877"</f>
        <v>30.877</v>
      </c>
      <c r="C2298" t="str">
        <f>"30.8762"</f>
        <v>30.8762</v>
      </c>
    </row>
    <row r="2299" spans="1:3" x14ac:dyDescent="0.25">
      <c r="A2299" t="str">
        <f>"11/12/2018"</f>
        <v>11/12/2018</v>
      </c>
      <c r="B2299" t="str">
        <f>"30.894"</f>
        <v>30.894</v>
      </c>
      <c r="C2299" t="str">
        <f>"30.8932"</f>
        <v>30.8932</v>
      </c>
    </row>
    <row r="2300" spans="1:3" x14ac:dyDescent="0.25">
      <c r="A2300" t="str">
        <f>"12/12/2018"</f>
        <v>12/12/2018</v>
      </c>
      <c r="B2300" t="str">
        <f>"30.835"</f>
        <v>30.835</v>
      </c>
      <c r="C2300" t="str">
        <f>"30.8342"</f>
        <v>30.8342</v>
      </c>
    </row>
    <row r="2301" spans="1:3" x14ac:dyDescent="0.25">
      <c r="A2301" t="str">
        <f>"13/12/2018"</f>
        <v>13/12/2018</v>
      </c>
      <c r="B2301" t="str">
        <f>"30.851"</f>
        <v>30.851</v>
      </c>
      <c r="C2301" t="str">
        <f>"30.8502"</f>
        <v>30.8502</v>
      </c>
    </row>
    <row r="2302" spans="1:3" x14ac:dyDescent="0.25">
      <c r="A2302" t="str">
        <f>"14/12/2018"</f>
        <v>14/12/2018</v>
      </c>
      <c r="B2302" t="str">
        <f>"30.87"</f>
        <v>30.87</v>
      </c>
      <c r="C2302" t="str">
        <f>"30.8692"</f>
        <v>30.8692</v>
      </c>
    </row>
    <row r="2303" spans="1:3" x14ac:dyDescent="0.25">
      <c r="A2303" t="str">
        <f>"17/12/2018"</f>
        <v>17/12/2018</v>
      </c>
      <c r="B2303" t="str">
        <f>"30.87"</f>
        <v>30.87</v>
      </c>
      <c r="C2303" t="str">
        <f>"30.8692"</f>
        <v>30.8692</v>
      </c>
    </row>
    <row r="2304" spans="1:3" x14ac:dyDescent="0.25">
      <c r="A2304" t="str">
        <f>"18/12/2018"</f>
        <v>18/12/2018</v>
      </c>
      <c r="B2304" t="str">
        <f>"30.87"</f>
        <v>30.87</v>
      </c>
      <c r="C2304" t="str">
        <f>"30.8692"</f>
        <v>30.8692</v>
      </c>
    </row>
    <row r="2305" spans="1:3" x14ac:dyDescent="0.25">
      <c r="A2305" t="str">
        <f>"19/12/2018"</f>
        <v>19/12/2018</v>
      </c>
      <c r="B2305" t="str">
        <f>"30.813"</f>
        <v>30.813</v>
      </c>
      <c r="C2305" t="str">
        <f>"30.8122"</f>
        <v>30.8122</v>
      </c>
    </row>
    <row r="2306" spans="1:3" x14ac:dyDescent="0.25">
      <c r="A2306" t="str">
        <f>"20/12/2018"</f>
        <v>20/12/2018</v>
      </c>
      <c r="B2306" t="str">
        <f>"30.843"</f>
        <v>30.843</v>
      </c>
      <c r="C2306" t="str">
        <f>"30.8421"</f>
        <v>30.8421</v>
      </c>
    </row>
    <row r="2307" spans="1:3" x14ac:dyDescent="0.25">
      <c r="A2307" t="str">
        <f>"21/12/2018"</f>
        <v>21/12/2018</v>
      </c>
      <c r="B2307" t="str">
        <f>"30.80"</f>
        <v>30.80</v>
      </c>
      <c r="C2307" t="str">
        <f>"30.799"</f>
        <v>30.799</v>
      </c>
    </row>
    <row r="2308" spans="1:3" x14ac:dyDescent="0.25">
      <c r="A2308" t="str">
        <f>"24/12/2018"</f>
        <v>24/12/2018</v>
      </c>
      <c r="B2308" t="str">
        <f>"30.838"</f>
        <v>30.838</v>
      </c>
      <c r="C2308" t="str">
        <f>"30.8372"</f>
        <v>30.8372</v>
      </c>
    </row>
    <row r="2309" spans="1:3" x14ac:dyDescent="0.25">
      <c r="A2309" t="str">
        <f>"26/12/2018"</f>
        <v>26/12/2018</v>
      </c>
      <c r="B2309" t="str">
        <f>"30.815"</f>
        <v>30.815</v>
      </c>
      <c r="C2309" t="str">
        <f>"30.8141"</f>
        <v>30.8141</v>
      </c>
    </row>
    <row r="2310" spans="1:3" x14ac:dyDescent="0.25">
      <c r="A2310" t="str">
        <f>"27/12/2018"</f>
        <v>27/12/2018</v>
      </c>
      <c r="B2310" t="str">
        <f>"30.802"</f>
        <v>30.802</v>
      </c>
      <c r="C2310" t="str">
        <f>"30.8011"</f>
        <v>30.8011</v>
      </c>
    </row>
    <row r="2311" spans="1:3" x14ac:dyDescent="0.25">
      <c r="A2311" t="str">
        <f>"28/12/2018"</f>
        <v>28/12/2018</v>
      </c>
      <c r="B2311" t="str">
        <f>"30.741"</f>
        <v>30.741</v>
      </c>
      <c r="C2311" t="str">
        <f>"30.7401"</f>
        <v>30.7401</v>
      </c>
    </row>
    <row r="2312" spans="1:3" x14ac:dyDescent="0.25">
      <c r="A2312" t="str">
        <f>"31/12/2018"</f>
        <v>31/12/2018</v>
      </c>
      <c r="B2312" t="str">
        <f>"30.735"</f>
        <v>30.735</v>
      </c>
      <c r="C2312" t="str">
        <f>"30.7341"</f>
        <v>30.7341</v>
      </c>
    </row>
    <row r="2313" spans="1:3" x14ac:dyDescent="0.25">
      <c r="A2313" t="str">
        <f>"01/01/2019"</f>
        <v>01/01/2019</v>
      </c>
      <c r="B2313" t="str">
        <f>"30.735"</f>
        <v>30.735</v>
      </c>
      <c r="C2313" t="str">
        <f>"30.7341"</f>
        <v>30.7341</v>
      </c>
    </row>
    <row r="2314" spans="1:3" x14ac:dyDescent="0.25">
      <c r="A2314" t="str">
        <f>"02/01/2019"</f>
        <v>02/01/2019</v>
      </c>
      <c r="B2314" t="str">
        <f>"30.795"</f>
        <v>30.795</v>
      </c>
      <c r="C2314" t="str">
        <f>"30.7941"</f>
        <v>30.7941</v>
      </c>
    </row>
    <row r="2315" spans="1:3" x14ac:dyDescent="0.25">
      <c r="A2315" t="str">
        <f>"03/01/2019"</f>
        <v>03/01/2019</v>
      </c>
      <c r="B2315" t="str">
        <f>"30.885"</f>
        <v>30.885</v>
      </c>
      <c r="C2315" t="str">
        <f>"30.8842"</f>
        <v>30.8842</v>
      </c>
    </row>
    <row r="2316" spans="1:3" x14ac:dyDescent="0.25">
      <c r="A2316" t="str">
        <f>"04/01/2019"</f>
        <v>04/01/2019</v>
      </c>
      <c r="B2316" t="str">
        <f>"30.863"</f>
        <v>30.863</v>
      </c>
      <c r="C2316" t="str">
        <f>"30.8623"</f>
        <v>30.8623</v>
      </c>
    </row>
    <row r="2317" spans="1:3" x14ac:dyDescent="0.25">
      <c r="A2317" t="str">
        <f>"07/01/2019"</f>
        <v>07/01/2019</v>
      </c>
      <c r="B2317" t="str">
        <f>"30.814"</f>
        <v>30.814</v>
      </c>
      <c r="C2317" t="str">
        <f>"30.8133"</f>
        <v>30.8133</v>
      </c>
    </row>
    <row r="2318" spans="1:3" x14ac:dyDescent="0.25">
      <c r="A2318" t="str">
        <f>"08/01/2019"</f>
        <v>08/01/2019</v>
      </c>
      <c r="B2318" t="str">
        <f>"30.837"</f>
        <v>30.837</v>
      </c>
      <c r="C2318" t="str">
        <f>"30.8364"</f>
        <v>30.8364</v>
      </c>
    </row>
    <row r="2319" spans="1:3" x14ac:dyDescent="0.25">
      <c r="A2319" t="str">
        <f>"09/01/2019"</f>
        <v>09/01/2019</v>
      </c>
      <c r="B2319" t="str">
        <f>"30.805"</f>
        <v>30.805</v>
      </c>
      <c r="C2319" t="str">
        <f>"30.8044"</f>
        <v>30.8044</v>
      </c>
    </row>
    <row r="2320" spans="1:3" x14ac:dyDescent="0.25">
      <c r="A2320" t="str">
        <f>"10/01/2019"</f>
        <v>10/01/2019</v>
      </c>
      <c r="B2320" t="str">
        <f>"30.783"</f>
        <v>30.783</v>
      </c>
      <c r="C2320" t="str">
        <f>"30.7824"</f>
        <v>30.7824</v>
      </c>
    </row>
    <row r="2321" spans="1:3" x14ac:dyDescent="0.25">
      <c r="A2321" t="str">
        <f>"11/01/2019"</f>
        <v>11/01/2019</v>
      </c>
      <c r="B2321" t="str">
        <f>"30.805"</f>
        <v>30.805</v>
      </c>
      <c r="C2321" t="str">
        <f>"30.8044"</f>
        <v>30.8044</v>
      </c>
    </row>
    <row r="2322" spans="1:3" x14ac:dyDescent="0.25">
      <c r="A2322" t="str">
        <f>"14/01/2019"</f>
        <v>14/01/2019</v>
      </c>
      <c r="B2322" t="str">
        <f>"30.854"</f>
        <v>30.854</v>
      </c>
      <c r="C2322" t="str">
        <f>"30.8533"</f>
        <v>30.8533</v>
      </c>
    </row>
    <row r="2323" spans="1:3" x14ac:dyDescent="0.25">
      <c r="A2323" t="str">
        <f>"15/01/2019"</f>
        <v>15/01/2019</v>
      </c>
      <c r="B2323" t="str">
        <f>"30.822"</f>
        <v>30.822</v>
      </c>
      <c r="C2323" t="str">
        <f>"30.8214"</f>
        <v>30.8214</v>
      </c>
    </row>
    <row r="2324" spans="1:3" x14ac:dyDescent="0.25">
      <c r="A2324" t="str">
        <f>"16/01/2019"</f>
        <v>16/01/2019</v>
      </c>
      <c r="B2324" t="str">
        <f>"30.831"</f>
        <v>30.831</v>
      </c>
      <c r="C2324" t="str">
        <f>"30.8304"</f>
        <v>30.8304</v>
      </c>
    </row>
    <row r="2325" spans="1:3" x14ac:dyDescent="0.25">
      <c r="A2325" t="str">
        <f>"17/01/2019"</f>
        <v>17/01/2019</v>
      </c>
      <c r="B2325" t="str">
        <f>"30.853"</f>
        <v>30.853</v>
      </c>
      <c r="C2325" t="str">
        <f>"30.8524"</f>
        <v>30.8524</v>
      </c>
    </row>
    <row r="2326" spans="1:3" x14ac:dyDescent="0.25">
      <c r="A2326" t="str">
        <f>"18/01/2019"</f>
        <v>18/01/2019</v>
      </c>
      <c r="B2326" t="str">
        <f>"30.845"</f>
        <v>30.845</v>
      </c>
      <c r="C2326" t="str">
        <f>"30.8444"</f>
        <v>30.8444</v>
      </c>
    </row>
    <row r="2327" spans="1:3" x14ac:dyDescent="0.25">
      <c r="A2327" t="str">
        <f>"21/01/2019"</f>
        <v>21/01/2019</v>
      </c>
      <c r="B2327" t="str">
        <f>"30.854"</f>
        <v>30.854</v>
      </c>
      <c r="C2327" t="str">
        <f>"30.8534"</f>
        <v>30.8534</v>
      </c>
    </row>
    <row r="2328" spans="1:3" x14ac:dyDescent="0.25">
      <c r="A2328" t="str">
        <f>"22/01/2019"</f>
        <v>22/01/2019</v>
      </c>
      <c r="B2328" t="str">
        <f>"30.896"</f>
        <v>30.896</v>
      </c>
      <c r="C2328" t="str">
        <f>"30.8954"</f>
        <v>30.8954</v>
      </c>
    </row>
    <row r="2329" spans="1:3" x14ac:dyDescent="0.25">
      <c r="A2329" t="str">
        <f>"23/01/2019"</f>
        <v>23/01/2019</v>
      </c>
      <c r="B2329" t="str">
        <f>"30.892"</f>
        <v>30.892</v>
      </c>
      <c r="C2329" t="str">
        <f>"30.8914"</f>
        <v>30.8914</v>
      </c>
    </row>
    <row r="2330" spans="1:3" x14ac:dyDescent="0.25">
      <c r="A2330" t="str">
        <f>"24/01/2019"</f>
        <v>24/01/2019</v>
      </c>
      <c r="B2330" t="str">
        <f>"30.886"</f>
        <v>30.886</v>
      </c>
      <c r="C2330" t="str">
        <f>"30.8854"</f>
        <v>30.8854</v>
      </c>
    </row>
    <row r="2331" spans="1:3" x14ac:dyDescent="0.25">
      <c r="A2331" t="str">
        <f>"25/01/2019"</f>
        <v>25/01/2019</v>
      </c>
      <c r="B2331" t="str">
        <f>"30.826"</f>
        <v>30.826</v>
      </c>
      <c r="C2331" t="str">
        <f>"30.8255"</f>
        <v>30.8255</v>
      </c>
    </row>
    <row r="2332" spans="1:3" x14ac:dyDescent="0.25">
      <c r="A2332" t="str">
        <f>"28/01/2019"</f>
        <v>28/01/2019</v>
      </c>
      <c r="B2332" t="str">
        <f>"30.792"</f>
        <v>30.792</v>
      </c>
      <c r="C2332" t="str">
        <f>"30.7915"</f>
        <v>30.7915</v>
      </c>
    </row>
    <row r="2333" spans="1:3" x14ac:dyDescent="0.25">
      <c r="A2333" t="str">
        <f>"29/01/2019"</f>
        <v>29/01/2019</v>
      </c>
      <c r="B2333" t="str">
        <f>"30.811"</f>
        <v>30.811</v>
      </c>
      <c r="C2333" t="str">
        <f>"30.8105"</f>
        <v>30.8105</v>
      </c>
    </row>
    <row r="2334" spans="1:3" x14ac:dyDescent="0.25">
      <c r="A2334" t="str">
        <f>"30/01/2019"</f>
        <v>30/01/2019</v>
      </c>
      <c r="B2334" t="str">
        <f>"30.776"</f>
        <v>30.776</v>
      </c>
      <c r="C2334" t="str">
        <f>"30.7755"</f>
        <v>30.7755</v>
      </c>
    </row>
    <row r="2335" spans="1:3" x14ac:dyDescent="0.25">
      <c r="A2335" t="str">
        <f>"31/01/2019"</f>
        <v>31/01/2019</v>
      </c>
      <c r="B2335" t="str">
        <f>"30.738"</f>
        <v>30.738</v>
      </c>
      <c r="C2335" t="str">
        <f>"30.7375"</f>
        <v>30.7375</v>
      </c>
    </row>
    <row r="2336" spans="1:3" x14ac:dyDescent="0.25">
      <c r="A2336" t="str">
        <f>"01/02/2019"</f>
        <v>01/02/2019</v>
      </c>
      <c r="B2336" t="str">
        <f t="shared" ref="B2336:B2341" si="5">"30.746"</f>
        <v>30.746</v>
      </c>
      <c r="C2336" t="str">
        <f t="shared" ref="C2336:C2341" si="6">"30.7455"</f>
        <v>30.7455</v>
      </c>
    </row>
    <row r="2337" spans="1:3" x14ac:dyDescent="0.25">
      <c r="A2337" t="str">
        <f>"04/02/2019"</f>
        <v>04/02/2019</v>
      </c>
      <c r="B2337" t="str">
        <f t="shared" si="5"/>
        <v>30.746</v>
      </c>
      <c r="C2337" t="str">
        <f t="shared" si="6"/>
        <v>30.7455</v>
      </c>
    </row>
    <row r="2338" spans="1:3" x14ac:dyDescent="0.25">
      <c r="A2338" t="str">
        <f>"05/02/2019"</f>
        <v>05/02/2019</v>
      </c>
      <c r="B2338" t="str">
        <f t="shared" si="5"/>
        <v>30.746</v>
      </c>
      <c r="C2338" t="str">
        <f t="shared" si="6"/>
        <v>30.7455</v>
      </c>
    </row>
    <row r="2339" spans="1:3" x14ac:dyDescent="0.25">
      <c r="A2339" t="str">
        <f>"06/02/2019"</f>
        <v>06/02/2019</v>
      </c>
      <c r="B2339" t="str">
        <f t="shared" si="5"/>
        <v>30.746</v>
      </c>
      <c r="C2339" t="str">
        <f t="shared" si="6"/>
        <v>30.7455</v>
      </c>
    </row>
    <row r="2340" spans="1:3" x14ac:dyDescent="0.25">
      <c r="A2340" t="str">
        <f>"07/02/2019"</f>
        <v>07/02/2019</v>
      </c>
      <c r="B2340" t="str">
        <f t="shared" si="5"/>
        <v>30.746</v>
      </c>
      <c r="C2340" t="str">
        <f t="shared" si="6"/>
        <v>30.7455</v>
      </c>
    </row>
    <row r="2341" spans="1:3" x14ac:dyDescent="0.25">
      <c r="A2341" t="str">
        <f>"08/02/2019"</f>
        <v>08/02/2019</v>
      </c>
      <c r="B2341" t="str">
        <f t="shared" si="5"/>
        <v>30.746</v>
      </c>
      <c r="C2341" t="str">
        <f t="shared" si="6"/>
        <v>30.7455</v>
      </c>
    </row>
    <row r="2342" spans="1:3" x14ac:dyDescent="0.25">
      <c r="A2342" t="str">
        <f>"11/02/2019"</f>
        <v>11/02/2019</v>
      </c>
      <c r="B2342" t="str">
        <f>"30.81"</f>
        <v>30.81</v>
      </c>
      <c r="C2342" t="str">
        <f>"30.8095"</f>
        <v>30.8095</v>
      </c>
    </row>
    <row r="2343" spans="1:3" x14ac:dyDescent="0.25">
      <c r="A2343" t="str">
        <f>"12/02/2019"</f>
        <v>12/02/2019</v>
      </c>
      <c r="B2343" t="str">
        <f>"30.84"</f>
        <v>30.84</v>
      </c>
      <c r="C2343" t="str">
        <f>"30.8395"</f>
        <v>30.8395</v>
      </c>
    </row>
    <row r="2344" spans="1:3" x14ac:dyDescent="0.25">
      <c r="A2344" t="str">
        <f>"13/02/2019"</f>
        <v>13/02/2019</v>
      </c>
      <c r="B2344" t="str">
        <f>"30.832"</f>
        <v>30.832</v>
      </c>
      <c r="C2344" t="str">
        <f>"30.8315"</f>
        <v>30.8315</v>
      </c>
    </row>
    <row r="2345" spans="1:3" x14ac:dyDescent="0.25">
      <c r="A2345" t="str">
        <f>"14/02/2019"</f>
        <v>14/02/2019</v>
      </c>
      <c r="B2345" t="str">
        <f>"30.833"</f>
        <v>30.833</v>
      </c>
      <c r="C2345" t="str">
        <f>"30.8325"</f>
        <v>30.8325</v>
      </c>
    </row>
    <row r="2346" spans="1:3" x14ac:dyDescent="0.25">
      <c r="A2346" t="str">
        <f>"15/02/2019"</f>
        <v>15/02/2019</v>
      </c>
      <c r="B2346" t="str">
        <f>"30.85"</f>
        <v>30.85</v>
      </c>
      <c r="C2346" t="str">
        <f>"30.8495"</f>
        <v>30.8495</v>
      </c>
    </row>
    <row r="2347" spans="1:3" x14ac:dyDescent="0.25">
      <c r="A2347" t="str">
        <f>"18/02/2019"</f>
        <v>18/02/2019</v>
      </c>
      <c r="B2347" t="str">
        <f>"30.818"</f>
        <v>30.818</v>
      </c>
      <c r="C2347" t="str">
        <f>"30.8175"</f>
        <v>30.8175</v>
      </c>
    </row>
    <row r="2348" spans="1:3" x14ac:dyDescent="0.25">
      <c r="A2348" t="str">
        <f>"20/02/2019"</f>
        <v>20/02/2019</v>
      </c>
      <c r="B2348" t="str">
        <f>"30.826"</f>
        <v>30.826</v>
      </c>
      <c r="C2348" t="str">
        <f>"30.8255"</f>
        <v>30.8255</v>
      </c>
    </row>
    <row r="2349" spans="1:3" x14ac:dyDescent="0.25">
      <c r="A2349" t="str">
        <f>"21/02/2019"</f>
        <v>21/02/2019</v>
      </c>
      <c r="B2349" t="str">
        <f>"30.795"</f>
        <v>30.795</v>
      </c>
      <c r="C2349" t="str">
        <f>"30.7945"</f>
        <v>30.7945</v>
      </c>
    </row>
    <row r="2350" spans="1:3" x14ac:dyDescent="0.25">
      <c r="A2350" t="str">
        <f>"22/02/2019"</f>
        <v>22/02/2019</v>
      </c>
      <c r="B2350" t="str">
        <f>"30.822"</f>
        <v>30.822</v>
      </c>
      <c r="C2350" t="str">
        <f>"30.8215"</f>
        <v>30.8215</v>
      </c>
    </row>
    <row r="2351" spans="1:3" x14ac:dyDescent="0.25">
      <c r="A2351" t="str">
        <f>"25/02/2019"</f>
        <v>25/02/2019</v>
      </c>
      <c r="B2351" t="str">
        <f>"30.795"</f>
        <v>30.795</v>
      </c>
      <c r="C2351" t="str">
        <f>"30.7944"</f>
        <v>30.7944</v>
      </c>
    </row>
    <row r="2352" spans="1:3" x14ac:dyDescent="0.25">
      <c r="A2352" t="str">
        <f>"26/02/2019"</f>
        <v>26/02/2019</v>
      </c>
      <c r="B2352" t="str">
        <f>"30.783"</f>
        <v>30.783</v>
      </c>
      <c r="C2352" t="str">
        <f>"30.7823"</f>
        <v>30.7823</v>
      </c>
    </row>
    <row r="2353" spans="1:3" x14ac:dyDescent="0.25">
      <c r="A2353" t="str">
        <f>"27/02/2019"</f>
        <v>27/02/2019</v>
      </c>
      <c r="B2353" t="str">
        <f>"30.775"</f>
        <v>30.775</v>
      </c>
      <c r="C2353" t="str">
        <f>"30.7744"</f>
        <v>30.7744</v>
      </c>
    </row>
    <row r="2354" spans="1:3" x14ac:dyDescent="0.25">
      <c r="A2354" t="str">
        <f>"28/02/2019"</f>
        <v>28/02/2019</v>
      </c>
      <c r="B2354" t="str">
        <f>"30.775"</f>
        <v>30.775</v>
      </c>
      <c r="C2354" t="str">
        <f>"30.7744"</f>
        <v>30.7744</v>
      </c>
    </row>
    <row r="2355" spans="1:3" x14ac:dyDescent="0.25">
      <c r="A2355" t="str">
        <f>"01/03/2019"</f>
        <v>01/03/2019</v>
      </c>
      <c r="B2355" t="str">
        <f>"30.775"</f>
        <v>30.775</v>
      </c>
      <c r="C2355" t="str">
        <f>"30.7744"</f>
        <v>30.7744</v>
      </c>
    </row>
    <row r="2356" spans="1:3" x14ac:dyDescent="0.25">
      <c r="A2356" t="str">
        <f>"05/03/2019"</f>
        <v>05/03/2019</v>
      </c>
      <c r="B2356" t="str">
        <f>"30.847"</f>
        <v>30.847</v>
      </c>
      <c r="C2356" t="str">
        <f>"30.8464"</f>
        <v>30.8464</v>
      </c>
    </row>
    <row r="2357" spans="1:3" x14ac:dyDescent="0.25">
      <c r="A2357" t="str">
        <f>"06/03/2019"</f>
        <v>06/03/2019</v>
      </c>
      <c r="B2357" t="str">
        <f>"30.849"</f>
        <v>30.849</v>
      </c>
      <c r="C2357" t="str">
        <f>"30.8484"</f>
        <v>30.8484</v>
      </c>
    </row>
    <row r="2358" spans="1:3" x14ac:dyDescent="0.25">
      <c r="A2358" t="str">
        <f>"07/03/2019"</f>
        <v>07/03/2019</v>
      </c>
      <c r="B2358" t="str">
        <f>"30.87"</f>
        <v>30.87</v>
      </c>
      <c r="C2358" t="str">
        <f>"30.8694"</f>
        <v>30.8694</v>
      </c>
    </row>
    <row r="2359" spans="1:3" x14ac:dyDescent="0.25">
      <c r="A2359" t="str">
        <f>"08/03/2019"</f>
        <v>08/03/2019</v>
      </c>
      <c r="B2359" t="str">
        <f>"30.903"</f>
        <v>30.903</v>
      </c>
      <c r="C2359" t="str">
        <f>"30.9024"</f>
        <v>30.9024</v>
      </c>
    </row>
    <row r="2360" spans="1:3" x14ac:dyDescent="0.25">
      <c r="A2360" t="str">
        <f>"11/03/2019"</f>
        <v>11/03/2019</v>
      </c>
      <c r="B2360" t="str">
        <f>"30.91"</f>
        <v>30.91</v>
      </c>
      <c r="C2360" t="str">
        <f>"30.9094"</f>
        <v>30.9094</v>
      </c>
    </row>
    <row r="2361" spans="1:3" x14ac:dyDescent="0.25">
      <c r="A2361" t="str">
        <f>"12/03/2019"</f>
        <v>12/03/2019</v>
      </c>
      <c r="B2361" t="str">
        <f>"30.908"</f>
        <v>30.908</v>
      </c>
      <c r="C2361" t="str">
        <f>"30.9074"</f>
        <v>30.9074</v>
      </c>
    </row>
    <row r="2362" spans="1:3" x14ac:dyDescent="0.25">
      <c r="A2362" t="str">
        <f>"13/03/2019"</f>
        <v>13/03/2019</v>
      </c>
      <c r="B2362" t="str">
        <f>"30.905"</f>
        <v>30.905</v>
      </c>
      <c r="C2362" t="str">
        <f>"30.9044"</f>
        <v>30.9044</v>
      </c>
    </row>
    <row r="2363" spans="1:3" x14ac:dyDescent="0.25">
      <c r="A2363" t="str">
        <f>"14/03/2019"</f>
        <v>14/03/2019</v>
      </c>
      <c r="B2363" t="str">
        <f>"30.902"</f>
        <v>30.902</v>
      </c>
      <c r="C2363" t="str">
        <f>"30.9014"</f>
        <v>30.9014</v>
      </c>
    </row>
    <row r="2364" spans="1:3" x14ac:dyDescent="0.25">
      <c r="A2364" t="str">
        <f>"18/03/2019"</f>
        <v>18/03/2019</v>
      </c>
      <c r="B2364" t="str">
        <f>"30.832"</f>
        <v>30.832</v>
      </c>
      <c r="C2364" t="str">
        <f>"30.8313"</f>
        <v>30.8313</v>
      </c>
    </row>
    <row r="2365" spans="1:3" x14ac:dyDescent="0.25">
      <c r="A2365" t="str">
        <f>"19/03/2019"</f>
        <v>19/03/2019</v>
      </c>
      <c r="B2365" t="str">
        <f>"30.837"</f>
        <v>30.837</v>
      </c>
      <c r="C2365" t="str">
        <f>"30.8364"</f>
        <v>30.8364</v>
      </c>
    </row>
    <row r="2366" spans="1:3" x14ac:dyDescent="0.25">
      <c r="A2366" t="str">
        <f>"20/03/2019"</f>
        <v>20/03/2019</v>
      </c>
      <c r="B2366" t="str">
        <f>"30.835"</f>
        <v>30.835</v>
      </c>
      <c r="C2366" t="str">
        <f>"30.8344"</f>
        <v>30.8344</v>
      </c>
    </row>
    <row r="2367" spans="1:3" x14ac:dyDescent="0.25">
      <c r="A2367" t="str">
        <f>"22/03/2019"</f>
        <v>22/03/2019</v>
      </c>
      <c r="B2367" t="str">
        <f>"30.806"</f>
        <v>30.806</v>
      </c>
      <c r="C2367" t="str">
        <f>"30.8054"</f>
        <v>30.8054</v>
      </c>
    </row>
    <row r="2368" spans="1:3" x14ac:dyDescent="0.25">
      <c r="A2368" t="str">
        <f>"25/03/2019"</f>
        <v>25/03/2019</v>
      </c>
      <c r="B2368" t="str">
        <f>"30.83"</f>
        <v>30.83</v>
      </c>
      <c r="C2368" t="str">
        <f>"30.8294"</f>
        <v>30.8294</v>
      </c>
    </row>
    <row r="2369" spans="1:3" x14ac:dyDescent="0.25">
      <c r="A2369" t="str">
        <f>"26/03/2019"</f>
        <v>26/03/2019</v>
      </c>
      <c r="B2369" t="str">
        <f>"30.835"</f>
        <v>30.835</v>
      </c>
      <c r="C2369" t="str">
        <f>"30.8344"</f>
        <v>30.8344</v>
      </c>
    </row>
    <row r="2370" spans="1:3" x14ac:dyDescent="0.25">
      <c r="A2370" t="str">
        <f>"27/03/2019"</f>
        <v>27/03/2019</v>
      </c>
      <c r="B2370" t="str">
        <f>"30.857"</f>
        <v>30.857</v>
      </c>
      <c r="C2370" t="str">
        <f>"30.8564"</f>
        <v>30.8564</v>
      </c>
    </row>
    <row r="2371" spans="1:3" x14ac:dyDescent="0.25">
      <c r="A2371" t="str">
        <f>"28/03/2019"</f>
        <v>28/03/2019</v>
      </c>
      <c r="B2371" t="str">
        <f>"30.856"</f>
        <v>30.856</v>
      </c>
      <c r="C2371" t="str">
        <f>"30.8555"</f>
        <v>30.8555</v>
      </c>
    </row>
    <row r="2372" spans="1:3" x14ac:dyDescent="0.25">
      <c r="A2372" t="str">
        <f>"29/03/2019"</f>
        <v>29/03/2019</v>
      </c>
      <c r="B2372" t="str">
        <f>"30.828"</f>
        <v>30.828</v>
      </c>
      <c r="C2372" t="str">
        <f>"30.8275"</f>
        <v>30.8275</v>
      </c>
    </row>
    <row r="2373" spans="1:3" x14ac:dyDescent="0.25">
      <c r="A2373" t="str">
        <f>"02/04/2019"</f>
        <v>02/04/2019</v>
      </c>
      <c r="B2373" t="str">
        <f>"30.845"</f>
        <v>30.845</v>
      </c>
      <c r="C2373" t="str">
        <f>"30.8445"</f>
        <v>30.8445</v>
      </c>
    </row>
    <row r="2374" spans="1:3" x14ac:dyDescent="0.25">
      <c r="A2374" t="str">
        <f>"03/04/2019"</f>
        <v>03/04/2019</v>
      </c>
      <c r="B2374" t="str">
        <f>"30.817"</f>
        <v>30.817</v>
      </c>
      <c r="C2374" t="str">
        <f>"30.8165"</f>
        <v>30.8165</v>
      </c>
    </row>
    <row r="2375" spans="1:3" x14ac:dyDescent="0.25">
      <c r="A2375" t="str">
        <f>"04/04/2019"</f>
        <v>04/04/2019</v>
      </c>
      <c r="B2375" t="str">
        <f>"30.817"</f>
        <v>30.817</v>
      </c>
      <c r="C2375" t="str">
        <f>"30.8165"</f>
        <v>30.8165</v>
      </c>
    </row>
    <row r="2376" spans="1:3" x14ac:dyDescent="0.25">
      <c r="A2376" t="str">
        <f>"05/04/2019"</f>
        <v>05/04/2019</v>
      </c>
      <c r="B2376" t="str">
        <f>"30.817"</f>
        <v>30.817</v>
      </c>
      <c r="C2376" t="str">
        <f>"30.8165"</f>
        <v>30.8165</v>
      </c>
    </row>
    <row r="2377" spans="1:3" x14ac:dyDescent="0.25">
      <c r="A2377" t="str">
        <f>"08/04/2019"</f>
        <v>08/04/2019</v>
      </c>
      <c r="B2377" t="str">
        <f>"30.845"</f>
        <v>30.845</v>
      </c>
      <c r="C2377" t="str">
        <f>"30.8444"</f>
        <v>30.8444</v>
      </c>
    </row>
    <row r="2378" spans="1:3" x14ac:dyDescent="0.25">
      <c r="A2378" t="str">
        <f>"09/04/2019"</f>
        <v>09/04/2019</v>
      </c>
      <c r="B2378" t="str">
        <f>"30.842"</f>
        <v>30.842</v>
      </c>
      <c r="C2378" t="str">
        <f>"30.8414"</f>
        <v>30.8414</v>
      </c>
    </row>
    <row r="2379" spans="1:3" x14ac:dyDescent="0.25">
      <c r="A2379" t="str">
        <f>"10/04/2019"</f>
        <v>10/04/2019</v>
      </c>
      <c r="B2379" t="str">
        <f>"30.846"</f>
        <v>30.846</v>
      </c>
      <c r="C2379" t="str">
        <f>"30.8455"</f>
        <v>30.8455</v>
      </c>
    </row>
    <row r="2380" spans="1:3" x14ac:dyDescent="0.25">
      <c r="A2380" t="str">
        <f>"11/04/2019"</f>
        <v>11/04/2019</v>
      </c>
      <c r="B2380" t="str">
        <f>"30.866"</f>
        <v>30.866</v>
      </c>
      <c r="C2380" t="str">
        <f>"30.8655"</f>
        <v>30.8655</v>
      </c>
    </row>
    <row r="2381" spans="1:3" x14ac:dyDescent="0.25">
      <c r="A2381" t="str">
        <f>"12/04/2019"</f>
        <v>12/04/2019</v>
      </c>
      <c r="B2381" t="str">
        <f>"30.88"</f>
        <v>30.88</v>
      </c>
      <c r="C2381" t="str">
        <f>"30.8795"</f>
        <v>30.8795</v>
      </c>
    </row>
    <row r="2382" spans="1:3" x14ac:dyDescent="0.25">
      <c r="A2382" t="str">
        <f>"15/04/2019"</f>
        <v>15/04/2019</v>
      </c>
      <c r="B2382" t="str">
        <f>"30.866"</f>
        <v>30.866</v>
      </c>
      <c r="C2382" t="str">
        <f>"30.8655"</f>
        <v>30.8655</v>
      </c>
    </row>
    <row r="2383" spans="1:3" x14ac:dyDescent="0.25">
      <c r="A2383" t="str">
        <f>"16/04/2019"</f>
        <v>16/04/2019</v>
      </c>
      <c r="B2383" t="str">
        <f>"30.874"</f>
        <v>30.874</v>
      </c>
      <c r="C2383" t="str">
        <f>"30.8734"</f>
        <v>30.8734</v>
      </c>
    </row>
    <row r="2384" spans="1:3" x14ac:dyDescent="0.25">
      <c r="A2384" t="str">
        <f>"18/04/2019"</f>
        <v>18/04/2019</v>
      </c>
      <c r="B2384" t="str">
        <f>"30.841"</f>
        <v>30.841</v>
      </c>
      <c r="C2384" t="str">
        <f>"30.8405"</f>
        <v>30.8405</v>
      </c>
    </row>
    <row r="2385" spans="1:3" x14ac:dyDescent="0.25">
      <c r="A2385" t="str">
        <f>"22/04/2019"</f>
        <v>22/04/2019</v>
      </c>
      <c r="B2385" t="str">
        <f>"30.857"</f>
        <v>30.857</v>
      </c>
      <c r="C2385" t="str">
        <f>"30.8564"</f>
        <v>30.8564</v>
      </c>
    </row>
    <row r="2386" spans="1:3" x14ac:dyDescent="0.25">
      <c r="A2386" t="str">
        <f>"23/04/2019"</f>
        <v>23/04/2019</v>
      </c>
      <c r="B2386" t="str">
        <f>"30.858"</f>
        <v>30.858</v>
      </c>
      <c r="C2386" t="str">
        <f>"30.8574"</f>
        <v>30.8574</v>
      </c>
    </row>
    <row r="2387" spans="1:3" x14ac:dyDescent="0.25">
      <c r="A2387" t="str">
        <f>"24/04/2019"</f>
        <v>24/04/2019</v>
      </c>
      <c r="B2387" t="str">
        <f>"30.875"</f>
        <v>30.875</v>
      </c>
      <c r="C2387" t="str">
        <f>"30.8744"</f>
        <v>30.8744</v>
      </c>
    </row>
    <row r="2388" spans="1:3" x14ac:dyDescent="0.25">
      <c r="A2388" t="str">
        <f>"25/04/2019"</f>
        <v>25/04/2019</v>
      </c>
      <c r="B2388" t="str">
        <f>"30.906"</f>
        <v>30.906</v>
      </c>
      <c r="C2388" t="str">
        <f>"30.9054"</f>
        <v>30.9054</v>
      </c>
    </row>
    <row r="2389" spans="1:3" x14ac:dyDescent="0.25">
      <c r="A2389" t="str">
        <f>"26/04/2019"</f>
        <v>26/04/2019</v>
      </c>
      <c r="B2389" t="str">
        <f>"30.908"</f>
        <v>30.908</v>
      </c>
      <c r="C2389" t="str">
        <f>"30.9074"</f>
        <v>30.9074</v>
      </c>
    </row>
    <row r="2390" spans="1:3" x14ac:dyDescent="0.25">
      <c r="A2390" t="str">
        <f>"30/04/2019"</f>
        <v>30/04/2019</v>
      </c>
      <c r="B2390" t="str">
        <f>"30.906"</f>
        <v>30.906</v>
      </c>
      <c r="C2390" t="str">
        <f>"30.9054"</f>
        <v>30.9054</v>
      </c>
    </row>
    <row r="2391" spans="1:3" x14ac:dyDescent="0.25">
      <c r="A2391" t="str">
        <f>"02/05/2019"</f>
        <v>02/05/2019</v>
      </c>
      <c r="B2391" t="str">
        <f>"30.905"</f>
        <v>30.905</v>
      </c>
      <c r="C2391" t="str">
        <f>"30.9044"</f>
        <v>30.9044</v>
      </c>
    </row>
    <row r="2392" spans="1:3" x14ac:dyDescent="0.25">
      <c r="A2392" t="str">
        <f>"03/05/2019"</f>
        <v>03/05/2019</v>
      </c>
      <c r="B2392" t="str">
        <f>"30.908"</f>
        <v>30.908</v>
      </c>
      <c r="C2392" t="str">
        <f>"30.9074"</f>
        <v>30.9074</v>
      </c>
    </row>
    <row r="2393" spans="1:3" x14ac:dyDescent="0.25">
      <c r="A2393" t="str">
        <f>"06/05/2019"</f>
        <v>06/05/2019</v>
      </c>
      <c r="B2393" t="str">
        <f>"30.927"</f>
        <v>30.927</v>
      </c>
      <c r="C2393" t="str">
        <f>"30.9264"</f>
        <v>30.9264</v>
      </c>
    </row>
    <row r="2394" spans="1:3" x14ac:dyDescent="0.25">
      <c r="A2394" t="str">
        <f>"07/05/2019"</f>
        <v>07/05/2019</v>
      </c>
      <c r="B2394" t="str">
        <f>"30.91"</f>
        <v>30.91</v>
      </c>
      <c r="C2394" t="str">
        <f>"30.9094"</f>
        <v>30.9094</v>
      </c>
    </row>
    <row r="2395" spans="1:3" x14ac:dyDescent="0.25">
      <c r="A2395" t="str">
        <f>"08/05/2019"</f>
        <v>08/05/2019</v>
      </c>
      <c r="B2395" t="str">
        <f>"30.92"</f>
        <v>30.92</v>
      </c>
      <c r="C2395" t="str">
        <f>"30.9194"</f>
        <v>30.9194</v>
      </c>
    </row>
    <row r="2396" spans="1:3" x14ac:dyDescent="0.25">
      <c r="A2396" t="str">
        <f>"09/05/2019"</f>
        <v>09/05/2019</v>
      </c>
      <c r="B2396" t="str">
        <f>"30.956"</f>
        <v>30.956</v>
      </c>
      <c r="C2396" t="str">
        <f>"30.9554"</f>
        <v>30.9554</v>
      </c>
    </row>
    <row r="2397" spans="1:3" x14ac:dyDescent="0.25">
      <c r="A2397" t="str">
        <f>"10/05/2019"</f>
        <v>10/05/2019</v>
      </c>
      <c r="B2397" t="str">
        <f>"30.958"</f>
        <v>30.958</v>
      </c>
      <c r="C2397" t="str">
        <f>"30.9574"</f>
        <v>30.9574</v>
      </c>
    </row>
    <row r="2398" spans="1:3" x14ac:dyDescent="0.25">
      <c r="A2398" t="str">
        <f>"13/05/2019"</f>
        <v>13/05/2019</v>
      </c>
      <c r="B2398" t="str">
        <f>"31.00"</f>
        <v>31.00</v>
      </c>
      <c r="C2398" t="str">
        <f>"30.9994"</f>
        <v>30.9994</v>
      </c>
    </row>
    <row r="2399" spans="1:3" x14ac:dyDescent="0.25">
      <c r="A2399" t="str">
        <f>"14/05/2019"</f>
        <v>14/05/2019</v>
      </c>
      <c r="B2399" t="str">
        <f>"31.128"</f>
        <v>31.128</v>
      </c>
      <c r="C2399" t="str">
        <f>"31.1274"</f>
        <v>31.1274</v>
      </c>
    </row>
    <row r="2400" spans="1:3" x14ac:dyDescent="0.25">
      <c r="A2400" t="str">
        <f>"15/05/2019"</f>
        <v>15/05/2019</v>
      </c>
      <c r="B2400" t="str">
        <f>"31.11"</f>
        <v>31.11</v>
      </c>
      <c r="C2400" t="str">
        <f>"31.1094"</f>
        <v>31.1094</v>
      </c>
    </row>
    <row r="2401" spans="1:3" x14ac:dyDescent="0.25">
      <c r="A2401" t="str">
        <f>"16/05/2019"</f>
        <v>16/05/2019</v>
      </c>
      <c r="B2401" t="str">
        <f>"31.165"</f>
        <v>31.165</v>
      </c>
      <c r="C2401" t="str">
        <f>"31.1644"</f>
        <v>31.1644</v>
      </c>
    </row>
    <row r="2402" spans="1:3" x14ac:dyDescent="0.25">
      <c r="A2402" t="str">
        <f>"17/05/2019"</f>
        <v>17/05/2019</v>
      </c>
      <c r="B2402" t="str">
        <f>"31.30"</f>
        <v>31.30</v>
      </c>
      <c r="C2402" t="str">
        <f>"31.2995"</f>
        <v>31.2995</v>
      </c>
    </row>
    <row r="2403" spans="1:3" x14ac:dyDescent="0.25">
      <c r="A2403" t="str">
        <f>"20/05/2019"</f>
        <v>20/05/2019</v>
      </c>
      <c r="B2403" t="str">
        <f>"31.388"</f>
        <v>31.388</v>
      </c>
      <c r="C2403" t="str">
        <f>"31.3874"</f>
        <v>31.3874</v>
      </c>
    </row>
    <row r="2404" spans="1:3" x14ac:dyDescent="0.25">
      <c r="A2404" t="str">
        <f>"21/05/2019"</f>
        <v>21/05/2019</v>
      </c>
      <c r="B2404" t="str">
        <f>"31.467"</f>
        <v>31.467</v>
      </c>
      <c r="C2404" t="str">
        <f>"31.4664"</f>
        <v>31.4664</v>
      </c>
    </row>
    <row r="2405" spans="1:3" x14ac:dyDescent="0.25">
      <c r="A2405" t="str">
        <f>"22/05/2019"</f>
        <v>22/05/2019</v>
      </c>
      <c r="B2405" t="str">
        <f>"31.546"</f>
        <v>31.546</v>
      </c>
      <c r="C2405" t="str">
        <f>"31.5455"</f>
        <v>31.5455</v>
      </c>
    </row>
    <row r="2406" spans="1:3" x14ac:dyDescent="0.25">
      <c r="A2406" t="str">
        <f>"23/05/2019"</f>
        <v>23/05/2019</v>
      </c>
      <c r="B2406" t="str">
        <f>"31.547"</f>
        <v>31.547</v>
      </c>
      <c r="C2406" t="str">
        <f>"31.5465"</f>
        <v>31.5465</v>
      </c>
    </row>
    <row r="2407" spans="1:3" x14ac:dyDescent="0.25">
      <c r="A2407" t="str">
        <f>"24/05/2019"</f>
        <v>24/05/2019</v>
      </c>
      <c r="B2407" t="str">
        <f>"31.522"</f>
        <v>31.522</v>
      </c>
      <c r="C2407" t="str">
        <f>"31.5215"</f>
        <v>31.5215</v>
      </c>
    </row>
    <row r="2408" spans="1:3" x14ac:dyDescent="0.25">
      <c r="A2408" t="str">
        <f>"27/05/2019"</f>
        <v>27/05/2019</v>
      </c>
      <c r="B2408" t="str">
        <f>"31.452"</f>
        <v>31.452</v>
      </c>
      <c r="C2408" t="str">
        <f>"31.4515"</f>
        <v>31.4515</v>
      </c>
    </row>
    <row r="2409" spans="1:3" x14ac:dyDescent="0.25">
      <c r="A2409" t="str">
        <f>"28/05/2019"</f>
        <v>28/05/2019</v>
      </c>
      <c r="B2409" t="str">
        <f>"31.467"</f>
        <v>31.467</v>
      </c>
      <c r="C2409" t="str">
        <f>"31.4665"</f>
        <v>31.4665</v>
      </c>
    </row>
    <row r="2410" spans="1:3" x14ac:dyDescent="0.25">
      <c r="A2410" t="str">
        <f>"29/05/2019"</f>
        <v>29/05/2019</v>
      </c>
      <c r="B2410" t="str">
        <f>"31.58"</f>
        <v>31.58</v>
      </c>
      <c r="C2410" t="str">
        <f>"31.5796"</f>
        <v>31.5796</v>
      </c>
    </row>
    <row r="2411" spans="1:3" x14ac:dyDescent="0.25">
      <c r="A2411" t="str">
        <f>"30/05/2019"</f>
        <v>30/05/2019</v>
      </c>
      <c r="B2411" t="str">
        <f>"31.61"</f>
        <v>31.61</v>
      </c>
      <c r="C2411" t="str">
        <f>"31.6096"</f>
        <v>31.6096</v>
      </c>
    </row>
    <row r="2412" spans="1:3" x14ac:dyDescent="0.25">
      <c r="A2412" t="str">
        <f>"31/05/2019"</f>
        <v>31/05/2019</v>
      </c>
      <c r="B2412" t="str">
        <f>"31.593"</f>
        <v>31.593</v>
      </c>
      <c r="C2412" t="str">
        <f>"31.5925"</f>
        <v>31.5925</v>
      </c>
    </row>
    <row r="2413" spans="1:3" x14ac:dyDescent="0.25">
      <c r="A2413" t="str">
        <f>"03/06/2019"</f>
        <v>03/06/2019</v>
      </c>
      <c r="B2413" t="str">
        <f>"31.503"</f>
        <v>31.503</v>
      </c>
      <c r="C2413" t="str">
        <f>"31.5025"</f>
        <v>31.5025</v>
      </c>
    </row>
    <row r="2414" spans="1:3" x14ac:dyDescent="0.25">
      <c r="A2414" t="str">
        <f>"04/06/2019"</f>
        <v>04/06/2019</v>
      </c>
      <c r="B2414" t="str">
        <f>"31.438"</f>
        <v>31.438</v>
      </c>
      <c r="C2414" t="str">
        <f>"31.4375"</f>
        <v>31.4375</v>
      </c>
    </row>
    <row r="2415" spans="1:3" x14ac:dyDescent="0.25">
      <c r="A2415" t="str">
        <f>"06/06/2019"</f>
        <v>06/06/2019</v>
      </c>
      <c r="B2415" t="str">
        <f>"31.405"</f>
        <v>31.405</v>
      </c>
      <c r="C2415" t="str">
        <f>"31.4045"</f>
        <v>31.4045</v>
      </c>
    </row>
    <row r="2416" spans="1:3" x14ac:dyDescent="0.25">
      <c r="A2416" t="str">
        <f>"07/06/2019"</f>
        <v>07/06/2019</v>
      </c>
      <c r="B2416" t="str">
        <f>"31.405"</f>
        <v>31.405</v>
      </c>
      <c r="C2416" t="str">
        <f>"31.4045"</f>
        <v>31.4045</v>
      </c>
    </row>
    <row r="2417" spans="1:3" x14ac:dyDescent="0.25">
      <c r="A2417" t="str">
        <f>"10/06/2019"</f>
        <v>10/06/2019</v>
      </c>
      <c r="B2417" t="str">
        <f>"31.438"</f>
        <v>31.438</v>
      </c>
      <c r="C2417" t="str">
        <f>"31.4375"</f>
        <v>31.4375</v>
      </c>
    </row>
    <row r="2418" spans="1:3" x14ac:dyDescent="0.25">
      <c r="A2418" t="str">
        <f>"11/06/2019"</f>
        <v>11/06/2019</v>
      </c>
      <c r="B2418" t="str">
        <f>"31.435"</f>
        <v>31.435</v>
      </c>
      <c r="C2418" t="str">
        <f>"31.4345"</f>
        <v>31.4345</v>
      </c>
    </row>
    <row r="2419" spans="1:3" x14ac:dyDescent="0.25">
      <c r="A2419" t="str">
        <f>"12/06/2019"</f>
        <v>12/06/2019</v>
      </c>
      <c r="B2419" t="str">
        <f>"31.43"</f>
        <v>31.43</v>
      </c>
      <c r="C2419" t="str">
        <f>"31.4295"</f>
        <v>31.4295</v>
      </c>
    </row>
    <row r="2420" spans="1:3" x14ac:dyDescent="0.25">
      <c r="A2420" t="str">
        <f>"13/06/2019"</f>
        <v>13/06/2019</v>
      </c>
      <c r="B2420" t="str">
        <f>"31.503"</f>
        <v>31.503</v>
      </c>
      <c r="C2420" t="str">
        <f>"31.5025"</f>
        <v>31.5025</v>
      </c>
    </row>
    <row r="2421" spans="1:3" x14ac:dyDescent="0.25">
      <c r="A2421" t="str">
        <f>"14/06/2019"</f>
        <v>14/06/2019</v>
      </c>
      <c r="B2421" t="str">
        <f>"31.532"</f>
        <v>31.532</v>
      </c>
      <c r="C2421" t="str">
        <f>"31.5315"</f>
        <v>31.5315</v>
      </c>
    </row>
    <row r="2422" spans="1:3" x14ac:dyDescent="0.25">
      <c r="A2422" t="str">
        <f>"17/06/2019"</f>
        <v>17/06/2019</v>
      </c>
      <c r="B2422" t="str">
        <f>"31.52"</f>
        <v>31.52</v>
      </c>
      <c r="C2422" t="str">
        <f>"31.5195"</f>
        <v>31.5195</v>
      </c>
    </row>
    <row r="2423" spans="1:3" x14ac:dyDescent="0.25">
      <c r="A2423" t="str">
        <f>"18/06/2019"</f>
        <v>18/06/2019</v>
      </c>
      <c r="B2423" t="str">
        <f>"31.528"</f>
        <v>31.528</v>
      </c>
      <c r="C2423" t="str">
        <f>"31.5275"</f>
        <v>31.5275</v>
      </c>
    </row>
    <row r="2424" spans="1:3" x14ac:dyDescent="0.25">
      <c r="A2424" t="str">
        <f>"19/06/2019"</f>
        <v>19/06/2019</v>
      </c>
      <c r="B2424" t="str">
        <f>"31.35"</f>
        <v>31.35</v>
      </c>
      <c r="C2424" t="str">
        <f>"31.3495"</f>
        <v>31.3495</v>
      </c>
    </row>
    <row r="2425" spans="1:3" x14ac:dyDescent="0.25">
      <c r="A2425" t="str">
        <f>"20/06/2019"</f>
        <v>20/06/2019</v>
      </c>
      <c r="B2425" t="str">
        <f>"31.175"</f>
        <v>31.175</v>
      </c>
      <c r="C2425" t="str">
        <f>"31.1745"</f>
        <v>31.1745</v>
      </c>
    </row>
    <row r="2426" spans="1:3" x14ac:dyDescent="0.25">
      <c r="A2426" t="str">
        <f>"21/06/2019"</f>
        <v>21/06/2019</v>
      </c>
      <c r="B2426" t="str">
        <f>"31.151"</f>
        <v>31.151</v>
      </c>
      <c r="C2426" t="str">
        <f>"31.1505"</f>
        <v>31.1505</v>
      </c>
    </row>
    <row r="2427" spans="1:3" x14ac:dyDescent="0.25">
      <c r="A2427" t="str">
        <f>"24/06/2019"</f>
        <v>24/06/2019</v>
      </c>
      <c r="B2427" t="str">
        <f>"31.112"</f>
        <v>31.112</v>
      </c>
      <c r="C2427" t="str">
        <f>"31.1115"</f>
        <v>31.1115</v>
      </c>
    </row>
    <row r="2428" spans="1:3" x14ac:dyDescent="0.25">
      <c r="A2428" t="str">
        <f>"25/06/2019"</f>
        <v>25/06/2019</v>
      </c>
      <c r="B2428" t="str">
        <f>"31.115"</f>
        <v>31.115</v>
      </c>
      <c r="C2428" t="str">
        <f>"31.1145"</f>
        <v>31.1145</v>
      </c>
    </row>
    <row r="2429" spans="1:3" x14ac:dyDescent="0.25">
      <c r="A2429" t="str">
        <f>"26/06/2019"</f>
        <v>26/06/2019</v>
      </c>
      <c r="B2429" t="str">
        <f>"31.14"</f>
        <v>31.14</v>
      </c>
      <c r="C2429" t="str">
        <f>"31.1395"</f>
        <v>31.1395</v>
      </c>
    </row>
    <row r="2430" spans="1:3" x14ac:dyDescent="0.25">
      <c r="A2430" t="str">
        <f>"27/06/2019"</f>
        <v>27/06/2019</v>
      </c>
      <c r="B2430" t="str">
        <f>"31.101"</f>
        <v>31.101</v>
      </c>
      <c r="C2430" t="str">
        <f>"31.1005"</f>
        <v>31.1005</v>
      </c>
    </row>
    <row r="2431" spans="1:3" x14ac:dyDescent="0.25">
      <c r="A2431" t="str">
        <f>"28/06/2019"</f>
        <v>28/06/2019</v>
      </c>
      <c r="B2431" t="str">
        <f>"31.072"</f>
        <v>31.072</v>
      </c>
      <c r="C2431" t="str">
        <f>"31.0715"</f>
        <v>31.0715</v>
      </c>
    </row>
    <row r="2432" spans="1:3" x14ac:dyDescent="0.25">
      <c r="A2432" t="str">
        <f>"01/07/2019"</f>
        <v>01/07/2019</v>
      </c>
      <c r="B2432" t="str">
        <f>"31.004"</f>
        <v>31.004</v>
      </c>
      <c r="C2432" t="str">
        <f>"31.0034"</f>
        <v>31.0034</v>
      </c>
    </row>
    <row r="2433" spans="1:3" x14ac:dyDescent="0.25">
      <c r="A2433" t="str">
        <f>"02/07/2019"</f>
        <v>02/07/2019</v>
      </c>
      <c r="B2433" t="str">
        <f>"31.013"</f>
        <v>31.013</v>
      </c>
      <c r="C2433" t="str">
        <f>"31.0125"</f>
        <v>31.0125</v>
      </c>
    </row>
    <row r="2434" spans="1:3" x14ac:dyDescent="0.25">
      <c r="A2434" t="str">
        <f>"03/07/2019"</f>
        <v>03/07/2019</v>
      </c>
      <c r="B2434" t="str">
        <f>"31.13"</f>
        <v>31.13</v>
      </c>
      <c r="C2434" t="str">
        <f>"31.1295"</f>
        <v>31.1295</v>
      </c>
    </row>
    <row r="2435" spans="1:3" x14ac:dyDescent="0.25">
      <c r="A2435" t="str">
        <f>"04/07/2019"</f>
        <v>04/07/2019</v>
      </c>
      <c r="B2435" t="str">
        <f>"31.105"</f>
        <v>31.105</v>
      </c>
      <c r="C2435" t="str">
        <f>"31.1045"</f>
        <v>31.1045</v>
      </c>
    </row>
    <row r="2436" spans="1:3" x14ac:dyDescent="0.25">
      <c r="A2436" t="str">
        <f>"05/07/2019"</f>
        <v>05/07/2019</v>
      </c>
      <c r="B2436" t="str">
        <f>"31.108"</f>
        <v>31.108</v>
      </c>
      <c r="C2436" t="str">
        <f>"31.1075"</f>
        <v>31.1075</v>
      </c>
    </row>
    <row r="2437" spans="1:3" x14ac:dyDescent="0.25">
      <c r="A2437" t="str">
        <f>"08/07/2019"</f>
        <v>08/07/2019</v>
      </c>
      <c r="B2437" t="str">
        <f>"31.186"</f>
        <v>31.186</v>
      </c>
      <c r="C2437" t="str">
        <f>"31.1854"</f>
        <v>31.1854</v>
      </c>
    </row>
    <row r="2438" spans="1:3" x14ac:dyDescent="0.25">
      <c r="A2438" t="str">
        <f>"09/07/2019"</f>
        <v>09/07/2019</v>
      </c>
      <c r="B2438" t="str">
        <f>"31.192"</f>
        <v>31.192</v>
      </c>
      <c r="C2438" t="str">
        <f>"31.1915"</f>
        <v>31.1915</v>
      </c>
    </row>
    <row r="2439" spans="1:3" x14ac:dyDescent="0.25">
      <c r="A2439" t="str">
        <f>"10/07/2019"</f>
        <v>10/07/2019</v>
      </c>
      <c r="B2439" t="str">
        <f>"31.143"</f>
        <v>31.143</v>
      </c>
      <c r="C2439" t="str">
        <f>"31.1425"</f>
        <v>31.1425</v>
      </c>
    </row>
    <row r="2440" spans="1:3" x14ac:dyDescent="0.25">
      <c r="A2440" t="str">
        <f>"11/07/2019"</f>
        <v>11/07/2019</v>
      </c>
      <c r="B2440" t="str">
        <f>"31.026"</f>
        <v>31.026</v>
      </c>
      <c r="C2440" t="str">
        <f>"31.0255"</f>
        <v>31.0255</v>
      </c>
    </row>
    <row r="2441" spans="1:3" x14ac:dyDescent="0.25">
      <c r="A2441" t="str">
        <f>"12/07/2019"</f>
        <v>12/07/2019</v>
      </c>
      <c r="B2441" t="str">
        <f>"31.031"</f>
        <v>31.031</v>
      </c>
      <c r="C2441" t="str">
        <f>"31.0305"</f>
        <v>31.0305</v>
      </c>
    </row>
    <row r="2442" spans="1:3" x14ac:dyDescent="0.25">
      <c r="A2442" t="str">
        <f>"15/07/2019"</f>
        <v>15/07/2019</v>
      </c>
      <c r="B2442" t="str">
        <f>"31.052"</f>
        <v>31.052</v>
      </c>
      <c r="C2442" t="str">
        <f>"31.0515"</f>
        <v>31.0515</v>
      </c>
    </row>
    <row r="2443" spans="1:3" x14ac:dyDescent="0.25">
      <c r="A2443" t="str">
        <f>"16/07/2019"</f>
        <v>16/07/2019</v>
      </c>
      <c r="B2443" t="str">
        <f>"31.042"</f>
        <v>31.042</v>
      </c>
      <c r="C2443" t="str">
        <f>"31.0415"</f>
        <v>31.0415</v>
      </c>
    </row>
    <row r="2444" spans="1:3" x14ac:dyDescent="0.25">
      <c r="A2444" t="str">
        <f>"17/07/2019"</f>
        <v>17/07/2019</v>
      </c>
      <c r="B2444" t="str">
        <f>"31.076"</f>
        <v>31.076</v>
      </c>
      <c r="C2444" t="str">
        <f>"31.0755"</f>
        <v>31.0755</v>
      </c>
    </row>
    <row r="2445" spans="1:3" x14ac:dyDescent="0.25">
      <c r="A2445" t="str">
        <f>"18/07/2019"</f>
        <v>18/07/2019</v>
      </c>
      <c r="B2445" t="str">
        <f>"31.077"</f>
        <v>31.077</v>
      </c>
      <c r="C2445" t="str">
        <f>"31.0765"</f>
        <v>31.0765</v>
      </c>
    </row>
    <row r="2446" spans="1:3" x14ac:dyDescent="0.25">
      <c r="A2446" t="str">
        <f>"19/07/2019"</f>
        <v>19/07/2019</v>
      </c>
      <c r="B2446" t="str">
        <f>"31.061"</f>
        <v>31.061</v>
      </c>
      <c r="C2446" t="str">
        <f>"31.0605"</f>
        <v>31.0605</v>
      </c>
    </row>
    <row r="2447" spans="1:3" x14ac:dyDescent="0.25">
      <c r="A2447" t="str">
        <f>"22/07/2019"</f>
        <v>22/07/2019</v>
      </c>
      <c r="B2447" t="str">
        <f>"31.077"</f>
        <v>31.077</v>
      </c>
      <c r="C2447" t="str">
        <f>"31.0765"</f>
        <v>31.0765</v>
      </c>
    </row>
    <row r="2448" spans="1:3" x14ac:dyDescent="0.25">
      <c r="A2448" t="str">
        <f>"23/07/2019"</f>
        <v>23/07/2019</v>
      </c>
      <c r="B2448" t="str">
        <f>"31.091"</f>
        <v>31.091</v>
      </c>
      <c r="C2448" t="str">
        <f>"31.0905"</f>
        <v>31.0905</v>
      </c>
    </row>
    <row r="2449" spans="1:3" x14ac:dyDescent="0.25">
      <c r="A2449" t="str">
        <f>"24/07/2019"</f>
        <v>24/07/2019</v>
      </c>
      <c r="B2449" t="str">
        <f>"31.084"</f>
        <v>31.084</v>
      </c>
      <c r="C2449" t="str">
        <f>"31.0835"</f>
        <v>31.0835</v>
      </c>
    </row>
    <row r="2450" spans="1:3" x14ac:dyDescent="0.25">
      <c r="A2450" t="str">
        <f>"25/07/2019"</f>
        <v>25/07/2019</v>
      </c>
      <c r="B2450" t="str">
        <f>"31.085"</f>
        <v>31.085</v>
      </c>
      <c r="C2450" t="str">
        <f>"31.0845"</f>
        <v>31.0845</v>
      </c>
    </row>
    <row r="2451" spans="1:3" x14ac:dyDescent="0.25">
      <c r="A2451" t="str">
        <f>"26/07/2019"</f>
        <v>26/07/2019</v>
      </c>
      <c r="B2451" t="str">
        <f>"31.092"</f>
        <v>31.092</v>
      </c>
      <c r="C2451" t="str">
        <f>"31.0915"</f>
        <v>31.0915</v>
      </c>
    </row>
    <row r="2452" spans="1:3" x14ac:dyDescent="0.25">
      <c r="A2452" t="str">
        <f>"29/07/2019"</f>
        <v>29/07/2019</v>
      </c>
      <c r="B2452" t="str">
        <f>"31.101"</f>
        <v>31.101</v>
      </c>
      <c r="C2452" t="str">
        <f>"31.1005"</f>
        <v>31.1005</v>
      </c>
    </row>
    <row r="2453" spans="1:3" x14ac:dyDescent="0.25">
      <c r="A2453" t="str">
        <f>"30/07/2019"</f>
        <v>30/07/2019</v>
      </c>
      <c r="B2453" t="str">
        <f>"31.075"</f>
        <v>31.075</v>
      </c>
      <c r="C2453" t="str">
        <f>"31.0745"</f>
        <v>31.0745</v>
      </c>
    </row>
    <row r="2454" spans="1:3" x14ac:dyDescent="0.25">
      <c r="A2454" t="str">
        <f>"31/07/2019"</f>
        <v>31/07/2019</v>
      </c>
      <c r="B2454" t="str">
        <f>"31.096"</f>
        <v>31.096</v>
      </c>
      <c r="C2454" t="str">
        <f>"31.0955"</f>
        <v>31.0955</v>
      </c>
    </row>
    <row r="2455" spans="1:3" x14ac:dyDescent="0.25">
      <c r="A2455" t="str">
        <f>"01/08/2019"</f>
        <v>01/08/2019</v>
      </c>
      <c r="B2455" t="str">
        <f>"31.182"</f>
        <v>31.182</v>
      </c>
      <c r="C2455" t="str">
        <f>"31.1815"</f>
        <v>31.1815</v>
      </c>
    </row>
    <row r="2456" spans="1:3" x14ac:dyDescent="0.25">
      <c r="A2456" t="str">
        <f>"02/08/2019"</f>
        <v>02/08/2019</v>
      </c>
      <c r="B2456" t="str">
        <f>"31.378"</f>
        <v>31.378</v>
      </c>
      <c r="C2456" t="str">
        <f>"31.3775"</f>
        <v>31.3775</v>
      </c>
    </row>
    <row r="2457" spans="1:3" x14ac:dyDescent="0.25">
      <c r="A2457" t="str">
        <f>"05/08/2019"</f>
        <v>05/08/2019</v>
      </c>
      <c r="B2457" t="str">
        <f>"31.628"</f>
        <v>31.628</v>
      </c>
      <c r="C2457" t="str">
        <f>"31.6275"</f>
        <v>31.6275</v>
      </c>
    </row>
    <row r="2458" spans="1:3" x14ac:dyDescent="0.25">
      <c r="A2458" t="str">
        <f>"06/08/2019"</f>
        <v>06/08/2019</v>
      </c>
      <c r="B2458" t="str">
        <f>"31.51"</f>
        <v>31.51</v>
      </c>
      <c r="C2458" t="str">
        <f>"31.5095"</f>
        <v>31.5095</v>
      </c>
    </row>
    <row r="2459" spans="1:3" x14ac:dyDescent="0.25">
      <c r="A2459" t="str">
        <f>"07/08/2019"</f>
        <v>07/08/2019</v>
      </c>
      <c r="B2459" t="str">
        <f>"31.482"</f>
        <v>31.482</v>
      </c>
      <c r="C2459" t="str">
        <f>"31.4815"</f>
        <v>31.4815</v>
      </c>
    </row>
    <row r="2460" spans="1:3" x14ac:dyDescent="0.25">
      <c r="A2460" t="str">
        <f>"08/08/2019"</f>
        <v>08/08/2019</v>
      </c>
      <c r="B2460" t="str">
        <f>"31.363"</f>
        <v>31.363</v>
      </c>
      <c r="C2460" t="str">
        <f>"31.3625"</f>
        <v>31.3625</v>
      </c>
    </row>
    <row r="2461" spans="1:3" x14ac:dyDescent="0.25">
      <c r="A2461" t="str">
        <f>"09/08/2019"</f>
        <v>09/08/2019</v>
      </c>
      <c r="B2461" t="str">
        <f>"31.363"</f>
        <v>31.363</v>
      </c>
      <c r="C2461" t="str">
        <f>"31.3625"</f>
        <v>31.3625</v>
      </c>
    </row>
    <row r="2462" spans="1:3" x14ac:dyDescent="0.25">
      <c r="A2462" t="str">
        <f>"13/08/2019"</f>
        <v>13/08/2019</v>
      </c>
      <c r="B2462" t="str">
        <f>"31.507"</f>
        <v>31.507</v>
      </c>
      <c r="C2462" t="str">
        <f>"31.5065"</f>
        <v>31.5065</v>
      </c>
    </row>
    <row r="2463" spans="1:3" x14ac:dyDescent="0.25">
      <c r="A2463" t="str">
        <f>"14/08/2019"</f>
        <v>14/08/2019</v>
      </c>
      <c r="B2463" t="str">
        <f>"31.405"</f>
        <v>31.405</v>
      </c>
      <c r="C2463" t="str">
        <f>"31.4045"</f>
        <v>31.4045</v>
      </c>
    </row>
    <row r="2464" spans="1:3" x14ac:dyDescent="0.25">
      <c r="A2464" t="str">
        <f>"16/08/2019"</f>
        <v>16/08/2019</v>
      </c>
      <c r="B2464" t="str">
        <f>"31.352"</f>
        <v>31.352</v>
      </c>
      <c r="C2464" t="str">
        <f>"31.3515"</f>
        <v>31.3515</v>
      </c>
    </row>
    <row r="2465" spans="1:3" x14ac:dyDescent="0.25">
      <c r="A2465" t="str">
        <f>"19/08/2019"</f>
        <v>19/08/2019</v>
      </c>
      <c r="B2465" t="str">
        <f>"31.35"</f>
        <v>31.35</v>
      </c>
      <c r="C2465" t="str">
        <f>"31.3495"</f>
        <v>31.3495</v>
      </c>
    </row>
    <row r="2466" spans="1:3" x14ac:dyDescent="0.25">
      <c r="A2466" t="str">
        <f>"20/08/2019"</f>
        <v>20/08/2019</v>
      </c>
      <c r="B2466" t="str">
        <f>"31.40"</f>
        <v>31.40</v>
      </c>
      <c r="C2466" t="str">
        <f>"31.3995"</f>
        <v>31.3995</v>
      </c>
    </row>
    <row r="2467" spans="1:3" x14ac:dyDescent="0.25">
      <c r="A2467" t="str">
        <f>"21/08/2019"</f>
        <v>21/08/2019</v>
      </c>
      <c r="B2467" t="str">
        <f>"31.353"</f>
        <v>31.353</v>
      </c>
      <c r="C2467" t="str">
        <f>"31.3525"</f>
        <v>31.3525</v>
      </c>
    </row>
    <row r="2468" spans="1:3" x14ac:dyDescent="0.25">
      <c r="A2468" t="str">
        <f>"22/08/2019"</f>
        <v>22/08/2019</v>
      </c>
      <c r="B2468" t="str">
        <f>"31.367"</f>
        <v>31.367</v>
      </c>
      <c r="C2468" t="str">
        <f>"31.3665"</f>
        <v>31.3665</v>
      </c>
    </row>
    <row r="2469" spans="1:3" x14ac:dyDescent="0.25">
      <c r="A2469" t="str">
        <f>"23/08/2019"</f>
        <v>23/08/2019</v>
      </c>
      <c r="B2469" t="str">
        <f>"31.402"</f>
        <v>31.402</v>
      </c>
      <c r="C2469" t="str">
        <f>"31.4015"</f>
        <v>31.4015</v>
      </c>
    </row>
    <row r="2470" spans="1:3" x14ac:dyDescent="0.25">
      <c r="A2470" t="str">
        <f>"26/08/2019"</f>
        <v>26/08/2019</v>
      </c>
      <c r="B2470" t="str">
        <f>"31.494"</f>
        <v>31.494</v>
      </c>
      <c r="C2470" t="str">
        <f>"31.4935"</f>
        <v>31.4935</v>
      </c>
    </row>
    <row r="2471" spans="1:3" x14ac:dyDescent="0.25">
      <c r="A2471" t="str">
        <f>"27/08/2019"</f>
        <v>27/08/2019</v>
      </c>
      <c r="B2471" t="str">
        <f>"31.388"</f>
        <v>31.388</v>
      </c>
      <c r="C2471" t="str">
        <f>"31.3875"</f>
        <v>31.3875</v>
      </c>
    </row>
    <row r="2472" spans="1:3" x14ac:dyDescent="0.25">
      <c r="A2472" t="str">
        <f>"28/08/2019"</f>
        <v>28/08/2019</v>
      </c>
      <c r="B2472" t="str">
        <f>"31.42"</f>
        <v>31.42</v>
      </c>
      <c r="C2472" t="str">
        <f>"31.4195"</f>
        <v>31.4195</v>
      </c>
    </row>
    <row r="2473" spans="1:3" x14ac:dyDescent="0.25">
      <c r="A2473" t="str">
        <f>"29/08/2019"</f>
        <v>29/08/2019</v>
      </c>
      <c r="B2473" t="str">
        <f>"31.442"</f>
        <v>31.442</v>
      </c>
      <c r="C2473" t="str">
        <f>"31.4415"</f>
        <v>31.4415</v>
      </c>
    </row>
    <row r="2474" spans="1:3" x14ac:dyDescent="0.25">
      <c r="A2474" t="str">
        <f>"30/08/2019"</f>
        <v>30/08/2019</v>
      </c>
      <c r="B2474" t="str">
        <f>"31.41"</f>
        <v>31.41</v>
      </c>
      <c r="C2474" t="str">
        <f>"31.4095"</f>
        <v>31.4095</v>
      </c>
    </row>
    <row r="2475" spans="1:3" x14ac:dyDescent="0.25">
      <c r="A2475" t="str">
        <f>"03/09/2019"</f>
        <v>03/09/2019</v>
      </c>
      <c r="B2475" t="str">
        <f>"31.432"</f>
        <v>31.432</v>
      </c>
      <c r="C2475" t="str">
        <f>"31.4315"</f>
        <v>31.4315</v>
      </c>
    </row>
    <row r="2476" spans="1:3" x14ac:dyDescent="0.25">
      <c r="A2476" t="str">
        <f>"04/09/2019"</f>
        <v>04/09/2019</v>
      </c>
      <c r="B2476" t="str">
        <f>"31.366"</f>
        <v>31.366</v>
      </c>
      <c r="C2476" t="str">
        <f>"31.3655"</f>
        <v>31.3655</v>
      </c>
    </row>
    <row r="2477" spans="1:3" x14ac:dyDescent="0.25">
      <c r="A2477" t="str">
        <f>"05/09/2019"</f>
        <v>05/09/2019</v>
      </c>
      <c r="B2477" t="str">
        <f>"31.28"</f>
        <v>31.28</v>
      </c>
      <c r="C2477" t="str">
        <f>"31.2795"</f>
        <v>31.2795</v>
      </c>
    </row>
    <row r="2478" spans="1:3" x14ac:dyDescent="0.25">
      <c r="A2478" t="str">
        <f>"06/09/2019"</f>
        <v>06/09/2019</v>
      </c>
      <c r="B2478" t="str">
        <f>"31.263"</f>
        <v>31.263</v>
      </c>
      <c r="C2478" t="str">
        <f>"31.2625"</f>
        <v>31.2625</v>
      </c>
    </row>
    <row r="2479" spans="1:3" x14ac:dyDescent="0.25">
      <c r="A2479" t="str">
        <f>"09/09/2019"</f>
        <v>09/09/2019</v>
      </c>
      <c r="B2479" t="str">
        <f>"31.25"</f>
        <v>31.25</v>
      </c>
      <c r="C2479" t="str">
        <f>"31.2495"</f>
        <v>31.2495</v>
      </c>
    </row>
    <row r="2480" spans="1:3" x14ac:dyDescent="0.25">
      <c r="A2480" t="str">
        <f>"11/09/2019"</f>
        <v>11/09/2019</v>
      </c>
      <c r="B2480" t="str">
        <f>"31.22"</f>
        <v>31.22</v>
      </c>
      <c r="C2480" t="str">
        <f>"31.2195"</f>
        <v>31.2195</v>
      </c>
    </row>
    <row r="2481" spans="1:3" x14ac:dyDescent="0.25">
      <c r="A2481" t="str">
        <f>"12/09/2019"</f>
        <v>12/09/2019</v>
      </c>
      <c r="B2481" t="str">
        <f>"31.055"</f>
        <v>31.055</v>
      </c>
      <c r="C2481" t="str">
        <f>"31.0545"</f>
        <v>31.0545</v>
      </c>
    </row>
    <row r="2482" spans="1:3" x14ac:dyDescent="0.25">
      <c r="A2482" t="str">
        <f>"16/09/2019"</f>
        <v>16/09/2019</v>
      </c>
      <c r="B2482" t="str">
        <f>"30.942"</f>
        <v>30.942</v>
      </c>
      <c r="C2482" t="str">
        <f>"30.9415"</f>
        <v>30.9415</v>
      </c>
    </row>
    <row r="2483" spans="1:3" x14ac:dyDescent="0.25">
      <c r="A2483" t="str">
        <f>"17/09/2019"</f>
        <v>17/09/2019</v>
      </c>
      <c r="B2483" t="str">
        <f>"31.035"</f>
        <v>31.035</v>
      </c>
      <c r="C2483" t="str">
        <f>"31.0345"</f>
        <v>31.0345</v>
      </c>
    </row>
    <row r="2484" spans="1:3" x14ac:dyDescent="0.25">
      <c r="A2484" t="str">
        <f>"18/09/2019"</f>
        <v>18/09/2019</v>
      </c>
      <c r="B2484" t="str">
        <f>"30.969"</f>
        <v>30.969</v>
      </c>
      <c r="C2484" t="str">
        <f>"30.9685"</f>
        <v>30.9685</v>
      </c>
    </row>
    <row r="2485" spans="1:3" x14ac:dyDescent="0.25">
      <c r="A2485" t="str">
        <f>"19/09/2019"</f>
        <v>19/09/2019</v>
      </c>
      <c r="B2485" t="str">
        <f>"31.009"</f>
        <v>31.009</v>
      </c>
      <c r="C2485" t="str">
        <f>"31.0085"</f>
        <v>31.0085</v>
      </c>
    </row>
    <row r="2486" spans="1:3" x14ac:dyDescent="0.25">
      <c r="A2486" t="str">
        <f>"20/09/2019"</f>
        <v>20/09/2019</v>
      </c>
      <c r="B2486" t="str">
        <f>"30.975"</f>
        <v>30.975</v>
      </c>
      <c r="C2486" t="str">
        <f>"30.9744"</f>
        <v>30.9744</v>
      </c>
    </row>
    <row r="2487" spans="1:3" x14ac:dyDescent="0.25">
      <c r="A2487" t="str">
        <f>"23/09/2019"</f>
        <v>23/09/2019</v>
      </c>
      <c r="B2487" t="str">
        <f>"31.058"</f>
        <v>31.058</v>
      </c>
      <c r="C2487" t="str">
        <f>"31.0575"</f>
        <v>31.0575</v>
      </c>
    </row>
    <row r="2488" spans="1:3" x14ac:dyDescent="0.25">
      <c r="A2488" t="str">
        <f>"24/09/2019"</f>
        <v>24/09/2019</v>
      </c>
      <c r="B2488" t="str">
        <f>"31.001"</f>
        <v>31.001</v>
      </c>
      <c r="C2488" t="str">
        <f>"31.0005"</f>
        <v>31.0005</v>
      </c>
    </row>
    <row r="2489" spans="1:3" x14ac:dyDescent="0.25">
      <c r="A2489" t="str">
        <f>"25/09/2019"</f>
        <v>25/09/2019</v>
      </c>
      <c r="B2489" t="str">
        <f>"31.033"</f>
        <v>31.033</v>
      </c>
      <c r="C2489" t="str">
        <f>"31.0325"</f>
        <v>31.0325</v>
      </c>
    </row>
    <row r="2490" spans="1:3" x14ac:dyDescent="0.25">
      <c r="A2490" t="str">
        <f>"26/09/2019"</f>
        <v>26/09/2019</v>
      </c>
      <c r="B2490" t="str">
        <f>"31.015"</f>
        <v>31.015</v>
      </c>
      <c r="C2490" t="str">
        <f>"31.0145"</f>
        <v>31.0145</v>
      </c>
    </row>
    <row r="2491" spans="1:3" x14ac:dyDescent="0.25">
      <c r="A2491" t="str">
        <f>"27/09/2019"</f>
        <v>27/09/2019</v>
      </c>
      <c r="B2491" t="str">
        <f>"31.043"</f>
        <v>31.043</v>
      </c>
      <c r="C2491" t="str">
        <f>"31.0425"</f>
        <v>31.0425</v>
      </c>
    </row>
    <row r="2492" spans="1:3" x14ac:dyDescent="0.25">
      <c r="A2492" t="str">
        <f>"30/09/2019"</f>
        <v>30/09/2019</v>
      </c>
      <c r="B2492" t="str">
        <f>"31.043"</f>
        <v>31.043</v>
      </c>
      <c r="C2492" t="str">
        <f>"31.0425"</f>
        <v>31.0425</v>
      </c>
    </row>
    <row r="2493" spans="1:3" x14ac:dyDescent="0.25">
      <c r="A2493" t="str">
        <f>"01/10/2019"</f>
        <v>01/10/2019</v>
      </c>
      <c r="B2493" t="str">
        <f>"31.048"</f>
        <v>31.048</v>
      </c>
      <c r="C2493" t="str">
        <f>"31.0475"</f>
        <v>31.0475</v>
      </c>
    </row>
    <row r="2494" spans="1:3" x14ac:dyDescent="0.25">
      <c r="A2494" t="str">
        <f>"03/10/2019"</f>
        <v>03/10/2019</v>
      </c>
      <c r="B2494" t="str">
        <f>"31.058"</f>
        <v>31.058</v>
      </c>
      <c r="C2494" t="str">
        <f>"31.0575"</f>
        <v>31.0575</v>
      </c>
    </row>
    <row r="2495" spans="1:3" x14ac:dyDescent="0.25">
      <c r="A2495" t="str">
        <f>"04/10/2019"</f>
        <v>04/10/2019</v>
      </c>
      <c r="B2495" t="str">
        <f>"30.975"</f>
        <v>30.975</v>
      </c>
      <c r="C2495" t="str">
        <f>"30.9746"</f>
        <v>30.9746</v>
      </c>
    </row>
    <row r="2496" spans="1:3" x14ac:dyDescent="0.25">
      <c r="A2496" t="str">
        <f>"07/10/2019"</f>
        <v>07/10/2019</v>
      </c>
      <c r="B2496" t="str">
        <f>"30.903"</f>
        <v>30.903</v>
      </c>
      <c r="C2496" t="str">
        <f>"30.9026"</f>
        <v>30.9026</v>
      </c>
    </row>
    <row r="2497" spans="1:3" x14ac:dyDescent="0.25">
      <c r="A2497" t="str">
        <f>"09/10/2019"</f>
        <v>09/10/2019</v>
      </c>
      <c r="B2497" t="str">
        <f>"30.852"</f>
        <v>30.852</v>
      </c>
      <c r="C2497" t="str">
        <f>"30.8516"</f>
        <v>30.8516</v>
      </c>
    </row>
    <row r="2498" spans="1:3" x14ac:dyDescent="0.25">
      <c r="A2498" t="str">
        <f>"10/10/2019"</f>
        <v>10/10/2019</v>
      </c>
      <c r="B2498" t="str">
        <f>"30.852"</f>
        <v>30.852</v>
      </c>
      <c r="C2498" t="str">
        <f>"30.8516"</f>
        <v>30.8516</v>
      </c>
    </row>
    <row r="2499" spans="1:3" x14ac:dyDescent="0.25">
      <c r="A2499" t="str">
        <f>"11/10/2019"</f>
        <v>11/10/2019</v>
      </c>
      <c r="B2499" t="str">
        <f>"30.852"</f>
        <v>30.852</v>
      </c>
      <c r="C2499" t="str">
        <f>"30.8516"</f>
        <v>30.8516</v>
      </c>
    </row>
    <row r="2500" spans="1:3" x14ac:dyDescent="0.25">
      <c r="A2500" t="str">
        <f>"14/10/2019"</f>
        <v>14/10/2019</v>
      </c>
      <c r="B2500" t="str">
        <f>"30.622"</f>
        <v>30.622</v>
      </c>
      <c r="C2500" t="str">
        <f>"30.6216"</f>
        <v>30.6216</v>
      </c>
    </row>
    <row r="2501" spans="1:3" x14ac:dyDescent="0.25">
      <c r="A2501" t="str">
        <f>"15/10/2019"</f>
        <v>15/10/2019</v>
      </c>
      <c r="B2501" t="str">
        <f>"30.688"</f>
        <v>30.688</v>
      </c>
      <c r="C2501" t="str">
        <f>"30.6876"</f>
        <v>30.6876</v>
      </c>
    </row>
    <row r="2502" spans="1:3" x14ac:dyDescent="0.25">
      <c r="A2502" t="str">
        <f>"16/10/2019"</f>
        <v>16/10/2019</v>
      </c>
      <c r="B2502" t="str">
        <f>"30.722"</f>
        <v>30.722</v>
      </c>
      <c r="C2502" t="str">
        <f>"30.7216"</f>
        <v>30.7216</v>
      </c>
    </row>
    <row r="2503" spans="1:3" x14ac:dyDescent="0.25">
      <c r="A2503" t="str">
        <f>"17/10/2019"</f>
        <v>17/10/2019</v>
      </c>
      <c r="B2503" t="str">
        <f>"30.683"</f>
        <v>30.683</v>
      </c>
      <c r="C2503" t="str">
        <f>"30.6826"</f>
        <v>30.6826</v>
      </c>
    </row>
    <row r="2504" spans="1:3" x14ac:dyDescent="0.25">
      <c r="A2504" t="str">
        <f>"18/10/2019"</f>
        <v>18/10/2019</v>
      </c>
      <c r="B2504" t="str">
        <f>"30.611"</f>
        <v>30.611</v>
      </c>
      <c r="C2504" t="str">
        <f>"30.6106"</f>
        <v>30.6106</v>
      </c>
    </row>
    <row r="2505" spans="1:3" x14ac:dyDescent="0.25">
      <c r="A2505" t="str">
        <f>"22/10/2019"</f>
        <v>22/10/2019</v>
      </c>
      <c r="B2505" t="str">
        <f>"30.595"</f>
        <v>30.595</v>
      </c>
      <c r="C2505" t="str">
        <f>"30.5946"</f>
        <v>30.5946</v>
      </c>
    </row>
    <row r="2506" spans="1:3" x14ac:dyDescent="0.25">
      <c r="A2506" t="str">
        <f>"23/10/2019"</f>
        <v>23/10/2019</v>
      </c>
      <c r="B2506" t="str">
        <f>"30.612"</f>
        <v>30.612</v>
      </c>
      <c r="C2506" t="str">
        <f>"30.6116"</f>
        <v>30.6116</v>
      </c>
    </row>
    <row r="2507" spans="1:3" x14ac:dyDescent="0.25">
      <c r="A2507" t="str">
        <f>"24/10/2019"</f>
        <v>24/10/2019</v>
      </c>
      <c r="B2507" t="str">
        <f>"30.588"</f>
        <v>30.588</v>
      </c>
      <c r="C2507" t="str">
        <f>"30.5876"</f>
        <v>30.5876</v>
      </c>
    </row>
    <row r="2508" spans="1:3" x14ac:dyDescent="0.25">
      <c r="A2508" t="str">
        <f>"25/10/2019"</f>
        <v>25/10/2019</v>
      </c>
      <c r="B2508" t="str">
        <f>"30.57"</f>
        <v>30.57</v>
      </c>
      <c r="C2508" t="str">
        <f>"30.5696"</f>
        <v>30.5696</v>
      </c>
    </row>
    <row r="2509" spans="1:3" x14ac:dyDescent="0.25">
      <c r="A2509" t="str">
        <f>"29/10/2019"</f>
        <v>29/10/2019</v>
      </c>
      <c r="B2509" t="str">
        <f>"30.522"</f>
        <v>30.522</v>
      </c>
      <c r="C2509" t="str">
        <f>"30.5217"</f>
        <v>30.5217</v>
      </c>
    </row>
    <row r="2510" spans="1:3" x14ac:dyDescent="0.25">
      <c r="A2510" t="str">
        <f>"30/10/2019"</f>
        <v>30/10/2019</v>
      </c>
      <c r="B2510" t="str">
        <f>"30.489"</f>
        <v>30.489</v>
      </c>
      <c r="C2510" t="str">
        <f>"30.4887"</f>
        <v>30.4887</v>
      </c>
    </row>
    <row r="2511" spans="1:3" x14ac:dyDescent="0.25">
      <c r="A2511" t="str">
        <f>"31/10/2019"</f>
        <v>31/10/2019</v>
      </c>
      <c r="B2511" t="str">
        <f>"30.462"</f>
        <v>30.462</v>
      </c>
      <c r="C2511" t="str">
        <f>"30.4617"</f>
        <v>30.4617</v>
      </c>
    </row>
    <row r="2512" spans="1:3" x14ac:dyDescent="0.25">
      <c r="A2512" t="str">
        <f>"01/11/2019"</f>
        <v>01/11/2019</v>
      </c>
      <c r="B2512" t="str">
        <f>"30.48"</f>
        <v>30.48</v>
      </c>
      <c r="C2512" t="str">
        <f>"30.4797"</f>
        <v>30.4797</v>
      </c>
    </row>
    <row r="2513" spans="1:3" x14ac:dyDescent="0.25">
      <c r="A2513" t="str">
        <f>"04/11/2019"</f>
        <v>04/11/2019</v>
      </c>
      <c r="B2513" t="str">
        <f>"30.401"</f>
        <v>30.401</v>
      </c>
      <c r="C2513" t="str">
        <f>"30.4007"</f>
        <v>30.4007</v>
      </c>
    </row>
    <row r="2514" spans="1:3" x14ac:dyDescent="0.25">
      <c r="A2514" t="str">
        <f>"05/11/2019"</f>
        <v>05/11/2019</v>
      </c>
      <c r="B2514" t="str">
        <f>"30.416"</f>
        <v>30.416</v>
      </c>
      <c r="C2514" t="str">
        <f>"30.4157"</f>
        <v>30.4157</v>
      </c>
    </row>
    <row r="2515" spans="1:3" x14ac:dyDescent="0.25">
      <c r="A2515" t="str">
        <f>"06/11/2019"</f>
        <v>06/11/2019</v>
      </c>
      <c r="B2515" t="str">
        <f>"30.40"</f>
        <v>30.40</v>
      </c>
      <c r="C2515" t="str">
        <f>"30.3997"</f>
        <v>30.3997</v>
      </c>
    </row>
    <row r="2516" spans="1:3" x14ac:dyDescent="0.25">
      <c r="A2516" t="str">
        <f>"07/11/2019"</f>
        <v>07/11/2019</v>
      </c>
      <c r="B2516" t="str">
        <f>"30.41"</f>
        <v>30.41</v>
      </c>
      <c r="C2516" t="str">
        <f>"30.4097"</f>
        <v>30.4097</v>
      </c>
    </row>
    <row r="2517" spans="1:3" x14ac:dyDescent="0.25">
      <c r="A2517" t="str">
        <f>"08/11/2019"</f>
        <v>08/11/2019</v>
      </c>
      <c r="B2517" t="str">
        <f>"30.412"</f>
        <v>30.412</v>
      </c>
      <c r="C2517" t="str">
        <f>"30.4117"</f>
        <v>30.4117</v>
      </c>
    </row>
    <row r="2518" spans="1:3" x14ac:dyDescent="0.25">
      <c r="A2518" t="str">
        <f>"11/11/2019"</f>
        <v>11/11/2019</v>
      </c>
      <c r="B2518" t="str">
        <f>"30.435"</f>
        <v>30.435</v>
      </c>
      <c r="C2518" t="str">
        <f>"30.4347"</f>
        <v>30.4347</v>
      </c>
    </row>
    <row r="2519" spans="1:3" x14ac:dyDescent="0.25">
      <c r="A2519" t="str">
        <f>"13/11/2019"</f>
        <v>13/11/2019</v>
      </c>
      <c r="B2519" t="str">
        <f>"30.503"</f>
        <v>30.503</v>
      </c>
      <c r="C2519" t="str">
        <f>"30.5027"</f>
        <v>30.5027</v>
      </c>
    </row>
    <row r="2520" spans="1:3" x14ac:dyDescent="0.25">
      <c r="A2520" t="str">
        <f>"14/11/2019"</f>
        <v>14/11/2019</v>
      </c>
      <c r="B2520" t="str">
        <f>"30.582"</f>
        <v>30.582</v>
      </c>
      <c r="C2520" t="str">
        <f>"30.5817"</f>
        <v>30.5817</v>
      </c>
    </row>
    <row r="2521" spans="1:3" x14ac:dyDescent="0.25">
      <c r="A2521" t="str">
        <f>"15/11/2019"</f>
        <v>15/11/2019</v>
      </c>
      <c r="B2521" t="str">
        <f>"30.54"</f>
        <v>30.54</v>
      </c>
      <c r="C2521" t="str">
        <f>"30.5397"</f>
        <v>30.5397</v>
      </c>
    </row>
    <row r="2522" spans="1:3" x14ac:dyDescent="0.25">
      <c r="A2522" t="str">
        <f>"18/11/2019"</f>
        <v>18/11/2019</v>
      </c>
      <c r="B2522" t="str">
        <f>"30.502"</f>
        <v>30.502</v>
      </c>
      <c r="C2522" t="str">
        <f>"30.5017"</f>
        <v>30.5017</v>
      </c>
    </row>
    <row r="2523" spans="1:3" x14ac:dyDescent="0.25">
      <c r="A2523" t="str">
        <f>"19/11/2019"</f>
        <v>19/11/2019</v>
      </c>
      <c r="B2523" t="str">
        <f>"30.509"</f>
        <v>30.509</v>
      </c>
      <c r="C2523" t="str">
        <f>"30.5087"</f>
        <v>30.5087</v>
      </c>
    </row>
    <row r="2524" spans="1:3" x14ac:dyDescent="0.25">
      <c r="A2524" t="str">
        <f>"20/11/2019"</f>
        <v>20/11/2019</v>
      </c>
      <c r="B2524" t="str">
        <f>"30.50"</f>
        <v>30.50</v>
      </c>
      <c r="C2524" t="str">
        <f>"30.4997"</f>
        <v>30.4997</v>
      </c>
    </row>
    <row r="2525" spans="1:3" x14ac:dyDescent="0.25">
      <c r="A2525" t="str">
        <f>"21/11/2019"</f>
        <v>21/11/2019</v>
      </c>
      <c r="B2525" t="str">
        <f>"30.515"</f>
        <v>30.515</v>
      </c>
      <c r="C2525" t="str">
        <f>"30.5147"</f>
        <v>30.5147</v>
      </c>
    </row>
    <row r="2526" spans="1:3" x14ac:dyDescent="0.25">
      <c r="A2526" t="str">
        <f>"22/11/2019"</f>
        <v>22/11/2019</v>
      </c>
      <c r="B2526" t="str">
        <f>"30.504"</f>
        <v>30.504</v>
      </c>
      <c r="C2526" t="str">
        <f>"30.5037"</f>
        <v>30.5037</v>
      </c>
    </row>
    <row r="2527" spans="1:3" x14ac:dyDescent="0.25">
      <c r="A2527" t="str">
        <f>"25/11/2019"</f>
        <v>25/11/2019</v>
      </c>
      <c r="B2527" t="str">
        <f>"30.506"</f>
        <v>30.506</v>
      </c>
      <c r="C2527" t="str">
        <f>"30.5057"</f>
        <v>30.5057</v>
      </c>
    </row>
    <row r="2528" spans="1:3" x14ac:dyDescent="0.25">
      <c r="A2528" t="str">
        <f>"26/11/2019"</f>
        <v>26/11/2019</v>
      </c>
      <c r="B2528" t="str">
        <f>"30.518"</f>
        <v>30.518</v>
      </c>
      <c r="C2528" t="str">
        <f>"30.5177"</f>
        <v>30.5177</v>
      </c>
    </row>
    <row r="2529" spans="1:3" x14ac:dyDescent="0.25">
      <c r="A2529" t="str">
        <f>"27/11/2019"</f>
        <v>27/11/2019</v>
      </c>
      <c r="B2529" t="str">
        <f>"30.515"</f>
        <v>30.515</v>
      </c>
      <c r="C2529" t="str">
        <f>"30.5147"</f>
        <v>30.5147</v>
      </c>
    </row>
    <row r="2530" spans="1:3" x14ac:dyDescent="0.25">
      <c r="A2530" t="str">
        <f>"28/11/2019"</f>
        <v>28/11/2019</v>
      </c>
      <c r="B2530" t="str">
        <f>"30.505"</f>
        <v>30.505</v>
      </c>
      <c r="C2530" t="str">
        <f>"30.5046"</f>
        <v>30.5046</v>
      </c>
    </row>
    <row r="2531" spans="1:3" x14ac:dyDescent="0.25">
      <c r="A2531" t="str">
        <f>"29/11/2019"</f>
        <v>29/11/2019</v>
      </c>
      <c r="B2531" t="str">
        <f>"30.509"</f>
        <v>30.509</v>
      </c>
      <c r="C2531" t="str">
        <f>"30.5086"</f>
        <v>30.5086</v>
      </c>
    </row>
    <row r="2532" spans="1:3" x14ac:dyDescent="0.25">
      <c r="A2532" t="str">
        <f>"02/12/2019"</f>
        <v>02/12/2019</v>
      </c>
      <c r="B2532" t="str">
        <f>"30.51"</f>
        <v>30.51</v>
      </c>
      <c r="C2532" t="str">
        <f>"30.5096"</f>
        <v>30.5096</v>
      </c>
    </row>
    <row r="2533" spans="1:3" x14ac:dyDescent="0.25">
      <c r="A2533" t="str">
        <f>"03/12/2019"</f>
        <v>03/12/2019</v>
      </c>
      <c r="B2533" t="str">
        <f>"30.507"</f>
        <v>30.507</v>
      </c>
      <c r="C2533" t="str">
        <f>"30.5066"</f>
        <v>30.5066</v>
      </c>
    </row>
    <row r="2534" spans="1:3" x14ac:dyDescent="0.25">
      <c r="A2534" t="str">
        <f>"04/12/2019"</f>
        <v>04/12/2019</v>
      </c>
      <c r="B2534" t="str">
        <f>"30.509"</f>
        <v>30.509</v>
      </c>
      <c r="C2534" t="str">
        <f>"30.5086"</f>
        <v>30.5086</v>
      </c>
    </row>
    <row r="2535" spans="1:3" x14ac:dyDescent="0.25">
      <c r="A2535" t="str">
        <f>"05/12/2019"</f>
        <v>05/12/2019</v>
      </c>
      <c r="B2535" t="str">
        <f>"30.50"</f>
        <v>30.50</v>
      </c>
      <c r="C2535" t="str">
        <f>"30.4996"</f>
        <v>30.4996</v>
      </c>
    </row>
    <row r="2536" spans="1:3" x14ac:dyDescent="0.25">
      <c r="A2536" t="str">
        <f>"06/12/2019"</f>
        <v>06/12/2019</v>
      </c>
      <c r="B2536" t="str">
        <f>"30.499"</f>
        <v>30.499</v>
      </c>
      <c r="C2536" t="str">
        <f>"30.4986"</f>
        <v>30.4986</v>
      </c>
    </row>
    <row r="2537" spans="1:3" x14ac:dyDescent="0.25">
      <c r="A2537" t="str">
        <f>"09/12/2019"</f>
        <v>09/12/2019</v>
      </c>
      <c r="B2537" t="str">
        <f>"30.502"</f>
        <v>30.502</v>
      </c>
      <c r="C2537" t="str">
        <f>"30.5016"</f>
        <v>30.5016</v>
      </c>
    </row>
    <row r="2538" spans="1:3" x14ac:dyDescent="0.25">
      <c r="A2538" t="str">
        <f>"10/12/2019"</f>
        <v>10/12/2019</v>
      </c>
      <c r="B2538" t="str">
        <f>"30.503"</f>
        <v>30.503</v>
      </c>
      <c r="C2538" t="str">
        <f>"30.5026"</f>
        <v>30.5026</v>
      </c>
    </row>
    <row r="2539" spans="1:3" x14ac:dyDescent="0.25">
      <c r="A2539" t="str">
        <f>"11/12/2019"</f>
        <v>11/12/2019</v>
      </c>
      <c r="B2539" t="str">
        <f>"30.505"</f>
        <v>30.505</v>
      </c>
      <c r="C2539" t="str">
        <f>"30.5046"</f>
        <v>30.5046</v>
      </c>
    </row>
    <row r="2540" spans="1:3" x14ac:dyDescent="0.25">
      <c r="A2540" t="str">
        <f>"12/12/2019"</f>
        <v>12/12/2019</v>
      </c>
      <c r="B2540" t="str">
        <f>"30.406"</f>
        <v>30.406</v>
      </c>
      <c r="C2540" t="str">
        <f>"30.4056"</f>
        <v>30.4056</v>
      </c>
    </row>
    <row r="2541" spans="1:3" x14ac:dyDescent="0.25">
      <c r="A2541" t="str">
        <f>"13/12/2019"</f>
        <v>13/12/2019</v>
      </c>
      <c r="B2541" t="str">
        <f>"30.221"</f>
        <v>30.221</v>
      </c>
      <c r="C2541" t="str">
        <f>"30.2206"</f>
        <v>30.2206</v>
      </c>
    </row>
    <row r="2542" spans="1:3" x14ac:dyDescent="0.25">
      <c r="A2542" t="str">
        <f>"16/12/2019"</f>
        <v>16/12/2019</v>
      </c>
      <c r="B2542" t="str">
        <f>"30.266"</f>
        <v>30.266</v>
      </c>
      <c r="C2542" t="str">
        <f>"30.2655"</f>
        <v>30.2655</v>
      </c>
    </row>
    <row r="2543" spans="1:3" x14ac:dyDescent="0.25">
      <c r="A2543" t="str">
        <f>"17/12/2019"</f>
        <v>17/12/2019</v>
      </c>
      <c r="B2543" t="str">
        <f>"30.156"</f>
        <v>30.156</v>
      </c>
      <c r="C2543" t="str">
        <f>"30.1555"</f>
        <v>30.1555</v>
      </c>
    </row>
    <row r="2544" spans="1:3" x14ac:dyDescent="0.25">
      <c r="A2544" t="str">
        <f>"18/12/2019"</f>
        <v>18/12/2019</v>
      </c>
      <c r="B2544" t="str">
        <f>"30.233"</f>
        <v>30.233</v>
      </c>
      <c r="C2544" t="str">
        <f>"30.2325"</f>
        <v>30.2325</v>
      </c>
    </row>
    <row r="2545" spans="1:3" x14ac:dyDescent="0.25">
      <c r="A2545" t="str">
        <f>"19/12/2019"</f>
        <v>19/12/2019</v>
      </c>
      <c r="B2545" t="str">
        <f>"30.21"</f>
        <v>30.21</v>
      </c>
      <c r="C2545" t="str">
        <f>"30.2094"</f>
        <v>30.2094</v>
      </c>
    </row>
    <row r="2546" spans="1:3" x14ac:dyDescent="0.25">
      <c r="A2546" t="str">
        <f>"20/12/2019"</f>
        <v>20/12/2019</v>
      </c>
      <c r="B2546" t="str">
        <f>"30.185"</f>
        <v>30.185</v>
      </c>
      <c r="C2546" t="str">
        <f>"30.1844"</f>
        <v>30.1844</v>
      </c>
    </row>
    <row r="2547" spans="1:3" x14ac:dyDescent="0.25">
      <c r="A2547" t="str">
        <f>"23/12/2019"</f>
        <v>23/12/2019</v>
      </c>
      <c r="B2547" t="str">
        <f>"30.215"</f>
        <v>30.215</v>
      </c>
      <c r="C2547" t="str">
        <f>"30.2145"</f>
        <v>30.2145</v>
      </c>
    </row>
    <row r="2548" spans="1:3" x14ac:dyDescent="0.25">
      <c r="A2548" t="str">
        <f>"24/12/2019"</f>
        <v>24/12/2019</v>
      </c>
      <c r="B2548" t="str">
        <f>"30.205"</f>
        <v>30.205</v>
      </c>
      <c r="C2548" t="str">
        <f>"30.2045"</f>
        <v>30.2045</v>
      </c>
    </row>
    <row r="2549" spans="1:3" x14ac:dyDescent="0.25">
      <c r="A2549" t="str">
        <f>"26/12/2019"</f>
        <v>26/12/2019</v>
      </c>
      <c r="B2549" t="str">
        <f>"30.201"</f>
        <v>30.201</v>
      </c>
      <c r="C2549" t="str">
        <f>"30.2006"</f>
        <v>30.2006</v>
      </c>
    </row>
    <row r="2550" spans="1:3" x14ac:dyDescent="0.25">
      <c r="A2550" t="str">
        <f>"27/12/2019"</f>
        <v>27/12/2019</v>
      </c>
      <c r="B2550" t="str">
        <f>"30.205"</f>
        <v>30.205</v>
      </c>
      <c r="C2550" t="str">
        <f>"30.2046"</f>
        <v>30.2046</v>
      </c>
    </row>
    <row r="2551" spans="1:3" x14ac:dyDescent="0.25">
      <c r="A2551" t="str">
        <f>"30/12/2019"</f>
        <v>30/12/2019</v>
      </c>
      <c r="B2551" t="str">
        <f>"30.138"</f>
        <v>30.138</v>
      </c>
      <c r="C2551" t="str">
        <f>"30.1376"</f>
        <v>30.1376</v>
      </c>
    </row>
    <row r="2552" spans="1:3" x14ac:dyDescent="0.25">
      <c r="A2552" t="str">
        <f>"31/12/2019"</f>
        <v>31/12/2019</v>
      </c>
      <c r="B2552" t="str">
        <f>"30.106"</f>
        <v>30.106</v>
      </c>
      <c r="C2552" t="str">
        <f>"30.1056"</f>
        <v>30.1056</v>
      </c>
    </row>
    <row r="2553" spans="1:3" x14ac:dyDescent="0.25">
      <c r="A2553" t="str">
        <f>"02/01/2020"</f>
        <v>02/01/2020</v>
      </c>
      <c r="B2553" t="str">
        <f>"30.115"</f>
        <v>30.115</v>
      </c>
      <c r="C2553" t="str">
        <f>"30.1146"</f>
        <v>30.1146</v>
      </c>
    </row>
    <row r="2554" spans="1:3" x14ac:dyDescent="0.25">
      <c r="A2554" t="str">
        <f>"03/01/2020"</f>
        <v>03/01/2020</v>
      </c>
      <c r="B2554" t="str">
        <f>"30.106"</f>
        <v>30.106</v>
      </c>
      <c r="C2554" t="str">
        <f>"30.1056"</f>
        <v>30.1056</v>
      </c>
    </row>
    <row r="2555" spans="1:3" x14ac:dyDescent="0.25">
      <c r="A2555" t="str">
        <f>"06/01/2020"</f>
        <v>06/01/2020</v>
      </c>
      <c r="B2555" t="str">
        <f>"30.08"</f>
        <v>30.08</v>
      </c>
      <c r="C2555" t="str">
        <f>"30.0796"</f>
        <v>30.0796</v>
      </c>
    </row>
    <row r="2556" spans="1:3" x14ac:dyDescent="0.25">
      <c r="A2556" t="str">
        <f>"07/01/2020"</f>
        <v>07/01/2020</v>
      </c>
      <c r="B2556" t="str">
        <f>"30.082"</f>
        <v>30.082</v>
      </c>
      <c r="C2556" t="str">
        <f>"30.0817"</f>
        <v>30.0817</v>
      </c>
    </row>
    <row r="2557" spans="1:3" x14ac:dyDescent="0.25">
      <c r="A2557" t="str">
        <f>"08/01/2020"</f>
        <v>08/01/2020</v>
      </c>
      <c r="B2557" t="str">
        <f>"30.088"</f>
        <v>30.088</v>
      </c>
      <c r="C2557" t="str">
        <f>"30.0877"</f>
        <v>30.0877</v>
      </c>
    </row>
    <row r="2558" spans="1:3" x14ac:dyDescent="0.25">
      <c r="A2558" t="str">
        <f>"09/01/2020"</f>
        <v>09/01/2020</v>
      </c>
      <c r="B2558" t="str">
        <f>"30.01"</f>
        <v>30.01</v>
      </c>
      <c r="C2558" t="str">
        <f>"30.0097"</f>
        <v>30.0097</v>
      </c>
    </row>
    <row r="2559" spans="1:3" x14ac:dyDescent="0.25">
      <c r="A2559" t="str">
        <f>"10/01/2020"</f>
        <v>10/01/2020</v>
      </c>
      <c r="B2559" t="str">
        <f>"30.019"</f>
        <v>30.019</v>
      </c>
      <c r="C2559" t="str">
        <f>"30.0187"</f>
        <v>30.0187</v>
      </c>
    </row>
    <row r="2560" spans="1:3" x14ac:dyDescent="0.25">
      <c r="A2560" t="str">
        <f>"13/01/2020"</f>
        <v>13/01/2020</v>
      </c>
      <c r="B2560" t="str">
        <f>"29.919"</f>
        <v>29.919</v>
      </c>
      <c r="C2560" t="str">
        <f>"29.9187"</f>
        <v>29.9187</v>
      </c>
    </row>
    <row r="2561" spans="1:3" x14ac:dyDescent="0.25">
      <c r="A2561" t="str">
        <f>"14/01/2020"</f>
        <v>14/01/2020</v>
      </c>
      <c r="B2561" t="str">
        <f>"29.888"</f>
        <v>29.888</v>
      </c>
      <c r="C2561" t="str">
        <f>"29.8877"</f>
        <v>29.8877</v>
      </c>
    </row>
    <row r="2562" spans="1:3" x14ac:dyDescent="0.25">
      <c r="A2562" t="str">
        <f>"15/01/2020"</f>
        <v>15/01/2020</v>
      </c>
      <c r="B2562" t="str">
        <f>"29.914"</f>
        <v>29.914</v>
      </c>
      <c r="C2562" t="str">
        <f>"29.9137"</f>
        <v>29.9137</v>
      </c>
    </row>
    <row r="2563" spans="1:3" x14ac:dyDescent="0.25">
      <c r="A2563" t="str">
        <f>"16/01/2020"</f>
        <v>16/01/2020</v>
      </c>
      <c r="B2563" t="str">
        <f>"29.955"</f>
        <v>29.955</v>
      </c>
      <c r="C2563" t="str">
        <f>"29.9547"</f>
        <v>29.9547</v>
      </c>
    </row>
    <row r="2564" spans="1:3" x14ac:dyDescent="0.25">
      <c r="A2564" t="str">
        <f>"17/01/2020"</f>
        <v>17/01/2020</v>
      </c>
      <c r="B2564" t="str">
        <f>"29.96"</f>
        <v>29.96</v>
      </c>
      <c r="C2564" t="str">
        <f>"29.9597"</f>
        <v>29.9597</v>
      </c>
    </row>
    <row r="2565" spans="1:3" x14ac:dyDescent="0.25">
      <c r="A2565" t="str">
        <f>"20/01/2020"</f>
        <v>20/01/2020</v>
      </c>
      <c r="B2565" t="str">
        <f>"29.965"</f>
        <v>29.965</v>
      </c>
      <c r="C2565" t="str">
        <f>"29.9647"</f>
        <v>29.9647</v>
      </c>
    </row>
    <row r="2566" spans="1:3" x14ac:dyDescent="0.25">
      <c r="A2566" t="str">
        <f>"21/01/2020"</f>
        <v>21/01/2020</v>
      </c>
      <c r="B2566" t="str">
        <f>"29.999"</f>
        <v>29.999</v>
      </c>
      <c r="C2566" t="str">
        <f>"29.9987"</f>
        <v>29.9987</v>
      </c>
    </row>
    <row r="2567" spans="1:3" x14ac:dyDescent="0.25">
      <c r="A2567" t="str">
        <f>"22/01/2020"</f>
        <v>22/01/2020</v>
      </c>
      <c r="B2567" t="str">
        <f t="shared" ref="B2567:B2572" si="7">"30.006"</f>
        <v>30.006</v>
      </c>
      <c r="C2567" t="str">
        <f t="shared" ref="C2567:C2572" si="8">"30.0057"</f>
        <v>30.0057</v>
      </c>
    </row>
    <row r="2568" spans="1:3" x14ac:dyDescent="0.25">
      <c r="A2568" t="str">
        <f>"23/01/2020"</f>
        <v>23/01/2020</v>
      </c>
      <c r="B2568" t="str">
        <f t="shared" si="7"/>
        <v>30.006</v>
      </c>
      <c r="C2568" t="str">
        <f t="shared" si="8"/>
        <v>30.0057</v>
      </c>
    </row>
    <row r="2569" spans="1:3" x14ac:dyDescent="0.25">
      <c r="A2569" t="str">
        <f>"24/01/2020"</f>
        <v>24/01/2020</v>
      </c>
      <c r="B2569" t="str">
        <f t="shared" si="7"/>
        <v>30.006</v>
      </c>
      <c r="C2569" t="str">
        <f t="shared" si="8"/>
        <v>30.0057</v>
      </c>
    </row>
    <row r="2570" spans="1:3" x14ac:dyDescent="0.25">
      <c r="A2570" t="str">
        <f>"27/01/2020"</f>
        <v>27/01/2020</v>
      </c>
      <c r="B2570" t="str">
        <f t="shared" si="7"/>
        <v>30.006</v>
      </c>
      <c r="C2570" t="str">
        <f t="shared" si="8"/>
        <v>30.0057</v>
      </c>
    </row>
    <row r="2571" spans="1:3" x14ac:dyDescent="0.25">
      <c r="A2571" t="str">
        <f>"28/01/2020"</f>
        <v>28/01/2020</v>
      </c>
      <c r="B2571" t="str">
        <f t="shared" si="7"/>
        <v>30.006</v>
      </c>
      <c r="C2571" t="str">
        <f t="shared" si="8"/>
        <v>30.0057</v>
      </c>
    </row>
    <row r="2572" spans="1:3" x14ac:dyDescent="0.25">
      <c r="A2572" t="str">
        <f>"29/01/2020"</f>
        <v>29/01/2020</v>
      </c>
      <c r="B2572" t="str">
        <f t="shared" si="7"/>
        <v>30.006</v>
      </c>
      <c r="C2572" t="str">
        <f t="shared" si="8"/>
        <v>30.0057</v>
      </c>
    </row>
    <row r="2573" spans="1:3" x14ac:dyDescent="0.25">
      <c r="A2573" t="str">
        <f>"30/01/2020"</f>
        <v>30/01/2020</v>
      </c>
      <c r="B2573" t="str">
        <f>"30.277"</f>
        <v>30.277</v>
      </c>
      <c r="C2573" t="str">
        <f>"30.2767"</f>
        <v>30.2767</v>
      </c>
    </row>
    <row r="2574" spans="1:3" x14ac:dyDescent="0.25">
      <c r="A2574" t="str">
        <f>"31/01/2020"</f>
        <v>31/01/2020</v>
      </c>
      <c r="B2574" t="str">
        <f>"30.227"</f>
        <v>30.227</v>
      </c>
      <c r="C2574" t="str">
        <f>"30.2268"</f>
        <v>30.2268</v>
      </c>
    </row>
    <row r="2575" spans="1:3" x14ac:dyDescent="0.25">
      <c r="A2575" t="str">
        <f>"03/02/2020"</f>
        <v>03/02/2020</v>
      </c>
      <c r="B2575" t="str">
        <f>"30.332"</f>
        <v>30.332</v>
      </c>
      <c r="C2575" t="str">
        <f>"30.3318"</f>
        <v>30.3318</v>
      </c>
    </row>
    <row r="2576" spans="1:3" x14ac:dyDescent="0.25">
      <c r="A2576" t="str">
        <f>"04/02/2020"</f>
        <v>04/02/2020</v>
      </c>
      <c r="B2576" t="str">
        <f>"30.207"</f>
        <v>30.207</v>
      </c>
      <c r="C2576" t="str">
        <f>"30.2068"</f>
        <v>30.2068</v>
      </c>
    </row>
    <row r="2577" spans="1:3" x14ac:dyDescent="0.25">
      <c r="A2577" t="str">
        <f>"05/02/2020"</f>
        <v>05/02/2020</v>
      </c>
      <c r="B2577" t="str">
        <f>"30.152"</f>
        <v>30.152</v>
      </c>
      <c r="C2577" t="str">
        <f>"30.1517"</f>
        <v>30.1517</v>
      </c>
    </row>
    <row r="2578" spans="1:3" x14ac:dyDescent="0.25">
      <c r="A2578" t="str">
        <f>"06/02/2020"</f>
        <v>06/02/2020</v>
      </c>
      <c r="B2578" t="str">
        <f>"30.082"</f>
        <v>30.082</v>
      </c>
      <c r="C2578" t="str">
        <f>"30.0817"</f>
        <v>30.0817</v>
      </c>
    </row>
    <row r="2579" spans="1:3" x14ac:dyDescent="0.25">
      <c r="A2579" t="str">
        <f>"07/02/2020"</f>
        <v>07/02/2020</v>
      </c>
      <c r="B2579" t="str">
        <f>"30.126"</f>
        <v>30.126</v>
      </c>
      <c r="C2579" t="str">
        <f>"30.1258"</f>
        <v>30.1258</v>
      </c>
    </row>
    <row r="2580" spans="1:3" x14ac:dyDescent="0.25">
      <c r="A2580" t="str">
        <f>"10/02/2020"</f>
        <v>10/02/2020</v>
      </c>
      <c r="B2580" t="str">
        <f>"30.102"</f>
        <v>30.102</v>
      </c>
      <c r="C2580" t="str">
        <f>"30.1018"</f>
        <v>30.1018</v>
      </c>
    </row>
    <row r="2581" spans="1:3" x14ac:dyDescent="0.25">
      <c r="A2581" t="str">
        <f>"11/02/2020"</f>
        <v>11/02/2020</v>
      </c>
      <c r="B2581" t="str">
        <f>"30.068"</f>
        <v>30.068</v>
      </c>
      <c r="C2581" t="str">
        <f>"30.0677"</f>
        <v>30.0677</v>
      </c>
    </row>
    <row r="2582" spans="1:3" x14ac:dyDescent="0.25">
      <c r="A2582" t="str">
        <f>"12/02/2020"</f>
        <v>12/02/2020</v>
      </c>
      <c r="B2582" t="str">
        <f>"30.035"</f>
        <v>30.035</v>
      </c>
      <c r="C2582" t="str">
        <f>"30.0347"</f>
        <v>30.0347</v>
      </c>
    </row>
    <row r="2583" spans="1:3" x14ac:dyDescent="0.25">
      <c r="A2583" t="str">
        <f>"13/02/2020"</f>
        <v>13/02/2020</v>
      </c>
      <c r="B2583" t="str">
        <f>"30.04"</f>
        <v>30.04</v>
      </c>
      <c r="C2583" t="str">
        <f>"30.0397"</f>
        <v>30.0397</v>
      </c>
    </row>
    <row r="2584" spans="1:3" x14ac:dyDescent="0.25">
      <c r="A2584" t="str">
        <f>"14/02/2020"</f>
        <v>14/02/2020</v>
      </c>
      <c r="B2584" t="str">
        <f>"30.052"</f>
        <v>30.052</v>
      </c>
      <c r="C2584" t="str">
        <f>"30.0517"</f>
        <v>30.0517</v>
      </c>
    </row>
    <row r="2585" spans="1:3" x14ac:dyDescent="0.25">
      <c r="A2585" t="str">
        <f>"17/02/2020"</f>
        <v>17/02/2020</v>
      </c>
      <c r="B2585" t="str">
        <f>"30.06"</f>
        <v>30.06</v>
      </c>
      <c r="C2585" t="str">
        <f>"30.0597"</f>
        <v>30.0597</v>
      </c>
    </row>
    <row r="2586" spans="1:3" x14ac:dyDescent="0.25">
      <c r="A2586" t="str">
        <f>"18/02/2020"</f>
        <v>18/02/2020</v>
      </c>
      <c r="B2586" t="str">
        <f>"30.128"</f>
        <v>30.128</v>
      </c>
      <c r="C2586" t="str">
        <f>"30.1277"</f>
        <v>30.1277</v>
      </c>
    </row>
    <row r="2587" spans="1:3" x14ac:dyDescent="0.25">
      <c r="A2587" t="str">
        <f>"20/02/2020"</f>
        <v>20/02/2020</v>
      </c>
      <c r="B2587" t="str">
        <f>"30.255"</f>
        <v>30.255</v>
      </c>
      <c r="C2587" t="str">
        <f>"30.2547"</f>
        <v>30.2547</v>
      </c>
    </row>
    <row r="2588" spans="1:3" x14ac:dyDescent="0.25">
      <c r="A2588" t="str">
        <f>"24/02/2020"</f>
        <v>24/02/2020</v>
      </c>
      <c r="B2588" t="str">
        <f>"30.473"</f>
        <v>30.473</v>
      </c>
      <c r="C2588" t="str">
        <f>"30.4728"</f>
        <v>30.4728</v>
      </c>
    </row>
    <row r="2589" spans="1:3" x14ac:dyDescent="0.25">
      <c r="A2589" t="str">
        <f>"25/02/2020"</f>
        <v>25/02/2020</v>
      </c>
      <c r="B2589" t="str">
        <f>"30.403"</f>
        <v>30.403</v>
      </c>
      <c r="C2589" t="str">
        <f>"30.4027"</f>
        <v>30.4027</v>
      </c>
    </row>
    <row r="2590" spans="1:3" x14ac:dyDescent="0.25">
      <c r="A2590" t="str">
        <f>"26/02/2020"</f>
        <v>26/02/2020</v>
      </c>
      <c r="B2590" t="str">
        <f>"30.385"</f>
        <v>30.385</v>
      </c>
      <c r="C2590" t="str">
        <f>"30.3847"</f>
        <v>30.3847</v>
      </c>
    </row>
    <row r="2591" spans="1:3" x14ac:dyDescent="0.25">
      <c r="A2591" t="str">
        <f>"27/02/2020"</f>
        <v>27/02/2020</v>
      </c>
      <c r="B2591" t="str">
        <f>"30.333"</f>
        <v>30.333</v>
      </c>
      <c r="C2591" t="str">
        <f>"30.3327"</f>
        <v>30.3327</v>
      </c>
    </row>
    <row r="2592" spans="1:3" x14ac:dyDescent="0.25">
      <c r="A2592" t="str">
        <f>"28/02/2020"</f>
        <v>28/02/2020</v>
      </c>
      <c r="B2592" t="str">
        <f>"30.333"</f>
        <v>30.333</v>
      </c>
      <c r="C2592" t="str">
        <f>"30.3327"</f>
        <v>30.3327</v>
      </c>
    </row>
    <row r="2593" spans="1:3" x14ac:dyDescent="0.25">
      <c r="A2593" t="str">
        <f>"02/03/2020"</f>
        <v>02/03/2020</v>
      </c>
      <c r="B2593" t="str">
        <f>"30.125"</f>
        <v>30.125</v>
      </c>
      <c r="C2593" t="str">
        <f>"30.1247"</f>
        <v>30.1247</v>
      </c>
    </row>
    <row r="2594" spans="1:3" x14ac:dyDescent="0.25">
      <c r="A2594" t="str">
        <f>"03/03/2020"</f>
        <v>03/03/2020</v>
      </c>
      <c r="B2594" t="str">
        <f>"30.09"</f>
        <v>30.09</v>
      </c>
      <c r="C2594" t="str">
        <f>"30.0897"</f>
        <v>30.0897</v>
      </c>
    </row>
    <row r="2595" spans="1:3" x14ac:dyDescent="0.25">
      <c r="A2595" t="str">
        <f>"04/03/2020"</f>
        <v>04/03/2020</v>
      </c>
      <c r="B2595" t="str">
        <f>"30.04"</f>
        <v>30.04</v>
      </c>
      <c r="C2595" t="str">
        <f>"30.0398"</f>
        <v>30.0398</v>
      </c>
    </row>
    <row r="2596" spans="1:3" x14ac:dyDescent="0.25">
      <c r="A2596" t="str">
        <f>"05/03/2020"</f>
        <v>05/03/2020</v>
      </c>
      <c r="B2596" t="str">
        <f>"29.962"</f>
        <v>29.962</v>
      </c>
      <c r="C2596" t="str">
        <f>"29.9618"</f>
        <v>29.9618</v>
      </c>
    </row>
    <row r="2597" spans="1:3" x14ac:dyDescent="0.25">
      <c r="A2597" t="str">
        <f>"06/03/2020"</f>
        <v>06/03/2020</v>
      </c>
      <c r="B2597" t="str">
        <f>"30.05"</f>
        <v>30.05</v>
      </c>
      <c r="C2597" t="str">
        <f>"30.0498"</f>
        <v>30.0498</v>
      </c>
    </row>
    <row r="2598" spans="1:3" x14ac:dyDescent="0.25">
      <c r="A2598" t="str">
        <f>"09/03/2020"</f>
        <v>09/03/2020</v>
      </c>
      <c r="B2598" t="str">
        <f>"30.077"</f>
        <v>30.077</v>
      </c>
      <c r="C2598" t="str">
        <f>"30.0768"</f>
        <v>30.0768</v>
      </c>
    </row>
    <row r="2599" spans="1:3" x14ac:dyDescent="0.25">
      <c r="A2599" t="str">
        <f>"11/03/2020"</f>
        <v>11/03/2020</v>
      </c>
      <c r="B2599" t="str">
        <f>"30.10"</f>
        <v>30.10</v>
      </c>
      <c r="C2599" t="str">
        <f>"30.0998"</f>
        <v>30.0998</v>
      </c>
    </row>
    <row r="2600" spans="1:3" x14ac:dyDescent="0.25">
      <c r="A2600" t="str">
        <f>"12/03/2020"</f>
        <v>12/03/2020</v>
      </c>
      <c r="B2600" t="str">
        <f>"30.152"</f>
        <v>30.152</v>
      </c>
      <c r="C2600" t="str">
        <f>"30.1518"</f>
        <v>30.1518</v>
      </c>
    </row>
    <row r="2601" spans="1:3" x14ac:dyDescent="0.25">
      <c r="A2601" t="str">
        <f>"13/03/2020"</f>
        <v>13/03/2020</v>
      </c>
      <c r="B2601" t="str">
        <f>"30.215"</f>
        <v>30.215</v>
      </c>
      <c r="C2601" t="str">
        <f>"30.2147"</f>
        <v>30.2147</v>
      </c>
    </row>
    <row r="2602" spans="1:3" x14ac:dyDescent="0.25">
      <c r="A2602" t="str">
        <f>"16/03/2020"</f>
        <v>16/03/2020</v>
      </c>
      <c r="B2602" t="str">
        <f>"30.225"</f>
        <v>30.225</v>
      </c>
      <c r="C2602" t="str">
        <f>"30.2246"</f>
        <v>30.2246</v>
      </c>
    </row>
    <row r="2603" spans="1:3" x14ac:dyDescent="0.25">
      <c r="A2603" t="str">
        <f>"17/03/2020"</f>
        <v>17/03/2020</v>
      </c>
      <c r="B2603" t="str">
        <f>"30.242"</f>
        <v>30.242</v>
      </c>
      <c r="C2603" t="str">
        <f>"30.2415"</f>
        <v>30.2415</v>
      </c>
    </row>
    <row r="2604" spans="1:3" x14ac:dyDescent="0.25">
      <c r="A2604" t="str">
        <f>"18/03/2020"</f>
        <v>18/03/2020</v>
      </c>
      <c r="B2604" t="str">
        <f>"30.28"</f>
        <v>30.28</v>
      </c>
      <c r="C2604" t="str">
        <f>"30.2795"</f>
        <v>30.2795</v>
      </c>
    </row>
    <row r="2605" spans="1:3" x14ac:dyDescent="0.25">
      <c r="A2605" t="str">
        <f>"19/03/2020"</f>
        <v>19/03/2020</v>
      </c>
      <c r="B2605" t="str">
        <f>"30.51"</f>
        <v>30.51</v>
      </c>
      <c r="C2605" t="str">
        <f>"30.5093"</f>
        <v>30.5093</v>
      </c>
    </row>
    <row r="2606" spans="1:3" x14ac:dyDescent="0.25">
      <c r="A2606" t="str">
        <f>"20/03/2020"</f>
        <v>20/03/2020</v>
      </c>
      <c r="B2606" t="str">
        <f>"30.347"</f>
        <v>30.347</v>
      </c>
      <c r="C2606" t="str">
        <f>"30.3466"</f>
        <v>30.3466</v>
      </c>
    </row>
    <row r="2607" spans="1:3" x14ac:dyDescent="0.25">
      <c r="A2607" t="str">
        <f>"23/03/2020"</f>
        <v>23/03/2020</v>
      </c>
      <c r="B2607" t="str">
        <f>"30.405"</f>
        <v>30.405</v>
      </c>
      <c r="C2607" t="str">
        <f>"30.4045"</f>
        <v>30.4045</v>
      </c>
    </row>
    <row r="2608" spans="1:3" x14ac:dyDescent="0.25">
      <c r="A2608" t="str">
        <f>"24/03/2020"</f>
        <v>24/03/2020</v>
      </c>
      <c r="B2608" t="str">
        <f>"30.296"</f>
        <v>30.296</v>
      </c>
      <c r="C2608" t="str">
        <f>"30.2955"</f>
        <v>30.2955</v>
      </c>
    </row>
    <row r="2609" spans="1:3" x14ac:dyDescent="0.25">
      <c r="A2609" t="str">
        <f>"26/03/2020"</f>
        <v>26/03/2020</v>
      </c>
      <c r="B2609" t="str">
        <f>"30.309"</f>
        <v>30.309</v>
      </c>
      <c r="C2609" t="str">
        <f>"30.3084"</f>
        <v>30.3084</v>
      </c>
    </row>
    <row r="2610" spans="1:3" x14ac:dyDescent="0.25">
      <c r="A2610" t="str">
        <f>"27/03/2020"</f>
        <v>27/03/2020</v>
      </c>
      <c r="B2610" t="str">
        <f>"30.24"</f>
        <v>30.24</v>
      </c>
      <c r="C2610" t="str">
        <f>"30.2395"</f>
        <v>30.2395</v>
      </c>
    </row>
    <row r="2611" spans="1:3" x14ac:dyDescent="0.25">
      <c r="A2611" t="str">
        <f>"30/03/2020"</f>
        <v>30/03/2020</v>
      </c>
      <c r="B2611" t="str">
        <f>"30.25"</f>
        <v>30.25</v>
      </c>
      <c r="C2611" t="str">
        <f>"30.2493"</f>
        <v>30.2493</v>
      </c>
    </row>
    <row r="2612" spans="1:3" x14ac:dyDescent="0.25">
      <c r="A2612" t="str">
        <f>"31/03/2020"</f>
        <v>31/03/2020</v>
      </c>
      <c r="B2612" t="str">
        <f>"30.231"</f>
        <v>30.231</v>
      </c>
      <c r="C2612" t="str">
        <f>"30.2303"</f>
        <v>30.2303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51B39-0FE4-45A6-93F9-CC4F4714A78B}">
  <dimension ref="A2:C2612"/>
  <sheetViews>
    <sheetView workbookViewId="0"/>
  </sheetViews>
  <sheetFormatPr defaultRowHeight="15" x14ac:dyDescent="0.25"/>
  <sheetData>
    <row r="2" spans="1:3" x14ac:dyDescent="0.25">
      <c r="A2" t="str">
        <f>"29/05/2009"</f>
        <v>29/05/2009</v>
      </c>
      <c r="B2" t="str">
        <f>"8.0713"</f>
        <v>8.0713</v>
      </c>
      <c r="C2" t="str">
        <f>"8.1205"</f>
        <v>8.1205</v>
      </c>
    </row>
    <row r="3" spans="1:3" x14ac:dyDescent="0.25">
      <c r="A3" t="str">
        <f>"01/06/2009"</f>
        <v>01/06/2009</v>
      </c>
      <c r="B3" t="str">
        <f>"7.9716"</f>
        <v>7.9716</v>
      </c>
      <c r="C3" t="str">
        <f>"8.0208"</f>
        <v>8.0208</v>
      </c>
    </row>
    <row r="4" spans="1:3" x14ac:dyDescent="0.25">
      <c r="A4" t="str">
        <f>"02/06/2009"</f>
        <v>02/06/2009</v>
      </c>
      <c r="B4" t="str">
        <f>"8.017"</f>
        <v>8.017</v>
      </c>
      <c r="C4" t="str">
        <f>"8.0661"</f>
        <v>8.0661</v>
      </c>
    </row>
    <row r="5" spans="1:3" x14ac:dyDescent="0.25">
      <c r="A5" t="str">
        <f>"03/06/2009"</f>
        <v>03/06/2009</v>
      </c>
      <c r="B5" t="str">
        <f>"8.0013"</f>
        <v>8.0013</v>
      </c>
      <c r="C5" t="str">
        <f>"8.0534"</f>
        <v>8.0534</v>
      </c>
    </row>
    <row r="6" spans="1:3" x14ac:dyDescent="0.25">
      <c r="A6" t="str">
        <f>"04/06/2009"</f>
        <v>04/06/2009</v>
      </c>
      <c r="B6" t="str">
        <f>"8.0913"</f>
        <v>8.0913</v>
      </c>
      <c r="C6" t="str">
        <f>"8.1408"</f>
        <v>8.1408</v>
      </c>
    </row>
    <row r="7" spans="1:3" x14ac:dyDescent="0.25">
      <c r="A7" t="str">
        <f>"05/06/2009"</f>
        <v>05/06/2009</v>
      </c>
      <c r="B7" t="str">
        <f>"8.0405"</f>
        <v>8.0405</v>
      </c>
      <c r="C7" t="str">
        <f>"8.0891"</f>
        <v>8.0891</v>
      </c>
    </row>
    <row r="8" spans="1:3" x14ac:dyDescent="0.25">
      <c r="A8" t="str">
        <f>"08/06/2009"</f>
        <v>08/06/2009</v>
      </c>
      <c r="B8" t="str">
        <f>"8.1138"</f>
        <v>8.1138</v>
      </c>
      <c r="C8" t="str">
        <f>"8.1625"</f>
        <v>8.1625</v>
      </c>
    </row>
    <row r="9" spans="1:3" x14ac:dyDescent="0.25">
      <c r="A9" t="str">
        <f>"09/06/2009"</f>
        <v>09/06/2009</v>
      </c>
      <c r="B9" t="str">
        <f>"8.1766"</f>
        <v>8.1766</v>
      </c>
      <c r="C9" t="str">
        <f>"8.2251"</f>
        <v>8.2251</v>
      </c>
    </row>
    <row r="10" spans="1:3" x14ac:dyDescent="0.25">
      <c r="A10" t="str">
        <f>"10/06/2009"</f>
        <v>10/06/2009</v>
      </c>
      <c r="B10" t="str">
        <f>"8.121"</f>
        <v>8.121</v>
      </c>
      <c r="C10" t="str">
        <f>"8.1727"</f>
        <v>8.1727</v>
      </c>
    </row>
    <row r="11" spans="1:3" x14ac:dyDescent="0.25">
      <c r="A11" t="str">
        <f>"11/06/2009"</f>
        <v>11/06/2009</v>
      </c>
      <c r="B11" t="str">
        <f>"8.0836"</f>
        <v>8.0836</v>
      </c>
      <c r="C11" t="str">
        <f>"8.1333"</f>
        <v>8.1333</v>
      </c>
    </row>
    <row r="12" spans="1:3" x14ac:dyDescent="0.25">
      <c r="A12" t="str">
        <f>"12/06/2009"</f>
        <v>12/06/2009</v>
      </c>
      <c r="B12" t="str">
        <f>"7.9782"</f>
        <v>7.9782</v>
      </c>
      <c r="C12" t="str">
        <f>"8.025"</f>
        <v>8.025</v>
      </c>
    </row>
    <row r="13" spans="1:3" x14ac:dyDescent="0.25">
      <c r="A13" t="str">
        <f>"15/06/2009"</f>
        <v>15/06/2009</v>
      </c>
      <c r="B13" t="str">
        <f>"8.0424"</f>
        <v>8.0424</v>
      </c>
      <c r="C13" t="str">
        <f>"8.0895"</f>
        <v>8.0895</v>
      </c>
    </row>
    <row r="14" spans="1:3" x14ac:dyDescent="0.25">
      <c r="A14" t="str">
        <f>"16/06/2009"</f>
        <v>16/06/2009</v>
      </c>
      <c r="B14" t="str">
        <f>"8.1454"</f>
        <v>8.1454</v>
      </c>
      <c r="C14" t="str">
        <f>"8.1956"</f>
        <v>8.1956</v>
      </c>
    </row>
    <row r="15" spans="1:3" x14ac:dyDescent="0.25">
      <c r="A15" t="str">
        <f>"17/06/2009"</f>
        <v>17/06/2009</v>
      </c>
      <c r="B15" t="str">
        <f>"8.0898"</f>
        <v>8.0898</v>
      </c>
      <c r="C15" t="str">
        <f>"8.1404"</f>
        <v>8.1404</v>
      </c>
    </row>
    <row r="16" spans="1:3" x14ac:dyDescent="0.25">
      <c r="A16" t="str">
        <f>"18/06/2009"</f>
        <v>18/06/2009</v>
      </c>
      <c r="B16" t="str">
        <f>"8.0611"</f>
        <v>8.0611</v>
      </c>
      <c r="C16" t="str">
        <f>"8.1102"</f>
        <v>8.1102</v>
      </c>
    </row>
    <row r="17" spans="1:3" x14ac:dyDescent="0.25">
      <c r="A17" t="str">
        <f>"19/06/2009"</f>
        <v>19/06/2009</v>
      </c>
      <c r="B17" t="str">
        <f>"8.1675"</f>
        <v>8.1675</v>
      </c>
      <c r="C17" t="str">
        <f>"8.2145"</f>
        <v>8.2145</v>
      </c>
    </row>
    <row r="18" spans="1:3" x14ac:dyDescent="0.25">
      <c r="A18" t="str">
        <f>"22/06/2009"</f>
        <v>22/06/2009</v>
      </c>
      <c r="B18" t="str">
        <f>"8.1297"</f>
        <v>8.1297</v>
      </c>
      <c r="C18" t="str">
        <f>"8.1772"</f>
        <v>8.1772</v>
      </c>
    </row>
    <row r="19" spans="1:3" x14ac:dyDescent="0.25">
      <c r="A19" t="str">
        <f>"23/06/2009"</f>
        <v>23/06/2009</v>
      </c>
      <c r="B19" t="str">
        <f>"8.239"</f>
        <v>8.239</v>
      </c>
      <c r="C19" t="str">
        <f>"8.2871"</f>
        <v>8.2871</v>
      </c>
    </row>
    <row r="20" spans="1:3" x14ac:dyDescent="0.25">
      <c r="A20" t="str">
        <f>"24/06/2009"</f>
        <v>24/06/2009</v>
      </c>
      <c r="B20" t="str">
        <f>"8.1857"</f>
        <v>8.1857</v>
      </c>
      <c r="C20" t="str">
        <f>"8.2362"</f>
        <v>8.2362</v>
      </c>
    </row>
    <row r="21" spans="1:3" x14ac:dyDescent="0.25">
      <c r="A21" t="str">
        <f>"25/06/2009"</f>
        <v>25/06/2009</v>
      </c>
      <c r="B21" t="str">
        <f>"8.0812"</f>
        <v>8.0812</v>
      </c>
      <c r="C21" t="str">
        <f>"8.13"</f>
        <v>8.13</v>
      </c>
    </row>
    <row r="22" spans="1:3" x14ac:dyDescent="0.25">
      <c r="A22" t="str">
        <f>"26/06/2009"</f>
        <v>26/06/2009</v>
      </c>
      <c r="B22" t="str">
        <f>"8.0265"</f>
        <v>8.0265</v>
      </c>
      <c r="C22" t="str">
        <f>"8.0782"</f>
        <v>8.0782</v>
      </c>
    </row>
    <row r="23" spans="1:3" x14ac:dyDescent="0.25">
      <c r="A23" t="str">
        <f>"29/06/2009"</f>
        <v>29/06/2009</v>
      </c>
      <c r="B23" t="str">
        <f>"7.9462"</f>
        <v>7.9462</v>
      </c>
      <c r="C23" t="str">
        <f>"7.9972"</f>
        <v>7.9972</v>
      </c>
    </row>
    <row r="24" spans="1:3" x14ac:dyDescent="0.25">
      <c r="A24" t="str">
        <f>"30/06/2009"</f>
        <v>30/06/2009</v>
      </c>
      <c r="B24" t="str">
        <f>"7.8364"</f>
        <v>7.8364</v>
      </c>
      <c r="C24" t="str">
        <f>"7.8892"</f>
        <v>7.8892</v>
      </c>
    </row>
    <row r="25" spans="1:3" x14ac:dyDescent="0.25">
      <c r="A25" t="str">
        <f>"01/07/2009"</f>
        <v>01/07/2009</v>
      </c>
      <c r="B25" t="str">
        <f>"7.7815"</f>
        <v>7.7815</v>
      </c>
      <c r="C25" t="str">
        <f>"7.8319"</f>
        <v>7.8319</v>
      </c>
    </row>
    <row r="26" spans="1:3" x14ac:dyDescent="0.25">
      <c r="A26" t="str">
        <f>"03/07/2009"</f>
        <v>03/07/2009</v>
      </c>
      <c r="B26" t="str">
        <f>"7.8788"</f>
        <v>7.8788</v>
      </c>
      <c r="C26" t="str">
        <f>"7.9285"</f>
        <v>7.9285</v>
      </c>
    </row>
    <row r="27" spans="1:3" x14ac:dyDescent="0.25">
      <c r="A27" t="str">
        <f>"06/07/2009"</f>
        <v>06/07/2009</v>
      </c>
      <c r="B27" t="str">
        <f>"7.9673"</f>
        <v>7.9673</v>
      </c>
      <c r="C27" t="str">
        <f>"8.0173"</f>
        <v>8.0173</v>
      </c>
    </row>
    <row r="28" spans="1:3" x14ac:dyDescent="0.25">
      <c r="A28" t="str">
        <f>"07/07/2009"</f>
        <v>07/07/2009</v>
      </c>
      <c r="B28" t="str">
        <f>"7.9872"</f>
        <v>7.9872</v>
      </c>
      <c r="C28" t="str">
        <f>"8.0404"</f>
        <v>8.0404</v>
      </c>
    </row>
    <row r="29" spans="1:3" x14ac:dyDescent="0.25">
      <c r="A29" t="str">
        <f>"08/07/2009"</f>
        <v>08/07/2009</v>
      </c>
      <c r="B29" t="str">
        <f>"8.13"</f>
        <v>8.13</v>
      </c>
      <c r="C29" t="str">
        <f>"8.1829"</f>
        <v>8.1829</v>
      </c>
    </row>
    <row r="30" spans="1:3" x14ac:dyDescent="0.25">
      <c r="A30" t="str">
        <f>"09/07/2009"</f>
        <v>09/07/2009</v>
      </c>
      <c r="B30" t="str">
        <f>"8.1998"</f>
        <v>8.1998</v>
      </c>
      <c r="C30" t="str">
        <f>"8.2521"</f>
        <v>8.2521</v>
      </c>
    </row>
    <row r="31" spans="1:3" x14ac:dyDescent="0.25">
      <c r="A31" t="str">
        <f>"10/07/2009"</f>
        <v>10/07/2009</v>
      </c>
      <c r="B31" t="str">
        <f>"8.1513"</f>
        <v>8.1513</v>
      </c>
      <c r="C31" t="str">
        <f>"8.2034"</f>
        <v>8.2034</v>
      </c>
    </row>
    <row r="32" spans="1:3" x14ac:dyDescent="0.25">
      <c r="A32" t="str">
        <f>"13/07/2009"</f>
        <v>13/07/2009</v>
      </c>
      <c r="B32" t="str">
        <f>"8.241"</f>
        <v>8.241</v>
      </c>
      <c r="C32" t="str">
        <f>"8.2932"</f>
        <v>8.2932</v>
      </c>
    </row>
    <row r="33" spans="1:3" x14ac:dyDescent="0.25">
      <c r="A33" t="str">
        <f>"14/07/2009"</f>
        <v>14/07/2009</v>
      </c>
      <c r="B33" t="str">
        <f>"8.2605"</f>
        <v>8.2605</v>
      </c>
      <c r="C33" t="str">
        <f>"8.3171"</f>
        <v>8.3171</v>
      </c>
    </row>
    <row r="34" spans="1:3" x14ac:dyDescent="0.25">
      <c r="A34" t="str">
        <f>"15/07/2009"</f>
        <v>15/07/2009</v>
      </c>
      <c r="B34" t="str">
        <f>"8.2065"</f>
        <v>8.2065</v>
      </c>
      <c r="C34" t="str">
        <f>"8.2588"</f>
        <v>8.2588</v>
      </c>
    </row>
    <row r="35" spans="1:3" x14ac:dyDescent="0.25">
      <c r="A35" t="str">
        <f>"16/07/2009"</f>
        <v>16/07/2009</v>
      </c>
      <c r="B35" t="str">
        <f>"8.169"</f>
        <v>8.169</v>
      </c>
      <c r="C35" t="str">
        <f>"8.2206"</f>
        <v>8.2206</v>
      </c>
    </row>
    <row r="36" spans="1:3" x14ac:dyDescent="0.25">
      <c r="A36" t="str">
        <f>"17/07/2009"</f>
        <v>17/07/2009</v>
      </c>
      <c r="B36" t="str">
        <f>"8.13"</f>
        <v>8.13</v>
      </c>
      <c r="C36" t="str">
        <f>"8.182"</f>
        <v>8.182</v>
      </c>
    </row>
    <row r="37" spans="1:3" x14ac:dyDescent="0.25">
      <c r="A37" t="str">
        <f>"20/07/2009"</f>
        <v>20/07/2009</v>
      </c>
      <c r="B37" t="str">
        <f>"8.0642"</f>
        <v>8.0642</v>
      </c>
      <c r="C37" t="str">
        <f>"8.1166"</f>
        <v>8.1166</v>
      </c>
    </row>
    <row r="38" spans="1:3" x14ac:dyDescent="0.25">
      <c r="A38" t="str">
        <f>"21/07/2009"</f>
        <v>21/07/2009</v>
      </c>
      <c r="B38" t="str">
        <f>"7.9075"</f>
        <v>7.9075</v>
      </c>
      <c r="C38" t="str">
        <f>"7.9623"</f>
        <v>7.9623</v>
      </c>
    </row>
    <row r="39" spans="1:3" x14ac:dyDescent="0.25">
      <c r="A39" t="str">
        <f>"22/07/2009"</f>
        <v>22/07/2009</v>
      </c>
      <c r="B39" t="str">
        <f>"7.858"</f>
        <v>7.858</v>
      </c>
      <c r="C39" t="str">
        <f>"7.9099"</f>
        <v>7.9099</v>
      </c>
    </row>
    <row r="40" spans="1:3" x14ac:dyDescent="0.25">
      <c r="A40" t="str">
        <f>"23/07/2009"</f>
        <v>23/07/2009</v>
      </c>
      <c r="B40" t="str">
        <f>"7.759"</f>
        <v>7.759</v>
      </c>
      <c r="C40" t="str">
        <f>"7.8091"</f>
        <v>7.8091</v>
      </c>
    </row>
    <row r="41" spans="1:3" x14ac:dyDescent="0.25">
      <c r="A41" t="str">
        <f>"24/07/2009"</f>
        <v>24/07/2009</v>
      </c>
      <c r="B41" t="str">
        <f>"7.747"</f>
        <v>7.747</v>
      </c>
      <c r="C41" t="str">
        <f>"7.7965"</f>
        <v>7.7965</v>
      </c>
    </row>
    <row r="42" spans="1:3" x14ac:dyDescent="0.25">
      <c r="A42" t="str">
        <f>"27/07/2009"</f>
        <v>27/07/2009</v>
      </c>
      <c r="B42" t="str">
        <f>"7.7622"</f>
        <v>7.7622</v>
      </c>
      <c r="C42" t="str">
        <f>"7.8112"</f>
        <v>7.8112</v>
      </c>
    </row>
    <row r="43" spans="1:3" x14ac:dyDescent="0.25">
      <c r="A43" t="str">
        <f>"28/07/2009"</f>
        <v>28/07/2009</v>
      </c>
      <c r="B43" t="str">
        <f>"7.8111"</f>
        <v>7.8111</v>
      </c>
      <c r="C43" t="str">
        <f>"7.8626"</f>
        <v>7.8626</v>
      </c>
    </row>
    <row r="44" spans="1:3" x14ac:dyDescent="0.25">
      <c r="A44" t="str">
        <f>"29/07/2009"</f>
        <v>29/07/2009</v>
      </c>
      <c r="B44" t="str">
        <f>"7.8908"</f>
        <v>7.8908</v>
      </c>
      <c r="C44" t="str">
        <f>"7.9409"</f>
        <v>7.9409</v>
      </c>
    </row>
    <row r="45" spans="1:3" x14ac:dyDescent="0.25">
      <c r="A45" t="str">
        <f>"30/07/2009"</f>
        <v>30/07/2009</v>
      </c>
      <c r="B45" t="str">
        <f>"7.9249"</f>
        <v>7.9249</v>
      </c>
      <c r="C45" t="str">
        <f>"7.9751"</f>
        <v>7.9751</v>
      </c>
    </row>
    <row r="46" spans="1:3" x14ac:dyDescent="0.25">
      <c r="A46" t="str">
        <f>"31/07/2009"</f>
        <v>31/07/2009</v>
      </c>
      <c r="B46" t="str">
        <f>"7.8249"</f>
        <v>7.8249</v>
      </c>
      <c r="C46" t="str">
        <f>"7.8741"</f>
        <v>7.8741</v>
      </c>
    </row>
    <row r="47" spans="1:3" x14ac:dyDescent="0.25">
      <c r="A47" t="str">
        <f>"03/08/2009"</f>
        <v>03/08/2009</v>
      </c>
      <c r="B47" t="str">
        <f>"7.7977"</f>
        <v>7.7977</v>
      </c>
      <c r="C47" t="str">
        <f>"7.8463"</f>
        <v>7.8463</v>
      </c>
    </row>
    <row r="48" spans="1:3" x14ac:dyDescent="0.25">
      <c r="A48" t="str">
        <f>"04/08/2009"</f>
        <v>04/08/2009</v>
      </c>
      <c r="B48" t="str">
        <f>"7.7653"</f>
        <v>7.7653</v>
      </c>
      <c r="C48" t="str">
        <f>"7.8171"</f>
        <v>7.8171</v>
      </c>
    </row>
    <row r="49" spans="1:3" x14ac:dyDescent="0.25">
      <c r="A49" t="str">
        <f>"05/08/2009"</f>
        <v>05/08/2009</v>
      </c>
      <c r="B49" t="str">
        <f>"7.8562"</f>
        <v>7.8562</v>
      </c>
      <c r="C49" t="str">
        <f>"7.9066"</f>
        <v>7.9066</v>
      </c>
    </row>
    <row r="50" spans="1:3" x14ac:dyDescent="0.25">
      <c r="A50" t="str">
        <f>"06/08/2009"</f>
        <v>06/08/2009</v>
      </c>
      <c r="B50" t="str">
        <f>"7.94"</f>
        <v>7.94</v>
      </c>
      <c r="C50" t="str">
        <f>"7.9901"</f>
        <v>7.9901</v>
      </c>
    </row>
    <row r="51" spans="1:3" x14ac:dyDescent="0.25">
      <c r="A51" t="str">
        <f>"07/08/2009"</f>
        <v>07/08/2009</v>
      </c>
      <c r="B51" t="str">
        <f>"8.0612"</f>
        <v>8.0612</v>
      </c>
      <c r="C51" t="str">
        <f>"8.1134"</f>
        <v>8.1134</v>
      </c>
    </row>
    <row r="52" spans="1:3" x14ac:dyDescent="0.25">
      <c r="A52" t="str">
        <f>"10/08/2009"</f>
        <v>10/08/2009</v>
      </c>
      <c r="B52" t="str">
        <f>"8.00"</f>
        <v>8.00</v>
      </c>
      <c r="C52" t="str">
        <f>"8.0535"</f>
        <v>8.0535</v>
      </c>
    </row>
    <row r="53" spans="1:3" x14ac:dyDescent="0.25">
      <c r="A53" t="str">
        <f>"11/08/2009"</f>
        <v>11/08/2009</v>
      </c>
      <c r="B53" t="str">
        <f>"8.1218"</f>
        <v>8.1218</v>
      </c>
      <c r="C53" t="str">
        <f>"8.1753"</f>
        <v>8.1753</v>
      </c>
    </row>
    <row r="54" spans="1:3" x14ac:dyDescent="0.25">
      <c r="A54" t="str">
        <f>"12/08/2009"</f>
        <v>12/08/2009</v>
      </c>
      <c r="B54" t="str">
        <f>"8.1363"</f>
        <v>8.1363</v>
      </c>
      <c r="C54" t="str">
        <f>"8.188"</f>
        <v>8.188</v>
      </c>
    </row>
    <row r="55" spans="1:3" x14ac:dyDescent="0.25">
      <c r="A55" t="str">
        <f>"13/08/2009"</f>
        <v>13/08/2009</v>
      </c>
      <c r="B55" t="str">
        <f>"8.0563"</f>
        <v>8.0563</v>
      </c>
      <c r="C55" t="str">
        <f>"8.1072"</f>
        <v>8.1072</v>
      </c>
    </row>
    <row r="56" spans="1:3" x14ac:dyDescent="0.25">
      <c r="A56" t="str">
        <f>"14/08/2009"</f>
        <v>14/08/2009</v>
      </c>
      <c r="B56" t="str">
        <f>"8.0128"</f>
        <v>8.0128</v>
      </c>
      <c r="C56" t="str">
        <f>"8.0612"</f>
        <v>8.0612</v>
      </c>
    </row>
    <row r="57" spans="1:3" x14ac:dyDescent="0.25">
      <c r="A57" t="str">
        <f>"17/08/2009"</f>
        <v>17/08/2009</v>
      </c>
      <c r="B57" t="str">
        <f>"8.1382"</f>
        <v>8.1382</v>
      </c>
      <c r="C57" t="str">
        <f>"8.1869"</f>
        <v>8.1869</v>
      </c>
    </row>
    <row r="58" spans="1:3" x14ac:dyDescent="0.25">
      <c r="A58" t="str">
        <f>"18/08/2009"</f>
        <v>18/08/2009</v>
      </c>
      <c r="B58" t="str">
        <f>"8.1211"</f>
        <v>8.1211</v>
      </c>
      <c r="C58" t="str">
        <f>"8.174"</f>
        <v>8.174</v>
      </c>
    </row>
    <row r="59" spans="1:3" x14ac:dyDescent="0.25">
      <c r="A59" t="str">
        <f>"20/08/2009"</f>
        <v>20/08/2009</v>
      </c>
      <c r="B59" t="str">
        <f>"8.0277"</f>
        <v>8.0277</v>
      </c>
      <c r="C59" t="str">
        <f>"8.0788"</f>
        <v>8.0788</v>
      </c>
    </row>
    <row r="60" spans="1:3" x14ac:dyDescent="0.25">
      <c r="A60" t="str">
        <f>"21/08/2009"</f>
        <v>21/08/2009</v>
      </c>
      <c r="B60" t="str">
        <f>"7.9795"</f>
        <v>7.9795</v>
      </c>
      <c r="C60" t="str">
        <f>"8.0282"</f>
        <v>8.0282</v>
      </c>
    </row>
    <row r="61" spans="1:3" x14ac:dyDescent="0.25">
      <c r="A61" t="str">
        <f>"24/08/2009"</f>
        <v>24/08/2009</v>
      </c>
      <c r="B61" t="str">
        <f>"7.8463"</f>
        <v>7.8463</v>
      </c>
      <c r="C61" t="str">
        <f>"7.8944"</f>
        <v>7.8944</v>
      </c>
    </row>
    <row r="62" spans="1:3" x14ac:dyDescent="0.25">
      <c r="A62" t="str">
        <f>"25/08/2009"</f>
        <v>25/08/2009</v>
      </c>
      <c r="B62" t="str">
        <f>"7.8617"</f>
        <v>7.8617</v>
      </c>
      <c r="C62" t="str">
        <f>"7.9117"</f>
        <v>7.9117</v>
      </c>
    </row>
    <row r="63" spans="1:3" x14ac:dyDescent="0.25">
      <c r="A63" t="str">
        <f>"26/08/2009"</f>
        <v>26/08/2009</v>
      </c>
      <c r="B63" t="str">
        <f>"7.8478"</f>
        <v>7.8478</v>
      </c>
      <c r="C63" t="str">
        <f>"7.8957"</f>
        <v>7.8957</v>
      </c>
    </row>
    <row r="64" spans="1:3" x14ac:dyDescent="0.25">
      <c r="A64" t="str">
        <f>"27/08/2009"</f>
        <v>27/08/2009</v>
      </c>
      <c r="B64" t="str">
        <f>"7.8859"</f>
        <v>7.8859</v>
      </c>
      <c r="C64" t="str">
        <f>"7.9323"</f>
        <v>7.9323</v>
      </c>
    </row>
    <row r="65" spans="1:3" x14ac:dyDescent="0.25">
      <c r="A65" t="str">
        <f>"28/08/2009"</f>
        <v>28/08/2009</v>
      </c>
      <c r="B65" t="str">
        <f>"7.7962"</f>
        <v>7.7962</v>
      </c>
      <c r="C65" t="str">
        <f>"7.8424"</f>
        <v>7.8424</v>
      </c>
    </row>
    <row r="66" spans="1:3" x14ac:dyDescent="0.25">
      <c r="A66" t="str">
        <f>"31/08/2009"</f>
        <v>31/08/2009</v>
      </c>
      <c r="B66" t="str">
        <f>"7.8189"</f>
        <v>7.8189</v>
      </c>
      <c r="C66" t="str">
        <f>"7.8648"</f>
        <v>7.8648</v>
      </c>
    </row>
    <row r="67" spans="1:3" x14ac:dyDescent="0.25">
      <c r="A67" t="str">
        <f>"01/09/2009"</f>
        <v>01/09/2009</v>
      </c>
      <c r="B67" t="str">
        <f>"7.7916"</f>
        <v>7.7916</v>
      </c>
      <c r="C67" t="str">
        <f>"7.8363"</f>
        <v>7.8363</v>
      </c>
    </row>
    <row r="68" spans="1:3" x14ac:dyDescent="0.25">
      <c r="A68" t="str">
        <f>"02/09/2009"</f>
        <v>02/09/2009</v>
      </c>
      <c r="B68" t="str">
        <f>"7.9009"</f>
        <v>7.9009</v>
      </c>
      <c r="C68" t="str">
        <f>"7.9482"</f>
        <v>7.9482</v>
      </c>
    </row>
    <row r="69" spans="1:3" x14ac:dyDescent="0.25">
      <c r="A69" t="str">
        <f>"03/09/2009"</f>
        <v>03/09/2009</v>
      </c>
      <c r="B69" t="str">
        <f>"7.8227"</f>
        <v>7.8227</v>
      </c>
      <c r="C69" t="str">
        <f>"7.8701"</f>
        <v>7.8701</v>
      </c>
    </row>
    <row r="70" spans="1:3" x14ac:dyDescent="0.25">
      <c r="A70" t="str">
        <f>"04/09/2009"</f>
        <v>04/09/2009</v>
      </c>
      <c r="B70" t="str">
        <f>"7.6987"</f>
        <v>7.6987</v>
      </c>
      <c r="C70" t="str">
        <f>"7.7439"</f>
        <v>7.7439</v>
      </c>
    </row>
    <row r="71" spans="1:3" x14ac:dyDescent="0.25">
      <c r="A71" t="str">
        <f>"07/09/2009"</f>
        <v>07/09/2009</v>
      </c>
      <c r="B71" t="str">
        <f>"7.6523"</f>
        <v>7.6523</v>
      </c>
      <c r="C71" t="str">
        <f>"7.6972"</f>
        <v>7.6972</v>
      </c>
    </row>
    <row r="72" spans="1:3" x14ac:dyDescent="0.25">
      <c r="A72" t="str">
        <f>"08/09/2009"</f>
        <v>08/09/2009</v>
      </c>
      <c r="B72" t="str">
        <f>"7.6149"</f>
        <v>7.6149</v>
      </c>
      <c r="C72" t="str">
        <f>"7.659"</f>
        <v>7.659</v>
      </c>
    </row>
    <row r="73" spans="1:3" x14ac:dyDescent="0.25">
      <c r="A73" t="str">
        <f>"09/09/2009"</f>
        <v>09/09/2009</v>
      </c>
      <c r="B73" t="str">
        <f>"7.546"</f>
        <v>7.546</v>
      </c>
      <c r="C73" t="str">
        <f>"7.595"</f>
        <v>7.595</v>
      </c>
    </row>
    <row r="74" spans="1:3" x14ac:dyDescent="0.25">
      <c r="A74" t="str">
        <f>"10/09/2009"</f>
        <v>10/09/2009</v>
      </c>
      <c r="B74" t="str">
        <f>"7.5628"</f>
        <v>7.5628</v>
      </c>
      <c r="C74" t="str">
        <f>"7.6079"</f>
        <v>7.6079</v>
      </c>
    </row>
    <row r="75" spans="1:3" x14ac:dyDescent="0.25">
      <c r="A75" t="str">
        <f>"11/09/2009"</f>
        <v>11/09/2009</v>
      </c>
      <c r="B75" t="str">
        <f>"7.5778"</f>
        <v>7.5778</v>
      </c>
      <c r="C75" t="str">
        <f>"7.6258"</f>
        <v>7.6258</v>
      </c>
    </row>
    <row r="76" spans="1:3" x14ac:dyDescent="0.25">
      <c r="A76" t="str">
        <f>"14/09/2009"</f>
        <v>14/09/2009</v>
      </c>
      <c r="B76" t="str">
        <f>"7.5347"</f>
        <v>7.5347</v>
      </c>
      <c r="C76" t="str">
        <f>"7.5811"</f>
        <v>7.5811</v>
      </c>
    </row>
    <row r="77" spans="1:3" x14ac:dyDescent="0.25">
      <c r="A77" t="str">
        <f>"15/09/2009"</f>
        <v>15/09/2009</v>
      </c>
      <c r="B77" t="str">
        <f>"7.4828"</f>
        <v>7.4828</v>
      </c>
      <c r="C77" t="str">
        <f>"7.5263"</f>
        <v>7.5263</v>
      </c>
    </row>
    <row r="78" spans="1:3" x14ac:dyDescent="0.25">
      <c r="A78" t="str">
        <f>"16/09/2009"</f>
        <v>16/09/2009</v>
      </c>
      <c r="B78" t="str">
        <f>"7.4168"</f>
        <v>7.4168</v>
      </c>
      <c r="C78" t="str">
        <f>"7.4629"</f>
        <v>7.4629</v>
      </c>
    </row>
    <row r="79" spans="1:3" x14ac:dyDescent="0.25">
      <c r="A79" t="str">
        <f>"17/09/2009"</f>
        <v>17/09/2009</v>
      </c>
      <c r="B79" t="str">
        <f>"7.355"</f>
        <v>7.355</v>
      </c>
      <c r="C79" t="str">
        <f>"7.3958"</f>
        <v>7.3958</v>
      </c>
    </row>
    <row r="80" spans="1:3" x14ac:dyDescent="0.25">
      <c r="A80" t="str">
        <f>"18/09/2009"</f>
        <v>18/09/2009</v>
      </c>
      <c r="B80" t="str">
        <f>"7.4293"</f>
        <v>7.4293</v>
      </c>
      <c r="C80" t="str">
        <f>"7.4723"</f>
        <v>7.4723</v>
      </c>
    </row>
    <row r="81" spans="1:3" x14ac:dyDescent="0.25">
      <c r="A81" t="str">
        <f>"22/09/2009"</f>
        <v>22/09/2009</v>
      </c>
      <c r="B81" t="str">
        <f>"7.4728"</f>
        <v>7.4728</v>
      </c>
      <c r="C81" t="str">
        <f>"7.5144"</f>
        <v>7.5144</v>
      </c>
    </row>
    <row r="82" spans="1:3" x14ac:dyDescent="0.25">
      <c r="A82" t="str">
        <f>"23/09/2009"</f>
        <v>23/09/2009</v>
      </c>
      <c r="B82" t="str">
        <f>"7.3883"</f>
        <v>7.3883</v>
      </c>
      <c r="C82" t="str">
        <f>"7.4313"</f>
        <v>7.4313</v>
      </c>
    </row>
    <row r="83" spans="1:3" x14ac:dyDescent="0.25">
      <c r="A83" t="str">
        <f>"24/09/2009"</f>
        <v>24/09/2009</v>
      </c>
      <c r="B83" t="str">
        <f>"7.4692"</f>
        <v>7.4692</v>
      </c>
      <c r="C83" t="str">
        <f>"7.5157"</f>
        <v>7.5157</v>
      </c>
    </row>
    <row r="84" spans="1:3" x14ac:dyDescent="0.25">
      <c r="A84" t="str">
        <f>"25/09/2009"</f>
        <v>25/09/2009</v>
      </c>
      <c r="B84" t="str">
        <f>"7.4949"</f>
        <v>7.4949</v>
      </c>
      <c r="C84" t="str">
        <f>"7.5398"</f>
        <v>7.5398</v>
      </c>
    </row>
    <row r="85" spans="1:3" x14ac:dyDescent="0.25">
      <c r="A85" t="str">
        <f>"29/09/2009"</f>
        <v>29/09/2009</v>
      </c>
      <c r="B85" t="str">
        <f>"7.4406"</f>
        <v>7.4406</v>
      </c>
      <c r="C85" t="str">
        <f>"7.4842"</f>
        <v>7.4842</v>
      </c>
    </row>
    <row r="86" spans="1:3" x14ac:dyDescent="0.25">
      <c r="A86" t="str">
        <f>"01/10/2009"</f>
        <v>01/10/2009</v>
      </c>
      <c r="B86" t="str">
        <f>"7.5437"</f>
        <v>7.5437</v>
      </c>
      <c r="C86" t="str">
        <f>"7.5888"</f>
        <v>7.5888</v>
      </c>
    </row>
    <row r="87" spans="1:3" x14ac:dyDescent="0.25">
      <c r="A87" t="str">
        <f>"05/10/2009"</f>
        <v>05/10/2009</v>
      </c>
      <c r="B87" t="str">
        <f>"7.62"</f>
        <v>7.62</v>
      </c>
      <c r="C87" t="str">
        <f>"7.6649"</f>
        <v>7.6649</v>
      </c>
    </row>
    <row r="88" spans="1:3" x14ac:dyDescent="0.25">
      <c r="A88" t="str">
        <f>"06/10/2009"</f>
        <v>06/10/2009</v>
      </c>
      <c r="B88" t="str">
        <f>"7.495"</f>
        <v>7.495</v>
      </c>
      <c r="C88" t="str">
        <f>"7.542"</f>
        <v>7.542</v>
      </c>
    </row>
    <row r="89" spans="1:3" x14ac:dyDescent="0.25">
      <c r="A89" t="str">
        <f>"07/10/2009"</f>
        <v>07/10/2009</v>
      </c>
      <c r="B89" t="str">
        <f>"7.4525"</f>
        <v>7.4525</v>
      </c>
      <c r="C89" t="str">
        <f>"7.497"</f>
        <v>7.497</v>
      </c>
    </row>
    <row r="90" spans="1:3" x14ac:dyDescent="0.25">
      <c r="A90" t="str">
        <f>"08/10/2009"</f>
        <v>08/10/2009</v>
      </c>
      <c r="B90" t="str">
        <f>"7.3847"</f>
        <v>7.3847</v>
      </c>
      <c r="C90" t="str">
        <f>"7.4292"</f>
        <v>7.4292</v>
      </c>
    </row>
    <row r="91" spans="1:3" x14ac:dyDescent="0.25">
      <c r="A91" t="str">
        <f>"09/10/2009"</f>
        <v>09/10/2009</v>
      </c>
      <c r="B91" t="str">
        <f>"7.4049"</f>
        <v>7.4049</v>
      </c>
      <c r="C91" t="str">
        <f>"7.4489"</f>
        <v>7.4489</v>
      </c>
    </row>
    <row r="92" spans="1:3" x14ac:dyDescent="0.25">
      <c r="A92" t="str">
        <f>"12/10/2009"</f>
        <v>12/10/2009</v>
      </c>
      <c r="B92" t="str">
        <f>"7.43"</f>
        <v>7.43</v>
      </c>
      <c r="C92" t="str">
        <f>"7.475"</f>
        <v>7.475</v>
      </c>
    </row>
    <row r="93" spans="1:3" x14ac:dyDescent="0.25">
      <c r="A93" t="str">
        <f>"14/10/2009"</f>
        <v>14/10/2009</v>
      </c>
      <c r="B93" t="str">
        <f>"7.3285"</f>
        <v>7.3285</v>
      </c>
      <c r="C93" t="str">
        <f>"7.3725"</f>
        <v>7.3725</v>
      </c>
    </row>
    <row r="94" spans="1:3" x14ac:dyDescent="0.25">
      <c r="A94" t="str">
        <f>"15/10/2009"</f>
        <v>15/10/2009</v>
      </c>
      <c r="B94" t="str">
        <f>"7.255"</f>
        <v>7.255</v>
      </c>
      <c r="C94" t="str">
        <f>"7.2978"</f>
        <v>7.2978</v>
      </c>
    </row>
    <row r="95" spans="1:3" x14ac:dyDescent="0.25">
      <c r="A95" t="str">
        <f>"16/10/2009"</f>
        <v>16/10/2009</v>
      </c>
      <c r="B95" t="str">
        <f>"7.2875"</f>
        <v>7.2875</v>
      </c>
      <c r="C95" t="str">
        <f>"7.3308"</f>
        <v>7.3308</v>
      </c>
    </row>
    <row r="96" spans="1:3" x14ac:dyDescent="0.25">
      <c r="A96" t="str">
        <f>"20/10/2009"</f>
        <v>20/10/2009</v>
      </c>
      <c r="B96" t="str">
        <f>"7.334"</f>
        <v>7.334</v>
      </c>
      <c r="C96" t="str">
        <f>"7.3844"</f>
        <v>7.3844</v>
      </c>
    </row>
    <row r="97" spans="1:3" x14ac:dyDescent="0.25">
      <c r="A97" t="str">
        <f>"21/10/2009"</f>
        <v>21/10/2009</v>
      </c>
      <c r="B97" t="str">
        <f>"7.4106"</f>
        <v>7.4106</v>
      </c>
      <c r="C97" t="str">
        <f>"7.4597"</f>
        <v>7.4597</v>
      </c>
    </row>
    <row r="98" spans="1:3" x14ac:dyDescent="0.25">
      <c r="A98" t="str">
        <f>"22/10/2009"</f>
        <v>22/10/2009</v>
      </c>
      <c r="B98" t="str">
        <f>"7.4253"</f>
        <v>7.4253</v>
      </c>
      <c r="C98" t="str">
        <f>"7.4687"</f>
        <v>7.4687</v>
      </c>
    </row>
    <row r="99" spans="1:3" x14ac:dyDescent="0.25">
      <c r="A99" t="str">
        <f>"23/10/2009"</f>
        <v>23/10/2009</v>
      </c>
      <c r="B99" t="str">
        <f>"7.43"</f>
        <v>7.43</v>
      </c>
      <c r="C99" t="str">
        <f>"7.4755"</f>
        <v>7.4755</v>
      </c>
    </row>
    <row r="100" spans="1:3" x14ac:dyDescent="0.25">
      <c r="A100" t="str">
        <f>"26/10/2009"</f>
        <v>26/10/2009</v>
      </c>
      <c r="B100" t="str">
        <f>"7.493"</f>
        <v>7.493</v>
      </c>
      <c r="C100" t="str">
        <f>"7.5417"</f>
        <v>7.5417</v>
      </c>
    </row>
    <row r="101" spans="1:3" x14ac:dyDescent="0.25">
      <c r="A101" t="str">
        <f>"27/10/2009"</f>
        <v>27/10/2009</v>
      </c>
      <c r="B101" t="str">
        <f>"7.595"</f>
        <v>7.595</v>
      </c>
      <c r="C101" t="str">
        <f>"7.643"</f>
        <v>7.643</v>
      </c>
    </row>
    <row r="102" spans="1:3" x14ac:dyDescent="0.25">
      <c r="A102" t="str">
        <f>"28/10/2009"</f>
        <v>28/10/2009</v>
      </c>
      <c r="B102" t="str">
        <f>"7.6974"</f>
        <v>7.6974</v>
      </c>
      <c r="C102" t="str">
        <f>"7.7488"</f>
        <v>7.7488</v>
      </c>
    </row>
    <row r="103" spans="1:3" x14ac:dyDescent="0.25">
      <c r="A103" t="str">
        <f>"29/10/2009"</f>
        <v>29/10/2009</v>
      </c>
      <c r="B103" t="str">
        <f>"7.8144"</f>
        <v>7.8144</v>
      </c>
      <c r="C103" t="str">
        <f>"7.8648"</f>
        <v>7.8648</v>
      </c>
    </row>
    <row r="104" spans="1:3" x14ac:dyDescent="0.25">
      <c r="A104" t="str">
        <f>"30/10/2009"</f>
        <v>30/10/2009</v>
      </c>
      <c r="B104" t="str">
        <f>"7.755"</f>
        <v>7.755</v>
      </c>
      <c r="C104" t="str">
        <f>"7.8037"</f>
        <v>7.8037</v>
      </c>
    </row>
    <row r="105" spans="1:3" x14ac:dyDescent="0.25">
      <c r="A105" t="str">
        <f>"03/11/2009"</f>
        <v>03/11/2009</v>
      </c>
      <c r="B105" t="str">
        <f>"7.94"</f>
        <v>7.94</v>
      </c>
      <c r="C105" t="str">
        <f>"7.9847"</f>
        <v>7.9847</v>
      </c>
    </row>
    <row r="106" spans="1:3" x14ac:dyDescent="0.25">
      <c r="A106" t="str">
        <f>"04/11/2009"</f>
        <v>04/11/2009</v>
      </c>
      <c r="B106" t="str">
        <f>"7.8203"</f>
        <v>7.8203</v>
      </c>
      <c r="C106" t="str">
        <f>"7.8674"</f>
        <v>7.8674</v>
      </c>
    </row>
    <row r="107" spans="1:3" x14ac:dyDescent="0.25">
      <c r="A107" t="str">
        <f>"05/11/2009"</f>
        <v>05/11/2009</v>
      </c>
      <c r="B107" t="str">
        <f>"7.692"</f>
        <v>7.692</v>
      </c>
      <c r="C107" t="str">
        <f>"7.7363"</f>
        <v>7.7363</v>
      </c>
    </row>
    <row r="108" spans="1:3" x14ac:dyDescent="0.25">
      <c r="A108" t="str">
        <f>"06/11/2009"</f>
        <v>06/11/2009</v>
      </c>
      <c r="B108" t="str">
        <f>"7.6145"</f>
        <v>7.6145</v>
      </c>
      <c r="C108" t="str">
        <f>"7.6576"</f>
        <v>7.6576</v>
      </c>
    </row>
    <row r="109" spans="1:3" x14ac:dyDescent="0.25">
      <c r="A109" t="str">
        <f>"09/11/2009"</f>
        <v>09/11/2009</v>
      </c>
      <c r="B109" t="str">
        <f>"7.537"</f>
        <v>7.537</v>
      </c>
      <c r="C109" t="str">
        <f>"7.5798"</f>
        <v>7.5798</v>
      </c>
    </row>
    <row r="110" spans="1:3" x14ac:dyDescent="0.25">
      <c r="A110" t="str">
        <f>"10/11/2009"</f>
        <v>10/11/2009</v>
      </c>
      <c r="B110" t="str">
        <f>"7.4468"</f>
        <v>7.4468</v>
      </c>
      <c r="C110" t="str">
        <f>"7.492"</f>
        <v>7.492</v>
      </c>
    </row>
    <row r="111" spans="1:3" x14ac:dyDescent="0.25">
      <c r="A111" t="str">
        <f>"11/11/2009"</f>
        <v>11/11/2009</v>
      </c>
      <c r="B111" t="str">
        <f>"7.3884"</f>
        <v>7.3884</v>
      </c>
      <c r="C111" t="str">
        <f>"7.4335"</f>
        <v>7.4335</v>
      </c>
    </row>
    <row r="112" spans="1:3" x14ac:dyDescent="0.25">
      <c r="A112" t="str">
        <f>"12/11/2009"</f>
        <v>12/11/2009</v>
      </c>
      <c r="B112" t="str">
        <f>"7.3708"</f>
        <v>7.3708</v>
      </c>
      <c r="C112" t="str">
        <f>"7.4142"</f>
        <v>7.4142</v>
      </c>
    </row>
    <row r="113" spans="1:3" x14ac:dyDescent="0.25">
      <c r="A113" t="str">
        <f>"13/11/2009"</f>
        <v>13/11/2009</v>
      </c>
      <c r="B113" t="str">
        <f>"7.465"</f>
        <v>7.465</v>
      </c>
      <c r="C113" t="str">
        <f>"7.5087"</f>
        <v>7.5087</v>
      </c>
    </row>
    <row r="114" spans="1:3" x14ac:dyDescent="0.25">
      <c r="A114" t="str">
        <f>"16/11/2009"</f>
        <v>16/11/2009</v>
      </c>
      <c r="B114" t="str">
        <f>"7.4353"</f>
        <v>7.4353</v>
      </c>
      <c r="C114" t="str">
        <f>"7.4776"</f>
        <v>7.4776</v>
      </c>
    </row>
    <row r="115" spans="1:3" x14ac:dyDescent="0.25">
      <c r="A115" t="str">
        <f>"17/11/2009"</f>
        <v>17/11/2009</v>
      </c>
      <c r="B115" t="str">
        <f>"7.3933"</f>
        <v>7.3933</v>
      </c>
      <c r="C115" t="str">
        <f>"7.4387"</f>
        <v>7.4387</v>
      </c>
    </row>
    <row r="116" spans="1:3" x14ac:dyDescent="0.25">
      <c r="A116" t="str">
        <f>"18/11/2009"</f>
        <v>18/11/2009</v>
      </c>
      <c r="B116" t="str">
        <f>"7.4535"</f>
        <v>7.4535</v>
      </c>
      <c r="C116" t="str">
        <f>"7.5001"</f>
        <v>7.5001</v>
      </c>
    </row>
    <row r="117" spans="1:3" x14ac:dyDescent="0.25">
      <c r="A117" t="str">
        <f>"19/11/2009"</f>
        <v>19/11/2009</v>
      </c>
      <c r="B117" t="str">
        <f>"7.4996"</f>
        <v>7.4996</v>
      </c>
      <c r="C117" t="str">
        <f>"7.5437"</f>
        <v>7.5437</v>
      </c>
    </row>
    <row r="118" spans="1:3" x14ac:dyDescent="0.25">
      <c r="A118" t="str">
        <f>"20/11/2009"</f>
        <v>20/11/2009</v>
      </c>
      <c r="B118" t="str">
        <f>"7.5635"</f>
        <v>7.5635</v>
      </c>
      <c r="C118" t="str">
        <f>"7.612"</f>
        <v>7.612</v>
      </c>
    </row>
    <row r="119" spans="1:3" x14ac:dyDescent="0.25">
      <c r="A119" t="str">
        <f>"23/11/2009"</f>
        <v>23/11/2009</v>
      </c>
      <c r="B119" t="str">
        <f>"7.57"</f>
        <v>7.57</v>
      </c>
      <c r="C119" t="str">
        <f>"7.6138"</f>
        <v>7.6138</v>
      </c>
    </row>
    <row r="120" spans="1:3" x14ac:dyDescent="0.25">
      <c r="A120" t="str">
        <f>"24/11/2009"</f>
        <v>24/11/2009</v>
      </c>
      <c r="B120" t="str">
        <f>"7.5216"</f>
        <v>7.5216</v>
      </c>
      <c r="C120" t="str">
        <f>"7.5694"</f>
        <v>7.5694</v>
      </c>
    </row>
    <row r="121" spans="1:3" x14ac:dyDescent="0.25">
      <c r="A121" t="str">
        <f>"25/11/2009"</f>
        <v>25/11/2009</v>
      </c>
      <c r="B121" t="str">
        <f>"7.455"</f>
        <v>7.455</v>
      </c>
      <c r="C121" t="str">
        <f>"7.4999"</f>
        <v>7.4999</v>
      </c>
    </row>
    <row r="122" spans="1:3" x14ac:dyDescent="0.25">
      <c r="A122" t="str">
        <f>"26/11/2009"</f>
        <v>26/11/2009</v>
      </c>
      <c r="B122" t="str">
        <f>"7.365"</f>
        <v>7.365</v>
      </c>
      <c r="C122" t="str">
        <f>"7.4145"</f>
        <v>7.4145</v>
      </c>
    </row>
    <row r="123" spans="1:3" x14ac:dyDescent="0.25">
      <c r="A123" t="str">
        <f>"27/11/2009"</f>
        <v>27/11/2009</v>
      </c>
      <c r="B123" t="str">
        <f>"7.5471"</f>
        <v>7.5471</v>
      </c>
      <c r="C123" t="str">
        <f>"7.5928"</f>
        <v>7.5928</v>
      </c>
    </row>
    <row r="124" spans="1:3" x14ac:dyDescent="0.25">
      <c r="A124" t="str">
        <f>"30/11/2009"</f>
        <v>30/11/2009</v>
      </c>
      <c r="B124" t="str">
        <f>"7.3875"</f>
        <v>7.3875</v>
      </c>
      <c r="C124" t="str">
        <f>"7.4383"</f>
        <v>7.4383</v>
      </c>
    </row>
    <row r="125" spans="1:3" x14ac:dyDescent="0.25">
      <c r="A125" t="str">
        <f>"01/12/2009"</f>
        <v>01/12/2009</v>
      </c>
      <c r="B125" t="str">
        <f>"7.4186"</f>
        <v>7.4186</v>
      </c>
      <c r="C125" t="str">
        <f>"7.4671"</f>
        <v>7.4671</v>
      </c>
    </row>
    <row r="126" spans="1:3" x14ac:dyDescent="0.25">
      <c r="A126" t="str">
        <f>"02/12/2009"</f>
        <v>02/12/2009</v>
      </c>
      <c r="B126" t="str">
        <f>"7.308"</f>
        <v>7.308</v>
      </c>
      <c r="C126" t="str">
        <f>"7.3553"</f>
        <v>7.3553</v>
      </c>
    </row>
    <row r="127" spans="1:3" x14ac:dyDescent="0.25">
      <c r="A127" t="str">
        <f>"03/12/2009"</f>
        <v>03/12/2009</v>
      </c>
      <c r="B127" t="str">
        <f>"7.3245"</f>
        <v>7.3245</v>
      </c>
      <c r="C127" t="str">
        <f>"7.3715"</f>
        <v>7.3715</v>
      </c>
    </row>
    <row r="128" spans="1:3" x14ac:dyDescent="0.25">
      <c r="A128" t="str">
        <f>"04/12/2009"</f>
        <v>04/12/2009</v>
      </c>
      <c r="B128" t="str">
        <f>"7.429"</f>
        <v>7.429</v>
      </c>
      <c r="C128" t="str">
        <f>"7.4755"</f>
        <v>7.4755</v>
      </c>
    </row>
    <row r="129" spans="1:3" x14ac:dyDescent="0.25">
      <c r="A129" t="str">
        <f>"07/12/2009"</f>
        <v>07/12/2009</v>
      </c>
      <c r="B129" t="str">
        <f>"7.46"</f>
        <v>7.46</v>
      </c>
      <c r="C129" t="str">
        <f>"7.5077"</f>
        <v>7.5077</v>
      </c>
    </row>
    <row r="130" spans="1:3" x14ac:dyDescent="0.25">
      <c r="A130" t="str">
        <f>"08/12/2009"</f>
        <v>08/12/2009</v>
      </c>
      <c r="B130" t="str">
        <f>"7.485"</f>
        <v>7.485</v>
      </c>
      <c r="C130" t="str">
        <f>"7.5345"</f>
        <v>7.5345</v>
      </c>
    </row>
    <row r="131" spans="1:3" x14ac:dyDescent="0.25">
      <c r="A131" t="str">
        <f>"09/12/2009"</f>
        <v>09/12/2009</v>
      </c>
      <c r="B131" t="str">
        <f>"7.565"</f>
        <v>7.565</v>
      </c>
      <c r="C131" t="str">
        <f>"7.6137"</f>
        <v>7.6137</v>
      </c>
    </row>
    <row r="132" spans="1:3" x14ac:dyDescent="0.25">
      <c r="A132" t="str">
        <f>"10/12/2009"</f>
        <v>10/12/2009</v>
      </c>
      <c r="B132" t="str">
        <f>"7.5584"</f>
        <v>7.5584</v>
      </c>
      <c r="C132" t="str">
        <f>"7.6065"</f>
        <v>7.6065</v>
      </c>
    </row>
    <row r="133" spans="1:3" x14ac:dyDescent="0.25">
      <c r="A133" t="str">
        <f>"11/12/2009"</f>
        <v>11/12/2009</v>
      </c>
      <c r="B133" t="str">
        <f>"7.5448"</f>
        <v>7.5448</v>
      </c>
      <c r="C133" t="str">
        <f>"7.592"</f>
        <v>7.592</v>
      </c>
    </row>
    <row r="134" spans="1:3" x14ac:dyDescent="0.25">
      <c r="A134" t="str">
        <f>"14/12/2009"</f>
        <v>14/12/2009</v>
      </c>
      <c r="B134" t="str">
        <f>"7.5475"</f>
        <v>7.5475</v>
      </c>
      <c r="C134" t="str">
        <f>"7.595"</f>
        <v>7.595</v>
      </c>
    </row>
    <row r="135" spans="1:3" x14ac:dyDescent="0.25">
      <c r="A135" t="str">
        <f>"15/12/2009"</f>
        <v>15/12/2009</v>
      </c>
      <c r="B135" t="str">
        <f>"7.4205"</f>
        <v>7.4205</v>
      </c>
      <c r="C135" t="str">
        <f>"7.4702"</f>
        <v>7.4702</v>
      </c>
    </row>
    <row r="136" spans="1:3" x14ac:dyDescent="0.25">
      <c r="A136" t="str">
        <f>"16/12/2009"</f>
        <v>16/12/2009</v>
      </c>
      <c r="B136" t="str">
        <f>"7.4625"</f>
        <v>7.4625</v>
      </c>
      <c r="C136" t="str">
        <f>"7.5132"</f>
        <v>7.5132</v>
      </c>
    </row>
    <row r="137" spans="1:3" x14ac:dyDescent="0.25">
      <c r="A137" t="str">
        <f>"17/12/2009"</f>
        <v>17/12/2009</v>
      </c>
      <c r="B137" t="str">
        <f>"7.4756"</f>
        <v>7.4756</v>
      </c>
      <c r="C137" t="str">
        <f>"7.5258"</f>
        <v>7.5258</v>
      </c>
    </row>
    <row r="138" spans="1:3" x14ac:dyDescent="0.25">
      <c r="A138" t="str">
        <f>"18/12/2009"</f>
        <v>18/12/2009</v>
      </c>
      <c r="B138" t="str">
        <f>"7.5553"</f>
        <v>7.5553</v>
      </c>
      <c r="C138" t="str">
        <f>"7.6065"</f>
        <v>7.6065</v>
      </c>
    </row>
    <row r="139" spans="1:3" x14ac:dyDescent="0.25">
      <c r="A139" t="str">
        <f>"21/12/2009"</f>
        <v>21/12/2009</v>
      </c>
      <c r="B139" t="str">
        <f>"7.5847"</f>
        <v>7.5847</v>
      </c>
      <c r="C139" t="str">
        <f>"7.636"</f>
        <v>7.636</v>
      </c>
    </row>
    <row r="140" spans="1:3" x14ac:dyDescent="0.25">
      <c r="A140" t="str">
        <f>"22/12/2009"</f>
        <v>22/12/2009</v>
      </c>
      <c r="B140" t="str">
        <f>"7.7509"</f>
        <v>7.7509</v>
      </c>
      <c r="C140" t="str">
        <f>"7.8046"</f>
        <v>7.8046</v>
      </c>
    </row>
    <row r="141" spans="1:3" x14ac:dyDescent="0.25">
      <c r="A141" t="str">
        <f>"23/12/2009"</f>
        <v>23/12/2009</v>
      </c>
      <c r="B141" t="str">
        <f>"7.7306"</f>
        <v>7.7306</v>
      </c>
      <c r="C141" t="str">
        <f>"7.7837"</f>
        <v>7.7837</v>
      </c>
    </row>
    <row r="142" spans="1:3" x14ac:dyDescent="0.25">
      <c r="A142" t="str">
        <f>"24/12/2009"</f>
        <v>24/12/2009</v>
      </c>
      <c r="B142" t="str">
        <f>"7.5803"</f>
        <v>7.5803</v>
      </c>
      <c r="C142" t="str">
        <f>"7.6307"</f>
        <v>7.6307</v>
      </c>
    </row>
    <row r="143" spans="1:3" x14ac:dyDescent="0.25">
      <c r="A143" t="str">
        <f>"29/12/2009"</f>
        <v>29/12/2009</v>
      </c>
      <c r="B143" t="str">
        <f>"7.516"</f>
        <v>7.516</v>
      </c>
      <c r="C143" t="str">
        <f>"7.5405"</f>
        <v>7.5405</v>
      </c>
    </row>
    <row r="144" spans="1:3" x14ac:dyDescent="0.25">
      <c r="A144" t="str">
        <f>"30/12/2009"</f>
        <v>30/12/2009</v>
      </c>
      <c r="B144" t="str">
        <f>"7.4425"</f>
        <v>7.4425</v>
      </c>
      <c r="C144" t="str">
        <f>"7.4919"</f>
        <v>7.4919</v>
      </c>
    </row>
    <row r="145" spans="1:3" x14ac:dyDescent="0.25">
      <c r="A145" t="str">
        <f>"31/12/2009"</f>
        <v>31/12/2009</v>
      </c>
      <c r="B145" t="str">
        <f>"7.4106"</f>
        <v>7.4106</v>
      </c>
      <c r="C145" t="str">
        <f>"7.4549"</f>
        <v>7.4549</v>
      </c>
    </row>
    <row r="146" spans="1:3" x14ac:dyDescent="0.25">
      <c r="A146" t="str">
        <f>"01/01/2010"</f>
        <v>01/01/2010</v>
      </c>
      <c r="B146" t="str">
        <f>"7.409"</f>
        <v>7.409</v>
      </c>
      <c r="C146" t="str">
        <f>"7.4527"</f>
        <v>7.4527</v>
      </c>
    </row>
    <row r="147" spans="1:3" x14ac:dyDescent="0.25">
      <c r="A147" t="str">
        <f>"04/01/2010"</f>
        <v>04/01/2010</v>
      </c>
      <c r="B147" t="str">
        <f>"7.4481"</f>
        <v>7.4481</v>
      </c>
      <c r="C147" t="str">
        <f>"7.4923"</f>
        <v>7.4923</v>
      </c>
    </row>
    <row r="148" spans="1:3" x14ac:dyDescent="0.25">
      <c r="A148" t="str">
        <f>"05/01/2010"</f>
        <v>05/01/2010</v>
      </c>
      <c r="B148" t="str">
        <f>"7.3039"</f>
        <v>7.3039</v>
      </c>
      <c r="C148" t="str">
        <f>"7.3504"</f>
        <v>7.3504</v>
      </c>
    </row>
    <row r="149" spans="1:3" x14ac:dyDescent="0.25">
      <c r="A149" t="str">
        <f>"06/01/2010"</f>
        <v>06/01/2010</v>
      </c>
      <c r="B149" t="str">
        <f>"7.375"</f>
        <v>7.375</v>
      </c>
      <c r="C149" t="str">
        <f>"7.4199"</f>
        <v>7.4199</v>
      </c>
    </row>
    <row r="150" spans="1:3" x14ac:dyDescent="0.25">
      <c r="A150" t="str">
        <f>"07/01/2010"</f>
        <v>07/01/2010</v>
      </c>
      <c r="B150" t="str">
        <f>"7.31"</f>
        <v>7.31</v>
      </c>
      <c r="C150" t="str">
        <f>"7.354"</f>
        <v>7.354</v>
      </c>
    </row>
    <row r="151" spans="1:3" x14ac:dyDescent="0.25">
      <c r="A151" t="str">
        <f>"08/01/2010"</f>
        <v>08/01/2010</v>
      </c>
      <c r="B151" t="str">
        <f>"7.435"</f>
        <v>7.435</v>
      </c>
      <c r="C151" t="str">
        <f>"7.4795"</f>
        <v>7.4795</v>
      </c>
    </row>
    <row r="152" spans="1:3" x14ac:dyDescent="0.25">
      <c r="A152" t="str">
        <f>"11/01/2010"</f>
        <v>11/01/2010</v>
      </c>
      <c r="B152" t="str">
        <f>"7.3053"</f>
        <v>7.3053</v>
      </c>
      <c r="C152" t="str">
        <f>"7.3492"</f>
        <v>7.3492</v>
      </c>
    </row>
    <row r="153" spans="1:3" x14ac:dyDescent="0.25">
      <c r="A153" t="str">
        <f>"12/01/2010"</f>
        <v>12/01/2010</v>
      </c>
      <c r="B153" t="str">
        <f>"7.43"</f>
        <v>7.43</v>
      </c>
      <c r="C153" t="str">
        <f>"7.4774"</f>
        <v>7.4774</v>
      </c>
    </row>
    <row r="154" spans="1:3" x14ac:dyDescent="0.25">
      <c r="A154" t="str">
        <f>"13/01/2010"</f>
        <v>13/01/2010</v>
      </c>
      <c r="B154" t="str">
        <f>"7.4406"</f>
        <v>7.4406</v>
      </c>
      <c r="C154" t="str">
        <f>"7.4884"</f>
        <v>7.4884</v>
      </c>
    </row>
    <row r="155" spans="1:3" x14ac:dyDescent="0.25">
      <c r="A155" t="str">
        <f>"14/01/2010"</f>
        <v>14/01/2010</v>
      </c>
      <c r="B155" t="str">
        <f>"7.419"</f>
        <v>7.419</v>
      </c>
      <c r="C155" t="str">
        <f>"7.4648"</f>
        <v>7.4648</v>
      </c>
    </row>
    <row r="156" spans="1:3" x14ac:dyDescent="0.25">
      <c r="A156" t="str">
        <f>"15/01/2010"</f>
        <v>15/01/2010</v>
      </c>
      <c r="B156" t="str">
        <f>"7.4203"</f>
        <v>7.4203</v>
      </c>
      <c r="C156" t="str">
        <f>"7.465"</f>
        <v>7.465</v>
      </c>
    </row>
    <row r="157" spans="1:3" x14ac:dyDescent="0.25">
      <c r="A157" t="str">
        <f>"18/01/2010"</f>
        <v>18/01/2010</v>
      </c>
      <c r="B157" t="str">
        <f>"7.43"</f>
        <v>7.43</v>
      </c>
      <c r="C157" t="str">
        <f>"7.4741"</f>
        <v>7.4741</v>
      </c>
    </row>
    <row r="158" spans="1:3" x14ac:dyDescent="0.25">
      <c r="A158" t="str">
        <f>"19/01/2010"</f>
        <v>19/01/2010</v>
      </c>
      <c r="B158" t="str">
        <f>"7.4007"</f>
        <v>7.4007</v>
      </c>
      <c r="C158" t="str">
        <f>"7.4501"</f>
        <v>7.4501</v>
      </c>
    </row>
    <row r="159" spans="1:3" x14ac:dyDescent="0.25">
      <c r="A159" t="str">
        <f>"20/01/2010"</f>
        <v>20/01/2010</v>
      </c>
      <c r="B159" t="str">
        <f>"7.4438"</f>
        <v>7.4438</v>
      </c>
      <c r="C159" t="str">
        <f>"7.4899"</f>
        <v>7.4899</v>
      </c>
    </row>
    <row r="160" spans="1:3" x14ac:dyDescent="0.25">
      <c r="A160" t="str">
        <f>"21/01/2010"</f>
        <v>21/01/2010</v>
      </c>
      <c r="B160" t="str">
        <f>"7.525"</f>
        <v>7.525</v>
      </c>
      <c r="C160" t="str">
        <f>"7.5701"</f>
        <v>7.5701</v>
      </c>
    </row>
    <row r="161" spans="1:3" x14ac:dyDescent="0.25">
      <c r="A161" t="str">
        <f>"22/01/2010"</f>
        <v>22/01/2010</v>
      </c>
      <c r="B161" t="str">
        <f>"7.5712"</f>
        <v>7.5712</v>
      </c>
      <c r="C161" t="str">
        <f>"7.6167"</f>
        <v>7.6167</v>
      </c>
    </row>
    <row r="162" spans="1:3" x14ac:dyDescent="0.25">
      <c r="A162" t="str">
        <f>"25/01/2010"</f>
        <v>25/01/2010</v>
      </c>
      <c r="B162" t="str">
        <f>"7.59"</f>
        <v>7.59</v>
      </c>
      <c r="C162" t="str">
        <f>"7.6362"</f>
        <v>7.6362</v>
      </c>
    </row>
    <row r="163" spans="1:3" x14ac:dyDescent="0.25">
      <c r="A163" t="str">
        <f>"27/01/2010"</f>
        <v>27/01/2010</v>
      </c>
      <c r="B163" t="str">
        <f>"7.58"</f>
        <v>7.58</v>
      </c>
      <c r="C163" t="str">
        <f>"7.6231"</f>
        <v>7.6231</v>
      </c>
    </row>
    <row r="164" spans="1:3" x14ac:dyDescent="0.25">
      <c r="A164" t="str">
        <f>"28/01/2010"</f>
        <v>28/01/2010</v>
      </c>
      <c r="B164" t="str">
        <f>"7.585"</f>
        <v>7.585</v>
      </c>
      <c r="C164" t="str">
        <f>"7.6268"</f>
        <v>7.6268</v>
      </c>
    </row>
    <row r="165" spans="1:3" x14ac:dyDescent="0.25">
      <c r="A165" t="str">
        <f>"29/01/2010"</f>
        <v>29/01/2010</v>
      </c>
      <c r="B165" t="str">
        <f>"7.6393"</f>
        <v>7.6393</v>
      </c>
      <c r="C165" t="str">
        <f>"7.681"</f>
        <v>7.681</v>
      </c>
    </row>
    <row r="166" spans="1:3" x14ac:dyDescent="0.25">
      <c r="A166" t="str">
        <f>"01/02/2010"</f>
        <v>01/02/2010</v>
      </c>
      <c r="B166" t="str">
        <f>"7.6016"</f>
        <v>7.6016</v>
      </c>
      <c r="C166" t="str">
        <f>"7.6433"</f>
        <v>7.6433</v>
      </c>
    </row>
    <row r="167" spans="1:3" x14ac:dyDescent="0.25">
      <c r="A167" t="str">
        <f>"02/02/2010"</f>
        <v>02/02/2010</v>
      </c>
      <c r="B167" t="str">
        <f>"7.5216"</f>
        <v>7.5216</v>
      </c>
      <c r="C167" t="str">
        <f>"7.5632"</f>
        <v>7.5632</v>
      </c>
    </row>
    <row r="168" spans="1:3" x14ac:dyDescent="0.25">
      <c r="A168" t="str">
        <f>"03/02/2010"</f>
        <v>03/02/2010</v>
      </c>
      <c r="B168" t="str">
        <f>"7.4825"</f>
        <v>7.4825</v>
      </c>
      <c r="C168" t="str">
        <f>"7.5236"</f>
        <v>7.5236</v>
      </c>
    </row>
    <row r="169" spans="1:3" x14ac:dyDescent="0.25">
      <c r="A169" t="str">
        <f>"04/02/2010"</f>
        <v>04/02/2010</v>
      </c>
      <c r="B169" t="str">
        <f>"7.55"</f>
        <v>7.55</v>
      </c>
      <c r="C169" t="str">
        <f>"7.5914"</f>
        <v>7.5914</v>
      </c>
    </row>
    <row r="170" spans="1:3" x14ac:dyDescent="0.25">
      <c r="A170" t="str">
        <f>"05/02/2010"</f>
        <v>05/02/2010</v>
      </c>
      <c r="B170" t="str">
        <f>"7.661"</f>
        <v>7.661</v>
      </c>
      <c r="C170" t="str">
        <f>"7.7033"</f>
        <v>7.7033</v>
      </c>
    </row>
    <row r="171" spans="1:3" x14ac:dyDescent="0.25">
      <c r="A171" t="str">
        <f>"08/02/2010"</f>
        <v>08/02/2010</v>
      </c>
      <c r="B171" t="str">
        <f>"7.7625"</f>
        <v>7.7625</v>
      </c>
      <c r="C171" t="str">
        <f>"7.8055"</f>
        <v>7.8055</v>
      </c>
    </row>
    <row r="172" spans="1:3" x14ac:dyDescent="0.25">
      <c r="A172" t="str">
        <f>"09/02/2010"</f>
        <v>09/02/2010</v>
      </c>
      <c r="B172" t="str">
        <f>"7.75"</f>
        <v>7.75</v>
      </c>
      <c r="C172" t="str">
        <f>"7.7928"</f>
        <v>7.7928</v>
      </c>
    </row>
    <row r="173" spans="1:3" x14ac:dyDescent="0.25">
      <c r="A173" t="str">
        <f>"10/02/2010"</f>
        <v>10/02/2010</v>
      </c>
      <c r="B173" t="str">
        <f>"7.7125"</f>
        <v>7.7125</v>
      </c>
      <c r="C173" t="str">
        <f>"7.7551"</f>
        <v>7.7551</v>
      </c>
    </row>
    <row r="174" spans="1:3" x14ac:dyDescent="0.25">
      <c r="A174" t="str">
        <f>"11/02/2010"</f>
        <v>11/02/2010</v>
      </c>
      <c r="B174" t="str">
        <f>"7.6982"</f>
        <v>7.6982</v>
      </c>
      <c r="C174" t="str">
        <f>"7.741"</f>
        <v>7.741</v>
      </c>
    </row>
    <row r="175" spans="1:3" x14ac:dyDescent="0.25">
      <c r="A175" t="str">
        <f>"15/02/2010"</f>
        <v>15/02/2010</v>
      </c>
      <c r="B175" t="str">
        <f>"7.7065"</f>
        <v>7.7065</v>
      </c>
      <c r="C175" t="str">
        <f>"7.749"</f>
        <v>7.749</v>
      </c>
    </row>
    <row r="176" spans="1:3" x14ac:dyDescent="0.25">
      <c r="A176" t="str">
        <f>"16/02/2010"</f>
        <v>16/02/2010</v>
      </c>
      <c r="B176" t="str">
        <f>"7.7275"</f>
        <v>7.7275</v>
      </c>
      <c r="C176" t="str">
        <f>"7.7737"</f>
        <v>7.7737</v>
      </c>
    </row>
    <row r="177" spans="1:3" x14ac:dyDescent="0.25">
      <c r="A177" t="str">
        <f>"17/02/2010"</f>
        <v>17/02/2010</v>
      </c>
      <c r="B177" t="str">
        <f>"7.665"</f>
        <v>7.665</v>
      </c>
      <c r="C177" t="str">
        <f>"7.7071"</f>
        <v>7.7071</v>
      </c>
    </row>
    <row r="178" spans="1:3" x14ac:dyDescent="0.25">
      <c r="A178" t="str">
        <f>"18/02/2010"</f>
        <v>18/02/2010</v>
      </c>
      <c r="B178" t="str">
        <f>"7.6565"</f>
        <v>7.6565</v>
      </c>
      <c r="C178" t="str">
        <f>"7.6979"</f>
        <v>7.6979</v>
      </c>
    </row>
    <row r="179" spans="1:3" x14ac:dyDescent="0.25">
      <c r="A179" t="str">
        <f>"19/02/2010"</f>
        <v>19/02/2010</v>
      </c>
      <c r="B179" t="str">
        <f>"7.68"</f>
        <v>7.68</v>
      </c>
      <c r="C179" t="str">
        <f>"7.7228"</f>
        <v>7.7228</v>
      </c>
    </row>
    <row r="180" spans="1:3" x14ac:dyDescent="0.25">
      <c r="A180" t="str">
        <f>"22/02/2010"</f>
        <v>22/02/2010</v>
      </c>
      <c r="B180" t="str">
        <f>"7.6395"</f>
        <v>7.6395</v>
      </c>
      <c r="C180" t="str">
        <f>"7.6807"</f>
        <v>7.6807</v>
      </c>
    </row>
    <row r="181" spans="1:3" x14ac:dyDescent="0.25">
      <c r="A181" t="str">
        <f>"23/02/2010"</f>
        <v>23/02/2010</v>
      </c>
      <c r="B181" t="str">
        <f>"7.74"</f>
        <v>7.74</v>
      </c>
      <c r="C181" t="str">
        <f>"7.7811"</f>
        <v>7.7811</v>
      </c>
    </row>
    <row r="182" spans="1:3" x14ac:dyDescent="0.25">
      <c r="A182" t="str">
        <f>"24/02/2010"</f>
        <v>24/02/2010</v>
      </c>
      <c r="B182" t="str">
        <f>"7.7774"</f>
        <v>7.7774</v>
      </c>
      <c r="C182" t="str">
        <f>"7.8186"</f>
        <v>7.8186</v>
      </c>
    </row>
    <row r="183" spans="1:3" x14ac:dyDescent="0.25">
      <c r="A183" t="str">
        <f>"25/02/2010"</f>
        <v>25/02/2010</v>
      </c>
      <c r="B183" t="str">
        <f>"7.7587"</f>
        <v>7.7587</v>
      </c>
      <c r="C183" t="str">
        <f>"7.8076"</f>
        <v>7.8076</v>
      </c>
    </row>
    <row r="184" spans="1:3" x14ac:dyDescent="0.25">
      <c r="A184" t="str">
        <f>"26/02/2010"</f>
        <v>26/02/2010</v>
      </c>
      <c r="B184" t="str">
        <f>"7.7527"</f>
        <v>7.7527</v>
      </c>
      <c r="C184" t="str">
        <f>"7.8004"</f>
        <v>7.8004</v>
      </c>
    </row>
    <row r="185" spans="1:3" x14ac:dyDescent="0.25">
      <c r="A185" t="str">
        <f>"02/03/2010"</f>
        <v>02/03/2010</v>
      </c>
      <c r="B185" t="str">
        <f>"7.6423"</f>
        <v>7.6423</v>
      </c>
      <c r="C185" t="str">
        <f>"7.6931"</f>
        <v>7.6931</v>
      </c>
    </row>
    <row r="186" spans="1:3" x14ac:dyDescent="0.25">
      <c r="A186" t="str">
        <f>"03/03/2010"</f>
        <v>03/03/2010</v>
      </c>
      <c r="B186" t="str">
        <f>"7.5797"</f>
        <v>7.5797</v>
      </c>
      <c r="C186" t="str">
        <f>"7.6281"</f>
        <v>7.6281</v>
      </c>
    </row>
    <row r="187" spans="1:3" x14ac:dyDescent="0.25">
      <c r="A187" t="str">
        <f>"04/03/2010"</f>
        <v>04/03/2010</v>
      </c>
      <c r="B187" t="str">
        <f>"7.52"</f>
        <v>7.52</v>
      </c>
      <c r="C187" t="str">
        <f>"7.5664"</f>
        <v>7.5664</v>
      </c>
    </row>
    <row r="188" spans="1:3" x14ac:dyDescent="0.25">
      <c r="A188" t="str">
        <f>"05/03/2010"</f>
        <v>05/03/2010</v>
      </c>
      <c r="B188" t="str">
        <f>"7.487"</f>
        <v>7.487</v>
      </c>
      <c r="C188" t="str">
        <f>"7.5318"</f>
        <v>7.5318</v>
      </c>
    </row>
    <row r="189" spans="1:3" x14ac:dyDescent="0.25">
      <c r="A189" t="str">
        <f>"08/03/2010"</f>
        <v>08/03/2010</v>
      </c>
      <c r="B189" t="str">
        <f>"7.4525"</f>
        <v>7.4525</v>
      </c>
      <c r="C189" t="str">
        <f>"7.4965"</f>
        <v>7.4965</v>
      </c>
    </row>
    <row r="190" spans="1:3" x14ac:dyDescent="0.25">
      <c r="A190" t="str">
        <f>"09/03/2010"</f>
        <v>09/03/2010</v>
      </c>
      <c r="B190" t="str">
        <f>"7.4203"</f>
        <v>7.4203</v>
      </c>
      <c r="C190" t="str">
        <f>"7.4669"</f>
        <v>7.4669</v>
      </c>
    </row>
    <row r="191" spans="1:3" x14ac:dyDescent="0.25">
      <c r="A191" t="str">
        <f>"10/03/2010"</f>
        <v>10/03/2010</v>
      </c>
      <c r="B191" t="str">
        <f>"7.4095"</f>
        <v>7.4095</v>
      </c>
      <c r="C191" t="str">
        <f>"7.4547"</f>
        <v>7.4547</v>
      </c>
    </row>
    <row r="192" spans="1:3" x14ac:dyDescent="0.25">
      <c r="A192" t="str">
        <f>"11/03/2010"</f>
        <v>11/03/2010</v>
      </c>
      <c r="B192" t="str">
        <f>"7.43"</f>
        <v>7.43</v>
      </c>
      <c r="C192" t="str">
        <f>"7.4738"</f>
        <v>7.4738</v>
      </c>
    </row>
    <row r="193" spans="1:3" x14ac:dyDescent="0.25">
      <c r="A193" t="str">
        <f>"12/03/2010"</f>
        <v>12/03/2010</v>
      </c>
      <c r="B193" t="str">
        <f>"7.4362"</f>
        <v>7.4362</v>
      </c>
      <c r="C193" t="str">
        <f>"7.4807"</f>
        <v>7.4807</v>
      </c>
    </row>
    <row r="194" spans="1:3" x14ac:dyDescent="0.25">
      <c r="A194" t="str">
        <f>"15/03/2010"</f>
        <v>15/03/2010</v>
      </c>
      <c r="B194" t="str">
        <f>"7.425"</f>
        <v>7.425</v>
      </c>
      <c r="C194" t="str">
        <f>"7.469"</f>
        <v>7.469</v>
      </c>
    </row>
    <row r="195" spans="1:3" x14ac:dyDescent="0.25">
      <c r="A195" t="str">
        <f>"17/03/2010"</f>
        <v>17/03/2010</v>
      </c>
      <c r="B195" t="str">
        <f>"7.367"</f>
        <v>7.367</v>
      </c>
      <c r="C195" t="str">
        <f>"7.4124"</f>
        <v>7.4124</v>
      </c>
    </row>
    <row r="196" spans="1:3" x14ac:dyDescent="0.25">
      <c r="A196" t="str">
        <f>"18/03/2010"</f>
        <v>18/03/2010</v>
      </c>
      <c r="B196" t="str">
        <f>"7.3247"</f>
        <v>7.3247</v>
      </c>
      <c r="C196" t="str">
        <f>"7.3681"</f>
        <v>7.3681</v>
      </c>
    </row>
    <row r="197" spans="1:3" x14ac:dyDescent="0.25">
      <c r="A197" t="str">
        <f>"19/03/2010"</f>
        <v>19/03/2010</v>
      </c>
      <c r="B197" t="str">
        <f>"7.3268"</f>
        <v>7.3268</v>
      </c>
      <c r="C197" t="str">
        <f>"7.3703"</f>
        <v>7.3703</v>
      </c>
    </row>
    <row r="198" spans="1:3" x14ac:dyDescent="0.25">
      <c r="A198" t="str">
        <f>"22/03/2010"</f>
        <v>22/03/2010</v>
      </c>
      <c r="B198" t="str">
        <f>"7.3875"</f>
        <v>7.3875</v>
      </c>
      <c r="C198" t="str">
        <f>"7.4336"</f>
        <v>7.4336</v>
      </c>
    </row>
    <row r="199" spans="1:3" x14ac:dyDescent="0.25">
      <c r="A199" t="str">
        <f>"23/03/2010"</f>
        <v>23/03/2010</v>
      </c>
      <c r="B199" t="str">
        <f>"7.3475"</f>
        <v>7.3475</v>
      </c>
      <c r="C199" t="str">
        <f>"7.3937"</f>
        <v>7.3937</v>
      </c>
    </row>
    <row r="200" spans="1:3" x14ac:dyDescent="0.25">
      <c r="A200" t="str">
        <f>"25/03/2010"</f>
        <v>25/03/2010</v>
      </c>
      <c r="B200" t="str">
        <f>"7.405"</f>
        <v>7.405</v>
      </c>
      <c r="C200" t="str">
        <f>"7.4483"</f>
        <v>7.4483</v>
      </c>
    </row>
    <row r="201" spans="1:3" x14ac:dyDescent="0.25">
      <c r="A201" t="str">
        <f>"26/03/2010"</f>
        <v>26/03/2010</v>
      </c>
      <c r="B201" t="str">
        <f>"7.4875"</f>
        <v>7.4875</v>
      </c>
      <c r="C201" t="str">
        <f>"7.529"</f>
        <v>7.529</v>
      </c>
    </row>
    <row r="202" spans="1:3" x14ac:dyDescent="0.25">
      <c r="A202" t="str">
        <f>"29/03/2010"</f>
        <v>29/03/2010</v>
      </c>
      <c r="B202" t="str">
        <f>"7.425"</f>
        <v>7.425</v>
      </c>
      <c r="C202" t="str">
        <f>"7.4661"</f>
        <v>7.4661</v>
      </c>
    </row>
    <row r="203" spans="1:3" x14ac:dyDescent="0.25">
      <c r="A203" t="str">
        <f>"30/03/2010"</f>
        <v>30/03/2010</v>
      </c>
      <c r="B203" t="str">
        <f>"7.4017"</f>
        <v>7.4017</v>
      </c>
      <c r="C203" t="str">
        <f>"7.4414"</f>
        <v>7.4414</v>
      </c>
    </row>
    <row r="204" spans="1:3" x14ac:dyDescent="0.25">
      <c r="A204" t="str">
        <f>"31/03/2010"</f>
        <v>31/03/2010</v>
      </c>
      <c r="B204" t="str">
        <f>"7.3925"</f>
        <v>7.3925</v>
      </c>
      <c r="C204" t="str">
        <f>"7.4347"</f>
        <v>7.4347</v>
      </c>
    </row>
    <row r="205" spans="1:3" x14ac:dyDescent="0.25">
      <c r="A205" t="str">
        <f>"05/04/2010"</f>
        <v>05/04/2010</v>
      </c>
      <c r="B205" t="str">
        <f>"7.2681"</f>
        <v>7.2681</v>
      </c>
      <c r="C205" t="str">
        <f>"7.3071"</f>
        <v>7.3071</v>
      </c>
    </row>
    <row r="206" spans="1:3" x14ac:dyDescent="0.25">
      <c r="A206" t="str">
        <f>"06/04/2010"</f>
        <v>06/04/2010</v>
      </c>
      <c r="B206" t="str">
        <f>"7.23"</f>
        <v>7.23</v>
      </c>
      <c r="C206" t="str">
        <f>"7.269"</f>
        <v>7.269</v>
      </c>
    </row>
    <row r="207" spans="1:3" x14ac:dyDescent="0.25">
      <c r="A207" t="str">
        <f>"07/04/2010"</f>
        <v>07/04/2010</v>
      </c>
      <c r="B207" t="str">
        <f>"7.2475"</f>
        <v>7.2475</v>
      </c>
      <c r="C207" t="str">
        <f>"7.2894"</f>
        <v>7.2894</v>
      </c>
    </row>
    <row r="208" spans="1:3" x14ac:dyDescent="0.25">
      <c r="A208" t="str">
        <f>"08/04/2010"</f>
        <v>08/04/2010</v>
      </c>
      <c r="B208" t="str">
        <f>"7.33"</f>
        <v>7.33</v>
      </c>
      <c r="C208" t="str">
        <f>"7.3698"</f>
        <v>7.3698</v>
      </c>
    </row>
    <row r="209" spans="1:3" x14ac:dyDescent="0.25">
      <c r="A209" t="str">
        <f>"09/04/2010"</f>
        <v>09/04/2010</v>
      </c>
      <c r="B209" t="str">
        <f>"7.287"</f>
        <v>7.287</v>
      </c>
      <c r="C209" t="str">
        <f>"7.3265"</f>
        <v>7.3265</v>
      </c>
    </row>
    <row r="210" spans="1:3" x14ac:dyDescent="0.25">
      <c r="A210" t="str">
        <f>"12/04/2010"</f>
        <v>12/04/2010</v>
      </c>
      <c r="B210" t="str">
        <f>"7.237"</f>
        <v>7.237</v>
      </c>
      <c r="C210" t="str">
        <f>"7.2767"</f>
        <v>7.2767</v>
      </c>
    </row>
    <row r="211" spans="1:3" x14ac:dyDescent="0.25">
      <c r="A211" t="str">
        <f>"13/04/2010"</f>
        <v>13/04/2010</v>
      </c>
      <c r="B211" t="str">
        <f>"7.305"</f>
        <v>7.305</v>
      </c>
      <c r="C211" t="str">
        <f>"7.3435"</f>
        <v>7.3435</v>
      </c>
    </row>
    <row r="212" spans="1:3" x14ac:dyDescent="0.25">
      <c r="A212" t="str">
        <f>"15/04/2010"</f>
        <v>15/04/2010</v>
      </c>
      <c r="B212" t="str">
        <f>"7.33"</f>
        <v>7.33</v>
      </c>
      <c r="C212" t="str">
        <f>"7.3698"</f>
        <v>7.3698</v>
      </c>
    </row>
    <row r="213" spans="1:3" x14ac:dyDescent="0.25">
      <c r="A213" t="str">
        <f>"16/04/2010"</f>
        <v>16/04/2010</v>
      </c>
      <c r="B213" t="str">
        <f>"7.3528"</f>
        <v>7.3528</v>
      </c>
      <c r="C213" t="str">
        <f>"7.3913"</f>
        <v>7.3913</v>
      </c>
    </row>
    <row r="214" spans="1:3" x14ac:dyDescent="0.25">
      <c r="A214" t="str">
        <f>"19/04/2010"</f>
        <v>19/04/2010</v>
      </c>
      <c r="B214" t="str">
        <f>"7.4395"</f>
        <v>7.4395</v>
      </c>
      <c r="C214" t="str">
        <f>"7.4782"</f>
        <v>7.4782</v>
      </c>
    </row>
    <row r="215" spans="1:3" x14ac:dyDescent="0.25">
      <c r="A215" t="str">
        <f>"20/04/2010"</f>
        <v>20/04/2010</v>
      </c>
      <c r="B215" t="str">
        <f>"7.45"</f>
        <v>7.45</v>
      </c>
      <c r="C215" t="str">
        <f>"7.4891"</f>
        <v>7.4891</v>
      </c>
    </row>
    <row r="216" spans="1:3" x14ac:dyDescent="0.25">
      <c r="A216" t="str">
        <f>"21/04/2010"</f>
        <v>21/04/2010</v>
      </c>
      <c r="B216" t="str">
        <f>"7.3893"</f>
        <v>7.3893</v>
      </c>
      <c r="C216" t="str">
        <f>"7.4307"</f>
        <v>7.4307</v>
      </c>
    </row>
    <row r="217" spans="1:3" x14ac:dyDescent="0.25">
      <c r="A217" t="str">
        <f>"22/04/2010"</f>
        <v>22/04/2010</v>
      </c>
      <c r="B217" t="str">
        <f>"7.447"</f>
        <v>7.447</v>
      </c>
      <c r="C217" t="str">
        <f>"7.4871"</f>
        <v>7.4871</v>
      </c>
    </row>
    <row r="218" spans="1:3" x14ac:dyDescent="0.25">
      <c r="A218" t="str">
        <f>"23/04/2010"</f>
        <v>23/04/2010</v>
      </c>
      <c r="B218" t="str">
        <f>"7.5028"</f>
        <v>7.5028</v>
      </c>
      <c r="C218" t="str">
        <f>"7.5418"</f>
        <v>7.5418</v>
      </c>
    </row>
    <row r="219" spans="1:3" x14ac:dyDescent="0.25">
      <c r="A219" t="str">
        <f>"26/04/2010"</f>
        <v>26/04/2010</v>
      </c>
      <c r="B219" t="str">
        <f>"7.459"</f>
        <v>7.459</v>
      </c>
      <c r="C219" t="str">
        <f>"7.4981"</f>
        <v>7.4981</v>
      </c>
    </row>
    <row r="220" spans="1:3" x14ac:dyDescent="0.25">
      <c r="A220" t="str">
        <f>"27/04/2010"</f>
        <v>27/04/2010</v>
      </c>
      <c r="B220" t="str">
        <f>"7.3596"</f>
        <v>7.3596</v>
      </c>
      <c r="C220" t="str">
        <f>"7.3969"</f>
        <v>7.3969</v>
      </c>
    </row>
    <row r="221" spans="1:3" x14ac:dyDescent="0.25">
      <c r="A221" t="str">
        <f>"28/04/2010"</f>
        <v>28/04/2010</v>
      </c>
      <c r="B221" t="str">
        <f>"7.4598"</f>
        <v>7.4598</v>
      </c>
      <c r="C221" t="str">
        <f>"7.4967"</f>
        <v>7.4967</v>
      </c>
    </row>
    <row r="222" spans="1:3" x14ac:dyDescent="0.25">
      <c r="A222" t="str">
        <f>"29/04/2010"</f>
        <v>29/04/2010</v>
      </c>
      <c r="B222" t="str">
        <f>"7.465"</f>
        <v>7.465</v>
      </c>
      <c r="C222" t="str">
        <f>"7.5017"</f>
        <v>7.5017</v>
      </c>
    </row>
    <row r="223" spans="1:3" x14ac:dyDescent="0.25">
      <c r="A223" t="str">
        <f>"30/04/2010"</f>
        <v>30/04/2010</v>
      </c>
      <c r="B223" t="str">
        <f>"7.3878"</f>
        <v>7.3878</v>
      </c>
      <c r="C223" t="str">
        <f>"7.4275"</f>
        <v>7.4275</v>
      </c>
    </row>
    <row r="224" spans="1:3" x14ac:dyDescent="0.25">
      <c r="A224" t="str">
        <f>"03/05/2010"</f>
        <v>03/05/2010</v>
      </c>
      <c r="B224" t="str">
        <f>"7.3996"</f>
        <v>7.3996</v>
      </c>
      <c r="C224" t="str">
        <f>"7.4392"</f>
        <v>7.4392</v>
      </c>
    </row>
    <row r="225" spans="1:3" x14ac:dyDescent="0.25">
      <c r="A225" t="str">
        <f>"04/05/2010"</f>
        <v>04/05/2010</v>
      </c>
      <c r="B225" t="str">
        <f>"7.4378"</f>
        <v>7.4378</v>
      </c>
      <c r="C225" t="str">
        <f>"7.4804"</f>
        <v>7.4804</v>
      </c>
    </row>
    <row r="226" spans="1:3" x14ac:dyDescent="0.25">
      <c r="A226" t="str">
        <f>"05/05/2010"</f>
        <v>05/05/2010</v>
      </c>
      <c r="B226" t="str">
        <f>"7.5698"</f>
        <v>7.5698</v>
      </c>
      <c r="C226" t="str">
        <f>"7.612"</f>
        <v>7.612</v>
      </c>
    </row>
    <row r="227" spans="1:3" x14ac:dyDescent="0.25">
      <c r="A227" t="str">
        <f>"06/05/2010"</f>
        <v>06/05/2010</v>
      </c>
      <c r="B227" t="str">
        <f>"7.5783"</f>
        <v>7.5783</v>
      </c>
      <c r="C227" t="str">
        <f>"7.6204"</f>
        <v>7.6204</v>
      </c>
    </row>
    <row r="228" spans="1:3" x14ac:dyDescent="0.25">
      <c r="A228" t="str">
        <f>"07/05/2010"</f>
        <v>07/05/2010</v>
      </c>
      <c r="B228" t="str">
        <f>"7.7256"</f>
        <v>7.7256</v>
      </c>
      <c r="C228" t="str">
        <f>"7.7686"</f>
        <v>7.7686</v>
      </c>
    </row>
    <row r="229" spans="1:3" x14ac:dyDescent="0.25">
      <c r="A229" t="str">
        <f>"10/05/2010"</f>
        <v>10/05/2010</v>
      </c>
      <c r="B229" t="str">
        <f>"7.595"</f>
        <v>7.595</v>
      </c>
      <c r="C229" t="str">
        <f>"7.6373"</f>
        <v>7.6373</v>
      </c>
    </row>
    <row r="230" spans="1:3" x14ac:dyDescent="0.25">
      <c r="A230" t="str">
        <f>"11/05/2010"</f>
        <v>11/05/2010</v>
      </c>
      <c r="B230" t="str">
        <f>"7.5578"</f>
        <v>7.5578</v>
      </c>
      <c r="C230" t="str">
        <f>"7.6014"</f>
        <v>7.6014</v>
      </c>
    </row>
    <row r="231" spans="1:3" x14ac:dyDescent="0.25">
      <c r="A231" t="str">
        <f>"12/05/2010"</f>
        <v>12/05/2010</v>
      </c>
      <c r="B231" t="str">
        <f>"7.5616"</f>
        <v>7.5616</v>
      </c>
      <c r="C231" t="str">
        <f>"7.6051"</f>
        <v>7.6051</v>
      </c>
    </row>
    <row r="232" spans="1:3" x14ac:dyDescent="0.25">
      <c r="A232" t="str">
        <f>"13/05/2010"</f>
        <v>13/05/2010</v>
      </c>
      <c r="B232" t="str">
        <f>"7.4801"</f>
        <v>7.4801</v>
      </c>
      <c r="C232" t="str">
        <f>"7.5213"</f>
        <v>7.5213</v>
      </c>
    </row>
    <row r="233" spans="1:3" x14ac:dyDescent="0.25">
      <c r="A233" t="str">
        <f>"14/05/2010"</f>
        <v>14/05/2010</v>
      </c>
      <c r="B233" t="str">
        <f>"7.5103"</f>
        <v>7.5103</v>
      </c>
      <c r="C233" t="str">
        <f>"7.5518"</f>
        <v>7.5518</v>
      </c>
    </row>
    <row r="234" spans="1:3" x14ac:dyDescent="0.25">
      <c r="A234" t="str">
        <f>"17/05/2010"</f>
        <v>17/05/2010</v>
      </c>
      <c r="B234" t="str">
        <f>"7.6381"</f>
        <v>7.6381</v>
      </c>
      <c r="C234" t="str">
        <f>"7.6796"</f>
        <v>7.6796</v>
      </c>
    </row>
    <row r="235" spans="1:3" x14ac:dyDescent="0.25">
      <c r="A235" t="str">
        <f>"18/05/2010"</f>
        <v>18/05/2010</v>
      </c>
      <c r="B235" t="str">
        <f>"7.60"</f>
        <v>7.60</v>
      </c>
      <c r="C235" t="str">
        <f>"7.644"</f>
        <v>7.644</v>
      </c>
    </row>
    <row r="236" spans="1:3" x14ac:dyDescent="0.25">
      <c r="A236" t="str">
        <f>"19/05/2010"</f>
        <v>19/05/2010</v>
      </c>
      <c r="B236" t="str">
        <f>"7.7092"</f>
        <v>7.7092</v>
      </c>
      <c r="C236" t="str">
        <f>"7.752"</f>
        <v>7.752</v>
      </c>
    </row>
    <row r="237" spans="1:3" x14ac:dyDescent="0.25">
      <c r="A237" t="str">
        <f>"20/05/2010"</f>
        <v>20/05/2010</v>
      </c>
      <c r="B237" t="str">
        <f>"7.835"</f>
        <v>7.835</v>
      </c>
      <c r="C237" t="str">
        <f>"7.8779"</f>
        <v>7.8779</v>
      </c>
    </row>
    <row r="238" spans="1:3" x14ac:dyDescent="0.25">
      <c r="A238" t="str">
        <f>"21/05/2010"</f>
        <v>21/05/2010</v>
      </c>
      <c r="B238" t="str">
        <f>"7.9197"</f>
        <v>7.9197</v>
      </c>
      <c r="C238" t="str">
        <f>"7.9632"</f>
        <v>7.9632</v>
      </c>
    </row>
    <row r="239" spans="1:3" x14ac:dyDescent="0.25">
      <c r="A239" t="str">
        <f>"24/05/2010"</f>
        <v>24/05/2010</v>
      </c>
      <c r="B239" t="str">
        <f>"7.865"</f>
        <v>7.865</v>
      </c>
      <c r="C239" t="str">
        <f>"7.9074"</f>
        <v>7.9074</v>
      </c>
    </row>
    <row r="240" spans="1:3" x14ac:dyDescent="0.25">
      <c r="A240" t="str">
        <f>"25/05/2010"</f>
        <v>25/05/2010</v>
      </c>
      <c r="B240" t="str">
        <f>"7.9078"</f>
        <v>7.9078</v>
      </c>
      <c r="C240" t="str">
        <f>"7.9525"</f>
        <v>7.9525</v>
      </c>
    </row>
    <row r="241" spans="1:3" x14ac:dyDescent="0.25">
      <c r="A241" t="str">
        <f>"26/05/2010"</f>
        <v>26/05/2010</v>
      </c>
      <c r="B241" t="str">
        <f>"7.885"</f>
        <v>7.885</v>
      </c>
      <c r="C241" t="str">
        <f>"7.9303"</f>
        <v>7.9303</v>
      </c>
    </row>
    <row r="242" spans="1:3" x14ac:dyDescent="0.25">
      <c r="A242" t="str">
        <f>"28/05/2010"</f>
        <v>28/05/2010</v>
      </c>
      <c r="B242" t="str">
        <f>"7.6188"</f>
        <v>7.6188</v>
      </c>
      <c r="C242" t="str">
        <f>"7.6592"</f>
        <v>7.6592</v>
      </c>
    </row>
    <row r="243" spans="1:3" x14ac:dyDescent="0.25">
      <c r="A243" t="str">
        <f>"31/05/2010"</f>
        <v>31/05/2010</v>
      </c>
      <c r="B243" t="str">
        <f>"7.615"</f>
        <v>7.615</v>
      </c>
      <c r="C243" t="str">
        <f>"7.6552"</f>
        <v>7.6552</v>
      </c>
    </row>
    <row r="244" spans="1:3" x14ac:dyDescent="0.25">
      <c r="A244" t="str">
        <f>"01/06/2010"</f>
        <v>01/06/2010</v>
      </c>
      <c r="B244" t="str">
        <f>"7.7188"</f>
        <v>7.7188</v>
      </c>
      <c r="C244" t="str">
        <f>"7.759"</f>
        <v>7.759</v>
      </c>
    </row>
    <row r="245" spans="1:3" x14ac:dyDescent="0.25">
      <c r="A245" t="str">
        <f>"02/06/2010"</f>
        <v>02/06/2010</v>
      </c>
      <c r="B245" t="str">
        <f>"7.73"</f>
        <v>7.73</v>
      </c>
      <c r="C245" t="str">
        <f>"7.7747"</f>
        <v>7.7747</v>
      </c>
    </row>
    <row r="246" spans="1:3" x14ac:dyDescent="0.25">
      <c r="A246" t="str">
        <f>"03/06/2010"</f>
        <v>03/06/2010</v>
      </c>
      <c r="B246" t="str">
        <f>"7.6606"</f>
        <v>7.6606</v>
      </c>
      <c r="C246" t="str">
        <f>"7.7037"</f>
        <v>7.7037</v>
      </c>
    </row>
    <row r="247" spans="1:3" x14ac:dyDescent="0.25">
      <c r="A247" t="str">
        <f>"04/06/2010"</f>
        <v>04/06/2010</v>
      </c>
      <c r="B247" t="str">
        <f>"7.6859"</f>
        <v>7.6859</v>
      </c>
      <c r="C247" t="str">
        <f>"7.7261"</f>
        <v>7.7261</v>
      </c>
    </row>
    <row r="248" spans="1:3" x14ac:dyDescent="0.25">
      <c r="A248" t="str">
        <f>"07/06/2010"</f>
        <v>07/06/2010</v>
      </c>
      <c r="B248" t="str">
        <f>"7.8675"</f>
        <v>7.8675</v>
      </c>
      <c r="C248" t="str">
        <f>"7.9084"</f>
        <v>7.9084</v>
      </c>
    </row>
    <row r="249" spans="1:3" x14ac:dyDescent="0.25">
      <c r="A249" t="str">
        <f>"08/06/2010"</f>
        <v>08/06/2010</v>
      </c>
      <c r="B249" t="str">
        <f>"7.8142"</f>
        <v>7.8142</v>
      </c>
      <c r="C249" t="str">
        <f>"7.8553"</f>
        <v>7.8553</v>
      </c>
    </row>
    <row r="250" spans="1:3" x14ac:dyDescent="0.25">
      <c r="A250" t="str">
        <f>"09/06/2010"</f>
        <v>09/06/2010</v>
      </c>
      <c r="B250" t="str">
        <f>"7.77"</f>
        <v>7.77</v>
      </c>
      <c r="C250" t="str">
        <f>"7.8137"</f>
        <v>7.8137</v>
      </c>
    </row>
    <row r="251" spans="1:3" x14ac:dyDescent="0.25">
      <c r="A251" t="str">
        <f>"10/06/2010"</f>
        <v>10/06/2010</v>
      </c>
      <c r="B251" t="str">
        <f>"7.819"</f>
        <v>7.819</v>
      </c>
      <c r="C251" t="str">
        <f>"7.861"</f>
        <v>7.861</v>
      </c>
    </row>
    <row r="252" spans="1:3" x14ac:dyDescent="0.25">
      <c r="A252" t="str">
        <f>"11/06/2010"</f>
        <v>11/06/2010</v>
      </c>
      <c r="B252" t="str">
        <f>"7.715"</f>
        <v>7.715</v>
      </c>
      <c r="C252" t="str">
        <f>"7.7559"</f>
        <v>7.7559</v>
      </c>
    </row>
    <row r="253" spans="1:3" x14ac:dyDescent="0.25">
      <c r="A253" t="str">
        <f>"14/06/2010"</f>
        <v>14/06/2010</v>
      </c>
      <c r="B253" t="str">
        <f>"7.683"</f>
        <v>7.683</v>
      </c>
      <c r="C253" t="str">
        <f>"7.7244"</f>
        <v>7.7244</v>
      </c>
    </row>
    <row r="254" spans="1:3" x14ac:dyDescent="0.25">
      <c r="A254" t="str">
        <f>"15/06/2010"</f>
        <v>15/06/2010</v>
      </c>
      <c r="B254" t="str">
        <f>"7.70"</f>
        <v>7.70</v>
      </c>
      <c r="C254" t="str">
        <f>"7.7435"</f>
        <v>7.7435</v>
      </c>
    </row>
    <row r="255" spans="1:3" x14ac:dyDescent="0.25">
      <c r="A255" t="str">
        <f>"16/06/2010"</f>
        <v>16/06/2010</v>
      </c>
      <c r="B255" t="str">
        <f>"7.5981"</f>
        <v>7.5981</v>
      </c>
      <c r="C255" t="str">
        <f>"7.6399"</f>
        <v>7.6399</v>
      </c>
    </row>
    <row r="256" spans="1:3" x14ac:dyDescent="0.25">
      <c r="A256" t="str">
        <f>"17/06/2010"</f>
        <v>17/06/2010</v>
      </c>
      <c r="B256" t="str">
        <f>"7.64"</f>
        <v>7.64</v>
      </c>
      <c r="C256" t="str">
        <f>"7.6816"</f>
        <v>7.6816</v>
      </c>
    </row>
    <row r="257" spans="1:3" x14ac:dyDescent="0.25">
      <c r="A257" t="str">
        <f>"18/06/2010"</f>
        <v>18/06/2010</v>
      </c>
      <c r="B257" t="str">
        <f>"7.57"</f>
        <v>7.57</v>
      </c>
      <c r="C257" t="str">
        <f>"7.6101"</f>
        <v>7.6101</v>
      </c>
    </row>
    <row r="258" spans="1:3" x14ac:dyDescent="0.25">
      <c r="A258" t="str">
        <f>"21/06/2010"</f>
        <v>21/06/2010</v>
      </c>
      <c r="B258" t="str">
        <f>"7.455"</f>
        <v>7.455</v>
      </c>
      <c r="C258" t="str">
        <f>"7.4949"</f>
        <v>7.4949</v>
      </c>
    </row>
    <row r="259" spans="1:3" x14ac:dyDescent="0.25">
      <c r="A259" t="str">
        <f>"22/06/2010"</f>
        <v>22/06/2010</v>
      </c>
      <c r="B259" t="str">
        <f>"7.5375"</f>
        <v>7.5375</v>
      </c>
      <c r="C259" t="str">
        <f>"7.5771"</f>
        <v>7.5771</v>
      </c>
    </row>
    <row r="260" spans="1:3" x14ac:dyDescent="0.25">
      <c r="A260" t="str">
        <f>"23/06/2010"</f>
        <v>23/06/2010</v>
      </c>
      <c r="B260" t="str">
        <f>"7.592"</f>
        <v>7.592</v>
      </c>
      <c r="C260" t="str">
        <f>"7.6348"</f>
        <v>7.6348</v>
      </c>
    </row>
    <row r="261" spans="1:3" x14ac:dyDescent="0.25">
      <c r="A261" t="str">
        <f>"24/06/2010"</f>
        <v>24/06/2010</v>
      </c>
      <c r="B261" t="str">
        <f>"7.532"</f>
        <v>7.532</v>
      </c>
      <c r="C261" t="str">
        <f>"7.5731"</f>
        <v>7.5731</v>
      </c>
    </row>
    <row r="262" spans="1:3" x14ac:dyDescent="0.25">
      <c r="A262" t="str">
        <f>"25/06/2010"</f>
        <v>25/06/2010</v>
      </c>
      <c r="B262" t="str">
        <f>"7.635"</f>
        <v>7.635</v>
      </c>
      <c r="C262" t="str">
        <f>"7.6748"</f>
        <v>7.6748</v>
      </c>
    </row>
    <row r="263" spans="1:3" x14ac:dyDescent="0.25">
      <c r="A263" t="str">
        <f>"28/06/2010"</f>
        <v>28/06/2010</v>
      </c>
      <c r="B263" t="str">
        <f>"7.6169"</f>
        <v>7.6169</v>
      </c>
      <c r="C263" t="str">
        <f>"7.6571"</f>
        <v>7.6571</v>
      </c>
    </row>
    <row r="264" spans="1:3" x14ac:dyDescent="0.25">
      <c r="A264" t="str">
        <f>"29/06/2010"</f>
        <v>29/06/2010</v>
      </c>
      <c r="B264" t="str">
        <f>"7.5954"</f>
        <v>7.5954</v>
      </c>
      <c r="C264" t="str">
        <f>"7.6354"</f>
        <v>7.6354</v>
      </c>
    </row>
    <row r="265" spans="1:3" x14ac:dyDescent="0.25">
      <c r="A265" t="str">
        <f>"30/06/2010"</f>
        <v>30/06/2010</v>
      </c>
      <c r="B265" t="str">
        <f>"7.6775"</f>
        <v>7.6775</v>
      </c>
      <c r="C265" t="str">
        <f>"7.7207"</f>
        <v>7.7207</v>
      </c>
    </row>
    <row r="266" spans="1:3" x14ac:dyDescent="0.25">
      <c r="A266" t="str">
        <f>"01/07/2010"</f>
        <v>01/07/2010</v>
      </c>
      <c r="B266" t="str">
        <f>"7.689"</f>
        <v>7.689</v>
      </c>
      <c r="C266" t="str">
        <f>"7.7307"</f>
        <v>7.7307</v>
      </c>
    </row>
    <row r="267" spans="1:3" x14ac:dyDescent="0.25">
      <c r="A267" t="str">
        <f>"02/07/2010"</f>
        <v>02/07/2010</v>
      </c>
      <c r="B267" t="str">
        <f>"7.7205"</f>
        <v>7.7205</v>
      </c>
      <c r="C267" t="str">
        <f>"7.7624"</f>
        <v>7.7624</v>
      </c>
    </row>
    <row r="268" spans="1:3" x14ac:dyDescent="0.25">
      <c r="A268" t="str">
        <f>"05/07/2010"</f>
        <v>05/07/2010</v>
      </c>
      <c r="B268" t="str">
        <f>"7.7453"</f>
        <v>7.7453</v>
      </c>
      <c r="C268" t="str">
        <f>"7.7869"</f>
        <v>7.7869</v>
      </c>
    </row>
    <row r="269" spans="1:3" x14ac:dyDescent="0.25">
      <c r="A269" t="str">
        <f>"06/07/2010"</f>
        <v>06/07/2010</v>
      </c>
      <c r="B269" t="str">
        <f>"7.76"</f>
        <v>7.76</v>
      </c>
      <c r="C269" t="str">
        <f>"7.8058"</f>
        <v>7.8058</v>
      </c>
    </row>
    <row r="270" spans="1:3" x14ac:dyDescent="0.25">
      <c r="A270" t="str">
        <f>"07/07/2010"</f>
        <v>07/07/2010</v>
      </c>
      <c r="B270" t="str">
        <f>"7.689"</f>
        <v>7.689</v>
      </c>
      <c r="C270" t="str">
        <f>"7.7327"</f>
        <v>7.7327</v>
      </c>
    </row>
    <row r="271" spans="1:3" x14ac:dyDescent="0.25">
      <c r="A271" t="str">
        <f>"08/07/2010"</f>
        <v>08/07/2010</v>
      </c>
      <c r="B271" t="str">
        <f>"7.615"</f>
        <v>7.615</v>
      </c>
      <c r="C271" t="str">
        <f>"7.6571"</f>
        <v>7.6571</v>
      </c>
    </row>
    <row r="272" spans="1:3" x14ac:dyDescent="0.25">
      <c r="A272" t="str">
        <f>"09/07/2010"</f>
        <v>09/07/2010</v>
      </c>
      <c r="B272" t="str">
        <f>"7.5739"</f>
        <v>7.5739</v>
      </c>
      <c r="C272" t="str">
        <f>"7.6144"</f>
        <v>7.6144</v>
      </c>
    </row>
    <row r="273" spans="1:3" x14ac:dyDescent="0.25">
      <c r="A273" t="str">
        <f>"12/07/2010"</f>
        <v>12/07/2010</v>
      </c>
      <c r="B273" t="str">
        <f>"7.5556"</f>
        <v>7.5556</v>
      </c>
      <c r="C273" t="str">
        <f>"7.5959"</f>
        <v>7.5959</v>
      </c>
    </row>
    <row r="274" spans="1:3" x14ac:dyDescent="0.25">
      <c r="A274" t="str">
        <f>"13/07/2010"</f>
        <v>13/07/2010</v>
      </c>
      <c r="B274" t="str">
        <f>"7.6191"</f>
        <v>7.6191</v>
      </c>
      <c r="C274" t="str">
        <f>"7.6621"</f>
        <v>7.6621</v>
      </c>
    </row>
    <row r="275" spans="1:3" x14ac:dyDescent="0.25">
      <c r="A275" t="str">
        <f>"14/07/2010"</f>
        <v>14/07/2010</v>
      </c>
      <c r="B275" t="str">
        <f>"7.5481"</f>
        <v>7.5481</v>
      </c>
      <c r="C275" t="str">
        <f>"7.5893"</f>
        <v>7.5893</v>
      </c>
    </row>
    <row r="276" spans="1:3" x14ac:dyDescent="0.25">
      <c r="A276" t="str">
        <f>"15/07/2010"</f>
        <v>15/07/2010</v>
      </c>
      <c r="B276" t="str">
        <f>"7.575"</f>
        <v>7.575</v>
      </c>
      <c r="C276" t="str">
        <f>"7.6151"</f>
        <v>7.6151</v>
      </c>
    </row>
    <row r="277" spans="1:3" x14ac:dyDescent="0.25">
      <c r="A277" t="str">
        <f>"16/07/2010"</f>
        <v>16/07/2010</v>
      </c>
      <c r="B277" t="str">
        <f>"7.57"</f>
        <v>7.57</v>
      </c>
      <c r="C277" t="str">
        <f>"7.6101"</f>
        <v>7.6101</v>
      </c>
    </row>
    <row r="278" spans="1:3" x14ac:dyDescent="0.25">
      <c r="A278" t="str">
        <f>"19/07/2010"</f>
        <v>19/07/2010</v>
      </c>
      <c r="B278" t="str">
        <f>"7.59"</f>
        <v>7.59</v>
      </c>
      <c r="C278" t="str">
        <f>"7.6299"</f>
        <v>7.6299</v>
      </c>
    </row>
    <row r="279" spans="1:3" x14ac:dyDescent="0.25">
      <c r="A279" t="str">
        <f>"20/07/2010"</f>
        <v>20/07/2010</v>
      </c>
      <c r="B279" t="str">
        <f>"7.6362"</f>
        <v>7.6362</v>
      </c>
      <c r="C279" t="str">
        <f>"7.679"</f>
        <v>7.679</v>
      </c>
    </row>
    <row r="280" spans="1:3" x14ac:dyDescent="0.25">
      <c r="A280" t="str">
        <f>"21/07/2010"</f>
        <v>21/07/2010</v>
      </c>
      <c r="B280" t="str">
        <f>"7.5922"</f>
        <v>7.5922</v>
      </c>
      <c r="C280" t="str">
        <f>"7.6331"</f>
        <v>7.6331</v>
      </c>
    </row>
    <row r="281" spans="1:3" x14ac:dyDescent="0.25">
      <c r="A281" t="str">
        <f>"22/07/2010"</f>
        <v>22/07/2010</v>
      </c>
      <c r="B281" t="str">
        <f>"7.56"</f>
        <v>7.56</v>
      </c>
      <c r="C281" t="str">
        <f>"7.5995"</f>
        <v>7.5995</v>
      </c>
    </row>
    <row r="282" spans="1:3" x14ac:dyDescent="0.25">
      <c r="A282" t="str">
        <f>"23/07/2010"</f>
        <v>23/07/2010</v>
      </c>
      <c r="B282" t="str">
        <f>"7.453"</f>
        <v>7.453</v>
      </c>
      <c r="C282" t="str">
        <f>"7.4929"</f>
        <v>7.4929</v>
      </c>
    </row>
    <row r="283" spans="1:3" x14ac:dyDescent="0.25">
      <c r="A283" t="str">
        <f>"26/07/2010"</f>
        <v>26/07/2010</v>
      </c>
      <c r="B283" t="str">
        <f>"7.46"</f>
        <v>7.46</v>
      </c>
      <c r="C283" t="str">
        <f>"7.4999"</f>
        <v>7.4999</v>
      </c>
    </row>
    <row r="284" spans="1:3" x14ac:dyDescent="0.25">
      <c r="A284" t="str">
        <f>"27/07/2010"</f>
        <v>27/07/2010</v>
      </c>
      <c r="B284" t="str">
        <f>"7.3535"</f>
        <v>7.3535</v>
      </c>
      <c r="C284" t="str">
        <f>"7.3954"</f>
        <v>7.3954</v>
      </c>
    </row>
    <row r="285" spans="1:3" x14ac:dyDescent="0.25">
      <c r="A285" t="str">
        <f>"28/07/2010"</f>
        <v>28/07/2010</v>
      </c>
      <c r="B285" t="str">
        <f>"7.3507"</f>
        <v>7.3507</v>
      </c>
      <c r="C285" t="str">
        <f>"7.3911"</f>
        <v>7.3911</v>
      </c>
    </row>
    <row r="286" spans="1:3" x14ac:dyDescent="0.25">
      <c r="A286" t="str">
        <f>"29/07/2010"</f>
        <v>29/07/2010</v>
      </c>
      <c r="B286" t="str">
        <f>"7.3725"</f>
        <v>7.3725</v>
      </c>
      <c r="C286" t="str">
        <f>"7.4131"</f>
        <v>7.4131</v>
      </c>
    </row>
    <row r="287" spans="1:3" x14ac:dyDescent="0.25">
      <c r="A287" t="str">
        <f>"30/07/2010"</f>
        <v>30/07/2010</v>
      </c>
      <c r="B287" t="str">
        <f>"7.3675"</f>
        <v>7.3675</v>
      </c>
      <c r="C287" t="str">
        <f>"7.4066"</f>
        <v>7.4066</v>
      </c>
    </row>
    <row r="288" spans="1:3" x14ac:dyDescent="0.25">
      <c r="A288" t="str">
        <f>"02/08/2010"</f>
        <v>02/08/2010</v>
      </c>
      <c r="B288" t="str">
        <f>"7.2937"</f>
        <v>7.2937</v>
      </c>
      <c r="C288" t="str">
        <f>"7.3331"</f>
        <v>7.3331</v>
      </c>
    </row>
    <row r="289" spans="1:3" x14ac:dyDescent="0.25">
      <c r="A289" t="str">
        <f>"03/08/2010"</f>
        <v>03/08/2010</v>
      </c>
      <c r="B289" t="str">
        <f>"7.3151"</f>
        <v>7.3151</v>
      </c>
      <c r="C289" t="str">
        <f>"7.3581"</f>
        <v>7.3581</v>
      </c>
    </row>
    <row r="290" spans="1:3" x14ac:dyDescent="0.25">
      <c r="A290" t="str">
        <f>"04/08/2010"</f>
        <v>04/08/2010</v>
      </c>
      <c r="B290" t="str">
        <f>"7.2995"</f>
        <v>7.2995</v>
      </c>
      <c r="C290" t="str">
        <f>"7.3415"</f>
        <v>7.3415</v>
      </c>
    </row>
    <row r="291" spans="1:3" x14ac:dyDescent="0.25">
      <c r="A291" t="str">
        <f>"05/08/2010"</f>
        <v>05/08/2010</v>
      </c>
      <c r="B291" t="str">
        <f>"7.2877"</f>
        <v>7.2877</v>
      </c>
      <c r="C291" t="str">
        <f>"7.3283"</f>
        <v>7.3283</v>
      </c>
    </row>
    <row r="292" spans="1:3" x14ac:dyDescent="0.25">
      <c r="A292" t="str">
        <f>"06/08/2010"</f>
        <v>06/08/2010</v>
      </c>
      <c r="B292" t="str">
        <f>"7.26"</f>
        <v>7.26</v>
      </c>
      <c r="C292" t="str">
        <f>"7.2992"</f>
        <v>7.2992</v>
      </c>
    </row>
    <row r="293" spans="1:3" x14ac:dyDescent="0.25">
      <c r="A293" t="str">
        <f>"09/08/2010"</f>
        <v>09/08/2010</v>
      </c>
      <c r="B293" t="str">
        <f>"7.2506"</f>
        <v>7.2506</v>
      </c>
      <c r="C293" t="str">
        <f>"7.2917"</f>
        <v>7.2917</v>
      </c>
    </row>
    <row r="294" spans="1:3" x14ac:dyDescent="0.25">
      <c r="A294" t="str">
        <f>"10/08/2010"</f>
        <v>10/08/2010</v>
      </c>
      <c r="B294" t="str">
        <f>"7.2503"</f>
        <v>7.2503</v>
      </c>
      <c r="C294" t="str">
        <f>"7.2914"</f>
        <v>7.2914</v>
      </c>
    </row>
    <row r="295" spans="1:3" x14ac:dyDescent="0.25">
      <c r="A295" t="str">
        <f>"11/08/2010"</f>
        <v>11/08/2010</v>
      </c>
      <c r="B295" t="str">
        <f>"7.255"</f>
        <v>7.255</v>
      </c>
      <c r="C295" t="str">
        <f>"7.2951"</f>
        <v>7.2951</v>
      </c>
    </row>
    <row r="296" spans="1:3" x14ac:dyDescent="0.25">
      <c r="A296" t="str">
        <f>"12/08/2010"</f>
        <v>12/08/2010</v>
      </c>
      <c r="B296" t="str">
        <f>"7.31"</f>
        <v>7.31</v>
      </c>
      <c r="C296" t="str">
        <f>"7.3493"</f>
        <v>7.3493</v>
      </c>
    </row>
    <row r="297" spans="1:3" x14ac:dyDescent="0.25">
      <c r="A297" t="str">
        <f>"13/08/2010"</f>
        <v>13/08/2010</v>
      </c>
      <c r="B297" t="str">
        <f>"7.30"</f>
        <v>7.30</v>
      </c>
      <c r="C297" t="str">
        <f>"7.3387"</f>
        <v>7.3387</v>
      </c>
    </row>
    <row r="298" spans="1:3" x14ac:dyDescent="0.25">
      <c r="A298" t="str">
        <f>"16/08/2010"</f>
        <v>16/08/2010</v>
      </c>
      <c r="B298" t="str">
        <f>"7.335"</f>
        <v>7.335</v>
      </c>
      <c r="C298" t="str">
        <f>"7.3736"</f>
        <v>7.3736</v>
      </c>
    </row>
    <row r="299" spans="1:3" x14ac:dyDescent="0.25">
      <c r="A299" t="str">
        <f>"17/08/2010"</f>
        <v>17/08/2010</v>
      </c>
      <c r="B299" t="str">
        <f>"7.275"</f>
        <v>7.275</v>
      </c>
      <c r="C299" t="str">
        <f>"7.316"</f>
        <v>7.316</v>
      </c>
    </row>
    <row r="300" spans="1:3" x14ac:dyDescent="0.25">
      <c r="A300" t="str">
        <f>"18/08/2010"</f>
        <v>18/08/2010</v>
      </c>
      <c r="B300" t="str">
        <f>"7.2825"</f>
        <v>7.2825</v>
      </c>
      <c r="C300" t="str">
        <f>"7.3215"</f>
        <v>7.3215</v>
      </c>
    </row>
    <row r="301" spans="1:3" x14ac:dyDescent="0.25">
      <c r="A301" t="str">
        <f>"20/08/2010"</f>
        <v>20/08/2010</v>
      </c>
      <c r="B301" t="str">
        <f>"7.31"</f>
        <v>7.31</v>
      </c>
      <c r="C301" t="str">
        <f>"7.3484"</f>
        <v>7.3484</v>
      </c>
    </row>
    <row r="302" spans="1:3" x14ac:dyDescent="0.25">
      <c r="A302" t="str">
        <f>"23/08/2010"</f>
        <v>23/08/2010</v>
      </c>
      <c r="B302" t="str">
        <f>"7.3112"</f>
        <v>7.3112</v>
      </c>
      <c r="C302" t="str">
        <f>"7.3535"</f>
        <v>7.3535</v>
      </c>
    </row>
    <row r="303" spans="1:3" x14ac:dyDescent="0.25">
      <c r="A303" t="str">
        <f>"24/08/2010"</f>
        <v>24/08/2010</v>
      </c>
      <c r="B303" t="str">
        <f>"7.38"</f>
        <v>7.38</v>
      </c>
      <c r="C303" t="str">
        <f>"7.4209"</f>
        <v>7.4209</v>
      </c>
    </row>
    <row r="304" spans="1:3" x14ac:dyDescent="0.25">
      <c r="A304" t="str">
        <f>"25/08/2010"</f>
        <v>25/08/2010</v>
      </c>
      <c r="B304" t="str">
        <f>"7.3525"</f>
        <v>7.3525</v>
      </c>
      <c r="C304" t="str">
        <f>"7.3924"</f>
        <v>7.3924</v>
      </c>
    </row>
    <row r="305" spans="1:3" x14ac:dyDescent="0.25">
      <c r="A305" t="str">
        <f>"26/08/2010"</f>
        <v>26/08/2010</v>
      </c>
      <c r="B305" t="str">
        <f>"7.3345"</f>
        <v>7.3345</v>
      </c>
      <c r="C305" t="str">
        <f>"7.3728"</f>
        <v>7.3728</v>
      </c>
    </row>
    <row r="306" spans="1:3" x14ac:dyDescent="0.25">
      <c r="A306" t="str">
        <f>"27/08/2010"</f>
        <v>27/08/2010</v>
      </c>
      <c r="B306" t="str">
        <f>"7.3298"</f>
        <v>7.3298</v>
      </c>
      <c r="C306" t="str">
        <f>"7.3686"</f>
        <v>7.3686</v>
      </c>
    </row>
    <row r="307" spans="1:3" x14ac:dyDescent="0.25">
      <c r="A307" t="str">
        <f>"30/08/2010"</f>
        <v>30/08/2010</v>
      </c>
      <c r="B307" t="str">
        <f>"7.31"</f>
        <v>7.31</v>
      </c>
      <c r="C307" t="str">
        <f>"7.3476"</f>
        <v>7.3476</v>
      </c>
    </row>
    <row r="308" spans="1:3" x14ac:dyDescent="0.25">
      <c r="A308" t="str">
        <f>"31/08/2010"</f>
        <v>31/08/2010</v>
      </c>
      <c r="B308" t="str">
        <f>"7.355"</f>
        <v>7.355</v>
      </c>
      <c r="C308" t="str">
        <f>"7.3914"</f>
        <v>7.3914</v>
      </c>
    </row>
    <row r="309" spans="1:3" x14ac:dyDescent="0.25">
      <c r="A309" t="str">
        <f>"01/09/2010"</f>
        <v>01/09/2010</v>
      </c>
      <c r="B309" t="str">
        <f>"7.3685"</f>
        <v>7.3685</v>
      </c>
      <c r="C309" t="str">
        <f>"7.4083"</f>
        <v>7.4083</v>
      </c>
    </row>
    <row r="310" spans="1:3" x14ac:dyDescent="0.25">
      <c r="A310" t="str">
        <f>"02/09/2010"</f>
        <v>02/09/2010</v>
      </c>
      <c r="B310" t="str">
        <f>"7.319"</f>
        <v>7.319</v>
      </c>
      <c r="C310" t="str">
        <f>"7.3553"</f>
        <v>7.3553</v>
      </c>
    </row>
    <row r="311" spans="1:3" x14ac:dyDescent="0.25">
      <c r="A311" t="str">
        <f>"03/09/2010"</f>
        <v>03/09/2010</v>
      </c>
      <c r="B311" t="str">
        <f>"7.253"</f>
        <v>7.253</v>
      </c>
      <c r="C311" t="str">
        <f>"7.2889"</f>
        <v>7.2889</v>
      </c>
    </row>
    <row r="312" spans="1:3" x14ac:dyDescent="0.25">
      <c r="A312" t="str">
        <f>"06/09/2010"</f>
        <v>06/09/2010</v>
      </c>
      <c r="B312" t="str">
        <f>"7.185"</f>
        <v>7.185</v>
      </c>
      <c r="C312" t="str">
        <f>"7.2219"</f>
        <v>7.2219</v>
      </c>
    </row>
    <row r="313" spans="1:3" x14ac:dyDescent="0.25">
      <c r="A313" t="str">
        <f>"07/09/2010"</f>
        <v>07/09/2010</v>
      </c>
      <c r="B313" t="str">
        <f>"7.2437"</f>
        <v>7.2437</v>
      </c>
      <c r="C313" t="str">
        <f>"7.2783"</f>
        <v>7.2783</v>
      </c>
    </row>
    <row r="314" spans="1:3" x14ac:dyDescent="0.25">
      <c r="A314" t="str">
        <f>"08/09/2010"</f>
        <v>08/09/2010</v>
      </c>
      <c r="B314" t="str">
        <f>"7.29"</f>
        <v>7.29</v>
      </c>
      <c r="C314" t="str">
        <f>"7.3281"</f>
        <v>7.3281</v>
      </c>
    </row>
    <row r="315" spans="1:3" x14ac:dyDescent="0.25">
      <c r="A315" t="str">
        <f>"09/09/2010"</f>
        <v>09/09/2010</v>
      </c>
      <c r="B315" t="str">
        <f>"7.2415"</f>
        <v>7.2415</v>
      </c>
      <c r="C315" t="str">
        <f>"7.2784"</f>
        <v>7.2784</v>
      </c>
    </row>
    <row r="316" spans="1:3" x14ac:dyDescent="0.25">
      <c r="A316" t="str">
        <f>"13/09/2010"</f>
        <v>13/09/2010</v>
      </c>
      <c r="B316" t="str">
        <f>"7.1676"</f>
        <v>7.1676</v>
      </c>
      <c r="C316" t="str">
        <f>"7.2026"</f>
        <v>7.2026</v>
      </c>
    </row>
    <row r="317" spans="1:3" x14ac:dyDescent="0.25">
      <c r="A317" t="str">
        <f>"14/09/2010"</f>
        <v>14/09/2010</v>
      </c>
      <c r="B317" t="str">
        <f>"7.144"</f>
        <v>7.144</v>
      </c>
      <c r="C317" t="str">
        <f>"7.1791"</f>
        <v>7.1791</v>
      </c>
    </row>
    <row r="318" spans="1:3" x14ac:dyDescent="0.25">
      <c r="A318" t="str">
        <f>"15/09/2010"</f>
        <v>15/09/2010</v>
      </c>
      <c r="B318" t="str">
        <f>"7.122"</f>
        <v>7.122</v>
      </c>
      <c r="C318" t="str">
        <f>"7.1589"</f>
        <v>7.1589</v>
      </c>
    </row>
    <row r="319" spans="1:3" x14ac:dyDescent="0.25">
      <c r="A319" t="str">
        <f>"16/09/2010"</f>
        <v>16/09/2010</v>
      </c>
      <c r="B319" t="str">
        <f>"7.1116"</f>
        <v>7.1116</v>
      </c>
      <c r="C319" t="str">
        <f>"7.1474"</f>
        <v>7.1474</v>
      </c>
    </row>
    <row r="320" spans="1:3" x14ac:dyDescent="0.25">
      <c r="A320" t="str">
        <f>"17/09/2010"</f>
        <v>17/09/2010</v>
      </c>
      <c r="B320" t="str">
        <f>"7.159"</f>
        <v>7.159</v>
      </c>
      <c r="C320" t="str">
        <f>"7.1953"</f>
        <v>7.1953</v>
      </c>
    </row>
    <row r="321" spans="1:3" x14ac:dyDescent="0.25">
      <c r="A321" t="str">
        <f>"20/09/2010"</f>
        <v>20/09/2010</v>
      </c>
      <c r="B321" t="str">
        <f>"7.14"</f>
        <v>7.14</v>
      </c>
      <c r="C321" t="str">
        <f>"7.176"</f>
        <v>7.176</v>
      </c>
    </row>
    <row r="322" spans="1:3" x14ac:dyDescent="0.25">
      <c r="A322" t="str">
        <f>"21/09/2010"</f>
        <v>21/09/2010</v>
      </c>
      <c r="B322" t="str">
        <f>"7.134"</f>
        <v>7.134</v>
      </c>
      <c r="C322" t="str">
        <f>"7.1684"</f>
        <v>7.1684</v>
      </c>
    </row>
    <row r="323" spans="1:3" x14ac:dyDescent="0.25">
      <c r="A323" t="str">
        <f>"22/09/2010"</f>
        <v>22/09/2010</v>
      </c>
      <c r="B323" t="str">
        <f>"7.0675"</f>
        <v>7.0675</v>
      </c>
      <c r="C323" t="str">
        <f>"7.1035"</f>
        <v>7.1035</v>
      </c>
    </row>
    <row r="324" spans="1:3" x14ac:dyDescent="0.25">
      <c r="A324" t="str">
        <f>"23/09/2010"</f>
        <v>23/09/2010</v>
      </c>
      <c r="B324" t="str">
        <f>"7.0495"</f>
        <v>7.0495</v>
      </c>
      <c r="C324" t="str">
        <f>"7.0833"</f>
        <v>7.0833</v>
      </c>
    </row>
    <row r="325" spans="1:3" x14ac:dyDescent="0.25">
      <c r="A325" t="str">
        <f>"24/09/2010"</f>
        <v>24/09/2010</v>
      </c>
      <c r="B325" t="str">
        <f>"7.1115"</f>
        <v>7.1115</v>
      </c>
      <c r="C325" t="str">
        <f>"7.1457"</f>
        <v>7.1457</v>
      </c>
    </row>
    <row r="326" spans="1:3" x14ac:dyDescent="0.25">
      <c r="A326" t="str">
        <f>"27/09/2010"</f>
        <v>27/09/2010</v>
      </c>
      <c r="B326" t="str">
        <f>"7.03"</f>
        <v>7.03</v>
      </c>
      <c r="C326" t="str">
        <f>"7.0639"</f>
        <v>7.0639</v>
      </c>
    </row>
    <row r="327" spans="1:3" x14ac:dyDescent="0.25">
      <c r="A327" t="str">
        <f>"28/09/2010"</f>
        <v>28/09/2010</v>
      </c>
      <c r="B327" t="str">
        <f>"7.0175"</f>
        <v>7.0175</v>
      </c>
      <c r="C327" t="str">
        <f>"7.0501"</f>
        <v>7.0501</v>
      </c>
    </row>
    <row r="328" spans="1:3" x14ac:dyDescent="0.25">
      <c r="A328" t="str">
        <f>"29/09/2010"</f>
        <v>29/09/2010</v>
      </c>
      <c r="B328" t="str">
        <f>"6.958"</f>
        <v>6.958</v>
      </c>
      <c r="C328" t="str">
        <f>"6.9936"</f>
        <v>6.9936</v>
      </c>
    </row>
    <row r="329" spans="1:3" x14ac:dyDescent="0.25">
      <c r="A329" t="str">
        <f>"01/10/2010"</f>
        <v>01/10/2010</v>
      </c>
      <c r="B329" t="str">
        <f>"6.9725"</f>
        <v>6.9725</v>
      </c>
      <c r="C329" t="str">
        <f>"7.0091"</f>
        <v>7.0091</v>
      </c>
    </row>
    <row r="330" spans="1:3" x14ac:dyDescent="0.25">
      <c r="A330" t="str">
        <f>"04/10/2010"</f>
        <v>04/10/2010</v>
      </c>
      <c r="B330" t="str">
        <f>"6.962"</f>
        <v>6.962</v>
      </c>
      <c r="C330" t="str">
        <f>"6.9978"</f>
        <v>6.9978</v>
      </c>
    </row>
    <row r="331" spans="1:3" x14ac:dyDescent="0.25">
      <c r="A331" t="str">
        <f>"05/10/2010"</f>
        <v>05/10/2010</v>
      </c>
      <c r="B331" t="str">
        <f>"7.025"</f>
        <v>7.025</v>
      </c>
      <c r="C331" t="str">
        <f>"7.0625"</f>
        <v>7.0625</v>
      </c>
    </row>
    <row r="332" spans="1:3" x14ac:dyDescent="0.25">
      <c r="A332" t="str">
        <f>"06/10/2010"</f>
        <v>06/10/2010</v>
      </c>
      <c r="B332" t="str">
        <f>"6.9025"</f>
        <v>6.9025</v>
      </c>
      <c r="C332" t="str">
        <f>"6.9368"</f>
        <v>6.9368</v>
      </c>
    </row>
    <row r="333" spans="1:3" x14ac:dyDescent="0.25">
      <c r="A333" t="str">
        <f>"07/10/2010"</f>
        <v>07/10/2010</v>
      </c>
      <c r="B333" t="str">
        <f>"6.86"</f>
        <v>6.86</v>
      </c>
      <c r="C333" t="str">
        <f>"6.8954"</f>
        <v>6.8954</v>
      </c>
    </row>
    <row r="334" spans="1:3" x14ac:dyDescent="0.25">
      <c r="A334" t="str">
        <f>"08/10/2010"</f>
        <v>08/10/2010</v>
      </c>
      <c r="B334" t="str">
        <f>"6.93"</f>
        <v>6.93</v>
      </c>
      <c r="C334" t="str">
        <f>"6.9652"</f>
        <v>6.9652</v>
      </c>
    </row>
    <row r="335" spans="1:3" x14ac:dyDescent="0.25">
      <c r="A335" t="str">
        <f>"11/10/2010"</f>
        <v>11/10/2010</v>
      </c>
      <c r="B335" t="str">
        <f>"6.8486"</f>
        <v>6.8486</v>
      </c>
      <c r="C335" t="str">
        <f>"6.8856"</f>
        <v>6.8856</v>
      </c>
    </row>
    <row r="336" spans="1:3" x14ac:dyDescent="0.25">
      <c r="A336" t="str">
        <f>"12/10/2010"</f>
        <v>12/10/2010</v>
      </c>
      <c r="B336" t="str">
        <f>"6.8887"</f>
        <v>6.8887</v>
      </c>
      <c r="C336" t="str">
        <f>"6.9237"</f>
        <v>6.9237</v>
      </c>
    </row>
    <row r="337" spans="1:3" x14ac:dyDescent="0.25">
      <c r="A337" t="str">
        <f>"13/10/2010"</f>
        <v>13/10/2010</v>
      </c>
      <c r="B337" t="str">
        <f>"6.8515"</f>
        <v>6.8515</v>
      </c>
      <c r="C337" t="str">
        <f>"6.8851"</f>
        <v>6.8851</v>
      </c>
    </row>
    <row r="338" spans="1:3" x14ac:dyDescent="0.25">
      <c r="A338" t="str">
        <f>"14/10/2010"</f>
        <v>14/10/2010</v>
      </c>
      <c r="B338" t="str">
        <f>"6.8015"</f>
        <v>6.8015</v>
      </c>
      <c r="C338" t="str">
        <f>"6.8349"</f>
        <v>6.8349</v>
      </c>
    </row>
    <row r="339" spans="1:3" x14ac:dyDescent="0.25">
      <c r="A339" t="str">
        <f>"15/10/2010"</f>
        <v>15/10/2010</v>
      </c>
      <c r="B339" t="str">
        <f>"6.8102"</f>
        <v>6.8102</v>
      </c>
      <c r="C339" t="str">
        <f>"6.8444"</f>
        <v>6.8444</v>
      </c>
    </row>
    <row r="340" spans="1:3" x14ac:dyDescent="0.25">
      <c r="A340" t="str">
        <f>"18/10/2010"</f>
        <v>18/10/2010</v>
      </c>
      <c r="B340" t="str">
        <f>"6.8744"</f>
        <v>6.8744</v>
      </c>
      <c r="C340" t="str">
        <f>"6.9082"</f>
        <v>6.9082</v>
      </c>
    </row>
    <row r="341" spans="1:3" x14ac:dyDescent="0.25">
      <c r="A341" t="str">
        <f>"19/10/2010"</f>
        <v>19/10/2010</v>
      </c>
      <c r="B341" t="str">
        <f>"6.899"</f>
        <v>6.899</v>
      </c>
      <c r="C341" t="str">
        <f>"6.935"</f>
        <v>6.935</v>
      </c>
    </row>
    <row r="342" spans="1:3" x14ac:dyDescent="0.25">
      <c r="A342" t="str">
        <f>"20/10/2010"</f>
        <v>20/10/2010</v>
      </c>
      <c r="B342" t="str">
        <f>"6.97"</f>
        <v>6.97</v>
      </c>
      <c r="C342" t="str">
        <f>"7.0059"</f>
        <v>7.0059</v>
      </c>
    </row>
    <row r="343" spans="1:3" x14ac:dyDescent="0.25">
      <c r="A343" t="str">
        <f>"21/10/2010"</f>
        <v>21/10/2010</v>
      </c>
      <c r="B343" t="str">
        <f>"6.9617"</f>
        <v>6.9617</v>
      </c>
      <c r="C343" t="str">
        <f>"6.9957"</f>
        <v>6.9957</v>
      </c>
    </row>
    <row r="344" spans="1:3" x14ac:dyDescent="0.25">
      <c r="A344" t="str">
        <f>"22/10/2010"</f>
        <v>22/10/2010</v>
      </c>
      <c r="B344" t="str">
        <f>"6.981"</f>
        <v>6.981</v>
      </c>
      <c r="C344" t="str">
        <f>"7.0166"</f>
        <v>7.0166</v>
      </c>
    </row>
    <row r="345" spans="1:3" x14ac:dyDescent="0.25">
      <c r="A345" t="str">
        <f>"25/10/2010"</f>
        <v>25/10/2010</v>
      </c>
      <c r="B345" t="str">
        <f>"6.9146"</f>
        <v>6.9146</v>
      </c>
      <c r="C345" t="str">
        <f>"6.9488"</f>
        <v>6.9488</v>
      </c>
    </row>
    <row r="346" spans="1:3" x14ac:dyDescent="0.25">
      <c r="A346" t="str">
        <f>"26/10/2010"</f>
        <v>26/10/2010</v>
      </c>
      <c r="B346" t="str">
        <f>"6.9255"</f>
        <v>6.9255</v>
      </c>
      <c r="C346" t="str">
        <f>"6.9622"</f>
        <v>6.9622</v>
      </c>
    </row>
    <row r="347" spans="1:3" x14ac:dyDescent="0.25">
      <c r="A347" t="str">
        <f>"27/10/2010"</f>
        <v>27/10/2010</v>
      </c>
      <c r="B347" t="str">
        <f>"6.975"</f>
        <v>6.975</v>
      </c>
      <c r="C347" t="str">
        <f>"7.0106"</f>
        <v>7.0106</v>
      </c>
    </row>
    <row r="348" spans="1:3" x14ac:dyDescent="0.25">
      <c r="A348" t="str">
        <f>"28/10/2010"</f>
        <v>28/10/2010</v>
      </c>
      <c r="B348" t="str">
        <f>"7.06"</f>
        <v>7.06</v>
      </c>
      <c r="C348" t="str">
        <f>"7.096"</f>
        <v>7.096</v>
      </c>
    </row>
    <row r="349" spans="1:3" x14ac:dyDescent="0.25">
      <c r="A349" t="str">
        <f>"29/10/2010"</f>
        <v>29/10/2010</v>
      </c>
      <c r="B349" t="str">
        <f>"7.0225"</f>
        <v>7.0225</v>
      </c>
      <c r="C349" t="str">
        <f>"7.0552"</f>
        <v>7.0552</v>
      </c>
    </row>
    <row r="350" spans="1:3" x14ac:dyDescent="0.25">
      <c r="A350" t="str">
        <f>"01/11/2010"</f>
        <v>01/11/2010</v>
      </c>
      <c r="B350" t="str">
        <f>"6.982"</f>
        <v>6.982</v>
      </c>
      <c r="C350" t="str">
        <f>"7.0149"</f>
        <v>7.0149</v>
      </c>
    </row>
    <row r="351" spans="1:3" x14ac:dyDescent="0.25">
      <c r="A351" t="str">
        <f>"02/11/2010"</f>
        <v>02/11/2010</v>
      </c>
      <c r="B351" t="str">
        <f>"6.979"</f>
        <v>6.979</v>
      </c>
      <c r="C351" t="str">
        <f>"7.013"</f>
        <v>7.013</v>
      </c>
    </row>
    <row r="352" spans="1:3" x14ac:dyDescent="0.25">
      <c r="A352" t="str">
        <f>"03/11/2010"</f>
        <v>03/11/2010</v>
      </c>
      <c r="B352" t="str">
        <f>"6.8967"</f>
        <v>6.8967</v>
      </c>
      <c r="C352" t="str">
        <f>"6.9311"</f>
        <v>6.9311</v>
      </c>
    </row>
    <row r="353" spans="1:3" x14ac:dyDescent="0.25">
      <c r="A353" t="str">
        <f>"04/11/2010"</f>
        <v>04/11/2010</v>
      </c>
      <c r="B353" t="str">
        <f>"6.88"</f>
        <v>6.88</v>
      </c>
      <c r="C353" t="str">
        <f>"6.9132"</f>
        <v>6.9132</v>
      </c>
    </row>
    <row r="354" spans="1:3" x14ac:dyDescent="0.25">
      <c r="A354" t="str">
        <f>"08/11/2010"</f>
        <v>08/11/2010</v>
      </c>
      <c r="B354" t="str">
        <f>"6.831"</f>
        <v>6.831</v>
      </c>
      <c r="C354" t="str">
        <f>"6.862"</f>
        <v>6.862</v>
      </c>
    </row>
    <row r="355" spans="1:3" x14ac:dyDescent="0.25">
      <c r="A355" t="str">
        <f>"09/11/2010"</f>
        <v>09/11/2010</v>
      </c>
      <c r="B355" t="str">
        <f>"6.8598"</f>
        <v>6.8598</v>
      </c>
      <c r="C355" t="str">
        <f>"6.8928"</f>
        <v>6.8928</v>
      </c>
    </row>
    <row r="356" spans="1:3" x14ac:dyDescent="0.25">
      <c r="A356" t="str">
        <f>"10/11/2010"</f>
        <v>10/11/2010</v>
      </c>
      <c r="B356" t="str">
        <f>"6.9008"</f>
        <v>6.9008</v>
      </c>
      <c r="C356" t="str">
        <f>"6.9347"</f>
        <v>6.9347</v>
      </c>
    </row>
    <row r="357" spans="1:3" x14ac:dyDescent="0.25">
      <c r="A357" t="str">
        <f>"11/11/2010"</f>
        <v>11/11/2010</v>
      </c>
      <c r="B357" t="str">
        <f>"6.897"</f>
        <v>6.897</v>
      </c>
      <c r="C357" t="str">
        <f>"6.9299"</f>
        <v>6.9299</v>
      </c>
    </row>
    <row r="358" spans="1:3" x14ac:dyDescent="0.25">
      <c r="A358" t="str">
        <f>"12/11/2010"</f>
        <v>12/11/2010</v>
      </c>
      <c r="B358" t="str">
        <f>"6.9722"</f>
        <v>6.9722</v>
      </c>
      <c r="C358" t="str">
        <f>"7.0066"</f>
        <v>7.0066</v>
      </c>
    </row>
    <row r="359" spans="1:3" x14ac:dyDescent="0.25">
      <c r="A359" t="str">
        <f>"15/11/2010"</f>
        <v>15/11/2010</v>
      </c>
      <c r="B359" t="str">
        <f>"6.9874"</f>
        <v>6.9874</v>
      </c>
      <c r="C359" t="str">
        <f>"7.0203"</f>
        <v>7.0203</v>
      </c>
    </row>
    <row r="360" spans="1:3" x14ac:dyDescent="0.25">
      <c r="A360" t="str">
        <f>"16/11/2010"</f>
        <v>16/11/2010</v>
      </c>
      <c r="B360" t="str">
        <f>"6.9804"</f>
        <v>6.9804</v>
      </c>
      <c r="C360" t="str">
        <f>"7.0127"</f>
        <v>7.0127</v>
      </c>
    </row>
    <row r="361" spans="1:3" x14ac:dyDescent="0.25">
      <c r="A361" t="str">
        <f>"18/11/2010"</f>
        <v>18/11/2010</v>
      </c>
      <c r="B361" t="str">
        <f>"7.0258"</f>
        <v>7.0258</v>
      </c>
      <c r="C361" t="str">
        <f>"7.0599"</f>
        <v>7.0599</v>
      </c>
    </row>
    <row r="362" spans="1:3" x14ac:dyDescent="0.25">
      <c r="A362" t="str">
        <f>"22/11/2010"</f>
        <v>22/11/2010</v>
      </c>
      <c r="B362" t="str">
        <f>"6.9725"</f>
        <v>6.9725</v>
      </c>
      <c r="C362" t="str">
        <f>"7.0038"</f>
        <v>7.0038</v>
      </c>
    </row>
    <row r="363" spans="1:3" x14ac:dyDescent="0.25">
      <c r="A363" t="str">
        <f>"23/11/2010"</f>
        <v>23/11/2010</v>
      </c>
      <c r="B363" t="str">
        <f>"7.02"</f>
        <v>7.02</v>
      </c>
      <c r="C363" t="str">
        <f>"7.0529"</f>
        <v>7.0529</v>
      </c>
    </row>
    <row r="364" spans="1:3" x14ac:dyDescent="0.25">
      <c r="A364" t="str">
        <f>"24/11/2010"</f>
        <v>24/11/2010</v>
      </c>
      <c r="B364" t="str">
        <f>"7.102"</f>
        <v>7.102</v>
      </c>
      <c r="C364" t="str">
        <f>"7.1362"</f>
        <v>7.1362</v>
      </c>
    </row>
    <row r="365" spans="1:3" x14ac:dyDescent="0.25">
      <c r="A365" t="str">
        <f>"25/11/2010"</f>
        <v>25/11/2010</v>
      </c>
      <c r="B365" t="str">
        <f>"7.0917"</f>
        <v>7.0917</v>
      </c>
      <c r="C365" t="str">
        <f>"7.1251"</f>
        <v>7.1251</v>
      </c>
    </row>
    <row r="366" spans="1:3" x14ac:dyDescent="0.25">
      <c r="A366" t="str">
        <f>"26/11/2010"</f>
        <v>26/11/2010</v>
      </c>
      <c r="B366" t="str">
        <f>"7.065"</f>
        <v>7.065</v>
      </c>
      <c r="C366" t="str">
        <f>"7.0969"</f>
        <v>7.0969</v>
      </c>
    </row>
    <row r="367" spans="1:3" x14ac:dyDescent="0.25">
      <c r="A367" t="str">
        <f>"29/11/2010"</f>
        <v>29/11/2010</v>
      </c>
      <c r="B367" t="str">
        <f>"7.1525"</f>
        <v>7.1525</v>
      </c>
      <c r="C367" t="str">
        <f>"7.1859"</f>
        <v>7.1859</v>
      </c>
    </row>
    <row r="368" spans="1:3" x14ac:dyDescent="0.25">
      <c r="A368" t="str">
        <f>"30/11/2010"</f>
        <v>30/11/2010</v>
      </c>
      <c r="B368" t="str">
        <f>"7.152"</f>
        <v>7.152</v>
      </c>
      <c r="C368" t="str">
        <f>"7.1897"</f>
        <v>7.1897</v>
      </c>
    </row>
    <row r="369" spans="1:3" x14ac:dyDescent="0.25">
      <c r="A369" t="str">
        <f>"01/12/2010"</f>
        <v>01/12/2010</v>
      </c>
      <c r="B369" t="str">
        <f>"7.105"</f>
        <v>7.105</v>
      </c>
      <c r="C369" t="str">
        <f>"7.1418"</f>
        <v>7.1418</v>
      </c>
    </row>
    <row r="370" spans="1:3" x14ac:dyDescent="0.25">
      <c r="A370" t="str">
        <f>"02/12/2010"</f>
        <v>02/12/2010</v>
      </c>
      <c r="B370" t="str">
        <f>"7.0371"</f>
        <v>7.0371</v>
      </c>
      <c r="C370" t="str">
        <f>"7.0716"</f>
        <v>7.0716</v>
      </c>
    </row>
    <row r="371" spans="1:3" x14ac:dyDescent="0.25">
      <c r="A371" t="str">
        <f>"03/12/2010"</f>
        <v>03/12/2010</v>
      </c>
      <c r="B371" t="str">
        <f>"6.916"</f>
        <v>6.916</v>
      </c>
      <c r="C371" t="str">
        <f>"6.9496"</f>
        <v>6.9496</v>
      </c>
    </row>
    <row r="372" spans="1:3" x14ac:dyDescent="0.25">
      <c r="A372" t="str">
        <f>"06/12/2010"</f>
        <v>06/12/2010</v>
      </c>
      <c r="B372" t="str">
        <f>"6.8906"</f>
        <v>6.8906</v>
      </c>
      <c r="C372" t="str">
        <f>"6.9232"</f>
        <v>6.9232</v>
      </c>
    </row>
    <row r="373" spans="1:3" x14ac:dyDescent="0.25">
      <c r="A373" t="str">
        <f>"07/12/2010"</f>
        <v>07/12/2010</v>
      </c>
      <c r="B373" t="str">
        <f>"6.899"</f>
        <v>6.899</v>
      </c>
      <c r="C373" t="str">
        <f>"6.9336"</f>
        <v>6.9336</v>
      </c>
    </row>
    <row r="374" spans="1:3" x14ac:dyDescent="0.25">
      <c r="A374" t="str">
        <f>"08/12/2010"</f>
        <v>08/12/2010</v>
      </c>
      <c r="B374" t="str">
        <f>"6.9615"</f>
        <v>6.9615</v>
      </c>
      <c r="C374" t="str">
        <f>"6.9959"</f>
        <v>6.9959</v>
      </c>
    </row>
    <row r="375" spans="1:3" x14ac:dyDescent="0.25">
      <c r="A375" t="str">
        <f>"09/12/2010"</f>
        <v>09/12/2010</v>
      </c>
      <c r="B375" t="str">
        <f>"6.933"</f>
        <v>6.933</v>
      </c>
      <c r="C375" t="str">
        <f>"6.9661"</f>
        <v>6.9661</v>
      </c>
    </row>
    <row r="376" spans="1:3" x14ac:dyDescent="0.25">
      <c r="A376" t="str">
        <f>"10/12/2010"</f>
        <v>10/12/2010</v>
      </c>
      <c r="B376" t="str">
        <f>"6.9008"</f>
        <v>6.9008</v>
      </c>
      <c r="C376" t="str">
        <f>"6.9334"</f>
        <v>6.9334</v>
      </c>
    </row>
    <row r="377" spans="1:3" x14ac:dyDescent="0.25">
      <c r="A377" t="str">
        <f>"13/12/2010"</f>
        <v>13/12/2010</v>
      </c>
      <c r="B377" t="str">
        <f>"6.876"</f>
        <v>6.876</v>
      </c>
      <c r="C377" t="str">
        <f>"6.8918"</f>
        <v>6.8918</v>
      </c>
    </row>
    <row r="378" spans="1:3" x14ac:dyDescent="0.25">
      <c r="A378" t="str">
        <f>"14/12/2010"</f>
        <v>14/12/2010</v>
      </c>
      <c r="B378" t="str">
        <f>"6.8476"</f>
        <v>6.8476</v>
      </c>
      <c r="C378" t="str">
        <f>"6.881"</f>
        <v>6.881</v>
      </c>
    </row>
    <row r="379" spans="1:3" x14ac:dyDescent="0.25">
      <c r="A379" t="str">
        <f>"15/12/2010"</f>
        <v>15/12/2010</v>
      </c>
      <c r="B379" t="str">
        <f>"6.844"</f>
        <v>6.844</v>
      </c>
      <c r="C379" t="str">
        <f>"6.8761"</f>
        <v>6.8761</v>
      </c>
    </row>
    <row r="380" spans="1:3" x14ac:dyDescent="0.25">
      <c r="A380" t="str">
        <f>"16/12/2010"</f>
        <v>16/12/2010</v>
      </c>
      <c r="B380" t="str">
        <f>"6.8702"</f>
        <v>6.8702</v>
      </c>
      <c r="C380" t="str">
        <f>"6.9027"</f>
        <v>6.9027</v>
      </c>
    </row>
    <row r="381" spans="1:3" x14ac:dyDescent="0.25">
      <c r="A381" t="str">
        <f>"20/12/2010"</f>
        <v>20/12/2010</v>
      </c>
      <c r="B381" t="str">
        <f>"6.8729"</f>
        <v>6.8729</v>
      </c>
      <c r="C381" t="str">
        <f>"6.9055"</f>
        <v>6.9055</v>
      </c>
    </row>
    <row r="382" spans="1:3" x14ac:dyDescent="0.25">
      <c r="A382" t="str">
        <f>"21/12/2010"</f>
        <v>21/12/2010</v>
      </c>
      <c r="B382" t="str">
        <f>"6.8351"</f>
        <v>6.8351</v>
      </c>
      <c r="C382" t="str">
        <f>"6.8707"</f>
        <v>6.8707</v>
      </c>
    </row>
    <row r="383" spans="1:3" x14ac:dyDescent="0.25">
      <c r="A383" t="str">
        <f>"22/12/2010"</f>
        <v>22/12/2010</v>
      </c>
      <c r="B383" t="str">
        <f>"6.839"</f>
        <v>6.839</v>
      </c>
      <c r="C383" t="str">
        <f>"6.8726"</f>
        <v>6.8726</v>
      </c>
    </row>
    <row r="384" spans="1:3" x14ac:dyDescent="0.25">
      <c r="A384" t="str">
        <f>"23/12/2010"</f>
        <v>23/12/2010</v>
      </c>
      <c r="B384" t="str">
        <f>"6.7925"</f>
        <v>6.7925</v>
      </c>
      <c r="C384" t="str">
        <f>"6.8252"</f>
        <v>6.8252</v>
      </c>
    </row>
    <row r="385" spans="1:3" x14ac:dyDescent="0.25">
      <c r="A385" t="str">
        <f>"24/12/2010"</f>
        <v>24/12/2010</v>
      </c>
      <c r="B385" t="str">
        <f>"6.772"</f>
        <v>6.772</v>
      </c>
      <c r="C385" t="str">
        <f>"6.8044"</f>
        <v>6.8044</v>
      </c>
    </row>
    <row r="386" spans="1:3" x14ac:dyDescent="0.25">
      <c r="A386" t="str">
        <f>"27/12/2010"</f>
        <v>27/12/2010</v>
      </c>
      <c r="B386" t="str">
        <f>"6.7489"</f>
        <v>6.7489</v>
      </c>
      <c r="C386" t="str">
        <f>"6.7833"</f>
        <v>6.7833</v>
      </c>
    </row>
    <row r="387" spans="1:3" x14ac:dyDescent="0.25">
      <c r="A387" t="str">
        <f>"28/12/2010"</f>
        <v>28/12/2010</v>
      </c>
      <c r="B387" t="str">
        <f>"6.7275"</f>
        <v>6.7275</v>
      </c>
      <c r="C387" t="str">
        <f>"6.7619"</f>
        <v>6.7619</v>
      </c>
    </row>
    <row r="388" spans="1:3" x14ac:dyDescent="0.25">
      <c r="A388" t="str">
        <f>"29/12/2010"</f>
        <v>29/12/2010</v>
      </c>
      <c r="B388" t="str">
        <f>"6.6949"</f>
        <v>6.6949</v>
      </c>
      <c r="C388" t="str">
        <f>"6.7278"</f>
        <v>6.7278</v>
      </c>
    </row>
    <row r="389" spans="1:3" x14ac:dyDescent="0.25">
      <c r="A389" t="str">
        <f>"30/12/2010"</f>
        <v>30/12/2010</v>
      </c>
      <c r="B389" t="str">
        <f>"6.6476"</f>
        <v>6.6476</v>
      </c>
      <c r="C389" t="str">
        <f>"6.6797"</f>
        <v>6.6797</v>
      </c>
    </row>
    <row r="390" spans="1:3" x14ac:dyDescent="0.25">
      <c r="A390" t="str">
        <f>"31/12/2010"</f>
        <v>31/12/2010</v>
      </c>
      <c r="B390" t="str">
        <f>"6.63"</f>
        <v>6.63</v>
      </c>
      <c r="C390" t="str">
        <f>"6.6608"</f>
        <v>6.6608</v>
      </c>
    </row>
    <row r="391" spans="1:3" x14ac:dyDescent="0.25">
      <c r="A391" t="str">
        <f>"03/01/2011"</f>
        <v>03/01/2011</v>
      </c>
      <c r="B391" t="str">
        <f>"6.64"</f>
        <v>6.64</v>
      </c>
      <c r="C391" t="str">
        <f>"6.6705"</f>
        <v>6.6705</v>
      </c>
    </row>
    <row r="392" spans="1:3" x14ac:dyDescent="0.25">
      <c r="A392" t="str">
        <f>"04/01/2011"</f>
        <v>04/01/2011</v>
      </c>
      <c r="B392" t="str">
        <f>"6.633"</f>
        <v>6.633</v>
      </c>
      <c r="C392" t="str">
        <f>"6.6658"</f>
        <v>6.6658</v>
      </c>
    </row>
    <row r="393" spans="1:3" x14ac:dyDescent="0.25">
      <c r="A393" t="str">
        <f>"05/01/2011"</f>
        <v>05/01/2011</v>
      </c>
      <c r="B393" t="str">
        <f>"6.702"</f>
        <v>6.702</v>
      </c>
      <c r="C393" t="str">
        <f>"6.7336"</f>
        <v>6.7336</v>
      </c>
    </row>
    <row r="394" spans="1:3" x14ac:dyDescent="0.25">
      <c r="A394" t="str">
        <f>"06/01/2011"</f>
        <v>06/01/2011</v>
      </c>
      <c r="B394" t="str">
        <f>"6.725"</f>
        <v>6.725</v>
      </c>
      <c r="C394" t="str">
        <f>"6.7564"</f>
        <v>6.7564</v>
      </c>
    </row>
    <row r="395" spans="1:3" x14ac:dyDescent="0.25">
      <c r="A395" t="str">
        <f>"07/01/2011"</f>
        <v>07/01/2011</v>
      </c>
      <c r="B395" t="str">
        <f>"6.8046"</f>
        <v>6.8046</v>
      </c>
      <c r="C395" t="str">
        <f>"6.8362"</f>
        <v>6.8362</v>
      </c>
    </row>
    <row r="396" spans="1:3" x14ac:dyDescent="0.25">
      <c r="A396" t="str">
        <f>"10/01/2011"</f>
        <v>10/01/2011</v>
      </c>
      <c r="B396" t="str">
        <f>"6.8164"</f>
        <v>6.8164</v>
      </c>
      <c r="C396" t="str">
        <f>"6.8479"</f>
        <v>6.8479</v>
      </c>
    </row>
    <row r="397" spans="1:3" x14ac:dyDescent="0.25">
      <c r="A397" t="str">
        <f>"11/01/2011"</f>
        <v>11/01/2011</v>
      </c>
      <c r="B397" t="str">
        <f>"6.8491"</f>
        <v>6.8491</v>
      </c>
      <c r="C397" t="str">
        <f>"6.8816"</f>
        <v>6.8816</v>
      </c>
    </row>
    <row r="398" spans="1:3" x14ac:dyDescent="0.25">
      <c r="A398" t="str">
        <f>"12/01/2011"</f>
        <v>12/01/2011</v>
      </c>
      <c r="B398" t="str">
        <f>"6.8712"</f>
        <v>6.8712</v>
      </c>
      <c r="C398" t="str">
        <f>"6.9029"</f>
        <v>6.9029</v>
      </c>
    </row>
    <row r="399" spans="1:3" x14ac:dyDescent="0.25">
      <c r="A399" t="str">
        <f>"13/01/2011"</f>
        <v>13/01/2011</v>
      </c>
      <c r="B399" t="str">
        <f>"6.843"</f>
        <v>6.843</v>
      </c>
      <c r="C399" t="str">
        <f>"6.8745"</f>
        <v>6.8745</v>
      </c>
    </row>
    <row r="400" spans="1:3" x14ac:dyDescent="0.25">
      <c r="A400" t="str">
        <f>"14/01/2011"</f>
        <v>14/01/2011</v>
      </c>
      <c r="B400" t="str">
        <f>"6.8438"</f>
        <v>6.8438</v>
      </c>
      <c r="C400" t="str">
        <f>"6.8751"</f>
        <v>6.8751</v>
      </c>
    </row>
    <row r="401" spans="1:3" x14ac:dyDescent="0.25">
      <c r="A401" t="str">
        <f>"17/01/2011"</f>
        <v>17/01/2011</v>
      </c>
      <c r="B401" t="str">
        <f>"6.94"</f>
        <v>6.94</v>
      </c>
      <c r="C401" t="str">
        <f>"6.9714"</f>
        <v>6.9714</v>
      </c>
    </row>
    <row r="402" spans="1:3" x14ac:dyDescent="0.25">
      <c r="A402" t="str">
        <f>"18/01/2011"</f>
        <v>18/01/2011</v>
      </c>
      <c r="B402" t="str">
        <f>"6.908"</f>
        <v>6.908</v>
      </c>
      <c r="C402" t="str">
        <f>"6.9415"</f>
        <v>6.9415</v>
      </c>
    </row>
    <row r="403" spans="1:3" x14ac:dyDescent="0.25">
      <c r="A403" t="str">
        <f>"19/01/2011"</f>
        <v>19/01/2011</v>
      </c>
      <c r="B403" t="str">
        <f>"6.8866"</f>
        <v>6.8866</v>
      </c>
      <c r="C403" t="str">
        <f>"6.9199"</f>
        <v>6.9199</v>
      </c>
    </row>
    <row r="404" spans="1:3" x14ac:dyDescent="0.25">
      <c r="A404" t="str">
        <f>"20/01/2011"</f>
        <v>20/01/2011</v>
      </c>
      <c r="B404" t="str">
        <f>"6.992"</f>
        <v>6.992</v>
      </c>
      <c r="C404" t="str">
        <f>"7.0238"</f>
        <v>7.0238</v>
      </c>
    </row>
    <row r="405" spans="1:3" x14ac:dyDescent="0.25">
      <c r="A405" t="str">
        <f>"21/01/2011"</f>
        <v>21/01/2011</v>
      </c>
      <c r="B405" t="str">
        <f>"7.084"</f>
        <v>7.084</v>
      </c>
      <c r="C405" t="str">
        <f>"7.1159"</f>
        <v>7.1159</v>
      </c>
    </row>
    <row r="406" spans="1:3" x14ac:dyDescent="0.25">
      <c r="A406" t="str">
        <f>"24/01/2011"</f>
        <v>24/01/2011</v>
      </c>
      <c r="B406" t="str">
        <f>"7.0668"</f>
        <v>7.0668</v>
      </c>
      <c r="C406" t="str">
        <f>"7.0991"</f>
        <v>7.0991</v>
      </c>
    </row>
    <row r="407" spans="1:3" x14ac:dyDescent="0.25">
      <c r="A407" t="str">
        <f>"25/01/2011"</f>
        <v>25/01/2011</v>
      </c>
      <c r="B407" t="str">
        <f>"7.019"</f>
        <v>7.019</v>
      </c>
      <c r="C407" t="str">
        <f>"7.0523"</f>
        <v>7.0523</v>
      </c>
    </row>
    <row r="408" spans="1:3" x14ac:dyDescent="0.25">
      <c r="A408" t="str">
        <f>"27/01/2011"</f>
        <v>27/01/2011</v>
      </c>
      <c r="B408" t="str">
        <f>"7.073"</f>
        <v>7.073</v>
      </c>
      <c r="C408" t="str">
        <f>"7.1061"</f>
        <v>7.1061</v>
      </c>
    </row>
    <row r="409" spans="1:3" x14ac:dyDescent="0.25">
      <c r="A409" t="str">
        <f>"28/01/2011"</f>
        <v>28/01/2011</v>
      </c>
      <c r="B409" t="str">
        <f>"7.0729"</f>
        <v>7.0729</v>
      </c>
      <c r="C409" t="str">
        <f>"7.1033"</f>
        <v>7.1033</v>
      </c>
    </row>
    <row r="410" spans="1:3" x14ac:dyDescent="0.25">
      <c r="A410" t="str">
        <f>"31/01/2011"</f>
        <v>31/01/2011</v>
      </c>
      <c r="B410" t="str">
        <f>"7.169"</f>
        <v>7.169</v>
      </c>
      <c r="C410" t="str">
        <f>"7.1996"</f>
        <v>7.1996</v>
      </c>
    </row>
    <row r="411" spans="1:3" x14ac:dyDescent="0.25">
      <c r="A411" t="str">
        <f>"01/02/2011"</f>
        <v>01/02/2011</v>
      </c>
      <c r="B411" t="str">
        <f>"7.175"</f>
        <v>7.175</v>
      </c>
      <c r="C411" t="str">
        <f>"7.2067"</f>
        <v>7.2067</v>
      </c>
    </row>
    <row r="412" spans="1:3" x14ac:dyDescent="0.25">
      <c r="A412" t="str">
        <f>"02/02/2011"</f>
        <v>02/02/2011</v>
      </c>
      <c r="B412" t="str">
        <f>"7.1155"</f>
        <v>7.1155</v>
      </c>
      <c r="C412" t="str">
        <f>"7.1461"</f>
        <v>7.1461</v>
      </c>
    </row>
    <row r="413" spans="1:3" x14ac:dyDescent="0.25">
      <c r="A413" t="str">
        <f>"03/02/2011"</f>
        <v>03/02/2011</v>
      </c>
      <c r="B413" t="str">
        <f>"7.1635"</f>
        <v>7.1635</v>
      </c>
      <c r="C413" t="str">
        <f>"7.1938"</f>
        <v>7.1938</v>
      </c>
    </row>
    <row r="414" spans="1:3" x14ac:dyDescent="0.25">
      <c r="A414" t="str">
        <f>"04/02/2011"</f>
        <v>04/02/2011</v>
      </c>
      <c r="B414" t="str">
        <f>"7.269"</f>
        <v>7.269</v>
      </c>
      <c r="C414" t="str">
        <f>"7.2998"</f>
        <v>7.2998</v>
      </c>
    </row>
    <row r="415" spans="1:3" x14ac:dyDescent="0.25">
      <c r="A415" t="str">
        <f>"07/02/2011"</f>
        <v>07/02/2011</v>
      </c>
      <c r="B415" t="str">
        <f>"7.257"</f>
        <v>7.257</v>
      </c>
      <c r="C415" t="str">
        <f>"7.2881"</f>
        <v>7.2881</v>
      </c>
    </row>
    <row r="416" spans="1:3" x14ac:dyDescent="0.25">
      <c r="A416" t="str">
        <f>"08/02/2011"</f>
        <v>08/02/2011</v>
      </c>
      <c r="B416" t="str">
        <f>"7.226"</f>
        <v>7.226</v>
      </c>
      <c r="C416" t="str">
        <f>"7.2565"</f>
        <v>7.2565</v>
      </c>
    </row>
    <row r="417" spans="1:3" x14ac:dyDescent="0.25">
      <c r="A417" t="str">
        <f>"09/02/2011"</f>
        <v>09/02/2011</v>
      </c>
      <c r="B417" t="str">
        <f>"7.218"</f>
        <v>7.218</v>
      </c>
      <c r="C417" t="str">
        <f>"7.2482"</f>
        <v>7.2482</v>
      </c>
    </row>
    <row r="418" spans="1:3" x14ac:dyDescent="0.25">
      <c r="A418" t="str">
        <f>"10/02/2011"</f>
        <v>10/02/2011</v>
      </c>
      <c r="B418" t="str">
        <f>"7.2314"</f>
        <v>7.2314</v>
      </c>
      <c r="C418" t="str">
        <f>"7.2619"</f>
        <v>7.2619</v>
      </c>
    </row>
    <row r="419" spans="1:3" x14ac:dyDescent="0.25">
      <c r="A419" t="str">
        <f>"11/02/2011"</f>
        <v>11/02/2011</v>
      </c>
      <c r="B419" t="str">
        <f>"7.286"</f>
        <v>7.286</v>
      </c>
      <c r="C419" t="str">
        <f>"7.317"</f>
        <v>7.317</v>
      </c>
    </row>
    <row r="420" spans="1:3" x14ac:dyDescent="0.25">
      <c r="A420" t="str">
        <f>"14/02/2011"</f>
        <v>14/02/2011</v>
      </c>
      <c r="B420" t="str">
        <f>"7.277"</f>
        <v>7.277</v>
      </c>
      <c r="C420" t="str">
        <f>"7.3081"</f>
        <v>7.3081</v>
      </c>
    </row>
    <row r="421" spans="1:3" x14ac:dyDescent="0.25">
      <c r="A421" t="str">
        <f>"15/02/2011"</f>
        <v>15/02/2011</v>
      </c>
      <c r="B421" t="str">
        <f>"7.277"</f>
        <v>7.277</v>
      </c>
      <c r="C421" t="str">
        <f>"7.3081"</f>
        <v>7.3081</v>
      </c>
    </row>
    <row r="422" spans="1:3" x14ac:dyDescent="0.25">
      <c r="A422" t="str">
        <f>"17/02/2011"</f>
        <v>17/02/2011</v>
      </c>
      <c r="B422" t="str">
        <f>"7.255"</f>
        <v>7.255</v>
      </c>
      <c r="C422" t="str">
        <f>"7.2853"</f>
        <v>7.2853</v>
      </c>
    </row>
    <row r="423" spans="1:3" x14ac:dyDescent="0.25">
      <c r="A423" t="str">
        <f>"18/02/2011"</f>
        <v>18/02/2011</v>
      </c>
      <c r="B423" t="str">
        <f>"7.1835"</f>
        <v>7.1835</v>
      </c>
      <c r="C423" t="str">
        <f>"7.2134"</f>
        <v>7.2134</v>
      </c>
    </row>
    <row r="424" spans="1:3" x14ac:dyDescent="0.25">
      <c r="A424" t="str">
        <f>"21/02/2011"</f>
        <v>21/02/2011</v>
      </c>
      <c r="B424" t="str">
        <f>"7.1487"</f>
        <v>7.1487</v>
      </c>
      <c r="C424" t="str">
        <f>"7.1784"</f>
        <v>7.1784</v>
      </c>
    </row>
    <row r="425" spans="1:3" x14ac:dyDescent="0.25">
      <c r="A425" t="str">
        <f>"22/02/2011"</f>
        <v>22/02/2011</v>
      </c>
      <c r="B425" t="str">
        <f>"7.1875"</f>
        <v>7.1875</v>
      </c>
      <c r="C425" t="str">
        <f>"7.2174"</f>
        <v>7.2174</v>
      </c>
    </row>
    <row r="426" spans="1:3" x14ac:dyDescent="0.25">
      <c r="A426" t="str">
        <f>"23/02/2011"</f>
        <v>23/02/2011</v>
      </c>
      <c r="B426" t="str">
        <f>"7.1437"</f>
        <v>7.1437</v>
      </c>
      <c r="C426" t="str">
        <f>"7.1735"</f>
        <v>7.1735</v>
      </c>
    </row>
    <row r="427" spans="1:3" x14ac:dyDescent="0.25">
      <c r="A427" t="str">
        <f>"24/02/2011"</f>
        <v>24/02/2011</v>
      </c>
      <c r="B427" t="str">
        <f>"7.1138"</f>
        <v>7.1138</v>
      </c>
      <c r="C427" t="str">
        <f>"7.1436"</f>
        <v>7.1436</v>
      </c>
    </row>
    <row r="428" spans="1:3" x14ac:dyDescent="0.25">
      <c r="A428" t="str">
        <f>"25/02/2011"</f>
        <v>25/02/2011</v>
      </c>
      <c r="B428" t="str">
        <f>"7.06"</f>
        <v>7.06</v>
      </c>
      <c r="C428" t="str">
        <f>"7.0928"</f>
        <v>7.0928</v>
      </c>
    </row>
    <row r="429" spans="1:3" x14ac:dyDescent="0.25">
      <c r="A429" t="str">
        <f>"28/02/2011"</f>
        <v>28/02/2011</v>
      </c>
      <c r="B429" t="str">
        <f>"7.0265"</f>
        <v>7.0265</v>
      </c>
      <c r="C429" t="str">
        <f>"7.0589"</f>
        <v>7.0589</v>
      </c>
    </row>
    <row r="430" spans="1:3" x14ac:dyDescent="0.25">
      <c r="A430" t="str">
        <f>"01/03/2011"</f>
        <v>01/03/2011</v>
      </c>
      <c r="B430" t="str">
        <f>"6.9675"</f>
        <v>6.9675</v>
      </c>
      <c r="C430" t="str">
        <f>"7.0018"</f>
        <v>7.0018</v>
      </c>
    </row>
    <row r="431" spans="1:3" x14ac:dyDescent="0.25">
      <c r="A431" t="str">
        <f>"03/03/2011"</f>
        <v>03/03/2011</v>
      </c>
      <c r="B431" t="str">
        <f>"6.8925"</f>
        <v>6.8925</v>
      </c>
      <c r="C431" t="str">
        <f>"6.9243"</f>
        <v>6.9243</v>
      </c>
    </row>
    <row r="432" spans="1:3" x14ac:dyDescent="0.25">
      <c r="A432" t="str">
        <f>"04/03/2011"</f>
        <v>04/03/2011</v>
      </c>
      <c r="B432" t="str">
        <f>"6.9235"</f>
        <v>6.9235</v>
      </c>
      <c r="C432" t="str">
        <f>"6.9553"</f>
        <v>6.9553</v>
      </c>
    </row>
    <row r="433" spans="1:3" x14ac:dyDescent="0.25">
      <c r="A433" t="str">
        <f>"07/03/2011"</f>
        <v>07/03/2011</v>
      </c>
      <c r="B433" t="str">
        <f>"6.8785"</f>
        <v>6.8785</v>
      </c>
      <c r="C433" t="str">
        <f>"6.9104"</f>
        <v>6.9104</v>
      </c>
    </row>
    <row r="434" spans="1:3" x14ac:dyDescent="0.25">
      <c r="A434" t="str">
        <f>"08/03/2011"</f>
        <v>08/03/2011</v>
      </c>
      <c r="B434" t="str">
        <f>"6.885"</f>
        <v>6.885</v>
      </c>
      <c r="C434" t="str">
        <f>"6.9189"</f>
        <v>6.9189</v>
      </c>
    </row>
    <row r="435" spans="1:3" x14ac:dyDescent="0.25">
      <c r="A435" t="str">
        <f>"09/03/2011"</f>
        <v>09/03/2011</v>
      </c>
      <c r="B435" t="str">
        <f>"6.897"</f>
        <v>6.897</v>
      </c>
      <c r="C435" t="str">
        <f>"6.9299"</f>
        <v>6.9299</v>
      </c>
    </row>
    <row r="436" spans="1:3" x14ac:dyDescent="0.25">
      <c r="A436" t="str">
        <f>"10/03/2011"</f>
        <v>10/03/2011</v>
      </c>
      <c r="B436" t="str">
        <f>"6.8933"</f>
        <v>6.8933</v>
      </c>
      <c r="C436" t="str">
        <f>"6.9251"</f>
        <v>6.9251</v>
      </c>
    </row>
    <row r="437" spans="1:3" x14ac:dyDescent="0.25">
      <c r="A437" t="str">
        <f>"11/03/2011"</f>
        <v>11/03/2011</v>
      </c>
      <c r="B437" t="str">
        <f>"6.918"</f>
        <v>6.918</v>
      </c>
      <c r="C437" t="str">
        <f>"6.95"</f>
        <v>6.95</v>
      </c>
    </row>
    <row r="438" spans="1:3" x14ac:dyDescent="0.25">
      <c r="A438" t="str">
        <f>"14/03/2011"</f>
        <v>14/03/2011</v>
      </c>
      <c r="B438" t="str">
        <f>"6.9314"</f>
        <v>6.9314</v>
      </c>
      <c r="C438" t="str">
        <f>"6.9634"</f>
        <v>6.9634</v>
      </c>
    </row>
    <row r="439" spans="1:3" x14ac:dyDescent="0.25">
      <c r="A439" t="str">
        <f>"15/03/2011"</f>
        <v>15/03/2011</v>
      </c>
      <c r="B439" t="str">
        <f>"6.8974"</f>
        <v>6.8974</v>
      </c>
      <c r="C439" t="str">
        <f>"6.9313"</f>
        <v>6.9313</v>
      </c>
    </row>
    <row r="440" spans="1:3" x14ac:dyDescent="0.25">
      <c r="A440" t="str">
        <f>"16/03/2011"</f>
        <v>16/03/2011</v>
      </c>
      <c r="B440" t="str">
        <f>"6.9724"</f>
        <v>6.9724</v>
      </c>
      <c r="C440" t="str">
        <f>"7.0053"</f>
        <v>7.0053</v>
      </c>
    </row>
    <row r="441" spans="1:3" x14ac:dyDescent="0.25">
      <c r="A441" t="str">
        <f>"17/03/2011"</f>
        <v>17/03/2011</v>
      </c>
      <c r="B441" t="str">
        <f>"7.1462"</f>
        <v>7.1462</v>
      </c>
      <c r="C441" t="str">
        <f>"7.1782"</f>
        <v>7.1782</v>
      </c>
    </row>
    <row r="442" spans="1:3" x14ac:dyDescent="0.25">
      <c r="A442" t="str">
        <f>"18/03/2011"</f>
        <v>18/03/2011</v>
      </c>
      <c r="B442" t="str">
        <f>"7.0634"</f>
        <v>7.0634</v>
      </c>
      <c r="C442" t="str">
        <f>"7.0996"</f>
        <v>7.0996</v>
      </c>
    </row>
    <row r="443" spans="1:3" x14ac:dyDescent="0.25">
      <c r="A443" t="str">
        <f>"21/03/2011"</f>
        <v>21/03/2011</v>
      </c>
      <c r="B443" t="str">
        <f>"7.00"</f>
        <v>7.00</v>
      </c>
      <c r="C443" t="str">
        <f>"7.0342"</f>
        <v>7.0342</v>
      </c>
    </row>
    <row r="444" spans="1:3" x14ac:dyDescent="0.25">
      <c r="A444" t="str">
        <f>"22/03/2011"</f>
        <v>22/03/2011</v>
      </c>
      <c r="B444" t="str">
        <f>"6.9315"</f>
        <v>6.9315</v>
      </c>
      <c r="C444" t="str">
        <f>"6.9657"</f>
        <v>6.9657</v>
      </c>
    </row>
    <row r="445" spans="1:3" x14ac:dyDescent="0.25">
      <c r="A445" t="str">
        <f>"23/03/2011"</f>
        <v>23/03/2011</v>
      </c>
      <c r="B445" t="str">
        <f>"6.9176"</f>
        <v>6.9176</v>
      </c>
      <c r="C445" t="str">
        <f>"6.9505"</f>
        <v>6.9505</v>
      </c>
    </row>
    <row r="446" spans="1:3" x14ac:dyDescent="0.25">
      <c r="A446" t="str">
        <f>"24/03/2011"</f>
        <v>24/03/2011</v>
      </c>
      <c r="B446" t="str">
        <f>"6.9434"</f>
        <v>6.9434</v>
      </c>
      <c r="C446" t="str">
        <f>"6.9753"</f>
        <v>6.9753</v>
      </c>
    </row>
    <row r="447" spans="1:3" x14ac:dyDescent="0.25">
      <c r="A447" t="str">
        <f>"25/03/2011"</f>
        <v>25/03/2011</v>
      </c>
      <c r="B447" t="str">
        <f>"6.877"</f>
        <v>6.877</v>
      </c>
      <c r="C447" t="str">
        <f>"6.9076"</f>
        <v>6.9076</v>
      </c>
    </row>
    <row r="448" spans="1:3" x14ac:dyDescent="0.25">
      <c r="A448" t="str">
        <f>"28/03/2011"</f>
        <v>28/03/2011</v>
      </c>
      <c r="B448" t="str">
        <f>"6.876"</f>
        <v>6.876</v>
      </c>
      <c r="C448" t="str">
        <f>"6.9066"</f>
        <v>6.9066</v>
      </c>
    </row>
    <row r="449" spans="1:3" x14ac:dyDescent="0.25">
      <c r="A449" t="str">
        <f>"29/03/2011"</f>
        <v>29/03/2011</v>
      </c>
      <c r="B449" t="str">
        <f>"6.875"</f>
        <v>6.875</v>
      </c>
      <c r="C449" t="str">
        <f>"6.904"</f>
        <v>6.904</v>
      </c>
    </row>
    <row r="450" spans="1:3" x14ac:dyDescent="0.25">
      <c r="A450" t="str">
        <f>"30/03/2011"</f>
        <v>30/03/2011</v>
      </c>
      <c r="B450" t="str">
        <f>"6.8686"</f>
        <v>6.8686</v>
      </c>
      <c r="C450" t="str">
        <f>"6.8915"</f>
        <v>6.8915</v>
      </c>
    </row>
    <row r="451" spans="1:3" x14ac:dyDescent="0.25">
      <c r="A451" t="str">
        <f>"31/03/2011"</f>
        <v>31/03/2011</v>
      </c>
      <c r="B451" t="str">
        <f>"6.8292"</f>
        <v>6.8292</v>
      </c>
      <c r="C451" t="str">
        <f>"6.8604"</f>
        <v>6.8604</v>
      </c>
    </row>
    <row r="452" spans="1:3" x14ac:dyDescent="0.25">
      <c r="A452" t="str">
        <f>"01/04/2011"</f>
        <v>01/04/2011</v>
      </c>
      <c r="B452" t="str">
        <f>"6.7951"</f>
        <v>6.7951</v>
      </c>
      <c r="C452" t="str">
        <f>"6.8244"</f>
        <v>6.8244</v>
      </c>
    </row>
    <row r="453" spans="1:3" x14ac:dyDescent="0.25">
      <c r="A453" t="str">
        <f>"05/04/2011"</f>
        <v>05/04/2011</v>
      </c>
      <c r="B453" t="str">
        <f>"6.7298"</f>
        <v>6.7298</v>
      </c>
      <c r="C453" t="str">
        <f>"6.7585"</f>
        <v>6.7585</v>
      </c>
    </row>
    <row r="454" spans="1:3" x14ac:dyDescent="0.25">
      <c r="A454" t="str">
        <f>"06/04/2011"</f>
        <v>06/04/2011</v>
      </c>
      <c r="B454" t="str">
        <f>"6.71"</f>
        <v>6.71</v>
      </c>
      <c r="C454" t="str">
        <f>"6.7407"</f>
        <v>6.7407</v>
      </c>
    </row>
    <row r="455" spans="1:3" x14ac:dyDescent="0.25">
      <c r="A455" t="str">
        <f>"07/04/2011"</f>
        <v>07/04/2011</v>
      </c>
      <c r="B455" t="str">
        <f>"6.6808"</f>
        <v>6.6808</v>
      </c>
      <c r="C455" t="str">
        <f>"6.7104"</f>
        <v>6.7104</v>
      </c>
    </row>
    <row r="456" spans="1:3" x14ac:dyDescent="0.25">
      <c r="A456" t="str">
        <f>"08/04/2011"</f>
        <v>08/04/2011</v>
      </c>
      <c r="B456" t="str">
        <f>"6.6498"</f>
        <v>6.6498</v>
      </c>
      <c r="C456" t="str">
        <f>"6.6785"</f>
        <v>6.6785</v>
      </c>
    </row>
    <row r="457" spans="1:3" x14ac:dyDescent="0.25">
      <c r="A457" t="str">
        <f>"11/04/2011"</f>
        <v>11/04/2011</v>
      </c>
      <c r="B457" t="str">
        <f>"6.6525"</f>
        <v>6.6525</v>
      </c>
      <c r="C457" t="str">
        <f>"6.681"</f>
        <v>6.681</v>
      </c>
    </row>
    <row r="458" spans="1:3" x14ac:dyDescent="0.25">
      <c r="A458" t="str">
        <f>"13/04/2011"</f>
        <v>13/04/2011</v>
      </c>
      <c r="B458" t="str">
        <f>"6.7293"</f>
        <v>6.7293</v>
      </c>
      <c r="C458" t="str">
        <f>"6.7602"</f>
        <v>6.7602</v>
      </c>
    </row>
    <row r="459" spans="1:3" x14ac:dyDescent="0.25">
      <c r="A459" t="str">
        <f>"15/04/2011"</f>
        <v>15/04/2011</v>
      </c>
      <c r="B459" t="str">
        <f>"6.8416"</f>
        <v>6.8416</v>
      </c>
      <c r="C459" t="str">
        <f>"6.8718"</f>
        <v>6.8718</v>
      </c>
    </row>
    <row r="460" spans="1:3" x14ac:dyDescent="0.25">
      <c r="A460" t="str">
        <f>"18/04/2011"</f>
        <v>18/04/2011</v>
      </c>
      <c r="B460" t="str">
        <f>"6.8176"</f>
        <v>6.8176</v>
      </c>
      <c r="C460" t="str">
        <f>"6.8465"</f>
        <v>6.8465</v>
      </c>
    </row>
    <row r="461" spans="1:3" x14ac:dyDescent="0.25">
      <c r="A461" t="str">
        <f>"19/04/2011"</f>
        <v>19/04/2011</v>
      </c>
      <c r="B461" t="str">
        <f>"6.855"</f>
        <v>6.855</v>
      </c>
      <c r="C461" t="str">
        <f>"6.8845"</f>
        <v>6.8845</v>
      </c>
    </row>
    <row r="462" spans="1:3" x14ac:dyDescent="0.25">
      <c r="A462" t="str">
        <f>"20/04/2011"</f>
        <v>20/04/2011</v>
      </c>
      <c r="B462" t="str">
        <f>"6.7934"</f>
        <v>6.7934</v>
      </c>
      <c r="C462" t="str">
        <f>"6.8252"</f>
        <v>6.8252</v>
      </c>
    </row>
    <row r="463" spans="1:3" x14ac:dyDescent="0.25">
      <c r="A463" t="str">
        <f>"21/04/2011"</f>
        <v>21/04/2011</v>
      </c>
      <c r="B463" t="str">
        <f>"6.79"</f>
        <v>6.79</v>
      </c>
      <c r="C463" t="str">
        <f>"6.8196"</f>
        <v>6.8196</v>
      </c>
    </row>
    <row r="464" spans="1:3" x14ac:dyDescent="0.25">
      <c r="A464" t="str">
        <f>"25/04/2011"</f>
        <v>25/04/2011</v>
      </c>
      <c r="B464" t="str">
        <f>"6.7145"</f>
        <v>6.7145</v>
      </c>
      <c r="C464" t="str">
        <f>"6.7459"</f>
        <v>6.7459</v>
      </c>
    </row>
    <row r="465" spans="1:3" x14ac:dyDescent="0.25">
      <c r="A465" t="str">
        <f>"26/04/2011"</f>
        <v>26/04/2011</v>
      </c>
      <c r="B465" t="str">
        <f>"6.7434"</f>
        <v>6.7434</v>
      </c>
      <c r="C465" t="str">
        <f>"6.775"</f>
        <v>6.775</v>
      </c>
    </row>
    <row r="466" spans="1:3" x14ac:dyDescent="0.25">
      <c r="A466" t="str">
        <f>"27/04/2011"</f>
        <v>27/04/2011</v>
      </c>
      <c r="B466" t="str">
        <f>"6.6728"</f>
        <v>6.6728</v>
      </c>
      <c r="C466" t="str">
        <f>"6.7033"</f>
        <v>6.7033</v>
      </c>
    </row>
    <row r="467" spans="1:3" x14ac:dyDescent="0.25">
      <c r="A467" t="str">
        <f>"28/04/2011"</f>
        <v>28/04/2011</v>
      </c>
      <c r="B467" t="str">
        <f>"6.599"</f>
        <v>6.599</v>
      </c>
      <c r="C467" t="str">
        <f>"6.6282"</f>
        <v>6.6282</v>
      </c>
    </row>
    <row r="468" spans="1:3" x14ac:dyDescent="0.25">
      <c r="A468" t="str">
        <f>"29/04/2011"</f>
        <v>29/04/2011</v>
      </c>
      <c r="B468" t="str">
        <f>"6.6096"</f>
        <v>6.6096</v>
      </c>
      <c r="C468" t="str">
        <f>"6.6382"</f>
        <v>6.6382</v>
      </c>
    </row>
    <row r="469" spans="1:3" x14ac:dyDescent="0.25">
      <c r="A469" t="str">
        <f>"02/05/2011"</f>
        <v>02/05/2011</v>
      </c>
      <c r="B469" t="str">
        <f>"6.5764"</f>
        <v>6.5764</v>
      </c>
      <c r="C469" t="str">
        <f>"6.6067"</f>
        <v>6.6067</v>
      </c>
    </row>
    <row r="470" spans="1:3" x14ac:dyDescent="0.25">
      <c r="A470" t="str">
        <f>"03/05/2011"</f>
        <v>03/05/2011</v>
      </c>
      <c r="B470" t="str">
        <f>"6.628"</f>
        <v>6.628</v>
      </c>
      <c r="C470" t="str">
        <f>"6.6583"</f>
        <v>6.6583</v>
      </c>
    </row>
    <row r="471" spans="1:3" x14ac:dyDescent="0.25">
      <c r="A471" t="str">
        <f>"04/05/2011"</f>
        <v>04/05/2011</v>
      </c>
      <c r="B471" t="str">
        <f>"6.654"</f>
        <v>6.654</v>
      </c>
      <c r="C471" t="str">
        <f>"6.6837"</f>
        <v>6.6837</v>
      </c>
    </row>
    <row r="472" spans="1:3" x14ac:dyDescent="0.25">
      <c r="A472" t="str">
        <f>"05/05/2011"</f>
        <v>05/05/2011</v>
      </c>
      <c r="B472" t="str">
        <f>"6.6758"</f>
        <v>6.6758</v>
      </c>
      <c r="C472" t="str">
        <f>"6.7044"</f>
        <v>6.7044</v>
      </c>
    </row>
    <row r="473" spans="1:3" x14ac:dyDescent="0.25">
      <c r="A473" t="str">
        <f>"06/05/2011"</f>
        <v>06/05/2011</v>
      </c>
      <c r="B473" t="str">
        <f>"6.716"</f>
        <v>6.716</v>
      </c>
      <c r="C473" t="str">
        <f>"6.745"</f>
        <v>6.745</v>
      </c>
    </row>
    <row r="474" spans="1:3" x14ac:dyDescent="0.25">
      <c r="A474" t="str">
        <f>"09/05/2011"</f>
        <v>09/05/2011</v>
      </c>
      <c r="B474" t="str">
        <f>"6.7078"</f>
        <v>6.7078</v>
      </c>
      <c r="C474" t="str">
        <f>"6.7365"</f>
        <v>6.7365</v>
      </c>
    </row>
    <row r="475" spans="1:3" x14ac:dyDescent="0.25">
      <c r="A475" t="str">
        <f>"10/05/2011"</f>
        <v>10/05/2011</v>
      </c>
      <c r="B475" t="str">
        <f>"6.7259"</f>
        <v>6.7259</v>
      </c>
      <c r="C475" t="str">
        <f>"6.7554"</f>
        <v>6.7554</v>
      </c>
    </row>
    <row r="476" spans="1:3" x14ac:dyDescent="0.25">
      <c r="A476" t="str">
        <f>"11/05/2011"</f>
        <v>11/05/2011</v>
      </c>
      <c r="B476" t="str">
        <f>"6.7392"</f>
        <v>6.7392</v>
      </c>
      <c r="C476" t="str">
        <f>"6.7688"</f>
        <v>6.7688</v>
      </c>
    </row>
    <row r="477" spans="1:3" x14ac:dyDescent="0.25">
      <c r="A477" t="str">
        <f>"12/05/2011"</f>
        <v>12/05/2011</v>
      </c>
      <c r="B477" t="str">
        <f>"6.8846"</f>
        <v>6.8846</v>
      </c>
      <c r="C477" t="str">
        <f>"6.9153"</f>
        <v>6.9153</v>
      </c>
    </row>
    <row r="478" spans="1:3" x14ac:dyDescent="0.25">
      <c r="A478" t="str">
        <f>"13/05/2011"</f>
        <v>13/05/2011</v>
      </c>
      <c r="B478" t="str">
        <f>"6.9144"</f>
        <v>6.9144</v>
      </c>
      <c r="C478" t="str">
        <f>"6.9458"</f>
        <v>6.9458</v>
      </c>
    </row>
    <row r="479" spans="1:3" x14ac:dyDescent="0.25">
      <c r="A479" t="str">
        <f>"16/05/2011"</f>
        <v>16/05/2011</v>
      </c>
      <c r="B479" t="str">
        <f>"7.038"</f>
        <v>7.038</v>
      </c>
      <c r="C479" t="str">
        <f>"7.0697"</f>
        <v>7.0697</v>
      </c>
    </row>
    <row r="480" spans="1:3" x14ac:dyDescent="0.25">
      <c r="A480" t="str">
        <f>"18/05/2011"</f>
        <v>18/05/2011</v>
      </c>
      <c r="B480" t="str">
        <f>"6.9466"</f>
        <v>6.9466</v>
      </c>
      <c r="C480" t="str">
        <f>"6.9783"</f>
        <v>6.9783</v>
      </c>
    </row>
    <row r="481" spans="1:3" x14ac:dyDescent="0.25">
      <c r="A481" t="str">
        <f>"19/05/2011"</f>
        <v>19/05/2011</v>
      </c>
      <c r="B481" t="str">
        <f>"6.8908"</f>
        <v>6.8908</v>
      </c>
      <c r="C481" t="str">
        <f>"6.922"</f>
        <v>6.922</v>
      </c>
    </row>
    <row r="482" spans="1:3" x14ac:dyDescent="0.25">
      <c r="A482" t="str">
        <f>"20/05/2011"</f>
        <v>20/05/2011</v>
      </c>
      <c r="B482" t="str">
        <f>"6.872"</f>
        <v>6.872</v>
      </c>
      <c r="C482" t="str">
        <f>"6.9033"</f>
        <v>6.9033</v>
      </c>
    </row>
    <row r="483" spans="1:3" x14ac:dyDescent="0.25">
      <c r="A483" t="str">
        <f>"23/05/2011"</f>
        <v>23/05/2011</v>
      </c>
      <c r="B483" t="str">
        <f>"6.9466"</f>
        <v>6.9466</v>
      </c>
      <c r="C483" t="str">
        <f>"6.978"</f>
        <v>6.978</v>
      </c>
    </row>
    <row r="484" spans="1:3" x14ac:dyDescent="0.25">
      <c r="A484" t="str">
        <f>"24/05/2011"</f>
        <v>24/05/2011</v>
      </c>
      <c r="B484" t="str">
        <f>"7.0082"</f>
        <v>7.0082</v>
      </c>
      <c r="C484" t="str">
        <f>"7.042"</f>
        <v>7.042</v>
      </c>
    </row>
    <row r="485" spans="1:3" x14ac:dyDescent="0.25">
      <c r="A485" t="str">
        <f>"25/05/2011"</f>
        <v>25/05/2011</v>
      </c>
      <c r="B485" t="str">
        <f>"7.0138"</f>
        <v>7.0138</v>
      </c>
      <c r="C485" t="str">
        <f>"7.0454"</f>
        <v>7.0454</v>
      </c>
    </row>
    <row r="486" spans="1:3" x14ac:dyDescent="0.25">
      <c r="A486" t="str">
        <f>"26/05/2011"</f>
        <v>26/05/2011</v>
      </c>
      <c r="B486" t="str">
        <f>"7.0244"</f>
        <v>7.0244</v>
      </c>
      <c r="C486" t="str">
        <f>"7.0562"</f>
        <v>7.0562</v>
      </c>
    </row>
    <row r="487" spans="1:3" x14ac:dyDescent="0.25">
      <c r="A487" t="str">
        <f>"27/05/2011"</f>
        <v>27/05/2011</v>
      </c>
      <c r="B487" t="str">
        <f>"6.9133"</f>
        <v>6.9133</v>
      </c>
      <c r="C487" t="str">
        <f>"6.9442"</f>
        <v>6.9442</v>
      </c>
    </row>
    <row r="488" spans="1:3" x14ac:dyDescent="0.25">
      <c r="A488" t="str">
        <f>"30/05/2011"</f>
        <v>30/05/2011</v>
      </c>
      <c r="B488" t="str">
        <f>"6.9316"</f>
        <v>6.9316</v>
      </c>
      <c r="C488" t="str">
        <f>"6.9622"</f>
        <v>6.9622</v>
      </c>
    </row>
    <row r="489" spans="1:3" x14ac:dyDescent="0.25">
      <c r="A489" t="str">
        <f>"31/05/2011"</f>
        <v>31/05/2011</v>
      </c>
      <c r="B489" t="str">
        <f>"6.9102"</f>
        <v>6.9102</v>
      </c>
      <c r="C489" t="str">
        <f>"6.9411"</f>
        <v>6.9411</v>
      </c>
    </row>
    <row r="490" spans="1:3" x14ac:dyDescent="0.25">
      <c r="A490" t="str">
        <f>"01/06/2011"</f>
        <v>01/06/2011</v>
      </c>
      <c r="B490" t="str">
        <f>"6.8084"</f>
        <v>6.8084</v>
      </c>
      <c r="C490" t="str">
        <f>"6.8413"</f>
        <v>6.8413</v>
      </c>
    </row>
    <row r="491" spans="1:3" x14ac:dyDescent="0.25">
      <c r="A491" t="str">
        <f>"02/06/2011"</f>
        <v>02/06/2011</v>
      </c>
      <c r="B491" t="str">
        <f>"6.8332"</f>
        <v>6.8332</v>
      </c>
      <c r="C491" t="str">
        <f>"6.8652"</f>
        <v>6.8652</v>
      </c>
    </row>
    <row r="492" spans="1:3" x14ac:dyDescent="0.25">
      <c r="A492" t="str">
        <f>"03/06/2011"</f>
        <v>03/06/2011</v>
      </c>
      <c r="B492" t="str">
        <f>"6.7234"</f>
        <v>6.7234</v>
      </c>
      <c r="C492" t="str">
        <f>"6.7536"</f>
        <v>6.7536</v>
      </c>
    </row>
    <row r="493" spans="1:3" x14ac:dyDescent="0.25">
      <c r="A493" t="str">
        <f>"06/06/2011"</f>
        <v>06/06/2011</v>
      </c>
      <c r="B493" t="str">
        <f>"6.7025"</f>
        <v>6.7025</v>
      </c>
      <c r="C493" t="str">
        <f>"6.7214"</f>
        <v>6.7214</v>
      </c>
    </row>
    <row r="494" spans="1:3" x14ac:dyDescent="0.25">
      <c r="A494" t="str">
        <f>"07/06/2011"</f>
        <v>07/06/2011</v>
      </c>
      <c r="B494" t="str">
        <f>"6.7806"</f>
        <v>6.7806</v>
      </c>
      <c r="C494" t="str">
        <f>"6.8102"</f>
        <v>6.8102</v>
      </c>
    </row>
    <row r="495" spans="1:3" x14ac:dyDescent="0.25">
      <c r="A495" t="str">
        <f>"08/06/2011"</f>
        <v>08/06/2011</v>
      </c>
      <c r="B495" t="str">
        <f>"6.7415"</f>
        <v>6.7415</v>
      </c>
      <c r="C495" t="str">
        <f>"6.7716"</f>
        <v>6.7716</v>
      </c>
    </row>
    <row r="496" spans="1:3" x14ac:dyDescent="0.25">
      <c r="A496" t="str">
        <f>"09/06/2011"</f>
        <v>09/06/2011</v>
      </c>
      <c r="B496" t="str">
        <f>"6.7291"</f>
        <v>6.7291</v>
      </c>
      <c r="C496" t="str">
        <f>"6.7593"</f>
        <v>6.7593</v>
      </c>
    </row>
    <row r="497" spans="1:3" x14ac:dyDescent="0.25">
      <c r="A497" t="str">
        <f>"13/06/2011"</f>
        <v>13/06/2011</v>
      </c>
      <c r="B497" t="str">
        <f>"6.8102"</f>
        <v>6.8102</v>
      </c>
      <c r="C497" t="str">
        <f>"6.8399"</f>
        <v>6.8399</v>
      </c>
    </row>
    <row r="498" spans="1:3" x14ac:dyDescent="0.25">
      <c r="A498" t="str">
        <f>"14/06/2011"</f>
        <v>14/06/2011</v>
      </c>
      <c r="B498" t="str">
        <f>"6.7622"</f>
        <v>6.7622</v>
      </c>
      <c r="C498" t="str">
        <f>"6.7932"</f>
        <v>6.7932</v>
      </c>
    </row>
    <row r="499" spans="1:3" x14ac:dyDescent="0.25">
      <c r="A499" t="str">
        <f>"15/06/2011"</f>
        <v>15/06/2011</v>
      </c>
      <c r="B499" t="str">
        <f>"6.7688"</f>
        <v>6.7688</v>
      </c>
      <c r="C499" t="str">
        <f>"6.7996"</f>
        <v>6.7996</v>
      </c>
    </row>
    <row r="500" spans="1:3" x14ac:dyDescent="0.25">
      <c r="A500" t="str">
        <f>"16/06/2011"</f>
        <v>16/06/2011</v>
      </c>
      <c r="B500" t="str">
        <f>"6.8555"</f>
        <v>6.8555</v>
      </c>
      <c r="C500" t="str">
        <f>"6.8856"</f>
        <v>6.8856</v>
      </c>
    </row>
    <row r="501" spans="1:3" x14ac:dyDescent="0.25">
      <c r="A501" t="str">
        <f>"17/06/2011"</f>
        <v>17/06/2011</v>
      </c>
      <c r="B501" t="str">
        <f>"6.8734"</f>
        <v>6.8734</v>
      </c>
      <c r="C501" t="str">
        <f>"6.9046"</f>
        <v>6.9046</v>
      </c>
    </row>
    <row r="502" spans="1:3" x14ac:dyDescent="0.25">
      <c r="A502" t="str">
        <f>"20/06/2011"</f>
        <v>20/06/2011</v>
      </c>
      <c r="B502" t="str">
        <f>"6.7853"</f>
        <v>6.7853</v>
      </c>
      <c r="C502" t="str">
        <f>"6.8154"</f>
        <v>6.8154</v>
      </c>
    </row>
    <row r="503" spans="1:3" x14ac:dyDescent="0.25">
      <c r="A503" t="str">
        <f>"21/06/2011"</f>
        <v>21/06/2011</v>
      </c>
      <c r="B503" t="str">
        <f>"6.7952"</f>
        <v>6.7952</v>
      </c>
      <c r="C503" t="str">
        <f>"6.8146"</f>
        <v>6.8146</v>
      </c>
    </row>
    <row r="504" spans="1:3" x14ac:dyDescent="0.25">
      <c r="A504" t="str">
        <f>"22/06/2011"</f>
        <v>22/06/2011</v>
      </c>
      <c r="B504" t="str">
        <f>"6.736"</f>
        <v>6.736</v>
      </c>
      <c r="C504" t="str">
        <f>"6.7677"</f>
        <v>6.7677</v>
      </c>
    </row>
    <row r="505" spans="1:3" x14ac:dyDescent="0.25">
      <c r="A505" t="str">
        <f>"23/06/2011"</f>
        <v>23/06/2011</v>
      </c>
      <c r="B505" t="str">
        <f>"6.795"</f>
        <v>6.795</v>
      </c>
      <c r="C505" t="str">
        <f>"6.8258"</f>
        <v>6.8258</v>
      </c>
    </row>
    <row r="506" spans="1:3" x14ac:dyDescent="0.25">
      <c r="A506" t="str">
        <f>"24/06/2011"</f>
        <v>24/06/2011</v>
      </c>
      <c r="B506" t="str">
        <f>"6.8396"</f>
        <v>6.8396</v>
      </c>
      <c r="C506" t="str">
        <f>"6.8693"</f>
        <v>6.8693</v>
      </c>
    </row>
    <row r="507" spans="1:3" x14ac:dyDescent="0.25">
      <c r="A507" t="str">
        <f>"27/06/2011"</f>
        <v>27/06/2011</v>
      </c>
      <c r="B507" t="str">
        <f>"6.9132"</f>
        <v>6.9132</v>
      </c>
      <c r="C507" t="str">
        <f>"6.9428"</f>
        <v>6.9428</v>
      </c>
    </row>
    <row r="508" spans="1:3" x14ac:dyDescent="0.25">
      <c r="A508" t="str">
        <f>"28/06/2011"</f>
        <v>28/06/2011</v>
      </c>
      <c r="B508" t="str">
        <f>"6.878"</f>
        <v>6.878</v>
      </c>
      <c r="C508" t="str">
        <f>"6.9078"</f>
        <v>6.9078</v>
      </c>
    </row>
    <row r="509" spans="1:3" x14ac:dyDescent="0.25">
      <c r="A509" t="str">
        <f>"29/06/2011"</f>
        <v>29/06/2011</v>
      </c>
      <c r="B509" t="str">
        <f>"6.8473"</f>
        <v>6.8473</v>
      </c>
      <c r="C509" t="str">
        <f>"6.8769"</f>
        <v>6.8769</v>
      </c>
    </row>
    <row r="510" spans="1:3" x14ac:dyDescent="0.25">
      <c r="A510" t="str">
        <f>"30/06/2011"</f>
        <v>30/06/2011</v>
      </c>
      <c r="B510" t="str">
        <f>"6.778"</f>
        <v>6.778</v>
      </c>
      <c r="C510" t="str">
        <f>"6.8013"</f>
        <v>6.8013</v>
      </c>
    </row>
    <row r="511" spans="1:3" x14ac:dyDescent="0.25">
      <c r="A511" t="str">
        <f>"01/07/2011"</f>
        <v>01/07/2011</v>
      </c>
      <c r="B511" t="str">
        <f>"6.7772"</f>
        <v>6.7772</v>
      </c>
      <c r="C511" t="str">
        <f>"6.8076"</f>
        <v>6.8076</v>
      </c>
    </row>
    <row r="512" spans="1:3" x14ac:dyDescent="0.25">
      <c r="A512" t="str">
        <f>"04/07/2011"</f>
        <v>04/07/2011</v>
      </c>
      <c r="B512" t="str">
        <f>"6.74"</f>
        <v>6.74</v>
      </c>
      <c r="C512" t="str">
        <f>"6.7711"</f>
        <v>6.7711</v>
      </c>
    </row>
    <row r="513" spans="1:3" x14ac:dyDescent="0.25">
      <c r="A513" t="str">
        <f>"05/07/2011"</f>
        <v>05/07/2011</v>
      </c>
      <c r="B513" t="str">
        <f>"6.7435"</f>
        <v>6.7435</v>
      </c>
      <c r="C513" t="str">
        <f>"6.7757"</f>
        <v>6.7757</v>
      </c>
    </row>
    <row r="514" spans="1:3" x14ac:dyDescent="0.25">
      <c r="A514" t="str">
        <f>"06/07/2011"</f>
        <v>06/07/2011</v>
      </c>
      <c r="B514" t="str">
        <f>"6.7392"</f>
        <v>6.7392</v>
      </c>
      <c r="C514" t="str">
        <f>"6.7696"</f>
        <v>6.7696</v>
      </c>
    </row>
    <row r="515" spans="1:3" x14ac:dyDescent="0.25">
      <c r="A515" t="str">
        <f>"07/07/2011"</f>
        <v>07/07/2011</v>
      </c>
      <c r="B515" t="str">
        <f>"6.7468"</f>
        <v>6.7468</v>
      </c>
      <c r="C515" t="str">
        <f>"6.7772"</f>
        <v>6.7772</v>
      </c>
    </row>
    <row r="516" spans="1:3" x14ac:dyDescent="0.25">
      <c r="A516" t="str">
        <f>"08/07/2011"</f>
        <v>08/07/2011</v>
      </c>
      <c r="B516" t="str">
        <f>"6.6888"</f>
        <v>6.6888</v>
      </c>
      <c r="C516" t="str">
        <f>"6.706"</f>
        <v>6.706</v>
      </c>
    </row>
    <row r="517" spans="1:3" x14ac:dyDescent="0.25">
      <c r="A517" t="str">
        <f>"11/07/2011"</f>
        <v>11/07/2011</v>
      </c>
      <c r="B517" t="str">
        <f>"6.7354"</f>
        <v>6.7354</v>
      </c>
      <c r="C517" t="str">
        <f>"6.7657"</f>
        <v>6.7657</v>
      </c>
    </row>
    <row r="518" spans="1:3" x14ac:dyDescent="0.25">
      <c r="A518" t="str">
        <f>"12/07/2011"</f>
        <v>12/07/2011</v>
      </c>
      <c r="B518" t="str">
        <f>"6.8665"</f>
        <v>6.8665</v>
      </c>
      <c r="C518" t="str">
        <f>"6.8993"</f>
        <v>6.8993</v>
      </c>
    </row>
    <row r="519" spans="1:3" x14ac:dyDescent="0.25">
      <c r="A519" t="str">
        <f>"13/07/2011"</f>
        <v>13/07/2011</v>
      </c>
      <c r="B519" t="str">
        <f>"6.8366"</f>
        <v>6.8366</v>
      </c>
      <c r="C519" t="str">
        <f>"6.8687"</f>
        <v>6.8687</v>
      </c>
    </row>
    <row r="520" spans="1:3" x14ac:dyDescent="0.25">
      <c r="A520" t="str">
        <f>"14/07/2011"</f>
        <v>14/07/2011</v>
      </c>
      <c r="B520" t="str">
        <f>"6.81"</f>
        <v>6.81</v>
      </c>
      <c r="C520" t="str">
        <f>"6.834"</f>
        <v>6.834</v>
      </c>
    </row>
    <row r="521" spans="1:3" x14ac:dyDescent="0.25">
      <c r="A521" t="str">
        <f>"15/07/2011"</f>
        <v>15/07/2011</v>
      </c>
      <c r="B521" t="str">
        <f>"6.8483"</f>
        <v>6.8483</v>
      </c>
      <c r="C521" t="str">
        <f>"6.8792"</f>
        <v>6.8792</v>
      </c>
    </row>
    <row r="522" spans="1:3" x14ac:dyDescent="0.25">
      <c r="A522" t="str">
        <f>"18/07/2011"</f>
        <v>18/07/2011</v>
      </c>
      <c r="B522" t="str">
        <f>"6.918"</f>
        <v>6.918</v>
      </c>
      <c r="C522" t="str">
        <f>"6.9492"</f>
        <v>6.9492</v>
      </c>
    </row>
    <row r="523" spans="1:3" x14ac:dyDescent="0.25">
      <c r="A523" t="str">
        <f>"19/07/2011"</f>
        <v>19/07/2011</v>
      </c>
      <c r="B523" t="str">
        <f>"6.9718"</f>
        <v>6.9718</v>
      </c>
      <c r="C523" t="str">
        <f>"7.0057"</f>
        <v>7.0057</v>
      </c>
    </row>
    <row r="524" spans="1:3" x14ac:dyDescent="0.25">
      <c r="A524" t="str">
        <f>"20/07/2011"</f>
        <v>20/07/2011</v>
      </c>
      <c r="B524" t="str">
        <f>"6.9439"</f>
        <v>6.9439</v>
      </c>
      <c r="C524" t="str">
        <f>"6.9774"</f>
        <v>6.9774</v>
      </c>
    </row>
    <row r="525" spans="1:3" x14ac:dyDescent="0.25">
      <c r="A525" t="str">
        <f>"21/07/2011"</f>
        <v>21/07/2011</v>
      </c>
      <c r="B525" t="str">
        <f>"6.8786"</f>
        <v>6.8786</v>
      </c>
      <c r="C525" t="str">
        <f>"6.91"</f>
        <v>6.91</v>
      </c>
    </row>
    <row r="526" spans="1:3" x14ac:dyDescent="0.25">
      <c r="A526" t="str">
        <f>"22/07/2011"</f>
        <v>22/07/2011</v>
      </c>
      <c r="B526" t="str">
        <f>"6.778"</f>
        <v>6.778</v>
      </c>
      <c r="C526" t="str">
        <f>"6.8093"</f>
        <v>6.8093</v>
      </c>
    </row>
    <row r="527" spans="1:3" x14ac:dyDescent="0.25">
      <c r="A527" t="str">
        <f>"25/07/2011"</f>
        <v>25/07/2011</v>
      </c>
      <c r="B527" t="str">
        <f>"6.8118"</f>
        <v>6.8118</v>
      </c>
      <c r="C527" t="str">
        <f>"6.8299"</f>
        <v>6.8299</v>
      </c>
    </row>
    <row r="528" spans="1:3" x14ac:dyDescent="0.25">
      <c r="A528" t="str">
        <f>"26/07/2011"</f>
        <v>26/07/2011</v>
      </c>
      <c r="B528" t="str">
        <f>"6.7289"</f>
        <v>6.7289</v>
      </c>
      <c r="C528" t="str">
        <f>"6.7622"</f>
        <v>6.7622</v>
      </c>
    </row>
    <row r="529" spans="1:3" x14ac:dyDescent="0.25">
      <c r="A529" t="str">
        <f>"27/07/2011"</f>
        <v>27/07/2011</v>
      </c>
      <c r="B529" t="str">
        <f>"6.6858"</f>
        <v>6.6858</v>
      </c>
      <c r="C529" t="str">
        <f>"6.7187"</f>
        <v>6.7187</v>
      </c>
    </row>
    <row r="530" spans="1:3" x14ac:dyDescent="0.25">
      <c r="A530" t="str">
        <f>"28/07/2011"</f>
        <v>28/07/2011</v>
      </c>
      <c r="B530" t="str">
        <f>"6.6766"</f>
        <v>6.6766</v>
      </c>
      <c r="C530" t="str">
        <f>"6.7093"</f>
        <v>6.7093</v>
      </c>
    </row>
    <row r="531" spans="1:3" x14ac:dyDescent="0.25">
      <c r="A531" t="str">
        <f>"29/07/2011"</f>
        <v>29/07/2011</v>
      </c>
      <c r="B531" t="str">
        <f>"6.74"</f>
        <v>6.74</v>
      </c>
      <c r="C531" t="str">
        <f>"6.7706"</f>
        <v>6.7706</v>
      </c>
    </row>
    <row r="532" spans="1:3" x14ac:dyDescent="0.25">
      <c r="A532" t="str">
        <f>"01/08/2011"</f>
        <v>01/08/2011</v>
      </c>
      <c r="B532" t="str">
        <f>"6.67"</f>
        <v>6.67</v>
      </c>
      <c r="C532" t="str">
        <f>"6.7014"</f>
        <v>6.7014</v>
      </c>
    </row>
    <row r="533" spans="1:3" x14ac:dyDescent="0.25">
      <c r="A533" t="str">
        <f>"02/08/2011"</f>
        <v>02/08/2011</v>
      </c>
      <c r="B533" t="str">
        <f>"6.7285"</f>
        <v>6.7285</v>
      </c>
      <c r="C533" t="str">
        <f>"6.7629"</f>
        <v>6.7629</v>
      </c>
    </row>
    <row r="534" spans="1:3" x14ac:dyDescent="0.25">
      <c r="A534" t="str">
        <f>"03/08/2011"</f>
        <v>03/08/2011</v>
      </c>
      <c r="B534" t="str">
        <f>"6.7808"</f>
        <v>6.7808</v>
      </c>
      <c r="C534" t="str">
        <f>"6.8137"</f>
        <v>6.8137</v>
      </c>
    </row>
    <row r="535" spans="1:3" x14ac:dyDescent="0.25">
      <c r="A535" t="str">
        <f>"04/08/2011"</f>
        <v>04/08/2011</v>
      </c>
      <c r="B535" t="str">
        <f>"6.7927"</f>
        <v>6.7927</v>
      </c>
      <c r="C535" t="str">
        <f>"6.8242"</f>
        <v>6.8242</v>
      </c>
    </row>
    <row r="536" spans="1:3" x14ac:dyDescent="0.25">
      <c r="A536" t="str">
        <f>"09/08/2011"</f>
        <v>09/08/2011</v>
      </c>
      <c r="B536" t="str">
        <f>"7.3504"</f>
        <v>7.3504</v>
      </c>
      <c r="C536" t="str">
        <f>"7.3843"</f>
        <v>7.3843</v>
      </c>
    </row>
    <row r="537" spans="1:3" x14ac:dyDescent="0.25">
      <c r="A537" t="str">
        <f>"10/08/2011"</f>
        <v>10/08/2011</v>
      </c>
      <c r="B537" t="str">
        <f>"7.1288"</f>
        <v>7.1288</v>
      </c>
      <c r="C537" t="str">
        <f>"7.1631"</f>
        <v>7.1631</v>
      </c>
    </row>
    <row r="538" spans="1:3" x14ac:dyDescent="0.25">
      <c r="A538" t="str">
        <f>"11/08/2011"</f>
        <v>11/08/2011</v>
      </c>
      <c r="B538" t="str">
        <f>"7.2381"</f>
        <v>7.2381</v>
      </c>
      <c r="C538" t="str">
        <f>"7.2714"</f>
        <v>7.2714</v>
      </c>
    </row>
    <row r="539" spans="1:3" x14ac:dyDescent="0.25">
      <c r="A539" t="str">
        <f>"12/08/2011"</f>
        <v>12/08/2011</v>
      </c>
      <c r="B539" t="str">
        <f>"7.1966"</f>
        <v>7.1966</v>
      </c>
      <c r="C539" t="str">
        <f>"7.2304"</f>
        <v>7.2304</v>
      </c>
    </row>
    <row r="540" spans="1:3" x14ac:dyDescent="0.25">
      <c r="A540" t="str">
        <f>"16/08/2011"</f>
        <v>16/08/2011</v>
      </c>
      <c r="B540" t="str">
        <f>"7.095"</f>
        <v>7.095</v>
      </c>
      <c r="C540" t="str">
        <f>"7.1291"</f>
        <v>7.1291</v>
      </c>
    </row>
    <row r="541" spans="1:3" x14ac:dyDescent="0.25">
      <c r="A541" t="str">
        <f>"17/08/2011"</f>
        <v>17/08/2011</v>
      </c>
      <c r="B541" t="str">
        <f>"7.15"</f>
        <v>7.15</v>
      </c>
      <c r="C541" t="str">
        <f>"7.1842"</f>
        <v>7.1842</v>
      </c>
    </row>
    <row r="542" spans="1:3" x14ac:dyDescent="0.25">
      <c r="A542" t="str">
        <f>"18/08/2011"</f>
        <v>18/08/2011</v>
      </c>
      <c r="B542" t="str">
        <f>"7.1033"</f>
        <v>7.1033</v>
      </c>
      <c r="C542" t="str">
        <f>"7.1372"</f>
        <v>7.1372</v>
      </c>
    </row>
    <row r="543" spans="1:3" x14ac:dyDescent="0.25">
      <c r="A543" t="str">
        <f>"19/08/2011"</f>
        <v>19/08/2011</v>
      </c>
      <c r="B543" t="str">
        <f>"7.2254"</f>
        <v>7.2254</v>
      </c>
      <c r="C543" t="str">
        <f>"7.2594"</f>
        <v>7.2594</v>
      </c>
    </row>
    <row r="544" spans="1:3" x14ac:dyDescent="0.25">
      <c r="A544" t="str">
        <f>"22/08/2011"</f>
        <v>22/08/2011</v>
      </c>
      <c r="B544" t="str">
        <f>"7.2078"</f>
        <v>7.2078</v>
      </c>
      <c r="C544" t="str">
        <f>"7.2414"</f>
        <v>7.2414</v>
      </c>
    </row>
    <row r="545" spans="1:3" x14ac:dyDescent="0.25">
      <c r="A545" t="str">
        <f>"23/08/2011"</f>
        <v>23/08/2011</v>
      </c>
      <c r="B545" t="str">
        <f>"7.2036"</f>
        <v>7.2036</v>
      </c>
      <c r="C545" t="str">
        <f>"7.2393"</f>
        <v>7.2393</v>
      </c>
    </row>
    <row r="546" spans="1:3" x14ac:dyDescent="0.25">
      <c r="A546" t="str">
        <f>"24/08/2011"</f>
        <v>24/08/2011</v>
      </c>
      <c r="B546" t="str">
        <f>"7.2074"</f>
        <v>7.2074</v>
      </c>
      <c r="C546" t="str">
        <f>"7.2422"</f>
        <v>7.2422</v>
      </c>
    </row>
    <row r="547" spans="1:3" x14ac:dyDescent="0.25">
      <c r="A547" t="str">
        <f>"25/08/2011"</f>
        <v>25/08/2011</v>
      </c>
      <c r="B547" t="str">
        <f>"7.2605"</f>
        <v>7.2605</v>
      </c>
      <c r="C547" t="str">
        <f>"7.2942"</f>
        <v>7.2942</v>
      </c>
    </row>
    <row r="548" spans="1:3" x14ac:dyDescent="0.25">
      <c r="A548" t="str">
        <f>"26/08/2011"</f>
        <v>26/08/2011</v>
      </c>
      <c r="B548" t="str">
        <f>"7.2432"</f>
        <v>7.2432</v>
      </c>
      <c r="C548" t="str">
        <f>"7.2765"</f>
        <v>7.2765</v>
      </c>
    </row>
    <row r="549" spans="1:3" x14ac:dyDescent="0.25">
      <c r="A549" t="str">
        <f>"29/08/2011"</f>
        <v>29/08/2011</v>
      </c>
      <c r="B549" t="str">
        <f>"7.132"</f>
        <v>7.132</v>
      </c>
      <c r="C549" t="str">
        <f>"7.1659"</f>
        <v>7.1659</v>
      </c>
    </row>
    <row r="550" spans="1:3" x14ac:dyDescent="0.25">
      <c r="A550" t="str">
        <f>"30/08/2011"</f>
        <v>30/08/2011</v>
      </c>
      <c r="B550" t="str">
        <f>"7.039"</f>
        <v>7.039</v>
      </c>
      <c r="C550" t="str">
        <f>"7.0724"</f>
        <v>7.0724</v>
      </c>
    </row>
    <row r="551" spans="1:3" x14ac:dyDescent="0.25">
      <c r="A551" t="str">
        <f>"02/09/2011"</f>
        <v>02/09/2011</v>
      </c>
      <c r="B551" t="str">
        <f>"7.0126"</f>
        <v>7.0126</v>
      </c>
      <c r="C551" t="str">
        <f>"7.0445"</f>
        <v>7.0445</v>
      </c>
    </row>
    <row r="552" spans="1:3" x14ac:dyDescent="0.25">
      <c r="A552" t="str">
        <f>"05/09/2011"</f>
        <v>05/09/2011</v>
      </c>
      <c r="B552" t="str">
        <f>"7.0716"</f>
        <v>7.0716</v>
      </c>
      <c r="C552" t="str">
        <f>"7.1027"</f>
        <v>7.1027</v>
      </c>
    </row>
    <row r="553" spans="1:3" x14ac:dyDescent="0.25">
      <c r="A553" t="str">
        <f>"06/09/2011"</f>
        <v>06/09/2011</v>
      </c>
      <c r="B553" t="str">
        <f>"7.1444"</f>
        <v>7.1444</v>
      </c>
      <c r="C553" t="str">
        <f>"7.1758"</f>
        <v>7.1758</v>
      </c>
    </row>
    <row r="554" spans="1:3" x14ac:dyDescent="0.25">
      <c r="A554" t="str">
        <f>"07/09/2011"</f>
        <v>07/09/2011</v>
      </c>
      <c r="B554" t="str">
        <f>"7.1468"</f>
        <v>7.1468</v>
      </c>
      <c r="C554" t="str">
        <f>"7.1812"</f>
        <v>7.1812</v>
      </c>
    </row>
    <row r="555" spans="1:3" x14ac:dyDescent="0.25">
      <c r="A555" t="str">
        <f>"08/09/2011"</f>
        <v>08/09/2011</v>
      </c>
      <c r="B555" t="str">
        <f>"7.1496"</f>
        <v>7.1496</v>
      </c>
      <c r="C555" t="str">
        <f>"7.1828"</f>
        <v>7.1828</v>
      </c>
    </row>
    <row r="556" spans="1:3" x14ac:dyDescent="0.25">
      <c r="A556" t="str">
        <f>"09/09/2011"</f>
        <v>09/09/2011</v>
      </c>
      <c r="B556" t="str">
        <f>"7.1731"</f>
        <v>7.1731</v>
      </c>
      <c r="C556" t="str">
        <f>"0.00"</f>
        <v>0.00</v>
      </c>
    </row>
    <row r="557" spans="1:3" x14ac:dyDescent="0.25">
      <c r="A557" t="str">
        <f>"12/09/2011"</f>
        <v>12/09/2011</v>
      </c>
      <c r="B557" t="str">
        <f>"7.3188"</f>
        <v>7.3188</v>
      </c>
      <c r="C557" t="str">
        <f>"7.3506"</f>
        <v>7.3506</v>
      </c>
    </row>
    <row r="558" spans="1:3" x14ac:dyDescent="0.25">
      <c r="A558" t="str">
        <f>"13/09/2011"</f>
        <v>13/09/2011</v>
      </c>
      <c r="B558" t="str">
        <f>"7.3962"</f>
        <v>7.3962</v>
      </c>
      <c r="C558" t="str">
        <f>"7.4288"</f>
        <v>7.4288</v>
      </c>
    </row>
    <row r="559" spans="1:3" x14ac:dyDescent="0.25">
      <c r="A559" t="str">
        <f>"14/09/2011"</f>
        <v>14/09/2011</v>
      </c>
      <c r="B559" t="str">
        <f>"7.367"</f>
        <v>7.367</v>
      </c>
      <c r="C559" t="str">
        <f>"7.4009"</f>
        <v>7.4009</v>
      </c>
    </row>
    <row r="560" spans="1:3" x14ac:dyDescent="0.25">
      <c r="A560" t="str">
        <f>"15/09/2011"</f>
        <v>15/09/2011</v>
      </c>
      <c r="B560" t="str">
        <f>"7.46"</f>
        <v>7.46</v>
      </c>
      <c r="C560" t="str">
        <f>"7.4933"</f>
        <v>7.4933</v>
      </c>
    </row>
    <row r="561" spans="1:3" x14ac:dyDescent="0.25">
      <c r="A561" t="str">
        <f>"16/09/2011"</f>
        <v>16/09/2011</v>
      </c>
      <c r="B561" t="str">
        <f>"7.37"</f>
        <v>7.37</v>
      </c>
      <c r="C561" t="str">
        <f>"7.4023"</f>
        <v>7.4023</v>
      </c>
    </row>
    <row r="562" spans="1:3" x14ac:dyDescent="0.25">
      <c r="A562" t="str">
        <f>"19/09/2011"</f>
        <v>19/09/2011</v>
      </c>
      <c r="B562" t="str">
        <f>"7.5459"</f>
        <v>7.5459</v>
      </c>
      <c r="C562" t="str">
        <f>"7.5789"</f>
        <v>7.5789</v>
      </c>
    </row>
    <row r="563" spans="1:3" x14ac:dyDescent="0.25">
      <c r="A563" t="str">
        <f>"20/09/2011"</f>
        <v>20/09/2011</v>
      </c>
      <c r="B563" t="str">
        <f>"7.745"</f>
        <v>7.745</v>
      </c>
      <c r="C563" t="str">
        <f>"7.7782"</f>
        <v>7.7782</v>
      </c>
    </row>
    <row r="564" spans="1:3" x14ac:dyDescent="0.25">
      <c r="A564" t="str">
        <f>"21/09/2011"</f>
        <v>21/09/2011</v>
      </c>
      <c r="B564" t="str">
        <f>"7.705"</f>
        <v>7.705</v>
      </c>
      <c r="C564" t="str">
        <f>"7.7404"</f>
        <v>7.7404</v>
      </c>
    </row>
    <row r="565" spans="1:3" x14ac:dyDescent="0.25">
      <c r="A565" t="str">
        <f>"22/09/2011"</f>
        <v>22/09/2011</v>
      </c>
      <c r="B565" t="str">
        <f>"8.203"</f>
        <v>8.203</v>
      </c>
      <c r="C565" t="str">
        <f>"8.2397"</f>
        <v>8.2397</v>
      </c>
    </row>
    <row r="566" spans="1:3" x14ac:dyDescent="0.25">
      <c r="A566" t="str">
        <f>"23/09/2011"</f>
        <v>23/09/2011</v>
      </c>
      <c r="B566" t="str">
        <f>"8.364"</f>
        <v>8.364</v>
      </c>
      <c r="C566" t="str">
        <f>"8.4005"</f>
        <v>8.4005</v>
      </c>
    </row>
    <row r="567" spans="1:3" x14ac:dyDescent="0.25">
      <c r="A567" t="str">
        <f>"26/09/2011"</f>
        <v>26/09/2011</v>
      </c>
      <c r="B567" t="str">
        <f>"8.1988"</f>
        <v>8.1988</v>
      </c>
      <c r="C567" t="str">
        <f>"8.235"</f>
        <v>8.235</v>
      </c>
    </row>
    <row r="568" spans="1:3" x14ac:dyDescent="0.25">
      <c r="A568" t="str">
        <f>"27/09/2011"</f>
        <v>27/09/2011</v>
      </c>
      <c r="B568" t="str">
        <f>"8.0325"</f>
        <v>8.0325</v>
      </c>
      <c r="C568" t="str">
        <f>"8.0687"</f>
        <v>8.0687</v>
      </c>
    </row>
    <row r="569" spans="1:3" x14ac:dyDescent="0.25">
      <c r="A569" t="str">
        <f>"28/09/2011"</f>
        <v>28/09/2011</v>
      </c>
      <c r="B569" t="str">
        <f>"7.905"</f>
        <v>7.905</v>
      </c>
      <c r="C569" t="str">
        <f>"7.9424"</f>
        <v>7.9424</v>
      </c>
    </row>
    <row r="570" spans="1:3" x14ac:dyDescent="0.25">
      <c r="A570" t="str">
        <f>"29/09/2011"</f>
        <v>29/09/2011</v>
      </c>
      <c r="B570" t="str">
        <f>"7.87"</f>
        <v>7.87</v>
      </c>
      <c r="C570" t="str">
        <f>"7.9065"</f>
        <v>7.9065</v>
      </c>
    </row>
    <row r="571" spans="1:3" x14ac:dyDescent="0.25">
      <c r="A571" t="str">
        <f>"30/09/2011"</f>
        <v>30/09/2011</v>
      </c>
      <c r="B571" t="str">
        <f>"8.0094"</f>
        <v>8.0094</v>
      </c>
      <c r="C571" t="str">
        <f>"8.0459"</f>
        <v>8.0459</v>
      </c>
    </row>
    <row r="572" spans="1:3" x14ac:dyDescent="0.25">
      <c r="A572" t="str">
        <f>"03/10/2011"</f>
        <v>03/10/2011</v>
      </c>
      <c r="B572" t="str">
        <f>"8.1485"</f>
        <v>8.1485</v>
      </c>
      <c r="C572" t="str">
        <f>"8.1855"</f>
        <v>8.1855</v>
      </c>
    </row>
    <row r="573" spans="1:3" x14ac:dyDescent="0.25">
      <c r="A573" t="str">
        <f>"04/10/2011"</f>
        <v>04/10/2011</v>
      </c>
      <c r="B573" t="str">
        <f>"8.2667"</f>
        <v>8.2667</v>
      </c>
      <c r="C573" t="str">
        <f>"8.3077"</f>
        <v>8.3077</v>
      </c>
    </row>
    <row r="574" spans="1:3" x14ac:dyDescent="0.25">
      <c r="A574" t="str">
        <f>"05/10/2011"</f>
        <v>05/10/2011</v>
      </c>
      <c r="B574" t="str">
        <f>"8.13"</f>
        <v>8.13</v>
      </c>
      <c r="C574" t="str">
        <f>"8.1687"</f>
        <v>8.1687</v>
      </c>
    </row>
    <row r="575" spans="1:3" x14ac:dyDescent="0.25">
      <c r="A575" t="str">
        <f>"07/10/2011"</f>
        <v>07/10/2011</v>
      </c>
      <c r="B575" t="str">
        <f>"7.9452"</f>
        <v>7.9452</v>
      </c>
      <c r="C575" t="str">
        <f>"7.9851"</f>
        <v>7.9851</v>
      </c>
    </row>
    <row r="576" spans="1:3" x14ac:dyDescent="0.25">
      <c r="A576" t="str">
        <f>"10/10/2011"</f>
        <v>10/10/2011</v>
      </c>
      <c r="B576" t="str">
        <f>"7.9753"</f>
        <v>7.9753</v>
      </c>
      <c r="C576" t="str">
        <f>"8.0151"</f>
        <v>8.0151</v>
      </c>
    </row>
    <row r="577" spans="1:3" x14ac:dyDescent="0.25">
      <c r="A577" t="str">
        <f>"11/10/2011"</f>
        <v>11/10/2011</v>
      </c>
      <c r="B577" t="str">
        <f>"7.8622"</f>
        <v>7.8622</v>
      </c>
      <c r="C577" t="str">
        <f>"7.9005"</f>
        <v>7.9005</v>
      </c>
    </row>
    <row r="578" spans="1:3" x14ac:dyDescent="0.25">
      <c r="A578" t="str">
        <f>"12/10/2011"</f>
        <v>12/10/2011</v>
      </c>
      <c r="B578" t="str">
        <f>"7.9538"</f>
        <v>7.9538</v>
      </c>
      <c r="C578" t="str">
        <f>"7.9919"</f>
        <v>7.9919</v>
      </c>
    </row>
    <row r="579" spans="1:3" x14ac:dyDescent="0.25">
      <c r="A579" t="str">
        <f>"13/10/2011"</f>
        <v>13/10/2011</v>
      </c>
      <c r="B579" t="str">
        <f>"7.8072"</f>
        <v>7.8072</v>
      </c>
      <c r="C579" t="str">
        <f>"7.8431"</f>
        <v>7.8431</v>
      </c>
    </row>
    <row r="580" spans="1:3" x14ac:dyDescent="0.25">
      <c r="A580" t="str">
        <f>"14/10/2011"</f>
        <v>14/10/2011</v>
      </c>
      <c r="B580" t="str">
        <f>"7.8406"</f>
        <v>7.8406</v>
      </c>
      <c r="C580" t="str">
        <f>"7.8772"</f>
        <v>7.8772</v>
      </c>
    </row>
    <row r="581" spans="1:3" x14ac:dyDescent="0.25">
      <c r="A581" t="str">
        <f>"17/10/2011"</f>
        <v>17/10/2011</v>
      </c>
      <c r="B581" t="str">
        <f>"7.8598"</f>
        <v>7.8598</v>
      </c>
      <c r="C581" t="str">
        <f>"7.8961"</f>
        <v>7.8961</v>
      </c>
    </row>
    <row r="582" spans="1:3" x14ac:dyDescent="0.25">
      <c r="A582" t="str">
        <f>"18/10/2011"</f>
        <v>18/10/2011</v>
      </c>
      <c r="B582" t="str">
        <f>"7.945"</f>
        <v>7.945</v>
      </c>
      <c r="C582" t="str">
        <f>"7.9845"</f>
        <v>7.9845</v>
      </c>
    </row>
    <row r="583" spans="1:3" x14ac:dyDescent="0.25">
      <c r="A583" t="str">
        <f>"19/10/2011"</f>
        <v>19/10/2011</v>
      </c>
      <c r="B583" t="str">
        <f>"7.9786"</f>
        <v>7.9786</v>
      </c>
      <c r="C583" t="str">
        <f>"8.0171"</f>
        <v>8.0171</v>
      </c>
    </row>
    <row r="584" spans="1:3" x14ac:dyDescent="0.25">
      <c r="A584" t="str">
        <f>"20/10/2011"</f>
        <v>20/10/2011</v>
      </c>
      <c r="B584" t="str">
        <f>"8.0786"</f>
        <v>8.0786</v>
      </c>
      <c r="C584" t="str">
        <f>"8.117"</f>
        <v>8.117</v>
      </c>
    </row>
    <row r="585" spans="1:3" x14ac:dyDescent="0.25">
      <c r="A585" t="str">
        <f>"21/10/2011"</f>
        <v>21/10/2011</v>
      </c>
      <c r="B585" t="str">
        <f>"8.1604"</f>
        <v>8.1604</v>
      </c>
      <c r="C585" t="str">
        <f>"8.1994"</f>
        <v>8.1994</v>
      </c>
    </row>
    <row r="586" spans="1:3" x14ac:dyDescent="0.25">
      <c r="A586" t="str">
        <f>"24/10/2011"</f>
        <v>24/10/2011</v>
      </c>
      <c r="B586" t="str">
        <f>"8.0324"</f>
        <v>8.0324</v>
      </c>
      <c r="C586" t="str">
        <f>"8.0696"</f>
        <v>8.0696</v>
      </c>
    </row>
    <row r="587" spans="1:3" x14ac:dyDescent="0.25">
      <c r="A587" t="str">
        <f>"25/10/2011"</f>
        <v>25/10/2011</v>
      </c>
      <c r="B587" t="str">
        <f>"7.8812"</f>
        <v>7.8812</v>
      </c>
      <c r="C587" t="str">
        <f>"7.92"</f>
        <v>7.92</v>
      </c>
    </row>
    <row r="588" spans="1:3" x14ac:dyDescent="0.25">
      <c r="A588" t="str">
        <f>"28/10/2011"</f>
        <v>28/10/2011</v>
      </c>
      <c r="B588" t="str">
        <f>"7.7435"</f>
        <v>7.7435</v>
      </c>
      <c r="C588" t="str">
        <f>"7.7785"</f>
        <v>7.7785</v>
      </c>
    </row>
    <row r="589" spans="1:3" x14ac:dyDescent="0.25">
      <c r="A589" t="str">
        <f>"31/10/2011"</f>
        <v>31/10/2011</v>
      </c>
      <c r="B589" t="str">
        <f>"7.841"</f>
        <v>7.841</v>
      </c>
      <c r="C589" t="str">
        <f>"7.8767"</f>
        <v>7.8767</v>
      </c>
    </row>
    <row r="590" spans="1:3" x14ac:dyDescent="0.25">
      <c r="A590" t="str">
        <f>"01/11/2011"</f>
        <v>01/11/2011</v>
      </c>
      <c r="B590" t="str">
        <f>"7.9721"</f>
        <v>7.9721</v>
      </c>
      <c r="C590" t="str">
        <f>"8.0085"</f>
        <v>8.0085</v>
      </c>
    </row>
    <row r="591" spans="1:3" x14ac:dyDescent="0.25">
      <c r="A591" t="str">
        <f>"02/11/2011"</f>
        <v>02/11/2011</v>
      </c>
      <c r="B591" t="str">
        <f>"8.0612"</f>
        <v>8.0612</v>
      </c>
      <c r="C591" t="str">
        <f>"8.10"</f>
        <v>8.10</v>
      </c>
    </row>
    <row r="592" spans="1:3" x14ac:dyDescent="0.25">
      <c r="A592" t="str">
        <f>"03/11/2011"</f>
        <v>03/11/2011</v>
      </c>
      <c r="B592" t="str">
        <f>"8.0291"</f>
        <v>8.0291</v>
      </c>
      <c r="C592" t="str">
        <f>"8.067"</f>
        <v>8.067</v>
      </c>
    </row>
    <row r="593" spans="1:3" x14ac:dyDescent="0.25">
      <c r="A593" t="str">
        <f>"04/11/2011"</f>
        <v>04/11/2011</v>
      </c>
      <c r="B593" t="str">
        <f>"7.885"</f>
        <v>7.885</v>
      </c>
      <c r="C593" t="str">
        <f>"7.9197"</f>
        <v>7.9197</v>
      </c>
    </row>
    <row r="594" spans="1:3" x14ac:dyDescent="0.25">
      <c r="A594" t="str">
        <f>"08/11/2011"</f>
        <v>08/11/2011</v>
      </c>
      <c r="B594" t="str">
        <f>"7.954"</f>
        <v>7.954</v>
      </c>
      <c r="C594" t="str">
        <f>"7.9887"</f>
        <v>7.9887</v>
      </c>
    </row>
    <row r="595" spans="1:3" x14ac:dyDescent="0.25">
      <c r="A595" t="str">
        <f>"09/11/2011"</f>
        <v>09/11/2011</v>
      </c>
      <c r="B595" t="str">
        <f>"7.846"</f>
        <v>7.846</v>
      </c>
      <c r="C595" t="str">
        <f>"7.8826"</f>
        <v>7.8826</v>
      </c>
    </row>
    <row r="596" spans="1:3" x14ac:dyDescent="0.25">
      <c r="A596" t="str">
        <f>"11/11/2011"</f>
        <v>11/11/2011</v>
      </c>
      <c r="B596" t="str">
        <f>"7.9836"</f>
        <v>7.9836</v>
      </c>
      <c r="C596" t="str">
        <f>"8.0193"</f>
        <v>8.0193</v>
      </c>
    </row>
    <row r="597" spans="1:3" x14ac:dyDescent="0.25">
      <c r="A597" t="str">
        <f>"14/11/2011"</f>
        <v>14/11/2011</v>
      </c>
      <c r="B597" t="str">
        <f>"7.8905"</f>
        <v>7.8905</v>
      </c>
      <c r="C597" t="str">
        <f>"7.927"</f>
        <v>7.927</v>
      </c>
    </row>
    <row r="598" spans="1:3" x14ac:dyDescent="0.25">
      <c r="A598" t="str">
        <f>"15/11/2011"</f>
        <v>15/11/2011</v>
      </c>
      <c r="B598" t="str">
        <f>"8.0269"</f>
        <v>8.0269</v>
      </c>
      <c r="C598" t="str">
        <f>"8.0667"</f>
        <v>8.0667</v>
      </c>
    </row>
    <row r="599" spans="1:3" x14ac:dyDescent="0.25">
      <c r="A599" t="str">
        <f>"16/11/2011"</f>
        <v>16/11/2011</v>
      </c>
      <c r="B599" t="str">
        <f>"8.20"</f>
        <v>8.20</v>
      </c>
      <c r="C599" t="str">
        <f>"8.2383"</f>
        <v>8.2383</v>
      </c>
    </row>
    <row r="600" spans="1:3" x14ac:dyDescent="0.25">
      <c r="A600" t="str">
        <f>"17/11/2011"</f>
        <v>17/11/2011</v>
      </c>
      <c r="B600" t="str">
        <f>"8.1876"</f>
        <v>8.1876</v>
      </c>
      <c r="C600" t="str">
        <f>"8.2252"</f>
        <v>8.2252</v>
      </c>
    </row>
    <row r="601" spans="1:3" x14ac:dyDescent="0.25">
      <c r="A601" t="str">
        <f>"18/11/2011"</f>
        <v>18/11/2011</v>
      </c>
      <c r="B601" t="str">
        <f>"8.2036"</f>
        <v>8.2036</v>
      </c>
      <c r="C601" t="str">
        <f>"8.2403"</f>
        <v>8.2403</v>
      </c>
    </row>
    <row r="602" spans="1:3" x14ac:dyDescent="0.25">
      <c r="A602" t="str">
        <f>"21/11/2011"</f>
        <v>21/11/2011</v>
      </c>
      <c r="B602" t="str">
        <f>"8.207"</f>
        <v>8.207</v>
      </c>
      <c r="C602" t="str">
        <f>"8.2436"</f>
        <v>8.2436</v>
      </c>
    </row>
    <row r="603" spans="1:3" x14ac:dyDescent="0.25">
      <c r="A603" t="str">
        <f>"22/11/2011"</f>
        <v>22/11/2011</v>
      </c>
      <c r="B603" t="str">
        <f>"8.3264"</f>
        <v>8.3264</v>
      </c>
      <c r="C603" t="str">
        <f>"8.364"</f>
        <v>8.364</v>
      </c>
    </row>
    <row r="604" spans="1:3" x14ac:dyDescent="0.25">
      <c r="A604" t="str">
        <f>"23/11/2011"</f>
        <v>23/11/2011</v>
      </c>
      <c r="B604" t="str">
        <f>"8.4228"</f>
        <v>8.4228</v>
      </c>
      <c r="C604" t="str">
        <f>"8.4626"</f>
        <v>8.4626</v>
      </c>
    </row>
    <row r="605" spans="1:3" x14ac:dyDescent="0.25">
      <c r="A605" t="str">
        <f>"24/11/2011"</f>
        <v>24/11/2011</v>
      </c>
      <c r="B605" t="str">
        <f>"8.4728"</f>
        <v>8.4728</v>
      </c>
      <c r="C605" t="str">
        <f>"8.5115"</f>
        <v>8.5115</v>
      </c>
    </row>
    <row r="606" spans="1:3" x14ac:dyDescent="0.25">
      <c r="A606" t="str">
        <f>"25/11/2011"</f>
        <v>25/11/2011</v>
      </c>
      <c r="B606" t="str">
        <f>"8.5894"</f>
        <v>8.5894</v>
      </c>
      <c r="C606" t="str">
        <f>"8.6281"</f>
        <v>8.6281</v>
      </c>
    </row>
    <row r="607" spans="1:3" x14ac:dyDescent="0.25">
      <c r="A607" t="str">
        <f>"28/11/2011"</f>
        <v>28/11/2011</v>
      </c>
      <c r="B607" t="str">
        <f>"8.3438"</f>
        <v>8.3438</v>
      </c>
      <c r="C607" t="str">
        <f>"8.3816"</f>
        <v>8.3816</v>
      </c>
    </row>
    <row r="608" spans="1:3" x14ac:dyDescent="0.25">
      <c r="A608" t="str">
        <f>"29/11/2011"</f>
        <v>29/11/2011</v>
      </c>
      <c r="B608" t="str">
        <f>"8.2868"</f>
        <v>8.2868</v>
      </c>
      <c r="C608" t="str">
        <f>"8.3306"</f>
        <v>8.3306</v>
      </c>
    </row>
    <row r="609" spans="1:3" x14ac:dyDescent="0.25">
      <c r="A609" t="str">
        <f>"30/11/2011"</f>
        <v>30/11/2011</v>
      </c>
      <c r="B609" t="str">
        <f>"8.4173"</f>
        <v>8.4173</v>
      </c>
      <c r="C609" t="str">
        <f>"8.4599"</f>
        <v>8.4599</v>
      </c>
    </row>
    <row r="610" spans="1:3" x14ac:dyDescent="0.25">
      <c r="A610" t="str">
        <f>"01/12/2011"</f>
        <v>01/12/2011</v>
      </c>
      <c r="B610" t="str">
        <f>"8.1461"</f>
        <v>8.1461</v>
      </c>
      <c r="C610" t="str">
        <f>"8.1862"</f>
        <v>8.1862</v>
      </c>
    </row>
    <row r="611" spans="1:3" x14ac:dyDescent="0.25">
      <c r="A611" t="str">
        <f>"02/12/2011"</f>
        <v>02/12/2011</v>
      </c>
      <c r="B611" t="str">
        <f>"8.0539"</f>
        <v>8.0539</v>
      </c>
      <c r="C611" t="str">
        <f>"8.0926"</f>
        <v>8.0926</v>
      </c>
    </row>
    <row r="612" spans="1:3" x14ac:dyDescent="0.25">
      <c r="A612" t="str">
        <f>"05/12/2011"</f>
        <v>05/12/2011</v>
      </c>
      <c r="B612" t="str">
        <f>"7.97"</f>
        <v>7.97</v>
      </c>
      <c r="C612" t="str">
        <f>"8.0108"</f>
        <v>8.0108</v>
      </c>
    </row>
    <row r="613" spans="1:3" x14ac:dyDescent="0.25">
      <c r="A613" t="str">
        <f>"07/12/2011"</f>
        <v>07/12/2011</v>
      </c>
      <c r="B613" t="str">
        <f>"8.0146"</f>
        <v>8.0146</v>
      </c>
      <c r="C613" t="str">
        <f>"8.0533"</f>
        <v>8.0533</v>
      </c>
    </row>
    <row r="614" spans="1:3" x14ac:dyDescent="0.25">
      <c r="A614" t="str">
        <f>"08/12/2011"</f>
        <v>08/12/2011</v>
      </c>
      <c r="B614" t="str">
        <f>"8.0758"</f>
        <v>8.0758</v>
      </c>
      <c r="C614" t="str">
        <f>"8.1148"</f>
        <v>8.1148</v>
      </c>
    </row>
    <row r="615" spans="1:3" x14ac:dyDescent="0.25">
      <c r="A615" t="str">
        <f>"09/12/2011"</f>
        <v>09/12/2011</v>
      </c>
      <c r="B615" t="str">
        <f>"8.2528"</f>
        <v>8.2528</v>
      </c>
      <c r="C615" t="str">
        <f>"8.2929"</f>
        <v>8.2929</v>
      </c>
    </row>
    <row r="616" spans="1:3" x14ac:dyDescent="0.25">
      <c r="A616" t="str">
        <f>"12/12/2011"</f>
        <v>12/12/2011</v>
      </c>
      <c r="B616" t="str">
        <f>"8.2392"</f>
        <v>8.2392</v>
      </c>
      <c r="C616" t="str">
        <f>"8.2843"</f>
        <v>8.2843</v>
      </c>
    </row>
    <row r="617" spans="1:3" x14ac:dyDescent="0.25">
      <c r="A617" t="str">
        <f>"13/12/2011"</f>
        <v>13/12/2011</v>
      </c>
      <c r="B617" t="str">
        <f>"8.281"</f>
        <v>8.281</v>
      </c>
      <c r="C617" t="str">
        <f>"8.3253"</f>
        <v>8.3253</v>
      </c>
    </row>
    <row r="618" spans="1:3" x14ac:dyDescent="0.25">
      <c r="A618" t="str">
        <f>"14/12/2011"</f>
        <v>14/12/2011</v>
      </c>
      <c r="B618" t="str">
        <f>"8.3137"</f>
        <v>8.3137</v>
      </c>
      <c r="C618" t="str">
        <f>"8.3555"</f>
        <v>8.3555</v>
      </c>
    </row>
    <row r="619" spans="1:3" x14ac:dyDescent="0.25">
      <c r="A619" t="str">
        <f>"15/12/2011"</f>
        <v>15/12/2011</v>
      </c>
      <c r="B619" t="str">
        <f>"8.4122"</f>
        <v>8.4122</v>
      </c>
      <c r="C619" t="str">
        <f>"8.4548"</f>
        <v>8.4548</v>
      </c>
    </row>
    <row r="620" spans="1:3" x14ac:dyDescent="0.25">
      <c r="A620" t="str">
        <f>"16/12/2011"</f>
        <v>16/12/2011</v>
      </c>
      <c r="B620" t="str">
        <f>"8.3876"</f>
        <v>8.3876</v>
      </c>
      <c r="C620" t="str">
        <f>"8.4302"</f>
        <v>8.4302</v>
      </c>
    </row>
    <row r="621" spans="1:3" x14ac:dyDescent="0.25">
      <c r="A621" t="str">
        <f>"19/12/2011"</f>
        <v>19/12/2011</v>
      </c>
      <c r="B621" t="str">
        <f>"8.3792"</f>
        <v>8.3792</v>
      </c>
      <c r="C621" t="str">
        <f>"8.4245"</f>
        <v>8.4245</v>
      </c>
    </row>
    <row r="622" spans="1:3" x14ac:dyDescent="0.25">
      <c r="A622" t="str">
        <f>"20/12/2011"</f>
        <v>20/12/2011</v>
      </c>
      <c r="B622" t="str">
        <f>"8.3128"</f>
        <v>8.3128</v>
      </c>
      <c r="C622" t="str">
        <f>"8.3584"</f>
        <v>8.3584</v>
      </c>
    </row>
    <row r="623" spans="1:3" x14ac:dyDescent="0.25">
      <c r="A623" t="str">
        <f>"21/12/2011"</f>
        <v>21/12/2011</v>
      </c>
      <c r="B623" t="str">
        <f>"8.202"</f>
        <v>8.202</v>
      </c>
      <c r="C623" t="str">
        <f>"8.2471"</f>
        <v>8.2471</v>
      </c>
    </row>
    <row r="624" spans="1:3" x14ac:dyDescent="0.25">
      <c r="A624" t="str">
        <f>"22/12/2011"</f>
        <v>22/12/2011</v>
      </c>
      <c r="B624" t="str">
        <f>"8.2376"</f>
        <v>8.2376</v>
      </c>
      <c r="C624" t="str">
        <f>"8.2816"</f>
        <v>8.2816</v>
      </c>
    </row>
    <row r="625" spans="1:3" x14ac:dyDescent="0.25">
      <c r="A625" t="str">
        <f>"23/12/2011"</f>
        <v>23/12/2011</v>
      </c>
      <c r="B625" t="str">
        <f>"8.1802"</f>
        <v>8.1802</v>
      </c>
      <c r="C625" t="str">
        <f>"8.2241"</f>
        <v>8.2241</v>
      </c>
    </row>
    <row r="626" spans="1:3" x14ac:dyDescent="0.25">
      <c r="A626" t="str">
        <f>"26/12/2011"</f>
        <v>26/12/2011</v>
      </c>
      <c r="B626" t="str">
        <f>"8.1755"</f>
        <v>8.1755</v>
      </c>
      <c r="C626" t="str">
        <f>"8.2193"</f>
        <v>8.2193</v>
      </c>
    </row>
    <row r="627" spans="1:3" x14ac:dyDescent="0.25">
      <c r="A627" t="str">
        <f>"27/12/2011"</f>
        <v>27/12/2011</v>
      </c>
      <c r="B627" t="str">
        <f>"8.1568"</f>
        <v>8.1568</v>
      </c>
      <c r="C627" t="str">
        <f>"8.2006"</f>
        <v>8.2006</v>
      </c>
    </row>
    <row r="628" spans="1:3" x14ac:dyDescent="0.25">
      <c r="A628" t="str">
        <f>"28/12/2011"</f>
        <v>28/12/2011</v>
      </c>
      <c r="B628" t="str">
        <f>"8.138"</f>
        <v>8.138</v>
      </c>
      <c r="C628" t="str">
        <f>"8.1819"</f>
        <v>8.1819</v>
      </c>
    </row>
    <row r="629" spans="1:3" x14ac:dyDescent="0.25">
      <c r="A629" t="str">
        <f>"29/12/2011"</f>
        <v>29/12/2011</v>
      </c>
      <c r="B629" t="str">
        <f>"8.205"</f>
        <v>8.205</v>
      </c>
      <c r="C629" t="str">
        <f>"8.2487"</f>
        <v>8.2487</v>
      </c>
    </row>
    <row r="630" spans="1:3" x14ac:dyDescent="0.25">
      <c r="A630" t="str">
        <f>"30/12/2011"</f>
        <v>30/12/2011</v>
      </c>
      <c r="B630" t="str">
        <f>"8.1868"</f>
        <v>8.1868</v>
      </c>
      <c r="C630" t="str">
        <f>"8.2286"</f>
        <v>8.2286</v>
      </c>
    </row>
    <row r="631" spans="1:3" x14ac:dyDescent="0.25">
      <c r="A631" t="str">
        <f>"02/01/2012"</f>
        <v>02/01/2012</v>
      </c>
      <c r="B631" t="str">
        <f>"8.092"</f>
        <v>8.092</v>
      </c>
      <c r="C631" t="str">
        <f>"8.136"</f>
        <v>8.136</v>
      </c>
    </row>
    <row r="632" spans="1:3" x14ac:dyDescent="0.25">
      <c r="A632" t="str">
        <f>"03/01/2012"</f>
        <v>03/01/2012</v>
      </c>
      <c r="B632" t="str">
        <f>"8.0532"</f>
        <v>8.0532</v>
      </c>
      <c r="C632" t="str">
        <f>"8.0971"</f>
        <v>8.0971</v>
      </c>
    </row>
    <row r="633" spans="1:3" x14ac:dyDescent="0.25">
      <c r="A633" t="str">
        <f>"04/01/2012"</f>
        <v>04/01/2012</v>
      </c>
      <c r="B633" t="str">
        <f>"8.062"</f>
        <v>8.062</v>
      </c>
      <c r="C633" t="str">
        <f>"8.1109"</f>
        <v>8.1109</v>
      </c>
    </row>
    <row r="634" spans="1:3" x14ac:dyDescent="0.25">
      <c r="A634" t="str">
        <f>"05/01/2012"</f>
        <v>05/01/2012</v>
      </c>
      <c r="B634" t="str">
        <f>"8.1364"</f>
        <v>8.1364</v>
      </c>
      <c r="C634" t="str">
        <f>"8.1815"</f>
        <v>8.1815</v>
      </c>
    </row>
    <row r="635" spans="1:3" x14ac:dyDescent="0.25">
      <c r="A635" t="str">
        <f>"06/01/2012"</f>
        <v>06/01/2012</v>
      </c>
      <c r="B635" t="str">
        <f>"8.1648"</f>
        <v>8.1648</v>
      </c>
      <c r="C635" t="str">
        <f>"8.2054"</f>
        <v>8.2054</v>
      </c>
    </row>
    <row r="636" spans="1:3" x14ac:dyDescent="0.25">
      <c r="A636" t="str">
        <f>"09/01/2012"</f>
        <v>09/01/2012</v>
      </c>
      <c r="B636" t="str">
        <f>"8.1778"</f>
        <v>8.1778</v>
      </c>
      <c r="C636" t="str">
        <f>"8.218"</f>
        <v>8.218</v>
      </c>
    </row>
    <row r="637" spans="1:3" x14ac:dyDescent="0.25">
      <c r="A637" t="str">
        <f>"10/01/2012"</f>
        <v>10/01/2012</v>
      </c>
      <c r="B637" t="str">
        <f>"8.1304"</f>
        <v>8.1304</v>
      </c>
      <c r="C637" t="str">
        <f>"8.1717"</f>
        <v>8.1717</v>
      </c>
    </row>
    <row r="638" spans="1:3" x14ac:dyDescent="0.25">
      <c r="A638" t="str">
        <f>"11/01/2012"</f>
        <v>11/01/2012</v>
      </c>
      <c r="B638" t="str">
        <f>"8.1104"</f>
        <v>8.1104</v>
      </c>
      <c r="C638" t="str">
        <f>"8.1505"</f>
        <v>8.1505</v>
      </c>
    </row>
    <row r="639" spans="1:3" x14ac:dyDescent="0.25">
      <c r="A639" t="str">
        <f>"12/01/2012"</f>
        <v>12/01/2012</v>
      </c>
      <c r="B639" t="str">
        <f>"8.0946"</f>
        <v>8.0946</v>
      </c>
      <c r="C639" t="str">
        <f>"8.1352"</f>
        <v>8.1352</v>
      </c>
    </row>
    <row r="640" spans="1:3" x14ac:dyDescent="0.25">
      <c r="A640" t="str">
        <f>"13/01/2012"</f>
        <v>13/01/2012</v>
      </c>
      <c r="B640" t="str">
        <f>"8.0718"</f>
        <v>8.0718</v>
      </c>
      <c r="C640" t="str">
        <f>"8.1122"</f>
        <v>8.1122</v>
      </c>
    </row>
    <row r="641" spans="1:3" x14ac:dyDescent="0.25">
      <c r="A641" t="str">
        <f>"16/01/2012"</f>
        <v>16/01/2012</v>
      </c>
      <c r="B641" t="str">
        <f>"8.1438"</f>
        <v>8.1438</v>
      </c>
      <c r="C641" t="str">
        <f>"8.1889"</f>
        <v>8.1889</v>
      </c>
    </row>
    <row r="642" spans="1:3" x14ac:dyDescent="0.25">
      <c r="A642" t="str">
        <f>"17/01/2012"</f>
        <v>17/01/2012</v>
      </c>
      <c r="B642" t="str">
        <f>"8.0599"</f>
        <v>8.0599</v>
      </c>
      <c r="C642" t="str">
        <f>"8.105"</f>
        <v>8.105</v>
      </c>
    </row>
    <row r="643" spans="1:3" x14ac:dyDescent="0.25">
      <c r="A643" t="str">
        <f>"18/01/2012"</f>
        <v>18/01/2012</v>
      </c>
      <c r="B643" t="str">
        <f>"8.0285"</f>
        <v>8.0285</v>
      </c>
      <c r="C643" t="str">
        <f>"8.0682"</f>
        <v>8.0682</v>
      </c>
    </row>
    <row r="644" spans="1:3" x14ac:dyDescent="0.25">
      <c r="A644" t="str">
        <f>"19/01/2012"</f>
        <v>19/01/2012</v>
      </c>
      <c r="B644" t="str">
        <f>"7.9339"</f>
        <v>7.9339</v>
      </c>
      <c r="C644" t="str">
        <f>"7.9719"</f>
        <v>7.9719</v>
      </c>
    </row>
    <row r="645" spans="1:3" x14ac:dyDescent="0.25">
      <c r="A645" t="str">
        <f>"20/01/2012"</f>
        <v>20/01/2012</v>
      </c>
      <c r="B645" t="str">
        <f>"0.00"</f>
        <v>0.00</v>
      </c>
      <c r="C645" t="str">
        <f>"0.00"</f>
        <v>0.00</v>
      </c>
    </row>
    <row r="646" spans="1:3" x14ac:dyDescent="0.25">
      <c r="A646" t="str">
        <f>"23/01/2012"</f>
        <v>23/01/2012</v>
      </c>
      <c r="B646" t="str">
        <f>"7.9745"</f>
        <v>7.9745</v>
      </c>
      <c r="C646" t="str">
        <f>"8.0158"</f>
        <v>8.0158</v>
      </c>
    </row>
    <row r="647" spans="1:3" x14ac:dyDescent="0.25">
      <c r="A647" t="str">
        <f>"24/01/2012"</f>
        <v>24/01/2012</v>
      </c>
      <c r="B647" t="str">
        <f>"7.998"</f>
        <v>7.998</v>
      </c>
      <c r="C647" t="str">
        <f>"8.0384"</f>
        <v>8.0384</v>
      </c>
    </row>
    <row r="648" spans="1:3" x14ac:dyDescent="0.25">
      <c r="A648" t="str">
        <f>"25/01/2012"</f>
        <v>25/01/2012</v>
      </c>
      <c r="B648" t="str">
        <f>"7.9662"</f>
        <v>7.9662</v>
      </c>
      <c r="C648" t="str">
        <f>"8.0053"</f>
        <v>8.0053</v>
      </c>
    </row>
    <row r="649" spans="1:3" x14ac:dyDescent="0.25">
      <c r="A649" t="str">
        <f>"27/01/2012"</f>
        <v>27/01/2012</v>
      </c>
      <c r="B649" t="str">
        <f>"7.7595"</f>
        <v>7.7595</v>
      </c>
      <c r="C649" t="str">
        <f>"7.7941"</f>
        <v>7.7941</v>
      </c>
    </row>
    <row r="650" spans="1:3" x14ac:dyDescent="0.25">
      <c r="A650" t="str">
        <f>"30/01/2012"</f>
        <v>30/01/2012</v>
      </c>
      <c r="B650" t="str">
        <f>"7.834"</f>
        <v>7.834</v>
      </c>
      <c r="C650" t="str">
        <f>"7.8693"</f>
        <v>7.8693</v>
      </c>
    </row>
    <row r="651" spans="1:3" x14ac:dyDescent="0.25">
      <c r="A651" t="str">
        <f>"31/01/2012"</f>
        <v>31/01/2012</v>
      </c>
      <c r="B651" t="str">
        <f>"7.8182"</f>
        <v>7.8182</v>
      </c>
      <c r="C651" t="str">
        <f>"7.8534"</f>
        <v>7.8534</v>
      </c>
    </row>
    <row r="652" spans="1:3" x14ac:dyDescent="0.25">
      <c r="A652" t="str">
        <f>"01/02/2012"</f>
        <v>01/02/2012</v>
      </c>
      <c r="B652" t="str">
        <f>"7.798"</f>
        <v>7.798</v>
      </c>
      <c r="C652" t="str">
        <f>"7.8327"</f>
        <v>7.8327</v>
      </c>
    </row>
    <row r="653" spans="1:3" x14ac:dyDescent="0.25">
      <c r="A653" t="str">
        <f>"02/02/2012"</f>
        <v>02/02/2012</v>
      </c>
      <c r="B653" t="str">
        <f>"7.6846"</f>
        <v>7.6846</v>
      </c>
      <c r="C653" t="str">
        <f>"7.7206"</f>
        <v>7.7206</v>
      </c>
    </row>
    <row r="654" spans="1:3" x14ac:dyDescent="0.25">
      <c r="A654" t="str">
        <f>"03/02/2012"</f>
        <v>03/02/2012</v>
      </c>
      <c r="B654" t="str">
        <f>"7.6673"</f>
        <v>7.6673</v>
      </c>
      <c r="C654" t="str">
        <f>"7.7008"</f>
        <v>7.7008</v>
      </c>
    </row>
    <row r="655" spans="1:3" x14ac:dyDescent="0.25">
      <c r="A655" t="str">
        <f>"06/02/2012"</f>
        <v>06/02/2012</v>
      </c>
      <c r="B655" t="str">
        <f>"7.57"</f>
        <v>7.57</v>
      </c>
      <c r="C655" t="str">
        <f>"7.603"</f>
        <v>7.603</v>
      </c>
    </row>
    <row r="656" spans="1:3" x14ac:dyDescent="0.25">
      <c r="A656" t="str">
        <f>"07/02/2012"</f>
        <v>07/02/2012</v>
      </c>
      <c r="B656" t="str">
        <f>"7.573"</f>
        <v>7.573</v>
      </c>
      <c r="C656" t="str">
        <f>"7.6057"</f>
        <v>7.6057</v>
      </c>
    </row>
    <row r="657" spans="1:3" x14ac:dyDescent="0.25">
      <c r="A657" t="str">
        <f>"08/02/2012"</f>
        <v>08/02/2012</v>
      </c>
      <c r="B657" t="str">
        <f>"7.581"</f>
        <v>7.581</v>
      </c>
      <c r="C657" t="str">
        <f>"7.6136"</f>
        <v>7.6136</v>
      </c>
    </row>
    <row r="658" spans="1:3" x14ac:dyDescent="0.25">
      <c r="A658" t="str">
        <f>"09/02/2012"</f>
        <v>09/02/2012</v>
      </c>
      <c r="B658" t="str">
        <f>"7.5692"</f>
        <v>7.5692</v>
      </c>
      <c r="C658" t="str">
        <f>"7.604"</f>
        <v>7.604</v>
      </c>
    </row>
    <row r="659" spans="1:3" x14ac:dyDescent="0.25">
      <c r="A659" t="str">
        <f>"10/02/2012"</f>
        <v>10/02/2012</v>
      </c>
      <c r="B659" t="str">
        <f>"7.6385"</f>
        <v>7.6385</v>
      </c>
      <c r="C659" t="str">
        <f>"7.6713"</f>
        <v>7.6713</v>
      </c>
    </row>
    <row r="660" spans="1:3" x14ac:dyDescent="0.25">
      <c r="A660" t="str">
        <f>"13/02/2012"</f>
        <v>13/02/2012</v>
      </c>
      <c r="B660" t="str">
        <f>"7.6695"</f>
        <v>7.6695</v>
      </c>
      <c r="C660" t="str">
        <f>"7.7023"</f>
        <v>7.7023</v>
      </c>
    </row>
    <row r="661" spans="1:3" x14ac:dyDescent="0.25">
      <c r="A661" t="str">
        <f>"14/02/2012"</f>
        <v>14/02/2012</v>
      </c>
      <c r="B661" t="str">
        <f>"7.7074"</f>
        <v>7.7074</v>
      </c>
      <c r="C661" t="str">
        <f>"7.7399"</f>
        <v>7.7399</v>
      </c>
    </row>
    <row r="662" spans="1:3" x14ac:dyDescent="0.25">
      <c r="A662" t="str">
        <f>"15/02/2012"</f>
        <v>15/02/2012</v>
      </c>
      <c r="B662" t="str">
        <f>"7.7143"</f>
        <v>7.7143</v>
      </c>
      <c r="C662" t="str">
        <f>"7.747"</f>
        <v>7.747</v>
      </c>
    </row>
    <row r="663" spans="1:3" x14ac:dyDescent="0.25">
      <c r="A663" t="str">
        <f>"16/02/2012"</f>
        <v>16/02/2012</v>
      </c>
      <c r="B663" t="str">
        <f>"7.7966"</f>
        <v>7.7966</v>
      </c>
      <c r="C663" t="str">
        <f>"7.8308"</f>
        <v>7.8308</v>
      </c>
    </row>
    <row r="664" spans="1:3" x14ac:dyDescent="0.25">
      <c r="A664" t="str">
        <f>"17/02/2012"</f>
        <v>17/02/2012</v>
      </c>
      <c r="B664" t="str">
        <f>"7.7577"</f>
        <v>7.7577</v>
      </c>
      <c r="C664" t="str">
        <f>"7.7915"</f>
        <v>7.7915</v>
      </c>
    </row>
    <row r="665" spans="1:3" x14ac:dyDescent="0.25">
      <c r="A665" t="str">
        <f>"21/02/2012"</f>
        <v>21/02/2012</v>
      </c>
      <c r="B665" t="str">
        <f>"7.722"</f>
        <v>7.722</v>
      </c>
      <c r="C665" t="str">
        <f>"7.7551"</f>
        <v>7.7551</v>
      </c>
    </row>
    <row r="666" spans="1:3" x14ac:dyDescent="0.25">
      <c r="A666" t="str">
        <f>"22/02/2012"</f>
        <v>22/02/2012</v>
      </c>
      <c r="B666" t="str">
        <f>"7.7392"</f>
        <v>7.7392</v>
      </c>
      <c r="C666" t="str">
        <f>"7.7747"</f>
        <v>7.7747</v>
      </c>
    </row>
    <row r="667" spans="1:3" x14ac:dyDescent="0.25">
      <c r="A667" t="str">
        <f>"23/02/2012"</f>
        <v>23/02/2012</v>
      </c>
      <c r="B667" t="str">
        <f>"7.6873"</f>
        <v>7.6873</v>
      </c>
      <c r="C667" t="str">
        <f>"7.72"</f>
        <v>7.72</v>
      </c>
    </row>
    <row r="668" spans="1:3" x14ac:dyDescent="0.25">
      <c r="A668" t="str">
        <f>"24/02/2012"</f>
        <v>24/02/2012</v>
      </c>
      <c r="B668" t="str">
        <f>"7.6028"</f>
        <v>7.6028</v>
      </c>
      <c r="C668" t="str">
        <f>"7.6354"</f>
        <v>7.6354</v>
      </c>
    </row>
    <row r="669" spans="1:3" x14ac:dyDescent="0.25">
      <c r="A669" t="str">
        <f>"27/02/2012"</f>
        <v>27/02/2012</v>
      </c>
      <c r="B669" t="str">
        <f>"7.6419"</f>
        <v>7.6419</v>
      </c>
      <c r="C669" t="str">
        <f>"7.6765"</f>
        <v>7.6765</v>
      </c>
    </row>
    <row r="670" spans="1:3" x14ac:dyDescent="0.25">
      <c r="A670" t="str">
        <f>"28/02/2012"</f>
        <v>28/02/2012</v>
      </c>
      <c r="B670" t="str">
        <f>"7.5461"</f>
        <v>7.5461</v>
      </c>
      <c r="C670" t="str">
        <f>"7.5801"</f>
        <v>7.5801</v>
      </c>
    </row>
    <row r="671" spans="1:3" x14ac:dyDescent="0.25">
      <c r="A671" t="str">
        <f t="shared" ref="A671" si="0">"29/02/2012"</f>
        <v>29/02/2012</v>
      </c>
      <c r="B671" t="str">
        <f>"7.4538"</f>
        <v>7.4538</v>
      </c>
      <c r="C671" t="str">
        <f>"7.4874"</f>
        <v>7.4874</v>
      </c>
    </row>
    <row r="672" spans="1:3" x14ac:dyDescent="0.25">
      <c r="A672" t="str">
        <f>"01/03/2012"</f>
        <v>01/03/2012</v>
      </c>
      <c r="B672" t="str">
        <f>"7.4681"</f>
        <v>7.4681</v>
      </c>
      <c r="C672" t="str">
        <f>"7.5018"</f>
        <v>7.5018</v>
      </c>
    </row>
    <row r="673" spans="1:3" x14ac:dyDescent="0.25">
      <c r="A673" t="str">
        <f>"02/03/2012"</f>
        <v>02/03/2012</v>
      </c>
      <c r="B673" t="str">
        <f>"7.4655"</f>
        <v>7.4655</v>
      </c>
      <c r="C673" t="str">
        <f>"7.5034"</f>
        <v>7.5034</v>
      </c>
    </row>
    <row r="674" spans="1:3" x14ac:dyDescent="0.25">
      <c r="A674" t="str">
        <f>"05/03/2012"</f>
        <v>05/03/2012</v>
      </c>
      <c r="B674" t="str">
        <f>"7.5689"</f>
        <v>7.5689</v>
      </c>
      <c r="C674" t="str">
        <f>"7.6067"</f>
        <v>7.6067</v>
      </c>
    </row>
    <row r="675" spans="1:3" x14ac:dyDescent="0.25">
      <c r="A675" t="str">
        <f>"06/03/2012"</f>
        <v>06/03/2012</v>
      </c>
      <c r="B675" t="str">
        <f>"7.575"</f>
        <v>7.575</v>
      </c>
      <c r="C675" t="str">
        <f>"7.6125"</f>
        <v>7.6125</v>
      </c>
    </row>
    <row r="676" spans="1:3" x14ac:dyDescent="0.25">
      <c r="A676" t="str">
        <f>"07/03/2012"</f>
        <v>07/03/2012</v>
      </c>
      <c r="B676" t="str">
        <f>"7.6352"</f>
        <v>7.6352</v>
      </c>
      <c r="C676" t="str">
        <f>"7.6715"</f>
        <v>7.6715</v>
      </c>
    </row>
    <row r="677" spans="1:3" x14ac:dyDescent="0.25">
      <c r="A677" t="str">
        <f>"09/03/2012"</f>
        <v>09/03/2012</v>
      </c>
      <c r="B677" t="str">
        <f>"7.5394"</f>
        <v>7.5394</v>
      </c>
      <c r="C677" t="str">
        <f>"7.5739"</f>
        <v>7.5739</v>
      </c>
    </row>
    <row r="678" spans="1:3" x14ac:dyDescent="0.25">
      <c r="A678" t="str">
        <f>"12/03/2012"</f>
        <v>12/03/2012</v>
      </c>
      <c r="B678" t="str">
        <f>"7.5831"</f>
        <v>7.5831</v>
      </c>
      <c r="C678" t="str">
        <f>"7.6203"</f>
        <v>7.6203</v>
      </c>
    </row>
    <row r="679" spans="1:3" x14ac:dyDescent="0.25">
      <c r="A679" t="str">
        <f>"13/03/2012"</f>
        <v>13/03/2012</v>
      </c>
      <c r="B679" t="str">
        <f>"7.5356"</f>
        <v>7.5356</v>
      </c>
      <c r="C679" t="str">
        <f>"7.5724"</f>
        <v>7.5724</v>
      </c>
    </row>
    <row r="680" spans="1:3" x14ac:dyDescent="0.25">
      <c r="A680" t="str">
        <f>"14/03/2012"</f>
        <v>14/03/2012</v>
      </c>
      <c r="B680" t="str">
        <f>"7.5565"</f>
        <v>7.5565</v>
      </c>
      <c r="C680" t="str">
        <f>"7.5912"</f>
        <v>7.5912</v>
      </c>
    </row>
    <row r="681" spans="1:3" x14ac:dyDescent="0.25">
      <c r="A681" t="str">
        <f>"15/03/2012"</f>
        <v>15/03/2012</v>
      </c>
      <c r="B681" t="str">
        <f>"7.6734"</f>
        <v>7.6734</v>
      </c>
      <c r="C681" t="str">
        <f>"7.7089"</f>
        <v>7.7089</v>
      </c>
    </row>
    <row r="682" spans="1:3" x14ac:dyDescent="0.25">
      <c r="A682" t="str">
        <f>"16/03/2012"</f>
        <v>16/03/2012</v>
      </c>
      <c r="B682" t="str">
        <f>"7.6188"</f>
        <v>7.6188</v>
      </c>
      <c r="C682" t="str">
        <f>"7.6534"</f>
        <v>7.6534</v>
      </c>
    </row>
    <row r="683" spans="1:3" x14ac:dyDescent="0.25">
      <c r="A683" t="str">
        <f>"19/03/2012"</f>
        <v>19/03/2012</v>
      </c>
      <c r="B683" t="str">
        <f>"7.5668"</f>
        <v>7.5668</v>
      </c>
      <c r="C683" t="str">
        <f>"7.601"</f>
        <v>7.601</v>
      </c>
    </row>
    <row r="684" spans="1:3" x14ac:dyDescent="0.25">
      <c r="A684" t="str">
        <f>"20/03/2012"</f>
        <v>20/03/2012</v>
      </c>
      <c r="B684" t="str">
        <f>"7.5496"</f>
        <v>7.5496</v>
      </c>
      <c r="C684" t="str">
        <f>"7.5848"</f>
        <v>7.5848</v>
      </c>
    </row>
    <row r="685" spans="1:3" x14ac:dyDescent="0.25">
      <c r="A685" t="str">
        <f>"21/03/2012"</f>
        <v>21/03/2012</v>
      </c>
      <c r="B685" t="str">
        <f>"7.609"</f>
        <v>7.609</v>
      </c>
      <c r="C685" t="str">
        <f>"7.6442"</f>
        <v>7.6442</v>
      </c>
    </row>
    <row r="686" spans="1:3" x14ac:dyDescent="0.25">
      <c r="A686" t="str">
        <f>"22/03/2012"</f>
        <v>22/03/2012</v>
      </c>
      <c r="B686" t="str">
        <f>"7.7324"</f>
        <v>7.7324</v>
      </c>
      <c r="C686" t="str">
        <f>"7.7682"</f>
        <v>7.7682</v>
      </c>
    </row>
    <row r="687" spans="1:3" x14ac:dyDescent="0.25">
      <c r="A687" t="str">
        <f>"26/03/2012"</f>
        <v>26/03/2012</v>
      </c>
      <c r="B687" t="str">
        <f>"7.6598"</f>
        <v>7.6598</v>
      </c>
      <c r="C687" t="str">
        <f>"7.6968"</f>
        <v>7.6968</v>
      </c>
    </row>
    <row r="688" spans="1:3" x14ac:dyDescent="0.25">
      <c r="A688" t="str">
        <f>"27/03/2012"</f>
        <v>27/03/2012</v>
      </c>
      <c r="B688" t="str">
        <f>"7.5958"</f>
        <v>7.5958</v>
      </c>
      <c r="C688" t="str">
        <f>"7.6319"</f>
        <v>7.6319</v>
      </c>
    </row>
    <row r="689" spans="1:3" x14ac:dyDescent="0.25">
      <c r="A689" t="str">
        <f>"28/03/2012"</f>
        <v>28/03/2012</v>
      </c>
      <c r="B689" t="str">
        <f>"7.619"</f>
        <v>7.619</v>
      </c>
      <c r="C689" t="str">
        <f>"7.6537"</f>
        <v>7.6537</v>
      </c>
    </row>
    <row r="690" spans="1:3" x14ac:dyDescent="0.25">
      <c r="A690" t="str">
        <f>"29/03/2012"</f>
        <v>29/03/2012</v>
      </c>
      <c r="B690" t="str">
        <f>"7.7328"</f>
        <v>7.7328</v>
      </c>
      <c r="C690" t="str">
        <f>"7.7667"</f>
        <v>7.7667</v>
      </c>
    </row>
    <row r="691" spans="1:3" x14ac:dyDescent="0.25">
      <c r="A691" t="str">
        <f>"30/03/2012"</f>
        <v>30/03/2012</v>
      </c>
      <c r="B691" t="str">
        <f>"7.6749"</f>
        <v>7.6749</v>
      </c>
      <c r="C691" t="str">
        <f>"7.7086"</f>
        <v>7.7086</v>
      </c>
    </row>
    <row r="692" spans="1:3" x14ac:dyDescent="0.25">
      <c r="A692" t="str">
        <f>"03/04/2012"</f>
        <v>03/04/2012</v>
      </c>
      <c r="B692" t="str">
        <f>"7.6499"</f>
        <v>7.6499</v>
      </c>
      <c r="C692" t="str">
        <f>"7.6862"</f>
        <v>7.6862</v>
      </c>
    </row>
    <row r="693" spans="1:3" x14ac:dyDescent="0.25">
      <c r="A693" t="str">
        <f>"04/04/2012"</f>
        <v>04/04/2012</v>
      </c>
      <c r="B693" t="str">
        <f>"0.00"</f>
        <v>0.00</v>
      </c>
      <c r="C693" t="str">
        <f>"0.00"</f>
        <v>0.00</v>
      </c>
    </row>
    <row r="694" spans="1:3" x14ac:dyDescent="0.25">
      <c r="A694" t="str">
        <f>"10/04/2012"</f>
        <v>10/04/2012</v>
      </c>
      <c r="B694" t="str">
        <f>"7.8828"</f>
        <v>7.8828</v>
      </c>
      <c r="C694" t="str">
        <f>"7.9171"</f>
        <v>7.9171</v>
      </c>
    </row>
    <row r="695" spans="1:3" x14ac:dyDescent="0.25">
      <c r="A695" t="str">
        <f>"11/04/2012"</f>
        <v>11/04/2012</v>
      </c>
      <c r="B695" t="str">
        <f>"7.989"</f>
        <v>7.989</v>
      </c>
      <c r="C695" t="str">
        <f>"8.0255"</f>
        <v>8.0255</v>
      </c>
    </row>
    <row r="696" spans="1:3" x14ac:dyDescent="0.25">
      <c r="A696" t="str">
        <f>"12/04/2012"</f>
        <v>12/04/2012</v>
      </c>
      <c r="B696" t="str">
        <f>"7.9712"</f>
        <v>7.9712</v>
      </c>
      <c r="C696" t="str">
        <f>"8.006"</f>
        <v>8.006</v>
      </c>
    </row>
    <row r="697" spans="1:3" x14ac:dyDescent="0.25">
      <c r="A697" t="str">
        <f>"13/04/2012"</f>
        <v>13/04/2012</v>
      </c>
      <c r="B697" t="str">
        <f>"7.9002"</f>
        <v>7.9002</v>
      </c>
      <c r="C697" t="str">
        <f>"7.9356"</f>
        <v>7.9356</v>
      </c>
    </row>
    <row r="698" spans="1:3" x14ac:dyDescent="0.25">
      <c r="A698" t="str">
        <f>"16/04/2012"</f>
        <v>16/04/2012</v>
      </c>
      <c r="B698" t="str">
        <f>"7.9914"</f>
        <v>7.9914</v>
      </c>
      <c r="C698" t="str">
        <f>"8.0307"</f>
        <v>8.0307</v>
      </c>
    </row>
    <row r="699" spans="1:3" x14ac:dyDescent="0.25">
      <c r="A699" t="str">
        <f>"17/04/2012"</f>
        <v>17/04/2012</v>
      </c>
      <c r="B699" t="str">
        <f>"7.946"</f>
        <v>7.946</v>
      </c>
      <c r="C699" t="str">
        <f>"7.992"</f>
        <v>7.992</v>
      </c>
    </row>
    <row r="700" spans="1:3" x14ac:dyDescent="0.25">
      <c r="A700" t="str">
        <f>"18/04/2012"</f>
        <v>18/04/2012</v>
      </c>
      <c r="B700" t="str">
        <f>"7.8305"</f>
        <v>7.8305</v>
      </c>
      <c r="C700" t="str">
        <f>"7.866"</f>
        <v>7.866</v>
      </c>
    </row>
    <row r="701" spans="1:3" x14ac:dyDescent="0.25">
      <c r="A701" t="str">
        <f>"19/04/2012"</f>
        <v>19/04/2012</v>
      </c>
      <c r="B701" t="str">
        <f>"7.8285"</f>
        <v>7.8285</v>
      </c>
      <c r="C701" t="str">
        <f>"7.8637"</f>
        <v>7.8637</v>
      </c>
    </row>
    <row r="702" spans="1:3" x14ac:dyDescent="0.25">
      <c r="A702" t="str">
        <f>"20/04/2012"</f>
        <v>20/04/2012</v>
      </c>
      <c r="B702" t="str">
        <f>"7.8554"</f>
        <v>7.8554</v>
      </c>
      <c r="C702" t="str">
        <f>"7.897"</f>
        <v>7.897</v>
      </c>
    </row>
    <row r="703" spans="1:3" x14ac:dyDescent="0.25">
      <c r="A703" t="str">
        <f>"23/04/2012"</f>
        <v>23/04/2012</v>
      </c>
      <c r="B703" t="str">
        <f>"7.8377"</f>
        <v>7.8377</v>
      </c>
      <c r="C703" t="str">
        <f>"7.8726"</f>
        <v>7.8726</v>
      </c>
    </row>
    <row r="704" spans="1:3" x14ac:dyDescent="0.25">
      <c r="A704" t="str">
        <f>"24/04/2012"</f>
        <v>24/04/2012</v>
      </c>
      <c r="B704" t="str">
        <f>"7.8464"</f>
        <v>7.8464</v>
      </c>
      <c r="C704" t="str">
        <f>"7.8852"</f>
        <v>7.8852</v>
      </c>
    </row>
    <row r="705" spans="1:3" x14ac:dyDescent="0.25">
      <c r="A705" t="str">
        <f>"25/04/2012"</f>
        <v>25/04/2012</v>
      </c>
      <c r="B705" t="str">
        <f>"7.7632"</f>
        <v>7.7632</v>
      </c>
      <c r="C705" t="str">
        <f>"7.9104"</f>
        <v>7.9104</v>
      </c>
    </row>
    <row r="706" spans="1:3" x14ac:dyDescent="0.25">
      <c r="A706" t="str">
        <f>"26/04/2012"</f>
        <v>26/04/2012</v>
      </c>
      <c r="B706" t="str">
        <f>"7.7447"</f>
        <v>7.7447</v>
      </c>
      <c r="C706" t="str">
        <f>"7.8919"</f>
        <v>7.8919</v>
      </c>
    </row>
    <row r="707" spans="1:3" x14ac:dyDescent="0.25">
      <c r="A707" t="str">
        <f>"27/04/2012"</f>
        <v>27/04/2012</v>
      </c>
      <c r="B707" t="str">
        <f>"7.7943"</f>
        <v>7.7943</v>
      </c>
      <c r="C707" t="str">
        <f>"7.8333"</f>
        <v>7.8333</v>
      </c>
    </row>
    <row r="708" spans="1:3" x14ac:dyDescent="0.25">
      <c r="A708" t="str">
        <f>"30/04/2012"</f>
        <v>30/04/2012</v>
      </c>
      <c r="B708" t="str">
        <f>"7.7373"</f>
        <v>7.7373</v>
      </c>
      <c r="C708" t="str">
        <f>"7.7741"</f>
        <v>7.7741</v>
      </c>
    </row>
    <row r="709" spans="1:3" x14ac:dyDescent="0.25">
      <c r="A709" t="str">
        <f>"02/05/2012"</f>
        <v>02/05/2012</v>
      </c>
      <c r="B709" t="str">
        <f>"7.7338"</f>
        <v>7.7338</v>
      </c>
      <c r="C709" t="str">
        <f>"7.7696"</f>
        <v>7.7696</v>
      </c>
    </row>
    <row r="710" spans="1:3" x14ac:dyDescent="0.25">
      <c r="A710" t="str">
        <f>"03/05/2012"</f>
        <v>03/05/2012</v>
      </c>
      <c r="B710" t="str">
        <f>"7.7308"</f>
        <v>7.7308</v>
      </c>
      <c r="C710" t="str">
        <f>"7.7665"</f>
        <v>7.7665</v>
      </c>
    </row>
    <row r="711" spans="1:3" x14ac:dyDescent="0.25">
      <c r="A711" t="str">
        <f>"04/05/2012"</f>
        <v>04/05/2012</v>
      </c>
      <c r="B711" t="str">
        <f>"7.729"</f>
        <v>7.729</v>
      </c>
      <c r="C711" t="str">
        <f>"7.7643"</f>
        <v>7.7643</v>
      </c>
    </row>
    <row r="712" spans="1:3" x14ac:dyDescent="0.25">
      <c r="A712" t="str">
        <f>"07/05/2012"</f>
        <v>07/05/2012</v>
      </c>
      <c r="B712" t="str">
        <f>"7.8189"</f>
        <v>7.8189</v>
      </c>
      <c r="C712" t="str">
        <f>"7.8575"</f>
        <v>7.8575</v>
      </c>
    </row>
    <row r="713" spans="1:3" x14ac:dyDescent="0.25">
      <c r="A713" t="str">
        <f>"08/05/2012"</f>
        <v>08/05/2012</v>
      </c>
      <c r="B713" t="str">
        <f>"7.8206"</f>
        <v>7.8206</v>
      </c>
      <c r="C713" t="str">
        <f>"7.8579"</f>
        <v>7.8579</v>
      </c>
    </row>
    <row r="714" spans="1:3" x14ac:dyDescent="0.25">
      <c r="A714" t="str">
        <f>"09/05/2012"</f>
        <v>09/05/2012</v>
      </c>
      <c r="B714" t="str">
        <f>"7.9303"</f>
        <v>7.9303</v>
      </c>
      <c r="C714" t="str">
        <f>"7.9684"</f>
        <v>7.9684</v>
      </c>
    </row>
    <row r="715" spans="1:3" x14ac:dyDescent="0.25">
      <c r="A715" t="str">
        <f>"10/05/2012"</f>
        <v>10/05/2012</v>
      </c>
      <c r="B715" t="str">
        <f>"7.9864"</f>
        <v>7.9864</v>
      </c>
      <c r="C715" t="str">
        <f>"8.0231"</f>
        <v>8.0231</v>
      </c>
    </row>
    <row r="716" spans="1:3" x14ac:dyDescent="0.25">
      <c r="A716" t="str">
        <f>"11/05/2012"</f>
        <v>11/05/2012</v>
      </c>
      <c r="B716" t="str">
        <f>"8.0413"</f>
        <v>8.0413</v>
      </c>
      <c r="C716" t="str">
        <f>"8.078"</f>
        <v>8.078</v>
      </c>
    </row>
    <row r="717" spans="1:3" x14ac:dyDescent="0.25">
      <c r="A717" t="str">
        <f>"14/05/2012"</f>
        <v>14/05/2012</v>
      </c>
      <c r="B717" t="str">
        <f>"8.1893"</f>
        <v>8.1893</v>
      </c>
      <c r="C717" t="str">
        <f>"8.2298"</f>
        <v>8.2298</v>
      </c>
    </row>
    <row r="718" spans="1:3" x14ac:dyDescent="0.25">
      <c r="A718" t="str">
        <f>"15/05/2012"</f>
        <v>15/05/2012</v>
      </c>
      <c r="B718" t="str">
        <f>"8.1729"</f>
        <v>8.1729</v>
      </c>
      <c r="C718" t="str">
        <f>"8.2119"</f>
        <v>8.2119</v>
      </c>
    </row>
    <row r="719" spans="1:3" x14ac:dyDescent="0.25">
      <c r="A719" t="str">
        <f>"16/05/2012"</f>
        <v>16/05/2012</v>
      </c>
      <c r="B719" t="str">
        <f>"8.3582"</f>
        <v>8.3582</v>
      </c>
      <c r="C719" t="str">
        <f>"8.3982"</f>
        <v>8.3982</v>
      </c>
    </row>
    <row r="720" spans="1:3" x14ac:dyDescent="0.25">
      <c r="A720" t="str">
        <f>"17/05/2012"</f>
        <v>17/05/2012</v>
      </c>
      <c r="B720" t="str">
        <f>"8.266"</f>
        <v>8.266</v>
      </c>
      <c r="C720" t="str">
        <f>"8.304"</f>
        <v>8.304</v>
      </c>
    </row>
    <row r="721" spans="1:3" x14ac:dyDescent="0.25">
      <c r="A721" t="str">
        <f>"18/05/2012"</f>
        <v>18/05/2012</v>
      </c>
      <c r="B721" t="str">
        <f>"8.39"</f>
        <v>8.39</v>
      </c>
      <c r="C721" t="str">
        <f>"8.4294"</f>
        <v>8.4294</v>
      </c>
    </row>
    <row r="722" spans="1:3" x14ac:dyDescent="0.25">
      <c r="A722" t="str">
        <f>"21/05/2012"</f>
        <v>21/05/2012</v>
      </c>
      <c r="B722" t="str">
        <f>"8.309"</f>
        <v>8.309</v>
      </c>
      <c r="C722" t="str">
        <f>"8.35"</f>
        <v>8.35</v>
      </c>
    </row>
    <row r="723" spans="1:3" x14ac:dyDescent="0.25">
      <c r="A723" t="str">
        <f>"22/05/2012"</f>
        <v>22/05/2012</v>
      </c>
      <c r="B723" t="str">
        <f>"8.2612"</f>
        <v>8.2612</v>
      </c>
      <c r="C723" t="str">
        <f>"8.3012"</f>
        <v>8.3012</v>
      </c>
    </row>
    <row r="724" spans="1:3" x14ac:dyDescent="0.25">
      <c r="A724" t="str">
        <f>"23/05/2012"</f>
        <v>23/05/2012</v>
      </c>
      <c r="B724" t="str">
        <f>"8.3608"</f>
        <v>8.3608</v>
      </c>
      <c r="C724" t="str">
        <f>"8.4037"</f>
        <v>8.4037</v>
      </c>
    </row>
    <row r="725" spans="1:3" x14ac:dyDescent="0.25">
      <c r="A725" t="str">
        <f>"24/05/2012"</f>
        <v>24/05/2012</v>
      </c>
      <c r="B725" t="str">
        <f>"8.4034"</f>
        <v>8.4034</v>
      </c>
      <c r="C725" t="str">
        <f>"8.4435"</f>
        <v>8.4435</v>
      </c>
    </row>
    <row r="726" spans="1:3" x14ac:dyDescent="0.25">
      <c r="A726" t="str">
        <f>"25/05/2012"</f>
        <v>25/05/2012</v>
      </c>
      <c r="B726" t="str">
        <f>"8.3704"</f>
        <v>8.3704</v>
      </c>
      <c r="C726" t="str">
        <f>"8.4099"</f>
        <v>8.4099</v>
      </c>
    </row>
    <row r="727" spans="1:3" x14ac:dyDescent="0.25">
      <c r="A727" t="str">
        <f>"28/05/2012"</f>
        <v>28/05/2012</v>
      </c>
      <c r="B727" t="str">
        <f>"8.2993"</f>
        <v>8.2993</v>
      </c>
      <c r="C727" t="str">
        <f>"8.3375"</f>
        <v>8.3375</v>
      </c>
    </row>
    <row r="728" spans="1:3" x14ac:dyDescent="0.25">
      <c r="A728" t="str">
        <f>"29/05/2012"</f>
        <v>29/05/2012</v>
      </c>
      <c r="B728" t="str">
        <f>"8.337"</f>
        <v>8.337</v>
      </c>
      <c r="C728" t="str">
        <f>"8.3738"</f>
        <v>8.3738</v>
      </c>
    </row>
    <row r="729" spans="1:3" x14ac:dyDescent="0.25">
      <c r="A729" t="str">
        <f>"30/05/2012"</f>
        <v>30/05/2012</v>
      </c>
      <c r="B729" t="str">
        <f>"8.3436"</f>
        <v>8.3436</v>
      </c>
      <c r="C729" t="str">
        <f>"8.3825"</f>
        <v>8.3825</v>
      </c>
    </row>
    <row r="730" spans="1:3" x14ac:dyDescent="0.25">
      <c r="A730" t="str">
        <f>"31/05/2012"</f>
        <v>31/05/2012</v>
      </c>
      <c r="B730" t="str">
        <f>"8.5649"</f>
        <v>8.5649</v>
      </c>
      <c r="C730" t="str">
        <f>"8.6042"</f>
        <v>8.6042</v>
      </c>
    </row>
    <row r="731" spans="1:3" x14ac:dyDescent="0.25">
      <c r="A731" t="str">
        <f>"01/06/2012"</f>
        <v>01/06/2012</v>
      </c>
      <c r="B731" t="str">
        <f>"8.6558"</f>
        <v>8.6558</v>
      </c>
      <c r="C731" t="str">
        <f>"8.6953"</f>
        <v>8.6953</v>
      </c>
    </row>
    <row r="732" spans="1:3" x14ac:dyDescent="0.25">
      <c r="A732" t="str">
        <f>"04/06/2012"</f>
        <v>04/06/2012</v>
      </c>
      <c r="B732" t="str">
        <f>"8.5265"</f>
        <v>8.5265</v>
      </c>
      <c r="C732" t="str">
        <f>"8.5654"</f>
        <v>8.5654</v>
      </c>
    </row>
    <row r="733" spans="1:3" x14ac:dyDescent="0.25">
      <c r="A733" t="str">
        <f>"05/06/2012"</f>
        <v>05/06/2012</v>
      </c>
      <c r="B733" t="str">
        <f>"8.5057"</f>
        <v>8.5057</v>
      </c>
      <c r="C733" t="str">
        <f>"8.5475"</f>
        <v>8.5475</v>
      </c>
    </row>
    <row r="734" spans="1:3" x14ac:dyDescent="0.25">
      <c r="A734" t="str">
        <f>"06/06/2012"</f>
        <v>06/06/2012</v>
      </c>
      <c r="B734" t="str">
        <f>"8.4172"</f>
        <v>8.4172</v>
      </c>
      <c r="C734" t="str">
        <f>"8.4573"</f>
        <v>8.4573</v>
      </c>
    </row>
    <row r="735" spans="1:3" x14ac:dyDescent="0.25">
      <c r="A735" t="str">
        <f>"07/06/2012"</f>
        <v>07/06/2012</v>
      </c>
      <c r="B735" t="str">
        <f>"8.3339"</f>
        <v>8.3339</v>
      </c>
      <c r="C735" t="str">
        <f>"8.3724"</f>
        <v>8.3724</v>
      </c>
    </row>
    <row r="736" spans="1:3" x14ac:dyDescent="0.25">
      <c r="A736" t="str">
        <f>"08/06/2012"</f>
        <v>08/06/2012</v>
      </c>
      <c r="B736" t="str">
        <f>"8.3974"</f>
        <v>8.3974</v>
      </c>
      <c r="C736" t="str">
        <f>"8.4369"</f>
        <v>8.4369</v>
      </c>
    </row>
    <row r="737" spans="1:3" x14ac:dyDescent="0.25">
      <c r="A737" t="str">
        <f>"11/06/2012"</f>
        <v>11/06/2012</v>
      </c>
      <c r="B737" t="str">
        <f>"8.275"</f>
        <v>8.275</v>
      </c>
      <c r="C737" t="str">
        <f>"8.3134"</f>
        <v>8.3134</v>
      </c>
    </row>
    <row r="738" spans="1:3" x14ac:dyDescent="0.25">
      <c r="A738" t="str">
        <f>"12/06/2012"</f>
        <v>12/06/2012</v>
      </c>
      <c r="B738" t="str">
        <f>"8.4205"</f>
        <v>8.4205</v>
      </c>
      <c r="C738" t="str">
        <f>"8.4614"</f>
        <v>8.4614</v>
      </c>
    </row>
    <row r="739" spans="1:3" x14ac:dyDescent="0.25">
      <c r="A739" t="str">
        <f>"13/06/2012"</f>
        <v>13/06/2012</v>
      </c>
      <c r="B739" t="str">
        <f>"8.4108"</f>
        <v>8.4108</v>
      </c>
      <c r="C739" t="str">
        <f>"8.4511"</f>
        <v>8.4511</v>
      </c>
    </row>
    <row r="740" spans="1:3" x14ac:dyDescent="0.25">
      <c r="A740" t="str">
        <f>"14/06/2012"</f>
        <v>14/06/2012</v>
      </c>
      <c r="B740" t="str">
        <f>"8.419"</f>
        <v>8.419</v>
      </c>
      <c r="C740" t="str">
        <f>"8.4576"</f>
        <v>8.4576</v>
      </c>
    </row>
    <row r="741" spans="1:3" x14ac:dyDescent="0.25">
      <c r="A741" t="str">
        <f>"15/06/2012"</f>
        <v>15/06/2012</v>
      </c>
      <c r="B741" t="str">
        <f>"8.3802"</f>
        <v>8.3802</v>
      </c>
      <c r="C741" t="str">
        <f>"8.4189"</f>
        <v>8.4189</v>
      </c>
    </row>
    <row r="742" spans="1:3" x14ac:dyDescent="0.25">
      <c r="A742" t="str">
        <f>"18/06/2012"</f>
        <v>18/06/2012</v>
      </c>
      <c r="B742" t="str">
        <f>"8.261"</f>
        <v>8.261</v>
      </c>
      <c r="C742" t="str">
        <f>"8.299"</f>
        <v>8.299</v>
      </c>
    </row>
    <row r="743" spans="1:3" x14ac:dyDescent="0.25">
      <c r="A743" t="str">
        <f>"19/06/2012"</f>
        <v>19/06/2012</v>
      </c>
      <c r="B743" t="str">
        <f>"8.2995"</f>
        <v>8.2995</v>
      </c>
      <c r="C743" t="str">
        <f>"8.3404"</f>
        <v>8.3404</v>
      </c>
    </row>
    <row r="744" spans="1:3" x14ac:dyDescent="0.25">
      <c r="A744" t="str">
        <f>"20/06/2012"</f>
        <v>20/06/2012</v>
      </c>
      <c r="B744" t="str">
        <f>"8.2285"</f>
        <v>8.2285</v>
      </c>
      <c r="C744" t="str">
        <f>"8.2675"</f>
        <v>8.2675</v>
      </c>
    </row>
    <row r="745" spans="1:3" x14ac:dyDescent="0.25">
      <c r="A745" t="str">
        <f>"21/06/2012"</f>
        <v>21/06/2012</v>
      </c>
      <c r="B745" t="str">
        <f>"8.2438"</f>
        <v>8.2438</v>
      </c>
      <c r="C745" t="str">
        <f>"8.2818"</f>
        <v>8.2818</v>
      </c>
    </row>
    <row r="746" spans="1:3" x14ac:dyDescent="0.25">
      <c r="A746" t="str">
        <f>"22/06/2012"</f>
        <v>22/06/2012</v>
      </c>
      <c r="B746" t="str">
        <f>"8.3757"</f>
        <v>8.3757</v>
      </c>
      <c r="C746" t="str">
        <f>"8.4144"</f>
        <v>8.4144</v>
      </c>
    </row>
    <row r="747" spans="1:3" x14ac:dyDescent="0.25">
      <c r="A747" t="str">
        <f>"25/06/2012"</f>
        <v>25/06/2012</v>
      </c>
      <c r="B747" t="str">
        <f>"8.4545"</f>
        <v>8.4545</v>
      </c>
      <c r="C747" t="str">
        <f>"8.4933"</f>
        <v>8.4933</v>
      </c>
    </row>
    <row r="748" spans="1:3" x14ac:dyDescent="0.25">
      <c r="A748" t="str">
        <f>"26/06/2012"</f>
        <v>26/06/2012</v>
      </c>
      <c r="B748" t="str">
        <f>"8.4756"</f>
        <v>8.4756</v>
      </c>
      <c r="C748" t="str">
        <f>"8.52"</f>
        <v>8.52</v>
      </c>
    </row>
    <row r="749" spans="1:3" x14ac:dyDescent="0.25">
      <c r="A749" t="str">
        <f>"27/06/2012"</f>
        <v>27/06/2012</v>
      </c>
      <c r="B749" t="str">
        <f>"8.4252"</f>
        <v>8.4252</v>
      </c>
      <c r="C749" t="str">
        <f>"8.4668"</f>
        <v>8.4668</v>
      </c>
    </row>
    <row r="750" spans="1:3" x14ac:dyDescent="0.25">
      <c r="A750" t="str">
        <f>"28/06/2012"</f>
        <v>28/06/2012</v>
      </c>
      <c r="B750" t="str">
        <f>"8.3868"</f>
        <v>8.3868</v>
      </c>
      <c r="C750" t="str">
        <f>"8.4268"</f>
        <v>8.4268</v>
      </c>
    </row>
    <row r="751" spans="1:3" x14ac:dyDescent="0.25">
      <c r="A751" t="str">
        <f>"29/06/2012"</f>
        <v>29/06/2012</v>
      </c>
      <c r="B751" t="str">
        <f>"8.2246"</f>
        <v>8.2246</v>
      </c>
      <c r="C751" t="str">
        <f>"8.2631"</f>
        <v>8.2631</v>
      </c>
    </row>
    <row r="752" spans="1:3" x14ac:dyDescent="0.25">
      <c r="A752" t="str">
        <f>"02/07/2012"</f>
        <v>02/07/2012</v>
      </c>
      <c r="B752" t="str">
        <f>"8.1419"</f>
        <v>8.1419</v>
      </c>
      <c r="C752" t="str">
        <f>"8.1819"</f>
        <v>8.1819</v>
      </c>
    </row>
    <row r="753" spans="1:3" x14ac:dyDescent="0.25">
      <c r="A753" t="str">
        <f>"03/07/2012"</f>
        <v>03/07/2012</v>
      </c>
      <c r="B753" t="str">
        <f>"8.1225"</f>
        <v>8.1225</v>
      </c>
      <c r="C753" t="str">
        <f>"8.1618"</f>
        <v>8.1618</v>
      </c>
    </row>
    <row r="754" spans="1:3" x14ac:dyDescent="0.25">
      <c r="A754" t="str">
        <f>"04/07/2012"</f>
        <v>04/07/2012</v>
      </c>
      <c r="B754" t="str">
        <f>"8.1416"</f>
        <v>8.1416</v>
      </c>
      <c r="C754" t="str">
        <f>"8.1801"</f>
        <v>8.1801</v>
      </c>
    </row>
    <row r="755" spans="1:3" x14ac:dyDescent="0.25">
      <c r="A755" t="str">
        <f>"05/07/2012"</f>
        <v>05/07/2012</v>
      </c>
      <c r="B755" t="str">
        <f>"8.1612"</f>
        <v>8.1612</v>
      </c>
      <c r="C755" t="str">
        <f>"8.2012"</f>
        <v>8.2012</v>
      </c>
    </row>
    <row r="756" spans="1:3" x14ac:dyDescent="0.25">
      <c r="A756" t="str">
        <f>"06/07/2012"</f>
        <v>06/07/2012</v>
      </c>
      <c r="B756" t="str">
        <f>"8.1598"</f>
        <v>8.1598</v>
      </c>
      <c r="C756" t="str">
        <f>"8.1993"</f>
        <v>8.1993</v>
      </c>
    </row>
    <row r="757" spans="1:3" x14ac:dyDescent="0.25">
      <c r="A757" t="str">
        <f>"09/07/2012"</f>
        <v>09/07/2012</v>
      </c>
      <c r="B757" t="str">
        <f>"8.2729"</f>
        <v>8.2729</v>
      </c>
      <c r="C757" t="str">
        <f>"8.3113"</f>
        <v>8.3113</v>
      </c>
    </row>
    <row r="758" spans="1:3" x14ac:dyDescent="0.25">
      <c r="A758" t="str">
        <f>"10/07/2012"</f>
        <v>10/07/2012</v>
      </c>
      <c r="B758" t="str">
        <f>"8.186"</f>
        <v>8.186</v>
      </c>
      <c r="C758" t="str">
        <f>"8.2256"</f>
        <v>8.2256</v>
      </c>
    </row>
    <row r="759" spans="1:3" x14ac:dyDescent="0.25">
      <c r="A759" t="str">
        <f>"11/07/2012"</f>
        <v>11/07/2012</v>
      </c>
      <c r="B759" t="str">
        <f>"8.186"</f>
        <v>8.186</v>
      </c>
      <c r="C759" t="str">
        <f>"8.2244"</f>
        <v>8.2244</v>
      </c>
    </row>
    <row r="760" spans="1:3" x14ac:dyDescent="0.25">
      <c r="A760" t="str">
        <f>"12/07/2012"</f>
        <v>12/07/2012</v>
      </c>
      <c r="B760" t="str">
        <f>"8.287"</f>
        <v>8.287</v>
      </c>
      <c r="C760" t="str">
        <f>"8.3262"</f>
        <v>8.3262</v>
      </c>
    </row>
    <row r="761" spans="1:3" x14ac:dyDescent="0.25">
      <c r="A761" t="str">
        <f>"13/07/2012"</f>
        <v>13/07/2012</v>
      </c>
      <c r="B761" t="str">
        <f>"8.323"</f>
        <v>8.323</v>
      </c>
      <c r="C761" t="str">
        <f>"8.362"</f>
        <v>8.362</v>
      </c>
    </row>
    <row r="762" spans="1:3" x14ac:dyDescent="0.25">
      <c r="A762" t="str">
        <f>"16/07/2012"</f>
        <v>16/07/2012</v>
      </c>
      <c r="B762" t="str">
        <f>"8.2693"</f>
        <v>8.2693</v>
      </c>
      <c r="C762" t="str">
        <f>"8.3105"</f>
        <v>8.3105</v>
      </c>
    </row>
    <row r="763" spans="1:3" x14ac:dyDescent="0.25">
      <c r="A763" t="str">
        <f>"17/07/2012"</f>
        <v>17/07/2012</v>
      </c>
      <c r="B763" t="str">
        <f>"8.1911"</f>
        <v>8.1911</v>
      </c>
      <c r="C763" t="str">
        <f>"8.2311"</f>
        <v>8.2311</v>
      </c>
    </row>
    <row r="764" spans="1:3" x14ac:dyDescent="0.25">
      <c r="A764" t="str">
        <f>"18/07/2012"</f>
        <v>18/07/2012</v>
      </c>
      <c r="B764" t="str">
        <f>"8.1845"</f>
        <v>8.1845</v>
      </c>
      <c r="C764" t="str">
        <f>"8.223"</f>
        <v>8.223</v>
      </c>
    </row>
    <row r="765" spans="1:3" x14ac:dyDescent="0.25">
      <c r="A765" t="str">
        <f>"19/07/2012"</f>
        <v>19/07/2012</v>
      </c>
      <c r="B765" t="str">
        <f>"8.1504"</f>
        <v>8.1504</v>
      </c>
      <c r="C765" t="str">
        <f>"8.1875"</f>
        <v>8.1875</v>
      </c>
    </row>
    <row r="766" spans="1:3" x14ac:dyDescent="0.25">
      <c r="A766" t="str">
        <f>"20/07/2012"</f>
        <v>20/07/2012</v>
      </c>
      <c r="B766" t="str">
        <f>"8.2516"</f>
        <v>8.2516</v>
      </c>
      <c r="C766" t="str">
        <f>"8.287"</f>
        <v>8.287</v>
      </c>
    </row>
    <row r="767" spans="1:3" x14ac:dyDescent="0.25">
      <c r="A767" t="str">
        <f>"23/07/2012"</f>
        <v>23/07/2012</v>
      </c>
      <c r="B767" t="str">
        <f>"8.4014"</f>
        <v>8.4014</v>
      </c>
      <c r="C767" t="str">
        <f>"8.4397"</f>
        <v>8.4397</v>
      </c>
    </row>
    <row r="768" spans="1:3" x14ac:dyDescent="0.25">
      <c r="A768" t="str">
        <f>"24/07/2012"</f>
        <v>24/07/2012</v>
      </c>
      <c r="B768" t="str">
        <f>"8.4565"</f>
        <v>8.4565</v>
      </c>
      <c r="C768" t="str">
        <f>"8.4939"</f>
        <v>8.4939</v>
      </c>
    </row>
    <row r="769" spans="1:3" x14ac:dyDescent="0.25">
      <c r="A769" t="str">
        <f>"25/07/2012"</f>
        <v>25/07/2012</v>
      </c>
      <c r="B769" t="str">
        <f>"8.4474"</f>
        <v>8.4474</v>
      </c>
      <c r="C769" t="str">
        <f>"8.4836"</f>
        <v>8.4836</v>
      </c>
    </row>
    <row r="770" spans="1:3" x14ac:dyDescent="0.25">
      <c r="A770" t="str">
        <f>"26/07/2012"</f>
        <v>26/07/2012</v>
      </c>
      <c r="B770" t="str">
        <f>"8.3585"</f>
        <v>8.3585</v>
      </c>
      <c r="C770" t="str">
        <f>"8.3939"</f>
        <v>8.3939</v>
      </c>
    </row>
    <row r="771" spans="1:3" x14ac:dyDescent="0.25">
      <c r="A771" t="str">
        <f>"27/07/2012"</f>
        <v>27/07/2012</v>
      </c>
      <c r="B771" t="str">
        <f>"8.2574"</f>
        <v>8.2574</v>
      </c>
      <c r="C771" t="str">
        <f>"8.2963"</f>
        <v>8.2963</v>
      </c>
    </row>
    <row r="772" spans="1:3" x14ac:dyDescent="0.25">
      <c r="A772" t="str">
        <f>"30/07/2012"</f>
        <v>30/07/2012</v>
      </c>
      <c r="B772" t="str">
        <f>"8.1916"</f>
        <v>8.1916</v>
      </c>
      <c r="C772" t="str">
        <f>"8.2302"</f>
        <v>8.2302</v>
      </c>
    </row>
    <row r="773" spans="1:3" x14ac:dyDescent="0.25">
      <c r="A773" t="str">
        <f>"31/07/2012"</f>
        <v>31/07/2012</v>
      </c>
      <c r="B773" t="str">
        <f>"8.20"</f>
        <v>8.20</v>
      </c>
      <c r="C773" t="str">
        <f>"8.238"</f>
        <v>8.238</v>
      </c>
    </row>
    <row r="774" spans="1:3" x14ac:dyDescent="0.25">
      <c r="A774" t="str">
        <f>"01/08/2012"</f>
        <v>01/08/2012</v>
      </c>
      <c r="B774" t="str">
        <f>"8.2509"</f>
        <v>8.2509</v>
      </c>
      <c r="C774" t="str">
        <f>"8.2882"</f>
        <v>8.2882</v>
      </c>
    </row>
    <row r="775" spans="1:3" x14ac:dyDescent="0.25">
      <c r="A775" t="str">
        <f>"02/08/2012"</f>
        <v>02/08/2012</v>
      </c>
      <c r="B775" t="str">
        <f>"8.329"</f>
        <v>8.329</v>
      </c>
      <c r="C775" t="str">
        <f>"8.3651"</f>
        <v>8.3651</v>
      </c>
    </row>
    <row r="776" spans="1:3" x14ac:dyDescent="0.25">
      <c r="A776" t="str">
        <f>"03/08/2012"</f>
        <v>03/08/2012</v>
      </c>
      <c r="B776" t="str">
        <f>"8.251"</f>
        <v>8.251</v>
      </c>
      <c r="C776" t="str">
        <f>"8.2868"</f>
        <v>8.2868</v>
      </c>
    </row>
    <row r="777" spans="1:3" x14ac:dyDescent="0.25">
      <c r="A777" t="str">
        <f>"06/08/2012"</f>
        <v>06/08/2012</v>
      </c>
      <c r="B777" t="str">
        <f>"8.1971"</f>
        <v>8.1971</v>
      </c>
      <c r="C777" t="str">
        <f>"8.2348"</f>
        <v>8.2348</v>
      </c>
    </row>
    <row r="778" spans="1:3" x14ac:dyDescent="0.25">
      <c r="A778" t="str">
        <f>"07/08/2012"</f>
        <v>07/08/2012</v>
      </c>
      <c r="B778" t="str">
        <f>"8.1821"</f>
        <v>8.1821</v>
      </c>
      <c r="C778" t="str">
        <f>"8.218"</f>
        <v>8.218</v>
      </c>
    </row>
    <row r="779" spans="1:3" x14ac:dyDescent="0.25">
      <c r="A779" t="str">
        <f>"08/08/2012"</f>
        <v>08/08/2012</v>
      </c>
      <c r="B779" t="str">
        <f>"8.1972"</f>
        <v>8.1972</v>
      </c>
      <c r="C779" t="str">
        <f>"8.2331"</f>
        <v>8.2331</v>
      </c>
    </row>
    <row r="780" spans="1:3" x14ac:dyDescent="0.25">
      <c r="A780" t="str">
        <f>"09/08/2012"</f>
        <v>09/08/2012</v>
      </c>
      <c r="B780" t="str">
        <f>"8.1107"</f>
        <v>8.1107</v>
      </c>
      <c r="C780" t="str">
        <f>"8.1464"</f>
        <v>8.1464</v>
      </c>
    </row>
    <row r="781" spans="1:3" x14ac:dyDescent="0.25">
      <c r="A781" t="str">
        <f>"10/08/2012"</f>
        <v>10/08/2012</v>
      </c>
      <c r="B781" t="str">
        <f>"8.127"</f>
        <v>8.127</v>
      </c>
      <c r="C781" t="str">
        <f>"8.1627"</f>
        <v>8.1627</v>
      </c>
    </row>
    <row r="782" spans="1:3" x14ac:dyDescent="0.25">
      <c r="A782" t="str">
        <f>"13/08/2012"</f>
        <v>13/08/2012</v>
      </c>
      <c r="B782" t="str">
        <f>"8.1148"</f>
        <v>8.1148</v>
      </c>
      <c r="C782" t="str">
        <f>"8.1527"</f>
        <v>8.1527</v>
      </c>
    </row>
    <row r="783" spans="1:3" x14ac:dyDescent="0.25">
      <c r="A783" t="str">
        <f>"14/08/2012"</f>
        <v>14/08/2012</v>
      </c>
      <c r="B783" t="str">
        <f>"8.1213"</f>
        <v>8.1213</v>
      </c>
      <c r="C783" t="str">
        <f>"8.1578"</f>
        <v>8.1578</v>
      </c>
    </row>
    <row r="784" spans="1:3" x14ac:dyDescent="0.25">
      <c r="A784" t="str">
        <f>"16/08/2012"</f>
        <v>16/08/2012</v>
      </c>
      <c r="B784" t="str">
        <f>"8.2581"</f>
        <v>8.2581</v>
      </c>
      <c r="C784" t="str">
        <f>"8.294"</f>
        <v>8.294</v>
      </c>
    </row>
    <row r="785" spans="1:3" x14ac:dyDescent="0.25">
      <c r="A785" t="str">
        <f>"17/08/2012"</f>
        <v>17/08/2012</v>
      </c>
      <c r="B785" t="str">
        <f>"8.2893"</f>
        <v>8.2893</v>
      </c>
      <c r="C785" t="str">
        <f>"8.3252"</f>
        <v>8.3252</v>
      </c>
    </row>
    <row r="786" spans="1:3" x14ac:dyDescent="0.25">
      <c r="A786" t="str">
        <f>"21/08/2012"</f>
        <v>21/08/2012</v>
      </c>
      <c r="B786" t="str">
        <f>"8.3289"</f>
        <v>8.3289</v>
      </c>
      <c r="C786" t="str">
        <f>"8.3685"</f>
        <v>8.3685</v>
      </c>
    </row>
    <row r="787" spans="1:3" x14ac:dyDescent="0.25">
      <c r="A787" t="str">
        <f>"22/08/2012"</f>
        <v>22/08/2012</v>
      </c>
      <c r="B787" t="str">
        <f>"8.3122"</f>
        <v>8.3122</v>
      </c>
      <c r="C787" t="str">
        <f>"8.3492"</f>
        <v>8.3492</v>
      </c>
    </row>
    <row r="788" spans="1:3" x14ac:dyDescent="0.25">
      <c r="A788" t="str">
        <f>"23/08/2012"</f>
        <v>23/08/2012</v>
      </c>
      <c r="B788" t="str">
        <f>"8.2745"</f>
        <v>8.2745</v>
      </c>
      <c r="C788" t="str">
        <f>"8.3104"</f>
        <v>8.3104</v>
      </c>
    </row>
    <row r="789" spans="1:3" x14ac:dyDescent="0.25">
      <c r="A789" t="str">
        <f>"24/08/2012"</f>
        <v>24/08/2012</v>
      </c>
      <c r="B789" t="str">
        <f>"8.4222"</f>
        <v>8.4222</v>
      </c>
      <c r="C789" t="str">
        <f>"8.4585"</f>
        <v>8.4585</v>
      </c>
    </row>
    <row r="790" spans="1:3" x14ac:dyDescent="0.25">
      <c r="A790" t="str">
        <f>"27/08/2012"</f>
        <v>27/08/2012</v>
      </c>
      <c r="B790" t="str">
        <f>"8.4088"</f>
        <v>8.4088</v>
      </c>
      <c r="C790" t="str">
        <f>"8.4466"</f>
        <v>8.4466</v>
      </c>
    </row>
    <row r="791" spans="1:3" x14ac:dyDescent="0.25">
      <c r="A791" t="str">
        <f>"28/08/2012"</f>
        <v>28/08/2012</v>
      </c>
      <c r="B791" t="str">
        <f>"8.4273"</f>
        <v>8.4273</v>
      </c>
      <c r="C791" t="str">
        <f>"8.4616"</f>
        <v>8.4616</v>
      </c>
    </row>
    <row r="792" spans="1:3" x14ac:dyDescent="0.25">
      <c r="A792" t="str">
        <f>"29/08/2012"</f>
        <v>29/08/2012</v>
      </c>
      <c r="B792" t="str">
        <f>"8.4154"</f>
        <v>8.4154</v>
      </c>
      <c r="C792" t="str">
        <f>"8.4495"</f>
        <v>8.4495</v>
      </c>
    </row>
    <row r="793" spans="1:3" x14ac:dyDescent="0.25">
      <c r="A793" t="str">
        <f>"30/08/2012"</f>
        <v>30/08/2012</v>
      </c>
      <c r="B793" t="str">
        <f>"8.4418"</f>
        <v>8.4418</v>
      </c>
      <c r="C793" t="str">
        <f>"8.4771"</f>
        <v>8.4771</v>
      </c>
    </row>
    <row r="794" spans="1:3" x14ac:dyDescent="0.25">
      <c r="A794" t="str">
        <f>"31/08/2012"</f>
        <v>31/08/2012</v>
      </c>
      <c r="B794" t="str">
        <f>"8.4104"</f>
        <v>8.4104</v>
      </c>
      <c r="C794" t="str">
        <f>"8.4452"</f>
        <v>8.4452</v>
      </c>
    </row>
    <row r="795" spans="1:3" x14ac:dyDescent="0.25">
      <c r="A795" t="str">
        <f>"03/09/2012"</f>
        <v>03/09/2012</v>
      </c>
      <c r="B795" t="str">
        <f>"8.3979"</f>
        <v>8.3979</v>
      </c>
      <c r="C795" t="str">
        <f>"8.4327"</f>
        <v>8.4327</v>
      </c>
    </row>
    <row r="796" spans="1:3" x14ac:dyDescent="0.25">
      <c r="A796" t="str">
        <f>"04/09/2012"</f>
        <v>04/09/2012</v>
      </c>
      <c r="B796" t="str">
        <f>"8.3582"</f>
        <v>8.3582</v>
      </c>
      <c r="C796" t="str">
        <f>"8.3973"</f>
        <v>8.3973</v>
      </c>
    </row>
    <row r="797" spans="1:3" x14ac:dyDescent="0.25">
      <c r="A797" t="str">
        <f>"05/09/2012"</f>
        <v>05/09/2012</v>
      </c>
      <c r="B797" t="str">
        <f>"8.4272"</f>
        <v>8.4272</v>
      </c>
      <c r="C797" t="str">
        <f>"8.4643"</f>
        <v>8.4643</v>
      </c>
    </row>
    <row r="798" spans="1:3" x14ac:dyDescent="0.25">
      <c r="A798" t="str">
        <f>"06/09/2012"</f>
        <v>06/09/2012</v>
      </c>
      <c r="B798" t="str">
        <f>"8.3756"</f>
        <v>8.3756</v>
      </c>
      <c r="C798" t="str">
        <f>"8.4102"</f>
        <v>8.4102</v>
      </c>
    </row>
    <row r="799" spans="1:3" x14ac:dyDescent="0.25">
      <c r="A799" t="str">
        <f>"07/09/2012"</f>
        <v>07/09/2012</v>
      </c>
      <c r="B799" t="str">
        <f>"8.249"</f>
        <v>8.249</v>
      </c>
      <c r="C799" t="str">
        <f>"8.2832"</f>
        <v>8.2832</v>
      </c>
    </row>
    <row r="800" spans="1:3" x14ac:dyDescent="0.25">
      <c r="A800" t="str">
        <f>"10/09/2012"</f>
        <v>10/09/2012</v>
      </c>
      <c r="B800" t="str">
        <f>"8.186"</f>
        <v>8.186</v>
      </c>
      <c r="C800" t="str">
        <f>"8.2198"</f>
        <v>8.2198</v>
      </c>
    </row>
    <row r="801" spans="1:3" x14ac:dyDescent="0.25">
      <c r="A801" t="str">
        <f>"11/09/2012"</f>
        <v>11/09/2012</v>
      </c>
      <c r="B801" t="str">
        <f>"8.1874"</f>
        <v>8.1874</v>
      </c>
      <c r="C801" t="str">
        <f>"8.2256"</f>
        <v>8.2256</v>
      </c>
    </row>
    <row r="802" spans="1:3" x14ac:dyDescent="0.25">
      <c r="A802" t="str">
        <f>"12/09/2012"</f>
        <v>12/09/2012</v>
      </c>
      <c r="B802" t="str">
        <f>"8.1617"</f>
        <v>8.1617</v>
      </c>
      <c r="C802" t="str">
        <f>"8.1971"</f>
        <v>8.1971</v>
      </c>
    </row>
    <row r="803" spans="1:3" x14ac:dyDescent="0.25">
      <c r="A803" t="str">
        <f>"13/09/2012"</f>
        <v>13/09/2012</v>
      </c>
      <c r="B803" t="str">
        <f>"8.4244"</f>
        <v>8.4244</v>
      </c>
      <c r="C803" t="str">
        <f>"8.4593"</f>
        <v>8.4593</v>
      </c>
    </row>
    <row r="804" spans="1:3" x14ac:dyDescent="0.25">
      <c r="A804" t="str">
        <f>"14/09/2012"</f>
        <v>14/09/2012</v>
      </c>
      <c r="B804" t="str">
        <f>"8.2048"</f>
        <v>8.2048</v>
      </c>
      <c r="C804" t="str">
        <f>"8.2389"</f>
        <v>8.2389</v>
      </c>
    </row>
    <row r="805" spans="1:3" x14ac:dyDescent="0.25">
      <c r="A805" t="str">
        <f>"17/09/2012"</f>
        <v>17/09/2012</v>
      </c>
      <c r="B805" t="str">
        <f>"8.2458"</f>
        <v>8.2458</v>
      </c>
      <c r="C805" t="str">
        <f>"8.2817"</f>
        <v>8.2817</v>
      </c>
    </row>
    <row r="806" spans="1:3" x14ac:dyDescent="0.25">
      <c r="A806" t="str">
        <f>"18/09/2012"</f>
        <v>18/09/2012</v>
      </c>
      <c r="B806" t="str">
        <f>"8.2756"</f>
        <v>8.2756</v>
      </c>
      <c r="C806" t="str">
        <f>"8.312"</f>
        <v>8.312</v>
      </c>
    </row>
    <row r="807" spans="1:3" x14ac:dyDescent="0.25">
      <c r="A807" t="str">
        <f>"20/09/2012"</f>
        <v>20/09/2012</v>
      </c>
      <c r="B807" t="str">
        <f>"8.3308"</f>
        <v>8.3308</v>
      </c>
      <c r="C807" t="str">
        <f>"8.3656"</f>
        <v>8.3656</v>
      </c>
    </row>
    <row r="808" spans="1:3" x14ac:dyDescent="0.25">
      <c r="A808" t="str">
        <f>"21/09/2012"</f>
        <v>21/09/2012</v>
      </c>
      <c r="B808" t="str">
        <f>"8.2709"</f>
        <v>8.2709</v>
      </c>
      <c r="C808" t="str">
        <f>"8.3049"</f>
        <v>8.3049</v>
      </c>
    </row>
    <row r="809" spans="1:3" x14ac:dyDescent="0.25">
      <c r="A809" t="str">
        <f>"24/09/2012"</f>
        <v>24/09/2012</v>
      </c>
      <c r="B809" t="str">
        <f>"8.2883"</f>
        <v>8.2883</v>
      </c>
      <c r="C809" t="str">
        <f>"8.3225"</f>
        <v>8.3225</v>
      </c>
    </row>
    <row r="810" spans="1:3" x14ac:dyDescent="0.25">
      <c r="A810" t="str">
        <f>"25/09/2012"</f>
        <v>25/09/2012</v>
      </c>
      <c r="B810" t="str">
        <f>"8.2539"</f>
        <v>8.2539</v>
      </c>
      <c r="C810" t="str">
        <f>"8.2903"</f>
        <v>8.2903</v>
      </c>
    </row>
    <row r="811" spans="1:3" x14ac:dyDescent="0.25">
      <c r="A811" t="str">
        <f>"26/09/2012"</f>
        <v>26/09/2012</v>
      </c>
      <c r="B811" t="str">
        <f>"8.2466"</f>
        <v>8.2466</v>
      </c>
      <c r="C811" t="str">
        <f>"8.2843"</f>
        <v>8.2843</v>
      </c>
    </row>
    <row r="812" spans="1:3" x14ac:dyDescent="0.25">
      <c r="A812" t="str">
        <f>"27/09/2012"</f>
        <v>27/09/2012</v>
      </c>
      <c r="B812" t="str">
        <f>"8.212"</f>
        <v>8.212</v>
      </c>
      <c r="C812" t="str">
        <f>"8.2509"</f>
        <v>8.2509</v>
      </c>
    </row>
    <row r="813" spans="1:3" x14ac:dyDescent="0.25">
      <c r="A813" t="str">
        <f>"28/09/2012"</f>
        <v>28/09/2012</v>
      </c>
      <c r="B813" t="str">
        <f>"8.2266"</f>
        <v>8.2266</v>
      </c>
      <c r="C813" t="str">
        <f>"8.262"</f>
        <v>8.262</v>
      </c>
    </row>
    <row r="814" spans="1:3" x14ac:dyDescent="0.25">
      <c r="A814" t="str">
        <f>"01/10/2012"</f>
        <v>01/10/2012</v>
      </c>
      <c r="B814" t="str">
        <f>"8.3157"</f>
        <v>8.3157</v>
      </c>
      <c r="C814" t="str">
        <f>"8.3543"</f>
        <v>8.3543</v>
      </c>
    </row>
    <row r="815" spans="1:3" x14ac:dyDescent="0.25">
      <c r="A815" t="str">
        <f>"03/10/2012"</f>
        <v>03/10/2012</v>
      </c>
      <c r="B815" t="str">
        <f>"8.4295"</f>
        <v>8.4295</v>
      </c>
      <c r="C815" t="str">
        <f>"8.4665"</f>
        <v>8.4665</v>
      </c>
    </row>
    <row r="816" spans="1:3" x14ac:dyDescent="0.25">
      <c r="A816" t="str">
        <f>"04/10/2012"</f>
        <v>04/10/2012</v>
      </c>
      <c r="B816" t="str">
        <f>"8.4871"</f>
        <v>8.4871</v>
      </c>
      <c r="C816" t="str">
        <f>"8.5246"</f>
        <v>8.5246</v>
      </c>
    </row>
    <row r="817" spans="1:3" x14ac:dyDescent="0.25">
      <c r="A817" t="str">
        <f>"05/10/2012"</f>
        <v>05/10/2012</v>
      </c>
      <c r="B817" t="str">
        <f>"8.6274"</f>
        <v>8.6274</v>
      </c>
      <c r="C817" t="str">
        <f>"8.6656"</f>
        <v>8.6656</v>
      </c>
    </row>
    <row r="818" spans="1:3" x14ac:dyDescent="0.25">
      <c r="A818" t="str">
        <f>"08/10/2012"</f>
        <v>08/10/2012</v>
      </c>
      <c r="B818" t="str">
        <f>"8.7992"</f>
        <v>8.7992</v>
      </c>
      <c r="C818" t="str">
        <f>"8.8377"</f>
        <v>8.8377</v>
      </c>
    </row>
    <row r="819" spans="1:3" x14ac:dyDescent="0.25">
      <c r="A819" t="str">
        <f>"09/10/2012"</f>
        <v>09/10/2012</v>
      </c>
      <c r="B819" t="str">
        <f>"8.787"</f>
        <v>8.787</v>
      </c>
      <c r="C819" t="str">
        <f>"8.8295"</f>
        <v>8.8295</v>
      </c>
    </row>
    <row r="820" spans="1:3" x14ac:dyDescent="0.25">
      <c r="A820" t="str">
        <f>"10/10/2012"</f>
        <v>10/10/2012</v>
      </c>
      <c r="B820" t="str">
        <f>"8.7326"</f>
        <v>8.7326</v>
      </c>
      <c r="C820" t="str">
        <f>"8.7737"</f>
        <v>8.7737</v>
      </c>
    </row>
    <row r="821" spans="1:3" x14ac:dyDescent="0.25">
      <c r="A821" t="str">
        <f>"11/10/2012"</f>
        <v>11/10/2012</v>
      </c>
      <c r="B821" t="str">
        <f>"8.7349"</f>
        <v>8.7349</v>
      </c>
      <c r="C821" t="str">
        <f>"8.7731"</f>
        <v>8.7731</v>
      </c>
    </row>
    <row r="822" spans="1:3" x14ac:dyDescent="0.25">
      <c r="A822" t="str">
        <f>"12/10/2012"</f>
        <v>12/10/2012</v>
      </c>
      <c r="B822" t="str">
        <f>"8.6776"</f>
        <v>8.6776</v>
      </c>
      <c r="C822" t="str">
        <f>"8.7172"</f>
        <v>8.7172</v>
      </c>
    </row>
    <row r="823" spans="1:3" x14ac:dyDescent="0.25">
      <c r="A823" t="str">
        <f>"15/10/2012"</f>
        <v>15/10/2012</v>
      </c>
      <c r="B823" t="str">
        <f>"8.74"</f>
        <v>8.74</v>
      </c>
      <c r="C823" t="str">
        <f>"8.7816"</f>
        <v>8.7816</v>
      </c>
    </row>
    <row r="824" spans="1:3" x14ac:dyDescent="0.25">
      <c r="A824" t="str">
        <f>"16/10/2012"</f>
        <v>16/10/2012</v>
      </c>
      <c r="B824" t="str">
        <f>"8.78"</f>
        <v>8.78</v>
      </c>
      <c r="C824" t="str">
        <f>"8.8207"</f>
        <v>8.8207</v>
      </c>
    </row>
    <row r="825" spans="1:3" x14ac:dyDescent="0.25">
      <c r="A825" t="str">
        <f>"17/10/2012"</f>
        <v>17/10/2012</v>
      </c>
      <c r="B825" t="str">
        <f>"8.693"</f>
        <v>8.693</v>
      </c>
      <c r="C825" t="str">
        <f>"8.7313"</f>
        <v>8.7313</v>
      </c>
    </row>
    <row r="826" spans="1:3" x14ac:dyDescent="0.25">
      <c r="A826" t="str">
        <f>"18/10/2012"</f>
        <v>18/10/2012</v>
      </c>
      <c r="B826" t="str">
        <f>"8.6146"</f>
        <v>8.6146</v>
      </c>
      <c r="C826" t="str">
        <f>"8.655"</f>
        <v>8.655</v>
      </c>
    </row>
    <row r="827" spans="1:3" x14ac:dyDescent="0.25">
      <c r="A827" t="str">
        <f>"19/10/2012"</f>
        <v>19/10/2012</v>
      </c>
      <c r="B827" t="str">
        <f>"8.6627"</f>
        <v>8.6627</v>
      </c>
      <c r="C827" t="str">
        <f>"8.7011"</f>
        <v>8.7011</v>
      </c>
    </row>
    <row r="828" spans="1:3" x14ac:dyDescent="0.25">
      <c r="A828" t="str">
        <f>"22/10/2012"</f>
        <v>22/10/2012</v>
      </c>
      <c r="B828" t="str">
        <f>"8.6188"</f>
        <v>8.6188</v>
      </c>
      <c r="C828" t="str">
        <f>"8.6589"</f>
        <v>8.6589</v>
      </c>
    </row>
    <row r="829" spans="1:3" x14ac:dyDescent="0.25">
      <c r="A829" t="str">
        <f>"23/10/2012"</f>
        <v>23/10/2012</v>
      </c>
      <c r="B829" t="str">
        <f>"8.6474"</f>
        <v>8.6474</v>
      </c>
      <c r="C829" t="str">
        <f>"8.6878"</f>
        <v>8.6878</v>
      </c>
    </row>
    <row r="830" spans="1:3" x14ac:dyDescent="0.25">
      <c r="A830" t="str">
        <f>"25/10/2012"</f>
        <v>25/10/2012</v>
      </c>
      <c r="B830" t="str">
        <f>"8.6991"</f>
        <v>8.6991</v>
      </c>
      <c r="C830" t="str">
        <f>"8.7376"</f>
        <v>8.7376</v>
      </c>
    </row>
    <row r="831" spans="1:3" x14ac:dyDescent="0.25">
      <c r="A831" t="str">
        <f>"26/10/2012"</f>
        <v>26/10/2012</v>
      </c>
      <c r="B831" t="str">
        <f>"8.755"</f>
        <v>8.755</v>
      </c>
      <c r="C831" t="str">
        <f>"8.7939"</f>
        <v>8.7939</v>
      </c>
    </row>
    <row r="832" spans="1:3" x14ac:dyDescent="0.25">
      <c r="A832" t="str">
        <f>"29/10/2012"</f>
        <v>29/10/2012</v>
      </c>
      <c r="B832" t="str">
        <f>"8.6673"</f>
        <v>8.6673</v>
      </c>
      <c r="C832" t="str">
        <f>"8.7057"</f>
        <v>8.7057</v>
      </c>
    </row>
    <row r="833" spans="1:3" x14ac:dyDescent="0.25">
      <c r="A833" t="str">
        <f>"30/10/2012"</f>
        <v>30/10/2012</v>
      </c>
      <c r="B833" t="str">
        <f>"8.6633"</f>
        <v>8.6633</v>
      </c>
      <c r="C833" t="str">
        <f>"8.704"</f>
        <v>8.704</v>
      </c>
    </row>
    <row r="834" spans="1:3" x14ac:dyDescent="0.25">
      <c r="A834" t="str">
        <f>"31/10/2012"</f>
        <v>31/10/2012</v>
      </c>
      <c r="B834" t="str">
        <f>"8.6631"</f>
        <v>8.6631</v>
      </c>
      <c r="C834" t="str">
        <f>"8.7026"</f>
        <v>8.7026</v>
      </c>
    </row>
    <row r="835" spans="1:3" x14ac:dyDescent="0.25">
      <c r="A835" t="str">
        <f>"01/11/2012"</f>
        <v>01/11/2012</v>
      </c>
      <c r="B835" t="str">
        <f>"8.6619"</f>
        <v>8.6619</v>
      </c>
      <c r="C835" t="str">
        <f>"8.7004"</f>
        <v>8.7004</v>
      </c>
    </row>
    <row r="836" spans="1:3" x14ac:dyDescent="0.25">
      <c r="A836" t="str">
        <f>"02/11/2012"</f>
        <v>02/11/2012</v>
      </c>
      <c r="B836" t="str">
        <f>"8.6604"</f>
        <v>8.6604</v>
      </c>
      <c r="C836" t="str">
        <f>"8.6976"</f>
        <v>8.6976</v>
      </c>
    </row>
    <row r="837" spans="1:3" x14ac:dyDescent="0.25">
      <c r="A837" t="str">
        <f>"05/11/2012"</f>
        <v>05/11/2012</v>
      </c>
      <c r="B837" t="str">
        <f>"8.7668"</f>
        <v>8.7668</v>
      </c>
      <c r="C837" t="str">
        <f>"8.8045"</f>
        <v>8.8045</v>
      </c>
    </row>
    <row r="838" spans="1:3" x14ac:dyDescent="0.25">
      <c r="A838" t="str">
        <f>"06/11/2012"</f>
        <v>06/11/2012</v>
      </c>
      <c r="B838" t="str">
        <f>"8.728"</f>
        <v>8.728</v>
      </c>
      <c r="C838" t="str">
        <f>"8.7762"</f>
        <v>8.7762</v>
      </c>
    </row>
    <row r="839" spans="1:3" x14ac:dyDescent="0.25">
      <c r="A839" t="str">
        <f>"07/11/2012"</f>
        <v>07/11/2012</v>
      </c>
      <c r="B839" t="str">
        <f>"8.6181"</f>
        <v>8.6181</v>
      </c>
      <c r="C839" t="str">
        <f>"8.6563"</f>
        <v>8.6563</v>
      </c>
    </row>
    <row r="840" spans="1:3" x14ac:dyDescent="0.25">
      <c r="A840" t="str">
        <f>"08/11/2012"</f>
        <v>08/11/2012</v>
      </c>
      <c r="B840" t="str">
        <f>"8.6381"</f>
        <v>8.6381</v>
      </c>
      <c r="C840" t="str">
        <f>"8.676"</f>
        <v>8.676</v>
      </c>
    </row>
    <row r="841" spans="1:3" x14ac:dyDescent="0.25">
      <c r="A841" t="str">
        <f>"09/11/2012"</f>
        <v>09/11/2012</v>
      </c>
      <c r="B841" t="str">
        <f>"8.6958"</f>
        <v>8.6958</v>
      </c>
      <c r="C841" t="str">
        <f>"8.7344"</f>
        <v>8.7344</v>
      </c>
    </row>
    <row r="842" spans="1:3" x14ac:dyDescent="0.25">
      <c r="A842" t="str">
        <f>"12/11/2012"</f>
        <v>12/11/2012</v>
      </c>
      <c r="B842" t="str">
        <f>"8.6956"</f>
        <v>8.6956</v>
      </c>
      <c r="C842" t="str">
        <f>"8.7326"</f>
        <v>8.7326</v>
      </c>
    </row>
    <row r="843" spans="1:3" x14ac:dyDescent="0.25">
      <c r="A843" t="str">
        <f>"15/11/2012"</f>
        <v>15/11/2012</v>
      </c>
      <c r="B843" t="str">
        <f>"8.9226"</f>
        <v>8.9226</v>
      </c>
      <c r="C843" t="str">
        <f>"8.9621"</f>
        <v>8.9621</v>
      </c>
    </row>
    <row r="844" spans="1:3" x14ac:dyDescent="0.25">
      <c r="A844" t="str">
        <f>"16/11/2012"</f>
        <v>16/11/2012</v>
      </c>
      <c r="B844" t="str">
        <f>"8.9414"</f>
        <v>8.9414</v>
      </c>
      <c r="C844" t="str">
        <f>"8.9821"</f>
        <v>8.9821</v>
      </c>
    </row>
    <row r="845" spans="1:3" x14ac:dyDescent="0.25">
      <c r="A845" t="str">
        <f>"19/11/2012"</f>
        <v>19/11/2012</v>
      </c>
      <c r="B845" t="str">
        <f>"8.8446"</f>
        <v>8.8446</v>
      </c>
      <c r="C845" t="str">
        <f>"8.8836"</f>
        <v>8.8836</v>
      </c>
    </row>
    <row r="846" spans="1:3" x14ac:dyDescent="0.25">
      <c r="A846" t="str">
        <f>"20/11/2012"</f>
        <v>20/11/2012</v>
      </c>
      <c r="B846" t="str">
        <f>"8.8522"</f>
        <v>8.8522</v>
      </c>
      <c r="C846" t="str">
        <f>"8.8938"</f>
        <v>8.8938</v>
      </c>
    </row>
    <row r="847" spans="1:3" x14ac:dyDescent="0.25">
      <c r="A847" t="str">
        <f>"21/11/2012"</f>
        <v>21/11/2012</v>
      </c>
      <c r="B847" t="str">
        <f>"8.8923"</f>
        <v>8.8923</v>
      </c>
      <c r="C847" t="str">
        <f>"8.9341"</f>
        <v>8.9341</v>
      </c>
    </row>
    <row r="848" spans="1:3" x14ac:dyDescent="0.25">
      <c r="A848" t="str">
        <f>"22/11/2012"</f>
        <v>22/11/2012</v>
      </c>
      <c r="B848" t="str">
        <f>"8.978"</f>
        <v>8.978</v>
      </c>
      <c r="C848" t="str">
        <f>"9.0189"</f>
        <v>9.0189</v>
      </c>
    </row>
    <row r="849" spans="1:3" x14ac:dyDescent="0.25">
      <c r="A849" t="str">
        <f>"23/11/2012"</f>
        <v>23/11/2012</v>
      </c>
      <c r="B849" t="str">
        <f>"8.9398"</f>
        <v>8.9398</v>
      </c>
      <c r="C849" t="str">
        <f>"8.9791"</f>
        <v>8.9791</v>
      </c>
    </row>
    <row r="850" spans="1:3" x14ac:dyDescent="0.25">
      <c r="A850" t="str">
        <f>"26/11/2012"</f>
        <v>26/11/2012</v>
      </c>
      <c r="B850" t="str">
        <f>"8.8946"</f>
        <v>8.8946</v>
      </c>
      <c r="C850" t="str">
        <f>"8.9351"</f>
        <v>8.9351</v>
      </c>
    </row>
    <row r="851" spans="1:3" x14ac:dyDescent="0.25">
      <c r="A851" t="str">
        <f>"27/11/2012"</f>
        <v>27/11/2012</v>
      </c>
      <c r="B851" t="str">
        <f>"8.8576"</f>
        <v>8.8576</v>
      </c>
      <c r="C851" t="str">
        <f>"8.9015"</f>
        <v>8.9015</v>
      </c>
    </row>
    <row r="852" spans="1:3" x14ac:dyDescent="0.25">
      <c r="A852" t="str">
        <f>"29/11/2012"</f>
        <v>29/11/2012</v>
      </c>
      <c r="B852" t="str">
        <f>"8.8406"</f>
        <v>8.8406</v>
      </c>
      <c r="C852" t="str">
        <f>"8.8833"</f>
        <v>8.8833</v>
      </c>
    </row>
    <row r="853" spans="1:3" x14ac:dyDescent="0.25">
      <c r="A853" t="str">
        <f>"30/11/2012"</f>
        <v>30/11/2012</v>
      </c>
      <c r="B853" t="str">
        <f>"8.7814"</f>
        <v>8.7814</v>
      </c>
      <c r="C853" t="str">
        <f>"8.8251"</f>
        <v>8.8251</v>
      </c>
    </row>
    <row r="854" spans="1:3" x14ac:dyDescent="0.25">
      <c r="A854" t="str">
        <f>"03/12/2012"</f>
        <v>03/12/2012</v>
      </c>
      <c r="B854" t="str">
        <f>"8.8886"</f>
        <v>8.8886</v>
      </c>
      <c r="C854" t="str">
        <f>"8.931"</f>
        <v>8.931</v>
      </c>
    </row>
    <row r="855" spans="1:3" x14ac:dyDescent="0.25">
      <c r="A855" t="str">
        <f>"04/12/2012"</f>
        <v>04/12/2012</v>
      </c>
      <c r="B855" t="str">
        <f>"8.865"</f>
        <v>8.865</v>
      </c>
      <c r="C855" t="str">
        <f>"8.9093"</f>
        <v>8.9093</v>
      </c>
    </row>
    <row r="856" spans="1:3" x14ac:dyDescent="0.25">
      <c r="A856" t="str">
        <f>"05/12/2012"</f>
        <v>05/12/2012</v>
      </c>
      <c r="B856" t="str">
        <f>"8.795"</f>
        <v>8.795</v>
      </c>
      <c r="C856" t="str">
        <f>"8.8374"</f>
        <v>8.8374</v>
      </c>
    </row>
    <row r="857" spans="1:3" x14ac:dyDescent="0.25">
      <c r="A857" t="str">
        <f>"06/12/2012"</f>
        <v>06/12/2012</v>
      </c>
      <c r="B857" t="str">
        <f>"8.7916"</f>
        <v>8.7916</v>
      </c>
      <c r="C857" t="str">
        <f>"8.8341"</f>
        <v>8.8341</v>
      </c>
    </row>
    <row r="858" spans="1:3" x14ac:dyDescent="0.25">
      <c r="A858" t="str">
        <f>"07/12/2012"</f>
        <v>07/12/2012</v>
      </c>
      <c r="B858" t="str">
        <f>"8.6919"</f>
        <v>8.6919</v>
      </c>
      <c r="C858" t="str">
        <f>"8.7329"</f>
        <v>8.7329</v>
      </c>
    </row>
    <row r="859" spans="1:3" x14ac:dyDescent="0.25">
      <c r="A859" t="str">
        <f>"10/12/2012"</f>
        <v>10/12/2012</v>
      </c>
      <c r="B859" t="str">
        <f>"8.6776"</f>
        <v>8.6776</v>
      </c>
      <c r="C859" t="str">
        <f>"8.7186"</f>
        <v>8.7186</v>
      </c>
    </row>
    <row r="860" spans="1:3" x14ac:dyDescent="0.25">
      <c r="A860" t="str">
        <f>"11/12/2012"</f>
        <v>11/12/2012</v>
      </c>
      <c r="B860" t="str">
        <f>"8.6696"</f>
        <v>8.6696</v>
      </c>
      <c r="C860" t="str">
        <f>"8.7119"</f>
        <v>8.7119</v>
      </c>
    </row>
    <row r="861" spans="1:3" x14ac:dyDescent="0.25">
      <c r="A861" t="str">
        <f>"12/12/2012"</f>
        <v>12/12/2012</v>
      </c>
      <c r="B861" t="str">
        <f>"8.6588"</f>
        <v>8.6588</v>
      </c>
      <c r="C861" t="str">
        <f>"8.7006"</f>
        <v>8.7006</v>
      </c>
    </row>
    <row r="862" spans="1:3" x14ac:dyDescent="0.25">
      <c r="A862" t="str">
        <f>"13/12/2012"</f>
        <v>13/12/2012</v>
      </c>
      <c r="B862" t="str">
        <f>"8.6473"</f>
        <v>8.6473</v>
      </c>
      <c r="C862" t="str">
        <f>"8.6888"</f>
        <v>8.6888</v>
      </c>
    </row>
    <row r="863" spans="1:3" x14ac:dyDescent="0.25">
      <c r="A863" t="str">
        <f>"14/12/2012"</f>
        <v>14/12/2012</v>
      </c>
      <c r="B863" t="str">
        <f>"8.656"</f>
        <v>8.656</v>
      </c>
      <c r="C863" t="str">
        <f>"8.7015"</f>
        <v>8.7015</v>
      </c>
    </row>
    <row r="864" spans="1:3" x14ac:dyDescent="0.25">
      <c r="A864" t="str">
        <f>"17/12/2012"</f>
        <v>17/12/2012</v>
      </c>
      <c r="B864" t="str">
        <f>"8.6276"</f>
        <v>8.6276</v>
      </c>
      <c r="C864" t="str">
        <f>"8.6731"</f>
        <v>8.6731</v>
      </c>
    </row>
    <row r="865" spans="1:3" x14ac:dyDescent="0.25">
      <c r="A865" t="str">
        <f>"18/12/2012"</f>
        <v>18/12/2012</v>
      </c>
      <c r="B865" t="str">
        <f>"8.5308"</f>
        <v>8.5308</v>
      </c>
      <c r="C865" t="str">
        <f>"8.5743"</f>
        <v>8.5743</v>
      </c>
    </row>
    <row r="866" spans="1:3" x14ac:dyDescent="0.25">
      <c r="A866" t="str">
        <f>"19/12/2012"</f>
        <v>19/12/2012</v>
      </c>
      <c r="B866" t="str">
        <f>"8.4528"</f>
        <v>8.4528</v>
      </c>
      <c r="C866" t="str">
        <f>"8.4947"</f>
        <v>8.4947</v>
      </c>
    </row>
    <row r="867" spans="1:3" x14ac:dyDescent="0.25">
      <c r="A867" t="str">
        <f>"20/12/2012"</f>
        <v>20/12/2012</v>
      </c>
      <c r="B867" t="str">
        <f>"8.4994"</f>
        <v>8.4994</v>
      </c>
      <c r="C867" t="str">
        <f>"8.5404"</f>
        <v>8.5404</v>
      </c>
    </row>
    <row r="868" spans="1:3" x14ac:dyDescent="0.25">
      <c r="A868" t="str">
        <f>"21/12/2012"</f>
        <v>21/12/2012</v>
      </c>
      <c r="B868" t="str">
        <f>"8.5471"</f>
        <v>8.5471</v>
      </c>
      <c r="C868" t="str">
        <f>"8.5864"</f>
        <v>8.5864</v>
      </c>
    </row>
    <row r="869" spans="1:3" x14ac:dyDescent="0.25">
      <c r="A869" t="str">
        <f>"24/12/2012"</f>
        <v>24/12/2012</v>
      </c>
      <c r="B869" t="str">
        <f>"8.5638"</f>
        <v>8.5638</v>
      </c>
      <c r="C869" t="str">
        <f>"8.6025"</f>
        <v>8.6025</v>
      </c>
    </row>
    <row r="870" spans="1:3" x14ac:dyDescent="0.25">
      <c r="A870" t="str">
        <f>"26/12/2012"</f>
        <v>26/12/2012</v>
      </c>
      <c r="B870" t="str">
        <f>"8.5948"</f>
        <v>8.5948</v>
      </c>
      <c r="C870" t="str">
        <f>"8.6346"</f>
        <v>8.6346</v>
      </c>
    </row>
    <row r="871" spans="1:3" x14ac:dyDescent="0.25">
      <c r="A871" t="str">
        <f>"27/12/2012"</f>
        <v>27/12/2012</v>
      </c>
      <c r="B871" t="str">
        <f>"8.5824"</f>
        <v>8.5824</v>
      </c>
      <c r="C871" t="str">
        <f>"8.622"</f>
        <v>8.622</v>
      </c>
    </row>
    <row r="872" spans="1:3" x14ac:dyDescent="0.25">
      <c r="A872" t="str">
        <f>"28/12/2012"</f>
        <v>28/12/2012</v>
      </c>
      <c r="B872" t="str">
        <f>"8.5012"</f>
        <v>8.5012</v>
      </c>
      <c r="C872" t="str">
        <f>"8.5447"</f>
        <v>8.5447</v>
      </c>
    </row>
    <row r="873" spans="1:3" x14ac:dyDescent="0.25">
      <c r="A873" t="str">
        <f>"31/12/2012"</f>
        <v>31/12/2012</v>
      </c>
      <c r="B873" t="str">
        <f>"8.4771"</f>
        <v>8.4771</v>
      </c>
      <c r="C873" t="str">
        <f>"8.516"</f>
        <v>8.516</v>
      </c>
    </row>
    <row r="874" spans="1:3" x14ac:dyDescent="0.25">
      <c r="A874" t="str">
        <f>"01/01/2013"</f>
        <v>01/01/2013</v>
      </c>
      <c r="B874" t="str">
        <f>"8.5146"</f>
        <v>8.5146</v>
      </c>
      <c r="C874" t="str">
        <f>"8.5526"</f>
        <v>8.5526</v>
      </c>
    </row>
    <row r="875" spans="1:3" x14ac:dyDescent="0.25">
      <c r="A875" t="str">
        <f>"02/01/2013"</f>
        <v>02/01/2013</v>
      </c>
      <c r="B875" t="str">
        <f>"8.429"</f>
        <v>8.429</v>
      </c>
      <c r="C875" t="str">
        <f>"8.4663"</f>
        <v>8.4663</v>
      </c>
    </row>
    <row r="876" spans="1:3" x14ac:dyDescent="0.25">
      <c r="A876" t="str">
        <f>"03/01/2013"</f>
        <v>03/01/2013</v>
      </c>
      <c r="B876" t="str">
        <f>"8.51"</f>
        <v>8.51</v>
      </c>
      <c r="C876" t="str">
        <f>"8.5473"</f>
        <v>8.5473</v>
      </c>
    </row>
    <row r="877" spans="1:3" x14ac:dyDescent="0.25">
      <c r="A877" t="str">
        <f>"04/01/2013"</f>
        <v>04/01/2013</v>
      </c>
      <c r="B877" t="str">
        <f>"8.6005"</f>
        <v>8.6005</v>
      </c>
      <c r="C877" t="str">
        <f>"8.6381"</f>
        <v>8.6381</v>
      </c>
    </row>
    <row r="878" spans="1:3" x14ac:dyDescent="0.25">
      <c r="A878" t="str">
        <f>"07/01/2013"</f>
        <v>07/01/2013</v>
      </c>
      <c r="B878" t="str">
        <f>"8.6048"</f>
        <v>8.6048</v>
      </c>
      <c r="C878" t="str">
        <f>"8.6427"</f>
        <v>8.6427</v>
      </c>
    </row>
    <row r="879" spans="1:3" x14ac:dyDescent="0.25">
      <c r="A879" t="str">
        <f>"08/01/2013"</f>
        <v>08/01/2013</v>
      </c>
      <c r="B879" t="str">
        <f>"8.5711"</f>
        <v>8.5711</v>
      </c>
      <c r="C879" t="str">
        <f>"8.6088"</f>
        <v>8.6088</v>
      </c>
    </row>
    <row r="880" spans="1:3" x14ac:dyDescent="0.25">
      <c r="A880" t="str">
        <f>"09/01/2013"</f>
        <v>09/01/2013</v>
      </c>
      <c r="B880" t="str">
        <f>"8.5842"</f>
        <v>8.5842</v>
      </c>
      <c r="C880" t="str">
        <f>"8.6225"</f>
        <v>8.6225</v>
      </c>
    </row>
    <row r="881" spans="1:3" x14ac:dyDescent="0.25">
      <c r="A881" t="str">
        <f>"10/01/2013"</f>
        <v>10/01/2013</v>
      </c>
      <c r="B881" t="str">
        <f>"8.6142"</f>
        <v>8.6142</v>
      </c>
      <c r="C881" t="str">
        <f>"8.6506"</f>
        <v>8.6506</v>
      </c>
    </row>
    <row r="882" spans="1:3" x14ac:dyDescent="0.25">
      <c r="A882" t="str">
        <f>"11/01/2013"</f>
        <v>11/01/2013</v>
      </c>
      <c r="B882" t="str">
        <f>"8.684"</f>
        <v>8.684</v>
      </c>
      <c r="C882" t="str">
        <f>"8.7207"</f>
        <v>8.7207</v>
      </c>
    </row>
    <row r="883" spans="1:3" x14ac:dyDescent="0.25">
      <c r="A883" t="str">
        <f>"14/01/2013"</f>
        <v>14/01/2013</v>
      </c>
      <c r="B883" t="str">
        <f>"8.7289"</f>
        <v>8.7289</v>
      </c>
      <c r="C883" t="str">
        <f>"8.7658"</f>
        <v>8.7658</v>
      </c>
    </row>
    <row r="884" spans="1:3" x14ac:dyDescent="0.25">
      <c r="A884" t="str">
        <f>"15/01/2013"</f>
        <v>15/01/2013</v>
      </c>
      <c r="B884" t="str">
        <f>"8.7129"</f>
        <v>8.7129</v>
      </c>
      <c r="C884" t="str">
        <f>"8.7524"</f>
        <v>8.7524</v>
      </c>
    </row>
    <row r="885" spans="1:3" x14ac:dyDescent="0.25">
      <c r="A885" t="str">
        <f>"16/01/2013"</f>
        <v>16/01/2013</v>
      </c>
      <c r="B885" t="str">
        <f>"8.827"</f>
        <v>8.827</v>
      </c>
      <c r="C885" t="str">
        <f>"8.866"</f>
        <v>8.866</v>
      </c>
    </row>
    <row r="886" spans="1:3" x14ac:dyDescent="0.25">
      <c r="A886" t="str">
        <f>"17/01/2013"</f>
        <v>17/01/2013</v>
      </c>
      <c r="B886" t="str">
        <f>"8.8188"</f>
        <v>8.8188</v>
      </c>
      <c r="C886" t="str">
        <f>"8.8569"</f>
        <v>8.8569</v>
      </c>
    </row>
    <row r="887" spans="1:3" x14ac:dyDescent="0.25">
      <c r="A887" t="str">
        <f>"18/01/2013"</f>
        <v>18/01/2013</v>
      </c>
      <c r="B887" t="str">
        <f>"8.8145"</f>
        <v>8.8145</v>
      </c>
      <c r="C887" t="str">
        <f>"8.8515"</f>
        <v>8.8515</v>
      </c>
    </row>
    <row r="888" spans="1:3" x14ac:dyDescent="0.25">
      <c r="A888" t="str">
        <f>"21/01/2013"</f>
        <v>21/01/2013</v>
      </c>
      <c r="B888" t="str">
        <f>"8.8899"</f>
        <v>8.8899</v>
      </c>
      <c r="C888" t="str">
        <f>"8.9274"</f>
        <v>8.9274</v>
      </c>
    </row>
    <row r="889" spans="1:3" x14ac:dyDescent="0.25">
      <c r="A889" t="str">
        <f>"22/01/2013"</f>
        <v>22/01/2013</v>
      </c>
      <c r="B889" t="str">
        <f>"8.8595"</f>
        <v>8.8595</v>
      </c>
      <c r="C889" t="str">
        <f>"8.8992"</f>
        <v>8.8992</v>
      </c>
    </row>
    <row r="890" spans="1:3" x14ac:dyDescent="0.25">
      <c r="A890" t="str">
        <f>"23/01/2013"</f>
        <v>23/01/2013</v>
      </c>
      <c r="B890" t="str">
        <f>"8.8995"</f>
        <v>8.8995</v>
      </c>
      <c r="C890" t="str">
        <f>"8.9373"</f>
        <v>8.9373</v>
      </c>
    </row>
    <row r="891" spans="1:3" x14ac:dyDescent="0.25">
      <c r="A891" t="str">
        <f>"24/01/2013"</f>
        <v>24/01/2013</v>
      </c>
      <c r="B891" t="str">
        <f>"9.0657"</f>
        <v>9.0657</v>
      </c>
      <c r="C891" t="str">
        <f>"9.1041"</f>
        <v>9.1041</v>
      </c>
    </row>
    <row r="892" spans="1:3" x14ac:dyDescent="0.25">
      <c r="A892" t="str">
        <f>"28/01/2013"</f>
        <v>28/01/2013</v>
      </c>
      <c r="B892" t="str">
        <f>"8.9708"</f>
        <v>8.9708</v>
      </c>
      <c r="C892" t="str">
        <f>"9.0074"</f>
        <v>9.0074</v>
      </c>
    </row>
    <row r="893" spans="1:3" x14ac:dyDescent="0.25">
      <c r="A893" t="str">
        <f>"29/01/2013"</f>
        <v>29/01/2013</v>
      </c>
      <c r="B893" t="str">
        <f>"9.0906"</f>
        <v>9.0906</v>
      </c>
      <c r="C893" t="str">
        <f>"9.1268"</f>
        <v>9.1268</v>
      </c>
    </row>
    <row r="894" spans="1:3" x14ac:dyDescent="0.25">
      <c r="A894" t="str">
        <f>"30/01/2013"</f>
        <v>30/01/2013</v>
      </c>
      <c r="B894" t="str">
        <f>"9.0349"</f>
        <v>9.0349</v>
      </c>
      <c r="C894" t="str">
        <f>"9.0695"</f>
        <v>9.0695</v>
      </c>
    </row>
    <row r="895" spans="1:3" x14ac:dyDescent="0.25">
      <c r="A895" t="str">
        <f>"31/01/2013"</f>
        <v>31/01/2013</v>
      </c>
      <c r="B895" t="str">
        <f>"9.0277"</f>
        <v>9.0277</v>
      </c>
      <c r="C895" t="str">
        <f>"9.0625"</f>
        <v>9.0625</v>
      </c>
    </row>
    <row r="896" spans="1:3" x14ac:dyDescent="0.25">
      <c r="A896" t="str">
        <f>"01/02/2013"</f>
        <v>01/02/2013</v>
      </c>
      <c r="B896" t="str">
        <f>"8.9753"</f>
        <v>8.9753</v>
      </c>
      <c r="C896" t="str">
        <f>"9.0096"</f>
        <v>9.0096</v>
      </c>
    </row>
    <row r="897" spans="1:3" x14ac:dyDescent="0.25">
      <c r="A897" t="str">
        <f>"04/02/2013"</f>
        <v>04/02/2013</v>
      </c>
      <c r="B897" t="str">
        <f>"8.8552"</f>
        <v>8.8552</v>
      </c>
      <c r="C897" t="str">
        <f>"8.8893"</f>
        <v>8.8893</v>
      </c>
    </row>
    <row r="898" spans="1:3" x14ac:dyDescent="0.25">
      <c r="A898" t="str">
        <f>"05/02/2013"</f>
        <v>05/02/2013</v>
      </c>
      <c r="B898" t="str">
        <f>"8.9265"</f>
        <v>8.9265</v>
      </c>
      <c r="C898" t="str">
        <f>"8.961"</f>
        <v>8.961</v>
      </c>
    </row>
    <row r="899" spans="1:3" x14ac:dyDescent="0.25">
      <c r="A899" t="str">
        <f>"06/02/2013"</f>
        <v>06/02/2013</v>
      </c>
      <c r="B899" t="str">
        <f>"8.8452"</f>
        <v>8.8452</v>
      </c>
      <c r="C899" t="str">
        <f>"8.8799"</f>
        <v>8.8799</v>
      </c>
    </row>
    <row r="900" spans="1:3" x14ac:dyDescent="0.25">
      <c r="A900" t="str">
        <f>"07/02/2013"</f>
        <v>07/02/2013</v>
      </c>
      <c r="B900" t="str">
        <f>"8.9212"</f>
        <v>8.9212</v>
      </c>
      <c r="C900" t="str">
        <f>"8.9557"</f>
        <v>8.9557</v>
      </c>
    </row>
    <row r="901" spans="1:3" x14ac:dyDescent="0.25">
      <c r="A901" t="str">
        <f>"08/02/2013"</f>
        <v>08/02/2013</v>
      </c>
      <c r="B901" t="str">
        <f>"8.9153"</f>
        <v>8.9153</v>
      </c>
      <c r="C901" t="str">
        <f>"8.9496"</f>
        <v>8.9496</v>
      </c>
    </row>
    <row r="902" spans="1:3" x14ac:dyDescent="0.25">
      <c r="A902" t="str">
        <f>"11/02/2013"</f>
        <v>11/02/2013</v>
      </c>
      <c r="B902" t="str">
        <f>"8.8934"</f>
        <v>8.8934</v>
      </c>
      <c r="C902" t="str">
        <f>"8.928"</f>
        <v>8.928</v>
      </c>
    </row>
    <row r="903" spans="1:3" x14ac:dyDescent="0.25">
      <c r="A903" t="str">
        <f>"12/02/2013"</f>
        <v>12/02/2013</v>
      </c>
      <c r="B903" t="str">
        <f>"8.9452"</f>
        <v>8.9452</v>
      </c>
      <c r="C903" t="str">
        <f>"8.9794"</f>
        <v>8.9794</v>
      </c>
    </row>
    <row r="904" spans="1:3" x14ac:dyDescent="0.25">
      <c r="A904" t="str">
        <f>"13/02/2013"</f>
        <v>13/02/2013</v>
      </c>
      <c r="B904" t="str">
        <f>"8.8903"</f>
        <v>8.8903</v>
      </c>
      <c r="C904" t="str">
        <f>"8.9249"</f>
        <v>8.9249</v>
      </c>
    </row>
    <row r="905" spans="1:3" x14ac:dyDescent="0.25">
      <c r="A905" t="str">
        <f>"14/02/2013"</f>
        <v>14/02/2013</v>
      </c>
      <c r="B905" t="str">
        <f>"8.8922"</f>
        <v>8.8922</v>
      </c>
      <c r="C905" t="str">
        <f>"8.9264"</f>
        <v>8.9264</v>
      </c>
    </row>
    <row r="906" spans="1:3" x14ac:dyDescent="0.25">
      <c r="A906" t="str">
        <f>"15/02/2013"</f>
        <v>15/02/2013</v>
      </c>
      <c r="B906" t="str">
        <f>"8.8052"</f>
        <v>8.8052</v>
      </c>
      <c r="C906" t="str">
        <f>"8.8392"</f>
        <v>8.8392</v>
      </c>
    </row>
    <row r="907" spans="1:3" x14ac:dyDescent="0.25">
      <c r="A907" t="str">
        <f>"18/02/2013"</f>
        <v>18/02/2013</v>
      </c>
      <c r="B907" t="str">
        <f>"8.8662"</f>
        <v>8.8662</v>
      </c>
      <c r="C907" t="str">
        <f>"8.9009"</f>
        <v>8.9009</v>
      </c>
    </row>
    <row r="908" spans="1:3" x14ac:dyDescent="0.25">
      <c r="A908" t="str">
        <f>"20/02/2013"</f>
        <v>20/02/2013</v>
      </c>
      <c r="B908" t="str">
        <f>"8.8605"</f>
        <v>8.8605</v>
      </c>
      <c r="C908" t="str">
        <f>"8.8959"</f>
        <v>8.8959</v>
      </c>
    </row>
    <row r="909" spans="1:3" x14ac:dyDescent="0.25">
      <c r="A909" t="str">
        <f>"21/02/2013"</f>
        <v>21/02/2013</v>
      </c>
      <c r="B909" t="str">
        <f>"8.9164"</f>
        <v>8.9164</v>
      </c>
      <c r="C909" t="str">
        <f>"8.9506"</f>
        <v>8.9506</v>
      </c>
    </row>
    <row r="910" spans="1:3" x14ac:dyDescent="0.25">
      <c r="A910" t="str">
        <f>"22/02/2013"</f>
        <v>22/02/2013</v>
      </c>
      <c r="B910" t="str">
        <f>"8.8914"</f>
        <v>8.8914</v>
      </c>
      <c r="C910" t="str">
        <f>"8.9263"</f>
        <v>8.9263</v>
      </c>
    </row>
    <row r="911" spans="1:3" x14ac:dyDescent="0.25">
      <c r="A911" t="str">
        <f>"25/02/2013"</f>
        <v>25/02/2013</v>
      </c>
      <c r="B911" t="str">
        <f>"8.9025"</f>
        <v>8.9025</v>
      </c>
      <c r="C911" t="str">
        <f>"8.9369"</f>
        <v>8.9369</v>
      </c>
    </row>
    <row r="912" spans="1:3" x14ac:dyDescent="0.25">
      <c r="A912" t="str">
        <f>"26/02/2013"</f>
        <v>26/02/2013</v>
      </c>
      <c r="B912" t="str">
        <f>"8.8345"</f>
        <v>8.8345</v>
      </c>
      <c r="C912" t="str">
        <f>"8.8685"</f>
        <v>8.8685</v>
      </c>
    </row>
    <row r="913" spans="1:3" x14ac:dyDescent="0.25">
      <c r="A913" t="str">
        <f>"27/02/2013"</f>
        <v>27/02/2013</v>
      </c>
      <c r="B913" t="str">
        <f>"8.8392"</f>
        <v>8.8392</v>
      </c>
      <c r="C913" t="str">
        <f>"8.8729"</f>
        <v>8.8729</v>
      </c>
    </row>
    <row r="914" spans="1:3" x14ac:dyDescent="0.25">
      <c r="A914" t="str">
        <f>"28/02/2013"</f>
        <v>28/02/2013</v>
      </c>
      <c r="B914" t="str">
        <f>"8.8465"</f>
        <v>8.8465</v>
      </c>
      <c r="C914" t="str">
        <f>"8.885"</f>
        <v>8.885</v>
      </c>
    </row>
    <row r="915" spans="1:3" x14ac:dyDescent="0.25">
      <c r="A915" t="str">
        <f>"01/03/2013"</f>
        <v>01/03/2013</v>
      </c>
      <c r="B915" t="str">
        <f>"9.0264"</f>
        <v>9.0264</v>
      </c>
      <c r="C915" t="str">
        <f>"9.0644"</f>
        <v>9.0644</v>
      </c>
    </row>
    <row r="916" spans="1:3" x14ac:dyDescent="0.25">
      <c r="A916" t="str">
        <f>"04/03/2013"</f>
        <v>04/03/2013</v>
      </c>
      <c r="B916" t="str">
        <f>"9.0965"</f>
        <v>9.0965</v>
      </c>
      <c r="C916" t="str">
        <f>"9.1349"</f>
        <v>9.1349</v>
      </c>
    </row>
    <row r="917" spans="1:3" x14ac:dyDescent="0.25">
      <c r="A917" t="str">
        <f>"05/03/2013"</f>
        <v>05/03/2013</v>
      </c>
      <c r="B917" t="str">
        <f>"9.0706"</f>
        <v>9.0706</v>
      </c>
      <c r="C917" t="str">
        <f>"9.1116"</f>
        <v>9.1116</v>
      </c>
    </row>
    <row r="918" spans="1:3" x14ac:dyDescent="0.25">
      <c r="A918" t="str">
        <f>"06/03/2013"</f>
        <v>06/03/2013</v>
      </c>
      <c r="B918" t="str">
        <f>"9.0452"</f>
        <v>9.0452</v>
      </c>
      <c r="C918" t="str">
        <f>"9.0847"</f>
        <v>9.0847</v>
      </c>
    </row>
    <row r="919" spans="1:3" x14ac:dyDescent="0.25">
      <c r="A919" t="str">
        <f>"07/03/2013"</f>
        <v>07/03/2013</v>
      </c>
      <c r="B919" t="str">
        <f>"9.1289"</f>
        <v>9.1289</v>
      </c>
      <c r="C919" t="str">
        <f>"9.1671"</f>
        <v>9.1671</v>
      </c>
    </row>
    <row r="920" spans="1:3" x14ac:dyDescent="0.25">
      <c r="A920" t="str">
        <f>"08/03/2013"</f>
        <v>08/03/2013</v>
      </c>
      <c r="B920" t="str">
        <f>"9.1663"</f>
        <v>9.1663</v>
      </c>
      <c r="C920" t="str">
        <f>"9.2046"</f>
        <v>9.2046</v>
      </c>
    </row>
    <row r="921" spans="1:3" x14ac:dyDescent="0.25">
      <c r="A921" t="str">
        <f>"11/03/2013"</f>
        <v>11/03/2013</v>
      </c>
      <c r="B921" t="str">
        <f>"9.0977"</f>
        <v>9.0977</v>
      </c>
      <c r="C921" t="str">
        <f>"9.1364"</f>
        <v>9.1364</v>
      </c>
    </row>
    <row r="922" spans="1:3" x14ac:dyDescent="0.25">
      <c r="A922" t="str">
        <f>"12/03/2013"</f>
        <v>12/03/2013</v>
      </c>
      <c r="B922" t="str">
        <f>"9.121"</f>
        <v>9.121</v>
      </c>
      <c r="C922" t="str">
        <f>"9.1619"</f>
        <v>9.1619</v>
      </c>
    </row>
    <row r="923" spans="1:3" x14ac:dyDescent="0.25">
      <c r="A923" t="str">
        <f>"13/03/2013"</f>
        <v>13/03/2013</v>
      </c>
      <c r="B923" t="str">
        <f>"9.1709"</f>
        <v>9.1709</v>
      </c>
      <c r="C923" t="str">
        <f>"9.2096"</f>
        <v>9.2096</v>
      </c>
    </row>
    <row r="924" spans="1:3" x14ac:dyDescent="0.25">
      <c r="A924" t="str">
        <f>"14/03/2013"</f>
        <v>14/03/2013</v>
      </c>
      <c r="B924" t="str">
        <f>"9.2479"</f>
        <v>9.2479</v>
      </c>
      <c r="C924" t="str">
        <f>"9.2873"</f>
        <v>9.2873</v>
      </c>
    </row>
    <row r="925" spans="1:3" x14ac:dyDescent="0.25">
      <c r="A925" t="str">
        <f>"15/03/2013"</f>
        <v>15/03/2013</v>
      </c>
      <c r="B925" t="str">
        <f>"9.1842"</f>
        <v>9.1842</v>
      </c>
      <c r="C925" t="str">
        <f>"9.2226"</f>
        <v>9.2226</v>
      </c>
    </row>
    <row r="926" spans="1:3" x14ac:dyDescent="0.25">
      <c r="A926" t="str">
        <f>"18/03/2013"</f>
        <v>18/03/2013</v>
      </c>
      <c r="B926" t="str">
        <f>"9.2252"</f>
        <v>9.2252</v>
      </c>
      <c r="C926" t="str">
        <f>"9.2639"</f>
        <v>9.2639</v>
      </c>
    </row>
    <row r="927" spans="1:3" x14ac:dyDescent="0.25">
      <c r="A927" t="str">
        <f>"19/03/2013"</f>
        <v>19/03/2013</v>
      </c>
      <c r="B927" t="str">
        <f>"9.1829"</f>
        <v>9.1829</v>
      </c>
      <c r="C927" t="str">
        <f>"9.2239"</f>
        <v>9.2239</v>
      </c>
    </row>
    <row r="928" spans="1:3" x14ac:dyDescent="0.25">
      <c r="A928" t="str">
        <f>"20/03/2013"</f>
        <v>20/03/2013</v>
      </c>
      <c r="B928" t="str">
        <f>"9.2626"</f>
        <v>9.2626</v>
      </c>
      <c r="C928" t="str">
        <f>"9.3016"</f>
        <v>9.3016</v>
      </c>
    </row>
    <row r="929" spans="1:3" x14ac:dyDescent="0.25">
      <c r="A929" t="str">
        <f>"21/03/2013"</f>
        <v>21/03/2013</v>
      </c>
      <c r="B929" t="str">
        <f>"9.3235"</f>
        <v>9.3235</v>
      </c>
      <c r="C929" t="str">
        <f>"9.3628"</f>
        <v>9.3628</v>
      </c>
    </row>
    <row r="930" spans="1:3" x14ac:dyDescent="0.25">
      <c r="A930" t="str">
        <f>"22/03/2013"</f>
        <v>22/03/2013</v>
      </c>
      <c r="B930" t="str">
        <f>"9.316"</f>
        <v>9.316</v>
      </c>
      <c r="C930" t="str">
        <f>"9.3552"</f>
        <v>9.3552</v>
      </c>
    </row>
    <row r="931" spans="1:3" x14ac:dyDescent="0.25">
      <c r="A931" t="str">
        <f>"25/03/2013"</f>
        <v>25/03/2013</v>
      </c>
      <c r="B931" t="str">
        <f>"9.2708"</f>
        <v>9.2708</v>
      </c>
      <c r="C931" t="str">
        <f>"9.3103"</f>
        <v>9.3103</v>
      </c>
    </row>
    <row r="932" spans="1:3" x14ac:dyDescent="0.25">
      <c r="A932" t="str">
        <f>"26/03/2013"</f>
        <v>26/03/2013</v>
      </c>
      <c r="B932" t="str">
        <f>"9.2943"</f>
        <v>9.2943</v>
      </c>
      <c r="C932" t="str">
        <f>"9.3361"</f>
        <v>9.3361</v>
      </c>
    </row>
    <row r="933" spans="1:3" x14ac:dyDescent="0.25">
      <c r="A933" t="str">
        <f>"28/03/2013"</f>
        <v>28/03/2013</v>
      </c>
      <c r="B933" t="str">
        <f>"9.2595"</f>
        <v>9.2595</v>
      </c>
      <c r="C933" t="str">
        <f>"9.2975"</f>
        <v>9.2975</v>
      </c>
    </row>
    <row r="934" spans="1:3" x14ac:dyDescent="0.25">
      <c r="A934" t="str">
        <f>"02/04/2013"</f>
        <v>02/04/2013</v>
      </c>
      <c r="B934" t="str">
        <f>"9.1828"</f>
        <v>9.1828</v>
      </c>
      <c r="C934" t="str">
        <f>"9.2204"</f>
        <v>9.2204</v>
      </c>
    </row>
    <row r="935" spans="1:3" x14ac:dyDescent="0.25">
      <c r="A935" t="str">
        <f>"03/04/2013"</f>
        <v>03/04/2013</v>
      </c>
      <c r="B935" t="str">
        <f>"9.2487"</f>
        <v>9.2487</v>
      </c>
      <c r="C935" t="str">
        <f>"9.2878"</f>
        <v>9.2878</v>
      </c>
    </row>
    <row r="936" spans="1:3" x14ac:dyDescent="0.25">
      <c r="A936" t="str">
        <f>"04/04/2013"</f>
        <v>04/04/2013</v>
      </c>
      <c r="B936" t="str">
        <f>"9.2354"</f>
        <v>9.2354</v>
      </c>
      <c r="C936" t="str">
        <f>"9.2743"</f>
        <v>9.2743</v>
      </c>
    </row>
    <row r="937" spans="1:3" x14ac:dyDescent="0.25">
      <c r="A937" t="str">
        <f>"05/04/2013"</f>
        <v>05/04/2013</v>
      </c>
      <c r="B937" t="str">
        <f>"9.1885"</f>
        <v>9.1885</v>
      </c>
      <c r="C937" t="str">
        <f>"9.2261"</f>
        <v>9.2261</v>
      </c>
    </row>
    <row r="938" spans="1:3" x14ac:dyDescent="0.25">
      <c r="A938" t="str">
        <f>"08/04/2013"</f>
        <v>08/04/2013</v>
      </c>
      <c r="B938" t="str">
        <f>"9.1093"</f>
        <v>9.1093</v>
      </c>
      <c r="C938" t="str">
        <f>"9.1463"</f>
        <v>9.1463</v>
      </c>
    </row>
    <row r="939" spans="1:3" x14ac:dyDescent="0.25">
      <c r="A939" t="str">
        <f>"09/04/2013"</f>
        <v>09/04/2013</v>
      </c>
      <c r="B939" t="str">
        <f>"8.9714"</f>
        <v>8.9714</v>
      </c>
      <c r="C939" t="str">
        <f>"9.0082"</f>
        <v>9.0082</v>
      </c>
    </row>
    <row r="940" spans="1:3" x14ac:dyDescent="0.25">
      <c r="A940" t="str">
        <f>"10/04/2013"</f>
        <v>10/04/2013</v>
      </c>
      <c r="B940" t="str">
        <f>"8.9282"</f>
        <v>8.9282</v>
      </c>
      <c r="C940" t="str">
        <f>"8.9667"</f>
        <v>8.9667</v>
      </c>
    </row>
    <row r="941" spans="1:3" x14ac:dyDescent="0.25">
      <c r="A941" t="str">
        <f>"12/04/2013"</f>
        <v>12/04/2013</v>
      </c>
      <c r="B941" t="str">
        <f>"8.9034"</f>
        <v>8.9034</v>
      </c>
      <c r="C941" t="str">
        <f>"8.9397"</f>
        <v>8.9397</v>
      </c>
    </row>
    <row r="942" spans="1:3" x14ac:dyDescent="0.25">
      <c r="A942" t="str">
        <f>"15/04/2013"</f>
        <v>15/04/2013</v>
      </c>
      <c r="B942" t="str">
        <f>"9.0206"</f>
        <v>9.0206</v>
      </c>
      <c r="C942" t="str">
        <f>"9.0568"</f>
        <v>9.0568</v>
      </c>
    </row>
    <row r="943" spans="1:3" x14ac:dyDescent="0.25">
      <c r="A943" t="str">
        <f>"16/04/2013"</f>
        <v>16/04/2013</v>
      </c>
      <c r="B943" t="str">
        <f>"9.1623"</f>
        <v>9.1623</v>
      </c>
      <c r="C943" t="str">
        <f>"9.1994"</f>
        <v>9.1994</v>
      </c>
    </row>
    <row r="944" spans="1:3" x14ac:dyDescent="0.25">
      <c r="A944" t="str">
        <f>"17/04/2013"</f>
        <v>17/04/2013</v>
      </c>
      <c r="B944" t="str">
        <f>"9.1366"</f>
        <v>9.1366</v>
      </c>
      <c r="C944" t="str">
        <f>"9.1763"</f>
        <v>9.1763</v>
      </c>
    </row>
    <row r="945" spans="1:3" x14ac:dyDescent="0.25">
      <c r="A945" t="str">
        <f>"18/04/2013"</f>
        <v>18/04/2013</v>
      </c>
      <c r="B945" t="str">
        <f>"9.1906"</f>
        <v>9.1906</v>
      </c>
      <c r="C945" t="str">
        <f>"9.2289"</f>
        <v>9.2289</v>
      </c>
    </row>
    <row r="946" spans="1:3" x14ac:dyDescent="0.25">
      <c r="A946" t="str">
        <f>"22/04/2013"</f>
        <v>22/04/2013</v>
      </c>
      <c r="B946" t="str">
        <f>"9.2139"</f>
        <v>9.2139</v>
      </c>
      <c r="C946" t="str">
        <f>"9.2514"</f>
        <v>9.2514</v>
      </c>
    </row>
    <row r="947" spans="1:3" x14ac:dyDescent="0.25">
      <c r="A947" t="str">
        <f>"23/04/2013"</f>
        <v>23/04/2013</v>
      </c>
      <c r="B947" t="str">
        <f>"9.2598"</f>
        <v>9.2598</v>
      </c>
      <c r="C947" t="str">
        <f>"9.2972"</f>
        <v>9.2972</v>
      </c>
    </row>
    <row r="948" spans="1:3" x14ac:dyDescent="0.25">
      <c r="A948" t="str">
        <f>"25/04/2013"</f>
        <v>25/04/2013</v>
      </c>
      <c r="B948" t="str">
        <f>"9.0993"</f>
        <v>9.0993</v>
      </c>
      <c r="C948" t="str">
        <f>"9.1389"</f>
        <v>9.1389</v>
      </c>
    </row>
    <row r="949" spans="1:3" x14ac:dyDescent="0.25">
      <c r="A949" t="str">
        <f>"26/04/2013"</f>
        <v>26/04/2013</v>
      </c>
      <c r="B949" t="str">
        <f>"9.0834"</f>
        <v>9.0834</v>
      </c>
      <c r="C949" t="str">
        <f>"9.1199"</f>
        <v>9.1199</v>
      </c>
    </row>
    <row r="950" spans="1:3" x14ac:dyDescent="0.25">
      <c r="A950" t="str">
        <f>"29/04/2013"</f>
        <v>29/04/2013</v>
      </c>
      <c r="B950" t="str">
        <f>"9.098"</f>
        <v>9.098</v>
      </c>
      <c r="C950" t="str">
        <f>"9.136"</f>
        <v>9.136</v>
      </c>
    </row>
    <row r="951" spans="1:3" x14ac:dyDescent="0.25">
      <c r="A951" t="str">
        <f>"30/04/2013"</f>
        <v>30/04/2013</v>
      </c>
      <c r="B951" t="str">
        <f>"8.9897"</f>
        <v>8.9897</v>
      </c>
      <c r="C951" t="str">
        <f>"9.0291"</f>
        <v>9.0291</v>
      </c>
    </row>
    <row r="952" spans="1:3" x14ac:dyDescent="0.25">
      <c r="A952" t="str">
        <f>"02/05/2013"</f>
        <v>02/05/2013</v>
      </c>
      <c r="B952" t="str">
        <f>"9.0446"</f>
        <v>9.0446</v>
      </c>
      <c r="C952" t="str">
        <f>"9.0827"</f>
        <v>9.0827</v>
      </c>
    </row>
    <row r="953" spans="1:3" x14ac:dyDescent="0.25">
      <c r="A953" t="str">
        <f>"03/05/2013"</f>
        <v>03/05/2013</v>
      </c>
      <c r="B953" t="str">
        <f>"8.9524"</f>
        <v>8.9524</v>
      </c>
      <c r="C953" t="str">
        <f>"8.9899"</f>
        <v>8.9899</v>
      </c>
    </row>
    <row r="954" spans="1:3" x14ac:dyDescent="0.25">
      <c r="A954" t="str">
        <f>"06/05/2013"</f>
        <v>06/05/2013</v>
      </c>
      <c r="B954" t="str">
        <f>"8.9293"</f>
        <v>8.9293</v>
      </c>
      <c r="C954" t="str">
        <f>"8.967"</f>
        <v>8.967</v>
      </c>
    </row>
    <row r="955" spans="1:3" x14ac:dyDescent="0.25">
      <c r="A955" t="str">
        <f>"07/05/2013"</f>
        <v>07/05/2013</v>
      </c>
      <c r="B955" t="str">
        <f>"9.0118"</f>
        <v>9.0118</v>
      </c>
      <c r="C955" t="str">
        <f>"9.0523"</f>
        <v>9.0523</v>
      </c>
    </row>
    <row r="956" spans="1:3" x14ac:dyDescent="0.25">
      <c r="A956" t="str">
        <f>"08/05/2013"</f>
        <v>08/05/2013</v>
      </c>
      <c r="B956" t="str">
        <f>"9.0547"</f>
        <v>9.0547</v>
      </c>
      <c r="C956" t="str">
        <f>"9.0943"</f>
        <v>9.0943</v>
      </c>
    </row>
    <row r="957" spans="1:3" x14ac:dyDescent="0.25">
      <c r="A957" t="str">
        <f>"09/05/2013"</f>
        <v>09/05/2013</v>
      </c>
      <c r="B957" t="str">
        <f>"8.993"</f>
        <v>8.993</v>
      </c>
      <c r="C957" t="str">
        <f>"9.032"</f>
        <v>9.032</v>
      </c>
    </row>
    <row r="958" spans="1:3" x14ac:dyDescent="0.25">
      <c r="A958" t="str">
        <f>"10/05/2013"</f>
        <v>10/05/2013</v>
      </c>
      <c r="B958" t="str">
        <f>"9.0245"</f>
        <v>9.0245</v>
      </c>
      <c r="C958" t="str">
        <f>"9.0622"</f>
        <v>9.0622</v>
      </c>
    </row>
    <row r="959" spans="1:3" x14ac:dyDescent="0.25">
      <c r="A959" t="str">
        <f>"13/05/2013"</f>
        <v>13/05/2013</v>
      </c>
      <c r="B959" t="str">
        <f>"9.1452"</f>
        <v>9.1452</v>
      </c>
      <c r="C959" t="str">
        <f>"9.1876"</f>
        <v>9.1876</v>
      </c>
    </row>
    <row r="960" spans="1:3" x14ac:dyDescent="0.25">
      <c r="A960" t="str">
        <f>"14/05/2013"</f>
        <v>14/05/2013</v>
      </c>
      <c r="B960" t="str">
        <f>"9.168"</f>
        <v>9.168</v>
      </c>
      <c r="C960" t="str">
        <f>"9.2092"</f>
        <v>9.2092</v>
      </c>
    </row>
    <row r="961" spans="1:3" x14ac:dyDescent="0.25">
      <c r="A961" t="str">
        <f>"15/05/2013"</f>
        <v>15/05/2013</v>
      </c>
      <c r="B961" t="str">
        <f>"9.2261"</f>
        <v>9.2261</v>
      </c>
      <c r="C961" t="str">
        <f>"9.2677"</f>
        <v>9.2677</v>
      </c>
    </row>
    <row r="962" spans="1:3" x14ac:dyDescent="0.25">
      <c r="A962" t="str">
        <f>"16/05/2013"</f>
        <v>16/05/2013</v>
      </c>
      <c r="B962" t="str">
        <f>"9.2897"</f>
        <v>9.2897</v>
      </c>
      <c r="C962" t="str">
        <f>"9.3289"</f>
        <v>9.3289</v>
      </c>
    </row>
    <row r="963" spans="1:3" x14ac:dyDescent="0.25">
      <c r="A963" t="str">
        <f>"17/05/2013"</f>
        <v>17/05/2013</v>
      </c>
      <c r="B963" t="str">
        <f>"9.355"</f>
        <v>9.355</v>
      </c>
      <c r="C963" t="str">
        <f>"9.3947"</f>
        <v>9.3947</v>
      </c>
    </row>
    <row r="964" spans="1:3" x14ac:dyDescent="0.25">
      <c r="A964" t="str">
        <f>"20/05/2013"</f>
        <v>20/05/2013</v>
      </c>
      <c r="B964" t="str">
        <f>"9.4073"</f>
        <v>9.4073</v>
      </c>
      <c r="C964" t="str">
        <f>"9.4471"</f>
        <v>9.4471</v>
      </c>
    </row>
    <row r="965" spans="1:3" x14ac:dyDescent="0.25">
      <c r="A965" t="str">
        <f>"21/05/2013"</f>
        <v>21/05/2013</v>
      </c>
      <c r="B965" t="str">
        <f>"9.4351"</f>
        <v>9.4351</v>
      </c>
      <c r="C965" t="str">
        <f>"9.4773"</f>
        <v>9.4773</v>
      </c>
    </row>
    <row r="966" spans="1:3" x14ac:dyDescent="0.25">
      <c r="A966" t="str">
        <f>"22/05/2013"</f>
        <v>22/05/2013</v>
      </c>
      <c r="B966" t="str">
        <f>"9.5706"</f>
        <v>9.5706</v>
      </c>
      <c r="C966" t="str">
        <f>"9.6109"</f>
        <v>9.6109</v>
      </c>
    </row>
    <row r="967" spans="1:3" x14ac:dyDescent="0.25">
      <c r="A967" t="str">
        <f>"23/05/2013"</f>
        <v>23/05/2013</v>
      </c>
      <c r="B967" t="str">
        <f>"9.5882"</f>
        <v>9.5882</v>
      </c>
      <c r="C967" t="str">
        <f>"9.6288"</f>
        <v>9.6288</v>
      </c>
    </row>
    <row r="968" spans="1:3" x14ac:dyDescent="0.25">
      <c r="A968" t="str">
        <f>"24/05/2013"</f>
        <v>24/05/2013</v>
      </c>
      <c r="B968" t="str">
        <f>"9.5292"</f>
        <v>9.5292</v>
      </c>
      <c r="C968" t="str">
        <f>"9.5705"</f>
        <v>9.5705</v>
      </c>
    </row>
    <row r="969" spans="1:3" x14ac:dyDescent="0.25">
      <c r="A969" t="str">
        <f>"27/05/2013"</f>
        <v>27/05/2013</v>
      </c>
      <c r="B969" t="str">
        <f>"9.6223"</f>
        <v>9.6223</v>
      </c>
      <c r="C969" t="str">
        <f>"9.6643"</f>
        <v>9.6643</v>
      </c>
    </row>
    <row r="970" spans="1:3" x14ac:dyDescent="0.25">
      <c r="A970" t="str">
        <f>"28/05/2013"</f>
        <v>28/05/2013</v>
      </c>
      <c r="B970" t="str">
        <f>"9.6386"</f>
        <v>9.6386</v>
      </c>
      <c r="C970" t="str">
        <f>"9.6792"</f>
        <v>9.6792</v>
      </c>
    </row>
    <row r="971" spans="1:3" x14ac:dyDescent="0.25">
      <c r="A971" t="str">
        <f>"29/05/2013"</f>
        <v>29/05/2013</v>
      </c>
      <c r="B971" t="str">
        <f>"9.8145"</f>
        <v>9.8145</v>
      </c>
      <c r="C971" t="str">
        <f>"9.8547"</f>
        <v>9.8547</v>
      </c>
    </row>
    <row r="972" spans="1:3" x14ac:dyDescent="0.25">
      <c r="A972" t="str">
        <f>"30/05/2013"</f>
        <v>30/05/2013</v>
      </c>
      <c r="B972" t="str">
        <f>"9.7986"</f>
        <v>9.7986</v>
      </c>
      <c r="C972" t="str">
        <f>"9.8378"</f>
        <v>9.8378</v>
      </c>
    </row>
    <row r="973" spans="1:3" x14ac:dyDescent="0.25">
      <c r="A973" t="str">
        <f>"31/05/2013"</f>
        <v>31/05/2013</v>
      </c>
      <c r="B973" t="str">
        <f>"10.1198"</f>
        <v>10.1198</v>
      </c>
      <c r="C973" t="str">
        <f>"10.1645"</f>
        <v>10.1645</v>
      </c>
    </row>
    <row r="974" spans="1:3" x14ac:dyDescent="0.25">
      <c r="A974" t="str">
        <f>"03/06/2013"</f>
        <v>03/06/2013</v>
      </c>
      <c r="B974" t="str">
        <f>"10.067"</f>
        <v>10.067</v>
      </c>
      <c r="C974" t="str">
        <f>"10.1111"</f>
        <v>10.1111</v>
      </c>
    </row>
    <row r="975" spans="1:3" x14ac:dyDescent="0.25">
      <c r="A975" t="str">
        <f>"04/06/2013"</f>
        <v>04/06/2013</v>
      </c>
      <c r="B975" t="str">
        <f>"9.8302"</f>
        <v>9.8302</v>
      </c>
      <c r="C975" t="str">
        <f>"9.8731"</f>
        <v>9.8731</v>
      </c>
    </row>
    <row r="976" spans="1:3" x14ac:dyDescent="0.25">
      <c r="A976" t="str">
        <f>"05/06/2013"</f>
        <v>05/06/2013</v>
      </c>
      <c r="B976" t="str">
        <f>"9.8249"</f>
        <v>9.8249</v>
      </c>
      <c r="C976" t="str">
        <f>"9.8695"</f>
        <v>9.8695</v>
      </c>
    </row>
    <row r="977" spans="1:3" x14ac:dyDescent="0.25">
      <c r="A977" t="str">
        <f>"06/06/2013"</f>
        <v>06/06/2013</v>
      </c>
      <c r="B977" t="str">
        <f>"10.049"</f>
        <v>10.049</v>
      </c>
      <c r="C977" t="str">
        <f>"10.093"</f>
        <v>10.093</v>
      </c>
    </row>
    <row r="978" spans="1:3" x14ac:dyDescent="0.25">
      <c r="A978" t="str">
        <f>"07/06/2013"</f>
        <v>07/06/2013</v>
      </c>
      <c r="B978" t="str">
        <f>"9.8925"</f>
        <v>9.8925</v>
      </c>
      <c r="C978" t="str">
        <f>"9.9366"</f>
        <v>9.9366</v>
      </c>
    </row>
    <row r="979" spans="1:3" x14ac:dyDescent="0.25">
      <c r="A979" t="str">
        <f>"10/06/2013"</f>
        <v>10/06/2013</v>
      </c>
      <c r="B979" t="str">
        <f>"10.0827"</f>
        <v>10.0827</v>
      </c>
      <c r="C979" t="str">
        <f>"10.129"</f>
        <v>10.129</v>
      </c>
    </row>
    <row r="980" spans="1:3" x14ac:dyDescent="0.25">
      <c r="A980" t="str">
        <f>"11/06/2013"</f>
        <v>11/06/2013</v>
      </c>
      <c r="B980" t="str">
        <f>"10.2137"</f>
        <v>10.2137</v>
      </c>
      <c r="C980" t="str">
        <f>"10.2619"</f>
        <v>10.2619</v>
      </c>
    </row>
    <row r="981" spans="1:3" x14ac:dyDescent="0.25">
      <c r="A981" t="str">
        <f>"12/06/2013"</f>
        <v>12/06/2013</v>
      </c>
      <c r="B981" t="str">
        <f>"10.2019"</f>
        <v>10.2019</v>
      </c>
      <c r="C981" t="str">
        <f>"10.2519"</f>
        <v>10.2519</v>
      </c>
    </row>
    <row r="982" spans="1:3" x14ac:dyDescent="0.25">
      <c r="A982" t="str">
        <f>"13/06/2013"</f>
        <v>13/06/2013</v>
      </c>
      <c r="B982" t="str">
        <f>"10.1102"</f>
        <v>10.1102</v>
      </c>
      <c r="C982" t="str">
        <f>"10.1563"</f>
        <v>10.1563</v>
      </c>
    </row>
    <row r="983" spans="1:3" x14ac:dyDescent="0.25">
      <c r="A983" t="str">
        <f>"14/06/2013"</f>
        <v>14/06/2013</v>
      </c>
      <c r="B983" t="str">
        <f>"9.916"</f>
        <v>9.916</v>
      </c>
      <c r="C983" t="str">
        <f>"9.9598"</f>
        <v>9.9598</v>
      </c>
    </row>
    <row r="984" spans="1:3" x14ac:dyDescent="0.25">
      <c r="A984" t="str">
        <f>"17/06/2013"</f>
        <v>17/06/2013</v>
      </c>
      <c r="B984" t="str">
        <f>"9.9411"</f>
        <v>9.9411</v>
      </c>
      <c r="C984" t="str">
        <f>"9.984"</f>
        <v>9.984</v>
      </c>
    </row>
    <row r="985" spans="1:3" x14ac:dyDescent="0.25">
      <c r="A985" t="str">
        <f>"18/06/2013"</f>
        <v>18/06/2013</v>
      </c>
      <c r="B985" t="str">
        <f>"9.9925"</f>
        <v>9.9925</v>
      </c>
      <c r="C985" t="str">
        <f>"10.0356"</f>
        <v>10.0356</v>
      </c>
    </row>
    <row r="986" spans="1:3" x14ac:dyDescent="0.25">
      <c r="A986" t="str">
        <f>"19/06/2013"</f>
        <v>19/06/2013</v>
      </c>
      <c r="B986" t="str">
        <f>"10.015"</f>
        <v>10.015</v>
      </c>
      <c r="C986" t="str">
        <f>"10.0602"</f>
        <v>10.0602</v>
      </c>
    </row>
    <row r="987" spans="1:3" x14ac:dyDescent="0.25">
      <c r="A987" t="str">
        <f>"20/06/2013"</f>
        <v>20/06/2013</v>
      </c>
      <c r="B987" t="str">
        <f>"10.2176"</f>
        <v>10.2176</v>
      </c>
      <c r="C987" t="str">
        <f>"10.261"</f>
        <v>10.261</v>
      </c>
    </row>
    <row r="988" spans="1:3" x14ac:dyDescent="0.25">
      <c r="A988" t="str">
        <f>"21/06/2013"</f>
        <v>21/06/2013</v>
      </c>
      <c r="B988" t="str">
        <f>"10.2406"</f>
        <v>10.2406</v>
      </c>
      <c r="C988" t="str">
        <f>"10.285"</f>
        <v>10.285</v>
      </c>
    </row>
    <row r="989" spans="1:3" x14ac:dyDescent="0.25">
      <c r="A989" t="str">
        <f>"24/06/2013"</f>
        <v>24/06/2013</v>
      </c>
      <c r="B989" t="str">
        <f>"10.2504"</f>
        <v>10.2504</v>
      </c>
      <c r="C989" t="str">
        <f>"10.2937"</f>
        <v>10.2937</v>
      </c>
    </row>
    <row r="990" spans="1:3" x14ac:dyDescent="0.25">
      <c r="A990" t="str">
        <f>"25/06/2013"</f>
        <v>25/06/2013</v>
      </c>
      <c r="B990" t="str">
        <f>"10.085"</f>
        <v>10.085</v>
      </c>
      <c r="C990" t="str">
        <f>"10.1277"</f>
        <v>10.1277</v>
      </c>
    </row>
    <row r="991" spans="1:3" x14ac:dyDescent="0.25">
      <c r="A991" t="str">
        <f>"26/06/2013"</f>
        <v>26/06/2013</v>
      </c>
      <c r="B991" t="str">
        <f>"10.1231"</f>
        <v>10.1231</v>
      </c>
      <c r="C991" t="str">
        <f>"10.1686"</f>
        <v>10.1686</v>
      </c>
    </row>
    <row r="992" spans="1:3" x14ac:dyDescent="0.25">
      <c r="A992" t="str">
        <f>"27/06/2013"</f>
        <v>27/06/2013</v>
      </c>
      <c r="B992" t="str">
        <f>"10.1149"</f>
        <v>10.1149</v>
      </c>
      <c r="C992" t="str">
        <f>"10.1637"</f>
        <v>10.1637</v>
      </c>
    </row>
    <row r="993" spans="1:3" x14ac:dyDescent="0.25">
      <c r="A993" t="str">
        <f>"28/06/2013"</f>
        <v>28/06/2013</v>
      </c>
      <c r="B993" t="str">
        <f>"9.98"</f>
        <v>9.98</v>
      </c>
      <c r="C993" t="str">
        <f>"10.0254"</f>
        <v>10.0254</v>
      </c>
    </row>
    <row r="994" spans="1:3" x14ac:dyDescent="0.25">
      <c r="A994" t="str">
        <f>"01/07/2013"</f>
        <v>01/07/2013</v>
      </c>
      <c r="B994" t="str">
        <f>"9.8559"</f>
        <v>9.8559</v>
      </c>
      <c r="C994" t="str">
        <f>"9.901"</f>
        <v>9.901</v>
      </c>
    </row>
    <row r="995" spans="1:3" x14ac:dyDescent="0.25">
      <c r="A995" t="str">
        <f>"02/07/2013"</f>
        <v>02/07/2013</v>
      </c>
      <c r="B995" t="str">
        <f>"9.9305"</f>
        <v>9.9305</v>
      </c>
      <c r="C995" t="str">
        <f>"9.978"</f>
        <v>9.978</v>
      </c>
    </row>
    <row r="996" spans="1:3" x14ac:dyDescent="0.25">
      <c r="A996" t="str">
        <f>"03/07/2013"</f>
        <v>03/07/2013</v>
      </c>
      <c r="B996" t="str">
        <f>"9.9146"</f>
        <v>9.9146</v>
      </c>
      <c r="C996" t="str">
        <f>"9.9592"</f>
        <v>9.9592</v>
      </c>
    </row>
    <row r="997" spans="1:3" x14ac:dyDescent="0.25">
      <c r="A997" t="str">
        <f>"04/07/2013"</f>
        <v>04/07/2013</v>
      </c>
      <c r="B997" t="str">
        <f>"10.0855"</f>
        <v>10.0855</v>
      </c>
      <c r="C997" t="str">
        <f>"10.1313"</f>
        <v>10.1313</v>
      </c>
    </row>
    <row r="998" spans="1:3" x14ac:dyDescent="0.25">
      <c r="A998" t="str">
        <f>"05/07/2013"</f>
        <v>05/07/2013</v>
      </c>
      <c r="B998" t="str">
        <f>"10.0465"</f>
        <v>10.0465</v>
      </c>
      <c r="C998" t="str">
        <f>"10.0914"</f>
        <v>10.0914</v>
      </c>
    </row>
    <row r="999" spans="1:3" x14ac:dyDescent="0.25">
      <c r="A999" t="str">
        <f>"08/07/2013"</f>
        <v>08/07/2013</v>
      </c>
      <c r="B999" t="str">
        <f>"10.231"</f>
        <v>10.231</v>
      </c>
      <c r="C999" t="str">
        <f>"10.2808"</f>
        <v>10.2808</v>
      </c>
    </row>
    <row r="1000" spans="1:3" x14ac:dyDescent="0.25">
      <c r="A1000" t="str">
        <f>"09/07/2013"</f>
        <v>09/07/2013</v>
      </c>
      <c r="B1000" t="str">
        <f>"10.1716"</f>
        <v>10.1716</v>
      </c>
      <c r="C1000" t="str">
        <f>"10.2201"</f>
        <v>10.2201</v>
      </c>
    </row>
    <row r="1001" spans="1:3" x14ac:dyDescent="0.25">
      <c r="A1001" t="str">
        <f>"10/07/2013"</f>
        <v>10/07/2013</v>
      </c>
      <c r="B1001" t="str">
        <f>"10.0604"</f>
        <v>10.0604</v>
      </c>
      <c r="C1001" t="str">
        <f>"10.1073"</f>
        <v>10.1073</v>
      </c>
    </row>
    <row r="1002" spans="1:3" x14ac:dyDescent="0.25">
      <c r="A1002" t="str">
        <f>"11/07/2013"</f>
        <v>11/07/2013</v>
      </c>
      <c r="B1002" t="str">
        <f>"9.9097"</f>
        <v>9.9097</v>
      </c>
      <c r="C1002" t="str">
        <f>"9.9546"</f>
        <v>9.9546</v>
      </c>
    </row>
    <row r="1003" spans="1:3" x14ac:dyDescent="0.25">
      <c r="A1003" t="str">
        <f>"12/07/2013"</f>
        <v>12/07/2013</v>
      </c>
      <c r="B1003" t="str">
        <f>"9.9955"</f>
        <v>9.9955</v>
      </c>
      <c r="C1003" t="str">
        <f>"10.0406"</f>
        <v>10.0406</v>
      </c>
    </row>
    <row r="1004" spans="1:3" x14ac:dyDescent="0.25">
      <c r="A1004" t="str">
        <f>"15/07/2013"</f>
        <v>15/07/2013</v>
      </c>
      <c r="B1004" t="str">
        <f>"9.9915"</f>
        <v>9.9915</v>
      </c>
      <c r="C1004" t="str">
        <f>"10.0367"</f>
        <v>10.0367</v>
      </c>
    </row>
    <row r="1005" spans="1:3" x14ac:dyDescent="0.25">
      <c r="A1005" t="str">
        <f>"16/07/2013"</f>
        <v>16/07/2013</v>
      </c>
      <c r="B1005" t="str">
        <f>"9.89"</f>
        <v>9.89</v>
      </c>
      <c r="C1005" t="str">
        <f>"9.9373"</f>
        <v>9.9373</v>
      </c>
    </row>
    <row r="1006" spans="1:3" x14ac:dyDescent="0.25">
      <c r="A1006" t="str">
        <f>"17/07/2013"</f>
        <v>17/07/2013</v>
      </c>
      <c r="B1006" t="str">
        <f>"9.8374"</f>
        <v>9.8374</v>
      </c>
      <c r="C1006" t="str">
        <f>"9.8833"</f>
        <v>9.8833</v>
      </c>
    </row>
    <row r="1007" spans="1:3" x14ac:dyDescent="0.25">
      <c r="A1007" t="str">
        <f>"18/07/2013"</f>
        <v>18/07/2013</v>
      </c>
      <c r="B1007" t="str">
        <f>"9.8666"</f>
        <v>9.8666</v>
      </c>
      <c r="C1007" t="str">
        <f>"9.9115"</f>
        <v>9.9115</v>
      </c>
    </row>
    <row r="1008" spans="1:3" x14ac:dyDescent="0.25">
      <c r="A1008" t="str">
        <f>"19/07/2013"</f>
        <v>19/07/2013</v>
      </c>
      <c r="B1008" t="str">
        <f>"9.9061"</f>
        <v>9.9061</v>
      </c>
      <c r="C1008" t="str">
        <f>"9.95"</f>
        <v>9.95</v>
      </c>
    </row>
    <row r="1009" spans="1:3" x14ac:dyDescent="0.25">
      <c r="A1009" t="str">
        <f>"22/07/2013"</f>
        <v>22/07/2013</v>
      </c>
      <c r="B1009" t="str">
        <f>"9.8309"</f>
        <v>9.8309</v>
      </c>
      <c r="C1009" t="str">
        <f>"9.8747"</f>
        <v>9.8747</v>
      </c>
    </row>
    <row r="1010" spans="1:3" x14ac:dyDescent="0.25">
      <c r="A1010" t="str">
        <f>"23/07/2013"</f>
        <v>23/07/2013</v>
      </c>
      <c r="B1010" t="str">
        <f>"9.8046"</f>
        <v>9.8046</v>
      </c>
      <c r="C1010" t="str">
        <f>"9.8512"</f>
        <v>9.8512</v>
      </c>
    </row>
    <row r="1011" spans="1:3" x14ac:dyDescent="0.25">
      <c r="A1011" t="str">
        <f>"24/07/2013"</f>
        <v>24/07/2013</v>
      </c>
      <c r="B1011" t="str">
        <f>"9.7011"</f>
        <v>9.7011</v>
      </c>
      <c r="C1011" t="str">
        <f>"9.746"</f>
        <v>9.746</v>
      </c>
    </row>
    <row r="1012" spans="1:3" x14ac:dyDescent="0.25">
      <c r="A1012" t="str">
        <f>"25/07/2013"</f>
        <v>25/07/2013</v>
      </c>
      <c r="B1012" t="str">
        <f>"9.7827"</f>
        <v>9.7827</v>
      </c>
      <c r="C1012" t="str">
        <f>"9.8263"</f>
        <v>9.8263</v>
      </c>
    </row>
    <row r="1013" spans="1:3" x14ac:dyDescent="0.25">
      <c r="A1013" t="str">
        <f>"26/07/2013"</f>
        <v>26/07/2013</v>
      </c>
      <c r="B1013" t="str">
        <f>"9.7051"</f>
        <v>9.7051</v>
      </c>
      <c r="C1013" t="str">
        <f>"9.7493"</f>
        <v>9.7493</v>
      </c>
    </row>
    <row r="1014" spans="1:3" x14ac:dyDescent="0.25">
      <c r="A1014" t="str">
        <f>"29/07/2013"</f>
        <v>29/07/2013</v>
      </c>
      <c r="B1014" t="str">
        <f>"9.7778"</f>
        <v>9.7778</v>
      </c>
      <c r="C1014" t="str">
        <f>"9.8212"</f>
        <v>9.8212</v>
      </c>
    </row>
    <row r="1015" spans="1:3" x14ac:dyDescent="0.25">
      <c r="A1015" t="str">
        <f>"30/07/2013"</f>
        <v>30/07/2013</v>
      </c>
      <c r="B1015" t="str">
        <f>"9.8251"</f>
        <v>9.8251</v>
      </c>
      <c r="C1015" t="str">
        <f>"9.8673"</f>
        <v>9.8673</v>
      </c>
    </row>
    <row r="1016" spans="1:3" x14ac:dyDescent="0.25">
      <c r="A1016" t="str">
        <f>"31/07/2013"</f>
        <v>31/07/2013</v>
      </c>
      <c r="B1016" t="str">
        <f>"9.8313"</f>
        <v>9.8313</v>
      </c>
      <c r="C1016" t="str">
        <f>"9.8775"</f>
        <v>9.8775</v>
      </c>
    </row>
    <row r="1017" spans="1:3" x14ac:dyDescent="0.25">
      <c r="A1017" t="str">
        <f>"01/08/2013"</f>
        <v>01/08/2013</v>
      </c>
      <c r="B1017" t="str">
        <f>"9.8778"</f>
        <v>9.8778</v>
      </c>
      <c r="C1017" t="str">
        <f>"9.9224"</f>
        <v>9.9224</v>
      </c>
    </row>
    <row r="1018" spans="1:3" x14ac:dyDescent="0.25">
      <c r="A1018" t="str">
        <f>"02/08/2013"</f>
        <v>02/08/2013</v>
      </c>
      <c r="B1018" t="str">
        <f>"9.978"</f>
        <v>9.978</v>
      </c>
      <c r="C1018" t="str">
        <f>"10.0215"</f>
        <v>10.0215</v>
      </c>
    </row>
    <row r="1019" spans="1:3" x14ac:dyDescent="0.25">
      <c r="A1019" t="str">
        <f>"05/08/2013"</f>
        <v>05/08/2013</v>
      </c>
      <c r="B1019" t="str">
        <f>"9.8671"</f>
        <v>9.8671</v>
      </c>
      <c r="C1019" t="str">
        <f>"9.9109"</f>
        <v>9.9109</v>
      </c>
    </row>
    <row r="1020" spans="1:3" x14ac:dyDescent="0.25">
      <c r="A1020" t="str">
        <f>"06/08/2013"</f>
        <v>06/08/2013</v>
      </c>
      <c r="B1020" t="str">
        <f>"9.84"</f>
        <v>9.84</v>
      </c>
      <c r="C1020" t="str">
        <f>"9.8863"</f>
        <v>9.8863</v>
      </c>
    </row>
    <row r="1021" spans="1:3" x14ac:dyDescent="0.25">
      <c r="A1021" t="str">
        <f>"07/08/2013"</f>
        <v>07/08/2013</v>
      </c>
      <c r="B1021" t="str">
        <f>"9.926"</f>
        <v>9.926</v>
      </c>
      <c r="C1021" t="str">
        <f>"9.9717"</f>
        <v>9.9717</v>
      </c>
    </row>
    <row r="1022" spans="1:3" x14ac:dyDescent="0.25">
      <c r="A1022" t="str">
        <f>"08/08/2013"</f>
        <v>08/08/2013</v>
      </c>
      <c r="B1022" t="str">
        <f>"9.9592"</f>
        <v>9.9592</v>
      </c>
      <c r="C1022" t="str">
        <f>"10.0032"</f>
        <v>10.0032</v>
      </c>
    </row>
    <row r="1023" spans="1:3" x14ac:dyDescent="0.25">
      <c r="A1023" t="str">
        <f>"12/08/2013"</f>
        <v>12/08/2013</v>
      </c>
      <c r="B1023" t="str">
        <f>"9.8139"</f>
        <v>9.8139</v>
      </c>
      <c r="C1023" t="str">
        <f>"9.8578"</f>
        <v>9.8578</v>
      </c>
    </row>
    <row r="1024" spans="1:3" x14ac:dyDescent="0.25">
      <c r="A1024" t="str">
        <f>"13/08/2013"</f>
        <v>13/08/2013</v>
      </c>
      <c r="B1024" t="str">
        <f>"9.8874"</f>
        <v>9.8874</v>
      </c>
      <c r="C1024" t="str">
        <f>"9.9342"</f>
        <v>9.9342</v>
      </c>
    </row>
    <row r="1025" spans="1:3" x14ac:dyDescent="0.25">
      <c r="A1025" t="str">
        <f>"14/08/2013"</f>
        <v>14/08/2013</v>
      </c>
      <c r="B1025" t="str">
        <f>"9.9892"</f>
        <v>9.9892</v>
      </c>
      <c r="C1025" t="str">
        <f>"10.0346"</f>
        <v>10.0346</v>
      </c>
    </row>
    <row r="1026" spans="1:3" x14ac:dyDescent="0.25">
      <c r="A1026" t="str">
        <f>"16/08/2013"</f>
        <v>16/08/2013</v>
      </c>
      <c r="B1026" t="str">
        <f>"9.9805"</f>
        <v>9.9805</v>
      </c>
      <c r="C1026" t="str">
        <f>"10.0251"</f>
        <v>10.0251</v>
      </c>
    </row>
    <row r="1027" spans="1:3" x14ac:dyDescent="0.25">
      <c r="A1027" t="str">
        <f>"19/08/2013"</f>
        <v>19/08/2013</v>
      </c>
      <c r="B1027" t="str">
        <f>"10.098"</f>
        <v>10.098</v>
      </c>
      <c r="C1027" t="str">
        <f>"10.1428"</f>
        <v>10.1428</v>
      </c>
    </row>
    <row r="1028" spans="1:3" x14ac:dyDescent="0.25">
      <c r="A1028" t="str">
        <f>"20/08/2013"</f>
        <v>20/08/2013</v>
      </c>
      <c r="B1028" t="str">
        <f>"10.2194"</f>
        <v>10.2194</v>
      </c>
      <c r="C1028" t="str">
        <f>"10.2679"</f>
        <v>10.2679</v>
      </c>
    </row>
    <row r="1029" spans="1:3" x14ac:dyDescent="0.25">
      <c r="A1029" t="str">
        <f>"21/08/2013"</f>
        <v>21/08/2013</v>
      </c>
      <c r="B1029" t="str">
        <f>"10.1596"</f>
        <v>10.1596</v>
      </c>
      <c r="C1029" t="str">
        <f>"10.2071"</f>
        <v>10.2071</v>
      </c>
    </row>
    <row r="1030" spans="1:3" x14ac:dyDescent="0.25">
      <c r="A1030" t="str">
        <f>"22/08/2013"</f>
        <v>22/08/2013</v>
      </c>
      <c r="B1030" t="str">
        <f>"10.3904"</f>
        <v>10.3904</v>
      </c>
      <c r="C1030" t="str">
        <f>"10.4372"</f>
        <v>10.4372</v>
      </c>
    </row>
    <row r="1031" spans="1:3" x14ac:dyDescent="0.25">
      <c r="A1031" t="str">
        <f>"23/08/2013"</f>
        <v>23/08/2013</v>
      </c>
      <c r="B1031" t="str">
        <f>"10.2702"</f>
        <v>10.2702</v>
      </c>
      <c r="C1031" t="str">
        <f>"10.3188"</f>
        <v>10.3188</v>
      </c>
    </row>
    <row r="1032" spans="1:3" x14ac:dyDescent="0.25">
      <c r="A1032" t="str">
        <f>"26/08/2013"</f>
        <v>26/08/2013</v>
      </c>
      <c r="B1032" t="str">
        <f>"10.2427"</f>
        <v>10.2427</v>
      </c>
      <c r="C1032" t="str">
        <f>"10.2915"</f>
        <v>10.2915</v>
      </c>
    </row>
    <row r="1033" spans="1:3" x14ac:dyDescent="0.25">
      <c r="A1033" t="str">
        <f>"27/08/2013"</f>
        <v>27/08/2013</v>
      </c>
      <c r="B1033" t="str">
        <f>"10.3657"</f>
        <v>10.3657</v>
      </c>
      <c r="C1033" t="str">
        <f>"10.4181"</f>
        <v>10.4181</v>
      </c>
    </row>
    <row r="1034" spans="1:3" x14ac:dyDescent="0.25">
      <c r="A1034" t="str">
        <f>"28/08/2013"</f>
        <v>28/08/2013</v>
      </c>
      <c r="B1034" t="str">
        <f>"10.4852"</f>
        <v>10.4852</v>
      </c>
      <c r="C1034" t="str">
        <f>"10.5392"</f>
        <v>10.5392</v>
      </c>
    </row>
    <row r="1035" spans="1:3" x14ac:dyDescent="0.25">
      <c r="A1035" t="str">
        <f>"29/08/2013"</f>
        <v>29/08/2013</v>
      </c>
      <c r="B1035" t="str">
        <f>"10.3073"</f>
        <v>10.3073</v>
      </c>
      <c r="C1035" t="str">
        <f>"10.3615"</f>
        <v>10.3615</v>
      </c>
    </row>
    <row r="1036" spans="1:3" x14ac:dyDescent="0.25">
      <c r="A1036" t="str">
        <f>"30/08/2013"</f>
        <v>30/08/2013</v>
      </c>
      <c r="B1036" t="str">
        <f>"10.3504"</f>
        <v>10.3504</v>
      </c>
      <c r="C1036" t="str">
        <f>"10.3978"</f>
        <v>10.3978</v>
      </c>
    </row>
    <row r="1037" spans="1:3" x14ac:dyDescent="0.25">
      <c r="A1037" t="str">
        <f>"02/09/2013"</f>
        <v>02/09/2013</v>
      </c>
      <c r="B1037" t="str">
        <f>"10.2426"</f>
        <v>10.2426</v>
      </c>
      <c r="C1037" t="str">
        <f>"10.2907"</f>
        <v>10.2907</v>
      </c>
    </row>
    <row r="1038" spans="1:3" x14ac:dyDescent="0.25">
      <c r="A1038" t="str">
        <f>"03/09/2013"</f>
        <v>03/09/2013</v>
      </c>
      <c r="B1038" t="str">
        <f>"10.2799"</f>
        <v>10.2799</v>
      </c>
      <c r="C1038" t="str">
        <f>"10.3261"</f>
        <v>10.3261</v>
      </c>
    </row>
    <row r="1039" spans="1:3" x14ac:dyDescent="0.25">
      <c r="A1039" t="str">
        <f>"04/09/2013"</f>
        <v>04/09/2013</v>
      </c>
      <c r="B1039" t="str">
        <f>"10.3405"</f>
        <v>10.3405</v>
      </c>
      <c r="C1039" t="str">
        <f>"10.3901"</f>
        <v>10.3901</v>
      </c>
    </row>
    <row r="1040" spans="1:3" x14ac:dyDescent="0.25">
      <c r="A1040" t="str">
        <f>"05/09/2013"</f>
        <v>05/09/2013</v>
      </c>
      <c r="B1040" t="str">
        <f>"10.2594"</f>
        <v>10.2594</v>
      </c>
      <c r="C1040" t="str">
        <f>"10.3065"</f>
        <v>10.3065</v>
      </c>
    </row>
    <row r="1041" spans="1:3" x14ac:dyDescent="0.25">
      <c r="A1041" t="str">
        <f>"06/09/2013"</f>
        <v>06/09/2013</v>
      </c>
      <c r="B1041" t="str">
        <f>"10.2237"</f>
        <v>10.2237</v>
      </c>
      <c r="C1041" t="str">
        <f>"10.2698"</f>
        <v>10.2698</v>
      </c>
    </row>
    <row r="1042" spans="1:3" x14ac:dyDescent="0.25">
      <c r="A1042" t="str">
        <f>"10/09/2013"</f>
        <v>10/09/2013</v>
      </c>
      <c r="B1042" t="str">
        <f>"9.9559"</f>
        <v>9.9559</v>
      </c>
      <c r="C1042" t="str">
        <f>"10.00"</f>
        <v>10.00</v>
      </c>
    </row>
    <row r="1043" spans="1:3" x14ac:dyDescent="0.25">
      <c r="A1043" t="str">
        <f>"11/09/2013"</f>
        <v>11/09/2013</v>
      </c>
      <c r="B1043" t="str">
        <f>"10.0077"</f>
        <v>10.0077</v>
      </c>
      <c r="C1043" t="str">
        <f>"10.0561"</f>
        <v>10.0561</v>
      </c>
    </row>
    <row r="1044" spans="1:3" x14ac:dyDescent="0.25">
      <c r="A1044" t="str">
        <f>"12/09/2013"</f>
        <v>12/09/2013</v>
      </c>
      <c r="B1044" t="str">
        <f>"9.9005"</f>
        <v>9.9005</v>
      </c>
      <c r="C1044" t="str">
        <f>"9.9467"</f>
        <v>9.9467</v>
      </c>
    </row>
    <row r="1045" spans="1:3" x14ac:dyDescent="0.25">
      <c r="A1045" t="str">
        <f>"13/09/2013"</f>
        <v>13/09/2013</v>
      </c>
      <c r="B1045" t="str">
        <f>"9.9769"</f>
        <v>9.9769</v>
      </c>
      <c r="C1045" t="str">
        <f>"10.0203"</f>
        <v>10.0203</v>
      </c>
    </row>
    <row r="1046" spans="1:3" x14ac:dyDescent="0.25">
      <c r="A1046" t="str">
        <f>"16/09/2013"</f>
        <v>16/09/2013</v>
      </c>
      <c r="B1046" t="str">
        <f>"9.8745"</f>
        <v>9.8745</v>
      </c>
      <c r="C1046" t="str">
        <f>"9.9179"</f>
        <v>9.9179</v>
      </c>
    </row>
    <row r="1047" spans="1:3" x14ac:dyDescent="0.25">
      <c r="A1047" t="str">
        <f>"17/09/2013"</f>
        <v>17/09/2013</v>
      </c>
      <c r="B1047" t="str">
        <f>"9.8231"</f>
        <v>9.8231</v>
      </c>
      <c r="C1047" t="str">
        <f>"9.8649"</f>
        <v>9.8649</v>
      </c>
    </row>
    <row r="1048" spans="1:3" x14ac:dyDescent="0.25">
      <c r="A1048" t="str">
        <f>"18/09/2013"</f>
        <v>18/09/2013</v>
      </c>
      <c r="B1048" t="str">
        <f>"9.8123"</f>
        <v>9.8123</v>
      </c>
      <c r="C1048" t="str">
        <f>"9.8565"</f>
        <v>9.8565</v>
      </c>
    </row>
    <row r="1049" spans="1:3" x14ac:dyDescent="0.25">
      <c r="A1049" t="str">
        <f>"19/09/2013"</f>
        <v>19/09/2013</v>
      </c>
      <c r="B1049" t="str">
        <f>"9.5733"</f>
        <v>9.5733</v>
      </c>
      <c r="C1049" t="str">
        <f>"9.6163"</f>
        <v>9.6163</v>
      </c>
    </row>
    <row r="1050" spans="1:3" x14ac:dyDescent="0.25">
      <c r="A1050" t="str">
        <f>"20/09/2013"</f>
        <v>20/09/2013</v>
      </c>
      <c r="B1050" t="str">
        <f>"9.7046"</f>
        <v>9.7046</v>
      </c>
      <c r="C1050" t="str">
        <f>"9.746"</f>
        <v>9.746</v>
      </c>
    </row>
    <row r="1051" spans="1:3" x14ac:dyDescent="0.25">
      <c r="A1051" t="str">
        <f>"23/09/2013"</f>
        <v>23/09/2013</v>
      </c>
      <c r="B1051" t="str">
        <f>"9.8679"</f>
        <v>9.8679</v>
      </c>
      <c r="C1051" t="str">
        <f>"9.9098"</f>
        <v>9.9098</v>
      </c>
    </row>
    <row r="1052" spans="1:3" x14ac:dyDescent="0.25">
      <c r="A1052" t="str">
        <f>"24/09/2013"</f>
        <v>24/09/2013</v>
      </c>
      <c r="B1052" t="str">
        <f>"9.8511"</f>
        <v>9.8511</v>
      </c>
      <c r="C1052" t="str">
        <f>"9.8964"</f>
        <v>9.8964</v>
      </c>
    </row>
    <row r="1053" spans="1:3" x14ac:dyDescent="0.25">
      <c r="A1053" t="str">
        <f>"25/09/2013"</f>
        <v>25/09/2013</v>
      </c>
      <c r="B1053" t="str">
        <f>"9.8785"</f>
        <v>9.8785</v>
      </c>
      <c r="C1053" t="str">
        <f>"9.9241"</f>
        <v>9.9241</v>
      </c>
    </row>
    <row r="1054" spans="1:3" x14ac:dyDescent="0.25">
      <c r="A1054" t="str">
        <f>"26/09/2013"</f>
        <v>26/09/2013</v>
      </c>
      <c r="B1054" t="str">
        <f>"9.9674"</f>
        <v>9.9674</v>
      </c>
      <c r="C1054" t="str">
        <f>"10.0126"</f>
        <v>10.0126</v>
      </c>
    </row>
    <row r="1055" spans="1:3" x14ac:dyDescent="0.25">
      <c r="A1055" t="str">
        <f>"27/09/2013"</f>
        <v>27/09/2013</v>
      </c>
      <c r="B1055" t="str">
        <f>"10.0082"</f>
        <v>10.0082</v>
      </c>
      <c r="C1055" t="str">
        <f>"10.0544"</f>
        <v>10.0544</v>
      </c>
    </row>
    <row r="1056" spans="1:3" x14ac:dyDescent="0.25">
      <c r="A1056" t="str">
        <f>"30/09/2013"</f>
        <v>30/09/2013</v>
      </c>
      <c r="B1056" t="str">
        <f>"10.1275"</f>
        <v>10.1275</v>
      </c>
      <c r="C1056" t="str">
        <f>"10.1732"</f>
        <v>10.1732</v>
      </c>
    </row>
    <row r="1057" spans="1:3" x14ac:dyDescent="0.25">
      <c r="A1057" t="str">
        <f>"01/10/2013"</f>
        <v>01/10/2013</v>
      </c>
      <c r="B1057" t="str">
        <f>"10.0404"</f>
        <v>10.0404</v>
      </c>
      <c r="C1057" t="str">
        <f>"10.0886"</f>
        <v>10.0886</v>
      </c>
    </row>
    <row r="1058" spans="1:3" x14ac:dyDescent="0.25">
      <c r="A1058" t="str">
        <f>"03/10/2013"</f>
        <v>03/10/2013</v>
      </c>
      <c r="B1058" t="str">
        <f>"10.03"</f>
        <v>10.03</v>
      </c>
      <c r="C1058" t="str">
        <f>"10.0759"</f>
        <v>10.0759</v>
      </c>
    </row>
    <row r="1059" spans="1:3" x14ac:dyDescent="0.25">
      <c r="A1059" t="str">
        <f>"04/10/2013"</f>
        <v>04/10/2013</v>
      </c>
      <c r="B1059" t="str">
        <f>"10.0376"</f>
        <v>10.0376</v>
      </c>
      <c r="C1059" t="str">
        <f>"10.083"</f>
        <v>10.083</v>
      </c>
    </row>
    <row r="1060" spans="1:3" x14ac:dyDescent="0.25">
      <c r="A1060" t="str">
        <f>"07/10/2013"</f>
        <v>07/10/2013</v>
      </c>
      <c r="B1060" t="str">
        <f>"10.0155"</f>
        <v>10.0155</v>
      </c>
      <c r="C1060" t="str">
        <f>"10.0608"</f>
        <v>10.0608</v>
      </c>
    </row>
    <row r="1061" spans="1:3" x14ac:dyDescent="0.25">
      <c r="A1061" t="str">
        <f>"08/10/2013"</f>
        <v>08/10/2013</v>
      </c>
      <c r="B1061" t="str">
        <f>"10.0103"</f>
        <v>10.0103</v>
      </c>
      <c r="C1061" t="str">
        <f>"10.0601"</f>
        <v>10.0601</v>
      </c>
    </row>
    <row r="1062" spans="1:3" x14ac:dyDescent="0.25">
      <c r="A1062" t="str">
        <f>"09/10/2013"</f>
        <v>09/10/2013</v>
      </c>
      <c r="B1062" t="str">
        <f>"9.9952"</f>
        <v>9.9952</v>
      </c>
      <c r="C1062" t="str">
        <f>"10.0433"</f>
        <v>10.0433</v>
      </c>
    </row>
    <row r="1063" spans="1:3" x14ac:dyDescent="0.25">
      <c r="A1063" t="str">
        <f>"10/10/2013"</f>
        <v>10/10/2013</v>
      </c>
      <c r="B1063" t="str">
        <f>"9.9817"</f>
        <v>9.9817</v>
      </c>
      <c r="C1063" t="str">
        <f>"10.0261"</f>
        <v>10.0261</v>
      </c>
    </row>
    <row r="1064" spans="1:3" x14ac:dyDescent="0.25">
      <c r="A1064" t="str">
        <f>"11/10/2013"</f>
        <v>11/10/2013</v>
      </c>
      <c r="B1064" t="str">
        <f>"9.8975"</f>
        <v>9.8975</v>
      </c>
      <c r="C1064" t="str">
        <f>"9.9418"</f>
        <v>9.9418</v>
      </c>
    </row>
    <row r="1065" spans="1:3" x14ac:dyDescent="0.25">
      <c r="A1065" t="str">
        <f>"14/10/2013"</f>
        <v>14/10/2013</v>
      </c>
      <c r="B1065" t="str">
        <f>"9.916"</f>
        <v>9.916</v>
      </c>
      <c r="C1065" t="str">
        <f>"9.9613"</f>
        <v>9.9613</v>
      </c>
    </row>
    <row r="1066" spans="1:3" x14ac:dyDescent="0.25">
      <c r="A1066" t="str">
        <f>"15/10/2013"</f>
        <v>15/10/2013</v>
      </c>
      <c r="B1066" t="str">
        <f>"9.907"</f>
        <v>9.907</v>
      </c>
      <c r="C1066" t="str">
        <f>"9.9551"</f>
        <v>9.9551</v>
      </c>
    </row>
    <row r="1067" spans="1:3" x14ac:dyDescent="0.25">
      <c r="A1067" t="str">
        <f>"17/10/2013"</f>
        <v>17/10/2013</v>
      </c>
      <c r="B1067" t="str">
        <f>"9.8691"</f>
        <v>9.8691</v>
      </c>
      <c r="C1067" t="str">
        <f>"9.9141"</f>
        <v>9.9141</v>
      </c>
    </row>
    <row r="1068" spans="1:3" x14ac:dyDescent="0.25">
      <c r="A1068" t="str">
        <f>"18/10/2013"</f>
        <v>18/10/2013</v>
      </c>
      <c r="B1068" t="str">
        <f>"9.8308"</f>
        <v>9.8308</v>
      </c>
      <c r="C1068" t="str">
        <f>"9.8753"</f>
        <v>9.8753</v>
      </c>
    </row>
    <row r="1069" spans="1:3" x14ac:dyDescent="0.25">
      <c r="A1069" t="str">
        <f>"21/10/2013"</f>
        <v>21/10/2013</v>
      </c>
      <c r="B1069" t="str">
        <f>"9.7943"</f>
        <v>9.7943</v>
      </c>
      <c r="C1069" t="str">
        <f>"9.8392"</f>
        <v>9.8392</v>
      </c>
    </row>
    <row r="1070" spans="1:3" x14ac:dyDescent="0.25">
      <c r="A1070" t="str">
        <f>"22/10/2013"</f>
        <v>22/10/2013</v>
      </c>
      <c r="B1070" t="str">
        <f>"9.8468"</f>
        <v>9.8468</v>
      </c>
      <c r="C1070" t="str">
        <f>"9.8947"</f>
        <v>9.8947</v>
      </c>
    </row>
    <row r="1071" spans="1:3" x14ac:dyDescent="0.25">
      <c r="A1071" t="str">
        <f>"23/10/2013"</f>
        <v>23/10/2013</v>
      </c>
      <c r="B1071" t="str">
        <f>"9.7718"</f>
        <v>9.7718</v>
      </c>
      <c r="C1071" t="str">
        <f>"9.8177"</f>
        <v>9.8177</v>
      </c>
    </row>
    <row r="1072" spans="1:3" x14ac:dyDescent="0.25">
      <c r="A1072" t="str">
        <f>"24/10/2013"</f>
        <v>24/10/2013</v>
      </c>
      <c r="B1072" t="str">
        <f>"9.7938"</f>
        <v>9.7938</v>
      </c>
      <c r="C1072" t="str">
        <f>"9.8381"</f>
        <v>9.8381</v>
      </c>
    </row>
    <row r="1073" spans="1:3" x14ac:dyDescent="0.25">
      <c r="A1073" t="str">
        <f>"25/10/2013"</f>
        <v>25/10/2013</v>
      </c>
      <c r="B1073" t="str">
        <f>"9.7723"</f>
        <v>9.7723</v>
      </c>
      <c r="C1073" t="str">
        <f>"9.8181"</f>
        <v>9.8181</v>
      </c>
    </row>
    <row r="1074" spans="1:3" x14ac:dyDescent="0.25">
      <c r="A1074" t="str">
        <f>"28/10/2013"</f>
        <v>28/10/2013</v>
      </c>
      <c r="B1074" t="str">
        <f>"9.82"</f>
        <v>9.82</v>
      </c>
      <c r="C1074" t="str">
        <f>"9.8641"</f>
        <v>9.8641</v>
      </c>
    </row>
    <row r="1075" spans="1:3" x14ac:dyDescent="0.25">
      <c r="A1075" t="str">
        <f>"29/10/2013"</f>
        <v>29/10/2013</v>
      </c>
      <c r="B1075" t="str">
        <f>"9.8573"</f>
        <v>9.8573</v>
      </c>
      <c r="C1075" t="str">
        <f>"9.9005"</f>
        <v>9.9005</v>
      </c>
    </row>
    <row r="1076" spans="1:3" x14ac:dyDescent="0.25">
      <c r="A1076" t="str">
        <f>"30/10/2013"</f>
        <v>30/10/2013</v>
      </c>
      <c r="B1076" t="str">
        <f>"9.8989"</f>
        <v>9.8989</v>
      </c>
      <c r="C1076" t="str">
        <f>"9.9402"</f>
        <v>9.9402</v>
      </c>
    </row>
    <row r="1077" spans="1:3" x14ac:dyDescent="0.25">
      <c r="A1077" t="str">
        <f>"31/10/2013"</f>
        <v>31/10/2013</v>
      </c>
      <c r="B1077" t="str">
        <f>"9.9555"</f>
        <v>9.9555</v>
      </c>
      <c r="C1077" t="str">
        <f>"9.9992"</f>
        <v>9.9992</v>
      </c>
    </row>
    <row r="1078" spans="1:3" x14ac:dyDescent="0.25">
      <c r="A1078" t="str">
        <f>"01/11/2013"</f>
        <v>01/11/2013</v>
      </c>
      <c r="B1078" t="str">
        <f>"10.0596"</f>
        <v>10.0596</v>
      </c>
      <c r="C1078" t="str">
        <f>"10.1027"</f>
        <v>10.1027</v>
      </c>
    </row>
    <row r="1079" spans="1:3" x14ac:dyDescent="0.25">
      <c r="A1079" t="str">
        <f>"05/11/2013"</f>
        <v>05/11/2013</v>
      </c>
      <c r="B1079" t="str">
        <f>"10.1363"</f>
        <v>10.1363</v>
      </c>
      <c r="C1079" t="str">
        <f>"10.1806"</f>
        <v>10.1806</v>
      </c>
    </row>
    <row r="1080" spans="1:3" x14ac:dyDescent="0.25">
      <c r="A1080" t="str">
        <f>"06/11/2013"</f>
        <v>06/11/2013</v>
      </c>
      <c r="B1080" t="str">
        <f>"10.2262"</f>
        <v>10.2262</v>
      </c>
      <c r="C1080" t="str">
        <f>"10.2737"</f>
        <v>10.2737</v>
      </c>
    </row>
    <row r="1081" spans="1:3" x14ac:dyDescent="0.25">
      <c r="A1081" t="str">
        <f>"07/11/2013"</f>
        <v>07/11/2013</v>
      </c>
      <c r="B1081" t="str">
        <f>"10.2633"</f>
        <v>10.2633</v>
      </c>
      <c r="C1081" t="str">
        <f>"10.3097"</f>
        <v>10.3097</v>
      </c>
    </row>
    <row r="1082" spans="1:3" x14ac:dyDescent="0.25">
      <c r="A1082" t="str">
        <f>"08/11/2013"</f>
        <v>08/11/2013</v>
      </c>
      <c r="B1082" t="str">
        <f>"10.2765"</f>
        <v>10.2765</v>
      </c>
      <c r="C1082" t="str">
        <f>"10.321"</f>
        <v>10.321</v>
      </c>
    </row>
    <row r="1083" spans="1:3" x14ac:dyDescent="0.25">
      <c r="A1083" t="str">
        <f>"11/11/2013"</f>
        <v>11/11/2013</v>
      </c>
      <c r="B1083" t="str">
        <f>"10.3341"</f>
        <v>10.3341</v>
      </c>
      <c r="C1083" t="str">
        <f>"10.3793"</f>
        <v>10.3793</v>
      </c>
    </row>
    <row r="1084" spans="1:3" x14ac:dyDescent="0.25">
      <c r="A1084" t="str">
        <f>"12/11/2013"</f>
        <v>12/11/2013</v>
      </c>
      <c r="B1084" t="str">
        <f>"10.386"</f>
        <v>10.386</v>
      </c>
      <c r="C1084" t="str">
        <f>"10.4305"</f>
        <v>10.4305</v>
      </c>
    </row>
    <row r="1085" spans="1:3" x14ac:dyDescent="0.25">
      <c r="A1085" t="str">
        <f>"13/11/2013"</f>
        <v>13/11/2013</v>
      </c>
      <c r="B1085" t="str">
        <f>"10.3423"</f>
        <v>10.3423</v>
      </c>
      <c r="C1085" t="str">
        <f>"10.3924"</f>
        <v>10.3924</v>
      </c>
    </row>
    <row r="1086" spans="1:3" x14ac:dyDescent="0.25">
      <c r="A1086" t="str">
        <f>"14/11/2013"</f>
        <v>14/11/2013</v>
      </c>
      <c r="B1086" t="str">
        <f>"10.2984"</f>
        <v>10.2984</v>
      </c>
      <c r="C1086" t="str">
        <f>"10.3467"</f>
        <v>10.3467</v>
      </c>
    </row>
    <row r="1087" spans="1:3" x14ac:dyDescent="0.25">
      <c r="A1087" t="str">
        <f>"18/11/2013"</f>
        <v>18/11/2013</v>
      </c>
      <c r="B1087" t="str">
        <f>"10.1862"</f>
        <v>10.1862</v>
      </c>
      <c r="C1087" t="str">
        <f>"10.2307"</f>
        <v>10.2307</v>
      </c>
    </row>
    <row r="1088" spans="1:3" x14ac:dyDescent="0.25">
      <c r="A1088" t="str">
        <f>"19/11/2013"</f>
        <v>19/11/2013</v>
      </c>
      <c r="B1088" t="str">
        <f>"10.1496"</f>
        <v>10.1496</v>
      </c>
      <c r="C1088" t="str">
        <f>"10.1948"</f>
        <v>10.1948</v>
      </c>
    </row>
    <row r="1089" spans="1:3" x14ac:dyDescent="0.25">
      <c r="A1089" t="str">
        <f>"20/11/2013"</f>
        <v>20/11/2013</v>
      </c>
      <c r="B1089" t="str">
        <f>"10.2022"</f>
        <v>10.2022</v>
      </c>
      <c r="C1089" t="str">
        <f>"10.2508"</f>
        <v>10.2508</v>
      </c>
    </row>
    <row r="1090" spans="1:3" x14ac:dyDescent="0.25">
      <c r="A1090" t="str">
        <f>"21/11/2013"</f>
        <v>21/11/2013</v>
      </c>
      <c r="B1090" t="str">
        <f>"10.1722"</f>
        <v>10.1722</v>
      </c>
      <c r="C1090" t="str">
        <f>"10.2191"</f>
        <v>10.2191</v>
      </c>
    </row>
    <row r="1091" spans="1:3" x14ac:dyDescent="0.25">
      <c r="A1091" t="str">
        <f>"22/11/2013"</f>
        <v>22/11/2013</v>
      </c>
      <c r="B1091" t="str">
        <f>"10.1463"</f>
        <v>10.1463</v>
      </c>
      <c r="C1091" t="str">
        <f>"10.195"</f>
        <v>10.195</v>
      </c>
    </row>
    <row r="1092" spans="1:3" x14ac:dyDescent="0.25">
      <c r="A1092" t="str">
        <f>"25/11/2013"</f>
        <v>25/11/2013</v>
      </c>
      <c r="B1092" t="str">
        <f>"10.091"</f>
        <v>10.091</v>
      </c>
      <c r="C1092" t="str">
        <f>"10.1638"</f>
        <v>10.1638</v>
      </c>
    </row>
    <row r="1093" spans="1:3" x14ac:dyDescent="0.25">
      <c r="A1093" t="str">
        <f>"26/11/2013"</f>
        <v>26/11/2013</v>
      </c>
      <c r="B1093" t="str">
        <f>"10.0978"</f>
        <v>10.0978</v>
      </c>
      <c r="C1093" t="str">
        <f>"10.1515"</f>
        <v>10.1515</v>
      </c>
    </row>
    <row r="1094" spans="1:3" x14ac:dyDescent="0.25">
      <c r="A1094" t="str">
        <f>"27/11/2013"</f>
        <v>27/11/2013</v>
      </c>
      <c r="B1094" t="str">
        <f>"10.16"</f>
        <v>10.16</v>
      </c>
      <c r="C1094" t="str">
        <f>"10.2102"</f>
        <v>10.2102</v>
      </c>
    </row>
    <row r="1095" spans="1:3" x14ac:dyDescent="0.25">
      <c r="A1095" t="str">
        <f>"28/11/2013"</f>
        <v>28/11/2013</v>
      </c>
      <c r="B1095" t="str">
        <f>"10.2225"</f>
        <v>10.2225</v>
      </c>
      <c r="C1095" t="str">
        <f>"10.2739"</f>
        <v>10.2739</v>
      </c>
    </row>
    <row r="1096" spans="1:3" x14ac:dyDescent="0.25">
      <c r="A1096" t="str">
        <f>"29/11/2013"</f>
        <v>29/11/2013</v>
      </c>
      <c r="B1096" t="str">
        <f>"10.2099"</f>
        <v>10.2099</v>
      </c>
      <c r="C1096" t="str">
        <f>"10.261"</f>
        <v>10.261</v>
      </c>
    </row>
    <row r="1097" spans="1:3" x14ac:dyDescent="0.25">
      <c r="A1097" t="str">
        <f>"02/12/2013"</f>
        <v>02/12/2013</v>
      </c>
      <c r="B1097" t="str">
        <f>"10.1916"</f>
        <v>10.1916</v>
      </c>
      <c r="C1097" t="str">
        <f>"10.2421"</f>
        <v>10.2421</v>
      </c>
    </row>
    <row r="1098" spans="1:3" x14ac:dyDescent="0.25">
      <c r="A1098" t="str">
        <f>"03/12/2013"</f>
        <v>03/12/2013</v>
      </c>
      <c r="B1098" t="str">
        <f>"10.2815"</f>
        <v>10.2815</v>
      </c>
      <c r="C1098" t="str">
        <f>"10.3353"</f>
        <v>10.3353</v>
      </c>
    </row>
    <row r="1099" spans="1:3" x14ac:dyDescent="0.25">
      <c r="A1099" t="str">
        <f>"04/12/2013"</f>
        <v>04/12/2013</v>
      </c>
      <c r="B1099" t="str">
        <f>"10.371"</f>
        <v>10.371</v>
      </c>
      <c r="C1099" t="str">
        <f>"10.4259"</f>
        <v>10.4259</v>
      </c>
    </row>
    <row r="1100" spans="1:3" x14ac:dyDescent="0.25">
      <c r="A1100" t="str">
        <f>"05/12/2013"</f>
        <v>05/12/2013</v>
      </c>
      <c r="B1100" t="str">
        <f>"10.4397"</f>
        <v>10.4397</v>
      </c>
      <c r="C1100" t="str">
        <f>"10.4953"</f>
        <v>10.4953</v>
      </c>
    </row>
    <row r="1101" spans="1:3" x14ac:dyDescent="0.25">
      <c r="A1101" t="str">
        <f>"06/12/2013"</f>
        <v>06/12/2013</v>
      </c>
      <c r="B1101" t="str">
        <f>"10.444"</f>
        <v>10.444</v>
      </c>
      <c r="C1101" t="str">
        <f>"10.4995"</f>
        <v>10.4995</v>
      </c>
    </row>
    <row r="1102" spans="1:3" x14ac:dyDescent="0.25">
      <c r="A1102" t="str">
        <f>"09/12/2013"</f>
        <v>09/12/2013</v>
      </c>
      <c r="B1102" t="str">
        <f>"10.3306"</f>
        <v>10.3306</v>
      </c>
      <c r="C1102" t="str">
        <f>"10.3892"</f>
        <v>10.3892</v>
      </c>
    </row>
    <row r="1103" spans="1:3" x14ac:dyDescent="0.25">
      <c r="A1103" t="str">
        <f>"10/12/2013"</f>
        <v>10/12/2013</v>
      </c>
      <c r="B1103" t="str">
        <f>"10.3703"</f>
        <v>10.3703</v>
      </c>
      <c r="C1103" t="str">
        <f>"10.4272"</f>
        <v>10.4272</v>
      </c>
    </row>
    <row r="1104" spans="1:3" x14ac:dyDescent="0.25">
      <c r="A1104" t="str">
        <f>"11/12/2013"</f>
        <v>11/12/2013</v>
      </c>
      <c r="B1104" t="str">
        <f>"10.3526"</f>
        <v>10.3526</v>
      </c>
      <c r="C1104" t="str">
        <f>"10.4093"</f>
        <v>10.4093</v>
      </c>
    </row>
    <row r="1105" spans="1:3" x14ac:dyDescent="0.25">
      <c r="A1105" t="str">
        <f>"12/12/2013"</f>
        <v>12/12/2013</v>
      </c>
      <c r="B1105" t="str">
        <f>"10.401"</f>
        <v>10.401</v>
      </c>
      <c r="C1105" t="str">
        <f>"10.4589"</f>
        <v>10.4589</v>
      </c>
    </row>
    <row r="1106" spans="1:3" x14ac:dyDescent="0.25">
      <c r="A1106" t="str">
        <f>"13/12/2013"</f>
        <v>13/12/2013</v>
      </c>
      <c r="B1106" t="str">
        <f>"10.4211"</f>
        <v>10.4211</v>
      </c>
      <c r="C1106" t="str">
        <f>"10.4835"</f>
        <v>10.4835</v>
      </c>
    </row>
    <row r="1107" spans="1:3" x14ac:dyDescent="0.25">
      <c r="A1107" t="str">
        <f>"16/12/2013"</f>
        <v>16/12/2013</v>
      </c>
      <c r="B1107" t="str">
        <f>"10.3095"</f>
        <v>10.3095</v>
      </c>
      <c r="C1107" t="str">
        <f>"10.3696"</f>
        <v>10.3696</v>
      </c>
    </row>
    <row r="1108" spans="1:3" x14ac:dyDescent="0.25">
      <c r="A1108" t="str">
        <f>"17/12/2013"</f>
        <v>17/12/2013</v>
      </c>
      <c r="B1108" t="str">
        <f>"10.3144"</f>
        <v>10.3144</v>
      </c>
      <c r="C1108" t="str">
        <f>"10.3717"</f>
        <v>10.3717</v>
      </c>
    </row>
    <row r="1109" spans="1:3" x14ac:dyDescent="0.25">
      <c r="A1109" t="str">
        <f>"18/12/2013"</f>
        <v>18/12/2013</v>
      </c>
      <c r="B1109" t="str">
        <f>"10.3511"</f>
        <v>10.3511</v>
      </c>
      <c r="C1109" t="str">
        <f>"10.4082"</f>
        <v>10.4082</v>
      </c>
    </row>
    <row r="1110" spans="1:3" x14ac:dyDescent="0.25">
      <c r="A1110" t="str">
        <f>"19/12/2013"</f>
        <v>19/12/2013</v>
      </c>
      <c r="B1110" t="str">
        <f>"10.3752"</f>
        <v>10.3752</v>
      </c>
      <c r="C1110" t="str">
        <f>"10.4334"</f>
        <v>10.4334</v>
      </c>
    </row>
    <row r="1111" spans="1:3" x14ac:dyDescent="0.25">
      <c r="A1111" t="str">
        <f>"20/12/2013"</f>
        <v>20/12/2013</v>
      </c>
      <c r="B1111" t="str">
        <f>"10.3994"</f>
        <v>10.3994</v>
      </c>
      <c r="C1111" t="str">
        <f>"10.4594"</f>
        <v>10.4594</v>
      </c>
    </row>
    <row r="1112" spans="1:3" x14ac:dyDescent="0.25">
      <c r="A1112" t="str">
        <f>"23/12/2013"</f>
        <v>23/12/2013</v>
      </c>
      <c r="B1112" t="str">
        <f>"10.3756"</f>
        <v>10.3756</v>
      </c>
      <c r="C1112" t="str">
        <f>"10.4397"</f>
        <v>10.4397</v>
      </c>
    </row>
    <row r="1113" spans="1:3" x14ac:dyDescent="0.25">
      <c r="A1113" t="str">
        <f>"24/12/2013"</f>
        <v>24/12/2013</v>
      </c>
      <c r="B1113" t="str">
        <f>"10.3517"</f>
        <v>10.3517</v>
      </c>
      <c r="C1113" t="str">
        <f>"10.4108"</f>
        <v>10.4108</v>
      </c>
    </row>
    <row r="1114" spans="1:3" x14ac:dyDescent="0.25">
      <c r="A1114" t="str">
        <f>"26/12/2013"</f>
        <v>26/12/2013</v>
      </c>
      <c r="B1114" t="str">
        <f>"10.369"</f>
        <v>10.369</v>
      </c>
      <c r="C1114" t="str">
        <f>"10.4259"</f>
        <v>10.4259</v>
      </c>
    </row>
    <row r="1115" spans="1:3" x14ac:dyDescent="0.25">
      <c r="A1115" t="str">
        <f>"27/12/2013"</f>
        <v>27/12/2013</v>
      </c>
      <c r="B1115" t="str">
        <f>"10.3589"</f>
        <v>10.3589</v>
      </c>
      <c r="C1115" t="str">
        <f>"10.4157"</f>
        <v>10.4157</v>
      </c>
    </row>
    <row r="1116" spans="1:3" x14ac:dyDescent="0.25">
      <c r="A1116" t="str">
        <f>"30/12/2013"</f>
        <v>30/12/2013</v>
      </c>
      <c r="B1116" t="str">
        <f>"10.5386"</f>
        <v>10.5386</v>
      </c>
      <c r="C1116" t="str">
        <f>"10.5954"</f>
        <v>10.5954</v>
      </c>
    </row>
    <row r="1117" spans="1:3" x14ac:dyDescent="0.25">
      <c r="A1117" t="str">
        <f>"31/12/2013"</f>
        <v>31/12/2013</v>
      </c>
      <c r="B1117" t="str">
        <f>"10.4345"</f>
        <v>10.4345</v>
      </c>
      <c r="C1117" t="str">
        <f>"10.4848"</f>
        <v>10.4848</v>
      </c>
    </row>
    <row r="1118" spans="1:3" x14ac:dyDescent="0.25">
      <c r="A1118" t="str">
        <f>"01/01/2014"</f>
        <v>01/01/2014</v>
      </c>
      <c r="B1118" t="str">
        <f>"10.53"</f>
        <v>10.53</v>
      </c>
      <c r="C1118" t="str">
        <f>"10.5775"</f>
        <v>10.5775</v>
      </c>
    </row>
    <row r="1119" spans="1:3" x14ac:dyDescent="0.25">
      <c r="A1119" t="str">
        <f>"02/01/2014"</f>
        <v>02/01/2014</v>
      </c>
      <c r="B1119" t="str">
        <f>"10.4996"</f>
        <v>10.4996</v>
      </c>
      <c r="C1119" t="str">
        <f>"10.551"</f>
        <v>10.551</v>
      </c>
    </row>
    <row r="1120" spans="1:3" x14ac:dyDescent="0.25">
      <c r="A1120" t="str">
        <f>"03/01/2014"</f>
        <v>03/01/2014</v>
      </c>
      <c r="B1120" t="str">
        <f>"10.6663"</f>
        <v>10.6663</v>
      </c>
      <c r="C1120" t="str">
        <f>"10.7196"</f>
        <v>10.7196</v>
      </c>
    </row>
    <row r="1121" spans="1:3" x14ac:dyDescent="0.25">
      <c r="A1121" t="str">
        <f>"06/01/2014"</f>
        <v>06/01/2014</v>
      </c>
      <c r="B1121" t="str">
        <f>"10.695"</f>
        <v>10.695</v>
      </c>
      <c r="C1121" t="str">
        <f>"10.7523"</f>
        <v>10.7523</v>
      </c>
    </row>
    <row r="1122" spans="1:3" x14ac:dyDescent="0.25">
      <c r="A1122" t="str">
        <f>"07/01/2014"</f>
        <v>07/01/2014</v>
      </c>
      <c r="B1122" t="str">
        <f>"10.6595"</f>
        <v>10.6595</v>
      </c>
      <c r="C1122" t="str">
        <f>"10.7152"</f>
        <v>10.7152</v>
      </c>
    </row>
    <row r="1123" spans="1:3" x14ac:dyDescent="0.25">
      <c r="A1123" t="str">
        <f>"08/01/2014"</f>
        <v>08/01/2014</v>
      </c>
      <c r="B1123" t="str">
        <f>"10.6465"</f>
        <v>10.6465</v>
      </c>
      <c r="C1123" t="str">
        <f>"10.6984"</f>
        <v>10.6984</v>
      </c>
    </row>
    <row r="1124" spans="1:3" x14ac:dyDescent="0.25">
      <c r="A1124" t="str">
        <f>"09/01/2014"</f>
        <v>09/01/2014</v>
      </c>
      <c r="B1124" t="str">
        <f>"10.7698"</f>
        <v>10.7698</v>
      </c>
      <c r="C1124" t="str">
        <f>"10.8225"</f>
        <v>10.8225</v>
      </c>
    </row>
    <row r="1125" spans="1:3" x14ac:dyDescent="0.25">
      <c r="A1125" t="str">
        <f>"10/01/2014"</f>
        <v>10/01/2014</v>
      </c>
      <c r="B1125" t="str">
        <f>"10.7957"</f>
        <v>10.7957</v>
      </c>
      <c r="C1125" t="str">
        <f>"10.849"</f>
        <v>10.849</v>
      </c>
    </row>
    <row r="1126" spans="1:3" x14ac:dyDescent="0.25">
      <c r="A1126" t="str">
        <f>"16/01/2014"</f>
        <v>16/01/2014</v>
      </c>
      <c r="B1126" t="str">
        <f>"10.9184"</f>
        <v>10.9184</v>
      </c>
      <c r="C1126" t="str">
        <f>"10.9681"</f>
        <v>10.9681</v>
      </c>
    </row>
    <row r="1127" spans="1:3" x14ac:dyDescent="0.25">
      <c r="A1127" t="str">
        <f>"17/01/2014"</f>
        <v>17/01/2014</v>
      </c>
      <c r="B1127" t="str">
        <f>"10.8857"</f>
        <v>10.8857</v>
      </c>
      <c r="C1127" t="str">
        <f>"10.9368"</f>
        <v>10.9368</v>
      </c>
    </row>
    <row r="1128" spans="1:3" x14ac:dyDescent="0.25">
      <c r="A1128" t="str">
        <f>"20/01/2014"</f>
        <v>20/01/2014</v>
      </c>
      <c r="B1128" t="str">
        <f>"10.8655"</f>
        <v>10.8655</v>
      </c>
      <c r="C1128" t="str">
        <f>"10.9223"</f>
        <v>10.9223</v>
      </c>
    </row>
    <row r="1129" spans="1:3" x14ac:dyDescent="0.25">
      <c r="A1129" t="str">
        <f>"21/01/2014"</f>
        <v>21/01/2014</v>
      </c>
      <c r="B1129" t="str">
        <f>"10.8603"</f>
        <v>10.8603</v>
      </c>
      <c r="C1129" t="str">
        <f>"10.9141"</f>
        <v>10.9141</v>
      </c>
    </row>
    <row r="1130" spans="1:3" x14ac:dyDescent="0.25">
      <c r="A1130" t="str">
        <f>"22/01/2014"</f>
        <v>22/01/2014</v>
      </c>
      <c r="B1130" t="str">
        <f>"10.8392"</f>
        <v>10.8392</v>
      </c>
      <c r="C1130" t="str">
        <f>"10.8911"</f>
        <v>10.8911</v>
      </c>
    </row>
    <row r="1131" spans="1:3" x14ac:dyDescent="0.25">
      <c r="A1131" t="str">
        <f>"23/01/2014"</f>
        <v>23/01/2014</v>
      </c>
      <c r="B1131" t="str">
        <f>"10.904"</f>
        <v>10.904</v>
      </c>
      <c r="C1131" t="str">
        <f>"10.9538"</f>
        <v>10.9538</v>
      </c>
    </row>
    <row r="1132" spans="1:3" x14ac:dyDescent="0.25">
      <c r="A1132" t="str">
        <f>"24/01/2014"</f>
        <v>24/01/2014</v>
      </c>
      <c r="B1132" t="str">
        <f>"10.9943"</f>
        <v>10.9943</v>
      </c>
      <c r="C1132" t="str">
        <f>"11.048"</f>
        <v>11.048</v>
      </c>
    </row>
    <row r="1133" spans="1:3" x14ac:dyDescent="0.25">
      <c r="A1133" t="str">
        <f>"27/01/2014"</f>
        <v>27/01/2014</v>
      </c>
      <c r="B1133" t="str">
        <f>"11.1255"</f>
        <v>11.1255</v>
      </c>
      <c r="C1133" t="str">
        <f>"11.1787"</f>
        <v>11.1787</v>
      </c>
    </row>
    <row r="1134" spans="1:3" x14ac:dyDescent="0.25">
      <c r="A1134" t="str">
        <f>"28/01/2014"</f>
        <v>28/01/2014</v>
      </c>
      <c r="B1134" t="str">
        <f>"11.0658"</f>
        <v>11.0658</v>
      </c>
      <c r="C1134" t="str">
        <f>"11.1178"</f>
        <v>11.1178</v>
      </c>
    </row>
    <row r="1135" spans="1:3" x14ac:dyDescent="0.25">
      <c r="A1135" t="str">
        <f>"29/01/2014"</f>
        <v>29/01/2014</v>
      </c>
      <c r="B1135" t="str">
        <f>"10.916"</f>
        <v>10.916</v>
      </c>
      <c r="C1135" t="str">
        <f>"10.9653"</f>
        <v>10.9653</v>
      </c>
    </row>
    <row r="1136" spans="1:3" x14ac:dyDescent="0.25">
      <c r="A1136" t="str">
        <f>"30/01/2014"</f>
        <v>30/01/2014</v>
      </c>
      <c r="B1136" t="str">
        <f>"11.2613"</f>
        <v>11.2613</v>
      </c>
      <c r="C1136" t="str">
        <f>"11.3134"</f>
        <v>11.3134</v>
      </c>
    </row>
    <row r="1137" spans="1:3" x14ac:dyDescent="0.25">
      <c r="A1137" t="str">
        <f>"31/01/2014"</f>
        <v>31/01/2014</v>
      </c>
      <c r="B1137" t="str">
        <f>"11.2204"</f>
        <v>11.2204</v>
      </c>
      <c r="C1137" t="str">
        <f>"11.273"</f>
        <v>11.273</v>
      </c>
    </row>
    <row r="1138" spans="1:3" x14ac:dyDescent="0.25">
      <c r="A1138" t="str">
        <f>"03/02/2014"</f>
        <v>03/02/2014</v>
      </c>
      <c r="B1138" t="str">
        <f>"11.1528"</f>
        <v>11.1528</v>
      </c>
      <c r="C1138" t="str">
        <f>"11.2053"</f>
        <v>11.2053</v>
      </c>
    </row>
    <row r="1139" spans="1:3" x14ac:dyDescent="0.25">
      <c r="A1139" t="str">
        <f>"04/02/2014"</f>
        <v>04/02/2014</v>
      </c>
      <c r="B1139" t="str">
        <f>"11.2294"</f>
        <v>11.2294</v>
      </c>
      <c r="C1139" t="str">
        <f>"11.2816"</f>
        <v>11.2816</v>
      </c>
    </row>
    <row r="1140" spans="1:3" x14ac:dyDescent="0.25">
      <c r="A1140" t="str">
        <f>"05/02/2014"</f>
        <v>05/02/2014</v>
      </c>
      <c r="B1140" t="str">
        <f>"11.1439"</f>
        <v>11.1439</v>
      </c>
      <c r="C1140" t="str">
        <f>"11.1946"</f>
        <v>11.1946</v>
      </c>
    </row>
    <row r="1141" spans="1:3" x14ac:dyDescent="0.25">
      <c r="A1141" t="str">
        <f>"06/02/2014"</f>
        <v>06/02/2014</v>
      </c>
      <c r="B1141" t="str">
        <f>"11.1205"</f>
        <v>11.1205</v>
      </c>
      <c r="C1141" t="str">
        <f>"11.1737"</f>
        <v>11.1737</v>
      </c>
    </row>
    <row r="1142" spans="1:3" x14ac:dyDescent="0.25">
      <c r="A1142" t="str">
        <f>"07/02/2014"</f>
        <v>07/02/2014</v>
      </c>
      <c r="B1142" t="str">
        <f>"11.0403"</f>
        <v>11.0403</v>
      </c>
      <c r="C1142" t="str">
        <f>"11.0926"</f>
        <v>11.0926</v>
      </c>
    </row>
    <row r="1143" spans="1:3" x14ac:dyDescent="0.25">
      <c r="A1143" t="str">
        <f>"10/02/2014"</f>
        <v>10/02/2014</v>
      </c>
      <c r="B1143" t="str">
        <f>"11.0836"</f>
        <v>11.0836</v>
      </c>
      <c r="C1143" t="str">
        <f>"11.1329"</f>
        <v>11.1329</v>
      </c>
    </row>
    <row r="1144" spans="1:3" x14ac:dyDescent="0.25">
      <c r="A1144" t="str">
        <f>"11/02/2014"</f>
        <v>11/02/2014</v>
      </c>
      <c r="B1144" t="str">
        <f>"11.1327"</f>
        <v>11.1327</v>
      </c>
      <c r="C1144" t="str">
        <f>"11.1854"</f>
        <v>11.1854</v>
      </c>
    </row>
    <row r="1145" spans="1:3" x14ac:dyDescent="0.25">
      <c r="A1145" t="str">
        <f>"12/02/2014"</f>
        <v>12/02/2014</v>
      </c>
      <c r="B1145" t="str">
        <f>"10.9612"</f>
        <v>10.9612</v>
      </c>
      <c r="C1145" t="str">
        <f>"11.0123"</f>
        <v>11.0123</v>
      </c>
    </row>
    <row r="1146" spans="1:3" x14ac:dyDescent="0.25">
      <c r="A1146" t="str">
        <f>"13/02/2014"</f>
        <v>13/02/2014</v>
      </c>
      <c r="B1146" t="str">
        <f>"11.0555"</f>
        <v>11.0555</v>
      </c>
      <c r="C1146" t="str">
        <f>"11.1069"</f>
        <v>11.1069</v>
      </c>
    </row>
    <row r="1147" spans="1:3" x14ac:dyDescent="0.25">
      <c r="A1147" t="str">
        <f>"14/02/2014"</f>
        <v>14/02/2014</v>
      </c>
      <c r="B1147" t="str">
        <f>"11.0096"</f>
        <v>11.0096</v>
      </c>
      <c r="C1147" t="str">
        <f>"11.0608"</f>
        <v>11.0608</v>
      </c>
    </row>
    <row r="1148" spans="1:3" x14ac:dyDescent="0.25">
      <c r="A1148" t="str">
        <f>"17/02/2014"</f>
        <v>17/02/2014</v>
      </c>
      <c r="B1148" t="str">
        <f>"10.874"</f>
        <v>10.874</v>
      </c>
      <c r="C1148" t="str">
        <f>"10.9246"</f>
        <v>10.9246</v>
      </c>
    </row>
    <row r="1149" spans="1:3" x14ac:dyDescent="0.25">
      <c r="A1149" t="str">
        <f>"18/02/2014"</f>
        <v>18/02/2014</v>
      </c>
      <c r="B1149" t="str">
        <f>"10.8508"</f>
        <v>10.8508</v>
      </c>
      <c r="C1149" t="str">
        <f>"10.9014"</f>
        <v>10.9014</v>
      </c>
    </row>
    <row r="1150" spans="1:3" x14ac:dyDescent="0.25">
      <c r="A1150" t="str">
        <f>"19/02/2014"</f>
        <v>19/02/2014</v>
      </c>
      <c r="B1150" t="str">
        <f>"10.8881"</f>
        <v>10.8881</v>
      </c>
      <c r="C1150" t="str">
        <f>"10.9441"</f>
        <v>10.9441</v>
      </c>
    </row>
    <row r="1151" spans="1:3" x14ac:dyDescent="0.25">
      <c r="A1151" t="str">
        <f>"20/02/2014"</f>
        <v>20/02/2014</v>
      </c>
      <c r="B1151" t="str">
        <f>"11.0784"</f>
        <v>11.0784</v>
      </c>
      <c r="C1151" t="str">
        <f>"11.1293"</f>
        <v>11.1293</v>
      </c>
    </row>
    <row r="1152" spans="1:3" x14ac:dyDescent="0.25">
      <c r="A1152" t="str">
        <f>"21/02/2014"</f>
        <v>21/02/2014</v>
      </c>
      <c r="B1152" t="str">
        <f>"11.0302"</f>
        <v>11.0302</v>
      </c>
      <c r="C1152" t="str">
        <f>"11.0811"</f>
        <v>11.0811</v>
      </c>
    </row>
    <row r="1153" spans="1:3" x14ac:dyDescent="0.25">
      <c r="A1153" t="str">
        <f>"24/02/2014"</f>
        <v>24/02/2014</v>
      </c>
      <c r="B1153" t="str">
        <f>"10.9619"</f>
        <v>10.9619</v>
      </c>
      <c r="C1153" t="str">
        <f>"11.0116"</f>
        <v>11.0116</v>
      </c>
    </row>
    <row r="1154" spans="1:3" x14ac:dyDescent="0.25">
      <c r="A1154" t="str">
        <f>"25/02/2014"</f>
        <v>25/02/2014</v>
      </c>
      <c r="B1154" t="str">
        <f>"10.8279"</f>
        <v>10.8279</v>
      </c>
      <c r="C1154" t="str">
        <f>"10.8762"</f>
        <v>10.8762</v>
      </c>
    </row>
    <row r="1155" spans="1:3" x14ac:dyDescent="0.25">
      <c r="A1155" t="str">
        <f>"26/02/2014"</f>
        <v>26/02/2014</v>
      </c>
      <c r="B1155" t="str">
        <f>"10.7349"</f>
        <v>10.7349</v>
      </c>
      <c r="C1155" t="str">
        <f>"10.7905"</f>
        <v>10.7905</v>
      </c>
    </row>
    <row r="1156" spans="1:3" x14ac:dyDescent="0.25">
      <c r="A1156" t="str">
        <f>"28/02/2014"</f>
        <v>28/02/2014</v>
      </c>
      <c r="B1156" t="str">
        <f>"10.7154"</f>
        <v>10.7154</v>
      </c>
      <c r="C1156" t="str">
        <f>"10.7699"</f>
        <v>10.7699</v>
      </c>
    </row>
    <row r="1157" spans="1:3" x14ac:dyDescent="0.25">
      <c r="A1157" t="str">
        <f>"03/03/2014"</f>
        <v>03/03/2014</v>
      </c>
      <c r="B1157" t="str">
        <f>"10.8091"</f>
        <v>10.8091</v>
      </c>
      <c r="C1157" t="str">
        <f>"10.8683"</f>
        <v>10.8683</v>
      </c>
    </row>
    <row r="1158" spans="1:3" x14ac:dyDescent="0.25">
      <c r="A1158" t="str">
        <f>"04/03/2014"</f>
        <v>04/03/2014</v>
      </c>
      <c r="B1158" t="str">
        <f>"10.8819"</f>
        <v>10.8819</v>
      </c>
      <c r="C1158" t="str">
        <f>"10.9395"</f>
        <v>10.9395</v>
      </c>
    </row>
    <row r="1159" spans="1:3" x14ac:dyDescent="0.25">
      <c r="A1159" t="str">
        <f>"05/03/2014"</f>
        <v>05/03/2014</v>
      </c>
      <c r="B1159" t="str">
        <f>"10.7799"</f>
        <v>10.7799</v>
      </c>
      <c r="C1159" t="str">
        <f>"10.8352"</f>
        <v>10.8352</v>
      </c>
    </row>
    <row r="1160" spans="1:3" x14ac:dyDescent="0.25">
      <c r="A1160" t="str">
        <f>"06/03/2014"</f>
        <v>06/03/2014</v>
      </c>
      <c r="B1160" t="str">
        <f>"10.6958"</f>
        <v>10.6958</v>
      </c>
      <c r="C1160" t="str">
        <f>"10.7506"</f>
        <v>10.7506</v>
      </c>
    </row>
    <row r="1161" spans="1:3" x14ac:dyDescent="0.25">
      <c r="A1161" t="str">
        <f>"07/03/2014"</f>
        <v>07/03/2014</v>
      </c>
      <c r="B1161" t="str">
        <f>"10.6299"</f>
        <v>10.6299</v>
      </c>
      <c r="C1161" t="str">
        <f>"10.6845"</f>
        <v>10.6845</v>
      </c>
    </row>
    <row r="1162" spans="1:3" x14ac:dyDescent="0.25">
      <c r="A1162" t="str">
        <f>"10/03/2014"</f>
        <v>10/03/2014</v>
      </c>
      <c r="B1162" t="str">
        <f>"10.7739"</f>
        <v>10.7739</v>
      </c>
      <c r="C1162" t="str">
        <f>"10.833"</f>
        <v>10.833</v>
      </c>
    </row>
    <row r="1163" spans="1:3" x14ac:dyDescent="0.25">
      <c r="A1163" t="str">
        <f>"11/03/2014"</f>
        <v>11/03/2014</v>
      </c>
      <c r="B1163" t="str">
        <f>"10.7517"</f>
        <v>10.7517</v>
      </c>
      <c r="C1163" t="str">
        <f>"10.8092"</f>
        <v>10.8092</v>
      </c>
    </row>
    <row r="1164" spans="1:3" x14ac:dyDescent="0.25">
      <c r="A1164" t="str">
        <f>"12/03/2014"</f>
        <v>12/03/2014</v>
      </c>
      <c r="B1164" t="str">
        <f>"10.8743"</f>
        <v>10.8743</v>
      </c>
      <c r="C1164" t="str">
        <f>"10.9306"</f>
        <v>10.9306</v>
      </c>
    </row>
    <row r="1165" spans="1:3" x14ac:dyDescent="0.25">
      <c r="A1165" t="str">
        <f>"13/03/2014"</f>
        <v>13/03/2014</v>
      </c>
      <c r="B1165" t="str">
        <f>"10.7719"</f>
        <v>10.7719</v>
      </c>
      <c r="C1165" t="str">
        <f>"10.8284"</f>
        <v>10.8284</v>
      </c>
    </row>
    <row r="1166" spans="1:3" x14ac:dyDescent="0.25">
      <c r="A1166" t="str">
        <f>"14/03/2014"</f>
        <v>14/03/2014</v>
      </c>
      <c r="B1166" t="str">
        <f>"10.81"</f>
        <v>10.81</v>
      </c>
      <c r="C1166" t="str">
        <f>"10.8741"</f>
        <v>10.8741</v>
      </c>
    </row>
    <row r="1167" spans="1:3" x14ac:dyDescent="0.25">
      <c r="A1167" t="str">
        <f>"18/03/2014"</f>
        <v>18/03/2014</v>
      </c>
      <c r="B1167" t="str">
        <f>"10.7818"</f>
        <v>10.7818</v>
      </c>
      <c r="C1167" t="str">
        <f>"10.8409"</f>
        <v>10.8409</v>
      </c>
    </row>
    <row r="1168" spans="1:3" x14ac:dyDescent="0.25">
      <c r="A1168" t="str">
        <f>"19/03/2014"</f>
        <v>19/03/2014</v>
      </c>
      <c r="B1168" t="str">
        <f>"10.7406"</f>
        <v>10.7406</v>
      </c>
      <c r="C1168" t="str">
        <f>"10.7972"</f>
        <v>10.7972</v>
      </c>
    </row>
    <row r="1169" spans="1:3" x14ac:dyDescent="0.25">
      <c r="A1169" t="str">
        <f>"20/03/2014"</f>
        <v>20/03/2014</v>
      </c>
      <c r="B1169" t="str">
        <f>"10.8756"</f>
        <v>10.8756</v>
      </c>
      <c r="C1169" t="str">
        <f>"10.9326"</f>
        <v>10.9326</v>
      </c>
    </row>
    <row r="1170" spans="1:3" x14ac:dyDescent="0.25">
      <c r="A1170" t="str">
        <f>"21/03/2014"</f>
        <v>21/03/2014</v>
      </c>
      <c r="B1170" t="str">
        <f>"10.9101"</f>
        <v>10.9101</v>
      </c>
      <c r="C1170" t="str">
        <f>"10.968"</f>
        <v>10.968</v>
      </c>
    </row>
    <row r="1171" spans="1:3" x14ac:dyDescent="0.25">
      <c r="A1171" t="str">
        <f>"24/03/2014"</f>
        <v>24/03/2014</v>
      </c>
      <c r="B1171" t="str">
        <f>"10.9187"</f>
        <v>10.9187</v>
      </c>
      <c r="C1171" t="str">
        <f>"10.9823"</f>
        <v>10.9823</v>
      </c>
    </row>
    <row r="1172" spans="1:3" x14ac:dyDescent="0.25">
      <c r="A1172" t="str">
        <f>"25/03/2014"</f>
        <v>25/03/2014</v>
      </c>
      <c r="B1172" t="str">
        <f>"10.84"</f>
        <v>10.84</v>
      </c>
      <c r="C1172" t="str">
        <f>"10.902"</f>
        <v>10.902</v>
      </c>
    </row>
    <row r="1173" spans="1:3" x14ac:dyDescent="0.25">
      <c r="A1173" t="str">
        <f>"26/03/2014"</f>
        <v>26/03/2014</v>
      </c>
      <c r="B1173" t="str">
        <f>"10.7524"</f>
        <v>10.7524</v>
      </c>
      <c r="C1173" t="str">
        <f>"10.8106"</f>
        <v>10.8106</v>
      </c>
    </row>
    <row r="1174" spans="1:3" x14ac:dyDescent="0.25">
      <c r="A1174" t="str">
        <f>"27/03/2014"</f>
        <v>27/03/2014</v>
      </c>
      <c r="B1174" t="str">
        <f>"10.695"</f>
        <v>10.695</v>
      </c>
      <c r="C1174" t="str">
        <f>"10.7502"</f>
        <v>10.7502</v>
      </c>
    </row>
    <row r="1175" spans="1:3" x14ac:dyDescent="0.25">
      <c r="A1175" t="str">
        <f>"28/03/2014"</f>
        <v>28/03/2014</v>
      </c>
      <c r="B1175" t="str">
        <f>"10.5967"</f>
        <v>10.5967</v>
      </c>
      <c r="C1175" t="str">
        <f>"10.6523"</f>
        <v>10.6523</v>
      </c>
    </row>
    <row r="1176" spans="1:3" x14ac:dyDescent="0.25">
      <c r="A1176" t="str">
        <f>"02/04/2014"</f>
        <v>02/04/2014</v>
      </c>
      <c r="B1176" t="str">
        <f>"10.586"</f>
        <v>10.586</v>
      </c>
      <c r="C1176" t="str">
        <f>"10.6414"</f>
        <v>10.6414</v>
      </c>
    </row>
    <row r="1177" spans="1:3" x14ac:dyDescent="0.25">
      <c r="A1177" t="str">
        <f>"03/04/2014"</f>
        <v>03/04/2014</v>
      </c>
      <c r="B1177" t="str">
        <f>"10.64"</f>
        <v>10.64</v>
      </c>
      <c r="C1177" t="str">
        <f>"10.6956"</f>
        <v>10.6956</v>
      </c>
    </row>
    <row r="1178" spans="1:3" x14ac:dyDescent="0.25">
      <c r="A1178" t="str">
        <f>"04/04/2014"</f>
        <v>04/04/2014</v>
      </c>
      <c r="B1178" t="str">
        <f>"10.6503"</f>
        <v>10.6503</v>
      </c>
      <c r="C1178" t="str">
        <f>"10.7045"</f>
        <v>10.7045</v>
      </c>
    </row>
    <row r="1179" spans="1:3" x14ac:dyDescent="0.25">
      <c r="A1179" t="str">
        <f>"07/04/2014"</f>
        <v>07/04/2014</v>
      </c>
      <c r="B1179" t="str">
        <f>"10.551"</f>
        <v>10.551</v>
      </c>
      <c r="C1179" t="str">
        <f>"10.6043"</f>
        <v>10.6043</v>
      </c>
    </row>
    <row r="1180" spans="1:3" x14ac:dyDescent="0.25">
      <c r="A1180" t="str">
        <f>"09/04/2014"</f>
        <v>09/04/2014</v>
      </c>
      <c r="B1180" t="str">
        <f>"10.4466"</f>
        <v>10.4466</v>
      </c>
      <c r="C1180" t="str">
        <f>"10.501"</f>
        <v>10.501</v>
      </c>
    </row>
    <row r="1181" spans="1:3" x14ac:dyDescent="0.25">
      <c r="A1181" t="str">
        <f>"10/04/2014"</f>
        <v>10/04/2014</v>
      </c>
      <c r="B1181" t="str">
        <f>"10.4131"</f>
        <v>10.4131</v>
      </c>
      <c r="C1181" t="str">
        <f>"10.4655"</f>
        <v>10.4655</v>
      </c>
    </row>
    <row r="1182" spans="1:3" x14ac:dyDescent="0.25">
      <c r="A1182" t="str">
        <f>"11/04/2014"</f>
        <v>11/04/2014</v>
      </c>
      <c r="B1182" t="str">
        <f>"10.4842"</f>
        <v>10.4842</v>
      </c>
      <c r="C1182" t="str">
        <f>"10.5372"</f>
        <v>10.5372</v>
      </c>
    </row>
    <row r="1183" spans="1:3" x14ac:dyDescent="0.25">
      <c r="A1183" t="str">
        <f>"15/04/2014"</f>
        <v>15/04/2014</v>
      </c>
      <c r="B1183" t="str">
        <f>"10.5263"</f>
        <v>10.5263</v>
      </c>
      <c r="C1183" t="str">
        <f>"10.5832"</f>
        <v>10.5832</v>
      </c>
    </row>
    <row r="1184" spans="1:3" x14ac:dyDescent="0.25">
      <c r="A1184" t="str">
        <f>"16/04/2014"</f>
        <v>16/04/2014</v>
      </c>
      <c r="B1184" t="str">
        <f>"10.5573"</f>
        <v>10.5573</v>
      </c>
      <c r="C1184" t="str">
        <f>"10.611"</f>
        <v>10.611</v>
      </c>
    </row>
    <row r="1185" spans="1:3" x14ac:dyDescent="0.25">
      <c r="A1185" t="str">
        <f>"17/04/2014"</f>
        <v>17/04/2014</v>
      </c>
      <c r="B1185" t="str">
        <f>"10.5556"</f>
        <v>10.5556</v>
      </c>
      <c r="C1185" t="str">
        <f>"10.6088"</f>
        <v>10.6088</v>
      </c>
    </row>
    <row r="1186" spans="1:3" x14ac:dyDescent="0.25">
      <c r="A1186" t="str">
        <f>"21/04/2014"</f>
        <v>21/04/2014</v>
      </c>
      <c r="B1186" t="str">
        <f>"10.5205"</f>
        <v>10.5205</v>
      </c>
      <c r="C1186" t="str">
        <f>"10.5734"</f>
        <v>10.5734</v>
      </c>
    </row>
    <row r="1187" spans="1:3" x14ac:dyDescent="0.25">
      <c r="A1187" t="str">
        <f>"22/04/2014"</f>
        <v>22/04/2014</v>
      </c>
      <c r="B1187" t="str">
        <f>"10.496"</f>
        <v>10.496</v>
      </c>
      <c r="C1187" t="str">
        <f>"10.5545"</f>
        <v>10.5545</v>
      </c>
    </row>
    <row r="1188" spans="1:3" x14ac:dyDescent="0.25">
      <c r="A1188" t="str">
        <f>"23/04/2014"</f>
        <v>23/04/2014</v>
      </c>
      <c r="B1188" t="str">
        <f>"10.5525"</f>
        <v>10.5525</v>
      </c>
      <c r="C1188" t="str">
        <f>"10.6081"</f>
        <v>10.6081</v>
      </c>
    </row>
    <row r="1189" spans="1:3" x14ac:dyDescent="0.25">
      <c r="A1189" t="str">
        <f>"25/04/2014"</f>
        <v>25/04/2014</v>
      </c>
      <c r="B1189" t="str">
        <f>"10.6248"</f>
        <v>10.6248</v>
      </c>
      <c r="C1189" t="str">
        <f>"10.679"</f>
        <v>10.679</v>
      </c>
    </row>
    <row r="1190" spans="1:3" x14ac:dyDescent="0.25">
      <c r="A1190" t="str">
        <f>"28/04/2014"</f>
        <v>28/04/2014</v>
      </c>
      <c r="B1190" t="str">
        <f>"10.65"</f>
        <v>10.65</v>
      </c>
      <c r="C1190" t="str">
        <f>"10.7002"</f>
        <v>10.7002</v>
      </c>
    </row>
    <row r="1191" spans="1:3" x14ac:dyDescent="0.25">
      <c r="A1191" t="str">
        <f>"29/04/2014"</f>
        <v>29/04/2014</v>
      </c>
      <c r="B1191" t="str">
        <f>"10.6347"</f>
        <v>10.6347</v>
      </c>
      <c r="C1191" t="str">
        <f>"10.691"</f>
        <v>10.691</v>
      </c>
    </row>
    <row r="1192" spans="1:3" x14ac:dyDescent="0.25">
      <c r="A1192" t="str">
        <f>"30/04/2014"</f>
        <v>30/04/2014</v>
      </c>
      <c r="B1192" t="str">
        <f>"10.57"</f>
        <v>10.57</v>
      </c>
      <c r="C1192" t="str">
        <f>"10.626"</f>
        <v>10.626</v>
      </c>
    </row>
    <row r="1193" spans="1:3" x14ac:dyDescent="0.25">
      <c r="A1193" t="str">
        <f>"02/05/2014"</f>
        <v>02/05/2014</v>
      </c>
      <c r="B1193" t="str">
        <f>"10.4997"</f>
        <v>10.4997</v>
      </c>
      <c r="C1193" t="str">
        <f>"10.5536"</f>
        <v>10.5536</v>
      </c>
    </row>
    <row r="1194" spans="1:3" x14ac:dyDescent="0.25">
      <c r="A1194" t="str">
        <f>"05/05/2014"</f>
        <v>05/05/2014</v>
      </c>
      <c r="B1194" t="str">
        <f>"10.4698"</f>
        <v>10.4698</v>
      </c>
      <c r="C1194" t="str">
        <f>"10.5274"</f>
        <v>10.5274</v>
      </c>
    </row>
    <row r="1195" spans="1:3" x14ac:dyDescent="0.25">
      <c r="A1195" t="str">
        <f>"06/05/2014"</f>
        <v>06/05/2014</v>
      </c>
      <c r="B1195" t="str">
        <f>"10.5371"</f>
        <v>10.5371</v>
      </c>
      <c r="C1195" t="str">
        <f>"10.5932"</f>
        <v>10.5932</v>
      </c>
    </row>
    <row r="1196" spans="1:3" x14ac:dyDescent="0.25">
      <c r="A1196" t="str">
        <f>"07/05/2014"</f>
        <v>07/05/2014</v>
      </c>
      <c r="B1196" t="str">
        <f>"10.5087"</f>
        <v>10.5087</v>
      </c>
      <c r="C1196" t="str">
        <f>"10.5645"</f>
        <v>10.5645</v>
      </c>
    </row>
    <row r="1197" spans="1:3" x14ac:dyDescent="0.25">
      <c r="A1197" t="str">
        <f>"08/05/2014"</f>
        <v>08/05/2014</v>
      </c>
      <c r="B1197" t="str">
        <f>"10.463"</f>
        <v>10.463</v>
      </c>
      <c r="C1197" t="str">
        <f>"10.5168"</f>
        <v>10.5168</v>
      </c>
    </row>
    <row r="1198" spans="1:3" x14ac:dyDescent="0.25">
      <c r="A1198" t="str">
        <f>"09/05/2014"</f>
        <v>09/05/2014</v>
      </c>
      <c r="B1198" t="str">
        <f>"10.3451"</f>
        <v>10.3451</v>
      </c>
      <c r="C1198" t="str">
        <f>"10.3993"</f>
        <v>10.3993</v>
      </c>
    </row>
    <row r="1199" spans="1:3" x14ac:dyDescent="0.25">
      <c r="A1199" t="str">
        <f>"12/05/2014"</f>
        <v>12/05/2014</v>
      </c>
      <c r="B1199" t="str">
        <f>"10.3716"</f>
        <v>10.3716</v>
      </c>
      <c r="C1199" t="str">
        <f>"10.4321"</f>
        <v>10.4321</v>
      </c>
    </row>
    <row r="1200" spans="1:3" x14ac:dyDescent="0.25">
      <c r="A1200" t="str">
        <f>"13/05/2014"</f>
        <v>13/05/2014</v>
      </c>
      <c r="B1200" t="str">
        <f>"10.3703"</f>
        <v>10.3703</v>
      </c>
      <c r="C1200" t="str">
        <f>"10.4292"</f>
        <v>10.4292</v>
      </c>
    </row>
    <row r="1201" spans="1:3" x14ac:dyDescent="0.25">
      <c r="A1201" t="str">
        <f>"15/05/2014"</f>
        <v>15/05/2014</v>
      </c>
      <c r="B1201" t="str">
        <f>"10.3088"</f>
        <v>10.3088</v>
      </c>
      <c r="C1201" t="str">
        <f>"10.3635"</f>
        <v>10.3635</v>
      </c>
    </row>
    <row r="1202" spans="1:3" x14ac:dyDescent="0.25">
      <c r="A1202" t="str">
        <f>"16/05/2014"</f>
        <v>16/05/2014</v>
      </c>
      <c r="B1202" t="str">
        <f>"10.413"</f>
        <v>10.413</v>
      </c>
      <c r="C1202" t="str">
        <f>"10.4685"</f>
        <v>10.4685</v>
      </c>
    </row>
    <row r="1203" spans="1:3" x14ac:dyDescent="0.25">
      <c r="A1203" t="str">
        <f>"19/05/2014"</f>
        <v>19/05/2014</v>
      </c>
      <c r="B1203" t="str">
        <f>"10.3555"</f>
        <v>10.3555</v>
      </c>
      <c r="C1203" t="str">
        <f>"10.4147"</f>
        <v>10.4147</v>
      </c>
    </row>
    <row r="1204" spans="1:3" x14ac:dyDescent="0.25">
      <c r="A1204" t="str">
        <f>"20/05/2014"</f>
        <v>20/05/2014</v>
      </c>
      <c r="B1204" t="str">
        <f>"10.4537"</f>
        <v>10.4537</v>
      </c>
      <c r="C1204" t="str">
        <f>"10.5066"</f>
        <v>10.5066</v>
      </c>
    </row>
    <row r="1205" spans="1:3" x14ac:dyDescent="0.25">
      <c r="A1205" t="str">
        <f>"21/05/2014"</f>
        <v>21/05/2014</v>
      </c>
      <c r="B1205" t="str">
        <f>"10.4584"</f>
        <v>10.4584</v>
      </c>
      <c r="C1205" t="str">
        <f>"10.513"</f>
        <v>10.513</v>
      </c>
    </row>
    <row r="1206" spans="1:3" x14ac:dyDescent="0.25">
      <c r="A1206" t="str">
        <f>"22/05/2014"</f>
        <v>22/05/2014</v>
      </c>
      <c r="B1206" t="str">
        <f>"10.3848"</f>
        <v>10.3848</v>
      </c>
      <c r="C1206" t="str">
        <f>"10.4405"</f>
        <v>10.4405</v>
      </c>
    </row>
    <row r="1207" spans="1:3" x14ac:dyDescent="0.25">
      <c r="A1207" t="str">
        <f>"23/05/2014"</f>
        <v>23/05/2014</v>
      </c>
      <c r="B1207" t="str">
        <f>"10.3509"</f>
        <v>10.3509</v>
      </c>
      <c r="C1207" t="str">
        <f>"10.4056"</f>
        <v>10.4056</v>
      </c>
    </row>
    <row r="1208" spans="1:3" x14ac:dyDescent="0.25">
      <c r="A1208" t="str">
        <f>"26/05/2014"</f>
        <v>26/05/2014</v>
      </c>
      <c r="B1208" t="str">
        <f>"10.3251"</f>
        <v>10.3251</v>
      </c>
      <c r="C1208" t="str">
        <f>"10.3837"</f>
        <v>10.3837</v>
      </c>
    </row>
    <row r="1209" spans="1:3" x14ac:dyDescent="0.25">
      <c r="A1209" t="str">
        <f>"27/05/2014"</f>
        <v>27/05/2014</v>
      </c>
      <c r="B1209" t="str">
        <f>"10.3514"</f>
        <v>10.3514</v>
      </c>
      <c r="C1209" t="str">
        <f>"10.4087"</f>
        <v>10.4087</v>
      </c>
    </row>
    <row r="1210" spans="1:3" x14ac:dyDescent="0.25">
      <c r="A1210" t="str">
        <f>"28/05/2014"</f>
        <v>28/05/2014</v>
      </c>
      <c r="B1210" t="str">
        <f>"10.4604"</f>
        <v>10.4604</v>
      </c>
      <c r="C1210" t="str">
        <f>"10.5172"</f>
        <v>10.5172</v>
      </c>
    </row>
    <row r="1211" spans="1:3" x14ac:dyDescent="0.25">
      <c r="A1211" t="str">
        <f>"29/05/2014"</f>
        <v>29/05/2014</v>
      </c>
      <c r="B1211" t="str">
        <f>"10.4666"</f>
        <v>10.4666</v>
      </c>
      <c r="C1211" t="str">
        <f>"10.5218"</f>
        <v>10.5218</v>
      </c>
    </row>
    <row r="1212" spans="1:3" x14ac:dyDescent="0.25">
      <c r="A1212" t="str">
        <f>"30/05/2014"</f>
        <v>30/05/2014</v>
      </c>
      <c r="B1212" t="str">
        <f>"10.4233"</f>
        <v>10.4233</v>
      </c>
      <c r="C1212" t="str">
        <f>"10.4781"</f>
        <v>10.4781</v>
      </c>
    </row>
    <row r="1213" spans="1:3" x14ac:dyDescent="0.25">
      <c r="A1213" t="str">
        <f>"02/06/2014"</f>
        <v>02/06/2014</v>
      </c>
      <c r="B1213" t="str">
        <f>"10.5902"</f>
        <v>10.5902</v>
      </c>
      <c r="C1213" t="str">
        <f>"10.6448"</f>
        <v>10.6448</v>
      </c>
    </row>
    <row r="1214" spans="1:3" x14ac:dyDescent="0.25">
      <c r="A1214" t="str">
        <f>"03/06/2014"</f>
        <v>03/06/2014</v>
      </c>
      <c r="B1214" t="str">
        <f>"10.6653"</f>
        <v>10.6653</v>
      </c>
      <c r="C1214" t="str">
        <f>"10.7246"</f>
        <v>10.7246</v>
      </c>
    </row>
    <row r="1215" spans="1:3" x14ac:dyDescent="0.25">
      <c r="A1215" t="str">
        <f>"04/06/2014"</f>
        <v>04/06/2014</v>
      </c>
      <c r="B1215" t="str">
        <f>"10.7611"</f>
        <v>10.7611</v>
      </c>
      <c r="C1215" t="str">
        <f>"10.8187"</f>
        <v>10.8187</v>
      </c>
    </row>
    <row r="1216" spans="1:3" x14ac:dyDescent="0.25">
      <c r="A1216" t="str">
        <f>"05/06/2014"</f>
        <v>05/06/2014</v>
      </c>
      <c r="B1216" t="str">
        <f>"10.7513"</f>
        <v>10.7513</v>
      </c>
      <c r="C1216" t="str">
        <f>"10.8076"</f>
        <v>10.8076</v>
      </c>
    </row>
    <row r="1217" spans="1:3" x14ac:dyDescent="0.25">
      <c r="A1217" t="str">
        <f>"06/06/2014"</f>
        <v>06/06/2014</v>
      </c>
      <c r="B1217" t="str">
        <f>"10.707"</f>
        <v>10.707</v>
      </c>
      <c r="C1217" t="str">
        <f>"10.7617"</f>
        <v>10.7617</v>
      </c>
    </row>
    <row r="1218" spans="1:3" x14ac:dyDescent="0.25">
      <c r="A1218" t="str">
        <f>"09/06/2014"</f>
        <v>09/06/2014</v>
      </c>
      <c r="B1218" t="str">
        <f>"10.5851"</f>
        <v>10.5851</v>
      </c>
      <c r="C1218" t="str">
        <f>"10.6411"</f>
        <v>10.6411</v>
      </c>
    </row>
    <row r="1219" spans="1:3" x14ac:dyDescent="0.25">
      <c r="A1219" t="str">
        <f>"10/06/2014"</f>
        <v>10/06/2014</v>
      </c>
      <c r="B1219" t="str">
        <f>"10.6449"</f>
        <v>10.6449</v>
      </c>
      <c r="C1219" t="str">
        <f>"10.7054"</f>
        <v>10.7054</v>
      </c>
    </row>
    <row r="1220" spans="1:3" x14ac:dyDescent="0.25">
      <c r="A1220" t="str">
        <f>"11/06/2014"</f>
        <v>11/06/2014</v>
      </c>
      <c r="B1220" t="str">
        <f>"10.7004"</f>
        <v>10.7004</v>
      </c>
      <c r="C1220" t="str">
        <f>"10.7579"</f>
        <v>10.7579</v>
      </c>
    </row>
    <row r="1221" spans="1:3" x14ac:dyDescent="0.25">
      <c r="A1221" t="str">
        <f>"12/06/2014"</f>
        <v>12/06/2014</v>
      </c>
      <c r="B1221" t="str">
        <f>"10.7538"</f>
        <v>10.7538</v>
      </c>
      <c r="C1221" t="str">
        <f>"10.8097"</f>
        <v>10.8097</v>
      </c>
    </row>
    <row r="1222" spans="1:3" x14ac:dyDescent="0.25">
      <c r="A1222" t="str">
        <f>"13/06/2014"</f>
        <v>13/06/2014</v>
      </c>
      <c r="B1222" t="str">
        <f>"10.698"</f>
        <v>10.698</v>
      </c>
      <c r="C1222" t="str">
        <f>"10.752"</f>
        <v>10.752</v>
      </c>
    </row>
    <row r="1223" spans="1:3" x14ac:dyDescent="0.25">
      <c r="A1223" t="str">
        <f>"16/06/2014"</f>
        <v>16/06/2014</v>
      </c>
      <c r="B1223" t="str">
        <f>"10.7285"</f>
        <v>10.7285</v>
      </c>
      <c r="C1223" t="str">
        <f>"10.7843"</f>
        <v>10.7843</v>
      </c>
    </row>
    <row r="1224" spans="1:3" x14ac:dyDescent="0.25">
      <c r="A1224" t="str">
        <f>"17/06/2014"</f>
        <v>17/06/2014</v>
      </c>
      <c r="B1224" t="str">
        <f>"10.768"</f>
        <v>10.768</v>
      </c>
      <c r="C1224" t="str">
        <f>"10.8278"</f>
        <v>10.8278</v>
      </c>
    </row>
    <row r="1225" spans="1:3" x14ac:dyDescent="0.25">
      <c r="A1225" t="str">
        <f>"18/06/2014"</f>
        <v>18/06/2014</v>
      </c>
      <c r="B1225" t="str">
        <f>"10.8504"</f>
        <v>10.8504</v>
      </c>
      <c r="C1225" t="str">
        <f>"10.9094"</f>
        <v>10.9094</v>
      </c>
    </row>
    <row r="1226" spans="1:3" x14ac:dyDescent="0.25">
      <c r="A1226" t="str">
        <f>"19/06/2014"</f>
        <v>19/06/2014</v>
      </c>
      <c r="B1226" t="str">
        <f>"10.6794"</f>
        <v>10.6794</v>
      </c>
      <c r="C1226" t="str">
        <f>"10.7358"</f>
        <v>10.7358</v>
      </c>
    </row>
    <row r="1227" spans="1:3" x14ac:dyDescent="0.25">
      <c r="A1227" t="str">
        <f>"20/06/2014"</f>
        <v>20/06/2014</v>
      </c>
      <c r="B1227" t="str">
        <f>"10.7298"</f>
        <v>10.7298</v>
      </c>
      <c r="C1227" t="str">
        <f>"10.787"</f>
        <v>10.787</v>
      </c>
    </row>
    <row r="1228" spans="1:3" x14ac:dyDescent="0.25">
      <c r="A1228" t="str">
        <f>"23/06/2014"</f>
        <v>23/06/2014</v>
      </c>
      <c r="B1228" t="str">
        <f>"10.6631"</f>
        <v>10.6631</v>
      </c>
      <c r="C1228" t="str">
        <f>"10.7202"</f>
        <v>10.7202</v>
      </c>
    </row>
    <row r="1229" spans="1:3" x14ac:dyDescent="0.25">
      <c r="A1229" t="str">
        <f>"24/06/2014"</f>
        <v>24/06/2014</v>
      </c>
      <c r="B1229" t="str">
        <f>"10.6032"</f>
        <v>10.6032</v>
      </c>
      <c r="C1229" t="str">
        <f>"10.66"</f>
        <v>10.66</v>
      </c>
    </row>
    <row r="1230" spans="1:3" x14ac:dyDescent="0.25">
      <c r="A1230" t="str">
        <f>"25/06/2014"</f>
        <v>25/06/2014</v>
      </c>
      <c r="B1230" t="str">
        <f>"10.6466"</f>
        <v>10.6466</v>
      </c>
      <c r="C1230" t="str">
        <f>"10.7051"</f>
        <v>10.7051</v>
      </c>
    </row>
    <row r="1231" spans="1:3" x14ac:dyDescent="0.25">
      <c r="A1231" t="str">
        <f>"26/06/2014"</f>
        <v>26/06/2014</v>
      </c>
      <c r="B1231" t="str">
        <f>"10.5904"</f>
        <v>10.5904</v>
      </c>
      <c r="C1231" t="str">
        <f>"10.6465"</f>
        <v>10.6465</v>
      </c>
    </row>
    <row r="1232" spans="1:3" x14ac:dyDescent="0.25">
      <c r="A1232" t="str">
        <f>"27/06/2014"</f>
        <v>27/06/2014</v>
      </c>
      <c r="B1232" t="str">
        <f>"10.6314"</f>
        <v>10.6314</v>
      </c>
      <c r="C1232" t="str">
        <f>"10.6911"</f>
        <v>10.6911</v>
      </c>
    </row>
    <row r="1233" spans="1:3" x14ac:dyDescent="0.25">
      <c r="A1233" t="str">
        <f>"30/06/2014"</f>
        <v>30/06/2014</v>
      </c>
      <c r="B1233" t="str">
        <f>"10.5807"</f>
        <v>10.5807</v>
      </c>
      <c r="C1233" t="str">
        <f>"10.6434"</f>
        <v>10.6434</v>
      </c>
    </row>
    <row r="1234" spans="1:3" x14ac:dyDescent="0.25">
      <c r="A1234" t="str">
        <f>"01/07/2014"</f>
        <v>01/07/2014</v>
      </c>
      <c r="B1234" t="str">
        <f>"10.6306"</f>
        <v>10.6306</v>
      </c>
      <c r="C1234" t="str">
        <f>"10.691"</f>
        <v>10.691</v>
      </c>
    </row>
    <row r="1235" spans="1:3" x14ac:dyDescent="0.25">
      <c r="A1235" t="str">
        <f>"02/07/2014"</f>
        <v>02/07/2014</v>
      </c>
      <c r="B1235" t="str">
        <f>"10.6687"</f>
        <v>10.6687</v>
      </c>
      <c r="C1235" t="str">
        <f>"10.7283"</f>
        <v>10.7283</v>
      </c>
    </row>
    <row r="1236" spans="1:3" x14ac:dyDescent="0.25">
      <c r="A1236" t="str">
        <f>"03/07/2014"</f>
        <v>03/07/2014</v>
      </c>
      <c r="B1236" t="str">
        <f>"10.7488"</f>
        <v>10.7488</v>
      </c>
      <c r="C1236" t="str">
        <f>"10.8079"</f>
        <v>10.8079</v>
      </c>
    </row>
    <row r="1237" spans="1:3" x14ac:dyDescent="0.25">
      <c r="A1237" t="str">
        <f>"04/07/2014"</f>
        <v>04/07/2014</v>
      </c>
      <c r="B1237" t="str">
        <f>"10.7453"</f>
        <v>10.7453</v>
      </c>
      <c r="C1237" t="str">
        <f>"10.8038"</f>
        <v>10.8038</v>
      </c>
    </row>
    <row r="1238" spans="1:3" x14ac:dyDescent="0.25">
      <c r="A1238" t="str">
        <f>"07/07/2014"</f>
        <v>07/07/2014</v>
      </c>
      <c r="B1238" t="str">
        <f>"10.7676"</f>
        <v>10.7676</v>
      </c>
      <c r="C1238" t="str">
        <f>"10.8275"</f>
        <v>10.8275</v>
      </c>
    </row>
    <row r="1239" spans="1:3" x14ac:dyDescent="0.25">
      <c r="A1239" t="str">
        <f>"08/07/2014"</f>
        <v>08/07/2014</v>
      </c>
      <c r="B1239" t="str">
        <f>"10.7112"</f>
        <v>10.7112</v>
      </c>
      <c r="C1239" t="str">
        <f>"10.7669"</f>
        <v>10.7669</v>
      </c>
    </row>
    <row r="1240" spans="1:3" x14ac:dyDescent="0.25">
      <c r="A1240" t="str">
        <f>"09/07/2014"</f>
        <v>09/07/2014</v>
      </c>
      <c r="B1240" t="str">
        <f>"10.6905"</f>
        <v>10.6905</v>
      </c>
      <c r="C1240" t="str">
        <f>"10.749"</f>
        <v>10.749</v>
      </c>
    </row>
    <row r="1241" spans="1:3" x14ac:dyDescent="0.25">
      <c r="A1241" t="str">
        <f>"10/07/2014"</f>
        <v>10/07/2014</v>
      </c>
      <c r="B1241" t="str">
        <f>"10.6836"</f>
        <v>10.6836</v>
      </c>
      <c r="C1241" t="str">
        <f>"10.7399"</f>
        <v>10.7399</v>
      </c>
    </row>
    <row r="1242" spans="1:3" x14ac:dyDescent="0.25">
      <c r="A1242" t="str">
        <f>"11/07/2014"</f>
        <v>11/07/2014</v>
      </c>
      <c r="B1242" t="str">
        <f>"10.7033"</f>
        <v>10.7033</v>
      </c>
      <c r="C1242" t="str">
        <f>"10.762"</f>
        <v>10.762</v>
      </c>
    </row>
    <row r="1243" spans="1:3" x14ac:dyDescent="0.25">
      <c r="A1243" t="str">
        <f>"14/07/2014"</f>
        <v>14/07/2014</v>
      </c>
      <c r="B1243" t="str">
        <f>"10.7332"</f>
        <v>10.7332</v>
      </c>
      <c r="C1243" t="str">
        <f>"10.788"</f>
        <v>10.788</v>
      </c>
    </row>
    <row r="1244" spans="1:3" x14ac:dyDescent="0.25">
      <c r="A1244" t="str">
        <f>"15/07/2014"</f>
        <v>15/07/2014</v>
      </c>
      <c r="B1244" t="str">
        <f>"10.6984"</f>
        <v>10.6984</v>
      </c>
      <c r="C1244" t="str">
        <f>"10.7596"</f>
        <v>10.7596</v>
      </c>
    </row>
    <row r="1245" spans="1:3" x14ac:dyDescent="0.25">
      <c r="A1245" t="str">
        <f>"16/07/2014"</f>
        <v>16/07/2014</v>
      </c>
      <c r="B1245" t="str">
        <f>"10.7305"</f>
        <v>10.7305</v>
      </c>
      <c r="C1245" t="str">
        <f>"10.7891"</f>
        <v>10.7891</v>
      </c>
    </row>
    <row r="1246" spans="1:3" x14ac:dyDescent="0.25">
      <c r="A1246" t="str">
        <f>"17/07/2014"</f>
        <v>17/07/2014</v>
      </c>
      <c r="B1246" t="str">
        <f>"10.6798"</f>
        <v>10.6798</v>
      </c>
      <c r="C1246" t="str">
        <f>"10.7395"</f>
        <v>10.7395</v>
      </c>
    </row>
    <row r="1247" spans="1:3" x14ac:dyDescent="0.25">
      <c r="A1247" t="str">
        <f>"18/07/2014"</f>
        <v>18/07/2014</v>
      </c>
      <c r="B1247" t="str">
        <f>"10.729"</f>
        <v>10.729</v>
      </c>
      <c r="C1247" t="str">
        <f>"10.7894"</f>
        <v>10.7894</v>
      </c>
    </row>
    <row r="1248" spans="1:3" x14ac:dyDescent="0.25">
      <c r="A1248" t="str">
        <f>"21/07/2014"</f>
        <v>21/07/2014</v>
      </c>
      <c r="B1248" t="str">
        <f>"10.6444"</f>
        <v>10.6444</v>
      </c>
      <c r="C1248" t="str">
        <f>"10.7081"</f>
        <v>10.7081</v>
      </c>
    </row>
    <row r="1249" spans="1:3" x14ac:dyDescent="0.25">
      <c r="A1249" t="str">
        <f>"22/07/2014"</f>
        <v>22/07/2014</v>
      </c>
      <c r="B1249" t="str">
        <f>"10.627"</f>
        <v>10.627</v>
      </c>
      <c r="C1249" t="str">
        <f>"10.689"</f>
        <v>10.689</v>
      </c>
    </row>
    <row r="1250" spans="1:3" x14ac:dyDescent="0.25">
      <c r="A1250" t="str">
        <f>"23/07/2014"</f>
        <v>23/07/2014</v>
      </c>
      <c r="B1250" t="str">
        <f>"10.573"</f>
        <v>10.573</v>
      </c>
      <c r="C1250" t="str">
        <f>"10.6331"</f>
        <v>10.6331</v>
      </c>
    </row>
    <row r="1251" spans="1:3" x14ac:dyDescent="0.25">
      <c r="A1251" t="str">
        <f>"24/07/2014"</f>
        <v>24/07/2014</v>
      </c>
      <c r="B1251" t="str">
        <f>"10.5244"</f>
        <v>10.5244</v>
      </c>
      <c r="C1251" t="str">
        <f>"10.5819"</f>
        <v>10.5819</v>
      </c>
    </row>
    <row r="1252" spans="1:3" x14ac:dyDescent="0.25">
      <c r="A1252" t="str">
        <f>"25/07/2014"</f>
        <v>25/07/2014</v>
      </c>
      <c r="B1252" t="str">
        <f>"10.541"</f>
        <v>10.541</v>
      </c>
      <c r="C1252" t="str">
        <f>"10.60"</f>
        <v>10.60</v>
      </c>
    </row>
    <row r="1253" spans="1:3" x14ac:dyDescent="0.25">
      <c r="A1253" t="str">
        <f>"28/07/2014"</f>
        <v>28/07/2014</v>
      </c>
      <c r="B1253" t="str">
        <f>"10.5006"</f>
        <v>10.5006</v>
      </c>
      <c r="C1253" t="str">
        <f>"10.5591"</f>
        <v>10.5591</v>
      </c>
    </row>
    <row r="1254" spans="1:3" x14ac:dyDescent="0.25">
      <c r="A1254" t="str">
        <f>"30/07/2014"</f>
        <v>30/07/2014</v>
      </c>
      <c r="B1254" t="str">
        <f>"10.6097"</f>
        <v>10.6097</v>
      </c>
      <c r="C1254" t="str">
        <f>"10.6706"</f>
        <v>10.6706</v>
      </c>
    </row>
    <row r="1255" spans="1:3" x14ac:dyDescent="0.25">
      <c r="A1255" t="str">
        <f>"31/07/2014"</f>
        <v>31/07/2014</v>
      </c>
      <c r="B1255" t="str">
        <f>"10.6829"</f>
        <v>10.6829</v>
      </c>
      <c r="C1255" t="str">
        <f>"10.7422"</f>
        <v>10.7422</v>
      </c>
    </row>
    <row r="1256" spans="1:3" x14ac:dyDescent="0.25">
      <c r="A1256" t="str">
        <f>"01/08/2014"</f>
        <v>01/08/2014</v>
      </c>
      <c r="B1256" t="str">
        <f>"10.7179"</f>
        <v>10.7179</v>
      </c>
      <c r="C1256" t="str">
        <f>"10.7753"</f>
        <v>10.7753</v>
      </c>
    </row>
    <row r="1257" spans="1:3" x14ac:dyDescent="0.25">
      <c r="A1257" t="str">
        <f>"04/08/2014"</f>
        <v>04/08/2014</v>
      </c>
      <c r="B1257" t="str">
        <f>"10.6644"</f>
        <v>10.6644</v>
      </c>
      <c r="C1257" t="str">
        <f>"10.7274"</f>
        <v>10.7274</v>
      </c>
    </row>
    <row r="1258" spans="1:3" x14ac:dyDescent="0.25">
      <c r="A1258" t="str">
        <f>"05/08/2014"</f>
        <v>05/08/2014</v>
      </c>
      <c r="B1258" t="str">
        <f>"10.6604"</f>
        <v>10.6604</v>
      </c>
      <c r="C1258" t="str">
        <f>"10.7209"</f>
        <v>10.7209</v>
      </c>
    </row>
    <row r="1259" spans="1:3" x14ac:dyDescent="0.25">
      <c r="A1259" t="str">
        <f>"06/08/2014"</f>
        <v>06/08/2014</v>
      </c>
      <c r="B1259" t="str">
        <f>"10.755"</f>
        <v>10.755</v>
      </c>
      <c r="C1259" t="str">
        <f>"10.8145"</f>
        <v>10.8145</v>
      </c>
    </row>
    <row r="1260" spans="1:3" x14ac:dyDescent="0.25">
      <c r="A1260" t="str">
        <f>"07/08/2014"</f>
        <v>07/08/2014</v>
      </c>
      <c r="B1260" t="str">
        <f>"10.7338"</f>
        <v>10.7338</v>
      </c>
      <c r="C1260" t="str">
        <f>"10.7938"</f>
        <v>10.7938</v>
      </c>
    </row>
    <row r="1261" spans="1:3" x14ac:dyDescent="0.25">
      <c r="A1261" t="str">
        <f>"08/08/2014"</f>
        <v>08/08/2014</v>
      </c>
      <c r="B1261" t="str">
        <f>"10.7914"</f>
        <v>10.7914</v>
      </c>
      <c r="C1261" t="str">
        <f>"10.8521"</f>
        <v>10.8521</v>
      </c>
    </row>
    <row r="1262" spans="1:3" x14ac:dyDescent="0.25">
      <c r="A1262" t="str">
        <f>"11/08/2014"</f>
        <v>11/08/2014</v>
      </c>
      <c r="B1262" t="str">
        <f>"10.6483"</f>
        <v>10.6483</v>
      </c>
      <c r="C1262" t="str">
        <f>"10.7127"</f>
        <v>10.7127</v>
      </c>
    </row>
    <row r="1263" spans="1:3" x14ac:dyDescent="0.25">
      <c r="A1263" t="str">
        <f>"12/08/2014"</f>
        <v>12/08/2014</v>
      </c>
      <c r="B1263" t="str">
        <f>"10.654"</f>
        <v>10.654</v>
      </c>
      <c r="C1263" t="str">
        <f>"10.7161"</f>
        <v>10.7161</v>
      </c>
    </row>
    <row r="1264" spans="1:3" x14ac:dyDescent="0.25">
      <c r="A1264" t="str">
        <f>"13/08/2014"</f>
        <v>13/08/2014</v>
      </c>
      <c r="B1264" t="str">
        <f>"10.6401"</f>
        <v>10.6401</v>
      </c>
      <c r="C1264" t="str">
        <f>"10.6992"</f>
        <v>10.6992</v>
      </c>
    </row>
    <row r="1265" spans="1:3" x14ac:dyDescent="0.25">
      <c r="A1265" t="str">
        <f>"14/08/2014"</f>
        <v>14/08/2014</v>
      </c>
      <c r="B1265" t="str">
        <f>"10.5914"</f>
        <v>10.5914</v>
      </c>
      <c r="C1265" t="str">
        <f>"10.6497"</f>
        <v>10.6497</v>
      </c>
    </row>
    <row r="1266" spans="1:3" x14ac:dyDescent="0.25">
      <c r="A1266" t="str">
        <f>"19/08/2014"</f>
        <v>19/08/2014</v>
      </c>
      <c r="B1266" t="str">
        <f>"10.6201"</f>
        <v>10.6201</v>
      </c>
      <c r="C1266" t="str">
        <f>"10.6813"</f>
        <v>10.6813</v>
      </c>
    </row>
    <row r="1267" spans="1:3" x14ac:dyDescent="0.25">
      <c r="A1267" t="str">
        <f>"20/08/2014"</f>
        <v>20/08/2014</v>
      </c>
      <c r="B1267" t="str">
        <f>"10.6799"</f>
        <v>10.6799</v>
      </c>
      <c r="C1267" t="str">
        <f>"10.738"</f>
        <v>10.738</v>
      </c>
    </row>
    <row r="1268" spans="1:3" x14ac:dyDescent="0.25">
      <c r="A1268" t="str">
        <f>"21/08/2014"</f>
        <v>21/08/2014</v>
      </c>
      <c r="B1268" t="str">
        <f>"10.7495"</f>
        <v>10.7495</v>
      </c>
      <c r="C1268" t="str">
        <f>"10.8072"</f>
        <v>10.8072</v>
      </c>
    </row>
    <row r="1269" spans="1:3" x14ac:dyDescent="0.25">
      <c r="A1269" t="str">
        <f>"22/08/2014"</f>
        <v>22/08/2014</v>
      </c>
      <c r="B1269" t="str">
        <f>"10.7002"</f>
        <v>10.7002</v>
      </c>
      <c r="C1269" t="str">
        <f>"10.7579"</f>
        <v>10.7579</v>
      </c>
    </row>
    <row r="1270" spans="1:3" x14ac:dyDescent="0.25">
      <c r="A1270" t="str">
        <f>"25/08/2014"</f>
        <v>25/08/2014</v>
      </c>
      <c r="B1270" t="str">
        <f>"10.7212"</f>
        <v>10.7212</v>
      </c>
      <c r="C1270" t="str">
        <f>"10.7841"</f>
        <v>10.7841</v>
      </c>
    </row>
    <row r="1271" spans="1:3" x14ac:dyDescent="0.25">
      <c r="A1271" t="str">
        <f>"26/08/2014"</f>
        <v>26/08/2014</v>
      </c>
      <c r="B1271" t="str">
        <f>"10.7097"</f>
        <v>10.7097</v>
      </c>
      <c r="C1271" t="str">
        <f>"10.7695"</f>
        <v>10.7695</v>
      </c>
    </row>
    <row r="1272" spans="1:3" x14ac:dyDescent="0.25">
      <c r="A1272" t="str">
        <f>"27/08/2014"</f>
        <v>27/08/2014</v>
      </c>
      <c r="B1272" t="str">
        <f>"10.6823"</f>
        <v>10.6823</v>
      </c>
      <c r="C1272" t="str">
        <f>"10.7427"</f>
        <v>10.7427</v>
      </c>
    </row>
    <row r="1273" spans="1:3" x14ac:dyDescent="0.25">
      <c r="A1273" t="str">
        <f>"28/08/2014"</f>
        <v>28/08/2014</v>
      </c>
      <c r="B1273" t="str">
        <f>"10.619"</f>
        <v>10.619</v>
      </c>
      <c r="C1273" t="str">
        <f>"10.675"</f>
        <v>10.675</v>
      </c>
    </row>
    <row r="1274" spans="1:3" x14ac:dyDescent="0.25">
      <c r="A1274" t="str">
        <f>"01/09/2014"</f>
        <v>01/09/2014</v>
      </c>
      <c r="B1274" t="str">
        <f>"10.6563"</f>
        <v>10.6563</v>
      </c>
      <c r="C1274" t="str">
        <f>"10.7123"</f>
        <v>10.7123</v>
      </c>
    </row>
    <row r="1275" spans="1:3" x14ac:dyDescent="0.25">
      <c r="A1275" t="str">
        <f>"02/09/2014"</f>
        <v>02/09/2014</v>
      </c>
      <c r="B1275" t="str">
        <f>"10.7111"</f>
        <v>10.7111</v>
      </c>
      <c r="C1275" t="str">
        <f>"10.7715"</f>
        <v>10.7715</v>
      </c>
    </row>
    <row r="1276" spans="1:3" x14ac:dyDescent="0.25">
      <c r="A1276" t="str">
        <f>"03/09/2014"</f>
        <v>03/09/2014</v>
      </c>
      <c r="B1276" t="str">
        <f>"10.7413"</f>
        <v>10.7413</v>
      </c>
      <c r="C1276" t="str">
        <f>"10.7988"</f>
        <v>10.7988</v>
      </c>
    </row>
    <row r="1277" spans="1:3" x14ac:dyDescent="0.25">
      <c r="A1277" t="str">
        <f>"04/09/2014"</f>
        <v>04/09/2014</v>
      </c>
      <c r="B1277" t="str">
        <f>"10.6872"</f>
        <v>10.6872</v>
      </c>
      <c r="C1277" t="str">
        <f>"10.7437"</f>
        <v>10.7437</v>
      </c>
    </row>
    <row r="1278" spans="1:3" x14ac:dyDescent="0.25">
      <c r="A1278" t="str">
        <f>"05/09/2014"</f>
        <v>05/09/2014</v>
      </c>
      <c r="B1278" t="str">
        <f>"10.7283"</f>
        <v>10.7283</v>
      </c>
      <c r="C1278" t="str">
        <f>"10.7845"</f>
        <v>10.7845</v>
      </c>
    </row>
    <row r="1279" spans="1:3" x14ac:dyDescent="0.25">
      <c r="A1279" t="str">
        <f>"08/09/2014"</f>
        <v>08/09/2014</v>
      </c>
      <c r="B1279" t="str">
        <f>"10.7095"</f>
        <v>10.7095</v>
      </c>
      <c r="C1279" t="str">
        <f>"10.7653"</f>
        <v>10.7653</v>
      </c>
    </row>
    <row r="1280" spans="1:3" x14ac:dyDescent="0.25">
      <c r="A1280" t="str">
        <f>"09/09/2014"</f>
        <v>09/09/2014</v>
      </c>
      <c r="B1280" t="str">
        <f>"10.8315"</f>
        <v>10.8315</v>
      </c>
      <c r="C1280" t="str">
        <f>"10.8934"</f>
        <v>10.8934</v>
      </c>
    </row>
    <row r="1281" spans="1:3" x14ac:dyDescent="0.25">
      <c r="A1281" t="str">
        <f>"10/09/2014"</f>
        <v>10/09/2014</v>
      </c>
      <c r="B1281" t="str">
        <f>"10.9388"</f>
        <v>10.9388</v>
      </c>
      <c r="C1281" t="str">
        <f>"11.0042"</f>
        <v>11.0042</v>
      </c>
    </row>
    <row r="1282" spans="1:3" x14ac:dyDescent="0.25">
      <c r="A1282" t="str">
        <f>"11/09/2014"</f>
        <v>11/09/2014</v>
      </c>
      <c r="B1282" t="str">
        <f>"10.9562"</f>
        <v>10.9562</v>
      </c>
      <c r="C1282" t="str">
        <f>"11.0181"</f>
        <v>11.0181</v>
      </c>
    </row>
    <row r="1283" spans="1:3" x14ac:dyDescent="0.25">
      <c r="A1283" t="str">
        <f>"12/09/2014"</f>
        <v>12/09/2014</v>
      </c>
      <c r="B1283" t="str">
        <f>"11.0004"</f>
        <v>11.0004</v>
      </c>
      <c r="C1283" t="str">
        <f>"11.0592"</f>
        <v>11.0592</v>
      </c>
    </row>
    <row r="1284" spans="1:3" x14ac:dyDescent="0.25">
      <c r="A1284" t="str">
        <f>"15/09/2014"</f>
        <v>15/09/2014</v>
      </c>
      <c r="B1284" t="str">
        <f>"11.059"</f>
        <v>11.059</v>
      </c>
      <c r="C1284" t="str">
        <f>"11.1216"</f>
        <v>11.1216</v>
      </c>
    </row>
    <row r="1285" spans="1:3" x14ac:dyDescent="0.25">
      <c r="A1285" t="str">
        <f>"16/09/2014"</f>
        <v>16/09/2014</v>
      </c>
      <c r="B1285" t="str">
        <f>"10.9641"</f>
        <v>10.9641</v>
      </c>
      <c r="C1285" t="str">
        <f>"11.0237"</f>
        <v>11.0237</v>
      </c>
    </row>
    <row r="1286" spans="1:3" x14ac:dyDescent="0.25">
      <c r="A1286" t="str">
        <f>"17/09/2014"</f>
        <v>17/09/2014</v>
      </c>
      <c r="B1286" t="str">
        <f>"10.9203"</f>
        <v>10.9203</v>
      </c>
      <c r="C1286" t="str">
        <f>"10.9842"</f>
        <v>10.9842</v>
      </c>
    </row>
    <row r="1287" spans="1:3" x14ac:dyDescent="0.25">
      <c r="A1287" t="str">
        <f>"18/09/2014"</f>
        <v>18/09/2014</v>
      </c>
      <c r="B1287" t="str">
        <f>"11.0529"</f>
        <v>11.0529</v>
      </c>
      <c r="C1287" t="str">
        <f>"11.116"</f>
        <v>11.116</v>
      </c>
    </row>
    <row r="1288" spans="1:3" x14ac:dyDescent="0.25">
      <c r="A1288" t="str">
        <f>"19/09/2014"</f>
        <v>19/09/2014</v>
      </c>
      <c r="B1288" t="str">
        <f>"11.0954"</f>
        <v>11.0954</v>
      </c>
      <c r="C1288" t="str">
        <f>"11.1534"</f>
        <v>11.1534</v>
      </c>
    </row>
    <row r="1289" spans="1:3" x14ac:dyDescent="0.25">
      <c r="A1289" t="str">
        <f>"22/09/2014"</f>
        <v>22/09/2014</v>
      </c>
      <c r="B1289" t="str">
        <f>"11.0543"</f>
        <v>11.0543</v>
      </c>
      <c r="C1289" t="str">
        <f>"11.1213"</f>
        <v>11.1213</v>
      </c>
    </row>
    <row r="1290" spans="1:3" x14ac:dyDescent="0.25">
      <c r="A1290" t="str">
        <f>"23/09/2014"</f>
        <v>23/09/2014</v>
      </c>
      <c r="B1290" t="str">
        <f>"11.1476"</f>
        <v>11.1476</v>
      </c>
      <c r="C1290" t="str">
        <f>"11.2142"</f>
        <v>11.2142</v>
      </c>
    </row>
    <row r="1291" spans="1:3" x14ac:dyDescent="0.25">
      <c r="A1291" t="str">
        <f>"24/09/2014"</f>
        <v>24/09/2014</v>
      </c>
      <c r="B1291" t="str">
        <f>"11.1507"</f>
        <v>11.1507</v>
      </c>
      <c r="C1291" t="str">
        <f>"11.2174"</f>
        <v>11.2174</v>
      </c>
    </row>
    <row r="1292" spans="1:3" x14ac:dyDescent="0.25">
      <c r="A1292" t="str">
        <f>"25/09/2014"</f>
        <v>25/09/2014</v>
      </c>
      <c r="B1292" t="str">
        <f>"11.1691"</f>
        <v>11.1691</v>
      </c>
      <c r="C1292" t="str">
        <f>"11.2332"</f>
        <v>11.2332</v>
      </c>
    </row>
    <row r="1293" spans="1:3" x14ac:dyDescent="0.25">
      <c r="A1293" t="str">
        <f>"26/09/2014"</f>
        <v>26/09/2014</v>
      </c>
      <c r="B1293" t="str">
        <f>"11.2079"</f>
        <v>11.2079</v>
      </c>
      <c r="C1293" t="str">
        <f>"11.2752"</f>
        <v>11.2752</v>
      </c>
    </row>
    <row r="1294" spans="1:3" x14ac:dyDescent="0.25">
      <c r="A1294" t="str">
        <f>"29/09/2014"</f>
        <v>29/09/2014</v>
      </c>
      <c r="B1294" t="str">
        <f>"11.2484"</f>
        <v>11.2484</v>
      </c>
      <c r="C1294" t="str">
        <f>"11.3686"</f>
        <v>11.3686</v>
      </c>
    </row>
    <row r="1295" spans="1:3" x14ac:dyDescent="0.25">
      <c r="A1295" t="str">
        <f>"30/09/2014"</f>
        <v>30/09/2014</v>
      </c>
      <c r="B1295" t="str">
        <f>"11.2507"</f>
        <v>11.2507</v>
      </c>
      <c r="C1295" t="str">
        <f>"11.3678"</f>
        <v>11.3678</v>
      </c>
    </row>
    <row r="1296" spans="1:3" x14ac:dyDescent="0.25">
      <c r="A1296" t="str">
        <f>"01/10/2014"</f>
        <v>01/10/2014</v>
      </c>
      <c r="B1296" t="str">
        <f>"11.3296"</f>
        <v>11.3296</v>
      </c>
      <c r="C1296" t="str">
        <f>"11.4433"</f>
        <v>11.4433</v>
      </c>
    </row>
    <row r="1297" spans="1:3" x14ac:dyDescent="0.25">
      <c r="A1297" t="str">
        <f>"07/10/2014"</f>
        <v>07/10/2014</v>
      </c>
      <c r="B1297" t="str">
        <f>"11.24"</f>
        <v>11.24</v>
      </c>
      <c r="C1297" t="str">
        <f>"11.3958"</f>
        <v>11.3958</v>
      </c>
    </row>
    <row r="1298" spans="1:3" x14ac:dyDescent="0.25">
      <c r="A1298" t="str">
        <f>"08/10/2014"</f>
        <v>08/10/2014</v>
      </c>
      <c r="B1298" t="str">
        <f>"11.224"</f>
        <v>11.224</v>
      </c>
      <c r="C1298" t="str">
        <f>"11.3399"</f>
        <v>11.3399</v>
      </c>
    </row>
    <row r="1299" spans="1:3" x14ac:dyDescent="0.25">
      <c r="A1299" t="str">
        <f>"09/10/2014"</f>
        <v>09/10/2014</v>
      </c>
      <c r="B1299" t="str">
        <f>"11.0345"</f>
        <v>11.0345</v>
      </c>
      <c r="C1299" t="str">
        <f>"11.1205"</f>
        <v>11.1205</v>
      </c>
    </row>
    <row r="1300" spans="1:3" x14ac:dyDescent="0.25">
      <c r="A1300" t="str">
        <f>"10/10/2014"</f>
        <v>10/10/2014</v>
      </c>
      <c r="B1300" t="str">
        <f>"11.0757"</f>
        <v>11.0757</v>
      </c>
      <c r="C1300" t="str">
        <f>"11.1898"</f>
        <v>11.1898</v>
      </c>
    </row>
    <row r="1301" spans="1:3" x14ac:dyDescent="0.25">
      <c r="A1301" t="str">
        <f>"13/10/2014"</f>
        <v>13/10/2014</v>
      </c>
      <c r="B1301" t="str">
        <f>"11.0948"</f>
        <v>11.0948</v>
      </c>
      <c r="C1301" t="str">
        <f>"11.2172"</f>
        <v>11.2172</v>
      </c>
    </row>
    <row r="1302" spans="1:3" x14ac:dyDescent="0.25">
      <c r="A1302" t="str">
        <f>"14/10/2014"</f>
        <v>14/10/2014</v>
      </c>
      <c r="B1302" t="str">
        <f>"11.0261"</f>
        <v>11.0261</v>
      </c>
      <c r="C1302" t="str">
        <f>"11.1156"</f>
        <v>11.1156</v>
      </c>
    </row>
    <row r="1303" spans="1:3" x14ac:dyDescent="0.25">
      <c r="A1303" t="str">
        <f>"16/10/2014"</f>
        <v>16/10/2014</v>
      </c>
      <c r="B1303" t="str">
        <f>"11.0768"</f>
        <v>11.0768</v>
      </c>
      <c r="C1303" t="str">
        <f>"11.191"</f>
        <v>11.191</v>
      </c>
    </row>
    <row r="1304" spans="1:3" x14ac:dyDescent="0.25">
      <c r="A1304" t="str">
        <f>"17/10/2014"</f>
        <v>17/10/2014</v>
      </c>
      <c r="B1304" t="str">
        <f>"11.1107"</f>
        <v>11.1107</v>
      </c>
      <c r="C1304" t="str">
        <f>"11.2251"</f>
        <v>11.2251</v>
      </c>
    </row>
    <row r="1305" spans="1:3" x14ac:dyDescent="0.25">
      <c r="A1305" t="str">
        <f>"20/10/2014"</f>
        <v>20/10/2014</v>
      </c>
      <c r="B1305" t="str">
        <f>"11.099"</f>
        <v>11.099</v>
      </c>
      <c r="C1305" t="str">
        <f>"11.2207"</f>
        <v>11.2207</v>
      </c>
    </row>
    <row r="1306" spans="1:3" x14ac:dyDescent="0.25">
      <c r="A1306" t="str">
        <f>"21/10/2014"</f>
        <v>21/10/2014</v>
      </c>
      <c r="B1306" t="str">
        <f>"11.019"</f>
        <v>11.019</v>
      </c>
      <c r="C1306" t="str">
        <f>"11.1074"</f>
        <v>11.1074</v>
      </c>
    </row>
    <row r="1307" spans="1:3" x14ac:dyDescent="0.25">
      <c r="A1307" t="str">
        <f>"22/10/2014"</f>
        <v>22/10/2014</v>
      </c>
      <c r="B1307" t="str">
        <f>"11.0449"</f>
        <v>11.0449</v>
      </c>
      <c r="C1307" t="str">
        <f>"11.155"</f>
        <v>11.155</v>
      </c>
    </row>
    <row r="1308" spans="1:3" x14ac:dyDescent="0.25">
      <c r="A1308" t="str">
        <f>"27/10/2014"</f>
        <v>27/10/2014</v>
      </c>
      <c r="B1308" t="str">
        <f>"10.9487"</f>
        <v>10.9487</v>
      </c>
      <c r="C1308" t="str">
        <f>"11.0572"</f>
        <v>11.0572</v>
      </c>
    </row>
    <row r="1309" spans="1:3" x14ac:dyDescent="0.25">
      <c r="A1309" t="str">
        <f>"28/10/2014"</f>
        <v>28/10/2014</v>
      </c>
      <c r="B1309" t="str">
        <f>"10.9583"</f>
        <v>10.9583</v>
      </c>
      <c r="C1309" t="str">
        <f>"11.0635"</f>
        <v>11.0635</v>
      </c>
    </row>
    <row r="1310" spans="1:3" x14ac:dyDescent="0.25">
      <c r="A1310" t="str">
        <f>"29/10/2014"</f>
        <v>29/10/2014</v>
      </c>
      <c r="B1310" t="str">
        <f>"10.8594"</f>
        <v>10.8594</v>
      </c>
      <c r="C1310" t="str">
        <f>"10.9606"</f>
        <v>10.9606</v>
      </c>
    </row>
    <row r="1311" spans="1:3" x14ac:dyDescent="0.25">
      <c r="A1311" t="str">
        <f>"30/10/2014"</f>
        <v>30/10/2014</v>
      </c>
      <c r="B1311" t="str">
        <f>"10.942"</f>
        <v>10.942</v>
      </c>
      <c r="C1311" t="str">
        <f>"11.0517"</f>
        <v>11.0517</v>
      </c>
    </row>
    <row r="1312" spans="1:3" x14ac:dyDescent="0.25">
      <c r="A1312" t="str">
        <f>"31/10/2014"</f>
        <v>31/10/2014</v>
      </c>
      <c r="B1312" t="str">
        <f>"10.879"</f>
        <v>10.879</v>
      </c>
      <c r="C1312" t="str">
        <f>"10.933"</f>
        <v>10.933</v>
      </c>
    </row>
    <row r="1313" spans="1:3" x14ac:dyDescent="0.25">
      <c r="A1313" t="str">
        <f>"03/11/2014"</f>
        <v>03/11/2014</v>
      </c>
      <c r="B1313" t="str">
        <f>"11.084"</f>
        <v>11.084</v>
      </c>
      <c r="C1313" t="str">
        <f>"11.1388"</f>
        <v>11.1388</v>
      </c>
    </row>
    <row r="1314" spans="1:3" x14ac:dyDescent="0.25">
      <c r="A1314" t="str">
        <f>"05/11/2014"</f>
        <v>05/11/2014</v>
      </c>
      <c r="B1314" t="str">
        <f>"11.0566"</f>
        <v>11.0566</v>
      </c>
      <c r="C1314" t="str">
        <f>"11.1152"</f>
        <v>11.1152</v>
      </c>
    </row>
    <row r="1315" spans="1:3" x14ac:dyDescent="0.25">
      <c r="A1315" t="str">
        <f>"07/11/2014"</f>
        <v>07/11/2014</v>
      </c>
      <c r="B1315" t="str">
        <f>"11.2727"</f>
        <v>11.2727</v>
      </c>
      <c r="C1315" t="str">
        <f>"11.3285"</f>
        <v>11.3285</v>
      </c>
    </row>
    <row r="1316" spans="1:3" x14ac:dyDescent="0.25">
      <c r="A1316" t="str">
        <f>"10/11/2014"</f>
        <v>10/11/2014</v>
      </c>
      <c r="B1316" t="str">
        <f>"11.2149"</f>
        <v>11.2149</v>
      </c>
      <c r="C1316" t="str">
        <f>"11.2712"</f>
        <v>11.2712</v>
      </c>
    </row>
    <row r="1317" spans="1:3" x14ac:dyDescent="0.25">
      <c r="A1317" t="str">
        <f>"11/11/2014"</f>
        <v>11/11/2014</v>
      </c>
      <c r="B1317" t="str">
        <f>"11.2784"</f>
        <v>11.2784</v>
      </c>
      <c r="C1317" t="str">
        <f>"11.3342"</f>
        <v>11.3342</v>
      </c>
    </row>
    <row r="1318" spans="1:3" x14ac:dyDescent="0.25">
      <c r="A1318" t="str">
        <f>"12/11/2014"</f>
        <v>12/11/2014</v>
      </c>
      <c r="B1318" t="str">
        <f>"11.2338"</f>
        <v>11.2338</v>
      </c>
      <c r="C1318" t="str">
        <f>"11.2915"</f>
        <v>11.2915</v>
      </c>
    </row>
    <row r="1319" spans="1:3" x14ac:dyDescent="0.25">
      <c r="A1319" t="str">
        <f>"13/11/2014"</f>
        <v>13/11/2014</v>
      </c>
      <c r="B1319" t="str">
        <f>"11.22"</f>
        <v>11.22</v>
      </c>
      <c r="C1319" t="str">
        <f>"11.2751"</f>
        <v>11.2751</v>
      </c>
    </row>
    <row r="1320" spans="1:3" x14ac:dyDescent="0.25">
      <c r="A1320" t="str">
        <f>"14/11/2014"</f>
        <v>14/11/2014</v>
      </c>
      <c r="B1320" t="str">
        <f>"11.232"</f>
        <v>11.232</v>
      </c>
      <c r="C1320" t="str">
        <f>"11.2869"</f>
        <v>11.2869</v>
      </c>
    </row>
    <row r="1321" spans="1:3" x14ac:dyDescent="0.25">
      <c r="A1321" t="str">
        <f>"17/11/2014"</f>
        <v>17/11/2014</v>
      </c>
      <c r="B1321" t="str">
        <f>"11.0788"</f>
        <v>11.0788</v>
      </c>
      <c r="C1321" t="str">
        <f>"11.1325"</f>
        <v>11.1325</v>
      </c>
    </row>
    <row r="1322" spans="1:3" x14ac:dyDescent="0.25">
      <c r="A1322" t="str">
        <f>"18/11/2014"</f>
        <v>18/11/2014</v>
      </c>
      <c r="B1322" t="str">
        <f>"11.1187"</f>
        <v>11.1187</v>
      </c>
      <c r="C1322" t="str">
        <f>"11.1719"</f>
        <v>11.1719</v>
      </c>
    </row>
    <row r="1323" spans="1:3" x14ac:dyDescent="0.25">
      <c r="A1323" t="str">
        <f>"19/11/2014"</f>
        <v>19/11/2014</v>
      </c>
      <c r="B1323" t="str">
        <f>"11.0658"</f>
        <v>11.0658</v>
      </c>
      <c r="C1323" t="str">
        <f>"11.1223"</f>
        <v>11.1223</v>
      </c>
    </row>
    <row r="1324" spans="1:3" x14ac:dyDescent="0.25">
      <c r="A1324" t="str">
        <f>"20/11/2014"</f>
        <v>20/11/2014</v>
      </c>
      <c r="B1324" t="str">
        <f>"11.0795"</f>
        <v>11.0795</v>
      </c>
      <c r="C1324" t="str">
        <f>"11.133"</f>
        <v>11.133</v>
      </c>
    </row>
    <row r="1325" spans="1:3" x14ac:dyDescent="0.25">
      <c r="A1325" t="str">
        <f>"21/11/2014"</f>
        <v>21/11/2014</v>
      </c>
      <c r="B1325" t="str">
        <f>"10.9448"</f>
        <v>10.9448</v>
      </c>
      <c r="C1325" t="str">
        <f>"10.997"</f>
        <v>10.997</v>
      </c>
    </row>
    <row r="1326" spans="1:3" x14ac:dyDescent="0.25">
      <c r="A1326" t="str">
        <f>"24/11/2014"</f>
        <v>24/11/2014</v>
      </c>
      <c r="B1326" t="str">
        <f>"10.9445"</f>
        <v>10.9445</v>
      </c>
      <c r="C1326" t="str">
        <f>"11.0043"</f>
        <v>11.0043</v>
      </c>
    </row>
    <row r="1327" spans="1:3" x14ac:dyDescent="0.25">
      <c r="A1327" t="str">
        <f>"25/11/2014"</f>
        <v>25/11/2014</v>
      </c>
      <c r="B1327" t="str">
        <f>"11.0429"</f>
        <v>11.0429</v>
      </c>
      <c r="C1327" t="str">
        <f>"11.103"</f>
        <v>11.103</v>
      </c>
    </row>
    <row r="1328" spans="1:3" x14ac:dyDescent="0.25">
      <c r="A1328" t="str">
        <f>"26/11/2014"</f>
        <v>26/11/2014</v>
      </c>
      <c r="B1328" t="str">
        <f>"10.9738"</f>
        <v>10.9738</v>
      </c>
      <c r="C1328" t="str">
        <f>"11.0346"</f>
        <v>11.0346</v>
      </c>
    </row>
    <row r="1329" spans="1:3" x14ac:dyDescent="0.25">
      <c r="A1329" t="str">
        <f>"27/11/2014"</f>
        <v>27/11/2014</v>
      </c>
      <c r="B1329" t="str">
        <f>"10.969"</f>
        <v>10.969</v>
      </c>
      <c r="C1329" t="str">
        <f>"11.0307"</f>
        <v>11.0307</v>
      </c>
    </row>
    <row r="1330" spans="1:3" x14ac:dyDescent="0.25">
      <c r="A1330" t="str">
        <f>"28/11/2014"</f>
        <v>28/11/2014</v>
      </c>
      <c r="B1330" t="str">
        <f>"11.0084"</f>
        <v>11.0084</v>
      </c>
      <c r="C1330" t="str">
        <f>"11.0696"</f>
        <v>11.0696</v>
      </c>
    </row>
    <row r="1331" spans="1:3" x14ac:dyDescent="0.25">
      <c r="A1331" t="str">
        <f>"01/12/2014"</f>
        <v>01/12/2014</v>
      </c>
      <c r="B1331" t="str">
        <f>"11.118"</f>
        <v>11.118</v>
      </c>
      <c r="C1331" t="str">
        <f>"11.1786"</f>
        <v>11.1786</v>
      </c>
    </row>
    <row r="1332" spans="1:3" x14ac:dyDescent="0.25">
      <c r="A1332" t="str">
        <f>"02/12/2014"</f>
        <v>02/12/2014</v>
      </c>
      <c r="B1332" t="str">
        <f>"11.0059"</f>
        <v>11.0059</v>
      </c>
      <c r="C1332" t="str">
        <f>"11.0696"</f>
        <v>11.0696</v>
      </c>
    </row>
    <row r="1333" spans="1:3" x14ac:dyDescent="0.25">
      <c r="A1333" t="str">
        <f>"04/12/2014"</f>
        <v>04/12/2014</v>
      </c>
      <c r="B1333" t="str">
        <f>"11.221"</f>
        <v>11.221</v>
      </c>
      <c r="C1333" t="str">
        <f>"11.2822"</f>
        <v>11.2822</v>
      </c>
    </row>
    <row r="1334" spans="1:3" x14ac:dyDescent="0.25">
      <c r="A1334" t="str">
        <f>"05/12/2014"</f>
        <v>05/12/2014</v>
      </c>
      <c r="B1334" t="str">
        <f>"11.2206"</f>
        <v>11.2206</v>
      </c>
      <c r="C1334" t="str">
        <f>"11.2823"</f>
        <v>11.2823</v>
      </c>
    </row>
    <row r="1335" spans="1:3" x14ac:dyDescent="0.25">
      <c r="A1335" t="str">
        <f>"08/12/2014"</f>
        <v>08/12/2014</v>
      </c>
      <c r="B1335" t="str">
        <f>"11.3713"</f>
        <v>11.3713</v>
      </c>
      <c r="C1335" t="str">
        <f>"11.434"</f>
        <v>11.434</v>
      </c>
    </row>
    <row r="1336" spans="1:3" x14ac:dyDescent="0.25">
      <c r="A1336" t="str">
        <f>"09/12/2014"</f>
        <v>09/12/2014</v>
      </c>
      <c r="B1336" t="str">
        <f>"11.5602"</f>
        <v>11.5602</v>
      </c>
      <c r="C1336" t="str">
        <f>"11.6279"</f>
        <v>11.6279</v>
      </c>
    </row>
    <row r="1337" spans="1:3" x14ac:dyDescent="0.25">
      <c r="A1337" t="str">
        <f>"10/12/2014"</f>
        <v>10/12/2014</v>
      </c>
      <c r="B1337" t="str">
        <f>"11.4368"</f>
        <v>11.4368</v>
      </c>
      <c r="C1337" t="str">
        <f>"11.5019"</f>
        <v>11.5019</v>
      </c>
    </row>
    <row r="1338" spans="1:3" x14ac:dyDescent="0.25">
      <c r="A1338" t="str">
        <f>"11/12/2014"</f>
        <v>11/12/2014</v>
      </c>
      <c r="B1338" t="str">
        <f>"11.5231"</f>
        <v>11.5231</v>
      </c>
      <c r="C1338" t="str">
        <f>"11.5865"</f>
        <v>11.5865</v>
      </c>
    </row>
    <row r="1339" spans="1:3" x14ac:dyDescent="0.25">
      <c r="A1339" t="str">
        <f>"12/12/2014"</f>
        <v>12/12/2014</v>
      </c>
      <c r="B1339" t="str">
        <f>"11.6202"</f>
        <v>11.6202</v>
      </c>
      <c r="C1339" t="str">
        <f>"11.6843"</f>
        <v>11.6843</v>
      </c>
    </row>
    <row r="1340" spans="1:3" x14ac:dyDescent="0.25">
      <c r="A1340" t="str">
        <f>"15/12/2014"</f>
        <v>15/12/2014</v>
      </c>
      <c r="B1340" t="str">
        <f>"11.581"</f>
        <v>11.581</v>
      </c>
      <c r="C1340" t="str">
        <f>"11.6517"</f>
        <v>11.6517</v>
      </c>
    </row>
    <row r="1341" spans="1:3" x14ac:dyDescent="0.25">
      <c r="A1341" t="str">
        <f>"16/12/2014"</f>
        <v>16/12/2014</v>
      </c>
      <c r="B1341" t="str">
        <f>"11.718"</f>
        <v>11.718</v>
      </c>
      <c r="C1341" t="str">
        <f>"11.7857"</f>
        <v>11.7857</v>
      </c>
    </row>
    <row r="1342" spans="1:3" x14ac:dyDescent="0.25">
      <c r="A1342" t="str">
        <f>"17/12/2014"</f>
        <v>17/12/2014</v>
      </c>
      <c r="B1342" t="str">
        <f>"11.7038"</f>
        <v>11.7038</v>
      </c>
      <c r="C1342" t="str">
        <f>"11.7709"</f>
        <v>11.7709</v>
      </c>
    </row>
    <row r="1343" spans="1:3" x14ac:dyDescent="0.25">
      <c r="A1343" t="str">
        <f>"18/12/2014"</f>
        <v>18/12/2014</v>
      </c>
      <c r="B1343" t="str">
        <f>"11.6053"</f>
        <v>11.6053</v>
      </c>
      <c r="C1343" t="str">
        <f>"11.6702"</f>
        <v>11.6702</v>
      </c>
    </row>
    <row r="1344" spans="1:3" x14ac:dyDescent="0.25">
      <c r="A1344" t="str">
        <f>"19/12/2014"</f>
        <v>19/12/2014</v>
      </c>
      <c r="B1344" t="str">
        <f>"11.5528"</f>
        <v>11.5528</v>
      </c>
      <c r="C1344" t="str">
        <f>"11.6153"</f>
        <v>11.6153</v>
      </c>
    </row>
    <row r="1345" spans="1:3" x14ac:dyDescent="0.25">
      <c r="A1345" t="str">
        <f>"22/12/2014"</f>
        <v>22/12/2014</v>
      </c>
      <c r="B1345" t="str">
        <f>"11.5927"</f>
        <v>11.5927</v>
      </c>
      <c r="C1345" t="str">
        <f>"11.6549"</f>
        <v>11.6549</v>
      </c>
    </row>
    <row r="1346" spans="1:3" x14ac:dyDescent="0.25">
      <c r="A1346" t="str">
        <f>"23/12/2014"</f>
        <v>23/12/2014</v>
      </c>
      <c r="B1346" t="str">
        <f>"11.5864"</f>
        <v>11.5864</v>
      </c>
      <c r="C1346" t="str">
        <f>"11.6518"</f>
        <v>11.6518</v>
      </c>
    </row>
    <row r="1347" spans="1:3" x14ac:dyDescent="0.25">
      <c r="A1347" t="str">
        <f>"24/12/2014"</f>
        <v>24/12/2014</v>
      </c>
      <c r="B1347" t="str">
        <f>"11.6587"</f>
        <v>11.6587</v>
      </c>
      <c r="C1347" t="str">
        <f>"11.7198"</f>
        <v>11.7198</v>
      </c>
    </row>
    <row r="1348" spans="1:3" x14ac:dyDescent="0.25">
      <c r="A1348" t="str">
        <f>"26/12/2014"</f>
        <v>26/12/2014</v>
      </c>
      <c r="B1348" t="str">
        <f>"11.6255"</f>
        <v>11.6255</v>
      </c>
      <c r="C1348" t="str">
        <f>"11.6846"</f>
        <v>11.6846</v>
      </c>
    </row>
    <row r="1349" spans="1:3" x14ac:dyDescent="0.25">
      <c r="A1349" t="str">
        <f>"29/12/2014"</f>
        <v>29/12/2014</v>
      </c>
      <c r="B1349" t="str">
        <f>"11.5977"</f>
        <v>11.5977</v>
      </c>
      <c r="C1349" t="str">
        <f>"11.6575"</f>
        <v>11.6575</v>
      </c>
    </row>
    <row r="1350" spans="1:3" x14ac:dyDescent="0.25">
      <c r="A1350" t="str">
        <f>"30/12/2014"</f>
        <v>30/12/2014</v>
      </c>
      <c r="B1350" t="str">
        <f>"11.6304"</f>
        <v>11.6304</v>
      </c>
      <c r="C1350" t="str">
        <f>"11.6873"</f>
        <v>11.6873</v>
      </c>
    </row>
    <row r="1351" spans="1:3" x14ac:dyDescent="0.25">
      <c r="A1351" t="str">
        <f>"31/12/2014"</f>
        <v>31/12/2014</v>
      </c>
      <c r="B1351" t="str">
        <f>"11.5741"</f>
        <v>11.5741</v>
      </c>
      <c r="C1351" t="str">
        <f>"11.6318"</f>
        <v>11.6318</v>
      </c>
    </row>
    <row r="1352" spans="1:3" x14ac:dyDescent="0.25">
      <c r="A1352" t="str">
        <f>"01/01/2015"</f>
        <v>01/01/2015</v>
      </c>
      <c r="B1352" t="str">
        <f>"11.555"</f>
        <v>11.555</v>
      </c>
      <c r="C1352" t="str">
        <f>"11.6128"</f>
        <v>11.6128</v>
      </c>
    </row>
    <row r="1353" spans="1:3" x14ac:dyDescent="0.25">
      <c r="A1353" t="str">
        <f>"02/01/2015"</f>
        <v>02/01/2015</v>
      </c>
      <c r="B1353" t="str">
        <f>"11.6287"</f>
        <v>11.6287</v>
      </c>
      <c r="C1353" t="str">
        <f>"11.6873"</f>
        <v>11.6873</v>
      </c>
    </row>
    <row r="1354" spans="1:3" x14ac:dyDescent="0.25">
      <c r="A1354" t="str">
        <f>"05/01/2015"</f>
        <v>05/01/2015</v>
      </c>
      <c r="B1354" t="str">
        <f>"11.7426"</f>
        <v>11.7426</v>
      </c>
      <c r="C1354" t="str">
        <f>"11.8017"</f>
        <v>11.8017</v>
      </c>
    </row>
    <row r="1355" spans="1:3" x14ac:dyDescent="0.25">
      <c r="A1355" t="str">
        <f>"06/01/2015"</f>
        <v>06/01/2015</v>
      </c>
      <c r="B1355" t="str">
        <f>"11.6938"</f>
        <v>11.6938</v>
      </c>
      <c r="C1355" t="str">
        <f>"11.7569"</f>
        <v>11.7569</v>
      </c>
    </row>
    <row r="1356" spans="1:3" x14ac:dyDescent="0.25">
      <c r="A1356" t="str">
        <f>"07/01/2015"</f>
        <v>07/01/2015</v>
      </c>
      <c r="B1356" t="str">
        <f>"11.7304"</f>
        <v>11.7304</v>
      </c>
      <c r="C1356" t="str">
        <f>"11.7917"</f>
        <v>11.7917</v>
      </c>
    </row>
    <row r="1357" spans="1:3" x14ac:dyDescent="0.25">
      <c r="A1357" t="str">
        <f>"08/01/2015"</f>
        <v>08/01/2015</v>
      </c>
      <c r="B1357" t="str">
        <f>"11.696"</f>
        <v>11.696</v>
      </c>
      <c r="C1357" t="str">
        <f>"11.7546"</f>
        <v>11.7546</v>
      </c>
    </row>
    <row r="1358" spans="1:3" x14ac:dyDescent="0.25">
      <c r="A1358" t="str">
        <f>"09/01/2015"</f>
        <v>09/01/2015</v>
      </c>
      <c r="B1358" t="str">
        <f>"11.596"</f>
        <v>11.596</v>
      </c>
      <c r="C1358" t="str">
        <f>"11.6529"</f>
        <v>11.6529</v>
      </c>
    </row>
    <row r="1359" spans="1:3" x14ac:dyDescent="0.25">
      <c r="A1359" t="str">
        <f>"12/01/2015"</f>
        <v>12/01/2015</v>
      </c>
      <c r="B1359" t="str">
        <f>"11.4895"</f>
        <v>11.4895</v>
      </c>
      <c r="C1359" t="str">
        <f>"11.546"</f>
        <v>11.546</v>
      </c>
    </row>
    <row r="1360" spans="1:3" x14ac:dyDescent="0.25">
      <c r="A1360" t="str">
        <f>"13/01/2015"</f>
        <v>13/01/2015</v>
      </c>
      <c r="B1360" t="str">
        <f>"11.5107"</f>
        <v>11.5107</v>
      </c>
      <c r="C1360" t="str">
        <f>"11.5715"</f>
        <v>11.5715</v>
      </c>
    </row>
    <row r="1361" spans="1:3" x14ac:dyDescent="0.25">
      <c r="A1361" t="str">
        <f>"14/01/2015"</f>
        <v>14/01/2015</v>
      </c>
      <c r="B1361" t="str">
        <f>"11.5647"</f>
        <v>11.5647</v>
      </c>
      <c r="C1361" t="str">
        <f>"11.6239"</f>
        <v>11.6239</v>
      </c>
    </row>
    <row r="1362" spans="1:3" x14ac:dyDescent="0.25">
      <c r="A1362" t="str">
        <f>"15/01/2015"</f>
        <v>15/01/2015</v>
      </c>
      <c r="B1362" t="str">
        <f>"11.4522"</f>
        <v>11.4522</v>
      </c>
      <c r="C1362" t="str">
        <f>"11.5088"</f>
        <v>11.5088</v>
      </c>
    </row>
    <row r="1363" spans="1:3" x14ac:dyDescent="0.25">
      <c r="A1363" t="str">
        <f>"16/01/2015"</f>
        <v>16/01/2015</v>
      </c>
      <c r="B1363" t="str">
        <f>"11.5667"</f>
        <v>11.5667</v>
      </c>
      <c r="C1363" t="str">
        <f>"11.6235"</f>
        <v>11.6235</v>
      </c>
    </row>
    <row r="1364" spans="1:3" x14ac:dyDescent="0.25">
      <c r="A1364" t="str">
        <f>"19/01/2015"</f>
        <v>19/01/2015</v>
      </c>
      <c r="B1364" t="str">
        <f>"11.568"</f>
        <v>11.568</v>
      </c>
      <c r="C1364" t="str">
        <f>"11.6254"</f>
        <v>11.6254</v>
      </c>
    </row>
    <row r="1365" spans="1:3" x14ac:dyDescent="0.25">
      <c r="A1365" t="str">
        <f>"20/01/2015"</f>
        <v>20/01/2015</v>
      </c>
      <c r="B1365" t="str">
        <f>"11.6597"</f>
        <v>11.6597</v>
      </c>
      <c r="C1365" t="str">
        <f>"11.7217"</f>
        <v>11.7217</v>
      </c>
    </row>
    <row r="1366" spans="1:3" x14ac:dyDescent="0.25">
      <c r="A1366" t="str">
        <f>"21/01/2015"</f>
        <v>21/01/2015</v>
      </c>
      <c r="B1366" t="str">
        <f>"11.5856"</f>
        <v>11.5856</v>
      </c>
      <c r="C1366" t="str">
        <f>"11.6447"</f>
        <v>11.6447</v>
      </c>
    </row>
    <row r="1367" spans="1:3" x14ac:dyDescent="0.25">
      <c r="A1367" t="str">
        <f>"22/01/2015"</f>
        <v>22/01/2015</v>
      </c>
      <c r="B1367" t="str">
        <f>"11.5212"</f>
        <v>11.5212</v>
      </c>
      <c r="C1367" t="str">
        <f>"11.5777"</f>
        <v>11.5777</v>
      </c>
    </row>
    <row r="1368" spans="1:3" x14ac:dyDescent="0.25">
      <c r="A1368" t="str">
        <f>"23/01/2015"</f>
        <v>23/01/2015</v>
      </c>
      <c r="B1368" t="str">
        <f>"11.4202"</f>
        <v>11.4202</v>
      </c>
      <c r="C1368" t="str">
        <f>"11.4759"</f>
        <v>11.4759</v>
      </c>
    </row>
    <row r="1369" spans="1:3" x14ac:dyDescent="0.25">
      <c r="A1369" t="str">
        <f>"27/01/2015"</f>
        <v>27/01/2015</v>
      </c>
      <c r="B1369" t="str">
        <f>"11.4596"</f>
        <v>11.4596</v>
      </c>
      <c r="C1369" t="str">
        <f>"11.5136"</f>
        <v>11.5136</v>
      </c>
    </row>
    <row r="1370" spans="1:3" x14ac:dyDescent="0.25">
      <c r="A1370" t="str">
        <f>"28/01/2015"</f>
        <v>28/01/2015</v>
      </c>
      <c r="B1370" t="str">
        <f>"11.5888"</f>
        <v>11.5888</v>
      </c>
      <c r="C1370" t="str">
        <f>"11.6417"</f>
        <v>11.6417</v>
      </c>
    </row>
    <row r="1371" spans="1:3" x14ac:dyDescent="0.25">
      <c r="A1371" t="str">
        <f>"29/01/2015"</f>
        <v>29/01/2015</v>
      </c>
      <c r="B1371" t="str">
        <f>"11.5909"</f>
        <v>11.5909</v>
      </c>
      <c r="C1371" t="str">
        <f>"11.6421"</f>
        <v>11.6421</v>
      </c>
    </row>
    <row r="1372" spans="1:3" x14ac:dyDescent="0.25">
      <c r="A1372" t="str">
        <f>"30/01/2015"</f>
        <v>30/01/2015</v>
      </c>
      <c r="B1372" t="str">
        <f>"11.5566"</f>
        <v>11.5566</v>
      </c>
      <c r="C1372" t="str">
        <f>"11.6087"</f>
        <v>11.6087</v>
      </c>
    </row>
    <row r="1373" spans="1:3" x14ac:dyDescent="0.25">
      <c r="A1373" t="str">
        <f>"02/02/2015"</f>
        <v>02/02/2015</v>
      </c>
      <c r="B1373" t="str">
        <f>"11.626"</f>
        <v>11.626</v>
      </c>
      <c r="C1373" t="str">
        <f>"11.6782"</f>
        <v>11.6782</v>
      </c>
    </row>
    <row r="1374" spans="1:3" x14ac:dyDescent="0.25">
      <c r="A1374" t="str">
        <f>"03/02/2015"</f>
        <v>03/02/2015</v>
      </c>
      <c r="B1374" t="str">
        <f>"11.5419"</f>
        <v>11.5419</v>
      </c>
      <c r="C1374" t="str">
        <f>"11.5943"</f>
        <v>11.5943</v>
      </c>
    </row>
    <row r="1375" spans="1:3" x14ac:dyDescent="0.25">
      <c r="A1375" t="str">
        <f>"04/02/2015"</f>
        <v>04/02/2015</v>
      </c>
      <c r="B1375" t="str">
        <f>"11.3762"</f>
        <v>11.3762</v>
      </c>
      <c r="C1375" t="str">
        <f>"11.4282"</f>
        <v>11.4282</v>
      </c>
    </row>
    <row r="1376" spans="1:3" x14ac:dyDescent="0.25">
      <c r="A1376" t="str">
        <f>"05/02/2015"</f>
        <v>05/02/2015</v>
      </c>
      <c r="B1376" t="str">
        <f>"11.4794"</f>
        <v>11.4794</v>
      </c>
      <c r="C1376" t="str">
        <f>"11.5326"</f>
        <v>11.5326</v>
      </c>
    </row>
    <row r="1377" spans="1:3" x14ac:dyDescent="0.25">
      <c r="A1377" t="str">
        <f>"06/02/2015"</f>
        <v>06/02/2015</v>
      </c>
      <c r="B1377" t="str">
        <f>"11.3116"</f>
        <v>11.3116</v>
      </c>
      <c r="C1377" t="str">
        <f>"11.3635"</f>
        <v>11.3635</v>
      </c>
    </row>
    <row r="1378" spans="1:3" x14ac:dyDescent="0.25">
      <c r="A1378" t="str">
        <f>"09/02/2015"</f>
        <v>09/02/2015</v>
      </c>
      <c r="B1378" t="str">
        <f>"11.5165"</f>
        <v>11.5165</v>
      </c>
      <c r="C1378" t="str">
        <f>"11.5689"</f>
        <v>11.5689</v>
      </c>
    </row>
    <row r="1379" spans="1:3" x14ac:dyDescent="0.25">
      <c r="A1379" t="str">
        <f>"10/02/2015"</f>
        <v>10/02/2015</v>
      </c>
      <c r="B1379" t="str">
        <f>"11.5952"</f>
        <v>11.5952</v>
      </c>
      <c r="C1379" t="str">
        <f>"11.6485"</f>
        <v>11.6485</v>
      </c>
    </row>
    <row r="1380" spans="1:3" x14ac:dyDescent="0.25">
      <c r="A1380" t="str">
        <f>"11/02/2015"</f>
        <v>11/02/2015</v>
      </c>
      <c r="B1380" t="str">
        <f>"11.6794"</f>
        <v>11.6794</v>
      </c>
      <c r="C1380" t="str">
        <f>"11.7325"</f>
        <v>11.7325</v>
      </c>
    </row>
    <row r="1381" spans="1:3" x14ac:dyDescent="0.25">
      <c r="A1381" t="str">
        <f>"12/02/2015"</f>
        <v>12/02/2015</v>
      </c>
      <c r="B1381" t="str">
        <f>"11.8445"</f>
        <v>11.8445</v>
      </c>
      <c r="C1381" t="str">
        <f>"11.8996"</f>
        <v>11.8996</v>
      </c>
    </row>
    <row r="1382" spans="1:3" x14ac:dyDescent="0.25">
      <c r="A1382" t="str">
        <f>"13/02/2015"</f>
        <v>13/02/2015</v>
      </c>
      <c r="B1382" t="str">
        <f>"11.7217"</f>
        <v>11.7217</v>
      </c>
      <c r="C1382" t="str">
        <f>"11.7756"</f>
        <v>11.7756</v>
      </c>
    </row>
    <row r="1383" spans="1:3" x14ac:dyDescent="0.25">
      <c r="A1383" t="str">
        <f>"16/02/2015"</f>
        <v>16/02/2015</v>
      </c>
      <c r="B1383" t="str">
        <f>"11.6632"</f>
        <v>11.6632</v>
      </c>
      <c r="C1383" t="str">
        <f>"11.7163"</f>
        <v>11.7163</v>
      </c>
    </row>
    <row r="1384" spans="1:3" x14ac:dyDescent="0.25">
      <c r="A1384" t="str">
        <f>"18/02/2015"</f>
        <v>18/02/2015</v>
      </c>
      <c r="B1384" t="str">
        <f>"11.6154"</f>
        <v>11.6154</v>
      </c>
      <c r="C1384" t="str">
        <f>"11.6682"</f>
        <v>11.6682</v>
      </c>
    </row>
    <row r="1385" spans="1:3" x14ac:dyDescent="0.25">
      <c r="A1385" t="str">
        <f>"20/02/2015"</f>
        <v>20/02/2015</v>
      </c>
      <c r="B1385" t="str">
        <f>"11.6755"</f>
        <v>11.6755</v>
      </c>
      <c r="C1385" t="str">
        <f>"11.7283"</f>
        <v>11.7283</v>
      </c>
    </row>
    <row r="1386" spans="1:3" x14ac:dyDescent="0.25">
      <c r="A1386" t="str">
        <f>"23/02/2015"</f>
        <v>23/02/2015</v>
      </c>
      <c r="B1386" t="str">
        <f>"11.6482"</f>
        <v>11.6482</v>
      </c>
      <c r="C1386" t="str">
        <f>"11.7003"</f>
        <v>11.7003</v>
      </c>
    </row>
    <row r="1387" spans="1:3" x14ac:dyDescent="0.25">
      <c r="A1387" t="str">
        <f>"24/02/2015"</f>
        <v>24/02/2015</v>
      </c>
      <c r="B1387" t="str">
        <f>"11.4922"</f>
        <v>11.4922</v>
      </c>
      <c r="C1387" t="str">
        <f>"11.5453"</f>
        <v>11.5453</v>
      </c>
    </row>
    <row r="1388" spans="1:3" x14ac:dyDescent="0.25">
      <c r="A1388" t="str">
        <f>"25/02/2015"</f>
        <v>25/02/2015</v>
      </c>
      <c r="B1388" t="str">
        <f>"11.458"</f>
        <v>11.458</v>
      </c>
      <c r="C1388" t="str">
        <f>"11.5109"</f>
        <v>11.5109</v>
      </c>
    </row>
    <row r="1389" spans="1:3" x14ac:dyDescent="0.25">
      <c r="A1389" t="str">
        <f>"26/02/2015"</f>
        <v>26/02/2015</v>
      </c>
      <c r="B1389" t="str">
        <f>"11.5509"</f>
        <v>11.5509</v>
      </c>
      <c r="C1389" t="str">
        <f>"11.6104"</f>
        <v>11.6104</v>
      </c>
    </row>
    <row r="1390" spans="1:3" x14ac:dyDescent="0.25">
      <c r="A1390" t="str">
        <f>"27/02/2015"</f>
        <v>27/02/2015</v>
      </c>
      <c r="B1390" t="str">
        <f>"11.6814"</f>
        <v>11.6814</v>
      </c>
      <c r="C1390" t="str">
        <f>"11.7388"</f>
        <v>11.7388</v>
      </c>
    </row>
    <row r="1391" spans="1:3" x14ac:dyDescent="0.25">
      <c r="A1391" t="str">
        <f>"02/03/2015"</f>
        <v>02/03/2015</v>
      </c>
      <c r="B1391" t="str">
        <f>"11.7812"</f>
        <v>11.7812</v>
      </c>
      <c r="C1391" t="str">
        <f>"11.8481"</f>
        <v>11.8481</v>
      </c>
    </row>
    <row r="1392" spans="1:3" x14ac:dyDescent="0.25">
      <c r="A1392" t="str">
        <f>"03/03/2015"</f>
        <v>03/03/2015</v>
      </c>
      <c r="B1392" t="str">
        <f>"11.7696"</f>
        <v>11.7696</v>
      </c>
      <c r="C1392" t="str">
        <f>"11.8347"</f>
        <v>11.8347</v>
      </c>
    </row>
    <row r="1393" spans="1:3" x14ac:dyDescent="0.25">
      <c r="A1393" t="str">
        <f>"04/03/2015"</f>
        <v>04/03/2015</v>
      </c>
      <c r="B1393" t="str">
        <f>"11.85"</f>
        <v>11.85</v>
      </c>
      <c r="C1393" t="str">
        <f>"11.9133"</f>
        <v>11.9133</v>
      </c>
    </row>
    <row r="1394" spans="1:3" x14ac:dyDescent="0.25">
      <c r="A1394" t="str">
        <f>"05/03/2015"</f>
        <v>05/03/2015</v>
      </c>
      <c r="B1394" t="str">
        <f>"11.8515"</f>
        <v>11.8515</v>
      </c>
      <c r="C1394" t="str">
        <f>"11.913"</f>
        <v>11.913</v>
      </c>
    </row>
    <row r="1395" spans="1:3" x14ac:dyDescent="0.25">
      <c r="A1395" t="str">
        <f>"09/03/2015"</f>
        <v>09/03/2015</v>
      </c>
      <c r="B1395" t="str">
        <f>"12.0942"</f>
        <v>12.0942</v>
      </c>
      <c r="C1395" t="str">
        <f>"12.1546"</f>
        <v>12.1546</v>
      </c>
    </row>
    <row r="1396" spans="1:3" x14ac:dyDescent="0.25">
      <c r="A1396" t="str">
        <f>"10/03/2015"</f>
        <v>10/03/2015</v>
      </c>
      <c r="B1396" t="str">
        <f>"12.3776"</f>
        <v>12.3776</v>
      </c>
      <c r="C1396" t="str">
        <f>"12.4421"</f>
        <v>12.4421</v>
      </c>
    </row>
    <row r="1397" spans="1:3" x14ac:dyDescent="0.25">
      <c r="A1397" t="str">
        <f>"11/03/2015"</f>
        <v>11/03/2015</v>
      </c>
      <c r="B1397" t="str">
        <f>"12.2968"</f>
        <v>12.2968</v>
      </c>
      <c r="C1397" t="str">
        <f>"12.3611"</f>
        <v>12.3611</v>
      </c>
    </row>
    <row r="1398" spans="1:3" x14ac:dyDescent="0.25">
      <c r="A1398" t="str">
        <f>"12/03/2015"</f>
        <v>12/03/2015</v>
      </c>
      <c r="B1398" t="str">
        <f>"12.3054"</f>
        <v>12.3054</v>
      </c>
      <c r="C1398" t="str">
        <f>"12.3678"</f>
        <v>12.3678</v>
      </c>
    </row>
    <row r="1399" spans="1:3" x14ac:dyDescent="0.25">
      <c r="A1399" t="str">
        <f>"13/03/2015"</f>
        <v>13/03/2015</v>
      </c>
      <c r="B1399" t="str">
        <f>"12.4895"</f>
        <v>12.4895</v>
      </c>
      <c r="C1399" t="str">
        <f>"12.5517"</f>
        <v>12.5517</v>
      </c>
    </row>
    <row r="1400" spans="1:3" x14ac:dyDescent="0.25">
      <c r="A1400" t="str">
        <f>"16/03/2015"</f>
        <v>16/03/2015</v>
      </c>
      <c r="B1400" t="str">
        <f>"12.4052"</f>
        <v>12.4052</v>
      </c>
      <c r="C1400" t="str">
        <f>"12.4682"</f>
        <v>12.4682</v>
      </c>
    </row>
    <row r="1401" spans="1:3" x14ac:dyDescent="0.25">
      <c r="A1401" t="str">
        <f>"17/03/2015"</f>
        <v>17/03/2015</v>
      </c>
      <c r="B1401" t="str">
        <f>"12.3603"</f>
        <v>12.3603</v>
      </c>
      <c r="C1401" t="str">
        <f>"12.4273"</f>
        <v>12.4273</v>
      </c>
    </row>
    <row r="1402" spans="1:3" x14ac:dyDescent="0.25">
      <c r="A1402" t="str">
        <f>"18/03/2015"</f>
        <v>18/03/2015</v>
      </c>
      <c r="B1402" t="str">
        <f>"12.0848"</f>
        <v>12.0848</v>
      </c>
      <c r="C1402" t="str">
        <f>"12.1502"</f>
        <v>12.1502</v>
      </c>
    </row>
    <row r="1403" spans="1:3" x14ac:dyDescent="0.25">
      <c r="A1403" t="str">
        <f>"19/03/2015"</f>
        <v>19/03/2015</v>
      </c>
      <c r="B1403" t="str">
        <f>"12.3222"</f>
        <v>12.3222</v>
      </c>
      <c r="C1403" t="str">
        <f>"12.3848"</f>
        <v>12.3848</v>
      </c>
    </row>
    <row r="1404" spans="1:3" x14ac:dyDescent="0.25">
      <c r="A1404" t="str">
        <f>"20/03/2015"</f>
        <v>20/03/2015</v>
      </c>
      <c r="B1404" t="str">
        <f>"12.0403"</f>
        <v>12.0403</v>
      </c>
      <c r="C1404" t="str">
        <f>"12.1031"</f>
        <v>12.1031</v>
      </c>
    </row>
    <row r="1405" spans="1:3" x14ac:dyDescent="0.25">
      <c r="A1405" t="str">
        <f>"23/03/2015"</f>
        <v>23/03/2015</v>
      </c>
      <c r="B1405" t="str">
        <f>"11.9078"</f>
        <v>11.9078</v>
      </c>
      <c r="C1405" t="str">
        <f>"11.9684"</f>
        <v>11.9684</v>
      </c>
    </row>
    <row r="1406" spans="1:3" x14ac:dyDescent="0.25">
      <c r="A1406" t="str">
        <f>"24/03/2015"</f>
        <v>24/03/2015</v>
      </c>
      <c r="B1406" t="str">
        <f>"11.8075"</f>
        <v>11.8075</v>
      </c>
      <c r="C1406" t="str">
        <f>"11.8737"</f>
        <v>11.8737</v>
      </c>
    </row>
    <row r="1407" spans="1:3" x14ac:dyDescent="0.25">
      <c r="A1407" t="str">
        <f>"25/03/2015"</f>
        <v>25/03/2015</v>
      </c>
      <c r="B1407" t="str">
        <f>"11.8598"</f>
        <v>11.8598</v>
      </c>
      <c r="C1407" t="str">
        <f>"11.9232"</f>
        <v>11.9232</v>
      </c>
    </row>
    <row r="1408" spans="1:3" x14ac:dyDescent="0.25">
      <c r="A1408" t="str">
        <f>"26/03/2015"</f>
        <v>26/03/2015</v>
      </c>
      <c r="B1408" t="str">
        <f>"12.0021"</f>
        <v>12.0021</v>
      </c>
      <c r="C1408" t="str">
        <f>"12.0637"</f>
        <v>12.0637</v>
      </c>
    </row>
    <row r="1409" spans="1:3" x14ac:dyDescent="0.25">
      <c r="A1409" t="str">
        <f>"27/03/2015"</f>
        <v>27/03/2015</v>
      </c>
      <c r="B1409" t="str">
        <f>"12.0633"</f>
        <v>12.0633</v>
      </c>
      <c r="C1409" t="str">
        <f>"12.1239"</f>
        <v>12.1239</v>
      </c>
    </row>
    <row r="1410" spans="1:3" x14ac:dyDescent="0.25">
      <c r="A1410" t="str">
        <f>"30/03/2015"</f>
        <v>30/03/2015</v>
      </c>
      <c r="B1410" t="str">
        <f>"12.156"</f>
        <v>12.156</v>
      </c>
      <c r="C1410" t="str">
        <f>"12.2159"</f>
        <v>12.2159</v>
      </c>
    </row>
    <row r="1411" spans="1:3" x14ac:dyDescent="0.25">
      <c r="A1411" t="str">
        <f>"31/03/2015"</f>
        <v>31/03/2015</v>
      </c>
      <c r="B1411" t="str">
        <f>"12.142"</f>
        <v>12.142</v>
      </c>
      <c r="C1411" t="str">
        <f>"12.2084"</f>
        <v>12.2084</v>
      </c>
    </row>
    <row r="1412" spans="1:3" x14ac:dyDescent="0.25">
      <c r="A1412" t="str">
        <f>"06/04/2015"</f>
        <v>06/04/2015</v>
      </c>
      <c r="B1412" t="str">
        <f>"11.8199"</f>
        <v>11.8199</v>
      </c>
      <c r="C1412" t="str">
        <f>"11.8797"</f>
        <v>11.8797</v>
      </c>
    </row>
    <row r="1413" spans="1:3" x14ac:dyDescent="0.25">
      <c r="A1413" t="str">
        <f>"07/04/2015"</f>
        <v>07/04/2015</v>
      </c>
      <c r="B1413" t="str">
        <f>"11.895"</f>
        <v>11.895</v>
      </c>
      <c r="C1413" t="str">
        <f>"11.9539"</f>
        <v>11.9539</v>
      </c>
    </row>
    <row r="1414" spans="1:3" x14ac:dyDescent="0.25">
      <c r="A1414" t="str">
        <f>"08/04/2015"</f>
        <v>08/04/2015</v>
      </c>
      <c r="B1414" t="str">
        <f>"11.8446"</f>
        <v>11.8446</v>
      </c>
      <c r="C1414" t="str">
        <f>"11.9064"</f>
        <v>11.9064</v>
      </c>
    </row>
    <row r="1415" spans="1:3" x14ac:dyDescent="0.25">
      <c r="A1415" t="str">
        <f>"09/04/2015"</f>
        <v>09/04/2015</v>
      </c>
      <c r="B1415" t="str">
        <f>"11.9479"</f>
        <v>11.9479</v>
      </c>
      <c r="C1415" t="str">
        <f>"12.0071"</f>
        <v>12.0071</v>
      </c>
    </row>
    <row r="1416" spans="1:3" x14ac:dyDescent="0.25">
      <c r="A1416" t="str">
        <f>"10/04/2015"</f>
        <v>10/04/2015</v>
      </c>
      <c r="B1416" t="str">
        <f>"12.024"</f>
        <v>12.024</v>
      </c>
      <c r="C1416" t="str">
        <f>"12.0821"</f>
        <v>12.0821</v>
      </c>
    </row>
    <row r="1417" spans="1:3" x14ac:dyDescent="0.25">
      <c r="A1417" t="str">
        <f>"13/04/2015"</f>
        <v>13/04/2015</v>
      </c>
      <c r="B1417" t="str">
        <f>"12.1562"</f>
        <v>12.1562</v>
      </c>
      <c r="C1417" t="str">
        <f>"12.2159"</f>
        <v>12.2159</v>
      </c>
    </row>
    <row r="1418" spans="1:3" x14ac:dyDescent="0.25">
      <c r="A1418" t="str">
        <f>"15/04/2015"</f>
        <v>15/04/2015</v>
      </c>
      <c r="B1418" t="str">
        <f>"12.0774"</f>
        <v>12.0774</v>
      </c>
      <c r="C1418" t="str">
        <f>"12.1405"</f>
        <v>12.1405</v>
      </c>
    </row>
    <row r="1419" spans="1:3" x14ac:dyDescent="0.25">
      <c r="A1419" t="str">
        <f>"16/04/2015"</f>
        <v>16/04/2015</v>
      </c>
      <c r="B1419" t="str">
        <f>"11.9908"</f>
        <v>11.9908</v>
      </c>
      <c r="C1419" t="str">
        <f>"12.0528"</f>
        <v>12.0528</v>
      </c>
    </row>
    <row r="1420" spans="1:3" x14ac:dyDescent="0.25">
      <c r="A1420" t="str">
        <f>"17/04/2015"</f>
        <v>17/04/2015</v>
      </c>
      <c r="B1420" t="str">
        <f>"12.0985"</f>
        <v>12.0985</v>
      </c>
      <c r="C1420" t="str">
        <f>"12.1573"</f>
        <v>12.1573</v>
      </c>
    </row>
    <row r="1421" spans="1:3" x14ac:dyDescent="0.25">
      <c r="A1421" t="str">
        <f>"20/04/2015"</f>
        <v>20/04/2015</v>
      </c>
      <c r="B1421" t="str">
        <f>"12.1535"</f>
        <v>12.1535</v>
      </c>
      <c r="C1421" t="str">
        <f>"12.2127"</f>
        <v>12.2127</v>
      </c>
    </row>
    <row r="1422" spans="1:3" x14ac:dyDescent="0.25">
      <c r="A1422" t="str">
        <f>"21/04/2015"</f>
        <v>21/04/2015</v>
      </c>
      <c r="B1422" t="str">
        <f>"12.1297"</f>
        <v>12.1297</v>
      </c>
      <c r="C1422" t="str">
        <f>"12.1897"</f>
        <v>12.1897</v>
      </c>
    </row>
    <row r="1423" spans="1:3" x14ac:dyDescent="0.25">
      <c r="A1423" t="str">
        <f>"22/04/2015"</f>
        <v>22/04/2015</v>
      </c>
      <c r="B1423" t="str">
        <f>"12.228"</f>
        <v>12.228</v>
      </c>
      <c r="C1423" t="str">
        <f>"12.2938"</f>
        <v>12.2938</v>
      </c>
    </row>
    <row r="1424" spans="1:3" x14ac:dyDescent="0.25">
      <c r="A1424" t="str">
        <f>"23/04/2015"</f>
        <v>23/04/2015</v>
      </c>
      <c r="B1424" t="str">
        <f>"12.1567"</f>
        <v>12.1567</v>
      </c>
      <c r="C1424" t="str">
        <f>"12.221"</f>
        <v>12.221</v>
      </c>
    </row>
    <row r="1425" spans="1:3" x14ac:dyDescent="0.25">
      <c r="A1425" t="str">
        <f>"24/04/2015"</f>
        <v>24/04/2015</v>
      </c>
      <c r="B1425" t="str">
        <f>"12.1477"</f>
        <v>12.1477</v>
      </c>
      <c r="C1425" t="str">
        <f>"12.2082"</f>
        <v>12.2082</v>
      </c>
    </row>
    <row r="1426" spans="1:3" x14ac:dyDescent="0.25">
      <c r="A1426" t="str">
        <f>"27/04/2015"</f>
        <v>27/04/2015</v>
      </c>
      <c r="B1426" t="str">
        <f>"12.0165"</f>
        <v>12.0165</v>
      </c>
      <c r="C1426" t="str">
        <f>"12.0766"</f>
        <v>12.0766</v>
      </c>
    </row>
    <row r="1427" spans="1:3" x14ac:dyDescent="0.25">
      <c r="A1427" t="str">
        <f>"28/04/2015"</f>
        <v>28/04/2015</v>
      </c>
      <c r="B1427" t="str">
        <f>"11.8726"</f>
        <v>11.8726</v>
      </c>
      <c r="C1427" t="str">
        <f>"11.9323"</f>
        <v>11.9323</v>
      </c>
    </row>
    <row r="1428" spans="1:3" x14ac:dyDescent="0.25">
      <c r="A1428" t="str">
        <f>"29/04/2015"</f>
        <v>29/04/2015</v>
      </c>
      <c r="B1428" t="str">
        <f>"11.7955"</f>
        <v>11.7955</v>
      </c>
      <c r="C1428" t="str">
        <f>"11.8524"</f>
        <v>11.8524</v>
      </c>
    </row>
    <row r="1429" spans="1:3" x14ac:dyDescent="0.25">
      <c r="A1429" t="str">
        <f>"30/04/2015"</f>
        <v>30/04/2015</v>
      </c>
      <c r="B1429" t="str">
        <f>"11.9262"</f>
        <v>11.9262</v>
      </c>
      <c r="C1429" t="str">
        <f>"11.987"</f>
        <v>11.987</v>
      </c>
    </row>
    <row r="1430" spans="1:3" x14ac:dyDescent="0.25">
      <c r="A1430" t="str">
        <f>"05/05/2015"</f>
        <v>05/05/2015</v>
      </c>
      <c r="B1430" t="str">
        <f>"11.9916"</f>
        <v>11.9916</v>
      </c>
      <c r="C1430" t="str">
        <f>"12.0577"</f>
        <v>12.0577</v>
      </c>
    </row>
    <row r="1431" spans="1:3" x14ac:dyDescent="0.25">
      <c r="A1431" t="str">
        <f>"06/05/2015"</f>
        <v>06/05/2015</v>
      </c>
      <c r="B1431" t="str">
        <f>"11.9729"</f>
        <v>11.9729</v>
      </c>
      <c r="C1431" t="str">
        <f>"12.0366"</f>
        <v>12.0366</v>
      </c>
    </row>
    <row r="1432" spans="1:3" x14ac:dyDescent="0.25">
      <c r="A1432" t="str">
        <f>"07/05/2015"</f>
        <v>07/05/2015</v>
      </c>
      <c r="B1432" t="str">
        <f>"12.0605"</f>
        <v>12.0605</v>
      </c>
      <c r="C1432" t="str">
        <f>"12.1223"</f>
        <v>12.1223</v>
      </c>
    </row>
    <row r="1433" spans="1:3" x14ac:dyDescent="0.25">
      <c r="A1433" t="str">
        <f>"08/05/2015"</f>
        <v>08/05/2015</v>
      </c>
      <c r="B1433" t="str">
        <f>"11.9448"</f>
        <v>11.9448</v>
      </c>
      <c r="C1433" t="str">
        <f>"12.007"</f>
        <v>12.007</v>
      </c>
    </row>
    <row r="1434" spans="1:3" x14ac:dyDescent="0.25">
      <c r="A1434" t="str">
        <f>"11/05/2015"</f>
        <v>11/05/2015</v>
      </c>
      <c r="B1434" t="str">
        <f>"12.0605"</f>
        <v>12.0605</v>
      </c>
      <c r="C1434" t="str">
        <f>"12.1226"</f>
        <v>12.1226</v>
      </c>
    </row>
    <row r="1435" spans="1:3" x14ac:dyDescent="0.25">
      <c r="A1435" t="str">
        <f>"12/05/2015"</f>
        <v>12/05/2015</v>
      </c>
      <c r="B1435" t="str">
        <f>"11.9448"</f>
        <v>11.9448</v>
      </c>
      <c r="C1435" t="str">
        <f>"12.0112"</f>
        <v>12.0112</v>
      </c>
    </row>
    <row r="1436" spans="1:3" x14ac:dyDescent="0.25">
      <c r="A1436" t="str">
        <f>"13/05/2015"</f>
        <v>13/05/2015</v>
      </c>
      <c r="B1436" t="str">
        <f>"11.8997"</f>
        <v>11.8997</v>
      </c>
      <c r="C1436" t="str">
        <f>"11.9644"</f>
        <v>11.9644</v>
      </c>
    </row>
    <row r="1437" spans="1:3" x14ac:dyDescent="0.25">
      <c r="A1437" t="str">
        <f>"14/05/2015"</f>
        <v>14/05/2015</v>
      </c>
      <c r="B1437" t="str">
        <f>"11.7989"</f>
        <v>11.7989</v>
      </c>
      <c r="C1437" t="str">
        <f>"11.8609"</f>
        <v>11.8609</v>
      </c>
    </row>
    <row r="1438" spans="1:3" x14ac:dyDescent="0.25">
      <c r="A1438" t="str">
        <f>"15/05/2015"</f>
        <v>15/05/2015</v>
      </c>
      <c r="B1438" t="str">
        <f>"11.8448"</f>
        <v>11.8448</v>
      </c>
      <c r="C1438" t="str">
        <f>"11.9062"</f>
        <v>11.9062</v>
      </c>
    </row>
    <row r="1439" spans="1:3" x14ac:dyDescent="0.25">
      <c r="A1439" t="str">
        <f>"18/05/2015"</f>
        <v>18/05/2015</v>
      </c>
      <c r="B1439" t="str">
        <f>"11.8996"</f>
        <v>11.8996</v>
      </c>
      <c r="C1439" t="str">
        <f>"11.9606"</f>
        <v>11.9606</v>
      </c>
    </row>
    <row r="1440" spans="1:3" x14ac:dyDescent="0.25">
      <c r="A1440" t="str">
        <f>"19/05/2015"</f>
        <v>19/05/2015</v>
      </c>
      <c r="B1440" t="str">
        <f>"11.9237"</f>
        <v>11.9237</v>
      </c>
      <c r="C1440" t="str">
        <f>"11.9892"</f>
        <v>11.9892</v>
      </c>
    </row>
    <row r="1441" spans="1:3" x14ac:dyDescent="0.25">
      <c r="A1441" t="str">
        <f>"20/05/2015"</f>
        <v>20/05/2015</v>
      </c>
      <c r="B1441" t="str">
        <f>"11.8434"</f>
        <v>11.8434</v>
      </c>
      <c r="C1441" t="str">
        <f>"11.9064"</f>
        <v>11.9064</v>
      </c>
    </row>
    <row r="1442" spans="1:3" x14ac:dyDescent="0.25">
      <c r="A1442" t="str">
        <f>"21/05/2015"</f>
        <v>21/05/2015</v>
      </c>
      <c r="B1442" t="str">
        <f>"11.8473"</f>
        <v>11.8473</v>
      </c>
      <c r="C1442" t="str">
        <f>"11.9086"</f>
        <v>11.9086</v>
      </c>
    </row>
    <row r="1443" spans="1:3" x14ac:dyDescent="0.25">
      <c r="A1443" t="str">
        <f>"22/05/2015"</f>
        <v>22/05/2015</v>
      </c>
      <c r="B1443" t="str">
        <f>"11.9139"</f>
        <v>11.9139</v>
      </c>
      <c r="C1443" t="str">
        <f>"11.9751"</f>
        <v>11.9751</v>
      </c>
    </row>
    <row r="1444" spans="1:3" x14ac:dyDescent="0.25">
      <c r="A1444" t="str">
        <f>"25/05/2015"</f>
        <v>25/05/2015</v>
      </c>
      <c r="B1444" t="str">
        <f>"11.9606"</f>
        <v>11.9606</v>
      </c>
      <c r="C1444" t="str">
        <f>"12.0224"</f>
        <v>12.0224</v>
      </c>
    </row>
    <row r="1445" spans="1:3" x14ac:dyDescent="0.25">
      <c r="A1445" t="str">
        <f>"26/05/2015"</f>
        <v>26/05/2015</v>
      </c>
      <c r="B1445" t="str">
        <f>"12.094"</f>
        <v>12.094</v>
      </c>
      <c r="C1445" t="str">
        <f>"12.1601"</f>
        <v>12.1601</v>
      </c>
    </row>
    <row r="1446" spans="1:3" x14ac:dyDescent="0.25">
      <c r="A1446" t="str">
        <f>"27/05/2015"</f>
        <v>27/05/2015</v>
      </c>
      <c r="B1446" t="str">
        <f>"12.0339"</f>
        <v>12.0339</v>
      </c>
      <c r="C1446" t="str">
        <f>"12.0991"</f>
        <v>12.0991</v>
      </c>
    </row>
    <row r="1447" spans="1:3" x14ac:dyDescent="0.25">
      <c r="A1447" t="str">
        <f>"28/05/2015"</f>
        <v>28/05/2015</v>
      </c>
      <c r="B1447" t="str">
        <f>"12.1483"</f>
        <v>12.1483</v>
      </c>
      <c r="C1447" t="str">
        <f>"12.2137"</f>
        <v>12.2137</v>
      </c>
    </row>
    <row r="1448" spans="1:3" x14ac:dyDescent="0.25">
      <c r="A1448" t="str">
        <f>"29/05/2015"</f>
        <v>29/05/2015</v>
      </c>
      <c r="B1448" t="str">
        <f>"12.175"</f>
        <v>12.175</v>
      </c>
      <c r="C1448" t="str">
        <f>"12.2375"</f>
        <v>12.2375</v>
      </c>
    </row>
    <row r="1449" spans="1:3" x14ac:dyDescent="0.25">
      <c r="A1449" t="str">
        <f>"01/06/2015"</f>
        <v>01/06/2015</v>
      </c>
      <c r="B1449" t="str">
        <f>"12.287"</f>
        <v>12.287</v>
      </c>
      <c r="C1449" t="str">
        <f>"12.3486"</f>
        <v>12.3486</v>
      </c>
    </row>
    <row r="1450" spans="1:3" x14ac:dyDescent="0.25">
      <c r="A1450" t="str">
        <f>"02/06/2015"</f>
        <v>02/06/2015</v>
      </c>
      <c r="B1450" t="str">
        <f>"12.2117"</f>
        <v>12.2117</v>
      </c>
      <c r="C1450" t="str">
        <f>"12.2732"</f>
        <v>12.2732</v>
      </c>
    </row>
    <row r="1451" spans="1:3" x14ac:dyDescent="0.25">
      <c r="A1451" t="str">
        <f>"03/06/2015"</f>
        <v>03/06/2015</v>
      </c>
      <c r="B1451" t="str">
        <f>"12.3219"</f>
        <v>12.3219</v>
      </c>
      <c r="C1451" t="str">
        <f>"12.3874"</f>
        <v>12.3874</v>
      </c>
    </row>
    <row r="1452" spans="1:3" x14ac:dyDescent="0.25">
      <c r="A1452" t="str">
        <f>"04/06/2015"</f>
        <v>04/06/2015</v>
      </c>
      <c r="B1452" t="str">
        <f>"12.3943"</f>
        <v>12.3943</v>
      </c>
      <c r="C1452" t="str">
        <f>"12.4599"</f>
        <v>12.4599</v>
      </c>
    </row>
    <row r="1453" spans="1:3" x14ac:dyDescent="0.25">
      <c r="A1453" t="str">
        <f>"05/06/2015"</f>
        <v>05/06/2015</v>
      </c>
      <c r="B1453" t="str">
        <f>"12.6166"</f>
        <v>12.6166</v>
      </c>
      <c r="C1453" t="str">
        <f>"12.681"</f>
        <v>12.681</v>
      </c>
    </row>
    <row r="1454" spans="1:3" x14ac:dyDescent="0.25">
      <c r="A1454" t="str">
        <f>"08/06/2015"</f>
        <v>08/06/2015</v>
      </c>
      <c r="B1454" t="str">
        <f>"12.48"</f>
        <v>12.48</v>
      </c>
      <c r="C1454" t="str">
        <f>"12.5459"</f>
        <v>12.5459</v>
      </c>
    </row>
    <row r="1455" spans="1:3" x14ac:dyDescent="0.25">
      <c r="A1455" t="str">
        <f>"09/06/2015"</f>
        <v>09/06/2015</v>
      </c>
      <c r="B1455" t="str">
        <f>"12.4388"</f>
        <v>12.4388</v>
      </c>
      <c r="C1455" t="str">
        <f>"12.5063"</f>
        <v>12.5063</v>
      </c>
    </row>
    <row r="1456" spans="1:3" x14ac:dyDescent="0.25">
      <c r="A1456" t="str">
        <f>"10/06/2015"</f>
        <v>10/06/2015</v>
      </c>
      <c r="B1456" t="str">
        <f>"12.3163"</f>
        <v>12.3163</v>
      </c>
      <c r="C1456" t="str">
        <f>"12.3874"</f>
        <v>12.3874</v>
      </c>
    </row>
    <row r="1457" spans="1:3" x14ac:dyDescent="0.25">
      <c r="A1457" t="str">
        <f>"11/06/2015"</f>
        <v>11/06/2015</v>
      </c>
      <c r="B1457" t="str">
        <f>"12.3762"</f>
        <v>12.3762</v>
      </c>
      <c r="C1457" t="str">
        <f>"12.4443"</f>
        <v>12.4443</v>
      </c>
    </row>
    <row r="1458" spans="1:3" x14ac:dyDescent="0.25">
      <c r="A1458" t="str">
        <f>"12/06/2015"</f>
        <v>12/06/2015</v>
      </c>
      <c r="B1458" t="str">
        <f>"12.399"</f>
        <v>12.399</v>
      </c>
      <c r="C1458" t="str">
        <f>"12.4663"</f>
        <v>12.4663</v>
      </c>
    </row>
    <row r="1459" spans="1:3" x14ac:dyDescent="0.25">
      <c r="A1459" t="str">
        <f>"15/06/2015"</f>
        <v>15/06/2015</v>
      </c>
      <c r="B1459" t="str">
        <f>"12.409"</f>
        <v>12.409</v>
      </c>
      <c r="C1459" t="str">
        <f>"12.4765"</f>
        <v>12.4765</v>
      </c>
    </row>
    <row r="1460" spans="1:3" x14ac:dyDescent="0.25">
      <c r="A1460" t="str">
        <f>"16/06/2015"</f>
        <v>16/06/2015</v>
      </c>
      <c r="B1460" t="str">
        <f>"12.3804"</f>
        <v>12.3804</v>
      </c>
      <c r="C1460" t="str">
        <f>"12.4526"</f>
        <v>12.4526</v>
      </c>
    </row>
    <row r="1461" spans="1:3" x14ac:dyDescent="0.25">
      <c r="A1461" t="str">
        <f>"17/06/2015"</f>
        <v>17/06/2015</v>
      </c>
      <c r="B1461" t="str">
        <f>"12.3993"</f>
        <v>12.3993</v>
      </c>
      <c r="C1461" t="str">
        <f>"12.4715"</f>
        <v>12.4715</v>
      </c>
    </row>
    <row r="1462" spans="1:3" x14ac:dyDescent="0.25">
      <c r="A1462" t="str">
        <f>"18/06/2015"</f>
        <v>18/06/2015</v>
      </c>
      <c r="B1462" t="str">
        <f>"12.2559"</f>
        <v>12.2559</v>
      </c>
      <c r="C1462" t="str">
        <f>"12.3254"</f>
        <v>12.3254</v>
      </c>
    </row>
    <row r="1463" spans="1:3" x14ac:dyDescent="0.25">
      <c r="A1463" t="str">
        <f>"19/06/2015"</f>
        <v>19/06/2015</v>
      </c>
      <c r="B1463" t="str">
        <f>"12.185"</f>
        <v>12.185</v>
      </c>
      <c r="C1463" t="str">
        <f>"12.25"</f>
        <v>12.25</v>
      </c>
    </row>
    <row r="1464" spans="1:3" x14ac:dyDescent="0.25">
      <c r="A1464" t="str">
        <f>"22/06/2015"</f>
        <v>22/06/2015</v>
      </c>
      <c r="B1464" t="str">
        <f>"12.1054"</f>
        <v>12.1054</v>
      </c>
      <c r="C1464" t="str">
        <f>"12.1706"</f>
        <v>12.1706</v>
      </c>
    </row>
    <row r="1465" spans="1:3" x14ac:dyDescent="0.25">
      <c r="A1465" t="str">
        <f>"23/06/2015"</f>
        <v>23/06/2015</v>
      </c>
      <c r="B1465" t="str">
        <f>"12.1808"</f>
        <v>12.1808</v>
      </c>
      <c r="C1465" t="str">
        <f>"12.2455"</f>
        <v>12.2455</v>
      </c>
    </row>
    <row r="1466" spans="1:3" x14ac:dyDescent="0.25">
      <c r="A1466" t="str">
        <f>"24/06/2015"</f>
        <v>24/06/2015</v>
      </c>
      <c r="B1466" t="str">
        <f>"12.1653"</f>
        <v>12.1653</v>
      </c>
      <c r="C1466" t="str">
        <f>"12.2337"</f>
        <v>12.2337</v>
      </c>
    </row>
    <row r="1467" spans="1:3" x14ac:dyDescent="0.25">
      <c r="A1467" t="str">
        <f>"25/06/2015"</f>
        <v>25/06/2015</v>
      </c>
      <c r="B1467" t="str">
        <f>"12.13"</f>
        <v>12.13</v>
      </c>
      <c r="C1467" t="str">
        <f>"12.1963"</f>
        <v>12.1963</v>
      </c>
    </row>
    <row r="1468" spans="1:3" x14ac:dyDescent="0.25">
      <c r="A1468" t="str">
        <f>"26/06/2015"</f>
        <v>26/06/2015</v>
      </c>
      <c r="B1468" t="str">
        <f>"12.2479"</f>
        <v>12.2479</v>
      </c>
      <c r="C1468" t="str">
        <f>"12.3115"</f>
        <v>12.3115</v>
      </c>
    </row>
    <row r="1469" spans="1:3" x14ac:dyDescent="0.25">
      <c r="A1469" t="str">
        <f>"29/06/2015"</f>
        <v>29/06/2015</v>
      </c>
      <c r="B1469" t="str">
        <f>"12.2614"</f>
        <v>12.2614</v>
      </c>
      <c r="C1469" t="str">
        <f>"12.3279"</f>
        <v>12.3279</v>
      </c>
    </row>
    <row r="1470" spans="1:3" x14ac:dyDescent="0.25">
      <c r="A1470" t="str">
        <f>"30/06/2015"</f>
        <v>30/06/2015</v>
      </c>
      <c r="B1470" t="str">
        <f>"12.1747"</f>
        <v>12.1747</v>
      </c>
      <c r="C1470" t="str">
        <f>"12.2456"</f>
        <v>12.2456</v>
      </c>
    </row>
    <row r="1471" spans="1:3" x14ac:dyDescent="0.25">
      <c r="A1471" t="str">
        <f>"01/07/2015"</f>
        <v>01/07/2015</v>
      </c>
      <c r="B1471" t="str">
        <f>"12.2619"</f>
        <v>12.2619</v>
      </c>
      <c r="C1471" t="str">
        <f>"12.3295"</f>
        <v>12.3295</v>
      </c>
    </row>
    <row r="1472" spans="1:3" x14ac:dyDescent="0.25">
      <c r="A1472" t="str">
        <f>"02/07/2015"</f>
        <v>02/07/2015</v>
      </c>
      <c r="B1472" t="str">
        <f>"12.2591"</f>
        <v>12.2591</v>
      </c>
      <c r="C1472" t="str">
        <f>"12.3252"</f>
        <v>12.3252</v>
      </c>
    </row>
    <row r="1473" spans="1:3" x14ac:dyDescent="0.25">
      <c r="A1473" t="str">
        <f>"03/07/2015"</f>
        <v>03/07/2015</v>
      </c>
      <c r="B1473" t="str">
        <f>"12.376"</f>
        <v>12.376</v>
      </c>
      <c r="C1473" t="str">
        <f>"12.4425"</f>
        <v>12.4425</v>
      </c>
    </row>
    <row r="1474" spans="1:3" x14ac:dyDescent="0.25">
      <c r="A1474" t="str">
        <f>"06/07/2015"</f>
        <v>06/07/2015</v>
      </c>
      <c r="B1474" t="str">
        <f>"12.40"</f>
        <v>12.40</v>
      </c>
      <c r="C1474" t="str">
        <f>"12.4666"</f>
        <v>12.4666</v>
      </c>
    </row>
    <row r="1475" spans="1:3" x14ac:dyDescent="0.25">
      <c r="A1475" t="str">
        <f>"07/07/2015"</f>
        <v>07/07/2015</v>
      </c>
      <c r="B1475" t="str">
        <f>"12.469"</f>
        <v>12.469</v>
      </c>
      <c r="C1475" t="str">
        <f>"12.5417"</f>
        <v>12.5417</v>
      </c>
    </row>
    <row r="1476" spans="1:3" x14ac:dyDescent="0.25">
      <c r="A1476" t="str">
        <f>"08/07/2015"</f>
        <v>08/07/2015</v>
      </c>
      <c r="B1476" t="str">
        <f>"12.5811"</f>
        <v>12.5811</v>
      </c>
      <c r="C1476" t="str">
        <f>"12.6523"</f>
        <v>12.6523</v>
      </c>
    </row>
    <row r="1477" spans="1:3" x14ac:dyDescent="0.25">
      <c r="A1477" t="str">
        <f>"09/07/2015"</f>
        <v>09/07/2015</v>
      </c>
      <c r="B1477" t="str">
        <f>"12.525"</f>
        <v>12.525</v>
      </c>
      <c r="C1477" t="str">
        <f>"12.5942"</f>
        <v>12.5942</v>
      </c>
    </row>
    <row r="1478" spans="1:3" x14ac:dyDescent="0.25">
      <c r="A1478" t="str">
        <f>"10/07/2015"</f>
        <v>10/07/2015</v>
      </c>
      <c r="B1478" t="str">
        <f>"12.474"</f>
        <v>12.474</v>
      </c>
      <c r="C1478" t="str">
        <f>"12.5408"</f>
        <v>12.5408</v>
      </c>
    </row>
    <row r="1479" spans="1:3" x14ac:dyDescent="0.25">
      <c r="A1479" t="str">
        <f>"13/07/2015"</f>
        <v>13/07/2015</v>
      </c>
      <c r="B1479" t="str">
        <f>"12.463"</f>
        <v>12.463</v>
      </c>
      <c r="C1479" t="str">
        <f>"12.5296"</f>
        <v>12.5296</v>
      </c>
    </row>
    <row r="1480" spans="1:3" x14ac:dyDescent="0.25">
      <c r="A1480" t="str">
        <f>"14/07/2015"</f>
        <v>14/07/2015</v>
      </c>
      <c r="B1480" t="str">
        <f>"12.3307"</f>
        <v>12.3307</v>
      </c>
      <c r="C1480" t="str">
        <f>"12.4014"</f>
        <v>12.4014</v>
      </c>
    </row>
    <row r="1481" spans="1:3" x14ac:dyDescent="0.25">
      <c r="A1481" t="str">
        <f>"15/07/2015"</f>
        <v>15/07/2015</v>
      </c>
      <c r="B1481" t="str">
        <f>"12.4263"</f>
        <v>12.4263</v>
      </c>
      <c r="C1481" t="str">
        <f>"12.4937"</f>
        <v>12.4937</v>
      </c>
    </row>
    <row r="1482" spans="1:3" x14ac:dyDescent="0.25">
      <c r="A1482" t="str">
        <f>"16/07/2015"</f>
        <v>16/07/2015</v>
      </c>
      <c r="B1482" t="str">
        <f>"12.3975"</f>
        <v>12.3975</v>
      </c>
      <c r="C1482" t="str">
        <f>"12.4636"</f>
        <v>12.4636</v>
      </c>
    </row>
    <row r="1483" spans="1:3" x14ac:dyDescent="0.25">
      <c r="A1483" t="str">
        <f>"17/07/2015"</f>
        <v>17/07/2015</v>
      </c>
      <c r="B1483" t="str">
        <f>"12.3812"</f>
        <v>12.3812</v>
      </c>
      <c r="C1483" t="str">
        <f>"12.4469"</f>
        <v>12.4469</v>
      </c>
    </row>
    <row r="1484" spans="1:3" x14ac:dyDescent="0.25">
      <c r="A1484" t="str">
        <f>"20/07/2015"</f>
        <v>20/07/2015</v>
      </c>
      <c r="B1484" t="str">
        <f>"12.444"</f>
        <v>12.444</v>
      </c>
      <c r="C1484" t="str">
        <f>"12.5093"</f>
        <v>12.5093</v>
      </c>
    </row>
    <row r="1485" spans="1:3" x14ac:dyDescent="0.25">
      <c r="A1485" t="str">
        <f>"21/07/2015"</f>
        <v>21/07/2015</v>
      </c>
      <c r="B1485" t="str">
        <f>"12.3353"</f>
        <v>12.3353</v>
      </c>
      <c r="C1485" t="str">
        <f>"12.4058"</f>
        <v>12.4058</v>
      </c>
    </row>
    <row r="1486" spans="1:3" x14ac:dyDescent="0.25">
      <c r="A1486" t="str">
        <f>"22/07/2015"</f>
        <v>22/07/2015</v>
      </c>
      <c r="B1486" t="str">
        <f>"12.4216"</f>
        <v>12.4216</v>
      </c>
      <c r="C1486" t="str">
        <f>"12.4894"</f>
        <v>12.4894</v>
      </c>
    </row>
    <row r="1487" spans="1:3" x14ac:dyDescent="0.25">
      <c r="A1487" t="str">
        <f>"23/07/2015"</f>
        <v>23/07/2015</v>
      </c>
      <c r="B1487" t="str">
        <f>"12.417"</f>
        <v>12.417</v>
      </c>
      <c r="C1487" t="str">
        <f>"12.483"</f>
        <v>12.483</v>
      </c>
    </row>
    <row r="1488" spans="1:3" x14ac:dyDescent="0.25">
      <c r="A1488" t="str">
        <f>"24/07/2015"</f>
        <v>24/07/2015</v>
      </c>
      <c r="B1488" t="str">
        <f>"12.5061"</f>
        <v>12.5061</v>
      </c>
      <c r="C1488" t="str">
        <f>"12.5731"</f>
        <v>12.5731</v>
      </c>
    </row>
    <row r="1489" spans="1:3" x14ac:dyDescent="0.25">
      <c r="A1489" t="str">
        <f>"27/07/2015"</f>
        <v>27/07/2015</v>
      </c>
      <c r="B1489" t="str">
        <f>"12.6268"</f>
        <v>12.6268</v>
      </c>
      <c r="C1489" t="str">
        <f>"12.6952"</f>
        <v>12.6952</v>
      </c>
    </row>
    <row r="1490" spans="1:3" x14ac:dyDescent="0.25">
      <c r="A1490" t="str">
        <f>"28/07/2015"</f>
        <v>28/07/2015</v>
      </c>
      <c r="B1490" t="str">
        <f>"12.5862"</f>
        <v>12.5862</v>
      </c>
      <c r="C1490" t="str">
        <f>"12.6595"</f>
        <v>12.6595</v>
      </c>
    </row>
    <row r="1491" spans="1:3" x14ac:dyDescent="0.25">
      <c r="A1491" t="str">
        <f>"29/07/2015"</f>
        <v>29/07/2015</v>
      </c>
      <c r="B1491" t="str">
        <f>"12.5584"</f>
        <v>12.5584</v>
      </c>
      <c r="C1491" t="str">
        <f>"12.6299"</f>
        <v>12.6299</v>
      </c>
    </row>
    <row r="1492" spans="1:3" x14ac:dyDescent="0.25">
      <c r="A1492" t="str">
        <f>"30/07/2015"</f>
        <v>30/07/2015</v>
      </c>
      <c r="B1492" t="str">
        <f>"12.7061"</f>
        <v>12.7061</v>
      </c>
      <c r="C1492" t="str">
        <f>"12.7751"</f>
        <v>12.7751</v>
      </c>
    </row>
    <row r="1493" spans="1:3" x14ac:dyDescent="0.25">
      <c r="A1493" t="str">
        <f>"31/07/2015"</f>
        <v>31/07/2015</v>
      </c>
      <c r="B1493" t="str">
        <f>"12.7229"</f>
        <v>12.7229</v>
      </c>
      <c r="C1493" t="str">
        <f>"12.7927"</f>
        <v>12.7927</v>
      </c>
    </row>
    <row r="1494" spans="1:3" x14ac:dyDescent="0.25">
      <c r="A1494" t="str">
        <f>"03/08/2015"</f>
        <v>03/08/2015</v>
      </c>
      <c r="B1494" t="str">
        <f>"12.6933"</f>
        <v>12.6933</v>
      </c>
      <c r="C1494" t="str">
        <f>"12.763"</f>
        <v>12.763</v>
      </c>
    </row>
    <row r="1495" spans="1:3" x14ac:dyDescent="0.25">
      <c r="A1495" t="str">
        <f>"04/08/2015"</f>
        <v>04/08/2015</v>
      </c>
      <c r="B1495" t="str">
        <f>"12.7012"</f>
        <v>12.7012</v>
      </c>
      <c r="C1495" t="str">
        <f>"12.7779"</f>
        <v>12.7779</v>
      </c>
    </row>
    <row r="1496" spans="1:3" x14ac:dyDescent="0.25">
      <c r="A1496" t="str">
        <f>"05/08/2015"</f>
        <v>05/08/2015</v>
      </c>
      <c r="B1496" t="str">
        <f>"12.7968"</f>
        <v>12.7968</v>
      </c>
      <c r="C1496" t="str">
        <f>"12.8708"</f>
        <v>12.8708</v>
      </c>
    </row>
    <row r="1497" spans="1:3" x14ac:dyDescent="0.25">
      <c r="A1497" t="str">
        <f>"06/08/2015"</f>
        <v>06/08/2015</v>
      </c>
      <c r="B1497" t="str">
        <f>"12.7236"</f>
        <v>12.7236</v>
      </c>
      <c r="C1497" t="str">
        <f>"12.7959"</f>
        <v>12.7959</v>
      </c>
    </row>
    <row r="1498" spans="1:3" x14ac:dyDescent="0.25">
      <c r="A1498" t="str">
        <f>"07/08/2015"</f>
        <v>07/08/2015</v>
      </c>
      <c r="B1498" t="str">
        <f>"12.6392"</f>
        <v>12.6392</v>
      </c>
      <c r="C1498" t="str">
        <f>"12.7088"</f>
        <v>12.7088</v>
      </c>
    </row>
    <row r="1499" spans="1:3" x14ac:dyDescent="0.25">
      <c r="A1499" t="str">
        <f>"10/08/2015"</f>
        <v>10/08/2015</v>
      </c>
      <c r="B1499" t="str">
        <f>"12.6689"</f>
        <v>12.6689</v>
      </c>
      <c r="C1499" t="str">
        <f>"12.7427"</f>
        <v>12.7427</v>
      </c>
    </row>
    <row r="1500" spans="1:3" x14ac:dyDescent="0.25">
      <c r="A1500" t="str">
        <f>"11/08/2015"</f>
        <v>11/08/2015</v>
      </c>
      <c r="B1500" t="str">
        <f>"12.8003"</f>
        <v>12.8003</v>
      </c>
      <c r="C1500" t="str">
        <f>"12.8742"</f>
        <v>12.8742</v>
      </c>
    </row>
    <row r="1501" spans="1:3" x14ac:dyDescent="0.25">
      <c r="A1501" t="str">
        <f>"12/08/2015"</f>
        <v>12/08/2015</v>
      </c>
      <c r="B1501" t="str">
        <f>"12.7665"</f>
        <v>12.7665</v>
      </c>
      <c r="C1501" t="str">
        <f>"12.8382"</f>
        <v>12.8382</v>
      </c>
    </row>
    <row r="1502" spans="1:3" x14ac:dyDescent="0.25">
      <c r="A1502" t="str">
        <f>"13/08/2015"</f>
        <v>13/08/2015</v>
      </c>
      <c r="B1502" t="str">
        <f>"12.8405"</f>
        <v>12.8405</v>
      </c>
      <c r="C1502" t="str">
        <f>"12.91"</f>
        <v>12.91</v>
      </c>
    </row>
    <row r="1503" spans="1:3" x14ac:dyDescent="0.25">
      <c r="A1503" t="str">
        <f>"14/08/2015"</f>
        <v>14/08/2015</v>
      </c>
      <c r="B1503" t="str">
        <f>"12.8609"</f>
        <v>12.8609</v>
      </c>
      <c r="C1503" t="str">
        <f>"12.9305"</f>
        <v>12.9305</v>
      </c>
    </row>
    <row r="1504" spans="1:3" x14ac:dyDescent="0.25">
      <c r="A1504" t="str">
        <f>"17/08/2015"</f>
        <v>17/08/2015</v>
      </c>
      <c r="B1504" t="str">
        <f>"12.919"</f>
        <v>12.919</v>
      </c>
      <c r="C1504" t="str">
        <f>"0.0799"</f>
        <v>0.0799</v>
      </c>
    </row>
    <row r="1505" spans="1:3" x14ac:dyDescent="0.25">
      <c r="A1505" t="str">
        <f>"19/08/2015"</f>
        <v>19/08/2015</v>
      </c>
      <c r="B1505" t="str">
        <f>"12.8981"</f>
        <v>12.8981</v>
      </c>
      <c r="C1505" t="str">
        <f>"12.9709"</f>
        <v>12.9709</v>
      </c>
    </row>
    <row r="1506" spans="1:3" x14ac:dyDescent="0.25">
      <c r="A1506" t="str">
        <f>"20/08/2015"</f>
        <v>20/08/2015</v>
      </c>
      <c r="B1506" t="str">
        <f>"12.9447"</f>
        <v>12.9447</v>
      </c>
      <c r="C1506" t="str">
        <f>"13.0153"</f>
        <v>13.0153</v>
      </c>
    </row>
    <row r="1507" spans="1:3" x14ac:dyDescent="0.25">
      <c r="A1507" t="str">
        <f>"21/08/2015"</f>
        <v>21/08/2015</v>
      </c>
      <c r="B1507" t="str">
        <f>"12.9745"</f>
        <v>12.9745</v>
      </c>
      <c r="C1507" t="str">
        <f>"13.0465"</f>
        <v>13.0465</v>
      </c>
    </row>
    <row r="1508" spans="1:3" x14ac:dyDescent="0.25">
      <c r="A1508" t="str">
        <f>"25/08/2015"</f>
        <v>25/08/2015</v>
      </c>
      <c r="B1508" t="str">
        <f>"13.2065"</f>
        <v>13.2065</v>
      </c>
      <c r="C1508" t="str">
        <f>"13.2836"</f>
        <v>13.2836</v>
      </c>
    </row>
    <row r="1509" spans="1:3" x14ac:dyDescent="0.25">
      <c r="A1509" t="str">
        <f>"26/08/2015"</f>
        <v>26/08/2015</v>
      </c>
      <c r="B1509" t="str">
        <f>"13.1431"</f>
        <v>13.1431</v>
      </c>
      <c r="C1509" t="str">
        <f>"13.2168"</f>
        <v>13.2168</v>
      </c>
    </row>
    <row r="1510" spans="1:3" x14ac:dyDescent="0.25">
      <c r="A1510" t="str">
        <f>"27/08/2015"</f>
        <v>27/08/2015</v>
      </c>
      <c r="B1510" t="str">
        <f>"13.1609"</f>
        <v>13.1609</v>
      </c>
      <c r="C1510" t="str">
        <f>"13.2326"</f>
        <v>13.2326</v>
      </c>
    </row>
    <row r="1511" spans="1:3" x14ac:dyDescent="0.25">
      <c r="A1511" t="str">
        <f>"28/08/2015"</f>
        <v>28/08/2015</v>
      </c>
      <c r="B1511" t="str">
        <f>"13.3499"</f>
        <v>13.3499</v>
      </c>
      <c r="C1511" t="str">
        <f>"13.4196"</f>
        <v>13.4196</v>
      </c>
    </row>
    <row r="1512" spans="1:3" x14ac:dyDescent="0.25">
      <c r="A1512" t="str">
        <f>"31/08/2015"</f>
        <v>31/08/2015</v>
      </c>
      <c r="B1512" t="str">
        <f>"13.2905"</f>
        <v>13.2905</v>
      </c>
      <c r="C1512" t="str">
        <f>"13.3609"</f>
        <v>13.3609</v>
      </c>
    </row>
    <row r="1513" spans="1:3" x14ac:dyDescent="0.25">
      <c r="A1513" t="str">
        <f>"01/09/2015"</f>
        <v>01/09/2015</v>
      </c>
      <c r="B1513" t="str">
        <f>"13.4613"</f>
        <v>13.4613</v>
      </c>
      <c r="C1513" t="str">
        <f>"13.5312"</f>
        <v>13.5312</v>
      </c>
    </row>
    <row r="1514" spans="1:3" x14ac:dyDescent="0.25">
      <c r="A1514" t="str">
        <f>"02/09/2015"</f>
        <v>02/09/2015</v>
      </c>
      <c r="B1514" t="str">
        <f>"13.452"</f>
        <v>13.452</v>
      </c>
      <c r="C1514" t="str">
        <f>"13.5271"</f>
        <v>13.5271</v>
      </c>
    </row>
    <row r="1515" spans="1:3" x14ac:dyDescent="0.25">
      <c r="A1515" t="str">
        <f>"03/09/2015"</f>
        <v>03/09/2015</v>
      </c>
      <c r="B1515" t="str">
        <f>"13.585"</f>
        <v>13.585</v>
      </c>
      <c r="C1515" t="str">
        <f>"13.6576"</f>
        <v>13.6576</v>
      </c>
    </row>
    <row r="1516" spans="1:3" x14ac:dyDescent="0.25">
      <c r="A1516" t="str">
        <f>"04/09/2015"</f>
        <v>04/09/2015</v>
      </c>
      <c r="B1516" t="str">
        <f>"13.9039"</f>
        <v>13.9039</v>
      </c>
      <c r="C1516" t="str">
        <f>"13.975"</f>
        <v>13.975</v>
      </c>
    </row>
    <row r="1517" spans="1:3" x14ac:dyDescent="0.25">
      <c r="A1517" t="str">
        <f>"07/09/2015"</f>
        <v>07/09/2015</v>
      </c>
      <c r="B1517" t="str">
        <f>"14.0156"</f>
        <v>14.0156</v>
      </c>
      <c r="C1517" t="str">
        <f>"14.089"</f>
        <v>14.089</v>
      </c>
    </row>
    <row r="1518" spans="1:3" x14ac:dyDescent="0.25">
      <c r="A1518" t="str">
        <f>"08/09/2015"</f>
        <v>08/09/2015</v>
      </c>
      <c r="B1518" t="str">
        <f>"13.7316"</f>
        <v>13.7316</v>
      </c>
      <c r="C1518" t="str">
        <f>"13.8056"</f>
        <v>13.8056</v>
      </c>
    </row>
    <row r="1519" spans="1:3" x14ac:dyDescent="0.25">
      <c r="A1519" t="str">
        <f>"09/09/2015"</f>
        <v>09/09/2015</v>
      </c>
      <c r="B1519" t="str">
        <f>"13.8081"</f>
        <v>13.8081</v>
      </c>
      <c r="C1519" t="str">
        <f>"13.8879"</f>
        <v>13.8879</v>
      </c>
    </row>
    <row r="1520" spans="1:3" x14ac:dyDescent="0.25">
      <c r="A1520" t="str">
        <f>"10/09/2015"</f>
        <v>10/09/2015</v>
      </c>
      <c r="B1520" t="str">
        <f>"13.6421"</f>
        <v>13.6421</v>
      </c>
      <c r="C1520" t="str">
        <f>"13.7192"</f>
        <v>13.7192</v>
      </c>
    </row>
    <row r="1521" spans="1:3" x14ac:dyDescent="0.25">
      <c r="A1521" t="str">
        <f>"11/09/2015"</f>
        <v>11/09/2015</v>
      </c>
      <c r="B1521" t="str">
        <f>"13.617"</f>
        <v>13.617</v>
      </c>
      <c r="C1521" t="str">
        <f>"13.6888"</f>
        <v>13.6888</v>
      </c>
    </row>
    <row r="1522" spans="1:3" x14ac:dyDescent="0.25">
      <c r="A1522" t="str">
        <f>"14/09/2015"</f>
        <v>14/09/2015</v>
      </c>
      <c r="B1522" t="str">
        <f>"13.5006"</f>
        <v>13.5006</v>
      </c>
      <c r="C1522" t="str">
        <f>"13.5723"</f>
        <v>13.5723</v>
      </c>
    </row>
    <row r="1523" spans="1:3" x14ac:dyDescent="0.25">
      <c r="A1523" t="str">
        <f>"15/09/2015"</f>
        <v>15/09/2015</v>
      </c>
      <c r="B1523" t="str">
        <f>"13.4748"</f>
        <v>13.4748</v>
      </c>
      <c r="C1523" t="str">
        <f>"13.5457"</f>
        <v>13.5457</v>
      </c>
    </row>
    <row r="1524" spans="1:3" x14ac:dyDescent="0.25">
      <c r="A1524" t="str">
        <f>"16/09/2015"</f>
        <v>16/09/2015</v>
      </c>
      <c r="B1524" t="str">
        <f>"13.2743"</f>
        <v>13.2743</v>
      </c>
      <c r="C1524" t="str">
        <f>"13.3497"</f>
        <v>13.3497</v>
      </c>
    </row>
    <row r="1525" spans="1:3" x14ac:dyDescent="0.25">
      <c r="A1525" t="str">
        <f>"18/09/2015"</f>
        <v>18/09/2015</v>
      </c>
      <c r="B1525" t="str">
        <f>"13.3705"</f>
        <v>13.3705</v>
      </c>
      <c r="C1525" t="str">
        <f>"13.4398"</f>
        <v>13.4398</v>
      </c>
    </row>
    <row r="1526" spans="1:3" x14ac:dyDescent="0.25">
      <c r="A1526" t="str">
        <f>"21/09/2015"</f>
        <v>21/09/2015</v>
      </c>
      <c r="B1526" t="str">
        <f>"13.4821"</f>
        <v>13.4821</v>
      </c>
      <c r="C1526" t="str">
        <f>"13.5504"</f>
        <v>13.5504</v>
      </c>
    </row>
    <row r="1527" spans="1:3" x14ac:dyDescent="0.25">
      <c r="A1527" t="str">
        <f>"22/09/2015"</f>
        <v>22/09/2015</v>
      </c>
      <c r="B1527" t="str">
        <f>"13.6892"</f>
        <v>13.6892</v>
      </c>
      <c r="C1527" t="str">
        <f>"13.759"</f>
        <v>13.759</v>
      </c>
    </row>
    <row r="1528" spans="1:3" x14ac:dyDescent="0.25">
      <c r="A1528" t="str">
        <f>"23/09/2015"</f>
        <v>23/09/2015</v>
      </c>
      <c r="B1528" t="str">
        <f>"13.8798"</f>
        <v>13.8798</v>
      </c>
      <c r="C1528" t="str">
        <f>"13.9534"</f>
        <v>13.9534</v>
      </c>
    </row>
    <row r="1529" spans="1:3" x14ac:dyDescent="0.25">
      <c r="A1529" t="str">
        <f>"24/09/2015"</f>
        <v>24/09/2015</v>
      </c>
      <c r="B1529" t="str">
        <f>"13.8655"</f>
        <v>13.8655</v>
      </c>
      <c r="C1529" t="str">
        <f>"13.9372"</f>
        <v>13.9372</v>
      </c>
    </row>
    <row r="1530" spans="1:3" x14ac:dyDescent="0.25">
      <c r="A1530" t="str">
        <f>"28/09/2015"</f>
        <v>28/09/2015</v>
      </c>
      <c r="B1530" t="str">
        <f>"14.0845"</f>
        <v>14.0845</v>
      </c>
      <c r="C1530" t="str">
        <f>"14.1562"</f>
        <v>14.1562</v>
      </c>
    </row>
    <row r="1531" spans="1:3" x14ac:dyDescent="0.25">
      <c r="A1531" t="str">
        <f>"29/09/2015"</f>
        <v>29/09/2015</v>
      </c>
      <c r="B1531" t="str">
        <f>"13.9976"</f>
        <v>13.9976</v>
      </c>
      <c r="C1531" t="str">
        <f>"14.0715"</f>
        <v>14.0715</v>
      </c>
    </row>
    <row r="1532" spans="1:3" x14ac:dyDescent="0.25">
      <c r="A1532" t="str">
        <f>"30/09/2015"</f>
        <v>30/09/2015</v>
      </c>
      <c r="B1532" t="str">
        <f>"13.8633"</f>
        <v>13.8633</v>
      </c>
      <c r="C1532" t="str">
        <f>"13.941"</f>
        <v>13.941</v>
      </c>
    </row>
    <row r="1533" spans="1:3" x14ac:dyDescent="0.25">
      <c r="A1533" t="str">
        <f>"01/10/2015"</f>
        <v>01/10/2015</v>
      </c>
      <c r="B1533" t="str">
        <f>"13.9388"</f>
        <v>13.9388</v>
      </c>
      <c r="C1533" t="str">
        <f>"14.0129"</f>
        <v>14.0129</v>
      </c>
    </row>
    <row r="1534" spans="1:3" x14ac:dyDescent="0.25">
      <c r="A1534" t="str">
        <f>"05/10/2015"</f>
        <v>05/10/2015</v>
      </c>
      <c r="B1534" t="str">
        <f>"13.6445"</f>
        <v>13.6445</v>
      </c>
      <c r="C1534" t="str">
        <f>"13.7185"</f>
        <v>13.7185</v>
      </c>
    </row>
    <row r="1535" spans="1:3" x14ac:dyDescent="0.25">
      <c r="A1535" t="str">
        <f>"06/10/2015"</f>
        <v>06/10/2015</v>
      </c>
      <c r="B1535" t="str">
        <f>"13.5297"</f>
        <v>13.5297</v>
      </c>
      <c r="C1535" t="str">
        <f>"13.6079"</f>
        <v>13.6079</v>
      </c>
    </row>
    <row r="1536" spans="1:3" x14ac:dyDescent="0.25">
      <c r="A1536" t="str">
        <f>"07/10/2015"</f>
        <v>07/10/2015</v>
      </c>
      <c r="B1536" t="str">
        <f>"13.4814"</f>
        <v>13.4814</v>
      </c>
      <c r="C1536" t="str">
        <f>"13.5563"</f>
        <v>13.5563</v>
      </c>
    </row>
    <row r="1537" spans="1:3" x14ac:dyDescent="0.25">
      <c r="A1537" t="str">
        <f>"08/10/2015"</f>
        <v>08/10/2015</v>
      </c>
      <c r="B1537" t="str">
        <f>"13.3187"</f>
        <v>13.3187</v>
      </c>
      <c r="C1537" t="str">
        <f>"13.391"</f>
        <v>13.391</v>
      </c>
    </row>
    <row r="1538" spans="1:3" x14ac:dyDescent="0.25">
      <c r="A1538" t="str">
        <f>"09/10/2015"</f>
        <v>09/10/2015</v>
      </c>
      <c r="B1538" t="str">
        <f>"13.3775"</f>
        <v>13.3775</v>
      </c>
      <c r="C1538" t="str">
        <f>"13.4501"</f>
        <v>13.4501</v>
      </c>
    </row>
    <row r="1539" spans="1:3" x14ac:dyDescent="0.25">
      <c r="A1539" t="str">
        <f>"12/10/2015"</f>
        <v>12/10/2015</v>
      </c>
      <c r="B1539" t="str">
        <f>"13.3452"</f>
        <v>13.3452</v>
      </c>
      <c r="C1539" t="str">
        <f>"13.4165"</f>
        <v>13.4165</v>
      </c>
    </row>
    <row r="1540" spans="1:3" x14ac:dyDescent="0.25">
      <c r="A1540" t="str">
        <f>"13/10/2015"</f>
        <v>13/10/2015</v>
      </c>
      <c r="B1540" t="str">
        <f>"13.5681"</f>
        <v>13.5681</v>
      </c>
      <c r="C1540" t="str">
        <f>"13.6448"</f>
        <v>13.6448</v>
      </c>
    </row>
    <row r="1541" spans="1:3" x14ac:dyDescent="0.25">
      <c r="A1541" t="str">
        <f>"14/10/2015"</f>
        <v>14/10/2015</v>
      </c>
      <c r="B1541" t="str">
        <f>"13.2509"</f>
        <v>13.2509</v>
      </c>
      <c r="C1541" t="str">
        <f>"13.326"</f>
        <v>13.326</v>
      </c>
    </row>
    <row r="1542" spans="1:3" x14ac:dyDescent="0.25">
      <c r="A1542" t="str">
        <f>"15/10/2015"</f>
        <v>15/10/2015</v>
      </c>
      <c r="B1542" t="str">
        <f>"13.0616"</f>
        <v>13.0616</v>
      </c>
      <c r="C1542" t="str">
        <f>"13.1333"</f>
        <v>13.1333</v>
      </c>
    </row>
    <row r="1543" spans="1:3" x14ac:dyDescent="0.25">
      <c r="A1543" t="str">
        <f>"16/10/2015"</f>
        <v>16/10/2015</v>
      </c>
      <c r="B1543" t="str">
        <f>"13.1196"</f>
        <v>13.1196</v>
      </c>
      <c r="C1543" t="str">
        <f>"13.1904"</f>
        <v>13.1904</v>
      </c>
    </row>
    <row r="1544" spans="1:3" x14ac:dyDescent="0.25">
      <c r="A1544" t="str">
        <f>"19/10/2015"</f>
        <v>19/10/2015</v>
      </c>
      <c r="B1544" t="str">
        <f>"13.2985"</f>
        <v>13.2985</v>
      </c>
      <c r="C1544" t="str">
        <f>"13.3698"</f>
        <v>13.3698</v>
      </c>
    </row>
    <row r="1545" spans="1:3" x14ac:dyDescent="0.25">
      <c r="A1545" t="str">
        <f>"20/10/2015"</f>
        <v>20/10/2015</v>
      </c>
      <c r="B1545" t="str">
        <f>"13.3047"</f>
        <v>13.3047</v>
      </c>
      <c r="C1545" t="str">
        <f>"13.3811"</f>
        <v>13.3811</v>
      </c>
    </row>
    <row r="1546" spans="1:3" x14ac:dyDescent="0.25">
      <c r="A1546" t="str">
        <f>"21/10/2015"</f>
        <v>21/10/2015</v>
      </c>
      <c r="B1546" t="str">
        <f>"13.294"</f>
        <v>13.294</v>
      </c>
      <c r="C1546" t="str">
        <f>"13.3678"</f>
        <v>13.3678</v>
      </c>
    </row>
    <row r="1547" spans="1:3" x14ac:dyDescent="0.25">
      <c r="A1547" t="str">
        <f>"23/10/2015"</f>
        <v>23/10/2015</v>
      </c>
      <c r="B1547" t="str">
        <f>"13.6802"</f>
        <v>13.6802</v>
      </c>
      <c r="C1547" t="str">
        <f>"13.7545"</f>
        <v>13.7545</v>
      </c>
    </row>
    <row r="1548" spans="1:3" x14ac:dyDescent="0.25">
      <c r="A1548" t="str">
        <f>"26/10/2015"</f>
        <v>26/10/2015</v>
      </c>
      <c r="B1548" t="str">
        <f>"13.6518"</f>
        <v>13.6518</v>
      </c>
      <c r="C1548" t="str">
        <f>"13.7254"</f>
        <v>13.7254</v>
      </c>
    </row>
    <row r="1549" spans="1:3" x14ac:dyDescent="0.25">
      <c r="A1549" t="str">
        <f>"27/10/2015"</f>
        <v>27/10/2015</v>
      </c>
      <c r="B1549" t="str">
        <f>"13.6958"</f>
        <v>13.6958</v>
      </c>
      <c r="C1549" t="str">
        <f>"13.7733"</f>
        <v>13.7733</v>
      </c>
    </row>
    <row r="1550" spans="1:3" x14ac:dyDescent="0.25">
      <c r="A1550" t="str">
        <f>"29/10/2015"</f>
        <v>29/10/2015</v>
      </c>
      <c r="B1550" t="str">
        <f>"13.903"</f>
        <v>13.903</v>
      </c>
      <c r="C1550" t="str">
        <f>"13.9743"</f>
        <v>13.9743</v>
      </c>
    </row>
    <row r="1551" spans="1:3" x14ac:dyDescent="0.25">
      <c r="A1551" t="str">
        <f>"30/10/2015"</f>
        <v>30/10/2015</v>
      </c>
      <c r="B1551" t="str">
        <f>"13.8721"</f>
        <v>13.8721</v>
      </c>
      <c r="C1551" t="str">
        <f>"13.9441"</f>
        <v>13.9441</v>
      </c>
    </row>
    <row r="1552" spans="1:3" x14ac:dyDescent="0.25">
      <c r="A1552" t="str">
        <f>"02/11/2015"</f>
        <v>02/11/2015</v>
      </c>
      <c r="B1552" t="str">
        <f>"13.7969"</f>
        <v>13.7969</v>
      </c>
      <c r="C1552" t="str">
        <f>"13.8692"</f>
        <v>13.8692</v>
      </c>
    </row>
    <row r="1553" spans="1:3" x14ac:dyDescent="0.25">
      <c r="A1553" t="str">
        <f>"03/11/2015"</f>
        <v>03/11/2015</v>
      </c>
      <c r="B1553" t="str">
        <f>"13.752"</f>
        <v>13.752</v>
      </c>
      <c r="C1553" t="str">
        <f>"13.8287"</f>
        <v>13.8287</v>
      </c>
    </row>
    <row r="1554" spans="1:3" x14ac:dyDescent="0.25">
      <c r="A1554" t="str">
        <f>"04/11/2015"</f>
        <v>04/11/2015</v>
      </c>
      <c r="B1554" t="str">
        <f>"13.9664"</f>
        <v>13.9664</v>
      </c>
      <c r="C1554" t="str">
        <f>"14.0432"</f>
        <v>14.0432</v>
      </c>
    </row>
    <row r="1555" spans="1:3" x14ac:dyDescent="0.25">
      <c r="A1555" t="str">
        <f>"05/11/2015"</f>
        <v>05/11/2015</v>
      </c>
      <c r="B1555" t="str">
        <f>"13.9072"</f>
        <v>13.9072</v>
      </c>
      <c r="C1555" t="str">
        <f>"13.9833"</f>
        <v>13.9833</v>
      </c>
    </row>
    <row r="1556" spans="1:3" x14ac:dyDescent="0.25">
      <c r="A1556" t="str">
        <f>"06/11/2015"</f>
        <v>06/11/2015</v>
      </c>
      <c r="B1556" t="str">
        <f>"14.2292"</f>
        <v>14.2292</v>
      </c>
      <c r="C1556" t="str">
        <f>"14.303"</f>
        <v>14.303</v>
      </c>
    </row>
    <row r="1557" spans="1:3" x14ac:dyDescent="0.25">
      <c r="A1557" t="str">
        <f>"09/11/2015"</f>
        <v>09/11/2015</v>
      </c>
      <c r="B1557" t="str">
        <f>"14.3083"</f>
        <v>14.3083</v>
      </c>
      <c r="C1557" t="str">
        <f>"14.3829"</f>
        <v>14.3829</v>
      </c>
    </row>
    <row r="1558" spans="1:3" x14ac:dyDescent="0.25">
      <c r="A1558" t="str">
        <f>"10/11/2015"</f>
        <v>10/11/2015</v>
      </c>
      <c r="B1558" t="str">
        <f>"14.29"</f>
        <v>14.29</v>
      </c>
      <c r="C1558" t="str">
        <f>"14.3713"</f>
        <v>14.3713</v>
      </c>
    </row>
    <row r="1559" spans="1:3" x14ac:dyDescent="0.25">
      <c r="A1559" t="str">
        <f>"13/11/2015"</f>
        <v>13/11/2015</v>
      </c>
      <c r="B1559" t="str">
        <f>"14.4295"</f>
        <v>14.4295</v>
      </c>
      <c r="C1559" t="str">
        <f>"14.5083"</f>
        <v>14.5083</v>
      </c>
    </row>
    <row r="1560" spans="1:3" x14ac:dyDescent="0.25">
      <c r="A1560" t="str">
        <f>"16/11/2015"</f>
        <v>16/11/2015</v>
      </c>
      <c r="B1560" t="str">
        <f>"14.3226"</f>
        <v>14.3226</v>
      </c>
      <c r="C1560" t="str">
        <f>"14.3999"</f>
        <v>14.3999</v>
      </c>
    </row>
    <row r="1561" spans="1:3" x14ac:dyDescent="0.25">
      <c r="A1561" t="str">
        <f>"17/11/2015"</f>
        <v>17/11/2015</v>
      </c>
      <c r="B1561" t="str">
        <f>"14.2815"</f>
        <v>14.2815</v>
      </c>
      <c r="C1561" t="str">
        <f>"14.3593"</f>
        <v>14.3593</v>
      </c>
    </row>
    <row r="1562" spans="1:3" x14ac:dyDescent="0.25">
      <c r="A1562" t="str">
        <f>"18/11/2015"</f>
        <v>18/11/2015</v>
      </c>
      <c r="B1562" t="str">
        <f>"14.176"</f>
        <v>14.176</v>
      </c>
      <c r="C1562" t="str">
        <f>"14.2538"</f>
        <v>14.2538</v>
      </c>
    </row>
    <row r="1563" spans="1:3" x14ac:dyDescent="0.25">
      <c r="A1563" t="str">
        <f>"19/11/2015"</f>
        <v>19/11/2015</v>
      </c>
      <c r="B1563" t="str">
        <f>"14.0443"</f>
        <v>14.0443</v>
      </c>
      <c r="C1563" t="str">
        <f>"14.1232"</f>
        <v>14.1232</v>
      </c>
    </row>
    <row r="1564" spans="1:3" x14ac:dyDescent="0.25">
      <c r="A1564" t="str">
        <f>"20/11/2015"</f>
        <v>20/11/2015</v>
      </c>
      <c r="B1564" t="str">
        <f>"14.0214"</f>
        <v>14.0214</v>
      </c>
      <c r="C1564" t="str">
        <f>"14.0966"</f>
        <v>14.0966</v>
      </c>
    </row>
    <row r="1565" spans="1:3" x14ac:dyDescent="0.25">
      <c r="A1565" t="str">
        <f>"23/11/2015"</f>
        <v>23/11/2015</v>
      </c>
      <c r="B1565" t="str">
        <f>"14.1052"</f>
        <v>14.1052</v>
      </c>
      <c r="C1565" t="str">
        <f>"14.1792"</f>
        <v>14.1792</v>
      </c>
    </row>
    <row r="1566" spans="1:3" x14ac:dyDescent="0.25">
      <c r="A1566" t="str">
        <f>"24/11/2015"</f>
        <v>24/11/2015</v>
      </c>
      <c r="B1566" t="str">
        <f>"14.072"</f>
        <v>14.072</v>
      </c>
      <c r="C1566" t="str">
        <f>"14.1546"</f>
        <v>14.1546</v>
      </c>
    </row>
    <row r="1567" spans="1:3" x14ac:dyDescent="0.25">
      <c r="A1567" t="str">
        <f>"26/11/2015"</f>
        <v>26/11/2015</v>
      </c>
      <c r="B1567" t="str">
        <f>"14.2957"</f>
        <v>14.2957</v>
      </c>
      <c r="C1567" t="str">
        <f>"14.3734"</f>
        <v>14.3734</v>
      </c>
    </row>
    <row r="1568" spans="1:3" x14ac:dyDescent="0.25">
      <c r="A1568" t="str">
        <f>"27/11/2015"</f>
        <v>27/11/2015</v>
      </c>
      <c r="B1568" t="str">
        <f>"14.4238"</f>
        <v>14.4238</v>
      </c>
      <c r="C1568" t="str">
        <f>"14.5034"</f>
        <v>14.5034</v>
      </c>
    </row>
    <row r="1569" spans="1:3" x14ac:dyDescent="0.25">
      <c r="A1569" t="str">
        <f>"30/11/2015"</f>
        <v>30/11/2015</v>
      </c>
      <c r="B1569" t="str">
        <f>"14.4573"</f>
        <v>14.4573</v>
      </c>
      <c r="C1569" t="str">
        <f>"14.5469"</f>
        <v>14.5469</v>
      </c>
    </row>
    <row r="1570" spans="1:3" x14ac:dyDescent="0.25">
      <c r="A1570" t="str">
        <f>"01/12/2015"</f>
        <v>01/12/2015</v>
      </c>
      <c r="B1570" t="str">
        <f>"14.4534"</f>
        <v>14.4534</v>
      </c>
      <c r="C1570" t="str">
        <f>"14.5391"</f>
        <v>14.5391</v>
      </c>
    </row>
    <row r="1571" spans="1:3" x14ac:dyDescent="0.25">
      <c r="A1571" t="str">
        <f>"02/12/2015"</f>
        <v>02/12/2015</v>
      </c>
      <c r="B1571" t="str">
        <f>"14.3675"</f>
        <v>14.3675</v>
      </c>
      <c r="C1571" t="str">
        <f>"14.4509"</f>
        <v>14.4509</v>
      </c>
    </row>
    <row r="1572" spans="1:3" x14ac:dyDescent="0.25">
      <c r="A1572" t="str">
        <f>"03/12/2015"</f>
        <v>03/12/2015</v>
      </c>
      <c r="B1572" t="str">
        <f>"14.3847"</f>
        <v>14.3847</v>
      </c>
      <c r="C1572" t="str">
        <f>"14.4673"</f>
        <v>14.4673</v>
      </c>
    </row>
    <row r="1573" spans="1:3" x14ac:dyDescent="0.25">
      <c r="A1573" t="str">
        <f>"04/12/2015"</f>
        <v>04/12/2015</v>
      </c>
      <c r="B1573" t="str">
        <f>"14.3997"</f>
        <v>14.3997</v>
      </c>
      <c r="C1573" t="str">
        <f>"14.4819"</f>
        <v>14.4819</v>
      </c>
    </row>
    <row r="1574" spans="1:3" x14ac:dyDescent="0.25">
      <c r="A1574" t="str">
        <f>"07/12/2015"</f>
        <v>07/12/2015</v>
      </c>
      <c r="B1574" t="str">
        <f>"14.5785"</f>
        <v>14.5785</v>
      </c>
      <c r="C1574" t="str">
        <f>"14.6599"</f>
        <v>14.6599</v>
      </c>
    </row>
    <row r="1575" spans="1:3" x14ac:dyDescent="0.25">
      <c r="A1575" t="str">
        <f>"08/12/2015"</f>
        <v>08/12/2015</v>
      </c>
      <c r="B1575" t="str">
        <f>"14.6109"</f>
        <v>14.6109</v>
      </c>
      <c r="C1575" t="str">
        <f>"14.6989"</f>
        <v>14.6989</v>
      </c>
    </row>
    <row r="1576" spans="1:3" x14ac:dyDescent="0.25">
      <c r="A1576" t="str">
        <f>"09/12/2015"</f>
        <v>09/12/2015</v>
      </c>
      <c r="B1576" t="str">
        <f>"15.00"</f>
        <v>15.00</v>
      </c>
      <c r="C1576" t="str">
        <f>"15.0861"</f>
        <v>15.0861</v>
      </c>
    </row>
    <row r="1577" spans="1:3" x14ac:dyDescent="0.25">
      <c r="A1577" t="str">
        <f>"10/12/2015"</f>
        <v>10/12/2015</v>
      </c>
      <c r="B1577" t="str">
        <f>"15.4862"</f>
        <v>15.4862</v>
      </c>
      <c r="C1577" t="str">
        <f>"15.5729"</f>
        <v>15.5729</v>
      </c>
    </row>
    <row r="1578" spans="1:3" x14ac:dyDescent="0.25">
      <c r="A1578" t="str">
        <f>"11/12/2015"</f>
        <v>11/12/2015</v>
      </c>
      <c r="B1578" t="str">
        <f>"15.9474"</f>
        <v>15.9474</v>
      </c>
      <c r="C1578" t="str">
        <f>"16.0432"</f>
        <v>16.0432</v>
      </c>
    </row>
    <row r="1579" spans="1:3" x14ac:dyDescent="0.25">
      <c r="A1579" t="str">
        <f>"14/12/2015"</f>
        <v>14/12/2015</v>
      </c>
      <c r="B1579" t="str">
        <f>"15.1305"</f>
        <v>15.1305</v>
      </c>
      <c r="C1579" t="str">
        <f>"15.1305"</f>
        <v>15.1305</v>
      </c>
    </row>
    <row r="1580" spans="1:3" x14ac:dyDescent="0.25">
      <c r="A1580" t="str">
        <f>"15/12/2015"</f>
        <v>15/12/2015</v>
      </c>
      <c r="B1580" t="str">
        <f>"14.9534"</f>
        <v>14.9534</v>
      </c>
      <c r="C1580" t="str">
        <f>"15.0488"</f>
        <v>15.0488</v>
      </c>
    </row>
    <row r="1581" spans="1:3" x14ac:dyDescent="0.25">
      <c r="A1581" t="str">
        <f>"16/12/2015"</f>
        <v>16/12/2015</v>
      </c>
      <c r="B1581" t="str">
        <f>"14.9638"</f>
        <v>14.9638</v>
      </c>
      <c r="C1581" t="str">
        <f>"15.0547"</f>
        <v>15.0547</v>
      </c>
    </row>
    <row r="1582" spans="1:3" x14ac:dyDescent="0.25">
      <c r="A1582" t="str">
        <f>"17/12/2015"</f>
        <v>17/12/2015</v>
      </c>
      <c r="B1582" t="str">
        <f>"15.2523"</f>
        <v>15.2523</v>
      </c>
      <c r="C1582" t="str">
        <f>"15.5695"</f>
        <v>15.5695</v>
      </c>
    </row>
    <row r="1583" spans="1:3" x14ac:dyDescent="0.25">
      <c r="A1583" t="str">
        <f>"18/12/2015"</f>
        <v>18/12/2015</v>
      </c>
      <c r="B1583" t="str">
        <f>"15.1592"</f>
        <v>15.1592</v>
      </c>
      <c r="C1583" t="str">
        <f>"15.2927"</f>
        <v>15.2927</v>
      </c>
    </row>
    <row r="1584" spans="1:3" x14ac:dyDescent="0.25">
      <c r="A1584" t="str">
        <f>"21/12/2015"</f>
        <v>21/12/2015</v>
      </c>
      <c r="B1584" t="str">
        <f>"15.095"</f>
        <v>15.095</v>
      </c>
      <c r="C1584" t="str">
        <f>"15.1886"</f>
        <v>15.1886</v>
      </c>
    </row>
    <row r="1585" spans="1:3" x14ac:dyDescent="0.25">
      <c r="A1585" t="str">
        <f>"22/12/2015"</f>
        <v>22/12/2015</v>
      </c>
      <c r="B1585" t="str">
        <f>"15.1503"</f>
        <v>15.1503</v>
      </c>
      <c r="C1585" t="str">
        <f>"15.2419"</f>
        <v>15.2419</v>
      </c>
    </row>
    <row r="1586" spans="1:3" x14ac:dyDescent="0.25">
      <c r="A1586" t="str">
        <f>"23/12/2015"</f>
        <v>23/12/2015</v>
      </c>
      <c r="B1586" t="str">
        <f>"15.2656"</f>
        <v>15.2656</v>
      </c>
      <c r="C1586" t="str">
        <f>"15.3555"</f>
        <v>15.3555</v>
      </c>
    </row>
    <row r="1587" spans="1:3" x14ac:dyDescent="0.25">
      <c r="A1587" t="str">
        <f>"28/12/2015"</f>
        <v>28/12/2015</v>
      </c>
      <c r="B1587" t="str">
        <f>"15.2405"</f>
        <v>15.2405</v>
      </c>
      <c r="C1587" t="str">
        <f>"15.3268"</f>
        <v>15.3268</v>
      </c>
    </row>
    <row r="1588" spans="1:3" x14ac:dyDescent="0.25">
      <c r="A1588" t="str">
        <f>"29/12/2015"</f>
        <v>29/12/2015</v>
      </c>
      <c r="B1588" t="str">
        <f>"15.2985"</f>
        <v>15.2985</v>
      </c>
      <c r="C1588" t="str">
        <f>"15.3826"</f>
        <v>15.3826</v>
      </c>
    </row>
    <row r="1589" spans="1:3" x14ac:dyDescent="0.25">
      <c r="A1589" t="str">
        <f>"30/12/2015"</f>
        <v>30/12/2015</v>
      </c>
      <c r="B1589" t="str">
        <f>"15.4172"</f>
        <v>15.4172</v>
      </c>
      <c r="C1589" t="str">
        <f>"15.5057"</f>
        <v>15.5057</v>
      </c>
    </row>
    <row r="1590" spans="1:3" x14ac:dyDescent="0.25">
      <c r="A1590" t="str">
        <f>"31/12/2015"</f>
        <v>31/12/2015</v>
      </c>
      <c r="B1590" t="str">
        <f>"15.6187"</f>
        <v>15.6187</v>
      </c>
      <c r="C1590" t="str">
        <f>"15.7078"</f>
        <v>15.7078</v>
      </c>
    </row>
    <row r="1591" spans="1:3" x14ac:dyDescent="0.25">
      <c r="A1591" t="str">
        <f>"01/01/2016"</f>
        <v>01/01/2016</v>
      </c>
      <c r="B1591" t="str">
        <f>"15.655"</f>
        <v>15.655</v>
      </c>
      <c r="C1591" t="str">
        <f>"15.743"</f>
        <v>15.743</v>
      </c>
    </row>
    <row r="1592" spans="1:3" x14ac:dyDescent="0.25">
      <c r="A1592" t="str">
        <f>"04/01/2016"</f>
        <v>04/01/2016</v>
      </c>
      <c r="B1592" t="str">
        <f>"15.5822"</f>
        <v>15.5822</v>
      </c>
      <c r="C1592" t="str">
        <f>"15.676"</f>
        <v>15.676</v>
      </c>
    </row>
    <row r="1593" spans="1:3" x14ac:dyDescent="0.25">
      <c r="A1593" t="str">
        <f>"05/01/2016"</f>
        <v>05/01/2016</v>
      </c>
      <c r="B1593" t="str">
        <f>"15.6337"</f>
        <v>15.6337</v>
      </c>
      <c r="C1593" t="str">
        <f>"15.7252"</f>
        <v>15.7252</v>
      </c>
    </row>
    <row r="1594" spans="1:3" x14ac:dyDescent="0.25">
      <c r="A1594" t="str">
        <f>"06/01/2016"</f>
        <v>06/01/2016</v>
      </c>
      <c r="B1594" t="str">
        <f>"15.8069"</f>
        <v>15.8069</v>
      </c>
      <c r="C1594" t="str">
        <f>"15.897"</f>
        <v>15.897</v>
      </c>
    </row>
    <row r="1595" spans="1:3" x14ac:dyDescent="0.25">
      <c r="A1595" t="str">
        <f>"07/01/2016"</f>
        <v>07/01/2016</v>
      </c>
      <c r="B1595" t="str">
        <f>"16.0936"</f>
        <v>16.0936</v>
      </c>
      <c r="C1595" t="str">
        <f>"16.1861"</f>
        <v>16.1861</v>
      </c>
    </row>
    <row r="1596" spans="1:3" x14ac:dyDescent="0.25">
      <c r="A1596" t="str">
        <f>"08/01/2016"</f>
        <v>08/01/2016</v>
      </c>
      <c r="B1596" t="str">
        <f>"15.954"</f>
        <v>15.954</v>
      </c>
      <c r="C1596" t="str">
        <f>"16.0467"</f>
        <v>16.0467</v>
      </c>
    </row>
    <row r="1597" spans="1:3" x14ac:dyDescent="0.25">
      <c r="A1597" t="str">
        <f>"11/01/2016"</f>
        <v>11/01/2016</v>
      </c>
      <c r="B1597" t="str">
        <f>"16.7045"</f>
        <v>16.7045</v>
      </c>
      <c r="C1597" t="str">
        <f>"16.7968"</f>
        <v>16.7968</v>
      </c>
    </row>
    <row r="1598" spans="1:3" x14ac:dyDescent="0.25">
      <c r="A1598" t="str">
        <f>"12/01/2016"</f>
        <v>12/01/2016</v>
      </c>
      <c r="B1598" t="str">
        <f>"16.6349"</f>
        <v>16.6349</v>
      </c>
      <c r="C1598" t="str">
        <f>"16.7362"</f>
        <v>16.7362</v>
      </c>
    </row>
    <row r="1599" spans="1:3" x14ac:dyDescent="0.25">
      <c r="A1599" t="str">
        <f>"13/01/2016"</f>
        <v>13/01/2016</v>
      </c>
      <c r="B1599" t="str">
        <f>"16.5372"</f>
        <v>16.5372</v>
      </c>
      <c r="C1599" t="str">
        <f>"16.6343"</f>
        <v>16.6343</v>
      </c>
    </row>
    <row r="1600" spans="1:3" x14ac:dyDescent="0.25">
      <c r="A1600" t="str">
        <f>"14/01/2016"</f>
        <v>14/01/2016</v>
      </c>
      <c r="B1600" t="str">
        <f>"16.6653"</f>
        <v>16.6653</v>
      </c>
      <c r="C1600" t="str">
        <f>"16.76"</f>
        <v>16.76</v>
      </c>
    </row>
    <row r="1601" spans="1:3" x14ac:dyDescent="0.25">
      <c r="A1601" t="str">
        <f>"15/01/2016"</f>
        <v>15/01/2016</v>
      </c>
      <c r="B1601" t="str">
        <f>"16.6623"</f>
        <v>16.6623</v>
      </c>
      <c r="C1601" t="str">
        <f>"16.7572"</f>
        <v>16.7572</v>
      </c>
    </row>
    <row r="1602" spans="1:3" x14ac:dyDescent="0.25">
      <c r="A1602" t="str">
        <f>"18/01/2016"</f>
        <v>18/01/2016</v>
      </c>
      <c r="B1602" t="str">
        <f>"16.7774"</f>
        <v>16.7774</v>
      </c>
      <c r="C1602" t="str">
        <f>"16.8807"</f>
        <v>16.8807</v>
      </c>
    </row>
    <row r="1603" spans="1:3" x14ac:dyDescent="0.25">
      <c r="A1603" t="str">
        <f>"19/01/2016"</f>
        <v>19/01/2016</v>
      </c>
      <c r="B1603" t="str">
        <f>"16.6621"</f>
        <v>16.6621</v>
      </c>
      <c r="C1603" t="str">
        <f>"16.7616"</f>
        <v>16.7616</v>
      </c>
    </row>
    <row r="1604" spans="1:3" x14ac:dyDescent="0.25">
      <c r="A1604" t="str">
        <f>"20/01/2016"</f>
        <v>20/01/2016</v>
      </c>
      <c r="B1604" t="str">
        <f>"16.7752"</f>
        <v>16.7752</v>
      </c>
      <c r="C1604" t="str">
        <f>"16.8728"</f>
        <v>16.8728</v>
      </c>
    </row>
    <row r="1605" spans="1:3" x14ac:dyDescent="0.25">
      <c r="A1605" t="str">
        <f>"21/01/2016"</f>
        <v>21/01/2016</v>
      </c>
      <c r="B1605" t="str">
        <f>"16.7012"</f>
        <v>16.7012</v>
      </c>
      <c r="C1605" t="str">
        <f>"16.7978"</f>
        <v>16.7978</v>
      </c>
    </row>
    <row r="1606" spans="1:3" x14ac:dyDescent="0.25">
      <c r="A1606" t="str">
        <f>"22/01/2016"</f>
        <v>22/01/2016</v>
      </c>
      <c r="B1606" t="str">
        <f>"16.5115"</f>
        <v>16.5115</v>
      </c>
      <c r="C1606" t="str">
        <f>"16.6064"</f>
        <v>16.6064</v>
      </c>
    </row>
    <row r="1607" spans="1:3" x14ac:dyDescent="0.25">
      <c r="A1607" t="str">
        <f>"25/01/2016"</f>
        <v>25/01/2016</v>
      </c>
      <c r="B1607" t="str">
        <f>"16.4657"</f>
        <v>16.4657</v>
      </c>
      <c r="C1607" t="str">
        <f>"16.5654"</f>
        <v>16.5654</v>
      </c>
    </row>
    <row r="1608" spans="1:3" x14ac:dyDescent="0.25">
      <c r="A1608" t="str">
        <f>"27/01/2016"</f>
        <v>27/01/2016</v>
      </c>
      <c r="B1608" t="str">
        <f>"16.4106"</f>
        <v>16.4106</v>
      </c>
      <c r="C1608" t="str">
        <f>"16.5054"</f>
        <v>16.5054</v>
      </c>
    </row>
    <row r="1609" spans="1:3" x14ac:dyDescent="0.25">
      <c r="A1609" t="str">
        <f>"28/01/2016"</f>
        <v>28/01/2016</v>
      </c>
      <c r="B1609" t="str">
        <f>"16.3348"</f>
        <v>16.3348</v>
      </c>
      <c r="C1609" t="str">
        <f>"16.4234"</f>
        <v>16.4234</v>
      </c>
    </row>
    <row r="1610" spans="1:3" x14ac:dyDescent="0.25">
      <c r="A1610" t="str">
        <f>"29/01/2016"</f>
        <v>29/01/2016</v>
      </c>
      <c r="B1610" t="str">
        <f>"16.127"</f>
        <v>16.127</v>
      </c>
      <c r="C1610" t="str">
        <f>"16.2167"</f>
        <v>16.2167</v>
      </c>
    </row>
    <row r="1611" spans="1:3" x14ac:dyDescent="0.25">
      <c r="A1611" t="str">
        <f>"01/02/2016"</f>
        <v>01/02/2016</v>
      </c>
      <c r="B1611" t="str">
        <f>"16.0132"</f>
        <v>16.0132</v>
      </c>
      <c r="C1611" t="str">
        <f>"16.1011"</f>
        <v>16.1011</v>
      </c>
    </row>
    <row r="1612" spans="1:3" x14ac:dyDescent="0.25">
      <c r="A1612" t="str">
        <f>"02/02/2016"</f>
        <v>02/02/2016</v>
      </c>
      <c r="B1612" t="str">
        <f>"16.0373"</f>
        <v>16.0373</v>
      </c>
      <c r="C1612" t="str">
        <f>"16.1251"</f>
        <v>16.1251</v>
      </c>
    </row>
    <row r="1613" spans="1:3" x14ac:dyDescent="0.25">
      <c r="A1613" t="str">
        <f>"03/02/2016"</f>
        <v>03/02/2016</v>
      </c>
      <c r="B1613" t="str">
        <f>"16.1926"</f>
        <v>16.1926</v>
      </c>
      <c r="C1613" t="str">
        <f>"16.2866"</f>
        <v>16.2866</v>
      </c>
    </row>
    <row r="1614" spans="1:3" x14ac:dyDescent="0.25">
      <c r="A1614" t="str">
        <f>"04/02/2016"</f>
        <v>04/02/2016</v>
      </c>
      <c r="B1614" t="str">
        <f>"15.788"</f>
        <v>15.788</v>
      </c>
      <c r="C1614" t="str">
        <f>"15.8732"</f>
        <v>15.8732</v>
      </c>
    </row>
    <row r="1615" spans="1:3" x14ac:dyDescent="0.25">
      <c r="A1615" t="str">
        <f>"05/02/2016"</f>
        <v>05/02/2016</v>
      </c>
      <c r="B1615" t="str">
        <f>"15.8996"</f>
        <v>15.8996</v>
      </c>
      <c r="C1615" t="str">
        <f>"15.9855"</f>
        <v>15.9855</v>
      </c>
    </row>
    <row r="1616" spans="1:3" x14ac:dyDescent="0.25">
      <c r="A1616" t="str">
        <f>"08/02/2016"</f>
        <v>08/02/2016</v>
      </c>
      <c r="B1616" t="str">
        <f>"16.0942"</f>
        <v>16.0942</v>
      </c>
      <c r="C1616" t="str">
        <f>"16.1804"</f>
        <v>16.1804</v>
      </c>
    </row>
    <row r="1617" spans="1:3" x14ac:dyDescent="0.25">
      <c r="A1617" t="str">
        <f>"09/02/2016"</f>
        <v>09/02/2016</v>
      </c>
      <c r="B1617" t="str">
        <f>"16.1362"</f>
        <v>16.1362</v>
      </c>
      <c r="C1617" t="str">
        <f>"16.224"</f>
        <v>16.224</v>
      </c>
    </row>
    <row r="1618" spans="1:3" x14ac:dyDescent="0.25">
      <c r="A1618" t="str">
        <f>"10/02/2016"</f>
        <v>10/02/2016</v>
      </c>
      <c r="B1618" t="str">
        <f>"15.899"</f>
        <v>15.899</v>
      </c>
      <c r="C1618" t="str">
        <f>"15.9913"</f>
        <v>15.9913</v>
      </c>
    </row>
    <row r="1619" spans="1:3" x14ac:dyDescent="0.25">
      <c r="A1619" t="str">
        <f>"11/02/2016"</f>
        <v>11/02/2016</v>
      </c>
      <c r="B1619" t="str">
        <f>"15.9446"</f>
        <v>15.9446</v>
      </c>
      <c r="C1619" t="str">
        <f>"16.031"</f>
        <v>16.031</v>
      </c>
    </row>
    <row r="1620" spans="1:3" x14ac:dyDescent="0.25">
      <c r="A1620" t="str">
        <f>"12/02/2016"</f>
        <v>12/02/2016</v>
      </c>
      <c r="B1620" t="str">
        <f>"15.7767"</f>
        <v>15.7767</v>
      </c>
      <c r="C1620" t="str">
        <f>"15.8621"</f>
        <v>15.8621</v>
      </c>
    </row>
    <row r="1621" spans="1:3" x14ac:dyDescent="0.25">
      <c r="A1621" t="str">
        <f>"15/02/2016"</f>
        <v>15/02/2016</v>
      </c>
      <c r="B1621" t="str">
        <f>"15.821"</f>
        <v>15.821</v>
      </c>
      <c r="C1621" t="str">
        <f>"15.9076"</f>
        <v>15.9076</v>
      </c>
    </row>
    <row r="1622" spans="1:3" x14ac:dyDescent="0.25">
      <c r="A1622" t="str">
        <f>"16/02/2016"</f>
        <v>16/02/2016</v>
      </c>
      <c r="B1622" t="str">
        <f>"15.785"</f>
        <v>15.785</v>
      </c>
      <c r="C1622" t="str">
        <f>"15.8714"</f>
        <v>15.8714</v>
      </c>
    </row>
    <row r="1623" spans="1:3" x14ac:dyDescent="0.25">
      <c r="A1623" t="str">
        <f>"17/02/2016"</f>
        <v>17/02/2016</v>
      </c>
      <c r="B1623" t="str">
        <f>"15.6934"</f>
        <v>15.6934</v>
      </c>
      <c r="C1623" t="str">
        <f>"15.789"</f>
        <v>15.789</v>
      </c>
    </row>
    <row r="1624" spans="1:3" x14ac:dyDescent="0.25">
      <c r="A1624" t="str">
        <f>"18/02/2016"</f>
        <v>18/02/2016</v>
      </c>
      <c r="B1624" t="str">
        <f>"15.4032"</f>
        <v>15.4032</v>
      </c>
      <c r="C1624" t="str">
        <f>"15.4885"</f>
        <v>15.4885</v>
      </c>
    </row>
    <row r="1625" spans="1:3" x14ac:dyDescent="0.25">
      <c r="A1625" t="str">
        <f>"22/02/2016"</f>
        <v>22/02/2016</v>
      </c>
      <c r="B1625" t="str">
        <f>"15.3229"</f>
        <v>15.3229</v>
      </c>
      <c r="C1625" t="str">
        <f>"15.407"</f>
        <v>15.407</v>
      </c>
    </row>
    <row r="1626" spans="1:3" x14ac:dyDescent="0.25">
      <c r="A1626" t="str">
        <f>"23/02/2016"</f>
        <v>23/02/2016</v>
      </c>
      <c r="B1626" t="str">
        <f>"15.2305"</f>
        <v>15.2305</v>
      </c>
      <c r="C1626" t="str">
        <f>"15.3144"</f>
        <v>15.3144</v>
      </c>
    </row>
    <row r="1627" spans="1:3" x14ac:dyDescent="0.25">
      <c r="A1627" t="str">
        <f>"24/02/2016"</f>
        <v>24/02/2016</v>
      </c>
      <c r="B1627" t="str">
        <f>"15.2702"</f>
        <v>15.2702</v>
      </c>
      <c r="C1627" t="str">
        <f>"15.3652"</f>
        <v>15.3652</v>
      </c>
    </row>
    <row r="1628" spans="1:3" x14ac:dyDescent="0.25">
      <c r="A1628" t="str">
        <f>"25/02/2016"</f>
        <v>25/02/2016</v>
      </c>
      <c r="B1628" t="str">
        <f>"15.6511"</f>
        <v>15.6511</v>
      </c>
      <c r="C1628" t="str">
        <f>"15.7472"</f>
        <v>15.7472</v>
      </c>
    </row>
    <row r="1629" spans="1:3" x14ac:dyDescent="0.25">
      <c r="A1629" t="str">
        <f>"26/02/2016"</f>
        <v>26/02/2016</v>
      </c>
      <c r="B1629" t="str">
        <f>"15.5825"</f>
        <v>15.5825</v>
      </c>
      <c r="C1629" t="str">
        <f>"15.6752"</f>
        <v>15.6752</v>
      </c>
    </row>
    <row r="1630" spans="1:3" x14ac:dyDescent="0.25">
      <c r="A1630" t="str">
        <f>"29/02/2016"</f>
        <v>29/02/2016</v>
      </c>
      <c r="B1630" t="str">
        <f>"16.0634"</f>
        <v>16.0634</v>
      </c>
      <c r="C1630" t="str">
        <f>"16.1667"</f>
        <v>16.1667</v>
      </c>
    </row>
    <row r="1631" spans="1:3" x14ac:dyDescent="0.25">
      <c r="A1631" t="str">
        <f>"01/03/2016"</f>
        <v>01/03/2016</v>
      </c>
      <c r="B1631" t="str">
        <f>"15.7014"</f>
        <v>15.7014</v>
      </c>
      <c r="C1631" t="str">
        <f>"15.7992"</f>
        <v>15.7992</v>
      </c>
    </row>
    <row r="1632" spans="1:3" x14ac:dyDescent="0.25">
      <c r="A1632" t="str">
        <f>"02/03/2016"</f>
        <v>02/03/2016</v>
      </c>
      <c r="B1632" t="str">
        <f>"15.7266"</f>
        <v>15.7266</v>
      </c>
      <c r="C1632" t="str">
        <f>"15.8208"</f>
        <v>15.8208</v>
      </c>
    </row>
    <row r="1633" spans="1:3" x14ac:dyDescent="0.25">
      <c r="A1633" t="str">
        <f>"03/03/2016"</f>
        <v>03/03/2016</v>
      </c>
      <c r="B1633" t="str">
        <f>"15.6954"</f>
        <v>15.6954</v>
      </c>
      <c r="C1633" t="str">
        <f>"15.7889"</f>
        <v>15.7889</v>
      </c>
    </row>
    <row r="1634" spans="1:3" x14ac:dyDescent="0.25">
      <c r="A1634" t="str">
        <f>"04/03/2016"</f>
        <v>04/03/2016</v>
      </c>
      <c r="B1634" t="str">
        <f>"15.6356"</f>
        <v>15.6356</v>
      </c>
      <c r="C1634" t="str">
        <f>"15.7288"</f>
        <v>15.7288</v>
      </c>
    </row>
    <row r="1635" spans="1:3" x14ac:dyDescent="0.25">
      <c r="A1635" t="str">
        <f>"08/03/2016"</f>
        <v>08/03/2016</v>
      </c>
      <c r="B1635" t="str">
        <f>"15.3315"</f>
        <v>15.3315</v>
      </c>
      <c r="C1635" t="str">
        <f>"15.4264"</f>
        <v>15.4264</v>
      </c>
    </row>
    <row r="1636" spans="1:3" x14ac:dyDescent="0.25">
      <c r="A1636" t="str">
        <f>"09/03/2016"</f>
        <v>09/03/2016</v>
      </c>
      <c r="B1636" t="str">
        <f>"15.397"</f>
        <v>15.397</v>
      </c>
      <c r="C1636" t="str">
        <f>"15.4887"</f>
        <v>15.4887</v>
      </c>
    </row>
    <row r="1637" spans="1:3" x14ac:dyDescent="0.25">
      <c r="A1637" t="str">
        <f>"10/03/2016"</f>
        <v>10/03/2016</v>
      </c>
      <c r="B1637" t="str">
        <f>"15.1992"</f>
        <v>15.1992</v>
      </c>
      <c r="C1637" t="str">
        <f>"15.2895"</f>
        <v>15.2895</v>
      </c>
    </row>
    <row r="1638" spans="1:3" x14ac:dyDescent="0.25">
      <c r="A1638" t="str">
        <f>"11/03/2016"</f>
        <v>11/03/2016</v>
      </c>
      <c r="B1638" t="str">
        <f>"15.1814"</f>
        <v>15.1814</v>
      </c>
      <c r="C1638" t="str">
        <f>"15.2714"</f>
        <v>15.2714</v>
      </c>
    </row>
    <row r="1639" spans="1:3" x14ac:dyDescent="0.25">
      <c r="A1639" t="str">
        <f>"14/03/2016"</f>
        <v>14/03/2016</v>
      </c>
      <c r="B1639" t="str">
        <f>"15.4094"</f>
        <v>15.4094</v>
      </c>
      <c r="C1639" t="str">
        <f>"15.5064"</f>
        <v>15.5064</v>
      </c>
    </row>
    <row r="1640" spans="1:3" x14ac:dyDescent="0.25">
      <c r="A1640" t="str">
        <f>"15/03/2016"</f>
        <v>15/03/2016</v>
      </c>
      <c r="B1640" t="str">
        <f>"15.6776"</f>
        <v>15.6776</v>
      </c>
      <c r="C1640" t="str">
        <f>"15.7745"</f>
        <v>15.7745</v>
      </c>
    </row>
    <row r="1641" spans="1:3" x14ac:dyDescent="0.25">
      <c r="A1641" t="str">
        <f>"16/03/2016"</f>
        <v>16/03/2016</v>
      </c>
      <c r="B1641" t="str">
        <f>"16.1412"</f>
        <v>16.1412</v>
      </c>
      <c r="C1641" t="str">
        <f>"16.239"</f>
        <v>16.239</v>
      </c>
    </row>
    <row r="1642" spans="1:3" x14ac:dyDescent="0.25">
      <c r="A1642" t="str">
        <f>"17/03/2016"</f>
        <v>17/03/2016</v>
      </c>
      <c r="B1642" t="str">
        <f>"15.3806"</f>
        <v>15.3806</v>
      </c>
      <c r="C1642" t="str">
        <f>"15.473"</f>
        <v>15.473</v>
      </c>
    </row>
    <row r="1643" spans="1:3" x14ac:dyDescent="0.25">
      <c r="A1643" t="str">
        <f>"18/03/2016"</f>
        <v>18/03/2016</v>
      </c>
      <c r="B1643" t="str">
        <f>"15.3587"</f>
        <v>15.3587</v>
      </c>
      <c r="C1643" t="str">
        <f>"15.4588"</f>
        <v>15.4588</v>
      </c>
    </row>
    <row r="1644" spans="1:3" x14ac:dyDescent="0.25">
      <c r="A1644" t="str">
        <f>"21/03/2016"</f>
        <v>21/03/2016</v>
      </c>
      <c r="B1644" t="str">
        <f>"15.3528"</f>
        <v>15.3528</v>
      </c>
      <c r="C1644" t="str">
        <f>"15.453"</f>
        <v>15.453</v>
      </c>
    </row>
    <row r="1645" spans="1:3" x14ac:dyDescent="0.25">
      <c r="A1645" t="str">
        <f>"22/03/2016"</f>
        <v>22/03/2016</v>
      </c>
      <c r="B1645" t="str">
        <f>"15.2794"</f>
        <v>15.2794</v>
      </c>
      <c r="C1645" t="str">
        <f>"15.3763"</f>
        <v>15.3763</v>
      </c>
    </row>
    <row r="1646" spans="1:3" x14ac:dyDescent="0.25">
      <c r="A1646" t="str">
        <f>"23/03/2016"</f>
        <v>23/03/2016</v>
      </c>
      <c r="B1646" t="str">
        <f>"15.282"</f>
        <v>15.282</v>
      </c>
      <c r="C1646" t="str">
        <f>"15.3763"</f>
        <v>15.3763</v>
      </c>
    </row>
    <row r="1647" spans="1:3" x14ac:dyDescent="0.25">
      <c r="A1647" t="str">
        <f>"28/03/2016"</f>
        <v>28/03/2016</v>
      </c>
      <c r="B1647" t="str">
        <f>"15.464"</f>
        <v>15.464</v>
      </c>
      <c r="C1647" t="str">
        <f>"15.5567"</f>
        <v>15.5567</v>
      </c>
    </row>
    <row r="1648" spans="1:3" x14ac:dyDescent="0.25">
      <c r="A1648" t="str">
        <f>"29/03/2016"</f>
        <v>29/03/2016</v>
      </c>
      <c r="B1648" t="str">
        <f>"15.4774"</f>
        <v>15.4774</v>
      </c>
      <c r="C1648" t="str">
        <f>"15.5672"</f>
        <v>15.5672</v>
      </c>
    </row>
    <row r="1649" spans="1:3" x14ac:dyDescent="0.25">
      <c r="A1649" t="str">
        <f>"30/03/2016"</f>
        <v>30/03/2016</v>
      </c>
      <c r="B1649" t="str">
        <f>"14.9683"</f>
        <v>14.9683</v>
      </c>
      <c r="C1649" t="str">
        <f>"15.0637"</f>
        <v>15.0637</v>
      </c>
    </row>
    <row r="1650" spans="1:3" x14ac:dyDescent="0.25">
      <c r="A1650" t="str">
        <f>"31/03/2016"</f>
        <v>31/03/2016</v>
      </c>
      <c r="B1650" t="str">
        <f>"14.725"</f>
        <v>14.725</v>
      </c>
      <c r="C1650" t="str">
        <f>"14.8129"</f>
        <v>14.8129</v>
      </c>
    </row>
    <row r="1651" spans="1:3" x14ac:dyDescent="0.25">
      <c r="A1651" t="str">
        <f>"04/04/2016"</f>
        <v>04/04/2016</v>
      </c>
      <c r="B1651" t="str">
        <f>"14.7577"</f>
        <v>14.7577</v>
      </c>
      <c r="C1651" t="str">
        <f>"14.8466"</f>
        <v>14.8466</v>
      </c>
    </row>
    <row r="1652" spans="1:3" x14ac:dyDescent="0.25">
      <c r="A1652" t="str">
        <f>"05/04/2016"</f>
        <v>05/04/2016</v>
      </c>
      <c r="B1652" t="str">
        <f>"14.997"</f>
        <v>14.997</v>
      </c>
      <c r="C1652" t="str">
        <f>"15.093"</f>
        <v>15.093</v>
      </c>
    </row>
    <row r="1653" spans="1:3" x14ac:dyDescent="0.25">
      <c r="A1653" t="str">
        <f>"06/04/2016"</f>
        <v>06/04/2016</v>
      </c>
      <c r="B1653" t="str">
        <f>"15.2447"</f>
        <v>15.2447</v>
      </c>
      <c r="C1653" t="str">
        <f>"15.339"</f>
        <v>15.339</v>
      </c>
    </row>
    <row r="1654" spans="1:3" x14ac:dyDescent="0.25">
      <c r="A1654" t="str">
        <f>"07/04/2016"</f>
        <v>07/04/2016</v>
      </c>
      <c r="B1654" t="str">
        <f>"15.0817"</f>
        <v>15.0817</v>
      </c>
      <c r="C1654" t="str">
        <f>"15.1721"</f>
        <v>15.1721</v>
      </c>
    </row>
    <row r="1655" spans="1:3" x14ac:dyDescent="0.25">
      <c r="A1655" t="str">
        <f>"11/04/2016"</f>
        <v>11/04/2016</v>
      </c>
      <c r="B1655" t="str">
        <f>"14.7682"</f>
        <v>14.7682</v>
      </c>
      <c r="C1655" t="str">
        <f>"14.8562"</f>
        <v>14.8562</v>
      </c>
    </row>
    <row r="1656" spans="1:3" x14ac:dyDescent="0.25">
      <c r="A1656" t="str">
        <f>"12/04/2016"</f>
        <v>12/04/2016</v>
      </c>
      <c r="B1656" t="str">
        <f>"14.6751"</f>
        <v>14.6751</v>
      </c>
      <c r="C1656" t="str">
        <f>"14.7686"</f>
        <v>14.7686</v>
      </c>
    </row>
    <row r="1657" spans="1:3" x14ac:dyDescent="0.25">
      <c r="A1657" t="str">
        <f>"13/04/2016"</f>
        <v>13/04/2016</v>
      </c>
      <c r="B1657" t="str">
        <f>"14.691"</f>
        <v>14.691</v>
      </c>
      <c r="C1657" t="str">
        <f>"14.7846"</f>
        <v>14.7846</v>
      </c>
    </row>
    <row r="1658" spans="1:3" x14ac:dyDescent="0.25">
      <c r="A1658" t="str">
        <f>"18/04/2016"</f>
        <v>18/04/2016</v>
      </c>
      <c r="B1658" t="str">
        <f>"14.6026"</f>
        <v>14.6026</v>
      </c>
      <c r="C1658" t="str">
        <f>"14.6891"</f>
        <v>14.6891</v>
      </c>
    </row>
    <row r="1659" spans="1:3" x14ac:dyDescent="0.25">
      <c r="A1659" t="str">
        <f>"20/04/2016"</f>
        <v>20/04/2016</v>
      </c>
      <c r="B1659" t="str">
        <f>"14.18"</f>
        <v>14.18</v>
      </c>
      <c r="C1659" t="str">
        <f>"14.2676"</f>
        <v>14.2676</v>
      </c>
    </row>
    <row r="1660" spans="1:3" x14ac:dyDescent="0.25">
      <c r="A1660" t="str">
        <f>"21/04/2016"</f>
        <v>21/04/2016</v>
      </c>
      <c r="B1660" t="str">
        <f>"14.2315"</f>
        <v>14.2315</v>
      </c>
      <c r="C1660" t="str">
        <f>"14.3168"</f>
        <v>14.3168</v>
      </c>
    </row>
    <row r="1661" spans="1:3" x14ac:dyDescent="0.25">
      <c r="A1661" t="str">
        <f>"22/04/2016"</f>
        <v>22/04/2016</v>
      </c>
      <c r="B1661" t="str">
        <f>"14.3774"</f>
        <v>14.3774</v>
      </c>
      <c r="C1661" t="str">
        <f>"14.4639"</f>
        <v>14.4639</v>
      </c>
    </row>
    <row r="1662" spans="1:3" x14ac:dyDescent="0.25">
      <c r="A1662" t="str">
        <f>"25/04/2016"</f>
        <v>25/04/2016</v>
      </c>
      <c r="B1662" t="str">
        <f>"14.4926"</f>
        <v>14.4926</v>
      </c>
      <c r="C1662" t="str">
        <f>"14.59"</f>
        <v>14.59</v>
      </c>
    </row>
    <row r="1663" spans="1:3" x14ac:dyDescent="0.25">
      <c r="A1663" t="str">
        <f>"26/04/2016"</f>
        <v>26/04/2016</v>
      </c>
      <c r="B1663" t="str">
        <f>"14.5009"</f>
        <v>14.5009</v>
      </c>
      <c r="C1663" t="str">
        <f>"14.5957"</f>
        <v>14.5957</v>
      </c>
    </row>
    <row r="1664" spans="1:3" x14ac:dyDescent="0.25">
      <c r="A1664" t="str">
        <f>"27/04/2016"</f>
        <v>27/04/2016</v>
      </c>
      <c r="B1664" t="str">
        <f>"14.4519"</f>
        <v>14.4519</v>
      </c>
      <c r="C1664" t="str">
        <f>"14.5464"</f>
        <v>14.5464</v>
      </c>
    </row>
    <row r="1665" spans="1:3" x14ac:dyDescent="0.25">
      <c r="A1665" t="str">
        <f>"28/04/2016"</f>
        <v>28/04/2016</v>
      </c>
      <c r="B1665" t="str">
        <f>"14.4242"</f>
        <v>14.4242</v>
      </c>
      <c r="C1665" t="str">
        <f>"14.5156"</f>
        <v>14.5156</v>
      </c>
    </row>
    <row r="1666" spans="1:3" x14ac:dyDescent="0.25">
      <c r="A1666" t="str">
        <f>"29/04/2016"</f>
        <v>29/04/2016</v>
      </c>
      <c r="B1666" t="str">
        <f>"14.2923"</f>
        <v>14.2923</v>
      </c>
      <c r="C1666" t="str">
        <f>"14.3859"</f>
        <v>14.3859</v>
      </c>
    </row>
    <row r="1667" spans="1:3" x14ac:dyDescent="0.25">
      <c r="A1667" t="str">
        <f>"02/05/2016"</f>
        <v>02/05/2016</v>
      </c>
      <c r="B1667" t="str">
        <f>"14.1996"</f>
        <v>14.1996</v>
      </c>
      <c r="C1667" t="str">
        <f>"14.2946"</f>
        <v>14.2946</v>
      </c>
    </row>
    <row r="1668" spans="1:3" x14ac:dyDescent="0.25">
      <c r="A1668" t="str">
        <f>"03/05/2016"</f>
        <v>03/05/2016</v>
      </c>
      <c r="B1668" t="str">
        <f>"14.2995"</f>
        <v>14.2995</v>
      </c>
      <c r="C1668" t="str">
        <f>"14.395"</f>
        <v>14.395</v>
      </c>
    </row>
    <row r="1669" spans="1:3" x14ac:dyDescent="0.25">
      <c r="A1669" t="str">
        <f>"04/05/2016"</f>
        <v>04/05/2016</v>
      </c>
      <c r="B1669" t="str">
        <f>"14.7434"</f>
        <v>14.7434</v>
      </c>
      <c r="C1669" t="str">
        <f>"14.8379"</f>
        <v>14.8379</v>
      </c>
    </row>
    <row r="1670" spans="1:3" x14ac:dyDescent="0.25">
      <c r="A1670" t="str">
        <f>"05/05/2016"</f>
        <v>05/05/2016</v>
      </c>
      <c r="B1670" t="str">
        <f>"14.9959"</f>
        <v>14.9959</v>
      </c>
      <c r="C1670" t="str">
        <f>"15.0924"</f>
        <v>15.0924</v>
      </c>
    </row>
    <row r="1671" spans="1:3" x14ac:dyDescent="0.25">
      <c r="A1671" t="str">
        <f>"06/05/2016"</f>
        <v>06/05/2016</v>
      </c>
      <c r="B1671" t="str">
        <f>"14.9683"</f>
        <v>14.9683</v>
      </c>
      <c r="C1671" t="str">
        <f>"15.0635"</f>
        <v>15.0635</v>
      </c>
    </row>
    <row r="1672" spans="1:3" x14ac:dyDescent="0.25">
      <c r="A1672" t="str">
        <f>"09/05/2016"</f>
        <v>09/05/2016</v>
      </c>
      <c r="B1672" t="str">
        <f>"14.9929"</f>
        <v>14.9929</v>
      </c>
      <c r="C1672" t="str">
        <f>"15.0945"</f>
        <v>15.0945</v>
      </c>
    </row>
    <row r="1673" spans="1:3" x14ac:dyDescent="0.25">
      <c r="A1673" t="str">
        <f>"10/05/2016"</f>
        <v>10/05/2016</v>
      </c>
      <c r="B1673" t="str">
        <f>"15.2858"</f>
        <v>15.2858</v>
      </c>
      <c r="C1673" t="str">
        <f>"15.3863"</f>
        <v>15.3863</v>
      </c>
    </row>
    <row r="1674" spans="1:3" x14ac:dyDescent="0.25">
      <c r="A1674" t="str">
        <f>"11/05/2016"</f>
        <v>11/05/2016</v>
      </c>
      <c r="B1674" t="str">
        <f>"15.1799"</f>
        <v>15.1799</v>
      </c>
      <c r="C1674" t="str">
        <f>"15.276"</f>
        <v>15.276</v>
      </c>
    </row>
    <row r="1675" spans="1:3" x14ac:dyDescent="0.25">
      <c r="A1675" t="str">
        <f>"12/05/2016"</f>
        <v>12/05/2016</v>
      </c>
      <c r="B1675" t="str">
        <f>"14.97"</f>
        <v>14.97</v>
      </c>
      <c r="C1675" t="str">
        <f>"15.0669"</f>
        <v>15.0669</v>
      </c>
    </row>
    <row r="1676" spans="1:3" x14ac:dyDescent="0.25">
      <c r="A1676" t="str">
        <f>"13/05/2016"</f>
        <v>13/05/2016</v>
      </c>
      <c r="B1676" t="str">
        <f>"15.1423"</f>
        <v>15.1423</v>
      </c>
      <c r="C1676" t="str">
        <f>"15.2363"</f>
        <v>15.2363</v>
      </c>
    </row>
    <row r="1677" spans="1:3" x14ac:dyDescent="0.25">
      <c r="A1677" t="str">
        <f>"16/05/2016"</f>
        <v>16/05/2016</v>
      </c>
      <c r="B1677" t="str">
        <f>"15.5806"</f>
        <v>15.5806</v>
      </c>
      <c r="C1677" t="str">
        <f>"15.6837"</f>
        <v>15.6837</v>
      </c>
    </row>
    <row r="1678" spans="1:3" x14ac:dyDescent="0.25">
      <c r="A1678" t="str">
        <f>"17/05/2016"</f>
        <v>17/05/2016</v>
      </c>
      <c r="B1678" t="str">
        <f>"15.6535"</f>
        <v>15.6535</v>
      </c>
      <c r="C1678" t="str">
        <f>"15.7544"</f>
        <v>15.7544</v>
      </c>
    </row>
    <row r="1679" spans="1:3" x14ac:dyDescent="0.25">
      <c r="A1679" t="str">
        <f>"18/05/2016"</f>
        <v>18/05/2016</v>
      </c>
      <c r="B1679" t="str">
        <f>"15.7903"</f>
        <v>15.7903</v>
      </c>
      <c r="C1679" t="str">
        <f>"15.8892"</f>
        <v>15.8892</v>
      </c>
    </row>
    <row r="1680" spans="1:3" x14ac:dyDescent="0.25">
      <c r="A1680" t="str">
        <f>"19/05/2016"</f>
        <v>19/05/2016</v>
      </c>
      <c r="B1680" t="str">
        <f>"15.8032"</f>
        <v>15.8032</v>
      </c>
      <c r="C1680" t="str">
        <f>"15.9027"</f>
        <v>15.9027</v>
      </c>
    </row>
    <row r="1681" spans="1:3" x14ac:dyDescent="0.25">
      <c r="A1681" t="str">
        <f>"20/05/2016"</f>
        <v>20/05/2016</v>
      </c>
      <c r="B1681" t="str">
        <f>"15.8102"</f>
        <v>15.8102</v>
      </c>
      <c r="C1681" t="str">
        <f>"15.9087"</f>
        <v>15.9087</v>
      </c>
    </row>
    <row r="1682" spans="1:3" x14ac:dyDescent="0.25">
      <c r="A1682" t="str">
        <f>"23/05/2016"</f>
        <v>23/05/2016</v>
      </c>
      <c r="B1682" t="str">
        <f>"15.6188"</f>
        <v>15.6188</v>
      </c>
      <c r="C1682" t="str">
        <f>"15.723"</f>
        <v>15.723</v>
      </c>
    </row>
    <row r="1683" spans="1:3" x14ac:dyDescent="0.25">
      <c r="A1683" t="str">
        <f>"24/05/2016"</f>
        <v>24/05/2016</v>
      </c>
      <c r="B1683" t="str">
        <f>"15.7761"</f>
        <v>15.7761</v>
      </c>
      <c r="C1683" t="str">
        <f>"15.8797"</f>
        <v>15.8797</v>
      </c>
    </row>
    <row r="1684" spans="1:3" x14ac:dyDescent="0.25">
      <c r="A1684" t="str">
        <f>"25/05/2016"</f>
        <v>25/05/2016</v>
      </c>
      <c r="B1684" t="str">
        <f>"15.7028"</f>
        <v>15.7028</v>
      </c>
      <c r="C1684" t="str">
        <f>"15.8041"</f>
        <v>15.8041</v>
      </c>
    </row>
    <row r="1685" spans="1:3" x14ac:dyDescent="0.25">
      <c r="A1685" t="str">
        <f>"26/05/2016"</f>
        <v>26/05/2016</v>
      </c>
      <c r="B1685" t="str">
        <f>"15.5726"</f>
        <v>15.5726</v>
      </c>
      <c r="C1685" t="str">
        <f>"15.6688"</f>
        <v>15.6688</v>
      </c>
    </row>
    <row r="1686" spans="1:3" x14ac:dyDescent="0.25">
      <c r="A1686" t="str">
        <f>"27/05/2016"</f>
        <v>27/05/2016</v>
      </c>
      <c r="B1686" t="str">
        <f>"15.5842"</f>
        <v>15.5842</v>
      </c>
      <c r="C1686" t="str">
        <f>"15.6805"</f>
        <v>15.6805</v>
      </c>
    </row>
    <row r="1687" spans="1:3" x14ac:dyDescent="0.25">
      <c r="A1687" t="str">
        <f>"30/05/2016"</f>
        <v>30/05/2016</v>
      </c>
      <c r="B1687" t="str">
        <f>"15.7786"</f>
        <v>15.7786</v>
      </c>
      <c r="C1687" t="str">
        <f>"15.8757"</f>
        <v>15.8757</v>
      </c>
    </row>
    <row r="1688" spans="1:3" x14ac:dyDescent="0.25">
      <c r="A1688" t="str">
        <f>"31/05/2016"</f>
        <v>31/05/2016</v>
      </c>
      <c r="B1688" t="str">
        <f>"15.7697"</f>
        <v>15.7697</v>
      </c>
      <c r="C1688" t="str">
        <f>"15.8753"</f>
        <v>15.8753</v>
      </c>
    </row>
    <row r="1689" spans="1:3" x14ac:dyDescent="0.25">
      <c r="A1689" t="str">
        <f>"01/06/2016"</f>
        <v>01/06/2016</v>
      </c>
      <c r="B1689" t="str">
        <f>"15.6684"</f>
        <v>15.6684</v>
      </c>
      <c r="C1689" t="str">
        <f>"15.7712"</f>
        <v>15.7712</v>
      </c>
    </row>
    <row r="1690" spans="1:3" x14ac:dyDescent="0.25">
      <c r="A1690" t="str">
        <f>"02/06/2016"</f>
        <v>02/06/2016</v>
      </c>
      <c r="B1690" t="str">
        <f>"15.5822"</f>
        <v>15.5822</v>
      </c>
      <c r="C1690" t="str">
        <f>"15.6784"</f>
        <v>15.6784</v>
      </c>
    </row>
    <row r="1691" spans="1:3" x14ac:dyDescent="0.25">
      <c r="A1691" t="str">
        <f>"03/06/2016"</f>
        <v>03/06/2016</v>
      </c>
      <c r="B1691" t="str">
        <f>"15.5912"</f>
        <v>15.5912</v>
      </c>
      <c r="C1691" t="str">
        <f>"15.6864"</f>
        <v>15.6864</v>
      </c>
    </row>
    <row r="1692" spans="1:3" x14ac:dyDescent="0.25">
      <c r="A1692" t="str">
        <f>"06/06/2016"</f>
        <v>06/06/2016</v>
      </c>
      <c r="B1692" t="str">
        <f>"15.0349"</f>
        <v>15.0349</v>
      </c>
      <c r="C1692" t="str">
        <f>"15.1246"</f>
        <v>15.1246</v>
      </c>
    </row>
    <row r="1693" spans="1:3" x14ac:dyDescent="0.25">
      <c r="A1693" t="str">
        <f>"07/06/2016"</f>
        <v>07/06/2016</v>
      </c>
      <c r="B1693" t="str">
        <f>"14.8435"</f>
        <v>14.8435</v>
      </c>
      <c r="C1693" t="str">
        <f>"14.9381"</f>
        <v>14.9381</v>
      </c>
    </row>
    <row r="1694" spans="1:3" x14ac:dyDescent="0.25">
      <c r="A1694" t="str">
        <f>"08/06/2016"</f>
        <v>08/06/2016</v>
      </c>
      <c r="B1694" t="str">
        <f>"14.7485"</f>
        <v>14.7485</v>
      </c>
      <c r="C1694" t="str">
        <f>"14.8401"</f>
        <v>14.8401</v>
      </c>
    </row>
    <row r="1695" spans="1:3" x14ac:dyDescent="0.25">
      <c r="A1695" t="str">
        <f>"09/06/2016"</f>
        <v>09/06/2016</v>
      </c>
      <c r="B1695" t="str">
        <f>"14.8132"</f>
        <v>14.8132</v>
      </c>
      <c r="C1695" t="str">
        <f>"14.9027"</f>
        <v>14.9027</v>
      </c>
    </row>
    <row r="1696" spans="1:3" x14ac:dyDescent="0.25">
      <c r="A1696" t="str">
        <f>"10/06/2016"</f>
        <v>10/06/2016</v>
      </c>
      <c r="B1696" t="str">
        <f>"15.0434"</f>
        <v>15.0434</v>
      </c>
      <c r="C1696" t="str">
        <f>"15.1341"</f>
        <v>15.1341</v>
      </c>
    </row>
    <row r="1697" spans="1:3" x14ac:dyDescent="0.25">
      <c r="A1697" t="str">
        <f>"13/06/2016"</f>
        <v>13/06/2016</v>
      </c>
      <c r="B1697" t="str">
        <f>"15.2122"</f>
        <v>15.2122</v>
      </c>
      <c r="C1697" t="str">
        <f>"15.3042"</f>
        <v>15.3042</v>
      </c>
    </row>
    <row r="1698" spans="1:3" x14ac:dyDescent="0.25">
      <c r="A1698" t="str">
        <f>"14/06/2016"</f>
        <v>14/06/2016</v>
      </c>
      <c r="B1698" t="str">
        <f>"15.3698"</f>
        <v>15.3698</v>
      </c>
      <c r="C1698" t="str">
        <f>"15.4663"</f>
        <v>15.4663</v>
      </c>
    </row>
    <row r="1699" spans="1:3" x14ac:dyDescent="0.25">
      <c r="A1699" t="str">
        <f>"15/06/2016"</f>
        <v>15/06/2016</v>
      </c>
      <c r="B1699" t="str">
        <f>"15.3079"</f>
        <v>15.3079</v>
      </c>
      <c r="C1699" t="str">
        <f>"15.4049"</f>
        <v>15.4049</v>
      </c>
    </row>
    <row r="1700" spans="1:3" x14ac:dyDescent="0.25">
      <c r="A1700" t="str">
        <f>"16/06/2016"</f>
        <v>16/06/2016</v>
      </c>
      <c r="B1700" t="str">
        <f>"15.4341"</f>
        <v>15.4341</v>
      </c>
      <c r="C1700" t="str">
        <f>"15.5281"</f>
        <v>15.5281</v>
      </c>
    </row>
    <row r="1701" spans="1:3" x14ac:dyDescent="0.25">
      <c r="A1701" t="str">
        <f>"17/06/2016"</f>
        <v>17/06/2016</v>
      </c>
      <c r="B1701" t="str">
        <f>"15.2342"</f>
        <v>15.2342</v>
      </c>
      <c r="C1701" t="str">
        <f>"15.3266"</f>
        <v>15.3266</v>
      </c>
    </row>
    <row r="1702" spans="1:3" x14ac:dyDescent="0.25">
      <c r="A1702" t="str">
        <f>"20/06/2016"</f>
        <v>20/06/2016</v>
      </c>
      <c r="B1702" t="str">
        <f>"14.8598"</f>
        <v>14.8598</v>
      </c>
      <c r="C1702" t="str">
        <f>"14.9503"</f>
        <v>14.9503</v>
      </c>
    </row>
    <row r="1703" spans="1:3" x14ac:dyDescent="0.25">
      <c r="A1703" t="str">
        <f>"21/06/2016"</f>
        <v>21/06/2016</v>
      </c>
      <c r="B1703" t="str">
        <f>"14.686"</f>
        <v>14.686</v>
      </c>
      <c r="C1703" t="str">
        <f>"14.7811"</f>
        <v>14.7811</v>
      </c>
    </row>
    <row r="1704" spans="1:3" x14ac:dyDescent="0.25">
      <c r="A1704" t="str">
        <f>"22/06/2016"</f>
        <v>22/06/2016</v>
      </c>
      <c r="B1704" t="str">
        <f>"14.7015"</f>
        <v>14.7015</v>
      </c>
      <c r="C1704" t="str">
        <f>"14.7939"</f>
        <v>14.7939</v>
      </c>
    </row>
    <row r="1705" spans="1:3" x14ac:dyDescent="0.25">
      <c r="A1705" t="str">
        <f>"23/06/2016"</f>
        <v>23/06/2016</v>
      </c>
      <c r="B1705" t="str">
        <f>"14.4558"</f>
        <v>14.4558</v>
      </c>
      <c r="C1705" t="str">
        <f>"14.5433"</f>
        <v>14.5433</v>
      </c>
    </row>
    <row r="1706" spans="1:3" x14ac:dyDescent="0.25">
      <c r="A1706" t="str">
        <f>"24/06/2016"</f>
        <v>24/06/2016</v>
      </c>
      <c r="B1706" t="str">
        <f>"15.0928"</f>
        <v>15.0928</v>
      </c>
      <c r="C1706" t="str">
        <f>"15.1861"</f>
        <v>15.1861</v>
      </c>
    </row>
    <row r="1707" spans="1:3" x14ac:dyDescent="0.25">
      <c r="A1707" t="str">
        <f>"27/06/2016"</f>
        <v>27/06/2016</v>
      </c>
      <c r="B1707" t="str">
        <f>"15.3365"</f>
        <v>15.3365</v>
      </c>
      <c r="C1707" t="str">
        <f>"15.4316"</f>
        <v>15.4316</v>
      </c>
    </row>
    <row r="1708" spans="1:3" x14ac:dyDescent="0.25">
      <c r="A1708" t="str">
        <f>"28/06/2016"</f>
        <v>28/06/2016</v>
      </c>
      <c r="B1708" t="str">
        <f>"15.2572"</f>
        <v>15.2572</v>
      </c>
      <c r="C1708" t="str">
        <f>"15.3482"</f>
        <v>15.3482</v>
      </c>
    </row>
    <row r="1709" spans="1:3" x14ac:dyDescent="0.25">
      <c r="A1709" t="str">
        <f>"29/06/2016"</f>
        <v>29/06/2016</v>
      </c>
      <c r="B1709" t="str">
        <f>"15.0094"</f>
        <v>15.0094</v>
      </c>
      <c r="C1709" t="str">
        <f>"15.1046"</f>
        <v>15.1046</v>
      </c>
    </row>
    <row r="1710" spans="1:3" x14ac:dyDescent="0.25">
      <c r="A1710" t="str">
        <f>"30/06/2016"</f>
        <v>30/06/2016</v>
      </c>
      <c r="B1710" t="str">
        <f>"14.8505"</f>
        <v>14.8505</v>
      </c>
      <c r="C1710" t="str">
        <f>"14.9449"</f>
        <v>14.9449</v>
      </c>
    </row>
    <row r="1711" spans="1:3" x14ac:dyDescent="0.25">
      <c r="A1711" t="str">
        <f>"01/07/2016"</f>
        <v>01/07/2016</v>
      </c>
      <c r="B1711" t="str">
        <f>"14.6711"</f>
        <v>14.6711</v>
      </c>
      <c r="C1711" t="str">
        <f>"14.7632"</f>
        <v>14.7632</v>
      </c>
    </row>
    <row r="1712" spans="1:3" x14ac:dyDescent="0.25">
      <c r="A1712" t="str">
        <f>"04/07/2016"</f>
        <v>04/07/2016</v>
      </c>
      <c r="B1712" t="str">
        <f>"14.594"</f>
        <v>14.594</v>
      </c>
      <c r="C1712" t="str">
        <f>"14.686"</f>
        <v>14.686</v>
      </c>
    </row>
    <row r="1713" spans="1:3" x14ac:dyDescent="0.25">
      <c r="A1713" t="str">
        <f>"05/07/2016"</f>
        <v>05/07/2016</v>
      </c>
      <c r="B1713" t="str">
        <f>"14.7645"</f>
        <v>14.7645</v>
      </c>
      <c r="C1713" t="str">
        <f>"14.8598"</f>
        <v>14.8598</v>
      </c>
    </row>
    <row r="1714" spans="1:3" x14ac:dyDescent="0.25">
      <c r="A1714" t="str">
        <f>"07/07/2016"</f>
        <v>07/07/2016</v>
      </c>
      <c r="B1714" t="str">
        <f>"14.6999"</f>
        <v>14.6999</v>
      </c>
      <c r="C1714" t="str">
        <f>"14.7923"</f>
        <v>14.7923</v>
      </c>
    </row>
    <row r="1715" spans="1:3" x14ac:dyDescent="0.25">
      <c r="A1715" t="str">
        <f>"08/07/2016"</f>
        <v>08/07/2016</v>
      </c>
      <c r="B1715" t="str">
        <f>"14.7059"</f>
        <v>14.7059</v>
      </c>
      <c r="C1715" t="str">
        <f>"14.7992"</f>
        <v>14.7992</v>
      </c>
    </row>
    <row r="1716" spans="1:3" x14ac:dyDescent="0.25">
      <c r="A1716" t="str">
        <f>"11/07/2016"</f>
        <v>11/07/2016</v>
      </c>
      <c r="B1716" t="str">
        <f>"14.6199"</f>
        <v>14.6199</v>
      </c>
      <c r="C1716" t="str">
        <f>"14.7185"</f>
        <v>14.7185</v>
      </c>
    </row>
    <row r="1717" spans="1:3" x14ac:dyDescent="0.25">
      <c r="A1717" t="str">
        <f>"12/07/2016"</f>
        <v>12/07/2016</v>
      </c>
      <c r="B1717" t="str">
        <f>"14.3114"</f>
        <v>14.3114</v>
      </c>
      <c r="C1717" t="str">
        <f>"14.4042"</f>
        <v>14.4042</v>
      </c>
    </row>
    <row r="1718" spans="1:3" x14ac:dyDescent="0.25">
      <c r="A1718" t="str">
        <f>"13/07/2016"</f>
        <v>13/07/2016</v>
      </c>
      <c r="B1718" t="str">
        <f>"14.3296"</f>
        <v>14.3296</v>
      </c>
      <c r="C1718" t="str">
        <f>"14.4192"</f>
        <v>14.4192</v>
      </c>
    </row>
    <row r="1719" spans="1:3" x14ac:dyDescent="0.25">
      <c r="A1719" t="str">
        <f>"14/07/2016"</f>
        <v>14/07/2016</v>
      </c>
      <c r="B1719" t="str">
        <f>"14.2907"</f>
        <v>14.2907</v>
      </c>
      <c r="C1719" t="str">
        <f>"14.3792"</f>
        <v>14.3792</v>
      </c>
    </row>
    <row r="1720" spans="1:3" x14ac:dyDescent="0.25">
      <c r="A1720" t="str">
        <f>"15/07/2016"</f>
        <v>15/07/2016</v>
      </c>
      <c r="B1720" t="str">
        <f>"14.3546"</f>
        <v>14.3546</v>
      </c>
      <c r="C1720" t="str">
        <f>"14.4431"</f>
        <v>14.4431</v>
      </c>
    </row>
    <row r="1721" spans="1:3" x14ac:dyDescent="0.25">
      <c r="A1721" t="str">
        <f>"18/07/2016"</f>
        <v>18/07/2016</v>
      </c>
      <c r="B1721" t="str">
        <f>"14.2948"</f>
        <v>14.2948</v>
      </c>
      <c r="C1721" t="str">
        <f>"14.3885"</f>
        <v>14.3885</v>
      </c>
    </row>
    <row r="1722" spans="1:3" x14ac:dyDescent="0.25">
      <c r="A1722" t="str">
        <f>"19/07/2016"</f>
        <v>19/07/2016</v>
      </c>
      <c r="B1722" t="str">
        <f>"14.3035"</f>
        <v>14.3035</v>
      </c>
      <c r="C1722" t="str">
        <f>"14.3958"</f>
        <v>14.3958</v>
      </c>
    </row>
    <row r="1723" spans="1:3" x14ac:dyDescent="0.25">
      <c r="A1723" t="str">
        <f>"20/07/2016"</f>
        <v>20/07/2016</v>
      </c>
      <c r="B1723" t="str">
        <f>"14.3246"</f>
        <v>14.3246</v>
      </c>
      <c r="C1723" t="str">
        <f>"14.4132"</f>
        <v>14.4132</v>
      </c>
    </row>
    <row r="1724" spans="1:3" x14ac:dyDescent="0.25">
      <c r="A1724" t="str">
        <f>"21/07/2016"</f>
        <v>21/07/2016</v>
      </c>
      <c r="B1724" t="str">
        <f>"14.3057"</f>
        <v>14.3057</v>
      </c>
      <c r="C1724" t="str">
        <f>"14.3944"</f>
        <v>14.3944</v>
      </c>
    </row>
    <row r="1725" spans="1:3" x14ac:dyDescent="0.25">
      <c r="A1725" t="str">
        <f>"22/07/2016"</f>
        <v>22/07/2016</v>
      </c>
      <c r="B1725" t="str">
        <f>"14.2322"</f>
        <v>14.2322</v>
      </c>
      <c r="C1725" t="str">
        <f>"14.32"</f>
        <v>14.32</v>
      </c>
    </row>
    <row r="1726" spans="1:3" x14ac:dyDescent="0.25">
      <c r="A1726" t="str">
        <f>"25/07/2016"</f>
        <v>25/07/2016</v>
      </c>
      <c r="B1726" t="str">
        <f>"14.318"</f>
        <v>14.318</v>
      </c>
      <c r="C1726" t="str">
        <f>"14.4115"</f>
        <v>14.4115</v>
      </c>
    </row>
    <row r="1727" spans="1:3" x14ac:dyDescent="0.25">
      <c r="A1727" t="str">
        <f>"26/07/2016"</f>
        <v>26/07/2016</v>
      </c>
      <c r="B1727" t="str">
        <f>"14.4314"</f>
        <v>14.4314</v>
      </c>
      <c r="C1727" t="str">
        <f>"14.523"</f>
        <v>14.523</v>
      </c>
    </row>
    <row r="1728" spans="1:3" x14ac:dyDescent="0.25">
      <c r="A1728" t="str">
        <f>"27/07/2016"</f>
        <v>27/07/2016</v>
      </c>
      <c r="B1728" t="str">
        <f>"14.2915"</f>
        <v>14.2915</v>
      </c>
      <c r="C1728" t="str">
        <f>"14.3852"</f>
        <v>14.3852</v>
      </c>
    </row>
    <row r="1729" spans="1:3" x14ac:dyDescent="0.25">
      <c r="A1729" t="str">
        <f>"28/07/2016"</f>
        <v>28/07/2016</v>
      </c>
      <c r="B1729" t="str">
        <f>"14.2222"</f>
        <v>14.2222</v>
      </c>
      <c r="C1729" t="str">
        <f>"14.317"</f>
        <v>14.317</v>
      </c>
    </row>
    <row r="1730" spans="1:3" x14ac:dyDescent="0.25">
      <c r="A1730" t="str">
        <f>"29/07/2016"</f>
        <v>29/07/2016</v>
      </c>
      <c r="B1730" t="str">
        <f>"13.9477"</f>
        <v>13.9477</v>
      </c>
      <c r="C1730" t="str">
        <f>"14.265"</f>
        <v>14.265</v>
      </c>
    </row>
    <row r="1731" spans="1:3" x14ac:dyDescent="0.25">
      <c r="A1731" t="str">
        <f>"01/08/2016"</f>
        <v>01/08/2016</v>
      </c>
      <c r="B1731" t="str">
        <f>"13.8972"</f>
        <v>13.8972</v>
      </c>
      <c r="C1731" t="str">
        <f>"13.9885"</f>
        <v>13.9885</v>
      </c>
    </row>
    <row r="1732" spans="1:3" x14ac:dyDescent="0.25">
      <c r="A1732" t="str">
        <f>"02/08/2016"</f>
        <v>02/08/2016</v>
      </c>
      <c r="B1732" t="str">
        <f>"13.9893"</f>
        <v>13.9893</v>
      </c>
      <c r="C1732" t="str">
        <f>"14.0786"</f>
        <v>14.0786</v>
      </c>
    </row>
    <row r="1733" spans="1:3" x14ac:dyDescent="0.25">
      <c r="A1733" t="str">
        <f>"03/08/2016"</f>
        <v>03/08/2016</v>
      </c>
      <c r="B1733" t="str">
        <f>"14.0138"</f>
        <v>14.0138</v>
      </c>
      <c r="C1733" t="str">
        <f>"14.1032"</f>
        <v>14.1032</v>
      </c>
    </row>
    <row r="1734" spans="1:3" x14ac:dyDescent="0.25">
      <c r="A1734" t="str">
        <f>"04/08/2016"</f>
        <v>04/08/2016</v>
      </c>
      <c r="B1734" t="str">
        <f>"13.7431"</f>
        <v>13.7431</v>
      </c>
      <c r="C1734" t="str">
        <f>"13.8275"</f>
        <v>13.8275</v>
      </c>
    </row>
    <row r="1735" spans="1:3" x14ac:dyDescent="0.25">
      <c r="A1735" t="str">
        <f>"05/08/2016"</f>
        <v>05/08/2016</v>
      </c>
      <c r="B1735" t="str">
        <f>"13.7205"</f>
        <v>13.7205</v>
      </c>
      <c r="C1735" t="str">
        <f>"13.8051"</f>
        <v>13.8051</v>
      </c>
    </row>
    <row r="1736" spans="1:3" x14ac:dyDescent="0.25">
      <c r="A1736" t="str">
        <f>"08/08/2016"</f>
        <v>08/08/2016</v>
      </c>
      <c r="B1736" t="str">
        <f>"13.6369"</f>
        <v>13.6369</v>
      </c>
      <c r="C1736" t="str">
        <f>"13.7224"</f>
        <v>13.7224</v>
      </c>
    </row>
    <row r="1737" spans="1:3" x14ac:dyDescent="0.25">
      <c r="A1737" t="str">
        <f>"09/08/2016"</f>
        <v>09/08/2016</v>
      </c>
      <c r="B1737" t="str">
        <f>"13.5824"</f>
        <v>13.5824</v>
      </c>
      <c r="C1737" t="str">
        <f>"13.6663"</f>
        <v>13.6663</v>
      </c>
    </row>
    <row r="1738" spans="1:3" x14ac:dyDescent="0.25">
      <c r="A1738" t="str">
        <f>"10/08/2016"</f>
        <v>10/08/2016</v>
      </c>
      <c r="B1738" t="str">
        <f>"13.2685"</f>
        <v>13.2685</v>
      </c>
      <c r="C1738" t="str">
        <f>"13.3469"</f>
        <v>13.3469</v>
      </c>
    </row>
    <row r="1739" spans="1:3" x14ac:dyDescent="0.25">
      <c r="A1739" t="str">
        <f>"11/08/2016"</f>
        <v>11/08/2016</v>
      </c>
      <c r="B1739" t="str">
        <f>"13.346"</f>
        <v>13.346</v>
      </c>
      <c r="C1739" t="str">
        <f>"13.4276"</f>
        <v>13.4276</v>
      </c>
    </row>
    <row r="1740" spans="1:3" x14ac:dyDescent="0.25">
      <c r="A1740" t="str">
        <f>"12/08/2016"</f>
        <v>12/08/2016</v>
      </c>
      <c r="B1740" t="str">
        <f>"13.4248"</f>
        <v>13.4248</v>
      </c>
      <c r="C1740" t="str">
        <f>"13.5061"</f>
        <v>13.5061</v>
      </c>
    </row>
    <row r="1741" spans="1:3" x14ac:dyDescent="0.25">
      <c r="A1741" t="str">
        <f>"16/08/2016"</f>
        <v>16/08/2016</v>
      </c>
      <c r="B1741" t="str">
        <f>"13.2362"</f>
        <v>13.2362</v>
      </c>
      <c r="C1741" t="str">
        <f>"13.3199"</f>
        <v>13.3199</v>
      </c>
    </row>
    <row r="1742" spans="1:3" x14ac:dyDescent="0.25">
      <c r="A1742" t="str">
        <f>"18/08/2016"</f>
        <v>18/08/2016</v>
      </c>
      <c r="B1742" t="str">
        <f>"13.3024"</f>
        <v>13.3024</v>
      </c>
      <c r="C1742" t="str">
        <f>"13.3838"</f>
        <v>13.3838</v>
      </c>
    </row>
    <row r="1743" spans="1:3" x14ac:dyDescent="0.25">
      <c r="A1743" t="str">
        <f>"19/08/2016"</f>
        <v>19/08/2016</v>
      </c>
      <c r="B1743" t="str">
        <f>"13.5065"</f>
        <v>13.5065</v>
      </c>
      <c r="C1743" t="str">
        <f>"13.5892"</f>
        <v>13.5892</v>
      </c>
    </row>
    <row r="1744" spans="1:3" x14ac:dyDescent="0.25">
      <c r="A1744" t="str">
        <f>"22/08/2016"</f>
        <v>22/08/2016</v>
      </c>
      <c r="B1744" t="str">
        <f>"13.5975"</f>
        <v>13.5975</v>
      </c>
      <c r="C1744" t="str">
        <f>"13.68"</f>
        <v>13.68</v>
      </c>
    </row>
    <row r="1745" spans="1:3" x14ac:dyDescent="0.25">
      <c r="A1745" t="str">
        <f>"23/08/2016"</f>
        <v>23/08/2016</v>
      </c>
      <c r="B1745" t="str">
        <f>"13.4792"</f>
        <v>13.4792</v>
      </c>
      <c r="C1745" t="str">
        <f>"13.5652"</f>
        <v>13.5652</v>
      </c>
    </row>
    <row r="1746" spans="1:3" x14ac:dyDescent="0.25">
      <c r="A1746" t="str">
        <f>"24/08/2016"</f>
        <v>24/08/2016</v>
      </c>
      <c r="B1746" t="str">
        <f>"13.9457"</f>
        <v>13.9457</v>
      </c>
      <c r="C1746" t="str">
        <f>"14.0306"</f>
        <v>14.0306</v>
      </c>
    </row>
    <row r="1747" spans="1:3" x14ac:dyDescent="0.25">
      <c r="A1747" t="str">
        <f>"25/08/2016"</f>
        <v>25/08/2016</v>
      </c>
      <c r="B1747" t="str">
        <f>"14.0973"</f>
        <v>14.0973</v>
      </c>
      <c r="C1747" t="str">
        <f>"14.1843"</f>
        <v>14.1843</v>
      </c>
    </row>
    <row r="1748" spans="1:3" x14ac:dyDescent="0.25">
      <c r="A1748" t="str">
        <f>"26/08/2016"</f>
        <v>26/08/2016</v>
      </c>
      <c r="B1748" t="str">
        <f>"14.12"</f>
        <v>14.12</v>
      </c>
      <c r="C1748" t="str">
        <f>"14.2091"</f>
        <v>14.2091</v>
      </c>
    </row>
    <row r="1749" spans="1:3" x14ac:dyDescent="0.25">
      <c r="A1749" t="str">
        <f>"29/08/2016"</f>
        <v>29/08/2016</v>
      </c>
      <c r="B1749" t="str">
        <f>"14.512"</f>
        <v>14.512</v>
      </c>
      <c r="C1749" t="str">
        <f>"14.5994"</f>
        <v>14.5994</v>
      </c>
    </row>
    <row r="1750" spans="1:3" x14ac:dyDescent="0.25">
      <c r="A1750" t="str">
        <f>"30/08/2016"</f>
        <v>30/08/2016</v>
      </c>
      <c r="B1750" t="str">
        <f>"14.4329"</f>
        <v>14.4329</v>
      </c>
      <c r="C1750" t="str">
        <f>"14.5257"</f>
        <v>14.5257</v>
      </c>
    </row>
    <row r="1751" spans="1:3" x14ac:dyDescent="0.25">
      <c r="A1751" t="str">
        <f>"31/08/2016"</f>
        <v>31/08/2016</v>
      </c>
      <c r="B1751" t="str">
        <f>"14.707"</f>
        <v>14.707</v>
      </c>
      <c r="C1751" t="str">
        <f>"14.7957"</f>
        <v>14.7957</v>
      </c>
    </row>
    <row r="1752" spans="1:3" x14ac:dyDescent="0.25">
      <c r="A1752" t="str">
        <f>"01/09/2016"</f>
        <v>01/09/2016</v>
      </c>
      <c r="B1752" t="str">
        <f>"14.6924"</f>
        <v>14.6924</v>
      </c>
      <c r="C1752" t="str">
        <f>"14.7795"</f>
        <v>14.7795</v>
      </c>
    </row>
    <row r="1753" spans="1:3" x14ac:dyDescent="0.25">
      <c r="A1753" t="str">
        <f>"02/09/2016"</f>
        <v>02/09/2016</v>
      </c>
      <c r="B1753" t="str">
        <f>"14.552"</f>
        <v>14.552</v>
      </c>
      <c r="C1753" t="str">
        <f>"14.6386"</f>
        <v>14.6386</v>
      </c>
    </row>
    <row r="1754" spans="1:3" x14ac:dyDescent="0.25">
      <c r="A1754" t="str">
        <f>"06/09/2016"</f>
        <v>06/09/2016</v>
      </c>
      <c r="B1754" t="str">
        <f>"14.1727"</f>
        <v>14.1727</v>
      </c>
      <c r="C1754" t="str">
        <f>"14.2643"</f>
        <v>14.2643</v>
      </c>
    </row>
    <row r="1755" spans="1:3" x14ac:dyDescent="0.25">
      <c r="A1755" t="str">
        <f>"07/09/2016"</f>
        <v>07/09/2016</v>
      </c>
      <c r="B1755" t="str">
        <f>"14.031"</f>
        <v>14.031</v>
      </c>
      <c r="C1755" t="str">
        <f>"14.1187"</f>
        <v>14.1187</v>
      </c>
    </row>
    <row r="1756" spans="1:3" x14ac:dyDescent="0.25">
      <c r="A1756" t="str">
        <f>"08/09/2016"</f>
        <v>08/09/2016</v>
      </c>
      <c r="B1756" t="str">
        <f>"14.0361"</f>
        <v>14.0361</v>
      </c>
      <c r="C1756" t="str">
        <f>"14.1239"</f>
        <v>14.1239</v>
      </c>
    </row>
    <row r="1757" spans="1:3" x14ac:dyDescent="0.25">
      <c r="A1757" t="str">
        <f>"09/09/2016"</f>
        <v>09/09/2016</v>
      </c>
      <c r="B1757" t="str">
        <f>"14.1369"</f>
        <v>14.1369</v>
      </c>
      <c r="C1757" t="str">
        <f>"14.22"</f>
        <v>14.22</v>
      </c>
    </row>
    <row r="1758" spans="1:3" x14ac:dyDescent="0.25">
      <c r="A1758" t="str">
        <f>"12/09/2016"</f>
        <v>12/09/2016</v>
      </c>
      <c r="B1758" t="str">
        <f>"14.4593"</f>
        <v>14.4593</v>
      </c>
      <c r="C1758" t="str">
        <f>"14.5451"</f>
        <v>14.5451</v>
      </c>
    </row>
    <row r="1759" spans="1:3" x14ac:dyDescent="0.25">
      <c r="A1759" t="str">
        <f>"14/09/2016"</f>
        <v>14/09/2016</v>
      </c>
      <c r="B1759" t="str">
        <f>"14.4285"</f>
        <v>14.4285</v>
      </c>
      <c r="C1759" t="str">
        <f>"14.5199"</f>
        <v>14.5199</v>
      </c>
    </row>
    <row r="1760" spans="1:3" x14ac:dyDescent="0.25">
      <c r="A1760" t="str">
        <f>"15/09/2016"</f>
        <v>15/09/2016</v>
      </c>
      <c r="B1760" t="str">
        <f>"14.3427"</f>
        <v>14.3427</v>
      </c>
      <c r="C1760" t="str">
        <f>"14.4292"</f>
        <v>14.4292</v>
      </c>
    </row>
    <row r="1761" spans="1:3" x14ac:dyDescent="0.25">
      <c r="A1761" t="str">
        <f>"16/09/2016"</f>
        <v>16/09/2016</v>
      </c>
      <c r="B1761" t="str">
        <f>"14.1796"</f>
        <v>14.1796</v>
      </c>
      <c r="C1761" t="str">
        <f>"14.2633"</f>
        <v>14.2633</v>
      </c>
    </row>
    <row r="1762" spans="1:3" x14ac:dyDescent="0.25">
      <c r="A1762" t="str">
        <f>"19/09/2016"</f>
        <v>19/09/2016</v>
      </c>
      <c r="B1762" t="str">
        <f>"14.0457"</f>
        <v>14.0457</v>
      </c>
      <c r="C1762" t="str">
        <f>"14.1289"</f>
        <v>14.1289</v>
      </c>
    </row>
    <row r="1763" spans="1:3" x14ac:dyDescent="0.25">
      <c r="A1763" t="str">
        <f>"20/09/2016"</f>
        <v>20/09/2016</v>
      </c>
      <c r="B1763" t="str">
        <f>"13.8661"</f>
        <v>13.8661</v>
      </c>
      <c r="C1763" t="str">
        <f>"13.9534"</f>
        <v>13.9534</v>
      </c>
    </row>
    <row r="1764" spans="1:3" x14ac:dyDescent="0.25">
      <c r="A1764" t="str">
        <f>"21/09/2016"</f>
        <v>21/09/2016</v>
      </c>
      <c r="B1764" t="str">
        <f>"13.6982"</f>
        <v>13.6982</v>
      </c>
      <c r="C1764" t="str">
        <f>"13.7801"</f>
        <v>13.7801</v>
      </c>
    </row>
    <row r="1765" spans="1:3" x14ac:dyDescent="0.25">
      <c r="A1765" t="str">
        <f>"22/09/2016"</f>
        <v>22/09/2016</v>
      </c>
      <c r="B1765" t="str">
        <f>"13.4471"</f>
        <v>13.4471</v>
      </c>
      <c r="C1765" t="str">
        <f>"13.5255"</f>
        <v>13.5255</v>
      </c>
    </row>
    <row r="1766" spans="1:3" x14ac:dyDescent="0.25">
      <c r="A1766" t="str">
        <f>"23/09/2016"</f>
        <v>23/09/2016</v>
      </c>
      <c r="B1766" t="str">
        <f>"13.5999"</f>
        <v>13.5999</v>
      </c>
      <c r="C1766" t="str">
        <f>"13.6794"</f>
        <v>13.6794</v>
      </c>
    </row>
    <row r="1767" spans="1:3" x14ac:dyDescent="0.25">
      <c r="A1767" t="str">
        <f>"26/09/2016"</f>
        <v>26/09/2016</v>
      </c>
      <c r="B1767" t="str">
        <f>"13.6673"</f>
        <v>13.6673</v>
      </c>
      <c r="C1767" t="str">
        <f>"13.7472"</f>
        <v>13.7472</v>
      </c>
    </row>
    <row r="1768" spans="1:3" x14ac:dyDescent="0.25">
      <c r="A1768" t="str">
        <f>"27/09/2016"</f>
        <v>27/09/2016</v>
      </c>
      <c r="B1768" t="str">
        <f>"13.5159"</f>
        <v>13.5159</v>
      </c>
      <c r="C1768" t="str">
        <f>"13.5988"</f>
        <v>13.5988</v>
      </c>
    </row>
    <row r="1769" spans="1:3" x14ac:dyDescent="0.25">
      <c r="A1769" t="str">
        <f>"28/09/2016"</f>
        <v>28/09/2016</v>
      </c>
      <c r="B1769" t="str">
        <f>"13.6036"</f>
        <v>13.6036</v>
      </c>
      <c r="C1769" t="str">
        <f>"13.6849"</f>
        <v>13.6849</v>
      </c>
    </row>
    <row r="1770" spans="1:3" x14ac:dyDescent="0.25">
      <c r="A1770" t="str">
        <f>"29/09/2016"</f>
        <v>29/09/2016</v>
      </c>
      <c r="B1770" t="str">
        <f>"13.6399"</f>
        <v>13.6399</v>
      </c>
      <c r="C1770" t="str">
        <f>"13.7204"</f>
        <v>13.7204</v>
      </c>
    </row>
    <row r="1771" spans="1:3" x14ac:dyDescent="0.25">
      <c r="A1771" t="str">
        <f>"30/09/2016"</f>
        <v>30/09/2016</v>
      </c>
      <c r="B1771" t="str">
        <f>"13.7617"</f>
        <v>13.7617</v>
      </c>
      <c r="C1771" t="str">
        <f>"13.9337"</f>
        <v>13.9337</v>
      </c>
    </row>
    <row r="1772" spans="1:3" x14ac:dyDescent="0.25">
      <c r="A1772" t="str">
        <f>"03/10/2016"</f>
        <v>03/10/2016</v>
      </c>
      <c r="B1772" t="str">
        <f>"13.6029"</f>
        <v>13.6029</v>
      </c>
      <c r="C1772" t="str">
        <f>"13.6887"</f>
        <v>13.6887</v>
      </c>
    </row>
    <row r="1773" spans="1:3" x14ac:dyDescent="0.25">
      <c r="A1773" t="str">
        <f>"04/10/2016"</f>
        <v>04/10/2016</v>
      </c>
      <c r="B1773" t="str">
        <f>"13.6094"</f>
        <v>13.6094</v>
      </c>
      <c r="C1773" t="str">
        <f>"13.6923"</f>
        <v>13.6923</v>
      </c>
    </row>
    <row r="1774" spans="1:3" x14ac:dyDescent="0.25">
      <c r="A1774" t="str">
        <f>"05/10/2016"</f>
        <v>05/10/2016</v>
      </c>
      <c r="B1774" t="str">
        <f>"13.7233"</f>
        <v>13.7233</v>
      </c>
      <c r="C1774" t="str">
        <f>"13.8041"</f>
        <v>13.8041</v>
      </c>
    </row>
    <row r="1775" spans="1:3" x14ac:dyDescent="0.25">
      <c r="A1775" t="str">
        <f>"06/10/2016"</f>
        <v>06/10/2016</v>
      </c>
      <c r="B1775" t="str">
        <f>"13.7962"</f>
        <v>13.7962</v>
      </c>
      <c r="C1775" t="str">
        <f>"13.8852"</f>
        <v>13.8852</v>
      </c>
    </row>
    <row r="1776" spans="1:3" x14ac:dyDescent="0.25">
      <c r="A1776" t="str">
        <f>"07/10/2016"</f>
        <v>07/10/2016</v>
      </c>
      <c r="B1776" t="str">
        <f>"13.9432"</f>
        <v>13.9432</v>
      </c>
      <c r="C1776" t="str">
        <f>"14.0342"</f>
        <v>14.0342</v>
      </c>
    </row>
    <row r="1777" spans="1:3" x14ac:dyDescent="0.25">
      <c r="A1777" t="str">
        <f>"10/10/2016"</f>
        <v>10/10/2016</v>
      </c>
      <c r="B1777" t="str">
        <f>"13.8579"</f>
        <v>13.8579</v>
      </c>
      <c r="C1777" t="str">
        <f>"13.945"</f>
        <v>13.945</v>
      </c>
    </row>
    <row r="1778" spans="1:3" x14ac:dyDescent="0.25">
      <c r="A1778" t="str">
        <f>"13/10/2016"</f>
        <v>13/10/2016</v>
      </c>
      <c r="B1778" t="str">
        <f>"14.3483"</f>
        <v>14.3483</v>
      </c>
      <c r="C1778" t="str">
        <f>"14.438"</f>
        <v>14.438</v>
      </c>
    </row>
    <row r="1779" spans="1:3" x14ac:dyDescent="0.25">
      <c r="A1779" t="str">
        <f>"14/10/2016"</f>
        <v>14/10/2016</v>
      </c>
      <c r="B1779" t="str">
        <f>"14.2076"</f>
        <v>14.2076</v>
      </c>
      <c r="C1779" t="str">
        <f>"14.2965"</f>
        <v>14.2965</v>
      </c>
    </row>
    <row r="1780" spans="1:3" x14ac:dyDescent="0.25">
      <c r="A1780" t="str">
        <f>"17/10/2016"</f>
        <v>17/10/2016</v>
      </c>
      <c r="B1780" t="str">
        <f>"14.2448"</f>
        <v>14.2448</v>
      </c>
      <c r="C1780" t="str">
        <f>"14.3382"</f>
        <v>14.3382</v>
      </c>
    </row>
    <row r="1781" spans="1:3" x14ac:dyDescent="0.25">
      <c r="A1781" t="str">
        <f>"18/10/2016"</f>
        <v>18/10/2016</v>
      </c>
      <c r="B1781" t="str">
        <f>"14.1022"</f>
        <v>14.1022</v>
      </c>
      <c r="C1781" t="str">
        <f>"14.1945"</f>
        <v>14.1945</v>
      </c>
    </row>
    <row r="1782" spans="1:3" x14ac:dyDescent="0.25">
      <c r="A1782" t="str">
        <f>"19/10/2016"</f>
        <v>19/10/2016</v>
      </c>
      <c r="B1782" t="str">
        <f>"13.9513"</f>
        <v>13.9513</v>
      </c>
      <c r="C1782" t="str">
        <f>"14.0363"</f>
        <v>14.0363</v>
      </c>
    </row>
    <row r="1783" spans="1:3" x14ac:dyDescent="0.25">
      <c r="A1783" t="str">
        <f>"20/10/2016"</f>
        <v>20/10/2016</v>
      </c>
      <c r="B1783" t="str">
        <f>"13.8948"</f>
        <v>13.8948</v>
      </c>
      <c r="C1783" t="str">
        <f>"13.9839"</f>
        <v>13.9839</v>
      </c>
    </row>
    <row r="1784" spans="1:3" x14ac:dyDescent="0.25">
      <c r="A1784" t="str">
        <f>"21/10/2016"</f>
        <v>21/10/2016</v>
      </c>
      <c r="B1784" t="str">
        <f>"14.0306"</f>
        <v>14.0306</v>
      </c>
      <c r="C1784" t="str">
        <f>"14.1231"</f>
        <v>14.1231</v>
      </c>
    </row>
    <row r="1785" spans="1:3" x14ac:dyDescent="0.25">
      <c r="A1785" t="str">
        <f>"24/10/2016"</f>
        <v>24/10/2016</v>
      </c>
      <c r="B1785" t="str">
        <f>"13.8858"</f>
        <v>13.8858</v>
      </c>
      <c r="C1785" t="str">
        <f>"13.9789"</f>
        <v>13.9789</v>
      </c>
    </row>
    <row r="1786" spans="1:3" x14ac:dyDescent="0.25">
      <c r="A1786" t="str">
        <f>"25/10/2016"</f>
        <v>25/10/2016</v>
      </c>
      <c r="B1786" t="str">
        <f>"13.8231"</f>
        <v>13.8231</v>
      </c>
      <c r="C1786" t="str">
        <f>"13.9127"</f>
        <v>13.9127</v>
      </c>
    </row>
    <row r="1787" spans="1:3" x14ac:dyDescent="0.25">
      <c r="A1787" t="str">
        <f>"26/10/2016"</f>
        <v>26/10/2016</v>
      </c>
      <c r="B1787" t="str">
        <f>"13.812"</f>
        <v>13.812</v>
      </c>
      <c r="C1787" t="str">
        <f>"13.8985"</f>
        <v>13.8985</v>
      </c>
    </row>
    <row r="1788" spans="1:3" x14ac:dyDescent="0.25">
      <c r="A1788" t="str">
        <f>"27/10/2016"</f>
        <v>27/10/2016</v>
      </c>
      <c r="B1788" t="str">
        <f>"13.9413"</f>
        <v>13.9413</v>
      </c>
      <c r="C1788" t="str">
        <f>"14.0277"</f>
        <v>14.0277</v>
      </c>
    </row>
    <row r="1789" spans="1:3" x14ac:dyDescent="0.25">
      <c r="A1789" t="str">
        <f>"28/10/2016"</f>
        <v>28/10/2016</v>
      </c>
      <c r="B1789" t="str">
        <f>"13.8938"</f>
        <v>13.8938</v>
      </c>
      <c r="C1789" t="str">
        <f>"13.9576"</f>
        <v>13.9576</v>
      </c>
    </row>
    <row r="1790" spans="1:3" x14ac:dyDescent="0.25">
      <c r="A1790" t="str">
        <f>"01/11/2016"</f>
        <v>01/11/2016</v>
      </c>
      <c r="B1790" t="str">
        <f>"13.4985"</f>
        <v>13.4985</v>
      </c>
      <c r="C1790" t="str">
        <f>"13.5844"</f>
        <v>13.5844</v>
      </c>
    </row>
    <row r="1791" spans="1:3" x14ac:dyDescent="0.25">
      <c r="A1791" t="str">
        <f>"02/11/2016"</f>
        <v>02/11/2016</v>
      </c>
      <c r="B1791" t="str">
        <f>"13.6268"</f>
        <v>13.6268</v>
      </c>
      <c r="C1791" t="str">
        <f>"13.7122"</f>
        <v>13.7122</v>
      </c>
    </row>
    <row r="1792" spans="1:3" x14ac:dyDescent="0.25">
      <c r="A1792" t="str">
        <f>"03/11/2016"</f>
        <v>03/11/2016</v>
      </c>
      <c r="B1792" t="str">
        <f>"13.4419"</f>
        <v>13.4419</v>
      </c>
      <c r="C1792" t="str">
        <f>"13.5258"</f>
        <v>13.5258</v>
      </c>
    </row>
    <row r="1793" spans="1:3" x14ac:dyDescent="0.25">
      <c r="A1793" t="str">
        <f>"04/11/2016"</f>
        <v>04/11/2016</v>
      </c>
      <c r="B1793" t="str">
        <f>"13.5615"</f>
        <v>13.5615</v>
      </c>
      <c r="C1793" t="str">
        <f>"13.6437"</f>
        <v>13.6437</v>
      </c>
    </row>
    <row r="1794" spans="1:3" x14ac:dyDescent="0.25">
      <c r="A1794" t="str">
        <f>"07/11/2016"</f>
        <v>07/11/2016</v>
      </c>
      <c r="B1794" t="str">
        <f>"13.4799"</f>
        <v>13.4799</v>
      </c>
      <c r="C1794" t="str">
        <f>"13.5613"</f>
        <v>13.5613</v>
      </c>
    </row>
    <row r="1795" spans="1:3" x14ac:dyDescent="0.25">
      <c r="A1795" t="str">
        <f>"08/11/2016"</f>
        <v>08/11/2016</v>
      </c>
      <c r="B1795" t="str">
        <f>"13.4399"</f>
        <v>13.4399</v>
      </c>
      <c r="C1795" t="str">
        <f>"13.521"</f>
        <v>13.521</v>
      </c>
    </row>
    <row r="1796" spans="1:3" x14ac:dyDescent="0.25">
      <c r="A1796" t="str">
        <f>"09/11/2016"</f>
        <v>09/11/2016</v>
      </c>
      <c r="B1796" t="str">
        <f>"13.7117"</f>
        <v>13.7117</v>
      </c>
      <c r="C1796" t="str">
        <f>"13.7966"</f>
        <v>13.7966</v>
      </c>
    </row>
    <row r="1797" spans="1:3" x14ac:dyDescent="0.25">
      <c r="A1797" t="str">
        <f>"10/11/2016"</f>
        <v>10/11/2016</v>
      </c>
      <c r="B1797" t="str">
        <f>"13.6868"</f>
        <v>13.6868</v>
      </c>
      <c r="C1797" t="str">
        <f>"13.7693"</f>
        <v>13.7693</v>
      </c>
    </row>
    <row r="1798" spans="1:3" x14ac:dyDescent="0.25">
      <c r="A1798" t="str">
        <f>"11/11/2016"</f>
        <v>11/11/2016</v>
      </c>
      <c r="B1798" t="str">
        <f>"14.0695"</f>
        <v>14.0695</v>
      </c>
      <c r="C1798" t="str">
        <f>"14.1556"</f>
        <v>14.1556</v>
      </c>
    </row>
    <row r="1799" spans="1:3" x14ac:dyDescent="0.25">
      <c r="A1799" t="str">
        <f>"15/11/2016"</f>
        <v>15/11/2016</v>
      </c>
      <c r="B1799" t="str">
        <f>"14.1725"</f>
        <v>14.1725</v>
      </c>
      <c r="C1799" t="str">
        <f>"14.2633"</f>
        <v>14.2633</v>
      </c>
    </row>
    <row r="1800" spans="1:3" x14ac:dyDescent="0.25">
      <c r="A1800" t="str">
        <f>"16/11/2016"</f>
        <v>16/11/2016</v>
      </c>
      <c r="B1800" t="str">
        <f>"14.3477"</f>
        <v>14.3477</v>
      </c>
      <c r="C1800" t="str">
        <f>"14.4361"</f>
        <v>14.4361</v>
      </c>
    </row>
    <row r="1801" spans="1:3" x14ac:dyDescent="0.25">
      <c r="A1801" t="str">
        <f>"17/11/2016"</f>
        <v>17/11/2016</v>
      </c>
      <c r="B1801" t="str">
        <f>"14.2703"</f>
        <v>14.2703</v>
      </c>
      <c r="C1801" t="str">
        <f>"14.3554"</f>
        <v>14.3554</v>
      </c>
    </row>
    <row r="1802" spans="1:3" x14ac:dyDescent="0.25">
      <c r="A1802" t="str">
        <f>"18/11/2016"</f>
        <v>18/11/2016</v>
      </c>
      <c r="B1802" t="str">
        <f>"14.4953"</f>
        <v>14.4953</v>
      </c>
      <c r="C1802" t="str">
        <f>"14.5817"</f>
        <v>14.5817</v>
      </c>
    </row>
    <row r="1803" spans="1:3" x14ac:dyDescent="0.25">
      <c r="A1803" t="str">
        <f>"21/11/2016"</f>
        <v>21/11/2016</v>
      </c>
      <c r="B1803" t="str">
        <f>"14.4834"</f>
        <v>14.4834</v>
      </c>
      <c r="C1803" t="str">
        <f>"14.5705"</f>
        <v>14.5705</v>
      </c>
    </row>
    <row r="1804" spans="1:3" x14ac:dyDescent="0.25">
      <c r="A1804" t="str">
        <f>"22/11/2016"</f>
        <v>22/11/2016</v>
      </c>
      <c r="B1804" t="str">
        <f>"14.0466"</f>
        <v>14.0466</v>
      </c>
      <c r="C1804" t="str">
        <f>"14.1361"</f>
        <v>14.1361</v>
      </c>
    </row>
    <row r="1805" spans="1:3" x14ac:dyDescent="0.25">
      <c r="A1805" t="str">
        <f>"23/11/2016"</f>
        <v>23/11/2016</v>
      </c>
      <c r="B1805" t="str">
        <f>"14.0722"</f>
        <v>14.0722</v>
      </c>
      <c r="C1805" t="str">
        <f>"14.1627"</f>
        <v>14.1627</v>
      </c>
    </row>
    <row r="1806" spans="1:3" x14ac:dyDescent="0.25">
      <c r="A1806" t="str">
        <f>"24/11/2016"</f>
        <v>24/11/2016</v>
      </c>
      <c r="B1806" t="str">
        <f>"14.1916"</f>
        <v>14.1916</v>
      </c>
      <c r="C1806" t="str">
        <f>"14.2748"</f>
        <v>14.2748</v>
      </c>
    </row>
    <row r="1807" spans="1:3" x14ac:dyDescent="0.25">
      <c r="A1807" t="str">
        <f>"25/11/2016"</f>
        <v>25/11/2016</v>
      </c>
      <c r="B1807" t="str">
        <f>"14.169"</f>
        <v>14.169</v>
      </c>
      <c r="C1807" t="str">
        <f>"14.2525"</f>
        <v>14.2525</v>
      </c>
    </row>
    <row r="1808" spans="1:3" x14ac:dyDescent="0.25">
      <c r="A1808" t="str">
        <f>"28/11/2016"</f>
        <v>28/11/2016</v>
      </c>
      <c r="B1808" t="str">
        <f>"13.9095"</f>
        <v>13.9095</v>
      </c>
      <c r="C1808" t="str">
        <f>"13.9914"</f>
        <v>13.9914</v>
      </c>
    </row>
    <row r="1809" spans="1:3" x14ac:dyDescent="0.25">
      <c r="A1809" t="str">
        <f>"29/11/2016"</f>
        <v>29/11/2016</v>
      </c>
      <c r="B1809" t="str">
        <f>"13.8135"</f>
        <v>13.8135</v>
      </c>
      <c r="C1809" t="str">
        <f>"13.9035"</f>
        <v>13.9035</v>
      </c>
    </row>
    <row r="1810" spans="1:3" x14ac:dyDescent="0.25">
      <c r="A1810" t="str">
        <f>"30/11/2016"</f>
        <v>30/11/2016</v>
      </c>
      <c r="B1810" t="str">
        <f>"14.08"</f>
        <v>14.08</v>
      </c>
      <c r="C1810" t="str">
        <f>"14.0524"</f>
        <v>14.0524</v>
      </c>
    </row>
    <row r="1811" spans="1:3" x14ac:dyDescent="0.25">
      <c r="A1811" t="str">
        <f>"01/12/2016"</f>
        <v>01/12/2016</v>
      </c>
      <c r="B1811" t="str">
        <f>"14.0512"</f>
        <v>14.0512</v>
      </c>
      <c r="C1811" t="str">
        <f>"14.1401"</f>
        <v>14.1401</v>
      </c>
    </row>
    <row r="1812" spans="1:3" x14ac:dyDescent="0.25">
      <c r="A1812" t="str">
        <f>"02/12/2016"</f>
        <v>02/12/2016</v>
      </c>
      <c r="B1812" t="str">
        <f>"14.0894"</f>
        <v>14.0894</v>
      </c>
      <c r="C1812" t="str">
        <f>"14.1792"</f>
        <v>14.1792</v>
      </c>
    </row>
    <row r="1813" spans="1:3" x14ac:dyDescent="0.25">
      <c r="A1813" t="str">
        <f>"05/12/2016"</f>
        <v>05/12/2016</v>
      </c>
      <c r="B1813" t="str">
        <f>"13.8575"</f>
        <v>13.8575</v>
      </c>
      <c r="C1813" t="str">
        <f>"13.9502"</f>
        <v>13.9502</v>
      </c>
    </row>
    <row r="1814" spans="1:3" x14ac:dyDescent="0.25">
      <c r="A1814" t="str">
        <f>"06/12/2016"</f>
        <v>06/12/2016</v>
      </c>
      <c r="B1814" t="str">
        <f>"13.604"</f>
        <v>13.604</v>
      </c>
      <c r="C1814" t="str">
        <f>"13.6919"</f>
        <v>13.6919</v>
      </c>
    </row>
    <row r="1815" spans="1:3" x14ac:dyDescent="0.25">
      <c r="A1815" t="str">
        <f>"07/12/2016"</f>
        <v>07/12/2016</v>
      </c>
      <c r="B1815" t="str">
        <f>"13.5312"</f>
        <v>13.5312</v>
      </c>
      <c r="C1815" t="str">
        <f>"13.6155"</f>
        <v>13.6155</v>
      </c>
    </row>
    <row r="1816" spans="1:3" x14ac:dyDescent="0.25">
      <c r="A1816" t="str">
        <f>"08/12/2016"</f>
        <v>08/12/2016</v>
      </c>
      <c r="B1816" t="str">
        <f>"13.5867"</f>
        <v>13.5867</v>
      </c>
      <c r="C1816" t="str">
        <f>"13.6712"</f>
        <v>13.6712</v>
      </c>
    </row>
    <row r="1817" spans="1:3" x14ac:dyDescent="0.25">
      <c r="A1817" t="str">
        <f>"09/12/2016"</f>
        <v>09/12/2016</v>
      </c>
      <c r="B1817" t="str">
        <f>"13.7038"</f>
        <v>13.7038</v>
      </c>
      <c r="C1817" t="str">
        <f>"13.7887"</f>
        <v>13.7887</v>
      </c>
    </row>
    <row r="1818" spans="1:3" x14ac:dyDescent="0.25">
      <c r="A1818" t="str">
        <f>"13/12/2016"</f>
        <v>13/12/2016</v>
      </c>
      <c r="B1818" t="str">
        <f>"13.7433"</f>
        <v>13.7433</v>
      </c>
      <c r="C1818" t="str">
        <f>"13.8325"</f>
        <v>13.8325</v>
      </c>
    </row>
    <row r="1819" spans="1:3" x14ac:dyDescent="0.25">
      <c r="A1819" t="str">
        <f>"14/12/2016"</f>
        <v>14/12/2016</v>
      </c>
      <c r="B1819" t="str">
        <f>"13.6163"</f>
        <v>13.6163</v>
      </c>
      <c r="C1819" t="str">
        <f>"13.6995"</f>
        <v>13.6995</v>
      </c>
    </row>
    <row r="1820" spans="1:3" x14ac:dyDescent="0.25">
      <c r="A1820" t="str">
        <f>"15/12/2016"</f>
        <v>15/12/2016</v>
      </c>
      <c r="B1820" t="str">
        <f>"14.012"</f>
        <v>14.012</v>
      </c>
      <c r="C1820" t="str">
        <f>"14.097"</f>
        <v>14.097</v>
      </c>
    </row>
    <row r="1821" spans="1:3" x14ac:dyDescent="0.25">
      <c r="A1821" t="str">
        <f>"16/12/2016"</f>
        <v>16/12/2016</v>
      </c>
      <c r="B1821" t="str">
        <f>"13.9425"</f>
        <v>13.9425</v>
      </c>
      <c r="C1821" t="str">
        <f>"14.0271"</f>
        <v>14.0271</v>
      </c>
    </row>
    <row r="1822" spans="1:3" x14ac:dyDescent="0.25">
      <c r="A1822" t="str">
        <f>"19/12/2016"</f>
        <v>19/12/2016</v>
      </c>
      <c r="B1822" t="str">
        <f>"14.1432"</f>
        <v>14.1432</v>
      </c>
      <c r="C1822" t="str">
        <f>"14.2343"</f>
        <v>14.2343</v>
      </c>
    </row>
    <row r="1823" spans="1:3" x14ac:dyDescent="0.25">
      <c r="A1823" t="str">
        <f>"20/12/2016"</f>
        <v>20/12/2016</v>
      </c>
      <c r="B1823" t="str">
        <f>"14.0751"</f>
        <v>14.0751</v>
      </c>
      <c r="C1823" t="str">
        <f>"14.1639"</f>
        <v>14.1639</v>
      </c>
    </row>
    <row r="1824" spans="1:3" x14ac:dyDescent="0.25">
      <c r="A1824" t="str">
        <f>"21/12/2016"</f>
        <v>21/12/2016</v>
      </c>
      <c r="B1824" t="str">
        <f>"13.9935"</f>
        <v>13.9935</v>
      </c>
      <c r="C1824" t="str">
        <f>"14.0794"</f>
        <v>14.0794</v>
      </c>
    </row>
    <row r="1825" spans="1:3" x14ac:dyDescent="0.25">
      <c r="A1825" t="str">
        <f>"22/12/2016"</f>
        <v>22/12/2016</v>
      </c>
      <c r="B1825" t="str">
        <f>"14.009"</f>
        <v>14.009</v>
      </c>
      <c r="C1825" t="str">
        <f>"14.1004"</f>
        <v>14.1004</v>
      </c>
    </row>
    <row r="1826" spans="1:3" x14ac:dyDescent="0.25">
      <c r="A1826" t="str">
        <f>"23/12/2016"</f>
        <v>23/12/2016</v>
      </c>
      <c r="B1826" t="str">
        <f>"14.039"</f>
        <v>14.039</v>
      </c>
      <c r="C1826" t="str">
        <f>"14.1243"</f>
        <v>14.1243</v>
      </c>
    </row>
    <row r="1827" spans="1:3" x14ac:dyDescent="0.25">
      <c r="A1827" t="str">
        <f>"26/12/2016"</f>
        <v>26/12/2016</v>
      </c>
      <c r="B1827" t="str">
        <f>"14.056"</f>
        <v>14.056</v>
      </c>
      <c r="C1827" t="str">
        <f>"14.1408"</f>
        <v>14.1408</v>
      </c>
    </row>
    <row r="1828" spans="1:3" x14ac:dyDescent="0.25">
      <c r="A1828" t="str">
        <f>"27/12/2016"</f>
        <v>27/12/2016</v>
      </c>
      <c r="B1828" t="str">
        <f>"13.9339"</f>
        <v>13.9339</v>
      </c>
      <c r="C1828" t="str">
        <f>"14.019"</f>
        <v>14.019</v>
      </c>
    </row>
    <row r="1829" spans="1:3" x14ac:dyDescent="0.25">
      <c r="A1829" t="str">
        <f>"28/12/2016"</f>
        <v>28/12/2016</v>
      </c>
      <c r="B1829" t="str">
        <f>"13.8962"</f>
        <v>13.8962</v>
      </c>
      <c r="C1829" t="str">
        <f>"13.9803"</f>
        <v>13.9803</v>
      </c>
    </row>
    <row r="1830" spans="1:3" x14ac:dyDescent="0.25">
      <c r="A1830" t="str">
        <f>"29/12/2016"</f>
        <v>29/12/2016</v>
      </c>
      <c r="B1830" t="str">
        <f>"13.6777"</f>
        <v>13.6777</v>
      </c>
      <c r="C1830" t="str">
        <f>"13.7579"</f>
        <v>13.7579</v>
      </c>
    </row>
    <row r="1831" spans="1:3" x14ac:dyDescent="0.25">
      <c r="A1831" t="str">
        <f>"30/12/2016"</f>
        <v>30/12/2016</v>
      </c>
      <c r="B1831" t="str">
        <f>"13.7821"</f>
        <v>13.7821</v>
      </c>
      <c r="C1831" t="str">
        <f>"13.8194"</f>
        <v>13.8194</v>
      </c>
    </row>
    <row r="1832" spans="1:3" x14ac:dyDescent="0.25">
      <c r="A1832" t="str">
        <f>"02/01/2017"</f>
        <v>02/01/2017</v>
      </c>
      <c r="B1832" t="str">
        <f>"13.7794"</f>
        <v>13.7794</v>
      </c>
      <c r="C1832" t="str">
        <f>"13.8647"</f>
        <v>13.8647</v>
      </c>
    </row>
    <row r="1833" spans="1:3" x14ac:dyDescent="0.25">
      <c r="A1833" t="str">
        <f>"03/01/2017"</f>
        <v>03/01/2017</v>
      </c>
      <c r="B1833" t="str">
        <f>"13.7832"</f>
        <v>13.7832</v>
      </c>
      <c r="C1833" t="str">
        <f>"13.8663"</f>
        <v>13.8663</v>
      </c>
    </row>
    <row r="1834" spans="1:3" x14ac:dyDescent="0.25">
      <c r="A1834" t="str">
        <f>"04/01/2017"</f>
        <v>04/01/2017</v>
      </c>
      <c r="B1834" t="str">
        <f>"13.6141"</f>
        <v>13.6141</v>
      </c>
      <c r="C1834" t="str">
        <f>"13.6943"</f>
        <v>13.6943</v>
      </c>
    </row>
    <row r="1835" spans="1:3" x14ac:dyDescent="0.25">
      <c r="A1835" t="str">
        <f>"05/01/2017"</f>
        <v>05/01/2017</v>
      </c>
      <c r="B1835" t="str">
        <f>"13.695"</f>
        <v>13.695</v>
      </c>
      <c r="C1835" t="str">
        <f>"13.7762"</f>
        <v>13.7762</v>
      </c>
    </row>
    <row r="1836" spans="1:3" x14ac:dyDescent="0.25">
      <c r="A1836" t="str">
        <f>"06/01/2017"</f>
        <v>06/01/2017</v>
      </c>
      <c r="B1836" t="str">
        <f>"13.6137"</f>
        <v>13.6137</v>
      </c>
      <c r="C1836" t="str">
        <f>"13.6941"</f>
        <v>13.6941</v>
      </c>
    </row>
    <row r="1837" spans="1:3" x14ac:dyDescent="0.25">
      <c r="A1837" t="str">
        <f>"09/01/2017"</f>
        <v>09/01/2017</v>
      </c>
      <c r="B1837" t="str">
        <f>"13.7078"</f>
        <v>13.7078</v>
      </c>
      <c r="C1837" t="str">
        <f>"13.7931"</f>
        <v>13.7931</v>
      </c>
    </row>
    <row r="1838" spans="1:3" x14ac:dyDescent="0.25">
      <c r="A1838" t="str">
        <f>"10/01/2017"</f>
        <v>10/01/2017</v>
      </c>
      <c r="B1838" t="str">
        <f>"13.6756"</f>
        <v>13.6756</v>
      </c>
      <c r="C1838" t="str">
        <f>"13.7577"</f>
        <v>13.7577</v>
      </c>
    </row>
    <row r="1839" spans="1:3" x14ac:dyDescent="0.25">
      <c r="A1839" t="str">
        <f>"11/01/2017"</f>
        <v>11/01/2017</v>
      </c>
      <c r="B1839" t="str">
        <f>"13.791"</f>
        <v>13.791</v>
      </c>
      <c r="C1839" t="str">
        <f>"13.8713"</f>
        <v>13.8713</v>
      </c>
    </row>
    <row r="1840" spans="1:3" x14ac:dyDescent="0.25">
      <c r="A1840" t="str">
        <f>"12/01/2017"</f>
        <v>12/01/2017</v>
      </c>
      <c r="B1840" t="str">
        <f>"13.4892"</f>
        <v>13.4892</v>
      </c>
      <c r="C1840" t="str">
        <f>"13.5676"</f>
        <v>13.5676</v>
      </c>
    </row>
    <row r="1841" spans="1:3" x14ac:dyDescent="0.25">
      <c r="A1841" t="str">
        <f>"13/01/2017"</f>
        <v>13/01/2017</v>
      </c>
      <c r="B1841" t="str">
        <f>"13.4999"</f>
        <v>13.4999</v>
      </c>
      <c r="C1841" t="str">
        <f>"13.5789"</f>
        <v>13.5789</v>
      </c>
    </row>
    <row r="1842" spans="1:3" x14ac:dyDescent="0.25">
      <c r="A1842" t="str">
        <f>"16/01/2017"</f>
        <v>16/01/2017</v>
      </c>
      <c r="B1842" t="str">
        <f>"13.5504"</f>
        <v>13.5504</v>
      </c>
      <c r="C1842" t="str">
        <f>"13.6371"</f>
        <v>13.6371</v>
      </c>
    </row>
    <row r="1843" spans="1:3" x14ac:dyDescent="0.25">
      <c r="A1843" t="str">
        <f>"17/01/2017"</f>
        <v>17/01/2017</v>
      </c>
      <c r="B1843" t="str">
        <f>"13.4438"</f>
        <v>13.4438</v>
      </c>
      <c r="C1843" t="str">
        <f>"13.526"</f>
        <v>13.526</v>
      </c>
    </row>
    <row r="1844" spans="1:3" x14ac:dyDescent="0.25">
      <c r="A1844" t="str">
        <f>"18/01/2017"</f>
        <v>18/01/2017</v>
      </c>
      <c r="B1844" t="str">
        <f>"13.5667"</f>
        <v>13.5667</v>
      </c>
      <c r="C1844" t="str">
        <f>"13.6487"</f>
        <v>13.6487</v>
      </c>
    </row>
    <row r="1845" spans="1:3" x14ac:dyDescent="0.25">
      <c r="A1845" t="str">
        <f>"19/01/2017"</f>
        <v>19/01/2017</v>
      </c>
      <c r="B1845" t="str">
        <f>"13.60"</f>
        <v>13.60</v>
      </c>
      <c r="C1845" t="str">
        <f>"13.68"</f>
        <v>13.68</v>
      </c>
    </row>
    <row r="1846" spans="1:3" x14ac:dyDescent="0.25">
      <c r="A1846" t="str">
        <f>"20/01/2017"</f>
        <v>20/01/2017</v>
      </c>
      <c r="B1846" t="str">
        <f>"13.6201"</f>
        <v>13.6201</v>
      </c>
      <c r="C1846" t="str">
        <f>"13.6997"</f>
        <v>13.6997</v>
      </c>
    </row>
    <row r="1847" spans="1:3" x14ac:dyDescent="0.25">
      <c r="A1847" t="str">
        <f>"23/01/2017"</f>
        <v>23/01/2017</v>
      </c>
      <c r="B1847" t="str">
        <f>"13.5307"</f>
        <v>13.5307</v>
      </c>
      <c r="C1847" t="str">
        <f>"13.6145"</f>
        <v>13.6145</v>
      </c>
    </row>
    <row r="1848" spans="1:3" x14ac:dyDescent="0.25">
      <c r="A1848" t="str">
        <f>"24/01/2017"</f>
        <v>24/01/2017</v>
      </c>
      <c r="B1848" t="str">
        <f>"13.4649"</f>
        <v>13.4649</v>
      </c>
      <c r="C1848" t="str">
        <f>"13.5462"</f>
        <v>13.5462</v>
      </c>
    </row>
    <row r="1849" spans="1:3" x14ac:dyDescent="0.25">
      <c r="A1849" t="str">
        <f>"25/01/2017"</f>
        <v>25/01/2017</v>
      </c>
      <c r="B1849" t="str">
        <f>"13.2722"</f>
        <v>13.2722</v>
      </c>
      <c r="C1849" t="str">
        <f>"13.3475"</f>
        <v>13.3475</v>
      </c>
    </row>
    <row r="1850" spans="1:3" x14ac:dyDescent="0.25">
      <c r="A1850" t="str">
        <f>"27/01/2017"</f>
        <v>27/01/2017</v>
      </c>
      <c r="B1850" t="str">
        <f>"13.3477"</f>
        <v>13.3477</v>
      </c>
      <c r="C1850" t="str">
        <f>"13.4153"</f>
        <v>13.4153</v>
      </c>
    </row>
    <row r="1851" spans="1:3" x14ac:dyDescent="0.25">
      <c r="A1851" t="str">
        <f>"30/01/2017"</f>
        <v>30/01/2017</v>
      </c>
      <c r="B1851" t="str">
        <f>"13.4513"</f>
        <v>13.4513</v>
      </c>
      <c r="C1851" t="str">
        <f>"13.5185"</f>
        <v>13.5185</v>
      </c>
    </row>
    <row r="1852" spans="1:3" x14ac:dyDescent="0.25">
      <c r="A1852" t="str">
        <f>"31/01/2017"</f>
        <v>31/01/2017</v>
      </c>
      <c r="B1852" t="str">
        <f>"13.517"</f>
        <v>13.517</v>
      </c>
      <c r="C1852" t="str">
        <f>"13.623"</f>
        <v>13.623</v>
      </c>
    </row>
    <row r="1853" spans="1:3" x14ac:dyDescent="0.25">
      <c r="A1853" t="str">
        <f>"01/02/2017"</f>
        <v>01/02/2017</v>
      </c>
      <c r="B1853" t="str">
        <f>"13.5058"</f>
        <v>13.5058</v>
      </c>
      <c r="C1853" t="str">
        <f>"13.5726"</f>
        <v>13.5726</v>
      </c>
    </row>
    <row r="1854" spans="1:3" x14ac:dyDescent="0.25">
      <c r="A1854" t="str">
        <f>"02/02/2017"</f>
        <v>02/02/2017</v>
      </c>
      <c r="B1854" t="str">
        <f>"13.3762"</f>
        <v>13.3762</v>
      </c>
      <c r="C1854" t="str">
        <f>"13.4429"</f>
        <v>13.4429</v>
      </c>
    </row>
    <row r="1855" spans="1:3" x14ac:dyDescent="0.25">
      <c r="A1855" t="str">
        <f>"03/02/2017"</f>
        <v>03/02/2017</v>
      </c>
      <c r="B1855" t="str">
        <f>"13.4464"</f>
        <v>13.4464</v>
      </c>
      <c r="C1855" t="str">
        <f>"13.514"</f>
        <v>13.514</v>
      </c>
    </row>
    <row r="1856" spans="1:3" x14ac:dyDescent="0.25">
      <c r="A1856" t="str">
        <f>"06/02/2017"</f>
        <v>06/02/2017</v>
      </c>
      <c r="B1856" t="str">
        <f>"13.2908"</f>
        <v>13.2908</v>
      </c>
      <c r="C1856" t="str">
        <f>"13.3574"</f>
        <v>13.3574</v>
      </c>
    </row>
    <row r="1857" spans="1:3" x14ac:dyDescent="0.25">
      <c r="A1857" t="str">
        <f>"07/02/2017"</f>
        <v>07/02/2017</v>
      </c>
      <c r="B1857" t="str">
        <f>"13.4564"</f>
        <v>13.4564</v>
      </c>
      <c r="C1857" t="str">
        <f>"13.5239"</f>
        <v>13.5239</v>
      </c>
    </row>
    <row r="1858" spans="1:3" x14ac:dyDescent="0.25">
      <c r="A1858" t="str">
        <f>"08/02/2017"</f>
        <v>08/02/2017</v>
      </c>
      <c r="B1858" t="str">
        <f>"13.4687"</f>
        <v>13.4687</v>
      </c>
      <c r="C1858" t="str">
        <f>"13.5364"</f>
        <v>13.5364</v>
      </c>
    </row>
    <row r="1859" spans="1:3" x14ac:dyDescent="0.25">
      <c r="A1859" t="str">
        <f>"09/02/2017"</f>
        <v>09/02/2017</v>
      </c>
      <c r="B1859" t="str">
        <f>"13.4349"</f>
        <v>13.4349</v>
      </c>
      <c r="C1859" t="str">
        <f>"13.5022"</f>
        <v>13.5022</v>
      </c>
    </row>
    <row r="1860" spans="1:3" x14ac:dyDescent="0.25">
      <c r="A1860" t="str">
        <f>"10/02/2017"</f>
        <v>10/02/2017</v>
      </c>
      <c r="B1860" t="str">
        <f>"13.3416"</f>
        <v>13.3416</v>
      </c>
      <c r="C1860" t="str">
        <f>"13.4085"</f>
        <v>13.4085</v>
      </c>
    </row>
    <row r="1861" spans="1:3" x14ac:dyDescent="0.25">
      <c r="A1861" t="str">
        <f>"13/02/2017"</f>
        <v>13/02/2017</v>
      </c>
      <c r="B1861" t="str">
        <f>"13.3232"</f>
        <v>13.3232</v>
      </c>
      <c r="C1861" t="str">
        <f>"13.3897"</f>
        <v>13.3897</v>
      </c>
    </row>
    <row r="1862" spans="1:3" x14ac:dyDescent="0.25">
      <c r="A1862" t="str">
        <f>"14/02/2017"</f>
        <v>14/02/2017</v>
      </c>
      <c r="B1862" t="str">
        <f>"13.1264"</f>
        <v>13.1264</v>
      </c>
      <c r="C1862" t="str">
        <f>"13.192"</f>
        <v>13.192</v>
      </c>
    </row>
    <row r="1863" spans="1:3" x14ac:dyDescent="0.25">
      <c r="A1863" t="str">
        <f>"15/02/2017"</f>
        <v>15/02/2017</v>
      </c>
      <c r="B1863" t="str">
        <f>"13.0132"</f>
        <v>13.0132</v>
      </c>
      <c r="C1863" t="str">
        <f>"13.0775"</f>
        <v>13.0775</v>
      </c>
    </row>
    <row r="1864" spans="1:3" x14ac:dyDescent="0.25">
      <c r="A1864" t="str">
        <f>"16/02/2017"</f>
        <v>16/02/2017</v>
      </c>
      <c r="B1864" t="str">
        <f>"12.986"</f>
        <v>12.986</v>
      </c>
      <c r="C1864" t="str">
        <f>"13.0527"</f>
        <v>13.0527</v>
      </c>
    </row>
    <row r="1865" spans="1:3" x14ac:dyDescent="0.25">
      <c r="A1865" t="str">
        <f>"17/02/2017"</f>
        <v>17/02/2017</v>
      </c>
      <c r="B1865" t="str">
        <f>"13.0918"</f>
        <v>13.0918</v>
      </c>
      <c r="C1865" t="str">
        <f>"13.159"</f>
        <v>13.159</v>
      </c>
    </row>
    <row r="1866" spans="1:3" x14ac:dyDescent="0.25">
      <c r="A1866" t="str">
        <f>"20/02/2017"</f>
        <v>20/02/2017</v>
      </c>
      <c r="B1866" t="str">
        <f>"13.0992"</f>
        <v>13.0992</v>
      </c>
      <c r="C1866" t="str">
        <f>"13.1643"</f>
        <v>13.1643</v>
      </c>
    </row>
    <row r="1867" spans="1:3" x14ac:dyDescent="0.25">
      <c r="A1867" t="str">
        <f>"22/02/2017"</f>
        <v>22/02/2017</v>
      </c>
      <c r="B1867" t="str">
        <f>"13.0854"</f>
        <v>13.0854</v>
      </c>
      <c r="C1867" t="str">
        <f>"13.1505"</f>
        <v>13.1505</v>
      </c>
    </row>
    <row r="1868" spans="1:3" x14ac:dyDescent="0.25">
      <c r="A1868" t="str">
        <f>"23/02/2017"</f>
        <v>23/02/2017</v>
      </c>
      <c r="B1868" t="str">
        <f>"12.9918"</f>
        <v>12.9918</v>
      </c>
      <c r="C1868" t="str">
        <f>"13.0562"</f>
        <v>13.0562</v>
      </c>
    </row>
    <row r="1869" spans="1:3" x14ac:dyDescent="0.25">
      <c r="A1869" t="str">
        <f>"27/02/2017"</f>
        <v>27/02/2017</v>
      </c>
      <c r="B1869" t="str">
        <f>"12.9658"</f>
        <v>12.9658</v>
      </c>
      <c r="C1869" t="str">
        <f>"13.0414"</f>
        <v>13.0414</v>
      </c>
    </row>
    <row r="1870" spans="1:3" x14ac:dyDescent="0.25">
      <c r="A1870" t="str">
        <f>"28/02/2017"</f>
        <v>28/02/2017</v>
      </c>
      <c r="B1870" t="str">
        <f>"13.1161"</f>
        <v>13.1161</v>
      </c>
      <c r="C1870" t="str">
        <f>"13.0977"</f>
        <v>13.0977</v>
      </c>
    </row>
    <row r="1871" spans="1:3" x14ac:dyDescent="0.25">
      <c r="A1871" t="str">
        <f>"01/03/2017"</f>
        <v>01/03/2017</v>
      </c>
      <c r="B1871" t="str">
        <f>"13.0574"</f>
        <v>13.0574</v>
      </c>
      <c r="C1871" t="str">
        <f>"13.1284"</f>
        <v>13.1284</v>
      </c>
    </row>
    <row r="1872" spans="1:3" x14ac:dyDescent="0.25">
      <c r="A1872" t="str">
        <f>"02/03/2017"</f>
        <v>02/03/2017</v>
      </c>
      <c r="B1872" t="str">
        <f>"13.0868"</f>
        <v>13.0868</v>
      </c>
      <c r="C1872" t="str">
        <f>"13.1583"</f>
        <v>13.1583</v>
      </c>
    </row>
    <row r="1873" spans="1:3" x14ac:dyDescent="0.25">
      <c r="A1873" t="str">
        <f>"03/03/2017"</f>
        <v>03/03/2017</v>
      </c>
      <c r="B1873" t="str">
        <f>"13.1659"</f>
        <v>13.1659</v>
      </c>
      <c r="C1873" t="str">
        <f>"13.2375"</f>
        <v>13.2375</v>
      </c>
    </row>
    <row r="1874" spans="1:3" x14ac:dyDescent="0.25">
      <c r="A1874" t="str">
        <f>"06/03/2017"</f>
        <v>06/03/2017</v>
      </c>
      <c r="B1874" t="str">
        <f>"13.0093"</f>
        <v>13.0093</v>
      </c>
      <c r="C1874" t="str">
        <f>"13.0842"</f>
        <v>13.0842</v>
      </c>
    </row>
    <row r="1875" spans="1:3" x14ac:dyDescent="0.25">
      <c r="A1875" t="str">
        <f>"07/03/2017"</f>
        <v>07/03/2017</v>
      </c>
      <c r="B1875" t="str">
        <f>"12.9635"</f>
        <v>12.9635</v>
      </c>
      <c r="C1875" t="str">
        <f>"13.0357"</f>
        <v>13.0357</v>
      </c>
    </row>
    <row r="1876" spans="1:3" x14ac:dyDescent="0.25">
      <c r="A1876" t="str">
        <f>"08/03/2017"</f>
        <v>08/03/2017</v>
      </c>
      <c r="B1876" t="str">
        <f>"13.0416"</f>
        <v>13.0416</v>
      </c>
      <c r="C1876" t="str">
        <f>"13.1123"</f>
        <v>13.1123</v>
      </c>
    </row>
    <row r="1877" spans="1:3" x14ac:dyDescent="0.25">
      <c r="A1877" t="str">
        <f>"09/03/2017"</f>
        <v>09/03/2017</v>
      </c>
      <c r="B1877" t="str">
        <f>"13.2775"</f>
        <v>13.2775</v>
      </c>
      <c r="C1877" t="str">
        <f>"13.3497"</f>
        <v>13.3497</v>
      </c>
    </row>
    <row r="1878" spans="1:3" x14ac:dyDescent="0.25">
      <c r="A1878" t="str">
        <f>"10/03/2017"</f>
        <v>10/03/2017</v>
      </c>
      <c r="B1878" t="str">
        <f>"13.2972"</f>
        <v>13.2972</v>
      </c>
      <c r="C1878" t="str">
        <f>"13.379"</f>
        <v>13.379</v>
      </c>
    </row>
    <row r="1879" spans="1:3" x14ac:dyDescent="0.25">
      <c r="A1879" t="str">
        <f>"14/03/2017"</f>
        <v>14/03/2017</v>
      </c>
      <c r="B1879" t="str">
        <f>"13.1916"</f>
        <v>13.1916</v>
      </c>
      <c r="C1879" t="str">
        <f>"13.2677"</f>
        <v>13.2677</v>
      </c>
    </row>
    <row r="1880" spans="1:3" x14ac:dyDescent="0.25">
      <c r="A1880" t="str">
        <f>"15/03/2017"</f>
        <v>15/03/2017</v>
      </c>
      <c r="B1880" t="str">
        <f>"13.1463"</f>
        <v>13.1463</v>
      </c>
      <c r="C1880" t="str">
        <f>"13.2197"</f>
        <v>13.2197</v>
      </c>
    </row>
    <row r="1881" spans="1:3" x14ac:dyDescent="0.25">
      <c r="A1881" t="str">
        <f>"16/03/2017"</f>
        <v>16/03/2017</v>
      </c>
      <c r="B1881" t="str">
        <f>"12.7725"</f>
        <v>12.7725</v>
      </c>
      <c r="C1881" t="str">
        <f>"12.8403"</f>
        <v>12.8403</v>
      </c>
    </row>
    <row r="1882" spans="1:3" x14ac:dyDescent="0.25">
      <c r="A1882" t="str">
        <f>"17/03/2017"</f>
        <v>17/03/2017</v>
      </c>
      <c r="B1882" t="str">
        <f>"12.7583"</f>
        <v>12.7583</v>
      </c>
      <c r="C1882" t="str">
        <f>"12.8301"</f>
        <v>12.8301</v>
      </c>
    </row>
    <row r="1883" spans="1:3" x14ac:dyDescent="0.25">
      <c r="A1883" t="str">
        <f>"20/03/2017"</f>
        <v>20/03/2017</v>
      </c>
      <c r="B1883" t="str">
        <f>"12.695"</f>
        <v>12.695</v>
      </c>
      <c r="C1883" t="str">
        <f>"12.7648"</f>
        <v>12.7648</v>
      </c>
    </row>
    <row r="1884" spans="1:3" x14ac:dyDescent="0.25">
      <c r="A1884" t="str">
        <f>"21/03/2017"</f>
        <v>21/03/2017</v>
      </c>
      <c r="B1884" t="str">
        <f>"12.5547"</f>
        <v>12.5547</v>
      </c>
      <c r="C1884" t="str">
        <f>"12.6237"</f>
        <v>12.6237</v>
      </c>
    </row>
    <row r="1885" spans="1:3" x14ac:dyDescent="0.25">
      <c r="A1885" t="str">
        <f>"22/03/2017"</f>
        <v>22/03/2017</v>
      </c>
      <c r="B1885" t="str">
        <f>"12.6167"</f>
        <v>12.6167</v>
      </c>
      <c r="C1885" t="str">
        <f>"12.6836"</f>
        <v>12.6836</v>
      </c>
    </row>
    <row r="1886" spans="1:3" x14ac:dyDescent="0.25">
      <c r="A1886" t="str">
        <f>"23/03/2017"</f>
        <v>23/03/2017</v>
      </c>
      <c r="B1886" t="str">
        <f>"12.5664"</f>
        <v>12.5664</v>
      </c>
      <c r="C1886" t="str">
        <f>"12.6352"</f>
        <v>12.6352</v>
      </c>
    </row>
    <row r="1887" spans="1:3" x14ac:dyDescent="0.25">
      <c r="A1887" t="str">
        <f>"24/03/2017"</f>
        <v>24/03/2017</v>
      </c>
      <c r="B1887" t="str">
        <f>"12.5163"</f>
        <v>12.5163</v>
      </c>
      <c r="C1887" t="str">
        <f>"12.5821"</f>
        <v>12.5821</v>
      </c>
    </row>
    <row r="1888" spans="1:3" x14ac:dyDescent="0.25">
      <c r="A1888" t="str">
        <f>"27/03/2017"</f>
        <v>27/03/2017</v>
      </c>
      <c r="B1888" t="str">
        <f>"12.5831"</f>
        <v>12.5831</v>
      </c>
      <c r="C1888" t="str">
        <f>"12.6479"</f>
        <v>12.6479</v>
      </c>
    </row>
    <row r="1889" spans="1:3" x14ac:dyDescent="0.25">
      <c r="A1889" t="str">
        <f>"29/03/2017"</f>
        <v>29/03/2017</v>
      </c>
      <c r="B1889" t="str">
        <f>"12.9425"</f>
        <v>12.9425</v>
      </c>
      <c r="C1889" t="str">
        <f>"13.0061"</f>
        <v>13.0061</v>
      </c>
    </row>
    <row r="1890" spans="1:3" x14ac:dyDescent="0.25">
      <c r="A1890" t="str">
        <f>"30/03/2017"</f>
        <v>30/03/2017</v>
      </c>
      <c r="B1890" t="str">
        <f>"12.8821"</f>
        <v>12.8821</v>
      </c>
      <c r="C1890" t="str">
        <f>"12.9491"</f>
        <v>12.9491</v>
      </c>
    </row>
    <row r="1891" spans="1:3" x14ac:dyDescent="0.25">
      <c r="A1891" t="str">
        <f>"31/03/2017"</f>
        <v>31/03/2017</v>
      </c>
      <c r="B1891" t="str">
        <f>"13.4667"</f>
        <v>13.4667</v>
      </c>
      <c r="C1891" t="str">
        <f>"13.4159"</f>
        <v>13.4159</v>
      </c>
    </row>
    <row r="1892" spans="1:3" x14ac:dyDescent="0.25">
      <c r="A1892" t="str">
        <f>"03/04/2017"</f>
        <v>03/04/2017</v>
      </c>
      <c r="B1892" t="str">
        <f>"13.5127"</f>
        <v>13.5127</v>
      </c>
      <c r="C1892" t="str">
        <f>"13.584"</f>
        <v>13.584</v>
      </c>
    </row>
    <row r="1893" spans="1:3" x14ac:dyDescent="0.25">
      <c r="A1893" t="str">
        <f>"05/04/2017"</f>
        <v>05/04/2017</v>
      </c>
      <c r="B1893" t="str">
        <f>"13.7283"</f>
        <v>13.7283</v>
      </c>
      <c r="C1893" t="str">
        <f>"13.8024"</f>
        <v>13.8024</v>
      </c>
    </row>
    <row r="1894" spans="1:3" x14ac:dyDescent="0.25">
      <c r="A1894" t="str">
        <f>"06/04/2017"</f>
        <v>06/04/2017</v>
      </c>
      <c r="B1894" t="str">
        <f>"13.7885"</f>
        <v>13.7885</v>
      </c>
      <c r="C1894" t="str">
        <f>"13.8609"</f>
        <v>13.8609</v>
      </c>
    </row>
    <row r="1895" spans="1:3" x14ac:dyDescent="0.25">
      <c r="A1895" t="str">
        <f>"07/04/2017"</f>
        <v>07/04/2017</v>
      </c>
      <c r="B1895" t="str">
        <f>"13.7997"</f>
        <v>13.7997</v>
      </c>
      <c r="C1895" t="str">
        <f>"13.8719"</f>
        <v>13.8719</v>
      </c>
    </row>
    <row r="1896" spans="1:3" x14ac:dyDescent="0.25">
      <c r="A1896" t="str">
        <f>"10/04/2017"</f>
        <v>10/04/2017</v>
      </c>
      <c r="B1896" t="str">
        <f>"13.826"</f>
        <v>13.826</v>
      </c>
      <c r="C1896" t="str">
        <f>"13.8983"</f>
        <v>13.8983</v>
      </c>
    </row>
    <row r="1897" spans="1:3" x14ac:dyDescent="0.25">
      <c r="A1897" t="str">
        <f>"11/04/2017"</f>
        <v>11/04/2017</v>
      </c>
      <c r="B1897" t="str">
        <f>"13.8061"</f>
        <v>13.8061</v>
      </c>
      <c r="C1897" t="str">
        <f>"13.8827"</f>
        <v>13.8827</v>
      </c>
    </row>
    <row r="1898" spans="1:3" x14ac:dyDescent="0.25">
      <c r="A1898" t="str">
        <f>"12/04/2017"</f>
        <v>12/04/2017</v>
      </c>
      <c r="B1898" t="str">
        <f>"13.8269"</f>
        <v>13.8269</v>
      </c>
      <c r="C1898" t="str">
        <f>"13.899"</f>
        <v>13.899</v>
      </c>
    </row>
    <row r="1899" spans="1:3" x14ac:dyDescent="0.25">
      <c r="A1899" t="str">
        <f>"13/04/2017"</f>
        <v>13/04/2017</v>
      </c>
      <c r="B1899" t="str">
        <f>"13.5835"</f>
        <v>13.5835</v>
      </c>
      <c r="C1899" t="str">
        <f>"13.654"</f>
        <v>13.654</v>
      </c>
    </row>
    <row r="1900" spans="1:3" x14ac:dyDescent="0.25">
      <c r="A1900" t="str">
        <f>"17/04/2017"</f>
        <v>17/04/2017</v>
      </c>
      <c r="B1900" t="str">
        <f>"13.3779"</f>
        <v>13.3779</v>
      </c>
      <c r="C1900" t="str">
        <f>"13.4473"</f>
        <v>13.4473</v>
      </c>
    </row>
    <row r="1901" spans="1:3" x14ac:dyDescent="0.25">
      <c r="A1901" t="str">
        <f>"18/04/2017"</f>
        <v>18/04/2017</v>
      </c>
      <c r="B1901" t="str">
        <f>"13.3556"</f>
        <v>13.3556</v>
      </c>
      <c r="C1901" t="str">
        <f>"13.4294"</f>
        <v>13.4294</v>
      </c>
    </row>
    <row r="1902" spans="1:3" x14ac:dyDescent="0.25">
      <c r="A1902" t="str">
        <f>"19/04/2017"</f>
        <v>19/04/2017</v>
      </c>
      <c r="B1902" t="str">
        <f>"13.3179"</f>
        <v>13.3179</v>
      </c>
      <c r="C1902" t="str">
        <f>"13.39"</f>
        <v>13.39</v>
      </c>
    </row>
    <row r="1903" spans="1:3" x14ac:dyDescent="0.25">
      <c r="A1903" t="str">
        <f>"20/04/2017"</f>
        <v>20/04/2017</v>
      </c>
      <c r="B1903" t="str">
        <f>"13.1714"</f>
        <v>13.1714</v>
      </c>
      <c r="C1903" t="str">
        <f>"13.2395"</f>
        <v>13.2395</v>
      </c>
    </row>
    <row r="1904" spans="1:3" x14ac:dyDescent="0.25">
      <c r="A1904" t="str">
        <f>"21/04/2017"</f>
        <v>21/04/2017</v>
      </c>
      <c r="B1904" t="str">
        <f>"13.146"</f>
        <v>13.146</v>
      </c>
      <c r="C1904" t="str">
        <f>"13.2141"</f>
        <v>13.2141</v>
      </c>
    </row>
    <row r="1905" spans="1:3" x14ac:dyDescent="0.25">
      <c r="A1905" t="str">
        <f>"24/04/2017"</f>
        <v>24/04/2017</v>
      </c>
      <c r="B1905" t="str">
        <f>"12.9748"</f>
        <v>12.9748</v>
      </c>
      <c r="C1905" t="str">
        <f>"13.0422"</f>
        <v>13.0422</v>
      </c>
    </row>
    <row r="1906" spans="1:3" x14ac:dyDescent="0.25">
      <c r="A1906" t="str">
        <f>"25/04/2017"</f>
        <v>25/04/2017</v>
      </c>
      <c r="B1906" t="str">
        <f>"13.0688"</f>
        <v>13.0688</v>
      </c>
      <c r="C1906" t="str">
        <f>"13.1443"</f>
        <v>13.1443</v>
      </c>
    </row>
    <row r="1907" spans="1:3" x14ac:dyDescent="0.25">
      <c r="A1907" t="str">
        <f>"26/04/2017"</f>
        <v>26/04/2017</v>
      </c>
      <c r="B1907" t="str">
        <f>"13.2105"</f>
        <v>13.2105</v>
      </c>
      <c r="C1907" t="str">
        <f>"13.282"</f>
        <v>13.282</v>
      </c>
    </row>
    <row r="1908" spans="1:3" x14ac:dyDescent="0.25">
      <c r="A1908" t="str">
        <f>"27/04/2017"</f>
        <v>27/04/2017</v>
      </c>
      <c r="B1908" t="str">
        <f>"13.2978"</f>
        <v>13.2978</v>
      </c>
      <c r="C1908" t="str">
        <f>"13.3701"</f>
        <v>13.3701</v>
      </c>
    </row>
    <row r="1909" spans="1:3" x14ac:dyDescent="0.25">
      <c r="A1909" t="str">
        <f>"28/04/2017"</f>
        <v>28/04/2017</v>
      </c>
      <c r="B1909" t="str">
        <f>"13.4127"</f>
        <v>13.4127</v>
      </c>
      <c r="C1909" t="str">
        <f>"13.3468"</f>
        <v>13.3468</v>
      </c>
    </row>
    <row r="1910" spans="1:3" x14ac:dyDescent="0.25">
      <c r="A1910" t="str">
        <f>"02/05/2017"</f>
        <v>02/05/2017</v>
      </c>
      <c r="B1910" t="str">
        <f>"13.3444"</f>
        <v>13.3444</v>
      </c>
      <c r="C1910" t="str">
        <f>"13.4183"</f>
        <v>13.4183</v>
      </c>
    </row>
    <row r="1911" spans="1:3" x14ac:dyDescent="0.25">
      <c r="A1911" t="str">
        <f>"03/05/2017"</f>
        <v>03/05/2017</v>
      </c>
      <c r="B1911" t="str">
        <f>"13.3759"</f>
        <v>13.3759</v>
      </c>
      <c r="C1911" t="str">
        <f>"13.448"</f>
        <v>13.448</v>
      </c>
    </row>
    <row r="1912" spans="1:3" x14ac:dyDescent="0.25">
      <c r="A1912" t="str">
        <f>"04/05/2017"</f>
        <v>04/05/2017</v>
      </c>
      <c r="B1912" t="str">
        <f>"13.4478"</f>
        <v>13.4478</v>
      </c>
      <c r="C1912" t="str">
        <f>"13.5223"</f>
        <v>13.5223</v>
      </c>
    </row>
    <row r="1913" spans="1:3" x14ac:dyDescent="0.25">
      <c r="A1913" t="str">
        <f>"05/05/2017"</f>
        <v>05/05/2017</v>
      </c>
      <c r="B1913" t="str">
        <f>"13.5857"</f>
        <v>13.5857</v>
      </c>
      <c r="C1913" t="str">
        <f>"13.6586"</f>
        <v>13.6586</v>
      </c>
    </row>
    <row r="1914" spans="1:3" x14ac:dyDescent="0.25">
      <c r="A1914" t="str">
        <f>"08/05/2017"</f>
        <v>08/05/2017</v>
      </c>
      <c r="B1914" t="str">
        <f>"13.5609"</f>
        <v>13.5609</v>
      </c>
      <c r="C1914" t="str">
        <f>"13.638"</f>
        <v>13.638</v>
      </c>
    </row>
    <row r="1915" spans="1:3" x14ac:dyDescent="0.25">
      <c r="A1915" t="str">
        <f>"09/05/2017"</f>
        <v>09/05/2017</v>
      </c>
      <c r="B1915" t="str">
        <f>"13.6466"</f>
        <v>13.6466</v>
      </c>
      <c r="C1915" t="str">
        <f>"13.7224"</f>
        <v>13.7224</v>
      </c>
    </row>
    <row r="1916" spans="1:3" x14ac:dyDescent="0.25">
      <c r="A1916" t="str">
        <f>"11/05/2017"</f>
        <v>11/05/2017</v>
      </c>
      <c r="B1916" t="str">
        <f>"13.3628"</f>
        <v>13.3628</v>
      </c>
      <c r="C1916" t="str">
        <f>"13.4346"</f>
        <v>13.4346</v>
      </c>
    </row>
    <row r="1917" spans="1:3" x14ac:dyDescent="0.25">
      <c r="A1917" t="str">
        <f>"12/05/2017"</f>
        <v>12/05/2017</v>
      </c>
      <c r="B1917" t="str">
        <f>"13.4604"</f>
        <v>13.4604</v>
      </c>
      <c r="C1917" t="str">
        <f>"13.5394"</f>
        <v>13.5394</v>
      </c>
    </row>
    <row r="1918" spans="1:3" x14ac:dyDescent="0.25">
      <c r="A1918" t="str">
        <f>"15/05/2017"</f>
        <v>15/05/2017</v>
      </c>
      <c r="B1918" t="str">
        <f>"13.2015"</f>
        <v>13.2015</v>
      </c>
      <c r="C1918" t="str">
        <f>"13.2772"</f>
        <v>13.2772</v>
      </c>
    </row>
    <row r="1919" spans="1:3" x14ac:dyDescent="0.25">
      <c r="A1919" t="str">
        <f>"16/05/2017"</f>
        <v>16/05/2017</v>
      </c>
      <c r="B1919" t="str">
        <f>"13.1547"</f>
        <v>13.1547</v>
      </c>
      <c r="C1919" t="str">
        <f>"13.2287"</f>
        <v>13.2287</v>
      </c>
    </row>
    <row r="1920" spans="1:3" x14ac:dyDescent="0.25">
      <c r="A1920" t="str">
        <f>"17/05/2017"</f>
        <v>17/05/2017</v>
      </c>
      <c r="B1920" t="str">
        <f>"13.0995"</f>
        <v>13.0995</v>
      </c>
      <c r="C1920" t="str">
        <f>"13.1708"</f>
        <v>13.1708</v>
      </c>
    </row>
    <row r="1921" spans="1:3" x14ac:dyDescent="0.25">
      <c r="A1921" t="str">
        <f>"18/05/2017"</f>
        <v>18/05/2017</v>
      </c>
      <c r="B1921" t="str">
        <f>"13.4663"</f>
        <v>13.4663</v>
      </c>
      <c r="C1921" t="str">
        <f>"13.5407"</f>
        <v>13.5407</v>
      </c>
    </row>
    <row r="1922" spans="1:3" x14ac:dyDescent="0.25">
      <c r="A1922" t="str">
        <f>"19/05/2017"</f>
        <v>19/05/2017</v>
      </c>
      <c r="B1922" t="str">
        <f>"13.2635"</f>
        <v>13.2635</v>
      </c>
      <c r="C1922" t="str">
        <f>"13.3366"</f>
        <v>13.3366</v>
      </c>
    </row>
    <row r="1923" spans="1:3" x14ac:dyDescent="0.25">
      <c r="A1923" t="str">
        <f>"22/05/2017"</f>
        <v>22/05/2017</v>
      </c>
      <c r="B1923" t="str">
        <f>"13.166"</f>
        <v>13.166</v>
      </c>
      <c r="C1923" t="str">
        <f>"13.2437"</f>
        <v>13.2437</v>
      </c>
    </row>
    <row r="1924" spans="1:3" x14ac:dyDescent="0.25">
      <c r="A1924" t="str">
        <f>"23/05/2017"</f>
        <v>23/05/2017</v>
      </c>
      <c r="B1924" t="str">
        <f>"13.2288"</f>
        <v>13.2288</v>
      </c>
      <c r="C1924" t="str">
        <f>"13.3058"</f>
        <v>13.3058</v>
      </c>
    </row>
    <row r="1925" spans="1:3" x14ac:dyDescent="0.25">
      <c r="A1925" t="str">
        <f>"24/05/2017"</f>
        <v>24/05/2017</v>
      </c>
      <c r="B1925" t="str">
        <f>"12.9958"</f>
        <v>12.9958</v>
      </c>
      <c r="C1925" t="str">
        <f>"13.0688"</f>
        <v>13.0688</v>
      </c>
    </row>
    <row r="1926" spans="1:3" x14ac:dyDescent="0.25">
      <c r="A1926" t="str">
        <f>"25/05/2017"</f>
        <v>25/05/2017</v>
      </c>
      <c r="B1926" t="str">
        <f>"12.9003"</f>
        <v>12.9003</v>
      </c>
      <c r="C1926" t="str">
        <f>"12.9728"</f>
        <v>12.9728</v>
      </c>
    </row>
    <row r="1927" spans="1:3" x14ac:dyDescent="0.25">
      <c r="A1927" t="str">
        <f>"26/05/2017"</f>
        <v>26/05/2017</v>
      </c>
      <c r="B1927" t="str">
        <f>"12.8878"</f>
        <v>12.8878</v>
      </c>
      <c r="C1927" t="str">
        <f>"12.9607"</f>
        <v>12.9607</v>
      </c>
    </row>
    <row r="1928" spans="1:3" x14ac:dyDescent="0.25">
      <c r="A1928" t="str">
        <f>"29/05/2017"</f>
        <v>29/05/2017</v>
      </c>
      <c r="B1928" t="str">
        <f>"12.9505"</f>
        <v>12.9505</v>
      </c>
      <c r="C1928" t="str">
        <f>"13.0214"</f>
        <v>13.0214</v>
      </c>
    </row>
    <row r="1929" spans="1:3" x14ac:dyDescent="0.25">
      <c r="A1929" t="str">
        <f>"30/05/2017"</f>
        <v>30/05/2017</v>
      </c>
      <c r="B1929" t="str">
        <f>"13.1196"</f>
        <v>13.1196</v>
      </c>
      <c r="C1929" t="str">
        <f>"13.1967"</f>
        <v>13.1967</v>
      </c>
    </row>
    <row r="1930" spans="1:3" x14ac:dyDescent="0.25">
      <c r="A1930" t="str">
        <f>"31/05/2017"</f>
        <v>31/05/2017</v>
      </c>
      <c r="B1930" t="str">
        <f>"13.1579"</f>
        <v>13.1579</v>
      </c>
      <c r="C1930" t="str">
        <f>"13.1858"</f>
        <v>13.1858</v>
      </c>
    </row>
    <row r="1931" spans="1:3" x14ac:dyDescent="0.25">
      <c r="A1931" t="str">
        <f>"01/06/2017"</f>
        <v>01/06/2017</v>
      </c>
      <c r="B1931" t="str">
        <f>"13.0462"</f>
        <v>13.0462</v>
      </c>
      <c r="C1931" t="str">
        <f>"13.1166"</f>
        <v>13.1166</v>
      </c>
    </row>
    <row r="1932" spans="1:3" x14ac:dyDescent="0.25">
      <c r="A1932" t="str">
        <f>"02/06/2017"</f>
        <v>02/06/2017</v>
      </c>
      <c r="B1932" t="str">
        <f>"12.8924"</f>
        <v>12.8924</v>
      </c>
      <c r="C1932" t="str">
        <f>"12.961"</f>
        <v>12.961</v>
      </c>
    </row>
    <row r="1933" spans="1:3" x14ac:dyDescent="0.25">
      <c r="A1933" t="str">
        <f>"05/06/2017"</f>
        <v>05/06/2017</v>
      </c>
      <c r="B1933" t="str">
        <f>"12.7639"</f>
        <v>12.7639</v>
      </c>
      <c r="C1933" t="str">
        <f>"12.8315"</f>
        <v>12.8315</v>
      </c>
    </row>
    <row r="1934" spans="1:3" x14ac:dyDescent="0.25">
      <c r="A1934" t="str">
        <f>"06/06/2017"</f>
        <v>06/06/2017</v>
      </c>
      <c r="B1934" t="str">
        <f>"12.89"</f>
        <v>12.89</v>
      </c>
      <c r="C1934" t="str">
        <f>"12.9616"</f>
        <v>12.9616</v>
      </c>
    </row>
    <row r="1935" spans="1:3" x14ac:dyDescent="0.25">
      <c r="A1935" t="str">
        <f>"07/06/2017"</f>
        <v>07/06/2017</v>
      </c>
      <c r="B1935" t="str">
        <f>"12.8782"</f>
        <v>12.8782</v>
      </c>
      <c r="C1935" t="str">
        <f>"12.9473"</f>
        <v>12.9473</v>
      </c>
    </row>
    <row r="1936" spans="1:3" x14ac:dyDescent="0.25">
      <c r="A1936" t="str">
        <f>"08/06/2017"</f>
        <v>08/06/2017</v>
      </c>
      <c r="B1936" t="str">
        <f>"12.8267"</f>
        <v>12.8267</v>
      </c>
      <c r="C1936" t="str">
        <f>"12.8932"</f>
        <v>12.8932</v>
      </c>
    </row>
    <row r="1937" spans="1:3" x14ac:dyDescent="0.25">
      <c r="A1937" t="str">
        <f>"09/06/2017"</f>
        <v>09/06/2017</v>
      </c>
      <c r="B1937" t="str">
        <f>"12.8577"</f>
        <v>12.8577</v>
      </c>
      <c r="C1937" t="str">
        <f>"12.925"</f>
        <v>12.925</v>
      </c>
    </row>
    <row r="1938" spans="1:3" x14ac:dyDescent="0.25">
      <c r="A1938" t="str">
        <f>"12/06/2017"</f>
        <v>12/06/2017</v>
      </c>
      <c r="B1938" t="str">
        <f>"12.8317"</f>
        <v>12.8317</v>
      </c>
      <c r="C1938" t="str">
        <f>"12.899"</f>
        <v>12.899</v>
      </c>
    </row>
    <row r="1939" spans="1:3" x14ac:dyDescent="0.25">
      <c r="A1939" t="str">
        <f>"13/06/2017"</f>
        <v>13/06/2017</v>
      </c>
      <c r="B1939" t="str">
        <f>"12.785"</f>
        <v>12.785</v>
      </c>
      <c r="C1939" t="str">
        <f>"12.8562"</f>
        <v>12.8562</v>
      </c>
    </row>
    <row r="1940" spans="1:3" x14ac:dyDescent="0.25">
      <c r="A1940" t="str">
        <f>"14/06/2017"</f>
        <v>14/06/2017</v>
      </c>
      <c r="B1940" t="str">
        <f>"12.7447"</f>
        <v>12.7447</v>
      </c>
      <c r="C1940" t="str">
        <f>"12.811"</f>
        <v>12.811</v>
      </c>
    </row>
    <row r="1941" spans="1:3" x14ac:dyDescent="0.25">
      <c r="A1941" t="str">
        <f>"15/06/2017"</f>
        <v>15/06/2017</v>
      </c>
      <c r="B1941" t="str">
        <f>"12.8671"</f>
        <v>12.8671</v>
      </c>
      <c r="C1941" t="str">
        <f>"12.9335"</f>
        <v>12.9335</v>
      </c>
    </row>
    <row r="1942" spans="1:3" x14ac:dyDescent="0.25">
      <c r="A1942" t="str">
        <f>"16/06/2017"</f>
        <v>16/06/2017</v>
      </c>
      <c r="B1942" t="str">
        <f>"12.8424"</f>
        <v>12.8424</v>
      </c>
      <c r="C1942" t="str">
        <f>"12.9087"</f>
        <v>12.9087</v>
      </c>
    </row>
    <row r="1943" spans="1:3" x14ac:dyDescent="0.25">
      <c r="A1943" t="str">
        <f>"19/06/2017"</f>
        <v>19/06/2017</v>
      </c>
      <c r="B1943" t="str">
        <f>"12.8181"</f>
        <v>12.8181</v>
      </c>
      <c r="C1943" t="str">
        <f>"12.8842"</f>
        <v>12.8842</v>
      </c>
    </row>
    <row r="1944" spans="1:3" x14ac:dyDescent="0.25">
      <c r="A1944" t="str">
        <f>"20/06/2017"</f>
        <v>20/06/2017</v>
      </c>
      <c r="B1944" t="str">
        <f>"13.0963"</f>
        <v>13.0963</v>
      </c>
      <c r="C1944" t="str">
        <f>"13.1682"</f>
        <v>13.1682</v>
      </c>
    </row>
    <row r="1945" spans="1:3" x14ac:dyDescent="0.25">
      <c r="A1945" t="str">
        <f>"21/06/2017"</f>
        <v>21/06/2017</v>
      </c>
      <c r="B1945" t="str">
        <f>"13.0501"</f>
        <v>13.0501</v>
      </c>
      <c r="C1945" t="str">
        <f>"13.1201"</f>
        <v>13.1201</v>
      </c>
    </row>
    <row r="1946" spans="1:3" x14ac:dyDescent="0.25">
      <c r="A1946" t="str">
        <f>"22/06/2017"</f>
        <v>22/06/2017</v>
      </c>
      <c r="B1946" t="str">
        <f>"13.0095"</f>
        <v>13.0095</v>
      </c>
      <c r="C1946" t="str">
        <f>"13.077"</f>
        <v>13.077</v>
      </c>
    </row>
    <row r="1947" spans="1:3" x14ac:dyDescent="0.25">
      <c r="A1947" t="str">
        <f>"23/06/2017"</f>
        <v>23/06/2017</v>
      </c>
      <c r="B1947" t="str">
        <f>"12.9408"</f>
        <v>12.9408</v>
      </c>
      <c r="C1947" t="str">
        <f>"13.0079"</f>
        <v>13.0079</v>
      </c>
    </row>
    <row r="1948" spans="1:3" x14ac:dyDescent="0.25">
      <c r="A1948" t="str">
        <f>"27/06/2017"</f>
        <v>27/06/2017</v>
      </c>
      <c r="B1948" t="str">
        <f>"12.873"</f>
        <v>12.873</v>
      </c>
      <c r="C1948" t="str">
        <f>"12.9441"</f>
        <v>12.9441</v>
      </c>
    </row>
    <row r="1949" spans="1:3" x14ac:dyDescent="0.25">
      <c r="A1949" t="str">
        <f>"28/06/2017"</f>
        <v>28/06/2017</v>
      </c>
      <c r="B1949" t="str">
        <f>"13.006"</f>
        <v>13.006</v>
      </c>
      <c r="C1949" t="str">
        <f>"13.075"</f>
        <v>13.075</v>
      </c>
    </row>
    <row r="1950" spans="1:3" x14ac:dyDescent="0.25">
      <c r="A1950" t="str">
        <f>"29/06/2017"</f>
        <v>29/06/2017</v>
      </c>
      <c r="B1950" t="str">
        <f>"12.9816"</f>
        <v>12.9816</v>
      </c>
      <c r="C1950" t="str">
        <f>"13.0503"</f>
        <v>13.0503</v>
      </c>
    </row>
    <row r="1951" spans="1:3" x14ac:dyDescent="0.25">
      <c r="A1951" t="str">
        <f>"30/06/2017"</f>
        <v>30/06/2017</v>
      </c>
      <c r="B1951" t="str">
        <f>"13.1168"</f>
        <v>13.1168</v>
      </c>
      <c r="C1951" t="str">
        <f>"13.1198"</f>
        <v>13.1198</v>
      </c>
    </row>
    <row r="1952" spans="1:3" x14ac:dyDescent="0.25">
      <c r="A1952" t="str">
        <f>"03/07/2017"</f>
        <v>03/07/2017</v>
      </c>
      <c r="B1952" t="str">
        <f>"13.17"</f>
        <v>13.17</v>
      </c>
      <c r="C1952" t="str">
        <f>"13.2451"</f>
        <v>13.2451</v>
      </c>
    </row>
    <row r="1953" spans="1:3" x14ac:dyDescent="0.25">
      <c r="A1953" t="str">
        <f>"04/07/2017"</f>
        <v>04/07/2017</v>
      </c>
      <c r="B1953" t="str">
        <f>"13.2606"</f>
        <v>13.2606</v>
      </c>
      <c r="C1953" t="str">
        <f>"13.3341"</f>
        <v>13.3341</v>
      </c>
    </row>
    <row r="1954" spans="1:3" x14ac:dyDescent="0.25">
      <c r="A1954" t="str">
        <f>"05/07/2017"</f>
        <v>05/07/2017</v>
      </c>
      <c r="B1954" t="str">
        <f>"13.1827"</f>
        <v>13.1827</v>
      </c>
      <c r="C1954" t="str">
        <f>"13.2536"</f>
        <v>13.2536</v>
      </c>
    </row>
    <row r="1955" spans="1:3" x14ac:dyDescent="0.25">
      <c r="A1955" t="str">
        <f>"06/07/2017"</f>
        <v>06/07/2017</v>
      </c>
      <c r="B1955" t="str">
        <f>"13.4852"</f>
        <v>13.4852</v>
      </c>
      <c r="C1955" t="str">
        <f>"13.5591"</f>
        <v>13.5591</v>
      </c>
    </row>
    <row r="1956" spans="1:3" x14ac:dyDescent="0.25">
      <c r="A1956" t="str">
        <f>"07/07/2017"</f>
        <v>07/07/2017</v>
      </c>
      <c r="B1956" t="str">
        <f>"13.4446"</f>
        <v>13.4446</v>
      </c>
      <c r="C1956" t="str">
        <f>"13.5182"</f>
        <v>13.5182</v>
      </c>
    </row>
    <row r="1957" spans="1:3" x14ac:dyDescent="0.25">
      <c r="A1957" t="str">
        <f>"10/07/2017"</f>
        <v>10/07/2017</v>
      </c>
      <c r="B1957" t="str">
        <f>"13.3652"</f>
        <v>13.3652</v>
      </c>
      <c r="C1957" t="str">
        <f>"13.442"</f>
        <v>13.442</v>
      </c>
    </row>
    <row r="1958" spans="1:3" x14ac:dyDescent="0.25">
      <c r="A1958" t="str">
        <f>"11/07/2017"</f>
        <v>11/07/2017</v>
      </c>
      <c r="B1958" t="str">
        <f>"13.5695"</f>
        <v>13.5695</v>
      </c>
      <c r="C1958" t="str">
        <f>"13.645"</f>
        <v>13.645</v>
      </c>
    </row>
    <row r="1959" spans="1:3" x14ac:dyDescent="0.25">
      <c r="A1959" t="str">
        <f>"12/07/2017"</f>
        <v>12/07/2017</v>
      </c>
      <c r="B1959" t="str">
        <f>"13.3865"</f>
        <v>13.3865</v>
      </c>
      <c r="C1959" t="str">
        <f>"13.4586"</f>
        <v>13.4586</v>
      </c>
    </row>
    <row r="1960" spans="1:3" x14ac:dyDescent="0.25">
      <c r="A1960" t="str">
        <f>"13/07/2017"</f>
        <v>13/07/2017</v>
      </c>
      <c r="B1960" t="str">
        <f>"13.1849"</f>
        <v>13.1849</v>
      </c>
      <c r="C1960" t="str">
        <f>"13.2557"</f>
        <v>13.2557</v>
      </c>
    </row>
    <row r="1961" spans="1:3" x14ac:dyDescent="0.25">
      <c r="A1961" t="str">
        <f>"14/07/2017"</f>
        <v>14/07/2017</v>
      </c>
      <c r="B1961" t="str">
        <f>"13.1888"</f>
        <v>13.1888</v>
      </c>
      <c r="C1961" t="str">
        <f>"13.26"</f>
        <v>13.26</v>
      </c>
    </row>
    <row r="1962" spans="1:3" x14ac:dyDescent="0.25">
      <c r="A1962" t="str">
        <f>"17/07/2017"</f>
        <v>17/07/2017</v>
      </c>
      <c r="B1962" t="str">
        <f>"12.9639"</f>
        <v>12.9639</v>
      </c>
      <c r="C1962" t="str">
        <f>"13.0382"</f>
        <v>13.0382</v>
      </c>
    </row>
    <row r="1963" spans="1:3" x14ac:dyDescent="0.25">
      <c r="A1963" t="str">
        <f>"18/07/2017"</f>
        <v>18/07/2017</v>
      </c>
      <c r="B1963" t="str">
        <f>"12.9399"</f>
        <v>12.9399</v>
      </c>
      <c r="C1963" t="str">
        <f>"13.0118"</f>
        <v>13.0118</v>
      </c>
    </row>
    <row r="1964" spans="1:3" x14ac:dyDescent="0.25">
      <c r="A1964" t="str">
        <f>"19/07/2017"</f>
        <v>19/07/2017</v>
      </c>
      <c r="B1964" t="str">
        <f>"12.9311"</f>
        <v>12.9311</v>
      </c>
      <c r="C1964" t="str">
        <f>"13.0001"</f>
        <v>13.0001</v>
      </c>
    </row>
    <row r="1965" spans="1:3" x14ac:dyDescent="0.25">
      <c r="A1965" t="str">
        <f>"20/07/2017"</f>
        <v>20/07/2017</v>
      </c>
      <c r="B1965" t="str">
        <f>"12.977"</f>
        <v>12.977</v>
      </c>
      <c r="C1965" t="str">
        <f>"13.0461"</f>
        <v>13.0461</v>
      </c>
    </row>
    <row r="1966" spans="1:3" x14ac:dyDescent="0.25">
      <c r="A1966" t="str">
        <f>"21/07/2017"</f>
        <v>21/07/2017</v>
      </c>
      <c r="B1966" t="str">
        <f>"12.9639"</f>
        <v>12.9639</v>
      </c>
      <c r="C1966" t="str">
        <f>"13.0306"</f>
        <v>13.0306</v>
      </c>
    </row>
    <row r="1967" spans="1:3" x14ac:dyDescent="0.25">
      <c r="A1967" t="str">
        <f>"24/07/2017"</f>
        <v>24/07/2017</v>
      </c>
      <c r="B1967" t="str">
        <f>"12.9819"</f>
        <v>12.9819</v>
      </c>
      <c r="C1967" t="str">
        <f>"13.0532"</f>
        <v>13.0532</v>
      </c>
    </row>
    <row r="1968" spans="1:3" x14ac:dyDescent="0.25">
      <c r="A1968" t="str">
        <f>"25/07/2017"</f>
        <v>25/07/2017</v>
      </c>
      <c r="B1968" t="str">
        <f>"13.0349"</f>
        <v>13.0349</v>
      </c>
      <c r="C1968" t="str">
        <f>"13.1043"</f>
        <v>13.1043</v>
      </c>
    </row>
    <row r="1969" spans="1:3" x14ac:dyDescent="0.25">
      <c r="A1969" t="str">
        <f>"26/07/2017"</f>
        <v>26/07/2017</v>
      </c>
      <c r="B1969" t="str">
        <f>"13.0547"</f>
        <v>13.0547</v>
      </c>
      <c r="C1969" t="str">
        <f>"13.1216"</f>
        <v>13.1216</v>
      </c>
    </row>
    <row r="1970" spans="1:3" x14ac:dyDescent="0.25">
      <c r="A1970" t="str">
        <f>"27/07/2017"</f>
        <v>27/07/2017</v>
      </c>
      <c r="B1970" t="str">
        <f>"12.9499"</f>
        <v>12.9499</v>
      </c>
      <c r="C1970" t="str">
        <f>"13.0163"</f>
        <v>13.0163</v>
      </c>
    </row>
    <row r="1971" spans="1:3" x14ac:dyDescent="0.25">
      <c r="A1971" t="str">
        <f>"28/07/2017"</f>
        <v>28/07/2017</v>
      </c>
      <c r="B1971" t="str">
        <f>"13.066"</f>
        <v>13.066</v>
      </c>
      <c r="C1971" t="str">
        <f>"13.1332"</f>
        <v>13.1332</v>
      </c>
    </row>
    <row r="1972" spans="1:3" x14ac:dyDescent="0.25">
      <c r="A1972" t="str">
        <f>"31/07/2017"</f>
        <v>31/07/2017</v>
      </c>
      <c r="B1972" t="str">
        <f>"13.2393"</f>
        <v>13.2393</v>
      </c>
      <c r="C1972" t="str">
        <f>"13.2019"</f>
        <v>13.2019</v>
      </c>
    </row>
    <row r="1973" spans="1:3" x14ac:dyDescent="0.25">
      <c r="A1973" t="str">
        <f>"01/08/2017"</f>
        <v>01/08/2017</v>
      </c>
      <c r="B1973" t="str">
        <f>"13.2857"</f>
        <v>13.2857</v>
      </c>
      <c r="C1973" t="str">
        <f>"13.3581"</f>
        <v>13.3581</v>
      </c>
    </row>
    <row r="1974" spans="1:3" x14ac:dyDescent="0.25">
      <c r="A1974" t="str">
        <f>"02/08/2017"</f>
        <v>02/08/2017</v>
      </c>
      <c r="B1974" t="str">
        <f>"13.3002"</f>
        <v>13.3002</v>
      </c>
      <c r="C1974" t="str">
        <f>"13.3706"</f>
        <v>13.3706</v>
      </c>
    </row>
    <row r="1975" spans="1:3" x14ac:dyDescent="0.25">
      <c r="A1975" t="str">
        <f>"03/08/2017"</f>
        <v>03/08/2017</v>
      </c>
      <c r="B1975" t="str">
        <f>"13.3002"</f>
        <v>13.3002</v>
      </c>
      <c r="C1975" t="str">
        <f>"13.3705"</f>
        <v>13.3705</v>
      </c>
    </row>
    <row r="1976" spans="1:3" x14ac:dyDescent="0.25">
      <c r="A1976" t="str">
        <f>"04/08/2017"</f>
        <v>04/08/2017</v>
      </c>
      <c r="B1976" t="str">
        <f>"13.3717"</f>
        <v>13.3717</v>
      </c>
      <c r="C1976" t="str">
        <f>"13.4422"</f>
        <v>13.4422</v>
      </c>
    </row>
    <row r="1977" spans="1:3" x14ac:dyDescent="0.25">
      <c r="A1977" t="str">
        <f>"07/08/2017"</f>
        <v>07/08/2017</v>
      </c>
      <c r="B1977" t="str">
        <f>"13.3802"</f>
        <v>13.3802</v>
      </c>
      <c r="C1977" t="str">
        <f>"13.4529"</f>
        <v>13.4529</v>
      </c>
    </row>
    <row r="1978" spans="1:3" x14ac:dyDescent="0.25">
      <c r="A1978" t="str">
        <f>"08/08/2017"</f>
        <v>08/08/2017</v>
      </c>
      <c r="B1978" t="str">
        <f>"13.2299"</f>
        <v>13.2299</v>
      </c>
      <c r="C1978" t="str">
        <f>"13.2995"</f>
        <v>13.2995</v>
      </c>
    </row>
    <row r="1979" spans="1:3" x14ac:dyDescent="0.25">
      <c r="A1979" t="str">
        <f>"09/08/2017"</f>
        <v>09/08/2017</v>
      </c>
      <c r="B1979" t="str">
        <f>"13.48"</f>
        <v>13.48</v>
      </c>
      <c r="C1979" t="str">
        <f>"13.5505"</f>
        <v>13.5505</v>
      </c>
    </row>
    <row r="1980" spans="1:3" x14ac:dyDescent="0.25">
      <c r="A1980" t="str">
        <f>"10/08/2017"</f>
        <v>10/08/2017</v>
      </c>
      <c r="B1980" t="str">
        <f>"13.3771"</f>
        <v>13.3771</v>
      </c>
      <c r="C1980" t="str">
        <f>"13.4469"</f>
        <v>13.4469</v>
      </c>
    </row>
    <row r="1981" spans="1:3" x14ac:dyDescent="0.25">
      <c r="A1981" t="str">
        <f>"11/08/2017"</f>
        <v>11/08/2017</v>
      </c>
      <c r="B1981" t="str">
        <f>"13.4977"</f>
        <v>13.4977</v>
      </c>
      <c r="C1981" t="str">
        <f>"13.5676"</f>
        <v>13.5676</v>
      </c>
    </row>
    <row r="1982" spans="1:3" x14ac:dyDescent="0.25">
      <c r="A1982" t="str">
        <f>"14/08/2017"</f>
        <v>14/08/2017</v>
      </c>
      <c r="B1982" t="str">
        <f>"13.301"</f>
        <v>13.301</v>
      </c>
      <c r="C1982" t="str">
        <f>"13.3744"</f>
        <v>13.3744</v>
      </c>
    </row>
    <row r="1983" spans="1:3" x14ac:dyDescent="0.25">
      <c r="A1983" t="str">
        <f>"16/08/2017"</f>
        <v>16/08/2017</v>
      </c>
      <c r="B1983" t="str">
        <f>"13.3254"</f>
        <v>13.3254</v>
      </c>
      <c r="C1983" t="str">
        <f>"13.3946"</f>
        <v>13.3946</v>
      </c>
    </row>
    <row r="1984" spans="1:3" x14ac:dyDescent="0.25">
      <c r="A1984" t="str">
        <f>"18/08/2017"</f>
        <v>18/08/2017</v>
      </c>
      <c r="B1984" t="str">
        <f>"13.2187"</f>
        <v>13.2187</v>
      </c>
      <c r="C1984" t="str">
        <f>"13.2864"</f>
        <v>13.2864</v>
      </c>
    </row>
    <row r="1985" spans="1:3" x14ac:dyDescent="0.25">
      <c r="A1985" t="str">
        <f>"21/08/2017"</f>
        <v>21/08/2017</v>
      </c>
      <c r="B1985" t="str">
        <f>"13.2082"</f>
        <v>13.2082</v>
      </c>
      <c r="C1985" t="str">
        <f>"13.2819"</f>
        <v>13.2819</v>
      </c>
    </row>
    <row r="1986" spans="1:3" x14ac:dyDescent="0.25">
      <c r="A1986" t="str">
        <f>"22/08/2017"</f>
        <v>22/08/2017</v>
      </c>
      <c r="B1986" t="str">
        <f>"13.2118"</f>
        <v>13.2118</v>
      </c>
      <c r="C1986" t="str">
        <f>"13.2835"</f>
        <v>13.2835</v>
      </c>
    </row>
    <row r="1987" spans="1:3" x14ac:dyDescent="0.25">
      <c r="A1987" t="str">
        <f>"23/08/2017"</f>
        <v>23/08/2017</v>
      </c>
      <c r="B1987" t="str">
        <f>"13.2601"</f>
        <v>13.2601</v>
      </c>
      <c r="C1987" t="str">
        <f>"13.3303"</f>
        <v>13.3303</v>
      </c>
    </row>
    <row r="1988" spans="1:3" x14ac:dyDescent="0.25">
      <c r="A1988" t="str">
        <f>"24/08/2017"</f>
        <v>24/08/2017</v>
      </c>
      <c r="B1988" t="str">
        <f>"13.2173"</f>
        <v>13.2173</v>
      </c>
      <c r="C1988" t="str">
        <f>"13.285"</f>
        <v>13.285</v>
      </c>
    </row>
    <row r="1989" spans="1:3" x14ac:dyDescent="0.25">
      <c r="A1989" t="str">
        <f>"28/08/2017"</f>
        <v>28/08/2017</v>
      </c>
      <c r="B1989" t="str">
        <f>"13.0574"</f>
        <v>13.0574</v>
      </c>
      <c r="C1989" t="str">
        <f>"13.1223"</f>
        <v>13.1223</v>
      </c>
    </row>
    <row r="1990" spans="1:3" x14ac:dyDescent="0.25">
      <c r="A1990" t="str">
        <f>"29/08/2017"</f>
        <v>29/08/2017</v>
      </c>
      <c r="B1990" t="str">
        <f>"12.9585"</f>
        <v>12.9585</v>
      </c>
      <c r="C1990" t="str">
        <f>"13.0206"</f>
        <v>13.0206</v>
      </c>
    </row>
    <row r="1991" spans="1:3" x14ac:dyDescent="0.25">
      <c r="A1991" t="str">
        <f>"30/08/2017"</f>
        <v>30/08/2017</v>
      </c>
      <c r="B1991" t="str">
        <f>"12.9852"</f>
        <v>12.9852</v>
      </c>
      <c r="C1991" t="str">
        <f>"13.0514"</f>
        <v>13.0514</v>
      </c>
    </row>
    <row r="1992" spans="1:3" x14ac:dyDescent="0.25">
      <c r="A1992" t="str">
        <f>"31/08/2017"</f>
        <v>31/08/2017</v>
      </c>
      <c r="B1992" t="str">
        <f>"13.0182"</f>
        <v>13.0182</v>
      </c>
      <c r="C1992" t="str">
        <f>"13.1098"</f>
        <v>13.1098</v>
      </c>
    </row>
    <row r="1993" spans="1:3" x14ac:dyDescent="0.25">
      <c r="A1993" t="str">
        <f>"01/09/2017"</f>
        <v>01/09/2017</v>
      </c>
      <c r="B1993" t="str">
        <f>"12.9375"</f>
        <v>12.9375</v>
      </c>
      <c r="C1993" t="str">
        <f>"13.0015"</f>
        <v>13.0015</v>
      </c>
    </row>
    <row r="1994" spans="1:3" x14ac:dyDescent="0.25">
      <c r="A1994" t="str">
        <f>"04/09/2017"</f>
        <v>04/09/2017</v>
      </c>
      <c r="B1994" t="str">
        <f>"12.9284"</f>
        <v>12.9284</v>
      </c>
      <c r="C1994" t="str">
        <f>"12.9921"</f>
        <v>12.9921</v>
      </c>
    </row>
    <row r="1995" spans="1:3" x14ac:dyDescent="0.25">
      <c r="A1995" t="str">
        <f>"05/09/2017"</f>
        <v>05/09/2017</v>
      </c>
      <c r="B1995" t="str">
        <f>"12.9495"</f>
        <v>12.9495</v>
      </c>
      <c r="C1995" t="str">
        <f>"13.0197"</f>
        <v>13.0197</v>
      </c>
    </row>
    <row r="1996" spans="1:3" x14ac:dyDescent="0.25">
      <c r="A1996" t="str">
        <f>"06/09/2017"</f>
        <v>06/09/2017</v>
      </c>
      <c r="B1996" t="str">
        <f>"12.9393"</f>
        <v>12.9393</v>
      </c>
      <c r="C1996" t="str">
        <f>"13.0062"</f>
        <v>13.0062</v>
      </c>
    </row>
    <row r="1997" spans="1:3" x14ac:dyDescent="0.25">
      <c r="A1997" t="str">
        <f>"07/09/2017"</f>
        <v>07/09/2017</v>
      </c>
      <c r="B1997" t="str">
        <f>"12.8099"</f>
        <v>12.8099</v>
      </c>
      <c r="C1997" t="str">
        <f>"12.8718"</f>
        <v>12.8718</v>
      </c>
    </row>
    <row r="1998" spans="1:3" x14ac:dyDescent="0.25">
      <c r="A1998" t="str">
        <f>"08/09/2017"</f>
        <v>08/09/2017</v>
      </c>
      <c r="B1998" t="str">
        <f>"12.8327"</f>
        <v>12.8327</v>
      </c>
      <c r="C1998" t="str">
        <f>"12.8944"</f>
        <v>12.8944</v>
      </c>
    </row>
    <row r="1999" spans="1:3" x14ac:dyDescent="0.25">
      <c r="A1999" t="str">
        <f>"11/09/2017"</f>
        <v>11/09/2017</v>
      </c>
      <c r="B1999" t="str">
        <f>"12.9113"</f>
        <v>12.9113</v>
      </c>
      <c r="C1999" t="str">
        <f>"12.9736"</f>
        <v>12.9736</v>
      </c>
    </row>
    <row r="2000" spans="1:3" x14ac:dyDescent="0.25">
      <c r="A2000" t="str">
        <f>"12/09/2017"</f>
        <v>12/09/2017</v>
      </c>
      <c r="B2000" t="str">
        <f>"12.9909"</f>
        <v>12.9909</v>
      </c>
      <c r="C2000" t="str">
        <f>"13.0569"</f>
        <v>13.0569</v>
      </c>
    </row>
    <row r="2001" spans="1:3" x14ac:dyDescent="0.25">
      <c r="A2001" t="str">
        <f>"13/09/2017"</f>
        <v>13/09/2017</v>
      </c>
      <c r="B2001" t="str">
        <f>"13.1248"</f>
        <v>13.1248</v>
      </c>
      <c r="C2001" t="str">
        <f>"13.1891"</f>
        <v>13.1891</v>
      </c>
    </row>
    <row r="2002" spans="1:3" x14ac:dyDescent="0.25">
      <c r="A2002" t="str">
        <f>"14/09/2017"</f>
        <v>14/09/2017</v>
      </c>
      <c r="B2002" t="str">
        <f>"13.1579"</f>
        <v>13.1579</v>
      </c>
      <c r="C2002" t="str">
        <f>"13.22"</f>
        <v>13.22</v>
      </c>
    </row>
    <row r="2003" spans="1:3" x14ac:dyDescent="0.25">
      <c r="A2003" t="str">
        <f>"15/09/2017"</f>
        <v>15/09/2017</v>
      </c>
      <c r="B2003" t="str">
        <f>"13.1236"</f>
        <v>13.1236</v>
      </c>
      <c r="C2003" t="str">
        <f>"13.1856"</f>
        <v>13.1856</v>
      </c>
    </row>
    <row r="2004" spans="1:3" x14ac:dyDescent="0.25">
      <c r="A2004" t="str">
        <f>"18/09/2017"</f>
        <v>18/09/2017</v>
      </c>
      <c r="B2004" t="str">
        <f>"13.2001"</f>
        <v>13.2001</v>
      </c>
      <c r="C2004" t="str">
        <f>"13.2621"</f>
        <v>13.2621</v>
      </c>
    </row>
    <row r="2005" spans="1:3" x14ac:dyDescent="0.25">
      <c r="A2005" t="str">
        <f>"19/09/2017"</f>
        <v>19/09/2017</v>
      </c>
      <c r="B2005" t="str">
        <f>"13.3291"</f>
        <v>13.3291</v>
      </c>
      <c r="C2005" t="str">
        <f>"13.3957"</f>
        <v>13.3957</v>
      </c>
    </row>
    <row r="2006" spans="1:3" x14ac:dyDescent="0.25">
      <c r="A2006" t="str">
        <f>"20/09/2017"</f>
        <v>20/09/2017</v>
      </c>
      <c r="B2006" t="str">
        <f>"13.3168"</f>
        <v>13.3168</v>
      </c>
      <c r="C2006" t="str">
        <f>"13.3812"</f>
        <v>13.3812</v>
      </c>
    </row>
    <row r="2007" spans="1:3" x14ac:dyDescent="0.25">
      <c r="A2007" t="str">
        <f>"21/09/2017"</f>
        <v>21/09/2017</v>
      </c>
      <c r="B2007" t="str">
        <f>"13.3693"</f>
        <v>13.3693</v>
      </c>
      <c r="C2007" t="str">
        <f>"13.4321"</f>
        <v>13.4321</v>
      </c>
    </row>
    <row r="2008" spans="1:3" x14ac:dyDescent="0.25">
      <c r="A2008" t="str">
        <f>"22/09/2017"</f>
        <v>22/09/2017</v>
      </c>
      <c r="B2008" t="str">
        <f>"13.2013"</f>
        <v>13.2013</v>
      </c>
      <c r="C2008" t="str">
        <f>"13.2655"</f>
        <v>13.2655</v>
      </c>
    </row>
    <row r="2009" spans="1:3" x14ac:dyDescent="0.25">
      <c r="A2009" t="str">
        <f>"25/09/2017"</f>
        <v>25/09/2017</v>
      </c>
      <c r="B2009" t="str">
        <f>"13.275"</f>
        <v>13.275</v>
      </c>
      <c r="C2009" t="str">
        <f>"13.3397"</f>
        <v>13.3397</v>
      </c>
    </row>
    <row r="2010" spans="1:3" x14ac:dyDescent="0.25">
      <c r="A2010" t="str">
        <f>"26/09/2017"</f>
        <v>26/09/2017</v>
      </c>
      <c r="B2010" t="str">
        <f>"13.3649"</f>
        <v>13.3649</v>
      </c>
      <c r="C2010" t="str">
        <f>"13.4343"</f>
        <v>13.4343</v>
      </c>
    </row>
    <row r="2011" spans="1:3" x14ac:dyDescent="0.25">
      <c r="A2011" t="str">
        <f>"27/09/2017"</f>
        <v>27/09/2017</v>
      </c>
      <c r="B2011" t="str">
        <f>"13.5494"</f>
        <v>13.5494</v>
      </c>
      <c r="C2011" t="str">
        <f>"13.6203"</f>
        <v>13.6203</v>
      </c>
    </row>
    <row r="2012" spans="1:3" x14ac:dyDescent="0.25">
      <c r="A2012" t="str">
        <f>"28/09/2017"</f>
        <v>28/09/2017</v>
      </c>
      <c r="B2012" t="str">
        <f>"13.6286"</f>
        <v>13.6286</v>
      </c>
      <c r="C2012" t="str">
        <f>"13.6977"</f>
        <v>13.6977</v>
      </c>
    </row>
    <row r="2013" spans="1:3" x14ac:dyDescent="0.25">
      <c r="A2013" t="str">
        <f>"29/09/2017"</f>
        <v>29/09/2017</v>
      </c>
      <c r="B2013" t="str">
        <f>"13.5924"</f>
        <v>13.5924</v>
      </c>
      <c r="C2013" t="str">
        <f>"13.5665"</f>
        <v>13.5665</v>
      </c>
    </row>
    <row r="2014" spans="1:3" x14ac:dyDescent="0.25">
      <c r="A2014" t="str">
        <f>"03/10/2017"</f>
        <v>03/10/2017</v>
      </c>
      <c r="B2014" t="str">
        <f>"13.6892"</f>
        <v>13.6892</v>
      </c>
      <c r="C2014" t="str">
        <f>"13.7609"</f>
        <v>13.7609</v>
      </c>
    </row>
    <row r="2015" spans="1:3" x14ac:dyDescent="0.25">
      <c r="A2015" t="str">
        <f>"04/10/2017"</f>
        <v>04/10/2017</v>
      </c>
      <c r="B2015" t="str">
        <f>"13.5766"</f>
        <v>13.5766</v>
      </c>
      <c r="C2015" t="str">
        <f>"13.6455"</f>
        <v>13.6455</v>
      </c>
    </row>
    <row r="2016" spans="1:3" x14ac:dyDescent="0.25">
      <c r="A2016" t="str">
        <f>"05/10/2017"</f>
        <v>05/10/2017</v>
      </c>
      <c r="B2016" t="str">
        <f>"13.6554"</f>
        <v>13.6554</v>
      </c>
      <c r="C2016" t="str">
        <f>"13.7254"</f>
        <v>13.7254</v>
      </c>
    </row>
    <row r="2017" spans="1:3" x14ac:dyDescent="0.25">
      <c r="A2017" t="str">
        <f>"06/10/2017"</f>
        <v>06/10/2017</v>
      </c>
      <c r="B2017" t="str">
        <f>"13.7375"</f>
        <v>13.7375</v>
      </c>
      <c r="C2017" t="str">
        <f>"13.8079"</f>
        <v>13.8079</v>
      </c>
    </row>
    <row r="2018" spans="1:3" x14ac:dyDescent="0.25">
      <c r="A2018" t="str">
        <f>"09/10/2017"</f>
        <v>09/10/2017</v>
      </c>
      <c r="B2018" t="str">
        <f>"13.7969"</f>
        <v>13.7969</v>
      </c>
      <c r="C2018" t="str">
        <f>"13.8722"</f>
        <v>13.8722</v>
      </c>
    </row>
    <row r="2019" spans="1:3" x14ac:dyDescent="0.25">
      <c r="A2019" t="str">
        <f>"10/10/2017"</f>
        <v>10/10/2017</v>
      </c>
      <c r="B2019" t="str">
        <f>"13.7167"</f>
        <v>13.7167</v>
      </c>
      <c r="C2019" t="str">
        <f>"13.7893"</f>
        <v>13.7893</v>
      </c>
    </row>
    <row r="2020" spans="1:3" x14ac:dyDescent="0.25">
      <c r="A2020" t="str">
        <f>"11/10/2017"</f>
        <v>11/10/2017</v>
      </c>
      <c r="B2020" t="str">
        <f>"13.5872"</f>
        <v>13.5872</v>
      </c>
      <c r="C2020" t="str">
        <f>"13.6566"</f>
        <v>13.6566</v>
      </c>
    </row>
    <row r="2021" spans="1:3" x14ac:dyDescent="0.25">
      <c r="A2021" t="str">
        <f>"12/10/2017"</f>
        <v>12/10/2017</v>
      </c>
      <c r="B2021" t="str">
        <f>"13.5229"</f>
        <v>13.5229</v>
      </c>
      <c r="C2021" t="str">
        <f>"13.5911"</f>
        <v>13.5911</v>
      </c>
    </row>
    <row r="2022" spans="1:3" x14ac:dyDescent="0.25">
      <c r="A2022" t="str">
        <f>"13/10/2017"</f>
        <v>13/10/2017</v>
      </c>
      <c r="B2022" t="str">
        <f>"13.3805"</f>
        <v>13.3805</v>
      </c>
      <c r="C2022" t="str">
        <f>"13.4476"</f>
        <v>13.4476</v>
      </c>
    </row>
    <row r="2023" spans="1:3" x14ac:dyDescent="0.25">
      <c r="A2023" t="str">
        <f>"16/10/2017"</f>
        <v>16/10/2017</v>
      </c>
      <c r="B2023" t="str">
        <f>"13.3192"</f>
        <v>13.3192</v>
      </c>
      <c r="C2023" t="str">
        <f>"13.3901"</f>
        <v>13.3901</v>
      </c>
    </row>
    <row r="2024" spans="1:3" x14ac:dyDescent="0.25">
      <c r="A2024" t="str">
        <f>"17/10/2017"</f>
        <v>17/10/2017</v>
      </c>
      <c r="B2024" t="str">
        <f>"13.4469"</f>
        <v>13.4469</v>
      </c>
      <c r="C2024" t="str">
        <f>"13.5162"</f>
        <v>13.5162</v>
      </c>
    </row>
    <row r="2025" spans="1:3" x14ac:dyDescent="0.25">
      <c r="A2025" t="str">
        <f>"18/10/2017"</f>
        <v>18/10/2017</v>
      </c>
      <c r="B2025" t="str">
        <f>"13.489"</f>
        <v>13.489</v>
      </c>
      <c r="C2025" t="str">
        <f>"13.5567"</f>
        <v>13.5567</v>
      </c>
    </row>
    <row r="2026" spans="1:3" x14ac:dyDescent="0.25">
      <c r="A2026" t="str">
        <f>"23/10/2017"</f>
        <v>23/10/2017</v>
      </c>
      <c r="B2026" t="str">
        <f>"13.7208"</f>
        <v>13.7208</v>
      </c>
      <c r="C2026" t="str">
        <f>"13.7956"</f>
        <v>13.7956</v>
      </c>
    </row>
    <row r="2027" spans="1:3" x14ac:dyDescent="0.25">
      <c r="A2027" t="str">
        <f>"24/10/2017"</f>
        <v>24/10/2017</v>
      </c>
      <c r="B2027" t="str">
        <f>"13.6957"</f>
        <v>13.6957</v>
      </c>
      <c r="C2027" t="str">
        <f>"13.7683"</f>
        <v>13.7683</v>
      </c>
    </row>
    <row r="2028" spans="1:3" x14ac:dyDescent="0.25">
      <c r="A2028" t="str">
        <f>"25/10/2017"</f>
        <v>25/10/2017</v>
      </c>
      <c r="B2028" t="str">
        <f>"13.7558"</f>
        <v>13.7558</v>
      </c>
      <c r="C2028" t="str">
        <f>"13.8261"</f>
        <v>13.8261</v>
      </c>
    </row>
    <row r="2029" spans="1:3" x14ac:dyDescent="0.25">
      <c r="A2029" t="str">
        <f>"26/10/2017"</f>
        <v>26/10/2017</v>
      </c>
      <c r="B2029" t="str">
        <f>"14.2725"</f>
        <v>14.2725</v>
      </c>
      <c r="C2029" t="str">
        <f>"14.3483"</f>
        <v>14.3483</v>
      </c>
    </row>
    <row r="2030" spans="1:3" x14ac:dyDescent="0.25">
      <c r="A2030" t="str">
        <f>"27/10/2017"</f>
        <v>27/10/2017</v>
      </c>
      <c r="B2030" t="str">
        <f>"14.1963"</f>
        <v>14.1963</v>
      </c>
      <c r="C2030" t="str">
        <f>"14.2716"</f>
        <v>14.2716</v>
      </c>
    </row>
    <row r="2031" spans="1:3" x14ac:dyDescent="0.25">
      <c r="A2031" t="str">
        <f>"30/10/2017"</f>
        <v>30/10/2017</v>
      </c>
      <c r="B2031" t="str">
        <f>"14.0968"</f>
        <v>14.0968</v>
      </c>
      <c r="C2031" t="str">
        <f>"14.1712"</f>
        <v>14.1712</v>
      </c>
    </row>
    <row r="2032" spans="1:3" x14ac:dyDescent="0.25">
      <c r="A2032" t="str">
        <f>"31/10/2017"</f>
        <v>31/10/2017</v>
      </c>
      <c r="B2032" t="str">
        <f>"14.1426"</f>
        <v>14.1426</v>
      </c>
      <c r="C2032" t="str">
        <f>"14.2101"</f>
        <v>14.2101</v>
      </c>
    </row>
    <row r="2033" spans="1:3" x14ac:dyDescent="0.25">
      <c r="A2033" t="str">
        <f>"01/11/2017"</f>
        <v>01/11/2017</v>
      </c>
      <c r="B2033" t="str">
        <f>"14.1431"</f>
        <v>14.1431</v>
      </c>
      <c r="C2033" t="str">
        <f>"14.2183"</f>
        <v>14.2183</v>
      </c>
    </row>
    <row r="2034" spans="1:3" x14ac:dyDescent="0.25">
      <c r="A2034" t="str">
        <f>"02/11/2017"</f>
        <v>02/11/2017</v>
      </c>
      <c r="B2034" t="str">
        <f>"13.9916"</f>
        <v>13.9916</v>
      </c>
      <c r="C2034" t="str">
        <f>"14.062"</f>
        <v>14.062</v>
      </c>
    </row>
    <row r="2035" spans="1:3" x14ac:dyDescent="0.25">
      <c r="A2035" t="str">
        <f>"03/11/2017"</f>
        <v>03/11/2017</v>
      </c>
      <c r="B2035" t="str">
        <f>"14.1266"</f>
        <v>14.1266</v>
      </c>
      <c r="C2035" t="str">
        <f>"14.1979"</f>
        <v>14.1979</v>
      </c>
    </row>
    <row r="2036" spans="1:3" x14ac:dyDescent="0.25">
      <c r="A2036" t="str">
        <f>"06/11/2017"</f>
        <v>06/11/2017</v>
      </c>
      <c r="B2036" t="str">
        <f>"14.1829"</f>
        <v>14.1829</v>
      </c>
      <c r="C2036" t="str">
        <f>"14.2551"</f>
        <v>14.2551</v>
      </c>
    </row>
    <row r="2037" spans="1:3" x14ac:dyDescent="0.25">
      <c r="A2037" t="str">
        <f>"07/11/2017"</f>
        <v>07/11/2017</v>
      </c>
      <c r="B2037" t="str">
        <f>"14.2026"</f>
        <v>14.2026</v>
      </c>
      <c r="C2037" t="str">
        <f>"14.2789"</f>
        <v>14.2789</v>
      </c>
    </row>
    <row r="2038" spans="1:3" x14ac:dyDescent="0.25">
      <c r="A2038" t="str">
        <f>"08/11/2017"</f>
        <v>08/11/2017</v>
      </c>
      <c r="B2038" t="str">
        <f>"14.2299"</f>
        <v>14.2299</v>
      </c>
      <c r="C2038" t="str">
        <f>"14.3035"</f>
        <v>14.3035</v>
      </c>
    </row>
    <row r="2039" spans="1:3" x14ac:dyDescent="0.25">
      <c r="A2039" t="str">
        <f>"09/11/2017"</f>
        <v>09/11/2017</v>
      </c>
      <c r="B2039" t="str">
        <f>"14.1129"</f>
        <v>14.1129</v>
      </c>
      <c r="C2039" t="str">
        <f>"14.1835"</f>
        <v>14.1835</v>
      </c>
    </row>
    <row r="2040" spans="1:3" x14ac:dyDescent="0.25">
      <c r="A2040" t="str">
        <f>"10/11/2017"</f>
        <v>10/11/2017</v>
      </c>
      <c r="B2040" t="str">
        <f>"14.3812"</f>
        <v>14.3812</v>
      </c>
      <c r="C2040" t="str">
        <f>"14.4535"</f>
        <v>14.4535</v>
      </c>
    </row>
    <row r="2041" spans="1:3" x14ac:dyDescent="0.25">
      <c r="A2041" t="str">
        <f>"13/11/2017"</f>
        <v>13/11/2017</v>
      </c>
      <c r="B2041" t="str">
        <f>"14.5167"</f>
        <v>14.5167</v>
      </c>
      <c r="C2041" t="str">
        <f>"14.5905"</f>
        <v>14.5905</v>
      </c>
    </row>
    <row r="2042" spans="1:3" x14ac:dyDescent="0.25">
      <c r="A2042" t="str">
        <f>"14/11/2017"</f>
        <v>14/11/2017</v>
      </c>
      <c r="B2042" t="str">
        <f>"14.361"</f>
        <v>14.361</v>
      </c>
      <c r="C2042" t="str">
        <f>"14.4374"</f>
        <v>14.4374</v>
      </c>
    </row>
    <row r="2043" spans="1:3" x14ac:dyDescent="0.25">
      <c r="A2043" t="str">
        <f>"15/11/2017"</f>
        <v>15/11/2017</v>
      </c>
      <c r="B2043" t="str">
        <f>"14.3864"</f>
        <v>14.3864</v>
      </c>
      <c r="C2043" t="str">
        <f>"14.461"</f>
        <v>14.461</v>
      </c>
    </row>
    <row r="2044" spans="1:3" x14ac:dyDescent="0.25">
      <c r="A2044" t="str">
        <f>"16/11/2017"</f>
        <v>16/11/2017</v>
      </c>
      <c r="B2044" t="str">
        <f>"14.3043"</f>
        <v>14.3043</v>
      </c>
      <c r="C2044" t="str">
        <f>"14.3755"</f>
        <v>14.3755</v>
      </c>
    </row>
    <row r="2045" spans="1:3" x14ac:dyDescent="0.25">
      <c r="A2045" t="str">
        <f>"17/11/2017"</f>
        <v>17/11/2017</v>
      </c>
      <c r="B2045" t="str">
        <f>"14.1439"</f>
        <v>14.1439</v>
      </c>
      <c r="C2045" t="str">
        <f>"14.2142"</f>
        <v>14.2142</v>
      </c>
    </row>
    <row r="2046" spans="1:3" x14ac:dyDescent="0.25">
      <c r="A2046" t="str">
        <f>"20/11/2017"</f>
        <v>20/11/2017</v>
      </c>
      <c r="B2046" t="str">
        <f>"14.0471"</f>
        <v>14.0471</v>
      </c>
      <c r="C2046" t="str">
        <f>"14.1171"</f>
        <v>14.1171</v>
      </c>
    </row>
    <row r="2047" spans="1:3" x14ac:dyDescent="0.25">
      <c r="A2047" t="str">
        <f>"21/11/2017"</f>
        <v>21/11/2017</v>
      </c>
      <c r="B2047" t="str">
        <f>"14.1005"</f>
        <v>14.1005</v>
      </c>
      <c r="C2047" t="str">
        <f>"14.1786"</f>
        <v>14.1786</v>
      </c>
    </row>
    <row r="2048" spans="1:3" x14ac:dyDescent="0.25">
      <c r="A2048" t="str">
        <f>"22/11/2017"</f>
        <v>22/11/2017</v>
      </c>
      <c r="B2048" t="str">
        <f>"13.9389"</f>
        <v>13.9389</v>
      </c>
      <c r="C2048" t="str">
        <f>"14.0152"</f>
        <v>14.0152</v>
      </c>
    </row>
    <row r="2049" spans="1:3" x14ac:dyDescent="0.25">
      <c r="A2049" t="str">
        <f>"23/11/2017"</f>
        <v>23/11/2017</v>
      </c>
      <c r="B2049" t="str">
        <f>"13.8728"</f>
        <v>13.8728</v>
      </c>
      <c r="C2049" t="str">
        <f>"13.9414"</f>
        <v>13.9414</v>
      </c>
    </row>
    <row r="2050" spans="1:3" x14ac:dyDescent="0.25">
      <c r="A2050" t="str">
        <f>"24/11/2017"</f>
        <v>24/11/2017</v>
      </c>
      <c r="B2050" t="str">
        <f>"14.014"</f>
        <v>14.014</v>
      </c>
      <c r="C2050" t="str">
        <f>"14.0836"</f>
        <v>14.0836</v>
      </c>
    </row>
    <row r="2051" spans="1:3" x14ac:dyDescent="0.25">
      <c r="A2051" t="str">
        <f>"27/11/2017"</f>
        <v>27/11/2017</v>
      </c>
      <c r="B2051" t="str">
        <f>"13.7698"</f>
        <v>13.7698</v>
      </c>
      <c r="C2051" t="str">
        <f>"13.837"</f>
        <v>13.837</v>
      </c>
    </row>
    <row r="2052" spans="1:3" x14ac:dyDescent="0.25">
      <c r="A2052" t="str">
        <f>"28/11/2017"</f>
        <v>28/11/2017</v>
      </c>
      <c r="B2052" t="str">
        <f>"13.7471"</f>
        <v>13.7471</v>
      </c>
      <c r="C2052" t="str">
        <f>"13.8117"</f>
        <v>13.8117</v>
      </c>
    </row>
    <row r="2053" spans="1:3" x14ac:dyDescent="0.25">
      <c r="A2053" t="str">
        <f>"29/11/2017"</f>
        <v>29/11/2017</v>
      </c>
      <c r="B2053" t="str">
        <f>"13.6462"</f>
        <v>13.6462</v>
      </c>
      <c r="C2053" t="str">
        <f>"13.7174"</f>
        <v>13.7174</v>
      </c>
    </row>
    <row r="2054" spans="1:3" x14ac:dyDescent="0.25">
      <c r="A2054" t="str">
        <f>"30/11/2017"</f>
        <v>30/11/2017</v>
      </c>
      <c r="B2054" t="str">
        <f>"13.7019"</f>
        <v>13.7019</v>
      </c>
      <c r="C2054" t="str">
        <f>"13.6815"</f>
        <v>13.6815</v>
      </c>
    </row>
    <row r="2055" spans="1:3" x14ac:dyDescent="0.25">
      <c r="A2055" t="str">
        <f>"04/12/2017"</f>
        <v>04/12/2017</v>
      </c>
      <c r="B2055" t="str">
        <f>"13.7814"</f>
        <v>13.7814</v>
      </c>
      <c r="C2055" t="str">
        <f>"13.8555"</f>
        <v>13.8555</v>
      </c>
    </row>
    <row r="2056" spans="1:3" x14ac:dyDescent="0.25">
      <c r="A2056" t="str">
        <f>"05/12/2017"</f>
        <v>05/12/2017</v>
      </c>
      <c r="B2056" t="str">
        <f>"13.4782"</f>
        <v>13.4782</v>
      </c>
      <c r="C2056" t="str">
        <f>"13.5472"</f>
        <v>13.5472</v>
      </c>
    </row>
    <row r="2057" spans="1:3" x14ac:dyDescent="0.25">
      <c r="A2057" t="str">
        <f>"06/12/2017"</f>
        <v>06/12/2017</v>
      </c>
      <c r="B2057" t="str">
        <f>"13.5683"</f>
        <v>13.5683</v>
      </c>
      <c r="C2057" t="str">
        <f>"13.6355"</f>
        <v>13.6355</v>
      </c>
    </row>
    <row r="2058" spans="1:3" x14ac:dyDescent="0.25">
      <c r="A2058" t="str">
        <f>"07/12/2017"</f>
        <v>07/12/2017</v>
      </c>
      <c r="B2058" t="str">
        <f>"13.5849"</f>
        <v>13.5849</v>
      </c>
      <c r="C2058" t="str">
        <f>"13.6501"</f>
        <v>13.6501</v>
      </c>
    </row>
    <row r="2059" spans="1:3" x14ac:dyDescent="0.25">
      <c r="A2059" t="str">
        <f>"08/12/2017"</f>
        <v>08/12/2017</v>
      </c>
      <c r="B2059" t="str">
        <f>"13.6385"</f>
        <v>13.6385</v>
      </c>
      <c r="C2059" t="str">
        <f>"13.7023"</f>
        <v>13.7023</v>
      </c>
    </row>
    <row r="2060" spans="1:3" x14ac:dyDescent="0.25">
      <c r="A2060" t="str">
        <f>"11/12/2017"</f>
        <v>11/12/2017</v>
      </c>
      <c r="B2060" t="str">
        <f>"13.6445"</f>
        <v>13.6445</v>
      </c>
      <c r="C2060" t="str">
        <f>"13.7132"</f>
        <v>13.7132</v>
      </c>
    </row>
    <row r="2061" spans="1:3" x14ac:dyDescent="0.25">
      <c r="A2061" t="str">
        <f>"12/12/2017"</f>
        <v>12/12/2017</v>
      </c>
      <c r="B2061" t="str">
        <f>"13.6139"</f>
        <v>13.6139</v>
      </c>
      <c r="C2061" t="str">
        <f>"13.6834"</f>
        <v>13.6834</v>
      </c>
    </row>
    <row r="2062" spans="1:3" x14ac:dyDescent="0.25">
      <c r="A2062" t="str">
        <f>"13/12/2017"</f>
        <v>13/12/2017</v>
      </c>
      <c r="B2062" t="str">
        <f>"13.6513"</f>
        <v>13.6513</v>
      </c>
      <c r="C2062" t="str">
        <f>"13.7205"</f>
        <v>13.7205</v>
      </c>
    </row>
    <row r="2063" spans="1:3" x14ac:dyDescent="0.25">
      <c r="A2063" t="str">
        <f>"14/12/2017"</f>
        <v>14/12/2017</v>
      </c>
      <c r="B2063" t="str">
        <f>"13.4463"</f>
        <v>13.4463</v>
      </c>
      <c r="C2063" t="str">
        <f>"13.5109"</f>
        <v>13.5109</v>
      </c>
    </row>
    <row r="2064" spans="1:3" x14ac:dyDescent="0.25">
      <c r="A2064" t="str">
        <f>"15/12/2017"</f>
        <v>15/12/2017</v>
      </c>
      <c r="B2064" t="str">
        <f>"13.3158"</f>
        <v>13.3158</v>
      </c>
      <c r="C2064" t="str">
        <f>"13.3808"</f>
        <v>13.3808</v>
      </c>
    </row>
    <row r="2065" spans="1:3" x14ac:dyDescent="0.25">
      <c r="A2065" t="str">
        <f>"18/12/2017"</f>
        <v>18/12/2017</v>
      </c>
      <c r="B2065" t="str">
        <f>"12.8613"</f>
        <v>12.8613</v>
      </c>
      <c r="C2065" t="str">
        <f>"12.929"</f>
        <v>12.929</v>
      </c>
    </row>
    <row r="2066" spans="1:3" x14ac:dyDescent="0.25">
      <c r="A2066" t="str">
        <f>"19/12/2017"</f>
        <v>19/12/2017</v>
      </c>
      <c r="B2066" t="str">
        <f>"12.7813"</f>
        <v>12.7813</v>
      </c>
      <c r="C2066" t="str">
        <f>"12.8456"</f>
        <v>12.8456</v>
      </c>
    </row>
    <row r="2067" spans="1:3" x14ac:dyDescent="0.25">
      <c r="A2067" t="str">
        <f>"20/12/2017"</f>
        <v>20/12/2017</v>
      </c>
      <c r="B2067" t="str">
        <f>"12.7206"</f>
        <v>12.7206</v>
      </c>
      <c r="C2067" t="str">
        <f>"12.7833"</f>
        <v>12.7833</v>
      </c>
    </row>
    <row r="2068" spans="1:3" x14ac:dyDescent="0.25">
      <c r="A2068" t="str">
        <f>"21/12/2017"</f>
        <v>21/12/2017</v>
      </c>
      <c r="B2068" t="str">
        <f>"12.7024"</f>
        <v>12.7024</v>
      </c>
      <c r="C2068" t="str">
        <f>"12.7679"</f>
        <v>12.7679</v>
      </c>
    </row>
    <row r="2069" spans="1:3" x14ac:dyDescent="0.25">
      <c r="A2069" t="str">
        <f>"22/12/2017"</f>
        <v>22/12/2017</v>
      </c>
      <c r="B2069" t="str">
        <f>"12.7522"</f>
        <v>12.7522</v>
      </c>
      <c r="C2069" t="str">
        <f>"12.8153"</f>
        <v>12.8153</v>
      </c>
    </row>
    <row r="2070" spans="1:3" x14ac:dyDescent="0.25">
      <c r="A2070" t="str">
        <f>"26/12/2017"</f>
        <v>26/12/2017</v>
      </c>
      <c r="B2070" t="str">
        <f>"12.5954"</f>
        <v>12.5954</v>
      </c>
      <c r="C2070" t="str">
        <f>"12.6576"</f>
        <v>12.6576</v>
      </c>
    </row>
    <row r="2071" spans="1:3" x14ac:dyDescent="0.25">
      <c r="A2071" t="str">
        <f>"27/12/2017"</f>
        <v>27/12/2017</v>
      </c>
      <c r="B2071" t="str">
        <f>"12.3862"</f>
        <v>12.3862</v>
      </c>
      <c r="C2071" t="str">
        <f>"12.4498"</f>
        <v>12.4498</v>
      </c>
    </row>
    <row r="2072" spans="1:3" x14ac:dyDescent="0.25">
      <c r="A2072" t="str">
        <f>"28/12/2017"</f>
        <v>28/12/2017</v>
      </c>
      <c r="B2072" t="str">
        <f>"12.3181"</f>
        <v>12.3181</v>
      </c>
      <c r="C2072" t="str">
        <f>"12.3769"</f>
        <v>12.3769</v>
      </c>
    </row>
    <row r="2073" spans="1:3" x14ac:dyDescent="0.25">
      <c r="A2073" t="str">
        <f>"29/12/2017"</f>
        <v>29/12/2017</v>
      </c>
      <c r="B2073" t="str">
        <f>"12.5799"</f>
        <v>12.5799</v>
      </c>
      <c r="C2073" t="str">
        <f>"12.3762"</f>
        <v>12.3762</v>
      </c>
    </row>
    <row r="2074" spans="1:3" x14ac:dyDescent="0.25">
      <c r="A2074" t="str">
        <f>"02/01/2018"</f>
        <v>02/01/2018</v>
      </c>
      <c r="B2074" t="str">
        <f>"12.3597"</f>
        <v>12.3597</v>
      </c>
      <c r="C2074" t="str">
        <f>"12.4209"</f>
        <v>12.4209</v>
      </c>
    </row>
    <row r="2075" spans="1:3" x14ac:dyDescent="0.25">
      <c r="A2075" t="str">
        <f>"03/01/2018"</f>
        <v>03/01/2018</v>
      </c>
      <c r="B2075" t="str">
        <f>"12.3565"</f>
        <v>12.3565</v>
      </c>
      <c r="C2075" t="str">
        <f>"12.416"</f>
        <v>12.416</v>
      </c>
    </row>
    <row r="2076" spans="1:3" x14ac:dyDescent="0.25">
      <c r="A2076" t="str">
        <f>"04/01/2018"</f>
        <v>04/01/2018</v>
      </c>
      <c r="B2076" t="str">
        <f>"12.3054"</f>
        <v>12.3054</v>
      </c>
      <c r="C2076" t="str">
        <f>"12.3643"</f>
        <v>12.3643</v>
      </c>
    </row>
    <row r="2077" spans="1:3" x14ac:dyDescent="0.25">
      <c r="A2077" t="str">
        <f>"05/01/2018"</f>
        <v>05/01/2018</v>
      </c>
      <c r="B2077" t="str">
        <f>"12.3695"</f>
        <v>12.3695</v>
      </c>
      <c r="C2077" t="str">
        <f>"12.4282"</f>
        <v>12.4282</v>
      </c>
    </row>
    <row r="2078" spans="1:3" x14ac:dyDescent="0.25">
      <c r="A2078" t="str">
        <f>"08/01/2018"</f>
        <v>08/01/2018</v>
      </c>
      <c r="B2078" t="str">
        <f>"12.4411"</f>
        <v>12.4411</v>
      </c>
      <c r="C2078" t="str">
        <f>"12.504"</f>
        <v>12.504</v>
      </c>
    </row>
    <row r="2079" spans="1:3" x14ac:dyDescent="0.25">
      <c r="A2079" t="str">
        <f>"09/01/2018"</f>
        <v>09/01/2018</v>
      </c>
      <c r="B2079" t="str">
        <f>"12.3362"</f>
        <v>12.3362</v>
      </c>
      <c r="C2079" t="str">
        <f>"12.3972"</f>
        <v>12.3972</v>
      </c>
    </row>
    <row r="2080" spans="1:3" x14ac:dyDescent="0.25">
      <c r="A2080" t="str">
        <f>"10/01/2018"</f>
        <v>10/01/2018</v>
      </c>
      <c r="B2080" t="str">
        <f>"12.4892"</f>
        <v>12.4892</v>
      </c>
      <c r="C2080" t="str">
        <f>"12.5485"</f>
        <v>12.5485</v>
      </c>
    </row>
    <row r="2081" spans="1:3" x14ac:dyDescent="0.25">
      <c r="A2081" t="str">
        <f>"11/01/2018"</f>
        <v>11/01/2018</v>
      </c>
      <c r="B2081" t="str">
        <f>"12.4522"</f>
        <v>12.4522</v>
      </c>
      <c r="C2081" t="str">
        <f>"12.5123"</f>
        <v>12.5123</v>
      </c>
    </row>
    <row r="2082" spans="1:3" x14ac:dyDescent="0.25">
      <c r="A2082" t="str">
        <f>"12/01/2018"</f>
        <v>12/01/2018</v>
      </c>
      <c r="B2082" t="str">
        <f>"12.3996"</f>
        <v>12.3996</v>
      </c>
      <c r="C2082" t="str">
        <f>"12.4595"</f>
        <v>12.4595</v>
      </c>
    </row>
    <row r="2083" spans="1:3" x14ac:dyDescent="0.25">
      <c r="A2083" t="str">
        <f>"15/01/2018"</f>
        <v>15/01/2018</v>
      </c>
      <c r="B2083" t="str">
        <f>"12.2942"</f>
        <v>12.2942</v>
      </c>
      <c r="C2083" t="str">
        <f>"12.3599"</f>
        <v>12.3599</v>
      </c>
    </row>
    <row r="2084" spans="1:3" x14ac:dyDescent="0.25">
      <c r="A2084" t="str">
        <f>"16/01/2018"</f>
        <v>16/01/2018</v>
      </c>
      <c r="B2084" t="str">
        <f>"12.25"</f>
        <v>12.25</v>
      </c>
      <c r="C2084" t="str">
        <f>"12.3129"</f>
        <v>12.3129</v>
      </c>
    </row>
    <row r="2085" spans="1:3" x14ac:dyDescent="0.25">
      <c r="A2085" t="str">
        <f>"17/01/2018"</f>
        <v>17/01/2018</v>
      </c>
      <c r="B2085" t="str">
        <f>"12.3131"</f>
        <v>12.3131</v>
      </c>
      <c r="C2085" t="str">
        <f>"12.3736"</f>
        <v>12.3736</v>
      </c>
    </row>
    <row r="2086" spans="1:3" x14ac:dyDescent="0.25">
      <c r="A2086" t="str">
        <f>"18/01/2018"</f>
        <v>18/01/2018</v>
      </c>
      <c r="B2086" t="str">
        <f>"12.2649"</f>
        <v>12.2649</v>
      </c>
      <c r="C2086" t="str">
        <f>"12.3225"</f>
        <v>12.3225</v>
      </c>
    </row>
    <row r="2087" spans="1:3" x14ac:dyDescent="0.25">
      <c r="A2087" t="str">
        <f>"19/01/2018"</f>
        <v>19/01/2018</v>
      </c>
      <c r="B2087" t="str">
        <f>"12.1935"</f>
        <v>12.1935</v>
      </c>
      <c r="C2087" t="str">
        <f>"12.2515"</f>
        <v>12.2515</v>
      </c>
    </row>
    <row r="2088" spans="1:3" x14ac:dyDescent="0.25">
      <c r="A2088" t="str">
        <f>"22/01/2018"</f>
        <v>22/01/2018</v>
      </c>
      <c r="B2088" t="str">
        <f>"12.0566"</f>
        <v>12.0566</v>
      </c>
      <c r="C2088" t="str">
        <f>"12.1175"</f>
        <v>12.1175</v>
      </c>
    </row>
    <row r="2089" spans="1:3" x14ac:dyDescent="0.25">
      <c r="A2089" t="str">
        <f>"23/01/2018"</f>
        <v>23/01/2018</v>
      </c>
      <c r="B2089" t="str">
        <f>"12.1464"</f>
        <v>12.1464</v>
      </c>
      <c r="C2089" t="str">
        <f>"12.206"</f>
        <v>12.206</v>
      </c>
    </row>
    <row r="2090" spans="1:3" x14ac:dyDescent="0.25">
      <c r="A2090" t="str">
        <f>"24/01/2018"</f>
        <v>24/01/2018</v>
      </c>
      <c r="B2090" t="str">
        <f>"11.9871"</f>
        <v>11.9871</v>
      </c>
      <c r="C2090" t="str">
        <f>"12.0439"</f>
        <v>12.0439</v>
      </c>
    </row>
    <row r="2091" spans="1:3" x14ac:dyDescent="0.25">
      <c r="A2091" t="str">
        <f>"25/01/2018"</f>
        <v>25/01/2018</v>
      </c>
      <c r="B2091" t="str">
        <f>"11.864"</f>
        <v>11.864</v>
      </c>
      <c r="C2091" t="str">
        <f>"11.9182"</f>
        <v>11.9182</v>
      </c>
    </row>
    <row r="2092" spans="1:3" x14ac:dyDescent="0.25">
      <c r="A2092" t="str">
        <f>"29/01/2018"</f>
        <v>29/01/2018</v>
      </c>
      <c r="B2092" t="str">
        <f>"11.9795"</f>
        <v>11.9795</v>
      </c>
      <c r="C2092" t="str">
        <f>"12.0309"</f>
        <v>12.0309</v>
      </c>
    </row>
    <row r="2093" spans="1:3" x14ac:dyDescent="0.25">
      <c r="A2093" t="str">
        <f>"30/01/2018"</f>
        <v>30/01/2018</v>
      </c>
      <c r="B2093" t="str">
        <f>"11.8903"</f>
        <v>11.8903</v>
      </c>
      <c r="C2093" t="str">
        <f>"11.9411"</f>
        <v>11.9411</v>
      </c>
    </row>
    <row r="2094" spans="1:3" x14ac:dyDescent="0.25">
      <c r="A2094" t="str">
        <f>"31/01/2018"</f>
        <v>31/01/2018</v>
      </c>
      <c r="B2094" t="str">
        <f>"11.8941"</f>
        <v>11.8941</v>
      </c>
      <c r="C2094" t="str">
        <f>"11.8848"</f>
        <v>11.8848</v>
      </c>
    </row>
    <row r="2095" spans="1:3" x14ac:dyDescent="0.25">
      <c r="A2095" t="str">
        <f>"01/02/2018"</f>
        <v>01/02/2018</v>
      </c>
      <c r="B2095" t="str">
        <f>"11.927"</f>
        <v>11.927</v>
      </c>
      <c r="C2095" t="str">
        <f>"11.9783"</f>
        <v>11.9783</v>
      </c>
    </row>
    <row r="2096" spans="1:3" x14ac:dyDescent="0.25">
      <c r="A2096" t="str">
        <f>"02/02/2018"</f>
        <v>02/02/2018</v>
      </c>
      <c r="B2096" t="str">
        <f>"11.9669"</f>
        <v>11.9669</v>
      </c>
      <c r="C2096" t="str">
        <f>"12.0184"</f>
        <v>12.0184</v>
      </c>
    </row>
    <row r="2097" spans="1:3" x14ac:dyDescent="0.25">
      <c r="A2097" t="str">
        <f>"05/02/2018"</f>
        <v>05/02/2018</v>
      </c>
      <c r="B2097" t="str">
        <f>"12.0406"</f>
        <v>12.0406</v>
      </c>
      <c r="C2097" t="str">
        <f>"12.0923"</f>
        <v>12.0923</v>
      </c>
    </row>
    <row r="2098" spans="1:3" x14ac:dyDescent="0.25">
      <c r="A2098" t="str">
        <f>"06/02/2018"</f>
        <v>06/02/2018</v>
      </c>
      <c r="B2098" t="str">
        <f>"12.1034"</f>
        <v>12.1034</v>
      </c>
      <c r="C2098" t="str">
        <f>"12.1545"</f>
        <v>12.1545</v>
      </c>
    </row>
    <row r="2099" spans="1:3" x14ac:dyDescent="0.25">
      <c r="A2099" t="str">
        <f>"07/02/2018"</f>
        <v>07/02/2018</v>
      </c>
      <c r="B2099" t="str">
        <f>"11.9719"</f>
        <v>11.9719</v>
      </c>
      <c r="C2099" t="str">
        <f>"12.0227"</f>
        <v>12.0227</v>
      </c>
    </row>
    <row r="2100" spans="1:3" x14ac:dyDescent="0.25">
      <c r="A2100" t="str">
        <f>"08/02/2018"</f>
        <v>08/02/2018</v>
      </c>
      <c r="B2100" t="str">
        <f>"12.1196"</f>
        <v>12.1196</v>
      </c>
      <c r="C2100" t="str">
        <f>"12.1712"</f>
        <v>12.1712</v>
      </c>
    </row>
    <row r="2101" spans="1:3" x14ac:dyDescent="0.25">
      <c r="A2101" t="str">
        <f>"09/02/2018"</f>
        <v>09/02/2018</v>
      </c>
      <c r="B2101" t="str">
        <f>"12.101"</f>
        <v>12.101</v>
      </c>
      <c r="C2101" t="str">
        <f>"12.1523"</f>
        <v>12.1523</v>
      </c>
    </row>
    <row r="2102" spans="1:3" x14ac:dyDescent="0.25">
      <c r="A2102" t="str">
        <f>"12/02/2018"</f>
        <v>12/02/2018</v>
      </c>
      <c r="B2102" t="str">
        <f>"11.9509"</f>
        <v>11.9509</v>
      </c>
      <c r="C2102" t="str">
        <f>"12.0015"</f>
        <v>12.0015</v>
      </c>
    </row>
    <row r="2103" spans="1:3" x14ac:dyDescent="0.25">
      <c r="A2103" t="str">
        <f>"14/02/2018"</f>
        <v>14/02/2018</v>
      </c>
      <c r="B2103" t="str">
        <f>"11.8197"</f>
        <v>11.8197</v>
      </c>
      <c r="C2103" t="str">
        <f>"11.8698"</f>
        <v>11.8698</v>
      </c>
    </row>
    <row r="2104" spans="1:3" x14ac:dyDescent="0.25">
      <c r="A2104" t="str">
        <f>"15/02/2018"</f>
        <v>15/02/2018</v>
      </c>
      <c r="B2104" t="str">
        <f>"11.6749"</f>
        <v>11.6749</v>
      </c>
      <c r="C2104" t="str">
        <f>"11.7245"</f>
        <v>11.7245</v>
      </c>
    </row>
    <row r="2105" spans="1:3" x14ac:dyDescent="0.25">
      <c r="A2105" t="str">
        <f>"16/02/2018"</f>
        <v>16/02/2018</v>
      </c>
      <c r="B2105" t="str">
        <f>"11.6311"</f>
        <v>11.6311</v>
      </c>
      <c r="C2105" t="str">
        <f>"11.6807"</f>
        <v>11.6807</v>
      </c>
    </row>
    <row r="2106" spans="1:3" x14ac:dyDescent="0.25">
      <c r="A2106" t="str">
        <f>"20/02/2018"</f>
        <v>20/02/2018</v>
      </c>
      <c r="B2106" t="str">
        <f>"11.7623"</f>
        <v>11.7623</v>
      </c>
      <c r="C2106" t="str">
        <f>"11.8125"</f>
        <v>11.8125</v>
      </c>
    </row>
    <row r="2107" spans="1:3" x14ac:dyDescent="0.25">
      <c r="A2107" t="str">
        <f>"21/02/2018"</f>
        <v>21/02/2018</v>
      </c>
      <c r="B2107" t="str">
        <f>"11.7365"</f>
        <v>11.7365</v>
      </c>
      <c r="C2107" t="str">
        <f>"11.7864"</f>
        <v>11.7864</v>
      </c>
    </row>
    <row r="2108" spans="1:3" x14ac:dyDescent="0.25">
      <c r="A2108" t="str">
        <f>"22/02/2018"</f>
        <v>22/02/2018</v>
      </c>
      <c r="B2108" t="str">
        <f>"11.6991"</f>
        <v>11.6991</v>
      </c>
      <c r="C2108" t="str">
        <f>"11.7482"</f>
        <v>11.7482</v>
      </c>
    </row>
    <row r="2109" spans="1:3" x14ac:dyDescent="0.25">
      <c r="A2109" t="str">
        <f>"23/02/2018"</f>
        <v>23/02/2018</v>
      </c>
      <c r="B2109" t="str">
        <f>"11.6116"</f>
        <v>11.6116</v>
      </c>
      <c r="C2109" t="str">
        <f>"11.6603"</f>
        <v>11.6603</v>
      </c>
    </row>
    <row r="2110" spans="1:3" x14ac:dyDescent="0.25">
      <c r="A2110" t="str">
        <f>"26/02/2018"</f>
        <v>26/02/2018</v>
      </c>
      <c r="B2110" t="str">
        <f>"11.575"</f>
        <v>11.575</v>
      </c>
      <c r="C2110" t="str">
        <f>"11.6251"</f>
        <v>11.6251</v>
      </c>
    </row>
    <row r="2111" spans="1:3" x14ac:dyDescent="0.25">
      <c r="A2111" t="str">
        <f>"27/02/2018"</f>
        <v>27/02/2018</v>
      </c>
      <c r="B2111" t="str">
        <f>"11.6318"</f>
        <v>11.6318</v>
      </c>
      <c r="C2111" t="str">
        <f>"11.689"</f>
        <v>11.689</v>
      </c>
    </row>
    <row r="2112" spans="1:3" x14ac:dyDescent="0.25">
      <c r="A2112" t="str">
        <f>"28/02/2018"</f>
        <v>28/02/2018</v>
      </c>
      <c r="B2112" t="str">
        <f>"11.7913"</f>
        <v>11.7913</v>
      </c>
      <c r="C2112" t="str">
        <f>"11.7847"</f>
        <v>11.7847</v>
      </c>
    </row>
    <row r="2113" spans="1:3" x14ac:dyDescent="0.25">
      <c r="A2113" t="str">
        <f>"01/03/2018"</f>
        <v>01/03/2018</v>
      </c>
      <c r="B2113" t="str">
        <f>"11.8786"</f>
        <v>11.8786</v>
      </c>
      <c r="C2113" t="str">
        <f>"11.9342"</f>
        <v>11.9342</v>
      </c>
    </row>
    <row r="2114" spans="1:3" x14ac:dyDescent="0.25">
      <c r="A2114" t="str">
        <f>"05/03/2018"</f>
        <v>05/03/2018</v>
      </c>
      <c r="B2114" t="str">
        <f>"11.9349"</f>
        <v>11.9349</v>
      </c>
      <c r="C2114" t="str">
        <f>"11.9946"</f>
        <v>11.9946</v>
      </c>
    </row>
    <row r="2115" spans="1:3" x14ac:dyDescent="0.25">
      <c r="A2115" t="str">
        <f>"06/03/2018"</f>
        <v>06/03/2018</v>
      </c>
      <c r="B2115" t="str">
        <f>"11.7431"</f>
        <v>11.7431</v>
      </c>
      <c r="C2115" t="str">
        <f>"11.7998"</f>
        <v>11.7998</v>
      </c>
    </row>
    <row r="2116" spans="1:3" x14ac:dyDescent="0.25">
      <c r="A2116" t="str">
        <f>"07/03/2018"</f>
        <v>07/03/2018</v>
      </c>
      <c r="B2116" t="str">
        <f>"11.908"</f>
        <v>11.908</v>
      </c>
      <c r="C2116" t="str">
        <f>"11.9637"</f>
        <v>11.9637</v>
      </c>
    </row>
    <row r="2117" spans="1:3" x14ac:dyDescent="0.25">
      <c r="A2117" t="str">
        <f>"08/03/2018"</f>
        <v>08/03/2018</v>
      </c>
      <c r="B2117" t="str">
        <f>"11.93"</f>
        <v>11.93</v>
      </c>
      <c r="C2117" t="str">
        <f>"11.9852"</f>
        <v>11.9852</v>
      </c>
    </row>
    <row r="2118" spans="1:3" x14ac:dyDescent="0.25">
      <c r="A2118" t="str">
        <f>"09/03/2018"</f>
        <v>09/03/2018</v>
      </c>
      <c r="B2118" t="str">
        <f>"11.8997"</f>
        <v>11.8997</v>
      </c>
      <c r="C2118" t="str">
        <f>"11.9545"</f>
        <v>11.9545</v>
      </c>
    </row>
    <row r="2119" spans="1:3" x14ac:dyDescent="0.25">
      <c r="A2119" t="str">
        <f>"12/03/2018"</f>
        <v>12/03/2018</v>
      </c>
      <c r="B2119" t="str">
        <f>"11.8736"</f>
        <v>11.8736</v>
      </c>
      <c r="C2119" t="str">
        <f>"11.9311"</f>
        <v>11.9311</v>
      </c>
    </row>
    <row r="2120" spans="1:3" x14ac:dyDescent="0.25">
      <c r="A2120" t="str">
        <f>"13/03/2018"</f>
        <v>13/03/2018</v>
      </c>
      <c r="B2120" t="str">
        <f>"11.8543"</f>
        <v>11.8543</v>
      </c>
      <c r="C2120" t="str">
        <f>"11.9096"</f>
        <v>11.9096</v>
      </c>
    </row>
    <row r="2121" spans="1:3" x14ac:dyDescent="0.25">
      <c r="A2121" t="str">
        <f>"14/03/2018"</f>
        <v>14/03/2018</v>
      </c>
      <c r="B2121" t="str">
        <f>"11.7721"</f>
        <v>11.7721</v>
      </c>
      <c r="C2121" t="str">
        <f>"11.8251"</f>
        <v>11.8251</v>
      </c>
    </row>
    <row r="2122" spans="1:3" x14ac:dyDescent="0.25">
      <c r="A2122" t="str">
        <f>"15/03/2018"</f>
        <v>15/03/2018</v>
      </c>
      <c r="B2122" t="str">
        <f>"11.8513"</f>
        <v>11.8513</v>
      </c>
      <c r="C2122" t="str">
        <f>"11.9051"</f>
        <v>11.9051</v>
      </c>
    </row>
    <row r="2123" spans="1:3" x14ac:dyDescent="0.25">
      <c r="A2123" t="str">
        <f>"16/03/2018"</f>
        <v>16/03/2018</v>
      </c>
      <c r="B2123" t="str">
        <f>"11.9614"</f>
        <v>11.9614</v>
      </c>
      <c r="C2123" t="str">
        <f>"12.0153"</f>
        <v>12.0153</v>
      </c>
    </row>
    <row r="2124" spans="1:3" x14ac:dyDescent="0.25">
      <c r="A2124" t="str">
        <f>"19/03/2018"</f>
        <v>19/03/2018</v>
      </c>
      <c r="B2124" t="str">
        <f>"12.0673"</f>
        <v>12.0673</v>
      </c>
      <c r="C2124" t="str">
        <f>"12.1232"</f>
        <v>12.1232</v>
      </c>
    </row>
    <row r="2125" spans="1:3" x14ac:dyDescent="0.25">
      <c r="A2125" t="str">
        <f>"20/03/2018"</f>
        <v>20/03/2018</v>
      </c>
      <c r="B2125" t="str">
        <f>"11.9634"</f>
        <v>11.9634</v>
      </c>
      <c r="C2125" t="str">
        <f>"12.0164"</f>
        <v>12.0164</v>
      </c>
    </row>
    <row r="2126" spans="1:3" x14ac:dyDescent="0.25">
      <c r="A2126" t="str">
        <f>"21/03/2018"</f>
        <v>21/03/2018</v>
      </c>
      <c r="B2126" t="str">
        <f>"11.9946"</f>
        <v>11.9946</v>
      </c>
      <c r="C2126" t="str">
        <f>"12.0475"</f>
        <v>12.0475</v>
      </c>
    </row>
    <row r="2127" spans="1:3" x14ac:dyDescent="0.25">
      <c r="A2127" t="str">
        <f>"22/03/2018"</f>
        <v>22/03/2018</v>
      </c>
      <c r="B2127" t="str">
        <f>"11.8031"</f>
        <v>11.8031</v>
      </c>
      <c r="C2127" t="str">
        <f>"11.8547"</f>
        <v>11.8547</v>
      </c>
    </row>
    <row r="2128" spans="1:3" x14ac:dyDescent="0.25">
      <c r="A2128" t="str">
        <f>"23/03/2018"</f>
        <v>23/03/2018</v>
      </c>
      <c r="B2128" t="str">
        <f>"11.8002"</f>
        <v>11.8002</v>
      </c>
      <c r="C2128" t="str">
        <f>"11.8567"</f>
        <v>11.8567</v>
      </c>
    </row>
    <row r="2129" spans="1:3" x14ac:dyDescent="0.25">
      <c r="A2129" t="str">
        <f>"26/03/2018"</f>
        <v>26/03/2018</v>
      </c>
      <c r="B2129" t="str">
        <f>"11.662"</f>
        <v>11.662</v>
      </c>
      <c r="C2129" t="str">
        <f>"11.7158"</f>
        <v>11.7158</v>
      </c>
    </row>
    <row r="2130" spans="1:3" x14ac:dyDescent="0.25">
      <c r="A2130" t="str">
        <f>"27/03/2018"</f>
        <v>27/03/2018</v>
      </c>
      <c r="B2130" t="str">
        <f>"11.6807"</f>
        <v>11.6807</v>
      </c>
      <c r="C2130" t="str">
        <f>"11.7342"</f>
        <v>11.7342</v>
      </c>
    </row>
    <row r="2131" spans="1:3" x14ac:dyDescent="0.25">
      <c r="A2131" t="str">
        <f>"28/03/2018"</f>
        <v>28/03/2018</v>
      </c>
      <c r="B2131" t="str">
        <f>"11.7656"</f>
        <v>11.7656</v>
      </c>
      <c r="C2131" t="str">
        <f>"11.7363"</f>
        <v>11.7363</v>
      </c>
    </row>
    <row r="2132" spans="1:3" x14ac:dyDescent="0.25">
      <c r="A2132" t="str">
        <f>"03/04/2018"</f>
        <v>03/04/2018</v>
      </c>
      <c r="B2132" t="str">
        <f>"11.8508"</f>
        <v>11.8508</v>
      </c>
      <c r="C2132" t="str">
        <f>"11.9059"</f>
        <v>11.9059</v>
      </c>
    </row>
    <row r="2133" spans="1:3" x14ac:dyDescent="0.25">
      <c r="A2133" t="str">
        <f>"04/04/2018"</f>
        <v>04/04/2018</v>
      </c>
      <c r="B2133" t="str">
        <f>"11.9403"</f>
        <v>11.9403</v>
      </c>
      <c r="C2133" t="str">
        <f>"11.994"</f>
        <v>11.994</v>
      </c>
    </row>
    <row r="2134" spans="1:3" x14ac:dyDescent="0.25">
      <c r="A2134" t="str">
        <f>"05/04/2018"</f>
        <v>05/04/2018</v>
      </c>
      <c r="B2134" t="str">
        <f>"11.9185"</f>
        <v>11.9185</v>
      </c>
      <c r="C2134" t="str">
        <f>"11.9693"</f>
        <v>11.9693</v>
      </c>
    </row>
    <row r="2135" spans="1:3" x14ac:dyDescent="0.25">
      <c r="A2135" t="str">
        <f>"06/04/2018"</f>
        <v>06/04/2018</v>
      </c>
      <c r="B2135" t="str">
        <f>"12.0872"</f>
        <v>12.0872</v>
      </c>
      <c r="C2135" t="str">
        <f>"12.1382"</f>
        <v>12.1382</v>
      </c>
    </row>
    <row r="2136" spans="1:3" x14ac:dyDescent="0.25">
      <c r="A2136" t="str">
        <f>"09/04/2018"</f>
        <v>09/04/2018</v>
      </c>
      <c r="B2136" t="str">
        <f>"11.993"</f>
        <v>11.993</v>
      </c>
      <c r="C2136" t="str">
        <f>"12.044"</f>
        <v>12.044</v>
      </c>
    </row>
    <row r="2137" spans="1:3" x14ac:dyDescent="0.25">
      <c r="A2137" t="str">
        <f>"10/04/2018"</f>
        <v>10/04/2018</v>
      </c>
      <c r="B2137" t="str">
        <f>"12.0545"</f>
        <v>12.0545</v>
      </c>
      <c r="C2137" t="str">
        <f>"12.1084"</f>
        <v>12.1084</v>
      </c>
    </row>
    <row r="2138" spans="1:3" x14ac:dyDescent="0.25">
      <c r="A2138" t="str">
        <f>"11/04/2018"</f>
        <v>11/04/2018</v>
      </c>
      <c r="B2138" t="str">
        <f>"12.1127"</f>
        <v>12.1127</v>
      </c>
      <c r="C2138" t="str">
        <f>"12.164"</f>
        <v>12.164</v>
      </c>
    </row>
    <row r="2139" spans="1:3" x14ac:dyDescent="0.25">
      <c r="A2139" t="str">
        <f>"12/04/2018"</f>
        <v>12/04/2018</v>
      </c>
      <c r="B2139" t="str">
        <f>"11.9842"</f>
        <v>11.9842</v>
      </c>
      <c r="C2139" t="str">
        <f>"12.0333"</f>
        <v>12.0333</v>
      </c>
    </row>
    <row r="2140" spans="1:3" x14ac:dyDescent="0.25">
      <c r="A2140" t="str">
        <f>"13/04/2018"</f>
        <v>13/04/2018</v>
      </c>
      <c r="B2140" t="str">
        <f>"12.0523"</f>
        <v>12.0523</v>
      </c>
      <c r="C2140" t="str">
        <f>"12.102"</f>
        <v>12.102</v>
      </c>
    </row>
    <row r="2141" spans="1:3" x14ac:dyDescent="0.25">
      <c r="A2141" t="str">
        <f>"16/04/2018"</f>
        <v>16/04/2018</v>
      </c>
      <c r="B2141" t="str">
        <f>"12.0767"</f>
        <v>12.0767</v>
      </c>
      <c r="C2141" t="str">
        <f>"12.1269"</f>
        <v>12.1269</v>
      </c>
    </row>
    <row r="2142" spans="1:3" x14ac:dyDescent="0.25">
      <c r="A2142" t="str">
        <f>"17/04/2018"</f>
        <v>17/04/2018</v>
      </c>
      <c r="B2142" t="str">
        <f>"12.0285"</f>
        <v>12.0285</v>
      </c>
      <c r="C2142" t="str">
        <f>"12.0817"</f>
        <v>12.0817</v>
      </c>
    </row>
    <row r="2143" spans="1:3" x14ac:dyDescent="0.25">
      <c r="A2143" t="str">
        <f>"18/04/2018"</f>
        <v>18/04/2018</v>
      </c>
      <c r="B2143" t="str">
        <f>"11.9792"</f>
        <v>11.9792</v>
      </c>
      <c r="C2143" t="str">
        <f>"12.0309"</f>
        <v>12.0309</v>
      </c>
    </row>
    <row r="2144" spans="1:3" x14ac:dyDescent="0.25">
      <c r="A2144" t="str">
        <f>"19/04/2018"</f>
        <v>19/04/2018</v>
      </c>
      <c r="B2144" t="str">
        <f>"11.9393"</f>
        <v>11.9393</v>
      </c>
      <c r="C2144" t="str">
        <f>"11.989"</f>
        <v>11.989</v>
      </c>
    </row>
    <row r="2145" spans="1:3" x14ac:dyDescent="0.25">
      <c r="A2145" t="str">
        <f>"20/04/2018"</f>
        <v>20/04/2018</v>
      </c>
      <c r="B2145" t="str">
        <f>"12.0194"</f>
        <v>12.0194</v>
      </c>
      <c r="C2145" t="str">
        <f>"12.0698"</f>
        <v>12.0698</v>
      </c>
    </row>
    <row r="2146" spans="1:3" x14ac:dyDescent="0.25">
      <c r="A2146" t="str">
        <f>"23/04/2018"</f>
        <v>23/04/2018</v>
      </c>
      <c r="B2146" t="str">
        <f>"12.2464"</f>
        <v>12.2464</v>
      </c>
      <c r="C2146" t="str">
        <f>"12.2981"</f>
        <v>12.2981</v>
      </c>
    </row>
    <row r="2147" spans="1:3" x14ac:dyDescent="0.25">
      <c r="A2147" t="str">
        <f>"24/04/2018"</f>
        <v>24/04/2018</v>
      </c>
      <c r="B2147" t="str">
        <f>"12.3186"</f>
        <v>12.3186</v>
      </c>
      <c r="C2147" t="str">
        <f>"12.376"</f>
        <v>12.376</v>
      </c>
    </row>
    <row r="2148" spans="1:3" x14ac:dyDescent="0.25">
      <c r="A2148" t="str">
        <f>"25/04/2018"</f>
        <v>25/04/2018</v>
      </c>
      <c r="B2148" t="str">
        <f>"12.47"</f>
        <v>12.47</v>
      </c>
      <c r="C2148" t="str">
        <f>"12.5248"</f>
        <v>12.5248</v>
      </c>
    </row>
    <row r="2149" spans="1:3" x14ac:dyDescent="0.25">
      <c r="A2149" t="str">
        <f>"26/04/2018"</f>
        <v>26/04/2018</v>
      </c>
      <c r="B2149" t="str">
        <f>"12.3899"</f>
        <v>12.3899</v>
      </c>
      <c r="C2149" t="str">
        <f>"12.4461"</f>
        <v>12.4461</v>
      </c>
    </row>
    <row r="2150" spans="1:3" x14ac:dyDescent="0.25">
      <c r="A2150" t="str">
        <f>"27/04/2018"</f>
        <v>27/04/2018</v>
      </c>
      <c r="B2150" t="str">
        <f>"12.3923"</f>
        <v>12.3923</v>
      </c>
      <c r="C2150" t="str">
        <f>"12.4484"</f>
        <v>12.4484</v>
      </c>
    </row>
    <row r="2151" spans="1:3" x14ac:dyDescent="0.25">
      <c r="A2151" t="str">
        <f>"02/05/2018"</f>
        <v>02/05/2018</v>
      </c>
      <c r="B2151" t="str">
        <f>"12.6271"</f>
        <v>12.6271</v>
      </c>
      <c r="C2151" t="str">
        <f>"12.6794"</f>
        <v>12.6794</v>
      </c>
    </row>
    <row r="2152" spans="1:3" x14ac:dyDescent="0.25">
      <c r="A2152" t="str">
        <f>"03/05/2018"</f>
        <v>03/05/2018</v>
      </c>
      <c r="B2152" t="str">
        <f>"12.6264"</f>
        <v>12.6264</v>
      </c>
      <c r="C2152" t="str">
        <f>"12.6784"</f>
        <v>12.6784</v>
      </c>
    </row>
    <row r="2153" spans="1:3" x14ac:dyDescent="0.25">
      <c r="A2153" t="str">
        <f>"04/05/2018"</f>
        <v>04/05/2018</v>
      </c>
      <c r="B2153" t="str">
        <f>"12.6261"</f>
        <v>12.6261</v>
      </c>
      <c r="C2153" t="str">
        <f>"12.6789"</f>
        <v>12.6789</v>
      </c>
    </row>
    <row r="2154" spans="1:3" x14ac:dyDescent="0.25">
      <c r="A2154" t="str">
        <f>"07/05/2018"</f>
        <v>07/05/2018</v>
      </c>
      <c r="B2154" t="str">
        <f>"12.5618"</f>
        <v>12.5618</v>
      </c>
      <c r="C2154" t="str">
        <f>"12.6177"</f>
        <v>12.6177</v>
      </c>
    </row>
    <row r="2155" spans="1:3" x14ac:dyDescent="0.25">
      <c r="A2155" t="str">
        <f>"08/05/2018"</f>
        <v>08/05/2018</v>
      </c>
      <c r="B2155" t="str">
        <f>"12.5373"</f>
        <v>12.5373</v>
      </c>
      <c r="C2155" t="str">
        <f>"12.5916"</f>
        <v>12.5916</v>
      </c>
    </row>
    <row r="2156" spans="1:3" x14ac:dyDescent="0.25">
      <c r="A2156" t="str">
        <f>"09/05/2018"</f>
        <v>09/05/2018</v>
      </c>
      <c r="B2156" t="str">
        <f>"12.5827"</f>
        <v>12.5827</v>
      </c>
      <c r="C2156" t="str">
        <f>"12.6359"</f>
        <v>12.6359</v>
      </c>
    </row>
    <row r="2157" spans="1:3" x14ac:dyDescent="0.25">
      <c r="A2157" t="str">
        <f>"10/05/2018"</f>
        <v>10/05/2018</v>
      </c>
      <c r="B2157" t="str">
        <f>"12.3801"</f>
        <v>12.3801</v>
      </c>
      <c r="C2157" t="str">
        <f>"12.4319"</f>
        <v>12.4319</v>
      </c>
    </row>
    <row r="2158" spans="1:3" x14ac:dyDescent="0.25">
      <c r="A2158" t="str">
        <f>"11/05/2018"</f>
        <v>11/05/2018</v>
      </c>
      <c r="B2158" t="str">
        <f>"12.3086"</f>
        <v>12.3086</v>
      </c>
      <c r="C2158" t="str">
        <f>"12.3605"</f>
        <v>12.3605</v>
      </c>
    </row>
    <row r="2159" spans="1:3" x14ac:dyDescent="0.25">
      <c r="A2159" t="str">
        <f>"14/05/2018"</f>
        <v>14/05/2018</v>
      </c>
      <c r="B2159" t="str">
        <f>"12.2913"</f>
        <v>12.2913</v>
      </c>
      <c r="C2159" t="str">
        <f>"12.3463"</f>
        <v>12.3463</v>
      </c>
    </row>
    <row r="2160" spans="1:3" x14ac:dyDescent="0.25">
      <c r="A2160" t="str">
        <f>"15/05/2018"</f>
        <v>15/05/2018</v>
      </c>
      <c r="B2160" t="str">
        <f>"12.4982"</f>
        <v>12.4982</v>
      </c>
      <c r="C2160" t="str">
        <f>"12.5529"</f>
        <v>12.5529</v>
      </c>
    </row>
    <row r="2161" spans="1:3" x14ac:dyDescent="0.25">
      <c r="A2161" t="str">
        <f>"16/05/2018"</f>
        <v>16/05/2018</v>
      </c>
      <c r="B2161" t="str">
        <f>"12.5443"</f>
        <v>12.5443</v>
      </c>
      <c r="C2161" t="str">
        <f>"12.597"</f>
        <v>12.597</v>
      </c>
    </row>
    <row r="2162" spans="1:3" x14ac:dyDescent="0.25">
      <c r="A2162" t="str">
        <f>"17/05/2018"</f>
        <v>17/05/2018</v>
      </c>
      <c r="B2162" t="str">
        <f>"12.5058"</f>
        <v>12.5058</v>
      </c>
      <c r="C2162" t="str">
        <f>"12.5587"</f>
        <v>12.5587</v>
      </c>
    </row>
    <row r="2163" spans="1:3" x14ac:dyDescent="0.25">
      <c r="A2163" t="str">
        <f>"18/05/2018"</f>
        <v>18/05/2018</v>
      </c>
      <c r="B2163" t="str">
        <f>"12.6855"</f>
        <v>12.6855</v>
      </c>
      <c r="C2163" t="str">
        <f>"12.7393"</f>
        <v>12.7393</v>
      </c>
    </row>
    <row r="2164" spans="1:3" x14ac:dyDescent="0.25">
      <c r="A2164" t="str">
        <f>"21/05/2018"</f>
        <v>21/05/2018</v>
      </c>
      <c r="B2164" t="str">
        <f>"12.8275"</f>
        <v>12.8275</v>
      </c>
      <c r="C2164" t="str">
        <f>"12.8857"</f>
        <v>12.8857</v>
      </c>
    </row>
    <row r="2165" spans="1:3" x14ac:dyDescent="0.25">
      <c r="A2165" t="str">
        <f>"22/05/2018"</f>
        <v>22/05/2018</v>
      </c>
      <c r="B2165" t="str">
        <f>"12.5546"</f>
        <v>12.5546</v>
      </c>
      <c r="C2165" t="str">
        <f>"12.6093"</f>
        <v>12.6093</v>
      </c>
    </row>
    <row r="2166" spans="1:3" x14ac:dyDescent="0.25">
      <c r="A2166" t="str">
        <f>"23/05/2018"</f>
        <v>23/05/2018</v>
      </c>
      <c r="B2166" t="str">
        <f>"12.654"</f>
        <v>12.654</v>
      </c>
      <c r="C2166" t="str">
        <f>"12.7072"</f>
        <v>12.7072</v>
      </c>
    </row>
    <row r="2167" spans="1:3" x14ac:dyDescent="0.25">
      <c r="A2167" t="str">
        <f>"24/05/2018"</f>
        <v>24/05/2018</v>
      </c>
      <c r="B2167" t="str">
        <f>"12.4441"</f>
        <v>12.4441</v>
      </c>
      <c r="C2167" t="str">
        <f>"12.4961"</f>
        <v>12.4961</v>
      </c>
    </row>
    <row r="2168" spans="1:3" x14ac:dyDescent="0.25">
      <c r="A2168" t="str">
        <f>"25/05/2018"</f>
        <v>25/05/2018</v>
      </c>
      <c r="B2168" t="str">
        <f>"12.5088"</f>
        <v>12.5088</v>
      </c>
      <c r="C2168" t="str">
        <f>"12.561"</f>
        <v>12.561</v>
      </c>
    </row>
    <row r="2169" spans="1:3" x14ac:dyDescent="0.25">
      <c r="A2169" t="str">
        <f>"28/05/2018"</f>
        <v>28/05/2018</v>
      </c>
      <c r="B2169" t="str">
        <f>"12.4444"</f>
        <v>12.4444</v>
      </c>
      <c r="C2169" t="str">
        <f>"12.4945"</f>
        <v>12.4945</v>
      </c>
    </row>
    <row r="2170" spans="1:3" x14ac:dyDescent="0.25">
      <c r="A2170" t="str">
        <f>"29/05/2018"</f>
        <v>29/05/2018</v>
      </c>
      <c r="B2170" t="str">
        <f>"12.6644"</f>
        <v>12.6644</v>
      </c>
      <c r="C2170" t="str">
        <f>"12.714"</f>
        <v>12.714</v>
      </c>
    </row>
    <row r="2171" spans="1:3" x14ac:dyDescent="0.25">
      <c r="A2171" t="str">
        <f>"30/05/2018"</f>
        <v>30/05/2018</v>
      </c>
      <c r="B2171" t="str">
        <f>"12.68"</f>
        <v>12.68</v>
      </c>
      <c r="C2171" t="str">
        <f>"12.7333"</f>
        <v>12.7333</v>
      </c>
    </row>
    <row r="2172" spans="1:3" x14ac:dyDescent="0.25">
      <c r="A2172" t="str">
        <f>"31/05/2018"</f>
        <v>31/05/2018</v>
      </c>
      <c r="B2172" t="str">
        <f>"12.6887"</f>
        <v>12.6887</v>
      </c>
      <c r="C2172" t="str">
        <f>"12.6173"</f>
        <v>12.6173</v>
      </c>
    </row>
    <row r="2173" spans="1:3" x14ac:dyDescent="0.25">
      <c r="A2173" t="str">
        <f>"01/06/2018"</f>
        <v>01/06/2018</v>
      </c>
      <c r="B2173" t="str">
        <f>"12.6551"</f>
        <v>12.6551</v>
      </c>
      <c r="C2173" t="str">
        <f>"12.706"</f>
        <v>12.706</v>
      </c>
    </row>
    <row r="2174" spans="1:3" x14ac:dyDescent="0.25">
      <c r="A2174" t="str">
        <f>"04/06/2018"</f>
        <v>04/06/2018</v>
      </c>
      <c r="B2174" t="str">
        <f>"12.5709"</f>
        <v>12.5709</v>
      </c>
      <c r="C2174" t="str">
        <f>"12.6213"</f>
        <v>12.6213</v>
      </c>
    </row>
    <row r="2175" spans="1:3" x14ac:dyDescent="0.25">
      <c r="A2175" t="str">
        <f>"05/06/2018"</f>
        <v>05/06/2018</v>
      </c>
      <c r="B2175" t="str">
        <f>"12.6738"</f>
        <v>12.6738</v>
      </c>
      <c r="C2175" t="str">
        <f>"12.7276"</f>
        <v>12.7276</v>
      </c>
    </row>
    <row r="2176" spans="1:3" x14ac:dyDescent="0.25">
      <c r="A2176" t="str">
        <f>"06/06/2018"</f>
        <v>06/06/2018</v>
      </c>
      <c r="B2176" t="str">
        <f>"12.7717"</f>
        <v>12.7717</v>
      </c>
      <c r="C2176" t="str">
        <f>"12.8242"</f>
        <v>12.8242</v>
      </c>
    </row>
    <row r="2177" spans="1:3" x14ac:dyDescent="0.25">
      <c r="A2177" t="str">
        <f>"07/06/2018"</f>
        <v>07/06/2018</v>
      </c>
      <c r="B2177" t="str">
        <f>"12.8175"</f>
        <v>12.8175</v>
      </c>
      <c r="C2177" t="str">
        <f>"12.8682"</f>
        <v>12.8682</v>
      </c>
    </row>
    <row r="2178" spans="1:3" x14ac:dyDescent="0.25">
      <c r="A2178" t="str">
        <f>"08/06/2018"</f>
        <v>08/06/2018</v>
      </c>
      <c r="B2178" t="str">
        <f>"13.1342"</f>
        <v>13.1342</v>
      </c>
      <c r="C2178" t="str">
        <f>"13.1867"</f>
        <v>13.1867</v>
      </c>
    </row>
    <row r="2179" spans="1:3" x14ac:dyDescent="0.25">
      <c r="A2179" t="str">
        <f>"11/06/2018"</f>
        <v>11/06/2018</v>
      </c>
      <c r="B2179" t="str">
        <f>"13.1303"</f>
        <v>13.1303</v>
      </c>
      <c r="C2179" t="str">
        <f>"13.1828"</f>
        <v>13.1828</v>
      </c>
    </row>
    <row r="2180" spans="1:3" x14ac:dyDescent="0.25">
      <c r="A2180" t="str">
        <f>"12/06/2018"</f>
        <v>12/06/2018</v>
      </c>
      <c r="B2180" t="str">
        <f>"13.1903"</f>
        <v>13.1903</v>
      </c>
      <c r="C2180" t="str">
        <f>"13.2464"</f>
        <v>13.2464</v>
      </c>
    </row>
    <row r="2181" spans="1:3" x14ac:dyDescent="0.25">
      <c r="A2181" t="str">
        <f>"13/06/2018"</f>
        <v>13/06/2018</v>
      </c>
      <c r="B2181" t="str">
        <f>"13.2875"</f>
        <v>13.2875</v>
      </c>
      <c r="C2181" t="str">
        <f>"13.3415"</f>
        <v>13.3415</v>
      </c>
    </row>
    <row r="2182" spans="1:3" x14ac:dyDescent="0.25">
      <c r="A2182" t="str">
        <f>"14/06/2018"</f>
        <v>14/06/2018</v>
      </c>
      <c r="B2182" t="str">
        <f>"13.2071"</f>
        <v>13.2071</v>
      </c>
      <c r="C2182" t="str">
        <f>"13.2578"</f>
        <v>13.2578</v>
      </c>
    </row>
    <row r="2183" spans="1:3" x14ac:dyDescent="0.25">
      <c r="A2183" t="str">
        <f>"15/06/2018"</f>
        <v>15/06/2018</v>
      </c>
      <c r="B2183" t="str">
        <f>"13.4156"</f>
        <v>13.4156</v>
      </c>
      <c r="C2183" t="str">
        <f>"13.4672"</f>
        <v>13.4672</v>
      </c>
    </row>
    <row r="2184" spans="1:3" x14ac:dyDescent="0.25">
      <c r="A2184" t="str">
        <f>"18/06/2018"</f>
        <v>18/06/2018</v>
      </c>
      <c r="B2184" t="str">
        <f>"13.4658"</f>
        <v>13.4658</v>
      </c>
      <c r="C2184" t="str">
        <f>"13.5179"</f>
        <v>13.5179</v>
      </c>
    </row>
    <row r="2185" spans="1:3" x14ac:dyDescent="0.25">
      <c r="A2185" t="str">
        <f>"19/06/2018"</f>
        <v>19/06/2018</v>
      </c>
      <c r="B2185" t="str">
        <f>"13.8955"</f>
        <v>13.8955</v>
      </c>
      <c r="C2185" t="str">
        <f>"13.9533"</f>
        <v>13.9533</v>
      </c>
    </row>
    <row r="2186" spans="1:3" x14ac:dyDescent="0.25">
      <c r="A2186" t="str">
        <f>"20/06/2018"</f>
        <v>20/06/2018</v>
      </c>
      <c r="B2186" t="str">
        <f>"13.6853"</f>
        <v>13.6853</v>
      </c>
      <c r="C2186" t="str">
        <f>"13.7396"</f>
        <v>13.7396</v>
      </c>
    </row>
    <row r="2187" spans="1:3" x14ac:dyDescent="0.25">
      <c r="A2187" t="str">
        <f>"21/06/2018"</f>
        <v>21/06/2018</v>
      </c>
      <c r="B2187" t="str">
        <f>"13.6951"</f>
        <v>13.6951</v>
      </c>
      <c r="C2187" t="str">
        <f>"13.7478"</f>
        <v>13.7478</v>
      </c>
    </row>
    <row r="2188" spans="1:3" x14ac:dyDescent="0.25">
      <c r="A2188" t="str">
        <f>"22/06/2018"</f>
        <v>22/06/2018</v>
      </c>
      <c r="B2188" t="str">
        <f>"13.5304"</f>
        <v>13.5304</v>
      </c>
      <c r="C2188" t="str">
        <f>"13.582"</f>
        <v>13.582</v>
      </c>
    </row>
    <row r="2189" spans="1:3" x14ac:dyDescent="0.25">
      <c r="A2189" t="str">
        <f>"25/06/2018"</f>
        <v>25/06/2018</v>
      </c>
      <c r="B2189" t="str">
        <f>"13.5392"</f>
        <v>13.5392</v>
      </c>
      <c r="C2189" t="str">
        <f>"13.5911"</f>
        <v>13.5911</v>
      </c>
    </row>
    <row r="2190" spans="1:3" x14ac:dyDescent="0.25">
      <c r="A2190" t="str">
        <f>"26/06/2018"</f>
        <v>26/06/2018</v>
      </c>
      <c r="B2190" t="str">
        <f>"13.5624"</f>
        <v>13.5624</v>
      </c>
      <c r="C2190" t="str">
        <f>"13.6179"</f>
        <v>13.6179</v>
      </c>
    </row>
    <row r="2191" spans="1:3" x14ac:dyDescent="0.25">
      <c r="A2191" t="str">
        <f>"27/06/2018"</f>
        <v>27/06/2018</v>
      </c>
      <c r="B2191" t="str">
        <f>"13.7022"</f>
        <v>13.7022</v>
      </c>
      <c r="C2191" t="str">
        <f>"13.7578"</f>
        <v>13.7578</v>
      </c>
    </row>
    <row r="2192" spans="1:3" x14ac:dyDescent="0.25">
      <c r="A2192" t="str">
        <f>"28/06/2018"</f>
        <v>28/06/2018</v>
      </c>
      <c r="B2192" t="str">
        <f>"13.8484"</f>
        <v>13.8484</v>
      </c>
      <c r="C2192" t="str">
        <f>"13.9032"</f>
        <v>13.9032</v>
      </c>
    </row>
    <row r="2193" spans="1:3" x14ac:dyDescent="0.25">
      <c r="A2193" t="str">
        <f>"29/06/2018"</f>
        <v>29/06/2018</v>
      </c>
      <c r="B2193" t="str">
        <f>"13.7483"</f>
        <v>13.7483</v>
      </c>
      <c r="C2193" t="str">
        <f>"13.8411"</f>
        <v>13.8411</v>
      </c>
    </row>
    <row r="2194" spans="1:3" x14ac:dyDescent="0.25">
      <c r="A2194" t="str">
        <f>"02/07/2018"</f>
        <v>02/07/2018</v>
      </c>
      <c r="B2194" t="str">
        <f>"13.8171"</f>
        <v>13.8171</v>
      </c>
      <c r="C2194" t="str">
        <f>"13.8731"</f>
        <v>13.8731</v>
      </c>
    </row>
    <row r="2195" spans="1:3" x14ac:dyDescent="0.25">
      <c r="A2195" t="str">
        <f>"03/07/2018"</f>
        <v>03/07/2018</v>
      </c>
      <c r="B2195" t="str">
        <f>"13.7255"</f>
        <v>13.7255</v>
      </c>
      <c r="C2195" t="str">
        <f>"13.7821"</f>
        <v>13.7821</v>
      </c>
    </row>
    <row r="2196" spans="1:3" x14ac:dyDescent="0.25">
      <c r="A2196" t="str">
        <f>"04/07/2018"</f>
        <v>04/07/2018</v>
      </c>
      <c r="B2196" t="str">
        <f>"13.7148"</f>
        <v>13.7148</v>
      </c>
      <c r="C2196" t="str">
        <f>"13.7697"</f>
        <v>13.7697</v>
      </c>
    </row>
    <row r="2197" spans="1:3" x14ac:dyDescent="0.25">
      <c r="A2197" t="str">
        <f>"05/07/2018"</f>
        <v>05/07/2018</v>
      </c>
      <c r="B2197" t="str">
        <f>"13.6261"</f>
        <v>13.6261</v>
      </c>
      <c r="C2197" t="str">
        <f>"13.6824"</f>
        <v>13.6824</v>
      </c>
    </row>
    <row r="2198" spans="1:3" x14ac:dyDescent="0.25">
      <c r="A2198" t="str">
        <f>"06/07/2018"</f>
        <v>06/07/2018</v>
      </c>
      <c r="B2198" t="str">
        <f>"13.6258"</f>
        <v>13.6258</v>
      </c>
      <c r="C2198" t="str">
        <f>"13.6806"</f>
        <v>13.6806</v>
      </c>
    </row>
    <row r="2199" spans="1:3" x14ac:dyDescent="0.25">
      <c r="A2199" t="str">
        <f>"09/07/2018"</f>
        <v>09/07/2018</v>
      </c>
      <c r="B2199" t="str">
        <f>"13.3325"</f>
        <v>13.3325</v>
      </c>
      <c r="C2199" t="str">
        <f>"13.3902"</f>
        <v>13.3902</v>
      </c>
    </row>
    <row r="2200" spans="1:3" x14ac:dyDescent="0.25">
      <c r="A2200" t="str">
        <f>"10/07/2018"</f>
        <v>10/07/2018</v>
      </c>
      <c r="B2200" t="str">
        <f>"13.466"</f>
        <v>13.466</v>
      </c>
      <c r="C2200" t="str">
        <f>"13.5226"</f>
        <v>13.5226</v>
      </c>
    </row>
    <row r="2201" spans="1:3" x14ac:dyDescent="0.25">
      <c r="A2201" t="str">
        <f>"11/07/2018"</f>
        <v>11/07/2018</v>
      </c>
      <c r="B2201" t="str">
        <f>"13.4454"</f>
        <v>13.4454</v>
      </c>
      <c r="C2201" t="str">
        <f>"13.50"</f>
        <v>13.50</v>
      </c>
    </row>
    <row r="2202" spans="1:3" x14ac:dyDescent="0.25">
      <c r="A2202" t="str">
        <f>"12/07/2018"</f>
        <v>12/07/2018</v>
      </c>
      <c r="B2202" t="str">
        <f>"13.4527"</f>
        <v>13.4527</v>
      </c>
      <c r="C2202" t="str">
        <f>"13.5068"</f>
        <v>13.5068</v>
      </c>
    </row>
    <row r="2203" spans="1:3" x14ac:dyDescent="0.25">
      <c r="A2203" t="str">
        <f>"13/07/2018"</f>
        <v>13/07/2018</v>
      </c>
      <c r="B2203" t="str">
        <f>"13.3621"</f>
        <v>13.3621</v>
      </c>
      <c r="C2203" t="str">
        <f>"13.4156"</f>
        <v>13.4156</v>
      </c>
    </row>
    <row r="2204" spans="1:3" x14ac:dyDescent="0.25">
      <c r="A2204" t="str">
        <f>"16/07/2018"</f>
        <v>16/07/2018</v>
      </c>
      <c r="B2204" t="str">
        <f>"13.1909"</f>
        <v>13.1909</v>
      </c>
      <c r="C2204" t="str">
        <f>"13.2475"</f>
        <v>13.2475</v>
      </c>
    </row>
    <row r="2205" spans="1:3" x14ac:dyDescent="0.25">
      <c r="A2205" t="str">
        <f>"17/07/2018"</f>
        <v>17/07/2018</v>
      </c>
      <c r="B2205" t="str">
        <f>"13.2631"</f>
        <v>13.2631</v>
      </c>
      <c r="C2205" t="str">
        <f>"13.3186"</f>
        <v>13.3186</v>
      </c>
    </row>
    <row r="2206" spans="1:3" x14ac:dyDescent="0.25">
      <c r="A2206" t="str">
        <f>"18/07/2018"</f>
        <v>18/07/2018</v>
      </c>
      <c r="B2206" t="str">
        <f>"13.3298"</f>
        <v>13.3298</v>
      </c>
      <c r="C2206" t="str">
        <f>"13.3836"</f>
        <v>13.3836</v>
      </c>
    </row>
    <row r="2207" spans="1:3" x14ac:dyDescent="0.25">
      <c r="A2207" t="str">
        <f>"19/07/2018"</f>
        <v>19/07/2018</v>
      </c>
      <c r="B2207" t="str">
        <f>"13.45"</f>
        <v>13.45</v>
      </c>
      <c r="C2207" t="str">
        <f>"13.5048"</f>
        <v>13.5048</v>
      </c>
    </row>
    <row r="2208" spans="1:3" x14ac:dyDescent="0.25">
      <c r="A2208" t="str">
        <f>"20/07/2018"</f>
        <v>20/07/2018</v>
      </c>
      <c r="B2208" t="str">
        <f>"13.489"</f>
        <v>13.489</v>
      </c>
      <c r="C2208" t="str">
        <f>"13.5436"</f>
        <v>13.5436</v>
      </c>
    </row>
    <row r="2209" spans="1:3" x14ac:dyDescent="0.25">
      <c r="A2209" t="str">
        <f>"23/07/2018"</f>
        <v>23/07/2018</v>
      </c>
      <c r="B2209" t="str">
        <f>"13.5163"</f>
        <v>13.5163</v>
      </c>
      <c r="C2209" t="str">
        <f>"13.5748"</f>
        <v>13.5748</v>
      </c>
    </row>
    <row r="2210" spans="1:3" x14ac:dyDescent="0.25">
      <c r="A2210" t="str">
        <f>"24/07/2018"</f>
        <v>24/07/2018</v>
      </c>
      <c r="B2210" t="str">
        <f>"13.3358"</f>
        <v>13.3358</v>
      </c>
      <c r="C2210" t="str">
        <f>"13.3919"</f>
        <v>13.3919</v>
      </c>
    </row>
    <row r="2211" spans="1:3" x14ac:dyDescent="0.25">
      <c r="A2211" t="str">
        <f>"25/07/2018"</f>
        <v>25/07/2018</v>
      </c>
      <c r="B2211" t="str">
        <f>"13.2448"</f>
        <v>13.2448</v>
      </c>
      <c r="C2211" t="str">
        <f>"13.299"</f>
        <v>13.299</v>
      </c>
    </row>
    <row r="2212" spans="1:3" x14ac:dyDescent="0.25">
      <c r="A2212" t="str">
        <f>"26/07/2018"</f>
        <v>26/07/2018</v>
      </c>
      <c r="B2212" t="str">
        <f>"13.2038"</f>
        <v>13.2038</v>
      </c>
      <c r="C2212" t="str">
        <f>"13.2575"</f>
        <v>13.2575</v>
      </c>
    </row>
    <row r="2213" spans="1:3" x14ac:dyDescent="0.25">
      <c r="A2213" t="str">
        <f>"27/07/2018"</f>
        <v>27/07/2018</v>
      </c>
      <c r="B2213" t="str">
        <f>"13.2467"</f>
        <v>13.2467</v>
      </c>
      <c r="C2213" t="str">
        <f>"13.3007"</f>
        <v>13.3007</v>
      </c>
    </row>
    <row r="2214" spans="1:3" x14ac:dyDescent="0.25">
      <c r="A2214" t="str">
        <f>"30/07/2018"</f>
        <v>30/07/2018</v>
      </c>
      <c r="B2214" t="str">
        <f>"13.1712"</f>
        <v>13.1712</v>
      </c>
      <c r="C2214" t="str">
        <f>"13.2296"</f>
        <v>13.2296</v>
      </c>
    </row>
    <row r="2215" spans="1:3" x14ac:dyDescent="0.25">
      <c r="A2215" t="str">
        <f>"31/07/2018"</f>
        <v>31/07/2018</v>
      </c>
      <c r="B2215" t="str">
        <f>"13.1142"</f>
        <v>13.1142</v>
      </c>
      <c r="C2215" t="str">
        <f>"13.17"</f>
        <v>13.17</v>
      </c>
    </row>
    <row r="2216" spans="1:3" x14ac:dyDescent="0.25">
      <c r="A2216" t="str">
        <f>"01/08/2018"</f>
        <v>01/08/2018</v>
      </c>
      <c r="B2216" t="str">
        <f>"13.2554"</f>
        <v>13.2554</v>
      </c>
      <c r="C2216" t="str">
        <f>"13.3103"</f>
        <v>13.3103</v>
      </c>
    </row>
    <row r="2217" spans="1:3" x14ac:dyDescent="0.25">
      <c r="A2217" t="str">
        <f>"02/08/2018"</f>
        <v>02/08/2018</v>
      </c>
      <c r="B2217" t="str">
        <f>"13.4435"</f>
        <v>13.4435</v>
      </c>
      <c r="C2217" t="str">
        <f>"13.4976"</f>
        <v>13.4976</v>
      </c>
    </row>
    <row r="2218" spans="1:3" x14ac:dyDescent="0.25">
      <c r="A2218" t="str">
        <f>"03/08/2018"</f>
        <v>03/08/2018</v>
      </c>
      <c r="B2218" t="str">
        <f>"13.333"</f>
        <v>13.333</v>
      </c>
      <c r="C2218" t="str">
        <f>"13.3862"</f>
        <v>13.3862</v>
      </c>
    </row>
    <row r="2219" spans="1:3" x14ac:dyDescent="0.25">
      <c r="A2219" t="str">
        <f>"06/08/2018"</f>
        <v>06/08/2018</v>
      </c>
      <c r="B2219" t="str">
        <f>"13.4432"</f>
        <v>13.4432</v>
      </c>
      <c r="C2219" t="str">
        <f>"13.5001"</f>
        <v>13.5001</v>
      </c>
    </row>
    <row r="2220" spans="1:3" x14ac:dyDescent="0.25">
      <c r="A2220" t="str">
        <f>"07/08/2018"</f>
        <v>07/08/2018</v>
      </c>
      <c r="B2220" t="str">
        <f>"13.3472"</f>
        <v>13.3472</v>
      </c>
      <c r="C2220" t="str">
        <f>"13.4002"</f>
        <v>13.4002</v>
      </c>
    </row>
    <row r="2221" spans="1:3" x14ac:dyDescent="0.25">
      <c r="A2221" t="str">
        <f>"08/08/2018"</f>
        <v>08/08/2018</v>
      </c>
      <c r="B2221" t="str">
        <f>"13.4146"</f>
        <v>13.4146</v>
      </c>
      <c r="C2221" t="str">
        <f>"13.4683"</f>
        <v>13.4683</v>
      </c>
    </row>
    <row r="2222" spans="1:3" x14ac:dyDescent="0.25">
      <c r="A2222" t="str">
        <f>"09/08/2018"</f>
        <v>09/08/2018</v>
      </c>
      <c r="B2222" t="str">
        <f>"13.4887"</f>
        <v>13.4887</v>
      </c>
      <c r="C2222" t="str">
        <f>"13.5428"</f>
        <v>13.5428</v>
      </c>
    </row>
    <row r="2223" spans="1:3" x14ac:dyDescent="0.25">
      <c r="A2223" t="str">
        <f>"10/08/2018"</f>
        <v>10/08/2018</v>
      </c>
      <c r="B2223" t="str">
        <f>"13.9103"</f>
        <v>13.9103</v>
      </c>
      <c r="C2223" t="str">
        <f>"13.9661"</f>
        <v>13.9661</v>
      </c>
    </row>
    <row r="2224" spans="1:3" x14ac:dyDescent="0.25">
      <c r="A2224" t="str">
        <f>"13/08/2018"</f>
        <v>13/08/2018</v>
      </c>
      <c r="B2224" t="str">
        <f>"14.5079"</f>
        <v>14.5079</v>
      </c>
      <c r="C2224" t="str">
        <f>"14.5702"</f>
        <v>14.5702</v>
      </c>
    </row>
    <row r="2225" spans="1:3" x14ac:dyDescent="0.25">
      <c r="A2225" t="str">
        <f>"14/08/2018"</f>
        <v>14/08/2018</v>
      </c>
      <c r="B2225" t="str">
        <f>"14.1447"</f>
        <v>14.1447</v>
      </c>
      <c r="C2225" t="str">
        <f>"14.2031"</f>
        <v>14.2031</v>
      </c>
    </row>
    <row r="2226" spans="1:3" x14ac:dyDescent="0.25">
      <c r="A2226" t="str">
        <f>"16/08/2018"</f>
        <v>16/08/2018</v>
      </c>
      <c r="B2226" t="str">
        <f>"14.543"</f>
        <v>14.543</v>
      </c>
      <c r="C2226" t="str">
        <f>"14.6024"</f>
        <v>14.6024</v>
      </c>
    </row>
    <row r="2227" spans="1:3" x14ac:dyDescent="0.25">
      <c r="A2227" t="str">
        <f>"20/08/2018"</f>
        <v>20/08/2018</v>
      </c>
      <c r="B2227" t="str">
        <f>"14.5562"</f>
        <v>14.5562</v>
      </c>
      <c r="C2227" t="str">
        <f>"14.6242"</f>
        <v>14.6242</v>
      </c>
    </row>
    <row r="2228" spans="1:3" x14ac:dyDescent="0.25">
      <c r="A2228" t="str">
        <f>"21/08/2018"</f>
        <v>21/08/2018</v>
      </c>
      <c r="B2228" t="str">
        <f>"14.416"</f>
        <v>14.416</v>
      </c>
      <c r="C2228" t="str">
        <f>"14.4807"</f>
        <v>14.4807</v>
      </c>
    </row>
    <row r="2229" spans="1:3" x14ac:dyDescent="0.25">
      <c r="A2229" t="str">
        <f>"23/08/2018"</f>
        <v>23/08/2018</v>
      </c>
      <c r="B2229" t="str">
        <f>"14.2432"</f>
        <v>14.2432</v>
      </c>
      <c r="C2229" t="str">
        <f>"14.303"</f>
        <v>14.303</v>
      </c>
    </row>
    <row r="2230" spans="1:3" x14ac:dyDescent="0.25">
      <c r="A2230" t="str">
        <f>"24/08/2018"</f>
        <v>24/08/2018</v>
      </c>
      <c r="B2230" t="str">
        <f>"14.2484"</f>
        <v>14.2484</v>
      </c>
      <c r="C2230" t="str">
        <f>"14.3072"</f>
        <v>14.3072</v>
      </c>
    </row>
    <row r="2231" spans="1:3" x14ac:dyDescent="0.25">
      <c r="A2231" t="str">
        <f>"27/08/2018"</f>
        <v>27/08/2018</v>
      </c>
      <c r="B2231" t="str">
        <f>"14.336"</f>
        <v>14.336</v>
      </c>
      <c r="C2231" t="str">
        <f>"14.3933"</f>
        <v>14.3933</v>
      </c>
    </row>
    <row r="2232" spans="1:3" x14ac:dyDescent="0.25">
      <c r="A2232" t="str">
        <f>"28/08/2018"</f>
        <v>28/08/2018</v>
      </c>
      <c r="B2232" t="str">
        <f>"14.1688"</f>
        <v>14.1688</v>
      </c>
      <c r="C2232" t="str">
        <f>"14.2243"</f>
        <v>14.2243</v>
      </c>
    </row>
    <row r="2233" spans="1:3" x14ac:dyDescent="0.25">
      <c r="A2233" t="str">
        <f>"29/08/2018"</f>
        <v>29/08/2018</v>
      </c>
      <c r="B2233" t="str">
        <f>"14.3835"</f>
        <v>14.3835</v>
      </c>
      <c r="C2233" t="str">
        <f>"14.438"</f>
        <v>14.438</v>
      </c>
    </row>
    <row r="2234" spans="1:3" x14ac:dyDescent="0.25">
      <c r="A2234" t="str">
        <f>"30/08/2018"</f>
        <v>30/08/2018</v>
      </c>
      <c r="B2234" t="str">
        <f>"14.63"</f>
        <v>14.63</v>
      </c>
      <c r="C2234" t="str">
        <f>"14.6899"</f>
        <v>14.6899</v>
      </c>
    </row>
    <row r="2235" spans="1:3" x14ac:dyDescent="0.25">
      <c r="A2235" t="str">
        <f>"31/08/2018"</f>
        <v>31/08/2018</v>
      </c>
      <c r="B2235" t="str">
        <f>"14.7122"</f>
        <v>14.7122</v>
      </c>
      <c r="C2235" t="str">
        <f>"14.7981"</f>
        <v>14.7981</v>
      </c>
    </row>
    <row r="2236" spans="1:3" x14ac:dyDescent="0.25">
      <c r="A2236" t="str">
        <f>"03/09/2018"</f>
        <v>03/09/2018</v>
      </c>
      <c r="B2236" t="str">
        <f>"14.83"</f>
        <v>14.83</v>
      </c>
      <c r="C2236" t="str">
        <f>"14.8927"</f>
        <v>14.8927</v>
      </c>
    </row>
    <row r="2237" spans="1:3" x14ac:dyDescent="0.25">
      <c r="A2237" t="str">
        <f>"04/09/2018"</f>
        <v>04/09/2018</v>
      </c>
      <c r="B2237" t="str">
        <f>"15.1868"</f>
        <v>15.1868</v>
      </c>
      <c r="C2237" t="str">
        <f>"15.259"</f>
        <v>15.259</v>
      </c>
    </row>
    <row r="2238" spans="1:3" x14ac:dyDescent="0.25">
      <c r="A2238" t="str">
        <f>"05/09/2018"</f>
        <v>05/09/2018</v>
      </c>
      <c r="B2238" t="str">
        <f>"15.5235"</f>
        <v>15.5235</v>
      </c>
      <c r="C2238" t="str">
        <f>"15.5935"</f>
        <v>15.5935</v>
      </c>
    </row>
    <row r="2239" spans="1:3" x14ac:dyDescent="0.25">
      <c r="A2239" t="str">
        <f>"06/09/2018"</f>
        <v>06/09/2018</v>
      </c>
      <c r="B2239" t="str">
        <f>"15.305"</f>
        <v>15.305</v>
      </c>
      <c r="C2239" t="str">
        <f>"15.3695"</f>
        <v>15.3695</v>
      </c>
    </row>
    <row r="2240" spans="1:3" x14ac:dyDescent="0.25">
      <c r="A2240" t="str">
        <f>"07/09/2018"</f>
        <v>07/09/2018</v>
      </c>
      <c r="B2240" t="str">
        <f>"15.1393"</f>
        <v>15.1393</v>
      </c>
      <c r="C2240" t="str">
        <f>"15.2025"</f>
        <v>15.2025</v>
      </c>
    </row>
    <row r="2241" spans="1:3" x14ac:dyDescent="0.25">
      <c r="A2241" t="str">
        <f>"10/09/2018"</f>
        <v>10/09/2018</v>
      </c>
      <c r="B2241" t="str">
        <f>"15.1788"</f>
        <v>15.1788</v>
      </c>
      <c r="C2241" t="str">
        <f>"15.2426"</f>
        <v>15.2426</v>
      </c>
    </row>
    <row r="2242" spans="1:3" x14ac:dyDescent="0.25">
      <c r="A2242" t="str">
        <f>"11/09/2018"</f>
        <v>11/09/2018</v>
      </c>
      <c r="B2242" t="str">
        <f>"15.1948"</f>
        <v>15.1948</v>
      </c>
      <c r="C2242" t="str">
        <f>"15.2628"</f>
        <v>15.2628</v>
      </c>
    </row>
    <row r="2243" spans="1:3" x14ac:dyDescent="0.25">
      <c r="A2243" t="str">
        <f>"12/09/2018"</f>
        <v>12/09/2018</v>
      </c>
      <c r="B2243" t="str">
        <f>"15.0655"</f>
        <v>15.0655</v>
      </c>
      <c r="C2243" t="str">
        <f>"15.1304"</f>
        <v>15.1304</v>
      </c>
    </row>
    <row r="2244" spans="1:3" x14ac:dyDescent="0.25">
      <c r="A2244" t="str">
        <f>"14/09/2018"</f>
        <v>14/09/2018</v>
      </c>
      <c r="B2244" t="str">
        <f>"14.8366"</f>
        <v>14.8366</v>
      </c>
      <c r="C2244" t="str">
        <f>"14.8975"</f>
        <v>14.8975</v>
      </c>
    </row>
    <row r="2245" spans="1:3" x14ac:dyDescent="0.25">
      <c r="A2245" t="str">
        <f>"17/09/2018"</f>
        <v>17/09/2018</v>
      </c>
      <c r="B2245" t="str">
        <f>"14.9647"</f>
        <v>14.9647</v>
      </c>
      <c r="C2245" t="str">
        <f>"15.0259"</f>
        <v>15.0259</v>
      </c>
    </row>
    <row r="2246" spans="1:3" x14ac:dyDescent="0.25">
      <c r="A2246" t="str">
        <f>"18/09/2018"</f>
        <v>18/09/2018</v>
      </c>
      <c r="B2246" t="str">
        <f>"14.962"</f>
        <v>14.962</v>
      </c>
      <c r="C2246" t="str">
        <f>"15.0272"</f>
        <v>15.0272</v>
      </c>
    </row>
    <row r="2247" spans="1:3" x14ac:dyDescent="0.25">
      <c r="A2247" t="str">
        <f>"19/09/2018"</f>
        <v>19/09/2018</v>
      </c>
      <c r="B2247" t="str">
        <f>"14.6505"</f>
        <v>14.6505</v>
      </c>
      <c r="C2247" t="str">
        <f>"14.7119"</f>
        <v>14.7119</v>
      </c>
    </row>
    <row r="2248" spans="1:3" x14ac:dyDescent="0.25">
      <c r="A2248" t="str">
        <f>"21/09/2018"</f>
        <v>21/09/2018</v>
      </c>
      <c r="B2248" t="str">
        <f>"14.3775"</f>
        <v>14.3775</v>
      </c>
      <c r="C2248" t="str">
        <f>"14.4344"</f>
        <v>14.4344</v>
      </c>
    </row>
    <row r="2249" spans="1:3" x14ac:dyDescent="0.25">
      <c r="A2249" t="str">
        <f>"24/09/2018"</f>
        <v>24/09/2018</v>
      </c>
      <c r="B2249" t="str">
        <f>"14.2301"</f>
        <v>14.2301</v>
      </c>
      <c r="C2249" t="str">
        <f>"14.2859"</f>
        <v>14.2859</v>
      </c>
    </row>
    <row r="2250" spans="1:3" x14ac:dyDescent="0.25">
      <c r="A2250" t="str">
        <f>"25/09/2018"</f>
        <v>25/09/2018</v>
      </c>
      <c r="B2250" t="str">
        <f>"14.3644"</f>
        <v>14.3644</v>
      </c>
      <c r="C2250" t="str">
        <f>"14.4252"</f>
        <v>14.4252</v>
      </c>
    </row>
    <row r="2251" spans="1:3" x14ac:dyDescent="0.25">
      <c r="A2251" t="str">
        <f>"26/09/2018"</f>
        <v>26/09/2018</v>
      </c>
      <c r="B2251" t="str">
        <f>"14.2997"</f>
        <v>14.2997</v>
      </c>
      <c r="C2251" t="str">
        <f>"14.3623"</f>
        <v>14.3623</v>
      </c>
    </row>
    <row r="2252" spans="1:3" x14ac:dyDescent="0.25">
      <c r="A2252" t="str">
        <f>"27/09/2018"</f>
        <v>27/09/2018</v>
      </c>
      <c r="B2252" t="str">
        <f>"14.1128"</f>
        <v>14.1128</v>
      </c>
      <c r="C2252" t="str">
        <f>"14.171"</f>
        <v>14.171</v>
      </c>
    </row>
    <row r="2253" spans="1:3" x14ac:dyDescent="0.25">
      <c r="A2253" t="str">
        <f>"28/09/2018"</f>
        <v>28/09/2018</v>
      </c>
      <c r="B2253" t="str">
        <f>"14.1931"</f>
        <v>14.1931</v>
      </c>
      <c r="C2253" t="str">
        <f>"14.2689"</f>
        <v>14.2689</v>
      </c>
    </row>
    <row r="2254" spans="1:3" x14ac:dyDescent="0.25">
      <c r="A2254" t="str">
        <f>"01/10/2018"</f>
        <v>01/10/2018</v>
      </c>
      <c r="B2254" t="str">
        <f>"14.1037"</f>
        <v>14.1037</v>
      </c>
      <c r="C2254" t="str">
        <f>"14.1657"</f>
        <v>14.1657</v>
      </c>
    </row>
    <row r="2255" spans="1:3" x14ac:dyDescent="0.25">
      <c r="A2255" t="str">
        <f>"03/10/2018"</f>
        <v>03/10/2018</v>
      </c>
      <c r="B2255" t="str">
        <f>"14.3949"</f>
        <v>14.3949</v>
      </c>
      <c r="C2255" t="str">
        <f>"14.4548"</f>
        <v>14.4548</v>
      </c>
    </row>
    <row r="2256" spans="1:3" x14ac:dyDescent="0.25">
      <c r="A2256" t="str">
        <f>"04/10/2018"</f>
        <v>04/10/2018</v>
      </c>
      <c r="B2256" t="str">
        <f>"14.6757"</f>
        <v>14.6757</v>
      </c>
      <c r="C2256" t="str">
        <f>"14.7371"</f>
        <v>14.7371</v>
      </c>
    </row>
    <row r="2257" spans="1:3" x14ac:dyDescent="0.25">
      <c r="A2257" t="str">
        <f>"05/10/2018"</f>
        <v>05/10/2018</v>
      </c>
      <c r="B2257" t="str">
        <f>"14.7604"</f>
        <v>14.7604</v>
      </c>
      <c r="C2257" t="str">
        <f>"14.8221"</f>
        <v>14.8221</v>
      </c>
    </row>
    <row r="2258" spans="1:3" x14ac:dyDescent="0.25">
      <c r="A2258" t="str">
        <f>"08/10/2018"</f>
        <v>08/10/2018</v>
      </c>
      <c r="B2258" t="str">
        <f>"14.8765"</f>
        <v>14.8765</v>
      </c>
      <c r="C2258" t="str">
        <f>"14.9448"</f>
        <v>14.9448</v>
      </c>
    </row>
    <row r="2259" spans="1:3" x14ac:dyDescent="0.25">
      <c r="A2259" t="str">
        <f>"09/10/2018"</f>
        <v>09/10/2018</v>
      </c>
      <c r="B2259" t="str">
        <f>"15.0354"</f>
        <v>15.0354</v>
      </c>
      <c r="C2259" t="str">
        <f>"15.1016"</f>
        <v>15.1016</v>
      </c>
    </row>
    <row r="2260" spans="1:3" x14ac:dyDescent="0.25">
      <c r="A2260" t="str">
        <f>"10/10/2018"</f>
        <v>10/10/2018</v>
      </c>
      <c r="B2260" t="str">
        <f>"14.6432"</f>
        <v>14.6432</v>
      </c>
      <c r="C2260" t="str">
        <f>"14.705"</f>
        <v>14.705</v>
      </c>
    </row>
    <row r="2261" spans="1:3" x14ac:dyDescent="0.25">
      <c r="A2261" t="str">
        <f>"11/10/2018"</f>
        <v>11/10/2018</v>
      </c>
      <c r="B2261" t="str">
        <f>"14.6122"</f>
        <v>14.6122</v>
      </c>
      <c r="C2261" t="str">
        <f>"14.6718"</f>
        <v>14.6718</v>
      </c>
    </row>
    <row r="2262" spans="1:3" x14ac:dyDescent="0.25">
      <c r="A2262" t="str">
        <f>"12/10/2018"</f>
        <v>12/10/2018</v>
      </c>
      <c r="B2262" t="str">
        <f>"14.4577"</f>
        <v>14.4577</v>
      </c>
      <c r="C2262" t="str">
        <f>"14.5162"</f>
        <v>14.5162</v>
      </c>
    </row>
    <row r="2263" spans="1:3" x14ac:dyDescent="0.25">
      <c r="A2263" t="str">
        <f>"15/10/2018"</f>
        <v>15/10/2018</v>
      </c>
      <c r="B2263" t="str">
        <f>"14.4571"</f>
        <v>14.4571</v>
      </c>
      <c r="C2263" t="str">
        <f>"14.5191"</f>
        <v>14.5191</v>
      </c>
    </row>
    <row r="2264" spans="1:3" x14ac:dyDescent="0.25">
      <c r="A2264" t="str">
        <f>"16/10/2018"</f>
        <v>16/10/2018</v>
      </c>
      <c r="B2264" t="str">
        <f>"14.266"</f>
        <v>14.266</v>
      </c>
      <c r="C2264" t="str">
        <f>"14.3246"</f>
        <v>14.3246</v>
      </c>
    </row>
    <row r="2265" spans="1:3" x14ac:dyDescent="0.25">
      <c r="A2265" t="str">
        <f>"17/10/2018"</f>
        <v>17/10/2018</v>
      </c>
      <c r="B2265" t="str">
        <f>"14.2636"</f>
        <v>14.2636</v>
      </c>
      <c r="C2265" t="str">
        <f>"14.3202"</f>
        <v>14.3202</v>
      </c>
    </row>
    <row r="2266" spans="1:3" x14ac:dyDescent="0.25">
      <c r="A2266" t="str">
        <f>"19/10/2018"</f>
        <v>19/10/2018</v>
      </c>
      <c r="B2266" t="str">
        <f>"14.3373"</f>
        <v>14.3373</v>
      </c>
      <c r="C2266" t="str">
        <f>"14.3945"</f>
        <v>14.3945</v>
      </c>
    </row>
    <row r="2267" spans="1:3" x14ac:dyDescent="0.25">
      <c r="A2267" t="str">
        <f>"22/10/2018"</f>
        <v>22/10/2018</v>
      </c>
      <c r="B2267" t="str">
        <f>"14.3232"</f>
        <v>14.3232</v>
      </c>
      <c r="C2267" t="str">
        <f>"14.3838"</f>
        <v>14.3838</v>
      </c>
    </row>
    <row r="2268" spans="1:3" x14ac:dyDescent="0.25">
      <c r="A2268" t="str">
        <f>"23/10/2018"</f>
        <v>23/10/2018</v>
      </c>
      <c r="B2268" t="str">
        <f>"14.3644"</f>
        <v>14.3644</v>
      </c>
      <c r="C2268" t="str">
        <f>"14.4229"</f>
        <v>14.4229</v>
      </c>
    </row>
    <row r="2269" spans="1:3" x14ac:dyDescent="0.25">
      <c r="A2269" t="str">
        <f>"24/10/2018"</f>
        <v>24/10/2018</v>
      </c>
      <c r="B2269" t="str">
        <f>"14.1733"</f>
        <v>14.1733</v>
      </c>
      <c r="C2269" t="str">
        <f>"14.229"</f>
        <v>14.229</v>
      </c>
    </row>
    <row r="2270" spans="1:3" x14ac:dyDescent="0.25">
      <c r="A2270" t="str">
        <f>"25/10/2018"</f>
        <v>25/10/2018</v>
      </c>
      <c r="B2270" t="str">
        <f>"14.4652"</f>
        <v>14.4652</v>
      </c>
      <c r="C2270" t="str">
        <f>"14.5235"</f>
        <v>14.5235</v>
      </c>
    </row>
    <row r="2271" spans="1:3" x14ac:dyDescent="0.25">
      <c r="A2271" t="str">
        <f>"26/10/2018"</f>
        <v>26/10/2018</v>
      </c>
      <c r="B2271" t="str">
        <f>"14.7157"</f>
        <v>14.7157</v>
      </c>
      <c r="C2271" t="str">
        <f>"14.7743"</f>
        <v>14.7743</v>
      </c>
    </row>
    <row r="2272" spans="1:3" x14ac:dyDescent="0.25">
      <c r="A2272" t="str">
        <f>"29/10/2018"</f>
        <v>29/10/2018</v>
      </c>
      <c r="B2272" t="str">
        <f>"14.6189"</f>
        <v>14.6189</v>
      </c>
      <c r="C2272" t="str">
        <f>"14.6771"</f>
        <v>14.6771</v>
      </c>
    </row>
    <row r="2273" spans="1:3" x14ac:dyDescent="0.25">
      <c r="A2273" t="str">
        <f>"30/10/2018"</f>
        <v>30/10/2018</v>
      </c>
      <c r="B2273" t="str">
        <f>"14.6611"</f>
        <v>14.6611</v>
      </c>
      <c r="C2273" t="str">
        <f>"14.7161"</f>
        <v>14.7161</v>
      </c>
    </row>
    <row r="2274" spans="1:3" x14ac:dyDescent="0.25">
      <c r="A2274" t="str">
        <f>"31/10/2018"</f>
        <v>31/10/2018</v>
      </c>
      <c r="B2274" t="str">
        <f>"14.7221"</f>
        <v>14.7221</v>
      </c>
      <c r="C2274" t="str">
        <f>"14.7785"</f>
        <v>14.7785</v>
      </c>
    </row>
    <row r="2275" spans="1:3" x14ac:dyDescent="0.25">
      <c r="A2275" t="str">
        <f>"01/11/2018"</f>
        <v>01/11/2018</v>
      </c>
      <c r="B2275" t="str">
        <f>"14.5514"</f>
        <v>14.5514</v>
      </c>
      <c r="C2275" t="str">
        <f>"14.6045"</f>
        <v>14.6045</v>
      </c>
    </row>
    <row r="2276" spans="1:3" x14ac:dyDescent="0.25">
      <c r="A2276" t="str">
        <f>"02/11/2018"</f>
        <v>02/11/2018</v>
      </c>
      <c r="B2276" t="str">
        <f>"14.3196"</f>
        <v>14.3196</v>
      </c>
      <c r="C2276" t="str">
        <f>"14.3731"</f>
        <v>14.3731</v>
      </c>
    </row>
    <row r="2277" spans="1:3" x14ac:dyDescent="0.25">
      <c r="A2277" t="str">
        <f>"05/11/2018"</f>
        <v>05/11/2018</v>
      </c>
      <c r="B2277" t="str">
        <f>"14.3897"</f>
        <v>14.3897</v>
      </c>
      <c r="C2277" t="str">
        <f>"14.4416"</f>
        <v>14.4416</v>
      </c>
    </row>
    <row r="2278" spans="1:3" x14ac:dyDescent="0.25">
      <c r="A2278" t="str">
        <f>"06/11/2018"</f>
        <v>06/11/2018</v>
      </c>
      <c r="B2278" t="str">
        <f>"14.2401"</f>
        <v>14.2401</v>
      </c>
      <c r="C2278" t="str">
        <f>"14.293"</f>
        <v>14.293</v>
      </c>
    </row>
    <row r="2279" spans="1:3" x14ac:dyDescent="0.25">
      <c r="A2279" t="str">
        <f>"09/11/2018"</f>
        <v>09/11/2018</v>
      </c>
      <c r="B2279" t="str">
        <f>"14.1849"</f>
        <v>14.1849</v>
      </c>
      <c r="C2279" t="str">
        <f>"14.2369"</f>
        <v>14.2369</v>
      </c>
    </row>
    <row r="2280" spans="1:3" x14ac:dyDescent="0.25">
      <c r="A2280" t="str">
        <f>"12/11/2018"</f>
        <v>12/11/2018</v>
      </c>
      <c r="B2280" t="str">
        <f>"14.382"</f>
        <v>14.382</v>
      </c>
      <c r="C2280" t="str">
        <f>"14.4354"</f>
        <v>14.4354</v>
      </c>
    </row>
    <row r="2281" spans="1:3" x14ac:dyDescent="0.25">
      <c r="A2281" t="str">
        <f>"13/11/2018"</f>
        <v>13/11/2018</v>
      </c>
      <c r="B2281" t="str">
        <f>"14.4557"</f>
        <v>14.4557</v>
      </c>
      <c r="C2281" t="str">
        <f>"14.5134"</f>
        <v>14.5134</v>
      </c>
    </row>
    <row r="2282" spans="1:3" x14ac:dyDescent="0.25">
      <c r="A2282" t="str">
        <f>"14/11/2018"</f>
        <v>14/11/2018</v>
      </c>
      <c r="B2282" t="str">
        <f>"14.4108"</f>
        <v>14.4108</v>
      </c>
      <c r="C2282" t="str">
        <f>"14.4657"</f>
        <v>14.4657</v>
      </c>
    </row>
    <row r="2283" spans="1:3" x14ac:dyDescent="0.25">
      <c r="A2283" t="str">
        <f>"15/11/2018"</f>
        <v>15/11/2018</v>
      </c>
      <c r="B2283" t="str">
        <f>"14.3053"</f>
        <v>14.3053</v>
      </c>
      <c r="C2283" t="str">
        <f>"14.3551"</f>
        <v>14.3551</v>
      </c>
    </row>
    <row r="2284" spans="1:3" x14ac:dyDescent="0.25">
      <c r="A2284" t="str">
        <f>"16/11/2018"</f>
        <v>16/11/2018</v>
      </c>
      <c r="B2284" t="str">
        <f>"14.2374"</f>
        <v>14.2374</v>
      </c>
      <c r="C2284" t="str">
        <f>"14.2867"</f>
        <v>14.2867</v>
      </c>
    </row>
    <row r="2285" spans="1:3" x14ac:dyDescent="0.25">
      <c r="A2285" t="str">
        <f>"19/11/2018"</f>
        <v>19/11/2018</v>
      </c>
      <c r="B2285" t="str">
        <f>"13.9834"</f>
        <v>13.9834</v>
      </c>
      <c r="C2285" t="str">
        <f>"14.0318"</f>
        <v>14.0318</v>
      </c>
    </row>
    <row r="2286" spans="1:3" x14ac:dyDescent="0.25">
      <c r="A2286" t="str">
        <f>"20/11/2018"</f>
        <v>20/11/2018</v>
      </c>
      <c r="B2286" t="str">
        <f>"14.0594"</f>
        <v>14.0594</v>
      </c>
      <c r="C2286" t="str">
        <f>"14.1112"</f>
        <v>14.1112</v>
      </c>
    </row>
    <row r="2287" spans="1:3" x14ac:dyDescent="0.25">
      <c r="A2287" t="str">
        <f>"22/11/2018"</f>
        <v>22/11/2018</v>
      </c>
      <c r="B2287" t="str">
        <f>"13.8836"</f>
        <v>13.8836</v>
      </c>
      <c r="C2287" t="str">
        <f>"13.9356"</f>
        <v>13.9356</v>
      </c>
    </row>
    <row r="2288" spans="1:3" x14ac:dyDescent="0.25">
      <c r="A2288" t="str">
        <f>"26/11/2018"</f>
        <v>26/11/2018</v>
      </c>
      <c r="B2288" t="str">
        <f>"13.8177"</f>
        <v>13.8177</v>
      </c>
      <c r="C2288" t="str">
        <f>"13.8678"</f>
        <v>13.8678</v>
      </c>
    </row>
    <row r="2289" spans="1:3" x14ac:dyDescent="0.25">
      <c r="A2289" t="str">
        <f>"27/11/2018"</f>
        <v>27/11/2018</v>
      </c>
      <c r="B2289" t="str">
        <f>"13.8409"</f>
        <v>13.8409</v>
      </c>
      <c r="C2289" t="str">
        <f>"13.8944"</f>
        <v>13.8944</v>
      </c>
    </row>
    <row r="2290" spans="1:3" x14ac:dyDescent="0.25">
      <c r="A2290" t="str">
        <f>"28/11/2018"</f>
        <v>28/11/2018</v>
      </c>
      <c r="B2290" t="str">
        <f>"13.9617"</f>
        <v>13.9617</v>
      </c>
      <c r="C2290" t="str">
        <f>"14.0137"</f>
        <v>14.0137</v>
      </c>
    </row>
    <row r="2291" spans="1:3" x14ac:dyDescent="0.25">
      <c r="A2291" t="str">
        <f>"29/11/2018"</f>
        <v>29/11/2018</v>
      </c>
      <c r="B2291" t="str">
        <f>"13.7241"</f>
        <v>13.7241</v>
      </c>
      <c r="C2291" t="str">
        <f>"13.7753"</f>
        <v>13.7753</v>
      </c>
    </row>
    <row r="2292" spans="1:3" x14ac:dyDescent="0.25">
      <c r="A2292" t="str">
        <f>"30/11/2018"</f>
        <v>30/11/2018</v>
      </c>
      <c r="B2292" t="str">
        <f>"13.7432"</f>
        <v>13.7432</v>
      </c>
      <c r="C2292" t="str">
        <f>"13.7944"</f>
        <v>13.7944</v>
      </c>
    </row>
    <row r="2293" spans="1:3" x14ac:dyDescent="0.25">
      <c r="A2293" t="str">
        <f>"03/12/2018"</f>
        <v>03/12/2018</v>
      </c>
      <c r="B2293" t="str">
        <f>"13.6711"</f>
        <v>13.6711</v>
      </c>
      <c r="C2293" t="str">
        <f>"13.7242"</f>
        <v>13.7242</v>
      </c>
    </row>
    <row r="2294" spans="1:3" x14ac:dyDescent="0.25">
      <c r="A2294" t="str">
        <f>"04/12/2018"</f>
        <v>04/12/2018</v>
      </c>
      <c r="B2294" t="str">
        <f>"13.5909"</f>
        <v>13.5909</v>
      </c>
      <c r="C2294" t="str">
        <f>"13.6399"</f>
        <v>13.6399</v>
      </c>
    </row>
    <row r="2295" spans="1:3" x14ac:dyDescent="0.25">
      <c r="A2295" t="str">
        <f>"05/12/2018"</f>
        <v>05/12/2018</v>
      </c>
      <c r="B2295" t="str">
        <f>"13.7737"</f>
        <v>13.7737</v>
      </c>
      <c r="C2295" t="str">
        <f>"13.8246"</f>
        <v>13.8246</v>
      </c>
    </row>
    <row r="2296" spans="1:3" x14ac:dyDescent="0.25">
      <c r="A2296" t="str">
        <f>"06/12/2018"</f>
        <v>06/12/2018</v>
      </c>
      <c r="B2296" t="str">
        <f>"14.0507"</f>
        <v>14.0507</v>
      </c>
      <c r="C2296" t="str">
        <f>"14.1031"</f>
        <v>14.1031</v>
      </c>
    </row>
    <row r="2297" spans="1:3" x14ac:dyDescent="0.25">
      <c r="A2297" t="str">
        <f>"07/12/2018"</f>
        <v>07/12/2018</v>
      </c>
      <c r="B2297" t="str">
        <f>"14.1229"</f>
        <v>14.1229</v>
      </c>
      <c r="C2297" t="str">
        <f>"14.1747"</f>
        <v>14.1747</v>
      </c>
    </row>
    <row r="2298" spans="1:3" x14ac:dyDescent="0.25">
      <c r="A2298" t="str">
        <f>"10/12/2018"</f>
        <v>10/12/2018</v>
      </c>
      <c r="B2298" t="str">
        <f>"14.2292"</f>
        <v>14.2292</v>
      </c>
      <c r="C2298" t="str">
        <f>"14.2843"</f>
        <v>14.2843</v>
      </c>
    </row>
    <row r="2299" spans="1:3" x14ac:dyDescent="0.25">
      <c r="A2299" t="str">
        <f>"11/12/2018"</f>
        <v>11/12/2018</v>
      </c>
      <c r="B2299" t="str">
        <f>"14.3513"</f>
        <v>14.3513</v>
      </c>
      <c r="C2299" t="str">
        <f>"14.405"</f>
        <v>14.405</v>
      </c>
    </row>
    <row r="2300" spans="1:3" x14ac:dyDescent="0.25">
      <c r="A2300" t="str">
        <f>"12/12/2018"</f>
        <v>12/12/2018</v>
      </c>
      <c r="B2300" t="str">
        <f>"14.2916"</f>
        <v>14.2916</v>
      </c>
      <c r="C2300" t="str">
        <f>"14.3439"</f>
        <v>14.3439</v>
      </c>
    </row>
    <row r="2301" spans="1:3" x14ac:dyDescent="0.25">
      <c r="A2301" t="str">
        <f>"13/12/2018"</f>
        <v>13/12/2018</v>
      </c>
      <c r="B2301" t="str">
        <f>"14.1713"</f>
        <v>14.1713</v>
      </c>
      <c r="C2301" t="str">
        <f>"14.2248"</f>
        <v>14.2248</v>
      </c>
    </row>
    <row r="2302" spans="1:3" x14ac:dyDescent="0.25">
      <c r="A2302" t="str">
        <f>"14/12/2018"</f>
        <v>14/12/2018</v>
      </c>
      <c r="B2302" t="str">
        <f>"14.3591"</f>
        <v>14.3591</v>
      </c>
      <c r="C2302" t="str">
        <f>"14.4189"</f>
        <v>14.4189</v>
      </c>
    </row>
    <row r="2303" spans="1:3" x14ac:dyDescent="0.25">
      <c r="A2303" t="str">
        <f>"17/12/2018"</f>
        <v>17/12/2018</v>
      </c>
      <c r="B2303" t="str">
        <f>"14.3567"</f>
        <v>14.3567</v>
      </c>
      <c r="C2303" t="str">
        <f>"14.4167"</f>
        <v>14.4167</v>
      </c>
    </row>
    <row r="2304" spans="1:3" x14ac:dyDescent="0.25">
      <c r="A2304" t="str">
        <f>"18/12/2018"</f>
        <v>18/12/2018</v>
      </c>
      <c r="B2304" t="str">
        <f>"14.295"</f>
        <v>14.295</v>
      </c>
      <c r="C2304" t="str">
        <f>"14.3522"</f>
        <v>14.3522</v>
      </c>
    </row>
    <row r="2305" spans="1:3" x14ac:dyDescent="0.25">
      <c r="A2305" t="str">
        <f>"19/12/2018"</f>
        <v>19/12/2018</v>
      </c>
      <c r="B2305" t="str">
        <f>"14.2882"</f>
        <v>14.2882</v>
      </c>
      <c r="C2305" t="str">
        <f>"14.3436"</f>
        <v>14.3436</v>
      </c>
    </row>
    <row r="2306" spans="1:3" x14ac:dyDescent="0.25">
      <c r="A2306" t="str">
        <f>"20/12/2018"</f>
        <v>20/12/2018</v>
      </c>
      <c r="B2306" t="str">
        <f>"14.2328"</f>
        <v>14.2328</v>
      </c>
      <c r="C2306" t="str">
        <f>"14.2863"</f>
        <v>14.2863</v>
      </c>
    </row>
    <row r="2307" spans="1:3" x14ac:dyDescent="0.25">
      <c r="A2307" t="str">
        <f>"21/12/2018"</f>
        <v>21/12/2018</v>
      </c>
      <c r="B2307" t="str">
        <f>"14.4425"</f>
        <v>14.4425</v>
      </c>
      <c r="C2307" t="str">
        <f>"14.4987"</f>
        <v>14.4987</v>
      </c>
    </row>
    <row r="2308" spans="1:3" x14ac:dyDescent="0.25">
      <c r="A2308" t="str">
        <f>"24/12/2018"</f>
        <v>24/12/2018</v>
      </c>
      <c r="B2308" t="str">
        <f>"14.5468"</f>
        <v>14.5468</v>
      </c>
      <c r="C2308" t="str">
        <f>"14.6017"</f>
        <v>14.6017</v>
      </c>
    </row>
    <row r="2309" spans="1:3" x14ac:dyDescent="0.25">
      <c r="A2309" t="str">
        <f>"26/12/2018"</f>
        <v>26/12/2018</v>
      </c>
      <c r="B2309" t="str">
        <f>"14.6206"</f>
        <v>14.6206</v>
      </c>
      <c r="C2309" t="str">
        <f>"14.6756"</f>
        <v>14.6756</v>
      </c>
    </row>
    <row r="2310" spans="1:3" x14ac:dyDescent="0.25">
      <c r="A2310" t="str">
        <f>"27/12/2018"</f>
        <v>27/12/2018</v>
      </c>
      <c r="B2310" t="str">
        <f>"14.5092"</f>
        <v>14.5092</v>
      </c>
      <c r="C2310" t="str">
        <f>"14.5638"</f>
        <v>14.5638</v>
      </c>
    </row>
    <row r="2311" spans="1:3" x14ac:dyDescent="0.25">
      <c r="A2311" t="str">
        <f>"28/12/2018"</f>
        <v>28/12/2018</v>
      </c>
      <c r="B2311" t="str">
        <f>"14.4989"</f>
        <v>14.4989</v>
      </c>
      <c r="C2311" t="str">
        <f>"14.5566"</f>
        <v>14.5566</v>
      </c>
    </row>
    <row r="2312" spans="1:3" x14ac:dyDescent="0.25">
      <c r="A2312" t="str">
        <f>"31/12/2018"</f>
        <v>31/12/2018</v>
      </c>
      <c r="B2312" t="str">
        <f>"14.3844"</f>
        <v>14.3844</v>
      </c>
      <c r="C2312" t="str">
        <f>"14.4399"</f>
        <v>14.4399</v>
      </c>
    </row>
    <row r="2313" spans="1:3" x14ac:dyDescent="0.25">
      <c r="A2313" t="str">
        <f>"01/01/2019"</f>
        <v>01/01/2019</v>
      </c>
      <c r="B2313" t="str">
        <f>"14.6875"</f>
        <v>14.6875</v>
      </c>
      <c r="C2313" t="str">
        <f>"14.7432"</f>
        <v>14.7432</v>
      </c>
    </row>
    <row r="2314" spans="1:3" x14ac:dyDescent="0.25">
      <c r="A2314" t="str">
        <f>"02/01/2019"</f>
        <v>02/01/2019</v>
      </c>
      <c r="B2314" t="str">
        <f>"14.53"</f>
        <v>14.53</v>
      </c>
      <c r="C2314" t="str">
        <f>"14.5827"</f>
        <v>14.5827</v>
      </c>
    </row>
    <row r="2315" spans="1:3" x14ac:dyDescent="0.25">
      <c r="A2315" t="str">
        <f>"03/01/2019"</f>
        <v>03/01/2019</v>
      </c>
      <c r="B2315" t="str">
        <f>"14.5416"</f>
        <v>14.5416</v>
      </c>
      <c r="C2315" t="str">
        <f>"14.5929"</f>
        <v>14.5929</v>
      </c>
    </row>
    <row r="2316" spans="1:3" x14ac:dyDescent="0.25">
      <c r="A2316" t="str">
        <f>"04/01/2019"</f>
        <v>04/01/2019</v>
      </c>
      <c r="B2316" t="str">
        <f>"14.1134"</f>
        <v>14.1134</v>
      </c>
      <c r="C2316" t="str">
        <f>"14.163"</f>
        <v>14.163</v>
      </c>
    </row>
    <row r="2317" spans="1:3" x14ac:dyDescent="0.25">
      <c r="A2317" t="str">
        <f>"07/01/2019"</f>
        <v>07/01/2019</v>
      </c>
      <c r="B2317" t="str">
        <f>"13.9313"</f>
        <v>13.9313</v>
      </c>
      <c r="C2317" t="str">
        <f>"13.9827"</f>
        <v>13.9827</v>
      </c>
    </row>
    <row r="2318" spans="1:3" x14ac:dyDescent="0.25">
      <c r="A2318" t="str">
        <f>"08/01/2019"</f>
        <v>08/01/2019</v>
      </c>
      <c r="B2318" t="str">
        <f>"13.9822"</f>
        <v>13.9822</v>
      </c>
      <c r="C2318" t="str">
        <f>"14.0344"</f>
        <v>14.0344</v>
      </c>
    </row>
    <row r="2319" spans="1:3" x14ac:dyDescent="0.25">
      <c r="A2319" t="str">
        <f>"09/01/2019"</f>
        <v>09/01/2019</v>
      </c>
      <c r="B2319" t="str">
        <f>"13.9982"</f>
        <v>13.9982</v>
      </c>
      <c r="C2319" t="str">
        <f>"14.0495"</f>
        <v>14.0495</v>
      </c>
    </row>
    <row r="2320" spans="1:3" x14ac:dyDescent="0.25">
      <c r="A2320" t="str">
        <f>"10/01/2019"</f>
        <v>10/01/2019</v>
      </c>
      <c r="B2320" t="str">
        <f>"13.8826"</f>
        <v>13.8826</v>
      </c>
      <c r="C2320" t="str">
        <f>"13.935"</f>
        <v>13.935</v>
      </c>
    </row>
    <row r="2321" spans="1:3" x14ac:dyDescent="0.25">
      <c r="A2321" t="str">
        <f>"11/01/2019"</f>
        <v>11/01/2019</v>
      </c>
      <c r="B2321" t="str">
        <f>"13.8252"</f>
        <v>13.8252</v>
      </c>
      <c r="C2321" t="str">
        <f>"13.877"</f>
        <v>13.877</v>
      </c>
    </row>
    <row r="2322" spans="1:3" x14ac:dyDescent="0.25">
      <c r="A2322" t="str">
        <f>"14/01/2019"</f>
        <v>14/01/2019</v>
      </c>
      <c r="B2322" t="str">
        <f>"13.8964"</f>
        <v>13.8964</v>
      </c>
      <c r="C2322" t="str">
        <f>"13.9531"</f>
        <v>13.9531</v>
      </c>
    </row>
    <row r="2323" spans="1:3" x14ac:dyDescent="0.25">
      <c r="A2323" t="str">
        <f>"15/01/2019"</f>
        <v>15/01/2019</v>
      </c>
      <c r="B2323" t="str">
        <f>"13.8113"</f>
        <v>13.8113</v>
      </c>
      <c r="C2323" t="str">
        <f>"13.8657"</f>
        <v>13.8657</v>
      </c>
    </row>
    <row r="2324" spans="1:3" x14ac:dyDescent="0.25">
      <c r="A2324" t="str">
        <f>"16/01/2019"</f>
        <v>16/01/2019</v>
      </c>
      <c r="B2324" t="str">
        <f>"13.7218"</f>
        <v>13.7218</v>
      </c>
      <c r="C2324" t="str">
        <f>"13.7739"</f>
        <v>13.7739</v>
      </c>
    </row>
    <row r="2325" spans="1:3" x14ac:dyDescent="0.25">
      <c r="A2325" t="str">
        <f>"17/01/2019"</f>
        <v>17/01/2019</v>
      </c>
      <c r="B2325" t="str">
        <f>"13.7159"</f>
        <v>13.7159</v>
      </c>
      <c r="C2325" t="str">
        <f>"13.7665"</f>
        <v>13.7665</v>
      </c>
    </row>
    <row r="2326" spans="1:3" x14ac:dyDescent="0.25">
      <c r="A2326" t="str">
        <f>"18/01/2019"</f>
        <v>18/01/2019</v>
      </c>
      <c r="B2326" t="str">
        <f>"13.8152"</f>
        <v>13.8152</v>
      </c>
      <c r="C2326" t="str">
        <f>"13.866"</f>
        <v>13.866</v>
      </c>
    </row>
    <row r="2327" spans="1:3" x14ac:dyDescent="0.25">
      <c r="A2327" t="str">
        <f>"21/01/2019"</f>
        <v>21/01/2019</v>
      </c>
      <c r="B2327" t="str">
        <f>"13.8642"</f>
        <v>13.8642</v>
      </c>
      <c r="C2327" t="str">
        <f>"13.9189"</f>
        <v>13.9189</v>
      </c>
    </row>
    <row r="2328" spans="1:3" x14ac:dyDescent="0.25">
      <c r="A2328" t="str">
        <f>"22/01/2019"</f>
        <v>22/01/2019</v>
      </c>
      <c r="B2328" t="str">
        <f>"13.9294"</f>
        <v>13.9294</v>
      </c>
      <c r="C2328" t="str">
        <f>"13.9821"</f>
        <v>13.9821</v>
      </c>
    </row>
    <row r="2329" spans="1:3" x14ac:dyDescent="0.25">
      <c r="A2329" t="str">
        <f>"23/01/2019"</f>
        <v>23/01/2019</v>
      </c>
      <c r="B2329" t="str">
        <f>"13.8592"</f>
        <v>13.8592</v>
      </c>
      <c r="C2329" t="str">
        <f>"13.9096"</f>
        <v>13.9096</v>
      </c>
    </row>
    <row r="2330" spans="1:3" x14ac:dyDescent="0.25">
      <c r="A2330" t="str">
        <f>"24/01/2019"</f>
        <v>24/01/2019</v>
      </c>
      <c r="B2330" t="str">
        <f>"13.8316"</f>
        <v>13.8316</v>
      </c>
      <c r="C2330" t="str">
        <f>"13.8817"</f>
        <v>13.8817</v>
      </c>
    </row>
    <row r="2331" spans="1:3" x14ac:dyDescent="0.25">
      <c r="A2331" t="str">
        <f>"25/01/2019"</f>
        <v>25/01/2019</v>
      </c>
      <c r="B2331" t="str">
        <f>"13.7015"</f>
        <v>13.7015</v>
      </c>
      <c r="C2331" t="str">
        <f>"13.7499"</f>
        <v>13.7499</v>
      </c>
    </row>
    <row r="2332" spans="1:3" x14ac:dyDescent="0.25">
      <c r="A2332" t="str">
        <f>"28/01/2019"</f>
        <v>28/01/2019</v>
      </c>
      <c r="B2332" t="str">
        <f>"13.6325"</f>
        <v>13.6325</v>
      </c>
      <c r="C2332" t="str">
        <f>"13.6791"</f>
        <v>13.6791</v>
      </c>
    </row>
    <row r="2333" spans="1:3" x14ac:dyDescent="0.25">
      <c r="A2333" t="str">
        <f>"29/01/2019"</f>
        <v>29/01/2019</v>
      </c>
      <c r="B2333" t="str">
        <f>"13.6561"</f>
        <v>13.6561</v>
      </c>
      <c r="C2333" t="str">
        <f>"13.702"</f>
        <v>13.702</v>
      </c>
    </row>
    <row r="2334" spans="1:3" x14ac:dyDescent="0.25">
      <c r="A2334" t="str">
        <f>"30/01/2019"</f>
        <v>30/01/2019</v>
      </c>
      <c r="B2334" t="str">
        <f>"13.6056"</f>
        <v>13.6056</v>
      </c>
      <c r="C2334" t="str">
        <f>"13.651"</f>
        <v>13.651</v>
      </c>
    </row>
    <row r="2335" spans="1:3" x14ac:dyDescent="0.25">
      <c r="A2335" t="str">
        <f>"31/01/2019"</f>
        <v>31/01/2019</v>
      </c>
      <c r="B2335" t="str">
        <f>"13.3297"</f>
        <v>13.3297</v>
      </c>
      <c r="C2335" t="str">
        <f>"13.3735"</f>
        <v>13.3735</v>
      </c>
    </row>
    <row r="2336" spans="1:3" x14ac:dyDescent="0.25">
      <c r="A2336" t="str">
        <f>"01/02/2019"</f>
        <v>01/02/2019</v>
      </c>
      <c r="B2336" t="str">
        <f>"13.2752"</f>
        <v>13.2752</v>
      </c>
      <c r="C2336" t="str">
        <f>"13.3174"</f>
        <v>13.3174</v>
      </c>
    </row>
    <row r="2337" spans="1:3" x14ac:dyDescent="0.25">
      <c r="A2337" t="str">
        <f>"04/02/2019"</f>
        <v>04/02/2019</v>
      </c>
      <c r="B2337" t="str">
        <f>"13.3714"</f>
        <v>13.3714</v>
      </c>
      <c r="C2337" t="str">
        <f>"13.414"</f>
        <v>13.414</v>
      </c>
    </row>
    <row r="2338" spans="1:3" x14ac:dyDescent="0.25">
      <c r="A2338" t="str">
        <f>"05/02/2019"</f>
        <v>05/02/2019</v>
      </c>
      <c r="B2338" t="str">
        <f>"13.3839"</f>
        <v>13.3839</v>
      </c>
      <c r="C2338" t="str">
        <f>"13.4256"</f>
        <v>13.4256</v>
      </c>
    </row>
    <row r="2339" spans="1:3" x14ac:dyDescent="0.25">
      <c r="A2339" t="str">
        <f>"06/02/2019"</f>
        <v>06/02/2019</v>
      </c>
      <c r="B2339" t="str">
        <f>"13.41"</f>
        <v>13.41</v>
      </c>
      <c r="C2339" t="str">
        <f>"13.4517"</f>
        <v>13.4517</v>
      </c>
    </row>
    <row r="2340" spans="1:3" x14ac:dyDescent="0.25">
      <c r="A2340" t="str">
        <f>"07/02/2019"</f>
        <v>07/02/2019</v>
      </c>
      <c r="B2340" t="str">
        <f>"13.6249"</f>
        <v>13.6249</v>
      </c>
      <c r="C2340" t="str">
        <f>"13.6691"</f>
        <v>13.6691</v>
      </c>
    </row>
    <row r="2341" spans="1:3" x14ac:dyDescent="0.25">
      <c r="A2341" t="str">
        <f>"08/02/2019"</f>
        <v>08/02/2019</v>
      </c>
      <c r="B2341" t="str">
        <f>"13.6301"</f>
        <v>13.6301</v>
      </c>
      <c r="C2341" t="str">
        <f>"13.6745"</f>
        <v>13.6745</v>
      </c>
    </row>
    <row r="2342" spans="1:3" x14ac:dyDescent="0.25">
      <c r="A2342" t="str">
        <f>"11/02/2019"</f>
        <v>11/02/2019</v>
      </c>
      <c r="B2342" t="str">
        <f>"13.7317"</f>
        <v>13.7317</v>
      </c>
      <c r="C2342" t="str">
        <f>"13.776"</f>
        <v>13.776</v>
      </c>
    </row>
    <row r="2343" spans="1:3" x14ac:dyDescent="0.25">
      <c r="A2343" t="str">
        <f>"12/02/2019"</f>
        <v>12/02/2019</v>
      </c>
      <c r="B2343" t="str">
        <f>"13.7964"</f>
        <v>13.7964</v>
      </c>
      <c r="C2343" t="str">
        <f>"13.841"</f>
        <v>13.841</v>
      </c>
    </row>
    <row r="2344" spans="1:3" x14ac:dyDescent="0.25">
      <c r="A2344" t="str">
        <f>"13/02/2019"</f>
        <v>13/02/2019</v>
      </c>
      <c r="B2344" t="str">
        <f>"13.8728"</f>
        <v>13.8728</v>
      </c>
      <c r="C2344" t="str">
        <f>"13.9201"</f>
        <v>13.9201</v>
      </c>
    </row>
    <row r="2345" spans="1:3" x14ac:dyDescent="0.25">
      <c r="A2345" t="str">
        <f>"14/02/2019"</f>
        <v>14/02/2019</v>
      </c>
      <c r="B2345" t="str">
        <f>"14.1224"</f>
        <v>14.1224</v>
      </c>
      <c r="C2345" t="str">
        <f>"14.1705"</f>
        <v>14.1705</v>
      </c>
    </row>
    <row r="2346" spans="1:3" x14ac:dyDescent="0.25">
      <c r="A2346" t="str">
        <f>"15/02/2019"</f>
        <v>15/02/2019</v>
      </c>
      <c r="B2346" t="str">
        <f>"14.1301"</f>
        <v>14.1301</v>
      </c>
      <c r="C2346" t="str">
        <f>"14.1782"</f>
        <v>14.1782</v>
      </c>
    </row>
    <row r="2347" spans="1:3" x14ac:dyDescent="0.25">
      <c r="A2347" t="str">
        <f>"18/02/2019"</f>
        <v>18/02/2019</v>
      </c>
      <c r="B2347" t="str">
        <f>"14.0689"</f>
        <v>14.0689</v>
      </c>
      <c r="C2347" t="str">
        <f>"14.117"</f>
        <v>14.117</v>
      </c>
    </row>
    <row r="2348" spans="1:3" x14ac:dyDescent="0.25">
      <c r="A2348" t="str">
        <f>"20/02/2019"</f>
        <v>20/02/2019</v>
      </c>
      <c r="B2348" t="str">
        <f>"14.1404"</f>
        <v>14.1404</v>
      </c>
      <c r="C2348" t="str">
        <f>"14.1871"</f>
        <v>14.1871</v>
      </c>
    </row>
    <row r="2349" spans="1:3" x14ac:dyDescent="0.25">
      <c r="A2349" t="str">
        <f>"21/02/2019"</f>
        <v>21/02/2019</v>
      </c>
      <c r="B2349" t="str">
        <f>"14.0129"</f>
        <v>14.0129</v>
      </c>
      <c r="C2349" t="str">
        <f>"14.0593"</f>
        <v>14.0593</v>
      </c>
    </row>
    <row r="2350" spans="1:3" x14ac:dyDescent="0.25">
      <c r="A2350" t="str">
        <f>"22/02/2019"</f>
        <v>22/02/2019</v>
      </c>
      <c r="B2350" t="str">
        <f>"14.0021"</f>
        <v>14.0021</v>
      </c>
      <c r="C2350" t="str">
        <f>"14.0489"</f>
        <v>14.0489</v>
      </c>
    </row>
    <row r="2351" spans="1:3" x14ac:dyDescent="0.25">
      <c r="A2351" t="str">
        <f>"25/02/2019"</f>
        <v>25/02/2019</v>
      </c>
      <c r="B2351" t="str">
        <f>"13.8638"</f>
        <v>13.8638</v>
      </c>
      <c r="C2351" t="str">
        <f>"13.91"</f>
        <v>13.91</v>
      </c>
    </row>
    <row r="2352" spans="1:3" x14ac:dyDescent="0.25">
      <c r="A2352" t="str">
        <f>"26/02/2019"</f>
        <v>26/02/2019</v>
      </c>
      <c r="B2352" t="str">
        <f>"13.865"</f>
        <v>13.865</v>
      </c>
      <c r="C2352" t="str">
        <f>"13.9125"</f>
        <v>13.9125</v>
      </c>
    </row>
    <row r="2353" spans="1:3" x14ac:dyDescent="0.25">
      <c r="A2353" t="str">
        <f>"27/02/2019"</f>
        <v>27/02/2019</v>
      </c>
      <c r="B2353" t="str">
        <f>"13.8629"</f>
        <v>13.8629</v>
      </c>
      <c r="C2353" t="str">
        <f>"13.9138"</f>
        <v>13.9138</v>
      </c>
    </row>
    <row r="2354" spans="1:3" x14ac:dyDescent="0.25">
      <c r="A2354" t="str">
        <f>"28/02/2019"</f>
        <v>28/02/2019</v>
      </c>
      <c r="B2354" t="str">
        <f>"13.9501"</f>
        <v>13.9501</v>
      </c>
      <c r="C2354" t="str">
        <f>"14.0014"</f>
        <v>14.0014</v>
      </c>
    </row>
    <row r="2355" spans="1:3" x14ac:dyDescent="0.25">
      <c r="A2355" t="str">
        <f>"01/03/2019"</f>
        <v>01/03/2019</v>
      </c>
      <c r="B2355" t="str">
        <f>"14.1077"</f>
        <v>14.1077</v>
      </c>
      <c r="C2355" t="str">
        <f>"14.1595"</f>
        <v>14.1595</v>
      </c>
    </row>
    <row r="2356" spans="1:3" x14ac:dyDescent="0.25">
      <c r="A2356" t="str">
        <f>"05/03/2019"</f>
        <v>05/03/2019</v>
      </c>
      <c r="B2356" t="str">
        <f>"14.1387"</f>
        <v>14.1387</v>
      </c>
      <c r="C2356" t="str">
        <f>"14.1922"</f>
        <v>14.1922</v>
      </c>
    </row>
    <row r="2357" spans="1:3" x14ac:dyDescent="0.25">
      <c r="A2357" t="str">
        <f>"06/03/2019"</f>
        <v>06/03/2019</v>
      </c>
      <c r="B2357" t="str">
        <f>"14.2003"</f>
        <v>14.2003</v>
      </c>
      <c r="C2357" t="str">
        <f>"14.2524"</f>
        <v>14.2524</v>
      </c>
    </row>
    <row r="2358" spans="1:3" x14ac:dyDescent="0.25">
      <c r="A2358" t="str">
        <f>"07/03/2019"</f>
        <v>07/03/2019</v>
      </c>
      <c r="B2358" t="str">
        <f>"14.3351"</f>
        <v>14.3351</v>
      </c>
      <c r="C2358" t="str">
        <f>"14.388"</f>
        <v>14.388</v>
      </c>
    </row>
    <row r="2359" spans="1:3" x14ac:dyDescent="0.25">
      <c r="A2359" t="str">
        <f>"08/03/2019"</f>
        <v>08/03/2019</v>
      </c>
      <c r="B2359" t="str">
        <f>"14.5254"</f>
        <v>14.5254</v>
      </c>
      <c r="C2359" t="str">
        <f>"14.578"</f>
        <v>14.578</v>
      </c>
    </row>
    <row r="2360" spans="1:3" x14ac:dyDescent="0.25">
      <c r="A2360" t="str">
        <f>"11/03/2019"</f>
        <v>11/03/2019</v>
      </c>
      <c r="B2360" t="str">
        <f>"14.3843"</f>
        <v>14.3843</v>
      </c>
      <c r="C2360" t="str">
        <f>"14.4394"</f>
        <v>14.4394</v>
      </c>
    </row>
    <row r="2361" spans="1:3" x14ac:dyDescent="0.25">
      <c r="A2361" t="str">
        <f>"12/03/2019"</f>
        <v>12/03/2019</v>
      </c>
      <c r="B2361" t="str">
        <f>"14.2997"</f>
        <v>14.2997</v>
      </c>
      <c r="C2361" t="str">
        <f>"14.3527"</f>
        <v>14.3527</v>
      </c>
    </row>
    <row r="2362" spans="1:3" x14ac:dyDescent="0.25">
      <c r="A2362" t="str">
        <f>"13/03/2019"</f>
        <v>13/03/2019</v>
      </c>
      <c r="B2362" t="str">
        <f>"14.3926"</f>
        <v>14.3926</v>
      </c>
      <c r="C2362" t="str">
        <f>"14.4448"</f>
        <v>14.4448</v>
      </c>
    </row>
    <row r="2363" spans="1:3" x14ac:dyDescent="0.25">
      <c r="A2363" t="str">
        <f>"14/03/2019"</f>
        <v>14/03/2019</v>
      </c>
      <c r="B2363" t="str">
        <f>"14.4561"</f>
        <v>14.4561</v>
      </c>
      <c r="C2363" t="str">
        <f>"14.5092"</f>
        <v>14.5092</v>
      </c>
    </row>
    <row r="2364" spans="1:3" x14ac:dyDescent="0.25">
      <c r="A2364" t="str">
        <f>"18/03/2019"</f>
        <v>18/03/2019</v>
      </c>
      <c r="B2364" t="str">
        <f>"14.4115"</f>
        <v>14.4115</v>
      </c>
      <c r="C2364" t="str">
        <f>"14.4692"</f>
        <v>14.4692</v>
      </c>
    </row>
    <row r="2365" spans="1:3" x14ac:dyDescent="0.25">
      <c r="A2365" t="str">
        <f>"19/03/2019"</f>
        <v>19/03/2019</v>
      </c>
      <c r="B2365" t="str">
        <f>"14.3894"</f>
        <v>14.3894</v>
      </c>
      <c r="C2365" t="str">
        <f>"14.4433"</f>
        <v>14.4433</v>
      </c>
    </row>
    <row r="2366" spans="1:3" x14ac:dyDescent="0.25">
      <c r="A2366" t="str">
        <f>"20/03/2019"</f>
        <v>20/03/2019</v>
      </c>
      <c r="B2366" t="str">
        <f>"14.4711"</f>
        <v>14.4711</v>
      </c>
      <c r="C2366" t="str">
        <f>"14.524"</f>
        <v>14.524</v>
      </c>
    </row>
    <row r="2367" spans="1:3" x14ac:dyDescent="0.25">
      <c r="A2367" t="str">
        <f>"22/03/2019"</f>
        <v>22/03/2019</v>
      </c>
      <c r="B2367" t="str">
        <f>"14.3799"</f>
        <v>14.3799</v>
      </c>
      <c r="C2367" t="str">
        <f>"14.4326"</f>
        <v>14.4326</v>
      </c>
    </row>
    <row r="2368" spans="1:3" x14ac:dyDescent="0.25">
      <c r="A2368" t="str">
        <f>"25/03/2019"</f>
        <v>25/03/2019</v>
      </c>
      <c r="B2368" t="str">
        <f>"14.4652"</f>
        <v>14.4652</v>
      </c>
      <c r="C2368" t="str">
        <f>"14.5223"</f>
        <v>14.5223</v>
      </c>
    </row>
    <row r="2369" spans="1:3" x14ac:dyDescent="0.25">
      <c r="A2369" t="str">
        <f>"26/03/2019"</f>
        <v>26/03/2019</v>
      </c>
      <c r="B2369" t="str">
        <f>"14.3659"</f>
        <v>14.3659</v>
      </c>
      <c r="C2369" t="str">
        <f>"14.4215"</f>
        <v>14.4215</v>
      </c>
    </row>
    <row r="2370" spans="1:3" x14ac:dyDescent="0.25">
      <c r="A2370" t="str">
        <f>"27/03/2019"</f>
        <v>27/03/2019</v>
      </c>
      <c r="B2370" t="str">
        <f>"14.6168"</f>
        <v>14.6168</v>
      </c>
      <c r="C2370" t="str">
        <f>"14.6732"</f>
        <v>14.6732</v>
      </c>
    </row>
    <row r="2371" spans="1:3" x14ac:dyDescent="0.25">
      <c r="A2371" t="str">
        <f>"28/03/2019"</f>
        <v>28/03/2019</v>
      </c>
      <c r="B2371" t="str">
        <f>"14.7268"</f>
        <v>14.7268</v>
      </c>
      <c r="C2371" t="str">
        <f>"14.7818"</f>
        <v>14.7818</v>
      </c>
    </row>
    <row r="2372" spans="1:3" x14ac:dyDescent="0.25">
      <c r="A2372" t="str">
        <f>"29/03/2019"</f>
        <v>29/03/2019</v>
      </c>
      <c r="B2372" t="str">
        <f>"14.5005"</f>
        <v>14.5005</v>
      </c>
      <c r="C2372" t="str">
        <f>"14.5529"</f>
        <v>14.5529</v>
      </c>
    </row>
    <row r="2373" spans="1:3" x14ac:dyDescent="0.25">
      <c r="A2373" t="str">
        <f>"02/04/2019"</f>
        <v>02/04/2019</v>
      </c>
      <c r="B2373" t="str">
        <f>"14.1003"</f>
        <v>14.1003</v>
      </c>
      <c r="C2373" t="str">
        <f>"14.1544"</f>
        <v>14.1544</v>
      </c>
    </row>
    <row r="2374" spans="1:3" x14ac:dyDescent="0.25">
      <c r="A2374" t="str">
        <f>"03/04/2019"</f>
        <v>03/04/2019</v>
      </c>
      <c r="B2374" t="str">
        <f>"14.16"</f>
        <v>14.16</v>
      </c>
      <c r="C2374" t="str">
        <f>"14.2129"</f>
        <v>14.2129</v>
      </c>
    </row>
    <row r="2375" spans="1:3" x14ac:dyDescent="0.25">
      <c r="A2375" t="str">
        <f>"04/04/2019"</f>
        <v>04/04/2019</v>
      </c>
      <c r="B2375" t="str">
        <f>"14.1569"</f>
        <v>14.1569</v>
      </c>
      <c r="C2375" t="str">
        <f>"14.2099"</f>
        <v>14.2099</v>
      </c>
    </row>
    <row r="2376" spans="1:3" x14ac:dyDescent="0.25">
      <c r="A2376" t="str">
        <f>"05/04/2019"</f>
        <v>05/04/2019</v>
      </c>
      <c r="B2376" t="str">
        <f>"14.0986"</f>
        <v>14.0986</v>
      </c>
      <c r="C2376" t="str">
        <f>"14.1495"</f>
        <v>14.1495</v>
      </c>
    </row>
    <row r="2377" spans="1:3" x14ac:dyDescent="0.25">
      <c r="A2377" t="str">
        <f>"08/04/2019"</f>
        <v>08/04/2019</v>
      </c>
      <c r="B2377" t="str">
        <f>"14.0958"</f>
        <v>14.0958</v>
      </c>
      <c r="C2377" t="str">
        <f>"14.1466"</f>
        <v>14.1466</v>
      </c>
    </row>
    <row r="2378" spans="1:3" x14ac:dyDescent="0.25">
      <c r="A2378" t="str">
        <f>"09/04/2019"</f>
        <v>09/04/2019</v>
      </c>
      <c r="B2378" t="str">
        <f>"14.0438"</f>
        <v>14.0438</v>
      </c>
      <c r="C2378" t="str">
        <f>"14.0963"</f>
        <v>14.0963</v>
      </c>
    </row>
    <row r="2379" spans="1:3" x14ac:dyDescent="0.25">
      <c r="A2379" t="str">
        <f>"10/04/2019"</f>
        <v>10/04/2019</v>
      </c>
      <c r="B2379" t="str">
        <f>"13.9702"</f>
        <v>13.9702</v>
      </c>
      <c r="C2379" t="str">
        <f>"14.0212"</f>
        <v>14.0212</v>
      </c>
    </row>
    <row r="2380" spans="1:3" x14ac:dyDescent="0.25">
      <c r="A2380" t="str">
        <f>"11/04/2019"</f>
        <v>11/04/2019</v>
      </c>
      <c r="B2380" t="str">
        <f>"13.9993"</f>
        <v>13.9993</v>
      </c>
      <c r="C2380" t="str">
        <f>"14.0485"</f>
        <v>14.0485</v>
      </c>
    </row>
    <row r="2381" spans="1:3" x14ac:dyDescent="0.25">
      <c r="A2381" t="str">
        <f>"12/04/2019"</f>
        <v>12/04/2019</v>
      </c>
      <c r="B2381" t="str">
        <f>"13.9568"</f>
        <v>13.9568</v>
      </c>
      <c r="C2381" t="str">
        <f>"14.0059"</f>
        <v>14.0059</v>
      </c>
    </row>
    <row r="2382" spans="1:3" x14ac:dyDescent="0.25">
      <c r="A2382" t="str">
        <f>"15/04/2019"</f>
        <v>15/04/2019</v>
      </c>
      <c r="B2382" t="str">
        <f>"13.9633"</f>
        <v>13.9633</v>
      </c>
      <c r="C2382" t="str">
        <f>"14.0123"</f>
        <v>14.0123</v>
      </c>
    </row>
    <row r="2383" spans="1:3" x14ac:dyDescent="0.25">
      <c r="A2383" t="str">
        <f>"16/04/2019"</f>
        <v>16/04/2019</v>
      </c>
      <c r="B2383" t="str">
        <f>"14.0595"</f>
        <v>14.0595</v>
      </c>
      <c r="C2383" t="str">
        <f>"14.1123"</f>
        <v>14.1123</v>
      </c>
    </row>
    <row r="2384" spans="1:3" x14ac:dyDescent="0.25">
      <c r="A2384" t="str">
        <f>"18/04/2019"</f>
        <v>18/04/2019</v>
      </c>
      <c r="B2384" t="str">
        <f>"14.10"</f>
        <v>14.10</v>
      </c>
      <c r="C2384" t="str">
        <f>"14.1498"</f>
        <v>14.1498</v>
      </c>
    </row>
    <row r="2385" spans="1:3" x14ac:dyDescent="0.25">
      <c r="A2385" t="str">
        <f>"22/04/2019"</f>
        <v>22/04/2019</v>
      </c>
      <c r="B2385" t="str">
        <f>"14.1269"</f>
        <v>14.1269</v>
      </c>
      <c r="C2385" t="str">
        <f>"14.1769"</f>
        <v>14.1769</v>
      </c>
    </row>
    <row r="2386" spans="1:3" x14ac:dyDescent="0.25">
      <c r="A2386" t="str">
        <f>"23/04/2019"</f>
        <v>23/04/2019</v>
      </c>
      <c r="B2386" t="str">
        <f>"14.1904"</f>
        <v>14.1904</v>
      </c>
      <c r="C2386" t="str">
        <f>"14.2457"</f>
        <v>14.2457</v>
      </c>
    </row>
    <row r="2387" spans="1:3" x14ac:dyDescent="0.25">
      <c r="A2387" t="str">
        <f>"24/04/2019"</f>
        <v>24/04/2019</v>
      </c>
      <c r="B2387" t="str">
        <f>"14.3634"</f>
        <v>14.3634</v>
      </c>
      <c r="C2387" t="str">
        <f>"14.4182"</f>
        <v>14.4182</v>
      </c>
    </row>
    <row r="2388" spans="1:3" x14ac:dyDescent="0.25">
      <c r="A2388" t="str">
        <f>"25/04/2019"</f>
        <v>25/04/2019</v>
      </c>
      <c r="B2388" t="str">
        <f>"14.507"</f>
        <v>14.507</v>
      </c>
      <c r="C2388" t="str">
        <f>"14.5595"</f>
        <v>14.5595</v>
      </c>
    </row>
    <row r="2389" spans="1:3" x14ac:dyDescent="0.25">
      <c r="A2389" t="str">
        <f>"26/04/2019"</f>
        <v>26/04/2019</v>
      </c>
      <c r="B2389" t="str">
        <f>"14.3998"</f>
        <v>14.3998</v>
      </c>
      <c r="C2389" t="str">
        <f>"14.4538"</f>
        <v>14.4538</v>
      </c>
    </row>
    <row r="2390" spans="1:3" x14ac:dyDescent="0.25">
      <c r="A2390" t="str">
        <f>"30/04/2019"</f>
        <v>30/04/2019</v>
      </c>
      <c r="B2390" t="str">
        <f>"14.309"</f>
        <v>14.309</v>
      </c>
      <c r="C2390" t="str">
        <f>"14.3617"</f>
        <v>14.3617</v>
      </c>
    </row>
    <row r="2391" spans="1:3" x14ac:dyDescent="0.25">
      <c r="A2391" t="str">
        <f>"02/05/2019"</f>
        <v>02/05/2019</v>
      </c>
      <c r="B2391" t="str">
        <f>"14.4658"</f>
        <v>14.4658</v>
      </c>
      <c r="C2391" t="str">
        <f>"14.5196"</f>
        <v>14.5196</v>
      </c>
    </row>
    <row r="2392" spans="1:3" x14ac:dyDescent="0.25">
      <c r="A2392" t="str">
        <f>"03/05/2019"</f>
        <v>03/05/2019</v>
      </c>
      <c r="B2392" t="str">
        <f>"14.5492"</f>
        <v>14.5492</v>
      </c>
      <c r="C2392" t="str">
        <f>"14.6038"</f>
        <v>14.6038</v>
      </c>
    </row>
    <row r="2393" spans="1:3" x14ac:dyDescent="0.25">
      <c r="A2393" t="str">
        <f>"06/05/2019"</f>
        <v>06/05/2019</v>
      </c>
      <c r="B2393" t="str">
        <f>"14.5099"</f>
        <v>14.5099</v>
      </c>
      <c r="C2393" t="str">
        <f>"14.566"</f>
        <v>14.566</v>
      </c>
    </row>
    <row r="2394" spans="1:3" x14ac:dyDescent="0.25">
      <c r="A2394" t="str">
        <f>"07/05/2019"</f>
        <v>07/05/2019</v>
      </c>
      <c r="B2394" t="str">
        <f>"14.4492"</f>
        <v>14.4492</v>
      </c>
      <c r="C2394" t="str">
        <f>"14.5027"</f>
        <v>14.5027</v>
      </c>
    </row>
    <row r="2395" spans="1:3" x14ac:dyDescent="0.25">
      <c r="A2395" t="str">
        <f>"08/05/2019"</f>
        <v>08/05/2019</v>
      </c>
      <c r="B2395" t="str">
        <f>"14.3652"</f>
        <v>14.3652</v>
      </c>
      <c r="C2395" t="str">
        <f>"14.4185"</f>
        <v>14.4185</v>
      </c>
    </row>
    <row r="2396" spans="1:3" x14ac:dyDescent="0.25">
      <c r="A2396" t="str">
        <f>"09/05/2019"</f>
        <v>09/05/2019</v>
      </c>
      <c r="B2396" t="str">
        <f>"14.3567"</f>
        <v>14.3567</v>
      </c>
      <c r="C2396" t="str">
        <f>"14.4095"</f>
        <v>14.4095</v>
      </c>
    </row>
    <row r="2397" spans="1:3" x14ac:dyDescent="0.25">
      <c r="A2397" t="str">
        <f>"10/05/2019"</f>
        <v>10/05/2019</v>
      </c>
      <c r="B2397" t="str">
        <f>"14.2156"</f>
        <v>14.2156</v>
      </c>
      <c r="C2397" t="str">
        <f>"14.2684"</f>
        <v>14.2684</v>
      </c>
    </row>
    <row r="2398" spans="1:3" x14ac:dyDescent="0.25">
      <c r="A2398" t="str">
        <f>"13/05/2019"</f>
        <v>13/05/2019</v>
      </c>
      <c r="B2398" t="str">
        <f>"14.2303"</f>
        <v>14.2303</v>
      </c>
      <c r="C2398" t="str">
        <f>"14.2828"</f>
        <v>14.2828</v>
      </c>
    </row>
    <row r="2399" spans="1:3" x14ac:dyDescent="0.25">
      <c r="A2399" t="str">
        <f>"14/05/2019"</f>
        <v>14/05/2019</v>
      </c>
      <c r="B2399" t="str">
        <f>"14.2487"</f>
        <v>14.2487</v>
      </c>
      <c r="C2399" t="str">
        <f>"14.3051"</f>
        <v>14.3051</v>
      </c>
    </row>
    <row r="2400" spans="1:3" x14ac:dyDescent="0.25">
      <c r="A2400" t="str">
        <f>"15/05/2019"</f>
        <v>15/05/2019</v>
      </c>
      <c r="B2400" t="str">
        <f>"14.2677"</f>
        <v>14.2677</v>
      </c>
      <c r="C2400" t="str">
        <f>"14.323"</f>
        <v>14.323</v>
      </c>
    </row>
    <row r="2401" spans="1:3" x14ac:dyDescent="0.25">
      <c r="A2401" t="str">
        <f>"16/05/2019"</f>
        <v>16/05/2019</v>
      </c>
      <c r="B2401" t="str">
        <f>"14.1476"</f>
        <v>14.1476</v>
      </c>
      <c r="C2401" t="str">
        <f>"14.2003"</f>
        <v>14.2003</v>
      </c>
    </row>
    <row r="2402" spans="1:3" x14ac:dyDescent="0.25">
      <c r="A2402" t="str">
        <f>"17/05/2019"</f>
        <v>17/05/2019</v>
      </c>
      <c r="B2402" t="str">
        <f>"14.3783"</f>
        <v>14.3783</v>
      </c>
      <c r="C2402" t="str">
        <f>"14.4321"</f>
        <v>14.4321</v>
      </c>
    </row>
    <row r="2403" spans="1:3" x14ac:dyDescent="0.25">
      <c r="A2403" t="str">
        <f>"20/05/2019"</f>
        <v>20/05/2019</v>
      </c>
      <c r="B2403" t="str">
        <f>"14.3833"</f>
        <v>14.3833</v>
      </c>
      <c r="C2403" t="str">
        <f>"14.4406"</f>
        <v>14.4406</v>
      </c>
    </row>
    <row r="2404" spans="1:3" x14ac:dyDescent="0.25">
      <c r="A2404" t="str">
        <f>"21/05/2019"</f>
        <v>21/05/2019</v>
      </c>
      <c r="B2404" t="str">
        <f>"14.4347"</f>
        <v>14.4347</v>
      </c>
      <c r="C2404" t="str">
        <f>"14.4908"</f>
        <v>14.4908</v>
      </c>
    </row>
    <row r="2405" spans="1:3" x14ac:dyDescent="0.25">
      <c r="A2405" t="str">
        <f>"22/05/2019"</f>
        <v>22/05/2019</v>
      </c>
      <c r="B2405" t="str">
        <f>"14.3859"</f>
        <v>14.3859</v>
      </c>
      <c r="C2405" t="str">
        <f>"14.4401"</f>
        <v>14.4401</v>
      </c>
    </row>
    <row r="2406" spans="1:3" x14ac:dyDescent="0.25">
      <c r="A2406" t="str">
        <f>"23/05/2019"</f>
        <v>23/05/2019</v>
      </c>
      <c r="B2406" t="str">
        <f>"14.4536"</f>
        <v>14.4536</v>
      </c>
      <c r="C2406" t="str">
        <f>"14.5082"</f>
        <v>14.5082</v>
      </c>
    </row>
    <row r="2407" spans="1:3" x14ac:dyDescent="0.25">
      <c r="A2407" t="str">
        <f>"24/05/2019"</f>
        <v>24/05/2019</v>
      </c>
      <c r="B2407" t="str">
        <f>"14.4267"</f>
        <v>14.4267</v>
      </c>
      <c r="C2407" t="str">
        <f>"14.4812"</f>
        <v>14.4812</v>
      </c>
    </row>
    <row r="2408" spans="1:3" x14ac:dyDescent="0.25">
      <c r="A2408" t="str">
        <f>"27/05/2019"</f>
        <v>27/05/2019</v>
      </c>
      <c r="B2408" t="str">
        <f>"14.4646"</f>
        <v>14.4646</v>
      </c>
      <c r="C2408" t="str">
        <f>"14.5177"</f>
        <v>14.5177</v>
      </c>
    </row>
    <row r="2409" spans="1:3" x14ac:dyDescent="0.25">
      <c r="A2409" t="str">
        <f>"28/05/2019"</f>
        <v>28/05/2019</v>
      </c>
      <c r="B2409" t="str">
        <f>"14.459"</f>
        <v>14.459</v>
      </c>
      <c r="C2409" t="str">
        <f>"14.5103"</f>
        <v>14.5103</v>
      </c>
    </row>
    <row r="2410" spans="1:3" x14ac:dyDescent="0.25">
      <c r="A2410" t="str">
        <f>"29/05/2019"</f>
        <v>29/05/2019</v>
      </c>
      <c r="B2410" t="str">
        <f>"14.8153"</f>
        <v>14.8153</v>
      </c>
      <c r="C2410" t="str">
        <f>"14.8666"</f>
        <v>14.8666</v>
      </c>
    </row>
    <row r="2411" spans="1:3" x14ac:dyDescent="0.25">
      <c r="A2411" t="str">
        <f>"30/05/2019"</f>
        <v>30/05/2019</v>
      </c>
      <c r="B2411" t="str">
        <f>"14.6191"</f>
        <v>14.6191</v>
      </c>
      <c r="C2411" t="str">
        <f>"14.6733"</f>
        <v>14.6733</v>
      </c>
    </row>
    <row r="2412" spans="1:3" x14ac:dyDescent="0.25">
      <c r="A2412" t="str">
        <f>"31/05/2019"</f>
        <v>31/05/2019</v>
      </c>
      <c r="B2412" t="str">
        <f>"14.8308"</f>
        <v>14.8308</v>
      </c>
      <c r="C2412" t="str">
        <f>"14.8868"</f>
        <v>14.8868</v>
      </c>
    </row>
    <row r="2413" spans="1:3" x14ac:dyDescent="0.25">
      <c r="A2413" t="str">
        <f>"03/06/2019"</f>
        <v>03/06/2019</v>
      </c>
      <c r="B2413" t="str">
        <f>"14.5289"</f>
        <v>14.5289</v>
      </c>
      <c r="C2413" t="str">
        <f>"14.5834"</f>
        <v>14.5834</v>
      </c>
    </row>
    <row r="2414" spans="1:3" x14ac:dyDescent="0.25">
      <c r="A2414" t="str">
        <f>"04/06/2019"</f>
        <v>04/06/2019</v>
      </c>
      <c r="B2414" t="str">
        <f>"14.4597"</f>
        <v>14.4597</v>
      </c>
      <c r="C2414" t="str">
        <f>"14.5176"</f>
        <v>14.5176</v>
      </c>
    </row>
    <row r="2415" spans="1:3" x14ac:dyDescent="0.25">
      <c r="A2415" t="str">
        <f>"06/06/2019"</f>
        <v>06/06/2019</v>
      </c>
      <c r="B2415" t="str">
        <f>"14.8951"</f>
        <v>14.8951</v>
      </c>
      <c r="C2415" t="str">
        <f>"14.9505"</f>
        <v>14.9505</v>
      </c>
    </row>
    <row r="2416" spans="1:3" x14ac:dyDescent="0.25">
      <c r="A2416" t="str">
        <f>"07/06/2019"</f>
        <v>07/06/2019</v>
      </c>
      <c r="B2416" t="str">
        <f>"15.0596"</f>
        <v>15.0596</v>
      </c>
      <c r="C2416" t="str">
        <f>"15.1175"</f>
        <v>15.1175</v>
      </c>
    </row>
    <row r="2417" spans="1:3" x14ac:dyDescent="0.25">
      <c r="A2417" t="str">
        <f>"10/06/2019"</f>
        <v>10/06/2019</v>
      </c>
      <c r="B2417" t="str">
        <f>"14.8921"</f>
        <v>14.8921</v>
      </c>
      <c r="C2417" t="str">
        <f>"14.9491"</f>
        <v>14.9491</v>
      </c>
    </row>
    <row r="2418" spans="1:3" x14ac:dyDescent="0.25">
      <c r="A2418" t="str">
        <f>"11/06/2019"</f>
        <v>11/06/2019</v>
      </c>
      <c r="B2418" t="str">
        <f>"14.7948"</f>
        <v>14.7948</v>
      </c>
      <c r="C2418" t="str">
        <f>"14.8552"</f>
        <v>14.8552</v>
      </c>
    </row>
    <row r="2419" spans="1:3" x14ac:dyDescent="0.25">
      <c r="A2419" t="str">
        <f>"12/06/2019"</f>
        <v>12/06/2019</v>
      </c>
      <c r="B2419" t="str">
        <f>"14.7745"</f>
        <v>14.7745</v>
      </c>
      <c r="C2419" t="str">
        <f>"14.8321"</f>
        <v>14.8321</v>
      </c>
    </row>
    <row r="2420" spans="1:3" x14ac:dyDescent="0.25">
      <c r="A2420" t="str">
        <f>"13/06/2019"</f>
        <v>13/06/2019</v>
      </c>
      <c r="B2420" t="str">
        <f>"14.9219"</f>
        <v>14.9219</v>
      </c>
      <c r="C2420" t="str">
        <f>"14.9783"</f>
        <v>14.9783</v>
      </c>
    </row>
    <row r="2421" spans="1:3" x14ac:dyDescent="0.25">
      <c r="A2421" t="str">
        <f>"14/06/2019"</f>
        <v>14/06/2019</v>
      </c>
      <c r="B2421" t="str">
        <f>"14.7938"</f>
        <v>14.7938</v>
      </c>
      <c r="C2421" t="str">
        <f>"14.8501"</f>
        <v>14.8501</v>
      </c>
    </row>
    <row r="2422" spans="1:3" x14ac:dyDescent="0.25">
      <c r="A2422" t="str">
        <f>"17/06/2019"</f>
        <v>17/06/2019</v>
      </c>
      <c r="B2422" t="str">
        <f>"14.815"</f>
        <v>14.815</v>
      </c>
      <c r="C2422" t="str">
        <f>"14.8716"</f>
        <v>14.8716</v>
      </c>
    </row>
    <row r="2423" spans="1:3" x14ac:dyDescent="0.25">
      <c r="A2423" t="str">
        <f>"18/06/2019"</f>
        <v>18/06/2019</v>
      </c>
      <c r="B2423" t="str">
        <f>"14.647"</f>
        <v>14.647</v>
      </c>
      <c r="C2423" t="str">
        <f>"14.7072"</f>
        <v>14.7072</v>
      </c>
    </row>
    <row r="2424" spans="1:3" x14ac:dyDescent="0.25">
      <c r="A2424" t="str">
        <f>"19/06/2019"</f>
        <v>19/06/2019</v>
      </c>
      <c r="B2424" t="str">
        <f>"14.5313"</f>
        <v>14.5313</v>
      </c>
      <c r="C2424" t="str">
        <f>"14.589"</f>
        <v>14.589</v>
      </c>
    </row>
    <row r="2425" spans="1:3" x14ac:dyDescent="0.25">
      <c r="A2425" t="str">
        <f>"20/06/2019"</f>
        <v>20/06/2019</v>
      </c>
      <c r="B2425" t="str">
        <f>"14.2171"</f>
        <v>14.2171</v>
      </c>
      <c r="C2425" t="str">
        <f>"14.2719"</f>
        <v>14.2719</v>
      </c>
    </row>
    <row r="2426" spans="1:3" x14ac:dyDescent="0.25">
      <c r="A2426" t="str">
        <f>"21/06/2019"</f>
        <v>21/06/2019</v>
      </c>
      <c r="B2426" t="str">
        <f>"14.3601"</f>
        <v>14.3601</v>
      </c>
      <c r="C2426" t="str">
        <f>"14.4146"</f>
        <v>14.4146</v>
      </c>
    </row>
    <row r="2427" spans="1:3" x14ac:dyDescent="0.25">
      <c r="A2427" t="str">
        <f>"24/06/2019"</f>
        <v>24/06/2019</v>
      </c>
      <c r="B2427" t="str">
        <f>"14.3407"</f>
        <v>14.3407</v>
      </c>
      <c r="C2427" t="str">
        <f>"14.3953"</f>
        <v>14.3953</v>
      </c>
    </row>
    <row r="2428" spans="1:3" x14ac:dyDescent="0.25">
      <c r="A2428" t="str">
        <f>"25/06/2019"</f>
        <v>25/06/2019</v>
      </c>
      <c r="B2428" t="str">
        <f>"14.2948"</f>
        <v>14.2948</v>
      </c>
      <c r="C2428" t="str">
        <f>"14.3533"</f>
        <v>14.3533</v>
      </c>
    </row>
    <row r="2429" spans="1:3" x14ac:dyDescent="0.25">
      <c r="A2429" t="str">
        <f>"26/06/2019"</f>
        <v>26/06/2019</v>
      </c>
      <c r="B2429" t="str">
        <f>"14.335"</f>
        <v>14.335</v>
      </c>
      <c r="C2429" t="str">
        <f>"14.3945"</f>
        <v>14.3945</v>
      </c>
    </row>
    <row r="2430" spans="1:3" x14ac:dyDescent="0.25">
      <c r="A2430" t="str">
        <f>"27/06/2019"</f>
        <v>27/06/2019</v>
      </c>
      <c r="B2430" t="str">
        <f>"14.1528"</f>
        <v>14.1528</v>
      </c>
      <c r="C2430" t="str">
        <f>"14.2071"</f>
        <v>14.2071</v>
      </c>
    </row>
    <row r="2431" spans="1:3" x14ac:dyDescent="0.25">
      <c r="A2431" t="str">
        <f>"28/06/2019"</f>
        <v>28/06/2019</v>
      </c>
      <c r="B2431" t="str">
        <f>"14.1878"</f>
        <v>14.1878</v>
      </c>
      <c r="C2431" t="str">
        <f>"14.2426"</f>
        <v>14.2426</v>
      </c>
    </row>
    <row r="2432" spans="1:3" x14ac:dyDescent="0.25">
      <c r="A2432" t="str">
        <f>"01/07/2019"</f>
        <v>01/07/2019</v>
      </c>
      <c r="B2432" t="str">
        <f>"14.1074"</f>
        <v>14.1074</v>
      </c>
      <c r="C2432" t="str">
        <f>"14.1655"</f>
        <v>14.1655</v>
      </c>
    </row>
    <row r="2433" spans="1:3" x14ac:dyDescent="0.25">
      <c r="A2433" t="str">
        <f>"02/07/2019"</f>
        <v>02/07/2019</v>
      </c>
      <c r="B2433" t="str">
        <f>"14.1453"</f>
        <v>14.1453</v>
      </c>
      <c r="C2433" t="str">
        <f>"14.2001"</f>
        <v>14.2001</v>
      </c>
    </row>
    <row r="2434" spans="1:3" x14ac:dyDescent="0.25">
      <c r="A2434" t="str">
        <f>"03/07/2019"</f>
        <v>03/07/2019</v>
      </c>
      <c r="B2434" t="str">
        <f>"14.0995"</f>
        <v>14.0995</v>
      </c>
      <c r="C2434" t="str">
        <f>"14.1537"</f>
        <v>14.1537</v>
      </c>
    </row>
    <row r="2435" spans="1:3" x14ac:dyDescent="0.25">
      <c r="A2435" t="str">
        <f>"04/07/2019"</f>
        <v>04/07/2019</v>
      </c>
      <c r="B2435" t="str">
        <f>"14.0816"</f>
        <v>14.0816</v>
      </c>
      <c r="C2435" t="str">
        <f>"14.1357"</f>
        <v>14.1357</v>
      </c>
    </row>
    <row r="2436" spans="1:3" x14ac:dyDescent="0.25">
      <c r="A2436" t="str">
        <f>"05/07/2019"</f>
        <v>05/07/2019</v>
      </c>
      <c r="B2436" t="str">
        <f>"14.1096"</f>
        <v>14.1096</v>
      </c>
      <c r="C2436" t="str">
        <f>"14.1687"</f>
        <v>14.1687</v>
      </c>
    </row>
    <row r="2437" spans="1:3" x14ac:dyDescent="0.25">
      <c r="A2437" t="str">
        <f>"08/07/2019"</f>
        <v>08/07/2019</v>
      </c>
      <c r="B2437" t="str">
        <f>"14.2079"</f>
        <v>14.2079</v>
      </c>
      <c r="C2437" t="str">
        <f>"14.2656"</f>
        <v>14.2656</v>
      </c>
    </row>
    <row r="2438" spans="1:3" x14ac:dyDescent="0.25">
      <c r="A2438" t="str">
        <f>"09/07/2019"</f>
        <v>09/07/2019</v>
      </c>
      <c r="B2438" t="str">
        <f>"14.2042"</f>
        <v>14.2042</v>
      </c>
      <c r="C2438" t="str">
        <f>"14.2594"</f>
        <v>14.2594</v>
      </c>
    </row>
    <row r="2439" spans="1:3" x14ac:dyDescent="0.25">
      <c r="A2439" t="str">
        <f>"10/07/2019"</f>
        <v>10/07/2019</v>
      </c>
      <c r="B2439" t="str">
        <f>"14.1972"</f>
        <v>14.1972</v>
      </c>
      <c r="C2439" t="str">
        <f>"14.2503"</f>
        <v>14.2503</v>
      </c>
    </row>
    <row r="2440" spans="1:3" x14ac:dyDescent="0.25">
      <c r="A2440" t="str">
        <f>"11/07/2019"</f>
        <v>11/07/2019</v>
      </c>
      <c r="B2440" t="str">
        <f>"13.8725"</f>
        <v>13.8725</v>
      </c>
      <c r="C2440" t="str">
        <f>"13.9249"</f>
        <v>13.9249</v>
      </c>
    </row>
    <row r="2441" spans="1:3" x14ac:dyDescent="0.25">
      <c r="A2441" t="str">
        <f>"12/07/2019"</f>
        <v>12/07/2019</v>
      </c>
      <c r="B2441" t="str">
        <f>"13.9471"</f>
        <v>13.9471</v>
      </c>
      <c r="C2441" t="str">
        <f>"14.0002"</f>
        <v>14.0002</v>
      </c>
    </row>
    <row r="2442" spans="1:3" x14ac:dyDescent="0.25">
      <c r="A2442" t="str">
        <f>"15/07/2019"</f>
        <v>15/07/2019</v>
      </c>
      <c r="B2442" t="str">
        <f>"13.8746"</f>
        <v>13.8746</v>
      </c>
      <c r="C2442" t="str">
        <f>"13.9315"</f>
        <v>13.9315</v>
      </c>
    </row>
    <row r="2443" spans="1:3" x14ac:dyDescent="0.25">
      <c r="A2443" t="str">
        <f>"16/07/2019"</f>
        <v>16/07/2019</v>
      </c>
      <c r="B2443" t="str">
        <f>"13.8741"</f>
        <v>13.8741</v>
      </c>
      <c r="C2443" t="str">
        <f>"13.9291"</f>
        <v>13.9291</v>
      </c>
    </row>
    <row r="2444" spans="1:3" x14ac:dyDescent="0.25">
      <c r="A2444" t="str">
        <f>"17/07/2019"</f>
        <v>17/07/2019</v>
      </c>
      <c r="B2444" t="str">
        <f>"13.9673"</f>
        <v>13.9673</v>
      </c>
      <c r="C2444" t="str">
        <f>"14.0201"</f>
        <v>14.0201</v>
      </c>
    </row>
    <row r="2445" spans="1:3" x14ac:dyDescent="0.25">
      <c r="A2445" t="str">
        <f>"18/07/2019"</f>
        <v>18/07/2019</v>
      </c>
      <c r="B2445" t="str">
        <f>"13.9881"</f>
        <v>13.9881</v>
      </c>
      <c r="C2445" t="str">
        <f>"14.0406"</f>
        <v>14.0406</v>
      </c>
    </row>
    <row r="2446" spans="1:3" x14ac:dyDescent="0.25">
      <c r="A2446" t="str">
        <f>"19/07/2019"</f>
        <v>19/07/2019</v>
      </c>
      <c r="B2446" t="str">
        <f>"13.8559"</f>
        <v>13.8559</v>
      </c>
      <c r="C2446" t="str">
        <f>"13.9097"</f>
        <v>13.9097</v>
      </c>
    </row>
    <row r="2447" spans="1:3" x14ac:dyDescent="0.25">
      <c r="A2447" t="str">
        <f>"22/07/2019"</f>
        <v>22/07/2019</v>
      </c>
      <c r="B2447" t="str">
        <f>"13.9407"</f>
        <v>13.9407</v>
      </c>
      <c r="C2447" t="str">
        <f>"13.9948"</f>
        <v>13.9948</v>
      </c>
    </row>
    <row r="2448" spans="1:3" x14ac:dyDescent="0.25">
      <c r="A2448" t="str">
        <f>"23/07/2019"</f>
        <v>23/07/2019</v>
      </c>
      <c r="B2448" t="str">
        <f>"13.8647"</f>
        <v>13.8647</v>
      </c>
      <c r="C2448" t="str">
        <f>"13.9207"</f>
        <v>13.9207</v>
      </c>
    </row>
    <row r="2449" spans="1:3" x14ac:dyDescent="0.25">
      <c r="A2449" t="str">
        <f>"24/07/2019"</f>
        <v>24/07/2019</v>
      </c>
      <c r="B2449" t="str">
        <f>"13.9487"</f>
        <v>13.9487</v>
      </c>
      <c r="C2449" t="str">
        <f>"14.0035"</f>
        <v>14.0035</v>
      </c>
    </row>
    <row r="2450" spans="1:3" x14ac:dyDescent="0.25">
      <c r="A2450" t="str">
        <f>"25/07/2019"</f>
        <v>25/07/2019</v>
      </c>
      <c r="B2450" t="str">
        <f>"13.9276"</f>
        <v>13.9276</v>
      </c>
      <c r="C2450" t="str">
        <f>"13.9822"</f>
        <v>13.9822</v>
      </c>
    </row>
    <row r="2451" spans="1:3" x14ac:dyDescent="0.25">
      <c r="A2451" t="str">
        <f>"26/07/2019"</f>
        <v>26/07/2019</v>
      </c>
      <c r="B2451" t="str">
        <f>"14.166"</f>
        <v>14.166</v>
      </c>
      <c r="C2451" t="str">
        <f>"14.2217"</f>
        <v>14.2217</v>
      </c>
    </row>
    <row r="2452" spans="1:3" x14ac:dyDescent="0.25">
      <c r="A2452" t="str">
        <f>"29/07/2019"</f>
        <v>29/07/2019</v>
      </c>
      <c r="B2452" t="str">
        <f>"14.2319"</f>
        <v>14.2319</v>
      </c>
      <c r="C2452" t="str">
        <f>"14.2859"</f>
        <v>14.2859</v>
      </c>
    </row>
    <row r="2453" spans="1:3" x14ac:dyDescent="0.25">
      <c r="A2453" t="str">
        <f>"30/07/2019"</f>
        <v>30/07/2019</v>
      </c>
      <c r="B2453" t="str">
        <f>"14.2259"</f>
        <v>14.2259</v>
      </c>
      <c r="C2453" t="str">
        <f>"14.2849"</f>
        <v>14.2849</v>
      </c>
    </row>
    <row r="2454" spans="1:3" x14ac:dyDescent="0.25">
      <c r="A2454" t="str">
        <f>"31/07/2019"</f>
        <v>31/07/2019</v>
      </c>
      <c r="B2454" t="str">
        <f>"14.2301"</f>
        <v>14.2301</v>
      </c>
      <c r="C2454" t="str">
        <f>"14.2862"</f>
        <v>14.2862</v>
      </c>
    </row>
    <row r="2455" spans="1:3" x14ac:dyDescent="0.25">
      <c r="A2455" t="str">
        <f>"01/08/2019"</f>
        <v>01/08/2019</v>
      </c>
      <c r="B2455" t="str">
        <f>"14.49"</f>
        <v>14.49</v>
      </c>
      <c r="C2455" t="str">
        <f>"14.5448"</f>
        <v>14.5448</v>
      </c>
    </row>
    <row r="2456" spans="1:3" x14ac:dyDescent="0.25">
      <c r="A2456" t="str">
        <f>"02/08/2019"</f>
        <v>02/08/2019</v>
      </c>
      <c r="B2456" t="str">
        <f>"14.6852"</f>
        <v>14.6852</v>
      </c>
      <c r="C2456" t="str">
        <f>"14.7415"</f>
        <v>14.7415</v>
      </c>
    </row>
    <row r="2457" spans="1:3" x14ac:dyDescent="0.25">
      <c r="A2457" t="str">
        <f>"05/08/2019"</f>
        <v>05/08/2019</v>
      </c>
      <c r="B2457" t="str">
        <f>"14.9223"</f>
        <v>14.9223</v>
      </c>
      <c r="C2457" t="str">
        <f>"14.9842"</f>
        <v>14.9842</v>
      </c>
    </row>
    <row r="2458" spans="1:3" x14ac:dyDescent="0.25">
      <c r="A2458" t="str">
        <f>"06/08/2019"</f>
        <v>06/08/2019</v>
      </c>
      <c r="B2458" t="str">
        <f>"14.7783"</f>
        <v>14.7783</v>
      </c>
      <c r="C2458" t="str">
        <f>"14.837"</f>
        <v>14.837</v>
      </c>
    </row>
    <row r="2459" spans="1:3" x14ac:dyDescent="0.25">
      <c r="A2459" t="str">
        <f>"07/08/2019"</f>
        <v>07/08/2019</v>
      </c>
      <c r="B2459" t="str">
        <f>"14.9888"</f>
        <v>14.9888</v>
      </c>
      <c r="C2459" t="str">
        <f>"15.0469"</f>
        <v>15.0469</v>
      </c>
    </row>
    <row r="2460" spans="1:3" x14ac:dyDescent="0.25">
      <c r="A2460" t="str">
        <f>"08/08/2019"</f>
        <v>08/08/2019</v>
      </c>
      <c r="B2460" t="str">
        <f>"15.1366"</f>
        <v>15.1366</v>
      </c>
      <c r="C2460" t="str">
        <f>"15.1964"</f>
        <v>15.1964</v>
      </c>
    </row>
    <row r="2461" spans="1:3" x14ac:dyDescent="0.25">
      <c r="A2461" t="str">
        <f>"09/08/2019"</f>
        <v>09/08/2019</v>
      </c>
      <c r="B2461" t="str">
        <f>"15.20"</f>
        <v>15.20</v>
      </c>
      <c r="C2461" t="str">
        <f>"15.2599"</f>
        <v>15.2599</v>
      </c>
    </row>
    <row r="2462" spans="1:3" x14ac:dyDescent="0.25">
      <c r="A2462" t="str">
        <f>"13/08/2019"</f>
        <v>13/08/2019</v>
      </c>
      <c r="B2462" t="str">
        <f>"15.3457"</f>
        <v>15.3457</v>
      </c>
      <c r="C2462" t="str">
        <f>"15.4084"</f>
        <v>15.4084</v>
      </c>
    </row>
    <row r="2463" spans="1:3" x14ac:dyDescent="0.25">
      <c r="A2463" t="str">
        <f>"14/08/2019"</f>
        <v>14/08/2019</v>
      </c>
      <c r="B2463" t="str">
        <f>"15.3445"</f>
        <v>15.3445</v>
      </c>
      <c r="C2463" t="str">
        <f>"15.404"</f>
        <v>15.404</v>
      </c>
    </row>
    <row r="2464" spans="1:3" x14ac:dyDescent="0.25">
      <c r="A2464" t="str">
        <f>"16/08/2019"</f>
        <v>16/08/2019</v>
      </c>
      <c r="B2464" t="str">
        <f>"15.2358"</f>
        <v>15.2358</v>
      </c>
      <c r="C2464" t="str">
        <f>"15.2956"</f>
        <v>15.2956</v>
      </c>
    </row>
    <row r="2465" spans="1:3" x14ac:dyDescent="0.25">
      <c r="A2465" t="str">
        <f>"19/08/2019"</f>
        <v>19/08/2019</v>
      </c>
      <c r="B2465" t="str">
        <f>"15.2816"</f>
        <v>15.2816</v>
      </c>
      <c r="C2465" t="str">
        <f>"15.3454"</f>
        <v>15.3454</v>
      </c>
    </row>
    <row r="2466" spans="1:3" x14ac:dyDescent="0.25">
      <c r="A2466" t="str">
        <f>"20/08/2019"</f>
        <v>20/08/2019</v>
      </c>
      <c r="B2466" t="str">
        <f>"15.4305"</f>
        <v>15.4305</v>
      </c>
      <c r="C2466" t="str">
        <f>"15.493"</f>
        <v>15.493</v>
      </c>
    </row>
    <row r="2467" spans="1:3" x14ac:dyDescent="0.25">
      <c r="A2467" t="str">
        <f>"21/08/2019"</f>
        <v>21/08/2019</v>
      </c>
      <c r="B2467" t="str">
        <f>"15.3512"</f>
        <v>15.3512</v>
      </c>
      <c r="C2467" t="str">
        <f>"15.4113"</f>
        <v>15.4113</v>
      </c>
    </row>
    <row r="2468" spans="1:3" x14ac:dyDescent="0.25">
      <c r="A2468" t="str">
        <f>"22/08/2019"</f>
        <v>22/08/2019</v>
      </c>
      <c r="B2468" t="str">
        <f>"15.2641"</f>
        <v>15.2641</v>
      </c>
      <c r="C2468" t="str">
        <f>"15.3251"</f>
        <v>15.3251</v>
      </c>
    </row>
    <row r="2469" spans="1:3" x14ac:dyDescent="0.25">
      <c r="A2469" t="str">
        <f>"23/08/2019"</f>
        <v>23/08/2019</v>
      </c>
      <c r="B2469" t="str">
        <f>"15.2389"</f>
        <v>15.2389</v>
      </c>
      <c r="C2469" t="str">
        <f>"15.3009"</f>
        <v>15.3009</v>
      </c>
    </row>
    <row r="2470" spans="1:3" x14ac:dyDescent="0.25">
      <c r="A2470" t="str">
        <f>"26/08/2019"</f>
        <v>26/08/2019</v>
      </c>
      <c r="B2470" t="str">
        <f>"15.3488"</f>
        <v>15.3488</v>
      </c>
      <c r="C2470" t="str">
        <f>"15.4112"</f>
        <v>15.4112</v>
      </c>
    </row>
    <row r="2471" spans="1:3" x14ac:dyDescent="0.25">
      <c r="A2471" t="str">
        <f>"27/08/2019"</f>
        <v>27/08/2019</v>
      </c>
      <c r="B2471" t="str">
        <f>"15.2867"</f>
        <v>15.2867</v>
      </c>
      <c r="C2471" t="str">
        <f>"15.3527"</f>
        <v>15.3527</v>
      </c>
    </row>
    <row r="2472" spans="1:3" x14ac:dyDescent="0.25">
      <c r="A2472" t="str">
        <f>"28/08/2019"</f>
        <v>28/08/2019</v>
      </c>
      <c r="B2472" t="str">
        <f>"15.3676"</f>
        <v>15.3676</v>
      </c>
      <c r="C2472" t="str">
        <f>"15.4299"</f>
        <v>15.4299</v>
      </c>
    </row>
    <row r="2473" spans="1:3" x14ac:dyDescent="0.25">
      <c r="A2473" t="str">
        <f>"29/08/2019"</f>
        <v>29/08/2019</v>
      </c>
      <c r="B2473" t="str">
        <f>"15.3198"</f>
        <v>15.3198</v>
      </c>
      <c r="C2473" t="str">
        <f>"15.3804"</f>
        <v>15.3804</v>
      </c>
    </row>
    <row r="2474" spans="1:3" x14ac:dyDescent="0.25">
      <c r="A2474" t="str">
        <f>"30/08/2019"</f>
        <v>30/08/2019</v>
      </c>
      <c r="B2474" t="str">
        <f>"15.216"</f>
        <v>15.216</v>
      </c>
      <c r="C2474" t="str">
        <f>"15.277"</f>
        <v>15.277</v>
      </c>
    </row>
    <row r="2475" spans="1:3" x14ac:dyDescent="0.25">
      <c r="A2475" t="str">
        <f>"03/09/2019"</f>
        <v>03/09/2019</v>
      </c>
      <c r="B2475" t="str">
        <f>"15.1548"</f>
        <v>15.1548</v>
      </c>
      <c r="C2475" t="str">
        <f>"15.2169"</f>
        <v>15.2169</v>
      </c>
    </row>
    <row r="2476" spans="1:3" x14ac:dyDescent="0.25">
      <c r="A2476" t="str">
        <f>"04/09/2019"</f>
        <v>04/09/2019</v>
      </c>
      <c r="B2476" t="str">
        <f>"14.9469"</f>
        <v>14.9469</v>
      </c>
      <c r="C2476" t="str">
        <f>"15.0064"</f>
        <v>15.0064</v>
      </c>
    </row>
    <row r="2477" spans="1:3" x14ac:dyDescent="0.25">
      <c r="A2477" t="str">
        <f>"05/09/2019"</f>
        <v>05/09/2019</v>
      </c>
      <c r="B2477" t="str">
        <f>"14.822"</f>
        <v>14.822</v>
      </c>
      <c r="C2477" t="str">
        <f>"14.8791"</f>
        <v>14.8791</v>
      </c>
    </row>
    <row r="2478" spans="1:3" x14ac:dyDescent="0.25">
      <c r="A2478" t="str">
        <f>"06/09/2019"</f>
        <v>06/09/2019</v>
      </c>
      <c r="B2478" t="str">
        <f>"14.8822"</f>
        <v>14.8822</v>
      </c>
      <c r="C2478" t="str">
        <f>"14.9394"</f>
        <v>14.9394</v>
      </c>
    </row>
    <row r="2479" spans="1:3" x14ac:dyDescent="0.25">
      <c r="A2479" t="str">
        <f>"09/09/2019"</f>
        <v>09/09/2019</v>
      </c>
      <c r="B2479" t="str">
        <f>"14.699"</f>
        <v>14.699</v>
      </c>
      <c r="C2479" t="str">
        <f>"14.7545"</f>
        <v>14.7545</v>
      </c>
    </row>
    <row r="2480" spans="1:3" x14ac:dyDescent="0.25">
      <c r="A2480" t="str">
        <f>"11/09/2019"</f>
        <v>11/09/2019</v>
      </c>
      <c r="B2480" t="str">
        <f>"14.6952"</f>
        <v>14.6952</v>
      </c>
      <c r="C2480" t="str">
        <f>"14.755"</f>
        <v>14.755</v>
      </c>
    </row>
    <row r="2481" spans="1:3" x14ac:dyDescent="0.25">
      <c r="A2481" t="str">
        <f>"12/09/2019"</f>
        <v>12/09/2019</v>
      </c>
      <c r="B2481" t="str">
        <f>"14.6499"</f>
        <v>14.6499</v>
      </c>
      <c r="C2481" t="str">
        <f>"14.7057"</f>
        <v>14.7057</v>
      </c>
    </row>
    <row r="2482" spans="1:3" x14ac:dyDescent="0.25">
      <c r="A2482" t="str">
        <f>"16/09/2019"</f>
        <v>16/09/2019</v>
      </c>
      <c r="B2482" t="str">
        <f>"14.6504"</f>
        <v>14.6504</v>
      </c>
      <c r="C2482" t="str">
        <f>"14.7056"</f>
        <v>14.7056</v>
      </c>
    </row>
    <row r="2483" spans="1:3" x14ac:dyDescent="0.25">
      <c r="A2483" t="str">
        <f>"17/09/2019"</f>
        <v>17/09/2019</v>
      </c>
      <c r="B2483" t="str">
        <f>"14.749"</f>
        <v>14.749</v>
      </c>
      <c r="C2483" t="str">
        <f>"14.8086"</f>
        <v>14.8086</v>
      </c>
    </row>
    <row r="2484" spans="1:3" x14ac:dyDescent="0.25">
      <c r="A2484" t="str">
        <f>"18/09/2019"</f>
        <v>18/09/2019</v>
      </c>
      <c r="B2484" t="str">
        <f>"14.7057"</f>
        <v>14.7057</v>
      </c>
      <c r="C2484" t="str">
        <f>"14.7633"</f>
        <v>14.7633</v>
      </c>
    </row>
    <row r="2485" spans="1:3" x14ac:dyDescent="0.25">
      <c r="A2485" t="str">
        <f>"19/09/2019"</f>
        <v>19/09/2019</v>
      </c>
      <c r="B2485" t="str">
        <f>"14.7313"</f>
        <v>14.7313</v>
      </c>
      <c r="C2485" t="str">
        <f>"14.7867"</f>
        <v>14.7867</v>
      </c>
    </row>
    <row r="2486" spans="1:3" x14ac:dyDescent="0.25">
      <c r="A2486" t="str">
        <f>"20/09/2019"</f>
        <v>20/09/2019</v>
      </c>
      <c r="B2486" t="str">
        <f>"14.7694"</f>
        <v>14.7694</v>
      </c>
      <c r="C2486" t="str">
        <f>"14.826"</f>
        <v>14.826</v>
      </c>
    </row>
    <row r="2487" spans="1:3" x14ac:dyDescent="0.25">
      <c r="A2487" t="str">
        <f>"23/09/2019"</f>
        <v>23/09/2019</v>
      </c>
      <c r="B2487" t="str">
        <f>"14.8738"</f>
        <v>14.8738</v>
      </c>
      <c r="C2487" t="str">
        <f>"14.936"</f>
        <v>14.936</v>
      </c>
    </row>
    <row r="2488" spans="1:3" x14ac:dyDescent="0.25">
      <c r="A2488" t="str">
        <f>"24/09/2019"</f>
        <v>24/09/2019</v>
      </c>
      <c r="B2488" t="str">
        <f>"14.9159"</f>
        <v>14.9159</v>
      </c>
      <c r="C2488" t="str">
        <f>"14.9787"</f>
        <v>14.9787</v>
      </c>
    </row>
    <row r="2489" spans="1:3" x14ac:dyDescent="0.25">
      <c r="A2489" t="str">
        <f>"25/09/2019"</f>
        <v>25/09/2019</v>
      </c>
      <c r="B2489" t="str">
        <f>"15.0297"</f>
        <v>15.0297</v>
      </c>
      <c r="C2489" t="str">
        <f>"15.0919"</f>
        <v>15.0919</v>
      </c>
    </row>
    <row r="2490" spans="1:3" x14ac:dyDescent="0.25">
      <c r="A2490" t="str">
        <f>"26/09/2019"</f>
        <v>26/09/2019</v>
      </c>
      <c r="B2490" t="str">
        <f>"14.9857"</f>
        <v>14.9857</v>
      </c>
      <c r="C2490" t="str">
        <f>"15.0478"</f>
        <v>15.0478</v>
      </c>
    </row>
    <row r="2491" spans="1:3" x14ac:dyDescent="0.25">
      <c r="A2491" t="str">
        <f>"27/09/2019"</f>
        <v>27/09/2019</v>
      </c>
      <c r="B2491" t="str">
        <f>"15.0648"</f>
        <v>15.0648</v>
      </c>
      <c r="C2491" t="str">
        <f>"15.1257"</f>
        <v>15.1257</v>
      </c>
    </row>
    <row r="2492" spans="1:3" x14ac:dyDescent="0.25">
      <c r="A2492" t="str">
        <f>"30/09/2019"</f>
        <v>30/09/2019</v>
      </c>
      <c r="B2492" t="str">
        <f>"15.2048"</f>
        <v>15.2048</v>
      </c>
      <c r="C2492" t="str">
        <f>"15.2707"</f>
        <v>15.2707</v>
      </c>
    </row>
    <row r="2493" spans="1:3" x14ac:dyDescent="0.25">
      <c r="A2493" t="str">
        <f>"01/10/2019"</f>
        <v>01/10/2019</v>
      </c>
      <c r="B2493" t="str">
        <f>"15.2864"</f>
        <v>15.2864</v>
      </c>
      <c r="C2493" t="str">
        <f>"15.3502"</f>
        <v>15.3502</v>
      </c>
    </row>
    <row r="2494" spans="1:3" x14ac:dyDescent="0.25">
      <c r="A2494" t="str">
        <f>"03/10/2019"</f>
        <v>03/10/2019</v>
      </c>
      <c r="B2494" t="str">
        <f>"15.2687"</f>
        <v>15.2687</v>
      </c>
      <c r="C2494" t="str">
        <f>"15.3313"</f>
        <v>15.3313</v>
      </c>
    </row>
    <row r="2495" spans="1:3" x14ac:dyDescent="0.25">
      <c r="A2495" t="str">
        <f>"04/10/2019"</f>
        <v>04/10/2019</v>
      </c>
      <c r="B2495" t="str">
        <f>"15.1493"</f>
        <v>15.1493</v>
      </c>
      <c r="C2495" t="str">
        <f>"15.2113"</f>
        <v>15.2113</v>
      </c>
    </row>
    <row r="2496" spans="1:3" x14ac:dyDescent="0.25">
      <c r="A2496" t="str">
        <f>"07/10/2019"</f>
        <v>07/10/2019</v>
      </c>
      <c r="B2496" t="str">
        <f>"15.1524"</f>
        <v>15.1524</v>
      </c>
      <c r="C2496" t="str">
        <f>"15.2208"</f>
        <v>15.2208</v>
      </c>
    </row>
    <row r="2497" spans="1:3" x14ac:dyDescent="0.25">
      <c r="A2497" t="str">
        <f>"09/10/2019"</f>
        <v>09/10/2019</v>
      </c>
      <c r="B2497" t="str">
        <f>"15.1537"</f>
        <v>15.1537</v>
      </c>
      <c r="C2497" t="str">
        <f>"15.2183"</f>
        <v>15.2183</v>
      </c>
    </row>
    <row r="2498" spans="1:3" x14ac:dyDescent="0.25">
      <c r="A2498" t="str">
        <f>"10/10/2019"</f>
        <v>10/10/2019</v>
      </c>
      <c r="B2498" t="str">
        <f>"15.1635"</f>
        <v>15.1635</v>
      </c>
      <c r="C2498" t="str">
        <f>"15.2256"</f>
        <v>15.2256</v>
      </c>
    </row>
    <row r="2499" spans="1:3" x14ac:dyDescent="0.25">
      <c r="A2499" t="str">
        <f>"11/10/2019"</f>
        <v>11/10/2019</v>
      </c>
      <c r="B2499" t="str">
        <f>"14.8601"</f>
        <v>14.8601</v>
      </c>
      <c r="C2499" t="str">
        <f>"14.9209"</f>
        <v>14.9209</v>
      </c>
    </row>
    <row r="2500" spans="1:3" x14ac:dyDescent="0.25">
      <c r="A2500" t="str">
        <f>"14/10/2019"</f>
        <v>14/10/2019</v>
      </c>
      <c r="B2500" t="str">
        <f>"14.8196"</f>
        <v>14.8196</v>
      </c>
      <c r="C2500" t="str">
        <f>"14.8841"</f>
        <v>14.8841</v>
      </c>
    </row>
    <row r="2501" spans="1:3" x14ac:dyDescent="0.25">
      <c r="A2501" t="str">
        <f>"15/10/2019"</f>
        <v>15/10/2019</v>
      </c>
      <c r="B2501" t="str">
        <f>"14.8575"</f>
        <v>14.8575</v>
      </c>
      <c r="C2501" t="str">
        <f>"14.9201"</f>
        <v>14.9201</v>
      </c>
    </row>
    <row r="2502" spans="1:3" x14ac:dyDescent="0.25">
      <c r="A2502" t="str">
        <f>"16/10/2019"</f>
        <v>16/10/2019</v>
      </c>
      <c r="B2502" t="str">
        <f>"14.9771"</f>
        <v>14.9771</v>
      </c>
      <c r="C2502" t="str">
        <f>"15.0389"</f>
        <v>15.0389</v>
      </c>
    </row>
    <row r="2503" spans="1:3" x14ac:dyDescent="0.25">
      <c r="A2503" t="str">
        <f>"17/10/2019"</f>
        <v>17/10/2019</v>
      </c>
      <c r="B2503" t="str">
        <f>"14.8217"</f>
        <v>14.8217</v>
      </c>
      <c r="C2503" t="str">
        <f>"14.8828"</f>
        <v>14.8828</v>
      </c>
    </row>
    <row r="2504" spans="1:3" x14ac:dyDescent="0.25">
      <c r="A2504" t="str">
        <f>"18/10/2019"</f>
        <v>18/10/2019</v>
      </c>
      <c r="B2504" t="str">
        <f>"14.7735"</f>
        <v>14.7735</v>
      </c>
      <c r="C2504" t="str">
        <f>"14.8345"</f>
        <v>14.8345</v>
      </c>
    </row>
    <row r="2505" spans="1:3" x14ac:dyDescent="0.25">
      <c r="A2505" t="str">
        <f>"22/10/2019"</f>
        <v>22/10/2019</v>
      </c>
      <c r="B2505" t="str">
        <f>"14.685"</f>
        <v>14.685</v>
      </c>
      <c r="C2505" t="str">
        <f>"14.7475"</f>
        <v>14.7475</v>
      </c>
    </row>
    <row r="2506" spans="1:3" x14ac:dyDescent="0.25">
      <c r="A2506" t="str">
        <f>"23/10/2019"</f>
        <v>23/10/2019</v>
      </c>
      <c r="B2506" t="str">
        <f>"14.6841"</f>
        <v>14.6841</v>
      </c>
      <c r="C2506" t="str">
        <f>"14.7453"</f>
        <v>14.7453</v>
      </c>
    </row>
    <row r="2507" spans="1:3" x14ac:dyDescent="0.25">
      <c r="A2507" t="str">
        <f>"24/10/2019"</f>
        <v>24/10/2019</v>
      </c>
      <c r="B2507" t="str">
        <f>"14.6144"</f>
        <v>14.6144</v>
      </c>
      <c r="C2507" t="str">
        <f>"14.6772"</f>
        <v>14.6772</v>
      </c>
    </row>
    <row r="2508" spans="1:3" x14ac:dyDescent="0.25">
      <c r="A2508" t="str">
        <f>"25/10/2019"</f>
        <v>25/10/2019</v>
      </c>
      <c r="B2508" t="str">
        <f>"14.6945"</f>
        <v>14.6945</v>
      </c>
      <c r="C2508" t="str">
        <f>"14.7562"</f>
        <v>14.7562</v>
      </c>
    </row>
    <row r="2509" spans="1:3" x14ac:dyDescent="0.25">
      <c r="A2509" t="str">
        <f>"29/10/2019"</f>
        <v>29/10/2019</v>
      </c>
      <c r="B2509" t="str">
        <f>"14.66"</f>
        <v>14.66</v>
      </c>
      <c r="C2509" t="str">
        <f>"14.7169"</f>
        <v>14.7169</v>
      </c>
    </row>
    <row r="2510" spans="1:3" x14ac:dyDescent="0.25">
      <c r="A2510" t="str">
        <f>"30/10/2019"</f>
        <v>30/10/2019</v>
      </c>
      <c r="B2510" t="str">
        <f>"14.6431"</f>
        <v>14.6431</v>
      </c>
      <c r="C2510" t="str">
        <f>"14.704"</f>
        <v>14.704</v>
      </c>
    </row>
    <row r="2511" spans="1:3" x14ac:dyDescent="0.25">
      <c r="A2511" t="str">
        <f>"31/10/2019"</f>
        <v>31/10/2019</v>
      </c>
      <c r="B2511" t="str">
        <f>"15.0612"</f>
        <v>15.0612</v>
      </c>
      <c r="C2511" t="str">
        <f>"15.1223"</f>
        <v>15.1223</v>
      </c>
    </row>
    <row r="2512" spans="1:3" x14ac:dyDescent="0.25">
      <c r="A2512" t="str">
        <f>"01/11/2019"</f>
        <v>01/11/2019</v>
      </c>
      <c r="B2512" t="str">
        <f>"15.1003"</f>
        <v>15.1003</v>
      </c>
      <c r="C2512" t="str">
        <f>"15.1621"</f>
        <v>15.1621</v>
      </c>
    </row>
    <row r="2513" spans="1:3" x14ac:dyDescent="0.25">
      <c r="A2513" t="str">
        <f>"04/11/2019"</f>
        <v>04/11/2019</v>
      </c>
      <c r="B2513" t="str">
        <f>"14.8466"</f>
        <v>14.8466</v>
      </c>
      <c r="C2513" t="str">
        <f>"14.9082"</f>
        <v>14.9082</v>
      </c>
    </row>
    <row r="2514" spans="1:3" x14ac:dyDescent="0.25">
      <c r="A2514" t="str">
        <f>"05/11/2019"</f>
        <v>05/11/2019</v>
      </c>
      <c r="B2514" t="str">
        <f>"14.7986"</f>
        <v>14.7986</v>
      </c>
      <c r="C2514" t="str">
        <f>"14.8624"</f>
        <v>14.8624</v>
      </c>
    </row>
    <row r="2515" spans="1:3" x14ac:dyDescent="0.25">
      <c r="A2515" t="str">
        <f>"06/11/2019"</f>
        <v>06/11/2019</v>
      </c>
      <c r="B2515" t="str">
        <f>"14.7787"</f>
        <v>14.7787</v>
      </c>
      <c r="C2515" t="str">
        <f>"14.8405"</f>
        <v>14.8405</v>
      </c>
    </row>
    <row r="2516" spans="1:3" x14ac:dyDescent="0.25">
      <c r="A2516" t="str">
        <f>"07/11/2019"</f>
        <v>07/11/2019</v>
      </c>
      <c r="B2516" t="str">
        <f>"14.7362"</f>
        <v>14.7362</v>
      </c>
      <c r="C2516" t="str">
        <f>"14.796"</f>
        <v>14.796</v>
      </c>
    </row>
    <row r="2517" spans="1:3" x14ac:dyDescent="0.25">
      <c r="A2517" t="str">
        <f>"08/11/2019"</f>
        <v>08/11/2019</v>
      </c>
      <c r="B2517" t="str">
        <f>"14.8299"</f>
        <v>14.8299</v>
      </c>
      <c r="C2517" t="str">
        <f>"14.89"</f>
        <v>14.89</v>
      </c>
    </row>
    <row r="2518" spans="1:3" x14ac:dyDescent="0.25">
      <c r="A2518" t="str">
        <f>"11/11/2019"</f>
        <v>11/11/2019</v>
      </c>
      <c r="B2518" t="str">
        <f>"14.8918"</f>
        <v>14.8918</v>
      </c>
      <c r="C2518" t="str">
        <f>"14.9526"</f>
        <v>14.9526</v>
      </c>
    </row>
    <row r="2519" spans="1:3" x14ac:dyDescent="0.25">
      <c r="A2519" t="str">
        <f>"13/11/2019"</f>
        <v>13/11/2019</v>
      </c>
      <c r="B2519" t="str">
        <f>"14.9596"</f>
        <v>14.9596</v>
      </c>
      <c r="C2519" t="str">
        <f>"15.025"</f>
        <v>15.025</v>
      </c>
    </row>
    <row r="2520" spans="1:3" x14ac:dyDescent="0.25">
      <c r="A2520" t="str">
        <f>"14/11/2019"</f>
        <v>14/11/2019</v>
      </c>
      <c r="B2520" t="str">
        <f>"14.8276"</f>
        <v>14.8276</v>
      </c>
      <c r="C2520" t="str">
        <f>"14.8888"</f>
        <v>14.8888</v>
      </c>
    </row>
    <row r="2521" spans="1:3" x14ac:dyDescent="0.25">
      <c r="A2521" t="str">
        <f>"15/11/2019"</f>
        <v>15/11/2019</v>
      </c>
      <c r="B2521" t="str">
        <f>"14.7785"</f>
        <v>14.7785</v>
      </c>
      <c r="C2521" t="str">
        <f>"14.8403"</f>
        <v>14.8403</v>
      </c>
    </row>
    <row r="2522" spans="1:3" x14ac:dyDescent="0.25">
      <c r="A2522" t="str">
        <f>"18/11/2019"</f>
        <v>18/11/2019</v>
      </c>
      <c r="B2522" t="str">
        <f>"14.7673"</f>
        <v>14.7673</v>
      </c>
      <c r="C2522" t="str">
        <f>"14.8301"</f>
        <v>14.8301</v>
      </c>
    </row>
    <row r="2523" spans="1:3" x14ac:dyDescent="0.25">
      <c r="A2523" t="str">
        <f>"19/11/2019"</f>
        <v>19/11/2019</v>
      </c>
      <c r="B2523" t="str">
        <f>"14.76"</f>
        <v>14.76</v>
      </c>
      <c r="C2523" t="str">
        <f>"14.8273"</f>
        <v>14.8273</v>
      </c>
    </row>
    <row r="2524" spans="1:3" x14ac:dyDescent="0.25">
      <c r="A2524" t="str">
        <f>"20/11/2019"</f>
        <v>20/11/2019</v>
      </c>
      <c r="B2524" t="str">
        <f>"14.8395"</f>
        <v>14.8395</v>
      </c>
      <c r="C2524" t="str">
        <f>"14.905"</f>
        <v>14.905</v>
      </c>
    </row>
    <row r="2525" spans="1:3" x14ac:dyDescent="0.25">
      <c r="A2525" t="str">
        <f>"21/11/2019"</f>
        <v>21/11/2019</v>
      </c>
      <c r="B2525" t="str">
        <f>"14.7718"</f>
        <v>14.7718</v>
      </c>
      <c r="C2525" t="str">
        <f>"14.8389"</f>
        <v>14.8389</v>
      </c>
    </row>
    <row r="2526" spans="1:3" x14ac:dyDescent="0.25">
      <c r="A2526" t="str">
        <f>"22/11/2019"</f>
        <v>22/11/2019</v>
      </c>
      <c r="B2526" t="str">
        <f>"14.6912"</f>
        <v>14.6912</v>
      </c>
      <c r="C2526" t="str">
        <f>"14.7579"</f>
        <v>14.7579</v>
      </c>
    </row>
    <row r="2527" spans="1:3" x14ac:dyDescent="0.25">
      <c r="A2527" t="str">
        <f>"25/11/2019"</f>
        <v>25/11/2019</v>
      </c>
      <c r="B2527" t="str">
        <f>"14.7177"</f>
        <v>14.7177</v>
      </c>
      <c r="C2527" t="str">
        <f>"14.7817"</f>
        <v>14.7817</v>
      </c>
    </row>
    <row r="2528" spans="1:3" x14ac:dyDescent="0.25">
      <c r="A2528" t="str">
        <f>"26/11/2019"</f>
        <v>26/11/2019</v>
      </c>
      <c r="B2528" t="str">
        <f>"14.7984"</f>
        <v>14.7984</v>
      </c>
      <c r="C2528" t="str">
        <f>"14.8658"</f>
        <v>14.8658</v>
      </c>
    </row>
    <row r="2529" spans="1:3" x14ac:dyDescent="0.25">
      <c r="A2529" t="str">
        <f>"27/11/2019"</f>
        <v>27/11/2019</v>
      </c>
      <c r="B2529" t="str">
        <f>"14.7201"</f>
        <v>14.7201</v>
      </c>
      <c r="C2529" t="str">
        <f>"14.7862"</f>
        <v>14.7862</v>
      </c>
    </row>
    <row r="2530" spans="1:3" x14ac:dyDescent="0.25">
      <c r="A2530" t="str">
        <f>"28/11/2019"</f>
        <v>28/11/2019</v>
      </c>
      <c r="B2530" t="str">
        <f>"14.751"</f>
        <v>14.751</v>
      </c>
      <c r="C2530" t="str">
        <f>"14.8166"</f>
        <v>14.8166</v>
      </c>
    </row>
    <row r="2531" spans="1:3" x14ac:dyDescent="0.25">
      <c r="A2531" t="str">
        <f>"29/11/2019"</f>
        <v>29/11/2019</v>
      </c>
      <c r="B2531" t="str">
        <f>"14.7234"</f>
        <v>14.7234</v>
      </c>
      <c r="C2531" t="str">
        <f>"14.7889"</f>
        <v>14.7889</v>
      </c>
    </row>
    <row r="2532" spans="1:3" x14ac:dyDescent="0.25">
      <c r="A2532" t="str">
        <f>"02/12/2019"</f>
        <v>02/12/2019</v>
      </c>
      <c r="B2532" t="str">
        <f>"14.7042"</f>
        <v>14.7042</v>
      </c>
      <c r="C2532" t="str">
        <f>"14.774"</f>
        <v>14.774</v>
      </c>
    </row>
    <row r="2533" spans="1:3" x14ac:dyDescent="0.25">
      <c r="A2533" t="str">
        <f>"03/12/2019"</f>
        <v>03/12/2019</v>
      </c>
      <c r="B2533" t="str">
        <f>"14.6484"</f>
        <v>14.6484</v>
      </c>
      <c r="C2533" t="str">
        <f>"14.7148"</f>
        <v>14.7148</v>
      </c>
    </row>
    <row r="2534" spans="1:3" x14ac:dyDescent="0.25">
      <c r="A2534" t="str">
        <f>"04/12/2019"</f>
        <v>04/12/2019</v>
      </c>
      <c r="B2534" t="str">
        <f>"14.5759"</f>
        <v>14.5759</v>
      </c>
      <c r="C2534" t="str">
        <f>"14.6394"</f>
        <v>14.6394</v>
      </c>
    </row>
    <row r="2535" spans="1:3" x14ac:dyDescent="0.25">
      <c r="A2535" t="str">
        <f>"05/12/2019"</f>
        <v>05/12/2019</v>
      </c>
      <c r="B2535" t="str">
        <f>"14.6383"</f>
        <v>14.6383</v>
      </c>
      <c r="C2535" t="str">
        <f>"14.7024"</f>
        <v>14.7024</v>
      </c>
    </row>
    <row r="2536" spans="1:3" x14ac:dyDescent="0.25">
      <c r="A2536" t="str">
        <f>"06/12/2019"</f>
        <v>06/12/2019</v>
      </c>
      <c r="B2536" t="str">
        <f>"14.6495"</f>
        <v>14.6495</v>
      </c>
      <c r="C2536" t="str">
        <f>"14.7139"</f>
        <v>14.7139</v>
      </c>
    </row>
    <row r="2537" spans="1:3" x14ac:dyDescent="0.25">
      <c r="A2537" t="str">
        <f>"09/12/2019"</f>
        <v>09/12/2019</v>
      </c>
      <c r="B2537" t="str">
        <f>"14.6326"</f>
        <v>14.6326</v>
      </c>
      <c r="C2537" t="str">
        <f>"14.7008"</f>
        <v>14.7008</v>
      </c>
    </row>
    <row r="2538" spans="1:3" x14ac:dyDescent="0.25">
      <c r="A2538" t="str">
        <f>"10/12/2019"</f>
        <v>10/12/2019</v>
      </c>
      <c r="B2538" t="str">
        <f>"14.7611"</f>
        <v>14.7611</v>
      </c>
      <c r="C2538" t="str">
        <f>"14.8275"</f>
        <v>14.8275</v>
      </c>
    </row>
    <row r="2539" spans="1:3" x14ac:dyDescent="0.25">
      <c r="A2539" t="str">
        <f>"11/12/2019"</f>
        <v>11/12/2019</v>
      </c>
      <c r="B2539" t="str">
        <f>"14.7793"</f>
        <v>14.7793</v>
      </c>
      <c r="C2539" t="str">
        <f>"14.8438"</f>
        <v>14.8438</v>
      </c>
    </row>
    <row r="2540" spans="1:3" x14ac:dyDescent="0.25">
      <c r="A2540" t="str">
        <f>"12/12/2019"</f>
        <v>12/12/2019</v>
      </c>
      <c r="B2540" t="str">
        <f>"14.6569"</f>
        <v>14.6569</v>
      </c>
      <c r="C2540" t="str">
        <f>"14.7205"</f>
        <v>14.7205</v>
      </c>
    </row>
    <row r="2541" spans="1:3" x14ac:dyDescent="0.25">
      <c r="A2541" t="str">
        <f>"13/12/2019"</f>
        <v>13/12/2019</v>
      </c>
      <c r="B2541" t="str">
        <f>"14.448"</f>
        <v>14.448</v>
      </c>
      <c r="C2541" t="str">
        <f>"14.5166"</f>
        <v>14.5166</v>
      </c>
    </row>
    <row r="2542" spans="1:3" x14ac:dyDescent="0.25">
      <c r="A2542" t="str">
        <f>"16/12/2019"</f>
        <v>16/12/2019</v>
      </c>
      <c r="B2542" t="str">
        <f>"14.4759"</f>
        <v>14.4759</v>
      </c>
      <c r="C2542" t="str">
        <f>"14.5444"</f>
        <v>14.5444</v>
      </c>
    </row>
    <row r="2543" spans="1:3" x14ac:dyDescent="0.25">
      <c r="A2543" t="str">
        <f>"17/12/2019"</f>
        <v>17/12/2019</v>
      </c>
      <c r="B2543" t="str">
        <f>"14.3663"</f>
        <v>14.3663</v>
      </c>
      <c r="C2543" t="str">
        <f>"14.4322"</f>
        <v>14.4322</v>
      </c>
    </row>
    <row r="2544" spans="1:3" x14ac:dyDescent="0.25">
      <c r="A2544" t="str">
        <f>"18/12/2019"</f>
        <v>18/12/2019</v>
      </c>
      <c r="B2544" t="str">
        <f>"14.3607"</f>
        <v>14.3607</v>
      </c>
      <c r="C2544" t="str">
        <f>"14.4241"</f>
        <v>14.4241</v>
      </c>
    </row>
    <row r="2545" spans="1:3" x14ac:dyDescent="0.25">
      <c r="A2545" t="str">
        <f>"19/12/2019"</f>
        <v>19/12/2019</v>
      </c>
      <c r="B2545" t="str">
        <f>"14.3367"</f>
        <v>14.3367</v>
      </c>
      <c r="C2545" t="str">
        <f>"14.3981"</f>
        <v>14.3981</v>
      </c>
    </row>
    <row r="2546" spans="1:3" x14ac:dyDescent="0.25">
      <c r="A2546" t="str">
        <f>"20/12/2019"</f>
        <v>20/12/2019</v>
      </c>
      <c r="B2546" t="str">
        <f>"14.2282"</f>
        <v>14.2282</v>
      </c>
      <c r="C2546" t="str">
        <f>"14.289"</f>
        <v>14.289</v>
      </c>
    </row>
    <row r="2547" spans="1:3" x14ac:dyDescent="0.25">
      <c r="A2547" t="str">
        <f>"23/12/2019"</f>
        <v>23/12/2019</v>
      </c>
      <c r="B2547" t="str">
        <f>"14.2302"</f>
        <v>14.2302</v>
      </c>
      <c r="C2547" t="str">
        <f>"14.2909"</f>
        <v>14.2909</v>
      </c>
    </row>
    <row r="2548" spans="1:3" x14ac:dyDescent="0.25">
      <c r="A2548" t="str">
        <f>"24/12/2019"</f>
        <v>24/12/2019</v>
      </c>
      <c r="B2548" t="str">
        <f>"14.1814"</f>
        <v>14.1814</v>
      </c>
      <c r="C2548" t="str">
        <f>"14.2417"</f>
        <v>14.2417</v>
      </c>
    </row>
    <row r="2549" spans="1:3" x14ac:dyDescent="0.25">
      <c r="A2549" t="str">
        <f>"26/12/2019"</f>
        <v>26/12/2019</v>
      </c>
      <c r="B2549" t="str">
        <f>"14.1821"</f>
        <v>14.1821</v>
      </c>
      <c r="C2549" t="str">
        <f>"14.2423"</f>
        <v>14.2423</v>
      </c>
    </row>
    <row r="2550" spans="1:3" x14ac:dyDescent="0.25">
      <c r="A2550" t="str">
        <f>"27/12/2019"</f>
        <v>27/12/2019</v>
      </c>
      <c r="B2550" t="str">
        <f>"14.0049"</f>
        <v>14.0049</v>
      </c>
      <c r="C2550" t="str">
        <f>"14.0631"</f>
        <v>14.0631</v>
      </c>
    </row>
    <row r="2551" spans="1:3" x14ac:dyDescent="0.25">
      <c r="A2551" t="str">
        <f>"30/12/2019"</f>
        <v>30/12/2019</v>
      </c>
      <c r="B2551" t="str">
        <f>"14.0823"</f>
        <v>14.0823</v>
      </c>
      <c r="C2551" t="str">
        <f>"14.1423"</f>
        <v>14.1423</v>
      </c>
    </row>
    <row r="2552" spans="1:3" x14ac:dyDescent="0.25">
      <c r="A2552" t="str">
        <f>"31/12/2019"</f>
        <v>31/12/2019</v>
      </c>
      <c r="B2552" t="str">
        <f>"14.0575"</f>
        <v>14.0575</v>
      </c>
      <c r="C2552" t="str">
        <f>"14.116"</f>
        <v>14.116</v>
      </c>
    </row>
    <row r="2553" spans="1:3" x14ac:dyDescent="0.25">
      <c r="A2553" t="str">
        <f>"02/01/2020"</f>
        <v>02/01/2020</v>
      </c>
      <c r="B2553" t="str">
        <f>"14.023"</f>
        <v>14.023</v>
      </c>
      <c r="C2553" t="str">
        <f>"14.0816"</f>
        <v>14.0816</v>
      </c>
    </row>
    <row r="2554" spans="1:3" x14ac:dyDescent="0.25">
      <c r="A2554" t="str">
        <f>"03/01/2020"</f>
        <v>03/01/2020</v>
      </c>
      <c r="B2554" t="str">
        <f>"14.339"</f>
        <v>14.339</v>
      </c>
      <c r="C2554" t="str">
        <f>"14.3994"</f>
        <v>14.3994</v>
      </c>
    </row>
    <row r="2555" spans="1:3" x14ac:dyDescent="0.25">
      <c r="A2555" t="str">
        <f>"06/01/2020"</f>
        <v>06/01/2020</v>
      </c>
      <c r="B2555" t="str">
        <f>"14.3227"</f>
        <v>14.3227</v>
      </c>
      <c r="C2555" t="str">
        <f>"14.3693"</f>
        <v>14.3693</v>
      </c>
    </row>
    <row r="2556" spans="1:3" x14ac:dyDescent="0.25">
      <c r="A2556" t="str">
        <f>"07/01/2020"</f>
        <v>07/01/2020</v>
      </c>
      <c r="B2556" t="str">
        <f>"14.265"</f>
        <v>14.265</v>
      </c>
      <c r="C2556" t="str">
        <f>"14.3275"</f>
        <v>14.3275</v>
      </c>
    </row>
    <row r="2557" spans="1:3" x14ac:dyDescent="0.25">
      <c r="A2557" t="str">
        <f>"08/01/2020"</f>
        <v>08/01/2020</v>
      </c>
      <c r="B2557" t="str">
        <f>"14.2156"</f>
        <v>14.2156</v>
      </c>
      <c r="C2557" t="str">
        <f>"14.2761"</f>
        <v>14.2761</v>
      </c>
    </row>
    <row r="2558" spans="1:3" x14ac:dyDescent="0.25">
      <c r="A2558" t="str">
        <f>"09/01/2020"</f>
        <v>09/01/2020</v>
      </c>
      <c r="B2558" t="str">
        <f>"14.2112"</f>
        <v>14.2112</v>
      </c>
      <c r="C2558" t="str">
        <f>"14.2719"</f>
        <v>14.2719</v>
      </c>
    </row>
    <row r="2559" spans="1:3" x14ac:dyDescent="0.25">
      <c r="A2559" t="str">
        <f>"10/01/2020"</f>
        <v>10/01/2020</v>
      </c>
      <c r="B2559" t="str">
        <f>"14.2302"</f>
        <v>14.2302</v>
      </c>
      <c r="C2559" t="str">
        <f>"14.291"</f>
        <v>14.291</v>
      </c>
    </row>
    <row r="2560" spans="1:3" x14ac:dyDescent="0.25">
      <c r="A2560" t="str">
        <f>"13/01/2020"</f>
        <v>13/01/2020</v>
      </c>
      <c r="B2560" t="str">
        <f>"14.3254"</f>
        <v>14.3254</v>
      </c>
      <c r="C2560" t="str">
        <f>"14.3866"</f>
        <v>14.3866</v>
      </c>
    </row>
    <row r="2561" spans="1:3" x14ac:dyDescent="0.25">
      <c r="A2561" t="str">
        <f>"14/01/2020"</f>
        <v>14/01/2020</v>
      </c>
      <c r="B2561" t="str">
        <f>"14.3952"</f>
        <v>14.3952</v>
      </c>
      <c r="C2561" t="str">
        <f>"14.4604"</f>
        <v>14.4604</v>
      </c>
    </row>
    <row r="2562" spans="1:3" x14ac:dyDescent="0.25">
      <c r="A2562" t="str">
        <f>"15/01/2020"</f>
        <v>15/01/2020</v>
      </c>
      <c r="B2562" t="str">
        <f>"14.415"</f>
        <v>14.415</v>
      </c>
      <c r="C2562" t="str">
        <f>"14.4784"</f>
        <v>14.4784</v>
      </c>
    </row>
    <row r="2563" spans="1:3" x14ac:dyDescent="0.25">
      <c r="A2563" t="str">
        <f>"16/01/2020"</f>
        <v>16/01/2020</v>
      </c>
      <c r="B2563" t="str">
        <f>"14.3622"</f>
        <v>14.3622</v>
      </c>
      <c r="C2563" t="str">
        <f>"14.4236"</f>
        <v>14.4236</v>
      </c>
    </row>
    <row r="2564" spans="1:3" x14ac:dyDescent="0.25">
      <c r="A2564" t="str">
        <f>"17/01/2020"</f>
        <v>17/01/2020</v>
      </c>
      <c r="B2564" t="str">
        <f>"14.3982"</f>
        <v>14.3982</v>
      </c>
      <c r="C2564" t="str">
        <f>"14.4582"</f>
        <v>14.4582</v>
      </c>
    </row>
    <row r="2565" spans="1:3" x14ac:dyDescent="0.25">
      <c r="A2565" t="str">
        <f>"20/01/2020"</f>
        <v>20/01/2020</v>
      </c>
      <c r="B2565" t="str">
        <f>"14.52"</f>
        <v>14.52</v>
      </c>
      <c r="C2565" t="str">
        <f>"14.5859"</f>
        <v>14.5859</v>
      </c>
    </row>
    <row r="2566" spans="1:3" x14ac:dyDescent="0.25">
      <c r="A2566" t="str">
        <f>"21/01/2020"</f>
        <v>21/01/2020</v>
      </c>
      <c r="B2566" t="str">
        <f>"14.4898"</f>
        <v>14.4898</v>
      </c>
      <c r="C2566" t="str">
        <f>"14.5532"</f>
        <v>14.5532</v>
      </c>
    </row>
    <row r="2567" spans="1:3" x14ac:dyDescent="0.25">
      <c r="A2567" t="str">
        <f>"22/01/2020"</f>
        <v>22/01/2020</v>
      </c>
      <c r="B2567" t="str">
        <f>"14.4494"</f>
        <v>14.4494</v>
      </c>
      <c r="C2567" t="str">
        <f>"14.5105"</f>
        <v>14.5105</v>
      </c>
    </row>
    <row r="2568" spans="1:3" x14ac:dyDescent="0.25">
      <c r="A2568" t="str">
        <f>"23/01/2020"</f>
        <v>23/01/2020</v>
      </c>
      <c r="B2568" t="str">
        <f>"14.3864"</f>
        <v>14.3864</v>
      </c>
      <c r="C2568" t="str">
        <f>"14.4472"</f>
        <v>14.4472</v>
      </c>
    </row>
    <row r="2569" spans="1:3" x14ac:dyDescent="0.25">
      <c r="A2569" t="str">
        <f>"24/01/2020"</f>
        <v>24/01/2020</v>
      </c>
      <c r="B2569" t="str">
        <f>"14.3376"</f>
        <v>14.3376</v>
      </c>
      <c r="C2569" t="str">
        <f>"14.3989"</f>
        <v>14.3989</v>
      </c>
    </row>
    <row r="2570" spans="1:3" x14ac:dyDescent="0.25">
      <c r="A2570" t="str">
        <f>"27/01/2020"</f>
        <v>27/01/2020</v>
      </c>
      <c r="B2570" t="str">
        <f>"14.5235"</f>
        <v>14.5235</v>
      </c>
      <c r="C2570" t="str">
        <f>"14.5844"</f>
        <v>14.5844</v>
      </c>
    </row>
    <row r="2571" spans="1:3" x14ac:dyDescent="0.25">
      <c r="A2571" t="str">
        <f>"28/01/2020"</f>
        <v>28/01/2020</v>
      </c>
      <c r="B2571" t="str">
        <f>"14.7077"</f>
        <v>14.7077</v>
      </c>
      <c r="C2571" t="str">
        <f>"14.7681"</f>
        <v>14.7681</v>
      </c>
    </row>
    <row r="2572" spans="1:3" x14ac:dyDescent="0.25">
      <c r="A2572" t="str">
        <f>"29/01/2020"</f>
        <v>29/01/2020</v>
      </c>
      <c r="B2572" t="str">
        <f>"14.6132"</f>
        <v>14.6132</v>
      </c>
      <c r="C2572" t="str">
        <f>"14.6692"</f>
        <v>14.6692</v>
      </c>
    </row>
    <row r="2573" spans="1:3" x14ac:dyDescent="0.25">
      <c r="A2573" t="str">
        <f>"30/01/2020"</f>
        <v>30/01/2020</v>
      </c>
      <c r="B2573" t="str">
        <f>"14.7157"</f>
        <v>14.7157</v>
      </c>
      <c r="C2573" t="str">
        <f>"14.7732"</f>
        <v>14.7732</v>
      </c>
    </row>
    <row r="2574" spans="1:3" x14ac:dyDescent="0.25">
      <c r="A2574" t="str">
        <f>"31/01/2020"</f>
        <v>31/01/2020</v>
      </c>
      <c r="B2574" t="str">
        <f>"14.7792"</f>
        <v>14.7792</v>
      </c>
      <c r="C2574" t="str">
        <f>"14.8371"</f>
        <v>14.8371</v>
      </c>
    </row>
    <row r="2575" spans="1:3" x14ac:dyDescent="0.25">
      <c r="A2575" t="str">
        <f>"03/02/2020"</f>
        <v>03/02/2020</v>
      </c>
      <c r="B2575" t="str">
        <f>"14.895"</f>
        <v>14.895</v>
      </c>
      <c r="C2575" t="str">
        <f>"14.9527"</f>
        <v>14.9527</v>
      </c>
    </row>
    <row r="2576" spans="1:3" x14ac:dyDescent="0.25">
      <c r="A2576" t="str">
        <f>"04/02/2020"</f>
        <v>04/02/2020</v>
      </c>
      <c r="B2576" t="str">
        <f>"14.8015"</f>
        <v>14.8015</v>
      </c>
      <c r="C2576" t="str">
        <f>"14.8591"</f>
        <v>14.8591</v>
      </c>
    </row>
    <row r="2577" spans="1:3" x14ac:dyDescent="0.25">
      <c r="A2577" t="str">
        <f>"05/02/2020"</f>
        <v>05/02/2020</v>
      </c>
      <c r="B2577" t="str">
        <f>"14.7097"</f>
        <v>14.7097</v>
      </c>
      <c r="C2577" t="str">
        <f>"14.7713"</f>
        <v>14.7713</v>
      </c>
    </row>
    <row r="2578" spans="1:3" x14ac:dyDescent="0.25">
      <c r="A2578" t="str">
        <f>"06/02/2020"</f>
        <v>06/02/2020</v>
      </c>
      <c r="B2578" t="str">
        <f>"14.7886"</f>
        <v>14.7886</v>
      </c>
      <c r="C2578" t="str">
        <f>"14.8464"</f>
        <v>14.8464</v>
      </c>
    </row>
    <row r="2579" spans="1:3" x14ac:dyDescent="0.25">
      <c r="A2579" t="str">
        <f>"07/02/2020"</f>
        <v>07/02/2020</v>
      </c>
      <c r="B2579" t="str">
        <f>"15.0045"</f>
        <v>15.0045</v>
      </c>
      <c r="C2579" t="str">
        <f>"15.0643"</f>
        <v>15.0643</v>
      </c>
    </row>
    <row r="2580" spans="1:3" x14ac:dyDescent="0.25">
      <c r="A2580" t="str">
        <f>"10/02/2020"</f>
        <v>10/02/2020</v>
      </c>
      <c r="B2580" t="str">
        <f>"15.0281"</f>
        <v>15.0281</v>
      </c>
      <c r="C2580" t="str">
        <f>"15.0897"</f>
        <v>15.0897</v>
      </c>
    </row>
    <row r="2581" spans="1:3" x14ac:dyDescent="0.25">
      <c r="A2581" t="str">
        <f>"11/02/2020"</f>
        <v>11/02/2020</v>
      </c>
      <c r="B2581" t="str">
        <f>"14.879"</f>
        <v>14.879</v>
      </c>
      <c r="C2581" t="str">
        <f>"14.9405"</f>
        <v>14.9405</v>
      </c>
    </row>
    <row r="2582" spans="1:3" x14ac:dyDescent="0.25">
      <c r="A2582" t="str">
        <f>"12/02/2020"</f>
        <v>12/02/2020</v>
      </c>
      <c r="B2582" t="str">
        <f>"14.7977"</f>
        <v>14.7977</v>
      </c>
      <c r="C2582" t="str">
        <f>"14.8623"</f>
        <v>14.8623</v>
      </c>
    </row>
    <row r="2583" spans="1:3" x14ac:dyDescent="0.25">
      <c r="A2583" t="str">
        <f>"13/02/2020"</f>
        <v>13/02/2020</v>
      </c>
      <c r="B2583" t="str">
        <f>"14.8852"</f>
        <v>14.8852</v>
      </c>
      <c r="C2583" t="str">
        <f>"14.9456"</f>
        <v>14.9456</v>
      </c>
    </row>
    <row r="2584" spans="1:3" x14ac:dyDescent="0.25">
      <c r="A2584" t="str">
        <f>"14/02/2020"</f>
        <v>14/02/2020</v>
      </c>
      <c r="B2584" t="str">
        <f>"14.8527"</f>
        <v>14.8527</v>
      </c>
      <c r="C2584" t="str">
        <f>"14.9145"</f>
        <v>14.9145</v>
      </c>
    </row>
    <row r="2585" spans="1:3" x14ac:dyDescent="0.25">
      <c r="A2585" t="str">
        <f>"17/02/2020"</f>
        <v>17/02/2020</v>
      </c>
      <c r="B2585" t="str">
        <f>"14.8962"</f>
        <v>14.8962</v>
      </c>
      <c r="C2585" t="str">
        <f>"14.9587"</f>
        <v>14.9587</v>
      </c>
    </row>
    <row r="2586" spans="1:3" x14ac:dyDescent="0.25">
      <c r="A2586" t="str">
        <f>"18/02/2020"</f>
        <v>18/02/2020</v>
      </c>
      <c r="B2586" t="str">
        <f>"15.0633"</f>
        <v>15.0633</v>
      </c>
      <c r="C2586" t="str">
        <f>"15.1272"</f>
        <v>15.1272</v>
      </c>
    </row>
    <row r="2587" spans="1:3" x14ac:dyDescent="0.25">
      <c r="A2587" t="str">
        <f>"20/02/2020"</f>
        <v>20/02/2020</v>
      </c>
      <c r="B2587" t="str">
        <f>"15.0954"</f>
        <v>15.0954</v>
      </c>
      <c r="C2587" t="str">
        <f>"15.1601"</f>
        <v>15.1601</v>
      </c>
    </row>
    <row r="2588" spans="1:3" x14ac:dyDescent="0.25">
      <c r="A2588" t="str">
        <f>"24/02/2020"</f>
        <v>24/02/2020</v>
      </c>
      <c r="B2588" t="str">
        <f>"15.1543"</f>
        <v>15.1543</v>
      </c>
      <c r="C2588" t="str">
        <f>"15.2163"</f>
        <v>15.2163</v>
      </c>
    </row>
    <row r="2589" spans="1:3" x14ac:dyDescent="0.25">
      <c r="A2589" t="str">
        <f>"25/02/2020"</f>
        <v>25/02/2020</v>
      </c>
      <c r="B2589" t="str">
        <f>"15.198"</f>
        <v>15.198</v>
      </c>
      <c r="C2589" t="str">
        <f>"15.2596"</f>
        <v>15.2596</v>
      </c>
    </row>
    <row r="2590" spans="1:3" x14ac:dyDescent="0.25">
      <c r="A2590" t="str">
        <f>"26/02/2020"</f>
        <v>26/02/2020</v>
      </c>
      <c r="B2590" t="str">
        <f>"15.2631"</f>
        <v>15.2631</v>
      </c>
      <c r="C2590" t="str">
        <f>"15.334"</f>
        <v>15.334</v>
      </c>
    </row>
    <row r="2591" spans="1:3" x14ac:dyDescent="0.25">
      <c r="A2591" t="str">
        <f>"27/02/2020"</f>
        <v>27/02/2020</v>
      </c>
      <c r="B2591" t="str">
        <f>"15.3693"</f>
        <v>15.3693</v>
      </c>
      <c r="C2591" t="str">
        <f>"15.4389"</f>
        <v>15.4389</v>
      </c>
    </row>
    <row r="2592" spans="1:3" x14ac:dyDescent="0.25">
      <c r="A2592" t="str">
        <f>"28/02/2020"</f>
        <v>28/02/2020</v>
      </c>
      <c r="B2592" t="str">
        <f>"15.5901"</f>
        <v>15.5901</v>
      </c>
      <c r="C2592" t="str">
        <f>"15.6656"</f>
        <v>15.6656</v>
      </c>
    </row>
    <row r="2593" spans="1:3" x14ac:dyDescent="0.25">
      <c r="A2593" t="str">
        <f>"02/03/2020"</f>
        <v>02/03/2020</v>
      </c>
      <c r="B2593" t="str">
        <f>"15.6278"</f>
        <v>15.6278</v>
      </c>
      <c r="C2593" t="str">
        <f>"15.7047"</f>
        <v>15.7047</v>
      </c>
    </row>
    <row r="2594" spans="1:3" x14ac:dyDescent="0.25">
      <c r="A2594" t="str">
        <f>"03/03/2020"</f>
        <v>03/03/2020</v>
      </c>
      <c r="B2594" t="str">
        <f>"15.5638"</f>
        <v>15.5638</v>
      </c>
      <c r="C2594" t="str">
        <f>"15.6394"</f>
        <v>15.6394</v>
      </c>
    </row>
    <row r="2595" spans="1:3" x14ac:dyDescent="0.25">
      <c r="A2595" t="str">
        <f>"04/03/2020"</f>
        <v>04/03/2020</v>
      </c>
      <c r="B2595" t="str">
        <f>"15.2461"</f>
        <v>15.2461</v>
      </c>
      <c r="C2595" t="str">
        <f>"15.3229"</f>
        <v>15.3229</v>
      </c>
    </row>
    <row r="2596" spans="1:3" x14ac:dyDescent="0.25">
      <c r="A2596" t="str">
        <f>"05/03/2020"</f>
        <v>05/03/2020</v>
      </c>
      <c r="B2596" t="str">
        <f>"15.4522"</f>
        <v>15.4522</v>
      </c>
      <c r="C2596" t="str">
        <f>"15.5265"</f>
        <v>15.5265</v>
      </c>
    </row>
    <row r="2597" spans="1:3" x14ac:dyDescent="0.25">
      <c r="A2597" t="str">
        <f>"06/03/2020"</f>
        <v>06/03/2020</v>
      </c>
      <c r="B2597" t="str">
        <f>"15.7269"</f>
        <v>15.7269</v>
      </c>
      <c r="C2597" t="str">
        <f>"15.8165"</f>
        <v>15.8165</v>
      </c>
    </row>
    <row r="2598" spans="1:3" x14ac:dyDescent="0.25">
      <c r="A2598" t="str">
        <f>"09/03/2020"</f>
        <v>09/03/2020</v>
      </c>
      <c r="B2598" t="str">
        <f>"16.243"</f>
        <v>16.243</v>
      </c>
      <c r="C2598" t="str">
        <f>"16.3326"</f>
        <v>16.3326</v>
      </c>
    </row>
    <row r="2599" spans="1:3" x14ac:dyDescent="0.25">
      <c r="A2599" t="str">
        <f>"11/03/2020"</f>
        <v>11/03/2020</v>
      </c>
      <c r="B2599" t="str">
        <f>"16.0716"</f>
        <v>16.0716</v>
      </c>
      <c r="C2599" t="str">
        <f>"16.1559"</f>
        <v>16.1559</v>
      </c>
    </row>
    <row r="2600" spans="1:3" x14ac:dyDescent="0.25">
      <c r="A2600" t="str">
        <f>"12/03/2020"</f>
        <v>12/03/2020</v>
      </c>
      <c r="B2600" t="str">
        <f>"16.4276"</f>
        <v>16.4276</v>
      </c>
      <c r="C2600" t="str">
        <f>"16.5154"</f>
        <v>16.5154</v>
      </c>
    </row>
    <row r="2601" spans="1:3" x14ac:dyDescent="0.25">
      <c r="A2601" t="str">
        <f>"13/03/2020"</f>
        <v>13/03/2020</v>
      </c>
      <c r="B2601" t="str">
        <f>"16.1764"</f>
        <v>16.1764</v>
      </c>
      <c r="C2601" t="str">
        <f>"16.2562"</f>
        <v>16.2562</v>
      </c>
    </row>
    <row r="2602" spans="1:3" x14ac:dyDescent="0.25">
      <c r="A2602" t="str">
        <f>"16/03/2020"</f>
        <v>16/03/2020</v>
      </c>
      <c r="B2602" t="str">
        <f>"16.6984"</f>
        <v>16.6984</v>
      </c>
      <c r="C2602" t="str">
        <f>"16.7859"</f>
        <v>16.7859</v>
      </c>
    </row>
    <row r="2603" spans="1:3" x14ac:dyDescent="0.25">
      <c r="A2603" t="str">
        <f>"17/03/2020"</f>
        <v>17/03/2020</v>
      </c>
      <c r="B2603" t="str">
        <f>"16.6411"</f>
        <v>16.6411</v>
      </c>
      <c r="C2603" t="str">
        <f>"16.7248"</f>
        <v>16.7248</v>
      </c>
    </row>
    <row r="2604" spans="1:3" x14ac:dyDescent="0.25">
      <c r="A2604" t="str">
        <f>"18/03/2020"</f>
        <v>18/03/2020</v>
      </c>
      <c r="B2604" t="str">
        <f>"16.9916"</f>
        <v>16.9916</v>
      </c>
      <c r="C2604" t="str">
        <f>"17.0679"</f>
        <v>17.0679</v>
      </c>
    </row>
    <row r="2605" spans="1:3" x14ac:dyDescent="0.25">
      <c r="A2605" t="str">
        <f>"19/03/2020"</f>
        <v>19/03/2020</v>
      </c>
      <c r="B2605" t="str">
        <f>"17.3878"</f>
        <v>17.3878</v>
      </c>
      <c r="C2605" t="str">
        <f>"17.4805"</f>
        <v>17.4805</v>
      </c>
    </row>
    <row r="2606" spans="1:3" x14ac:dyDescent="0.25">
      <c r="A2606" t="str">
        <f>"20/03/2020"</f>
        <v>20/03/2020</v>
      </c>
      <c r="B2606" t="str">
        <f>"17.4187"</f>
        <v>17.4187</v>
      </c>
      <c r="C2606" t="str">
        <f>"17.5049"</f>
        <v>17.5049</v>
      </c>
    </row>
    <row r="2607" spans="1:3" x14ac:dyDescent="0.25">
      <c r="A2607" t="str">
        <f>"23/03/2020"</f>
        <v>23/03/2020</v>
      </c>
      <c r="B2607" t="str">
        <f>"17.7998"</f>
        <v>17.7998</v>
      </c>
      <c r="C2607" t="str">
        <f>"17.8876"</f>
        <v>17.8876</v>
      </c>
    </row>
    <row r="2608" spans="1:3" x14ac:dyDescent="0.25">
      <c r="A2608" t="str">
        <f>"24/03/2020"</f>
        <v>24/03/2020</v>
      </c>
      <c r="B2608" t="str">
        <f>"17.7312"</f>
        <v>17.7312</v>
      </c>
      <c r="C2608" t="str">
        <f>"17.82"</f>
        <v>17.82</v>
      </c>
    </row>
    <row r="2609" spans="1:3" x14ac:dyDescent="0.25">
      <c r="A2609" t="str">
        <f>"26/03/2020"</f>
        <v>26/03/2020</v>
      </c>
      <c r="B2609" t="str">
        <f>"17.4902"</f>
        <v>17.4902</v>
      </c>
      <c r="C2609" t="str">
        <f>"17.5781"</f>
        <v>17.5781</v>
      </c>
    </row>
    <row r="2610" spans="1:3" x14ac:dyDescent="0.25">
      <c r="A2610" t="str">
        <f>"27/03/2020"</f>
        <v>27/03/2020</v>
      </c>
      <c r="B2610" t="str">
        <f>"17.5652"</f>
        <v>17.5652</v>
      </c>
      <c r="C2610" t="str">
        <f>"17.6487"</f>
        <v>17.6487</v>
      </c>
    </row>
    <row r="2611" spans="1:3" x14ac:dyDescent="0.25">
      <c r="A2611" t="str">
        <f>"30/03/2020"</f>
        <v>30/03/2020</v>
      </c>
      <c r="B2611" t="str">
        <f>"17.8536"</f>
        <v>17.8536</v>
      </c>
      <c r="C2611" t="str">
        <f>"17.9438"</f>
        <v>17.9438</v>
      </c>
    </row>
    <row r="2612" spans="1:3" x14ac:dyDescent="0.25">
      <c r="A2612" t="str">
        <f>"31/03/2020"</f>
        <v>31/03/2020</v>
      </c>
      <c r="B2612" t="str">
        <f>"17.8825"</f>
        <v>17.8825</v>
      </c>
      <c r="C2612" t="str">
        <f>"17.9709"</f>
        <v>17.9709</v>
      </c>
    </row>
  </sheetData>
  <sortState xmlns:xlrd2="http://schemas.microsoft.com/office/spreadsheetml/2017/richdata2" ref="A2:C2612">
    <sortCondition ref="A2:A26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Sheet1</vt:lpstr>
      <vt:lpstr>AUD</vt:lpstr>
      <vt:lpstr>CAD</vt:lpstr>
      <vt:lpstr>EUR</vt:lpstr>
      <vt:lpstr>GBP</vt:lpstr>
      <vt:lpstr>INR</vt:lpstr>
      <vt:lpstr>JPY</vt:lpstr>
      <vt:lpstr>KRW</vt:lpstr>
      <vt:lpstr>NOK</vt:lpstr>
      <vt:lpstr>NZD</vt:lpstr>
      <vt:lpstr>PHP</vt:lpstr>
      <vt:lpstr>THB</vt:lpstr>
      <vt:lpstr>TWD</vt:lpstr>
      <vt:lpstr>ZAR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Rocky Laurel</dc:creator>
  <cp:lastModifiedBy>Rocky Laurel</cp:lastModifiedBy>
  <dcterms:created xsi:type="dcterms:W3CDTF">2020-04-25T05:44:08Z</dcterms:created>
  <dcterms:modified xsi:type="dcterms:W3CDTF">2020-05-11T02:06:13Z</dcterms:modified>
</cp:coreProperties>
</file>